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5" yWindow="-15" windowWidth="9570" windowHeight="9090" tabRatio="989" firstSheet="2" activeTab="3"/>
  </bookViews>
  <sheets>
    <sheet name="abs_leadcharges (2)" sheetId="26" state="hidden" r:id="rId1"/>
    <sheet name="screening charges" sheetId="28" state="hidden" r:id="rId2"/>
    <sheet name="BASIC DATA" sheetId="1" r:id="rId3"/>
    <sheet name="abstact_of_items" sheetId="14" r:id="rId4"/>
    <sheet name="abs_leadcharges" sheetId="13" r:id="rId5"/>
    <sheet name="dam and allied works" sheetId="19" r:id="rId6"/>
    <sheet name="tunnel and allied works" sheetId="20" r:id="rId7"/>
    <sheet name="canal and allied works" sheetId="21" r:id="rId8"/>
    <sheet name="canal cross drainage works" sheetId="23" r:id="rId9"/>
    <sheet name="gate hoist and allied works" sheetId="24" r:id="rId10"/>
    <sheet name="preliminary and maintanance" sheetId="25" r:id="rId11"/>
    <sheet name="com" sheetId="16" r:id="rId12"/>
    <sheet name="leadcharges" sheetId="15" r:id="rId13"/>
    <sheet name="Machinery Hire Charges" sheetId="18" r:id="rId14"/>
    <sheet name="HIRE CHARGES" sheetId="5" state="hidden" r:id="rId15"/>
    <sheet name="canal cross works_old_21082012_" sheetId="22" state="hidden" r:id="rId16"/>
    <sheet name="GAW_valid upto 2012-13 " sheetId="10" state="hidden" r:id="rId17"/>
    <sheet name="PAW valid upto 2012-13" sheetId="11" state="hidden" r:id="rId18"/>
    <sheet name="Sheet3" sheetId="29" state="hidden" r:id="rId19"/>
    <sheet name="Sheet1" sheetId="30" state="hidden" r:id="rId20"/>
  </sheets>
  <definedNames>
    <definedName name="_xlnm._FilterDatabase" localSheetId="3" hidden="1">abstact_of_items!$E$1:$F$1342</definedName>
    <definedName name="_xlnm._FilterDatabase" localSheetId="9" hidden="1">'gate hoist and allied works'!$A$1:$H$9310</definedName>
    <definedName name="_xlnm._FilterDatabase" localSheetId="16" hidden="1">'GAW_valid upto 2012-13 '!$A$1:$H$9965</definedName>
    <definedName name="_xlnm._FilterDatabase" localSheetId="14" hidden="1">'HIRE CHARGES'!$K$1:$L$558</definedName>
    <definedName name="_xlnm._FilterDatabase" localSheetId="17" hidden="1">'PAW valid upto 2012-13'!$A$1:$H$2947</definedName>
    <definedName name="_xlnm._FilterDatabase" localSheetId="10" hidden="1">'preliminary and maintanance'!$A$1:$H$2656</definedName>
    <definedName name="_xlnm.Print_Area" localSheetId="0">'abs_leadcharges (2)'!$A$1:$J$164</definedName>
    <definedName name="_xlnm.Print_Area" localSheetId="3">abstact_of_items!$A$1:$F$1173</definedName>
    <definedName name="_xlnm.Print_Area" localSheetId="2">'BASIC DATA'!$A$1:$AD$835</definedName>
    <definedName name="_xlnm.Print_Area" localSheetId="7">'canal and allied works'!$A$1:$I$8610</definedName>
    <definedName name="_xlnm.Print_Area" localSheetId="8">'canal cross drainage works'!$A$1:$H$4358</definedName>
    <definedName name="_xlnm.Print_Area" localSheetId="15">'canal cross works_old_21082012_'!$A$1:$I$4402</definedName>
    <definedName name="_xlnm.Print_Area" localSheetId="11">com!$A$1:$O$33</definedName>
    <definedName name="_xlnm.Print_Area" localSheetId="5">'dam and allied works'!$A$1:$J$6679</definedName>
    <definedName name="_xlnm.Print_Area" localSheetId="9">'gate hoist and allied works'!$A$1:$H$3037</definedName>
    <definedName name="_xlnm.Print_Area" localSheetId="16">'GAW_valid upto 2012-13 '!$A$1:$H$3347</definedName>
    <definedName name="_xlnm.Print_Area" localSheetId="14">'HIRE CHARGES'!$A$1:$H$561</definedName>
    <definedName name="_xlnm.Print_Area" localSheetId="12">leadcharges!$A$1:$I$989</definedName>
    <definedName name="_xlnm.Print_Area" localSheetId="13">'Machinery Hire Charges'!$A$1:$G$79</definedName>
    <definedName name="_xlnm.Print_Area" localSheetId="17">'PAW valid upto 2012-13'!$A$1:$H$3204</definedName>
    <definedName name="_xlnm.Print_Area" localSheetId="10">'preliminary and maintanance'!$A$1:$J$2957</definedName>
    <definedName name="_xlnm.Print_Area" localSheetId="6">'tunnel and allied works'!$A$1:$H$2676</definedName>
    <definedName name="_xlnm.Print_Titles" localSheetId="3">abstact_of_items!$7:$8</definedName>
    <definedName name="_xlnm.Print_Titles" localSheetId="13">'Machinery Hire Charges'!$1:$8</definedName>
  </definedNames>
  <calcPr calcId="125725"/>
</workbook>
</file>

<file path=xl/calcChain.xml><?xml version="1.0" encoding="utf-8"?>
<calcChain xmlns="http://schemas.openxmlformats.org/spreadsheetml/2006/main">
  <c r="E2941" i="25"/>
  <c r="E2954"/>
  <c r="D2126"/>
  <c r="E2596"/>
  <c r="F21" i="30"/>
  <c r="G21" s="1"/>
  <c r="F20"/>
  <c r="G20" s="1"/>
  <c r="F19"/>
  <c r="G19" s="1"/>
  <c r="G22" s="1"/>
  <c r="E27" s="1"/>
  <c r="F12"/>
  <c r="E26"/>
  <c r="G12"/>
  <c r="E25" s="1"/>
  <c r="E28" l="1"/>
  <c r="E29" s="1"/>
  <c r="F21" i="28"/>
  <c r="G21" s="1"/>
  <c r="F20"/>
  <c r="G20" s="1"/>
  <c r="F19"/>
  <c r="G19" s="1"/>
  <c r="F12"/>
  <c r="G12" s="1"/>
  <c r="E25" s="1"/>
  <c r="I141" i="21"/>
  <c r="E4780" i="25"/>
  <c r="C4781" s="1"/>
  <c r="D4780"/>
  <c r="E4779"/>
  <c r="F124" i="21"/>
  <c r="G124" s="1"/>
  <c r="E26" i="28"/>
  <c r="G34" i="15"/>
  <c r="G6335" i="19"/>
  <c r="F6327"/>
  <c r="G6262"/>
  <c r="F6254"/>
  <c r="G6193"/>
  <c r="F6185"/>
  <c r="G6145"/>
  <c r="F6137"/>
  <c r="G6082"/>
  <c r="F6074"/>
  <c r="G6029"/>
  <c r="F6021"/>
  <c r="G5961"/>
  <c r="F5953"/>
  <c r="G5894"/>
  <c r="F5886"/>
  <c r="G5821"/>
  <c r="F5813"/>
  <c r="G5699"/>
  <c r="F5691"/>
  <c r="G5654"/>
  <c r="F5646"/>
  <c r="G5609"/>
  <c r="F5601"/>
  <c r="G5537"/>
  <c r="F5529"/>
  <c r="G5443"/>
  <c r="F5435"/>
  <c r="G5309"/>
  <c r="F5301"/>
  <c r="G5225"/>
  <c r="F5217"/>
  <c r="G5089"/>
  <c r="F5081"/>
  <c r="G4962"/>
  <c r="F4954"/>
  <c r="G4835"/>
  <c r="F4827"/>
  <c r="G4698"/>
  <c r="F4690"/>
  <c r="G4628"/>
  <c r="F4620"/>
  <c r="G4491"/>
  <c r="F4483"/>
  <c r="G4442"/>
  <c r="F4434"/>
  <c r="G4392"/>
  <c r="F4384"/>
  <c r="G4334"/>
  <c r="F4326"/>
  <c r="G4274"/>
  <c r="F4264"/>
  <c r="G4182"/>
  <c r="F4174"/>
  <c r="G4133"/>
  <c r="F4125"/>
  <c r="G4085"/>
  <c r="F4077"/>
  <c r="G4002"/>
  <c r="F3994"/>
  <c r="G3918"/>
  <c r="F3910"/>
  <c r="G3839"/>
  <c r="F3831"/>
  <c r="G3759"/>
  <c r="F3751"/>
  <c r="G3689"/>
  <c r="F3681"/>
  <c r="G3611"/>
  <c r="F3603"/>
  <c r="G3548"/>
  <c r="F3540"/>
  <c r="G3499"/>
  <c r="F3491"/>
  <c r="G3454"/>
  <c r="F3446"/>
  <c r="G3344"/>
  <c r="F3336"/>
  <c r="G3251"/>
  <c r="F3243"/>
  <c r="G3114"/>
  <c r="F3106"/>
  <c r="G2982"/>
  <c r="F2974"/>
  <c r="G2909"/>
  <c r="F2901"/>
  <c r="G2805"/>
  <c r="F2797"/>
  <c r="G2703"/>
  <c r="F2695"/>
  <c r="G2599"/>
  <c r="F2591"/>
  <c r="G2485"/>
  <c r="F2477"/>
  <c r="G2384"/>
  <c r="F2372"/>
  <c r="G2262"/>
  <c r="F2250"/>
  <c r="G2139"/>
  <c r="F2127"/>
  <c r="G2015"/>
  <c r="F2003"/>
  <c r="G1896"/>
  <c r="F1884"/>
  <c r="G1751"/>
  <c r="F1739"/>
  <c r="G1557"/>
  <c r="F1549"/>
  <c r="G1514"/>
  <c r="F1507"/>
  <c r="G1469"/>
  <c r="F1461"/>
  <c r="G1399"/>
  <c r="F1391"/>
  <c r="G1332"/>
  <c r="F1324"/>
  <c r="G1273"/>
  <c r="F1265"/>
  <c r="G1221"/>
  <c r="F1213"/>
  <c r="G1122"/>
  <c r="F1114"/>
  <c r="G1051"/>
  <c r="F1043"/>
  <c r="G1009"/>
  <c r="F1001"/>
  <c r="G961"/>
  <c r="F953"/>
  <c r="G792"/>
  <c r="F784"/>
  <c r="G611"/>
  <c r="F602"/>
  <c r="G467"/>
  <c r="F458"/>
  <c r="G330"/>
  <c r="F321"/>
  <c r="G229"/>
  <c r="F220"/>
  <c r="G140"/>
  <c r="F132"/>
  <c r="G6676"/>
  <c r="F6667"/>
  <c r="G6620"/>
  <c r="F6612"/>
  <c r="G6549"/>
  <c r="F6541"/>
  <c r="G6478"/>
  <c r="F6470"/>
  <c r="G6408"/>
  <c r="F6400"/>
  <c r="B79" i="18"/>
  <c r="G482" i="5"/>
  <c r="E381"/>
  <c r="D381"/>
  <c r="B296"/>
  <c r="B381" s="1"/>
  <c r="B482" s="1"/>
  <c r="F296"/>
  <c r="E296"/>
  <c r="E88"/>
  <c r="F482" s="1"/>
  <c r="D88"/>
  <c r="E482" s="1"/>
  <c r="C88"/>
  <c r="D987" i="15"/>
  <c r="D963"/>
  <c r="D940"/>
  <c r="D913"/>
  <c r="D893"/>
  <c r="D869"/>
  <c r="D841"/>
  <c r="D826"/>
  <c r="D811"/>
  <c r="D797"/>
  <c r="D784"/>
  <c r="D768"/>
  <c r="D749"/>
  <c r="D736"/>
  <c r="D723"/>
  <c r="D710"/>
  <c r="D697"/>
  <c r="D684"/>
  <c r="D667"/>
  <c r="D657"/>
  <c r="D647"/>
  <c r="D637"/>
  <c r="D627"/>
  <c r="D617"/>
  <c r="D607"/>
  <c r="D595"/>
  <c r="D585"/>
  <c r="D575"/>
  <c r="D565"/>
  <c r="D555"/>
  <c r="D545"/>
  <c r="D535"/>
  <c r="D523"/>
  <c r="D503"/>
  <c r="D483"/>
  <c r="D473"/>
  <c r="D463"/>
  <c r="D441"/>
  <c r="D431"/>
  <c r="D421"/>
  <c r="D411"/>
  <c r="D401"/>
  <c r="D391"/>
  <c r="D379"/>
  <c r="D369"/>
  <c r="D359"/>
  <c r="D349"/>
  <c r="D339"/>
  <c r="D329"/>
  <c r="D319"/>
  <c r="D307"/>
  <c r="D297"/>
  <c r="D287"/>
  <c r="D277"/>
  <c r="D267"/>
  <c r="D257"/>
  <c r="D165"/>
  <c r="D154"/>
  <c r="D186"/>
  <c r="D247"/>
  <c r="F27" i="26"/>
  <c r="E2955" i="25"/>
  <c r="D2956" s="1"/>
  <c r="E2909"/>
  <c r="C2910" s="1"/>
  <c r="D2909"/>
  <c r="E2880"/>
  <c r="C2881" s="1"/>
  <c r="D2880"/>
  <c r="E2851"/>
  <c r="C2852" s="1"/>
  <c r="D2851"/>
  <c r="E2822"/>
  <c r="C2823" s="1"/>
  <c r="D2822"/>
  <c r="E2793"/>
  <c r="C2794" s="1"/>
  <c r="D2793"/>
  <c r="E2764"/>
  <c r="C2765" s="1"/>
  <c r="D2764"/>
  <c r="C2733"/>
  <c r="E2732"/>
  <c r="D2732"/>
  <c r="E2693"/>
  <c r="C2694" s="1"/>
  <c r="D2693"/>
  <c r="E2643"/>
  <c r="C2644" s="1"/>
  <c r="D2643"/>
  <c r="D3035" i="24"/>
  <c r="D2973"/>
  <c r="D2905"/>
  <c r="D5883" i="21"/>
  <c r="F1275" i="20"/>
  <c r="G1275" s="1"/>
  <c r="D1399" i="21"/>
  <c r="G1399" s="1"/>
  <c r="G1400" s="1"/>
  <c r="G1401" s="1"/>
  <c r="G1403" s="1"/>
  <c r="F1450" s="1"/>
  <c r="C805"/>
  <c r="G805" s="1"/>
  <c r="G806" s="1"/>
  <c r="G807" s="1"/>
  <c r="G809" s="1"/>
  <c r="G811" s="1"/>
  <c r="F719" i="19"/>
  <c r="H719" s="1"/>
  <c r="F391"/>
  <c r="H391" s="1"/>
  <c r="G2488" i="25"/>
  <c r="H2488" s="1"/>
  <c r="G2439"/>
  <c r="H2439" s="1"/>
  <c r="F594" i="23"/>
  <c r="G594" s="1"/>
  <c r="F1720" i="20"/>
  <c r="G1720" s="1"/>
  <c r="F1620"/>
  <c r="G1620" s="1"/>
  <c r="H3582" i="19"/>
  <c r="I3582" s="1"/>
  <c r="H1531"/>
  <c r="I1531" s="1"/>
  <c r="G1467" i="25"/>
  <c r="H1467" s="1"/>
  <c r="F3030" i="23"/>
  <c r="G3030" s="1"/>
  <c r="F4130"/>
  <c r="G4130" s="1"/>
  <c r="F2960"/>
  <c r="G2960" s="1"/>
  <c r="F2891"/>
  <c r="G2891" s="1"/>
  <c r="F2830"/>
  <c r="F8230" i="21"/>
  <c r="F8174"/>
  <c r="G8174" s="1"/>
  <c r="F8115"/>
  <c r="F8065"/>
  <c r="G8065" s="1"/>
  <c r="F8012"/>
  <c r="F7963"/>
  <c r="G7963" s="1"/>
  <c r="G7966" s="1"/>
  <c r="G7987" s="1"/>
  <c r="F7865"/>
  <c r="F7818"/>
  <c r="F7727"/>
  <c r="G7727" s="1"/>
  <c r="F7535"/>
  <c r="G7535" s="1"/>
  <c r="F7605"/>
  <c r="G7605" s="1"/>
  <c r="F7471"/>
  <c r="F4077"/>
  <c r="F3626"/>
  <c r="G3626" s="1"/>
  <c r="F3482"/>
  <c r="F3440"/>
  <c r="F1874" i="20"/>
  <c r="G1874" s="1"/>
  <c r="H5577" i="19"/>
  <c r="I5577" s="1"/>
  <c r="H6594"/>
  <c r="I6594" s="1"/>
  <c r="H6523"/>
  <c r="H6452"/>
  <c r="I6452" s="1"/>
  <c r="H6381"/>
  <c r="I6381" s="1"/>
  <c r="H6308"/>
  <c r="I6308" s="1"/>
  <c r="H5622"/>
  <c r="I5622" s="1"/>
  <c r="H4042"/>
  <c r="H3959"/>
  <c r="I3959" s="1"/>
  <c r="H3876"/>
  <c r="H3798"/>
  <c r="H3718"/>
  <c r="H3648"/>
  <c r="F7670" i="21"/>
  <c r="G7670" s="1"/>
  <c r="F4128"/>
  <c r="H6382" i="19"/>
  <c r="I6382" s="1"/>
  <c r="H6309"/>
  <c r="I6309" s="1"/>
  <c r="G836" i="15"/>
  <c r="H836" s="1"/>
  <c r="G821"/>
  <c r="H821" s="1"/>
  <c r="G806"/>
  <c r="H806" s="1"/>
  <c r="G792"/>
  <c r="H792" s="1"/>
  <c r="G779"/>
  <c r="H779" s="1"/>
  <c r="G763"/>
  <c r="H763" s="1"/>
  <c r="G746"/>
  <c r="H746" s="1"/>
  <c r="G733"/>
  <c r="H733" s="1"/>
  <c r="G720"/>
  <c r="H720" s="1"/>
  <c r="G707"/>
  <c r="H707" s="1"/>
  <c r="H694"/>
  <c r="G681"/>
  <c r="H681" s="1"/>
  <c r="F3028" i="23"/>
  <c r="F2958"/>
  <c r="G2958" s="1"/>
  <c r="F8474" i="21"/>
  <c r="G8474" s="1"/>
  <c r="F8339"/>
  <c r="G8339" s="1"/>
  <c r="F8066"/>
  <c r="G8066" s="1"/>
  <c r="D2955" i="25"/>
  <c r="E2951"/>
  <c r="E2949"/>
  <c r="F2946"/>
  <c r="F2938"/>
  <c r="G2938" s="1"/>
  <c r="F2937"/>
  <c r="G2937" s="1"/>
  <c r="F2927"/>
  <c r="G2927" s="1"/>
  <c r="F2926"/>
  <c r="G2926" s="1"/>
  <c r="F2925"/>
  <c r="E2925"/>
  <c r="F2924"/>
  <c r="G2924" s="1"/>
  <c r="F2923"/>
  <c r="G2923" s="1"/>
  <c r="E2923"/>
  <c r="F2922"/>
  <c r="G2922" s="1"/>
  <c r="F2921"/>
  <c r="G2921" s="1"/>
  <c r="E2508" i="24"/>
  <c r="E2425"/>
  <c r="E2342"/>
  <c r="D2516"/>
  <c r="D2512"/>
  <c r="E2510"/>
  <c r="D2500"/>
  <c r="F2497"/>
  <c r="G2497" s="1"/>
  <c r="F2496"/>
  <c r="G2496" s="1"/>
  <c r="F2495"/>
  <c r="G2495" s="1"/>
  <c r="F2494"/>
  <c r="G2494" s="1"/>
  <c r="F2493"/>
  <c r="G2493" s="1"/>
  <c r="F2492"/>
  <c r="G2492" s="1"/>
  <c r="F2484"/>
  <c r="G2484" s="1"/>
  <c r="F2470"/>
  <c r="G2470" s="1"/>
  <c r="F2467"/>
  <c r="G2467" s="1"/>
  <c r="F2466"/>
  <c r="G2466" s="1"/>
  <c r="F2465"/>
  <c r="G2465" s="1"/>
  <c r="F2464"/>
  <c r="G2464" s="1"/>
  <c r="F2463"/>
  <c r="G2463" s="1"/>
  <c r="F2461"/>
  <c r="G2461" s="1"/>
  <c r="F2460"/>
  <c r="G2460" s="1"/>
  <c r="F2459"/>
  <c r="G2459" s="1"/>
  <c r="C2450"/>
  <c r="F2450" s="1"/>
  <c r="F2452" s="1"/>
  <c r="F2469" s="1"/>
  <c r="G2469" s="1"/>
  <c r="C2447"/>
  <c r="F2447" s="1"/>
  <c r="F2449" s="1"/>
  <c r="F2468" s="1"/>
  <c r="G2468" s="1"/>
  <c r="D2433"/>
  <c r="D2429"/>
  <c r="E2427"/>
  <c r="D2417"/>
  <c r="F2414"/>
  <c r="G2414" s="1"/>
  <c r="F2413"/>
  <c r="G2413" s="1"/>
  <c r="F2412"/>
  <c r="G2412" s="1"/>
  <c r="F2411"/>
  <c r="G2411" s="1"/>
  <c r="F2410"/>
  <c r="G2410" s="1"/>
  <c r="F2409"/>
  <c r="G2409" s="1"/>
  <c r="F2401"/>
  <c r="G2401" s="1"/>
  <c r="F2387"/>
  <c r="G2387" s="1"/>
  <c r="F2384"/>
  <c r="G2384" s="1"/>
  <c r="F2383"/>
  <c r="G2383" s="1"/>
  <c r="F2382"/>
  <c r="G2382" s="1"/>
  <c r="F2381"/>
  <c r="G2381" s="1"/>
  <c r="F2380"/>
  <c r="G2380" s="1"/>
  <c r="F2379"/>
  <c r="G2379" s="1"/>
  <c r="F2378"/>
  <c r="G2378" s="1"/>
  <c r="C2368"/>
  <c r="F2368" s="1"/>
  <c r="F2370" s="1"/>
  <c r="F2386" s="1"/>
  <c r="G2386" s="1"/>
  <c r="C2365"/>
  <c r="F2365" s="1"/>
  <c r="F2367" s="1"/>
  <c r="F2385" s="1"/>
  <c r="G2385" s="1"/>
  <c r="D2350"/>
  <c r="D2346"/>
  <c r="E2344"/>
  <c r="D2334"/>
  <c r="F2331"/>
  <c r="G2331" s="1"/>
  <c r="F2330"/>
  <c r="G2330" s="1"/>
  <c r="F2329"/>
  <c r="G2329" s="1"/>
  <c r="F2328"/>
  <c r="G2328" s="1"/>
  <c r="F2327"/>
  <c r="G2327" s="1"/>
  <c r="F2326"/>
  <c r="G2326" s="1"/>
  <c r="F2318"/>
  <c r="G2318" s="1"/>
  <c r="G2317"/>
  <c r="F2303"/>
  <c r="G2303" s="1"/>
  <c r="F2300"/>
  <c r="G2300" s="1"/>
  <c r="F2299"/>
  <c r="G2299" s="1"/>
  <c r="F2298"/>
  <c r="G2298" s="1"/>
  <c r="F2297"/>
  <c r="G2297" s="1"/>
  <c r="F2296"/>
  <c r="G2296" s="1"/>
  <c r="F2295"/>
  <c r="G2295" s="1"/>
  <c r="F2293"/>
  <c r="G2293" s="1"/>
  <c r="F2291"/>
  <c r="G2291" s="1"/>
  <c r="F2290"/>
  <c r="G2290" s="1"/>
  <c r="F2289"/>
  <c r="G2289" s="1"/>
  <c r="C2281"/>
  <c r="F2281" s="1"/>
  <c r="F2283" s="1"/>
  <c r="F2302" s="1"/>
  <c r="G2302" s="1"/>
  <c r="C2278"/>
  <c r="F2278" s="1"/>
  <c r="F2280" s="1"/>
  <c r="F2301" s="1"/>
  <c r="G2301" s="1"/>
  <c r="F6677" i="19"/>
  <c r="G2612" i="25"/>
  <c r="G1403" i="19"/>
  <c r="F1403"/>
  <c r="F1400"/>
  <c r="F3000" i="24"/>
  <c r="F2870"/>
  <c r="F2627"/>
  <c r="G2627" s="1"/>
  <c r="E5884" i="21"/>
  <c r="D5884"/>
  <c r="D5881"/>
  <c r="D5880"/>
  <c r="E5377"/>
  <c r="E4950"/>
  <c r="D4950"/>
  <c r="E4822"/>
  <c r="C4823" s="1"/>
  <c r="D4822"/>
  <c r="E2443" i="20"/>
  <c r="C2444" s="1"/>
  <c r="E2254"/>
  <c r="C2255" s="1"/>
  <c r="D2254"/>
  <c r="E2095"/>
  <c r="D2095"/>
  <c r="E1994"/>
  <c r="D1994"/>
  <c r="D1993"/>
  <c r="D1922"/>
  <c r="D1921"/>
  <c r="E1797"/>
  <c r="D1797"/>
  <c r="D1796"/>
  <c r="E1676"/>
  <c r="C1677" s="1"/>
  <c r="D1676"/>
  <c r="D1675"/>
  <c r="E1547"/>
  <c r="C1548" s="1"/>
  <c r="D1547"/>
  <c r="E1437"/>
  <c r="D1437"/>
  <c r="E1321"/>
  <c r="C1322" s="1"/>
  <c r="D1321"/>
  <c r="G5826" i="19"/>
  <c r="F5826"/>
  <c r="G4277"/>
  <c r="D4278" s="1"/>
  <c r="F4277"/>
  <c r="F4275"/>
  <c r="G4185"/>
  <c r="F4185"/>
  <c r="F4183"/>
  <c r="G4136"/>
  <c r="F4136"/>
  <c r="F4134"/>
  <c r="G4089"/>
  <c r="F4089"/>
  <c r="G4006"/>
  <c r="F4006"/>
  <c r="G3922"/>
  <c r="F3922"/>
  <c r="F3919"/>
  <c r="G3843"/>
  <c r="D3844" s="1"/>
  <c r="F3843"/>
  <c r="G3763"/>
  <c r="F3763"/>
  <c r="G3693"/>
  <c r="D3694" s="1"/>
  <c r="F3612"/>
  <c r="G3613"/>
  <c r="D3614"/>
  <c r="G3552"/>
  <c r="F3552"/>
  <c r="G3348"/>
  <c r="G3255"/>
  <c r="D3256" s="1"/>
  <c r="G3118"/>
  <c r="G2985"/>
  <c r="F2985"/>
  <c r="D2986"/>
  <c r="G2913"/>
  <c r="D2914"/>
  <c r="G2809"/>
  <c r="G2707"/>
  <c r="D2708" s="1"/>
  <c r="G2603"/>
  <c r="D2604" s="1"/>
  <c r="G2489"/>
  <c r="G2388"/>
  <c r="D2389" s="1"/>
  <c r="G2266"/>
  <c r="D2267" s="1"/>
  <c r="G2143"/>
  <c r="G2019"/>
  <c r="D2020"/>
  <c r="G1900"/>
  <c r="D1901" s="1"/>
  <c r="G1559"/>
  <c r="F1559"/>
  <c r="G1516"/>
  <c r="F1516"/>
  <c r="F1472"/>
  <c r="G1472"/>
  <c r="E2908" i="25"/>
  <c r="G2905"/>
  <c r="G2904"/>
  <c r="F2900"/>
  <c r="G2900" s="1"/>
  <c r="F2899"/>
  <c r="G2899" s="1"/>
  <c r="E2879"/>
  <c r="G2876"/>
  <c r="G2875"/>
  <c r="F2871"/>
  <c r="G2871" s="1"/>
  <c r="F2870"/>
  <c r="G2870" s="1"/>
  <c r="E2850"/>
  <c r="G2847"/>
  <c r="G2846"/>
  <c r="F2842"/>
  <c r="G2842" s="1"/>
  <c r="F2841"/>
  <c r="G2841" s="1"/>
  <c r="E2821"/>
  <c r="G2818"/>
  <c r="G2817"/>
  <c r="F2813"/>
  <c r="G2813" s="1"/>
  <c r="F2812"/>
  <c r="G2812" s="1"/>
  <c r="E2792"/>
  <c r="G2789"/>
  <c r="G2788"/>
  <c r="F2784"/>
  <c r="G2784" s="1"/>
  <c r="F2783"/>
  <c r="G2783" s="1"/>
  <c r="E2763"/>
  <c r="G2760"/>
  <c r="G2759"/>
  <c r="F2755"/>
  <c r="G2755" s="1"/>
  <c r="F2754"/>
  <c r="G2754" s="1"/>
  <c r="G2756" s="1"/>
  <c r="G2761" s="1"/>
  <c r="D2731"/>
  <c r="D2723"/>
  <c r="F2720"/>
  <c r="G2720" s="1"/>
  <c r="F2719"/>
  <c r="G2719" s="1"/>
  <c r="F2713"/>
  <c r="G2713" s="1"/>
  <c r="F2712"/>
  <c r="G2712" s="1"/>
  <c r="G2708"/>
  <c r="G2727" s="1"/>
  <c r="E2692"/>
  <c r="D2684"/>
  <c r="F2681"/>
  <c r="G2681" s="1"/>
  <c r="F2680"/>
  <c r="G2680" s="1"/>
  <c r="F2670"/>
  <c r="G2670" s="1"/>
  <c r="G2658"/>
  <c r="G2688"/>
  <c r="E2642"/>
  <c r="D2634"/>
  <c r="F2631"/>
  <c r="G2631" s="1"/>
  <c r="F2630"/>
  <c r="G2630" s="1"/>
  <c r="G2638"/>
  <c r="E2597"/>
  <c r="C2598" s="1"/>
  <c r="D2597"/>
  <c r="D2588"/>
  <c r="G2585"/>
  <c r="H2585" s="1"/>
  <c r="H2586" s="1"/>
  <c r="H2579"/>
  <c r="H2578"/>
  <c r="H2572"/>
  <c r="H2571"/>
  <c r="E2555"/>
  <c r="C2556" s="1"/>
  <c r="D2555"/>
  <c r="E2554"/>
  <c r="D2546"/>
  <c r="G2543"/>
  <c r="H2543" s="1"/>
  <c r="H2544" s="1"/>
  <c r="H2537"/>
  <c r="H2536"/>
  <c r="H2530"/>
  <c r="H2529"/>
  <c r="E2515"/>
  <c r="C2516" s="1"/>
  <c r="D2515"/>
  <c r="E2514"/>
  <c r="D2506"/>
  <c r="G2503"/>
  <c r="H2503" s="1"/>
  <c r="H2504" s="1"/>
  <c r="H2497"/>
  <c r="H2496"/>
  <c r="G2490"/>
  <c r="H2490" s="1"/>
  <c r="G2489"/>
  <c r="H2489" s="1"/>
  <c r="G2487"/>
  <c r="H2487" s="1"/>
  <c r="E2467"/>
  <c r="C2468" s="1"/>
  <c r="D2467"/>
  <c r="E2466"/>
  <c r="D2458"/>
  <c r="G2455"/>
  <c r="H2455" s="1"/>
  <c r="G2454"/>
  <c r="H2454" s="1"/>
  <c r="H2448"/>
  <c r="H2447"/>
  <c r="G2441"/>
  <c r="H2441" s="1"/>
  <c r="G2440"/>
  <c r="H2440" s="1"/>
  <c r="E2419"/>
  <c r="C2420" s="1"/>
  <c r="D2419"/>
  <c r="E2418"/>
  <c r="D2410"/>
  <c r="G2407"/>
  <c r="H2407" s="1"/>
  <c r="G2406"/>
  <c r="H2406" s="1"/>
  <c r="H2400"/>
  <c r="H2399"/>
  <c r="H2393"/>
  <c r="H2392"/>
  <c r="E2377"/>
  <c r="C2378" s="1"/>
  <c r="D2377"/>
  <c r="E2376"/>
  <c r="D2368"/>
  <c r="G2365"/>
  <c r="H2365" s="1"/>
  <c r="G2364"/>
  <c r="H2364" s="1"/>
  <c r="F2363"/>
  <c r="G2352"/>
  <c r="H2352" s="1"/>
  <c r="F2351"/>
  <c r="F2350"/>
  <c r="H2334"/>
  <c r="H2333"/>
  <c r="E2325"/>
  <c r="E2324"/>
  <c r="G2287"/>
  <c r="E2255"/>
  <c r="C2256" s="1"/>
  <c r="D2255"/>
  <c r="E2254"/>
  <c r="D2246"/>
  <c r="G2243"/>
  <c r="H2243" s="1"/>
  <c r="G2242"/>
  <c r="H2242" s="1"/>
  <c r="F2241"/>
  <c r="G2230"/>
  <c r="H2230" s="1"/>
  <c r="F2229"/>
  <c r="F2228"/>
  <c r="H2212"/>
  <c r="H2211"/>
  <c r="E2203"/>
  <c r="E2202"/>
  <c r="G2165"/>
  <c r="E2135"/>
  <c r="C2136" s="1"/>
  <c r="D2135"/>
  <c r="E2134"/>
  <c r="G2123"/>
  <c r="H2123" s="1"/>
  <c r="G2122"/>
  <c r="H2122" s="1"/>
  <c r="F2121"/>
  <c r="G2110"/>
  <c r="H2110" s="1"/>
  <c r="F2109"/>
  <c r="F2108"/>
  <c r="H2092"/>
  <c r="H2091"/>
  <c r="E2083"/>
  <c r="E2082"/>
  <c r="G2045"/>
  <c r="E2016"/>
  <c r="C2017" s="1"/>
  <c r="D2016"/>
  <c r="E2015"/>
  <c r="D2007"/>
  <c r="G2004"/>
  <c r="H2004" s="1"/>
  <c r="G2003"/>
  <c r="H2003" s="1"/>
  <c r="F2002"/>
  <c r="G1991"/>
  <c r="H1991" s="1"/>
  <c r="F1990"/>
  <c r="F1989"/>
  <c r="H1973"/>
  <c r="H1972"/>
  <c r="E1965"/>
  <c r="E1964"/>
  <c r="G1929"/>
  <c r="E1901"/>
  <c r="D1901"/>
  <c r="E1900"/>
  <c r="D1892"/>
  <c r="G1889"/>
  <c r="H1889" s="1"/>
  <c r="G1888"/>
  <c r="H1888" s="1"/>
  <c r="H1882"/>
  <c r="H1881"/>
  <c r="H1875"/>
  <c r="H1874"/>
  <c r="E1859"/>
  <c r="D1859"/>
  <c r="E1858"/>
  <c r="D1850"/>
  <c r="G1847"/>
  <c r="H1847" s="1"/>
  <c r="G1846"/>
  <c r="H1846" s="1"/>
  <c r="H1840"/>
  <c r="H1839"/>
  <c r="H1833"/>
  <c r="H1832"/>
  <c r="E1818"/>
  <c r="C1819" s="1"/>
  <c r="D1818"/>
  <c r="E1817"/>
  <c r="D1809"/>
  <c r="G1806"/>
  <c r="H1806" s="1"/>
  <c r="G1805"/>
  <c r="H1805" s="1"/>
  <c r="G1804"/>
  <c r="H1804" s="1"/>
  <c r="H1798"/>
  <c r="H1797"/>
  <c r="H1791"/>
  <c r="H1790"/>
  <c r="E1772"/>
  <c r="C1773" s="1"/>
  <c r="D1772"/>
  <c r="E1771"/>
  <c r="D1763"/>
  <c r="G1760"/>
  <c r="H1760" s="1"/>
  <c r="G1759"/>
  <c r="H1759" s="1"/>
  <c r="G1758"/>
  <c r="H1758" s="1"/>
  <c r="G1757"/>
  <c r="H1757" s="1"/>
  <c r="H1751"/>
  <c r="H1750"/>
  <c r="G1744"/>
  <c r="H1744" s="1"/>
  <c r="G1743"/>
  <c r="H1743" s="1"/>
  <c r="E1718"/>
  <c r="C1719" s="1"/>
  <c r="D1718"/>
  <c r="E1717"/>
  <c r="D1709"/>
  <c r="G1706"/>
  <c r="H1706" s="1"/>
  <c r="G1705"/>
  <c r="H1705" s="1"/>
  <c r="G1704"/>
  <c r="H1704" s="1"/>
  <c r="H1698"/>
  <c r="H1697"/>
  <c r="G1691"/>
  <c r="H1691" s="1"/>
  <c r="H1690"/>
  <c r="H1689"/>
  <c r="H1688"/>
  <c r="H1687"/>
  <c r="E1638"/>
  <c r="C1639" s="1"/>
  <c r="D1638"/>
  <c r="E1637"/>
  <c r="D1629"/>
  <c r="G1626"/>
  <c r="H1626" s="1"/>
  <c r="G1625"/>
  <c r="H1625" s="1"/>
  <c r="G1624"/>
  <c r="H1624" s="1"/>
  <c r="H1618"/>
  <c r="H1617"/>
  <c r="H1611"/>
  <c r="H1610"/>
  <c r="H1609"/>
  <c r="H1608"/>
  <c r="H1607"/>
  <c r="G1606"/>
  <c r="H1606" s="1"/>
  <c r="E1564"/>
  <c r="C1565" s="1"/>
  <c r="D1564"/>
  <c r="E1563"/>
  <c r="D1555"/>
  <c r="G1552"/>
  <c r="H1552" s="1"/>
  <c r="G1551"/>
  <c r="H1551" s="1"/>
  <c r="G1550"/>
  <c r="H1550" s="1"/>
  <c r="H1544"/>
  <c r="H1543"/>
  <c r="H1537"/>
  <c r="H1536"/>
  <c r="G1517"/>
  <c r="E1497"/>
  <c r="D1497"/>
  <c r="E1496"/>
  <c r="D1488"/>
  <c r="G1485"/>
  <c r="H1485" s="1"/>
  <c r="G1484"/>
  <c r="H1484" s="1"/>
  <c r="G1483"/>
  <c r="H1483" s="1"/>
  <c r="G1482"/>
  <c r="H1482" s="1"/>
  <c r="H1476"/>
  <c r="H1475"/>
  <c r="G1469"/>
  <c r="H1469" s="1"/>
  <c r="G1468"/>
  <c r="H1468" s="1"/>
  <c r="G1466"/>
  <c r="H1466" s="1"/>
  <c r="G1465"/>
  <c r="H1465" s="1"/>
  <c r="G1464"/>
  <c r="H1464" s="1"/>
  <c r="G1463"/>
  <c r="H1463" s="1"/>
  <c r="G1462"/>
  <c r="H1462" s="1"/>
  <c r="E1437"/>
  <c r="D1437"/>
  <c r="E1436"/>
  <c r="D1428"/>
  <c r="G1425"/>
  <c r="H1425" s="1"/>
  <c r="G1424"/>
  <c r="H1424" s="1"/>
  <c r="G1423"/>
  <c r="H1423" s="1"/>
  <c r="H1417"/>
  <c r="H1416"/>
  <c r="G1410"/>
  <c r="H1410" s="1"/>
  <c r="G1409"/>
  <c r="H1409" s="1"/>
  <c r="G1408"/>
  <c r="H1408" s="1"/>
  <c r="G1407"/>
  <c r="H1407" s="1"/>
  <c r="G1406"/>
  <c r="H1406" s="1"/>
  <c r="G1405"/>
  <c r="H1405" s="1"/>
  <c r="E1384"/>
  <c r="D1384"/>
  <c r="E1383"/>
  <c r="D1375"/>
  <c r="G1372"/>
  <c r="H1372" s="1"/>
  <c r="G1371"/>
  <c r="H1371" s="1"/>
  <c r="G1370"/>
  <c r="H1370" s="1"/>
  <c r="H1364"/>
  <c r="H1363"/>
  <c r="G1357"/>
  <c r="H1357" s="1"/>
  <c r="G1356"/>
  <c r="H1356" s="1"/>
  <c r="E1334"/>
  <c r="C1335" s="1"/>
  <c r="D1334"/>
  <c r="E1333"/>
  <c r="D1325"/>
  <c r="G1322"/>
  <c r="H1322" s="1"/>
  <c r="G1314"/>
  <c r="H1314" s="1"/>
  <c r="D1293"/>
  <c r="H1293" s="1"/>
  <c r="H1295" s="1"/>
  <c r="G1304" s="1"/>
  <c r="H1304" s="1"/>
  <c r="D1290"/>
  <c r="H1290" s="1"/>
  <c r="H1292" s="1"/>
  <c r="G1303" s="1"/>
  <c r="H1303" s="1"/>
  <c r="D1287"/>
  <c r="H1287" s="1"/>
  <c r="H1289" s="1"/>
  <c r="G1302" s="1"/>
  <c r="H1302" s="1"/>
  <c r="E1267"/>
  <c r="C1268" s="1"/>
  <c r="D1267"/>
  <c r="E1266"/>
  <c r="D1258"/>
  <c r="G1255"/>
  <c r="H1255" s="1"/>
  <c r="G1247"/>
  <c r="H1247" s="1"/>
  <c r="D1223"/>
  <c r="H1223" s="1"/>
  <c r="D1219"/>
  <c r="H1219" s="1"/>
  <c r="H1221" s="1"/>
  <c r="G1236" s="1"/>
  <c r="H1236" s="1"/>
  <c r="D1216"/>
  <c r="H1216" s="1"/>
  <c r="H1218" s="1"/>
  <c r="G1235" s="1"/>
  <c r="H1235" s="1"/>
  <c r="D1213"/>
  <c r="H1213" s="1"/>
  <c r="H1215" s="1"/>
  <c r="G1234" s="1"/>
  <c r="H1234" s="1"/>
  <c r="D1210"/>
  <c r="H1210" s="1"/>
  <c r="H1212" s="1"/>
  <c r="G1233" s="1"/>
  <c r="H1233" s="1"/>
  <c r="E1188"/>
  <c r="C1189" s="1"/>
  <c r="D1188"/>
  <c r="E1187"/>
  <c r="D1179"/>
  <c r="G1176"/>
  <c r="H1176" s="1"/>
  <c r="G1168"/>
  <c r="H1168" s="1"/>
  <c r="D1143"/>
  <c r="H1143" s="1"/>
  <c r="D1139"/>
  <c r="H1139" s="1"/>
  <c r="H1141" s="1"/>
  <c r="G1157" s="1"/>
  <c r="H1157" s="1"/>
  <c r="D1136"/>
  <c r="H1136" s="1"/>
  <c r="H1138" s="1"/>
  <c r="G1156" s="1"/>
  <c r="H1156" s="1"/>
  <c r="D1133"/>
  <c r="H1133" s="1"/>
  <c r="H1135" s="1"/>
  <c r="G1155" s="1"/>
  <c r="H1155" s="1"/>
  <c r="D1130"/>
  <c r="H1130" s="1"/>
  <c r="H1132" s="1"/>
  <c r="G1154" s="1"/>
  <c r="H1154" s="1"/>
  <c r="E1110"/>
  <c r="C1111" s="1"/>
  <c r="D1110"/>
  <c r="E1109"/>
  <c r="D1101"/>
  <c r="G1098"/>
  <c r="H1098" s="1"/>
  <c r="G1090"/>
  <c r="H1090" s="1"/>
  <c r="D1069"/>
  <c r="H1069" s="1"/>
  <c r="H1071" s="1"/>
  <c r="G1080" s="1"/>
  <c r="H1080" s="1"/>
  <c r="D1066"/>
  <c r="H1066" s="1"/>
  <c r="H1068" s="1"/>
  <c r="G1079" s="1"/>
  <c r="H1079" s="1"/>
  <c r="D1063"/>
  <c r="H1063" s="1"/>
  <c r="H1065" s="1"/>
  <c r="G1078" s="1"/>
  <c r="H1078" s="1"/>
  <c r="E1044"/>
  <c r="C1045"/>
  <c r="D1044"/>
  <c r="E1043"/>
  <c r="D1035"/>
  <c r="G1032"/>
  <c r="H1032" s="1"/>
  <c r="G1024"/>
  <c r="H1024" s="1"/>
  <c r="D999"/>
  <c r="H999" s="1"/>
  <c r="D995"/>
  <c r="H995" s="1"/>
  <c r="H997" s="1"/>
  <c r="G1013" s="1"/>
  <c r="H1013" s="1"/>
  <c r="D992"/>
  <c r="H992" s="1"/>
  <c r="H994" s="1"/>
  <c r="G1012" s="1"/>
  <c r="H1012" s="1"/>
  <c r="D989"/>
  <c r="H989" s="1"/>
  <c r="H991" s="1"/>
  <c r="G1011" s="1"/>
  <c r="H1011" s="1"/>
  <c r="D986"/>
  <c r="H986" s="1"/>
  <c r="H988" s="1"/>
  <c r="G1010" s="1"/>
  <c r="H1010" s="1"/>
  <c r="E968"/>
  <c r="C969" s="1"/>
  <c r="D968"/>
  <c r="E967"/>
  <c r="D959"/>
  <c r="G956"/>
  <c r="H956" s="1"/>
  <c r="G948"/>
  <c r="H948" s="1"/>
  <c r="D925"/>
  <c r="H925" s="1"/>
  <c r="D921"/>
  <c r="H921" s="1"/>
  <c r="H923" s="1"/>
  <c r="G937" s="1"/>
  <c r="H937" s="1"/>
  <c r="D918"/>
  <c r="H918" s="1"/>
  <c r="H920" s="1"/>
  <c r="G936" s="1"/>
  <c r="H936" s="1"/>
  <c r="D915"/>
  <c r="H915" s="1"/>
  <c r="H917" s="1"/>
  <c r="G935" s="1"/>
  <c r="H935" s="1"/>
  <c r="E891"/>
  <c r="D891"/>
  <c r="E890"/>
  <c r="D882"/>
  <c r="G879"/>
  <c r="H879" s="1"/>
  <c r="G878"/>
  <c r="H878" s="1"/>
  <c r="G877"/>
  <c r="H877" s="1"/>
  <c r="G876"/>
  <c r="H876" s="1"/>
  <c r="H863"/>
  <c r="G862"/>
  <c r="H862" s="1"/>
  <c r="E839"/>
  <c r="C840" s="1"/>
  <c r="D839"/>
  <c r="E838"/>
  <c r="D830"/>
  <c r="G827"/>
  <c r="H827" s="1"/>
  <c r="G826"/>
  <c r="H826" s="1"/>
  <c r="G825"/>
  <c r="H825" s="1"/>
  <c r="H819"/>
  <c r="H818"/>
  <c r="H812"/>
  <c r="H811"/>
  <c r="E797"/>
  <c r="C798" s="1"/>
  <c r="D797"/>
  <c r="E796"/>
  <c r="D788"/>
  <c r="G785"/>
  <c r="H785" s="1"/>
  <c r="G784"/>
  <c r="H784" s="1"/>
  <c r="H786" s="1"/>
  <c r="H778"/>
  <c r="H777"/>
  <c r="H771"/>
  <c r="H770"/>
  <c r="E753"/>
  <c r="C754" s="1"/>
  <c r="D753"/>
  <c r="E752"/>
  <c r="D744"/>
  <c r="G741"/>
  <c r="H741" s="1"/>
  <c r="G740"/>
  <c r="H740" s="1"/>
  <c r="H733"/>
  <c r="H732"/>
  <c r="H726"/>
  <c r="H725"/>
  <c r="E712"/>
  <c r="D712"/>
  <c r="E711"/>
  <c r="D703"/>
  <c r="G700"/>
  <c r="H700" s="1"/>
  <c r="G699"/>
  <c r="H699" s="1"/>
  <c r="H692"/>
  <c r="H691"/>
  <c r="H684"/>
  <c r="G683"/>
  <c r="H683" s="1"/>
  <c r="H685" s="1"/>
  <c r="G707" s="1"/>
  <c r="E667"/>
  <c r="D667"/>
  <c r="E666"/>
  <c r="D658"/>
  <c r="G655"/>
  <c r="H655" s="1"/>
  <c r="G654"/>
  <c r="H654" s="1"/>
  <c r="H647"/>
  <c r="H646"/>
  <c r="H639"/>
  <c r="G638"/>
  <c r="H638" s="1"/>
  <c r="E622"/>
  <c r="D622"/>
  <c r="E621"/>
  <c r="D613"/>
  <c r="G610"/>
  <c r="H610" s="1"/>
  <c r="G609"/>
  <c r="H609" s="1"/>
  <c r="H603"/>
  <c r="H602"/>
  <c r="H596"/>
  <c r="G595"/>
  <c r="H595" s="1"/>
  <c r="H597" s="1"/>
  <c r="G617" s="1"/>
  <c r="E579"/>
  <c r="D579"/>
  <c r="E578"/>
  <c r="D570"/>
  <c r="G567"/>
  <c r="H567" s="1"/>
  <c r="G566"/>
  <c r="H566" s="1"/>
  <c r="H560"/>
  <c r="H559"/>
  <c r="H553"/>
  <c r="G552"/>
  <c r="H552" s="1"/>
  <c r="E536"/>
  <c r="D536"/>
  <c r="E535"/>
  <c r="D527"/>
  <c r="G524"/>
  <c r="H524" s="1"/>
  <c r="G523"/>
  <c r="H523" s="1"/>
  <c r="H517"/>
  <c r="H516"/>
  <c r="H510"/>
  <c r="G509"/>
  <c r="H509" s="1"/>
  <c r="E493"/>
  <c r="D493"/>
  <c r="E492"/>
  <c r="D484"/>
  <c r="G481"/>
  <c r="H481" s="1"/>
  <c r="G480"/>
  <c r="H480" s="1"/>
  <c r="H474"/>
  <c r="H473"/>
  <c r="H467"/>
  <c r="G466"/>
  <c r="H466" s="1"/>
  <c r="E450"/>
  <c r="D450"/>
  <c r="E449"/>
  <c r="D441"/>
  <c r="G438"/>
  <c r="H438" s="1"/>
  <c r="G437"/>
  <c r="H437" s="1"/>
  <c r="H431"/>
  <c r="H430"/>
  <c r="H424"/>
  <c r="H423"/>
  <c r="E408"/>
  <c r="D408"/>
  <c r="E407"/>
  <c r="D399"/>
  <c r="G396"/>
  <c r="H396" s="1"/>
  <c r="G395"/>
  <c r="H395" s="1"/>
  <c r="H389"/>
  <c r="H388"/>
  <c r="H382"/>
  <c r="H381"/>
  <c r="E367"/>
  <c r="D367"/>
  <c r="E366"/>
  <c r="D358"/>
  <c r="G355"/>
  <c r="H355" s="1"/>
  <c r="G354"/>
  <c r="H354" s="1"/>
  <c r="H347"/>
  <c r="H346"/>
  <c r="H339"/>
  <c r="H338"/>
  <c r="E324"/>
  <c r="D324"/>
  <c r="E323"/>
  <c r="D315"/>
  <c r="G312"/>
  <c r="G311"/>
  <c r="H311" s="1"/>
  <c r="H305"/>
  <c r="H304"/>
  <c r="H298"/>
  <c r="H297"/>
  <c r="G289"/>
  <c r="F312" s="1"/>
  <c r="E278"/>
  <c r="D278"/>
  <c r="E277"/>
  <c r="D269"/>
  <c r="G266"/>
  <c r="H266" s="1"/>
  <c r="G265"/>
  <c r="H265" s="1"/>
  <c r="H259"/>
  <c r="H258"/>
  <c r="H252"/>
  <c r="H251"/>
  <c r="E233"/>
  <c r="D233"/>
  <c r="E232"/>
  <c r="D224"/>
  <c r="G221"/>
  <c r="H221" s="1"/>
  <c r="G220"/>
  <c r="H220" s="1"/>
  <c r="H214"/>
  <c r="H213"/>
  <c r="H207"/>
  <c r="H206"/>
  <c r="E188"/>
  <c r="D188"/>
  <c r="E187"/>
  <c r="D179"/>
  <c r="G176"/>
  <c r="H176" s="1"/>
  <c r="G175"/>
  <c r="H175" s="1"/>
  <c r="H169"/>
  <c r="H168"/>
  <c r="H162"/>
  <c r="H161"/>
  <c r="E143"/>
  <c r="C144" s="1"/>
  <c r="D143"/>
  <c r="E142"/>
  <c r="D134"/>
  <c r="G131"/>
  <c r="H131" s="1"/>
  <c r="G130"/>
  <c r="H130" s="1"/>
  <c r="H123"/>
  <c r="H122"/>
  <c r="H115"/>
  <c r="H114"/>
  <c r="E99"/>
  <c r="C100" s="1"/>
  <c r="D99"/>
  <c r="E98"/>
  <c r="D90"/>
  <c r="G87"/>
  <c r="H87" s="1"/>
  <c r="G86"/>
  <c r="H86" s="1"/>
  <c r="H80"/>
  <c r="H79"/>
  <c r="H73"/>
  <c r="H72"/>
  <c r="D1238" i="11"/>
  <c r="H1238" s="1"/>
  <c r="H1240" s="1"/>
  <c r="G1253" s="1"/>
  <c r="H1253" s="1"/>
  <c r="D1161"/>
  <c r="H1161" s="1"/>
  <c r="H1163" s="1"/>
  <c r="G1184" s="1"/>
  <c r="H1184" s="1"/>
  <c r="E1285"/>
  <c r="C1286"/>
  <c r="D1285"/>
  <c r="E1284"/>
  <c r="D1276"/>
  <c r="G1273"/>
  <c r="H1273" s="1"/>
  <c r="G1265"/>
  <c r="H1265" s="1"/>
  <c r="D1244"/>
  <c r="H1244" s="1"/>
  <c r="H1246" s="1"/>
  <c r="G1255" s="1"/>
  <c r="H1255" s="1"/>
  <c r="D1241"/>
  <c r="H1241" s="1"/>
  <c r="H1243" s="1"/>
  <c r="G1254" s="1"/>
  <c r="H1254" s="1"/>
  <c r="E1139"/>
  <c r="C1140" s="1"/>
  <c r="D1139"/>
  <c r="E1138"/>
  <c r="D1130"/>
  <c r="G1127"/>
  <c r="H1127" s="1"/>
  <c r="G1119"/>
  <c r="H1119" s="1"/>
  <c r="D1094"/>
  <c r="H1094" s="1"/>
  <c r="D1090"/>
  <c r="H1090" s="1"/>
  <c r="H1092" s="1"/>
  <c r="G1108" s="1"/>
  <c r="H1108" s="1"/>
  <c r="D1087"/>
  <c r="H1087" s="1"/>
  <c r="H1089" s="1"/>
  <c r="G1107" s="1"/>
  <c r="H1107" s="1"/>
  <c r="D1084"/>
  <c r="H1084" s="1"/>
  <c r="H1086" s="1"/>
  <c r="G1106" s="1"/>
  <c r="H1106" s="1"/>
  <c r="D1081"/>
  <c r="H1081" s="1"/>
  <c r="H1083" s="1"/>
  <c r="G1105" s="1"/>
  <c r="H1105" s="1"/>
  <c r="G1049"/>
  <c r="H1049" s="1"/>
  <c r="G983"/>
  <c r="H983" s="1"/>
  <c r="G1041"/>
  <c r="H1041" s="1"/>
  <c r="G975"/>
  <c r="H975" s="1"/>
  <c r="E1061"/>
  <c r="C1062" s="1"/>
  <c r="D1061"/>
  <c r="E1060"/>
  <c r="D1052"/>
  <c r="D1020"/>
  <c r="H1020" s="1"/>
  <c r="H1022" s="1"/>
  <c r="G1031" s="1"/>
  <c r="H1031" s="1"/>
  <c r="D1017"/>
  <c r="H1017" s="1"/>
  <c r="H1019" s="1"/>
  <c r="G1030" s="1"/>
  <c r="H1030" s="1"/>
  <c r="D1014"/>
  <c r="H1014" s="1"/>
  <c r="H1016" s="1"/>
  <c r="G1029" s="1"/>
  <c r="H1029" s="1"/>
  <c r="D950"/>
  <c r="H950" s="1"/>
  <c r="D946"/>
  <c r="H946" s="1"/>
  <c r="H948" s="1"/>
  <c r="G964" s="1"/>
  <c r="H964" s="1"/>
  <c r="D943"/>
  <c r="H943" s="1"/>
  <c r="H945" s="1"/>
  <c r="G963" s="1"/>
  <c r="D940"/>
  <c r="D937"/>
  <c r="H937" s="1"/>
  <c r="H939" s="1"/>
  <c r="G961" s="1"/>
  <c r="H961" s="1"/>
  <c r="H417" i="19"/>
  <c r="I417" s="1"/>
  <c r="H401"/>
  <c r="F399"/>
  <c r="H399" s="1"/>
  <c r="F398"/>
  <c r="H398" s="1"/>
  <c r="H388"/>
  <c r="H384"/>
  <c r="G468"/>
  <c r="E469" s="1"/>
  <c r="H455"/>
  <c r="I455" s="1"/>
  <c r="H454"/>
  <c r="I454" s="1"/>
  <c r="H453"/>
  <c r="I453" s="1"/>
  <c r="H452"/>
  <c r="I452" s="1"/>
  <c r="H451"/>
  <c r="I451" s="1"/>
  <c r="H450"/>
  <c r="I450" s="1"/>
  <c r="H419"/>
  <c r="I419" s="1"/>
  <c r="H418"/>
  <c r="I418" s="1"/>
  <c r="H416"/>
  <c r="I416" s="1"/>
  <c r="F371"/>
  <c r="H371" s="1"/>
  <c r="H373" s="1"/>
  <c r="F367"/>
  <c r="H367" s="1"/>
  <c r="H369" s="1"/>
  <c r="H343"/>
  <c r="H408" s="1"/>
  <c r="F468" s="1"/>
  <c r="H282"/>
  <c r="I282" s="1"/>
  <c r="F143" i="24"/>
  <c r="F2202"/>
  <c r="G2202" s="1"/>
  <c r="F2201"/>
  <c r="G2201" s="1"/>
  <c r="F2011"/>
  <c r="G2011" s="1"/>
  <c r="F2010"/>
  <c r="G2010" s="1"/>
  <c r="F1850"/>
  <c r="G1850" s="1"/>
  <c r="F1849"/>
  <c r="G1849" s="1"/>
  <c r="F1652"/>
  <c r="G1652" s="1"/>
  <c r="F1557"/>
  <c r="F1556"/>
  <c r="G1556" s="1"/>
  <c r="F1350"/>
  <c r="G1350" s="1"/>
  <c r="F1349"/>
  <c r="G1349" s="1"/>
  <c r="F1250"/>
  <c r="G1250" s="1"/>
  <c r="F1107"/>
  <c r="G1107" s="1"/>
  <c r="F1106"/>
  <c r="G1106" s="1"/>
  <c r="F900"/>
  <c r="G900" s="1"/>
  <c r="F899"/>
  <c r="G899" s="1"/>
  <c r="F734"/>
  <c r="G734" s="1"/>
  <c r="F733"/>
  <c r="G733" s="1"/>
  <c r="F627"/>
  <c r="G627" s="1"/>
  <c r="F626"/>
  <c r="G626" s="1"/>
  <c r="F625"/>
  <c r="G625" s="1"/>
  <c r="F532"/>
  <c r="G532" s="1"/>
  <c r="F438"/>
  <c r="G438" s="1"/>
  <c r="F437"/>
  <c r="F216"/>
  <c r="G216" s="1"/>
  <c r="F215"/>
  <c r="G215" s="1"/>
  <c r="F98"/>
  <c r="G98" s="1"/>
  <c r="F97"/>
  <c r="G97" s="1"/>
  <c r="F96"/>
  <c r="G96" s="1"/>
  <c r="F2625" i="11"/>
  <c r="G2625" s="1"/>
  <c r="D2655"/>
  <c r="E2654"/>
  <c r="E2650"/>
  <c r="F2647"/>
  <c r="E2642"/>
  <c r="F2638"/>
  <c r="G2638" s="1"/>
  <c r="F2639"/>
  <c r="G2639" s="1"/>
  <c r="F2628"/>
  <c r="G2628" s="1"/>
  <c r="F2627"/>
  <c r="G2627" s="1"/>
  <c r="F2626"/>
  <c r="F2624"/>
  <c r="F2623"/>
  <c r="G2623" s="1"/>
  <c r="F2622"/>
  <c r="G2622" s="1"/>
  <c r="E2626"/>
  <c r="E2624"/>
  <c r="F3019" i="24"/>
  <c r="G3019" s="1"/>
  <c r="F3018"/>
  <c r="G3018" s="1"/>
  <c r="E3001"/>
  <c r="E2999"/>
  <c r="F3003"/>
  <c r="G3003" s="1"/>
  <c r="F3002"/>
  <c r="G3002" s="1"/>
  <c r="F3001"/>
  <c r="F2999"/>
  <c r="G2999" s="1"/>
  <c r="G3000"/>
  <c r="F2998"/>
  <c r="G2998" s="1"/>
  <c r="F2997"/>
  <c r="G2997" s="1"/>
  <c r="E2989"/>
  <c r="E2990"/>
  <c r="F2957"/>
  <c r="G2957" s="1"/>
  <c r="F2956"/>
  <c r="G2956" s="1"/>
  <c r="F2938"/>
  <c r="G2938" s="1"/>
  <c r="F2936"/>
  <c r="G2936" s="1"/>
  <c r="F2941"/>
  <c r="G2941" s="1"/>
  <c r="F2940"/>
  <c r="G2940" s="1"/>
  <c r="F2939"/>
  <c r="F2937"/>
  <c r="F2935"/>
  <c r="G2935" s="1"/>
  <c r="F2873"/>
  <c r="G2873" s="1"/>
  <c r="F2872"/>
  <c r="G2872" s="1"/>
  <c r="F2871"/>
  <c r="F2869"/>
  <c r="F2868"/>
  <c r="G2868" s="1"/>
  <c r="F2867"/>
  <c r="G2867" s="1"/>
  <c r="E2939"/>
  <c r="E2937"/>
  <c r="E2926"/>
  <c r="E2927" s="1"/>
  <c r="F2889"/>
  <c r="G2889" s="1"/>
  <c r="F2888"/>
  <c r="G2888" s="1"/>
  <c r="E2871"/>
  <c r="E2869"/>
  <c r="E2859"/>
  <c r="E2860"/>
  <c r="F2823"/>
  <c r="G2823"/>
  <c r="F2822"/>
  <c r="G2822" s="1"/>
  <c r="F2808"/>
  <c r="F2806"/>
  <c r="E2808"/>
  <c r="E2806"/>
  <c r="E2796"/>
  <c r="E2797" s="1"/>
  <c r="F2764"/>
  <c r="G2764" s="1"/>
  <c r="F2763"/>
  <c r="G2763" s="1"/>
  <c r="F2749"/>
  <c r="G2749" s="1"/>
  <c r="F2747"/>
  <c r="F2745"/>
  <c r="G2745" s="1"/>
  <c r="E2749"/>
  <c r="E2747"/>
  <c r="E2745"/>
  <c r="E2735"/>
  <c r="E2736"/>
  <c r="F2703"/>
  <c r="G2703" s="1"/>
  <c r="F2702"/>
  <c r="G2702" s="1"/>
  <c r="F2644"/>
  <c r="G2644" s="1"/>
  <c r="F2643"/>
  <c r="G2643" s="1"/>
  <c r="F2688"/>
  <c r="G2688" s="1"/>
  <c r="F2686"/>
  <c r="E2688"/>
  <c r="E2686"/>
  <c r="E2676"/>
  <c r="E2677" s="1"/>
  <c r="E2634"/>
  <c r="F2628"/>
  <c r="F2626"/>
  <c r="G2626" s="1"/>
  <c r="E2628"/>
  <c r="E2626"/>
  <c r="E2616"/>
  <c r="E2617"/>
  <c r="F1332"/>
  <c r="G1332" s="1"/>
  <c r="D79"/>
  <c r="G79" s="1"/>
  <c r="G81" s="1"/>
  <c r="F99" s="1"/>
  <c r="G99" s="1"/>
  <c r="D82"/>
  <c r="G82" s="1"/>
  <c r="G84" s="1"/>
  <c r="F100" s="1"/>
  <c r="G100" s="1"/>
  <c r="F90"/>
  <c r="G90" s="1"/>
  <c r="F91"/>
  <c r="G91" s="1"/>
  <c r="F92"/>
  <c r="G92" s="1"/>
  <c r="F93"/>
  <c r="G93" s="1"/>
  <c r="F94"/>
  <c r="G94" s="1"/>
  <c r="F95"/>
  <c r="G95" s="1"/>
  <c r="F101"/>
  <c r="G101" s="1"/>
  <c r="F127"/>
  <c r="G127" s="1"/>
  <c r="F140"/>
  <c r="G140" s="1"/>
  <c r="F141"/>
  <c r="G141" s="1"/>
  <c r="F142"/>
  <c r="G142" s="1"/>
  <c r="G143"/>
  <c r="F144"/>
  <c r="G144" s="1"/>
  <c r="F145"/>
  <c r="G145" s="1"/>
  <c r="F146"/>
  <c r="G146" s="1"/>
  <c r="F147"/>
  <c r="G147" s="1"/>
  <c r="D153"/>
  <c r="E161"/>
  <c r="E163"/>
  <c r="D165"/>
  <c r="D169"/>
  <c r="AI170"/>
  <c r="C188"/>
  <c r="G188" s="1"/>
  <c r="G190" s="1"/>
  <c r="F217" s="1"/>
  <c r="G217" s="1"/>
  <c r="C191"/>
  <c r="G191" s="1"/>
  <c r="G193" s="1"/>
  <c r="F218" s="1"/>
  <c r="G218" s="1"/>
  <c r="F201"/>
  <c r="G201" s="1"/>
  <c r="F202"/>
  <c r="G202" s="1"/>
  <c r="F204"/>
  <c r="G204" s="1"/>
  <c r="F206"/>
  <c r="G206" s="1"/>
  <c r="F208"/>
  <c r="G208" s="1"/>
  <c r="F209"/>
  <c r="G209" s="1"/>
  <c r="F211"/>
  <c r="G211" s="1"/>
  <c r="F212"/>
  <c r="G212" s="1"/>
  <c r="F213"/>
  <c r="G213" s="1"/>
  <c r="F214"/>
  <c r="G214" s="1"/>
  <c r="F219"/>
  <c r="G219" s="1"/>
  <c r="F245"/>
  <c r="G245" s="1"/>
  <c r="F256"/>
  <c r="G256" s="1"/>
  <c r="F257"/>
  <c r="G257" s="1"/>
  <c r="F258"/>
  <c r="G258" s="1"/>
  <c r="F259"/>
  <c r="G259" s="1"/>
  <c r="F260"/>
  <c r="G260" s="1"/>
  <c r="F261"/>
  <c r="G261" s="1"/>
  <c r="F262"/>
  <c r="G262" s="1"/>
  <c r="F263"/>
  <c r="G263" s="1"/>
  <c r="D269"/>
  <c r="E277"/>
  <c r="E279"/>
  <c r="D281"/>
  <c r="D285"/>
  <c r="AG287"/>
  <c r="D395"/>
  <c r="E470" s="1"/>
  <c r="E395"/>
  <c r="E471" s="1"/>
  <c r="F395"/>
  <c r="G395"/>
  <c r="E475" s="1"/>
  <c r="C401"/>
  <c r="F401" s="1"/>
  <c r="F403" s="1"/>
  <c r="F440" s="1"/>
  <c r="G440" s="1"/>
  <c r="C404"/>
  <c r="F404" s="1"/>
  <c r="F406" s="1"/>
  <c r="F441" s="1"/>
  <c r="G441" s="1"/>
  <c r="F414"/>
  <c r="G414" s="1"/>
  <c r="F415"/>
  <c r="G415" s="1"/>
  <c r="F417"/>
  <c r="G417" s="1"/>
  <c r="F418"/>
  <c r="G418" s="1"/>
  <c r="F419"/>
  <c r="G419" s="1"/>
  <c r="F420"/>
  <c r="G420" s="1"/>
  <c r="F422"/>
  <c r="G422" s="1"/>
  <c r="F423"/>
  <c r="G423" s="1"/>
  <c r="F425"/>
  <c r="G425" s="1"/>
  <c r="F426"/>
  <c r="G426" s="1"/>
  <c r="F427"/>
  <c r="G427" s="1"/>
  <c r="F428"/>
  <c r="G428" s="1"/>
  <c r="F429"/>
  <c r="G429" s="1"/>
  <c r="F430"/>
  <c r="G430" s="1"/>
  <c r="F431"/>
  <c r="G431" s="1"/>
  <c r="F432"/>
  <c r="G432" s="1"/>
  <c r="F433"/>
  <c r="G433" s="1"/>
  <c r="F434"/>
  <c r="G434" s="1"/>
  <c r="F435"/>
  <c r="G435" s="1"/>
  <c r="F436"/>
  <c r="G436" s="1"/>
  <c r="G437"/>
  <c r="F439"/>
  <c r="G439" s="1"/>
  <c r="F442"/>
  <c r="G442" s="1"/>
  <c r="F460"/>
  <c r="G460" s="1"/>
  <c r="F470"/>
  <c r="G470" s="1"/>
  <c r="F471"/>
  <c r="G471" s="1"/>
  <c r="F472"/>
  <c r="G472" s="1"/>
  <c r="F473"/>
  <c r="G473" s="1"/>
  <c r="F474"/>
  <c r="G474" s="1"/>
  <c r="F475"/>
  <c r="F476"/>
  <c r="G476" s="1"/>
  <c r="D482"/>
  <c r="E490"/>
  <c r="E492"/>
  <c r="D494"/>
  <c r="D498"/>
  <c r="D499"/>
  <c r="C513"/>
  <c r="F513" s="1"/>
  <c r="F515" s="1"/>
  <c r="F533" s="1"/>
  <c r="G533" s="1"/>
  <c r="C516"/>
  <c r="F516" s="1"/>
  <c r="F518" s="1"/>
  <c r="F534" s="1"/>
  <c r="G534" s="1"/>
  <c r="F526"/>
  <c r="G526" s="1"/>
  <c r="F527"/>
  <c r="G527" s="1"/>
  <c r="F528"/>
  <c r="G528" s="1"/>
  <c r="F529"/>
  <c r="G529" s="1"/>
  <c r="F530"/>
  <c r="G530" s="1"/>
  <c r="F531"/>
  <c r="G531" s="1"/>
  <c r="F535"/>
  <c r="G535" s="1"/>
  <c r="F555"/>
  <c r="G555" s="1"/>
  <c r="F566"/>
  <c r="F567"/>
  <c r="G567" s="1"/>
  <c r="F568"/>
  <c r="G568" s="1"/>
  <c r="F569"/>
  <c r="G569" s="1"/>
  <c r="F570"/>
  <c r="F571"/>
  <c r="G571" s="1"/>
  <c r="D577"/>
  <c r="E585"/>
  <c r="E587"/>
  <c r="D589"/>
  <c r="D593"/>
  <c r="C608"/>
  <c r="F608" s="1"/>
  <c r="F610" s="1"/>
  <c r="F628" s="1"/>
  <c r="G628" s="1"/>
  <c r="C611"/>
  <c r="F611" s="1"/>
  <c r="F613" s="1"/>
  <c r="F629" s="1"/>
  <c r="G629" s="1"/>
  <c r="F619"/>
  <c r="G619" s="1"/>
  <c r="F620"/>
  <c r="G620" s="1"/>
  <c r="F621"/>
  <c r="G621" s="1"/>
  <c r="F622"/>
  <c r="G622" s="1"/>
  <c r="F623"/>
  <c r="G623" s="1"/>
  <c r="F624"/>
  <c r="G624" s="1"/>
  <c r="F630"/>
  <c r="G630" s="1"/>
  <c r="F654"/>
  <c r="G654" s="1"/>
  <c r="F665"/>
  <c r="G665" s="1"/>
  <c r="F666"/>
  <c r="F667"/>
  <c r="G667" s="1"/>
  <c r="F668"/>
  <c r="G668" s="1"/>
  <c r="F669"/>
  <c r="G669" s="1"/>
  <c r="F670"/>
  <c r="G670" s="1"/>
  <c r="F671"/>
  <c r="G671" s="1"/>
  <c r="D677"/>
  <c r="E685"/>
  <c r="E687"/>
  <c r="D689"/>
  <c r="D693"/>
  <c r="C710"/>
  <c r="F710" s="1"/>
  <c r="F712" s="1"/>
  <c r="F735" s="1"/>
  <c r="G735" s="1"/>
  <c r="C713"/>
  <c r="F713" s="1"/>
  <c r="F715" s="1"/>
  <c r="F736" s="1"/>
  <c r="G736" s="1"/>
  <c r="F722"/>
  <c r="G722" s="1"/>
  <c r="F723"/>
  <c r="G723" s="1"/>
  <c r="F725"/>
  <c r="G725" s="1"/>
  <c r="F727"/>
  <c r="G727" s="1"/>
  <c r="F729"/>
  <c r="G729" s="1"/>
  <c r="F730"/>
  <c r="G730" s="1"/>
  <c r="F731"/>
  <c r="G731" s="1"/>
  <c r="F732"/>
  <c r="G732" s="1"/>
  <c r="F737"/>
  <c r="G737" s="1"/>
  <c r="F757"/>
  <c r="G757" s="1"/>
  <c r="F767"/>
  <c r="G767" s="1"/>
  <c r="F768"/>
  <c r="G768" s="1"/>
  <c r="F769"/>
  <c r="G769" s="1"/>
  <c r="F770"/>
  <c r="G770" s="1"/>
  <c r="F771"/>
  <c r="G771" s="1"/>
  <c r="F772"/>
  <c r="G772" s="1"/>
  <c r="F773"/>
  <c r="G773" s="1"/>
  <c r="F774"/>
  <c r="G774" s="1"/>
  <c r="D780"/>
  <c r="E788"/>
  <c r="E790"/>
  <c r="D792"/>
  <c r="D796"/>
  <c r="D868"/>
  <c r="E868"/>
  <c r="E931" s="1"/>
  <c r="F868"/>
  <c r="G868"/>
  <c r="E934" s="1"/>
  <c r="C874"/>
  <c r="F874" s="1"/>
  <c r="F876" s="1"/>
  <c r="F901" s="1"/>
  <c r="G901" s="1"/>
  <c r="C877"/>
  <c r="F877" s="1"/>
  <c r="F879" s="1"/>
  <c r="F902" s="1"/>
  <c r="G902" s="1"/>
  <c r="F886"/>
  <c r="G886" s="1"/>
  <c r="F887"/>
  <c r="G887" s="1"/>
  <c r="F889"/>
  <c r="G889" s="1"/>
  <c r="F891"/>
  <c r="G891" s="1"/>
  <c r="F893"/>
  <c r="G893" s="1"/>
  <c r="F894"/>
  <c r="G894" s="1"/>
  <c r="F896"/>
  <c r="G896" s="1"/>
  <c r="F897"/>
  <c r="G897" s="1"/>
  <c r="F898"/>
  <c r="G898" s="1"/>
  <c r="F903"/>
  <c r="G903" s="1"/>
  <c r="F921"/>
  <c r="G921" s="1"/>
  <c r="E930"/>
  <c r="F930"/>
  <c r="G930" s="1"/>
  <c r="F931"/>
  <c r="F932"/>
  <c r="G932" s="1"/>
  <c r="F933"/>
  <c r="G933" s="1"/>
  <c r="F934"/>
  <c r="G934" s="1"/>
  <c r="F935"/>
  <c r="G935" s="1"/>
  <c r="D941"/>
  <c r="E949"/>
  <c r="E951"/>
  <c r="D953"/>
  <c r="D957"/>
  <c r="D1061"/>
  <c r="E1139" s="1"/>
  <c r="E1061"/>
  <c r="E1140" s="1"/>
  <c r="F1061"/>
  <c r="G1061"/>
  <c r="E1144" s="1"/>
  <c r="C1067"/>
  <c r="F1067" s="1"/>
  <c r="F1069" s="1"/>
  <c r="F1109" s="1"/>
  <c r="G1109" s="1"/>
  <c r="C1070"/>
  <c r="F1070" s="1"/>
  <c r="F1072" s="1"/>
  <c r="F1110" s="1"/>
  <c r="G1110" s="1"/>
  <c r="F1080"/>
  <c r="G1080" s="1"/>
  <c r="F1081"/>
  <c r="G1081" s="1"/>
  <c r="F1082"/>
  <c r="G1082" s="1"/>
  <c r="F1084"/>
  <c r="G1084" s="1"/>
  <c r="F1085"/>
  <c r="G1085" s="1"/>
  <c r="F1086"/>
  <c r="G1086" s="1"/>
  <c r="F1087"/>
  <c r="G1087" s="1"/>
  <c r="F1089"/>
  <c r="G1089" s="1"/>
  <c r="F1091"/>
  <c r="G1091" s="1"/>
  <c r="F1092"/>
  <c r="G1092" s="1"/>
  <c r="F1094"/>
  <c r="G1094" s="1"/>
  <c r="F1095"/>
  <c r="G1095" s="1"/>
  <c r="F1096"/>
  <c r="G1096" s="1"/>
  <c r="F1097"/>
  <c r="G1097" s="1"/>
  <c r="F1098"/>
  <c r="G1098" s="1"/>
  <c r="F1099"/>
  <c r="G1099" s="1"/>
  <c r="F1100"/>
  <c r="G1100" s="1"/>
  <c r="F1101"/>
  <c r="G1101" s="1"/>
  <c r="F1102"/>
  <c r="G1102" s="1"/>
  <c r="F1103"/>
  <c r="G1103" s="1"/>
  <c r="F1104"/>
  <c r="G1104" s="1"/>
  <c r="F1105"/>
  <c r="G1105" s="1"/>
  <c r="F1108"/>
  <c r="G1108" s="1"/>
  <c r="F1111"/>
  <c r="G1111" s="1"/>
  <c r="F1129"/>
  <c r="G1129" s="1"/>
  <c r="F1139"/>
  <c r="G1139" s="1"/>
  <c r="F1140"/>
  <c r="F1141"/>
  <c r="G1141" s="1"/>
  <c r="F1142"/>
  <c r="G1142" s="1"/>
  <c r="F1143"/>
  <c r="G1143" s="1"/>
  <c r="F1144"/>
  <c r="G1144" s="1"/>
  <c r="F1145"/>
  <c r="G1145" s="1"/>
  <c r="D1151"/>
  <c r="E1159"/>
  <c r="E1161"/>
  <c r="D1163"/>
  <c r="D1167"/>
  <c r="D1168"/>
  <c r="D1227"/>
  <c r="E1276" s="1"/>
  <c r="E1227"/>
  <c r="E1277" s="1"/>
  <c r="F1227"/>
  <c r="G1227"/>
  <c r="E1280" s="1"/>
  <c r="C1233"/>
  <c r="F1233" s="1"/>
  <c r="F1235" s="1"/>
  <c r="F1251" s="1"/>
  <c r="G1251" s="1"/>
  <c r="C1236"/>
  <c r="F1236" s="1"/>
  <c r="F1238" s="1"/>
  <c r="F1252" s="1"/>
  <c r="G1252" s="1"/>
  <c r="F1244"/>
  <c r="G1244" s="1"/>
  <c r="F1245"/>
  <c r="G1245" s="1"/>
  <c r="F1246"/>
  <c r="G1246" s="1"/>
  <c r="F1247"/>
  <c r="G1247" s="1"/>
  <c r="F1248"/>
  <c r="G1248" s="1"/>
  <c r="F1249"/>
  <c r="G1249" s="1"/>
  <c r="F1253"/>
  <c r="G1253" s="1"/>
  <c r="F1267"/>
  <c r="G1267" s="1"/>
  <c r="F1276"/>
  <c r="G1276" s="1"/>
  <c r="F1277"/>
  <c r="F1278"/>
  <c r="G1278" s="1"/>
  <c r="F1279"/>
  <c r="G1279" s="1"/>
  <c r="F1280"/>
  <c r="G1280" s="1"/>
  <c r="F1281"/>
  <c r="G1281" s="1"/>
  <c r="D1287"/>
  <c r="E1295"/>
  <c r="E1297"/>
  <c r="D1299"/>
  <c r="D1303"/>
  <c r="C1319"/>
  <c r="F1319" s="1"/>
  <c r="F1321" s="1"/>
  <c r="F1351" s="1"/>
  <c r="G1351" s="1"/>
  <c r="C1322"/>
  <c r="F1322" s="1"/>
  <c r="F1324" s="1"/>
  <c r="F1352" s="1"/>
  <c r="G1352" s="1"/>
  <c r="F1331"/>
  <c r="G1331" s="1"/>
  <c r="F1334"/>
  <c r="G1334" s="1"/>
  <c r="F1336"/>
  <c r="G1336" s="1"/>
  <c r="F1338"/>
  <c r="G1338" s="1"/>
  <c r="F1340"/>
  <c r="G1340" s="1"/>
  <c r="F1341"/>
  <c r="G1341" s="1"/>
  <c r="F1343"/>
  <c r="G1343" s="1"/>
  <c r="F1344"/>
  <c r="G1344" s="1"/>
  <c r="F1345"/>
  <c r="G1345" s="1"/>
  <c r="F1346"/>
  <c r="G1346" s="1"/>
  <c r="F1347"/>
  <c r="G1347" s="1"/>
  <c r="F1348"/>
  <c r="G1348" s="1"/>
  <c r="F1353"/>
  <c r="G1353" s="1"/>
  <c r="F1375"/>
  <c r="G1375" s="1"/>
  <c r="F1386"/>
  <c r="G1386" s="1"/>
  <c r="F1387"/>
  <c r="G1387" s="1"/>
  <c r="F1388"/>
  <c r="G1388" s="1"/>
  <c r="F1389"/>
  <c r="G1389" s="1"/>
  <c r="F1390"/>
  <c r="G1390" s="1"/>
  <c r="F1391"/>
  <c r="G1391" s="1"/>
  <c r="F1392"/>
  <c r="G1392" s="1"/>
  <c r="F1393"/>
  <c r="G1393" s="1"/>
  <c r="D1399"/>
  <c r="E1407"/>
  <c r="E1409"/>
  <c r="D1411"/>
  <c r="D1415"/>
  <c r="D1515"/>
  <c r="E1589" s="1"/>
  <c r="E1515"/>
  <c r="F1515"/>
  <c r="G1515"/>
  <c r="E1594" s="1"/>
  <c r="C1521"/>
  <c r="F1521" s="1"/>
  <c r="F1523" s="1"/>
  <c r="F1559" s="1"/>
  <c r="G1559" s="1"/>
  <c r="C1524"/>
  <c r="F1524" s="1"/>
  <c r="F1526" s="1"/>
  <c r="F1560" s="1"/>
  <c r="G1560" s="1"/>
  <c r="F1533"/>
  <c r="G1533" s="1"/>
  <c r="F1534"/>
  <c r="G1534" s="1"/>
  <c r="F1535"/>
  <c r="G1535" s="1"/>
  <c r="F1537"/>
  <c r="G1537" s="1"/>
  <c r="F1538"/>
  <c r="G1538" s="1"/>
  <c r="F1539"/>
  <c r="G1539" s="1"/>
  <c r="F1540"/>
  <c r="G1540" s="1"/>
  <c r="F1542"/>
  <c r="G1542" s="1"/>
  <c r="F1543"/>
  <c r="G1543" s="1"/>
  <c r="F1545"/>
  <c r="G1545" s="1"/>
  <c r="F1546"/>
  <c r="G1546" s="1"/>
  <c r="F1547"/>
  <c r="G1547" s="1"/>
  <c r="F1548"/>
  <c r="G1548" s="1"/>
  <c r="F1549"/>
  <c r="G1549" s="1"/>
  <c r="F1550"/>
  <c r="G1550" s="1"/>
  <c r="F1551"/>
  <c r="G1551" s="1"/>
  <c r="F1552"/>
  <c r="G1552" s="1"/>
  <c r="F1553"/>
  <c r="G1553" s="1"/>
  <c r="F1554"/>
  <c r="G1554" s="1"/>
  <c r="F1555"/>
  <c r="G1555" s="1"/>
  <c r="G1557"/>
  <c r="F1558"/>
  <c r="G1558" s="1"/>
  <c r="F1561"/>
  <c r="G1561" s="1"/>
  <c r="F1579"/>
  <c r="G1579" s="1"/>
  <c r="F1589"/>
  <c r="E1590"/>
  <c r="F1590"/>
  <c r="G1590" s="1"/>
  <c r="F1591"/>
  <c r="G1591" s="1"/>
  <c r="F1592"/>
  <c r="G1592" s="1"/>
  <c r="F1593"/>
  <c r="G1593" s="1"/>
  <c r="F1594"/>
  <c r="F1595"/>
  <c r="G1595" s="1"/>
  <c r="D1601"/>
  <c r="E1609"/>
  <c r="E1611"/>
  <c r="D1613"/>
  <c r="D1617"/>
  <c r="D1618"/>
  <c r="C1634"/>
  <c r="F1634" s="1"/>
  <c r="F1636" s="1"/>
  <c r="F1653" s="1"/>
  <c r="G1653" s="1"/>
  <c r="C1637"/>
  <c r="F1637" s="1"/>
  <c r="F1639" s="1"/>
  <c r="F1654" s="1"/>
  <c r="G1654" s="1"/>
  <c r="F1645"/>
  <c r="G1645" s="1"/>
  <c r="F1646"/>
  <c r="G1646" s="1"/>
  <c r="F1647"/>
  <c r="G1647" s="1"/>
  <c r="F1648"/>
  <c r="G1648" s="1"/>
  <c r="F1649"/>
  <c r="G1649" s="1"/>
  <c r="F1650"/>
  <c r="G1650" s="1"/>
  <c r="F1651"/>
  <c r="G1651" s="1"/>
  <c r="F1655"/>
  <c r="G1655" s="1"/>
  <c r="F1675"/>
  <c r="G1675" s="1"/>
  <c r="F1685"/>
  <c r="G1685" s="1"/>
  <c r="F1686"/>
  <c r="G1686" s="1"/>
  <c r="F1687"/>
  <c r="G1687" s="1"/>
  <c r="F1688"/>
  <c r="G1688" s="1"/>
  <c r="F1689"/>
  <c r="G1689" s="1"/>
  <c r="F1690"/>
  <c r="G1690" s="1"/>
  <c r="D1696"/>
  <c r="E1704"/>
  <c r="E1706"/>
  <c r="D1708"/>
  <c r="D1712"/>
  <c r="D1809"/>
  <c r="E1809"/>
  <c r="F1809"/>
  <c r="G1809"/>
  <c r="C1815"/>
  <c r="F1815" s="1"/>
  <c r="F1817" s="1"/>
  <c r="F1852" s="1"/>
  <c r="G1852" s="1"/>
  <c r="C1818"/>
  <c r="F1818" s="1"/>
  <c r="F1820" s="1"/>
  <c r="F1853" s="1"/>
  <c r="G1853" s="1"/>
  <c r="F1827"/>
  <c r="G1827" s="1"/>
  <c r="F1828"/>
  <c r="G1828" s="1"/>
  <c r="F1830"/>
  <c r="G1830" s="1"/>
  <c r="F1831"/>
  <c r="G1831" s="1"/>
  <c r="F1832"/>
  <c r="G1832" s="1"/>
  <c r="F1833"/>
  <c r="G1833" s="1"/>
  <c r="F1835"/>
  <c r="G1835" s="1"/>
  <c r="F1836"/>
  <c r="G1836" s="1"/>
  <c r="F1838"/>
  <c r="G1838" s="1"/>
  <c r="F1839"/>
  <c r="G1839" s="1"/>
  <c r="F1840"/>
  <c r="G1840" s="1"/>
  <c r="F1841"/>
  <c r="G1841" s="1"/>
  <c r="F1842"/>
  <c r="G1842" s="1"/>
  <c r="F1843"/>
  <c r="G1843" s="1"/>
  <c r="F1844"/>
  <c r="G1844" s="1"/>
  <c r="F1845"/>
  <c r="G1845" s="1"/>
  <c r="F1846"/>
  <c r="G1846" s="1"/>
  <c r="F1847"/>
  <c r="G1847" s="1"/>
  <c r="F1848"/>
  <c r="G1848" s="1"/>
  <c r="F1851"/>
  <c r="G1851" s="1"/>
  <c r="F1854"/>
  <c r="G1854" s="1"/>
  <c r="F1872"/>
  <c r="G1872" s="1"/>
  <c r="E1882"/>
  <c r="F1882"/>
  <c r="E1883"/>
  <c r="F1883"/>
  <c r="F1884"/>
  <c r="G1884" s="1"/>
  <c r="F1885"/>
  <c r="G1885" s="1"/>
  <c r="F1886"/>
  <c r="G1886" s="1"/>
  <c r="E1887"/>
  <c r="F1887"/>
  <c r="G1887" s="1"/>
  <c r="F1888"/>
  <c r="G1888" s="1"/>
  <c r="D1894"/>
  <c r="E1902"/>
  <c r="E1904"/>
  <c r="D1906"/>
  <c r="D1910"/>
  <c r="D1911"/>
  <c r="C1986"/>
  <c r="F1986" s="1"/>
  <c r="F1988" s="1"/>
  <c r="F2013" s="1"/>
  <c r="G2013" s="1"/>
  <c r="C1989"/>
  <c r="F1989" s="1"/>
  <c r="F1991" s="1"/>
  <c r="F2014" s="1"/>
  <c r="G2014" s="1"/>
  <c r="F1998"/>
  <c r="G1998" s="1"/>
  <c r="F1999"/>
  <c r="G1999" s="1"/>
  <c r="F2000"/>
  <c r="G2000" s="1"/>
  <c r="F2002"/>
  <c r="G2002" s="1"/>
  <c r="F2004"/>
  <c r="G2004" s="1"/>
  <c r="F2006"/>
  <c r="G2006" s="1"/>
  <c r="F2007"/>
  <c r="G2007" s="1"/>
  <c r="F2008"/>
  <c r="G2008" s="1"/>
  <c r="F2009"/>
  <c r="G2009" s="1"/>
  <c r="F2012"/>
  <c r="G2012" s="1"/>
  <c r="F2015"/>
  <c r="G2015" s="1"/>
  <c r="F2027"/>
  <c r="G2027" s="1"/>
  <c r="F2035"/>
  <c r="G2035" s="1"/>
  <c r="F2036"/>
  <c r="G2036" s="1"/>
  <c r="F2037"/>
  <c r="G2037" s="1"/>
  <c r="F2038"/>
  <c r="G2038" s="1"/>
  <c r="F2039"/>
  <c r="G2039" s="1"/>
  <c r="F2040"/>
  <c r="G2040" s="1"/>
  <c r="D2046"/>
  <c r="E2054"/>
  <c r="E2056"/>
  <c r="D2058"/>
  <c r="D2062"/>
  <c r="D2063"/>
  <c r="C2168"/>
  <c r="F2168" s="1"/>
  <c r="F2170" s="1"/>
  <c r="F2204" s="1"/>
  <c r="G2204" s="1"/>
  <c r="C2171"/>
  <c r="F2171" s="1"/>
  <c r="F2173" s="1"/>
  <c r="F2205" s="1"/>
  <c r="G2205" s="1"/>
  <c r="F2180"/>
  <c r="G2180" s="1"/>
  <c r="F2181"/>
  <c r="G2181" s="1"/>
  <c r="F2182"/>
  <c r="G2182" s="1"/>
  <c r="F2184"/>
  <c r="G2184" s="1"/>
  <c r="F2185"/>
  <c r="G2185" s="1"/>
  <c r="F2186"/>
  <c r="G2186" s="1"/>
  <c r="F2187"/>
  <c r="G2187" s="1"/>
  <c r="F2189"/>
  <c r="G2189" s="1"/>
  <c r="F2190"/>
  <c r="G2190" s="1"/>
  <c r="F2192"/>
  <c r="G2192" s="1"/>
  <c r="F2193"/>
  <c r="G2193" s="1"/>
  <c r="F2194"/>
  <c r="G2194" s="1"/>
  <c r="F2195"/>
  <c r="G2195" s="1"/>
  <c r="F2196"/>
  <c r="G2196" s="1"/>
  <c r="F2197"/>
  <c r="G2197" s="1"/>
  <c r="F2198"/>
  <c r="G2198" s="1"/>
  <c r="F2199"/>
  <c r="G2199" s="1"/>
  <c r="F2200"/>
  <c r="G2200" s="1"/>
  <c r="F2203"/>
  <c r="G2203" s="1"/>
  <c r="F2206"/>
  <c r="G2206" s="1"/>
  <c r="F2224"/>
  <c r="G2224" s="1"/>
  <c r="F2233"/>
  <c r="G2233" s="1"/>
  <c r="F2234"/>
  <c r="G2234" s="1"/>
  <c r="F2235"/>
  <c r="G2235" s="1"/>
  <c r="F2236"/>
  <c r="G2236" s="1"/>
  <c r="F2237"/>
  <c r="G2237" s="1"/>
  <c r="F2238"/>
  <c r="G2238" s="1"/>
  <c r="D2244"/>
  <c r="E2252"/>
  <c r="E2254"/>
  <c r="D2256"/>
  <c r="D2260"/>
  <c r="D2261"/>
  <c r="C2548"/>
  <c r="F2548" s="1"/>
  <c r="F2550" s="1"/>
  <c r="F2560" s="1"/>
  <c r="G2560" s="1"/>
  <c r="C2551"/>
  <c r="F2551" s="1"/>
  <c r="F2553" s="1"/>
  <c r="F2561" s="1"/>
  <c r="G2561" s="1"/>
  <c r="E2559"/>
  <c r="F2559"/>
  <c r="F2562"/>
  <c r="G2562" s="1"/>
  <c r="E2569"/>
  <c r="E2570" s="1"/>
  <c r="E2571"/>
  <c r="E2572" s="1"/>
  <c r="F2579"/>
  <c r="G2579" s="1"/>
  <c r="D2582"/>
  <c r="E2590"/>
  <c r="E2592"/>
  <c r="D2594"/>
  <c r="D2595"/>
  <c r="F2625"/>
  <c r="G2625" s="1"/>
  <c r="F2629"/>
  <c r="G2629" s="1"/>
  <c r="D2647"/>
  <c r="E2655"/>
  <c r="E2657"/>
  <c r="D2659"/>
  <c r="C2660"/>
  <c r="F2685"/>
  <c r="G2685" s="1"/>
  <c r="F2687"/>
  <c r="G2687" s="1"/>
  <c r="F2689"/>
  <c r="D2706"/>
  <c r="E2714"/>
  <c r="E2716"/>
  <c r="D2718"/>
  <c r="D2719"/>
  <c r="F2744"/>
  <c r="G2744" s="1"/>
  <c r="F2746"/>
  <c r="G2746" s="1"/>
  <c r="F2748"/>
  <c r="G2748" s="1"/>
  <c r="E2750"/>
  <c r="F2750"/>
  <c r="D2767"/>
  <c r="E2775"/>
  <c r="E2777"/>
  <c r="D2779"/>
  <c r="D2780"/>
  <c r="F2805"/>
  <c r="G2805" s="1"/>
  <c r="F2807"/>
  <c r="G2807" s="1"/>
  <c r="F2809"/>
  <c r="G2809" s="1"/>
  <c r="D2826"/>
  <c r="E2834"/>
  <c r="E2836"/>
  <c r="D2838"/>
  <c r="D2839"/>
  <c r="D2892"/>
  <c r="E2900"/>
  <c r="E2902"/>
  <c r="D2904"/>
  <c r="D2960"/>
  <c r="E2968"/>
  <c r="E2970"/>
  <c r="D2972"/>
  <c r="D3022"/>
  <c r="E3030"/>
  <c r="E3032"/>
  <c r="D3034"/>
  <c r="F10" i="16"/>
  <c r="E1167" i="14" s="1"/>
  <c r="F17" i="16"/>
  <c r="E1169" i="14" s="1"/>
  <c r="F24" i="16"/>
  <c r="F31"/>
  <c r="H23" i="11"/>
  <c r="H25" s="1"/>
  <c r="G45" s="1"/>
  <c r="H24"/>
  <c r="H30"/>
  <c r="H32" s="1"/>
  <c r="G46" s="1"/>
  <c r="H31"/>
  <c r="G37"/>
  <c r="H37" s="1"/>
  <c r="G38"/>
  <c r="H38" s="1"/>
  <c r="D41"/>
  <c r="E49"/>
  <c r="D50"/>
  <c r="E50"/>
  <c r="C51" s="1"/>
  <c r="H65"/>
  <c r="H66"/>
  <c r="H73"/>
  <c r="H74"/>
  <c r="G81"/>
  <c r="H81" s="1"/>
  <c r="G82"/>
  <c r="H82" s="1"/>
  <c r="D85"/>
  <c r="E93"/>
  <c r="D94"/>
  <c r="E94"/>
  <c r="C95" s="1"/>
  <c r="H112"/>
  <c r="H113"/>
  <c r="H119"/>
  <c r="H120"/>
  <c r="H121"/>
  <c r="G135" s="1"/>
  <c r="G126"/>
  <c r="H126" s="1"/>
  <c r="G127"/>
  <c r="H127" s="1"/>
  <c r="D130"/>
  <c r="E138"/>
  <c r="D139"/>
  <c r="E139"/>
  <c r="H157"/>
  <c r="H158"/>
  <c r="H164"/>
  <c r="H165"/>
  <c r="G171"/>
  <c r="H171" s="1"/>
  <c r="G172"/>
  <c r="H172" s="1"/>
  <c r="D175"/>
  <c r="E183"/>
  <c r="D184"/>
  <c r="E184"/>
  <c r="H202"/>
  <c r="H203"/>
  <c r="H204" s="1"/>
  <c r="G224" s="1"/>
  <c r="H209"/>
  <c r="H211" s="1"/>
  <c r="G225" s="1"/>
  <c r="H210"/>
  <c r="G216"/>
  <c r="H216" s="1"/>
  <c r="G217"/>
  <c r="H217" s="1"/>
  <c r="D220"/>
  <c r="E228"/>
  <c r="D229"/>
  <c r="E229"/>
  <c r="G240"/>
  <c r="F263" s="1"/>
  <c r="H248"/>
  <c r="H249"/>
  <c r="H255"/>
  <c r="H256"/>
  <c r="G262"/>
  <c r="H262" s="1"/>
  <c r="G263"/>
  <c r="H263" s="1"/>
  <c r="D266"/>
  <c r="E274"/>
  <c r="D275"/>
  <c r="E275"/>
  <c r="H289"/>
  <c r="H290"/>
  <c r="H297"/>
  <c r="H298"/>
  <c r="G305"/>
  <c r="H305" s="1"/>
  <c r="G306"/>
  <c r="H306" s="1"/>
  <c r="D309"/>
  <c r="E317"/>
  <c r="D318"/>
  <c r="E318"/>
  <c r="H332"/>
  <c r="H333"/>
  <c r="H339"/>
  <c r="H341" s="1"/>
  <c r="G355" s="1"/>
  <c r="H340"/>
  <c r="G346"/>
  <c r="H346" s="1"/>
  <c r="G347"/>
  <c r="H347" s="1"/>
  <c r="D350"/>
  <c r="E358"/>
  <c r="D359"/>
  <c r="E359"/>
  <c r="H374"/>
  <c r="H375"/>
  <c r="H381"/>
  <c r="H382"/>
  <c r="G388"/>
  <c r="H388" s="1"/>
  <c r="G389"/>
  <c r="H389" s="1"/>
  <c r="D392"/>
  <c r="E400"/>
  <c r="D401"/>
  <c r="E401"/>
  <c r="G417"/>
  <c r="H417" s="1"/>
  <c r="H418"/>
  <c r="H424"/>
  <c r="H425"/>
  <c r="G431"/>
  <c r="H431" s="1"/>
  <c r="G432"/>
  <c r="H432" s="1"/>
  <c r="D435"/>
  <c r="E443"/>
  <c r="D444"/>
  <c r="E444"/>
  <c r="G460"/>
  <c r="H460" s="1"/>
  <c r="H461"/>
  <c r="H467"/>
  <c r="H468"/>
  <c r="G474"/>
  <c r="H474" s="1"/>
  <c r="G475"/>
  <c r="H475" s="1"/>
  <c r="D478"/>
  <c r="E486"/>
  <c r="D487"/>
  <c r="E487"/>
  <c r="G503"/>
  <c r="H503" s="1"/>
  <c r="H504"/>
  <c r="H510"/>
  <c r="H511"/>
  <c r="H512" s="1"/>
  <c r="G526" s="1"/>
  <c r="G517"/>
  <c r="H517" s="1"/>
  <c r="G518"/>
  <c r="H518" s="1"/>
  <c r="D521"/>
  <c r="E529"/>
  <c r="D530"/>
  <c r="E530"/>
  <c r="G546"/>
  <c r="H546" s="1"/>
  <c r="H547"/>
  <c r="H553"/>
  <c r="H554"/>
  <c r="H555" s="1"/>
  <c r="G569" s="1"/>
  <c r="G560"/>
  <c r="H560" s="1"/>
  <c r="G561"/>
  <c r="H561" s="1"/>
  <c r="D564"/>
  <c r="E572"/>
  <c r="D573"/>
  <c r="E573"/>
  <c r="G589"/>
  <c r="H589" s="1"/>
  <c r="H590"/>
  <c r="H597"/>
  <c r="H598"/>
  <c r="H599" s="1"/>
  <c r="G614" s="1"/>
  <c r="G605"/>
  <c r="H605" s="1"/>
  <c r="G606"/>
  <c r="H606" s="1"/>
  <c r="D609"/>
  <c r="E617"/>
  <c r="D618"/>
  <c r="E618"/>
  <c r="G634"/>
  <c r="H634" s="1"/>
  <c r="H636" s="1"/>
  <c r="G658" s="1"/>
  <c r="H635"/>
  <c r="H642"/>
  <c r="H643"/>
  <c r="G650"/>
  <c r="H650" s="1"/>
  <c r="G651"/>
  <c r="H651" s="1"/>
  <c r="D654"/>
  <c r="E662"/>
  <c r="D663"/>
  <c r="E663"/>
  <c r="H676"/>
  <c r="H678" s="1"/>
  <c r="G699" s="1"/>
  <c r="H677"/>
  <c r="H683"/>
  <c r="H685" s="1"/>
  <c r="G700" s="1"/>
  <c r="H684"/>
  <c r="G691"/>
  <c r="H691" s="1"/>
  <c r="G692"/>
  <c r="H692" s="1"/>
  <c r="D695"/>
  <c r="E703"/>
  <c r="D704"/>
  <c r="E704"/>
  <c r="C705" s="1"/>
  <c r="H721"/>
  <c r="H723" s="1"/>
  <c r="G743" s="1"/>
  <c r="H722"/>
  <c r="H728"/>
  <c r="H730" s="1"/>
  <c r="G744" s="1"/>
  <c r="H729"/>
  <c r="G735"/>
  <c r="H735" s="1"/>
  <c r="G736"/>
  <c r="H736" s="1"/>
  <c r="D739"/>
  <c r="E747"/>
  <c r="D748"/>
  <c r="E748"/>
  <c r="C749" s="1"/>
  <c r="H762"/>
  <c r="H764" s="1"/>
  <c r="G785" s="1"/>
  <c r="H763"/>
  <c r="H769"/>
  <c r="H771" s="1"/>
  <c r="G786" s="1"/>
  <c r="H770"/>
  <c r="G776"/>
  <c r="H776" s="1"/>
  <c r="G777"/>
  <c r="H777" s="1"/>
  <c r="G778"/>
  <c r="H778" s="1"/>
  <c r="D781"/>
  <c r="E789"/>
  <c r="D790"/>
  <c r="E790"/>
  <c r="C791" s="1"/>
  <c r="G813"/>
  <c r="H813" s="1"/>
  <c r="H814"/>
  <c r="G827"/>
  <c r="H827" s="1"/>
  <c r="G828"/>
  <c r="H828" s="1"/>
  <c r="G829"/>
  <c r="H829" s="1"/>
  <c r="G830"/>
  <c r="H830" s="1"/>
  <c r="D833"/>
  <c r="E841"/>
  <c r="D842"/>
  <c r="E842"/>
  <c r="D866"/>
  <c r="H866" s="1"/>
  <c r="H868" s="1"/>
  <c r="G886" s="1"/>
  <c r="H886" s="1"/>
  <c r="D869"/>
  <c r="H869" s="1"/>
  <c r="H871" s="1"/>
  <c r="G887" s="1"/>
  <c r="H887" s="1"/>
  <c r="D872"/>
  <c r="H872" s="1"/>
  <c r="H874" s="1"/>
  <c r="G888" s="1"/>
  <c r="H888" s="1"/>
  <c r="D876"/>
  <c r="H876" s="1"/>
  <c r="H877" s="1"/>
  <c r="G899"/>
  <c r="H899" s="1"/>
  <c r="G907"/>
  <c r="H907" s="1"/>
  <c r="D910"/>
  <c r="E918"/>
  <c r="D919"/>
  <c r="E919"/>
  <c r="C920" s="1"/>
  <c r="H940"/>
  <c r="H942" s="1"/>
  <c r="G962" s="1"/>
  <c r="H962" s="1"/>
  <c r="H963"/>
  <c r="D986"/>
  <c r="E994"/>
  <c r="D995"/>
  <c r="E995"/>
  <c r="C996" s="1"/>
  <c r="D1164"/>
  <c r="H1164" s="1"/>
  <c r="H1166" s="1"/>
  <c r="G1185" s="1"/>
  <c r="H1185" s="1"/>
  <c r="D1167"/>
  <c r="H1167" s="1"/>
  <c r="H1169" s="1"/>
  <c r="G1186" s="1"/>
  <c r="H1186" s="1"/>
  <c r="D1170"/>
  <c r="H1170" s="1"/>
  <c r="H1172" s="1"/>
  <c r="G1187" s="1"/>
  <c r="H1187" s="1"/>
  <c r="D1174"/>
  <c r="H1174" s="1"/>
  <c r="H1175" s="1"/>
  <c r="G1198"/>
  <c r="H1198" s="1"/>
  <c r="G1206"/>
  <c r="H1206" s="1"/>
  <c r="D1209"/>
  <c r="E1217"/>
  <c r="D1218"/>
  <c r="E1218"/>
  <c r="C1219" s="1"/>
  <c r="G1307"/>
  <c r="H1307" s="1"/>
  <c r="G1308"/>
  <c r="H1308" s="1"/>
  <c r="H1316"/>
  <c r="H1318" s="1"/>
  <c r="G1333" s="1"/>
  <c r="H1317"/>
  <c r="G1323"/>
  <c r="H1323" s="1"/>
  <c r="G1324"/>
  <c r="H1324" s="1"/>
  <c r="G1325"/>
  <c r="H1325" s="1"/>
  <c r="D1328"/>
  <c r="E1336"/>
  <c r="D1337"/>
  <c r="E1337"/>
  <c r="G1358"/>
  <c r="H1358" s="1"/>
  <c r="G1359"/>
  <c r="H1359" s="1"/>
  <c r="G1360"/>
  <c r="H1360" s="1"/>
  <c r="G1361"/>
  <c r="H1361" s="1"/>
  <c r="G1362"/>
  <c r="H1362" s="1"/>
  <c r="G1363"/>
  <c r="H1363" s="1"/>
  <c r="H1371"/>
  <c r="H1373" s="1"/>
  <c r="G1388" s="1"/>
  <c r="H1372"/>
  <c r="G1378"/>
  <c r="H1378" s="1"/>
  <c r="G1379"/>
  <c r="H1379" s="1"/>
  <c r="G1380"/>
  <c r="H1380" s="1"/>
  <c r="D1383"/>
  <c r="E1391"/>
  <c r="D1392"/>
  <c r="E1392"/>
  <c r="G1417"/>
  <c r="H1417" s="1"/>
  <c r="G1418"/>
  <c r="H1418" s="1"/>
  <c r="G1419"/>
  <c r="H1419" s="1"/>
  <c r="G1420"/>
  <c r="H1420" s="1"/>
  <c r="G1421"/>
  <c r="H1421" s="1"/>
  <c r="G1422"/>
  <c r="H1422" s="1"/>
  <c r="G1423"/>
  <c r="H1423" s="1"/>
  <c r="G1424"/>
  <c r="H1424" s="1"/>
  <c r="H1432"/>
  <c r="H1433"/>
  <c r="G1439"/>
  <c r="H1439" s="1"/>
  <c r="G1440"/>
  <c r="H1440" s="1"/>
  <c r="G1441"/>
  <c r="H1441" s="1"/>
  <c r="G1442"/>
  <c r="H1442" s="1"/>
  <c r="D1445"/>
  <c r="E1453"/>
  <c r="D1454"/>
  <c r="E1454"/>
  <c r="G1474"/>
  <c r="H1493"/>
  <c r="H1494"/>
  <c r="H1495" s="1"/>
  <c r="G1516" s="1"/>
  <c r="H1500"/>
  <c r="H1502" s="1"/>
  <c r="G1517" s="1"/>
  <c r="H1501"/>
  <c r="G1507"/>
  <c r="H1507" s="1"/>
  <c r="G1508"/>
  <c r="H1508" s="1"/>
  <c r="G1509"/>
  <c r="H1509" s="1"/>
  <c r="D1512"/>
  <c r="E1520"/>
  <c r="D1521"/>
  <c r="E1521"/>
  <c r="C1522" s="1"/>
  <c r="G1563"/>
  <c r="H1563" s="1"/>
  <c r="H1564"/>
  <c r="H1565"/>
  <c r="H1566"/>
  <c r="H1567"/>
  <c r="H1568"/>
  <c r="H1575"/>
  <c r="H1577" s="1"/>
  <c r="G1592" s="1"/>
  <c r="H1576"/>
  <c r="G1582"/>
  <c r="H1582" s="1"/>
  <c r="G1583"/>
  <c r="H1583" s="1"/>
  <c r="G1584"/>
  <c r="H1584" s="1"/>
  <c r="D1587"/>
  <c r="E1595"/>
  <c r="D1596"/>
  <c r="E1596"/>
  <c r="C1597"/>
  <c r="H1645"/>
  <c r="H1646"/>
  <c r="H1647"/>
  <c r="H1648"/>
  <c r="G1649"/>
  <c r="H1649" s="1"/>
  <c r="H1656"/>
  <c r="H1658" s="1"/>
  <c r="G1673" s="1"/>
  <c r="H1657"/>
  <c r="G1663"/>
  <c r="H1663" s="1"/>
  <c r="G1664"/>
  <c r="H1664" s="1"/>
  <c r="G1665"/>
  <c r="H1665" s="1"/>
  <c r="D1668"/>
  <c r="E1676"/>
  <c r="D1677"/>
  <c r="E1677"/>
  <c r="C1678" s="1"/>
  <c r="G1702"/>
  <c r="H1702" s="1"/>
  <c r="G1703"/>
  <c r="H1703" s="1"/>
  <c r="H1710"/>
  <c r="H1711"/>
  <c r="H1712" s="1"/>
  <c r="G1728" s="1"/>
  <c r="G1717"/>
  <c r="H1717" s="1"/>
  <c r="G1718"/>
  <c r="H1718" s="1"/>
  <c r="G1719"/>
  <c r="H1719" s="1"/>
  <c r="G1720"/>
  <c r="H1720" s="1"/>
  <c r="D1723"/>
  <c r="E1731"/>
  <c r="D1732"/>
  <c r="E1732"/>
  <c r="C1733" s="1"/>
  <c r="H1750"/>
  <c r="H1751"/>
  <c r="H1757"/>
  <c r="H1758"/>
  <c r="H1759" s="1"/>
  <c r="G1774" s="1"/>
  <c r="G1764"/>
  <c r="H1764" s="1"/>
  <c r="G1765"/>
  <c r="H1765" s="1"/>
  <c r="G1766"/>
  <c r="H1766" s="1"/>
  <c r="D1769"/>
  <c r="E1777"/>
  <c r="D1778"/>
  <c r="E1778"/>
  <c r="C1779" s="1"/>
  <c r="H1792"/>
  <c r="H1793"/>
  <c r="H1799"/>
  <c r="H1800"/>
  <c r="G1806"/>
  <c r="H1806" s="1"/>
  <c r="G1807"/>
  <c r="H1807" s="1"/>
  <c r="D1810"/>
  <c r="E1818"/>
  <c r="D1819"/>
  <c r="E1819"/>
  <c r="H1834"/>
  <c r="H1835"/>
  <c r="H1841"/>
  <c r="H1842"/>
  <c r="G1848"/>
  <c r="H1848" s="1"/>
  <c r="G1849"/>
  <c r="H1849" s="1"/>
  <c r="D1852"/>
  <c r="E1860"/>
  <c r="D1861"/>
  <c r="E1861"/>
  <c r="G1889"/>
  <c r="E1924"/>
  <c r="E1925"/>
  <c r="H1932"/>
  <c r="H1933"/>
  <c r="E1934"/>
  <c r="H1934" s="1"/>
  <c r="F1950"/>
  <c r="F1951"/>
  <c r="G1952"/>
  <c r="H1952" s="1"/>
  <c r="F1963"/>
  <c r="G1964"/>
  <c r="H1964" s="1"/>
  <c r="G1965"/>
  <c r="H1965"/>
  <c r="D1968"/>
  <c r="E1976"/>
  <c r="D1977"/>
  <c r="E1977"/>
  <c r="C1978" s="1"/>
  <c r="G2006"/>
  <c r="E2043"/>
  <c r="E2044"/>
  <c r="H2052"/>
  <c r="H2053"/>
  <c r="D2054"/>
  <c r="H2054" s="1"/>
  <c r="H2055" s="1"/>
  <c r="G2092" s="1"/>
  <c r="F2070"/>
  <c r="F2071"/>
  <c r="G2072"/>
  <c r="H2072" s="1"/>
  <c r="F2083"/>
  <c r="G2084"/>
  <c r="H2084" s="1"/>
  <c r="G2085"/>
  <c r="H2085" s="1"/>
  <c r="D2088"/>
  <c r="E2096"/>
  <c r="D2097"/>
  <c r="E2097"/>
  <c r="C2098" s="1"/>
  <c r="G2127"/>
  <c r="E2164"/>
  <c r="E2165"/>
  <c r="H2173"/>
  <c r="H2174"/>
  <c r="D2175"/>
  <c r="H2175" s="1"/>
  <c r="F2191"/>
  <c r="F2192"/>
  <c r="G2193"/>
  <c r="H2193" s="1"/>
  <c r="F2204"/>
  <c r="G2205"/>
  <c r="H2205" s="1"/>
  <c r="G2206"/>
  <c r="H2206"/>
  <c r="D2209"/>
  <c r="E2217"/>
  <c r="D2218"/>
  <c r="E2218"/>
  <c r="C2219" s="1"/>
  <c r="G2250"/>
  <c r="E2287"/>
  <c r="E2288"/>
  <c r="H2296"/>
  <c r="H2297"/>
  <c r="E2298"/>
  <c r="H2298" s="1"/>
  <c r="F2314"/>
  <c r="F2315"/>
  <c r="G2316"/>
  <c r="H2316" s="1"/>
  <c r="F2327"/>
  <c r="G2328"/>
  <c r="H2328" s="1"/>
  <c r="G2329"/>
  <c r="H2329" s="1"/>
  <c r="D2332"/>
  <c r="E2340"/>
  <c r="D2341"/>
  <c r="E2341"/>
  <c r="C2342" s="1"/>
  <c r="H2356"/>
  <c r="H2357"/>
  <c r="H2363"/>
  <c r="H2364"/>
  <c r="G2370"/>
  <c r="H2370" s="1"/>
  <c r="G2371"/>
  <c r="H2371" s="1"/>
  <c r="D2374"/>
  <c r="E2382"/>
  <c r="D2383"/>
  <c r="E2383"/>
  <c r="C2384" s="1"/>
  <c r="G2403"/>
  <c r="H2403" s="1"/>
  <c r="G2404"/>
  <c r="H2404" s="1"/>
  <c r="G2405"/>
  <c r="H2405" s="1"/>
  <c r="H2411"/>
  <c r="H2412"/>
  <c r="G2418"/>
  <c r="H2418" s="1"/>
  <c r="G2419"/>
  <c r="H2419" s="1"/>
  <c r="D2422"/>
  <c r="E2430"/>
  <c r="D2431"/>
  <c r="E2431"/>
  <c r="C2432" s="1"/>
  <c r="G2451"/>
  <c r="H2451" s="1"/>
  <c r="G2452"/>
  <c r="H2452" s="1"/>
  <c r="G2453"/>
  <c r="H2453" s="1"/>
  <c r="G2454"/>
  <c r="H2454" s="1"/>
  <c r="H2460"/>
  <c r="H2462" s="1"/>
  <c r="G2475" s="1"/>
  <c r="H2461"/>
  <c r="G2467"/>
  <c r="H2467" s="1"/>
  <c r="H2468" s="1"/>
  <c r="D2470"/>
  <c r="E2478"/>
  <c r="D2479"/>
  <c r="E2479"/>
  <c r="C2480"/>
  <c r="G2499"/>
  <c r="H2499" s="1"/>
  <c r="G2501"/>
  <c r="H2501" s="1"/>
  <c r="H2509"/>
  <c r="H2510"/>
  <c r="G2516"/>
  <c r="H2516" s="1"/>
  <c r="G2517"/>
  <c r="H2517" s="1"/>
  <c r="D2520"/>
  <c r="E2528"/>
  <c r="D2529"/>
  <c r="E2529"/>
  <c r="C2530" s="1"/>
  <c r="C2560"/>
  <c r="G2560" s="1"/>
  <c r="G2562" s="1"/>
  <c r="G2572" s="1"/>
  <c r="H2572" s="1"/>
  <c r="C2563"/>
  <c r="G2563" s="1"/>
  <c r="G2565" s="1"/>
  <c r="G2573" s="1"/>
  <c r="H2573" s="1"/>
  <c r="G2571"/>
  <c r="H2571" s="1"/>
  <c r="G2574"/>
  <c r="H2574" s="1"/>
  <c r="G2593"/>
  <c r="H2593" s="1"/>
  <c r="D2596"/>
  <c r="E2604"/>
  <c r="E2606"/>
  <c r="E2608"/>
  <c r="D2609"/>
  <c r="E2609"/>
  <c r="C2610" s="1"/>
  <c r="G2676"/>
  <c r="H2676" s="1"/>
  <c r="G2677"/>
  <c r="H2677" s="1"/>
  <c r="H2685"/>
  <c r="H2686"/>
  <c r="H2687" s="1"/>
  <c r="G2701" s="1"/>
  <c r="G2692"/>
  <c r="H2692" s="1"/>
  <c r="G2693"/>
  <c r="H2693" s="1"/>
  <c r="D2696"/>
  <c r="E2704"/>
  <c r="D2705"/>
  <c r="E2705"/>
  <c r="C2706" s="1"/>
  <c r="G2726"/>
  <c r="H2726" s="1"/>
  <c r="G2727"/>
  <c r="H2727" s="1"/>
  <c r="H2735"/>
  <c r="H2736"/>
  <c r="G2742"/>
  <c r="H2742" s="1"/>
  <c r="G2743"/>
  <c r="H2743" s="1"/>
  <c r="D2746"/>
  <c r="E2754"/>
  <c r="D2755"/>
  <c r="E2755"/>
  <c r="C2756"/>
  <c r="G2776"/>
  <c r="H2776" s="1"/>
  <c r="G2777"/>
  <c r="H2777" s="1"/>
  <c r="H2785"/>
  <c r="H2786"/>
  <c r="G2792"/>
  <c r="H2792" s="1"/>
  <c r="G2793"/>
  <c r="H2793" s="1"/>
  <c r="D2796"/>
  <c r="E2804"/>
  <c r="D2805"/>
  <c r="E2805"/>
  <c r="C2806"/>
  <c r="H2819"/>
  <c r="H2820"/>
  <c r="H2821" s="1"/>
  <c r="G2840" s="1"/>
  <c r="H2826"/>
  <c r="H2827"/>
  <c r="H2828" s="1"/>
  <c r="G2841" s="1"/>
  <c r="G2833"/>
  <c r="H2833" s="1"/>
  <c r="H2834" s="1"/>
  <c r="D2836"/>
  <c r="E2844"/>
  <c r="D2845"/>
  <c r="E2845"/>
  <c r="C2846" s="1"/>
  <c r="H2861"/>
  <c r="H2862"/>
  <c r="H2863"/>
  <c r="G2882" s="1"/>
  <c r="H2868"/>
  <c r="H2869"/>
  <c r="G2875"/>
  <c r="H2875" s="1"/>
  <c r="H2876" s="1"/>
  <c r="D2878"/>
  <c r="E2886"/>
  <c r="D2887"/>
  <c r="E2887"/>
  <c r="C2888"/>
  <c r="F2902"/>
  <c r="G2902" s="1"/>
  <c r="G2903" s="1"/>
  <c r="G2929" s="1"/>
  <c r="F2921"/>
  <c r="G2921" s="1"/>
  <c r="F2922"/>
  <c r="G2922" s="1"/>
  <c r="D2925"/>
  <c r="E2933"/>
  <c r="G2950"/>
  <c r="F2962"/>
  <c r="G2962" s="1"/>
  <c r="F2972"/>
  <c r="G2972" s="1"/>
  <c r="F2973"/>
  <c r="G2973" s="1"/>
  <c r="D2976"/>
  <c r="G2980"/>
  <c r="E2984"/>
  <c r="G3001"/>
  <c r="F3005"/>
  <c r="G3005" s="1"/>
  <c r="F3006"/>
  <c r="G3006" s="1"/>
  <c r="G3007" s="1"/>
  <c r="G3021" s="1"/>
  <c r="F3012"/>
  <c r="G3012" s="1"/>
  <c r="F3013"/>
  <c r="G3013" s="1"/>
  <c r="D3016"/>
  <c r="G3020"/>
  <c r="D3024"/>
  <c r="F3047"/>
  <c r="G3047" s="1"/>
  <c r="F3048"/>
  <c r="G3048" s="1"/>
  <c r="G3052"/>
  <c r="G3053"/>
  <c r="E3056"/>
  <c r="F3076"/>
  <c r="G3076" s="1"/>
  <c r="F3077"/>
  <c r="G3077" s="1"/>
  <c r="G3081"/>
  <c r="G3082"/>
  <c r="E3085"/>
  <c r="F3105"/>
  <c r="G3105" s="1"/>
  <c r="F3106"/>
  <c r="G3106" s="1"/>
  <c r="G3110"/>
  <c r="G3111"/>
  <c r="E3114"/>
  <c r="F3134"/>
  <c r="G3134" s="1"/>
  <c r="G3136" s="1"/>
  <c r="G3141" s="1"/>
  <c r="G3142" s="1"/>
  <c r="F3135"/>
  <c r="G3135" s="1"/>
  <c r="G3139"/>
  <c r="G3140"/>
  <c r="E3143"/>
  <c r="F3163"/>
  <c r="G3163" s="1"/>
  <c r="F3164"/>
  <c r="G3164" s="1"/>
  <c r="G3168"/>
  <c r="G3169"/>
  <c r="E3172"/>
  <c r="F3192"/>
  <c r="G3192" s="1"/>
  <c r="F3193"/>
  <c r="G3193" s="1"/>
  <c r="G3197"/>
  <c r="G3198"/>
  <c r="E3201"/>
  <c r="G146" i="10"/>
  <c r="D177"/>
  <c r="E241" s="1"/>
  <c r="E177"/>
  <c r="F177"/>
  <c r="G177"/>
  <c r="D183"/>
  <c r="G183" s="1"/>
  <c r="G185" s="1"/>
  <c r="F203" s="1"/>
  <c r="G203" s="1"/>
  <c r="D186"/>
  <c r="G186" s="1"/>
  <c r="G188" s="1"/>
  <c r="F204" s="1"/>
  <c r="G204" s="1"/>
  <c r="F194"/>
  <c r="G194" s="1"/>
  <c r="F195"/>
  <c r="G195" s="1"/>
  <c r="F196"/>
  <c r="G196" s="1"/>
  <c r="F197"/>
  <c r="G197" s="1"/>
  <c r="F198"/>
  <c r="G198" s="1"/>
  <c r="F199"/>
  <c r="G199" s="1"/>
  <c r="F200"/>
  <c r="G200" s="1"/>
  <c r="F201"/>
  <c r="G201" s="1"/>
  <c r="F202"/>
  <c r="G202" s="1"/>
  <c r="F205"/>
  <c r="G205" s="1"/>
  <c r="F229"/>
  <c r="G229" s="1"/>
  <c r="F241"/>
  <c r="E242"/>
  <c r="F242"/>
  <c r="G242" s="1"/>
  <c r="F243"/>
  <c r="G243" s="1"/>
  <c r="F244"/>
  <c r="G244" s="1"/>
  <c r="F245"/>
  <c r="G245" s="1"/>
  <c r="F246"/>
  <c r="G246" s="1"/>
  <c r="E247"/>
  <c r="F247"/>
  <c r="G247" s="1"/>
  <c r="F248"/>
  <c r="G248" s="1"/>
  <c r="D251"/>
  <c r="E259"/>
  <c r="E261"/>
  <c r="D263"/>
  <c r="D267"/>
  <c r="AI268"/>
  <c r="D372"/>
  <c r="E372"/>
  <c r="F372"/>
  <c r="G372"/>
  <c r="C379"/>
  <c r="G379" s="1"/>
  <c r="G381" s="1"/>
  <c r="F412" s="1"/>
  <c r="G412" s="1"/>
  <c r="C382"/>
  <c r="G382" s="1"/>
  <c r="G384" s="1"/>
  <c r="F413" s="1"/>
  <c r="G413" s="1"/>
  <c r="F392"/>
  <c r="G392" s="1"/>
  <c r="F393"/>
  <c r="G393" s="1"/>
  <c r="F395"/>
  <c r="G395" s="1"/>
  <c r="F397"/>
  <c r="G397" s="1"/>
  <c r="F398"/>
  <c r="G398" s="1"/>
  <c r="F400"/>
  <c r="G400" s="1"/>
  <c r="F402"/>
  <c r="G402" s="1"/>
  <c r="F403"/>
  <c r="G403" s="1"/>
  <c r="F404"/>
  <c r="G404" s="1"/>
  <c r="F406"/>
  <c r="G406" s="1"/>
  <c r="F407"/>
  <c r="G407" s="1"/>
  <c r="F408"/>
  <c r="G408" s="1"/>
  <c r="F409"/>
  <c r="G409" s="1"/>
  <c r="F410"/>
  <c r="G410" s="1"/>
  <c r="F411"/>
  <c r="G411" s="1"/>
  <c r="F414"/>
  <c r="G414" s="1"/>
  <c r="F438"/>
  <c r="G438" s="1"/>
  <c r="E449"/>
  <c r="F449"/>
  <c r="G449" s="1"/>
  <c r="E450"/>
  <c r="F450"/>
  <c r="G450" s="1"/>
  <c r="F451"/>
  <c r="G451" s="1"/>
  <c r="F452"/>
  <c r="G452" s="1"/>
  <c r="F453"/>
  <c r="G453" s="1"/>
  <c r="F454"/>
  <c r="G454" s="1"/>
  <c r="E455"/>
  <c r="F455"/>
  <c r="F456"/>
  <c r="G456" s="1"/>
  <c r="D459"/>
  <c r="E467"/>
  <c r="E469"/>
  <c r="D471"/>
  <c r="D475"/>
  <c r="AG477"/>
  <c r="D585"/>
  <c r="E585"/>
  <c r="F585"/>
  <c r="G585"/>
  <c r="C591"/>
  <c r="F591" s="1"/>
  <c r="F593" s="1"/>
  <c r="F630" s="1"/>
  <c r="G630" s="1"/>
  <c r="C594"/>
  <c r="F594" s="1"/>
  <c r="F596" s="1"/>
  <c r="F631" s="1"/>
  <c r="G631" s="1"/>
  <c r="F604"/>
  <c r="G604" s="1"/>
  <c r="F605"/>
  <c r="G605" s="1"/>
  <c r="F607"/>
  <c r="G607" s="1"/>
  <c r="F608"/>
  <c r="G608" s="1"/>
  <c r="F609"/>
  <c r="G609" s="1"/>
  <c r="F610"/>
  <c r="G610" s="1"/>
  <c r="F612"/>
  <c r="G612" s="1"/>
  <c r="F613"/>
  <c r="G613" s="1"/>
  <c r="F615"/>
  <c r="G615" s="1"/>
  <c r="F616"/>
  <c r="G616" s="1"/>
  <c r="F617"/>
  <c r="G617" s="1"/>
  <c r="F618"/>
  <c r="G618" s="1"/>
  <c r="F619"/>
  <c r="G619" s="1"/>
  <c r="F620"/>
  <c r="G620" s="1"/>
  <c r="F621"/>
  <c r="G621" s="1"/>
  <c r="F622"/>
  <c r="G622" s="1"/>
  <c r="F623"/>
  <c r="G623" s="1"/>
  <c r="F624"/>
  <c r="G624" s="1"/>
  <c r="F625"/>
  <c r="G625" s="1"/>
  <c r="F626"/>
  <c r="G626" s="1"/>
  <c r="F627"/>
  <c r="G627" s="1"/>
  <c r="F628"/>
  <c r="G628" s="1"/>
  <c r="F629"/>
  <c r="G629" s="1"/>
  <c r="F632"/>
  <c r="G632" s="1"/>
  <c r="F650"/>
  <c r="G650" s="1"/>
  <c r="E660"/>
  <c r="F660"/>
  <c r="G660" s="1"/>
  <c r="E661"/>
  <c r="F661"/>
  <c r="F662"/>
  <c r="G662" s="1"/>
  <c r="F663"/>
  <c r="G663" s="1"/>
  <c r="F664"/>
  <c r="G664" s="1"/>
  <c r="E665"/>
  <c r="F665"/>
  <c r="F666"/>
  <c r="G666" s="1"/>
  <c r="D669"/>
  <c r="E677"/>
  <c r="E679"/>
  <c r="D681"/>
  <c r="D685"/>
  <c r="D686"/>
  <c r="D752"/>
  <c r="E752"/>
  <c r="F752"/>
  <c r="G752"/>
  <c r="E816" s="1"/>
  <c r="C762"/>
  <c r="F762" s="1"/>
  <c r="F764" s="1"/>
  <c r="F782" s="1"/>
  <c r="G782" s="1"/>
  <c r="C765"/>
  <c r="F765" s="1"/>
  <c r="F767" s="1"/>
  <c r="F783" s="1"/>
  <c r="G783" s="1"/>
  <c r="F775"/>
  <c r="G775" s="1"/>
  <c r="F776"/>
  <c r="G776" s="1"/>
  <c r="F777"/>
  <c r="G777" s="1"/>
  <c r="F778"/>
  <c r="G778" s="1"/>
  <c r="F779"/>
  <c r="G779" s="1"/>
  <c r="F780"/>
  <c r="G780" s="1"/>
  <c r="F781"/>
  <c r="G781" s="1"/>
  <c r="F784"/>
  <c r="G784" s="1"/>
  <c r="F802"/>
  <c r="G802" s="1"/>
  <c r="E812"/>
  <c r="F812"/>
  <c r="E813"/>
  <c r="F813"/>
  <c r="F814"/>
  <c r="G814" s="1"/>
  <c r="F815"/>
  <c r="G815" s="1"/>
  <c r="F816"/>
  <c r="F817"/>
  <c r="G817" s="1"/>
  <c r="D820"/>
  <c r="E828"/>
  <c r="E830"/>
  <c r="D832"/>
  <c r="D836"/>
  <c r="D916"/>
  <c r="E916"/>
  <c r="F916"/>
  <c r="G916"/>
  <c r="C922"/>
  <c r="F922" s="1"/>
  <c r="F924" s="1"/>
  <c r="F942" s="1"/>
  <c r="G942" s="1"/>
  <c r="C925"/>
  <c r="F925" s="1"/>
  <c r="F927" s="1"/>
  <c r="F943" s="1"/>
  <c r="G943" s="1"/>
  <c r="F933"/>
  <c r="G933" s="1"/>
  <c r="F934"/>
  <c r="G934" s="1"/>
  <c r="F935"/>
  <c r="G935" s="1"/>
  <c r="F936"/>
  <c r="G936" s="1"/>
  <c r="F937"/>
  <c r="G937" s="1"/>
  <c r="F938"/>
  <c r="G938" s="1"/>
  <c r="F939"/>
  <c r="G939" s="1"/>
  <c r="F940"/>
  <c r="G940" s="1"/>
  <c r="F941"/>
  <c r="G941" s="1"/>
  <c r="F944"/>
  <c r="G944" s="1"/>
  <c r="F966"/>
  <c r="G966" s="1"/>
  <c r="E976"/>
  <c r="F976"/>
  <c r="G976" s="1"/>
  <c r="E977"/>
  <c r="F977"/>
  <c r="G977" s="1"/>
  <c r="F978"/>
  <c r="G978" s="1"/>
  <c r="F979"/>
  <c r="G979" s="1"/>
  <c r="F980"/>
  <c r="G980" s="1"/>
  <c r="E981"/>
  <c r="F981"/>
  <c r="F982"/>
  <c r="G982" s="1"/>
  <c r="D985"/>
  <c r="E993"/>
  <c r="E995"/>
  <c r="D997"/>
  <c r="D1001"/>
  <c r="D1081"/>
  <c r="E1081"/>
  <c r="F1081"/>
  <c r="G1081"/>
  <c r="C1094"/>
  <c r="F1094" s="1"/>
  <c r="F1096" s="1"/>
  <c r="F1122" s="1"/>
  <c r="G1122" s="1"/>
  <c r="C1097"/>
  <c r="F1097" s="1"/>
  <c r="F1099" s="1"/>
  <c r="F1123" s="1"/>
  <c r="G1123" s="1"/>
  <c r="F1106"/>
  <c r="G1106" s="1"/>
  <c r="F1107"/>
  <c r="G1107" s="1"/>
  <c r="F1109"/>
  <c r="G1109" s="1"/>
  <c r="F1111"/>
  <c r="G1111" s="1"/>
  <c r="F1113"/>
  <c r="G1113" s="1"/>
  <c r="F1114"/>
  <c r="G1114" s="1"/>
  <c r="F1116"/>
  <c r="G1116"/>
  <c r="F1117"/>
  <c r="G1117" s="1"/>
  <c r="F1118"/>
  <c r="G1118" s="1"/>
  <c r="F1119"/>
  <c r="G1119" s="1"/>
  <c r="F1120"/>
  <c r="G1120" s="1"/>
  <c r="F1121"/>
  <c r="G1121" s="1"/>
  <c r="F1124"/>
  <c r="G1124" s="1"/>
  <c r="F1142"/>
  <c r="G1142" s="1"/>
  <c r="E1151"/>
  <c r="F1151"/>
  <c r="G1151" s="1"/>
  <c r="E1152"/>
  <c r="F1152"/>
  <c r="G1152" s="1"/>
  <c r="F1153"/>
  <c r="G1153" s="1"/>
  <c r="F1154"/>
  <c r="G1154" s="1"/>
  <c r="F1155"/>
  <c r="G1155" s="1"/>
  <c r="F1156"/>
  <c r="G1156" s="1"/>
  <c r="E1157"/>
  <c r="F1157"/>
  <c r="F1158"/>
  <c r="G1158" s="1"/>
  <c r="D1161"/>
  <c r="E1169"/>
  <c r="E1171"/>
  <c r="D1173"/>
  <c r="D1174"/>
  <c r="D1246"/>
  <c r="E1246"/>
  <c r="E1309" s="1"/>
  <c r="F1246"/>
  <c r="G1246"/>
  <c r="C1252"/>
  <c r="F1252" s="1"/>
  <c r="F1254" s="1"/>
  <c r="F1279" s="1"/>
  <c r="G1279" s="1"/>
  <c r="C1255"/>
  <c r="F1255" s="1"/>
  <c r="F1257" s="1"/>
  <c r="F1280" s="1"/>
  <c r="G1280" s="1"/>
  <c r="F1264"/>
  <c r="G1264" s="1"/>
  <c r="F1265"/>
  <c r="G1265" s="1"/>
  <c r="F1267"/>
  <c r="G1267" s="1"/>
  <c r="F1269"/>
  <c r="G1269" s="1"/>
  <c r="F1271"/>
  <c r="G1271" s="1"/>
  <c r="F1272"/>
  <c r="G1272" s="1"/>
  <c r="F1274"/>
  <c r="G1274" s="1"/>
  <c r="F1275"/>
  <c r="G1275" s="1"/>
  <c r="F1276"/>
  <c r="G1276" s="1"/>
  <c r="F1277"/>
  <c r="G1277" s="1"/>
  <c r="F1278"/>
  <c r="G1278" s="1"/>
  <c r="F1281"/>
  <c r="G1281" s="1"/>
  <c r="F1299"/>
  <c r="G1299" s="1"/>
  <c r="E1308"/>
  <c r="F1308"/>
  <c r="G1308" s="1"/>
  <c r="F1309"/>
  <c r="F1310"/>
  <c r="G1310" s="1"/>
  <c r="F1311"/>
  <c r="G1311" s="1"/>
  <c r="E1312"/>
  <c r="F1312"/>
  <c r="F1313"/>
  <c r="G1313" s="1"/>
  <c r="D1316"/>
  <c r="E1324"/>
  <c r="E1326"/>
  <c r="D1328"/>
  <c r="D1332"/>
  <c r="D1436"/>
  <c r="E1436"/>
  <c r="F1436"/>
  <c r="G1436"/>
  <c r="E1519" s="1"/>
  <c r="C1442"/>
  <c r="F1442" s="1"/>
  <c r="F1444" s="1"/>
  <c r="F1484" s="1"/>
  <c r="G1484" s="1"/>
  <c r="C1445"/>
  <c r="F1445" s="1"/>
  <c r="F1447" s="1"/>
  <c r="F1485" s="1"/>
  <c r="G1485" s="1"/>
  <c r="F1455"/>
  <c r="G1455" s="1"/>
  <c r="F1456"/>
  <c r="G1456" s="1"/>
  <c r="F1457"/>
  <c r="G1457" s="1"/>
  <c r="F1459"/>
  <c r="G1459" s="1"/>
  <c r="F1460"/>
  <c r="G1460" s="1"/>
  <c r="F1461"/>
  <c r="G1461" s="1"/>
  <c r="F1462"/>
  <c r="G1462" s="1"/>
  <c r="F1464"/>
  <c r="G1464" s="1"/>
  <c r="F1466"/>
  <c r="G1466" s="1"/>
  <c r="F1467"/>
  <c r="G1467" s="1"/>
  <c r="F1469"/>
  <c r="G1469" s="1"/>
  <c r="F1470"/>
  <c r="G1470" s="1"/>
  <c r="F1471"/>
  <c r="G1471" s="1"/>
  <c r="F1472"/>
  <c r="G1472" s="1"/>
  <c r="F1473"/>
  <c r="G1473" s="1"/>
  <c r="F1474"/>
  <c r="G1474" s="1"/>
  <c r="F1475"/>
  <c r="G1475" s="1"/>
  <c r="F1476"/>
  <c r="G1476" s="1"/>
  <c r="F1477"/>
  <c r="G1477" s="1"/>
  <c r="F1478"/>
  <c r="G1478" s="1"/>
  <c r="F1479"/>
  <c r="G1479" s="1"/>
  <c r="F1480"/>
  <c r="G1480" s="1"/>
  <c r="F1481"/>
  <c r="G1481" s="1"/>
  <c r="F1482"/>
  <c r="G1482" s="1"/>
  <c r="F1483"/>
  <c r="G1483" s="1"/>
  <c r="F1486"/>
  <c r="G1486" s="1"/>
  <c r="F1504"/>
  <c r="G1504" s="1"/>
  <c r="E1514"/>
  <c r="F1514"/>
  <c r="G1514" s="1"/>
  <c r="E1515"/>
  <c r="F1515"/>
  <c r="G1515" s="1"/>
  <c r="F1516"/>
  <c r="G1516" s="1"/>
  <c r="F1517"/>
  <c r="G1517" s="1"/>
  <c r="F1518"/>
  <c r="G1518" s="1"/>
  <c r="F1519"/>
  <c r="F1520"/>
  <c r="G1520" s="1"/>
  <c r="D1523"/>
  <c r="E1531"/>
  <c r="E1533"/>
  <c r="D1535"/>
  <c r="D1539"/>
  <c r="D1540"/>
  <c r="D1599"/>
  <c r="E1599"/>
  <c r="F1599"/>
  <c r="G1599"/>
  <c r="C1605"/>
  <c r="F1605" s="1"/>
  <c r="F1607" s="1"/>
  <c r="F1623" s="1"/>
  <c r="G1623" s="1"/>
  <c r="C1608"/>
  <c r="F1608" s="1"/>
  <c r="F1610" s="1"/>
  <c r="F1624" s="1"/>
  <c r="G1624" s="1"/>
  <c r="F1616"/>
  <c r="G1616" s="1"/>
  <c r="F1617"/>
  <c r="G1617" s="1"/>
  <c r="F1618"/>
  <c r="G1618" s="1"/>
  <c r="F1619"/>
  <c r="G1619" s="1"/>
  <c r="F1620"/>
  <c r="G1620" s="1"/>
  <c r="F1621"/>
  <c r="G1621" s="1"/>
  <c r="F1622"/>
  <c r="G1622" s="1"/>
  <c r="F1625"/>
  <c r="G1625" s="1"/>
  <c r="F1639"/>
  <c r="G1639" s="1"/>
  <c r="E1648"/>
  <c r="F1648"/>
  <c r="G1648" s="1"/>
  <c r="E1649"/>
  <c r="F1649"/>
  <c r="F1650"/>
  <c r="G1650" s="1"/>
  <c r="F1651"/>
  <c r="G1651" s="1"/>
  <c r="E1652"/>
  <c r="F1652"/>
  <c r="F1653"/>
  <c r="G1653" s="1"/>
  <c r="D1656"/>
  <c r="E1664"/>
  <c r="E1666"/>
  <c r="D1668"/>
  <c r="D1672"/>
  <c r="D1757"/>
  <c r="E1757"/>
  <c r="F1757"/>
  <c r="G1757"/>
  <c r="C1763"/>
  <c r="F1763" s="1"/>
  <c r="F1765" s="1"/>
  <c r="F1797" s="1"/>
  <c r="G1797" s="1"/>
  <c r="C1766"/>
  <c r="F1766" s="1"/>
  <c r="F1768" s="1"/>
  <c r="F1798" s="1"/>
  <c r="G1798" s="1"/>
  <c r="F1775"/>
  <c r="G1775" s="1"/>
  <c r="F1777"/>
  <c r="G1777" s="1"/>
  <c r="F1779"/>
  <c r="G1779" s="1"/>
  <c r="F1781"/>
  <c r="G1781" s="1"/>
  <c r="F1783"/>
  <c r="G1783" s="1"/>
  <c r="F1785"/>
  <c r="G1785" s="1"/>
  <c r="F1786"/>
  <c r="G1786" s="1"/>
  <c r="F1787"/>
  <c r="G1787" s="1"/>
  <c r="F1789"/>
  <c r="G1789" s="1"/>
  <c r="F1790"/>
  <c r="G1790" s="1"/>
  <c r="F1791"/>
  <c r="G1791" s="1"/>
  <c r="F1792"/>
  <c r="G1792" s="1"/>
  <c r="F1793"/>
  <c r="G1793" s="1"/>
  <c r="F1794"/>
  <c r="G1794" s="1"/>
  <c r="F1795"/>
  <c r="G1795" s="1"/>
  <c r="F1796"/>
  <c r="G1796" s="1"/>
  <c r="F1799"/>
  <c r="G1799" s="1"/>
  <c r="F1819"/>
  <c r="G1819" s="1"/>
  <c r="E1829"/>
  <c r="F1829"/>
  <c r="E1830"/>
  <c r="F1830"/>
  <c r="F1831"/>
  <c r="G1831" s="1"/>
  <c r="F1832"/>
  <c r="G1832" s="1"/>
  <c r="F1833"/>
  <c r="G1833" s="1"/>
  <c r="F1834"/>
  <c r="G1834" s="1"/>
  <c r="E1835"/>
  <c r="F1835"/>
  <c r="F1836"/>
  <c r="G1836" s="1"/>
  <c r="D1839"/>
  <c r="E1847"/>
  <c r="E1849"/>
  <c r="D1851"/>
  <c r="D1855"/>
  <c r="D1955"/>
  <c r="E2029" s="1"/>
  <c r="E1955"/>
  <c r="F1955"/>
  <c r="G1955"/>
  <c r="C1961"/>
  <c r="F1961" s="1"/>
  <c r="F1963" s="1"/>
  <c r="F1999" s="1"/>
  <c r="G1999" s="1"/>
  <c r="C1964"/>
  <c r="F1964" s="1"/>
  <c r="F1966" s="1"/>
  <c r="F2000" s="1"/>
  <c r="G2000" s="1"/>
  <c r="F1973"/>
  <c r="G1973" s="1"/>
  <c r="F1974"/>
  <c r="G1974" s="1"/>
  <c r="F1975"/>
  <c r="G1975" s="1"/>
  <c r="F1977"/>
  <c r="G1977" s="1"/>
  <c r="F1978"/>
  <c r="G1978" s="1"/>
  <c r="F1979"/>
  <c r="G1979" s="1"/>
  <c r="F1980"/>
  <c r="G1980" s="1"/>
  <c r="F1982"/>
  <c r="G1982" s="1"/>
  <c r="F1983"/>
  <c r="G1983" s="1"/>
  <c r="F1985"/>
  <c r="G1985" s="1"/>
  <c r="F1986"/>
  <c r="G1986" s="1"/>
  <c r="F1987"/>
  <c r="G1987" s="1"/>
  <c r="F1988"/>
  <c r="G1988" s="1"/>
  <c r="F1989"/>
  <c r="G1989" s="1"/>
  <c r="F1990"/>
  <c r="G1990" s="1"/>
  <c r="F1991"/>
  <c r="G1991" s="1"/>
  <c r="F1992"/>
  <c r="G1992" s="1"/>
  <c r="F1993"/>
  <c r="G1993" s="1"/>
  <c r="F1994"/>
  <c r="G1994" s="1"/>
  <c r="F1995"/>
  <c r="G1995" s="1"/>
  <c r="F1996"/>
  <c r="G1996" s="1"/>
  <c r="F1997"/>
  <c r="G1997" s="1"/>
  <c r="F1998"/>
  <c r="G1998" s="1"/>
  <c r="F2001"/>
  <c r="G2001" s="1"/>
  <c r="F2019"/>
  <c r="G2019" s="1"/>
  <c r="F2029"/>
  <c r="G2029" s="1"/>
  <c r="E2030"/>
  <c r="F2030"/>
  <c r="G2030" s="1"/>
  <c r="F2031"/>
  <c r="G2031" s="1"/>
  <c r="F2032"/>
  <c r="G2032" s="1"/>
  <c r="F2033"/>
  <c r="G2033" s="1"/>
  <c r="E2034"/>
  <c r="F2034"/>
  <c r="F2035"/>
  <c r="G2035" s="1"/>
  <c r="D2038"/>
  <c r="E2046"/>
  <c r="E2048"/>
  <c r="D2050"/>
  <c r="D2054"/>
  <c r="D2055"/>
  <c r="D2134"/>
  <c r="E2134"/>
  <c r="E2191" s="1"/>
  <c r="F2134"/>
  <c r="G2134"/>
  <c r="E2194" s="1"/>
  <c r="C2140"/>
  <c r="F2140" s="1"/>
  <c r="F2142" s="1"/>
  <c r="F2161" s="1"/>
  <c r="G2161" s="1"/>
  <c r="C2143"/>
  <c r="F2143" s="1"/>
  <c r="F2145" s="1"/>
  <c r="F2162" s="1"/>
  <c r="G2162" s="1"/>
  <c r="F2151"/>
  <c r="G2151" s="1"/>
  <c r="F2152"/>
  <c r="G2152" s="1"/>
  <c r="F2153"/>
  <c r="G2153" s="1"/>
  <c r="F2154"/>
  <c r="G2154" s="1"/>
  <c r="F2155"/>
  <c r="G2155" s="1"/>
  <c r="F2156"/>
  <c r="G2156" s="1"/>
  <c r="F2157"/>
  <c r="G2157" s="1"/>
  <c r="F2158"/>
  <c r="G2158" s="1"/>
  <c r="F2159"/>
  <c r="G2159" s="1"/>
  <c r="F2160"/>
  <c r="G2160" s="1"/>
  <c r="F2163"/>
  <c r="G2163" s="1"/>
  <c r="F2181"/>
  <c r="G2181" s="1"/>
  <c r="E2190"/>
  <c r="F2190"/>
  <c r="G2190" s="1"/>
  <c r="F2191"/>
  <c r="F2192"/>
  <c r="G2192" s="1"/>
  <c r="F2193"/>
  <c r="G2193" s="1"/>
  <c r="F2194"/>
  <c r="F2195"/>
  <c r="G2195" s="1"/>
  <c r="D2198"/>
  <c r="E2206"/>
  <c r="E2208"/>
  <c r="D2210"/>
  <c r="D2214"/>
  <c r="D2311"/>
  <c r="E2311"/>
  <c r="F2311"/>
  <c r="G2311"/>
  <c r="E2389" s="1"/>
  <c r="C2317"/>
  <c r="F2317" s="1"/>
  <c r="F2319" s="1"/>
  <c r="F2354" s="1"/>
  <c r="G2354" s="1"/>
  <c r="C2320"/>
  <c r="F2320" s="1"/>
  <c r="F2322" s="1"/>
  <c r="F2355" s="1"/>
  <c r="G2355" s="1"/>
  <c r="F2329"/>
  <c r="G2329" s="1"/>
  <c r="F2330"/>
  <c r="G2330" s="1"/>
  <c r="F2332"/>
  <c r="G2332" s="1"/>
  <c r="F2333"/>
  <c r="G2333" s="1"/>
  <c r="F2334"/>
  <c r="G2334" s="1"/>
  <c r="F2335"/>
  <c r="G2335" s="1"/>
  <c r="F2337"/>
  <c r="G2337" s="1"/>
  <c r="F2338"/>
  <c r="G2338" s="1"/>
  <c r="F2340"/>
  <c r="G2340" s="1"/>
  <c r="F2341"/>
  <c r="G2341" s="1"/>
  <c r="F2342"/>
  <c r="G2342" s="1"/>
  <c r="F2343"/>
  <c r="G2343" s="1"/>
  <c r="F2344"/>
  <c r="G2344" s="1"/>
  <c r="F2345"/>
  <c r="G2345" s="1"/>
  <c r="F2346"/>
  <c r="G2346" s="1"/>
  <c r="F2347"/>
  <c r="G2347" s="1"/>
  <c r="F2348"/>
  <c r="G2348" s="1"/>
  <c r="F2349"/>
  <c r="G2349" s="1"/>
  <c r="F2350"/>
  <c r="G2350" s="1"/>
  <c r="F2351"/>
  <c r="G2351" s="1"/>
  <c r="F2352"/>
  <c r="G2352" s="1"/>
  <c r="F2353"/>
  <c r="G2353" s="1"/>
  <c r="F2356"/>
  <c r="G2356" s="1"/>
  <c r="F2374"/>
  <c r="G2374" s="1"/>
  <c r="E2384"/>
  <c r="F2384"/>
  <c r="G2384" s="1"/>
  <c r="E2385"/>
  <c r="F2385"/>
  <c r="G2385" s="1"/>
  <c r="F2386"/>
  <c r="G2386" s="1"/>
  <c r="F2387"/>
  <c r="G2387" s="1"/>
  <c r="F2388"/>
  <c r="G2388" s="1"/>
  <c r="F2389"/>
  <c r="F2390"/>
  <c r="G2390" s="1"/>
  <c r="D2393"/>
  <c r="E2401"/>
  <c r="E2403"/>
  <c r="D2405"/>
  <c r="D2409"/>
  <c r="D2410"/>
  <c r="C2485"/>
  <c r="F2485" s="1"/>
  <c r="F2487" s="1"/>
  <c r="F2512" s="1"/>
  <c r="G2512" s="1"/>
  <c r="C2488"/>
  <c r="F2488" s="1"/>
  <c r="F2490" s="1"/>
  <c r="F2513" s="1"/>
  <c r="G2513" s="1"/>
  <c r="F2497"/>
  <c r="G2497" s="1"/>
  <c r="F2498"/>
  <c r="G2498" s="1"/>
  <c r="F2499"/>
  <c r="G2499" s="1"/>
  <c r="F2501"/>
  <c r="G2501" s="1"/>
  <c r="F2503"/>
  <c r="G2503" s="1"/>
  <c r="F2505"/>
  <c r="G2505" s="1"/>
  <c r="F2506"/>
  <c r="G2506" s="1"/>
  <c r="F2507"/>
  <c r="G2507" s="1"/>
  <c r="F2508"/>
  <c r="G2508" s="1"/>
  <c r="F2509"/>
  <c r="G2509" s="1"/>
  <c r="F2510"/>
  <c r="G2510" s="1"/>
  <c r="F2511"/>
  <c r="G2511" s="1"/>
  <c r="F2514"/>
  <c r="G2514" s="1"/>
  <c r="F2526"/>
  <c r="G2526" s="1"/>
  <c r="F2534"/>
  <c r="G2534" s="1"/>
  <c r="F2535"/>
  <c r="G2535" s="1"/>
  <c r="F2536"/>
  <c r="G2536" s="1"/>
  <c r="F2537"/>
  <c r="G2537" s="1"/>
  <c r="F2538"/>
  <c r="G2538" s="1"/>
  <c r="F2539"/>
  <c r="G2539" s="1"/>
  <c r="D2542"/>
  <c r="E2550"/>
  <c r="E2552"/>
  <c r="D2554"/>
  <c r="D2558"/>
  <c r="D2559"/>
  <c r="C2664"/>
  <c r="F2664" s="1"/>
  <c r="F2666" s="1"/>
  <c r="F2700" s="1"/>
  <c r="G2700" s="1"/>
  <c r="C2667"/>
  <c r="F2667" s="1"/>
  <c r="F2669" s="1"/>
  <c r="F2701" s="1"/>
  <c r="G2701" s="1"/>
  <c r="F2676"/>
  <c r="G2676" s="1"/>
  <c r="F2677"/>
  <c r="G2677" s="1"/>
  <c r="F2678"/>
  <c r="G2678" s="1"/>
  <c r="F2680"/>
  <c r="G2680" s="1"/>
  <c r="F2681"/>
  <c r="G2681" s="1"/>
  <c r="F2682"/>
  <c r="G2682" s="1"/>
  <c r="F2683"/>
  <c r="G2683" s="1"/>
  <c r="F2685"/>
  <c r="G2685" s="1"/>
  <c r="F2686"/>
  <c r="G2686" s="1"/>
  <c r="F2688"/>
  <c r="G2688" s="1"/>
  <c r="F2689"/>
  <c r="G2689" s="1"/>
  <c r="F2690"/>
  <c r="G2690"/>
  <c r="F2691"/>
  <c r="G2691" s="1"/>
  <c r="F2692"/>
  <c r="G2692" s="1"/>
  <c r="F2693"/>
  <c r="G2693" s="1"/>
  <c r="F2694"/>
  <c r="G2694" s="1"/>
  <c r="F2695"/>
  <c r="G2695" s="1"/>
  <c r="F2696"/>
  <c r="G2696" s="1"/>
  <c r="F2697"/>
  <c r="G2697" s="1"/>
  <c r="F2698"/>
  <c r="G2698" s="1"/>
  <c r="F2699"/>
  <c r="G2699" s="1"/>
  <c r="F2702"/>
  <c r="G2702" s="1"/>
  <c r="F2720"/>
  <c r="G2720" s="1"/>
  <c r="F2729"/>
  <c r="G2729"/>
  <c r="F2730"/>
  <c r="G2730" s="1"/>
  <c r="F2731"/>
  <c r="G2731" s="1"/>
  <c r="F2732"/>
  <c r="G2732" s="1"/>
  <c r="F2733"/>
  <c r="G2733" s="1"/>
  <c r="F2734"/>
  <c r="G2734" s="1"/>
  <c r="D2737"/>
  <c r="E2745"/>
  <c r="E2747"/>
  <c r="D2749"/>
  <c r="D2753"/>
  <c r="D2754"/>
  <c r="C2787"/>
  <c r="F2787" s="1"/>
  <c r="F2789" s="1"/>
  <c r="F2799" s="1"/>
  <c r="G2799" s="1"/>
  <c r="C2790"/>
  <c r="F2790" s="1"/>
  <c r="F2792" s="1"/>
  <c r="F2800" s="1"/>
  <c r="G2800" s="1"/>
  <c r="E2798"/>
  <c r="F2798"/>
  <c r="F2801"/>
  <c r="G2801" s="1"/>
  <c r="E2808"/>
  <c r="E2809" s="1"/>
  <c r="E2810"/>
  <c r="E2817" s="1"/>
  <c r="E2811"/>
  <c r="F2818"/>
  <c r="G2818" s="1"/>
  <c r="D2821"/>
  <c r="E2829"/>
  <c r="E2831"/>
  <c r="D2833"/>
  <c r="D2834"/>
  <c r="E2860"/>
  <c r="F2860"/>
  <c r="E2861"/>
  <c r="F2861"/>
  <c r="G2861" s="1"/>
  <c r="E2862"/>
  <c r="F2862"/>
  <c r="G2867"/>
  <c r="G2869" s="1"/>
  <c r="G2882" s="1"/>
  <c r="E2873"/>
  <c r="F2873"/>
  <c r="G2873" s="1"/>
  <c r="E2874"/>
  <c r="F2874"/>
  <c r="G2874" s="1"/>
  <c r="D2877"/>
  <c r="E2885"/>
  <c r="E2887"/>
  <c r="D2889"/>
  <c r="C2890"/>
  <c r="E2915"/>
  <c r="F2915"/>
  <c r="E2916"/>
  <c r="F2916"/>
  <c r="G2916" s="1"/>
  <c r="F2917"/>
  <c r="G2923"/>
  <c r="G2936" s="1"/>
  <c r="E2927"/>
  <c r="F2927"/>
  <c r="G2927" s="1"/>
  <c r="E2928"/>
  <c r="F2928"/>
  <c r="D2931"/>
  <c r="E2939"/>
  <c r="E2941"/>
  <c r="D2943"/>
  <c r="D2944"/>
  <c r="E2972"/>
  <c r="E2975" s="1"/>
  <c r="F2972"/>
  <c r="G2972" s="1"/>
  <c r="E2973"/>
  <c r="F2973"/>
  <c r="G2973" s="1"/>
  <c r="E2974"/>
  <c r="F2974"/>
  <c r="G2974" s="1"/>
  <c r="F2975"/>
  <c r="G2981"/>
  <c r="G2994" s="1"/>
  <c r="F2985"/>
  <c r="G2985" s="1"/>
  <c r="F2986"/>
  <c r="G2986" s="1"/>
  <c r="D2989"/>
  <c r="E2997"/>
  <c r="E2999"/>
  <c r="D3001"/>
  <c r="D3002"/>
  <c r="E3027"/>
  <c r="E3029" s="1"/>
  <c r="F3027"/>
  <c r="G3027" s="1"/>
  <c r="G3030" s="1"/>
  <c r="G3047" s="1"/>
  <c r="E3028"/>
  <c r="F3028"/>
  <c r="G3028" s="1"/>
  <c r="F3029"/>
  <c r="G3029" s="1"/>
  <c r="G3035"/>
  <c r="F3039"/>
  <c r="G3039" s="1"/>
  <c r="F3040"/>
  <c r="G3040" s="1"/>
  <c r="D3043"/>
  <c r="G3048"/>
  <c r="E3051"/>
  <c r="E3053"/>
  <c r="D3055"/>
  <c r="D3056"/>
  <c r="E3084"/>
  <c r="E3098"/>
  <c r="F3098"/>
  <c r="E3099"/>
  <c r="F3099"/>
  <c r="E3100"/>
  <c r="F3100"/>
  <c r="G3100" s="1"/>
  <c r="F3101"/>
  <c r="G3101" s="1"/>
  <c r="F3102"/>
  <c r="G3102" s="1"/>
  <c r="G3109"/>
  <c r="F3114"/>
  <c r="G3114" s="1"/>
  <c r="F3115"/>
  <c r="G3115" s="1"/>
  <c r="D3118"/>
  <c r="G3123"/>
  <c r="E3126"/>
  <c r="E3128"/>
  <c r="D3130"/>
  <c r="D3160"/>
  <c r="F3170"/>
  <c r="G3170" s="1"/>
  <c r="E3171"/>
  <c r="F3171"/>
  <c r="F3172"/>
  <c r="G3172" s="1"/>
  <c r="F3173"/>
  <c r="G3173" s="1"/>
  <c r="F3174"/>
  <c r="G3174" s="1"/>
  <c r="G3181"/>
  <c r="G3195"/>
  <c r="F3186"/>
  <c r="G3186" s="1"/>
  <c r="F3187"/>
  <c r="G3187" s="1"/>
  <c r="G3188" s="1"/>
  <c r="D3190"/>
  <c r="E3198"/>
  <c r="E3200"/>
  <c r="D3202"/>
  <c r="D3230"/>
  <c r="E3240"/>
  <c r="F3240"/>
  <c r="G3240" s="1"/>
  <c r="E3241"/>
  <c r="F3241"/>
  <c r="E3242"/>
  <c r="F3242"/>
  <c r="G3242" s="1"/>
  <c r="F3243"/>
  <c r="G3243" s="1"/>
  <c r="F3244"/>
  <c r="G3244" s="1"/>
  <c r="G3251"/>
  <c r="G3265" s="1"/>
  <c r="F3256"/>
  <c r="G3256" s="1"/>
  <c r="F3257"/>
  <c r="G3257" s="1"/>
  <c r="D3260"/>
  <c r="E3268"/>
  <c r="E3270"/>
  <c r="D3272"/>
  <c r="D3303"/>
  <c r="E3313"/>
  <c r="F3313"/>
  <c r="E3314"/>
  <c r="F3314"/>
  <c r="E3315"/>
  <c r="F3315"/>
  <c r="G3315" s="1"/>
  <c r="F3316"/>
  <c r="G3316" s="1"/>
  <c r="F3317"/>
  <c r="G3317" s="1"/>
  <c r="G3324"/>
  <c r="F3329"/>
  <c r="G3329" s="1"/>
  <c r="F3330"/>
  <c r="G3330" s="1"/>
  <c r="D3333"/>
  <c r="G3338"/>
  <c r="E3341"/>
  <c r="E3343"/>
  <c r="D3345"/>
  <c r="G75" i="23"/>
  <c r="G76"/>
  <c r="G77" s="1"/>
  <c r="G97" s="1"/>
  <c r="G82"/>
  <c r="G84" s="1"/>
  <c r="G98" s="1"/>
  <c r="G83"/>
  <c r="F89"/>
  <c r="G89" s="1"/>
  <c r="F90"/>
  <c r="G90" s="1"/>
  <c r="D93"/>
  <c r="E101"/>
  <c r="D102"/>
  <c r="E102"/>
  <c r="C103" s="1"/>
  <c r="F128"/>
  <c r="G128" s="1"/>
  <c r="F129"/>
  <c r="G129" s="1"/>
  <c r="D133"/>
  <c r="G137"/>
  <c r="E141"/>
  <c r="D142"/>
  <c r="E142"/>
  <c r="C143" s="1"/>
  <c r="G156"/>
  <c r="G158" s="1"/>
  <c r="G180" s="1"/>
  <c r="G157"/>
  <c r="G163"/>
  <c r="G164"/>
  <c r="G165" s="1"/>
  <c r="G181" s="1"/>
  <c r="F170"/>
  <c r="G170" s="1"/>
  <c r="F171"/>
  <c r="G171" s="1"/>
  <c r="F172"/>
  <c r="G172" s="1"/>
  <c r="F173"/>
  <c r="G173" s="1"/>
  <c r="D176"/>
  <c r="E184"/>
  <c r="D185"/>
  <c r="E185"/>
  <c r="C186" s="1"/>
  <c r="G200"/>
  <c r="F212"/>
  <c r="G212" s="1"/>
  <c r="F213"/>
  <c r="G213" s="1"/>
  <c r="D218"/>
  <c r="G222"/>
  <c r="E226"/>
  <c r="D227"/>
  <c r="E227"/>
  <c r="C228" s="1"/>
  <c r="F239"/>
  <c r="C251"/>
  <c r="F251" s="1"/>
  <c r="F253" s="1"/>
  <c r="F267" s="1"/>
  <c r="G267" s="1"/>
  <c r="G268" s="1"/>
  <c r="C255"/>
  <c r="F255" s="1"/>
  <c r="F257" s="1"/>
  <c r="F269" s="1"/>
  <c r="G269" s="1"/>
  <c r="F270"/>
  <c r="G270" s="1"/>
  <c r="F271"/>
  <c r="G271" s="1"/>
  <c r="F272"/>
  <c r="G272" s="1"/>
  <c r="F273"/>
  <c r="G273" s="1"/>
  <c r="F290"/>
  <c r="G290" s="1"/>
  <c r="F291"/>
  <c r="G291" s="1"/>
  <c r="F292"/>
  <c r="G292" s="1"/>
  <c r="F293"/>
  <c r="G293" s="1"/>
  <c r="F294"/>
  <c r="G294" s="1"/>
  <c r="F295"/>
  <c r="G295" s="1"/>
  <c r="D298"/>
  <c r="E306"/>
  <c r="D307"/>
  <c r="E307"/>
  <c r="C308" s="1"/>
  <c r="C340"/>
  <c r="F340" s="1"/>
  <c r="F342" s="1"/>
  <c r="F360" s="1"/>
  <c r="G360" s="1"/>
  <c r="G361" s="1"/>
  <c r="C344"/>
  <c r="F344" s="1"/>
  <c r="F346" s="1"/>
  <c r="F359" s="1"/>
  <c r="G359" s="1"/>
  <c r="F355"/>
  <c r="G355" s="1"/>
  <c r="F356"/>
  <c r="G356" s="1"/>
  <c r="F357"/>
  <c r="G357" s="1"/>
  <c r="F358"/>
  <c r="G358" s="1"/>
  <c r="F378"/>
  <c r="G378" s="1"/>
  <c r="F379"/>
  <c r="G379" s="1"/>
  <c r="F380"/>
  <c r="G380" s="1"/>
  <c r="F381"/>
  <c r="G381" s="1"/>
  <c r="F382"/>
  <c r="G382" s="1"/>
  <c r="F383"/>
  <c r="G383" s="1"/>
  <c r="D386"/>
  <c r="E394"/>
  <c r="D395"/>
  <c r="E395"/>
  <c r="C396"/>
  <c r="G411"/>
  <c r="F423"/>
  <c r="G423" s="1"/>
  <c r="F424"/>
  <c r="G424" s="1"/>
  <c r="D428"/>
  <c r="G432"/>
  <c r="E436"/>
  <c r="D437"/>
  <c r="E437"/>
  <c r="C438" s="1"/>
  <c r="D454"/>
  <c r="G454" s="1"/>
  <c r="G456" s="1"/>
  <c r="F468" s="1"/>
  <c r="G468" s="1"/>
  <c r="G469" s="1"/>
  <c r="D457"/>
  <c r="G457" s="1"/>
  <c r="G459" s="1"/>
  <c r="F470" s="1"/>
  <c r="G470" s="1"/>
  <c r="F466"/>
  <c r="G466" s="1"/>
  <c r="F467"/>
  <c r="G467" s="1"/>
  <c r="F487"/>
  <c r="G487" s="1"/>
  <c r="F488"/>
  <c r="G488" s="1"/>
  <c r="F489"/>
  <c r="G489" s="1"/>
  <c r="F490"/>
  <c r="G490" s="1"/>
  <c r="D493"/>
  <c r="E501"/>
  <c r="D502"/>
  <c r="E502"/>
  <c r="F525"/>
  <c r="G525" s="1"/>
  <c r="F526"/>
  <c r="G526" s="1"/>
  <c r="F527"/>
  <c r="G527" s="1"/>
  <c r="G533"/>
  <c r="G534"/>
  <c r="F540"/>
  <c r="G540" s="1"/>
  <c r="F541"/>
  <c r="G541" s="1"/>
  <c r="F542"/>
  <c r="G542" s="1"/>
  <c r="D545"/>
  <c r="E553"/>
  <c r="D554"/>
  <c r="E554"/>
  <c r="C555"/>
  <c r="E581"/>
  <c r="F589"/>
  <c r="G589" s="1"/>
  <c r="F590"/>
  <c r="G590" s="1"/>
  <c r="F591"/>
  <c r="G591" s="1"/>
  <c r="F592"/>
  <c r="G592" s="1"/>
  <c r="F593"/>
  <c r="G593" s="1"/>
  <c r="F595"/>
  <c r="G595" s="1"/>
  <c r="F605"/>
  <c r="G605" s="1"/>
  <c r="F611"/>
  <c r="G611" s="1"/>
  <c r="F612"/>
  <c r="G612" s="1"/>
  <c r="F613"/>
  <c r="G613" s="1"/>
  <c r="F614"/>
  <c r="G614" s="1"/>
  <c r="D617"/>
  <c r="E625"/>
  <c r="D626"/>
  <c r="E626"/>
  <c r="C627" s="1"/>
  <c r="D647"/>
  <c r="G647" s="1"/>
  <c r="D648"/>
  <c r="G648" s="1"/>
  <c r="D649"/>
  <c r="G649" s="1"/>
  <c r="D650"/>
  <c r="G650" s="1"/>
  <c r="D651"/>
  <c r="G651" s="1"/>
  <c r="D654"/>
  <c r="G654" s="1"/>
  <c r="D655"/>
  <c r="G655" s="1"/>
  <c r="D657"/>
  <c r="D661"/>
  <c r="D662"/>
  <c r="D663"/>
  <c r="G663" s="1"/>
  <c r="D664"/>
  <c r="G664" s="1"/>
  <c r="D671"/>
  <c r="D672"/>
  <c r="D673"/>
  <c r="G673" s="1"/>
  <c r="D674"/>
  <c r="G674" s="1"/>
  <c r="D685"/>
  <c r="G685" s="1"/>
  <c r="D686"/>
  <c r="G686" s="1"/>
  <c r="D687"/>
  <c r="G687" s="1"/>
  <c r="D689"/>
  <c r="G689" s="1"/>
  <c r="D690"/>
  <c r="G690" s="1"/>
  <c r="D691"/>
  <c r="G691" s="1"/>
  <c r="D699"/>
  <c r="F720"/>
  <c r="F724"/>
  <c r="F725"/>
  <c r="F726"/>
  <c r="F727"/>
  <c r="F728"/>
  <c r="F729"/>
  <c r="F730"/>
  <c r="F733"/>
  <c r="G733" s="1"/>
  <c r="F756"/>
  <c r="G756" s="1"/>
  <c r="F757"/>
  <c r="G757" s="1"/>
  <c r="F759"/>
  <c r="G759" s="1"/>
  <c r="F760"/>
  <c r="G760" s="1"/>
  <c r="F761"/>
  <c r="G761" s="1"/>
  <c r="F762"/>
  <c r="F763"/>
  <c r="G763" s="1"/>
  <c r="D768"/>
  <c r="E776"/>
  <c r="E777"/>
  <c r="C778"/>
  <c r="D793"/>
  <c r="F803" s="1"/>
  <c r="F807"/>
  <c r="F808"/>
  <c r="F809"/>
  <c r="F810"/>
  <c r="F811"/>
  <c r="F812"/>
  <c r="F813"/>
  <c r="F814"/>
  <c r="F817"/>
  <c r="G817" s="1"/>
  <c r="F840"/>
  <c r="G840" s="1"/>
  <c r="F841"/>
  <c r="G841" s="1"/>
  <c r="F843"/>
  <c r="G843" s="1"/>
  <c r="F844"/>
  <c r="G844" s="1"/>
  <c r="F845"/>
  <c r="G845" s="1"/>
  <c r="F846"/>
  <c r="F847"/>
  <c r="G847" s="1"/>
  <c r="D852"/>
  <c r="E860"/>
  <c r="E861"/>
  <c r="C862"/>
  <c r="D876"/>
  <c r="F886" s="1"/>
  <c r="F890"/>
  <c r="F891"/>
  <c r="F892"/>
  <c r="F893"/>
  <c r="F894"/>
  <c r="F895"/>
  <c r="F896"/>
  <c r="F899"/>
  <c r="G899" s="1"/>
  <c r="F922"/>
  <c r="G922" s="1"/>
  <c r="F923"/>
  <c r="G923" s="1"/>
  <c r="F925"/>
  <c r="G925" s="1"/>
  <c r="F926"/>
  <c r="G926" s="1"/>
  <c r="F927"/>
  <c r="G927" s="1"/>
  <c r="F928"/>
  <c r="F929"/>
  <c r="G929" s="1"/>
  <c r="D933"/>
  <c r="E941"/>
  <c r="E942"/>
  <c r="C943" s="1"/>
  <c r="D957"/>
  <c r="F967"/>
  <c r="F971"/>
  <c r="F972"/>
  <c r="F973"/>
  <c r="F974"/>
  <c r="F975"/>
  <c r="F976"/>
  <c r="F977"/>
  <c r="F978"/>
  <c r="F981"/>
  <c r="G981" s="1"/>
  <c r="F1004"/>
  <c r="G1004" s="1"/>
  <c r="F1005"/>
  <c r="G1005" s="1"/>
  <c r="F1007"/>
  <c r="G1007" s="1"/>
  <c r="F1008"/>
  <c r="G1008" s="1"/>
  <c r="F1009"/>
  <c r="G1009" s="1"/>
  <c r="F1010"/>
  <c r="F1011"/>
  <c r="G1011" s="1"/>
  <c r="D1016"/>
  <c r="E1024"/>
  <c r="E1025"/>
  <c r="C1026"/>
  <c r="D1040"/>
  <c r="F1050"/>
  <c r="F1054"/>
  <c r="F1055"/>
  <c r="F1056"/>
  <c r="F1057"/>
  <c r="F1058"/>
  <c r="F1059"/>
  <c r="F1060"/>
  <c r="F1063"/>
  <c r="G1063" s="1"/>
  <c r="F1086"/>
  <c r="G1086" s="1"/>
  <c r="F1087"/>
  <c r="G1087" s="1"/>
  <c r="F1089"/>
  <c r="G1089" s="1"/>
  <c r="F1090"/>
  <c r="G1090" s="1"/>
  <c r="F1091"/>
  <c r="G1091" s="1"/>
  <c r="F1092"/>
  <c r="F1093"/>
  <c r="G1093" s="1"/>
  <c r="D1098"/>
  <c r="E1106"/>
  <c r="E1107"/>
  <c r="C1108" s="1"/>
  <c r="D1122"/>
  <c r="F1133"/>
  <c r="F1137"/>
  <c r="F1138"/>
  <c r="F1139"/>
  <c r="F1140"/>
  <c r="F1141"/>
  <c r="F1142"/>
  <c r="F1143"/>
  <c r="F1146"/>
  <c r="G1146" s="1"/>
  <c r="F1169"/>
  <c r="G1169" s="1"/>
  <c r="F1170"/>
  <c r="G1170" s="1"/>
  <c r="F1172"/>
  <c r="G1172" s="1"/>
  <c r="F1173"/>
  <c r="G1173" s="1"/>
  <c r="F1174"/>
  <c r="G1174" s="1"/>
  <c r="F1175"/>
  <c r="F1176"/>
  <c r="G1176" s="1"/>
  <c r="D1181"/>
  <c r="E1189"/>
  <c r="E1190"/>
  <c r="C1191" s="1"/>
  <c r="D1205"/>
  <c r="F1216"/>
  <c r="F1220"/>
  <c r="F1221"/>
  <c r="F1222"/>
  <c r="F1223"/>
  <c r="F1224"/>
  <c r="F1225"/>
  <c r="F1228"/>
  <c r="G1228" s="1"/>
  <c r="F1251"/>
  <c r="G1251" s="1"/>
  <c r="F1252"/>
  <c r="G1252" s="1"/>
  <c r="F1254"/>
  <c r="G1254" s="1"/>
  <c r="F1255"/>
  <c r="G1255" s="1"/>
  <c r="F1256"/>
  <c r="G1256" s="1"/>
  <c r="F1257"/>
  <c r="F1258"/>
  <c r="G1258" s="1"/>
  <c r="D1263"/>
  <c r="E1271"/>
  <c r="E1272"/>
  <c r="C1273" s="1"/>
  <c r="D1287"/>
  <c r="F1298" s="1"/>
  <c r="F1302"/>
  <c r="F1303"/>
  <c r="F1304"/>
  <c r="F1305"/>
  <c r="F1306"/>
  <c r="F1307"/>
  <c r="F1310"/>
  <c r="G1310" s="1"/>
  <c r="F1333"/>
  <c r="G1333" s="1"/>
  <c r="F1334"/>
  <c r="G1334" s="1"/>
  <c r="F1336"/>
  <c r="G1336" s="1"/>
  <c r="F1337"/>
  <c r="G1337" s="1"/>
  <c r="F1338"/>
  <c r="G1338" s="1"/>
  <c r="F1339"/>
  <c r="F1340"/>
  <c r="G1340" s="1"/>
  <c r="D1345"/>
  <c r="E1353"/>
  <c r="E1354"/>
  <c r="C1355" s="1"/>
  <c r="E1369"/>
  <c r="E1384"/>
  <c r="F1384"/>
  <c r="E1385"/>
  <c r="F1385"/>
  <c r="G1385" s="1"/>
  <c r="E1386"/>
  <c r="F1386"/>
  <c r="E1387"/>
  <c r="F1387"/>
  <c r="E1388"/>
  <c r="F1388"/>
  <c r="E1389"/>
  <c r="F1389"/>
  <c r="G1389" s="1"/>
  <c r="E1390"/>
  <c r="F1392"/>
  <c r="G1392" s="1"/>
  <c r="F1415"/>
  <c r="G1415" s="1"/>
  <c r="F1416"/>
  <c r="G1416" s="1"/>
  <c r="F1418"/>
  <c r="G1418" s="1"/>
  <c r="F1419"/>
  <c r="G1419" s="1"/>
  <c r="F1420"/>
  <c r="G1420" s="1"/>
  <c r="E1421"/>
  <c r="F1421"/>
  <c r="F1422"/>
  <c r="G1422" s="1"/>
  <c r="E1423"/>
  <c r="D1427"/>
  <c r="E1435"/>
  <c r="D1436"/>
  <c r="E1436"/>
  <c r="C1437" s="1"/>
  <c r="E1452"/>
  <c r="E1468"/>
  <c r="E1472" s="1"/>
  <c r="F1468"/>
  <c r="G1468" s="1"/>
  <c r="E1469"/>
  <c r="F1469"/>
  <c r="E1470"/>
  <c r="F1470"/>
  <c r="G1470" s="1"/>
  <c r="E1471"/>
  <c r="F1471"/>
  <c r="F1472"/>
  <c r="E1473"/>
  <c r="F1474"/>
  <c r="G1474" s="1"/>
  <c r="F1494"/>
  <c r="G1494" s="1"/>
  <c r="F1495"/>
  <c r="G1495" s="1"/>
  <c r="F1497"/>
  <c r="G1497" s="1"/>
  <c r="F1498"/>
  <c r="G1498" s="1"/>
  <c r="F1499"/>
  <c r="G1499" s="1"/>
  <c r="E1500"/>
  <c r="F1500"/>
  <c r="G1500" s="1"/>
  <c r="F1501"/>
  <c r="G1501" s="1"/>
  <c r="E1502"/>
  <c r="D1505"/>
  <c r="E1513"/>
  <c r="D1514"/>
  <c r="E1514"/>
  <c r="C1515" s="1"/>
  <c r="D1530"/>
  <c r="F1541"/>
  <c r="F1545"/>
  <c r="F1546"/>
  <c r="F1547"/>
  <c r="F1548"/>
  <c r="F1549"/>
  <c r="F1550"/>
  <c r="F1551"/>
  <c r="F1553"/>
  <c r="G1553" s="1"/>
  <c r="F1573"/>
  <c r="G1573" s="1"/>
  <c r="F1574"/>
  <c r="G1574" s="1"/>
  <c r="F1576"/>
  <c r="G1576" s="1"/>
  <c r="F1577"/>
  <c r="G1577" s="1"/>
  <c r="F1578"/>
  <c r="G1578" s="1"/>
  <c r="F1579"/>
  <c r="F1580"/>
  <c r="G1580" s="1"/>
  <c r="D1584"/>
  <c r="E1592"/>
  <c r="E1593"/>
  <c r="C1594" s="1"/>
  <c r="E1610"/>
  <c r="E1621"/>
  <c r="F1621"/>
  <c r="E1622"/>
  <c r="F1622"/>
  <c r="G1622" s="1"/>
  <c r="E1623"/>
  <c r="F1623"/>
  <c r="E1624"/>
  <c r="F1624"/>
  <c r="E1625"/>
  <c r="F1625"/>
  <c r="F1637"/>
  <c r="G1637" s="1"/>
  <c r="F1645"/>
  <c r="G1645" s="1"/>
  <c r="F1646"/>
  <c r="G1646" s="1"/>
  <c r="F1648"/>
  <c r="G1648" s="1"/>
  <c r="F1649"/>
  <c r="G1649" s="1"/>
  <c r="F1650"/>
  <c r="G1650" s="1"/>
  <c r="F1651"/>
  <c r="G1651" s="1"/>
  <c r="F1652"/>
  <c r="G1652" s="1"/>
  <c r="D1655"/>
  <c r="E1663"/>
  <c r="D1664"/>
  <c r="E1664"/>
  <c r="C1665" s="1"/>
  <c r="E1680"/>
  <c r="F1687"/>
  <c r="F1691"/>
  <c r="F1692"/>
  <c r="F1693"/>
  <c r="F1694"/>
  <c r="F1695"/>
  <c r="F1696"/>
  <c r="F1716"/>
  <c r="G1716" s="1"/>
  <c r="F1717"/>
  <c r="G1717" s="1"/>
  <c r="F1719"/>
  <c r="G1719" s="1"/>
  <c r="F1720"/>
  <c r="G1720" s="1"/>
  <c r="F1721"/>
  <c r="G1721" s="1"/>
  <c r="F1722"/>
  <c r="F1723"/>
  <c r="G1723" s="1"/>
  <c r="D1726"/>
  <c r="E1734"/>
  <c r="E1735"/>
  <c r="C1736" s="1"/>
  <c r="E1751"/>
  <c r="F1761"/>
  <c r="F1765"/>
  <c r="F1766"/>
  <c r="F1767"/>
  <c r="F1768"/>
  <c r="F1769"/>
  <c r="F1770"/>
  <c r="F1772"/>
  <c r="G1772" s="1"/>
  <c r="F1792"/>
  <c r="G1792" s="1"/>
  <c r="F1793"/>
  <c r="G1793" s="1"/>
  <c r="F1795"/>
  <c r="G1795" s="1"/>
  <c r="F1796"/>
  <c r="G1796" s="1"/>
  <c r="F1797"/>
  <c r="G1797" s="1"/>
  <c r="F1798"/>
  <c r="F1799"/>
  <c r="G1799" s="1"/>
  <c r="D1803"/>
  <c r="E1811"/>
  <c r="E1812"/>
  <c r="C1813" s="1"/>
  <c r="D1828"/>
  <c r="F1842" s="1"/>
  <c r="F1846"/>
  <c r="F1847"/>
  <c r="F1848"/>
  <c r="F1849"/>
  <c r="F1850"/>
  <c r="F1851"/>
  <c r="F1852"/>
  <c r="F1853"/>
  <c r="F1875"/>
  <c r="G1875" s="1"/>
  <c r="F1876"/>
  <c r="G1876" s="1"/>
  <c r="F1878"/>
  <c r="G1878" s="1"/>
  <c r="F1879"/>
  <c r="G1879" s="1"/>
  <c r="F1880"/>
  <c r="G1880" s="1"/>
  <c r="F1881"/>
  <c r="F1882"/>
  <c r="G1882" s="1"/>
  <c r="D1887"/>
  <c r="E1895"/>
  <c r="E1896"/>
  <c r="C1897" s="1"/>
  <c r="D1912"/>
  <c r="F1925" s="1"/>
  <c r="F1929"/>
  <c r="F1930"/>
  <c r="F1931"/>
  <c r="F1932"/>
  <c r="F1933"/>
  <c r="F1934"/>
  <c r="F1935"/>
  <c r="F1936"/>
  <c r="F1958"/>
  <c r="G1958" s="1"/>
  <c r="F1959"/>
  <c r="G1959" s="1"/>
  <c r="F1961"/>
  <c r="G1961" s="1"/>
  <c r="F1962"/>
  <c r="G1962" s="1"/>
  <c r="F1963"/>
  <c r="G1963" s="1"/>
  <c r="F1964"/>
  <c r="F1965"/>
  <c r="G1965" s="1"/>
  <c r="D1970"/>
  <c r="E1978"/>
  <c r="E1979"/>
  <c r="C1980" s="1"/>
  <c r="E1995"/>
  <c r="F2008" s="1"/>
  <c r="F2012"/>
  <c r="F2013"/>
  <c r="F2014"/>
  <c r="F2015"/>
  <c r="F2016"/>
  <c r="F2017"/>
  <c r="F2018"/>
  <c r="F2040"/>
  <c r="G2040" s="1"/>
  <c r="F2041"/>
  <c r="G2041" s="1"/>
  <c r="F2043"/>
  <c r="G2043" s="1"/>
  <c r="F2044"/>
  <c r="G2044" s="1"/>
  <c r="F2045"/>
  <c r="G2045" s="1"/>
  <c r="F2046"/>
  <c r="F2047"/>
  <c r="G2047" s="1"/>
  <c r="D2052"/>
  <c r="E2060"/>
  <c r="E2061"/>
  <c r="C2062" s="1"/>
  <c r="D2078"/>
  <c r="F2089" s="1"/>
  <c r="F2093"/>
  <c r="F2094"/>
  <c r="F2095"/>
  <c r="F2096"/>
  <c r="F2097"/>
  <c r="F2098"/>
  <c r="F2099"/>
  <c r="F2102"/>
  <c r="G2102" s="1"/>
  <c r="F2122"/>
  <c r="G2122" s="1"/>
  <c r="F2123"/>
  <c r="G2123" s="1"/>
  <c r="F2125"/>
  <c r="G2125" s="1"/>
  <c r="F2126"/>
  <c r="G2126" s="1"/>
  <c r="F2127"/>
  <c r="G2127" s="1"/>
  <c r="F2128"/>
  <c r="F2129"/>
  <c r="G2129" s="1"/>
  <c r="D2134"/>
  <c r="E2142"/>
  <c r="E2143"/>
  <c r="C2144" s="1"/>
  <c r="E2162"/>
  <c r="D2169"/>
  <c r="F2174" s="1"/>
  <c r="F2178"/>
  <c r="F2179"/>
  <c r="F2180"/>
  <c r="F2181"/>
  <c r="F2182"/>
  <c r="F2183"/>
  <c r="F2184"/>
  <c r="F2185"/>
  <c r="F2207"/>
  <c r="G2207" s="1"/>
  <c r="F2208"/>
  <c r="G2208" s="1"/>
  <c r="F2210"/>
  <c r="G2210" s="1"/>
  <c r="F2211"/>
  <c r="G2211" s="1"/>
  <c r="F2212"/>
  <c r="G2212" s="1"/>
  <c r="F2213"/>
  <c r="G2213" s="1"/>
  <c r="E2214"/>
  <c r="F2214"/>
  <c r="G2214" s="1"/>
  <c r="F2215"/>
  <c r="G2215" s="1"/>
  <c r="F2216"/>
  <c r="G2216" s="1"/>
  <c r="D2221"/>
  <c r="E2229"/>
  <c r="E2230"/>
  <c r="C2231" s="1"/>
  <c r="D2246"/>
  <c r="F2259" s="1"/>
  <c r="F2263"/>
  <c r="F2264"/>
  <c r="F2265"/>
  <c r="F2266"/>
  <c r="F2267"/>
  <c r="F2268"/>
  <c r="F2269"/>
  <c r="F2272"/>
  <c r="G2272" s="1"/>
  <c r="F2292"/>
  <c r="G2292" s="1"/>
  <c r="F2293"/>
  <c r="G2293" s="1"/>
  <c r="F2295"/>
  <c r="G2295" s="1"/>
  <c r="F2296"/>
  <c r="G2296" s="1"/>
  <c r="F2297"/>
  <c r="G2297" s="1"/>
  <c r="F2298"/>
  <c r="F2299"/>
  <c r="G2299" s="1"/>
  <c r="D2304"/>
  <c r="E2312"/>
  <c r="E2313"/>
  <c r="C2314" s="1"/>
  <c r="D2329"/>
  <c r="F2341" s="1"/>
  <c r="F2345"/>
  <c r="G2345" s="1"/>
  <c r="F2346"/>
  <c r="F2347"/>
  <c r="F2348"/>
  <c r="F2349"/>
  <c r="F2350"/>
  <c r="F2351"/>
  <c r="F2352"/>
  <c r="F2374"/>
  <c r="G2374" s="1"/>
  <c r="F2375"/>
  <c r="G2375" s="1"/>
  <c r="F2377"/>
  <c r="G2377" s="1"/>
  <c r="F2378"/>
  <c r="G2378" s="1"/>
  <c r="F2379"/>
  <c r="G2379" s="1"/>
  <c r="F2380"/>
  <c r="F2381"/>
  <c r="G2381" s="1"/>
  <c r="D2386"/>
  <c r="E2394"/>
  <c r="E2395"/>
  <c r="C2396"/>
  <c r="E2411"/>
  <c r="F2421"/>
  <c r="E2428" s="1"/>
  <c r="F2425"/>
  <c r="F2426"/>
  <c r="F2427"/>
  <c r="F2428"/>
  <c r="F2429"/>
  <c r="F2430"/>
  <c r="F2433"/>
  <c r="G2433" s="1"/>
  <c r="F2453"/>
  <c r="G2453" s="1"/>
  <c r="F2454"/>
  <c r="G2454" s="1"/>
  <c r="F2456"/>
  <c r="G2456" s="1"/>
  <c r="F2457"/>
  <c r="G2457" s="1"/>
  <c r="F2458"/>
  <c r="G2458" s="1"/>
  <c r="F2459"/>
  <c r="F2460"/>
  <c r="G2460" s="1"/>
  <c r="D2465"/>
  <c r="E2473"/>
  <c r="E2474"/>
  <c r="C2475"/>
  <c r="E2491"/>
  <c r="F2501"/>
  <c r="E2506" s="1"/>
  <c r="G2506" s="1"/>
  <c r="F2505"/>
  <c r="F2506"/>
  <c r="F2507"/>
  <c r="F2508"/>
  <c r="F2509"/>
  <c r="F2510"/>
  <c r="F2513"/>
  <c r="G2513" s="1"/>
  <c r="F2533"/>
  <c r="G2533" s="1"/>
  <c r="F2534"/>
  <c r="G2534" s="1"/>
  <c r="F2536"/>
  <c r="G2536" s="1"/>
  <c r="F2537"/>
  <c r="G2537" s="1"/>
  <c r="F2538"/>
  <c r="G2538" s="1"/>
  <c r="F2539"/>
  <c r="F2540"/>
  <c r="G2540" s="1"/>
  <c r="D2545"/>
  <c r="E2553"/>
  <c r="E2554"/>
  <c r="C2555" s="1"/>
  <c r="E2571"/>
  <c r="F2581" s="1"/>
  <c r="F2585"/>
  <c r="F2586"/>
  <c r="G2586" s="1"/>
  <c r="F2587"/>
  <c r="F2588"/>
  <c r="F2589"/>
  <c r="F2590"/>
  <c r="F2592"/>
  <c r="G2592" s="1"/>
  <c r="F2612"/>
  <c r="G2612" s="1"/>
  <c r="F2613"/>
  <c r="G2613" s="1"/>
  <c r="F2615"/>
  <c r="G2615" s="1"/>
  <c r="F2616"/>
  <c r="G2616" s="1"/>
  <c r="F2617"/>
  <c r="G2617" s="1"/>
  <c r="F2618"/>
  <c r="F2619"/>
  <c r="G2619" s="1"/>
  <c r="D2623"/>
  <c r="E2631"/>
  <c r="E2632"/>
  <c r="C2633"/>
  <c r="E2648"/>
  <c r="F2659" s="1"/>
  <c r="F2663"/>
  <c r="F2664"/>
  <c r="F2665"/>
  <c r="F2666"/>
  <c r="F2667"/>
  <c r="F2668"/>
  <c r="F2671"/>
  <c r="G2671" s="1"/>
  <c r="F2691"/>
  <c r="G2691" s="1"/>
  <c r="F2692"/>
  <c r="G2692" s="1"/>
  <c r="F2694"/>
  <c r="G2694" s="1"/>
  <c r="F2695"/>
  <c r="G2695" s="1"/>
  <c r="F2696"/>
  <c r="G2696" s="1"/>
  <c r="F2697"/>
  <c r="F2698"/>
  <c r="G2698" s="1"/>
  <c r="D2703"/>
  <c r="E2711"/>
  <c r="E2712"/>
  <c r="C2713" s="1"/>
  <c r="D2724"/>
  <c r="F2724" s="1"/>
  <c r="D2725"/>
  <c r="F2725" s="1"/>
  <c r="D2726"/>
  <c r="F2726" s="1"/>
  <c r="D2736"/>
  <c r="D2741"/>
  <c r="D2747"/>
  <c r="F2747" s="1"/>
  <c r="D2748"/>
  <c r="F2748" s="1"/>
  <c r="D2749"/>
  <c r="F2749" s="1"/>
  <c r="D2759"/>
  <c r="D2765"/>
  <c r="F2781"/>
  <c r="G2781" s="1"/>
  <c r="G2782"/>
  <c r="G2788"/>
  <c r="G2789"/>
  <c r="G2790" s="1"/>
  <c r="G2804" s="1"/>
  <c r="F2795"/>
  <c r="G2795" s="1"/>
  <c r="F2796"/>
  <c r="G2796" s="1"/>
  <c r="D2799"/>
  <c r="E2807"/>
  <c r="D2808"/>
  <c r="E2808"/>
  <c r="C2809" s="1"/>
  <c r="E2829"/>
  <c r="F2829"/>
  <c r="G2829" s="1"/>
  <c r="E2830"/>
  <c r="E2831"/>
  <c r="F2831"/>
  <c r="E2832"/>
  <c r="F2832"/>
  <c r="G2832" s="1"/>
  <c r="F2849"/>
  <c r="G2849" s="1"/>
  <c r="F2850"/>
  <c r="G2850" s="1"/>
  <c r="F2851"/>
  <c r="G2851" s="1"/>
  <c r="F2853"/>
  <c r="G2853" s="1"/>
  <c r="F2854"/>
  <c r="G2854" s="1"/>
  <c r="F2855"/>
  <c r="G2855" s="1"/>
  <c r="F2856"/>
  <c r="G2856" s="1"/>
  <c r="F2857"/>
  <c r="G2857" s="1"/>
  <c r="F2858"/>
  <c r="G2858" s="1"/>
  <c r="D2861"/>
  <c r="E2869"/>
  <c r="D2870"/>
  <c r="E2870"/>
  <c r="C2871" s="1"/>
  <c r="F2890"/>
  <c r="G2890" s="1"/>
  <c r="F2892"/>
  <c r="G2892" s="1"/>
  <c r="F2893"/>
  <c r="G2893" s="1"/>
  <c r="F2912"/>
  <c r="G2912" s="1"/>
  <c r="F2913"/>
  <c r="G2913" s="1"/>
  <c r="F2914"/>
  <c r="G2914" s="1"/>
  <c r="F2916"/>
  <c r="G2916" s="1"/>
  <c r="F2917"/>
  <c r="G2917" s="1"/>
  <c r="F2918"/>
  <c r="G2918" s="1"/>
  <c r="F2919"/>
  <c r="G2919" s="1"/>
  <c r="F2920"/>
  <c r="G2920" s="1"/>
  <c r="F2921"/>
  <c r="G2921" s="1"/>
  <c r="D2926"/>
  <c r="E2934"/>
  <c r="D2935"/>
  <c r="E2935"/>
  <c r="C2936" s="1"/>
  <c r="F2957"/>
  <c r="G2957" s="1"/>
  <c r="F2959"/>
  <c r="G2959" s="1"/>
  <c r="F2961"/>
  <c r="G2961" s="1"/>
  <c r="F2962"/>
  <c r="G2962" s="1"/>
  <c r="F2981"/>
  <c r="G2981" s="1"/>
  <c r="F2982"/>
  <c r="G2982" s="1"/>
  <c r="F2983"/>
  <c r="G2983" s="1"/>
  <c r="F2984"/>
  <c r="G2984" s="1"/>
  <c r="F2986"/>
  <c r="G2986" s="1"/>
  <c r="F2987"/>
  <c r="G2987" s="1"/>
  <c r="F2988"/>
  <c r="G2988" s="1"/>
  <c r="F2989"/>
  <c r="G2989" s="1"/>
  <c r="F2990"/>
  <c r="G2990" s="1"/>
  <c r="F2991"/>
  <c r="G2991" s="1"/>
  <c r="D2996"/>
  <c r="E3004"/>
  <c r="D3005"/>
  <c r="E3005"/>
  <c r="C3006" s="1"/>
  <c r="F3027"/>
  <c r="G3027" s="1"/>
  <c r="G3028"/>
  <c r="F3029"/>
  <c r="G3029" s="1"/>
  <c r="F3031"/>
  <c r="G3031" s="1"/>
  <c r="F3032"/>
  <c r="G3032" s="1"/>
  <c r="F3051"/>
  <c r="G3051" s="1"/>
  <c r="F3052"/>
  <c r="G3052" s="1"/>
  <c r="F3053"/>
  <c r="G3053" s="1"/>
  <c r="F3054"/>
  <c r="G3054" s="1"/>
  <c r="F3056"/>
  <c r="G3056" s="1"/>
  <c r="F3057"/>
  <c r="G3057" s="1"/>
  <c r="F3058"/>
  <c r="G3058" s="1"/>
  <c r="F3059"/>
  <c r="G3059" s="1"/>
  <c r="F3060"/>
  <c r="G3060" s="1"/>
  <c r="F3061"/>
  <c r="G3061" s="1"/>
  <c r="D3066"/>
  <c r="E3074"/>
  <c r="D3075"/>
  <c r="E3075"/>
  <c r="C3076" s="1"/>
  <c r="F3094"/>
  <c r="G3094" s="1"/>
  <c r="F3095"/>
  <c r="G3095" s="1"/>
  <c r="G3103"/>
  <c r="G3104"/>
  <c r="F3110"/>
  <c r="G3110" s="1"/>
  <c r="F3111"/>
  <c r="G3111" s="1"/>
  <c r="F3112"/>
  <c r="G3112" s="1"/>
  <c r="D3115"/>
  <c r="E3123"/>
  <c r="D3124"/>
  <c r="E3124"/>
  <c r="C3125" s="1"/>
  <c r="F3143"/>
  <c r="G3143" s="1"/>
  <c r="F3144"/>
  <c r="G3144" s="1"/>
  <c r="G3152"/>
  <c r="G3153"/>
  <c r="F3159"/>
  <c r="G3159" s="1"/>
  <c r="F3160"/>
  <c r="G3160" s="1"/>
  <c r="F3161"/>
  <c r="G3161" s="1"/>
  <c r="D3164"/>
  <c r="E3172"/>
  <c r="D3173"/>
  <c r="E3173"/>
  <c r="C3174"/>
  <c r="F3189"/>
  <c r="G3189" s="1"/>
  <c r="F3190"/>
  <c r="G3190" s="1"/>
  <c r="G3198"/>
  <c r="G3199"/>
  <c r="F3205"/>
  <c r="G3205" s="1"/>
  <c r="F3206"/>
  <c r="G3206" s="1"/>
  <c r="F3207"/>
  <c r="G3207" s="1"/>
  <c r="D3210"/>
  <c r="E3218"/>
  <c r="D3219"/>
  <c r="E3219"/>
  <c r="C3220" s="1"/>
  <c r="F3235"/>
  <c r="G3235" s="1"/>
  <c r="F3236"/>
  <c r="G3236" s="1"/>
  <c r="G3244"/>
  <c r="G3245"/>
  <c r="F3251"/>
  <c r="G3251" s="1"/>
  <c r="F3252"/>
  <c r="G3252" s="1"/>
  <c r="F3253"/>
  <c r="G3253" s="1"/>
  <c r="D3256"/>
  <c r="E3264"/>
  <c r="D3265"/>
  <c r="E3265"/>
  <c r="C3266" s="1"/>
  <c r="F3285"/>
  <c r="G3285" s="1"/>
  <c r="F3286"/>
  <c r="G3286" s="1"/>
  <c r="G3294"/>
  <c r="G3295"/>
  <c r="F3301"/>
  <c r="G3301" s="1"/>
  <c r="F3302"/>
  <c r="G3302" s="1"/>
  <c r="F3303"/>
  <c r="G3303" s="1"/>
  <c r="D3306"/>
  <c r="E3314"/>
  <c r="D3315"/>
  <c r="E3315"/>
  <c r="C3316" s="1"/>
  <c r="F3335"/>
  <c r="G3335" s="1"/>
  <c r="F3336"/>
  <c r="G3336" s="1"/>
  <c r="G3337" s="1"/>
  <c r="G3338" s="1"/>
  <c r="G3339" s="1"/>
  <c r="G3360" s="1"/>
  <c r="G3344"/>
  <c r="G3345"/>
  <c r="F3351"/>
  <c r="G3351" s="1"/>
  <c r="F3352"/>
  <c r="G3352" s="1"/>
  <c r="F3353"/>
  <c r="G3353" s="1"/>
  <c r="D3356"/>
  <c r="E3364"/>
  <c r="D3365"/>
  <c r="E3365"/>
  <c r="C3366" s="1"/>
  <c r="F3384"/>
  <c r="G3384" s="1"/>
  <c r="F3385"/>
  <c r="G3385" s="1"/>
  <c r="F3386"/>
  <c r="G3386" s="1"/>
  <c r="G3392"/>
  <c r="G3393"/>
  <c r="F3399"/>
  <c r="G3399" s="1"/>
  <c r="F3400"/>
  <c r="G3400" s="1"/>
  <c r="F3401"/>
  <c r="G3401" s="1"/>
  <c r="F3402"/>
  <c r="G3402" s="1"/>
  <c r="D3405"/>
  <c r="E3413"/>
  <c r="D3414"/>
  <c r="E3414"/>
  <c r="C3415" s="1"/>
  <c r="F3432"/>
  <c r="G3432" s="1"/>
  <c r="F3433"/>
  <c r="G3433" s="1"/>
  <c r="F3434"/>
  <c r="G3434" s="1"/>
  <c r="G3440"/>
  <c r="G3441"/>
  <c r="F3447"/>
  <c r="G3447" s="1"/>
  <c r="F3448"/>
  <c r="G3448" s="1"/>
  <c r="F3449"/>
  <c r="G3449" s="1"/>
  <c r="F3450"/>
  <c r="G3450" s="1"/>
  <c r="D3453"/>
  <c r="E3461"/>
  <c r="D3462"/>
  <c r="E3462"/>
  <c r="C3463" s="1"/>
  <c r="F3480"/>
  <c r="G3480" s="1"/>
  <c r="F3481"/>
  <c r="G3481" s="1"/>
  <c r="F3482"/>
  <c r="G3482" s="1"/>
  <c r="G3488"/>
  <c r="G3489"/>
  <c r="F3495"/>
  <c r="G3495" s="1"/>
  <c r="F3496"/>
  <c r="G3496" s="1"/>
  <c r="F3497"/>
  <c r="G3497" s="1"/>
  <c r="F3498"/>
  <c r="G3498" s="1"/>
  <c r="D3501"/>
  <c r="E3509"/>
  <c r="D3510"/>
  <c r="E3510"/>
  <c r="C3511" s="1"/>
  <c r="D3525"/>
  <c r="F3533" s="1"/>
  <c r="F3537"/>
  <c r="F3538"/>
  <c r="F3539"/>
  <c r="F3540"/>
  <c r="F3541"/>
  <c r="F3542"/>
  <c r="F3544"/>
  <c r="G3544" s="1"/>
  <c r="F3564"/>
  <c r="G3564" s="1"/>
  <c r="F3565"/>
  <c r="G3565" s="1"/>
  <c r="F3567"/>
  <c r="G3567" s="1"/>
  <c r="F3568"/>
  <c r="G3568" s="1"/>
  <c r="F3569"/>
  <c r="G3569" s="1"/>
  <c r="F3570"/>
  <c r="F3571"/>
  <c r="G3571" s="1"/>
  <c r="D3575"/>
  <c r="E3583"/>
  <c r="E3584"/>
  <c r="C3585"/>
  <c r="F3601"/>
  <c r="F3612"/>
  <c r="G3612" s="1"/>
  <c r="F3613"/>
  <c r="G3613" s="1"/>
  <c r="F3614"/>
  <c r="G3614" s="1"/>
  <c r="F3615"/>
  <c r="G3615" s="1"/>
  <c r="F3616"/>
  <c r="G3616" s="1"/>
  <c r="F3617"/>
  <c r="G3617" s="1"/>
  <c r="F3619"/>
  <c r="G3619" s="1"/>
  <c r="G3625"/>
  <c r="G3626"/>
  <c r="F3632"/>
  <c r="G3632" s="1"/>
  <c r="F3633"/>
  <c r="G3633" s="1"/>
  <c r="F3634"/>
  <c r="G3634" s="1"/>
  <c r="F3635"/>
  <c r="G3635" s="1"/>
  <c r="F3636"/>
  <c r="G3636" s="1"/>
  <c r="F3637"/>
  <c r="G3637" s="1"/>
  <c r="D3640"/>
  <c r="E3648"/>
  <c r="D3649"/>
  <c r="E3649"/>
  <c r="C3650" s="1"/>
  <c r="F3671"/>
  <c r="G3671" s="1"/>
  <c r="F3672"/>
  <c r="G3672" s="1"/>
  <c r="F3673"/>
  <c r="G3673" s="1"/>
  <c r="G3679"/>
  <c r="G3680"/>
  <c r="F3686"/>
  <c r="G3686" s="1"/>
  <c r="F3687"/>
  <c r="G3687" s="1"/>
  <c r="F3688"/>
  <c r="G3688" s="1"/>
  <c r="D3691"/>
  <c r="E3699"/>
  <c r="D3700"/>
  <c r="E3700"/>
  <c r="F3722"/>
  <c r="G3722" s="1"/>
  <c r="F3723"/>
  <c r="G3723" s="1"/>
  <c r="F3724"/>
  <c r="G3724" s="1"/>
  <c r="G3730"/>
  <c r="G3731"/>
  <c r="F3737"/>
  <c r="G3737" s="1"/>
  <c r="F3738"/>
  <c r="G3738" s="1"/>
  <c r="F3739"/>
  <c r="G3739" s="1"/>
  <c r="D3742"/>
  <c r="E3750"/>
  <c r="D3751"/>
  <c r="E3751"/>
  <c r="F3773"/>
  <c r="G3773" s="1"/>
  <c r="F3774"/>
  <c r="G3774" s="1"/>
  <c r="F3775"/>
  <c r="G3775" s="1"/>
  <c r="G3781"/>
  <c r="G3782"/>
  <c r="F3788"/>
  <c r="G3788" s="1"/>
  <c r="F3789"/>
  <c r="G3789" s="1"/>
  <c r="F3790"/>
  <c r="G3790" s="1"/>
  <c r="D3793"/>
  <c r="E3801"/>
  <c r="D3802"/>
  <c r="E3802"/>
  <c r="F3824"/>
  <c r="G3824" s="1"/>
  <c r="F3825"/>
  <c r="G3825" s="1"/>
  <c r="F3826"/>
  <c r="G3826" s="1"/>
  <c r="G3832"/>
  <c r="G3833"/>
  <c r="F3839"/>
  <c r="G3839" s="1"/>
  <c r="F3840"/>
  <c r="G3840" s="1"/>
  <c r="F3841"/>
  <c r="G3841" s="1"/>
  <c r="D3844"/>
  <c r="E3852"/>
  <c r="D3853"/>
  <c r="E3853"/>
  <c r="F3875"/>
  <c r="G3875" s="1"/>
  <c r="F3876"/>
  <c r="G3876" s="1"/>
  <c r="F3877"/>
  <c r="G3877" s="1"/>
  <c r="G3883"/>
  <c r="G3884"/>
  <c r="F3890"/>
  <c r="G3890" s="1"/>
  <c r="F3891"/>
  <c r="G3891" s="1"/>
  <c r="F3892"/>
  <c r="G3892" s="1"/>
  <c r="D3895"/>
  <c r="E3903"/>
  <c r="D3904"/>
  <c r="E3904"/>
  <c r="F3926"/>
  <c r="G3926" s="1"/>
  <c r="F3927"/>
  <c r="G3927" s="1"/>
  <c r="F3928"/>
  <c r="G3928" s="1"/>
  <c r="G3934"/>
  <c r="G3935"/>
  <c r="F3941"/>
  <c r="G3941" s="1"/>
  <c r="F3942"/>
  <c r="G3942" s="1"/>
  <c r="F3943"/>
  <c r="G3943" s="1"/>
  <c r="D3946"/>
  <c r="E3954"/>
  <c r="D3955"/>
  <c r="E3955"/>
  <c r="F3978"/>
  <c r="G3978" s="1"/>
  <c r="F3979"/>
  <c r="G3979" s="1"/>
  <c r="F3980"/>
  <c r="G3980" s="1"/>
  <c r="G3986"/>
  <c r="G3987"/>
  <c r="F3993"/>
  <c r="G3993" s="1"/>
  <c r="F3994"/>
  <c r="G3994" s="1"/>
  <c r="F3995"/>
  <c r="G3995" s="1"/>
  <c r="D3998"/>
  <c r="E4006"/>
  <c r="D4007"/>
  <c r="E4007"/>
  <c r="F4029"/>
  <c r="G4029" s="1"/>
  <c r="F4030"/>
  <c r="G4030" s="1"/>
  <c r="F4031"/>
  <c r="G4031" s="1"/>
  <c r="G4037"/>
  <c r="G4038"/>
  <c r="F4044"/>
  <c r="G4044" s="1"/>
  <c r="F4045"/>
  <c r="G4045" s="1"/>
  <c r="F4046"/>
  <c r="G4046" s="1"/>
  <c r="D4049"/>
  <c r="E4057"/>
  <c r="D4058"/>
  <c r="E4058"/>
  <c r="F4080"/>
  <c r="G4080" s="1"/>
  <c r="F4081"/>
  <c r="G4081" s="1"/>
  <c r="F4082"/>
  <c r="G4082" s="1"/>
  <c r="G4088"/>
  <c r="G4089"/>
  <c r="F4095"/>
  <c r="G4095" s="1"/>
  <c r="F4096"/>
  <c r="G4096" s="1"/>
  <c r="F4097"/>
  <c r="G4097" s="1"/>
  <c r="D4100"/>
  <c r="E4108"/>
  <c r="D4109"/>
  <c r="E4109"/>
  <c r="F4131"/>
  <c r="G4131" s="1"/>
  <c r="G4132" s="1"/>
  <c r="G4153" s="1"/>
  <c r="G4137"/>
  <c r="G4138"/>
  <c r="F4144"/>
  <c r="G4144" s="1"/>
  <c r="F4145"/>
  <c r="G4145" s="1"/>
  <c r="F4146"/>
  <c r="G4146" s="1"/>
  <c r="D4149"/>
  <c r="E4157"/>
  <c r="D4158"/>
  <c r="E4158"/>
  <c r="C4159" s="1"/>
  <c r="F4177"/>
  <c r="G4177" s="1"/>
  <c r="G4178"/>
  <c r="G4184"/>
  <c r="G4185"/>
  <c r="G4186" s="1"/>
  <c r="G4201" s="1"/>
  <c r="F4191"/>
  <c r="G4191" s="1"/>
  <c r="F4192"/>
  <c r="G4192" s="1"/>
  <c r="F4193"/>
  <c r="G4193" s="1"/>
  <c r="D4196"/>
  <c r="E4204"/>
  <c r="D4205"/>
  <c r="E4205"/>
  <c r="C4206" s="1"/>
  <c r="F4224"/>
  <c r="G4224" s="1"/>
  <c r="G4225"/>
  <c r="E4231"/>
  <c r="E4232"/>
  <c r="E4238"/>
  <c r="F4239"/>
  <c r="G4239" s="1"/>
  <c r="F4240"/>
  <c r="G4240" s="1"/>
  <c r="F4241"/>
  <c r="G4241" s="1"/>
  <c r="D4244"/>
  <c r="E4252"/>
  <c r="D4253"/>
  <c r="E4253"/>
  <c r="C4254" s="1"/>
  <c r="F4272"/>
  <c r="G4272" s="1"/>
  <c r="F4273"/>
  <c r="G4273" s="1"/>
  <c r="F4274"/>
  <c r="G4274" s="1"/>
  <c r="F4275"/>
  <c r="G4275" s="1"/>
  <c r="F4276"/>
  <c r="G4276" s="1"/>
  <c r="F4277"/>
  <c r="G4277" s="1"/>
  <c r="F4278"/>
  <c r="G4278" s="1"/>
  <c r="F4279"/>
  <c r="G4279" s="1"/>
  <c r="G4285"/>
  <c r="G4286"/>
  <c r="G4287"/>
  <c r="G4302" s="1"/>
  <c r="F4291"/>
  <c r="G4291" s="1"/>
  <c r="F4292"/>
  <c r="G4292" s="1"/>
  <c r="F4293"/>
  <c r="G4293" s="1"/>
  <c r="F4294"/>
  <c r="G4294" s="1"/>
  <c r="D4297"/>
  <c r="E4305"/>
  <c r="D4306"/>
  <c r="E4306"/>
  <c r="F4324"/>
  <c r="G4324" s="1"/>
  <c r="F4325"/>
  <c r="G4325" s="1"/>
  <c r="F4326"/>
  <c r="G4326" s="1"/>
  <c r="F4327"/>
  <c r="G4327" s="1"/>
  <c r="F4328"/>
  <c r="G4328" s="1"/>
  <c r="F4329"/>
  <c r="G4329" s="1"/>
  <c r="F4330"/>
  <c r="G4330" s="1"/>
  <c r="F4331"/>
  <c r="G4331" s="1"/>
  <c r="G4336"/>
  <c r="G4338" s="1"/>
  <c r="G4352" s="1"/>
  <c r="G4337"/>
  <c r="F4342"/>
  <c r="G4342" s="1"/>
  <c r="F4343"/>
  <c r="G4343" s="1"/>
  <c r="F4344"/>
  <c r="G4344" s="1"/>
  <c r="F4345"/>
  <c r="G4345" s="1"/>
  <c r="D4348"/>
  <c r="E4355"/>
  <c r="D4356"/>
  <c r="E4356"/>
  <c r="G26" i="22"/>
  <c r="G28" s="1"/>
  <c r="G48" s="1"/>
  <c r="G27"/>
  <c r="G33"/>
  <c r="G34"/>
  <c r="G35" s="1"/>
  <c r="G49" s="1"/>
  <c r="F40"/>
  <c r="G40" s="1"/>
  <c r="F41"/>
  <c r="G41" s="1"/>
  <c r="D44"/>
  <c r="E52"/>
  <c r="D53"/>
  <c r="E53"/>
  <c r="C54"/>
  <c r="F79"/>
  <c r="G79" s="1"/>
  <c r="F80"/>
  <c r="G80" s="1"/>
  <c r="D84"/>
  <c r="G88"/>
  <c r="E92"/>
  <c r="D93"/>
  <c r="E93"/>
  <c r="C94"/>
  <c r="G107"/>
  <c r="G108"/>
  <c r="G109" s="1"/>
  <c r="G131" s="1"/>
  <c r="G114"/>
  <c r="G115"/>
  <c r="G116" s="1"/>
  <c r="G132" s="1"/>
  <c r="F121"/>
  <c r="G121" s="1"/>
  <c r="F122"/>
  <c r="G122" s="1"/>
  <c r="F123"/>
  <c r="G123" s="1"/>
  <c r="F124"/>
  <c r="G124" s="1"/>
  <c r="D127"/>
  <c r="E135"/>
  <c r="D136"/>
  <c r="E136"/>
  <c r="C137" s="1"/>
  <c r="G151"/>
  <c r="F163"/>
  <c r="G163" s="1"/>
  <c r="F164"/>
  <c r="G164" s="1"/>
  <c r="D169"/>
  <c r="G173"/>
  <c r="E177"/>
  <c r="D178"/>
  <c r="E178"/>
  <c r="C179" s="1"/>
  <c r="F190"/>
  <c r="C202"/>
  <c r="F202" s="1"/>
  <c r="F204" s="1"/>
  <c r="F218" s="1"/>
  <c r="G218" s="1"/>
  <c r="G219" s="1"/>
  <c r="C206"/>
  <c r="F206" s="1"/>
  <c r="F208" s="1"/>
  <c r="F220" s="1"/>
  <c r="G220" s="1"/>
  <c r="F221"/>
  <c r="G221" s="1"/>
  <c r="F222"/>
  <c r="G222" s="1"/>
  <c r="F223"/>
  <c r="G223" s="1"/>
  <c r="F224"/>
  <c r="G224" s="1"/>
  <c r="F241"/>
  <c r="G241" s="1"/>
  <c r="F242"/>
  <c r="G242" s="1"/>
  <c r="F243"/>
  <c r="G243" s="1"/>
  <c r="F244"/>
  <c r="G244" s="1"/>
  <c r="F245"/>
  <c r="G245" s="1"/>
  <c r="F246"/>
  <c r="G246" s="1"/>
  <c r="D249"/>
  <c r="E257"/>
  <c r="D258"/>
  <c r="E258"/>
  <c r="C259" s="1"/>
  <c r="C291"/>
  <c r="F291" s="1"/>
  <c r="F293" s="1"/>
  <c r="F311" s="1"/>
  <c r="G311" s="1"/>
  <c r="G312" s="1"/>
  <c r="C295"/>
  <c r="F295" s="1"/>
  <c r="F297" s="1"/>
  <c r="F310" s="1"/>
  <c r="G310" s="1"/>
  <c r="F306"/>
  <c r="G306" s="1"/>
  <c r="F307"/>
  <c r="G307" s="1"/>
  <c r="F308"/>
  <c r="G308" s="1"/>
  <c r="F309"/>
  <c r="G309" s="1"/>
  <c r="F329"/>
  <c r="G329" s="1"/>
  <c r="F330"/>
  <c r="G330" s="1"/>
  <c r="F331"/>
  <c r="G331" s="1"/>
  <c r="F332"/>
  <c r="G332" s="1"/>
  <c r="F333"/>
  <c r="G333" s="1"/>
  <c r="F334"/>
  <c r="G334" s="1"/>
  <c r="D337"/>
  <c r="E345"/>
  <c r="D346"/>
  <c r="E346"/>
  <c r="C347" s="1"/>
  <c r="G362"/>
  <c r="F374"/>
  <c r="G374" s="1"/>
  <c r="F375"/>
  <c r="G375" s="1"/>
  <c r="D379"/>
  <c r="G383"/>
  <c r="E387"/>
  <c r="D388"/>
  <c r="E388"/>
  <c r="C389" s="1"/>
  <c r="D405"/>
  <c r="G405" s="1"/>
  <c r="G407" s="1"/>
  <c r="F419" s="1"/>
  <c r="G419" s="1"/>
  <c r="G420" s="1"/>
  <c r="D408"/>
  <c r="G408" s="1"/>
  <c r="G410" s="1"/>
  <c r="F421" s="1"/>
  <c r="G421" s="1"/>
  <c r="F417"/>
  <c r="G417" s="1"/>
  <c r="F418"/>
  <c r="G418" s="1"/>
  <c r="F438"/>
  <c r="G438" s="1"/>
  <c r="F439"/>
  <c r="G439" s="1"/>
  <c r="F440"/>
  <c r="G440" s="1"/>
  <c r="F441"/>
  <c r="G441" s="1"/>
  <c r="D444"/>
  <c r="E452"/>
  <c r="D453"/>
  <c r="E453"/>
  <c r="F476"/>
  <c r="G476" s="1"/>
  <c r="G479" s="1"/>
  <c r="G500" s="1"/>
  <c r="F477"/>
  <c r="G477" s="1"/>
  <c r="F478"/>
  <c r="G478" s="1"/>
  <c r="G484"/>
  <c r="G485"/>
  <c r="G486" s="1"/>
  <c r="G501" s="1"/>
  <c r="F491"/>
  <c r="G491" s="1"/>
  <c r="F492"/>
  <c r="G492" s="1"/>
  <c r="F493"/>
  <c r="G493" s="1"/>
  <c r="D496"/>
  <c r="E504"/>
  <c r="D505"/>
  <c r="E505"/>
  <c r="C506" s="1"/>
  <c r="E532"/>
  <c r="F540"/>
  <c r="G540" s="1"/>
  <c r="F541"/>
  <c r="G541" s="1"/>
  <c r="F542"/>
  <c r="G542" s="1"/>
  <c r="F543"/>
  <c r="G543" s="1"/>
  <c r="F544"/>
  <c r="G544" s="1"/>
  <c r="F545"/>
  <c r="G545" s="1"/>
  <c r="F546"/>
  <c r="G546" s="1"/>
  <c r="F556"/>
  <c r="G556" s="1"/>
  <c r="F562"/>
  <c r="G562" s="1"/>
  <c r="F563"/>
  <c r="G563" s="1"/>
  <c r="F564"/>
  <c r="G564" s="1"/>
  <c r="F565"/>
  <c r="G565" s="1"/>
  <c r="D568"/>
  <c r="E576"/>
  <c r="D577"/>
  <c r="E577"/>
  <c r="C578" s="1"/>
  <c r="D598"/>
  <c r="G598" s="1"/>
  <c r="D599"/>
  <c r="G599" s="1"/>
  <c r="D600"/>
  <c r="G600" s="1"/>
  <c r="D601"/>
  <c r="G601" s="1"/>
  <c r="D602"/>
  <c r="G602" s="1"/>
  <c r="D605"/>
  <c r="G605" s="1"/>
  <c r="D606"/>
  <c r="G606" s="1"/>
  <c r="D608"/>
  <c r="D612"/>
  <c r="D613"/>
  <c r="D614"/>
  <c r="G614" s="1"/>
  <c r="D615"/>
  <c r="G615" s="1"/>
  <c r="D622"/>
  <c r="D623"/>
  <c r="D624"/>
  <c r="G624" s="1"/>
  <c r="D625"/>
  <c r="G625" s="1"/>
  <c r="D636"/>
  <c r="G636" s="1"/>
  <c r="D637"/>
  <c r="G637" s="1"/>
  <c r="D638"/>
  <c r="G638" s="1"/>
  <c r="D640"/>
  <c r="G640" s="1"/>
  <c r="D641"/>
  <c r="G641" s="1"/>
  <c r="D642"/>
  <c r="G642" s="1"/>
  <c r="D650"/>
  <c r="F671"/>
  <c r="F668" s="1"/>
  <c r="F675"/>
  <c r="F676"/>
  <c r="F677"/>
  <c r="F678"/>
  <c r="F679"/>
  <c r="F680"/>
  <c r="F681"/>
  <c r="F684"/>
  <c r="G684" s="1"/>
  <c r="F709"/>
  <c r="G709" s="1"/>
  <c r="F710"/>
  <c r="G710" s="1"/>
  <c r="F712"/>
  <c r="G712" s="1"/>
  <c r="F713"/>
  <c r="G713" s="1"/>
  <c r="F714"/>
  <c r="G714" s="1"/>
  <c r="F715"/>
  <c r="F716"/>
  <c r="G716" s="1"/>
  <c r="D721"/>
  <c r="E729"/>
  <c r="E730"/>
  <c r="C731" s="1"/>
  <c r="D746"/>
  <c r="F756" s="1"/>
  <c r="F760"/>
  <c r="F761"/>
  <c r="F762"/>
  <c r="F763"/>
  <c r="F764"/>
  <c r="F765"/>
  <c r="F766"/>
  <c r="F767"/>
  <c r="F770"/>
  <c r="G770" s="1"/>
  <c r="F795"/>
  <c r="G795" s="1"/>
  <c r="F796"/>
  <c r="G796" s="1"/>
  <c r="F798"/>
  <c r="G798" s="1"/>
  <c r="F799"/>
  <c r="G799" s="1"/>
  <c r="F800"/>
  <c r="G800" s="1"/>
  <c r="F801"/>
  <c r="F802"/>
  <c r="G802" s="1"/>
  <c r="D807"/>
  <c r="E815"/>
  <c r="E816"/>
  <c r="C817" s="1"/>
  <c r="D831"/>
  <c r="F841" s="1"/>
  <c r="F845"/>
  <c r="F846"/>
  <c r="F847"/>
  <c r="F848"/>
  <c r="F849"/>
  <c r="F850"/>
  <c r="F851"/>
  <c r="F854"/>
  <c r="G854" s="1"/>
  <c r="F879"/>
  <c r="G879" s="1"/>
  <c r="F880"/>
  <c r="G880" s="1"/>
  <c r="F882"/>
  <c r="G882" s="1"/>
  <c r="F883"/>
  <c r="G883" s="1"/>
  <c r="F884"/>
  <c r="G884" s="1"/>
  <c r="F885"/>
  <c r="F886"/>
  <c r="G886" s="1"/>
  <c r="D890"/>
  <c r="E898"/>
  <c r="E899"/>
  <c r="C900"/>
  <c r="D914"/>
  <c r="F924" s="1"/>
  <c r="F928"/>
  <c r="F929"/>
  <c r="F930"/>
  <c r="F931"/>
  <c r="F932"/>
  <c r="F933"/>
  <c r="F934"/>
  <c r="F935"/>
  <c r="F938"/>
  <c r="G938" s="1"/>
  <c r="F963"/>
  <c r="G963" s="1"/>
  <c r="F964"/>
  <c r="G964" s="1"/>
  <c r="F966"/>
  <c r="G966" s="1"/>
  <c r="F967"/>
  <c r="G967" s="1"/>
  <c r="F968"/>
  <c r="G968" s="1"/>
  <c r="F969"/>
  <c r="F970"/>
  <c r="G970" s="1"/>
  <c r="D975"/>
  <c r="E983"/>
  <c r="E984"/>
  <c r="C985"/>
  <c r="D999"/>
  <c r="F1009" s="1"/>
  <c r="F1013"/>
  <c r="F1014"/>
  <c r="F1015"/>
  <c r="F1016"/>
  <c r="F1017"/>
  <c r="F1018"/>
  <c r="F1019"/>
  <c r="F1022"/>
  <c r="G1022" s="1"/>
  <c r="F1047"/>
  <c r="G1047" s="1"/>
  <c r="F1048"/>
  <c r="G1048" s="1"/>
  <c r="F1050"/>
  <c r="G1050" s="1"/>
  <c r="F1051"/>
  <c r="G1051" s="1"/>
  <c r="F1052"/>
  <c r="G1052" s="1"/>
  <c r="F1053"/>
  <c r="F1054"/>
  <c r="G1054" s="1"/>
  <c r="D1059"/>
  <c r="E1067"/>
  <c r="E1068"/>
  <c r="C1069" s="1"/>
  <c r="D1083"/>
  <c r="F1094"/>
  <c r="F1098"/>
  <c r="F1099"/>
  <c r="F1100"/>
  <c r="F1101"/>
  <c r="F1102"/>
  <c r="F1103"/>
  <c r="F1104"/>
  <c r="F1107"/>
  <c r="G1107" s="1"/>
  <c r="F1132"/>
  <c r="G1132" s="1"/>
  <c r="F1133"/>
  <c r="G1133" s="1"/>
  <c r="F1135"/>
  <c r="G1135" s="1"/>
  <c r="F1136"/>
  <c r="G1136" s="1"/>
  <c r="F1137"/>
  <c r="G1137" s="1"/>
  <c r="F1138"/>
  <c r="F1139"/>
  <c r="G1139" s="1"/>
  <c r="D1144"/>
  <c r="E1152"/>
  <c r="E1153"/>
  <c r="C1154" s="1"/>
  <c r="D1168"/>
  <c r="F1179" s="1"/>
  <c r="F1183"/>
  <c r="F1184"/>
  <c r="F1185"/>
  <c r="F1186"/>
  <c r="F1187"/>
  <c r="F1188"/>
  <c r="F1191"/>
  <c r="G1191" s="1"/>
  <c r="F1216"/>
  <c r="G1216" s="1"/>
  <c r="F1217"/>
  <c r="G1217" s="1"/>
  <c r="F1219"/>
  <c r="G1219" s="1"/>
  <c r="F1220"/>
  <c r="G1220" s="1"/>
  <c r="F1221"/>
  <c r="G1221" s="1"/>
  <c r="F1222"/>
  <c r="F1223"/>
  <c r="G1223" s="1"/>
  <c r="D1228"/>
  <c r="E1236"/>
  <c r="E1237"/>
  <c r="C1238" s="1"/>
  <c r="D1252"/>
  <c r="F1263"/>
  <c r="E1267" s="1"/>
  <c r="F1267"/>
  <c r="G1267" s="1"/>
  <c r="F1268"/>
  <c r="F1269"/>
  <c r="E1270"/>
  <c r="F1270"/>
  <c r="F1271"/>
  <c r="F1272"/>
  <c r="F1275"/>
  <c r="G1275" s="1"/>
  <c r="F1300"/>
  <c r="G1300" s="1"/>
  <c r="F1301"/>
  <c r="G1301" s="1"/>
  <c r="F1303"/>
  <c r="G1303" s="1"/>
  <c r="F1304"/>
  <c r="G1304" s="1"/>
  <c r="F1305"/>
  <c r="G1305" s="1"/>
  <c r="F1306"/>
  <c r="F1307"/>
  <c r="G1307" s="1"/>
  <c r="D1312"/>
  <c r="E1320"/>
  <c r="D1321"/>
  <c r="E1321"/>
  <c r="C1322"/>
  <c r="E1336"/>
  <c r="E1351"/>
  <c r="E1356" s="1"/>
  <c r="F1351"/>
  <c r="E1352"/>
  <c r="F1352"/>
  <c r="E1353"/>
  <c r="F1353"/>
  <c r="G1353" s="1"/>
  <c r="E1354"/>
  <c r="F1354"/>
  <c r="G1354" s="1"/>
  <c r="E1355"/>
  <c r="F1355"/>
  <c r="G1355" s="1"/>
  <c r="F1356"/>
  <c r="E1357"/>
  <c r="F1359"/>
  <c r="G1359" s="1"/>
  <c r="F1384"/>
  <c r="G1384" s="1"/>
  <c r="F1385"/>
  <c r="G1385" s="1"/>
  <c r="F1387"/>
  <c r="G1387" s="1"/>
  <c r="F1388"/>
  <c r="G1388" s="1"/>
  <c r="F1389"/>
  <c r="G1389" s="1"/>
  <c r="E1390"/>
  <c r="F1390"/>
  <c r="F1391"/>
  <c r="G1391" s="1"/>
  <c r="E1392"/>
  <c r="D1396"/>
  <c r="E1404"/>
  <c r="D1405"/>
  <c r="E1405"/>
  <c r="C1406" s="1"/>
  <c r="E1421"/>
  <c r="E1437"/>
  <c r="F1437"/>
  <c r="E1438"/>
  <c r="F1438"/>
  <c r="G1438" s="1"/>
  <c r="E1439"/>
  <c r="F1439"/>
  <c r="G1439" s="1"/>
  <c r="E1440"/>
  <c r="F1440"/>
  <c r="G1440" s="1"/>
  <c r="E1441"/>
  <c r="F1441"/>
  <c r="E1442"/>
  <c r="F1443"/>
  <c r="G1443" s="1"/>
  <c r="F1465"/>
  <c r="G1465" s="1"/>
  <c r="F1466"/>
  <c r="G1466" s="1"/>
  <c r="F1468"/>
  <c r="G1468" s="1"/>
  <c r="F1469"/>
  <c r="G1469" s="1"/>
  <c r="F1470"/>
  <c r="G1470" s="1"/>
  <c r="E1471"/>
  <c r="F1471"/>
  <c r="G1471" s="1"/>
  <c r="F1472"/>
  <c r="G1472" s="1"/>
  <c r="E1473"/>
  <c r="D1476"/>
  <c r="E1484"/>
  <c r="D1485"/>
  <c r="E1485"/>
  <c r="C1486" s="1"/>
  <c r="D1501"/>
  <c r="F1512" s="1"/>
  <c r="F1516"/>
  <c r="G1516" s="1"/>
  <c r="F1517"/>
  <c r="F1518"/>
  <c r="F1519"/>
  <c r="F1520"/>
  <c r="F1521"/>
  <c r="F1522"/>
  <c r="F1524"/>
  <c r="G1524" s="1"/>
  <c r="F1546"/>
  <c r="G1546" s="1"/>
  <c r="F1547"/>
  <c r="G1547" s="1"/>
  <c r="F1549"/>
  <c r="G1549" s="1"/>
  <c r="F1550"/>
  <c r="G1550" s="1"/>
  <c r="F1551"/>
  <c r="G1551" s="1"/>
  <c r="F1552"/>
  <c r="F1553"/>
  <c r="G1553" s="1"/>
  <c r="D1557"/>
  <c r="E1565"/>
  <c r="E1566"/>
  <c r="C1567"/>
  <c r="E1583"/>
  <c r="E1594"/>
  <c r="F1594"/>
  <c r="E1595"/>
  <c r="F1595"/>
  <c r="E1596"/>
  <c r="F1596"/>
  <c r="E1597"/>
  <c r="F1597"/>
  <c r="E1598"/>
  <c r="F1598"/>
  <c r="F1612"/>
  <c r="G1612" s="1"/>
  <c r="F1620"/>
  <c r="G1620" s="1"/>
  <c r="F1621"/>
  <c r="G1621" s="1"/>
  <c r="F1623"/>
  <c r="G1623" s="1"/>
  <c r="F1624"/>
  <c r="G1624" s="1"/>
  <c r="F1625"/>
  <c r="G1625" s="1"/>
  <c r="F1626"/>
  <c r="G1626" s="1"/>
  <c r="F1627"/>
  <c r="G1627" s="1"/>
  <c r="D1630"/>
  <c r="E1638"/>
  <c r="D1639"/>
  <c r="E1639"/>
  <c r="C1640"/>
  <c r="E1655"/>
  <c r="F1662"/>
  <c r="D1712" s="1"/>
  <c r="F1666"/>
  <c r="F1667"/>
  <c r="F1668"/>
  <c r="F1669"/>
  <c r="F1670"/>
  <c r="F1671"/>
  <c r="F1693"/>
  <c r="G1693" s="1"/>
  <c r="F1694"/>
  <c r="G1694" s="1"/>
  <c r="F1696"/>
  <c r="G1696" s="1"/>
  <c r="F1697"/>
  <c r="G1697" s="1"/>
  <c r="F1698"/>
  <c r="G1698" s="1"/>
  <c r="F1699"/>
  <c r="F1700"/>
  <c r="G1700" s="1"/>
  <c r="D1703"/>
  <c r="E1711"/>
  <c r="E1712"/>
  <c r="C1713" s="1"/>
  <c r="E1728"/>
  <c r="F1738" s="1"/>
  <c r="F1742"/>
  <c r="F1743"/>
  <c r="F1744"/>
  <c r="F1745"/>
  <c r="F1746"/>
  <c r="F1747"/>
  <c r="F1749"/>
  <c r="G1749" s="1"/>
  <c r="F1771"/>
  <c r="G1771" s="1"/>
  <c r="F1772"/>
  <c r="G1772" s="1"/>
  <c r="F1774"/>
  <c r="G1774" s="1"/>
  <c r="F1775"/>
  <c r="G1775" s="1"/>
  <c r="F1776"/>
  <c r="G1776" s="1"/>
  <c r="F1777"/>
  <c r="F1778"/>
  <c r="G1778" s="1"/>
  <c r="D1782"/>
  <c r="E1790"/>
  <c r="E1791"/>
  <c r="C1792" s="1"/>
  <c r="D1807"/>
  <c r="F1821" s="1"/>
  <c r="F1825"/>
  <c r="F1826"/>
  <c r="F1827"/>
  <c r="F1828"/>
  <c r="F1829"/>
  <c r="F1830"/>
  <c r="F1831"/>
  <c r="F1832"/>
  <c r="F1856"/>
  <c r="G1856" s="1"/>
  <c r="F1857"/>
  <c r="G1857" s="1"/>
  <c r="F1859"/>
  <c r="G1859" s="1"/>
  <c r="F1860"/>
  <c r="G1860" s="1"/>
  <c r="F1861"/>
  <c r="G1861" s="1"/>
  <c r="F1862"/>
  <c r="F1863"/>
  <c r="G1863" s="1"/>
  <c r="D1868"/>
  <c r="E1876"/>
  <c r="E1877"/>
  <c r="C1878" s="1"/>
  <c r="D1893"/>
  <c r="F1906" s="1"/>
  <c r="F1910"/>
  <c r="F1911"/>
  <c r="F1912"/>
  <c r="F1913"/>
  <c r="F1914"/>
  <c r="F1915"/>
  <c r="F1916"/>
  <c r="F1917"/>
  <c r="F1941"/>
  <c r="G1941" s="1"/>
  <c r="F1942"/>
  <c r="G1942" s="1"/>
  <c r="F1944"/>
  <c r="G1944" s="1"/>
  <c r="F1945"/>
  <c r="G1945" s="1"/>
  <c r="F1946"/>
  <c r="G1946" s="1"/>
  <c r="F1947"/>
  <c r="F1948"/>
  <c r="G1948" s="1"/>
  <c r="D1953"/>
  <c r="E1961"/>
  <c r="E1962"/>
  <c r="C1963" s="1"/>
  <c r="E1978"/>
  <c r="F1991" s="1"/>
  <c r="F1995"/>
  <c r="F1996"/>
  <c r="F1997"/>
  <c r="F1998"/>
  <c r="F1999"/>
  <c r="F2000"/>
  <c r="F2001"/>
  <c r="F2025"/>
  <c r="G2025" s="1"/>
  <c r="F2026"/>
  <c r="G2026" s="1"/>
  <c r="F2028"/>
  <c r="G2028" s="1"/>
  <c r="F2029"/>
  <c r="G2029" s="1"/>
  <c r="F2030"/>
  <c r="G2030" s="1"/>
  <c r="F2031"/>
  <c r="F2032"/>
  <c r="G2032" s="1"/>
  <c r="D2037"/>
  <c r="E2045"/>
  <c r="E2046"/>
  <c r="C2047" s="1"/>
  <c r="D2063"/>
  <c r="F2074"/>
  <c r="E2078" s="1"/>
  <c r="F2078"/>
  <c r="G2078" s="1"/>
  <c r="F2079"/>
  <c r="F2080"/>
  <c r="F2081"/>
  <c r="F2082"/>
  <c r="F2083"/>
  <c r="F2084"/>
  <c r="E2085"/>
  <c r="F2087"/>
  <c r="G2087" s="1"/>
  <c r="F2109"/>
  <c r="G2109" s="1"/>
  <c r="F2110"/>
  <c r="G2110" s="1"/>
  <c r="F2112"/>
  <c r="G2112" s="1"/>
  <c r="F2113"/>
  <c r="G2113" s="1"/>
  <c r="F2114"/>
  <c r="G2114" s="1"/>
  <c r="F2115"/>
  <c r="F2116"/>
  <c r="G2116" s="1"/>
  <c r="E2117"/>
  <c r="D2121"/>
  <c r="E2129"/>
  <c r="E2130"/>
  <c r="C2131"/>
  <c r="E2149"/>
  <c r="D2156"/>
  <c r="F2161" s="1"/>
  <c r="F2165"/>
  <c r="F2166"/>
  <c r="F2167"/>
  <c r="F2168"/>
  <c r="F2169"/>
  <c r="F2170"/>
  <c r="F2171"/>
  <c r="F2172"/>
  <c r="F2196"/>
  <c r="G2196" s="1"/>
  <c r="F2197"/>
  <c r="G2197" s="1"/>
  <c r="F2199"/>
  <c r="G2199" s="1"/>
  <c r="F2200"/>
  <c r="G2200" s="1"/>
  <c r="F2201"/>
  <c r="G2201" s="1"/>
  <c r="F2202"/>
  <c r="G2202" s="1"/>
  <c r="E2203"/>
  <c r="F2203"/>
  <c r="F2204"/>
  <c r="G2204" s="1"/>
  <c r="F2205"/>
  <c r="G2205" s="1"/>
  <c r="D2210"/>
  <c r="E2218"/>
  <c r="E2219"/>
  <c r="C2220" s="1"/>
  <c r="D2235"/>
  <c r="F2248" s="1"/>
  <c r="F2252"/>
  <c r="F2253"/>
  <c r="F2254"/>
  <c r="F2255"/>
  <c r="F2256"/>
  <c r="F2257"/>
  <c r="F2258"/>
  <c r="F2261"/>
  <c r="G2261" s="1"/>
  <c r="F2283"/>
  <c r="G2283" s="1"/>
  <c r="F2284"/>
  <c r="G2284" s="1"/>
  <c r="F2286"/>
  <c r="G2286" s="1"/>
  <c r="F2287"/>
  <c r="G2287" s="1"/>
  <c r="F2288"/>
  <c r="G2288" s="1"/>
  <c r="F2289"/>
  <c r="F2290"/>
  <c r="G2290" s="1"/>
  <c r="D2295"/>
  <c r="E2303"/>
  <c r="E2304"/>
  <c r="C2305"/>
  <c r="D2320"/>
  <c r="F2332" s="1"/>
  <c r="F2336"/>
  <c r="F2337"/>
  <c r="F2338"/>
  <c r="G2338" s="1"/>
  <c r="F2339"/>
  <c r="F2340"/>
  <c r="F2341"/>
  <c r="F2342"/>
  <c r="F2343"/>
  <c r="F2367"/>
  <c r="G2367" s="1"/>
  <c r="F2368"/>
  <c r="G2368"/>
  <c r="F2370"/>
  <c r="G2370" s="1"/>
  <c r="F2371"/>
  <c r="G2371" s="1"/>
  <c r="F2372"/>
  <c r="G2372"/>
  <c r="F2373"/>
  <c r="F2374"/>
  <c r="G2374" s="1"/>
  <c r="D2379"/>
  <c r="E2387"/>
  <c r="E2388"/>
  <c r="C2389"/>
  <c r="E2404"/>
  <c r="F2414"/>
  <c r="E2421" s="1"/>
  <c r="F2418"/>
  <c r="F2419"/>
  <c r="F2420"/>
  <c r="F2421"/>
  <c r="F2422"/>
  <c r="F2423"/>
  <c r="F2426"/>
  <c r="G2426" s="1"/>
  <c r="F2448"/>
  <c r="G2448" s="1"/>
  <c r="F2449"/>
  <c r="G2449" s="1"/>
  <c r="F2451"/>
  <c r="G2451" s="1"/>
  <c r="F2452"/>
  <c r="G2452" s="1"/>
  <c r="F2453"/>
  <c r="G2453" s="1"/>
  <c r="F2454"/>
  <c r="F2455"/>
  <c r="G2455" s="1"/>
  <c r="D2460"/>
  <c r="E2468"/>
  <c r="E2469"/>
  <c r="C2470" s="1"/>
  <c r="E2486"/>
  <c r="F2496" s="1"/>
  <c r="F2500"/>
  <c r="F2501"/>
  <c r="G2501" s="1"/>
  <c r="F2502"/>
  <c r="F2503"/>
  <c r="F2504"/>
  <c r="F2505"/>
  <c r="F2508"/>
  <c r="G2508" s="1"/>
  <c r="F2530"/>
  <c r="G2530" s="1"/>
  <c r="F2531"/>
  <c r="G2531" s="1"/>
  <c r="F2533"/>
  <c r="G2533" s="1"/>
  <c r="F2534"/>
  <c r="G2534" s="1"/>
  <c r="F2535"/>
  <c r="G2535" s="1"/>
  <c r="F2536"/>
  <c r="F2537"/>
  <c r="G2537" s="1"/>
  <c r="D2542"/>
  <c r="E2550"/>
  <c r="E2551"/>
  <c r="C2552"/>
  <c r="E2568"/>
  <c r="F2578" s="1"/>
  <c r="F2582"/>
  <c r="F2583"/>
  <c r="F2584"/>
  <c r="F2585"/>
  <c r="F2586"/>
  <c r="F2587"/>
  <c r="F2589"/>
  <c r="G2589" s="1"/>
  <c r="F2611"/>
  <c r="G2611" s="1"/>
  <c r="F2612"/>
  <c r="G2612" s="1"/>
  <c r="F2614"/>
  <c r="G2614" s="1"/>
  <c r="F2615"/>
  <c r="G2615" s="1"/>
  <c r="F2616"/>
  <c r="G2616" s="1"/>
  <c r="F2617"/>
  <c r="F2618"/>
  <c r="G2618" s="1"/>
  <c r="D2622"/>
  <c r="E2630"/>
  <c r="E2631"/>
  <c r="C2632" s="1"/>
  <c r="E2647"/>
  <c r="F2658" s="1"/>
  <c r="F2662"/>
  <c r="F2663"/>
  <c r="F2664"/>
  <c r="F2665"/>
  <c r="F2666"/>
  <c r="F2667"/>
  <c r="F2670"/>
  <c r="G2670" s="1"/>
  <c r="F2692"/>
  <c r="G2692" s="1"/>
  <c r="F2693"/>
  <c r="G2693" s="1"/>
  <c r="F2695"/>
  <c r="G2695" s="1"/>
  <c r="F2696"/>
  <c r="G2696" s="1"/>
  <c r="F2697"/>
  <c r="G2697" s="1"/>
  <c r="F2698"/>
  <c r="F2699"/>
  <c r="G2699" s="1"/>
  <c r="D2704"/>
  <c r="E2712"/>
  <c r="E2713"/>
  <c r="C2714" s="1"/>
  <c r="D2725"/>
  <c r="F2725"/>
  <c r="D2726"/>
  <c r="F2726" s="1"/>
  <c r="D2727"/>
  <c r="F2727" s="1"/>
  <c r="D2737"/>
  <c r="D2742"/>
  <c r="D2748"/>
  <c r="F2748" s="1"/>
  <c r="D2749"/>
  <c r="F2749" s="1"/>
  <c r="D2750"/>
  <c r="F2750" s="1"/>
  <c r="D2760"/>
  <c r="D2766"/>
  <c r="F2782"/>
  <c r="G2782" s="1"/>
  <c r="G2783"/>
  <c r="G2790"/>
  <c r="G2791"/>
  <c r="F2797"/>
  <c r="G2797" s="1"/>
  <c r="F2798"/>
  <c r="G2798" s="1"/>
  <c r="D2801"/>
  <c r="E2809"/>
  <c r="D2810"/>
  <c r="E2810"/>
  <c r="C2811"/>
  <c r="E2831"/>
  <c r="F2831"/>
  <c r="G2831" s="1"/>
  <c r="E2832"/>
  <c r="F2832"/>
  <c r="G2832" s="1"/>
  <c r="E2833"/>
  <c r="F2833"/>
  <c r="E2834"/>
  <c r="F2834"/>
  <c r="G2834" s="1"/>
  <c r="F2853"/>
  <c r="G2853" s="1"/>
  <c r="F2854"/>
  <c r="G2854" s="1"/>
  <c r="F2855"/>
  <c r="G2855" s="1"/>
  <c r="F2857"/>
  <c r="G2857" s="1"/>
  <c r="F2858"/>
  <c r="G2858" s="1"/>
  <c r="F2859"/>
  <c r="G2859" s="1"/>
  <c r="F2860"/>
  <c r="G2860" s="1"/>
  <c r="F2861"/>
  <c r="G2861" s="1"/>
  <c r="F2862"/>
  <c r="G2862" s="1"/>
  <c r="D2865"/>
  <c r="E2873"/>
  <c r="D2874"/>
  <c r="E2874"/>
  <c r="C2875" s="1"/>
  <c r="F2894"/>
  <c r="G2894" s="1"/>
  <c r="F2895"/>
  <c r="G2895" s="1"/>
  <c r="F2896"/>
  <c r="G2896" s="1"/>
  <c r="F2897"/>
  <c r="G2897" s="1"/>
  <c r="F2918"/>
  <c r="G2918" s="1"/>
  <c r="F2919"/>
  <c r="G2919"/>
  <c r="F2920"/>
  <c r="G2920" s="1"/>
  <c r="F2922"/>
  <c r="G2922" s="1"/>
  <c r="F2923"/>
  <c r="G2923" s="1"/>
  <c r="F2924"/>
  <c r="G2924" s="1"/>
  <c r="F2925"/>
  <c r="G2925" s="1"/>
  <c r="F2926"/>
  <c r="G2926" s="1"/>
  <c r="F2927"/>
  <c r="G2927" s="1"/>
  <c r="D2932"/>
  <c r="E2940"/>
  <c r="D2941"/>
  <c r="E2941"/>
  <c r="C2942" s="1"/>
  <c r="F2963"/>
  <c r="G2963" s="1"/>
  <c r="G2969" s="1"/>
  <c r="F2964"/>
  <c r="G2964" s="1"/>
  <c r="F2965"/>
  <c r="G2965" s="1"/>
  <c r="F2966"/>
  <c r="G2966" s="1"/>
  <c r="F2967"/>
  <c r="G2967" s="1"/>
  <c r="F2968"/>
  <c r="G2968" s="1"/>
  <c r="F2989"/>
  <c r="G2989" s="1"/>
  <c r="F2990"/>
  <c r="G2990" s="1"/>
  <c r="F2991"/>
  <c r="G2991" s="1"/>
  <c r="F2992"/>
  <c r="G2992" s="1"/>
  <c r="F2994"/>
  <c r="G2994" s="1"/>
  <c r="F2995"/>
  <c r="G2995" s="1"/>
  <c r="F2996"/>
  <c r="G2996" s="1"/>
  <c r="F2997"/>
  <c r="G2997" s="1"/>
  <c r="F2998"/>
  <c r="G2998" s="1"/>
  <c r="F2999"/>
  <c r="G2999" s="1"/>
  <c r="D3004"/>
  <c r="E3012"/>
  <c r="D3013"/>
  <c r="E3013"/>
  <c r="C3014"/>
  <c r="F3035"/>
  <c r="G3035" s="1"/>
  <c r="F3036"/>
  <c r="G3036" s="1"/>
  <c r="F3037"/>
  <c r="G3037" s="1"/>
  <c r="F3038"/>
  <c r="G3038" s="1"/>
  <c r="F3039"/>
  <c r="G3039" s="1"/>
  <c r="F3040"/>
  <c r="G3040" s="1"/>
  <c r="F3061"/>
  <c r="G3061" s="1"/>
  <c r="F3062"/>
  <c r="G3062" s="1"/>
  <c r="F3063"/>
  <c r="G3063" s="1"/>
  <c r="F3064"/>
  <c r="G3064" s="1"/>
  <c r="F3066"/>
  <c r="G3066" s="1"/>
  <c r="F3067"/>
  <c r="G3067" s="1"/>
  <c r="F3068"/>
  <c r="G3068" s="1"/>
  <c r="F3069"/>
  <c r="G3069" s="1"/>
  <c r="F3070"/>
  <c r="G3070" s="1"/>
  <c r="F3071"/>
  <c r="G3071" s="1"/>
  <c r="D3076"/>
  <c r="E3084"/>
  <c r="D3085"/>
  <c r="E3085"/>
  <c r="C3086" s="1"/>
  <c r="F3104"/>
  <c r="G3104" s="1"/>
  <c r="F3105"/>
  <c r="G3105" s="1"/>
  <c r="G3114"/>
  <c r="G3115"/>
  <c r="G3116" s="1"/>
  <c r="G3131" s="1"/>
  <c r="F3121"/>
  <c r="G3121" s="1"/>
  <c r="F3122"/>
  <c r="G3122" s="1"/>
  <c r="F3123"/>
  <c r="G3123" s="1"/>
  <c r="D3126"/>
  <c r="E3134"/>
  <c r="D3135"/>
  <c r="E3135"/>
  <c r="C3136" s="1"/>
  <c r="F3154"/>
  <c r="G3154" s="1"/>
  <c r="F3155"/>
  <c r="G3155" s="1"/>
  <c r="G3164"/>
  <c r="G3165"/>
  <c r="F3171"/>
  <c r="G3171" s="1"/>
  <c r="F3172"/>
  <c r="G3172" s="1"/>
  <c r="F3173"/>
  <c r="G3173" s="1"/>
  <c r="D3176"/>
  <c r="E3184"/>
  <c r="D3185"/>
  <c r="E3185"/>
  <c r="C3186" s="1"/>
  <c r="F3201"/>
  <c r="G3201" s="1"/>
  <c r="F3202"/>
  <c r="G3202" s="1"/>
  <c r="G3211"/>
  <c r="G3212"/>
  <c r="F3218"/>
  <c r="G3218" s="1"/>
  <c r="F3219"/>
  <c r="G3219" s="1"/>
  <c r="F3220"/>
  <c r="G3220" s="1"/>
  <c r="D3223"/>
  <c r="E3231"/>
  <c r="D3232"/>
  <c r="E3232"/>
  <c r="C3233" s="1"/>
  <c r="F3248"/>
  <c r="G3248" s="1"/>
  <c r="F3249"/>
  <c r="G3249" s="1"/>
  <c r="G3258"/>
  <c r="G3259"/>
  <c r="G3260" s="1"/>
  <c r="G3275" s="1"/>
  <c r="F3265"/>
  <c r="G3265" s="1"/>
  <c r="F3266"/>
  <c r="G3266" s="1"/>
  <c r="F3267"/>
  <c r="G3267" s="1"/>
  <c r="D3270"/>
  <c r="E3278"/>
  <c r="D3279"/>
  <c r="E3279"/>
  <c r="C3280" s="1"/>
  <c r="F3299"/>
  <c r="G3299" s="1"/>
  <c r="F3300"/>
  <c r="G3300" s="1"/>
  <c r="G3309"/>
  <c r="G3310"/>
  <c r="F3316"/>
  <c r="G3316" s="1"/>
  <c r="F3317"/>
  <c r="G3317" s="1"/>
  <c r="F3318"/>
  <c r="G3318" s="1"/>
  <c r="D3321"/>
  <c r="E3329"/>
  <c r="D3330"/>
  <c r="E3330"/>
  <c r="C3331" s="1"/>
  <c r="F3350"/>
  <c r="G3350" s="1"/>
  <c r="F3351"/>
  <c r="G3351" s="1"/>
  <c r="G3360"/>
  <c r="G3361"/>
  <c r="F3367"/>
  <c r="G3367" s="1"/>
  <c r="F3368"/>
  <c r="G3368" s="1"/>
  <c r="F3369"/>
  <c r="G3369" s="1"/>
  <c r="D3372"/>
  <c r="E3380"/>
  <c r="D3381"/>
  <c r="E3381"/>
  <c r="C3382" s="1"/>
  <c r="F3400"/>
  <c r="G3400" s="1"/>
  <c r="F3401"/>
  <c r="G3401" s="1"/>
  <c r="F3402"/>
  <c r="G3402" s="1"/>
  <c r="G3410"/>
  <c r="G3412" s="1"/>
  <c r="G3428" s="1"/>
  <c r="G3411"/>
  <c r="F3417"/>
  <c r="G3417" s="1"/>
  <c r="F3418"/>
  <c r="G3418" s="1"/>
  <c r="F3419"/>
  <c r="G3419" s="1"/>
  <c r="F3420"/>
  <c r="G3420" s="1"/>
  <c r="D3423"/>
  <c r="E3431"/>
  <c r="D3432"/>
  <c r="E3432"/>
  <c r="C3433"/>
  <c r="F3450"/>
  <c r="G3450" s="1"/>
  <c r="F3451"/>
  <c r="G3451" s="1"/>
  <c r="F3452"/>
  <c r="G3452" s="1"/>
  <c r="G3460"/>
  <c r="G3461"/>
  <c r="F3467"/>
  <c r="G3467" s="1"/>
  <c r="F3468"/>
  <c r="G3468" s="1"/>
  <c r="F3469"/>
  <c r="G3469" s="1"/>
  <c r="F3470"/>
  <c r="G3470" s="1"/>
  <c r="D3473"/>
  <c r="E3481"/>
  <c r="D3482"/>
  <c r="E3482"/>
  <c r="C3483" s="1"/>
  <c r="F3500"/>
  <c r="G3500" s="1"/>
  <c r="F3501"/>
  <c r="G3501" s="1"/>
  <c r="F3502"/>
  <c r="G3502" s="1"/>
  <c r="G3510"/>
  <c r="G3511"/>
  <c r="F3517"/>
  <c r="G3517" s="1"/>
  <c r="F3518"/>
  <c r="G3518" s="1"/>
  <c r="F3519"/>
  <c r="G3519" s="1"/>
  <c r="F3520"/>
  <c r="G3520" s="1"/>
  <c r="D3523"/>
  <c r="E3531"/>
  <c r="D3532"/>
  <c r="E3532"/>
  <c r="C3533" s="1"/>
  <c r="D3547"/>
  <c r="F3555" s="1"/>
  <c r="F3559"/>
  <c r="F3560"/>
  <c r="F3561"/>
  <c r="F3562"/>
  <c r="F3563"/>
  <c r="F3564"/>
  <c r="F3566"/>
  <c r="G3566" s="1"/>
  <c r="F3588"/>
  <c r="G3588" s="1"/>
  <c r="F3589"/>
  <c r="G3589" s="1"/>
  <c r="F3591"/>
  <c r="G3591" s="1"/>
  <c r="F3592"/>
  <c r="G3592" s="1"/>
  <c r="F3593"/>
  <c r="G3593" s="1"/>
  <c r="F3594"/>
  <c r="F3595"/>
  <c r="G3595" s="1"/>
  <c r="D3599"/>
  <c r="E3607"/>
  <c r="E3608"/>
  <c r="C3609" s="1"/>
  <c r="F3625"/>
  <c r="F3636"/>
  <c r="G3636" s="1"/>
  <c r="F3637"/>
  <c r="G3637" s="1"/>
  <c r="F3638"/>
  <c r="G3638" s="1"/>
  <c r="F3639"/>
  <c r="G3639" s="1"/>
  <c r="F3640"/>
  <c r="G3640" s="1"/>
  <c r="F3641"/>
  <c r="G3641" s="1"/>
  <c r="F3643"/>
  <c r="G3643" s="1"/>
  <c r="G3651"/>
  <c r="G3652"/>
  <c r="F3658"/>
  <c r="G3658" s="1"/>
  <c r="F3659"/>
  <c r="G3659" s="1"/>
  <c r="F3660"/>
  <c r="G3660" s="1"/>
  <c r="F3661"/>
  <c r="G3661" s="1"/>
  <c r="F3662"/>
  <c r="G3662" s="1"/>
  <c r="F3663"/>
  <c r="G3663" s="1"/>
  <c r="D3666"/>
  <c r="E3674"/>
  <c r="D3675"/>
  <c r="E3675"/>
  <c r="C3676" s="1"/>
  <c r="F3697"/>
  <c r="G3697" s="1"/>
  <c r="F3698"/>
  <c r="G3698" s="1"/>
  <c r="F3699"/>
  <c r="G3699" s="1"/>
  <c r="G3706"/>
  <c r="G3707"/>
  <c r="F3713"/>
  <c r="G3713" s="1"/>
  <c r="F3714"/>
  <c r="G3714" s="1"/>
  <c r="F3715"/>
  <c r="G3715" s="1"/>
  <c r="D3718"/>
  <c r="E3726"/>
  <c r="D3727"/>
  <c r="E3727"/>
  <c r="F3749"/>
  <c r="G3749" s="1"/>
  <c r="F3750"/>
  <c r="G3750" s="1"/>
  <c r="F3751"/>
  <c r="G3751" s="1"/>
  <c r="G3758"/>
  <c r="G3760" s="1"/>
  <c r="G3775" s="1"/>
  <c r="G3759"/>
  <c r="F3765"/>
  <c r="G3765" s="1"/>
  <c r="F3766"/>
  <c r="G3766" s="1"/>
  <c r="F3767"/>
  <c r="G3767" s="1"/>
  <c r="D3770"/>
  <c r="E3778"/>
  <c r="D3779"/>
  <c r="E3779"/>
  <c r="F3801"/>
  <c r="G3801" s="1"/>
  <c r="F3802"/>
  <c r="G3802" s="1"/>
  <c r="F3803"/>
  <c r="G3803" s="1"/>
  <c r="G3810"/>
  <c r="G3811"/>
  <c r="G3812" s="1"/>
  <c r="G3827" s="1"/>
  <c r="F3817"/>
  <c r="G3817" s="1"/>
  <c r="F3818"/>
  <c r="G3818" s="1"/>
  <c r="F3819"/>
  <c r="G3819" s="1"/>
  <c r="D3822"/>
  <c r="E3830"/>
  <c r="D3831"/>
  <c r="E3831"/>
  <c r="F3853"/>
  <c r="G3853" s="1"/>
  <c r="F3854"/>
  <c r="G3854" s="1"/>
  <c r="F3855"/>
  <c r="G3855" s="1"/>
  <c r="G3862"/>
  <c r="G3863"/>
  <c r="G3864"/>
  <c r="G3879" s="1"/>
  <c r="F3869"/>
  <c r="G3869" s="1"/>
  <c r="F3870"/>
  <c r="G3870" s="1"/>
  <c r="F3871"/>
  <c r="G3871" s="1"/>
  <c r="D3874"/>
  <c r="E3882"/>
  <c r="D3883"/>
  <c r="E3883"/>
  <c r="F3905"/>
  <c r="G3905" s="1"/>
  <c r="F3906"/>
  <c r="G3906" s="1"/>
  <c r="G3909" s="1"/>
  <c r="G3930" s="1"/>
  <c r="F3907"/>
  <c r="G3907" s="1"/>
  <c r="G3914"/>
  <c r="G3915"/>
  <c r="F3921"/>
  <c r="G3921" s="1"/>
  <c r="F3922"/>
  <c r="G3922" s="1"/>
  <c r="F3923"/>
  <c r="G3923" s="1"/>
  <c r="D3926"/>
  <c r="E3934"/>
  <c r="D3935"/>
  <c r="E3935"/>
  <c r="F3957"/>
  <c r="G3957" s="1"/>
  <c r="F3958"/>
  <c r="G3958" s="1"/>
  <c r="F3959"/>
  <c r="G3959" s="1"/>
  <c r="G3966"/>
  <c r="G3968" s="1"/>
  <c r="G3983" s="1"/>
  <c r="G3967"/>
  <c r="F3973"/>
  <c r="G3973" s="1"/>
  <c r="F3974"/>
  <c r="G3974" s="1"/>
  <c r="F3975"/>
  <c r="G3975" s="1"/>
  <c r="D3978"/>
  <c r="E3986"/>
  <c r="D3987"/>
  <c r="E3987"/>
  <c r="F4010"/>
  <c r="G4010" s="1"/>
  <c r="F4011"/>
  <c r="G4011" s="1"/>
  <c r="F4012"/>
  <c r="G4012" s="1"/>
  <c r="G4019"/>
  <c r="G4020"/>
  <c r="F4026"/>
  <c r="G4026" s="1"/>
  <c r="F4027"/>
  <c r="G4027" s="1"/>
  <c r="F4028"/>
  <c r="G4028" s="1"/>
  <c r="D4031"/>
  <c r="E4039"/>
  <c r="D4040"/>
  <c r="E4040"/>
  <c r="F4062"/>
  <c r="G4062" s="1"/>
  <c r="F4063"/>
  <c r="G4063" s="1"/>
  <c r="F4064"/>
  <c r="G4064" s="1"/>
  <c r="G4071"/>
  <c r="G4072"/>
  <c r="G4073"/>
  <c r="G4088" s="1"/>
  <c r="F4078"/>
  <c r="G4078" s="1"/>
  <c r="F4079"/>
  <c r="G4079" s="1"/>
  <c r="F4080"/>
  <c r="G4080" s="1"/>
  <c r="D4083"/>
  <c r="E4091"/>
  <c r="D4092"/>
  <c r="E4092"/>
  <c r="F4114"/>
  <c r="G4114" s="1"/>
  <c r="F4115"/>
  <c r="G4115" s="1"/>
  <c r="F4116"/>
  <c r="G4116" s="1"/>
  <c r="G4123"/>
  <c r="G4124"/>
  <c r="F4130"/>
  <c r="G4130" s="1"/>
  <c r="F4131"/>
  <c r="G4131" s="1"/>
  <c r="F4132"/>
  <c r="G4132" s="1"/>
  <c r="D4135"/>
  <c r="E4143"/>
  <c r="D4144"/>
  <c r="E4144"/>
  <c r="F4165"/>
  <c r="G4165" s="1"/>
  <c r="F4166"/>
  <c r="G4166" s="1"/>
  <c r="G4174"/>
  <c r="G4175"/>
  <c r="G4176" s="1"/>
  <c r="G4191" s="1"/>
  <c r="F4181"/>
  <c r="G4181" s="1"/>
  <c r="F4182"/>
  <c r="G4182" s="1"/>
  <c r="G4184" s="1"/>
  <c r="F4183"/>
  <c r="G4183" s="1"/>
  <c r="D4186"/>
  <c r="E4194"/>
  <c r="D4195"/>
  <c r="E4195"/>
  <c r="C4196" s="1"/>
  <c r="F4214"/>
  <c r="G4214" s="1"/>
  <c r="G4217" s="1"/>
  <c r="G4238" s="1"/>
  <c r="G4215"/>
  <c r="G4222"/>
  <c r="G4223"/>
  <c r="G4224" s="1"/>
  <c r="G4239" s="1"/>
  <c r="F4229"/>
  <c r="G4229" s="1"/>
  <c r="F4230"/>
  <c r="G4230" s="1"/>
  <c r="F4231"/>
  <c r="G4231" s="1"/>
  <c r="D4234"/>
  <c r="E4242"/>
  <c r="D4243"/>
  <c r="E4243"/>
  <c r="C4244" s="1"/>
  <c r="F4262"/>
  <c r="G4262" s="1"/>
  <c r="G4263"/>
  <c r="E4270"/>
  <c r="E4271"/>
  <c r="E4277"/>
  <c r="F4278"/>
  <c r="G4278" s="1"/>
  <c r="F4279"/>
  <c r="G4279" s="1"/>
  <c r="F4280"/>
  <c r="G4280" s="1"/>
  <c r="D4283"/>
  <c r="E4291"/>
  <c r="D4292"/>
  <c r="E4292"/>
  <c r="C4293" s="1"/>
  <c r="F4311"/>
  <c r="G4311" s="1"/>
  <c r="F4312"/>
  <c r="G4312" s="1"/>
  <c r="F4313"/>
  <c r="G4313" s="1"/>
  <c r="F4314"/>
  <c r="G4314" s="1"/>
  <c r="F4315"/>
  <c r="G4315" s="1"/>
  <c r="F4316"/>
  <c r="G4316" s="1"/>
  <c r="F4317"/>
  <c r="G4317" s="1"/>
  <c r="F4318"/>
  <c r="G4318" s="1"/>
  <c r="G4327"/>
  <c r="G4328"/>
  <c r="F4333"/>
  <c r="G4333" s="1"/>
  <c r="F4334"/>
  <c r="G4334" s="1"/>
  <c r="F4335"/>
  <c r="G4335" s="1"/>
  <c r="F4336"/>
  <c r="G4336" s="1"/>
  <c r="D4339"/>
  <c r="E4347"/>
  <c r="D4348"/>
  <c r="E4348"/>
  <c r="F4366"/>
  <c r="G4366" s="1"/>
  <c r="F4367"/>
  <c r="G4367" s="1"/>
  <c r="F4368"/>
  <c r="G4368" s="1"/>
  <c r="F4369"/>
  <c r="G4369" s="1"/>
  <c r="F4370"/>
  <c r="G4370" s="1"/>
  <c r="F4371"/>
  <c r="G4371" s="1"/>
  <c r="F4372"/>
  <c r="G4372" s="1"/>
  <c r="F4373"/>
  <c r="G4373" s="1"/>
  <c r="G4381"/>
  <c r="G4382"/>
  <c r="F4387"/>
  <c r="G4387" s="1"/>
  <c r="F4388"/>
  <c r="G4388" s="1"/>
  <c r="F4389"/>
  <c r="G4389" s="1"/>
  <c r="F4390"/>
  <c r="G4390" s="1"/>
  <c r="D4393"/>
  <c r="E4400"/>
  <c r="D4401"/>
  <c r="E4401"/>
  <c r="G106" i="21"/>
  <c r="G107"/>
  <c r="F125"/>
  <c r="G125" s="1"/>
  <c r="D128"/>
  <c r="E136"/>
  <c r="D137"/>
  <c r="E137"/>
  <c r="C138" s="1"/>
  <c r="G162"/>
  <c r="G163"/>
  <c r="F177"/>
  <c r="G177" s="1"/>
  <c r="F178"/>
  <c r="G178" s="1"/>
  <c r="D181"/>
  <c r="E189"/>
  <c r="D190"/>
  <c r="E190"/>
  <c r="C191" s="1"/>
  <c r="G225"/>
  <c r="G238"/>
  <c r="G239"/>
  <c r="F256"/>
  <c r="G256" s="1"/>
  <c r="F257"/>
  <c r="G257" s="1"/>
  <c r="F258"/>
  <c r="G258" s="1"/>
  <c r="D261"/>
  <c r="E269"/>
  <c r="D270"/>
  <c r="E270"/>
  <c r="C271" s="1"/>
  <c r="G296"/>
  <c r="G297"/>
  <c r="F311"/>
  <c r="G311" s="1"/>
  <c r="F312"/>
  <c r="G312" s="1"/>
  <c r="F313"/>
  <c r="G313" s="1"/>
  <c r="D316"/>
  <c r="E324"/>
  <c r="D325"/>
  <c r="E325"/>
  <c r="C326" s="1"/>
  <c r="G354"/>
  <c r="G356"/>
  <c r="G359" s="1"/>
  <c r="G360"/>
  <c r="G361"/>
  <c r="G362"/>
  <c r="G366" s="1"/>
  <c r="G377"/>
  <c r="G384"/>
  <c r="E405" s="1"/>
  <c r="C389"/>
  <c r="G389" s="1"/>
  <c r="G391" s="1"/>
  <c r="F402" s="1"/>
  <c r="G402" s="1"/>
  <c r="G403" s="1"/>
  <c r="C393"/>
  <c r="G393" s="1"/>
  <c r="G395" s="1"/>
  <c r="F404" s="1"/>
  <c r="G404" s="1"/>
  <c r="F405"/>
  <c r="G405" s="1"/>
  <c r="F406"/>
  <c r="G406" s="1"/>
  <c r="F407"/>
  <c r="G407" s="1"/>
  <c r="F408"/>
  <c r="G408" s="1"/>
  <c r="F409"/>
  <c r="G409" s="1"/>
  <c r="F432"/>
  <c r="G432" s="1"/>
  <c r="F433"/>
  <c r="G433" s="1"/>
  <c r="F434"/>
  <c r="G434" s="1"/>
  <c r="F435"/>
  <c r="G435" s="1"/>
  <c r="F436"/>
  <c r="G436" s="1"/>
  <c r="F437"/>
  <c r="G437" s="1"/>
  <c r="D440"/>
  <c r="E448"/>
  <c r="D449"/>
  <c r="E449"/>
  <c r="C450" s="1"/>
  <c r="G554"/>
  <c r="C577"/>
  <c r="G577" s="1"/>
  <c r="G579" s="1"/>
  <c r="F597" s="1"/>
  <c r="G597" s="1"/>
  <c r="G598" s="1"/>
  <c r="C581"/>
  <c r="G581" s="1"/>
  <c r="G583" s="1"/>
  <c r="F599" s="1"/>
  <c r="G599" s="1"/>
  <c r="F600"/>
  <c r="G600" s="1"/>
  <c r="F601"/>
  <c r="G601" s="1"/>
  <c r="F602"/>
  <c r="G602" s="1"/>
  <c r="F603"/>
  <c r="G603" s="1"/>
  <c r="F604"/>
  <c r="G604" s="1"/>
  <c r="E610"/>
  <c r="E611"/>
  <c r="E612"/>
  <c r="E613"/>
  <c r="E625"/>
  <c r="F630"/>
  <c r="G630" s="1"/>
  <c r="F631"/>
  <c r="G631" s="1"/>
  <c r="F632"/>
  <c r="G632" s="1"/>
  <c r="F633"/>
  <c r="G633" s="1"/>
  <c r="F634"/>
  <c r="G634" s="1"/>
  <c r="F635"/>
  <c r="G635" s="1"/>
  <c r="D638"/>
  <c r="E646"/>
  <c r="D647"/>
  <c r="E647"/>
  <c r="C648" s="1"/>
  <c r="G787"/>
  <c r="G791"/>
  <c r="C798"/>
  <c r="G798" s="1"/>
  <c r="G800" s="1"/>
  <c r="F833" s="1"/>
  <c r="G833" s="1"/>
  <c r="G834" s="1"/>
  <c r="C802"/>
  <c r="G802" s="1"/>
  <c r="G804" s="1"/>
  <c r="F835" s="1"/>
  <c r="G835" s="1"/>
  <c r="C812"/>
  <c r="G812" s="1"/>
  <c r="G815" s="1"/>
  <c r="C813"/>
  <c r="G813" s="1"/>
  <c r="F838"/>
  <c r="G838" s="1"/>
  <c r="F839"/>
  <c r="G839" s="1"/>
  <c r="F840"/>
  <c r="G840" s="1"/>
  <c r="F841"/>
  <c r="G841" s="1"/>
  <c r="F842"/>
  <c r="G842" s="1"/>
  <c r="F868"/>
  <c r="G868" s="1"/>
  <c r="F869"/>
  <c r="G869" s="1"/>
  <c r="F870"/>
  <c r="G870" s="1"/>
  <c r="F871"/>
  <c r="G871" s="1"/>
  <c r="F872"/>
  <c r="G872" s="1"/>
  <c r="F873"/>
  <c r="G873" s="1"/>
  <c r="D876"/>
  <c r="E884"/>
  <c r="E886"/>
  <c r="D887"/>
  <c r="E887"/>
  <c r="C888" s="1"/>
  <c r="C959"/>
  <c r="F959" s="1"/>
  <c r="F961" s="1"/>
  <c r="F975" s="1"/>
  <c r="G975" s="1"/>
  <c r="C963"/>
  <c r="F963" s="1"/>
  <c r="F965" s="1"/>
  <c r="F977" s="1"/>
  <c r="G977" s="1"/>
  <c r="F978"/>
  <c r="G978" s="1"/>
  <c r="F979"/>
  <c r="G979" s="1"/>
  <c r="F980"/>
  <c r="G980" s="1"/>
  <c r="F981"/>
  <c r="G981" s="1"/>
  <c r="F1004"/>
  <c r="G1004" s="1"/>
  <c r="F1005"/>
  <c r="G1005" s="1"/>
  <c r="F1006"/>
  <c r="G1006" s="1"/>
  <c r="F1007"/>
  <c r="G1007" s="1"/>
  <c r="F1008"/>
  <c r="G1008" s="1"/>
  <c r="F1009"/>
  <c r="G1009" s="1"/>
  <c r="D1012"/>
  <c r="E1020"/>
  <c r="E1022"/>
  <c r="D1023"/>
  <c r="E1023"/>
  <c r="C1024" s="1"/>
  <c r="F1092"/>
  <c r="G1134"/>
  <c r="G1135"/>
  <c r="G1136"/>
  <c r="G1137"/>
  <c r="G1138"/>
  <c r="D1143"/>
  <c r="G1143" s="1"/>
  <c r="G1145" s="1"/>
  <c r="F1182" s="1"/>
  <c r="G1182" s="1"/>
  <c r="D1146"/>
  <c r="G1146" s="1"/>
  <c r="G1148" s="1"/>
  <c r="F1183" s="1"/>
  <c r="G1183" s="1"/>
  <c r="D1149"/>
  <c r="G1149" s="1"/>
  <c r="G1151" s="1"/>
  <c r="F1184" s="1"/>
  <c r="G1184" s="1"/>
  <c r="G1185" s="1"/>
  <c r="D1153"/>
  <c r="G1153" s="1"/>
  <c r="G1155" s="1"/>
  <c r="F1187" s="1"/>
  <c r="G1187" s="1"/>
  <c r="D1156"/>
  <c r="G1156" s="1"/>
  <c r="G1158" s="1"/>
  <c r="F1186" s="1"/>
  <c r="G1186" s="1"/>
  <c r="F1178"/>
  <c r="F1188"/>
  <c r="G1188" s="1"/>
  <c r="F1189"/>
  <c r="G1189" s="1"/>
  <c r="F1190"/>
  <c r="G1190" s="1"/>
  <c r="F1191"/>
  <c r="G1191" s="1"/>
  <c r="F1192"/>
  <c r="G1192" s="1"/>
  <c r="F1193"/>
  <c r="G1193" s="1"/>
  <c r="F1194"/>
  <c r="G1194" s="1"/>
  <c r="F1195"/>
  <c r="G1195" s="1"/>
  <c r="F1224"/>
  <c r="G1224" s="1"/>
  <c r="F1225"/>
  <c r="G1225" s="1"/>
  <c r="F1226"/>
  <c r="G1226" s="1"/>
  <c r="F1227"/>
  <c r="G1227" s="1"/>
  <c r="F1228"/>
  <c r="G1228" s="1"/>
  <c r="F1229"/>
  <c r="G1229" s="1"/>
  <c r="D1232"/>
  <c r="E1240"/>
  <c r="D1241"/>
  <c r="E1241"/>
  <c r="C1242"/>
  <c r="G1359"/>
  <c r="G1362"/>
  <c r="D1383"/>
  <c r="G1383" s="1"/>
  <c r="G1385" s="1"/>
  <c r="F1436" s="1"/>
  <c r="G1436" s="1"/>
  <c r="D1386"/>
  <c r="G1386" s="1"/>
  <c r="G1388" s="1"/>
  <c r="F1437" s="1"/>
  <c r="G1437" s="1"/>
  <c r="D1389"/>
  <c r="G1389" s="1"/>
  <c r="G1391" s="1"/>
  <c r="F1438" s="1"/>
  <c r="G1438" s="1"/>
  <c r="G1439" s="1"/>
  <c r="D1393"/>
  <c r="G1393" s="1"/>
  <c r="G1395" s="1"/>
  <c r="F1441" s="1"/>
  <c r="G1441" s="1"/>
  <c r="D1396"/>
  <c r="G1396" s="1"/>
  <c r="G1398" s="1"/>
  <c r="F1440" s="1"/>
  <c r="G1440" s="1"/>
  <c r="D1404"/>
  <c r="D1405"/>
  <c r="G1405" s="1"/>
  <c r="G1407" s="1"/>
  <c r="F1442"/>
  <c r="G1442" s="1"/>
  <c r="F1443"/>
  <c r="G1443" s="1"/>
  <c r="F1444"/>
  <c r="G1444" s="1"/>
  <c r="F1445"/>
  <c r="G1445" s="1"/>
  <c r="F1446"/>
  <c r="G1446" s="1"/>
  <c r="F1447"/>
  <c r="G1447" s="1"/>
  <c r="F1448"/>
  <c r="G1448" s="1"/>
  <c r="F1449"/>
  <c r="G1449" s="1"/>
  <c r="F1452"/>
  <c r="G1452" s="1"/>
  <c r="F1481"/>
  <c r="G1481" s="1"/>
  <c r="F1482"/>
  <c r="G1482" s="1"/>
  <c r="F1483"/>
  <c r="G1483" s="1"/>
  <c r="F1484"/>
  <c r="G1484" s="1"/>
  <c r="F1485"/>
  <c r="G1485" s="1"/>
  <c r="F1486"/>
  <c r="G1486" s="1"/>
  <c r="D1489"/>
  <c r="E1497"/>
  <c r="E1499"/>
  <c r="D1500"/>
  <c r="E1500"/>
  <c r="C1501" s="1"/>
  <c r="D1585"/>
  <c r="G1585" s="1"/>
  <c r="G1587" s="1"/>
  <c r="F1611" s="1"/>
  <c r="G1611" s="1"/>
  <c r="D1588"/>
  <c r="G1588" s="1"/>
  <c r="G1590" s="1"/>
  <c r="F1612" s="1"/>
  <c r="G1612" s="1"/>
  <c r="D1591"/>
  <c r="G1591" s="1"/>
  <c r="G1593" s="1"/>
  <c r="F1613" s="1"/>
  <c r="G1613" s="1"/>
  <c r="D1595"/>
  <c r="G1595" s="1"/>
  <c r="G1597" s="1"/>
  <c r="F1616" s="1"/>
  <c r="G1616" s="1"/>
  <c r="D1598"/>
  <c r="G1598" s="1"/>
  <c r="G1600" s="1"/>
  <c r="F1615" s="1"/>
  <c r="G1615" s="1"/>
  <c r="F1617"/>
  <c r="G1617" s="1"/>
  <c r="F1618"/>
  <c r="G1618" s="1"/>
  <c r="F1619"/>
  <c r="G1619" s="1"/>
  <c r="F1620"/>
  <c r="G1620" s="1"/>
  <c r="F1621"/>
  <c r="G1621" s="1"/>
  <c r="F1622"/>
  <c r="G1622" s="1"/>
  <c r="F1623"/>
  <c r="G1623" s="1"/>
  <c r="F1624"/>
  <c r="G1624" s="1"/>
  <c r="F1625"/>
  <c r="G1625" s="1"/>
  <c r="F1654"/>
  <c r="G1654" s="1"/>
  <c r="F1655"/>
  <c r="G1655" s="1"/>
  <c r="F1656"/>
  <c r="G1656" s="1"/>
  <c r="F1657"/>
  <c r="G1657" s="1"/>
  <c r="F1658"/>
  <c r="G1658" s="1"/>
  <c r="F1659"/>
  <c r="G1659" s="1"/>
  <c r="D1662"/>
  <c r="E1670"/>
  <c r="E1672"/>
  <c r="D1673"/>
  <c r="E1673"/>
  <c r="C1674"/>
  <c r="E1696"/>
  <c r="G1696"/>
  <c r="G1698" s="1"/>
  <c r="G1703" s="1"/>
  <c r="F1704" s="1"/>
  <c r="E1705"/>
  <c r="G1706"/>
  <c r="G1709"/>
  <c r="G1711"/>
  <c r="F1715"/>
  <c r="G1720"/>
  <c r="E1722" s="1"/>
  <c r="G1736"/>
  <c r="G1748"/>
  <c r="G1749"/>
  <c r="F1767"/>
  <c r="G1767" s="1"/>
  <c r="F1779"/>
  <c r="G1779" s="1"/>
  <c r="F1780"/>
  <c r="G1780" s="1"/>
  <c r="D1783"/>
  <c r="E1791"/>
  <c r="D1792"/>
  <c r="E1792"/>
  <c r="C1793" s="1"/>
  <c r="D1825"/>
  <c r="G1834"/>
  <c r="G1835"/>
  <c r="F1853"/>
  <c r="G1853" s="1"/>
  <c r="F1865"/>
  <c r="G1865" s="1"/>
  <c r="F1866"/>
  <c r="G1866" s="1"/>
  <c r="E1869"/>
  <c r="E1877"/>
  <c r="D1878"/>
  <c r="E1878"/>
  <c r="C1879" s="1"/>
  <c r="G1907"/>
  <c r="G1913"/>
  <c r="G1915"/>
  <c r="G1924"/>
  <c r="G1953"/>
  <c r="G1954"/>
  <c r="F1972"/>
  <c r="G1972" s="1"/>
  <c r="F1984"/>
  <c r="G1984" s="1"/>
  <c r="F1985"/>
  <c r="G1985" s="1"/>
  <c r="E1988"/>
  <c r="E1996"/>
  <c r="D1997"/>
  <c r="E1997"/>
  <c r="C1998" s="1"/>
  <c r="G2038"/>
  <c r="G2039"/>
  <c r="F2057"/>
  <c r="G2057" s="1"/>
  <c r="F2069"/>
  <c r="G2069" s="1"/>
  <c r="F2070"/>
  <c r="G2070" s="1"/>
  <c r="D2073"/>
  <c r="E2081"/>
  <c r="D2082"/>
  <c r="E2082"/>
  <c r="C2083" s="1"/>
  <c r="G2111"/>
  <c r="G2144"/>
  <c r="G2145"/>
  <c r="F2159"/>
  <c r="G2159" s="1"/>
  <c r="F2169"/>
  <c r="G2169" s="1"/>
  <c r="F2170"/>
  <c r="G2170" s="1"/>
  <c r="D2173"/>
  <c r="E2181"/>
  <c r="D2182"/>
  <c r="E2182"/>
  <c r="C2183" s="1"/>
  <c r="G2211"/>
  <c r="F2212"/>
  <c r="F2213"/>
  <c r="D2214"/>
  <c r="F2217"/>
  <c r="G2219"/>
  <c r="G2221" s="1"/>
  <c r="F2223" s="1"/>
  <c r="G2228"/>
  <c r="E2230" s="1"/>
  <c r="E2247"/>
  <c r="G2248"/>
  <c r="G2256"/>
  <c r="G2257"/>
  <c r="F2275"/>
  <c r="G2275" s="1"/>
  <c r="F2287"/>
  <c r="G2287" s="1"/>
  <c r="F2288"/>
  <c r="G2288" s="1"/>
  <c r="D2291"/>
  <c r="E2299"/>
  <c r="D2300"/>
  <c r="E2300"/>
  <c r="C2301" s="1"/>
  <c r="E2332"/>
  <c r="G2333"/>
  <c r="G2341"/>
  <c r="G2342"/>
  <c r="F2360"/>
  <c r="G2360" s="1"/>
  <c r="F2372"/>
  <c r="G2372" s="1"/>
  <c r="F2373"/>
  <c r="G2373" s="1"/>
  <c r="D2376"/>
  <c r="E2384"/>
  <c r="D2385"/>
  <c r="E2385"/>
  <c r="C2386" s="1"/>
  <c r="E2415"/>
  <c r="G2416"/>
  <c r="G2424"/>
  <c r="G2425"/>
  <c r="F2439"/>
  <c r="G2439" s="1"/>
  <c r="F2449"/>
  <c r="G2449" s="1"/>
  <c r="F2450"/>
  <c r="G2450" s="1"/>
  <c r="D2453"/>
  <c r="E2461"/>
  <c r="D2462"/>
  <c r="E2462"/>
  <c r="C2463" s="1"/>
  <c r="G2493"/>
  <c r="F2494"/>
  <c r="E2496"/>
  <c r="G2502"/>
  <c r="F2509"/>
  <c r="G2511"/>
  <c r="E2530"/>
  <c r="E2531"/>
  <c r="G2539"/>
  <c r="G2540"/>
  <c r="F2558"/>
  <c r="G2558" s="1"/>
  <c r="F2570"/>
  <c r="G2570"/>
  <c r="F2571"/>
  <c r="G2571" s="1"/>
  <c r="D2574"/>
  <c r="E2582"/>
  <c r="D2583"/>
  <c r="E2583"/>
  <c r="C2584" s="1"/>
  <c r="E2615"/>
  <c r="D2616"/>
  <c r="G2624"/>
  <c r="G2625"/>
  <c r="F2643"/>
  <c r="G2643" s="1"/>
  <c r="F2655"/>
  <c r="G2655" s="1"/>
  <c r="F2656"/>
  <c r="G2656" s="1"/>
  <c r="D2659"/>
  <c r="E2667"/>
  <c r="D2668"/>
  <c r="E2668"/>
  <c r="C2669" s="1"/>
  <c r="G2700"/>
  <c r="F2701"/>
  <c r="G2703"/>
  <c r="G2709" s="1"/>
  <c r="E2737"/>
  <c r="G2746"/>
  <c r="G2747"/>
  <c r="F2765"/>
  <c r="G2765" s="1"/>
  <c r="F2777"/>
  <c r="G2777" s="1"/>
  <c r="F2778"/>
  <c r="G2778" s="1"/>
  <c r="D2781"/>
  <c r="E2789"/>
  <c r="D2790"/>
  <c r="E2790"/>
  <c r="C2791" s="1"/>
  <c r="D2822"/>
  <c r="D2823"/>
  <c r="G2832"/>
  <c r="G2833"/>
  <c r="F2851"/>
  <c r="G2851" s="1"/>
  <c r="F2863"/>
  <c r="G2863" s="1"/>
  <c r="F2864"/>
  <c r="G2864" s="1"/>
  <c r="E2867"/>
  <c r="E2875"/>
  <c r="D2876"/>
  <c r="E2876"/>
  <c r="C2877" s="1"/>
  <c r="F2896"/>
  <c r="E2898"/>
  <c r="G2904"/>
  <c r="E2924"/>
  <c r="G2925"/>
  <c r="G2934"/>
  <c r="G2935"/>
  <c r="F2949"/>
  <c r="G2949" s="1"/>
  <c r="F2959"/>
  <c r="G2959" s="1"/>
  <c r="F2960"/>
  <c r="G2960" s="1"/>
  <c r="D2963"/>
  <c r="E2971"/>
  <c r="D2972"/>
  <c r="E2972"/>
  <c r="C2973" s="1"/>
  <c r="G2993"/>
  <c r="E3012"/>
  <c r="G3019"/>
  <c r="G3020"/>
  <c r="F3034"/>
  <c r="G3034" s="1"/>
  <c r="F3044"/>
  <c r="G3044" s="1"/>
  <c r="F3045"/>
  <c r="G3045" s="1"/>
  <c r="D3048"/>
  <c r="E3056"/>
  <c r="D3057"/>
  <c r="E3057"/>
  <c r="C3058" s="1"/>
  <c r="D3088"/>
  <c r="G3089"/>
  <c r="F3093"/>
  <c r="D3135" s="1"/>
  <c r="G3097"/>
  <c r="G3098"/>
  <c r="F3112"/>
  <c r="G3112" s="1"/>
  <c r="F3122"/>
  <c r="G3122" s="1"/>
  <c r="F3123"/>
  <c r="G3123" s="1"/>
  <c r="D3126"/>
  <c r="E3134"/>
  <c r="E3135"/>
  <c r="C3136" s="1"/>
  <c r="D3172"/>
  <c r="E3173"/>
  <c r="F3177"/>
  <c r="D3219" s="1"/>
  <c r="G3181"/>
  <c r="G3182"/>
  <c r="F3196"/>
  <c r="G3196" s="1"/>
  <c r="F3206"/>
  <c r="G3206" s="1"/>
  <c r="F3207"/>
  <c r="G3207" s="1"/>
  <c r="D3210"/>
  <c r="E3218"/>
  <c r="E3219"/>
  <c r="C3220" s="1"/>
  <c r="D3250"/>
  <c r="E3251"/>
  <c r="F3255"/>
  <c r="D3297" s="1"/>
  <c r="G3259"/>
  <c r="G3260"/>
  <c r="F3274"/>
  <c r="G3274" s="1"/>
  <c r="F3284"/>
  <c r="G3284" s="1"/>
  <c r="F3285"/>
  <c r="G3285" s="1"/>
  <c r="D3288"/>
  <c r="E3296"/>
  <c r="E3297"/>
  <c r="C3298" s="1"/>
  <c r="F3332"/>
  <c r="D3368" s="1"/>
  <c r="F3347"/>
  <c r="G3347" s="1"/>
  <c r="F3355"/>
  <c r="G3355" s="1"/>
  <c r="F3356"/>
  <c r="G3356" s="1"/>
  <c r="D3359"/>
  <c r="E3367"/>
  <c r="E3368"/>
  <c r="C3369" s="1"/>
  <c r="F3385"/>
  <c r="D3423" s="1"/>
  <c r="F3404"/>
  <c r="G3404" s="1"/>
  <c r="F3405"/>
  <c r="G3405" s="1"/>
  <c r="F3407"/>
  <c r="G3407" s="1"/>
  <c r="F3408"/>
  <c r="G3408" s="1"/>
  <c r="F3409"/>
  <c r="G3409" s="1"/>
  <c r="F3410"/>
  <c r="G3410" s="1"/>
  <c r="F3411"/>
  <c r="G3411" s="1"/>
  <c r="D3414"/>
  <c r="E3422"/>
  <c r="E3423"/>
  <c r="C3424" s="1"/>
  <c r="F3436"/>
  <c r="D3466" s="1"/>
  <c r="E3440"/>
  <c r="E3441"/>
  <c r="F3441"/>
  <c r="G3441" s="1"/>
  <c r="G3447"/>
  <c r="G3448"/>
  <c r="F3454"/>
  <c r="G3454" s="1"/>
  <c r="G3455" s="1"/>
  <c r="G3463" s="1"/>
  <c r="D3457"/>
  <c r="E3465"/>
  <c r="E3466"/>
  <c r="C3467" s="1"/>
  <c r="F3478"/>
  <c r="D3508" s="1"/>
  <c r="E3482"/>
  <c r="E3483"/>
  <c r="F3483"/>
  <c r="G3489"/>
  <c r="G3490"/>
  <c r="F3496"/>
  <c r="G3496" s="1"/>
  <c r="G3497" s="1"/>
  <c r="G3505" s="1"/>
  <c r="D3499"/>
  <c r="E3507"/>
  <c r="E3508"/>
  <c r="C3509" s="1"/>
  <c r="E3525"/>
  <c r="F3525"/>
  <c r="G3532"/>
  <c r="G3533"/>
  <c r="F3539"/>
  <c r="G3539" s="1"/>
  <c r="G3540" s="1"/>
  <c r="G3548" s="1"/>
  <c r="D3542"/>
  <c r="E3550"/>
  <c r="D3551"/>
  <c r="E3551"/>
  <c r="C3552"/>
  <c r="E3567"/>
  <c r="F3567"/>
  <c r="G3567" s="1"/>
  <c r="G3569" s="1"/>
  <c r="G3588" s="1"/>
  <c r="G3574"/>
  <c r="G3575"/>
  <c r="F3581"/>
  <c r="G3581" s="1"/>
  <c r="G3582" s="1"/>
  <c r="D3584"/>
  <c r="E3592"/>
  <c r="D3593"/>
  <c r="E3593"/>
  <c r="C3594" s="1"/>
  <c r="G3609"/>
  <c r="G3610"/>
  <c r="F3627"/>
  <c r="G3627" s="1"/>
  <c r="F3628"/>
  <c r="G3628" s="1"/>
  <c r="G3636"/>
  <c r="G3651" s="1"/>
  <c r="F3641"/>
  <c r="G3641" s="1"/>
  <c r="F3642"/>
  <c r="G3642" s="1"/>
  <c r="F3643"/>
  <c r="G3643" s="1"/>
  <c r="D3646"/>
  <c r="E3654"/>
  <c r="D3655"/>
  <c r="E3655"/>
  <c r="C3656" s="1"/>
  <c r="G3675"/>
  <c r="E3691"/>
  <c r="G3678"/>
  <c r="E3690" s="1"/>
  <c r="F3690"/>
  <c r="F3691"/>
  <c r="E3692"/>
  <c r="F3692"/>
  <c r="G3700"/>
  <c r="F3705"/>
  <c r="G3705" s="1"/>
  <c r="F3706"/>
  <c r="G3706" s="1"/>
  <c r="D3709"/>
  <c r="G3714"/>
  <c r="E3717"/>
  <c r="D3718"/>
  <c r="E3718"/>
  <c r="C3719" s="1"/>
  <c r="F3734"/>
  <c r="G3734" s="1"/>
  <c r="F3735"/>
  <c r="G3735" s="1"/>
  <c r="F3740"/>
  <c r="G3740" s="1"/>
  <c r="G3741" s="1"/>
  <c r="G3754" s="1"/>
  <c r="F3745"/>
  <c r="G3745" s="1"/>
  <c r="F3746"/>
  <c r="G3746" s="1"/>
  <c r="D3749"/>
  <c r="E3757"/>
  <c r="D3758"/>
  <c r="E3758"/>
  <c r="C3759" s="1"/>
  <c r="F3771"/>
  <c r="F3774" s="1"/>
  <c r="F3777"/>
  <c r="F3779" s="1"/>
  <c r="F3789"/>
  <c r="G3789" s="1"/>
  <c r="F3790"/>
  <c r="G3790" s="1"/>
  <c r="F3791"/>
  <c r="G3791" s="1"/>
  <c r="F3796"/>
  <c r="G3796" s="1"/>
  <c r="F3802"/>
  <c r="G3802" s="1"/>
  <c r="G3803" s="1"/>
  <c r="E3804" s="1"/>
  <c r="D3805"/>
  <c r="E3813"/>
  <c r="D3814"/>
  <c r="E3814"/>
  <c r="G3831"/>
  <c r="E3847"/>
  <c r="G3834"/>
  <c r="E3846"/>
  <c r="F3846"/>
  <c r="F3847"/>
  <c r="G3847" s="1"/>
  <c r="E3848"/>
  <c r="F3848"/>
  <c r="G3848" s="1"/>
  <c r="G3854"/>
  <c r="G3855"/>
  <c r="F3861"/>
  <c r="G3861" s="1"/>
  <c r="F3862"/>
  <c r="G3862" s="1"/>
  <c r="D3865"/>
  <c r="E3873"/>
  <c r="D3874"/>
  <c r="E3874"/>
  <c r="C3875" s="1"/>
  <c r="G3900"/>
  <c r="E3916" s="1"/>
  <c r="G3901"/>
  <c r="E3917" s="1"/>
  <c r="G3903"/>
  <c r="E3918" s="1"/>
  <c r="G3904"/>
  <c r="E3919" s="1"/>
  <c r="F3912"/>
  <c r="D3945" s="1"/>
  <c r="F3916"/>
  <c r="F3917"/>
  <c r="F3918"/>
  <c r="G3918" s="1"/>
  <c r="F3919"/>
  <c r="G3925"/>
  <c r="G3926"/>
  <c r="F3932"/>
  <c r="G3932" s="1"/>
  <c r="F3933"/>
  <c r="G3933" s="1"/>
  <c r="D3936"/>
  <c r="E3944"/>
  <c r="E3945"/>
  <c r="C3946" s="1"/>
  <c r="G3959"/>
  <c r="E3981" s="1"/>
  <c r="E3979"/>
  <c r="F3979"/>
  <c r="F3980"/>
  <c r="F3981"/>
  <c r="G3981" s="1"/>
  <c r="G3987"/>
  <c r="G3988"/>
  <c r="F3994"/>
  <c r="G3994" s="1"/>
  <c r="F3995"/>
  <c r="G3995" s="1"/>
  <c r="D3998"/>
  <c r="E4006"/>
  <c r="D4007"/>
  <c r="E4007"/>
  <c r="C4008"/>
  <c r="G4019"/>
  <c r="E4028"/>
  <c r="E4027"/>
  <c r="F4027"/>
  <c r="F4028"/>
  <c r="F4029"/>
  <c r="G4035"/>
  <c r="G4036"/>
  <c r="F4042"/>
  <c r="G4042" s="1"/>
  <c r="F4043"/>
  <c r="G4043" s="1"/>
  <c r="D4046"/>
  <c r="E4054"/>
  <c r="D4055"/>
  <c r="E4055"/>
  <c r="C4056" s="1"/>
  <c r="F4073"/>
  <c r="D4104" s="1"/>
  <c r="E4077"/>
  <c r="E4078"/>
  <c r="F4078"/>
  <c r="G4078" s="1"/>
  <c r="G4084"/>
  <c r="G4085"/>
  <c r="F4091"/>
  <c r="G4091" s="1"/>
  <c r="F4092"/>
  <c r="G4092" s="1"/>
  <c r="D4095"/>
  <c r="E4103"/>
  <c r="E4104"/>
  <c r="C4105"/>
  <c r="F4124"/>
  <c r="D4156"/>
  <c r="E4128"/>
  <c r="E4129"/>
  <c r="F4129"/>
  <c r="G4135"/>
  <c r="G4136"/>
  <c r="F4142"/>
  <c r="G4142" s="1"/>
  <c r="F4143"/>
  <c r="G4143" s="1"/>
  <c r="F4144"/>
  <c r="G4144" s="1"/>
  <c r="D4147"/>
  <c r="E4155"/>
  <c r="E4156"/>
  <c r="C4157" s="1"/>
  <c r="G4184"/>
  <c r="G4190"/>
  <c r="E4225"/>
  <c r="E4226"/>
  <c r="G4236"/>
  <c r="G4237"/>
  <c r="E4253"/>
  <c r="E4254"/>
  <c r="F4255"/>
  <c r="G4255" s="1"/>
  <c r="E4266"/>
  <c r="F4267"/>
  <c r="G4267" s="1"/>
  <c r="F4268"/>
  <c r="G4268" s="1"/>
  <c r="D4271"/>
  <c r="E4279"/>
  <c r="D4280"/>
  <c r="E4280"/>
  <c r="C4281" s="1"/>
  <c r="E4312"/>
  <c r="E4313"/>
  <c r="F4320"/>
  <c r="D4368" s="1"/>
  <c r="G4324"/>
  <c r="G4325"/>
  <c r="E4341"/>
  <c r="E4342"/>
  <c r="F4343"/>
  <c r="G4343" s="1"/>
  <c r="E4354"/>
  <c r="F4355"/>
  <c r="G4355" s="1"/>
  <c r="F4356"/>
  <c r="G4356" s="1"/>
  <c r="D4359"/>
  <c r="E4367"/>
  <c r="E4368"/>
  <c r="C4369"/>
  <c r="G4393"/>
  <c r="E4412"/>
  <c r="E4413"/>
  <c r="G4424"/>
  <c r="G4425"/>
  <c r="E4437"/>
  <c r="E4438"/>
  <c r="F4439"/>
  <c r="G4439" s="1"/>
  <c r="E4448"/>
  <c r="F4449"/>
  <c r="G4449" s="1"/>
  <c r="F4450"/>
  <c r="G4450" s="1"/>
  <c r="D4453"/>
  <c r="E4461"/>
  <c r="D4462"/>
  <c r="E4462"/>
  <c r="C4463" s="1"/>
  <c r="F4478"/>
  <c r="G4478" s="1"/>
  <c r="G4480" s="1"/>
  <c r="G4501" s="1"/>
  <c r="G4479"/>
  <c r="G4487"/>
  <c r="G4502" s="1"/>
  <c r="F4492"/>
  <c r="G4492" s="1"/>
  <c r="F4493"/>
  <c r="G4493" s="1"/>
  <c r="F4494"/>
  <c r="G4494" s="1"/>
  <c r="D4497"/>
  <c r="E4505"/>
  <c r="D4506"/>
  <c r="E4506"/>
  <c r="F4527"/>
  <c r="G4527" s="1"/>
  <c r="F4528"/>
  <c r="G4528" s="1"/>
  <c r="F4529"/>
  <c r="G4529" s="1"/>
  <c r="G4535"/>
  <c r="G4537" s="1"/>
  <c r="G4551" s="1"/>
  <c r="G4536"/>
  <c r="F4542"/>
  <c r="G4542" s="1"/>
  <c r="F4543"/>
  <c r="G4543" s="1"/>
  <c r="D4546"/>
  <c r="E4554"/>
  <c r="D4555"/>
  <c r="E4555"/>
  <c r="C4556"/>
  <c r="G4573"/>
  <c r="G4574"/>
  <c r="G4575" s="1"/>
  <c r="G4589" s="1"/>
  <c r="G4587"/>
  <c r="G4588"/>
  <c r="G4590" s="1"/>
  <c r="G4596"/>
  <c r="G4605"/>
  <c r="E4626" s="1"/>
  <c r="D4610"/>
  <c r="G4610" s="1"/>
  <c r="G4612" s="1"/>
  <c r="G4613" s="1"/>
  <c r="G4614" s="1"/>
  <c r="F4627" s="1"/>
  <c r="F4621"/>
  <c r="F4622"/>
  <c r="F4623"/>
  <c r="F4624"/>
  <c r="F4625"/>
  <c r="F4626"/>
  <c r="E4627"/>
  <c r="F4628"/>
  <c r="G4628" s="1"/>
  <c r="F4650"/>
  <c r="G4650" s="1"/>
  <c r="F4663"/>
  <c r="G4663" s="1"/>
  <c r="F4664"/>
  <c r="G4664" s="1"/>
  <c r="F4665"/>
  <c r="G4665" s="1"/>
  <c r="F4666"/>
  <c r="G4666" s="1"/>
  <c r="F4667"/>
  <c r="G4667" s="1"/>
  <c r="F4668"/>
  <c r="G4668" s="1"/>
  <c r="F4669"/>
  <c r="G4669" s="1"/>
  <c r="D4672"/>
  <c r="D4680"/>
  <c r="D4681"/>
  <c r="D4682"/>
  <c r="E4684"/>
  <c r="D4688"/>
  <c r="E4688"/>
  <c r="C4689" s="1"/>
  <c r="G4707"/>
  <c r="G4708" s="1"/>
  <c r="G4709" s="1"/>
  <c r="G4723" s="1"/>
  <c r="G4721"/>
  <c r="G4722" s="1"/>
  <c r="G4730"/>
  <c r="G4739"/>
  <c r="E4760" s="1"/>
  <c r="D4744"/>
  <c r="G4744" s="1"/>
  <c r="G4746" s="1"/>
  <c r="G4747" s="1"/>
  <c r="G4748" s="1"/>
  <c r="F4761" s="1"/>
  <c r="G4761" s="1"/>
  <c r="F4755"/>
  <c r="F4756"/>
  <c r="F4757"/>
  <c r="F4758"/>
  <c r="F4759"/>
  <c r="F4760"/>
  <c r="E4761"/>
  <c r="F4762"/>
  <c r="G4762" s="1"/>
  <c r="F4784"/>
  <c r="G4784" s="1"/>
  <c r="F4797"/>
  <c r="G4797" s="1"/>
  <c r="F4798"/>
  <c r="G4798" s="1"/>
  <c r="F4799"/>
  <c r="G4799" s="1"/>
  <c r="F4800"/>
  <c r="G4800" s="1"/>
  <c r="F4801"/>
  <c r="G4801" s="1"/>
  <c r="F4802"/>
  <c r="G4802" s="1"/>
  <c r="F4803"/>
  <c r="G4803" s="1"/>
  <c r="D4806"/>
  <c r="D4814"/>
  <c r="D4815"/>
  <c r="D4816"/>
  <c r="E4818"/>
  <c r="G4842"/>
  <c r="G4843"/>
  <c r="G4844" s="1"/>
  <c r="G4858" s="1"/>
  <c r="G4846"/>
  <c r="G4856"/>
  <c r="G4857" s="1"/>
  <c r="H4872"/>
  <c r="E4892" s="1"/>
  <c r="D4878"/>
  <c r="G4878" s="1"/>
  <c r="G4880" s="1"/>
  <c r="F4887"/>
  <c r="F4888"/>
  <c r="F4889"/>
  <c r="F4890"/>
  <c r="F4891"/>
  <c r="F4892"/>
  <c r="G4892" s="1"/>
  <c r="F4925"/>
  <c r="G4925" s="1"/>
  <c r="F4926"/>
  <c r="G4926" s="1"/>
  <c r="F4927"/>
  <c r="G4927" s="1"/>
  <c r="F4928"/>
  <c r="G4928" s="1"/>
  <c r="F4929"/>
  <c r="G4929" s="1"/>
  <c r="F4930"/>
  <c r="G4930" s="1"/>
  <c r="F4931"/>
  <c r="G4931" s="1"/>
  <c r="D4934"/>
  <c r="E4942"/>
  <c r="E4943"/>
  <c r="E4944"/>
  <c r="E4946"/>
  <c r="C4951"/>
  <c r="G4978"/>
  <c r="F4985"/>
  <c r="G4985" s="1"/>
  <c r="F4993"/>
  <c r="G4993" s="1"/>
  <c r="D4996"/>
  <c r="G5000"/>
  <c r="E5004"/>
  <c r="D5005"/>
  <c r="E5005"/>
  <c r="C5006" s="1"/>
  <c r="G5057"/>
  <c r="G5060"/>
  <c r="G5061" s="1"/>
  <c r="G5063" s="1"/>
  <c r="D5064"/>
  <c r="G5064" s="1"/>
  <c r="D5065"/>
  <c r="G5065" s="1"/>
  <c r="E5077"/>
  <c r="G5081"/>
  <c r="G5082" s="1"/>
  <c r="G5084" s="1"/>
  <c r="G5085" s="1"/>
  <c r="F5112"/>
  <c r="G5112" s="1"/>
  <c r="F5113"/>
  <c r="F5114"/>
  <c r="F5115"/>
  <c r="F5116"/>
  <c r="G5116" s="1"/>
  <c r="F5117"/>
  <c r="F5118"/>
  <c r="F5120"/>
  <c r="F5143"/>
  <c r="G5143" s="1"/>
  <c r="F5144"/>
  <c r="G5144" s="1"/>
  <c r="F5145"/>
  <c r="G5145" s="1"/>
  <c r="F5147"/>
  <c r="G5147" s="1"/>
  <c r="F5148"/>
  <c r="G5148" s="1"/>
  <c r="F5149"/>
  <c r="G5149" s="1"/>
  <c r="F5150"/>
  <c r="F5151"/>
  <c r="G5151" s="1"/>
  <c r="D5154"/>
  <c r="E5162"/>
  <c r="E5163"/>
  <c r="C5164"/>
  <c r="D5179"/>
  <c r="D5181" s="1"/>
  <c r="G5185" s="1"/>
  <c r="G5187" s="1"/>
  <c r="G5188" s="1"/>
  <c r="G5184"/>
  <c r="F5198"/>
  <c r="F5199"/>
  <c r="F5200"/>
  <c r="F5201"/>
  <c r="F5202"/>
  <c r="F5203"/>
  <c r="F5204"/>
  <c r="F5228"/>
  <c r="G5228" s="1"/>
  <c r="F5229"/>
  <c r="G5229" s="1"/>
  <c r="F5230"/>
  <c r="G5230" s="1"/>
  <c r="F5232"/>
  <c r="G5232" s="1"/>
  <c r="F5233"/>
  <c r="G5233" s="1"/>
  <c r="F5234"/>
  <c r="G5234" s="1"/>
  <c r="F5235"/>
  <c r="F5236"/>
  <c r="G5236" s="1"/>
  <c r="D5239"/>
  <c r="E5247"/>
  <c r="E5248"/>
  <c r="C5249" s="1"/>
  <c r="G5266"/>
  <c r="G5267"/>
  <c r="G5270"/>
  <c r="G5280"/>
  <c r="G5281" s="1"/>
  <c r="G5283" s="1"/>
  <c r="G5291"/>
  <c r="E5313"/>
  <c r="G5292"/>
  <c r="E5314" s="1"/>
  <c r="G5293"/>
  <c r="E5315"/>
  <c r="G5294"/>
  <c r="E5316" s="1"/>
  <c r="D5374" s="1"/>
  <c r="G5295"/>
  <c r="G5296" s="1"/>
  <c r="E5317" s="1"/>
  <c r="H5297"/>
  <c r="E5318"/>
  <c r="C5303"/>
  <c r="G5303" s="1"/>
  <c r="G5305" s="1"/>
  <c r="G5306" s="1"/>
  <c r="F5309"/>
  <c r="D5377" s="1"/>
  <c r="F5312"/>
  <c r="F5313"/>
  <c r="G5313" s="1"/>
  <c r="F5314"/>
  <c r="F5315"/>
  <c r="G5315" s="1"/>
  <c r="F5316"/>
  <c r="F5317"/>
  <c r="G5317" s="1"/>
  <c r="F5318"/>
  <c r="E5319"/>
  <c r="F5352"/>
  <c r="G5352" s="1"/>
  <c r="F5353"/>
  <c r="G5353" s="1"/>
  <c r="F5354"/>
  <c r="G5354" s="1"/>
  <c r="F5355"/>
  <c r="G5355" s="1"/>
  <c r="F5356"/>
  <c r="G5356" s="1"/>
  <c r="F5357"/>
  <c r="G5357" s="1"/>
  <c r="F5358"/>
  <c r="G5358" s="1"/>
  <c r="D5361"/>
  <c r="E5369"/>
  <c r="E5370"/>
  <c r="E5371"/>
  <c r="E5373"/>
  <c r="C5378"/>
  <c r="E5393"/>
  <c r="G5395" s="1"/>
  <c r="G5398" s="1"/>
  <c r="G5400" s="1"/>
  <c r="G5401" s="1"/>
  <c r="F5412" s="1"/>
  <c r="F5416"/>
  <c r="F5417"/>
  <c r="F5418"/>
  <c r="F5419"/>
  <c r="F5420"/>
  <c r="F5421"/>
  <c r="F5423"/>
  <c r="G5423" s="1"/>
  <c r="F5446"/>
  <c r="G5446" s="1"/>
  <c r="F5447"/>
  <c r="G5447" s="1"/>
  <c r="F5448"/>
  <c r="G5448" s="1"/>
  <c r="F5450"/>
  <c r="G5450" s="1"/>
  <c r="F5451"/>
  <c r="G5451" s="1"/>
  <c r="F5452"/>
  <c r="G5452" s="1"/>
  <c r="F5453"/>
  <c r="F5454"/>
  <c r="G5454" s="1"/>
  <c r="D5457"/>
  <c r="E5465"/>
  <c r="E5466"/>
  <c r="C5467"/>
  <c r="G5482"/>
  <c r="G5484" s="1"/>
  <c r="F5487" s="1"/>
  <c r="G5489"/>
  <c r="G5490" s="1"/>
  <c r="G5493" s="1"/>
  <c r="G5494" s="1"/>
  <c r="E5512" s="1"/>
  <c r="F5505"/>
  <c r="F5506"/>
  <c r="F5507"/>
  <c r="F5508"/>
  <c r="F5509"/>
  <c r="F5510"/>
  <c r="F5511"/>
  <c r="F5513"/>
  <c r="G5513" s="1"/>
  <c r="F5536"/>
  <c r="G5536" s="1"/>
  <c r="F5537"/>
  <c r="G5537" s="1"/>
  <c r="F5538"/>
  <c r="G5538" s="1"/>
  <c r="F5540"/>
  <c r="G5540" s="1"/>
  <c r="F5541"/>
  <c r="G5541" s="1"/>
  <c r="F5542"/>
  <c r="G5542" s="1"/>
  <c r="F5543"/>
  <c r="F5544"/>
  <c r="G5544" s="1"/>
  <c r="D5547"/>
  <c r="E5555"/>
  <c r="E5556"/>
  <c r="C5557" s="1"/>
  <c r="E5572"/>
  <c r="G5574" s="1"/>
  <c r="G5577" s="1"/>
  <c r="G5579" s="1"/>
  <c r="G5580" s="1"/>
  <c r="F5595"/>
  <c r="F5596"/>
  <c r="F5597"/>
  <c r="F5598"/>
  <c r="F5599"/>
  <c r="F5600"/>
  <c r="F5602"/>
  <c r="G5602" s="1"/>
  <c r="F5625"/>
  <c r="G5625" s="1"/>
  <c r="F5626"/>
  <c r="G5626" s="1"/>
  <c r="F5627"/>
  <c r="G5627" s="1"/>
  <c r="F5629"/>
  <c r="G5629" s="1"/>
  <c r="F5630"/>
  <c r="G5630" s="1"/>
  <c r="F5631"/>
  <c r="G5631" s="1"/>
  <c r="F5632"/>
  <c r="F5633"/>
  <c r="G5633" s="1"/>
  <c r="D5636"/>
  <c r="E5644"/>
  <c r="E5645"/>
  <c r="C5646" s="1"/>
  <c r="G5665"/>
  <c r="G5666" s="1"/>
  <c r="G5667" s="1"/>
  <c r="G5681" s="1"/>
  <c r="G5682" s="1"/>
  <c r="G5679"/>
  <c r="G5680" s="1"/>
  <c r="G5688"/>
  <c r="F5708" s="1"/>
  <c r="D5774" s="1"/>
  <c r="G5689"/>
  <c r="G5690" s="1"/>
  <c r="E5712" s="1"/>
  <c r="H5695"/>
  <c r="E5716" s="1"/>
  <c r="G5716" s="1"/>
  <c r="D5700"/>
  <c r="G5700" s="1"/>
  <c r="G5702" s="1"/>
  <c r="G5703" s="1"/>
  <c r="G5704" s="1"/>
  <c r="F5717" s="1"/>
  <c r="F5711"/>
  <c r="F5712"/>
  <c r="F5713"/>
  <c r="F5714"/>
  <c r="F5715"/>
  <c r="F5716"/>
  <c r="E5717"/>
  <c r="F5749"/>
  <c r="G5749" s="1"/>
  <c r="F5750"/>
  <c r="G5750" s="1"/>
  <c r="F5751"/>
  <c r="G5751" s="1"/>
  <c r="F5752"/>
  <c r="G5752" s="1"/>
  <c r="F5753"/>
  <c r="G5753" s="1"/>
  <c r="F5754"/>
  <c r="G5754" s="1"/>
  <c r="F5755"/>
  <c r="G5755" s="1"/>
  <c r="D5758"/>
  <c r="E5766"/>
  <c r="E5767"/>
  <c r="E5768"/>
  <c r="E5770"/>
  <c r="E5774"/>
  <c r="C5775" s="1"/>
  <c r="G5800"/>
  <c r="G5818"/>
  <c r="D5819"/>
  <c r="D5820"/>
  <c r="D5821"/>
  <c r="D5822"/>
  <c r="G5823"/>
  <c r="D5825"/>
  <c r="G5825" s="1"/>
  <c r="D5832"/>
  <c r="D5833"/>
  <c r="G5833" s="1"/>
  <c r="F5842"/>
  <c r="G5842" s="1"/>
  <c r="F5843"/>
  <c r="G5843" s="1"/>
  <c r="F5844"/>
  <c r="G5844" s="1"/>
  <c r="F5845"/>
  <c r="G5845" s="1"/>
  <c r="F5846"/>
  <c r="G5846" s="1"/>
  <c r="F5847"/>
  <c r="G5847" s="1"/>
  <c r="F5849"/>
  <c r="G5849" s="1"/>
  <c r="F5862"/>
  <c r="G5862" s="1"/>
  <c r="F5863"/>
  <c r="G5863" s="1"/>
  <c r="F5864"/>
  <c r="G5864" s="1"/>
  <c r="F5865"/>
  <c r="G5865" s="1"/>
  <c r="F5866"/>
  <c r="G5866" s="1"/>
  <c r="F5867"/>
  <c r="G5867" s="1"/>
  <c r="F5868"/>
  <c r="G5868" s="1"/>
  <c r="D5871"/>
  <c r="E5879"/>
  <c r="C5885"/>
  <c r="F5900"/>
  <c r="G5900" s="1"/>
  <c r="F5901"/>
  <c r="G5901" s="1"/>
  <c r="F5907"/>
  <c r="G5907" s="1"/>
  <c r="G5909" s="1"/>
  <c r="G5923" s="1"/>
  <c r="F5914"/>
  <c r="G5914" s="1"/>
  <c r="F5915"/>
  <c r="G5915" s="1"/>
  <c r="D5918"/>
  <c r="E5926"/>
  <c r="D5927"/>
  <c r="E5927"/>
  <c r="F5942"/>
  <c r="G5942" s="1"/>
  <c r="F5943"/>
  <c r="G5943" s="1"/>
  <c r="F5949"/>
  <c r="G5949" s="1"/>
  <c r="G5951" s="1"/>
  <c r="G5965" s="1"/>
  <c r="F5956"/>
  <c r="G5956" s="1"/>
  <c r="F5957"/>
  <c r="G5957" s="1"/>
  <c r="D5960"/>
  <c r="E5968"/>
  <c r="D5969"/>
  <c r="E5969"/>
  <c r="F5984"/>
  <c r="G5984" s="1"/>
  <c r="F5985"/>
  <c r="G5985" s="1"/>
  <c r="F5991"/>
  <c r="G5991" s="1"/>
  <c r="G5993" s="1"/>
  <c r="G6007" s="1"/>
  <c r="F5998"/>
  <c r="G5998" s="1"/>
  <c r="F5999"/>
  <c r="G5999" s="1"/>
  <c r="D6002"/>
  <c r="E6010"/>
  <c r="D6011"/>
  <c r="E6011"/>
  <c r="F6026"/>
  <c r="G6026" s="1"/>
  <c r="G6028" s="1"/>
  <c r="G6048" s="1"/>
  <c r="F6027"/>
  <c r="G6027" s="1"/>
  <c r="F6033"/>
  <c r="G6033" s="1"/>
  <c r="G6035" s="1"/>
  <c r="G6049" s="1"/>
  <c r="F6040"/>
  <c r="G6040" s="1"/>
  <c r="F6041"/>
  <c r="G6041" s="1"/>
  <c r="D6044"/>
  <c r="E6052"/>
  <c r="D6053"/>
  <c r="E6053"/>
  <c r="F6068"/>
  <c r="G6068" s="1"/>
  <c r="F6069"/>
  <c r="G6069" s="1"/>
  <c r="F6075"/>
  <c r="G6075" s="1"/>
  <c r="G6077" s="1"/>
  <c r="G6091" s="1"/>
  <c r="F6082"/>
  <c r="G6082" s="1"/>
  <c r="F6083"/>
  <c r="G6083" s="1"/>
  <c r="D6086"/>
  <c r="E6094"/>
  <c r="D6095"/>
  <c r="E6095"/>
  <c r="F6108"/>
  <c r="G6108" s="1"/>
  <c r="G6109" s="1"/>
  <c r="G6127" s="1"/>
  <c r="G6115"/>
  <c r="F6119"/>
  <c r="G6119" s="1"/>
  <c r="F6120"/>
  <c r="G6120" s="1"/>
  <c r="D6123"/>
  <c r="G6128"/>
  <c r="E6131"/>
  <c r="D6132"/>
  <c r="E6132"/>
  <c r="D6145"/>
  <c r="G6145" s="1"/>
  <c r="G6147" s="1"/>
  <c r="F6157" s="1"/>
  <c r="G6157" s="1"/>
  <c r="G6158" s="1"/>
  <c r="D6148"/>
  <c r="G6148" s="1"/>
  <c r="G6150" s="1"/>
  <c r="F6159" s="1"/>
  <c r="G6159" s="1"/>
  <c r="D6178"/>
  <c r="E6186"/>
  <c r="D6187"/>
  <c r="E6187"/>
  <c r="F6204"/>
  <c r="G6204" s="1"/>
  <c r="F6205"/>
  <c r="G6205" s="1"/>
  <c r="G6213"/>
  <c r="F6218"/>
  <c r="G6218" s="1"/>
  <c r="F6219"/>
  <c r="G6219" s="1"/>
  <c r="D6222"/>
  <c r="G6227"/>
  <c r="E6230"/>
  <c r="D6231"/>
  <c r="E6231"/>
  <c r="F6258"/>
  <c r="G6258" s="1"/>
  <c r="E6259"/>
  <c r="G6259" s="1"/>
  <c r="F6259"/>
  <c r="E6260"/>
  <c r="F6260"/>
  <c r="G6260" s="1"/>
  <c r="F6274"/>
  <c r="G6274" s="1"/>
  <c r="F6275"/>
  <c r="G6275" s="1"/>
  <c r="F6276"/>
  <c r="G6276" s="1"/>
  <c r="F6277"/>
  <c r="G6277" s="1"/>
  <c r="F6278"/>
  <c r="G6278" s="1"/>
  <c r="D6281"/>
  <c r="E6289"/>
  <c r="D6290"/>
  <c r="E6290"/>
  <c r="C6291" s="1"/>
  <c r="F6314"/>
  <c r="G6314" s="1"/>
  <c r="F6315"/>
  <c r="G6315" s="1"/>
  <c r="F6329"/>
  <c r="G6329" s="1"/>
  <c r="F6330"/>
  <c r="G6330" s="1"/>
  <c r="F6331"/>
  <c r="G6331" s="1"/>
  <c r="F6332"/>
  <c r="G6332" s="1"/>
  <c r="D6335"/>
  <c r="E6343"/>
  <c r="D6344"/>
  <c r="E6344"/>
  <c r="C6345" s="1"/>
  <c r="E6372"/>
  <c r="F6372"/>
  <c r="E6373"/>
  <c r="F6373"/>
  <c r="G6373" s="1"/>
  <c r="F6387"/>
  <c r="G6387" s="1"/>
  <c r="F6388"/>
  <c r="G6388" s="1"/>
  <c r="F6389"/>
  <c r="G6389" s="1"/>
  <c r="F6390"/>
  <c r="G6390" s="1"/>
  <c r="F6391"/>
  <c r="G6391" s="1"/>
  <c r="D6394"/>
  <c r="E6402"/>
  <c r="D6403"/>
  <c r="E6403"/>
  <c r="C6404" s="1"/>
  <c r="G6419"/>
  <c r="G6426"/>
  <c r="G6441" s="1"/>
  <c r="F6431"/>
  <c r="G6431" s="1"/>
  <c r="F6432"/>
  <c r="G6432" s="1"/>
  <c r="F6433"/>
  <c r="G6433" s="1"/>
  <c r="D6436"/>
  <c r="G6440"/>
  <c r="E6444"/>
  <c r="D6445"/>
  <c r="E6445"/>
  <c r="F6482"/>
  <c r="G6482" s="1"/>
  <c r="F6483"/>
  <c r="G6483" s="1"/>
  <c r="G6489"/>
  <c r="G6490"/>
  <c r="F6497"/>
  <c r="G6497" s="1"/>
  <c r="D6500"/>
  <c r="E6508"/>
  <c r="D6509"/>
  <c r="E6509"/>
  <c r="C6510" s="1"/>
  <c r="F6517"/>
  <c r="F6524"/>
  <c r="G6524" s="1"/>
  <c r="G6526" s="1"/>
  <c r="G6545" s="1"/>
  <c r="G6531"/>
  <c r="G6532"/>
  <c r="F6538"/>
  <c r="G6538" s="1"/>
  <c r="G6539" s="1"/>
  <c r="G6547" s="1"/>
  <c r="D6541"/>
  <c r="E6549"/>
  <c r="D6550"/>
  <c r="E6550"/>
  <c r="C6551" s="1"/>
  <c r="F6567"/>
  <c r="G6567" s="1"/>
  <c r="F6568"/>
  <c r="G6568" s="1"/>
  <c r="G6576"/>
  <c r="G6590" s="1"/>
  <c r="F6582"/>
  <c r="G6582" s="1"/>
  <c r="D6585"/>
  <c r="E6593"/>
  <c r="D6594"/>
  <c r="E6594"/>
  <c r="C6595" s="1"/>
  <c r="F6615"/>
  <c r="G6615" s="1"/>
  <c r="F6616"/>
  <c r="G6616" s="1"/>
  <c r="G6622"/>
  <c r="G6623"/>
  <c r="F6630"/>
  <c r="G6630" s="1"/>
  <c r="D6633"/>
  <c r="E6641"/>
  <c r="D6642"/>
  <c r="E6642"/>
  <c r="C6643" s="1"/>
  <c r="F6661"/>
  <c r="G6661" s="1"/>
  <c r="G6663" s="1"/>
  <c r="G6683" s="1"/>
  <c r="G6670"/>
  <c r="G6684" s="1"/>
  <c r="F6675"/>
  <c r="G6675" s="1"/>
  <c r="F6676"/>
  <c r="G6676" s="1"/>
  <c r="D6679"/>
  <c r="E6687"/>
  <c r="D6688"/>
  <c r="E6688"/>
  <c r="C6689" s="1"/>
  <c r="F6703"/>
  <c r="G6703" s="1"/>
  <c r="G6704"/>
  <c r="G6710"/>
  <c r="G6711"/>
  <c r="F6717"/>
  <c r="G6717" s="1"/>
  <c r="F6718"/>
  <c r="G6718" s="1"/>
  <c r="D6721"/>
  <c r="E6729"/>
  <c r="D6730"/>
  <c r="E6730"/>
  <c r="C6731" s="1"/>
  <c r="F6739"/>
  <c r="F6745"/>
  <c r="G6745" s="1"/>
  <c r="G6747" s="1"/>
  <c r="G6767" s="1"/>
  <c r="G6754"/>
  <c r="F6759"/>
  <c r="G6759" s="1"/>
  <c r="F6760"/>
  <c r="G6760" s="1"/>
  <c r="D6763"/>
  <c r="G6768"/>
  <c r="E6771"/>
  <c r="D6772"/>
  <c r="E6772"/>
  <c r="C6773" s="1"/>
  <c r="F6788"/>
  <c r="G6788" s="1"/>
  <c r="F6789"/>
  <c r="G6789" s="1"/>
  <c r="G6795"/>
  <c r="G6797" s="1"/>
  <c r="G6811" s="1"/>
  <c r="G6796"/>
  <c r="F6802"/>
  <c r="G6802" s="1"/>
  <c r="F6803"/>
  <c r="G6803" s="1"/>
  <c r="D6806"/>
  <c r="E6814"/>
  <c r="D6815"/>
  <c r="E6815"/>
  <c r="C6816" s="1"/>
  <c r="G6829"/>
  <c r="G6837"/>
  <c r="E6860" s="1"/>
  <c r="D6843"/>
  <c r="G6843" s="1"/>
  <c r="G6845" s="1"/>
  <c r="G6846" s="1"/>
  <c r="G6847" s="1"/>
  <c r="G6848" s="1"/>
  <c r="G6849" s="1"/>
  <c r="D6844"/>
  <c r="G6844" s="1"/>
  <c r="D6850"/>
  <c r="G6850"/>
  <c r="F6857"/>
  <c r="E6858"/>
  <c r="F6858"/>
  <c r="F6859"/>
  <c r="F6860"/>
  <c r="F6861"/>
  <c r="F6862"/>
  <c r="E6863"/>
  <c r="E6876"/>
  <c r="F6884"/>
  <c r="G6884" s="1"/>
  <c r="F6885"/>
  <c r="G6885" s="1"/>
  <c r="F6887"/>
  <c r="G6887" s="1"/>
  <c r="F6888"/>
  <c r="G6888" s="1"/>
  <c r="F6889"/>
  <c r="G6889" s="1"/>
  <c r="F6890"/>
  <c r="G6890" s="1"/>
  <c r="F6891"/>
  <c r="G6891" s="1"/>
  <c r="E6893"/>
  <c r="D6895"/>
  <c r="E6903"/>
  <c r="D6904"/>
  <c r="E6904"/>
  <c r="G6918"/>
  <c r="G6919" s="1"/>
  <c r="D6932"/>
  <c r="G6932" s="1"/>
  <c r="D6933"/>
  <c r="G6933" s="1"/>
  <c r="D6939"/>
  <c r="G6939" s="1"/>
  <c r="F6946"/>
  <c r="E6947"/>
  <c r="F6947"/>
  <c r="F6948"/>
  <c r="F6949"/>
  <c r="F6950"/>
  <c r="F6951"/>
  <c r="E6952"/>
  <c r="E6965"/>
  <c r="F6973"/>
  <c r="G6973" s="1"/>
  <c r="F6974"/>
  <c r="G6974" s="1"/>
  <c r="F6976"/>
  <c r="G6976" s="1"/>
  <c r="F6977"/>
  <c r="G6977"/>
  <c r="F6978"/>
  <c r="G6978" s="1"/>
  <c r="F6979"/>
  <c r="G6979" s="1"/>
  <c r="F6980"/>
  <c r="G6980" s="1"/>
  <c r="E6982"/>
  <c r="D6984"/>
  <c r="E6992"/>
  <c r="D6993"/>
  <c r="E6993"/>
  <c r="D7021"/>
  <c r="G7021" s="1"/>
  <c r="D7022"/>
  <c r="G7022" s="1"/>
  <c r="D7028"/>
  <c r="G7028" s="1"/>
  <c r="E7035"/>
  <c r="F7035"/>
  <c r="E7036"/>
  <c r="F7036"/>
  <c r="E7037"/>
  <c r="F7037"/>
  <c r="E7038"/>
  <c r="F7038"/>
  <c r="E7039"/>
  <c r="F7039"/>
  <c r="E7040"/>
  <c r="E7053"/>
  <c r="F7060"/>
  <c r="G7060" s="1"/>
  <c r="F7061"/>
  <c r="G7061" s="1"/>
  <c r="F7063"/>
  <c r="G7063" s="1"/>
  <c r="F7064"/>
  <c r="G7064" s="1"/>
  <c r="F7065"/>
  <c r="G7065" s="1"/>
  <c r="F7066"/>
  <c r="G7066" s="1"/>
  <c r="F7067"/>
  <c r="G7067" s="1"/>
  <c r="E7069"/>
  <c r="D7071"/>
  <c r="E7079"/>
  <c r="D7080"/>
  <c r="E7080"/>
  <c r="G7102"/>
  <c r="D7108"/>
  <c r="G7108" s="1"/>
  <c r="D7109"/>
  <c r="G7109" s="1"/>
  <c r="D7115"/>
  <c r="G7115" s="1"/>
  <c r="F7122"/>
  <c r="E7123"/>
  <c r="F7123"/>
  <c r="F7124"/>
  <c r="F7125"/>
  <c r="F7126"/>
  <c r="E7140"/>
  <c r="F7147"/>
  <c r="G7147" s="1"/>
  <c r="F7148"/>
  <c r="G7148" s="1"/>
  <c r="F7150"/>
  <c r="G7150" s="1"/>
  <c r="F7151"/>
  <c r="G7151" s="1"/>
  <c r="F7152"/>
  <c r="G7152" s="1"/>
  <c r="F7153"/>
  <c r="G7153" s="1"/>
  <c r="F7154"/>
  <c r="G7154" s="1"/>
  <c r="E7156"/>
  <c r="D7158"/>
  <c r="E7166"/>
  <c r="D7167"/>
  <c r="E7167"/>
  <c r="G7191"/>
  <c r="E7215" s="1"/>
  <c r="D7199"/>
  <c r="D7200"/>
  <c r="G7201"/>
  <c r="G7203" s="1"/>
  <c r="D7206"/>
  <c r="G7207"/>
  <c r="F7215"/>
  <c r="E7216"/>
  <c r="F7216"/>
  <c r="F7217"/>
  <c r="F7218"/>
  <c r="F7219"/>
  <c r="F7220"/>
  <c r="E7235"/>
  <c r="F7242"/>
  <c r="G7242" s="1"/>
  <c r="F7243"/>
  <c r="G7243" s="1"/>
  <c r="F7245"/>
  <c r="G7245" s="1"/>
  <c r="F7246"/>
  <c r="G7246" s="1"/>
  <c r="F7247"/>
  <c r="G7247" s="1"/>
  <c r="F7248"/>
  <c r="G7248" s="1"/>
  <c r="F7249"/>
  <c r="G7249" s="1"/>
  <c r="E7251"/>
  <c r="D7253"/>
  <c r="E7261"/>
  <c r="D7262"/>
  <c r="E7262"/>
  <c r="E7274"/>
  <c r="D7289"/>
  <c r="G7289" s="1"/>
  <c r="D7290"/>
  <c r="G7290" s="1"/>
  <c r="D7296"/>
  <c r="G7296" s="1"/>
  <c r="E7303"/>
  <c r="E7307" s="1"/>
  <c r="F7303"/>
  <c r="G7303" s="1"/>
  <c r="E7304"/>
  <c r="F7304"/>
  <c r="E7305"/>
  <c r="F7305"/>
  <c r="E7306"/>
  <c r="F7306"/>
  <c r="F7307"/>
  <c r="E7321"/>
  <c r="F7328"/>
  <c r="G7328" s="1"/>
  <c r="F7329"/>
  <c r="G7329" s="1"/>
  <c r="F7331"/>
  <c r="G7331" s="1"/>
  <c r="F7332"/>
  <c r="G7332" s="1"/>
  <c r="F7333"/>
  <c r="G7333" s="1"/>
  <c r="F7334"/>
  <c r="G7334" s="1"/>
  <c r="F7335"/>
  <c r="G7335" s="1"/>
  <c r="E7337"/>
  <c r="D7339"/>
  <c r="E7347"/>
  <c r="D7348"/>
  <c r="E7348"/>
  <c r="G7370"/>
  <c r="E7390" s="1"/>
  <c r="E7394" s="1"/>
  <c r="D7376"/>
  <c r="G7376" s="1"/>
  <c r="D7377"/>
  <c r="G7377" s="1"/>
  <c r="D7383"/>
  <c r="G7383" s="1"/>
  <c r="F7390"/>
  <c r="G7390" s="1"/>
  <c r="E7391"/>
  <c r="F7391"/>
  <c r="F7392"/>
  <c r="F7393"/>
  <c r="F7394"/>
  <c r="E7408"/>
  <c r="F7415"/>
  <c r="G7415" s="1"/>
  <c r="F7416"/>
  <c r="G7416" s="1"/>
  <c r="F7418"/>
  <c r="G7418" s="1"/>
  <c r="F7419"/>
  <c r="G7419" s="1"/>
  <c r="F7420"/>
  <c r="G7420" s="1"/>
  <c r="F7421"/>
  <c r="G7421" s="1"/>
  <c r="F7422"/>
  <c r="G7422" s="1"/>
  <c r="E7424"/>
  <c r="D7426"/>
  <c r="E7434"/>
  <c r="D7435"/>
  <c r="E7435"/>
  <c r="G7449"/>
  <c r="E7469" s="1"/>
  <c r="G7450"/>
  <c r="E7470" s="1"/>
  <c r="E7452"/>
  <c r="F7469"/>
  <c r="F7470"/>
  <c r="E7471"/>
  <c r="E7472"/>
  <c r="F7472"/>
  <c r="E7473"/>
  <c r="F7473"/>
  <c r="G7473" s="1"/>
  <c r="F7487"/>
  <c r="G7487" s="1"/>
  <c r="F7488"/>
  <c r="G7488" s="1"/>
  <c r="F7489"/>
  <c r="G7489" s="1"/>
  <c r="F7490"/>
  <c r="G7490" s="1"/>
  <c r="F7491"/>
  <c r="G7491" s="1"/>
  <c r="D7494"/>
  <c r="E7502"/>
  <c r="D7503"/>
  <c r="E7503"/>
  <c r="C7504" s="1"/>
  <c r="E7533"/>
  <c r="F7533"/>
  <c r="F7534"/>
  <c r="G7534" s="1"/>
  <c r="F7552"/>
  <c r="G7552" s="1"/>
  <c r="F7553"/>
  <c r="G7553" s="1"/>
  <c r="F7554"/>
  <c r="G7554" s="1"/>
  <c r="F7555"/>
  <c r="G7555" s="1"/>
  <c r="D7558"/>
  <c r="E7566"/>
  <c r="D7567"/>
  <c r="E7567"/>
  <c r="C7568" s="1"/>
  <c r="E7585"/>
  <c r="G7585"/>
  <c r="E7603"/>
  <c r="F7603"/>
  <c r="E7604"/>
  <c r="F7604"/>
  <c r="F7606"/>
  <c r="G7606" s="1"/>
  <c r="F7607"/>
  <c r="G7607" s="1"/>
  <c r="F7621"/>
  <c r="G7621" s="1"/>
  <c r="F7622"/>
  <c r="G7622" s="1"/>
  <c r="F7623"/>
  <c r="G7623" s="1"/>
  <c r="F7624"/>
  <c r="G7624" s="1"/>
  <c r="F7625"/>
  <c r="G7625" s="1"/>
  <c r="F7626"/>
  <c r="G7626" s="1"/>
  <c r="D7629"/>
  <c r="E7637"/>
  <c r="D7638"/>
  <c r="E7638"/>
  <c r="C7639"/>
  <c r="F7668"/>
  <c r="G7668" s="1"/>
  <c r="F7669"/>
  <c r="G7669" s="1"/>
  <c r="F7687"/>
  <c r="G7687" s="1"/>
  <c r="F7688"/>
  <c r="G7688" s="1"/>
  <c r="F7689"/>
  <c r="G7689" s="1"/>
  <c r="F7690"/>
  <c r="G7690" s="1"/>
  <c r="D7693"/>
  <c r="E7701"/>
  <c r="D7702"/>
  <c r="E7702"/>
  <c r="C7703" s="1"/>
  <c r="F7728"/>
  <c r="G7728" s="1"/>
  <c r="F7729"/>
  <c r="G7729" s="1"/>
  <c r="G7735"/>
  <c r="G7736"/>
  <c r="F7742"/>
  <c r="G7742" s="1"/>
  <c r="F7743"/>
  <c r="G7743" s="1"/>
  <c r="F7744"/>
  <c r="G7744" s="1"/>
  <c r="D7747"/>
  <c r="E7755"/>
  <c r="D7756"/>
  <c r="E7756"/>
  <c r="C7757" s="1"/>
  <c r="F7770"/>
  <c r="G7770" s="1"/>
  <c r="G7772" s="1"/>
  <c r="G7791" s="1"/>
  <c r="G7771"/>
  <c r="G7777"/>
  <c r="G7778"/>
  <c r="F7784"/>
  <c r="G7784" s="1"/>
  <c r="G7785" s="1"/>
  <c r="D7787"/>
  <c r="E7795"/>
  <c r="D7796"/>
  <c r="E7796"/>
  <c r="C7797" s="1"/>
  <c r="G7807"/>
  <c r="E7820" s="1"/>
  <c r="E7818"/>
  <c r="E7819"/>
  <c r="F7819"/>
  <c r="G7819" s="1"/>
  <c r="F7820"/>
  <c r="G7826"/>
  <c r="G7827"/>
  <c r="F7833"/>
  <c r="G7833" s="1"/>
  <c r="F7834"/>
  <c r="G7834" s="1"/>
  <c r="F7835"/>
  <c r="G7835" s="1"/>
  <c r="D7838"/>
  <c r="E7846"/>
  <c r="D7847"/>
  <c r="E7847"/>
  <c r="C7848" s="1"/>
  <c r="E7865"/>
  <c r="G7874"/>
  <c r="G7889" s="1"/>
  <c r="E7880"/>
  <c r="F7880"/>
  <c r="E7881"/>
  <c r="F7881"/>
  <c r="D7884"/>
  <c r="E7892"/>
  <c r="D7893"/>
  <c r="E7893"/>
  <c r="C7894" s="1"/>
  <c r="F7895"/>
  <c r="G7903"/>
  <c r="E7913"/>
  <c r="F7913"/>
  <c r="F7914"/>
  <c r="G7914" s="1"/>
  <c r="G7923"/>
  <c r="F7929"/>
  <c r="F7930"/>
  <c r="D7933"/>
  <c r="G7938"/>
  <c r="E7941"/>
  <c r="D7942"/>
  <c r="E7942"/>
  <c r="C7943" s="1"/>
  <c r="F7964"/>
  <c r="G7964" s="1"/>
  <c r="F7965"/>
  <c r="G7965" s="1"/>
  <c r="G7973"/>
  <c r="G7988" s="1"/>
  <c r="F7978"/>
  <c r="G7978" s="1"/>
  <c r="F7979"/>
  <c r="G7979" s="1"/>
  <c r="F7980"/>
  <c r="G7980" s="1"/>
  <c r="D7983"/>
  <c r="E7991"/>
  <c r="D7992"/>
  <c r="E7992"/>
  <c r="C7993" s="1"/>
  <c r="E8012"/>
  <c r="G8023"/>
  <c r="G8037" s="1"/>
  <c r="E8028"/>
  <c r="F8028"/>
  <c r="E8029"/>
  <c r="F8029"/>
  <c r="D8032"/>
  <c r="E8040"/>
  <c r="D8041"/>
  <c r="E8041"/>
  <c r="C8042"/>
  <c r="F8067"/>
  <c r="G8067" s="1"/>
  <c r="G8075"/>
  <c r="G8090" s="1"/>
  <c r="F8080"/>
  <c r="G8080" s="1"/>
  <c r="F8081"/>
  <c r="G8081" s="1"/>
  <c r="F8082"/>
  <c r="G8082" s="1"/>
  <c r="D8085"/>
  <c r="E8093"/>
  <c r="D8094"/>
  <c r="E8094"/>
  <c r="C8095" s="1"/>
  <c r="E8115"/>
  <c r="G8122"/>
  <c r="G8123"/>
  <c r="E8130"/>
  <c r="F8130"/>
  <c r="G8130" s="1"/>
  <c r="E8131"/>
  <c r="F8131"/>
  <c r="G8131" s="1"/>
  <c r="D8134"/>
  <c r="E8142"/>
  <c r="D8143"/>
  <c r="E8143"/>
  <c r="C8144" s="1"/>
  <c r="F8175"/>
  <c r="G8175" s="1"/>
  <c r="F8176"/>
  <c r="G8176" s="1"/>
  <c r="F8177"/>
  <c r="G8177" s="1"/>
  <c r="F8178"/>
  <c r="G8178" s="1"/>
  <c r="F8192"/>
  <c r="G8192" s="1"/>
  <c r="F8193"/>
  <c r="G8193" s="1"/>
  <c r="F8194"/>
  <c r="G8194" s="1"/>
  <c r="F8195"/>
  <c r="G8195" s="1"/>
  <c r="D8198"/>
  <c r="E8206"/>
  <c r="D8207"/>
  <c r="E8207"/>
  <c r="C8208" s="1"/>
  <c r="E8230"/>
  <c r="K8229" s="1"/>
  <c r="E8231"/>
  <c r="F8231"/>
  <c r="E8232"/>
  <c r="F8232"/>
  <c r="G8238"/>
  <c r="G8240" s="1"/>
  <c r="G8255" s="1"/>
  <c r="F8245"/>
  <c r="G8245" s="1"/>
  <c r="F8246"/>
  <c r="G8246" s="1"/>
  <c r="F8247"/>
  <c r="G8247" s="1"/>
  <c r="D8250"/>
  <c r="E8258"/>
  <c r="D8259"/>
  <c r="E8259"/>
  <c r="C8260" s="1"/>
  <c r="F8283"/>
  <c r="G8283" s="1"/>
  <c r="F8284"/>
  <c r="G8284" s="1"/>
  <c r="F8285"/>
  <c r="G8285" s="1"/>
  <c r="G8291"/>
  <c r="G8292"/>
  <c r="F8298"/>
  <c r="G8298" s="1"/>
  <c r="F8299"/>
  <c r="G8299" s="1"/>
  <c r="F8300"/>
  <c r="G8300" s="1"/>
  <c r="D8303"/>
  <c r="E8311"/>
  <c r="D8312"/>
  <c r="E8312"/>
  <c r="C8313" s="1"/>
  <c r="F8338"/>
  <c r="G8338" s="1"/>
  <c r="F8340"/>
  <c r="G8340" s="1"/>
  <c r="G8346"/>
  <c r="G8347"/>
  <c r="F8353"/>
  <c r="G8353" s="1"/>
  <c r="F8354"/>
  <c r="G8354" s="1"/>
  <c r="F8355"/>
  <c r="G8355" s="1"/>
  <c r="D8358"/>
  <c r="E8366"/>
  <c r="D8367"/>
  <c r="E8367"/>
  <c r="C8368" s="1"/>
  <c r="F8403"/>
  <c r="G8403" s="1"/>
  <c r="F8404"/>
  <c r="G8404" s="1"/>
  <c r="F8405"/>
  <c r="G8405" s="1"/>
  <c r="E8406"/>
  <c r="F8406"/>
  <c r="E8407"/>
  <c r="F8407"/>
  <c r="F8421"/>
  <c r="G8421" s="1"/>
  <c r="F8422"/>
  <c r="G8422" s="1"/>
  <c r="F8423"/>
  <c r="G8423" s="1"/>
  <c r="F8424"/>
  <c r="G8424" s="1"/>
  <c r="D8427"/>
  <c r="E8435"/>
  <c r="D8436"/>
  <c r="E8436"/>
  <c r="C8437" s="1"/>
  <c r="F8473"/>
  <c r="G8473" s="1"/>
  <c r="F8475"/>
  <c r="G8475" s="1"/>
  <c r="E8476"/>
  <c r="F8476"/>
  <c r="E8477"/>
  <c r="F8477"/>
  <c r="F8491"/>
  <c r="G8491" s="1"/>
  <c r="F8492"/>
  <c r="G8492" s="1"/>
  <c r="F8493"/>
  <c r="G8493" s="1"/>
  <c r="F8494"/>
  <c r="G8494" s="1"/>
  <c r="D8497"/>
  <c r="E8505"/>
  <c r="D8506"/>
  <c r="E8506"/>
  <c r="C8507" s="1"/>
  <c r="F8534"/>
  <c r="G8534" s="1"/>
  <c r="F8535"/>
  <c r="G8535" s="1"/>
  <c r="G8541"/>
  <c r="G8542"/>
  <c r="F8548"/>
  <c r="G8548" s="1"/>
  <c r="F8549"/>
  <c r="G8549" s="1"/>
  <c r="F8550"/>
  <c r="G8550" s="1"/>
  <c r="D8553"/>
  <c r="E8561"/>
  <c r="D8562"/>
  <c r="E8562"/>
  <c r="C8563" s="1"/>
  <c r="F8581"/>
  <c r="G8581" s="1"/>
  <c r="G8582" s="1"/>
  <c r="G8602" s="1"/>
  <c r="G8587"/>
  <c r="G8588"/>
  <c r="F8594"/>
  <c r="G8594" s="1"/>
  <c r="F8595"/>
  <c r="G8595" s="1"/>
  <c r="D8598"/>
  <c r="E8606"/>
  <c r="D8607"/>
  <c r="E8607"/>
  <c r="C8608" s="1"/>
  <c r="E140" i="20"/>
  <c r="E145"/>
  <c r="E159"/>
  <c r="C162"/>
  <c r="E162" s="1"/>
  <c r="E164" s="1"/>
  <c r="F181" s="1"/>
  <c r="G181" s="1"/>
  <c r="C166"/>
  <c r="E166" s="1"/>
  <c r="E168" s="1"/>
  <c r="F183" s="1"/>
  <c r="G183" s="1"/>
  <c r="C169"/>
  <c r="E169" s="1"/>
  <c r="E171" s="1"/>
  <c r="F184" s="1"/>
  <c r="G184" s="1"/>
  <c r="F173"/>
  <c r="F177"/>
  <c r="G177" s="1"/>
  <c r="F178"/>
  <c r="G178" s="1"/>
  <c r="F179"/>
  <c r="G179" s="1"/>
  <c r="F180"/>
  <c r="G180" s="1"/>
  <c r="F185"/>
  <c r="G185" s="1"/>
  <c r="F207"/>
  <c r="G207" s="1"/>
  <c r="F220"/>
  <c r="G220" s="1"/>
  <c r="F221"/>
  <c r="G221" s="1"/>
  <c r="F222"/>
  <c r="G222" s="1"/>
  <c r="F223"/>
  <c r="G223" s="1"/>
  <c r="F224"/>
  <c r="G224" s="1"/>
  <c r="F225"/>
  <c r="G225" s="1"/>
  <c r="F226"/>
  <c r="G226" s="1"/>
  <c r="F227"/>
  <c r="G227" s="1"/>
  <c r="F229"/>
  <c r="G229" s="1"/>
  <c r="F230"/>
  <c r="G230" s="1"/>
  <c r="F231"/>
  <c r="G231" s="1"/>
  <c r="D234"/>
  <c r="E242"/>
  <c r="E243"/>
  <c r="E244"/>
  <c r="E245"/>
  <c r="E247"/>
  <c r="D248"/>
  <c r="E248"/>
  <c r="C249" s="1"/>
  <c r="F300"/>
  <c r="D315"/>
  <c r="F315" s="1"/>
  <c r="F317" s="1"/>
  <c r="F364" s="1"/>
  <c r="G364" s="1"/>
  <c r="G365" s="1"/>
  <c r="D319"/>
  <c r="F319" s="1"/>
  <c r="F321" s="1"/>
  <c r="F366" s="1"/>
  <c r="G366" s="1"/>
  <c r="D322"/>
  <c r="F322" s="1"/>
  <c r="F324" s="1"/>
  <c r="F367" s="1"/>
  <c r="G367" s="1"/>
  <c r="D327"/>
  <c r="F327" s="1"/>
  <c r="F328" s="1"/>
  <c r="F329" s="1"/>
  <c r="D339"/>
  <c r="F339" s="1"/>
  <c r="F341" s="1"/>
  <c r="D343"/>
  <c r="F343" s="1"/>
  <c r="D344"/>
  <c r="F344" s="1"/>
  <c r="D345"/>
  <c r="F345" s="1"/>
  <c r="F357"/>
  <c r="D427" s="1"/>
  <c r="F361"/>
  <c r="G361" s="1"/>
  <c r="F362"/>
  <c r="G362" s="1"/>
  <c r="F363"/>
  <c r="G363" s="1"/>
  <c r="F370"/>
  <c r="G370" s="1"/>
  <c r="F388"/>
  <c r="G388" s="1"/>
  <c r="F399"/>
  <c r="G399" s="1"/>
  <c r="F400"/>
  <c r="G400" s="1"/>
  <c r="F401"/>
  <c r="G401" s="1"/>
  <c r="F402"/>
  <c r="G402" s="1"/>
  <c r="F403"/>
  <c r="G403" s="1"/>
  <c r="F404"/>
  <c r="G404" s="1"/>
  <c r="F405"/>
  <c r="G405" s="1"/>
  <c r="F406"/>
  <c r="G406" s="1"/>
  <c r="F408"/>
  <c r="G408" s="1"/>
  <c r="F409"/>
  <c r="G409" s="1"/>
  <c r="F410"/>
  <c r="G410" s="1"/>
  <c r="D413"/>
  <c r="E421"/>
  <c r="E422"/>
  <c r="E423"/>
  <c r="E424"/>
  <c r="E426"/>
  <c r="E427"/>
  <c r="C428"/>
  <c r="F478"/>
  <c r="F498"/>
  <c r="F504"/>
  <c r="F516"/>
  <c r="D519"/>
  <c r="F519" s="1"/>
  <c r="F521" s="1"/>
  <c r="F539" s="1"/>
  <c r="G539" s="1"/>
  <c r="G540" s="1"/>
  <c r="D523"/>
  <c r="F523" s="1"/>
  <c r="F525" s="1"/>
  <c r="F541" s="1"/>
  <c r="G541" s="1"/>
  <c r="D526"/>
  <c r="F526" s="1"/>
  <c r="F528" s="1"/>
  <c r="F542" s="1"/>
  <c r="G542" s="1"/>
  <c r="F531"/>
  <c r="D606" s="1"/>
  <c r="F535"/>
  <c r="G535" s="1"/>
  <c r="F536"/>
  <c r="G536" s="1"/>
  <c r="F537"/>
  <c r="G537" s="1"/>
  <c r="F538"/>
  <c r="G538" s="1"/>
  <c r="F543"/>
  <c r="G543" s="1"/>
  <c r="F565"/>
  <c r="G565" s="1"/>
  <c r="F578"/>
  <c r="G578" s="1"/>
  <c r="F579"/>
  <c r="G579" s="1"/>
  <c r="F580"/>
  <c r="G580" s="1"/>
  <c r="F581"/>
  <c r="G581" s="1"/>
  <c r="F582"/>
  <c r="G582" s="1"/>
  <c r="F583"/>
  <c r="G583" s="1"/>
  <c r="F584"/>
  <c r="G584" s="1"/>
  <c r="F585"/>
  <c r="G585" s="1"/>
  <c r="F587"/>
  <c r="G587" s="1"/>
  <c r="F588"/>
  <c r="G588" s="1"/>
  <c r="F589"/>
  <c r="G589" s="1"/>
  <c r="D592"/>
  <c r="E600"/>
  <c r="E601"/>
  <c r="E602"/>
  <c r="E603"/>
  <c r="E605"/>
  <c r="E606"/>
  <c r="C607" s="1"/>
  <c r="F667"/>
  <c r="F673"/>
  <c r="F686"/>
  <c r="D689"/>
  <c r="F689" s="1"/>
  <c r="F691" s="1"/>
  <c r="F709" s="1"/>
  <c r="G709" s="1"/>
  <c r="G710" s="1"/>
  <c r="D693"/>
  <c r="F693" s="1"/>
  <c r="F695" s="1"/>
  <c r="F711" s="1"/>
  <c r="G711" s="1"/>
  <c r="D696"/>
  <c r="F696" s="1"/>
  <c r="F698" s="1"/>
  <c r="F712" s="1"/>
  <c r="G712" s="1"/>
  <c r="F701"/>
  <c r="F705"/>
  <c r="G705" s="1"/>
  <c r="F706"/>
  <c r="G706" s="1"/>
  <c r="F707"/>
  <c r="G707" s="1"/>
  <c r="F708"/>
  <c r="G708" s="1"/>
  <c r="F713"/>
  <c r="G713" s="1"/>
  <c r="F735"/>
  <c r="G735" s="1"/>
  <c r="F748"/>
  <c r="G748" s="1"/>
  <c r="F749"/>
  <c r="G749" s="1"/>
  <c r="F750"/>
  <c r="G750" s="1"/>
  <c r="F751"/>
  <c r="G751" s="1"/>
  <c r="F752"/>
  <c r="G752" s="1"/>
  <c r="F753"/>
  <c r="G753" s="1"/>
  <c r="F754"/>
  <c r="G754" s="1"/>
  <c r="F755"/>
  <c r="G755"/>
  <c r="F757"/>
  <c r="G757" s="1"/>
  <c r="F758"/>
  <c r="G758" s="1"/>
  <c r="F759"/>
  <c r="G759" s="1"/>
  <c r="D762"/>
  <c r="E770"/>
  <c r="E771"/>
  <c r="E772"/>
  <c r="E773"/>
  <c r="E775"/>
  <c r="D776"/>
  <c r="E776"/>
  <c r="C777" s="1"/>
  <c r="F864"/>
  <c r="F870"/>
  <c r="F883"/>
  <c r="D885"/>
  <c r="F885" s="1"/>
  <c r="F887" s="1"/>
  <c r="F905" s="1"/>
  <c r="G905" s="1"/>
  <c r="D889"/>
  <c r="F889" s="1"/>
  <c r="F891" s="1"/>
  <c r="F907" s="1"/>
  <c r="G907" s="1"/>
  <c r="D892"/>
  <c r="F892" s="1"/>
  <c r="F894" s="1"/>
  <c r="F908" s="1"/>
  <c r="G908" s="1"/>
  <c r="F901"/>
  <c r="G901" s="1"/>
  <c r="F902"/>
  <c r="G902" s="1"/>
  <c r="F903"/>
  <c r="G903" s="1"/>
  <c r="F904"/>
  <c r="G904" s="1"/>
  <c r="F909"/>
  <c r="G909" s="1"/>
  <c r="F931"/>
  <c r="G931" s="1"/>
  <c r="F944"/>
  <c r="G944" s="1"/>
  <c r="F945"/>
  <c r="G945" s="1"/>
  <c r="F946"/>
  <c r="G946" s="1"/>
  <c r="F947"/>
  <c r="G947" s="1"/>
  <c r="F948"/>
  <c r="G948" s="1"/>
  <c r="F949"/>
  <c r="G949" s="1"/>
  <c r="F950"/>
  <c r="G950" s="1"/>
  <c r="F952"/>
  <c r="G952" s="1"/>
  <c r="F953"/>
  <c r="G953" s="1"/>
  <c r="F955"/>
  <c r="G955" s="1"/>
  <c r="F956"/>
  <c r="G956" s="1"/>
  <c r="F957"/>
  <c r="G957" s="1"/>
  <c r="D960"/>
  <c r="E968"/>
  <c r="E969"/>
  <c r="E970"/>
  <c r="E971"/>
  <c r="E973"/>
  <c r="D974"/>
  <c r="E974"/>
  <c r="C975" s="1"/>
  <c r="D995"/>
  <c r="F995" s="1"/>
  <c r="F997" s="1"/>
  <c r="F1015" s="1"/>
  <c r="G1015" s="1"/>
  <c r="D999"/>
  <c r="F999" s="1"/>
  <c r="F1001" s="1"/>
  <c r="F1020" s="1"/>
  <c r="G1020" s="1"/>
  <c r="D1002"/>
  <c r="F1002" s="1"/>
  <c r="F1004" s="1"/>
  <c r="F1021" s="1"/>
  <c r="G1021" s="1"/>
  <c r="F1017"/>
  <c r="G1017" s="1"/>
  <c r="F1018"/>
  <c r="G1018" s="1"/>
  <c r="F1019"/>
  <c r="G1019" s="1"/>
  <c r="F1022"/>
  <c r="G1022" s="1"/>
  <c r="F1038"/>
  <c r="G1038" s="1"/>
  <c r="F1049"/>
  <c r="G1049" s="1"/>
  <c r="F1050"/>
  <c r="G1050" s="1"/>
  <c r="F1051"/>
  <c r="G1051" s="1"/>
  <c r="D1054"/>
  <c r="E1062"/>
  <c r="E1063"/>
  <c r="E1064"/>
  <c r="E1065"/>
  <c r="E1067"/>
  <c r="D1068"/>
  <c r="E1068"/>
  <c r="C1069" s="1"/>
  <c r="F1082"/>
  <c r="F1086"/>
  <c r="F1087" s="1"/>
  <c r="F1088" s="1"/>
  <c r="F1090" s="1"/>
  <c r="F1097"/>
  <c r="G1097" s="1"/>
  <c r="F1105"/>
  <c r="G1105" s="1"/>
  <c r="F1112"/>
  <c r="G1112" s="1"/>
  <c r="F1113"/>
  <c r="G1113" s="1"/>
  <c r="D1116"/>
  <c r="E1124"/>
  <c r="E1125"/>
  <c r="E1126"/>
  <c r="E1127"/>
  <c r="E1129"/>
  <c r="D1130"/>
  <c r="E1130"/>
  <c r="C1131" s="1"/>
  <c r="F1152"/>
  <c r="D1159"/>
  <c r="F1159" s="1"/>
  <c r="F1161" s="1"/>
  <c r="F1175" s="1"/>
  <c r="G1175" s="1"/>
  <c r="D1162"/>
  <c r="F1162" s="1"/>
  <c r="F1164" s="1"/>
  <c r="F1176" s="1"/>
  <c r="G1176" s="1"/>
  <c r="D1165"/>
  <c r="F1165" s="1"/>
  <c r="F1167" s="1"/>
  <c r="F1177" s="1"/>
  <c r="G1177" s="1"/>
  <c r="E1173"/>
  <c r="F1173"/>
  <c r="G1173" s="1"/>
  <c r="E1174"/>
  <c r="D1220" s="1"/>
  <c r="F1174"/>
  <c r="F1178"/>
  <c r="G1178" s="1"/>
  <c r="F1192"/>
  <c r="G1192" s="1"/>
  <c r="F1202"/>
  <c r="G1202" s="1"/>
  <c r="F1203"/>
  <c r="G1203" s="1"/>
  <c r="D1206"/>
  <c r="E1214"/>
  <c r="E1215"/>
  <c r="E1216"/>
  <c r="E1217"/>
  <c r="E1219"/>
  <c r="D1222"/>
  <c r="E1222"/>
  <c r="C1223" s="1"/>
  <c r="F1244"/>
  <c r="F1245" s="1"/>
  <c r="F1246" s="1"/>
  <c r="D1254"/>
  <c r="F1254" s="1"/>
  <c r="F1256" s="1"/>
  <c r="F1272" s="1"/>
  <c r="G1272" s="1"/>
  <c r="D1257"/>
  <c r="F1257" s="1"/>
  <c r="F1259" s="1"/>
  <c r="F1273" s="1"/>
  <c r="G1273" s="1"/>
  <c r="D1260"/>
  <c r="F1260" s="1"/>
  <c r="F1262" s="1"/>
  <c r="F1274" s="1"/>
  <c r="G1274" s="1"/>
  <c r="F1263"/>
  <c r="F1269"/>
  <c r="F1270"/>
  <c r="F1271"/>
  <c r="F1276"/>
  <c r="G1276" s="1"/>
  <c r="F1290"/>
  <c r="G1290" s="1"/>
  <c r="F1300"/>
  <c r="G1300" s="1"/>
  <c r="F1301"/>
  <c r="G1301" s="1"/>
  <c r="D1304"/>
  <c r="E1312"/>
  <c r="E1313"/>
  <c r="E1314"/>
  <c r="E1315"/>
  <c r="E1317"/>
  <c r="F1343"/>
  <c r="F1345"/>
  <c r="E1380"/>
  <c r="F1347"/>
  <c r="E1381"/>
  <c r="D1356"/>
  <c r="F1356" s="1"/>
  <c r="F1358" s="1"/>
  <c r="F1383" s="1"/>
  <c r="G1383" s="1"/>
  <c r="G1384" s="1"/>
  <c r="D1359"/>
  <c r="F1359" s="1"/>
  <c r="F1361" s="1"/>
  <c r="F1385" s="1"/>
  <c r="G1385" s="1"/>
  <c r="D1362"/>
  <c r="F1362" s="1"/>
  <c r="F1364" s="1"/>
  <c r="F1386" s="1"/>
  <c r="G1386" s="1"/>
  <c r="E1379"/>
  <c r="F1379"/>
  <c r="G1379" s="1"/>
  <c r="F1380"/>
  <c r="G1380" s="1"/>
  <c r="F1381"/>
  <c r="G1381" s="1"/>
  <c r="F1382"/>
  <c r="G1382" s="1"/>
  <c r="F1387"/>
  <c r="G1387" s="1"/>
  <c r="F1403"/>
  <c r="G1403" s="1"/>
  <c r="F1413"/>
  <c r="G1413" s="1"/>
  <c r="F1414"/>
  <c r="G1414" s="1"/>
  <c r="F1415"/>
  <c r="G1415" s="1"/>
  <c r="F1416"/>
  <c r="G1416" s="1"/>
  <c r="F1417"/>
  <c r="G1417" s="1"/>
  <c r="F1418"/>
  <c r="G1418" s="1"/>
  <c r="F1419"/>
  <c r="G1419" s="1"/>
  <c r="D1422"/>
  <c r="E1430"/>
  <c r="E1431"/>
  <c r="E1432"/>
  <c r="E1433"/>
  <c r="E1435"/>
  <c r="F1457"/>
  <c r="E1490" s="1"/>
  <c r="F1459"/>
  <c r="D1468"/>
  <c r="F1468" s="1"/>
  <c r="F1470" s="1"/>
  <c r="F1494" s="1"/>
  <c r="G1494" s="1"/>
  <c r="G1495" s="1"/>
  <c r="D1471"/>
  <c r="F1471" s="1"/>
  <c r="F1473" s="1"/>
  <c r="F1496" s="1"/>
  <c r="G1496" s="1"/>
  <c r="D1474"/>
  <c r="F1474" s="1"/>
  <c r="F1476" s="1"/>
  <c r="F1497" s="1"/>
  <c r="G1497" s="1"/>
  <c r="F1490"/>
  <c r="G1490" s="1"/>
  <c r="E1491"/>
  <c r="F1491"/>
  <c r="F1492"/>
  <c r="G1492" s="1"/>
  <c r="F1493"/>
  <c r="G1493" s="1"/>
  <c r="F1498"/>
  <c r="G1498" s="1"/>
  <c r="F1514"/>
  <c r="G1514" s="1"/>
  <c r="F1524"/>
  <c r="G1524" s="1"/>
  <c r="F1525"/>
  <c r="G1525" s="1"/>
  <c r="F1526"/>
  <c r="G1526" s="1"/>
  <c r="F1527"/>
  <c r="G1527" s="1"/>
  <c r="F1528"/>
  <c r="G1528" s="1"/>
  <c r="F1529"/>
  <c r="G1529" s="1"/>
  <c r="D1532"/>
  <c r="E1540"/>
  <c r="E1541"/>
  <c r="E1542"/>
  <c r="E1543"/>
  <c r="E1545"/>
  <c r="F1590"/>
  <c r="D1605"/>
  <c r="F1613"/>
  <c r="G1613" s="1"/>
  <c r="F1614"/>
  <c r="G1614" s="1"/>
  <c r="F1615"/>
  <c r="G1615" s="1"/>
  <c r="F1617"/>
  <c r="G1617" s="1"/>
  <c r="F1618"/>
  <c r="G1618" s="1"/>
  <c r="F1622"/>
  <c r="G1622" s="1"/>
  <c r="F1623"/>
  <c r="G1623" s="1"/>
  <c r="F1635"/>
  <c r="G1635" s="1"/>
  <c r="F1644"/>
  <c r="G1644" s="1"/>
  <c r="F1645"/>
  <c r="G1645" s="1"/>
  <c r="F1646"/>
  <c r="G1646" s="1"/>
  <c r="F1647"/>
  <c r="G1647" s="1"/>
  <c r="F1648"/>
  <c r="G1648" s="1"/>
  <c r="F1649"/>
  <c r="G1649" s="1"/>
  <c r="F1651"/>
  <c r="G1651" s="1"/>
  <c r="F1652"/>
  <c r="G1652" s="1"/>
  <c r="F1653"/>
  <c r="G1653" s="1"/>
  <c r="F1655"/>
  <c r="G1655" s="1"/>
  <c r="F1656"/>
  <c r="G1656" s="1"/>
  <c r="F1657"/>
  <c r="G1657" s="1"/>
  <c r="F1658"/>
  <c r="G1658" s="1"/>
  <c r="D1661"/>
  <c r="E1669"/>
  <c r="E1670"/>
  <c r="E1671"/>
  <c r="E1672"/>
  <c r="E1674"/>
  <c r="F1713"/>
  <c r="G1713" s="1"/>
  <c r="F1714"/>
  <c r="G1714" s="1"/>
  <c r="F1715"/>
  <c r="G1715" s="1"/>
  <c r="F1717"/>
  <c r="G1717" s="1"/>
  <c r="F1718"/>
  <c r="G1718" s="1"/>
  <c r="F1722"/>
  <c r="G1722" s="1"/>
  <c r="F1723"/>
  <c r="G1723" s="1"/>
  <c r="F1734"/>
  <c r="G1734" s="1"/>
  <c r="F1743"/>
  <c r="G1743" s="1"/>
  <c r="F1751"/>
  <c r="G1751" s="1"/>
  <c r="F1752"/>
  <c r="G1752" s="1"/>
  <c r="F1753"/>
  <c r="G1753" s="1"/>
  <c r="F1754"/>
  <c r="G1754" s="1"/>
  <c r="F1755"/>
  <c r="G1755" s="1"/>
  <c r="F1756"/>
  <c r="G1756" s="1"/>
  <c r="F1758"/>
  <c r="G1758" s="1"/>
  <c r="F1759"/>
  <c r="G1759" s="1"/>
  <c r="F1760"/>
  <c r="G1760" s="1"/>
  <c r="F1769"/>
  <c r="G1769" s="1"/>
  <c r="F1770"/>
  <c r="G1770" s="1"/>
  <c r="F1771"/>
  <c r="G1771" s="1"/>
  <c r="F1772"/>
  <c r="G1772" s="1"/>
  <c r="F1774"/>
  <c r="G1774" s="1"/>
  <c r="F1775"/>
  <c r="G1775" s="1"/>
  <c r="F1776"/>
  <c r="G1776" s="1"/>
  <c r="F1777"/>
  <c r="G1777" s="1"/>
  <c r="D1780"/>
  <c r="E1790"/>
  <c r="E1791"/>
  <c r="E1792"/>
  <c r="E1793"/>
  <c r="E1795"/>
  <c r="C1798"/>
  <c r="F1817"/>
  <c r="G1817" s="1"/>
  <c r="F1818"/>
  <c r="G1818" s="1"/>
  <c r="F1832"/>
  <c r="G1832" s="1"/>
  <c r="F1833"/>
  <c r="G1833" s="1"/>
  <c r="D1836"/>
  <c r="E1844"/>
  <c r="E1845"/>
  <c r="E1846"/>
  <c r="E1847"/>
  <c r="E1849"/>
  <c r="D1850"/>
  <c r="E1850"/>
  <c r="C1851" s="1"/>
  <c r="F1873"/>
  <c r="G1873" s="1"/>
  <c r="F1875"/>
  <c r="G1875" s="1"/>
  <c r="F1876"/>
  <c r="G1876" s="1"/>
  <c r="F1892"/>
  <c r="G1892" s="1"/>
  <c r="F1893"/>
  <c r="G1893" s="1"/>
  <c r="F1894"/>
  <c r="G1894" s="1"/>
  <c r="F1896"/>
  <c r="G1896" s="1"/>
  <c r="F1897"/>
  <c r="G1897" s="1"/>
  <c r="F1898"/>
  <c r="G1898" s="1"/>
  <c r="F1899"/>
  <c r="G1899" s="1"/>
  <c r="F1900"/>
  <c r="G1900" s="1"/>
  <c r="F1901"/>
  <c r="G1901" s="1"/>
  <c r="F1902"/>
  <c r="G1902" s="1"/>
  <c r="D1907"/>
  <c r="E1915"/>
  <c r="E1916"/>
  <c r="E1917"/>
  <c r="E1918"/>
  <c r="E1920"/>
  <c r="D1924"/>
  <c r="E1924"/>
  <c r="C1925" s="1"/>
  <c r="F1960"/>
  <c r="G1960" s="1"/>
  <c r="F1961"/>
  <c r="G1961" s="1"/>
  <c r="F1962"/>
  <c r="G1962" s="1"/>
  <c r="G1968"/>
  <c r="G1969"/>
  <c r="F1975"/>
  <c r="G1975" s="1"/>
  <c r="F1976"/>
  <c r="G1976" s="1"/>
  <c r="D1979"/>
  <c r="E1987"/>
  <c r="E1988"/>
  <c r="E1989"/>
  <c r="E1990"/>
  <c r="E1992"/>
  <c r="C1995"/>
  <c r="F2011"/>
  <c r="E2037" s="1"/>
  <c r="F2012"/>
  <c r="E2038" s="1"/>
  <c r="F2013"/>
  <c r="E2039" s="1"/>
  <c r="F2022"/>
  <c r="F2028"/>
  <c r="E2036"/>
  <c r="F2036"/>
  <c r="G2036" s="1"/>
  <c r="F2037"/>
  <c r="G2037" s="1"/>
  <c r="F2038"/>
  <c r="G2038" s="1"/>
  <c r="F2039"/>
  <c r="G2039" s="1"/>
  <c r="E2040"/>
  <c r="D2092"/>
  <c r="F2040"/>
  <c r="F2041"/>
  <c r="F2042"/>
  <c r="G2042" s="1"/>
  <c r="F2056"/>
  <c r="G2056" s="1"/>
  <c r="F2066"/>
  <c r="G2066" s="1"/>
  <c r="F2067"/>
  <c r="G2067" s="1"/>
  <c r="F2069"/>
  <c r="G2069" s="1"/>
  <c r="F2070"/>
  <c r="G2070" s="1"/>
  <c r="F2071"/>
  <c r="G2071" s="1"/>
  <c r="F2072"/>
  <c r="G2072" s="1"/>
  <c r="F2073"/>
  <c r="G2073" s="1"/>
  <c r="F2074"/>
  <c r="G2074" s="1"/>
  <c r="F2075"/>
  <c r="G2075" s="1"/>
  <c r="D2078"/>
  <c r="E2086"/>
  <c r="E2087"/>
  <c r="E2088"/>
  <c r="E2089"/>
  <c r="E2091"/>
  <c r="C2096"/>
  <c r="D2118"/>
  <c r="F2118" s="1"/>
  <c r="D2119"/>
  <c r="F2119" s="1"/>
  <c r="D2120"/>
  <c r="F2120" s="1"/>
  <c r="D2121"/>
  <c r="F2121" s="1"/>
  <c r="D2122"/>
  <c r="F2122" s="1"/>
  <c r="D2125"/>
  <c r="F2125" s="1"/>
  <c r="D2126"/>
  <c r="F2126" s="1"/>
  <c r="D2132"/>
  <c r="D2133"/>
  <c r="D2134"/>
  <c r="F2134" s="1"/>
  <c r="E2146"/>
  <c r="G2146" s="1"/>
  <c r="E2147"/>
  <c r="G2147" s="1"/>
  <c r="E2148"/>
  <c r="G2148" s="1"/>
  <c r="E2150"/>
  <c r="G2150" s="1"/>
  <c r="E2151"/>
  <c r="G2151" s="1"/>
  <c r="E2152"/>
  <c r="G2152" s="1"/>
  <c r="F2162"/>
  <c r="E2191" s="1"/>
  <c r="F2163"/>
  <c r="E2192" s="1"/>
  <c r="F2164"/>
  <c r="E2193" s="1"/>
  <c r="F2165"/>
  <c r="E2188"/>
  <c r="F2188"/>
  <c r="E2189"/>
  <c r="F2189"/>
  <c r="G2189" s="1"/>
  <c r="E2190"/>
  <c r="D2251" s="1"/>
  <c r="F2190"/>
  <c r="G2190" s="1"/>
  <c r="F2191"/>
  <c r="G2191" s="1"/>
  <c r="F2192"/>
  <c r="F2193"/>
  <c r="G2193" s="1"/>
  <c r="F2194"/>
  <c r="E2195"/>
  <c r="F2196"/>
  <c r="G2196" s="1"/>
  <c r="F2210"/>
  <c r="G2210" s="1"/>
  <c r="F2221"/>
  <c r="G2221" s="1"/>
  <c r="F2222"/>
  <c r="G2222" s="1"/>
  <c r="F2224"/>
  <c r="G2224" s="1"/>
  <c r="F2226"/>
  <c r="G2226" s="1"/>
  <c r="F2228"/>
  <c r="G2228" s="1"/>
  <c r="F2230"/>
  <c r="G2230" s="1"/>
  <c r="F2231"/>
  <c r="G2231" s="1"/>
  <c r="F2232"/>
  <c r="G2232" s="1"/>
  <c r="F2233"/>
  <c r="G2233" s="1"/>
  <c r="D2237"/>
  <c r="E2245"/>
  <c r="E2246"/>
  <c r="E2247"/>
  <c r="E2248"/>
  <c r="E2250"/>
  <c r="F2275"/>
  <c r="F2276"/>
  <c r="F2277"/>
  <c r="F2278"/>
  <c r="F2298"/>
  <c r="D2320"/>
  <c r="G2320" s="1"/>
  <c r="D2321"/>
  <c r="G2321" s="1"/>
  <c r="D2322"/>
  <c r="G2322" s="1"/>
  <c r="D2323"/>
  <c r="G2323" s="1"/>
  <c r="D2332"/>
  <c r="G2332" s="1"/>
  <c r="F2354"/>
  <c r="D2443"/>
  <c r="F2358"/>
  <c r="F2359"/>
  <c r="F2360"/>
  <c r="F2361"/>
  <c r="F2362"/>
  <c r="F2363"/>
  <c r="F2364"/>
  <c r="F2367"/>
  <c r="G2367" s="1"/>
  <c r="F2385"/>
  <c r="G2385" s="1"/>
  <c r="F2398"/>
  <c r="G2398" s="1"/>
  <c r="F2399"/>
  <c r="G2399" s="1"/>
  <c r="F2401"/>
  <c r="G2401" s="1"/>
  <c r="F2402"/>
  <c r="G2402" s="1"/>
  <c r="F2403"/>
  <c r="G2403" s="1"/>
  <c r="F2404"/>
  <c r="G2404" s="1"/>
  <c r="F2405"/>
  <c r="G2405" s="1"/>
  <c r="F2407"/>
  <c r="G2407" s="1"/>
  <c r="F2408"/>
  <c r="G2408" s="1"/>
  <c r="F2409"/>
  <c r="G2409" s="1"/>
  <c r="F2410"/>
  <c r="G2410" s="1"/>
  <c r="F2411"/>
  <c r="G2411" s="1"/>
  <c r="F2412"/>
  <c r="G2412" s="1"/>
  <c r="F2414"/>
  <c r="G2414" s="1"/>
  <c r="F2416"/>
  <c r="G2416" s="1"/>
  <c r="F2419"/>
  <c r="G2419" s="1"/>
  <c r="F2420"/>
  <c r="G2420" s="1"/>
  <c r="F2421"/>
  <c r="G2421" s="1"/>
  <c r="F2423"/>
  <c r="G2423" s="1"/>
  <c r="D2426"/>
  <c r="E2434"/>
  <c r="E2435"/>
  <c r="E2436"/>
  <c r="E2437"/>
  <c r="E2439"/>
  <c r="D2463"/>
  <c r="G2463" s="1"/>
  <c r="G2465" s="1"/>
  <c r="F2479" s="1"/>
  <c r="G2479" s="1"/>
  <c r="G2480" s="1"/>
  <c r="D2466"/>
  <c r="G2466" s="1"/>
  <c r="G2468" s="1"/>
  <c r="F2481" s="1"/>
  <c r="G2481" s="1"/>
  <c r="D2469"/>
  <c r="G2469" s="1"/>
  <c r="G2471" s="1"/>
  <c r="F2482" s="1"/>
  <c r="G2482" s="1"/>
  <c r="F2483"/>
  <c r="G2483" s="1"/>
  <c r="F2499"/>
  <c r="G2499" s="1"/>
  <c r="F2509"/>
  <c r="G2509" s="1"/>
  <c r="D2512"/>
  <c r="E2520"/>
  <c r="E2521"/>
  <c r="E2522"/>
  <c r="E2523"/>
  <c r="E2525"/>
  <c r="D2526"/>
  <c r="E2526"/>
  <c r="C2527" s="1"/>
  <c r="D2545"/>
  <c r="G2545" s="1"/>
  <c r="G2547" s="1"/>
  <c r="F2558" s="1"/>
  <c r="G2558" s="1"/>
  <c r="D2548"/>
  <c r="G2548" s="1"/>
  <c r="G2550" s="1"/>
  <c r="F2559" s="1"/>
  <c r="G2559" s="1"/>
  <c r="F2557"/>
  <c r="G2557" s="1"/>
  <c r="F2560"/>
  <c r="G2560" s="1"/>
  <c r="F2572"/>
  <c r="G2572" s="1"/>
  <c r="F2581"/>
  <c r="G2581" s="1"/>
  <c r="D2584"/>
  <c r="E2592"/>
  <c r="E2593"/>
  <c r="E2594"/>
  <c r="E2595"/>
  <c r="E2597"/>
  <c r="D2599"/>
  <c r="E2599"/>
  <c r="C2600" s="1"/>
  <c r="D2616"/>
  <c r="G2616" s="1"/>
  <c r="G2618" s="1"/>
  <c r="F2634" s="1"/>
  <c r="G2634" s="1"/>
  <c r="D2619"/>
  <c r="G2619" s="1"/>
  <c r="G2621" s="1"/>
  <c r="F2637" s="1"/>
  <c r="G2637" s="1"/>
  <c r="D2622"/>
  <c r="G2622" s="1"/>
  <c r="G2624" s="1"/>
  <c r="F2635" s="1"/>
  <c r="G2635" s="1"/>
  <c r="D2625"/>
  <c r="G2625" s="1"/>
  <c r="G2627" s="1"/>
  <c r="F2636" s="1"/>
  <c r="G2636" s="1"/>
  <c r="F2649"/>
  <c r="G2649" s="1"/>
  <c r="F2658"/>
  <c r="G2658" s="1"/>
  <c r="D2661"/>
  <c r="E2669"/>
  <c r="E2670"/>
  <c r="E2671"/>
  <c r="E2672"/>
  <c r="E2674"/>
  <c r="D2675"/>
  <c r="E2675"/>
  <c r="C2676" s="1"/>
  <c r="H87" i="19"/>
  <c r="H88" s="1"/>
  <c r="H102"/>
  <c r="F141" s="1"/>
  <c r="I105"/>
  <c r="I106"/>
  <c r="H128"/>
  <c r="I128" s="1"/>
  <c r="H129"/>
  <c r="I129" s="1"/>
  <c r="G141"/>
  <c r="E142" s="1"/>
  <c r="H174"/>
  <c r="H175" s="1"/>
  <c r="H189"/>
  <c r="F230" s="1"/>
  <c r="I192"/>
  <c r="I193"/>
  <c r="H215"/>
  <c r="I215" s="1"/>
  <c r="H216"/>
  <c r="I216" s="1"/>
  <c r="H217"/>
  <c r="I217" s="1"/>
  <c r="G230"/>
  <c r="E231" s="1"/>
  <c r="H243"/>
  <c r="H276" s="1"/>
  <c r="F331" s="1"/>
  <c r="F267"/>
  <c r="H267" s="1"/>
  <c r="H269" s="1"/>
  <c r="F271"/>
  <c r="H271" s="1"/>
  <c r="H273" s="1"/>
  <c r="H413" s="1"/>
  <c r="I413" s="1"/>
  <c r="H283"/>
  <c r="I283" s="1"/>
  <c r="H284"/>
  <c r="I284" s="1"/>
  <c r="H285"/>
  <c r="I285" s="1"/>
  <c r="H313"/>
  <c r="I313" s="1"/>
  <c r="H314"/>
  <c r="I314" s="1"/>
  <c r="H315"/>
  <c r="I315" s="1"/>
  <c r="H316"/>
  <c r="I316" s="1"/>
  <c r="H317"/>
  <c r="I317" s="1"/>
  <c r="H318"/>
  <c r="I318" s="1"/>
  <c r="G331"/>
  <c r="E332" s="1"/>
  <c r="F544"/>
  <c r="H544" s="1"/>
  <c r="H546" s="1"/>
  <c r="H558" s="1"/>
  <c r="I558" s="1"/>
  <c r="F548"/>
  <c r="H548" s="1"/>
  <c r="H550" s="1"/>
  <c r="H560" s="1"/>
  <c r="I560" s="1"/>
  <c r="H555"/>
  <c r="F612" s="1"/>
  <c r="H561"/>
  <c r="I561" s="1"/>
  <c r="H562"/>
  <c r="I562" s="1"/>
  <c r="H563"/>
  <c r="I563" s="1"/>
  <c r="H564"/>
  <c r="I564" s="1"/>
  <c r="H565"/>
  <c r="I565" s="1"/>
  <c r="H594"/>
  <c r="I594" s="1"/>
  <c r="H595"/>
  <c r="I595" s="1"/>
  <c r="H596"/>
  <c r="I596" s="1"/>
  <c r="H597"/>
  <c r="I597" s="1"/>
  <c r="H598"/>
  <c r="I598" s="1"/>
  <c r="H599"/>
  <c r="I599" s="1"/>
  <c r="G612"/>
  <c r="E613" s="1"/>
  <c r="F712"/>
  <c r="H712" s="1"/>
  <c r="H714" s="1"/>
  <c r="H739" s="1"/>
  <c r="I739" s="1"/>
  <c r="I740" s="1"/>
  <c r="F716"/>
  <c r="H716" s="1"/>
  <c r="H718" s="1"/>
  <c r="H741" s="1"/>
  <c r="I741" s="1"/>
  <c r="F726"/>
  <c r="H726" s="1"/>
  <c r="F727"/>
  <c r="H727" s="1"/>
  <c r="H729"/>
  <c r="H736"/>
  <c r="F793" s="1"/>
  <c r="H744"/>
  <c r="I744" s="1"/>
  <c r="H745"/>
  <c r="I745" s="1"/>
  <c r="H746"/>
  <c r="I746" s="1"/>
  <c r="H747"/>
  <c r="I747" s="1"/>
  <c r="H748"/>
  <c r="I748" s="1"/>
  <c r="H776"/>
  <c r="I776" s="1"/>
  <c r="H777"/>
  <c r="I777" s="1"/>
  <c r="H778"/>
  <c r="I778" s="1"/>
  <c r="H779"/>
  <c r="I779" s="1"/>
  <c r="H780"/>
  <c r="I780" s="1"/>
  <c r="H781"/>
  <c r="I781" s="1"/>
  <c r="G793"/>
  <c r="D794" s="1"/>
  <c r="F898"/>
  <c r="H898" s="1"/>
  <c r="H900" s="1"/>
  <c r="H912" s="1"/>
  <c r="I912" s="1"/>
  <c r="I913" s="1"/>
  <c r="F902"/>
  <c r="H902" s="1"/>
  <c r="H904" s="1"/>
  <c r="H914" s="1"/>
  <c r="I914" s="1"/>
  <c r="H909"/>
  <c r="F962" s="1"/>
  <c r="H915"/>
  <c r="I915" s="1"/>
  <c r="H916"/>
  <c r="I916" s="1"/>
  <c r="H917"/>
  <c r="I917" s="1"/>
  <c r="H918"/>
  <c r="I918" s="1"/>
  <c r="H919"/>
  <c r="I919" s="1"/>
  <c r="H945"/>
  <c r="I945" s="1"/>
  <c r="H946"/>
  <c r="I946" s="1"/>
  <c r="H947"/>
  <c r="I947" s="1"/>
  <c r="H948"/>
  <c r="I948" s="1"/>
  <c r="H949"/>
  <c r="I949" s="1"/>
  <c r="H950"/>
  <c r="I950" s="1"/>
  <c r="G962"/>
  <c r="D963"/>
  <c r="I978"/>
  <c r="I979"/>
  <c r="H996"/>
  <c r="I996" s="1"/>
  <c r="H997"/>
  <c r="I997" s="1"/>
  <c r="H998"/>
  <c r="I998" s="1"/>
  <c r="F1010"/>
  <c r="G1010"/>
  <c r="D1011" s="1"/>
  <c r="I1025"/>
  <c r="I1026" s="1"/>
  <c r="I1047" s="1"/>
  <c r="I1031"/>
  <c r="I1032"/>
  <c r="H1038"/>
  <c r="I1038" s="1"/>
  <c r="H1039"/>
  <c r="I1039" s="1"/>
  <c r="H1040"/>
  <c r="I1040" s="1"/>
  <c r="F1052"/>
  <c r="G1052"/>
  <c r="D1053" s="1"/>
  <c r="F1073"/>
  <c r="H1073" s="1"/>
  <c r="H1079" s="1"/>
  <c r="H1091" s="1"/>
  <c r="I1091" s="1"/>
  <c r="F1074"/>
  <c r="H1074" s="1"/>
  <c r="H1080" s="1"/>
  <c r="H1093" s="1"/>
  <c r="I1093" s="1"/>
  <c r="F1075"/>
  <c r="H1075" s="1"/>
  <c r="H1081" s="1"/>
  <c r="H1092" s="1"/>
  <c r="I1092" s="1"/>
  <c r="H1103"/>
  <c r="I1103" s="1"/>
  <c r="H1111"/>
  <c r="I1111" s="1"/>
  <c r="F1123"/>
  <c r="G1123"/>
  <c r="D1124" s="1"/>
  <c r="E1178"/>
  <c r="H1178" s="1"/>
  <c r="H1180" s="1"/>
  <c r="H1190" s="1"/>
  <c r="I1190" s="1"/>
  <c r="E1181"/>
  <c r="H1181" s="1"/>
  <c r="H1183" s="1"/>
  <c r="H1191" s="1"/>
  <c r="I1191" s="1"/>
  <c r="H1187"/>
  <c r="F1222" s="1"/>
  <c r="H1192"/>
  <c r="I1192" s="1"/>
  <c r="H1202"/>
  <c r="I1202" s="1"/>
  <c r="H1210"/>
  <c r="I1210" s="1"/>
  <c r="G1222"/>
  <c r="D1223" s="1"/>
  <c r="E1233"/>
  <c r="H1233" s="1"/>
  <c r="H1235" s="1"/>
  <c r="H1243" s="1"/>
  <c r="I1243" s="1"/>
  <c r="I1245" s="1"/>
  <c r="I1269" s="1"/>
  <c r="H1242"/>
  <c r="I1242" s="1"/>
  <c r="H1244"/>
  <c r="I1244" s="1"/>
  <c r="H1254"/>
  <c r="I1254" s="1"/>
  <c r="H1262"/>
  <c r="I1262" s="1"/>
  <c r="F1275"/>
  <c r="G1275"/>
  <c r="D1276" s="1"/>
  <c r="E1287"/>
  <c r="H1287" s="1"/>
  <c r="H1289" s="1"/>
  <c r="H1300" s="1"/>
  <c r="I1300" s="1"/>
  <c r="E1290"/>
  <c r="H1290" s="1"/>
  <c r="H1292" s="1"/>
  <c r="H1301" s="1"/>
  <c r="I1301" s="1"/>
  <c r="H1299"/>
  <c r="I1299" s="1"/>
  <c r="H1302"/>
  <c r="I1302" s="1"/>
  <c r="H1312"/>
  <c r="I1312" s="1"/>
  <c r="H1320"/>
  <c r="I1320" s="1"/>
  <c r="H1321"/>
  <c r="I1321" s="1"/>
  <c r="F1334"/>
  <c r="G1334"/>
  <c r="D1335" s="1"/>
  <c r="F1349"/>
  <c r="E1354"/>
  <c r="H1354" s="1"/>
  <c r="H1356" s="1"/>
  <c r="H1366" s="1"/>
  <c r="E1357"/>
  <c r="H1357" s="1"/>
  <c r="H1359" s="1"/>
  <c r="H1367" s="1"/>
  <c r="I1367" s="1"/>
  <c r="G1366"/>
  <c r="G1368"/>
  <c r="F1402" s="1"/>
  <c r="H1368"/>
  <c r="G1369"/>
  <c r="H1369"/>
  <c r="H1370"/>
  <c r="I1370" s="1"/>
  <c r="H1386"/>
  <c r="I1386" s="1"/>
  <c r="H1387"/>
  <c r="I1387" s="1"/>
  <c r="H1388"/>
  <c r="I1388" s="1"/>
  <c r="E1422"/>
  <c r="H1422" s="1"/>
  <c r="H1424" s="1"/>
  <c r="H1435" s="1"/>
  <c r="I1435" s="1"/>
  <c r="E1425"/>
  <c r="H1425" s="1"/>
  <c r="H1427" s="1"/>
  <c r="H1436" s="1"/>
  <c r="G1436"/>
  <c r="G1437"/>
  <c r="F1471" s="1"/>
  <c r="H1437"/>
  <c r="G1438"/>
  <c r="H1438"/>
  <c r="I1438" s="1"/>
  <c r="H1439"/>
  <c r="I1439" s="1"/>
  <c r="H1440"/>
  <c r="I1440" s="1"/>
  <c r="H1455"/>
  <c r="I1455" s="1"/>
  <c r="H1456"/>
  <c r="I1456" s="1"/>
  <c r="H1457"/>
  <c r="I1457" s="1"/>
  <c r="H1458"/>
  <c r="I1458" s="1"/>
  <c r="G1491"/>
  <c r="H1491"/>
  <c r="I1491" s="1"/>
  <c r="G1492"/>
  <c r="H1492"/>
  <c r="H1503"/>
  <c r="I1503" s="1"/>
  <c r="H1504"/>
  <c r="I1504" s="1"/>
  <c r="H1511"/>
  <c r="G1530"/>
  <c r="H1530"/>
  <c r="G1531"/>
  <c r="H1544"/>
  <c r="I1544" s="1"/>
  <c r="H1545"/>
  <c r="I1545" s="1"/>
  <c r="H1546"/>
  <c r="I1546" s="1"/>
  <c r="H1582"/>
  <c r="F1583"/>
  <c r="I1583" s="1"/>
  <c r="F1584"/>
  <c r="I1584" s="1"/>
  <c r="F1585"/>
  <c r="I1585" s="1"/>
  <c r="F1586"/>
  <c r="I1586" s="1"/>
  <c r="F1587"/>
  <c r="I1587" s="1"/>
  <c r="F1590"/>
  <c r="I1590" s="1"/>
  <c r="F1591"/>
  <c r="G1597"/>
  <c r="G1598"/>
  <c r="F1599"/>
  <c r="I1599" s="1"/>
  <c r="F1600"/>
  <c r="I1600" s="1"/>
  <c r="F1613"/>
  <c r="H1613" s="1"/>
  <c r="F1614"/>
  <c r="H1614" s="1"/>
  <c r="F1615"/>
  <c r="H1615" s="1"/>
  <c r="F1617"/>
  <c r="H1617" s="1"/>
  <c r="F1618"/>
  <c r="H1618" s="1"/>
  <c r="F1619"/>
  <c r="H1619" s="1"/>
  <c r="H1629"/>
  <c r="H1639"/>
  <c r="H1640" s="1"/>
  <c r="H1647"/>
  <c r="H1657"/>
  <c r="H1685"/>
  <c r="G1688" s="1"/>
  <c r="H1688"/>
  <c r="H1689"/>
  <c r="H1690"/>
  <c r="H1691"/>
  <c r="H1692"/>
  <c r="H1693"/>
  <c r="H1694"/>
  <c r="H1695"/>
  <c r="H1716"/>
  <c r="I1716" s="1"/>
  <c r="H1728"/>
  <c r="I1728" s="1"/>
  <c r="H1729"/>
  <c r="I1729" s="1"/>
  <c r="H1731"/>
  <c r="I1731" s="1"/>
  <c r="H1732"/>
  <c r="I1732" s="1"/>
  <c r="H1733"/>
  <c r="I1733" s="1"/>
  <c r="H1734"/>
  <c r="I1734" s="1"/>
  <c r="H1735"/>
  <c r="I1735" s="1"/>
  <c r="G1747"/>
  <c r="G1748"/>
  <c r="G1749"/>
  <c r="G1755"/>
  <c r="D1756" s="1"/>
  <c r="H1774"/>
  <c r="H1784"/>
  <c r="H1785"/>
  <c r="H1792"/>
  <c r="H1802"/>
  <c r="H1830"/>
  <c r="F1900"/>
  <c r="H1833"/>
  <c r="H1834"/>
  <c r="H1835"/>
  <c r="H1836"/>
  <c r="H1837"/>
  <c r="H1838"/>
  <c r="H1839"/>
  <c r="H1840"/>
  <c r="H1861"/>
  <c r="I1861" s="1"/>
  <c r="H1873"/>
  <c r="I1873" s="1"/>
  <c r="H1874"/>
  <c r="I1874" s="1"/>
  <c r="H1876"/>
  <c r="I1876" s="1"/>
  <c r="H1877"/>
  <c r="I1877" s="1"/>
  <c r="H1878"/>
  <c r="I1878" s="1"/>
  <c r="H1879"/>
  <c r="I1879" s="1"/>
  <c r="H1880"/>
  <c r="I1880" s="1"/>
  <c r="G1892"/>
  <c r="G1893"/>
  <c r="G1894"/>
  <c r="H1916"/>
  <c r="H1948"/>
  <c r="G1951" s="1"/>
  <c r="H1951"/>
  <c r="H1952"/>
  <c r="H1953"/>
  <c r="H1954"/>
  <c r="H1955"/>
  <c r="H1956"/>
  <c r="H1957"/>
  <c r="H1958"/>
  <c r="H1979"/>
  <c r="I1979" s="1"/>
  <c r="H1992"/>
  <c r="I1992" s="1"/>
  <c r="H1993"/>
  <c r="I1993" s="1"/>
  <c r="H1995"/>
  <c r="I1995" s="1"/>
  <c r="H1996"/>
  <c r="I1996" s="1"/>
  <c r="H1997"/>
  <c r="I1997" s="1"/>
  <c r="H1998"/>
  <c r="I1998" s="1"/>
  <c r="H1999"/>
  <c r="I1999" s="1"/>
  <c r="G2011"/>
  <c r="G2012"/>
  <c r="G2013"/>
  <c r="H2038"/>
  <c r="H2072"/>
  <c r="G2075" s="1"/>
  <c r="H2075"/>
  <c r="H2076"/>
  <c r="H2077"/>
  <c r="H2078"/>
  <c r="H2079"/>
  <c r="H2080"/>
  <c r="H2081"/>
  <c r="H2103"/>
  <c r="I2103" s="1"/>
  <c r="H2115"/>
  <c r="I2115" s="1"/>
  <c r="H2116"/>
  <c r="I2116" s="1"/>
  <c r="I2117"/>
  <c r="H2118"/>
  <c r="I2118" s="1"/>
  <c r="H2119"/>
  <c r="I2119" s="1"/>
  <c r="H2120"/>
  <c r="I2120" s="1"/>
  <c r="H2121"/>
  <c r="I2121" s="1"/>
  <c r="H2122"/>
  <c r="I2122" s="1"/>
  <c r="G2135"/>
  <c r="G2136"/>
  <c r="G2137"/>
  <c r="D2144"/>
  <c r="H2161"/>
  <c r="H2195"/>
  <c r="G2198" s="1"/>
  <c r="H2198"/>
  <c r="H2199"/>
  <c r="H2200"/>
  <c r="H2201"/>
  <c r="H2202"/>
  <c r="H2203"/>
  <c r="H2204"/>
  <c r="H2226"/>
  <c r="I2226" s="1"/>
  <c r="H2238"/>
  <c r="I2238" s="1"/>
  <c r="H2239"/>
  <c r="I2239" s="1"/>
  <c r="I2240"/>
  <c r="H2241"/>
  <c r="I2241" s="1"/>
  <c r="H2242"/>
  <c r="I2242" s="1"/>
  <c r="H2243"/>
  <c r="I2243" s="1"/>
  <c r="H2244"/>
  <c r="I2244" s="1"/>
  <c r="H2245"/>
  <c r="I2245" s="1"/>
  <c r="G2258"/>
  <c r="G2259"/>
  <c r="G2260"/>
  <c r="H2284"/>
  <c r="H2318"/>
  <c r="G2321"/>
  <c r="H2321"/>
  <c r="H2322"/>
  <c r="H2323"/>
  <c r="H2324"/>
  <c r="H2325"/>
  <c r="H2326"/>
  <c r="H2348"/>
  <c r="I2348" s="1"/>
  <c r="H2360"/>
  <c r="I2360" s="1"/>
  <c r="H2361"/>
  <c r="I2361" s="1"/>
  <c r="I2362"/>
  <c r="H2363"/>
  <c r="I2363" s="1"/>
  <c r="H2364"/>
  <c r="I2364" s="1"/>
  <c r="H2365"/>
  <c r="I2365" s="1"/>
  <c r="H2366"/>
  <c r="I2366" s="1"/>
  <c r="H2367"/>
  <c r="I2367" s="1"/>
  <c r="G2380"/>
  <c r="G2381"/>
  <c r="G2382"/>
  <c r="H2404"/>
  <c r="H2414"/>
  <c r="H2415" s="1"/>
  <c r="H2434"/>
  <c r="F2489" s="1"/>
  <c r="H2437"/>
  <c r="H2438"/>
  <c r="H2439"/>
  <c r="H2440"/>
  <c r="H2441"/>
  <c r="H2442"/>
  <c r="H2443"/>
  <c r="H2465"/>
  <c r="I2465" s="1"/>
  <c r="H2467"/>
  <c r="I2467" s="1"/>
  <c r="H2468"/>
  <c r="I2468" s="1"/>
  <c r="H2469"/>
  <c r="I2469" s="1"/>
  <c r="H2470"/>
  <c r="I2470" s="1"/>
  <c r="H2471"/>
  <c r="H2472"/>
  <c r="I2472" s="1"/>
  <c r="D2490"/>
  <c r="H2509"/>
  <c r="H2521"/>
  <c r="H2522" s="1"/>
  <c r="H2544" s="1"/>
  <c r="H2547"/>
  <c r="H2548"/>
  <c r="H2549"/>
  <c r="H2550"/>
  <c r="H2551"/>
  <c r="H2552"/>
  <c r="H2553"/>
  <c r="H2554"/>
  <c r="H2576"/>
  <c r="I2576" s="1"/>
  <c r="H2577"/>
  <c r="I2577" s="1"/>
  <c r="H2579"/>
  <c r="I2579" s="1"/>
  <c r="H2580"/>
  <c r="I2580" s="1"/>
  <c r="H2581"/>
  <c r="I2581" s="1"/>
  <c r="H2582"/>
  <c r="I2582" s="1"/>
  <c r="H2583"/>
  <c r="I2583" s="1"/>
  <c r="H2584"/>
  <c r="H2585"/>
  <c r="I2585" s="1"/>
  <c r="H2586"/>
  <c r="I2586" s="1"/>
  <c r="H2620"/>
  <c r="H2631"/>
  <c r="H2652" s="1"/>
  <c r="F2707" s="1"/>
  <c r="H2655"/>
  <c r="H2656"/>
  <c r="H2657"/>
  <c r="H2658"/>
  <c r="H2659"/>
  <c r="H2660"/>
  <c r="H2661"/>
  <c r="H2683"/>
  <c r="I2683" s="1"/>
  <c r="H2685"/>
  <c r="I2685" s="1"/>
  <c r="H2686"/>
  <c r="I2686" s="1"/>
  <c r="H2687"/>
  <c r="I2687" s="1"/>
  <c r="H2688"/>
  <c r="I2688" s="1"/>
  <c r="H2689"/>
  <c r="H2690"/>
  <c r="I2690" s="1"/>
  <c r="H2724"/>
  <c r="H2735"/>
  <c r="H2755"/>
  <c r="F2809" s="1"/>
  <c r="H2758"/>
  <c r="H2759"/>
  <c r="H2760"/>
  <c r="H2761"/>
  <c r="H2762"/>
  <c r="H2763"/>
  <c r="H2785"/>
  <c r="I2785" s="1"/>
  <c r="H2787"/>
  <c r="I2787" s="1"/>
  <c r="H2788"/>
  <c r="I2788" s="1"/>
  <c r="H2789"/>
  <c r="I2789" s="1"/>
  <c r="H2790"/>
  <c r="I2790" s="1"/>
  <c r="H2791"/>
  <c r="I2791" s="1"/>
  <c r="H2792"/>
  <c r="I2792" s="1"/>
  <c r="D2810"/>
  <c r="H2828"/>
  <c r="H2839"/>
  <c r="H2859" s="1"/>
  <c r="G2863" s="1"/>
  <c r="I2863" s="1"/>
  <c r="H2862"/>
  <c r="H2863"/>
  <c r="H2864"/>
  <c r="H2865"/>
  <c r="H2866"/>
  <c r="H2867"/>
  <c r="H2889"/>
  <c r="I2889" s="1"/>
  <c r="I2890"/>
  <c r="H2891"/>
  <c r="I2891" s="1"/>
  <c r="H2892"/>
  <c r="I2892" s="1"/>
  <c r="H2893"/>
  <c r="I2893" s="1"/>
  <c r="H2894"/>
  <c r="I2894" s="1"/>
  <c r="H2895"/>
  <c r="H2896"/>
  <c r="I2896" s="1"/>
  <c r="H2931"/>
  <c r="E2936"/>
  <c r="H2936" s="1"/>
  <c r="G2944"/>
  <c r="H2944"/>
  <c r="I2944" s="1"/>
  <c r="G2945"/>
  <c r="H2945"/>
  <c r="I2945" s="1"/>
  <c r="G2946"/>
  <c r="H2946"/>
  <c r="I2946" s="1"/>
  <c r="G2947"/>
  <c r="H2964"/>
  <c r="I2964" s="1"/>
  <c r="H2966"/>
  <c r="I2966" s="1"/>
  <c r="H2967"/>
  <c r="I2967" s="1"/>
  <c r="H2968"/>
  <c r="I2968" s="1"/>
  <c r="H2969"/>
  <c r="I2969" s="1"/>
  <c r="G2970"/>
  <c r="H2970"/>
  <c r="I2970" s="1"/>
  <c r="H2971"/>
  <c r="I2971" s="1"/>
  <c r="H3031"/>
  <c r="G3070" s="1"/>
  <c r="H3036"/>
  <c r="H3062"/>
  <c r="F3118" s="1"/>
  <c r="H3065"/>
  <c r="H3066"/>
  <c r="H3067"/>
  <c r="H3068"/>
  <c r="H3069"/>
  <c r="H3070"/>
  <c r="H3073"/>
  <c r="I3073" s="1"/>
  <c r="H3093"/>
  <c r="I3093" s="1"/>
  <c r="H3094"/>
  <c r="I3094" s="1"/>
  <c r="H3096"/>
  <c r="I3096" s="1"/>
  <c r="H3097"/>
  <c r="I3097" s="1"/>
  <c r="H3098"/>
  <c r="I3098" s="1"/>
  <c r="H3099"/>
  <c r="I3099" s="1"/>
  <c r="H3100"/>
  <c r="H3101"/>
  <c r="I3101" s="1"/>
  <c r="G3102"/>
  <c r="D3119"/>
  <c r="H3177"/>
  <c r="G3207" s="1"/>
  <c r="H3199"/>
  <c r="F3255" s="1"/>
  <c r="G3202"/>
  <c r="H3202"/>
  <c r="G3203"/>
  <c r="H3203"/>
  <c r="G3204"/>
  <c r="H3204"/>
  <c r="G3205"/>
  <c r="F3253" s="1"/>
  <c r="H3205"/>
  <c r="G3206"/>
  <c r="F3252" s="1"/>
  <c r="H3206"/>
  <c r="H3207"/>
  <c r="I3207" s="1"/>
  <c r="G3208"/>
  <c r="H3210"/>
  <c r="I3210" s="1"/>
  <c r="H3230"/>
  <c r="I3230" s="1"/>
  <c r="H3231"/>
  <c r="I3231" s="1"/>
  <c r="H3233"/>
  <c r="I3233" s="1"/>
  <c r="H3234"/>
  <c r="I3234" s="1"/>
  <c r="H3235"/>
  <c r="I3235" s="1"/>
  <c r="H3236"/>
  <c r="I3236" s="1"/>
  <c r="H3237"/>
  <c r="I3237" s="1"/>
  <c r="H3238"/>
  <c r="I3238" s="1"/>
  <c r="H3273"/>
  <c r="H3278"/>
  <c r="H3297" s="1"/>
  <c r="F3348" s="1"/>
  <c r="H3300"/>
  <c r="H3301"/>
  <c r="H3302"/>
  <c r="H3303"/>
  <c r="H3304"/>
  <c r="H3305"/>
  <c r="H3307"/>
  <c r="I3307" s="1"/>
  <c r="H3324"/>
  <c r="I3324" s="1"/>
  <c r="H3325"/>
  <c r="I3325" s="1"/>
  <c r="H3327"/>
  <c r="I3327" s="1"/>
  <c r="H3328"/>
  <c r="I3328" s="1"/>
  <c r="H3329"/>
  <c r="I3329" s="1"/>
  <c r="H3330"/>
  <c r="I3330" s="1"/>
  <c r="H3331"/>
  <c r="H3332"/>
  <c r="I3332" s="1"/>
  <c r="D3349"/>
  <c r="H3419"/>
  <c r="I3419" s="1"/>
  <c r="I3420"/>
  <c r="H3442"/>
  <c r="I3442" s="1"/>
  <c r="H3443"/>
  <c r="I3443" s="1"/>
  <c r="F3455"/>
  <c r="G3455"/>
  <c r="D3456" s="1"/>
  <c r="H3472"/>
  <c r="I3472" s="1"/>
  <c r="H3473"/>
  <c r="I3473" s="1"/>
  <c r="I3479"/>
  <c r="I3480"/>
  <c r="H3486"/>
  <c r="I3486" s="1"/>
  <c r="H3487"/>
  <c r="I3487" s="1"/>
  <c r="H3488"/>
  <c r="I3488" s="1"/>
  <c r="F3500"/>
  <c r="G3500"/>
  <c r="H3520"/>
  <c r="I3520" s="1"/>
  <c r="H3521"/>
  <c r="I3521" s="1"/>
  <c r="G3522"/>
  <c r="F3550" s="1"/>
  <c r="H3522"/>
  <c r="G3523"/>
  <c r="F3549" s="1"/>
  <c r="H3523"/>
  <c r="I3523" s="1"/>
  <c r="I3529"/>
  <c r="I3530"/>
  <c r="H3536"/>
  <c r="I3536" s="1"/>
  <c r="H3537"/>
  <c r="I3537" s="1"/>
  <c r="D3553"/>
  <c r="H3576"/>
  <c r="F3613" s="1"/>
  <c r="H3579"/>
  <c r="I3579" s="1"/>
  <c r="H3580"/>
  <c r="I3580" s="1"/>
  <c r="H3581"/>
  <c r="I3581" s="1"/>
  <c r="H3583"/>
  <c r="I3583" s="1"/>
  <c r="H3584"/>
  <c r="I3584" s="1"/>
  <c r="H3592"/>
  <c r="I3592" s="1"/>
  <c r="H3598"/>
  <c r="I3598" s="1"/>
  <c r="H3599"/>
  <c r="I3599" s="1"/>
  <c r="H3600"/>
  <c r="I3600" s="1"/>
  <c r="H3644"/>
  <c r="F3693"/>
  <c r="G3647"/>
  <c r="H3647"/>
  <c r="I3647" s="1"/>
  <c r="G3648"/>
  <c r="G3649"/>
  <c r="H3649"/>
  <c r="G3650"/>
  <c r="F3690" s="1"/>
  <c r="H3650"/>
  <c r="H3667"/>
  <c r="I3667" s="1"/>
  <c r="H3668"/>
  <c r="I3668" s="1"/>
  <c r="H3669"/>
  <c r="I3669" s="1"/>
  <c r="H3670"/>
  <c r="I3670" s="1"/>
  <c r="H3672"/>
  <c r="I3672" s="1"/>
  <c r="H3673"/>
  <c r="I3673" s="1"/>
  <c r="H3674"/>
  <c r="I3674" s="1"/>
  <c r="H3675"/>
  <c r="I3675" s="1"/>
  <c r="H3676"/>
  <c r="I3676" s="1"/>
  <c r="H3677"/>
  <c r="I3677" s="1"/>
  <c r="H3678"/>
  <c r="I3678" s="1"/>
  <c r="G3717"/>
  <c r="H3717"/>
  <c r="I3717" s="1"/>
  <c r="G3718"/>
  <c r="G3719"/>
  <c r="H3719"/>
  <c r="G3720"/>
  <c r="F3760" s="1"/>
  <c r="H3720"/>
  <c r="H3737"/>
  <c r="I3737" s="1"/>
  <c r="H3738"/>
  <c r="I3738" s="1"/>
  <c r="H3739"/>
  <c r="I3739" s="1"/>
  <c r="H3740"/>
  <c r="I3740" s="1"/>
  <c r="H3742"/>
  <c r="I3742" s="1"/>
  <c r="H3743"/>
  <c r="I3743" s="1"/>
  <c r="H3744"/>
  <c r="I3744" s="1"/>
  <c r="H3745"/>
  <c r="I3745" s="1"/>
  <c r="H3746"/>
  <c r="I3746" s="1"/>
  <c r="H3747"/>
  <c r="I3747" s="1"/>
  <c r="H3748"/>
  <c r="I3748" s="1"/>
  <c r="D3764"/>
  <c r="G3795"/>
  <c r="H3795"/>
  <c r="G3796"/>
  <c r="H3796"/>
  <c r="I3796" s="1"/>
  <c r="G3797"/>
  <c r="H3797"/>
  <c r="I3797" s="1"/>
  <c r="G3798"/>
  <c r="G3799"/>
  <c r="H3799"/>
  <c r="I3799" s="1"/>
  <c r="G3800"/>
  <c r="F3840" s="1"/>
  <c r="H3800"/>
  <c r="H3816"/>
  <c r="I3816" s="1"/>
  <c r="H3817"/>
  <c r="I3817" s="1"/>
  <c r="H3818"/>
  <c r="I3818" s="1"/>
  <c r="H3819"/>
  <c r="I3819" s="1"/>
  <c r="H3820"/>
  <c r="I3820" s="1"/>
  <c r="H3822"/>
  <c r="I3822" s="1"/>
  <c r="H3823"/>
  <c r="I3823" s="1"/>
  <c r="H3824"/>
  <c r="I3824" s="1"/>
  <c r="H3825"/>
  <c r="I3825" s="1"/>
  <c r="H3826"/>
  <c r="I3826" s="1"/>
  <c r="H3827"/>
  <c r="I3827" s="1"/>
  <c r="H3828"/>
  <c r="I3828" s="1"/>
  <c r="G3873"/>
  <c r="H3873"/>
  <c r="I3873" s="1"/>
  <c r="G3874"/>
  <c r="H3874"/>
  <c r="G3875"/>
  <c r="H3875"/>
  <c r="I3875" s="1"/>
  <c r="G3876"/>
  <c r="G3877"/>
  <c r="H3877"/>
  <c r="I3877" s="1"/>
  <c r="H3878"/>
  <c r="I3878" s="1"/>
  <c r="H3895"/>
  <c r="I3895" s="1"/>
  <c r="H3896"/>
  <c r="I3896" s="1"/>
  <c r="H3897"/>
  <c r="I3897" s="1"/>
  <c r="H3898"/>
  <c r="I3898" s="1"/>
  <c r="H3899"/>
  <c r="I3899" s="1"/>
  <c r="H3901"/>
  <c r="I3901" s="1"/>
  <c r="H3902"/>
  <c r="I3902" s="1"/>
  <c r="H3903"/>
  <c r="I3903" s="1"/>
  <c r="H3904"/>
  <c r="I3904" s="1"/>
  <c r="H3905"/>
  <c r="I3905" s="1"/>
  <c r="H3906"/>
  <c r="I3906" s="1"/>
  <c r="H3907"/>
  <c r="I3907" s="1"/>
  <c r="D3923"/>
  <c r="G3956"/>
  <c r="H3956"/>
  <c r="I3956" s="1"/>
  <c r="G3957"/>
  <c r="H3957"/>
  <c r="I3957" s="1"/>
  <c r="G3958"/>
  <c r="H3958"/>
  <c r="I3958" s="1"/>
  <c r="G3959"/>
  <c r="G3960"/>
  <c r="H3960"/>
  <c r="G3961"/>
  <c r="F4003" s="1"/>
  <c r="H3961"/>
  <c r="I3961" s="1"/>
  <c r="H3978"/>
  <c r="I3978" s="1"/>
  <c r="H3979"/>
  <c r="I3979" s="1"/>
  <c r="H3980"/>
  <c r="I3980" s="1"/>
  <c r="H3981"/>
  <c r="I3981" s="1"/>
  <c r="H3982"/>
  <c r="I3982" s="1"/>
  <c r="H3983"/>
  <c r="I3983" s="1"/>
  <c r="H3985"/>
  <c r="I3985" s="1"/>
  <c r="H3986"/>
  <c r="I3986" s="1"/>
  <c r="H3987"/>
  <c r="I3987" s="1"/>
  <c r="H3988"/>
  <c r="I3988" s="1"/>
  <c r="H3989"/>
  <c r="I3989" s="1"/>
  <c r="H3990"/>
  <c r="I3990" s="1"/>
  <c r="H3991"/>
  <c r="I3991" s="1"/>
  <c r="D4007"/>
  <c r="G4039"/>
  <c r="H4039"/>
  <c r="I4039" s="1"/>
  <c r="G4040"/>
  <c r="H4040"/>
  <c r="G4041"/>
  <c r="H4041"/>
  <c r="I4041" s="1"/>
  <c r="G4042"/>
  <c r="G4043"/>
  <c r="H4043"/>
  <c r="I4043" s="1"/>
  <c r="G4044"/>
  <c r="F4086"/>
  <c r="H4044"/>
  <c r="H4061"/>
  <c r="I4061" s="1"/>
  <c r="H4062"/>
  <c r="I4062" s="1"/>
  <c r="H4063"/>
  <c r="I4063" s="1"/>
  <c r="H4064"/>
  <c r="I4064" s="1"/>
  <c r="H4065"/>
  <c r="I4065" s="1"/>
  <c r="H4066"/>
  <c r="I4066" s="1"/>
  <c r="H4068"/>
  <c r="I4068" s="1"/>
  <c r="H4069"/>
  <c r="I4069" s="1"/>
  <c r="H4070"/>
  <c r="I4070" s="1"/>
  <c r="H4071"/>
  <c r="I4071" s="1"/>
  <c r="H4072"/>
  <c r="I4072" s="1"/>
  <c r="H4073"/>
  <c r="I4073" s="1"/>
  <c r="H4074"/>
  <c r="I4074" s="1"/>
  <c r="D4090"/>
  <c r="H4108"/>
  <c r="I4108" s="1"/>
  <c r="H4109"/>
  <c r="I4109" s="1"/>
  <c r="I4115"/>
  <c r="I4116"/>
  <c r="H4121"/>
  <c r="I4121" s="1"/>
  <c r="H4122"/>
  <c r="I4122" s="1"/>
  <c r="H4156"/>
  <c r="I4156" s="1"/>
  <c r="H4157"/>
  <c r="I4157" s="1"/>
  <c r="I4163"/>
  <c r="I4164"/>
  <c r="H4170"/>
  <c r="I4170" s="1"/>
  <c r="H4171"/>
  <c r="I4171" s="1"/>
  <c r="D4186"/>
  <c r="E4216"/>
  <c r="H4216" s="1"/>
  <c r="H4218" s="1"/>
  <c r="H4233" s="1"/>
  <c r="I4233" s="1"/>
  <c r="E4219"/>
  <c r="H4219" s="1"/>
  <c r="H4221" s="1"/>
  <c r="H4234" s="1"/>
  <c r="I4234" s="1"/>
  <c r="E4222"/>
  <c r="H4222" s="1"/>
  <c r="H4224" s="1"/>
  <c r="H4235" s="1"/>
  <c r="I4235" s="1"/>
  <c r="H4231"/>
  <c r="I4231" s="1"/>
  <c r="H4232"/>
  <c r="I4232" s="1"/>
  <c r="H4236"/>
  <c r="I4236" s="1"/>
  <c r="H4248"/>
  <c r="I4248" s="1"/>
  <c r="H4257"/>
  <c r="I4257" s="1"/>
  <c r="H4259"/>
  <c r="I4259" s="1"/>
  <c r="H4260"/>
  <c r="I4260" s="1"/>
  <c r="H4261"/>
  <c r="I4261" s="1"/>
  <c r="F4272"/>
  <c r="H4300"/>
  <c r="I4300" s="1"/>
  <c r="H4301"/>
  <c r="I4301" s="1"/>
  <c r="H4302"/>
  <c r="I4302" s="1"/>
  <c r="H4303"/>
  <c r="I4303" s="1"/>
  <c r="H4304"/>
  <c r="I4304" s="1"/>
  <c r="H4305"/>
  <c r="I4305" s="1"/>
  <c r="H4311"/>
  <c r="I4311" s="1"/>
  <c r="H4312"/>
  <c r="I4312" s="1"/>
  <c r="H4318"/>
  <c r="I4318" s="1"/>
  <c r="H4319"/>
  <c r="I4319" s="1"/>
  <c r="H4320"/>
  <c r="I4320" s="1"/>
  <c r="H4321"/>
  <c r="I4321" s="1"/>
  <c r="H4322"/>
  <c r="I4322" s="1"/>
  <c r="H4323"/>
  <c r="I4323" s="1"/>
  <c r="F4335"/>
  <c r="G4335"/>
  <c r="D4336" s="1"/>
  <c r="H4359"/>
  <c r="I4359" s="1"/>
  <c r="H4360"/>
  <c r="I4360" s="1"/>
  <c r="H4361"/>
  <c r="I4361" s="1"/>
  <c r="H4362"/>
  <c r="I4362" s="1"/>
  <c r="H4363"/>
  <c r="I4363" s="1"/>
  <c r="H4364"/>
  <c r="I4364" s="1"/>
  <c r="H4370"/>
  <c r="I4370" s="1"/>
  <c r="H4371"/>
  <c r="I4371" s="1"/>
  <c r="H4377"/>
  <c r="I4377" s="1"/>
  <c r="H4378"/>
  <c r="I4378" s="1"/>
  <c r="H4379"/>
  <c r="I4379" s="1"/>
  <c r="H4380"/>
  <c r="I4380" s="1"/>
  <c r="H4381"/>
  <c r="I4381" s="1"/>
  <c r="F4393"/>
  <c r="G4393"/>
  <c r="D4394" s="1"/>
  <c r="H4412"/>
  <c r="I4412" s="1"/>
  <c r="H4413"/>
  <c r="I4413" s="1"/>
  <c r="H4414"/>
  <c r="I4414" s="1"/>
  <c r="H4420"/>
  <c r="I4420" s="1"/>
  <c r="H4421"/>
  <c r="I4421" s="1"/>
  <c r="H4427"/>
  <c r="I4427" s="1"/>
  <c r="H4428"/>
  <c r="I4428" s="1"/>
  <c r="H4429"/>
  <c r="I4429" s="1"/>
  <c r="H4430"/>
  <c r="I4430" s="1"/>
  <c r="H4431"/>
  <c r="I4431" s="1"/>
  <c r="F4443"/>
  <c r="G4443"/>
  <c r="D4444" s="1"/>
  <c r="H4462"/>
  <c r="I4462" s="1"/>
  <c r="H4463"/>
  <c r="I4463" s="1"/>
  <c r="H4464"/>
  <c r="I4464" s="1"/>
  <c r="I4465" s="1"/>
  <c r="I4487" s="1"/>
  <c r="H4470"/>
  <c r="I4470" s="1"/>
  <c r="H4471"/>
  <c r="I4471" s="1"/>
  <c r="H4477"/>
  <c r="I4477" s="1"/>
  <c r="H4478"/>
  <c r="I4478" s="1"/>
  <c r="H4479"/>
  <c r="I4479" s="1"/>
  <c r="H4480"/>
  <c r="I4480" s="1"/>
  <c r="F4492"/>
  <c r="G4492"/>
  <c r="D4493" s="1"/>
  <c r="H4529"/>
  <c r="I4585"/>
  <c r="I4586"/>
  <c r="H4604"/>
  <c r="I4604" s="1"/>
  <c r="H4616"/>
  <c r="I4616" s="1"/>
  <c r="H4617"/>
  <c r="I4617" s="1"/>
  <c r="F4629"/>
  <c r="G4629"/>
  <c r="D4630" s="1"/>
  <c r="I4655"/>
  <c r="I4656"/>
  <c r="H4674"/>
  <c r="I4674" s="1"/>
  <c r="H4686"/>
  <c r="I4686" s="1"/>
  <c r="H4687"/>
  <c r="I4687" s="1"/>
  <c r="F4699"/>
  <c r="G4699"/>
  <c r="D4700" s="1"/>
  <c r="H4735"/>
  <c r="I4792"/>
  <c r="I4794" s="1"/>
  <c r="I4831" s="1"/>
  <c r="I4793"/>
  <c r="H4811"/>
  <c r="I4811" s="1"/>
  <c r="H4823"/>
  <c r="I4823" s="1"/>
  <c r="H4824"/>
  <c r="I4824" s="1"/>
  <c r="F4836"/>
  <c r="G4836"/>
  <c r="D4837" s="1"/>
  <c r="H4872"/>
  <c r="I4919"/>
  <c r="I4920"/>
  <c r="H4938"/>
  <c r="I4938" s="1"/>
  <c r="H4950"/>
  <c r="I4950" s="1"/>
  <c r="H4951"/>
  <c r="I4951" s="1"/>
  <c r="F4963"/>
  <c r="G4963"/>
  <c r="D4964"/>
  <c r="H4999"/>
  <c r="I5046"/>
  <c r="I5047"/>
  <c r="H5065"/>
  <c r="I5065" s="1"/>
  <c r="H5077"/>
  <c r="I5077" s="1"/>
  <c r="H5078"/>
  <c r="I5078" s="1"/>
  <c r="F5090"/>
  <c r="G5090"/>
  <c r="D5091" s="1"/>
  <c r="H5128"/>
  <c r="I5182"/>
  <c r="I5183"/>
  <c r="H5201"/>
  <c r="I5201" s="1"/>
  <c r="H5213"/>
  <c r="I5213" s="1"/>
  <c r="H5214"/>
  <c r="I5214" s="1"/>
  <c r="F5226"/>
  <c r="G5226"/>
  <c r="D5227" s="1"/>
  <c r="E5254"/>
  <c r="H5254" s="1"/>
  <c r="H5256" s="1"/>
  <c r="H5263" s="1"/>
  <c r="I5263" s="1"/>
  <c r="I5265" s="1"/>
  <c r="I5305" s="1"/>
  <c r="I5264"/>
  <c r="H5284"/>
  <c r="I5284" s="1"/>
  <c r="H5297"/>
  <c r="I5297" s="1"/>
  <c r="H5298"/>
  <c r="I5298" s="1"/>
  <c r="F5310"/>
  <c r="G5310"/>
  <c r="D5311" s="1"/>
  <c r="H5339"/>
  <c r="H5369"/>
  <c r="F5383"/>
  <c r="H5383" s="1"/>
  <c r="H5385" s="1"/>
  <c r="H5395" s="1"/>
  <c r="I5395" s="1"/>
  <c r="F5386"/>
  <c r="H5386" s="1"/>
  <c r="H5388" s="1"/>
  <c r="H5397" s="1"/>
  <c r="I5397" s="1"/>
  <c r="H5398"/>
  <c r="I5398" s="1"/>
  <c r="H5399"/>
  <c r="I5399" s="1"/>
  <c r="H5400"/>
  <c r="I5400" s="1"/>
  <c r="H5401"/>
  <c r="I5401" s="1"/>
  <c r="H5402"/>
  <c r="I5402" s="1"/>
  <c r="H5428"/>
  <c r="I5428"/>
  <c r="H5429"/>
  <c r="I5429" s="1"/>
  <c r="H5430"/>
  <c r="I5430" s="1"/>
  <c r="H5431"/>
  <c r="I5431" s="1"/>
  <c r="H5432"/>
  <c r="I5432" s="1"/>
  <c r="F5444"/>
  <c r="G5444"/>
  <c r="D5445" s="1"/>
  <c r="F5480"/>
  <c r="H5480" s="1"/>
  <c r="H5482" s="1"/>
  <c r="H5492" s="1"/>
  <c r="I5492" s="1"/>
  <c r="I5493" s="1"/>
  <c r="F5483"/>
  <c r="H5483" s="1"/>
  <c r="H5485" s="1"/>
  <c r="H5494" s="1"/>
  <c r="I5494" s="1"/>
  <c r="H5495"/>
  <c r="I5495" s="1"/>
  <c r="H5496"/>
  <c r="I5496" s="1"/>
  <c r="H5497"/>
  <c r="I5497" s="1"/>
  <c r="H5498"/>
  <c r="I5498" s="1"/>
  <c r="H5499"/>
  <c r="I5499" s="1"/>
  <c r="H5522"/>
  <c r="I5522" s="1"/>
  <c r="H5523"/>
  <c r="I5523"/>
  <c r="H5524"/>
  <c r="I5524" s="1"/>
  <c r="H5525"/>
  <c r="I5525" s="1"/>
  <c r="H5526"/>
  <c r="I5526" s="1"/>
  <c r="F5538"/>
  <c r="G5538"/>
  <c r="D5539" s="1"/>
  <c r="H5578"/>
  <c r="I5578" s="1"/>
  <c r="H5595"/>
  <c r="I5595" s="1"/>
  <c r="H5596"/>
  <c r="I5596" s="1"/>
  <c r="H5597"/>
  <c r="I5597" s="1"/>
  <c r="H5598"/>
  <c r="I5598" s="1"/>
  <c r="F5610"/>
  <c r="G5610"/>
  <c r="D5611" s="1"/>
  <c r="H5623"/>
  <c r="I5623" s="1"/>
  <c r="H5640"/>
  <c r="I5640" s="1"/>
  <c r="H5641"/>
  <c r="I5641" s="1"/>
  <c r="H5642"/>
  <c r="I5642" s="1"/>
  <c r="H5643"/>
  <c r="I5643" s="1"/>
  <c r="F5655"/>
  <c r="G5655"/>
  <c r="D5656" s="1"/>
  <c r="H5673"/>
  <c r="I5673" s="1"/>
  <c r="I5675" s="1"/>
  <c r="I5695" s="1"/>
  <c r="I5680"/>
  <c r="I5681"/>
  <c r="H5687"/>
  <c r="I5687" s="1"/>
  <c r="H5688"/>
  <c r="I5688" s="1"/>
  <c r="F5700"/>
  <c r="G5700"/>
  <c r="D5701" s="1"/>
  <c r="H5739"/>
  <c r="H5743" s="1"/>
  <c r="H5757"/>
  <c r="H5758" s="1"/>
  <c r="G5777" s="1"/>
  <c r="H5771"/>
  <c r="H5772"/>
  <c r="H5773"/>
  <c r="H5774"/>
  <c r="H5775"/>
  <c r="H5776"/>
  <c r="H5777"/>
  <c r="H5778"/>
  <c r="I5778" s="1"/>
  <c r="H5779"/>
  <c r="I5779" s="1"/>
  <c r="H5782"/>
  <c r="I5782" s="1"/>
  <c r="H5794"/>
  <c r="I5794" s="1"/>
  <c r="H5800"/>
  <c r="I5800" s="1"/>
  <c r="H5801"/>
  <c r="I5801" s="1"/>
  <c r="H5802"/>
  <c r="I5802" s="1"/>
  <c r="H5804"/>
  <c r="I5804" s="1"/>
  <c r="H5805"/>
  <c r="I5805" s="1"/>
  <c r="H5806"/>
  <c r="I5806" s="1"/>
  <c r="H5807"/>
  <c r="I5807" s="1"/>
  <c r="H5808"/>
  <c r="I5808" s="1"/>
  <c r="H5809"/>
  <c r="I5809" s="1"/>
  <c r="H5865"/>
  <c r="I5865" s="1"/>
  <c r="G5866"/>
  <c r="H5866"/>
  <c r="G5867"/>
  <c r="H5867"/>
  <c r="G5868"/>
  <c r="H5868"/>
  <c r="G5869"/>
  <c r="H5869"/>
  <c r="I5875"/>
  <c r="I5876"/>
  <c r="H5882"/>
  <c r="I5882" s="1"/>
  <c r="H5883"/>
  <c r="I5883" s="1"/>
  <c r="F5895"/>
  <c r="G5895"/>
  <c r="D5896" s="1"/>
  <c r="H5932"/>
  <c r="I5932" s="1"/>
  <c r="G5933"/>
  <c r="H5933"/>
  <c r="I5933" s="1"/>
  <c r="G5934"/>
  <c r="H5934"/>
  <c r="I5934" s="1"/>
  <c r="G5935"/>
  <c r="H5935"/>
  <c r="I5935" s="1"/>
  <c r="G5936"/>
  <c r="H5936"/>
  <c r="I5936" s="1"/>
  <c r="I5942"/>
  <c r="I5943"/>
  <c r="H5949"/>
  <c r="I5949" s="1"/>
  <c r="H5950"/>
  <c r="I5950" s="1"/>
  <c r="F5962"/>
  <c r="G5962"/>
  <c r="D5963" s="1"/>
  <c r="H6000"/>
  <c r="I6000" s="1"/>
  <c r="G6001"/>
  <c r="H6001"/>
  <c r="G6002"/>
  <c r="H6002"/>
  <c r="G6003"/>
  <c r="H6003"/>
  <c r="G6004"/>
  <c r="H6004"/>
  <c r="I6010"/>
  <c r="I6011"/>
  <c r="H6017"/>
  <c r="I6017" s="1"/>
  <c r="H6018"/>
  <c r="I6018" s="1"/>
  <c r="F6030"/>
  <c r="G6030"/>
  <c r="D6031"/>
  <c r="H6041"/>
  <c r="H6044"/>
  <c r="D6046"/>
  <c r="H6054"/>
  <c r="I6054" s="1"/>
  <c r="H6055"/>
  <c r="I6055" s="1"/>
  <c r="H6056"/>
  <c r="I6056" s="1"/>
  <c r="H6057"/>
  <c r="I6057" s="1"/>
  <c r="I6063"/>
  <c r="I6064"/>
  <c r="H6070"/>
  <c r="I6070" s="1"/>
  <c r="H6071"/>
  <c r="I6071" s="1"/>
  <c r="F6083"/>
  <c r="G6083"/>
  <c r="D6084"/>
  <c r="H6093"/>
  <c r="H6118"/>
  <c r="I6118" s="1"/>
  <c r="G6119"/>
  <c r="H6119"/>
  <c r="G6120"/>
  <c r="H6120"/>
  <c r="I6120" s="1"/>
  <c r="I6126"/>
  <c r="I6127"/>
  <c r="H6133"/>
  <c r="I6133" s="1"/>
  <c r="H6134"/>
  <c r="I6134" s="1"/>
  <c r="F6146"/>
  <c r="G6146"/>
  <c r="D6147" s="1"/>
  <c r="H6167"/>
  <c r="I6167" s="1"/>
  <c r="I6169" s="1"/>
  <c r="I6189" s="1"/>
  <c r="I6174"/>
  <c r="I6175"/>
  <c r="H6181"/>
  <c r="I6181" s="1"/>
  <c r="H6182"/>
  <c r="I6182" s="1"/>
  <c r="F6194"/>
  <c r="G6194"/>
  <c r="D6195" s="1"/>
  <c r="H6233"/>
  <c r="I6233" s="1"/>
  <c r="H6234"/>
  <c r="I6234" s="1"/>
  <c r="H6235"/>
  <c r="I6235" s="1"/>
  <c r="H6236"/>
  <c r="I6236" s="1"/>
  <c r="H6237"/>
  <c r="I6237" s="1"/>
  <c r="I6243"/>
  <c r="I6244"/>
  <c r="H6250"/>
  <c r="I6250" s="1"/>
  <c r="H6251"/>
  <c r="I6251" s="1"/>
  <c r="F6263"/>
  <c r="G6263"/>
  <c r="D6264" s="1"/>
  <c r="H6304"/>
  <c r="I6304" s="1"/>
  <c r="H6305"/>
  <c r="I6305" s="1"/>
  <c r="H6306"/>
  <c r="I6306" s="1"/>
  <c r="H6307"/>
  <c r="I6307" s="1"/>
  <c r="I6315"/>
  <c r="I6316"/>
  <c r="H6322"/>
  <c r="I6322" s="1"/>
  <c r="H6323"/>
  <c r="I6323" s="1"/>
  <c r="H6324"/>
  <c r="I6324" s="1"/>
  <c r="F6336"/>
  <c r="G6336"/>
  <c r="D6337" s="1"/>
  <c r="H6377"/>
  <c r="I6377" s="1"/>
  <c r="H6378"/>
  <c r="I6378" s="1"/>
  <c r="H6379"/>
  <c r="I6379" s="1"/>
  <c r="H6380"/>
  <c r="I6380" s="1"/>
  <c r="I6388"/>
  <c r="I6389"/>
  <c r="H6395"/>
  <c r="I6395" s="1"/>
  <c r="H6396"/>
  <c r="I6396" s="1"/>
  <c r="H6397"/>
  <c r="I6397" s="1"/>
  <c r="F6409"/>
  <c r="G6409"/>
  <c r="D6410" s="1"/>
  <c r="H6448"/>
  <c r="I6448" s="1"/>
  <c r="H6449"/>
  <c r="I6449" s="1"/>
  <c r="H6450"/>
  <c r="I6450" s="1"/>
  <c r="H6451"/>
  <c r="I6451" s="1"/>
  <c r="I6458"/>
  <c r="I6459"/>
  <c r="H6465"/>
  <c r="I6465" s="1"/>
  <c r="H6466"/>
  <c r="I6466" s="1"/>
  <c r="H6467"/>
  <c r="I6467" s="1"/>
  <c r="F6479"/>
  <c r="G6479"/>
  <c r="D6480" s="1"/>
  <c r="H6519"/>
  <c r="I6519" s="1"/>
  <c r="H6520"/>
  <c r="I6520" s="1"/>
  <c r="H6521"/>
  <c r="I6521" s="1"/>
  <c r="H6522"/>
  <c r="I6522" s="1"/>
  <c r="I6523"/>
  <c r="I6529"/>
  <c r="I6530"/>
  <c r="H6536"/>
  <c r="I6536" s="1"/>
  <c r="H6537"/>
  <c r="I6537" s="1"/>
  <c r="H6538"/>
  <c r="I6538" s="1"/>
  <c r="F6550"/>
  <c r="G6550"/>
  <c r="D6551"/>
  <c r="H6590"/>
  <c r="I6590" s="1"/>
  <c r="H6591"/>
  <c r="I6591" s="1"/>
  <c r="H6592"/>
  <c r="I6592" s="1"/>
  <c r="H6593"/>
  <c r="I6593" s="1"/>
  <c r="I6600"/>
  <c r="I6601"/>
  <c r="H6607"/>
  <c r="I6607" s="1"/>
  <c r="H6608"/>
  <c r="I6608" s="1"/>
  <c r="H6609"/>
  <c r="I6609" s="1"/>
  <c r="F6621"/>
  <c r="G6621"/>
  <c r="D6622" s="1"/>
  <c r="H6649"/>
  <c r="I6649" s="1"/>
  <c r="I6651" s="1"/>
  <c r="I6672" s="1"/>
  <c r="H6650"/>
  <c r="I6650" s="1"/>
  <c r="I6656"/>
  <c r="I6657"/>
  <c r="H6663"/>
  <c r="I6663" s="1"/>
  <c r="H6664"/>
  <c r="I6664" s="1"/>
  <c r="F6678"/>
  <c r="G6678"/>
  <c r="D6679" s="1"/>
  <c r="C9" i="5"/>
  <c r="D9"/>
  <c r="E414" s="1"/>
  <c r="E9"/>
  <c r="F414" s="1"/>
  <c r="C10"/>
  <c r="C11"/>
  <c r="D11"/>
  <c r="E415" s="1"/>
  <c r="E11"/>
  <c r="F415" s="1"/>
  <c r="C12"/>
  <c r="D12"/>
  <c r="E416" s="1"/>
  <c r="E12"/>
  <c r="F416" s="1"/>
  <c r="C13"/>
  <c r="D13"/>
  <c r="E417" s="1"/>
  <c r="E13"/>
  <c r="F417" s="1"/>
  <c r="C14"/>
  <c r="D14"/>
  <c r="E14"/>
  <c r="F418" s="1"/>
  <c r="C15"/>
  <c r="D15"/>
  <c r="E419" s="1"/>
  <c r="E15"/>
  <c r="F419" s="1"/>
  <c r="C16"/>
  <c r="D16"/>
  <c r="E420" s="1"/>
  <c r="E16"/>
  <c r="F420" s="1"/>
  <c r="C17"/>
  <c r="D17"/>
  <c r="E421" s="1"/>
  <c r="E17"/>
  <c r="F421" s="1"/>
  <c r="C18"/>
  <c r="D18"/>
  <c r="E422" s="1"/>
  <c r="E18"/>
  <c r="F422" s="1"/>
  <c r="C19"/>
  <c r="D19"/>
  <c r="E423" s="1"/>
  <c r="E19"/>
  <c r="F423" s="1"/>
  <c r="C20"/>
  <c r="D20"/>
  <c r="E424" s="1"/>
  <c r="E20"/>
  <c r="F424" s="1"/>
  <c r="C21"/>
  <c r="D21"/>
  <c r="E425" s="1"/>
  <c r="E21"/>
  <c r="F425" s="1"/>
  <c r="C22"/>
  <c r="C23"/>
  <c r="C24"/>
  <c r="C25"/>
  <c r="D25"/>
  <c r="E429" s="1"/>
  <c r="E25"/>
  <c r="F429" s="1"/>
  <c r="C26"/>
  <c r="D26"/>
  <c r="E430" s="1"/>
  <c r="E26"/>
  <c r="F430" s="1"/>
  <c r="C27"/>
  <c r="D27"/>
  <c r="E431" s="1"/>
  <c r="E27"/>
  <c r="F431" s="1"/>
  <c r="C28"/>
  <c r="D28"/>
  <c r="E432" s="1"/>
  <c r="E28"/>
  <c r="F432" s="1"/>
  <c r="C29"/>
  <c r="D29"/>
  <c r="E433" s="1"/>
  <c r="E29"/>
  <c r="F433" s="1"/>
  <c r="C30"/>
  <c r="D30"/>
  <c r="E434" s="1"/>
  <c r="E30"/>
  <c r="F434" s="1"/>
  <c r="C31"/>
  <c r="C32"/>
  <c r="D32"/>
  <c r="E435" s="1"/>
  <c r="E32"/>
  <c r="F435" s="1"/>
  <c r="C33"/>
  <c r="D33"/>
  <c r="E436" s="1"/>
  <c r="E33"/>
  <c r="F436" s="1"/>
  <c r="C34"/>
  <c r="D34"/>
  <c r="E437" s="1"/>
  <c r="E34"/>
  <c r="F437" s="1"/>
  <c r="C35"/>
  <c r="D35"/>
  <c r="E438" s="1"/>
  <c r="E35"/>
  <c r="C36"/>
  <c r="D36"/>
  <c r="E439" s="1"/>
  <c r="H439" s="1"/>
  <c r="F517" s="1"/>
  <c r="C37"/>
  <c r="D37"/>
  <c r="C38"/>
  <c r="D38"/>
  <c r="E441" s="1"/>
  <c r="H441" s="1"/>
  <c r="F519" s="1"/>
  <c r="F36" i="18" s="1"/>
  <c r="C39" i="5"/>
  <c r="D39"/>
  <c r="C40"/>
  <c r="D40"/>
  <c r="E443" s="1"/>
  <c r="H443" s="1"/>
  <c r="F521" s="1"/>
  <c r="F38" i="18" s="1"/>
  <c r="C41" i="5"/>
  <c r="D41"/>
  <c r="E444" s="1"/>
  <c r="C42"/>
  <c r="D42"/>
  <c r="E445" s="1"/>
  <c r="E42"/>
  <c r="F445" s="1"/>
  <c r="C43"/>
  <c r="D43"/>
  <c r="E446" s="1"/>
  <c r="E43"/>
  <c r="F446" s="1"/>
  <c r="C44"/>
  <c r="C45"/>
  <c r="D45"/>
  <c r="E447" s="1"/>
  <c r="E45"/>
  <c r="F447" s="1"/>
  <c r="C46"/>
  <c r="C47"/>
  <c r="C48"/>
  <c r="D48"/>
  <c r="E449" s="1"/>
  <c r="E48"/>
  <c r="F449" s="1"/>
  <c r="C49"/>
  <c r="D49"/>
  <c r="E450" s="1"/>
  <c r="E49"/>
  <c r="F450" s="1"/>
  <c r="C50"/>
  <c r="D50"/>
  <c r="E50"/>
  <c r="F451" s="1"/>
  <c r="C51"/>
  <c r="D51"/>
  <c r="E452" s="1"/>
  <c r="E51"/>
  <c r="F452" s="1"/>
  <c r="C52"/>
  <c r="D52"/>
  <c r="E453" s="1"/>
  <c r="E52"/>
  <c r="F453" s="1"/>
  <c r="C53"/>
  <c r="D53"/>
  <c r="E454" s="1"/>
  <c r="E53"/>
  <c r="F454" s="1"/>
  <c r="C54"/>
  <c r="D54"/>
  <c r="E455" s="1"/>
  <c r="E54"/>
  <c r="F455" s="1"/>
  <c r="C55"/>
  <c r="D55"/>
  <c r="E456" s="1"/>
  <c r="E55"/>
  <c r="F456" s="1"/>
  <c r="C56"/>
  <c r="D56"/>
  <c r="E457" s="1"/>
  <c r="E56"/>
  <c r="F457" s="1"/>
  <c r="C57"/>
  <c r="D57"/>
  <c r="E458" s="1"/>
  <c r="E57"/>
  <c r="F458" s="1"/>
  <c r="C58"/>
  <c r="D58"/>
  <c r="E459" s="1"/>
  <c r="C59"/>
  <c r="D59"/>
  <c r="E460" s="1"/>
  <c r="E59"/>
  <c r="F460" s="1"/>
  <c r="C60"/>
  <c r="C61"/>
  <c r="C62"/>
  <c r="D62"/>
  <c r="E463" s="1"/>
  <c r="E62"/>
  <c r="F463" s="1"/>
  <c r="C63"/>
  <c r="D63"/>
  <c r="E464" s="1"/>
  <c r="E63"/>
  <c r="F464" s="1"/>
  <c r="C64"/>
  <c r="D64"/>
  <c r="E465" s="1"/>
  <c r="E64"/>
  <c r="F465" s="1"/>
  <c r="C65"/>
  <c r="C66"/>
  <c r="D66"/>
  <c r="E467" s="1"/>
  <c r="E66"/>
  <c r="F467" s="1"/>
  <c r="C67"/>
  <c r="C68"/>
  <c r="C69"/>
  <c r="D69"/>
  <c r="E469" s="1"/>
  <c r="E69"/>
  <c r="C70"/>
  <c r="C71"/>
  <c r="D71"/>
  <c r="E471" s="1"/>
  <c r="E71"/>
  <c r="C72"/>
  <c r="C73"/>
  <c r="D73"/>
  <c r="E472" s="1"/>
  <c r="E73"/>
  <c r="F472" s="1"/>
  <c r="C74"/>
  <c r="C75"/>
  <c r="D75"/>
  <c r="E473" s="1"/>
  <c r="H473" s="1"/>
  <c r="F551" s="1"/>
  <c r="C76"/>
  <c r="D76"/>
  <c r="E474" s="1"/>
  <c r="C77"/>
  <c r="D77"/>
  <c r="E475" s="1"/>
  <c r="E77"/>
  <c r="F475" s="1"/>
  <c r="C78"/>
  <c r="D78"/>
  <c r="E476" s="1"/>
  <c r="E78"/>
  <c r="F476" s="1"/>
  <c r="C79"/>
  <c r="D79"/>
  <c r="E477" s="1"/>
  <c r="E79"/>
  <c r="F477" s="1"/>
  <c r="C80"/>
  <c r="C81"/>
  <c r="C82"/>
  <c r="D82"/>
  <c r="E479" s="1"/>
  <c r="E82"/>
  <c r="F480" s="1"/>
  <c r="C83"/>
  <c r="D83"/>
  <c r="E480" s="1"/>
  <c r="E83"/>
  <c r="F479" s="1"/>
  <c r="C84"/>
  <c r="C85"/>
  <c r="D85"/>
  <c r="E481" s="1"/>
  <c r="E85"/>
  <c r="F481" s="1"/>
  <c r="C86"/>
  <c r="C87"/>
  <c r="F91"/>
  <c r="F92"/>
  <c r="F93"/>
  <c r="G231" s="1"/>
  <c r="F94"/>
  <c r="F95"/>
  <c r="F96"/>
  <c r="F97"/>
  <c r="F98"/>
  <c r="F99"/>
  <c r="E217"/>
  <c r="F217"/>
  <c r="E218"/>
  <c r="F218"/>
  <c r="E219"/>
  <c r="F219"/>
  <c r="E220"/>
  <c r="F220"/>
  <c r="E221"/>
  <c r="F221"/>
  <c r="E222"/>
  <c r="F222"/>
  <c r="E223"/>
  <c r="F223"/>
  <c r="E224"/>
  <c r="F224"/>
  <c r="E225"/>
  <c r="F225"/>
  <c r="E226"/>
  <c r="F226"/>
  <c r="E227"/>
  <c r="F227"/>
  <c r="E228"/>
  <c r="F228"/>
  <c r="E229"/>
  <c r="F229"/>
  <c r="E231"/>
  <c r="F231"/>
  <c r="E232"/>
  <c r="F232"/>
  <c r="E233"/>
  <c r="F233"/>
  <c r="E234"/>
  <c r="F234"/>
  <c r="E235"/>
  <c r="F235"/>
  <c r="E236"/>
  <c r="F236"/>
  <c r="E237"/>
  <c r="F237"/>
  <c r="E238"/>
  <c r="F238"/>
  <c r="E239"/>
  <c r="F239"/>
  <c r="E240"/>
  <c r="F240"/>
  <c r="E241"/>
  <c r="F241"/>
  <c r="C242"/>
  <c r="E242"/>
  <c r="F242"/>
  <c r="C243"/>
  <c r="E243"/>
  <c r="F243"/>
  <c r="E244"/>
  <c r="F244"/>
  <c r="E245"/>
  <c r="F245"/>
  <c r="E246"/>
  <c r="F246"/>
  <c r="E247"/>
  <c r="F247"/>
  <c r="E248"/>
  <c r="F248"/>
  <c r="E249"/>
  <c r="F249"/>
  <c r="E250"/>
  <c r="F250"/>
  <c r="E251"/>
  <c r="F251"/>
  <c r="E252"/>
  <c r="F252"/>
  <c r="E253"/>
  <c r="F253"/>
  <c r="E254"/>
  <c r="F254"/>
  <c r="E255"/>
  <c r="F255"/>
  <c r="D256"/>
  <c r="E256"/>
  <c r="F256"/>
  <c r="E257"/>
  <c r="F257"/>
  <c r="E258"/>
  <c r="F258"/>
  <c r="E259"/>
  <c r="F259"/>
  <c r="E260"/>
  <c r="F260"/>
  <c r="E261"/>
  <c r="F261"/>
  <c r="E262"/>
  <c r="F262"/>
  <c r="E263"/>
  <c r="F263"/>
  <c r="E264"/>
  <c r="F264"/>
  <c r="E265"/>
  <c r="F265"/>
  <c r="D266"/>
  <c r="E266"/>
  <c r="F266"/>
  <c r="E267"/>
  <c r="F267"/>
  <c r="E268"/>
  <c r="F268"/>
  <c r="D269"/>
  <c r="E269"/>
  <c r="F269"/>
  <c r="E270"/>
  <c r="F270"/>
  <c r="E271"/>
  <c r="F271"/>
  <c r="E272"/>
  <c r="F272"/>
  <c r="E273"/>
  <c r="F273"/>
  <c r="E274"/>
  <c r="F274"/>
  <c r="E275"/>
  <c r="F275"/>
  <c r="E276"/>
  <c r="F276"/>
  <c r="E277"/>
  <c r="F277"/>
  <c r="E278"/>
  <c r="F278"/>
  <c r="E279"/>
  <c r="F279"/>
  <c r="E280"/>
  <c r="F280"/>
  <c r="C281"/>
  <c r="E281"/>
  <c r="F281"/>
  <c r="E282"/>
  <c r="F282"/>
  <c r="E283"/>
  <c r="F283"/>
  <c r="C284"/>
  <c r="E284"/>
  <c r="F284"/>
  <c r="E285"/>
  <c r="F285"/>
  <c r="E286"/>
  <c r="F286"/>
  <c r="G286"/>
  <c r="E287"/>
  <c r="F287"/>
  <c r="E288"/>
  <c r="F288"/>
  <c r="E289"/>
  <c r="F289"/>
  <c r="E290"/>
  <c r="F290"/>
  <c r="E291"/>
  <c r="F291"/>
  <c r="E292"/>
  <c r="F292"/>
  <c r="E293"/>
  <c r="F293"/>
  <c r="E294"/>
  <c r="F294"/>
  <c r="E295"/>
  <c r="F295"/>
  <c r="D313"/>
  <c r="E314"/>
  <c r="D315"/>
  <c r="E316"/>
  <c r="D317"/>
  <c r="E318"/>
  <c r="E319"/>
  <c r="D320"/>
  <c r="E321"/>
  <c r="E322"/>
  <c r="E323"/>
  <c r="E324"/>
  <c r="F324" s="1"/>
  <c r="G324" s="1"/>
  <c r="H324" s="1"/>
  <c r="E503" s="1"/>
  <c r="F1374" i="24" s="1"/>
  <c r="G1374" s="1"/>
  <c r="D328" i="5"/>
  <c r="E329"/>
  <c r="D330"/>
  <c r="E331"/>
  <c r="E333"/>
  <c r="D334"/>
  <c r="D335"/>
  <c r="D336"/>
  <c r="D337"/>
  <c r="D338"/>
  <c r="E339"/>
  <c r="D340"/>
  <c r="E341"/>
  <c r="D342"/>
  <c r="E343"/>
  <c r="D345"/>
  <c r="D346"/>
  <c r="H347"/>
  <c r="E348"/>
  <c r="E350"/>
  <c r="D352"/>
  <c r="E353"/>
  <c r="D354"/>
  <c r="E355"/>
  <c r="E356"/>
  <c r="E357"/>
  <c r="E360"/>
  <c r="D362"/>
  <c r="D363"/>
  <c r="D364"/>
  <c r="D366"/>
  <c r="E368"/>
  <c r="D370"/>
  <c r="D371"/>
  <c r="E372"/>
  <c r="E373"/>
  <c r="D374"/>
  <c r="D376"/>
  <c r="E377"/>
  <c r="E378"/>
  <c r="D379"/>
  <c r="F379" s="1"/>
  <c r="D380"/>
  <c r="F399"/>
  <c r="F404" s="1"/>
  <c r="F400"/>
  <c r="F405" s="1"/>
  <c r="F403"/>
  <c r="G414"/>
  <c r="G415"/>
  <c r="G416"/>
  <c r="G417"/>
  <c r="E418"/>
  <c r="G418"/>
  <c r="G419"/>
  <c r="G420"/>
  <c r="G421"/>
  <c r="G422"/>
  <c r="G423"/>
  <c r="G424"/>
  <c r="G425"/>
  <c r="G427"/>
  <c r="H427" s="1"/>
  <c r="F505" s="1"/>
  <c r="F22" i="18" s="1"/>
  <c r="G428" i="5"/>
  <c r="H428" s="1"/>
  <c r="F506" s="1"/>
  <c r="F23" i="18" s="1"/>
  <c r="G429" i="5"/>
  <c r="G430"/>
  <c r="G431"/>
  <c r="G432"/>
  <c r="G433"/>
  <c r="G434"/>
  <c r="G435"/>
  <c r="G436"/>
  <c r="G437"/>
  <c r="F438"/>
  <c r="G438"/>
  <c r="G439"/>
  <c r="E440"/>
  <c r="G440"/>
  <c r="G441"/>
  <c r="E442"/>
  <c r="G442"/>
  <c r="G443"/>
  <c r="G444"/>
  <c r="G445"/>
  <c r="G446"/>
  <c r="G447"/>
  <c r="G448"/>
  <c r="H448" s="1"/>
  <c r="F526" s="1"/>
  <c r="F43" i="18" s="1"/>
  <c r="G449" i="5"/>
  <c r="G450"/>
  <c r="E451"/>
  <c r="G451"/>
  <c r="G452"/>
  <c r="G453"/>
  <c r="G454"/>
  <c r="G455"/>
  <c r="G456"/>
  <c r="G457"/>
  <c r="G458"/>
  <c r="G459"/>
  <c r="G460"/>
  <c r="G461"/>
  <c r="H461"/>
  <c r="F539" s="1"/>
  <c r="F56" i="18" s="1"/>
  <c r="G462" i="5"/>
  <c r="H462"/>
  <c r="F540" s="1"/>
  <c r="F57" i="18" s="1"/>
  <c r="G463" i="5"/>
  <c r="G464"/>
  <c r="G465"/>
  <c r="G466"/>
  <c r="H466" s="1"/>
  <c r="F544" s="1"/>
  <c r="F61" i="18" s="1"/>
  <c r="G467" i="5"/>
  <c r="G468"/>
  <c r="H468"/>
  <c r="F546" s="1"/>
  <c r="F63" i="18" s="1"/>
  <c r="F469" i="5"/>
  <c r="G469"/>
  <c r="G470"/>
  <c r="H470"/>
  <c r="F548" s="1"/>
  <c r="F65" i="18" s="1"/>
  <c r="F471" i="5"/>
  <c r="G471"/>
  <c r="G472"/>
  <c r="G473"/>
  <c r="G474"/>
  <c r="G475"/>
  <c r="G476"/>
  <c r="G477"/>
  <c r="G478"/>
  <c r="H478"/>
  <c r="F556" s="1"/>
  <c r="F73" i="18" s="1"/>
  <c r="G479" i="5"/>
  <c r="G480"/>
  <c r="G481"/>
  <c r="E504"/>
  <c r="E21" i="18" s="1"/>
  <c r="F504" i="5"/>
  <c r="E505"/>
  <c r="E506"/>
  <c r="E511"/>
  <c r="E28" i="18" s="1"/>
  <c r="E523" i="5"/>
  <c r="E40" i="18" s="1"/>
  <c r="E526" i="5"/>
  <c r="E43" i="18" s="1"/>
  <c r="E528" i="5"/>
  <c r="E530"/>
  <c r="F479" i="23"/>
  <c r="G479" s="1"/>
  <c r="E537" i="5"/>
  <c r="E538"/>
  <c r="H5283" i="19" s="1"/>
  <c r="I5283" s="1"/>
  <c r="E540" i="5"/>
  <c r="F198" i="20" s="1"/>
  <c r="G198" s="1"/>
  <c r="E544" i="5"/>
  <c r="F238" i="24" s="1"/>
  <c r="G238" s="1"/>
  <c r="E546" i="5"/>
  <c r="F387" i="20" s="1"/>
  <c r="G387" s="1"/>
  <c r="E548" i="5"/>
  <c r="E554"/>
  <c r="F1210" i="21" s="1"/>
  <c r="G1210" s="1"/>
  <c r="F152" i="15"/>
  <c r="G152" s="1"/>
  <c r="G153" s="1"/>
  <c r="F163"/>
  <c r="G163" s="1"/>
  <c r="G164" s="1"/>
  <c r="F184"/>
  <c r="G184" s="1"/>
  <c r="G185" s="1"/>
  <c r="G186" s="1"/>
  <c r="G187" s="1"/>
  <c r="G188" s="1"/>
  <c r="E47" s="1"/>
  <c r="F195"/>
  <c r="G195" s="1"/>
  <c r="G196" s="1"/>
  <c r="D197"/>
  <c r="F218"/>
  <c r="G218" s="1"/>
  <c r="G219" s="1"/>
  <c r="D220"/>
  <c r="F229"/>
  <c r="G229" s="1"/>
  <c r="G230" s="1"/>
  <c r="D231"/>
  <c r="D451"/>
  <c r="D493"/>
  <c r="D513"/>
  <c r="G682"/>
  <c r="H682" s="1"/>
  <c r="H695"/>
  <c r="G708"/>
  <c r="H708" s="1"/>
  <c r="H709" s="1"/>
  <c r="H710" s="1"/>
  <c r="H711" s="1"/>
  <c r="D713" s="1"/>
  <c r="G721"/>
  <c r="H721" s="1"/>
  <c r="H722" s="1"/>
  <c r="G734"/>
  <c r="H734" s="1"/>
  <c r="G747"/>
  <c r="H747" s="1"/>
  <c r="G764"/>
  <c r="H764" s="1"/>
  <c r="G780"/>
  <c r="H780" s="1"/>
  <c r="G793"/>
  <c r="H793" s="1"/>
  <c r="G807"/>
  <c r="H807" s="1"/>
  <c r="G822"/>
  <c r="H822" s="1"/>
  <c r="G837"/>
  <c r="H837" s="1"/>
  <c r="F863"/>
  <c r="F865" s="1"/>
  <c r="F866"/>
  <c r="F887"/>
  <c r="F889"/>
  <c r="F890"/>
  <c r="F909"/>
  <c r="F911" s="1"/>
  <c r="F939"/>
  <c r="G939" s="1"/>
  <c r="G940" s="1"/>
  <c r="G941" s="1"/>
  <c r="G942" s="1"/>
  <c r="D162" i="26" s="1"/>
  <c r="F962" i="15"/>
  <c r="G962" s="1"/>
  <c r="F986"/>
  <c r="G986" s="1"/>
  <c r="F21" i="18"/>
  <c r="E45"/>
  <c r="E47"/>
  <c r="E54"/>
  <c r="E55"/>
  <c r="E57"/>
  <c r="E61"/>
  <c r="E63"/>
  <c r="E65"/>
  <c r="E71"/>
  <c r="G75"/>
  <c r="E1171" i="14"/>
  <c r="E1173"/>
  <c r="E139" i="1"/>
  <c r="F139" s="1"/>
  <c r="E140"/>
  <c r="E141"/>
  <c r="E144"/>
  <c r="E146"/>
  <c r="E147"/>
  <c r="E151"/>
  <c r="G666" i="24"/>
  <c r="G2870"/>
  <c r="G2689"/>
  <c r="G566"/>
  <c r="G2559"/>
  <c r="G570"/>
  <c r="G3001"/>
  <c r="E2578"/>
  <c r="G2869"/>
  <c r="G2747"/>
  <c r="G2686"/>
  <c r="G2808"/>
  <c r="H2737" i="11"/>
  <c r="G2751" s="1"/>
  <c r="H644"/>
  <c r="G659" s="1"/>
  <c r="H469"/>
  <c r="G483" s="1"/>
  <c r="H426"/>
  <c r="G440" s="1"/>
  <c r="H383"/>
  <c r="G397" s="1"/>
  <c r="H1794"/>
  <c r="G1814" s="1"/>
  <c r="H376"/>
  <c r="G396" s="1"/>
  <c r="H334"/>
  <c r="G354" s="1"/>
  <c r="H299"/>
  <c r="G314" s="1"/>
  <c r="H291"/>
  <c r="G313" s="1"/>
  <c r="H2413"/>
  <c r="G2427" s="1"/>
  <c r="H2358"/>
  <c r="G2378" s="1"/>
  <c r="H166"/>
  <c r="G180" s="1"/>
  <c r="H159"/>
  <c r="G179" s="1"/>
  <c r="H462"/>
  <c r="G482" s="1"/>
  <c r="H114"/>
  <c r="G134" s="1"/>
  <c r="H2870"/>
  <c r="G2883" s="1"/>
  <c r="H1752"/>
  <c r="G1773" s="1"/>
  <c r="H548"/>
  <c r="G568" s="1"/>
  <c r="H75"/>
  <c r="G90" s="1"/>
  <c r="G2624"/>
  <c r="H5744" i="19"/>
  <c r="G5773" s="1"/>
  <c r="I5773" s="1"/>
  <c r="I5682"/>
  <c r="I5696"/>
  <c r="I3531"/>
  <c r="I3545" s="1"/>
  <c r="G1957"/>
  <c r="F2016"/>
  <c r="I5944"/>
  <c r="I5958" s="1"/>
  <c r="G2082"/>
  <c r="G2080"/>
  <c r="I2080" s="1"/>
  <c r="G2079"/>
  <c r="G2078"/>
  <c r="G2077"/>
  <c r="F2141" s="1"/>
  <c r="G2076"/>
  <c r="I2076" s="1"/>
  <c r="G1955"/>
  <c r="G1953"/>
  <c r="G2584"/>
  <c r="G2444"/>
  <c r="G2442"/>
  <c r="I2442"/>
  <c r="G2440"/>
  <c r="G2438"/>
  <c r="I2438" s="1"/>
  <c r="G2199"/>
  <c r="H5745"/>
  <c r="G5774" s="1"/>
  <c r="I3206"/>
  <c r="G1839"/>
  <c r="F1897"/>
  <c r="G1837"/>
  <c r="G1835"/>
  <c r="G1692"/>
  <c r="G2628" i="24"/>
  <c r="E2577"/>
  <c r="G2939"/>
  <c r="H772" i="25"/>
  <c r="G792" s="1"/>
  <c r="H299"/>
  <c r="G319" s="1"/>
  <c r="H306"/>
  <c r="G320" s="1"/>
  <c r="H340"/>
  <c r="G362" s="1"/>
  <c r="H1418"/>
  <c r="G1433" s="1"/>
  <c r="H260"/>
  <c r="G274" s="1"/>
  <c r="H348"/>
  <c r="G363" s="1"/>
  <c r="H383"/>
  <c r="G403" s="1"/>
  <c r="H604"/>
  <c r="G618" s="1"/>
  <c r="H648"/>
  <c r="G663" s="1"/>
  <c r="H693"/>
  <c r="G708" s="1"/>
  <c r="H727"/>
  <c r="G748" s="1"/>
  <c r="H734"/>
  <c r="G749" s="1"/>
  <c r="H779"/>
  <c r="G793" s="1"/>
  <c r="H1365"/>
  <c r="G1380" s="1"/>
  <c r="H1538"/>
  <c r="G1559" s="1"/>
  <c r="H1545"/>
  <c r="G1560" s="1"/>
  <c r="H74"/>
  <c r="G94" s="1"/>
  <c r="H81"/>
  <c r="G95" s="1"/>
  <c r="H116"/>
  <c r="G138" s="1"/>
  <c r="H124"/>
  <c r="G139" s="1"/>
  <c r="H390"/>
  <c r="G404" s="1"/>
  <c r="H425"/>
  <c r="G445" s="1"/>
  <c r="H432"/>
  <c r="G446" s="1"/>
  <c r="H475"/>
  <c r="G489" s="1"/>
  <c r="H518"/>
  <c r="G532" s="1"/>
  <c r="H1834"/>
  <c r="G1854" s="1"/>
  <c r="H1841"/>
  <c r="G1855" s="1"/>
  <c r="H1876"/>
  <c r="G1896" s="1"/>
  <c r="H1883"/>
  <c r="G1897" s="1"/>
  <c r="H2394"/>
  <c r="G2414" s="1"/>
  <c r="H2401"/>
  <c r="G2415" s="1"/>
  <c r="H2531"/>
  <c r="G2550" s="1"/>
  <c r="H2538"/>
  <c r="G2551" s="1"/>
  <c r="H2573"/>
  <c r="G2592" s="1"/>
  <c r="H2580"/>
  <c r="G2593" s="1"/>
  <c r="I6531" i="19"/>
  <c r="I6546"/>
  <c r="I6012"/>
  <c r="I6026" s="1"/>
  <c r="I6390"/>
  <c r="I6405" s="1"/>
  <c r="H5746"/>
  <c r="G5775" s="1"/>
  <c r="G2123"/>
  <c r="G1841"/>
  <c r="G1694"/>
  <c r="I3800"/>
  <c r="I6658"/>
  <c r="I6673" s="1"/>
  <c r="I6245"/>
  <c r="I6259" s="1"/>
  <c r="G2368"/>
  <c r="G2327"/>
  <c r="G2326"/>
  <c r="I2326" s="1"/>
  <c r="G2325"/>
  <c r="G2324"/>
  <c r="G2323"/>
  <c r="F2386" s="1"/>
  <c r="G2322"/>
  <c r="I2322" s="1"/>
  <c r="G2204"/>
  <c r="G2202"/>
  <c r="I2202" s="1"/>
  <c r="G2000"/>
  <c r="G1958"/>
  <c r="F6496" i="21"/>
  <c r="G6496" s="1"/>
  <c r="G6498" s="1"/>
  <c r="G2040" i="20"/>
  <c r="G1970"/>
  <c r="G1984" s="1"/>
  <c r="C1438"/>
  <c r="F3841" i="19"/>
  <c r="F3761"/>
  <c r="F4087"/>
  <c r="F4004"/>
  <c r="F3920"/>
  <c r="F3691"/>
  <c r="F2983"/>
  <c r="I4117"/>
  <c r="I4130" s="1"/>
  <c r="I3720"/>
  <c r="I3719"/>
  <c r="G2081"/>
  <c r="G1840"/>
  <c r="I3522"/>
  <c r="G1959"/>
  <c r="G2201"/>
  <c r="I2201" s="1"/>
  <c r="G2203"/>
  <c r="G2205"/>
  <c r="I2325"/>
  <c r="G1881"/>
  <c r="G1834"/>
  <c r="G1836"/>
  <c r="F1898" s="1"/>
  <c r="G1838"/>
  <c r="G2200"/>
  <c r="G2439"/>
  <c r="F2487" s="1"/>
  <c r="G2441"/>
  <c r="G2443"/>
  <c r="I2443" s="1"/>
  <c r="G1952"/>
  <c r="G1954"/>
  <c r="F2017" s="1"/>
  <c r="G1956"/>
  <c r="I1956" s="1"/>
  <c r="I1957"/>
  <c r="G2473"/>
  <c r="G2437"/>
  <c r="I2437" s="1"/>
  <c r="I194"/>
  <c r="I225" s="1"/>
  <c r="F2019"/>
  <c r="F2143"/>
  <c r="F2385"/>
  <c r="F2486"/>
  <c r="F2266"/>
  <c r="F2388"/>
  <c r="I4165"/>
  <c r="I4179" s="1"/>
  <c r="I4657"/>
  <c r="I4694" s="1"/>
  <c r="G2659"/>
  <c r="G2661"/>
  <c r="G2689"/>
  <c r="G2655"/>
  <c r="G2657"/>
  <c r="F2705" s="1"/>
  <c r="G2691"/>
  <c r="G2662"/>
  <c r="G2660"/>
  <c r="G2656"/>
  <c r="I2656" s="1"/>
  <c r="G2658"/>
  <c r="I2658" s="1"/>
  <c r="G2791"/>
  <c r="G2758"/>
  <c r="G2759"/>
  <c r="I2759" s="1"/>
  <c r="I6128"/>
  <c r="I6142" s="1"/>
  <c r="G2246"/>
  <c r="G1833"/>
  <c r="D4137"/>
  <c r="G535" i="23"/>
  <c r="G550" s="1"/>
  <c r="G4090"/>
  <c r="G4105" s="1"/>
  <c r="G4039"/>
  <c r="G4054" s="1"/>
  <c r="G3988"/>
  <c r="G4003" s="1"/>
  <c r="G3936"/>
  <c r="G3951" s="1"/>
  <c r="G3885"/>
  <c r="G3900" s="1"/>
  <c r="G3783"/>
  <c r="G3798" s="1"/>
  <c r="G3732"/>
  <c r="G3747" s="1"/>
  <c r="G3627"/>
  <c r="G3645" s="1"/>
  <c r="G3442"/>
  <c r="G3458" s="1"/>
  <c r="G3394"/>
  <c r="G3410" s="1"/>
  <c r="G3296"/>
  <c r="G3311" s="1"/>
  <c r="G3200"/>
  <c r="G3215" s="1"/>
  <c r="G3154"/>
  <c r="G3169" s="1"/>
  <c r="G3105"/>
  <c r="G3120" s="1"/>
  <c r="G1387"/>
  <c r="E2541"/>
  <c r="E2585"/>
  <c r="G2585" s="1"/>
  <c r="E2586"/>
  <c r="E2587"/>
  <c r="E2588"/>
  <c r="G2588" s="1"/>
  <c r="E2589"/>
  <c r="G2589" s="1"/>
  <c r="E2591"/>
  <c r="E2620"/>
  <c r="E2618"/>
  <c r="D2632"/>
  <c r="G3834"/>
  <c r="G3849" s="1"/>
  <c r="G3246"/>
  <c r="G3261" s="1"/>
  <c r="E2509"/>
  <c r="G1384"/>
  <c r="E1137"/>
  <c r="E1139"/>
  <c r="E1140"/>
  <c r="E1141"/>
  <c r="E1142"/>
  <c r="E1144"/>
  <c r="E1177"/>
  <c r="E1138"/>
  <c r="E1175"/>
  <c r="D1190"/>
  <c r="E971"/>
  <c r="E976"/>
  <c r="E977"/>
  <c r="E979"/>
  <c r="E1010"/>
  <c r="D1025"/>
  <c r="E972"/>
  <c r="E973"/>
  <c r="E1012"/>
  <c r="G1386"/>
  <c r="G3681"/>
  <c r="G3696" s="1"/>
  <c r="G3490"/>
  <c r="G3506" s="1"/>
  <c r="E978"/>
  <c r="G3346"/>
  <c r="G3361" s="1"/>
  <c r="G2831"/>
  <c r="G976"/>
  <c r="E975"/>
  <c r="G975" s="1"/>
  <c r="E974"/>
  <c r="G974"/>
  <c r="E2663"/>
  <c r="E2665"/>
  <c r="E2667"/>
  <c r="E2669"/>
  <c r="E2699"/>
  <c r="E2664"/>
  <c r="E2666"/>
  <c r="G2666" s="1"/>
  <c r="E2697"/>
  <c r="G2697" s="1"/>
  <c r="D2712"/>
  <c r="E2590"/>
  <c r="E2264"/>
  <c r="E2266"/>
  <c r="E2268"/>
  <c r="E2270"/>
  <c r="E2300"/>
  <c r="E2263"/>
  <c r="E2269" s="1"/>
  <c r="G2269" s="1"/>
  <c r="E2265"/>
  <c r="E2267"/>
  <c r="E2298"/>
  <c r="D2313"/>
  <c r="E2012"/>
  <c r="E2014"/>
  <c r="E2016"/>
  <c r="E2046"/>
  <c r="D2061"/>
  <c r="E2013"/>
  <c r="E2015"/>
  <c r="G2015"/>
  <c r="E2017"/>
  <c r="E2019"/>
  <c r="E2048"/>
  <c r="E1929"/>
  <c r="E1936" s="1"/>
  <c r="E1931"/>
  <c r="E1933"/>
  <c r="E1935"/>
  <c r="G1935" s="1"/>
  <c r="E1937"/>
  <c r="E1966"/>
  <c r="E1930"/>
  <c r="E1932"/>
  <c r="G1932" s="1"/>
  <c r="E1934"/>
  <c r="E1964"/>
  <c r="G1964" s="1"/>
  <c r="D1979"/>
  <c r="E1846"/>
  <c r="E1848"/>
  <c r="E1850"/>
  <c r="G1850" s="1"/>
  <c r="E1852"/>
  <c r="E1854"/>
  <c r="E1883"/>
  <c r="E1847"/>
  <c r="E1849"/>
  <c r="E1851"/>
  <c r="G1851" s="1"/>
  <c r="E1881"/>
  <c r="D1896"/>
  <c r="E1691"/>
  <c r="E1693"/>
  <c r="E1695"/>
  <c r="E1722"/>
  <c r="E1692"/>
  <c r="E1694"/>
  <c r="G1694" s="1"/>
  <c r="D1735"/>
  <c r="E1143"/>
  <c r="E1055"/>
  <c r="E1057"/>
  <c r="E1059"/>
  <c r="E1061"/>
  <c r="E1094"/>
  <c r="E1054"/>
  <c r="E1056"/>
  <c r="E1058"/>
  <c r="E1092"/>
  <c r="D1107"/>
  <c r="E2425"/>
  <c r="E2431"/>
  <c r="E2459"/>
  <c r="E1545"/>
  <c r="E1547"/>
  <c r="E1549"/>
  <c r="E1579"/>
  <c r="D1593"/>
  <c r="E1546"/>
  <c r="E1548"/>
  <c r="E1550"/>
  <c r="E1552"/>
  <c r="E1581"/>
  <c r="E1303"/>
  <c r="E1305"/>
  <c r="E1339"/>
  <c r="D1354"/>
  <c r="E1302"/>
  <c r="E1307" s="1"/>
  <c r="E1304"/>
  <c r="E1306"/>
  <c r="E1308"/>
  <c r="E1341"/>
  <c r="E1221"/>
  <c r="E1223"/>
  <c r="E1257"/>
  <c r="D1272"/>
  <c r="E1220"/>
  <c r="E1222"/>
  <c r="E1224"/>
  <c r="E1226"/>
  <c r="E1259"/>
  <c r="G4426" i="21"/>
  <c r="G4457" s="1"/>
  <c r="F6629"/>
  <c r="G6629" s="1"/>
  <c r="G6631" s="1"/>
  <c r="E4029"/>
  <c r="G8293"/>
  <c r="G8308" s="1"/>
  <c r="G8125"/>
  <c r="G8139"/>
  <c r="G7881"/>
  <c r="G7828"/>
  <c r="G7843" s="1"/>
  <c r="G7737"/>
  <c r="G7752"/>
  <c r="G298"/>
  <c r="G320" s="1"/>
  <c r="G4027"/>
  <c r="G6624"/>
  <c r="G6638" s="1"/>
  <c r="F6581"/>
  <c r="G6581" s="1"/>
  <c r="G6533"/>
  <c r="G6546" s="1"/>
  <c r="G4037"/>
  <c r="G4051"/>
  <c r="G3534"/>
  <c r="G3547" s="1"/>
  <c r="G3099"/>
  <c r="G3130" s="1"/>
  <c r="G3927"/>
  <c r="G3941" s="1"/>
  <c r="G240"/>
  <c r="G265" s="1"/>
  <c r="G3989"/>
  <c r="G4003" s="1"/>
  <c r="H2449" i="25"/>
  <c r="G2463" s="1"/>
  <c r="H253"/>
  <c r="G273" s="1"/>
  <c r="H813"/>
  <c r="G834" s="1"/>
  <c r="H1477"/>
  <c r="G1493" s="1"/>
  <c r="H2498"/>
  <c r="G2511" s="1"/>
  <c r="H2093"/>
  <c r="G2130" s="1"/>
  <c r="H1974"/>
  <c r="G2011" s="1"/>
  <c r="H2213"/>
  <c r="G2250" s="1"/>
  <c r="H2335"/>
  <c r="G2372" s="1"/>
  <c r="E147" i="20"/>
  <c r="F2704" i="19"/>
  <c r="I5877"/>
  <c r="I5891" s="1"/>
  <c r="I5048"/>
  <c r="I5085" s="1"/>
  <c r="I4587"/>
  <c r="I4624" s="1"/>
  <c r="I5184"/>
  <c r="I5221" s="1"/>
  <c r="F2264"/>
  <c r="G8543" i="21"/>
  <c r="G8558" s="1"/>
  <c r="G8477"/>
  <c r="G8012"/>
  <c r="G8015" s="1"/>
  <c r="G8036" s="1"/>
  <c r="G7305"/>
  <c r="G5693"/>
  <c r="G3491"/>
  <c r="G3504" s="1"/>
  <c r="G3483"/>
  <c r="G3449"/>
  <c r="G3462" s="1"/>
  <c r="G3391"/>
  <c r="G3418" s="1"/>
  <c r="G3338"/>
  <c r="G3363" s="1"/>
  <c r="G8589"/>
  <c r="G8603" s="1"/>
  <c r="G7216"/>
  <c r="G5691"/>
  <c r="E5713"/>
  <c r="D5772" s="1"/>
  <c r="G3916"/>
  <c r="G6712"/>
  <c r="G6726"/>
  <c r="G6491"/>
  <c r="G6505" s="1"/>
  <c r="G4137"/>
  <c r="G4152" s="1"/>
  <c r="G3856"/>
  <c r="G3870"/>
  <c r="G3261"/>
  <c r="G3292" s="1"/>
  <c r="G3183"/>
  <c r="G3214" s="1"/>
  <c r="G3021"/>
  <c r="G3052" s="1"/>
  <c r="G2748"/>
  <c r="G2785" s="1"/>
  <c r="G2716"/>
  <c r="G2718" s="1"/>
  <c r="G8348"/>
  <c r="G8363"/>
  <c r="G7472"/>
  <c r="G7469"/>
  <c r="G7394"/>
  <c r="E7393"/>
  <c r="E7392"/>
  <c r="G7038"/>
  <c r="E7930"/>
  <c r="E6861"/>
  <c r="G6861" s="1"/>
  <c r="G5692"/>
  <c r="E5714" s="1"/>
  <c r="D5771" s="1"/>
  <c r="F5501"/>
  <c r="G4724"/>
  <c r="G2834"/>
  <c r="G2871" s="1"/>
  <c r="G2626"/>
  <c r="G2663" s="1"/>
  <c r="G2541"/>
  <c r="G2578" s="1"/>
  <c r="G2258"/>
  <c r="G2295" s="1"/>
  <c r="G2040"/>
  <c r="G2077" s="1"/>
  <c r="G1955"/>
  <c r="G1992" s="1"/>
  <c r="G1750"/>
  <c r="G1787" s="1"/>
  <c r="E1740"/>
  <c r="E7929"/>
  <c r="G5120"/>
  <c r="G4238"/>
  <c r="G4275" s="1"/>
  <c r="G4086"/>
  <c r="G4100"/>
  <c r="G3691"/>
  <c r="G3576"/>
  <c r="G3589" s="1"/>
  <c r="G3525"/>
  <c r="G3527" s="1"/>
  <c r="G3546" s="1"/>
  <c r="G2936"/>
  <c r="G2967" s="1"/>
  <c r="G2426"/>
  <c r="G2457" s="1"/>
  <c r="G2343"/>
  <c r="G2380" s="1"/>
  <c r="G2146"/>
  <c r="G2177" s="1"/>
  <c r="G1836"/>
  <c r="G1873" s="1"/>
  <c r="E7220"/>
  <c r="F5591"/>
  <c r="E5599" s="1"/>
  <c r="G5583"/>
  <c r="G5584" s="1"/>
  <c r="E5601" s="1"/>
  <c r="G5588"/>
  <c r="G5088"/>
  <c r="G5089" s="1"/>
  <c r="E5119" s="1"/>
  <c r="G5102"/>
  <c r="F5108"/>
  <c r="G5404"/>
  <c r="G5405" s="1"/>
  <c r="E5422" s="1"/>
  <c r="G4866"/>
  <c r="G4859"/>
  <c r="G4711"/>
  <c r="G4731"/>
  <c r="G4577"/>
  <c r="G4597"/>
  <c r="E7219"/>
  <c r="E7217"/>
  <c r="E7124"/>
  <c r="G7124" s="1"/>
  <c r="D5375"/>
  <c r="G4326"/>
  <c r="G4363"/>
  <c r="E5543"/>
  <c r="E5509"/>
  <c r="E5507"/>
  <c r="G5498"/>
  <c r="E5312"/>
  <c r="E3980"/>
  <c r="E2194" i="20"/>
  <c r="E2363"/>
  <c r="E2360"/>
  <c r="F1752" i="19"/>
  <c r="F2263"/>
  <c r="I6317"/>
  <c r="I6332"/>
  <c r="I6065"/>
  <c r="I6079" s="1"/>
  <c r="I6003"/>
  <c r="G5772"/>
  <c r="I3481"/>
  <c r="I3496" s="1"/>
  <c r="I4921"/>
  <c r="I4958" s="1"/>
  <c r="G3304"/>
  <c r="G3305"/>
  <c r="I3305" s="1"/>
  <c r="F2603"/>
  <c r="G2547"/>
  <c r="G2551"/>
  <c r="G2587"/>
  <c r="G2548"/>
  <c r="I2548" s="1"/>
  <c r="G2552"/>
  <c r="I2552" s="1"/>
  <c r="G2549"/>
  <c r="G2553"/>
  <c r="G2555"/>
  <c r="G2550"/>
  <c r="F2601" s="1"/>
  <c r="G2554"/>
  <c r="I2554" s="1"/>
  <c r="G2471"/>
  <c r="G2862"/>
  <c r="G2867"/>
  <c r="I6602"/>
  <c r="I6617" s="1"/>
  <c r="I5869"/>
  <c r="I107"/>
  <c r="I136" s="1"/>
  <c r="I6460"/>
  <c r="I6475"/>
  <c r="I6176"/>
  <c r="I6190" s="1"/>
  <c r="I1033"/>
  <c r="I1048" s="1"/>
  <c r="E1225" i="23"/>
  <c r="G1054"/>
  <c r="E1060"/>
  <c r="G1691"/>
  <c r="E1696"/>
  <c r="E1853"/>
  <c r="E2668"/>
  <c r="G1545"/>
  <c r="E1551"/>
  <c r="E2430"/>
  <c r="E2018"/>
  <c r="E5505" i="21"/>
  <c r="E5506"/>
  <c r="E5508"/>
  <c r="E5510"/>
  <c r="D5556"/>
  <c r="D5645"/>
  <c r="E5632"/>
  <c r="G4600"/>
  <c r="E4623" s="1"/>
  <c r="G4602"/>
  <c r="G4603" s="1"/>
  <c r="E4625" s="1"/>
  <c r="G4625" s="1"/>
  <c r="G4601"/>
  <c r="E4624" s="1"/>
  <c r="D4685" s="1"/>
  <c r="G4599"/>
  <c r="E4622" s="1"/>
  <c r="G4734"/>
  <c r="E4757" s="1"/>
  <c r="G4736"/>
  <c r="G4737" s="1"/>
  <c r="E4759" s="1"/>
  <c r="G4735"/>
  <c r="E4758" s="1"/>
  <c r="G4733"/>
  <c r="E4756" s="1"/>
  <c r="G4868"/>
  <c r="E4889" s="1"/>
  <c r="G4870"/>
  <c r="G4871" s="1"/>
  <c r="E4891" s="1"/>
  <c r="G4867"/>
  <c r="E4888" s="1"/>
  <c r="G4869"/>
  <c r="E4890" s="1"/>
  <c r="E5112"/>
  <c r="E5118" s="1"/>
  <c r="E5114"/>
  <c r="G5114" s="1"/>
  <c r="E5116"/>
  <c r="D5163"/>
  <c r="E5113"/>
  <c r="E5115"/>
  <c r="E5117"/>
  <c r="E5150"/>
  <c r="F2600" i="19"/>
  <c r="F3345"/>
  <c r="G1472" i="23"/>
  <c r="E2347"/>
  <c r="G2347" s="1"/>
  <c r="E2349"/>
  <c r="E2351"/>
  <c r="E2353"/>
  <c r="E2346"/>
  <c r="E2348"/>
  <c r="E2350"/>
  <c r="G2350"/>
  <c r="E2380"/>
  <c r="G2380" s="1"/>
  <c r="D2395"/>
  <c r="E2345"/>
  <c r="E2382"/>
  <c r="E2178"/>
  <c r="E2181"/>
  <c r="E2184"/>
  <c r="E2179"/>
  <c r="E2182"/>
  <c r="D2230"/>
  <c r="E2180"/>
  <c r="E2217"/>
  <c r="E2183"/>
  <c r="G2183" s="1"/>
  <c r="E2186"/>
  <c r="E892"/>
  <c r="E894"/>
  <c r="E928"/>
  <c r="G928" s="1"/>
  <c r="D942"/>
  <c r="E930"/>
  <c r="E890"/>
  <c r="E891"/>
  <c r="E893"/>
  <c r="E895"/>
  <c r="E897"/>
  <c r="E807"/>
  <c r="E848"/>
  <c r="E809"/>
  <c r="E811"/>
  <c r="G811" s="1"/>
  <c r="E813"/>
  <c r="E815"/>
  <c r="E808"/>
  <c r="E810"/>
  <c r="E812"/>
  <c r="E846"/>
  <c r="D861"/>
  <c r="E3537"/>
  <c r="E3572"/>
  <c r="E3538"/>
  <c r="E3540"/>
  <c r="E3570"/>
  <c r="G3570" s="1"/>
  <c r="D3584"/>
  <c r="E3539"/>
  <c r="E3541"/>
  <c r="G3541" s="1"/>
  <c r="E3543"/>
  <c r="E2094"/>
  <c r="E2097"/>
  <c r="E2130"/>
  <c r="E2096"/>
  <c r="E2128"/>
  <c r="E2093"/>
  <c r="E2099" s="1"/>
  <c r="G2099" s="1"/>
  <c r="E2098"/>
  <c r="E2100"/>
  <c r="E2095"/>
  <c r="G2095"/>
  <c r="D2143"/>
  <c r="E1767"/>
  <c r="G1767" s="1"/>
  <c r="E1769"/>
  <c r="E1771"/>
  <c r="E1765"/>
  <c r="E1800"/>
  <c r="E1766"/>
  <c r="E1768"/>
  <c r="E1798"/>
  <c r="D1812"/>
  <c r="F717"/>
  <c r="E764" s="1"/>
  <c r="D777"/>
  <c r="E725"/>
  <c r="E727"/>
  <c r="E729"/>
  <c r="E731"/>
  <c r="E728"/>
  <c r="E726"/>
  <c r="E724"/>
  <c r="G1388"/>
  <c r="E6857" i="21"/>
  <c r="H1619" i="25"/>
  <c r="G1634" s="1"/>
  <c r="H1752"/>
  <c r="G1768" s="1"/>
  <c r="D1546" i="20"/>
  <c r="D1436"/>
  <c r="E2041"/>
  <c r="G2041" s="1"/>
  <c r="F1247"/>
  <c r="E1269" s="1"/>
  <c r="F1248"/>
  <c r="E1270" s="1"/>
  <c r="F1249"/>
  <c r="E1271" s="1"/>
  <c r="D2252"/>
  <c r="G2192"/>
  <c r="D2093"/>
  <c r="F1096"/>
  <c r="G1096" s="1"/>
  <c r="E730" i="23"/>
  <c r="E762"/>
  <c r="E1770"/>
  <c r="E3542"/>
  <c r="G3537"/>
  <c r="E896"/>
  <c r="E814"/>
  <c r="G814" s="1"/>
  <c r="E2185"/>
  <c r="G2178"/>
  <c r="E2352"/>
  <c r="H820" i="25"/>
  <c r="G835" s="1"/>
  <c r="E2358" i="20"/>
  <c r="G2358" s="1"/>
  <c r="E2361"/>
  <c r="D2441" s="1"/>
  <c r="E2359"/>
  <c r="E2362"/>
  <c r="D2440"/>
  <c r="H128" i="11"/>
  <c r="G136" s="1"/>
  <c r="G137" s="1"/>
  <c r="G3165"/>
  <c r="G3170" s="1"/>
  <c r="G3171" s="1"/>
  <c r="G4881" i="21"/>
  <c r="G976"/>
  <c r="H2221" i="19"/>
  <c r="I2221" s="1"/>
  <c r="H1711"/>
  <c r="I1711" s="1"/>
  <c r="H1856"/>
  <c r="I1856" s="1"/>
  <c r="H1974"/>
  <c r="I1974" s="1"/>
  <c r="H2098"/>
  <c r="I2098" s="1"/>
  <c r="H2343"/>
  <c r="I2343" s="1"/>
  <c r="E22" i="18"/>
  <c r="F2572" i="24"/>
  <c r="G2572" s="1"/>
  <c r="H4243" i="19"/>
  <c r="I4243" s="1"/>
  <c r="G2585" i="11"/>
  <c r="H2585" s="1"/>
  <c r="F2811" i="10"/>
  <c r="G2811" s="1"/>
  <c r="F1185" i="20"/>
  <c r="G1185" s="1"/>
  <c r="F1283"/>
  <c r="G1283" s="1"/>
  <c r="F7047" i="21"/>
  <c r="G7047" s="1"/>
  <c r="F7315"/>
  <c r="G7315" s="1"/>
  <c r="F5856"/>
  <c r="G5856" s="1"/>
  <c r="F7134"/>
  <c r="G7134" s="1"/>
  <c r="F7402"/>
  <c r="G7402" s="1"/>
  <c r="E23" i="18"/>
  <c r="F380" i="5"/>
  <c r="G380" s="1"/>
  <c r="H380" s="1"/>
  <c r="E560" s="1"/>
  <c r="H5508" i="19"/>
  <c r="I5508" s="1"/>
  <c r="H934"/>
  <c r="I934" s="1"/>
  <c r="H765"/>
  <c r="I765"/>
  <c r="F2644" i="20"/>
  <c r="G2644" s="1"/>
  <c r="F2494"/>
  <c r="G2494" s="1"/>
  <c r="F726"/>
  <c r="G726" s="1"/>
  <c r="F724"/>
  <c r="G724" s="1"/>
  <c r="F994" i="21"/>
  <c r="G994"/>
  <c r="F857"/>
  <c r="G857" s="1"/>
  <c r="F233" i="22"/>
  <c r="G233"/>
  <c r="F370" i="23"/>
  <c r="G370" s="1"/>
  <c r="F282"/>
  <c r="G282" s="1"/>
  <c r="F2176" i="10"/>
  <c r="G2176" s="1"/>
  <c r="F1294"/>
  <c r="G1294" s="1"/>
  <c r="F1137"/>
  <c r="G1137" s="1"/>
  <c r="F961"/>
  <c r="G961"/>
  <c r="F433"/>
  <c r="G433" s="1"/>
  <c r="F1368" i="24"/>
  <c r="G1368"/>
  <c r="F118"/>
  <c r="G118" s="1"/>
  <c r="H437" i="19"/>
  <c r="I437" s="1"/>
  <c r="H5411"/>
  <c r="I5411" s="1"/>
  <c r="H1448"/>
  <c r="I1448" s="1"/>
  <c r="H582"/>
  <c r="I582" s="1"/>
  <c r="H301"/>
  <c r="I301"/>
  <c r="F1509" i="20"/>
  <c r="G1509"/>
  <c r="F1400"/>
  <c r="G1400" s="1"/>
  <c r="F1398"/>
  <c r="G1398" s="1"/>
  <c r="F1031"/>
  <c r="G1031" s="1"/>
  <c r="F922"/>
  <c r="G922" s="1"/>
  <c r="F920"/>
  <c r="G920" s="1"/>
  <c r="F554"/>
  <c r="G554" s="1"/>
  <c r="F379"/>
  <c r="G379" s="1"/>
  <c r="F196"/>
  <c r="G196" s="1"/>
  <c r="F6168" i="21"/>
  <c r="G6168" s="1"/>
  <c r="F1642"/>
  <c r="G1642" s="1"/>
  <c r="F1640"/>
  <c r="G1640" s="1"/>
  <c r="F1469"/>
  <c r="G1469" s="1"/>
  <c r="F1212"/>
  <c r="G1212" s="1"/>
  <c r="F619"/>
  <c r="G619" s="1"/>
  <c r="F422"/>
  <c r="G422" s="1"/>
  <c r="F430" i="22"/>
  <c r="G430" s="1"/>
  <c r="F321"/>
  <c r="G321" s="1"/>
  <c r="F2715" i="10"/>
  <c r="G2715" s="1"/>
  <c r="F1814"/>
  <c r="G1814" s="1"/>
  <c r="F222"/>
  <c r="G222"/>
  <c r="F2219" i="24"/>
  <c r="G2219" s="1"/>
  <c r="F1668"/>
  <c r="G1668" s="1"/>
  <c r="F916"/>
  <c r="G916" s="1"/>
  <c r="F750"/>
  <c r="G750" s="1"/>
  <c r="F647"/>
  <c r="G647" s="1"/>
  <c r="G5694" i="21"/>
  <c r="E5715" s="1"/>
  <c r="G5715" s="1"/>
  <c r="E5711"/>
  <c r="E7218"/>
  <c r="G7218" s="1"/>
  <c r="E3560" i="22"/>
  <c r="G3560"/>
  <c r="E3562"/>
  <c r="E3594"/>
  <c r="D3608"/>
  <c r="E3559"/>
  <c r="E3564" s="1"/>
  <c r="E3561"/>
  <c r="G3561"/>
  <c r="E3563"/>
  <c r="G3563"/>
  <c r="E3565"/>
  <c r="E3596"/>
  <c r="E1996"/>
  <c r="E1998"/>
  <c r="E2000"/>
  <c r="E2002"/>
  <c r="E2033"/>
  <c r="E1995"/>
  <c r="E2001" s="1"/>
  <c r="E1997"/>
  <c r="E1999"/>
  <c r="G1999" s="1"/>
  <c r="E2031"/>
  <c r="D2046"/>
  <c r="E1911"/>
  <c r="E1913"/>
  <c r="G1913" s="1"/>
  <c r="E1915"/>
  <c r="E1947"/>
  <c r="D1962"/>
  <c r="E1910"/>
  <c r="E1917" s="1"/>
  <c r="G1917" s="1"/>
  <c r="E1912"/>
  <c r="E1914"/>
  <c r="E1916"/>
  <c r="G1916"/>
  <c r="E1918"/>
  <c r="E1949"/>
  <c r="E1826"/>
  <c r="E1828"/>
  <c r="E1830"/>
  <c r="G1830" s="1"/>
  <c r="E1862"/>
  <c r="G1862"/>
  <c r="D1877"/>
  <c r="E1825"/>
  <c r="E1832" s="1"/>
  <c r="E1827"/>
  <c r="G1827"/>
  <c r="E1829"/>
  <c r="E1831"/>
  <c r="E1833"/>
  <c r="E1864"/>
  <c r="E1743"/>
  <c r="E1745"/>
  <c r="E1777"/>
  <c r="D1791"/>
  <c r="E1742"/>
  <c r="E1744"/>
  <c r="E1746"/>
  <c r="E1748"/>
  <c r="E1779"/>
  <c r="E1666"/>
  <c r="E1671" s="1"/>
  <c r="E1272"/>
  <c r="G1272" s="1"/>
  <c r="E1099"/>
  <c r="E1101"/>
  <c r="E1103"/>
  <c r="G1103" s="1"/>
  <c r="E1105"/>
  <c r="E1140"/>
  <c r="E1098"/>
  <c r="E1104" s="1"/>
  <c r="E1100"/>
  <c r="G1100" s="1"/>
  <c r="E1102"/>
  <c r="E1138"/>
  <c r="D1153"/>
  <c r="E2663"/>
  <c r="E2665"/>
  <c r="E2698"/>
  <c r="D2713"/>
  <c r="E2662"/>
  <c r="E2664"/>
  <c r="G2664" s="1"/>
  <c r="E2666"/>
  <c r="E2668"/>
  <c r="E2700"/>
  <c r="E2583"/>
  <c r="E2585"/>
  <c r="E2617"/>
  <c r="G2617" s="1"/>
  <c r="D2631"/>
  <c r="E2582"/>
  <c r="G2582" s="1"/>
  <c r="E2584"/>
  <c r="E2586"/>
  <c r="E2588"/>
  <c r="E2619"/>
  <c r="E2501"/>
  <c r="E2503"/>
  <c r="E2536"/>
  <c r="G2536"/>
  <c r="D2551"/>
  <c r="E2500"/>
  <c r="G2500" s="1"/>
  <c r="E2502"/>
  <c r="E2504"/>
  <c r="G2504" s="1"/>
  <c r="E2506"/>
  <c r="E2538"/>
  <c r="E2454"/>
  <c r="E2337"/>
  <c r="G2337" s="1"/>
  <c r="E2339"/>
  <c r="E2341"/>
  <c r="E2373"/>
  <c r="D2388"/>
  <c r="E2336"/>
  <c r="E2343" s="1"/>
  <c r="E2338"/>
  <c r="E2340"/>
  <c r="E2342"/>
  <c r="E2344"/>
  <c r="E2375"/>
  <c r="E2084"/>
  <c r="G2084" s="1"/>
  <c r="E1517"/>
  <c r="E1519"/>
  <c r="G1519" s="1"/>
  <c r="E1521"/>
  <c r="E1523"/>
  <c r="E1554"/>
  <c r="E1516"/>
  <c r="E1518"/>
  <c r="G1518" s="1"/>
  <c r="E1520"/>
  <c r="E1552"/>
  <c r="D1566"/>
  <c r="E846"/>
  <c r="E848"/>
  <c r="E850"/>
  <c r="E852"/>
  <c r="E887"/>
  <c r="E845"/>
  <c r="E847"/>
  <c r="E849"/>
  <c r="G849" s="1"/>
  <c r="E885"/>
  <c r="G885" s="1"/>
  <c r="D899"/>
  <c r="E761"/>
  <c r="E763"/>
  <c r="G763"/>
  <c r="E765"/>
  <c r="G765"/>
  <c r="E801"/>
  <c r="D816"/>
  <c r="E760"/>
  <c r="E767" s="1"/>
  <c r="E762"/>
  <c r="E764"/>
  <c r="E766"/>
  <c r="E768"/>
  <c r="E803"/>
  <c r="E715"/>
  <c r="E717"/>
  <c r="D2304"/>
  <c r="E2289"/>
  <c r="E2256"/>
  <c r="E2254"/>
  <c r="E2206"/>
  <c r="E2173"/>
  <c r="E2171"/>
  <c r="G2171"/>
  <c r="E2169"/>
  <c r="G2169"/>
  <c r="E2167"/>
  <c r="G2167"/>
  <c r="D2130"/>
  <c r="E2115"/>
  <c r="G2115" s="1"/>
  <c r="E2082"/>
  <c r="E2080"/>
  <c r="G2080" s="1"/>
  <c r="E1308"/>
  <c r="E1273"/>
  <c r="E1271"/>
  <c r="E1269"/>
  <c r="G1269" s="1"/>
  <c r="E1224"/>
  <c r="E1189"/>
  <c r="E1187"/>
  <c r="E1185"/>
  <c r="D1068"/>
  <c r="E1053"/>
  <c r="E1017"/>
  <c r="G1017"/>
  <c r="E1015"/>
  <c r="G1015"/>
  <c r="E971"/>
  <c r="E936"/>
  <c r="E934"/>
  <c r="G934"/>
  <c r="E932"/>
  <c r="E930"/>
  <c r="G930" s="1"/>
  <c r="D730"/>
  <c r="E679"/>
  <c r="E677"/>
  <c r="G677" s="1"/>
  <c r="E675"/>
  <c r="E681" s="1"/>
  <c r="E2587"/>
  <c r="G2587"/>
  <c r="G845"/>
  <c r="E851"/>
  <c r="E1522"/>
  <c r="G1522" s="1"/>
  <c r="E2505"/>
  <c r="E2667"/>
  <c r="H281" i="19"/>
  <c r="I281" s="1"/>
  <c r="H39" i="11"/>
  <c r="E40" s="1"/>
  <c r="E41" s="1"/>
  <c r="E42" s="1"/>
  <c r="H481" i="5"/>
  <c r="F560" s="1"/>
  <c r="G249"/>
  <c r="G242"/>
  <c r="G1409" i="21"/>
  <c r="C217" i="5"/>
  <c r="C218"/>
  <c r="E3498" i="21"/>
  <c r="E3499" s="1"/>
  <c r="E3500" s="1"/>
  <c r="F442" i="14" s="1"/>
  <c r="E7786" i="21"/>
  <c r="G7793"/>
  <c r="E3541"/>
  <c r="E3542" s="1"/>
  <c r="E3543" s="1"/>
  <c r="F445" i="14" s="1"/>
  <c r="D296" i="5"/>
  <c r="G2714" i="25"/>
  <c r="G2728" s="1"/>
  <c r="H1699"/>
  <c r="G1714" s="1"/>
  <c r="H1799"/>
  <c r="G1814" s="1"/>
  <c r="H163"/>
  <c r="G183" s="1"/>
  <c r="H170"/>
  <c r="G184"/>
  <c r="H208"/>
  <c r="G228" s="1"/>
  <c r="H215"/>
  <c r="G229"/>
  <c r="H561"/>
  <c r="G575" s="1"/>
  <c r="H656"/>
  <c r="H864"/>
  <c r="G886" s="1"/>
  <c r="G1614" i="21"/>
  <c r="H878" i="11"/>
  <c r="I6325" i="19"/>
  <c r="I6333" s="1"/>
  <c r="D278" i="5"/>
  <c r="D277"/>
  <c r="D274"/>
  <c r="D273"/>
  <c r="C262"/>
  <c r="C261"/>
  <c r="C259"/>
  <c r="C258"/>
  <c r="C255"/>
  <c r="D254"/>
  <c r="D251"/>
  <c r="D250"/>
  <c r="C238"/>
  <c r="C237"/>
  <c r="C234"/>
  <c r="C233"/>
  <c r="I5775" i="19" l="1"/>
  <c r="F5822"/>
  <c r="E5418" i="21"/>
  <c r="E5419"/>
  <c r="E5453"/>
  <c r="G5453" s="1"/>
  <c r="E5416"/>
  <c r="E5421" s="1"/>
  <c r="E5417"/>
  <c r="D5466"/>
  <c r="E5420"/>
  <c r="F5194"/>
  <c r="G5191"/>
  <c r="G5192" s="1"/>
  <c r="E5205" s="1"/>
  <c r="G2342" i="22"/>
  <c r="E2422"/>
  <c r="D2469"/>
  <c r="E1668"/>
  <c r="G1668" s="1"/>
  <c r="E1667"/>
  <c r="F1511" i="20"/>
  <c r="G1511" s="1"/>
  <c r="F2496"/>
  <c r="G2496" s="1"/>
  <c r="E6859" i="21"/>
  <c r="G6859" s="1"/>
  <c r="E4755"/>
  <c r="E4887"/>
  <c r="G4887" s="1"/>
  <c r="E5595"/>
  <c r="E5600" s="1"/>
  <c r="E5596"/>
  <c r="G2866" i="19"/>
  <c r="F2910" s="1"/>
  <c r="G2865"/>
  <c r="I2865" s="1"/>
  <c r="F2913"/>
  <c r="G3300"/>
  <c r="G3302"/>
  <c r="G5669" i="21"/>
  <c r="D2474" i="23"/>
  <c r="E2461"/>
  <c r="E2427"/>
  <c r="E2505"/>
  <c r="E2510" s="1"/>
  <c r="G2510" s="1"/>
  <c r="E2508"/>
  <c r="E2539"/>
  <c r="G2764" i="19"/>
  <c r="G2793"/>
  <c r="G1695"/>
  <c r="G1691"/>
  <c r="I3650"/>
  <c r="F2140"/>
  <c r="I2660"/>
  <c r="I1591"/>
  <c r="G1053" i="22"/>
  <c r="G851"/>
  <c r="G2012" i="23"/>
  <c r="G1798"/>
  <c r="G1765"/>
  <c r="G895"/>
  <c r="G891"/>
  <c r="G3143" i="11"/>
  <c r="H2787"/>
  <c r="G2801" s="1"/>
  <c r="E928" i="22"/>
  <c r="E935" s="1"/>
  <c r="G935" s="1"/>
  <c r="E931"/>
  <c r="D984"/>
  <c r="I1532" i="19"/>
  <c r="H1553" s="1"/>
  <c r="E2424" i="22"/>
  <c r="E2418"/>
  <c r="E2423" s="1"/>
  <c r="E2419"/>
  <c r="G2419" s="1"/>
  <c r="E1670"/>
  <c r="E1669"/>
  <c r="H1378" i="19"/>
  <c r="I1378" s="1"/>
  <c r="E4621" i="21"/>
  <c r="G4621" s="1"/>
  <c r="E5597"/>
  <c r="E5598"/>
  <c r="G5598" s="1"/>
  <c r="G2897" i="19"/>
  <c r="G2895"/>
  <c r="G2864"/>
  <c r="G3306"/>
  <c r="G3303"/>
  <c r="G3333"/>
  <c r="E2426" i="23"/>
  <c r="E2429"/>
  <c r="G2429" s="1"/>
  <c r="E2507"/>
  <c r="G2763" i="19"/>
  <c r="I2763" s="1"/>
  <c r="G2762"/>
  <c r="F2806" s="1"/>
  <c r="H3038"/>
  <c r="G1736"/>
  <c r="G1690"/>
  <c r="I1690" s="1"/>
  <c r="G3594" i="22"/>
  <c r="G2031"/>
  <c r="G1995"/>
  <c r="G1831"/>
  <c r="G1777"/>
  <c r="G2268" i="23"/>
  <c r="G2264"/>
  <c r="G2185"/>
  <c r="G2181"/>
  <c r="G1137"/>
  <c r="G810"/>
  <c r="E7122" i="21"/>
  <c r="E7126" s="1"/>
  <c r="E7125"/>
  <c r="E1013" i="22"/>
  <c r="E1055"/>
  <c r="I3070" i="19"/>
  <c r="G5419" i="21"/>
  <c r="G2421" i="22"/>
  <c r="G2428" i="23"/>
  <c r="E2456" i="22"/>
  <c r="E2420"/>
  <c r="G2420" s="1"/>
  <c r="E1699"/>
  <c r="F1467" i="21"/>
  <c r="G1467" s="1"/>
  <c r="F556" i="20"/>
  <c r="G556" s="1"/>
  <c r="H1100" i="19"/>
  <c r="I1100" s="1"/>
  <c r="G2868"/>
  <c r="F1755"/>
  <c r="G3301"/>
  <c r="I3301" s="1"/>
  <c r="G3331"/>
  <c r="I3331" s="1"/>
  <c r="E2738" i="21"/>
  <c r="E2511" i="23"/>
  <c r="D2554"/>
  <c r="G2761" i="19"/>
  <c r="I2761" s="1"/>
  <c r="G2760"/>
  <c r="G1696"/>
  <c r="G1689"/>
  <c r="G1693"/>
  <c r="I1693" s="1"/>
  <c r="I5772"/>
  <c r="I1840"/>
  <c r="I1836"/>
  <c r="G2359" i="20"/>
  <c r="G5632" i="21"/>
  <c r="G5596"/>
  <c r="G932" i="22"/>
  <c r="G764"/>
  <c r="G2093" i="23"/>
  <c r="G1092"/>
  <c r="E2816" i="10"/>
  <c r="G1589" i="24"/>
  <c r="G1140"/>
  <c r="F329" i="5"/>
  <c r="G329" s="1"/>
  <c r="H329" s="1"/>
  <c r="E508" s="1"/>
  <c r="F317"/>
  <c r="G317" s="1"/>
  <c r="H317" s="1"/>
  <c r="E496" s="1"/>
  <c r="I6004" i="19"/>
  <c r="I6002"/>
  <c r="I5951"/>
  <c r="I5868"/>
  <c r="I5866"/>
  <c r="I4044"/>
  <c r="I4040"/>
  <c r="I3960"/>
  <c r="I3874"/>
  <c r="I3879" s="1"/>
  <c r="I3914" s="1"/>
  <c r="I3302"/>
  <c r="I3205"/>
  <c r="I3203"/>
  <c r="I2866"/>
  <c r="I2762"/>
  <c r="I2758"/>
  <c r="I2661"/>
  <c r="I2657"/>
  <c r="I2553"/>
  <c r="I2549"/>
  <c r="I2440"/>
  <c r="I2198"/>
  <c r="I2081"/>
  <c r="I1958"/>
  <c r="I1837"/>
  <c r="I1833"/>
  <c r="I1695"/>
  <c r="I1691"/>
  <c r="I1369"/>
  <c r="G1491" i="20"/>
  <c r="G8406" i="21"/>
  <c r="G8231"/>
  <c r="G8028"/>
  <c r="G8030" s="1"/>
  <c r="E8031" s="1"/>
  <c r="E8032" s="1"/>
  <c r="E8033" s="1"/>
  <c r="F647" i="14" s="1"/>
  <c r="G7913" i="21"/>
  <c r="G7820"/>
  <c r="G7779"/>
  <c r="G7792" s="1"/>
  <c r="G7794" s="1"/>
  <c r="G7795" s="1"/>
  <c r="G7796" s="1"/>
  <c r="G7797" s="1"/>
  <c r="G7603"/>
  <c r="G7306"/>
  <c r="G7304"/>
  <c r="G7122"/>
  <c r="G7039"/>
  <c r="G7035"/>
  <c r="G6947"/>
  <c r="G6860"/>
  <c r="G6851"/>
  <c r="F6863" s="1"/>
  <c r="G6863" s="1"/>
  <c r="G6804"/>
  <c r="G6761"/>
  <c r="G6769" s="1"/>
  <c r="G6484"/>
  <c r="G6504" s="1"/>
  <c r="G6372"/>
  <c r="G6374" s="1"/>
  <c r="G6398" s="1"/>
  <c r="G6220"/>
  <c r="G6084"/>
  <c r="E6085" s="1"/>
  <c r="G5826"/>
  <c r="G5829" s="1"/>
  <c r="G5831" s="1"/>
  <c r="G5832" s="1"/>
  <c r="G5714"/>
  <c r="G5717"/>
  <c r="G5597"/>
  <c r="G5543"/>
  <c r="G5507"/>
  <c r="G5416"/>
  <c r="G5318"/>
  <c r="G5314"/>
  <c r="G4626"/>
  <c r="G4028"/>
  <c r="G3979"/>
  <c r="G3917"/>
  <c r="G3920" s="1"/>
  <c r="G3940" s="1"/>
  <c r="G3707"/>
  <c r="G164"/>
  <c r="G185" s="1"/>
  <c r="G108"/>
  <c r="G132" s="1"/>
  <c r="G4329" i="22"/>
  <c r="G4344" s="1"/>
  <c r="G4125"/>
  <c r="G4140" s="1"/>
  <c r="G3916"/>
  <c r="G3931" s="1"/>
  <c r="G3708"/>
  <c r="G3723" s="1"/>
  <c r="G3462"/>
  <c r="G3478" s="1"/>
  <c r="G3362"/>
  <c r="G3377" s="1"/>
  <c r="G3311"/>
  <c r="G3326" s="1"/>
  <c r="G3213"/>
  <c r="G3228" s="1"/>
  <c r="G2792"/>
  <c r="G2806" s="1"/>
  <c r="G2662"/>
  <c r="G2502"/>
  <c r="G2454"/>
  <c r="G2422"/>
  <c r="G2418"/>
  <c r="G2373"/>
  <c r="G2256"/>
  <c r="G1996"/>
  <c r="G1914"/>
  <c r="G1828"/>
  <c r="G1743"/>
  <c r="G1666"/>
  <c r="G1596"/>
  <c r="G1521"/>
  <c r="G1517"/>
  <c r="G1098"/>
  <c r="G848"/>
  <c r="G761"/>
  <c r="G675"/>
  <c r="G4179" i="23"/>
  <c r="G4200" s="1"/>
  <c r="G4203" s="1"/>
  <c r="G4204" s="1"/>
  <c r="G4205" s="1"/>
  <c r="G4206" s="1"/>
  <c r="E883" i="14" s="1"/>
  <c r="G4139" i="23"/>
  <c r="G4154" s="1"/>
  <c r="G2587"/>
  <c r="G2509"/>
  <c r="G2505"/>
  <c r="G2459"/>
  <c r="G2425"/>
  <c r="G2346"/>
  <c r="G2182"/>
  <c r="G2128"/>
  <c r="G2017"/>
  <c r="G2013"/>
  <c r="G1929"/>
  <c r="G1766"/>
  <c r="G1625"/>
  <c r="G1623"/>
  <c r="G1621"/>
  <c r="G1549"/>
  <c r="G1471"/>
  <c r="G1469"/>
  <c r="G1421"/>
  <c r="G1220"/>
  <c r="G1175"/>
  <c r="G1060"/>
  <c r="G1056"/>
  <c r="G807"/>
  <c r="G728"/>
  <c r="G724"/>
  <c r="G3314" i="10"/>
  <c r="G3241"/>
  <c r="G3171"/>
  <c r="G3099"/>
  <c r="G2915"/>
  <c r="G2918" s="1"/>
  <c r="G2935" s="1"/>
  <c r="G2860"/>
  <c r="G1835"/>
  <c r="G1829"/>
  <c r="G1652"/>
  <c r="G665"/>
  <c r="H2511" i="11"/>
  <c r="G2525" s="1"/>
  <c r="H2365"/>
  <c r="G2379" s="1"/>
  <c r="H2176"/>
  <c r="G2213" s="1"/>
  <c r="H1836"/>
  <c r="G1856" s="1"/>
  <c r="H1801"/>
  <c r="G1815" s="1"/>
  <c r="H815"/>
  <c r="G837" s="1"/>
  <c r="H257"/>
  <c r="G271" s="1"/>
  <c r="G1882" i="24"/>
  <c r="G1277"/>
  <c r="G931"/>
  <c r="G475"/>
  <c r="G2806"/>
  <c r="G2626" i="11"/>
  <c r="H640" i="25"/>
  <c r="G662" s="1"/>
  <c r="G2721"/>
  <c r="G2729" s="1"/>
  <c r="G2730" s="1"/>
  <c r="G2731" s="1"/>
  <c r="G2732" s="1"/>
  <c r="G2733" s="1"/>
  <c r="I3876" i="19"/>
  <c r="G3482" i="21"/>
  <c r="G8115"/>
  <c r="G8117" s="1"/>
  <c r="G8138" s="1"/>
  <c r="H474" i="5"/>
  <c r="F552" s="1"/>
  <c r="F219" i="20" s="1"/>
  <c r="G219" s="1"/>
  <c r="H444" i="5"/>
  <c r="F522" s="1"/>
  <c r="I4172" i="19"/>
  <c r="G4173" s="1"/>
  <c r="I3303"/>
  <c r="I2550"/>
  <c r="I2203"/>
  <c r="I2199"/>
  <c r="I2078"/>
  <c r="I1951"/>
  <c r="I1838"/>
  <c r="I1834"/>
  <c r="I1692"/>
  <c r="I1688"/>
  <c r="I1492"/>
  <c r="I1437"/>
  <c r="I980"/>
  <c r="I1005" s="1"/>
  <c r="G2361" i="20"/>
  <c r="G2324"/>
  <c r="G2325" s="1"/>
  <c r="G2326" s="1"/>
  <c r="G2188"/>
  <c r="G1819"/>
  <c r="G1840" s="1"/>
  <c r="G1174"/>
  <c r="G1179" s="1"/>
  <c r="G1210" s="1"/>
  <c r="G7391" i="21"/>
  <c r="G7307"/>
  <c r="G7125"/>
  <c r="G5711"/>
  <c r="G5417"/>
  <c r="G4760"/>
  <c r="G4029"/>
  <c r="G4030" s="1"/>
  <c r="G4050" s="1"/>
  <c r="G3692"/>
  <c r="G4337" i="22"/>
  <c r="G4345" s="1"/>
  <c r="G3924"/>
  <c r="G3653"/>
  <c r="G3671" s="1"/>
  <c r="G3512"/>
  <c r="G3528" s="1"/>
  <c r="G3166"/>
  <c r="G3181" s="1"/>
  <c r="G2667"/>
  <c r="G2503"/>
  <c r="G2340"/>
  <c r="G2289"/>
  <c r="G2203"/>
  <c r="G1997"/>
  <c r="G1829"/>
  <c r="G1744"/>
  <c r="G801"/>
  <c r="G766"/>
  <c r="G762"/>
  <c r="G715"/>
  <c r="G2430" i="23"/>
  <c r="G2426"/>
  <c r="G2266"/>
  <c r="G2179"/>
  <c r="G2018"/>
  <c r="G1846"/>
  <c r="G1696"/>
  <c r="G1579"/>
  <c r="G1225"/>
  <c r="G893"/>
  <c r="G812"/>
  <c r="G808"/>
  <c r="E2917" i="10"/>
  <c r="G2917" s="1"/>
  <c r="G1309"/>
  <c r="G241"/>
  <c r="H2299" i="11"/>
  <c r="G2336" s="1"/>
  <c r="G1594" i="24"/>
  <c r="G2762" i="25"/>
  <c r="G2763" s="1"/>
  <c r="G2925"/>
  <c r="G4128" i="21"/>
  <c r="G7471"/>
  <c r="G7818"/>
  <c r="H442" i="5"/>
  <c r="F520" s="1"/>
  <c r="H440"/>
  <c r="F518" s="1"/>
  <c r="H4613" i="19" s="1"/>
  <c r="I4613" s="1"/>
  <c r="I5867"/>
  <c r="I3421"/>
  <c r="I3450" s="1"/>
  <c r="I3304"/>
  <c r="I3300"/>
  <c r="I3204"/>
  <c r="I3202"/>
  <c r="I2760"/>
  <c r="I2659"/>
  <c r="I2551"/>
  <c r="I2547"/>
  <c r="I2321"/>
  <c r="I2079"/>
  <c r="I1530"/>
  <c r="I1436"/>
  <c r="I1368"/>
  <c r="G2362" i="20"/>
  <c r="G2153"/>
  <c r="G2154" s="1"/>
  <c r="G8476" i="21"/>
  <c r="G8407"/>
  <c r="G8232"/>
  <c r="G8029"/>
  <c r="G7880"/>
  <c r="G7470"/>
  <c r="F7221"/>
  <c r="G7221" s="1"/>
  <c r="G7126"/>
  <c r="G7123"/>
  <c r="G7036"/>
  <c r="G6926"/>
  <c r="E6949" s="1"/>
  <c r="G6949" s="1"/>
  <c r="G6858"/>
  <c r="G6705"/>
  <c r="G6725" s="1"/>
  <c r="G6160"/>
  <c r="G6182" s="1"/>
  <c r="G5986"/>
  <c r="G6006" s="1"/>
  <c r="G5712"/>
  <c r="G5599"/>
  <c r="G5509"/>
  <c r="G5316"/>
  <c r="G5312"/>
  <c r="G4627"/>
  <c r="G4129"/>
  <c r="G3919"/>
  <c r="G3846"/>
  <c r="G3690"/>
  <c r="G3693" s="1"/>
  <c r="G3713" s="1"/>
  <c r="G4383" i="22"/>
  <c r="G4397" s="1"/>
  <c r="G4265"/>
  <c r="G4287" s="1"/>
  <c r="G4021"/>
  <c r="G4036" s="1"/>
  <c r="G3562"/>
  <c r="G3521"/>
  <c r="G3471"/>
  <c r="E3472" s="1"/>
  <c r="E3473" s="1"/>
  <c r="E3474" s="1"/>
  <c r="G3405"/>
  <c r="G3427" s="1"/>
  <c r="G2254"/>
  <c r="G1912"/>
  <c r="G1826"/>
  <c r="G1745"/>
  <c r="G1597"/>
  <c r="G1595"/>
  <c r="G1104"/>
  <c r="G928"/>
  <c r="G850"/>
  <c r="G846"/>
  <c r="G3539" i="23"/>
  <c r="G3435"/>
  <c r="G3457" s="1"/>
  <c r="G3096"/>
  <c r="G3097" s="1"/>
  <c r="G3098" s="1"/>
  <c r="G3119" s="1"/>
  <c r="G2663"/>
  <c r="G2427"/>
  <c r="G2348"/>
  <c r="G2263"/>
  <c r="G2184"/>
  <c r="G2096"/>
  <c r="G1768"/>
  <c r="G1547"/>
  <c r="G1302"/>
  <c r="G1140"/>
  <c r="G1058"/>
  <c r="G1010"/>
  <c r="G890"/>
  <c r="G846"/>
  <c r="G726"/>
  <c r="G2389" i="10"/>
  <c r="G1626"/>
  <c r="G1660" s="1"/>
  <c r="G816"/>
  <c r="G813"/>
  <c r="G785"/>
  <c r="G824" s="1"/>
  <c r="G3107" i="11"/>
  <c r="G3112" s="1"/>
  <c r="G3113" s="1"/>
  <c r="G3114" s="1"/>
  <c r="G3115" s="1"/>
  <c r="G3116" s="1"/>
  <c r="H2420"/>
  <c r="E2421" s="1"/>
  <c r="E2422" s="1"/>
  <c r="E2423" s="1"/>
  <c r="H1935"/>
  <c r="G1972" s="1"/>
  <c r="H1843"/>
  <c r="G1857" s="1"/>
  <c r="H1808"/>
  <c r="H1705"/>
  <c r="G1727" s="1"/>
  <c r="H1651"/>
  <c r="G1672" s="1"/>
  <c r="H1434"/>
  <c r="G1450" s="1"/>
  <c r="H1326"/>
  <c r="E1327" s="1"/>
  <c r="E1328" s="1"/>
  <c r="E1329" s="1"/>
  <c r="H1311"/>
  <c r="G1332" s="1"/>
  <c r="H779"/>
  <c r="G787" s="1"/>
  <c r="G788" s="1"/>
  <c r="G789" s="1"/>
  <c r="G790" s="1"/>
  <c r="G791" s="1"/>
  <c r="H737"/>
  <c r="G745" s="1"/>
  <c r="G746" s="1"/>
  <c r="G747" s="1"/>
  <c r="G748" s="1"/>
  <c r="G749" s="1"/>
  <c r="H693"/>
  <c r="H591"/>
  <c r="G613" s="1"/>
  <c r="H519"/>
  <c r="E520" s="1"/>
  <c r="E521" s="1"/>
  <c r="E522" s="1"/>
  <c r="H505"/>
  <c r="G525" s="1"/>
  <c r="H433"/>
  <c r="H419"/>
  <c r="G439" s="1"/>
  <c r="H250"/>
  <c r="G270" s="1"/>
  <c r="H218"/>
  <c r="H67"/>
  <c r="G89" s="1"/>
  <c r="G2750" i="24"/>
  <c r="G1883"/>
  <c r="G2871"/>
  <c r="G2937"/>
  <c r="G2942" s="1"/>
  <c r="G2964" s="1"/>
  <c r="H511" i="25"/>
  <c r="G531" s="1"/>
  <c r="I3718" i="19"/>
  <c r="I4042"/>
  <c r="G4077" i="21"/>
  <c r="G8230"/>
  <c r="G8233" s="1"/>
  <c r="G8254" s="1"/>
  <c r="G8257" s="1"/>
  <c r="G8258" s="1"/>
  <c r="G8259" s="1"/>
  <c r="G8260" s="1"/>
  <c r="E658" i="14" s="1"/>
  <c r="F330" i="20"/>
  <c r="F331" s="1"/>
  <c r="F333" s="1"/>
  <c r="F334" s="1"/>
  <c r="F335" s="1"/>
  <c r="F337" s="1"/>
  <c r="F368" s="1"/>
  <c r="G368" s="1"/>
  <c r="G5952" i="19"/>
  <c r="G5953" s="1"/>
  <c r="G5954" s="1"/>
  <c r="F220" i="14" s="1"/>
  <c r="I5959" i="19"/>
  <c r="G281" i="5"/>
  <c r="G2665" i="22"/>
  <c r="G1669"/>
  <c r="G725" i="23"/>
  <c r="G4891" i="21"/>
  <c r="G1303" i="23"/>
  <c r="F337" i="5"/>
  <c r="G337" s="1"/>
  <c r="H337" s="1"/>
  <c r="E516" s="1"/>
  <c r="E33" i="18" s="1"/>
  <c r="G267" i="5"/>
  <c r="G272"/>
  <c r="G218"/>
  <c r="G729" i="23"/>
  <c r="G2097"/>
  <c r="G813"/>
  <c r="G4759" i="21"/>
  <c r="G1307" i="23"/>
  <c r="G7217" i="21"/>
  <c r="G7929"/>
  <c r="G1138" i="23"/>
  <c r="F315" i="5"/>
  <c r="G315" s="1"/>
  <c r="G295"/>
  <c r="H479"/>
  <c r="F557" s="1"/>
  <c r="F74" i="18" s="1"/>
  <c r="I3489" i="19"/>
  <c r="I3497" s="1"/>
  <c r="F2123" i="20"/>
  <c r="F2124" s="1"/>
  <c r="F2127" s="1"/>
  <c r="F2128" s="1"/>
  <c r="F2129" s="1"/>
  <c r="F2131" s="1"/>
  <c r="G4391" i="22"/>
  <c r="G603"/>
  <c r="G604" s="1"/>
  <c r="G607" s="1"/>
  <c r="G608" s="1"/>
  <c r="G609" s="1"/>
  <c r="G611" s="1"/>
  <c r="G274" i="5"/>
  <c r="G5117" i="21"/>
  <c r="G1548" i="23"/>
  <c r="H435" i="5"/>
  <c r="F513" s="1"/>
  <c r="G1271" i="11" s="1"/>
  <c r="H1271" s="1"/>
  <c r="I3538" i="19"/>
  <c r="I3546" s="1"/>
  <c r="G566" i="22"/>
  <c r="F346" i="5"/>
  <c r="G346" s="1"/>
  <c r="H346" s="1"/>
  <c r="E525" s="1"/>
  <c r="G5307" i="21"/>
  <c r="F5319" s="1"/>
  <c r="G5319" s="1"/>
  <c r="G5320" s="1"/>
  <c r="G5365" s="1"/>
  <c r="G2428" i="11"/>
  <c r="E3456" i="21"/>
  <c r="E3457" s="1"/>
  <c r="E3458" s="1"/>
  <c r="F439" i="14" s="1"/>
  <c r="G235" i="5"/>
  <c r="G240"/>
  <c r="G2505" i="22"/>
  <c r="G1699"/>
  <c r="G1832"/>
  <c r="G138" i="11"/>
  <c r="G139" s="1"/>
  <c r="G140" s="1"/>
  <c r="G730" i="23"/>
  <c r="G894"/>
  <c r="I2471" i="19"/>
  <c r="G2265" i="23"/>
  <c r="I2441" i="19"/>
  <c r="I2584"/>
  <c r="H723" i="15"/>
  <c r="H724" s="1"/>
  <c r="I4415" i="19"/>
  <c r="I4438" s="1"/>
  <c r="G7915" i="21"/>
  <c r="G7937" s="1"/>
  <c r="G7378"/>
  <c r="G7379" s="1"/>
  <c r="G7380" s="1"/>
  <c r="G7381" s="1"/>
  <c r="G6000"/>
  <c r="G2357" i="10"/>
  <c r="G2397" s="1"/>
  <c r="G3014" i="11"/>
  <c r="G3022" s="1"/>
  <c r="G3023" s="1"/>
  <c r="G3024" s="1"/>
  <c r="G3025" s="1"/>
  <c r="G3026" s="1"/>
  <c r="G2388" i="24"/>
  <c r="G2421" s="1"/>
  <c r="F836" i="21"/>
  <c r="G836" s="1"/>
  <c r="G6812"/>
  <c r="E6805"/>
  <c r="E6806" s="1"/>
  <c r="E6807" s="1"/>
  <c r="F592" i="14" s="1"/>
  <c r="E4185" i="22"/>
  <c r="G4192"/>
  <c r="G3529"/>
  <c r="E3522"/>
  <c r="E3523" s="1"/>
  <c r="E3524" s="1"/>
  <c r="G441" i="11"/>
  <c r="E434"/>
  <c r="E435" s="1"/>
  <c r="E436" s="1"/>
  <c r="G794" i="25"/>
  <c r="G795" s="1"/>
  <c r="G796" s="1"/>
  <c r="G797" s="1"/>
  <c r="G798" s="1"/>
  <c r="E1039" i="14" s="1"/>
  <c r="E787" i="25"/>
  <c r="E788" s="1"/>
  <c r="E789" s="1"/>
  <c r="F1040" i="14" s="1"/>
  <c r="H2772" i="19"/>
  <c r="I2772" s="1"/>
  <c r="H3807"/>
  <c r="I3807" s="1"/>
  <c r="H3080"/>
  <c r="I3080" s="1"/>
  <c r="H2563"/>
  <c r="I2563" s="1"/>
  <c r="H3657"/>
  <c r="I3657" s="1"/>
  <c r="G3490"/>
  <c r="F2132" i="20"/>
  <c r="F2133"/>
  <c r="G8286" i="21"/>
  <c r="G8307" s="1"/>
  <c r="G4882"/>
  <c r="F4893" s="1"/>
  <c r="G4893" s="1"/>
  <c r="G125" i="22"/>
  <c r="G4346" i="23"/>
  <c r="E4347" s="1"/>
  <c r="E4348" s="1"/>
  <c r="E4349" s="1"/>
  <c r="F893" i="14" s="1"/>
  <c r="G4295" i="23"/>
  <c r="G4303" s="1"/>
  <c r="H1443" i="11"/>
  <c r="G1451" s="1"/>
  <c r="G2016" i="24"/>
  <c r="G2050" s="1"/>
  <c r="H759" i="19"/>
  <c r="I759" s="1"/>
  <c r="G6326"/>
  <c r="G6327" s="1"/>
  <c r="G6328" s="1"/>
  <c r="F238" i="14" s="1"/>
  <c r="F314" i="5"/>
  <c r="G314" s="1"/>
  <c r="H314" s="1"/>
  <c r="E493" s="1"/>
  <c r="E10" i="18" s="1"/>
  <c r="F366" i="5"/>
  <c r="G366" s="1"/>
  <c r="H366" s="1"/>
  <c r="E545" s="1"/>
  <c r="F2506" i="20"/>
  <c r="G2506" s="1"/>
  <c r="H2463" i="19"/>
  <c r="I2463" s="1"/>
  <c r="F942" i="20"/>
  <c r="G942" s="1"/>
  <c r="H78" i="15"/>
  <c r="F1630" i="20"/>
  <c r="G1630" s="1"/>
  <c r="G2000" i="22"/>
  <c r="G896" i="23"/>
  <c r="G1769"/>
  <c r="G2360" i="20"/>
  <c r="G1222" i="23"/>
  <c r="G1306"/>
  <c r="G1339"/>
  <c r="G1930"/>
  <c r="G2014"/>
  <c r="G2667"/>
  <c r="G1141"/>
  <c r="G2618"/>
  <c r="H1176" i="11"/>
  <c r="H1177" s="1"/>
  <c r="H1178" s="1"/>
  <c r="G1188" s="1"/>
  <c r="H1188" s="1"/>
  <c r="H1189" s="1"/>
  <c r="G1213" s="1"/>
  <c r="H451" i="5"/>
  <c r="F529" s="1"/>
  <c r="F318"/>
  <c r="G318" s="1"/>
  <c r="H318" s="1"/>
  <c r="E497" s="1"/>
  <c r="H477"/>
  <c r="F555" s="1"/>
  <c r="F3059" i="22" s="1"/>
  <c r="G3059" s="1"/>
  <c r="I6524" i="19"/>
  <c r="I6545" s="1"/>
  <c r="G5916" i="21"/>
  <c r="G4544"/>
  <c r="G3996"/>
  <c r="G4004" s="1"/>
  <c r="G3934"/>
  <c r="G3942" s="1"/>
  <c r="E3805"/>
  <c r="E3806" s="1"/>
  <c r="F460" i="14" s="1"/>
  <c r="G3792" i="21"/>
  <c r="G3809" s="1"/>
  <c r="G42" i="22"/>
  <c r="E43" s="1"/>
  <c r="E44" s="1"/>
  <c r="E45" s="1"/>
  <c r="G4194" i="23"/>
  <c r="G4202" s="1"/>
  <c r="G3483"/>
  <c r="G3505" s="1"/>
  <c r="G3354"/>
  <c r="G3287"/>
  <c r="G3288" s="1"/>
  <c r="G3289" s="1"/>
  <c r="G3310" s="1"/>
  <c r="F2750"/>
  <c r="F2727"/>
  <c r="G1125" i="10"/>
  <c r="G1165" s="1"/>
  <c r="G3194" i="11"/>
  <c r="G3199" s="1"/>
  <c r="G3200" s="1"/>
  <c r="G3078"/>
  <c r="G3083" s="1"/>
  <c r="G3084" s="1"/>
  <c r="G3085" s="1"/>
  <c r="G3086" s="1"/>
  <c r="G3087" s="1"/>
  <c r="G3049"/>
  <c r="G3054" s="1"/>
  <c r="G3055" s="1"/>
  <c r="G3056" s="1"/>
  <c r="H2744"/>
  <c r="E2745" s="1"/>
  <c r="E2746" s="1"/>
  <c r="E2747" s="1"/>
  <c r="H2728"/>
  <c r="H2729" s="1"/>
  <c r="H2730" s="1"/>
  <c r="G2750" s="1"/>
  <c r="H264"/>
  <c r="G272" s="1"/>
  <c r="G273" s="1"/>
  <c r="G274" s="1"/>
  <c r="G275" s="1"/>
  <c r="G276" s="1"/>
  <c r="H83"/>
  <c r="G2814" i="25"/>
  <c r="G2819" s="1"/>
  <c r="G2820" s="1"/>
  <c r="G2821" s="1"/>
  <c r="G2822" s="1"/>
  <c r="G2823" s="1"/>
  <c r="E1156" i="14" s="1"/>
  <c r="G7110" i="21"/>
  <c r="G7111" s="1"/>
  <c r="G7112" s="1"/>
  <c r="G7113" s="1"/>
  <c r="G7114" s="1"/>
  <c r="G7116" s="1"/>
  <c r="F7127" s="1"/>
  <c r="G7127" s="1"/>
  <c r="G7128" s="1"/>
  <c r="G7162" s="1"/>
  <c r="G4133" i="22"/>
  <c r="G4141" s="1"/>
  <c r="G1800" i="10"/>
  <c r="G1843" s="1"/>
  <c r="F202" i="20"/>
  <c r="G202" s="1"/>
  <c r="F339" i="5"/>
  <c r="G339" s="1"/>
  <c r="H339" s="1"/>
  <c r="E518" s="1"/>
  <c r="H988" i="19" s="1"/>
  <c r="I988" s="1"/>
  <c r="H3977"/>
  <c r="I3977" s="1"/>
  <c r="G1099" i="22"/>
  <c r="G1670"/>
  <c r="E6762" i="21"/>
  <c r="E6763" s="1"/>
  <c r="E6764" s="1"/>
  <c r="F589" i="14" s="1"/>
  <c r="G3542" i="23"/>
  <c r="G762"/>
  <c r="G892"/>
  <c r="I2895" i="19"/>
  <c r="G7393" i="21"/>
  <c r="G1695" i="23"/>
  <c r="G1934"/>
  <c r="G2507"/>
  <c r="I1954" i="19"/>
  <c r="I2077"/>
  <c r="H418" i="5"/>
  <c r="F496" s="1"/>
  <c r="F13" i="18" s="1"/>
  <c r="F313" i="5"/>
  <c r="G313" s="1"/>
  <c r="H313" s="1"/>
  <c r="E492" s="1"/>
  <c r="F5724" i="21" s="1"/>
  <c r="G5724" s="1"/>
  <c r="H450" i="5"/>
  <c r="F528" s="1"/>
  <c r="F1296" i="20" s="1"/>
  <c r="G1296" s="1"/>
  <c r="H449" i="5"/>
  <c r="F527" s="1"/>
  <c r="F2578" i="20" s="1"/>
  <c r="G2578" s="1"/>
  <c r="H447" i="5"/>
  <c r="F525" s="1"/>
  <c r="H446" i="19" s="1"/>
  <c r="I446" s="1"/>
  <c r="H436" i="5"/>
  <c r="F514" s="1"/>
  <c r="F31" i="18" s="1"/>
  <c r="H434" i="5"/>
  <c r="F512" s="1"/>
  <c r="H425"/>
  <c r="F503" s="1"/>
  <c r="F1749" i="20" s="1"/>
  <c r="G1749" s="1"/>
  <c r="G1761" s="1"/>
  <c r="G1762" s="1"/>
  <c r="G1787" s="1"/>
  <c r="H420" i="5"/>
  <c r="F498" s="1"/>
  <c r="F394" i="20" s="1"/>
  <c r="G394" s="1"/>
  <c r="I4472" i="19"/>
  <c r="I4488" s="1"/>
  <c r="I4422"/>
  <c r="I4439" s="1"/>
  <c r="I4123"/>
  <c r="G4124" s="1"/>
  <c r="G4125" s="1"/>
  <c r="G4126" s="1"/>
  <c r="F151" i="14" s="1"/>
  <c r="I1505" i="19"/>
  <c r="I1441"/>
  <c r="I1465" s="1"/>
  <c r="I1193"/>
  <c r="I1217" s="1"/>
  <c r="G8536" i="21"/>
  <c r="G8557" s="1"/>
  <c r="G8356"/>
  <c r="E8357" s="1"/>
  <c r="E8358" s="1"/>
  <c r="E8359" s="1"/>
  <c r="F665" i="14" s="1"/>
  <c r="G8248" i="21"/>
  <c r="G8256" s="1"/>
  <c r="G6934"/>
  <c r="G6935" s="1"/>
  <c r="G6936" s="1"/>
  <c r="G6937" s="1"/>
  <c r="G6938" s="1"/>
  <c r="G6940" s="1"/>
  <c r="F6952" s="1"/>
  <c r="G6952" s="1"/>
  <c r="G6548"/>
  <c r="G6549" s="1"/>
  <c r="G6550" s="1"/>
  <c r="G6551" s="1"/>
  <c r="G6599" s="1"/>
  <c r="G6206"/>
  <c r="G6226" s="1"/>
  <c r="G6070"/>
  <c r="G6090" s="1"/>
  <c r="G5958"/>
  <c r="E5959" s="1"/>
  <c r="G5902"/>
  <c r="G5922" s="1"/>
  <c r="G4169" i="22"/>
  <c r="G4190" s="1"/>
  <c r="G3250"/>
  <c r="G3251" s="1"/>
  <c r="G3253" s="1"/>
  <c r="G3274" s="1"/>
  <c r="G494"/>
  <c r="G3740" i="23"/>
  <c r="G3689"/>
  <c r="E3690" s="1"/>
  <c r="E3691" s="1"/>
  <c r="E3692" s="1"/>
  <c r="F852" i="14" s="1"/>
  <c r="G543" i="23"/>
  <c r="G551" s="1"/>
  <c r="G3041" i="10"/>
  <c r="G3049" s="1"/>
  <c r="H607" i="11"/>
  <c r="E608" s="1"/>
  <c r="E609" s="1"/>
  <c r="E610" s="1"/>
  <c r="H173"/>
  <c r="G181" s="1"/>
  <c r="G182" s="1"/>
  <c r="G183" s="1"/>
  <c r="G184" s="1"/>
  <c r="G185" s="1"/>
  <c r="G631" i="24"/>
  <c r="G681" s="1"/>
  <c r="G22" i="28"/>
  <c r="E27" s="1"/>
  <c r="E28" s="1"/>
  <c r="E29" s="1"/>
  <c r="G1742" i="22"/>
  <c r="G971" i="23"/>
  <c r="I4158" i="19"/>
  <c r="I4178" s="1"/>
  <c r="H1427" i="11"/>
  <c r="G1449" s="1"/>
  <c r="G2583" i="22"/>
  <c r="G3725" i="23"/>
  <c r="G3746" s="1"/>
  <c r="G3674"/>
  <c r="G3695" s="1"/>
  <c r="F574" i="20"/>
  <c r="G574" s="1"/>
  <c r="F216"/>
  <c r="G216" s="1"/>
  <c r="F29" i="18"/>
  <c r="F1047" i="20"/>
  <c r="G1047" s="1"/>
  <c r="F744"/>
  <c r="G744" s="1"/>
  <c r="F940"/>
  <c r="G940" s="1"/>
  <c r="E3935" i="21"/>
  <c r="E3936" s="1"/>
  <c r="E3937" s="1"/>
  <c r="F466" i="14" s="1"/>
  <c r="G574" i="22"/>
  <c r="E567"/>
  <c r="E568" s="1"/>
  <c r="E569" s="1"/>
  <c r="H111" i="26"/>
  <c r="H79" i="15"/>
  <c r="H76" i="13"/>
  <c r="H120" i="26"/>
  <c r="G2703" i="10"/>
  <c r="G2741" s="1"/>
  <c r="E45" i="26"/>
  <c r="E46" i="13"/>
  <c r="F381" i="5"/>
  <c r="F316"/>
  <c r="G316" s="1"/>
  <c r="H316" s="1"/>
  <c r="E495" s="1"/>
  <c r="H2337" i="19" s="1"/>
  <c r="I2337" s="1"/>
  <c r="F321" i="5"/>
  <c r="G321" s="1"/>
  <c r="H321" s="1"/>
  <c r="E500" s="1"/>
  <c r="E17" i="18" s="1"/>
  <c r="F323" i="5"/>
  <c r="G323" s="1"/>
  <c r="H323" s="1"/>
  <c r="E502" s="1"/>
  <c r="F377"/>
  <c r="G4280" i="23"/>
  <c r="G4301" s="1"/>
  <c r="H3727" i="19"/>
  <c r="I3727" s="1"/>
  <c r="G243" i="5"/>
  <c r="G250"/>
  <c r="G252"/>
  <c r="G261"/>
  <c r="G287"/>
  <c r="H315"/>
  <c r="E494" s="1"/>
  <c r="F417" i="23" s="1"/>
  <c r="G417" s="1"/>
  <c r="F346" i="20"/>
  <c r="F347" s="1"/>
  <c r="F348" s="1"/>
  <c r="F349" s="1"/>
  <c r="F350" s="1"/>
  <c r="F351" s="1"/>
  <c r="G4147" i="23"/>
  <c r="G3208"/>
  <c r="H431" i="19"/>
  <c r="I431" s="1"/>
  <c r="H203"/>
  <c r="I203" s="1"/>
  <c r="G3479" i="22"/>
  <c r="F319" i="5"/>
  <c r="G319" s="1"/>
  <c r="H319" s="1"/>
  <c r="E498" s="1"/>
  <c r="F918" i="20" s="1"/>
  <c r="G918" s="1"/>
  <c r="F341" i="5"/>
  <c r="G341" s="1"/>
  <c r="H341" s="1"/>
  <c r="E520" s="1"/>
  <c r="F1396" i="20" s="1"/>
  <c r="G1396" s="1"/>
  <c r="F373" i="5"/>
  <c r="G373" s="1"/>
  <c r="H373" s="1"/>
  <c r="E552" s="1"/>
  <c r="F734" i="20" s="1"/>
  <c r="G734" s="1"/>
  <c r="F239" i="22"/>
  <c r="G239" s="1"/>
  <c r="H2452" i="19"/>
  <c r="I2452" s="1"/>
  <c r="H2670"/>
  <c r="I2670" s="1"/>
  <c r="E25" i="18"/>
  <c r="H2876" i="19"/>
  <c r="I2876" s="1"/>
  <c r="H75" i="13"/>
  <c r="G3549" i="21"/>
  <c r="G3550" s="1"/>
  <c r="G3551" s="1"/>
  <c r="G3552" s="1"/>
  <c r="E444" i="14" s="1"/>
  <c r="G3491" i="19"/>
  <c r="G3492" s="1"/>
  <c r="F122" i="14" s="1"/>
  <c r="G3811" i="21"/>
  <c r="F554" i="24"/>
  <c r="G554" s="1"/>
  <c r="G291" i="5"/>
  <c r="G259"/>
  <c r="G225"/>
  <c r="G266"/>
  <c r="G234"/>
  <c r="G268"/>
  <c r="G236"/>
  <c r="G277"/>
  <c r="G245"/>
  <c r="G217"/>
  <c r="H2954" i="19"/>
  <c r="I2954" s="1"/>
  <c r="G47" i="11"/>
  <c r="G48" s="1"/>
  <c r="G6092" i="21"/>
  <c r="G2343" i="22"/>
  <c r="G2339"/>
  <c r="F371" i="5"/>
  <c r="G371" s="1"/>
  <c r="H371" s="1"/>
  <c r="E550" s="1"/>
  <c r="F364"/>
  <c r="G364" s="1"/>
  <c r="H364" s="1"/>
  <c r="E543" s="1"/>
  <c r="H5510" i="19" s="1"/>
  <c r="I5510" s="1"/>
  <c r="F357" i="5"/>
  <c r="G357" s="1"/>
  <c r="H357" s="1"/>
  <c r="E536" s="1"/>
  <c r="F353"/>
  <c r="G353" s="1"/>
  <c r="H353" s="1"/>
  <c r="E532" s="1"/>
  <c r="F342"/>
  <c r="G342" s="1"/>
  <c r="H342" s="1"/>
  <c r="E521" s="1"/>
  <c r="E38" i="18" s="1"/>
  <c r="F336" i="5"/>
  <c r="G336" s="1"/>
  <c r="H336" s="1"/>
  <c r="E515" s="1"/>
  <c r="F331"/>
  <c r="G331" s="1"/>
  <c r="H331" s="1"/>
  <c r="E510" s="1"/>
  <c r="E27" i="18" s="1"/>
  <c r="F320" i="5"/>
  <c r="G320" s="1"/>
  <c r="H320" s="1"/>
  <c r="E499" s="1"/>
  <c r="F2432" i="21" s="1"/>
  <c r="G2432" s="1"/>
  <c r="G4174" i="19"/>
  <c r="G4175" s="1"/>
  <c r="F154" i="14" s="1"/>
  <c r="G7291" i="21"/>
  <c r="G7292" s="1"/>
  <c r="G7293" s="1"/>
  <c r="G7294" s="1"/>
  <c r="G7295" s="1"/>
  <c r="G7297" s="1"/>
  <c r="F7308" s="1"/>
  <c r="G7308" s="1"/>
  <c r="G7309" s="1"/>
  <c r="G7343" s="1"/>
  <c r="G4029" i="22"/>
  <c r="G3352"/>
  <c r="G3353" s="1"/>
  <c r="G3355" s="1"/>
  <c r="G3376" s="1"/>
  <c r="G3268"/>
  <c r="G3221"/>
  <c r="G3229" s="1"/>
  <c r="G422"/>
  <c r="G448" s="1"/>
  <c r="H2678" i="11"/>
  <c r="H2679" s="1"/>
  <c r="H2680" s="1"/>
  <c r="G2700" s="1"/>
  <c r="G443" i="24"/>
  <c r="G486" s="1"/>
  <c r="G738"/>
  <c r="G784" s="1"/>
  <c r="E3189" i="10"/>
  <c r="E3190" s="1"/>
  <c r="E3191" s="1"/>
  <c r="G3196"/>
  <c r="G3198" s="1"/>
  <c r="G296" i="5"/>
  <c r="G229"/>
  <c r="G247"/>
  <c r="G263"/>
  <c r="G255"/>
  <c r="G219"/>
  <c r="G237"/>
  <c r="G253"/>
  <c r="G269"/>
  <c r="G285"/>
  <c r="G226"/>
  <c r="G244"/>
  <c r="G260"/>
  <c r="G276"/>
  <c r="G292"/>
  <c r="G228"/>
  <c r="G246"/>
  <c r="G262"/>
  <c r="G270"/>
  <c r="G279"/>
  <c r="G239"/>
  <c r="G223"/>
  <c r="G241"/>
  <c r="G257"/>
  <c r="G273"/>
  <c r="G289"/>
  <c r="G232"/>
  <c r="G248"/>
  <c r="G264"/>
  <c r="G280"/>
  <c r="G224"/>
  <c r="D100" i="13"/>
  <c r="D1150" i="26"/>
  <c r="F328" i="5"/>
  <c r="G328" s="1"/>
  <c r="H328" s="1"/>
  <c r="E507" s="1"/>
  <c r="F1758" i="22" s="1"/>
  <c r="G1758" s="1"/>
  <c r="F330" i="5"/>
  <c r="G330" s="1"/>
  <c r="H330" s="1"/>
  <c r="E509" s="1"/>
  <c r="E26" i="18" s="1"/>
  <c r="F334" i="5"/>
  <c r="G334" s="1"/>
  <c r="H334" s="1"/>
  <c r="E513" s="1"/>
  <c r="G972" i="11" s="1"/>
  <c r="H972" s="1"/>
  <c r="G2884"/>
  <c r="G2885" s="1"/>
  <c r="G2886" s="1"/>
  <c r="G2887" s="1"/>
  <c r="G2888" s="1"/>
  <c r="E2877"/>
  <c r="E2878" s="1"/>
  <c r="E2879" s="1"/>
  <c r="G7474" i="21"/>
  <c r="G7498" s="1"/>
  <c r="G4332" i="23"/>
  <c r="G4351" s="1"/>
  <c r="H3885" i="19"/>
  <c r="I3885" s="1"/>
  <c r="H3217"/>
  <c r="I3217" s="1"/>
  <c r="H110" i="26"/>
  <c r="E6540" i="21"/>
  <c r="E6541" s="1"/>
  <c r="E6542" s="1"/>
  <c r="F574" i="14" s="1"/>
  <c r="G275" i="5"/>
  <c r="G282"/>
  <c r="G284"/>
  <c r="G293"/>
  <c r="G227"/>
  <c r="E64" i="26"/>
  <c r="G4079" i="21"/>
  <c r="G4099" s="1"/>
  <c r="G2630" i="24"/>
  <c r="G2651" s="1"/>
  <c r="G294" i="5"/>
  <c r="G278"/>
  <c r="G254"/>
  <c r="I6058" i="19"/>
  <c r="I6078" s="1"/>
  <c r="H116"/>
  <c r="I116" s="1"/>
  <c r="F333" i="5"/>
  <c r="G333" s="1"/>
  <c r="H333" s="1"/>
  <c r="E512" s="1"/>
  <c r="F1035" i="20" s="1"/>
  <c r="G1035" s="1"/>
  <c r="F343" i="5"/>
  <c r="F376"/>
  <c r="G376" s="1"/>
  <c r="H376" s="1"/>
  <c r="E555" s="1"/>
  <c r="G2227" i="25" s="1"/>
  <c r="H2227" s="1"/>
  <c r="G3057" i="11"/>
  <c r="G3058" s="1"/>
  <c r="H4051" i="19"/>
  <c r="I4051" s="1"/>
  <c r="H3968"/>
  <c r="I3968" s="1"/>
  <c r="H3314"/>
  <c r="I3314" s="1"/>
  <c r="H5789"/>
  <c r="I5789" s="1"/>
  <c r="H119" i="26"/>
  <c r="G283" i="5"/>
  <c r="G251"/>
  <c r="G290"/>
  <c r="G258"/>
  <c r="G288"/>
  <c r="G256"/>
  <c r="G222"/>
  <c r="G265"/>
  <c r="G233"/>
  <c r="G271"/>
  <c r="D100" i="15"/>
  <c r="G1770" i="23"/>
  <c r="G2094"/>
  <c r="G1550"/>
  <c r="G1055"/>
  <c r="G1693"/>
  <c r="F378" i="5"/>
  <c r="G378" s="1"/>
  <c r="H378" s="1"/>
  <c r="E557" s="1"/>
  <c r="E74" i="18" s="1"/>
  <c r="F374" i="5"/>
  <c r="G374" s="1"/>
  <c r="H374" s="1"/>
  <c r="E553" s="1"/>
  <c r="H4937" i="19" s="1"/>
  <c r="I4937" s="1"/>
  <c r="F370" i="5"/>
  <c r="F363"/>
  <c r="G363" s="1"/>
  <c r="H363" s="1"/>
  <c r="E542" s="1"/>
  <c r="F356"/>
  <c r="G356" s="1"/>
  <c r="H356" s="1"/>
  <c r="E535" s="1"/>
  <c r="F338"/>
  <c r="G338" s="1"/>
  <c r="H338" s="1"/>
  <c r="E517" s="1"/>
  <c r="F4250" i="21" s="1"/>
  <c r="G4250" s="1"/>
  <c r="F322" i="5"/>
  <c r="G322" s="1"/>
  <c r="H322" s="1"/>
  <c r="E501" s="1"/>
  <c r="G238"/>
  <c r="I6252" i="19"/>
  <c r="G6253" s="1"/>
  <c r="G6254" s="1"/>
  <c r="G6255" s="1"/>
  <c r="F235" i="14" s="1"/>
  <c r="I4365" i="19"/>
  <c r="I4388" s="1"/>
  <c r="I4306"/>
  <c r="I4330" s="1"/>
  <c r="G4130" i="21"/>
  <c r="G4151" s="1"/>
  <c r="G4232" i="22"/>
  <c r="G4240" s="1"/>
  <c r="G4241" s="1"/>
  <c r="G4242" s="1"/>
  <c r="G4243" s="1"/>
  <c r="G4244" s="1"/>
  <c r="G596" i="23"/>
  <c r="G621" s="1"/>
  <c r="G174"/>
  <c r="G182" s="1"/>
  <c r="G183" s="1"/>
  <c r="G184" s="1"/>
  <c r="G185" s="1"/>
  <c r="G186" s="1"/>
  <c r="E689" i="14" s="1"/>
  <c r="G2164" i="10"/>
  <c r="G2202" s="1"/>
  <c r="G206"/>
  <c r="G255" s="1"/>
  <c r="H2794" i="11"/>
  <c r="G2690" i="24"/>
  <c r="G2710" s="1"/>
  <c r="G2810"/>
  <c r="G2830" s="1"/>
  <c r="G2640" i="11"/>
  <c r="H1358" i="25"/>
  <c r="G1379" s="1"/>
  <c r="G2423" i="22"/>
  <c r="G1552"/>
  <c r="G2584"/>
  <c r="G2585"/>
  <c r="G2666"/>
  <c r="G2698"/>
  <c r="G2098" i="23"/>
  <c r="G3538"/>
  <c r="G2349"/>
  <c r="G5113" i="21"/>
  <c r="G5420"/>
  <c r="G1936" i="23"/>
  <c r="G1551"/>
  <c r="G2668"/>
  <c r="I2862" i="19"/>
  <c r="G2363" i="20"/>
  <c r="G3980" i="21"/>
  <c r="G3982" s="1"/>
  <c r="G4002" s="1"/>
  <c r="G5713"/>
  <c r="G5718" s="1"/>
  <c r="G5762" s="1"/>
  <c r="G7882"/>
  <c r="G7890" s="1"/>
  <c r="G1224" i="23"/>
  <c r="G1257"/>
  <c r="G1546"/>
  <c r="G1143"/>
  <c r="G1692"/>
  <c r="G1849"/>
  <c r="G1933"/>
  <c r="G2665"/>
  <c r="G2508"/>
  <c r="G972"/>
  <c r="G1139"/>
  <c r="G2539"/>
  <c r="I2324" i="19"/>
  <c r="I1953"/>
  <c r="G987" i="15"/>
  <c r="G988" s="1"/>
  <c r="G989" s="1"/>
  <c r="F162" i="26" s="1"/>
  <c r="F368" i="5"/>
  <c r="G368" s="1"/>
  <c r="H368" s="1"/>
  <c r="E547" s="1"/>
  <c r="F362"/>
  <c r="G362" s="1"/>
  <c r="H362" s="1"/>
  <c r="E541" s="1"/>
  <c r="F4254" i="21" s="1"/>
  <c r="G4254" s="1"/>
  <c r="F355" i="5"/>
  <c r="G355" s="1"/>
  <c r="H355" s="1"/>
  <c r="E534" s="1"/>
  <c r="F350"/>
  <c r="G350" s="1"/>
  <c r="H350" s="1"/>
  <c r="E529" s="1"/>
  <c r="E46" i="18" s="1"/>
  <c r="F345" i="5"/>
  <c r="G345" s="1"/>
  <c r="H345" s="1"/>
  <c r="E524" s="1"/>
  <c r="H476"/>
  <c r="F554" s="1"/>
  <c r="F1222" i="21" s="1"/>
  <c r="G1222" s="1"/>
  <c r="G1388" i="20"/>
  <c r="G1426" s="1"/>
  <c r="G7745" i="21"/>
  <c r="G7730"/>
  <c r="G7751" s="1"/>
  <c r="G6434"/>
  <c r="G6442" s="1"/>
  <c r="G6443" s="1"/>
  <c r="G6444" s="1"/>
  <c r="G6445" s="1"/>
  <c r="G6446" s="1"/>
  <c r="E568" i="14" s="1"/>
  <c r="E5960" i="21"/>
  <c r="E5961" s="1"/>
  <c r="F539" i="14" s="1"/>
  <c r="G5066" i="21"/>
  <c r="G5068" s="1"/>
  <c r="F5119" s="1"/>
  <c r="G5119" s="1"/>
  <c r="G4530"/>
  <c r="G4550" s="1"/>
  <c r="G4093"/>
  <c r="E4094" s="1"/>
  <c r="E4095" s="1"/>
  <c r="E4096" s="1"/>
  <c r="F477" i="14" s="1"/>
  <c r="G4044" i="21"/>
  <c r="E4045" s="1"/>
  <c r="E4046" s="1"/>
  <c r="E4047" s="1"/>
  <c r="F472" i="14" s="1"/>
  <c r="G3863" i="21"/>
  <c r="E3864" s="1"/>
  <c r="E3865" s="1"/>
  <c r="E3866" s="1"/>
  <c r="F463" i="14" s="1"/>
  <c r="G3644" i="21"/>
  <c r="G3629"/>
  <c r="G3650" s="1"/>
  <c r="G3820" i="22"/>
  <c r="E3821" s="1"/>
  <c r="E3822" s="1"/>
  <c r="E3823" s="1"/>
  <c r="G3805"/>
  <c r="G3826" s="1"/>
  <c r="G3753"/>
  <c r="G3774" s="1"/>
  <c r="G3421"/>
  <c r="G3429" s="1"/>
  <c r="G3430" s="1"/>
  <c r="G3431" s="1"/>
  <c r="G3432" s="1"/>
  <c r="G3433" s="1"/>
  <c r="G3106"/>
  <c r="G3107" s="1"/>
  <c r="G3109" s="1"/>
  <c r="G3130" s="1"/>
  <c r="H2455" i="11"/>
  <c r="G2474" s="1"/>
  <c r="H2406"/>
  <c r="G2426" s="1"/>
  <c r="H1585"/>
  <c r="G1593" s="1"/>
  <c r="H1510"/>
  <c r="E1511" s="1"/>
  <c r="E1512" s="1"/>
  <c r="E1513" s="1"/>
  <c r="H652"/>
  <c r="G660" s="1"/>
  <c r="G661" s="1"/>
  <c r="G662" s="1"/>
  <c r="G663" s="1"/>
  <c r="G664" s="1"/>
  <c r="H476"/>
  <c r="G681" i="22"/>
  <c r="G1187"/>
  <c r="G1271"/>
  <c r="G2082"/>
  <c r="G767"/>
  <c r="G847"/>
  <c r="G1101"/>
  <c r="G3564"/>
  <c r="G2352" i="23"/>
  <c r="G727"/>
  <c r="G5421" i="21"/>
  <c r="G5150"/>
  <c r="G5118"/>
  <c r="G4889"/>
  <c r="G4757"/>
  <c r="G4623"/>
  <c r="G5508"/>
  <c r="G1853" i="23"/>
  <c r="G2194" i="20"/>
  <c r="G7220" i="21"/>
  <c r="G1223" i="23"/>
  <c r="G1059"/>
  <c r="G2298"/>
  <c r="G977"/>
  <c r="G1142"/>
  <c r="F372" i="5"/>
  <c r="G372" s="1"/>
  <c r="H372" s="1"/>
  <c r="E551" s="1"/>
  <c r="F360"/>
  <c r="G360" s="1"/>
  <c r="H360" s="1"/>
  <c r="E539" s="1"/>
  <c r="F1808" i="10" s="1"/>
  <c r="G1808" s="1"/>
  <c r="F348" i="5"/>
  <c r="G348" s="1"/>
  <c r="H348" s="1"/>
  <c r="E527" s="1"/>
  <c r="F340"/>
  <c r="G340" s="1"/>
  <c r="H340" s="1"/>
  <c r="E519" s="1"/>
  <c r="E36" i="18" s="1"/>
  <c r="H456" i="5"/>
  <c r="F534" s="1"/>
  <c r="F51" i="18" s="1"/>
  <c r="H422" i="5"/>
  <c r="F500" s="1"/>
  <c r="F17" i="18" s="1"/>
  <c r="I6539" i="19"/>
  <c r="G6540" s="1"/>
  <c r="G6541" s="1"/>
  <c r="G6542" s="1"/>
  <c r="F247" i="14" s="1"/>
  <c r="I5624" i="19"/>
  <c r="I5650" s="1"/>
  <c r="I3798"/>
  <c r="G8301" i="21"/>
  <c r="G6677"/>
  <c r="G4495"/>
  <c r="E4496" s="1"/>
  <c r="E4497" s="1"/>
  <c r="E4498" s="1"/>
  <c r="F494" i="14" s="1"/>
  <c r="G4145" i="21"/>
  <c r="G3961" i="22"/>
  <c r="G3982" s="1"/>
  <c r="G3716"/>
  <c r="G3370"/>
  <c r="G3378" s="1"/>
  <c r="G3156"/>
  <c r="G3157" s="1"/>
  <c r="G3159" s="1"/>
  <c r="G3180" s="1"/>
  <c r="G3041"/>
  <c r="G3045" s="1"/>
  <c r="G3080" s="1"/>
  <c r="G3083" s="1"/>
  <c r="G3084" s="1"/>
  <c r="G3085" s="1"/>
  <c r="G3086" s="1"/>
  <c r="G3499" i="23"/>
  <c r="E3500" s="1"/>
  <c r="E3501" s="1"/>
  <c r="E3502" s="1"/>
  <c r="F841" i="14" s="1"/>
  <c r="G3451" i="23"/>
  <c r="G3459" s="1"/>
  <c r="G3460" s="1"/>
  <c r="G3461" s="1"/>
  <c r="G3462" s="1"/>
  <c r="G3463" s="1"/>
  <c r="E837" i="14" s="1"/>
  <c r="G3304" i="23"/>
  <c r="G3237"/>
  <c r="G3238" s="1"/>
  <c r="G3239" s="1"/>
  <c r="G3260" s="1"/>
  <c r="G3145"/>
  <c r="G3146" s="1"/>
  <c r="G3113"/>
  <c r="E3114" s="1"/>
  <c r="E3115" s="1"/>
  <c r="E3116" s="1"/>
  <c r="F815" i="14" s="1"/>
  <c r="H1666" i="11"/>
  <c r="H1426" i="25"/>
  <c r="E1427" s="1"/>
  <c r="E1428" s="1"/>
  <c r="E1429" s="1"/>
  <c r="F1073" i="14" s="1"/>
  <c r="H1486" i="25"/>
  <c r="E1487" s="1"/>
  <c r="E1488" s="1"/>
  <c r="E1489" s="1"/>
  <c r="F1078" i="14" s="1"/>
  <c r="G2872" i="25"/>
  <c r="G2877" s="1"/>
  <c r="G2878" s="1"/>
  <c r="G2879" s="1"/>
  <c r="G2304" i="24"/>
  <c r="G2338" s="1"/>
  <c r="G2894" i="23"/>
  <c r="G2895" s="1"/>
  <c r="G133" i="22"/>
  <c r="G134" s="1"/>
  <c r="G135" s="1"/>
  <c r="G136" s="1"/>
  <c r="G137" s="1"/>
  <c r="E126"/>
  <c r="E127" s="1"/>
  <c r="E128" s="1"/>
  <c r="H2223" i="19"/>
  <c r="I2223" s="1"/>
  <c r="F2209" i="20"/>
  <c r="G2209" s="1"/>
  <c r="F928"/>
  <c r="G928" s="1"/>
  <c r="E37" i="18"/>
  <c r="H2956" i="19"/>
  <c r="I2956" s="1"/>
  <c r="H4247"/>
  <c r="I4247" s="1"/>
  <c r="F1885" i="20"/>
  <c r="G1885" s="1"/>
  <c r="F732"/>
  <c r="G732" s="1"/>
  <c r="H3809" i="19"/>
  <c r="I3809" s="1"/>
  <c r="H3316"/>
  <c r="I3316" s="1"/>
  <c r="F1033" i="20"/>
  <c r="G1033" s="1"/>
  <c r="H2100" i="19"/>
  <c r="I2100" s="1"/>
  <c r="H3659"/>
  <c r="I3659" s="1"/>
  <c r="F381" i="20"/>
  <c r="G381" s="1"/>
  <c r="H3970" i="19"/>
  <c r="I3970" s="1"/>
  <c r="E4392" i="22"/>
  <c r="E4393" s="1"/>
  <c r="E4394" s="1"/>
  <c r="G4398"/>
  <c r="E7883" i="21"/>
  <c r="E7884" s="1"/>
  <c r="E7885" s="1"/>
  <c r="F638" i="14" s="1"/>
  <c r="H3228" i="19"/>
  <c r="I3228" s="1"/>
  <c r="H3666"/>
  <c r="I3666" s="1"/>
  <c r="H2236"/>
  <c r="I2236" s="1"/>
  <c r="F1521" i="20"/>
  <c r="G1521" s="1"/>
  <c r="F37" i="18"/>
  <c r="F2219" i="20"/>
  <c r="G2219" s="1"/>
  <c r="H2358" i="19"/>
  <c r="I2358" s="1"/>
  <c r="F1298" i="20"/>
  <c r="G1298" s="1"/>
  <c r="F2657"/>
  <c r="G2657" s="1"/>
  <c r="F576"/>
  <c r="G576" s="1"/>
  <c r="H1871" i="19"/>
  <c r="I1871" s="1"/>
  <c r="H2783"/>
  <c r="I2783" s="1"/>
  <c r="H3815"/>
  <c r="I3815" s="1"/>
  <c r="H1726"/>
  <c r="I1726" s="1"/>
  <c r="F1200" i="20"/>
  <c r="G1200" s="1"/>
  <c r="H1990" i="19"/>
  <c r="I1990" s="1"/>
  <c r="H3323"/>
  <c r="I3323" s="1"/>
  <c r="F2396" i="20"/>
  <c r="G2396" s="1"/>
  <c r="F746"/>
  <c r="G746" s="1"/>
  <c r="H4947" i="19"/>
  <c r="I4947" s="1"/>
  <c r="F35" i="18"/>
  <c r="F2969" i="11"/>
  <c r="G2969" s="1"/>
  <c r="H4820" i="19"/>
  <c r="I4820" s="1"/>
  <c r="H5210"/>
  <c r="I5210" s="1"/>
  <c r="G3715" i="21"/>
  <c r="E3708"/>
  <c r="E3709" s="1"/>
  <c r="E3710" s="1"/>
  <c r="F454" i="14" s="1"/>
  <c r="E3583" i="21"/>
  <c r="E3584" s="1"/>
  <c r="E3585" s="1"/>
  <c r="F448" i="14" s="1"/>
  <c r="G3590" i="21"/>
  <c r="G3591" s="1"/>
  <c r="G3592" s="1"/>
  <c r="G3593" s="1"/>
  <c r="G3594" s="1"/>
  <c r="E447" i="14" s="1"/>
  <c r="G3828" i="22"/>
  <c r="G1855" i="24"/>
  <c r="G1898" s="1"/>
  <c r="F1287" i="20"/>
  <c r="G1287" s="1"/>
  <c r="I3962" i="19"/>
  <c r="I3998" s="1"/>
  <c r="F2578" i="24"/>
  <c r="G2578" s="1"/>
  <c r="H4254" i="19"/>
  <c r="I4254" s="1"/>
  <c r="F3011" i="24"/>
  <c r="G3011" s="1"/>
  <c r="F2636"/>
  <c r="G2636" s="1"/>
  <c r="F20" i="18"/>
  <c r="G226" i="11"/>
  <c r="G227" s="1"/>
  <c r="G228" s="1"/>
  <c r="G229" s="1"/>
  <c r="G230" s="1"/>
  <c r="E219"/>
  <c r="E220" s="1"/>
  <c r="E221" s="1"/>
  <c r="F793" i="22"/>
  <c r="G793" s="1"/>
  <c r="F4447" i="21"/>
  <c r="G4447" s="1"/>
  <c r="G2240" i="25"/>
  <c r="H2240" s="1"/>
  <c r="G2001"/>
  <c r="H2001" s="1"/>
  <c r="F4265" i="21"/>
  <c r="G4265" s="1"/>
  <c r="F5444"/>
  <c r="G5444" s="1"/>
  <c r="H279" i="19"/>
  <c r="I279" s="1"/>
  <c r="I280" s="1"/>
  <c r="H411"/>
  <c r="I411" s="1"/>
  <c r="I412" s="1"/>
  <c r="I4237"/>
  <c r="I4268" s="1"/>
  <c r="G544" i="20"/>
  <c r="G596" s="1"/>
  <c r="H2774" i="19"/>
  <c r="I2774" s="1"/>
  <c r="H3729"/>
  <c r="I3729" s="1"/>
  <c r="H720"/>
  <c r="H721" s="1"/>
  <c r="H722" s="1"/>
  <c r="H723" s="1"/>
  <c r="H725" s="1"/>
  <c r="H742" s="1"/>
  <c r="I742" s="1"/>
  <c r="G1877" i="20"/>
  <c r="G1878" s="1"/>
  <c r="G1879" s="1"/>
  <c r="G1911" s="1"/>
  <c r="G1624"/>
  <c r="G1665" s="1"/>
  <c r="E694" i="11"/>
  <c r="E695" s="1"/>
  <c r="E696" s="1"/>
  <c r="G701"/>
  <c r="G702" s="1"/>
  <c r="G703" s="1"/>
  <c r="G704" s="1"/>
  <c r="G705" s="1"/>
  <c r="E6001" i="21"/>
  <c r="E6002" s="1"/>
  <c r="E6003" s="1"/>
  <c r="F542" i="14" s="1"/>
  <c r="G6008" i="21"/>
  <c r="G6009" s="1"/>
  <c r="G6010" s="1"/>
  <c r="G6011" s="1"/>
  <c r="G6012" s="1"/>
  <c r="E541" i="14" s="1"/>
  <c r="F3191" i="21"/>
  <c r="G3191" s="1"/>
  <c r="G1023" i="25"/>
  <c r="H1023" s="1"/>
  <c r="F1072" i="23"/>
  <c r="G1072" s="1"/>
  <c r="F2680"/>
  <c r="G2680" s="1"/>
  <c r="C232" i="5"/>
  <c r="C231"/>
  <c r="C248"/>
  <c r="C252"/>
  <c r="C264"/>
  <c r="C265"/>
  <c r="C266"/>
  <c r="C267"/>
  <c r="H267" s="1"/>
  <c r="D538" s="1"/>
  <c r="C268"/>
  <c r="C269"/>
  <c r="C270"/>
  <c r="C272"/>
  <c r="C276"/>
  <c r="C230"/>
  <c r="H230" s="1"/>
  <c r="D504" s="1"/>
  <c r="C247"/>
  <c r="C249"/>
  <c r="C253"/>
  <c r="C263"/>
  <c r="C273"/>
  <c r="H273" s="1"/>
  <c r="D544" s="1"/>
  <c r="F2714" i="10" s="1"/>
  <c r="G2714" s="1"/>
  <c r="C277" i="5"/>
  <c r="C287"/>
  <c r="C288"/>
  <c r="C289"/>
  <c r="C290"/>
  <c r="C291"/>
  <c r="C292"/>
  <c r="C293"/>
  <c r="C294"/>
  <c r="C229"/>
  <c r="C240"/>
  <c r="C244"/>
  <c r="C251"/>
  <c r="C274"/>
  <c r="C282"/>
  <c r="C286"/>
  <c r="C221"/>
  <c r="C222"/>
  <c r="C223"/>
  <c r="C224"/>
  <c r="C225"/>
  <c r="C226"/>
  <c r="C227"/>
  <c r="C228"/>
  <c r="C241"/>
  <c r="C245"/>
  <c r="C254"/>
  <c r="C275"/>
  <c r="C283"/>
  <c r="C220"/>
  <c r="D217"/>
  <c r="D218"/>
  <c r="H218" s="1"/>
  <c r="D232"/>
  <c r="D236"/>
  <c r="D247"/>
  <c r="D257"/>
  <c r="D261"/>
  <c r="H261" s="1"/>
  <c r="D532" s="1"/>
  <c r="F2381" i="20" s="1"/>
  <c r="G2381" s="1"/>
  <c r="D263" i="5"/>
  <c r="D287"/>
  <c r="D288"/>
  <c r="D289"/>
  <c r="D290"/>
  <c r="D291"/>
  <c r="D292"/>
  <c r="D293"/>
  <c r="D294"/>
  <c r="D229"/>
  <c r="D233"/>
  <c r="D237"/>
  <c r="D239"/>
  <c r="D240"/>
  <c r="D241"/>
  <c r="D242"/>
  <c r="H242" s="1"/>
  <c r="D515" s="1"/>
  <c r="D243"/>
  <c r="D244"/>
  <c r="H244" s="1"/>
  <c r="D517" s="1"/>
  <c r="G1022" i="25" s="1"/>
  <c r="H1022" s="1"/>
  <c r="D245" i="5"/>
  <c r="D246"/>
  <c r="D258"/>
  <c r="D262"/>
  <c r="H262" s="1"/>
  <c r="D533" s="1"/>
  <c r="D280"/>
  <c r="D281"/>
  <c r="H281" s="1"/>
  <c r="D282"/>
  <c r="D283"/>
  <c r="D284"/>
  <c r="D285"/>
  <c r="D286"/>
  <c r="D220"/>
  <c r="D221"/>
  <c r="D222"/>
  <c r="D223"/>
  <c r="D224"/>
  <c r="D225"/>
  <c r="D226"/>
  <c r="D227"/>
  <c r="D228"/>
  <c r="D260"/>
  <c r="D267"/>
  <c r="D219"/>
  <c r="D234"/>
  <c r="H234" s="1"/>
  <c r="D508" s="1"/>
  <c r="H3967" i="19" s="1"/>
  <c r="I3967" s="1"/>
  <c r="D255" i="5"/>
  <c r="H255" s="1"/>
  <c r="D526" s="1"/>
  <c r="D43" i="18" s="1"/>
  <c r="G43" s="1"/>
  <c r="D264" i="5"/>
  <c r="D268"/>
  <c r="E5917" i="21"/>
  <c r="E5918" s="1"/>
  <c r="E5919" s="1"/>
  <c r="F536" i="14" s="1"/>
  <c r="G5924" i="21"/>
  <c r="E2469" i="11"/>
  <c r="E2470" s="1"/>
  <c r="E2471" s="1"/>
  <c r="G2476"/>
  <c r="E1809"/>
  <c r="E1810" s="1"/>
  <c r="E1811" s="1"/>
  <c r="G1816"/>
  <c r="G1817" s="1"/>
  <c r="G1818" s="1"/>
  <c r="G1819" s="1"/>
  <c r="G1820" s="1"/>
  <c r="E174"/>
  <c r="E175" s="1"/>
  <c r="E176" s="1"/>
  <c r="H266" i="5"/>
  <c r="D537" s="1"/>
  <c r="G8408" i="21"/>
  <c r="G8431" s="1"/>
  <c r="G4322" i="22"/>
  <c r="G4343" s="1"/>
  <c r="G220" i="24"/>
  <c r="G273" s="1"/>
  <c r="D231" i="5"/>
  <c r="C236"/>
  <c r="D249"/>
  <c r="D253"/>
  <c r="C257"/>
  <c r="H257" s="1"/>
  <c r="D528" s="1"/>
  <c r="F1184" i="20" s="1"/>
  <c r="G1184" s="1"/>
  <c r="C260" i="5"/>
  <c r="D272"/>
  <c r="D276"/>
  <c r="D295"/>
  <c r="E4186" i="22"/>
  <c r="E4187" s="1"/>
  <c r="E129" i="11"/>
  <c r="E130" s="1"/>
  <c r="E131" s="1"/>
  <c r="F327" i="22"/>
  <c r="G327" s="1"/>
  <c r="E6086" i="21"/>
  <c r="E6087" s="1"/>
  <c r="F548" i="14" s="1"/>
  <c r="G1667" i="22"/>
  <c r="G5506" i="21"/>
  <c r="C295" i="5"/>
  <c r="C280"/>
  <c r="H280" s="1"/>
  <c r="D279"/>
  <c r="C278"/>
  <c r="D265"/>
  <c r="C250"/>
  <c r="C239"/>
  <c r="D238"/>
  <c r="G643" i="22"/>
  <c r="G644" s="1"/>
  <c r="F1173" s="1"/>
  <c r="F1224" s="1"/>
  <c r="G1224" s="1"/>
  <c r="G1225" s="1"/>
  <c r="G547"/>
  <c r="G572" s="1"/>
  <c r="E6221" i="21"/>
  <c r="E6222" s="1"/>
  <c r="E6223" s="1"/>
  <c r="F557" i="14" s="1"/>
  <c r="G6228" i="21"/>
  <c r="G6229" s="1"/>
  <c r="G6230" s="1"/>
  <c r="G6231" s="1"/>
  <c r="G6232" s="1"/>
  <c r="E556" i="14" s="1"/>
  <c r="G2970" i="22"/>
  <c r="G2973"/>
  <c r="G3008" s="1"/>
  <c r="G3011" s="1"/>
  <c r="G3012" s="1"/>
  <c r="G3013" s="1"/>
  <c r="G3014" s="1"/>
  <c r="G3121" i="23"/>
  <c r="G3122" s="1"/>
  <c r="G3123" s="1"/>
  <c r="G3124" s="1"/>
  <c r="G3125" s="1"/>
  <c r="E814" i="14" s="1"/>
  <c r="F1533" i="22"/>
  <c r="G1533" s="1"/>
  <c r="F3575"/>
  <c r="G3575" s="1"/>
  <c r="H1966" i="19"/>
  <c r="I1966" s="1"/>
  <c r="H1703"/>
  <c r="I1703" s="1"/>
  <c r="E19" i="18"/>
  <c r="H1848" i="19"/>
  <c r="I1848" s="1"/>
  <c r="E544" i="23"/>
  <c r="E545" s="1"/>
  <c r="E546" s="1"/>
  <c r="F710" i="14" s="1"/>
  <c r="G91" i="11"/>
  <c r="E84"/>
  <c r="E85" s="1"/>
  <c r="E86" s="1"/>
  <c r="F837" i="21"/>
  <c r="G837" s="1"/>
  <c r="G843" s="1"/>
  <c r="G880" s="1"/>
  <c r="H237" i="5"/>
  <c r="D511" s="1"/>
  <c r="D28" i="18" s="1"/>
  <c r="G1254" i="24"/>
  <c r="G1291" s="1"/>
  <c r="F938" i="20"/>
  <c r="G938" s="1"/>
  <c r="C235" i="5"/>
  <c r="D248"/>
  <c r="D252"/>
  <c r="C256"/>
  <c r="D271"/>
  <c r="D275"/>
  <c r="C279"/>
  <c r="H279" s="1"/>
  <c r="C296"/>
  <c r="H4603" i="19"/>
  <c r="I4603" s="1"/>
  <c r="I4180"/>
  <c r="I4181" s="1"/>
  <c r="I4182" s="1"/>
  <c r="E738" i="11"/>
  <c r="E739" s="1"/>
  <c r="E740" s="1"/>
  <c r="F354" i="5"/>
  <c r="C285"/>
  <c r="C271"/>
  <c r="D270"/>
  <c r="D259"/>
  <c r="H259" s="1"/>
  <c r="D530" s="1"/>
  <c r="C246"/>
  <c r="D235"/>
  <c r="I6310" i="19"/>
  <c r="I6331" s="1"/>
  <c r="I6334" s="1"/>
  <c r="I6335" s="1"/>
  <c r="I6336" s="1"/>
  <c r="I6337" s="1"/>
  <c r="E237" i="14" s="1"/>
  <c r="I4432" i="19"/>
  <c r="I4313"/>
  <c r="I4331" s="1"/>
  <c r="G3849" i="21"/>
  <c r="G3869" s="1"/>
  <c r="G410"/>
  <c r="G444" s="1"/>
  <c r="G615" i="23"/>
  <c r="G471"/>
  <c r="G497" s="1"/>
  <c r="G362"/>
  <c r="G390" s="1"/>
  <c r="G91"/>
  <c r="G3331" i="10"/>
  <c r="G3245"/>
  <c r="G3264" s="1"/>
  <c r="G3484" i="21"/>
  <c r="G3503" s="1"/>
  <c r="G3506" s="1"/>
  <c r="G3507" s="1"/>
  <c r="G3508" s="1"/>
  <c r="G3509" s="1"/>
  <c r="E441" i="14" s="1"/>
  <c r="G1626" i="21"/>
  <c r="G1666" s="1"/>
  <c r="E7787"/>
  <c r="E7788" s="1"/>
  <c r="F632" i="14" s="1"/>
  <c r="G49" i="11"/>
  <c r="G50" s="1"/>
  <c r="G51" s="1"/>
  <c r="G679" i="22"/>
  <c r="G2663"/>
  <c r="G1102"/>
  <c r="G1915"/>
  <c r="G1098" i="20"/>
  <c r="G1120" s="1"/>
  <c r="G6857" i="21"/>
  <c r="G4755"/>
  <c r="G5115"/>
  <c r="G5418"/>
  <c r="G7392"/>
  <c r="G1722" i="23"/>
  <c r="G1847"/>
  <c r="G1931"/>
  <c r="G2016"/>
  <c r="G2590"/>
  <c r="G2664"/>
  <c r="I1952" i="19"/>
  <c r="I2200"/>
  <c r="H748" i="15"/>
  <c r="I5579" i="19"/>
  <c r="I5605" s="1"/>
  <c r="I3648"/>
  <c r="G2830" i="23"/>
  <c r="G2833" s="1"/>
  <c r="G2865" s="1"/>
  <c r="G3004" i="24"/>
  <c r="G3026" s="1"/>
  <c r="G2629" i="11"/>
  <c r="F2646" s="1"/>
  <c r="G3932" i="22"/>
  <c r="G3933" s="1"/>
  <c r="G3934" s="1"/>
  <c r="G3935" s="1"/>
  <c r="G3936" s="1"/>
  <c r="E3925"/>
  <c r="E3926" s="1"/>
  <c r="E3927" s="1"/>
  <c r="G1671"/>
  <c r="G2341"/>
  <c r="G1947"/>
  <c r="G2351" i="23"/>
  <c r="G5510" i="21"/>
  <c r="G7219"/>
  <c r="G7930"/>
  <c r="G6583"/>
  <c r="G6591" s="1"/>
  <c r="G1852" i="23"/>
  <c r="G2046"/>
  <c r="I2204" i="19"/>
  <c r="I1839"/>
  <c r="I3721"/>
  <c r="I3755" s="1"/>
  <c r="G3440" i="21"/>
  <c r="G3442" s="1"/>
  <c r="G3461" s="1"/>
  <c r="G3464" s="1"/>
  <c r="G3465" s="1"/>
  <c r="G3466" s="1"/>
  <c r="G3467" s="1"/>
  <c r="E438" i="14" s="1"/>
  <c r="G3162" i="23"/>
  <c r="H1767" i="11"/>
  <c r="H831"/>
  <c r="E832" s="1"/>
  <c r="E833" s="1"/>
  <c r="E834" s="1"/>
  <c r="H683" i="15"/>
  <c r="H684" s="1"/>
  <c r="H685" s="1"/>
  <c r="G154"/>
  <c r="G155" s="1"/>
  <c r="G156" s="1"/>
  <c r="H431" i="5"/>
  <c r="F509" s="1"/>
  <c r="F2364" i="22" s="1"/>
  <c r="G2364" s="1"/>
  <c r="G7865" i="21"/>
  <c r="G7866" s="1"/>
  <c r="G7888" s="1"/>
  <c r="G6719"/>
  <c r="G6727" s="1"/>
  <c r="G3736"/>
  <c r="G3753" s="1"/>
  <c r="G4083" i="23"/>
  <c r="G4104" s="1"/>
  <c r="G3996"/>
  <c r="G4004" s="1"/>
  <c r="H348" i="11"/>
  <c r="H312" i="25"/>
  <c r="H313" s="1"/>
  <c r="E314" s="1"/>
  <c r="E315" s="1"/>
  <c r="E316" s="1"/>
  <c r="F1005" i="14" s="1"/>
  <c r="G1185" i="22"/>
  <c r="G1520"/>
  <c r="G1138"/>
  <c r="G1911"/>
  <c r="G2001"/>
  <c r="G1269" i="20"/>
  <c r="G3540" i="23"/>
  <c r="G809"/>
  <c r="G2180"/>
  <c r="G5600" i="21"/>
  <c r="G5505"/>
  <c r="G6261"/>
  <c r="G6285" s="1"/>
  <c r="G8132"/>
  <c r="G1221" i="23"/>
  <c r="G1304"/>
  <c r="G1305"/>
  <c r="G1057"/>
  <c r="G1881"/>
  <c r="G1848"/>
  <c r="G2267"/>
  <c r="G978"/>
  <c r="G973"/>
  <c r="I2655" i="19"/>
  <c r="I2439"/>
  <c r="I2323"/>
  <c r="I1689"/>
  <c r="I1955"/>
  <c r="G963" i="15"/>
  <c r="G964" s="1"/>
  <c r="G965" s="1"/>
  <c r="G165"/>
  <c r="G166" s="1"/>
  <c r="G167" s="1"/>
  <c r="F352" i="5"/>
  <c r="G352" s="1"/>
  <c r="H352" s="1"/>
  <c r="E531" s="1"/>
  <c r="G220"/>
  <c r="G4032" i="23"/>
  <c r="G4053" s="1"/>
  <c r="G3981"/>
  <c r="G4002" s="1"/>
  <c r="G2797"/>
  <c r="E2798" s="1"/>
  <c r="E2799" s="1"/>
  <c r="E2800" s="1"/>
  <c r="F798" i="14" s="1"/>
  <c r="H1707" i="25"/>
  <c r="G1715" s="1"/>
  <c r="I559" i="19"/>
  <c r="I566" s="1"/>
  <c r="I607" s="1"/>
  <c r="G3944" i="23"/>
  <c r="G274"/>
  <c r="G302" s="1"/>
  <c r="G8068" i="21"/>
  <c r="G8089" s="1"/>
  <c r="G3893" i="23"/>
  <c r="G3901" s="1"/>
  <c r="G3842"/>
  <c r="E3843" s="1"/>
  <c r="E3844" s="1"/>
  <c r="E3845" s="1"/>
  <c r="F861" i="14" s="1"/>
  <c r="G1354" i="24"/>
  <c r="G1403" s="1"/>
  <c r="G8478" i="21"/>
  <c r="G8501" s="1"/>
  <c r="G225" i="22"/>
  <c r="G253" s="1"/>
  <c r="E15" i="18"/>
  <c r="F926" i="20"/>
  <c r="G926" s="1"/>
  <c r="F560"/>
  <c r="G560" s="1"/>
  <c r="F1037"/>
  <c r="G1037" s="1"/>
  <c r="H574" i="19"/>
  <c r="I574" s="1"/>
  <c r="H295"/>
  <c r="I295" s="1"/>
  <c r="H930"/>
  <c r="I930" s="1"/>
  <c r="G1988" i="25"/>
  <c r="H1988" s="1"/>
  <c r="F2272" i="21"/>
  <c r="G2272" s="1"/>
  <c r="G2107" i="25"/>
  <c r="H2107" s="1"/>
  <c r="F1214" i="22"/>
  <c r="G1214" s="1"/>
  <c r="F1298"/>
  <c r="G1298" s="1"/>
  <c r="H4948" i="19"/>
  <c r="I4948" s="1"/>
  <c r="F3204" i="21"/>
  <c r="G3204" s="1"/>
  <c r="F2568"/>
  <c r="G2568" s="1"/>
  <c r="F2979" i="23"/>
  <c r="G2979" s="1"/>
  <c r="F593" i="15"/>
  <c r="G593" s="1"/>
  <c r="G3147" i="23"/>
  <c r="G3168" s="1"/>
  <c r="F15" i="18"/>
  <c r="G442" i="11"/>
  <c r="G443" s="1"/>
  <c r="G444" s="1"/>
  <c r="G445" s="1"/>
  <c r="G2764" i="25"/>
  <c r="G2765" s="1"/>
  <c r="E1154" i="14" s="1"/>
  <c r="G220" i="15"/>
  <c r="G221" s="1"/>
  <c r="G222" s="1"/>
  <c r="H480" i="5"/>
  <c r="F559" s="1"/>
  <c r="I3524" i="19"/>
  <c r="I3544" s="1"/>
  <c r="G6121" i="21"/>
  <c r="G6129" s="1"/>
  <c r="G6130" s="1"/>
  <c r="G6131" s="1"/>
  <c r="G6132" s="1"/>
  <c r="G6133" s="1"/>
  <c r="E550" i="14" s="1"/>
  <c r="H390" i="11"/>
  <c r="E391" s="1"/>
  <c r="E392" s="1"/>
  <c r="E393" s="1"/>
  <c r="G536" i="24"/>
  <c r="G581" s="1"/>
  <c r="G3124" i="22"/>
  <c r="E3125" s="1"/>
  <c r="E3126" s="1"/>
  <c r="E3127" s="1"/>
  <c r="G3929" i="23"/>
  <c r="G3950" s="1"/>
  <c r="G3878"/>
  <c r="G3899" s="1"/>
  <c r="H2694" i="11"/>
  <c r="E2695" s="1"/>
  <c r="E2696" s="1"/>
  <c r="E2697" s="1"/>
  <c r="H2372"/>
  <c r="E2373" s="1"/>
  <c r="E2374" s="1"/>
  <c r="E2375" s="1"/>
  <c r="G2563" i="24"/>
  <c r="G2564" s="1"/>
  <c r="G2565" s="1"/>
  <c r="G2586" s="1"/>
  <c r="G102"/>
  <c r="G157" s="1"/>
  <c r="H482" i="5"/>
  <c r="F562" s="1"/>
  <c r="F79" i="18" s="1"/>
  <c r="E3894" i="23"/>
  <c r="E3895" s="1"/>
  <c r="E3896" s="1"/>
  <c r="F864" i="14" s="1"/>
  <c r="E2835" i="11"/>
  <c r="E2836" s="1"/>
  <c r="E2837" s="1"/>
  <c r="G2842"/>
  <c r="G2843" s="1"/>
  <c r="G2844" s="1"/>
  <c r="G2845" s="1"/>
  <c r="G2846" s="1"/>
  <c r="I5884" i="19"/>
  <c r="I5892" s="1"/>
  <c r="G6042" i="21"/>
  <c r="G4098" i="23"/>
  <c r="E4099" s="1"/>
  <c r="E4100" s="1"/>
  <c r="E4101" s="1"/>
  <c r="F876" i="14" s="1"/>
  <c r="G3791" i="23"/>
  <c r="E3792" s="1"/>
  <c r="E3793" s="1"/>
  <c r="E3794" s="1"/>
  <c r="F858" i="14" s="1"/>
  <c r="G2875" i="10"/>
  <c r="G2883" s="1"/>
  <c r="G2885" s="1"/>
  <c r="G7836" i="21"/>
  <c r="G7844" s="1"/>
  <c r="G3768" i="22"/>
  <c r="E3769" s="1"/>
  <c r="E3770" s="1"/>
  <c r="E3771" s="1"/>
  <c r="H2518" i="11"/>
  <c r="E2519" s="1"/>
  <c r="E2520" s="1"/>
  <c r="E2521" s="1"/>
  <c r="H562"/>
  <c r="H307"/>
  <c r="H611" i="25"/>
  <c r="G2526" i="11"/>
  <c r="E3042" i="10"/>
  <c r="E3043" s="1"/>
  <c r="E3044" s="1"/>
  <c r="F565" i="24"/>
  <c r="G565" s="1"/>
  <c r="F2817" i="10"/>
  <c r="G2817" s="1"/>
  <c r="F45" i="18"/>
  <c r="H458" i="5"/>
  <c r="F536" s="1"/>
  <c r="F237" i="10" s="1"/>
  <c r="G237" s="1"/>
  <c r="H446" i="5"/>
  <c r="F524" s="1"/>
  <c r="F213" i="20" s="1"/>
  <c r="G213" s="1"/>
  <c r="G3976" i="22"/>
  <c r="H460" i="5"/>
  <c r="F538" s="1"/>
  <c r="H5296" i="19" s="1"/>
  <c r="I5296" s="1"/>
  <c r="I6398"/>
  <c r="G6399" s="1"/>
  <c r="G6400" s="1"/>
  <c r="G6401" s="1"/>
  <c r="F241" i="14" s="1"/>
  <c r="F2728" i="22"/>
  <c r="G4047" i="23"/>
  <c r="F2234" i="20"/>
  <c r="G2234" s="1"/>
  <c r="G2337"/>
  <c r="H417" i="5"/>
  <c r="F495" s="1"/>
  <c r="H2110" i="19" s="1"/>
  <c r="I2110" s="1"/>
  <c r="G692" i="23"/>
  <c r="G693" s="1"/>
  <c r="H437" i="5"/>
  <c r="F515" s="1"/>
  <c r="G5966" i="21"/>
  <c r="I4382" i="19"/>
  <c r="F660" i="24"/>
  <c r="G660" s="1"/>
  <c r="F77" i="18"/>
  <c r="F1381" i="24"/>
  <c r="G1381" s="1"/>
  <c r="F134"/>
  <c r="G134" s="1"/>
  <c r="F561"/>
  <c r="G561" s="1"/>
  <c r="F763"/>
  <c r="G763" s="1"/>
  <c r="G3664" i="22"/>
  <c r="F397" i="20"/>
  <c r="G397" s="1"/>
  <c r="F39" i="18"/>
  <c r="F1111" i="20"/>
  <c r="G1111" s="1"/>
  <c r="G1114" s="1"/>
  <c r="E1115" s="1"/>
  <c r="E1116" s="1"/>
  <c r="E1117" s="1"/>
  <c r="F280" i="14" s="1"/>
  <c r="G5885" i="19"/>
  <c r="G5886" s="1"/>
  <c r="G5887" s="1"/>
  <c r="F217" i="14" s="1"/>
  <c r="G5869" i="21"/>
  <c r="G1334" i="11"/>
  <c r="G1335" s="1"/>
  <c r="G1336" s="1"/>
  <c r="G1337" s="1"/>
  <c r="G1338" s="1"/>
  <c r="H463" i="5"/>
  <c r="F541" s="1"/>
  <c r="F58" i="18" s="1"/>
  <c r="G4081" i="22"/>
  <c r="H419" i="5"/>
  <c r="F497" s="1"/>
  <c r="H774" i="19" s="1"/>
  <c r="I774" s="1"/>
  <c r="G3872" i="22"/>
  <c r="G7023" i="21"/>
  <c r="H2502" i="11"/>
  <c r="H2503" s="1"/>
  <c r="H2504" s="1"/>
  <c r="G2524" s="1"/>
  <c r="G2527" s="1"/>
  <c r="G2528" s="1"/>
  <c r="G2529" s="1"/>
  <c r="G2530" s="1"/>
  <c r="G5834" i="21"/>
  <c r="G5835" s="1"/>
  <c r="F5848" s="1"/>
  <c r="G5848" s="1"/>
  <c r="I5500" i="19"/>
  <c r="I5533" s="1"/>
  <c r="G1112" i="24"/>
  <c r="G1155" s="1"/>
  <c r="H429" i="19"/>
  <c r="I429" s="1"/>
  <c r="H5054"/>
  <c r="I5054" s="1"/>
  <c r="F2840" i="21"/>
  <c r="G2840" s="1"/>
  <c r="H5271" i="19"/>
  <c r="I5271" s="1"/>
  <c r="H5190"/>
  <c r="I5190" s="1"/>
  <c r="F2942" i="21"/>
  <c r="G2942" s="1"/>
  <c r="F2349"/>
  <c r="G2349" s="1"/>
  <c r="F2955" i="11"/>
  <c r="G2955" s="1"/>
  <c r="F2152" i="21"/>
  <c r="G2152" s="1"/>
  <c r="F3267"/>
  <c r="G3267" s="1"/>
  <c r="F1463"/>
  <c r="G1463" s="1"/>
  <c r="H4593" i="19"/>
  <c r="I4593" s="1"/>
  <c r="H4800"/>
  <c r="I4800" s="1"/>
  <c r="G2099" i="25"/>
  <c r="H2099" s="1"/>
  <c r="F3189" i="21"/>
  <c r="G3189" s="1"/>
  <c r="H928" i="19"/>
  <c r="I928" s="1"/>
  <c r="F2663" i="25"/>
  <c r="G2663" s="1"/>
  <c r="G2341"/>
  <c r="H2341" s="1"/>
  <c r="F2908" i="11"/>
  <c r="G2908" s="1"/>
  <c r="F2264" i="21"/>
  <c r="G2264" s="1"/>
  <c r="F1961"/>
  <c r="G1961" s="1"/>
  <c r="F3105"/>
  <c r="G3105" s="1"/>
  <c r="F2617" i="25"/>
  <c r="G2617" s="1"/>
  <c r="F3027" i="21"/>
  <c r="G3027" s="1"/>
  <c r="F613"/>
  <c r="G613" s="1"/>
  <c r="I1094" i="19"/>
  <c r="I1118" s="1"/>
  <c r="I920"/>
  <c r="I957" s="1"/>
  <c r="G1196" i="21"/>
  <c r="G1236" s="1"/>
  <c r="H2575" i="11"/>
  <c r="H2576" s="1"/>
  <c r="H2577" s="1"/>
  <c r="G2600" s="1"/>
  <c r="G1499" i="20"/>
  <c r="G1536" s="1"/>
  <c r="G182"/>
  <c r="G186" s="1"/>
  <c r="G238" s="1"/>
  <c r="G1282" i="10"/>
  <c r="G1320" s="1"/>
  <c r="G3175"/>
  <c r="G3194" s="1"/>
  <c r="H392" i="19"/>
  <c r="H393" s="1"/>
  <c r="H394" s="1"/>
  <c r="F1451" i="21"/>
  <c r="G1451" s="1"/>
  <c r="G1450"/>
  <c r="G2874" i="24"/>
  <c r="G2896" s="1"/>
  <c r="G6770" i="21"/>
  <c r="G6771" s="1"/>
  <c r="G6772" s="1"/>
  <c r="G6773" s="1"/>
  <c r="E588" i="14" s="1"/>
  <c r="G4377" i="22"/>
  <c r="G4396" s="1"/>
  <c r="G904" i="24"/>
  <c r="G945" s="1"/>
  <c r="H1096" i="11"/>
  <c r="H952"/>
  <c r="H1095"/>
  <c r="H951"/>
  <c r="H879"/>
  <c r="H880" s="1"/>
  <c r="G889" s="1"/>
  <c r="H889" s="1"/>
  <c r="H890" s="1"/>
  <c r="G914" s="1"/>
  <c r="G1487" i="10"/>
  <c r="G1527" s="1"/>
  <c r="G415"/>
  <c r="G463" s="1"/>
  <c r="G1562" i="24"/>
  <c r="G1605" s="1"/>
  <c r="G1656"/>
  <c r="G1700" s="1"/>
  <c r="G2471"/>
  <c r="G2504" s="1"/>
  <c r="G3455" i="22"/>
  <c r="G3477" s="1"/>
  <c r="G3827" i="23"/>
  <c r="G3848" s="1"/>
  <c r="I4110" i="19"/>
  <c r="I4129" s="1"/>
  <c r="G7671" i="21"/>
  <c r="G7697" s="1"/>
  <c r="G3203" i="22"/>
  <c r="G3204" s="1"/>
  <c r="G3206" s="1"/>
  <c r="G3227" s="1"/>
  <c r="G3776" i="23"/>
  <c r="G3797" s="1"/>
  <c r="I6238" i="19"/>
  <c r="I6258" s="1"/>
  <c r="G5850" i="21"/>
  <c r="G5875" s="1"/>
  <c r="G6569"/>
  <c r="G6589" s="1"/>
  <c r="G6617"/>
  <c r="G6637" s="1"/>
  <c r="H696" i="15"/>
  <c r="H697" s="1"/>
  <c r="H698" s="1"/>
  <c r="H468" i="25"/>
  <c r="G488" s="1"/>
  <c r="G3051" i="10"/>
  <c r="G3050"/>
  <c r="E657" i="25"/>
  <c r="E658" s="1"/>
  <c r="E659" s="1"/>
  <c r="F1029" i="14" s="1"/>
  <c r="G664" i="25"/>
  <c r="G665" s="1"/>
  <c r="G666" s="1"/>
  <c r="G667" s="1"/>
  <c r="G668" s="1"/>
  <c r="E1028" i="14" s="1"/>
  <c r="F2848" i="23"/>
  <c r="G2848" s="1"/>
  <c r="F2980"/>
  <c r="G2980" s="1"/>
  <c r="F706" i="22"/>
  <c r="G706" s="1"/>
  <c r="F2120" i="23"/>
  <c r="G2120" s="1"/>
  <c r="F1619" i="22"/>
  <c r="G1619" s="1"/>
  <c r="F2609"/>
  <c r="G2609" s="1"/>
  <c r="F2852"/>
  <c r="G2852" s="1"/>
  <c r="F2988"/>
  <c r="G2988" s="1"/>
  <c r="F1862" i="21"/>
  <c r="G1862" s="1"/>
  <c r="F2066"/>
  <c r="G2066" s="1"/>
  <c r="F3203"/>
  <c r="G3203" s="1"/>
  <c r="F4924"/>
  <c r="G4924" s="1"/>
  <c r="F2281" i="22"/>
  <c r="G2281" s="1"/>
  <c r="F4352" i="21"/>
  <c r="G4352" s="1"/>
  <c r="F4796"/>
  <c r="G4796" s="1"/>
  <c r="F5622"/>
  <c r="G5622" s="1"/>
  <c r="F6273"/>
  <c r="G6273" s="1"/>
  <c r="G6279" s="1"/>
  <c r="F8191"/>
  <c r="G8191" s="1"/>
  <c r="G8196" s="1"/>
  <c r="F8490"/>
  <c r="G8490" s="1"/>
  <c r="G8495" s="1"/>
  <c r="G1961" i="11"/>
  <c r="H1961" s="1"/>
  <c r="G2202"/>
  <c r="H2202" s="1"/>
  <c r="F753" i="23"/>
  <c r="G753" s="1"/>
  <c r="F1956"/>
  <c r="G1956" s="1"/>
  <c r="F6328" i="21"/>
  <c r="G6328" s="1"/>
  <c r="G6333" s="1"/>
  <c r="F5225"/>
  <c r="G5225" s="1"/>
  <c r="F5533"/>
  <c r="G5533" s="1"/>
  <c r="F7326"/>
  <c r="G7326" s="1"/>
  <c r="F2689" i="23"/>
  <c r="G2689" s="1"/>
  <c r="F2911"/>
  <c r="G2911" s="1"/>
  <c r="F3050"/>
  <c r="G3050" s="1"/>
  <c r="F1213" i="22"/>
  <c r="G1213" s="1"/>
  <c r="F2451" i="23"/>
  <c r="G2451" s="1"/>
  <c r="F2528" i="22"/>
  <c r="G2528" s="1"/>
  <c r="F2690"/>
  <c r="G2690" s="1"/>
  <c r="F2917"/>
  <c r="G2917" s="1"/>
  <c r="F3060"/>
  <c r="G3060" s="1"/>
  <c r="F1981" i="21"/>
  <c r="G1981" s="1"/>
  <c r="F3041"/>
  <c r="G3041" s="1"/>
  <c r="F4662"/>
  <c r="G4662" s="1"/>
  <c r="F1939" i="22"/>
  <c r="G1939" s="1"/>
  <c r="F4264" i="21"/>
  <c r="G4264" s="1"/>
  <c r="F4446"/>
  <c r="G4446" s="1"/>
  <c r="F5140"/>
  <c r="G5140" s="1"/>
  <c r="F5748"/>
  <c r="G5748" s="1"/>
  <c r="F8420"/>
  <c r="G8420" s="1"/>
  <c r="G8425" s="1"/>
  <c r="G906" i="11"/>
  <c r="H906" s="1"/>
  <c r="G2081"/>
  <c r="H2081" s="1"/>
  <c r="G2325"/>
  <c r="H2325" s="1"/>
  <c r="F1248" i="23"/>
  <c r="G1248" s="1"/>
  <c r="F1714"/>
  <c r="G1714" s="1"/>
  <c r="F7620" i="21"/>
  <c r="G7620" s="1"/>
  <c r="G7627" s="1"/>
  <c r="G7635" s="1"/>
  <c r="F5351"/>
  <c r="G5351" s="1"/>
  <c r="F7058"/>
  <c r="G7058" s="1"/>
  <c r="F7486"/>
  <c r="G7486" s="1"/>
  <c r="G7492" s="1"/>
  <c r="G570" i="11"/>
  <c r="G571" s="1"/>
  <c r="G572" s="1"/>
  <c r="G573" s="1"/>
  <c r="G574" s="1"/>
  <c r="E563"/>
  <c r="E564" s="1"/>
  <c r="E565" s="1"/>
  <c r="G2002" i="10"/>
  <c r="G2042" s="1"/>
  <c r="G381" i="5"/>
  <c r="H381" s="1"/>
  <c r="E562" s="1"/>
  <c r="G906" i="20"/>
  <c r="G910" s="1"/>
  <c r="G964" s="1"/>
  <c r="E3873" i="22"/>
  <c r="E3874" s="1"/>
  <c r="E3875" s="1"/>
  <c r="G3880"/>
  <c r="F2135" i="20"/>
  <c r="F2137" s="1"/>
  <c r="F2195" s="1"/>
  <c r="G2195" s="1"/>
  <c r="G817" i="21"/>
  <c r="E4338" i="22"/>
  <c r="E4339" s="1"/>
  <c r="E4340" s="1"/>
  <c r="I1041" i="19"/>
  <c r="G982" i="21"/>
  <c r="G1016" s="1"/>
  <c r="G605"/>
  <c r="G642" s="1"/>
  <c r="G2043" i="20"/>
  <c r="G2082" s="1"/>
  <c r="I1493" i="19"/>
  <c r="H1510" s="1"/>
  <c r="G221" i="5"/>
  <c r="H433"/>
  <c r="F511" s="1"/>
  <c r="F4658" i="21" s="1"/>
  <c r="G4658" s="1"/>
  <c r="G6790"/>
  <c r="G6810" s="1"/>
  <c r="G6316"/>
  <c r="G6339" s="1"/>
  <c r="G1356" i="22"/>
  <c r="G3116" i="10"/>
  <c r="G3144" i="11"/>
  <c r="G3145" s="1"/>
  <c r="H735" i="15"/>
  <c r="H736" s="1"/>
  <c r="H737" s="1"/>
  <c r="G231"/>
  <c r="G232" s="1"/>
  <c r="G233" s="1"/>
  <c r="H455" i="5"/>
  <c r="F533" s="1"/>
  <c r="F1874" i="23" s="1"/>
  <c r="G1874" s="1"/>
  <c r="H432" i="5"/>
  <c r="F510" s="1"/>
  <c r="F27" i="18" s="1"/>
  <c r="F406" i="5"/>
  <c r="F407" s="1"/>
  <c r="G2194" i="10"/>
  <c r="H1381" i="11"/>
  <c r="H828" i="25"/>
  <c r="F664" i="24"/>
  <c r="G664" s="1"/>
  <c r="F572" i="20"/>
  <c r="G572" s="1"/>
  <c r="F5623" i="21"/>
  <c r="G5623" s="1"/>
  <c r="F2370"/>
  <c r="G2370" s="1"/>
  <c r="F7059"/>
  <c r="G7059" s="1"/>
  <c r="F1777"/>
  <c r="G1777" s="1"/>
  <c r="F2861"/>
  <c r="G2861" s="1"/>
  <c r="F6972"/>
  <c r="G6972" s="1"/>
  <c r="E7628"/>
  <c r="E7629" s="1"/>
  <c r="E7630" s="1"/>
  <c r="F622" i="14" s="1"/>
  <c r="G1244" i="25"/>
  <c r="H1244" s="1"/>
  <c r="G1311"/>
  <c r="H1311" s="1"/>
  <c r="G1038" i="11"/>
  <c r="H1038" s="1"/>
  <c r="G1021" i="25"/>
  <c r="H1021" s="1"/>
  <c r="G1270" i="20"/>
  <c r="D1318"/>
  <c r="G4888" i="21"/>
  <c r="D4948"/>
  <c r="D4819"/>
  <c r="G4758"/>
  <c r="E6499"/>
  <c r="E6500" s="1"/>
  <c r="E6501" s="1"/>
  <c r="F572" i="14" s="1"/>
  <c r="G6506" i="21"/>
  <c r="G6507" s="1"/>
  <c r="G6508" s="1"/>
  <c r="G6509" s="1"/>
  <c r="G6510" s="1"/>
  <c r="E571" i="14" s="1"/>
  <c r="H3440" i="19"/>
  <c r="I3440" s="1"/>
  <c r="I3444" s="1"/>
  <c r="F46" i="18"/>
  <c r="F1872" i="23"/>
  <c r="G1872" s="1"/>
  <c r="F206"/>
  <c r="G206" s="1"/>
  <c r="H755" i="19"/>
  <c r="I755" s="1"/>
  <c r="F611" i="21"/>
  <c r="G611" s="1"/>
  <c r="F1204"/>
  <c r="G1204" s="1"/>
  <c r="F5744"/>
  <c r="G5744" s="1"/>
  <c r="I5777" i="19"/>
  <c r="F5825"/>
  <c r="I4481"/>
  <c r="F1198" i="20"/>
  <c r="G1198" s="1"/>
  <c r="G2592" i="11"/>
  <c r="H2592" s="1"/>
  <c r="F653" i="24"/>
  <c r="G653" s="1"/>
  <c r="F427" i="10"/>
  <c r="G427" s="1"/>
  <c r="F756" i="24"/>
  <c r="G756" s="1"/>
  <c r="F232"/>
  <c r="G232" s="1"/>
  <c r="F1731" i="20"/>
  <c r="G1731" s="1"/>
  <c r="F126" i="24"/>
  <c r="G126" s="1"/>
  <c r="F602" i="23"/>
  <c r="G602" s="1"/>
  <c r="F553" i="22"/>
  <c r="G553" s="1"/>
  <c r="E20" i="18"/>
  <c r="F1366" i="24"/>
  <c r="G1366" s="1"/>
  <c r="F645"/>
  <c r="G645" s="1"/>
  <c r="F748"/>
  <c r="G748" s="1"/>
  <c r="F548"/>
  <c r="G548" s="1"/>
  <c r="F116"/>
  <c r="G116" s="1"/>
  <c r="E77" i="18"/>
  <c r="F69"/>
  <c r="D1319" i="20"/>
  <c r="G1271"/>
  <c r="D4947" i="21"/>
  <c r="G4890"/>
  <c r="D4820"/>
  <c r="G4756"/>
  <c r="G4622"/>
  <c r="D4686"/>
  <c r="I5774" i="19"/>
  <c r="F5823"/>
  <c r="H995"/>
  <c r="I995" s="1"/>
  <c r="H4683"/>
  <c r="I4683" s="1"/>
  <c r="H5294"/>
  <c r="I5294" s="1"/>
  <c r="H5074"/>
  <c r="I5074" s="1"/>
  <c r="F2677" i="25"/>
  <c r="G2677" s="1"/>
  <c r="H1319" i="19"/>
  <c r="I1319" s="1"/>
  <c r="H1261"/>
  <c r="I1261" s="1"/>
  <c r="H1209"/>
  <c r="I1209" s="1"/>
  <c r="G379" i="5"/>
  <c r="H379" s="1"/>
  <c r="E559" s="1"/>
  <c r="F114" i="24"/>
  <c r="G114" s="1"/>
  <c r="F1664"/>
  <c r="G1664" s="1"/>
  <c r="F428" i="22"/>
  <c r="G428" s="1"/>
  <c r="F420" i="21"/>
  <c r="G420" s="1"/>
  <c r="F1465"/>
  <c r="G1465" s="1"/>
  <c r="F280" i="23"/>
  <c r="G280" s="1"/>
  <c r="F992" i="21"/>
  <c r="G992" s="1"/>
  <c r="E13" i="18"/>
  <c r="H5506" i="19"/>
  <c r="I5506" s="1"/>
  <c r="F477" i="23"/>
  <c r="G477" s="1"/>
  <c r="F1638" i="21"/>
  <c r="G1638" s="1"/>
  <c r="H5409" i="19"/>
  <c r="I5409" s="1"/>
  <c r="F319" i="22"/>
  <c r="G319" s="1"/>
  <c r="F231"/>
  <c r="G231" s="1"/>
  <c r="F6166" i="21"/>
  <c r="G6166" s="1"/>
  <c r="F368" i="23"/>
  <c r="G368" s="1"/>
  <c r="F855" i="21"/>
  <c r="G855" s="1"/>
  <c r="F617"/>
  <c r="G617" s="1"/>
  <c r="F1208"/>
  <c r="G1208" s="1"/>
  <c r="F12" i="18"/>
  <c r="H1723" i="19"/>
  <c r="I1723" s="1"/>
  <c r="H5747"/>
  <c r="G5776" s="1"/>
  <c r="G5771"/>
  <c r="I5771" s="1"/>
  <c r="I4324"/>
  <c r="G6728" i="21"/>
  <c r="G6729" s="1"/>
  <c r="G6730" s="1"/>
  <c r="G6731" s="1"/>
  <c r="E585" i="14" s="1"/>
  <c r="F2807" i="19"/>
  <c r="G92" i="11"/>
  <c r="G93" s="1"/>
  <c r="G94" s="1"/>
  <c r="G95" s="1"/>
  <c r="G2751" i="24"/>
  <c r="G2771" s="1"/>
  <c r="H457" i="5"/>
  <c r="F535" s="1"/>
  <c r="F52" i="18" s="1"/>
  <c r="H438" i="5"/>
  <c r="F516" s="1"/>
  <c r="H472"/>
  <c r="F550" s="1"/>
  <c r="H471"/>
  <c r="F549" s="1"/>
  <c r="H467"/>
  <c r="F545" s="1"/>
  <c r="F377" i="15" s="1"/>
  <c r="G377" s="1"/>
  <c r="H464" i="5"/>
  <c r="F542" s="1"/>
  <c r="F176" i="21" s="1"/>
  <c r="G176" s="1"/>
  <c r="G179" s="1"/>
  <c r="H445" i="5"/>
  <c r="F523" s="1"/>
  <c r="F40" i="18" s="1"/>
  <c r="H429" i="5"/>
  <c r="F507" s="1"/>
  <c r="F1713" i="23" s="1"/>
  <c r="G1713" s="1"/>
  <c r="H415" i="5"/>
  <c r="F493" s="1"/>
  <c r="F10" i="18" s="1"/>
  <c r="I6665" i="19"/>
  <c r="I6674" s="1"/>
  <c r="I6675" s="1"/>
  <c r="I6676" s="1"/>
  <c r="I6610"/>
  <c r="I6595"/>
  <c r="I6616" s="1"/>
  <c r="I5937"/>
  <c r="I5957" s="1"/>
  <c r="I5960" s="1"/>
  <c r="I5961" s="1"/>
  <c r="I5962" s="1"/>
  <c r="I5963" s="1"/>
  <c r="E219" i="14" s="1"/>
  <c r="I4372" i="19"/>
  <c r="I4389" s="1"/>
  <c r="I3474"/>
  <c r="I3495" s="1"/>
  <c r="G714" i="20"/>
  <c r="G766" s="1"/>
  <c r="G7981" i="21"/>
  <c r="G4624"/>
  <c r="F1985" i="22"/>
  <c r="F2033" s="1"/>
  <c r="G2033" s="1"/>
  <c r="G2034" s="1"/>
  <c r="E6720" i="21"/>
  <c r="E6721" s="1"/>
  <c r="E6722" s="1"/>
  <c r="F586" i="14" s="1"/>
  <c r="G3799" i="23"/>
  <c r="G3800" s="1"/>
  <c r="G3801" s="1"/>
  <c r="G3802" s="1"/>
  <c r="G3803" s="1"/>
  <c r="E857" i="14" s="1"/>
  <c r="G3559" i="22"/>
  <c r="G1910"/>
  <c r="G760"/>
  <c r="G1825"/>
  <c r="E1747"/>
  <c r="G1747" s="1"/>
  <c r="G2336"/>
  <c r="E2364" i="20"/>
  <c r="G2364" s="1"/>
  <c r="E6862" i="21"/>
  <c r="G6862" s="1"/>
  <c r="G5595"/>
  <c r="E5511"/>
  <c r="G5511" s="1"/>
  <c r="I5870" i="19"/>
  <c r="I5890" s="1"/>
  <c r="I4045"/>
  <c r="I4081" s="1"/>
  <c r="G197" i="15"/>
  <c r="G198" s="1"/>
  <c r="F199" s="1"/>
  <c r="H465" i="5"/>
  <c r="F543" s="1"/>
  <c r="H459"/>
  <c r="F537" s="1"/>
  <c r="F54" i="18" s="1"/>
  <c r="H453" i="5"/>
  <c r="F531" s="1"/>
  <c r="F2039" i="23" s="1"/>
  <c r="G2039" s="1"/>
  <c r="H452" i="5"/>
  <c r="F530" s="1"/>
  <c r="H430"/>
  <c r="F508" s="1"/>
  <c r="H3976" i="19" s="1"/>
  <c r="I3976" s="1"/>
  <c r="I3992" s="1"/>
  <c r="H424" i="5"/>
  <c r="F502" s="1"/>
  <c r="H2354" i="19" s="1"/>
  <c r="I2354" s="1"/>
  <c r="H423" i="5"/>
  <c r="F501" s="1"/>
  <c r="F2392" i="20" s="1"/>
  <c r="G2392" s="1"/>
  <c r="H416" i="5"/>
  <c r="F494" s="1"/>
  <c r="F2577" i="24" s="1"/>
  <c r="G2577" s="1"/>
  <c r="G2580" s="1"/>
  <c r="H414" i="5"/>
  <c r="F492" s="1"/>
  <c r="F4791" i="21" s="1"/>
  <c r="G4791" s="1"/>
  <c r="F335" i="5"/>
  <c r="H475"/>
  <c r="F553" s="1"/>
  <c r="G2083" i="11" s="1"/>
  <c r="H2083" s="1"/>
  <c r="H469" i="5"/>
  <c r="F547" s="1"/>
  <c r="H454"/>
  <c r="F532" s="1"/>
  <c r="I6119" i="19"/>
  <c r="I6121" s="1"/>
  <c r="I6141" s="1"/>
  <c r="I6001"/>
  <c r="I5776"/>
  <c r="I1694"/>
  <c r="G8179" i="21"/>
  <c r="G8202" s="1"/>
  <c r="E2255" i="22"/>
  <c r="G2255" s="1"/>
  <c r="E2259"/>
  <c r="E2252"/>
  <c r="E2253"/>
  <c r="E2257"/>
  <c r="G2257" s="1"/>
  <c r="E2291"/>
  <c r="I2867" i="19"/>
  <c r="I2075"/>
  <c r="I1588"/>
  <c r="I1589" s="1"/>
  <c r="I1592" s="1"/>
  <c r="G8083" i="21"/>
  <c r="G7604"/>
  <c r="G7533"/>
  <c r="G7536" s="1"/>
  <c r="G7562" s="1"/>
  <c r="G7215"/>
  <c r="G7037"/>
  <c r="G3747"/>
  <c r="E2168" i="22"/>
  <c r="G2168" s="1"/>
  <c r="D2219"/>
  <c r="E2165"/>
  <c r="E2166"/>
  <c r="E2170"/>
  <c r="G2170" s="1"/>
  <c r="E1222"/>
  <c r="E1183"/>
  <c r="E1184"/>
  <c r="G1184" s="1"/>
  <c r="E1186"/>
  <c r="G1186" s="1"/>
  <c r="D1237"/>
  <c r="I3795" i="19"/>
  <c r="I3649"/>
  <c r="I2689"/>
  <c r="I1835"/>
  <c r="I1547"/>
  <c r="I1366"/>
  <c r="G8551" i="21"/>
  <c r="G3033" i="23"/>
  <c r="G3319" i="22"/>
  <c r="F2751"/>
  <c r="G2586"/>
  <c r="G1746"/>
  <c r="G1222"/>
  <c r="H1366" i="11"/>
  <c r="G1387" s="1"/>
  <c r="G3301" i="22"/>
  <c r="G3302" s="1"/>
  <c r="G3304" s="1"/>
  <c r="G3325" s="1"/>
  <c r="G2833"/>
  <c r="G2837" s="1"/>
  <c r="G2869" s="1"/>
  <c r="G2785"/>
  <c r="G2805" s="1"/>
  <c r="G2253"/>
  <c r="G2166"/>
  <c r="E2083"/>
  <c r="G2083" s="1"/>
  <c r="E2081"/>
  <c r="G2081" s="1"/>
  <c r="E2079"/>
  <c r="G2079" s="1"/>
  <c r="G1998"/>
  <c r="G1598"/>
  <c r="G1594"/>
  <c r="G1441"/>
  <c r="G1437"/>
  <c r="G1390"/>
  <c r="G1352"/>
  <c r="G1351"/>
  <c r="E1306"/>
  <c r="G1306" s="1"/>
  <c r="G1270"/>
  <c r="E1268"/>
  <c r="G1268" s="1"/>
  <c r="E1020"/>
  <c r="E1018"/>
  <c r="G1018" s="1"/>
  <c r="E1016"/>
  <c r="G1016" s="1"/>
  <c r="E1014"/>
  <c r="G1014" s="1"/>
  <c r="E969"/>
  <c r="G969" s="1"/>
  <c r="E933"/>
  <c r="G933" s="1"/>
  <c r="G931"/>
  <c r="E929"/>
  <c r="G929" s="1"/>
  <c r="E682"/>
  <c r="E680"/>
  <c r="G680" s="1"/>
  <c r="E678"/>
  <c r="G678" s="1"/>
  <c r="E676"/>
  <c r="G676" s="1"/>
  <c r="G4226" i="23"/>
  <c r="G4248" s="1"/>
  <c r="G3638"/>
  <c r="G3403"/>
  <c r="G3191"/>
  <c r="G3192" s="1"/>
  <c r="G3193" s="1"/>
  <c r="G3214" s="1"/>
  <c r="G2783"/>
  <c r="G2803" s="1"/>
  <c r="G1624"/>
  <c r="G2191" i="10"/>
  <c r="G981"/>
  <c r="G812"/>
  <c r="G661"/>
  <c r="G455"/>
  <c r="H1721" i="11"/>
  <c r="G3313" i="10"/>
  <c r="G3258"/>
  <c r="G3098"/>
  <c r="G3103" s="1"/>
  <c r="G3122" s="1"/>
  <c r="G2975"/>
  <c r="G2976" s="1"/>
  <c r="G2993" s="1"/>
  <c r="G2928"/>
  <c r="G2929" s="1"/>
  <c r="G2862"/>
  <c r="G2863" s="1"/>
  <c r="G2881" s="1"/>
  <c r="G2798"/>
  <c r="G2802" s="1"/>
  <c r="G2803" s="1"/>
  <c r="G2804" s="1"/>
  <c r="G2825" s="1"/>
  <c r="G2034"/>
  <c r="G1830"/>
  <c r="G1649"/>
  <c r="G1519"/>
  <c r="G1312"/>
  <c r="G1157"/>
  <c r="H1850" i="11"/>
  <c r="H1570"/>
  <c r="G1591" s="1"/>
  <c r="H554" i="25"/>
  <c r="G574" s="1"/>
  <c r="H1692"/>
  <c r="G1713" s="1"/>
  <c r="G2223"/>
  <c r="H2223" s="1"/>
  <c r="G2103"/>
  <c r="H2103" s="1"/>
  <c r="H4804" i="19"/>
  <c r="I4804" s="1"/>
  <c r="H5512"/>
  <c r="I5512" s="1"/>
  <c r="F1202" i="21"/>
  <c r="G1202" s="1"/>
  <c r="F2268"/>
  <c r="G2268" s="1"/>
  <c r="F2636"/>
  <c r="G2636" s="1"/>
  <c r="F4336"/>
  <c r="G4336" s="1"/>
  <c r="F1965"/>
  <c r="G1965" s="1"/>
  <c r="H297" i="19"/>
  <c r="I297" s="1"/>
  <c r="H205"/>
  <c r="I205" s="1"/>
  <c r="H2217"/>
  <c r="I2217" s="1"/>
  <c r="H4931"/>
  <c r="I4931" s="1"/>
  <c r="F294" i="15"/>
  <c r="G294" s="1"/>
  <c r="F418"/>
  <c r="G418" s="1"/>
  <c r="F520"/>
  <c r="G520" s="1"/>
  <c r="G1984" i="25"/>
  <c r="H1984" s="1"/>
  <c r="H5058" i="19"/>
  <c r="I5058" s="1"/>
  <c r="H5587"/>
  <c r="I5587" s="1"/>
  <c r="F284" i="15"/>
  <c r="G284" s="1"/>
  <c r="F408"/>
  <c r="G408" s="1"/>
  <c r="F510"/>
  <c r="G510" s="1"/>
  <c r="G1945" i="11"/>
  <c r="H1945" s="1"/>
  <c r="F615" i="21"/>
  <c r="G615" s="1"/>
  <c r="F1846"/>
  <c r="G1846" s="1"/>
  <c r="H118" i="19"/>
  <c r="I118" s="1"/>
  <c r="H2094"/>
  <c r="I2094" s="1"/>
  <c r="H1970"/>
  <c r="I1970" s="1"/>
  <c r="H4667"/>
  <c r="I4667" s="1"/>
  <c r="F274" i="15"/>
  <c r="G274" s="1"/>
  <c r="F376"/>
  <c r="G376" s="1"/>
  <c r="F500"/>
  <c r="G500" s="1"/>
  <c r="H5194" i="19"/>
  <c r="I5194" s="1"/>
  <c r="G2065" i="11"/>
  <c r="H2065" s="1"/>
  <c r="F2436" i="21"/>
  <c r="G2436" s="1"/>
  <c r="H1852" i="19"/>
  <c r="I1852" s="1"/>
  <c r="F356" i="15"/>
  <c r="G356" s="1"/>
  <c r="G2345" i="25"/>
  <c r="H2345" s="1"/>
  <c r="F428" i="15"/>
  <c r="G428" s="1"/>
  <c r="F1760" i="21"/>
  <c r="G1760" s="1"/>
  <c r="F304" i="15"/>
  <c r="G304" s="1"/>
  <c r="F853" i="21"/>
  <c r="G853" s="1"/>
  <c r="F1632"/>
  <c r="G1632" s="1"/>
  <c r="H4597" i="19"/>
  <c r="I4597" s="1"/>
  <c r="H5632"/>
  <c r="I5632" s="1"/>
  <c r="F480" i="15"/>
  <c r="G480" s="1"/>
  <c r="H1707" i="19"/>
  <c r="I1707" s="1"/>
  <c r="F2844" i="21"/>
  <c r="G2844" s="1"/>
  <c r="F2912" i="11"/>
  <c r="G2912" s="1"/>
  <c r="H433" i="19"/>
  <c r="I433" s="1"/>
  <c r="H5275"/>
  <c r="I5275" s="1"/>
  <c r="F244" i="15"/>
  <c r="G244" s="1"/>
  <c r="F346"/>
  <c r="G346" s="1"/>
  <c r="F448"/>
  <c r="G448" s="1"/>
  <c r="G2186" i="11"/>
  <c r="H2186" s="1"/>
  <c r="F116" i="21"/>
  <c r="G116" s="1"/>
  <c r="F990"/>
  <c r="G990" s="1"/>
  <c r="F2156"/>
  <c r="G2156" s="1"/>
  <c r="F2551"/>
  <c r="G2551" s="1"/>
  <c r="F4248"/>
  <c r="G4248" s="1"/>
  <c r="F248"/>
  <c r="G248" s="1"/>
  <c r="F2050"/>
  <c r="G2050" s="1"/>
  <c r="H576" i="19"/>
  <c r="I576" s="1"/>
  <c r="H761"/>
  <c r="I761" s="1"/>
  <c r="H2339"/>
  <c r="I2339" s="1"/>
  <c r="H5417"/>
  <c r="I5417" s="1"/>
  <c r="F336" i="15"/>
  <c r="G336" s="1"/>
  <c r="F438"/>
  <c r="G438" s="1"/>
  <c r="E62" i="18"/>
  <c r="F264" i="15"/>
  <c r="G264" s="1"/>
  <c r="F366"/>
  <c r="G366" s="1"/>
  <c r="F490"/>
  <c r="G490" s="1"/>
  <c r="G2309" i="11"/>
  <c r="H2309" s="1"/>
  <c r="F418" i="21"/>
  <c r="G418" s="1"/>
  <c r="F1459"/>
  <c r="G1459" s="1"/>
  <c r="F2353"/>
  <c r="G2353" s="1"/>
  <c r="F2758"/>
  <c r="G2758" s="1"/>
  <c r="F4984"/>
  <c r="G4984" s="1"/>
  <c r="F2946"/>
  <c r="G2946" s="1"/>
  <c r="F254" i="15"/>
  <c r="G254" s="1"/>
  <c r="F2621" i="25"/>
  <c r="G2621" s="1"/>
  <c r="H1253" i="19"/>
  <c r="I1253" s="1"/>
  <c r="H5196"/>
  <c r="I5196" s="1"/>
  <c r="H4933"/>
  <c r="I4933" s="1"/>
  <c r="H5060"/>
  <c r="I5060" s="1"/>
  <c r="F110" i="26"/>
  <c r="F75" i="13"/>
  <c r="D726" i="15"/>
  <c r="F78"/>
  <c r="F119" i="26"/>
  <c r="G7382" i="21"/>
  <c r="G7384" s="1"/>
  <c r="F7395" s="1"/>
  <c r="G7395" s="1"/>
  <c r="F924" i="20"/>
  <c r="G924" s="1"/>
  <c r="F558"/>
  <c r="G558" s="1"/>
  <c r="F4900" i="21"/>
  <c r="G4900" s="1"/>
  <c r="E9" i="18"/>
  <c r="F5326" i="21"/>
  <c r="G5326" s="1"/>
  <c r="G2327" i="20"/>
  <c r="G2328" s="1"/>
  <c r="G2329" s="1"/>
  <c r="F575"/>
  <c r="G575" s="1"/>
  <c r="F42" i="18"/>
  <c r="F1048" i="20"/>
  <c r="G1048" s="1"/>
  <c r="F825" i="23"/>
  <c r="G825" s="1"/>
  <c r="F1681" i="22"/>
  <c r="G1681" s="1"/>
  <c r="F7403" i="21"/>
  <c r="G7403" s="1"/>
  <c r="F2508" i="20"/>
  <c r="G2508" s="1"/>
  <c r="F1767"/>
  <c r="G1767" s="1"/>
  <c r="G1778" s="1"/>
  <c r="H1454" i="19"/>
  <c r="I1454" s="1"/>
  <c r="F30" i="18"/>
  <c r="G3201" i="11"/>
  <c r="G3202" s="1"/>
  <c r="G3203" s="1"/>
  <c r="G6639" i="21"/>
  <c r="E6632"/>
  <c r="E6633" s="1"/>
  <c r="E6634" s="1"/>
  <c r="F580" i="14" s="1"/>
  <c r="H749" i="15"/>
  <c r="H750" s="1"/>
  <c r="D752" s="1"/>
  <c r="F839" i="23"/>
  <c r="G839" s="1"/>
  <c r="F1414"/>
  <c r="G1414" s="1"/>
  <c r="F1299" i="22"/>
  <c r="G1299" s="1"/>
  <c r="F5227" i="21"/>
  <c r="G5227" s="1"/>
  <c r="H1722" i="19"/>
  <c r="I1722" s="1"/>
  <c r="H1867"/>
  <c r="I1867" s="1"/>
  <c r="H2109"/>
  <c r="I2109" s="1"/>
  <c r="F2062" i="20"/>
  <c r="G2062" s="1"/>
  <c r="F5345" i="21"/>
  <c r="G5345" s="1"/>
  <c r="F430"/>
  <c r="G430" s="1"/>
  <c r="H5423" i="19"/>
  <c r="I5423" s="1"/>
  <c r="G2204" i="11"/>
  <c r="H2204" s="1"/>
  <c r="F1983" i="21"/>
  <c r="G1983" s="1"/>
  <c r="F3205"/>
  <c r="G3205" s="1"/>
  <c r="G2002" i="25"/>
  <c r="H2002" s="1"/>
  <c r="F2168" i="21"/>
  <c r="G2168" s="1"/>
  <c r="F2569"/>
  <c r="G2569" s="1"/>
  <c r="F3121"/>
  <c r="G3121" s="1"/>
  <c r="H4615" i="19"/>
  <c r="I4615" s="1"/>
  <c r="G2363" i="25"/>
  <c r="H2363" s="1"/>
  <c r="F2491" i="24"/>
  <c r="G2491" s="1"/>
  <c r="F2407"/>
  <c r="G2407" s="1"/>
  <c r="F2324"/>
  <c r="G2324" s="1"/>
  <c r="F2325"/>
  <c r="G2325" s="1"/>
  <c r="F138"/>
  <c r="G138" s="1"/>
  <c r="F137"/>
  <c r="G137" s="1"/>
  <c r="F254"/>
  <c r="G254" s="1"/>
  <c r="F255"/>
  <c r="G255" s="1"/>
  <c r="F468"/>
  <c r="G468" s="1"/>
  <c r="F469"/>
  <c r="G469" s="1"/>
  <c r="F662"/>
  <c r="G662" s="1"/>
  <c r="F663"/>
  <c r="G663" s="1"/>
  <c r="F928"/>
  <c r="G928" s="1"/>
  <c r="F929"/>
  <c r="G929" s="1"/>
  <c r="F563"/>
  <c r="G563" s="1"/>
  <c r="F564"/>
  <c r="G564" s="1"/>
  <c r="F764"/>
  <c r="G764" s="1"/>
  <c r="F765"/>
  <c r="G765" s="1"/>
  <c r="F1137"/>
  <c r="G1137" s="1"/>
  <c r="F1138"/>
  <c r="G1138" s="1"/>
  <c r="F1383"/>
  <c r="G1383" s="1"/>
  <c r="F1384"/>
  <c r="G1384" s="1"/>
  <c r="F1682"/>
  <c r="G1682" s="1"/>
  <c r="F1683"/>
  <c r="G1683" s="1"/>
  <c r="F1274"/>
  <c r="G1274" s="1"/>
  <c r="F1588"/>
  <c r="G1588" s="1"/>
  <c r="F1880"/>
  <c r="G1880" s="1"/>
  <c r="F1881"/>
  <c r="G1881" s="1"/>
  <c r="F1275"/>
  <c r="G1275" s="1"/>
  <c r="F1587"/>
  <c r="G1587" s="1"/>
  <c r="F2033"/>
  <c r="G2033" s="1"/>
  <c r="F2034"/>
  <c r="G2034" s="1"/>
  <c r="F2231"/>
  <c r="G2231" s="1"/>
  <c r="F2232"/>
  <c r="G2232" s="1"/>
  <c r="F239" i="10"/>
  <c r="G239" s="1"/>
  <c r="F240"/>
  <c r="G240" s="1"/>
  <c r="F447"/>
  <c r="G447" s="1"/>
  <c r="F448"/>
  <c r="G448" s="1"/>
  <c r="F658"/>
  <c r="G658" s="1"/>
  <c r="F659"/>
  <c r="G659" s="1"/>
  <c r="F974"/>
  <c r="G974" s="1"/>
  <c r="F975"/>
  <c r="G975" s="1"/>
  <c r="F1306"/>
  <c r="G1306" s="1"/>
  <c r="F1307"/>
  <c r="G1307" s="1"/>
  <c r="F810"/>
  <c r="G810" s="1"/>
  <c r="F811"/>
  <c r="G811" s="1"/>
  <c r="F1149"/>
  <c r="G1149" s="1"/>
  <c r="F1150"/>
  <c r="G1150" s="1"/>
  <c r="F1512"/>
  <c r="G1512" s="1"/>
  <c r="F1513"/>
  <c r="G1513" s="1"/>
  <c r="F1827"/>
  <c r="G1827" s="1"/>
  <c r="F1828"/>
  <c r="G1828" s="1"/>
  <c r="F2188"/>
  <c r="G2188" s="1"/>
  <c r="F2189"/>
  <c r="G2189" s="1"/>
  <c r="F2532"/>
  <c r="G2532" s="1"/>
  <c r="F2533"/>
  <c r="G2533" s="1"/>
  <c r="F2727"/>
  <c r="G2727" s="1"/>
  <c r="F2728"/>
  <c r="G2728" s="1"/>
  <c r="F1646"/>
  <c r="G1646" s="1"/>
  <c r="F1647"/>
  <c r="G1647" s="1"/>
  <c r="F2027"/>
  <c r="G2027" s="1"/>
  <c r="F2028"/>
  <c r="G2028" s="1"/>
  <c r="F2382"/>
  <c r="G2382" s="1"/>
  <c r="F2383"/>
  <c r="G2383" s="1"/>
  <c r="F68" i="18"/>
  <c r="F2490" i="24"/>
  <c r="G2490" s="1"/>
  <c r="F2408"/>
  <c r="G2408" s="1"/>
  <c r="I5396" i="19"/>
  <c r="I5403" s="1"/>
  <c r="I5439" s="1"/>
  <c r="H421" i="5"/>
  <c r="F499" s="1"/>
  <c r="I5689" i="19"/>
  <c r="G3172" i="11"/>
  <c r="G3173" s="1"/>
  <c r="G3174" s="1"/>
  <c r="F5422" i="21"/>
  <c r="G5422" s="1"/>
  <c r="F396" i="20"/>
  <c r="G396" s="1"/>
  <c r="F1046"/>
  <c r="G1046" s="1"/>
  <c r="F1891"/>
  <c r="G1891" s="1"/>
  <c r="G1903" s="1"/>
  <c r="H2113" i="19"/>
  <c r="I2113" s="1"/>
  <c r="H2681"/>
  <c r="I2681" s="1"/>
  <c r="H2887"/>
  <c r="I2887" s="1"/>
  <c r="H3091"/>
  <c r="I3091" s="1"/>
  <c r="H4256"/>
  <c r="I4256" s="1"/>
  <c r="H3736"/>
  <c r="I3736" s="1"/>
  <c r="H4060"/>
  <c r="I4060" s="1"/>
  <c r="H3894"/>
  <c r="I3894" s="1"/>
  <c r="G2361" i="25"/>
  <c r="H2361" s="1"/>
  <c r="G2239"/>
  <c r="H2239" s="1"/>
  <c r="G2119"/>
  <c r="H2119" s="1"/>
  <c r="G2000"/>
  <c r="H2000" s="1"/>
  <c r="G1175"/>
  <c r="H1175" s="1"/>
  <c r="G1031"/>
  <c r="H1031" s="1"/>
  <c r="G955"/>
  <c r="H955" s="1"/>
  <c r="G1321"/>
  <c r="H1321" s="1"/>
  <c r="G1254"/>
  <c r="H1254" s="1"/>
  <c r="G1097"/>
  <c r="H1097" s="1"/>
  <c r="G1205" i="11"/>
  <c r="H1205" s="1"/>
  <c r="F2038" i="23"/>
  <c r="G2038" s="1"/>
  <c r="F837"/>
  <c r="G837" s="1"/>
  <c r="F919"/>
  <c r="G919" s="1"/>
  <c r="F1001"/>
  <c r="G1001" s="1"/>
  <c r="F1083"/>
  <c r="G1083" s="1"/>
  <c r="F1166"/>
  <c r="G1166" s="1"/>
  <c r="F1330"/>
  <c r="G1330" s="1"/>
  <c r="F1412"/>
  <c r="G1412" s="1"/>
  <c r="F1492"/>
  <c r="G1492" s="1"/>
  <c r="F1571"/>
  <c r="G1571" s="1"/>
  <c r="F1644"/>
  <c r="G1644" s="1"/>
  <c r="F1790"/>
  <c r="G1790" s="1"/>
  <c r="F2372"/>
  <c r="G2372" s="1"/>
  <c r="F2531"/>
  <c r="G2531" s="1"/>
  <c r="G1272" i="11"/>
  <c r="H1272" s="1"/>
  <c r="G1048"/>
  <c r="H1048" s="1"/>
  <c r="G1126"/>
  <c r="H1126" s="1"/>
  <c r="G982"/>
  <c r="H982" s="1"/>
  <c r="F34" i="18"/>
  <c r="F6971" i="21"/>
  <c r="G6971" s="1"/>
  <c r="F7145"/>
  <c r="G7145" s="1"/>
  <c r="F5443"/>
  <c r="G5443" s="1"/>
  <c r="F6882"/>
  <c r="G6882" s="1"/>
  <c r="F7240"/>
  <c r="G7240" s="1"/>
  <c r="F7413"/>
  <c r="G7413" s="1"/>
  <c r="F7551"/>
  <c r="G7551" s="1"/>
  <c r="G7556" s="1"/>
  <c r="F1873" i="23"/>
  <c r="G1873" s="1"/>
  <c r="F2610"/>
  <c r="G2610" s="1"/>
  <c r="F2205"/>
  <c r="G2205" s="1"/>
  <c r="F2290"/>
  <c r="G2290" s="1"/>
  <c r="F3562"/>
  <c r="G3562" s="1"/>
  <c r="F792" i="22"/>
  <c r="G792" s="1"/>
  <c r="F876"/>
  <c r="G876" s="1"/>
  <c r="F960"/>
  <c r="G960" s="1"/>
  <c r="F1044"/>
  <c r="G1044" s="1"/>
  <c r="F1129"/>
  <c r="G1129" s="1"/>
  <c r="F1297"/>
  <c r="G1297" s="1"/>
  <c r="F1381"/>
  <c r="G1381" s="1"/>
  <c r="F1463"/>
  <c r="G1463" s="1"/>
  <c r="F1544"/>
  <c r="G1544" s="1"/>
  <c r="F1691"/>
  <c r="G1691" s="1"/>
  <c r="F1769"/>
  <c r="G1769" s="1"/>
  <c r="F1854"/>
  <c r="G1854" s="1"/>
  <c r="F2365"/>
  <c r="G2365" s="1"/>
  <c r="F2023"/>
  <c r="G2023" s="1"/>
  <c r="F2107"/>
  <c r="G2107" s="1"/>
  <c r="F2194"/>
  <c r="G2194" s="1"/>
  <c r="F2446"/>
  <c r="G2446" s="1"/>
  <c r="F3586"/>
  <c r="G3586" s="1"/>
  <c r="F1776" i="21"/>
  <c r="G1776" s="1"/>
  <c r="F2284"/>
  <c r="G2284" s="1"/>
  <c r="F2369"/>
  <c r="G2369" s="1"/>
  <c r="F2567"/>
  <c r="G2567" s="1"/>
  <c r="F2652"/>
  <c r="G2652" s="1"/>
  <c r="F2774"/>
  <c r="G2774" s="1"/>
  <c r="F2860"/>
  <c r="G2860" s="1"/>
  <c r="F3119"/>
  <c r="G3119" s="1"/>
  <c r="F3281"/>
  <c r="G3281" s="1"/>
  <c r="F3403"/>
  <c r="G3403" s="1"/>
  <c r="G3412" s="1"/>
  <c r="F6386"/>
  <c r="G6386" s="1"/>
  <c r="G6392" s="1"/>
  <c r="F7686"/>
  <c r="G7686" s="1"/>
  <c r="G7691" s="1"/>
  <c r="H994" i="19"/>
  <c r="I994" s="1"/>
  <c r="I999" s="1"/>
  <c r="H4819"/>
  <c r="I4819" s="1"/>
  <c r="F2037" i="23"/>
  <c r="G2037" s="1"/>
  <c r="F1212" i="22"/>
  <c r="G1212" s="1"/>
  <c r="F2527"/>
  <c r="G2527" s="1"/>
  <c r="I6468" i="19"/>
  <c r="I6453"/>
  <c r="I6474" s="1"/>
  <c r="I6383"/>
  <c r="I6404" s="1"/>
  <c r="I6183"/>
  <c r="I6135"/>
  <c r="I6072"/>
  <c r="I6019"/>
  <c r="E4134" i="22"/>
  <c r="E4135" s="1"/>
  <c r="E4136" s="1"/>
  <c r="G377" i="5"/>
  <c r="H377" s="1"/>
  <c r="E556" s="1"/>
  <c r="C219"/>
  <c r="I3601" i="19"/>
  <c r="H1620"/>
  <c r="H1621" s="1"/>
  <c r="I1303"/>
  <c r="I1328" s="1"/>
  <c r="G1963" i="20"/>
  <c r="G1983" s="1"/>
  <c r="G1724"/>
  <c r="G1725" s="1"/>
  <c r="G1784" s="1"/>
  <c r="G1016"/>
  <c r="G1023" s="1"/>
  <c r="G1058" s="1"/>
  <c r="I3585" i="19"/>
  <c r="I3607" s="1"/>
  <c r="G2638" i="20"/>
  <c r="G2665" s="1"/>
  <c r="G2561"/>
  <c r="G2588" s="1"/>
  <c r="G2484"/>
  <c r="G2516" s="1"/>
  <c r="G1977"/>
  <c r="G8596" i="21"/>
  <c r="G8341"/>
  <c r="G8362" s="1"/>
  <c r="G7821"/>
  <c r="G7842" s="1"/>
  <c r="G7608"/>
  <c r="G7633" s="1"/>
  <c r="G5944"/>
  <c r="G5964" s="1"/>
  <c r="G4118" i="22"/>
  <c r="G4139" s="1"/>
  <c r="G4142" s="1"/>
  <c r="G4143" s="1"/>
  <c r="G4144" s="1"/>
  <c r="G4145" s="1"/>
  <c r="G4014"/>
  <c r="G4035" s="1"/>
  <c r="G3701"/>
  <c r="G3722" s="1"/>
  <c r="G3505"/>
  <c r="G3527" s="1"/>
  <c r="G3174"/>
  <c r="G2898"/>
  <c r="G2799"/>
  <c r="G3387" i="23"/>
  <c r="G3409" s="1"/>
  <c r="G4066" i="22"/>
  <c r="G4087" s="1"/>
  <c r="G3857"/>
  <c r="G3878" s="1"/>
  <c r="G3881" s="1"/>
  <c r="G3882" s="1"/>
  <c r="G3883" s="1"/>
  <c r="G3884" s="1"/>
  <c r="G313"/>
  <c r="G341" s="1"/>
  <c r="G3254" i="23"/>
  <c r="G2963"/>
  <c r="G652"/>
  <c r="G2987" i="10"/>
  <c r="G945"/>
  <c r="G989" s="1"/>
  <c r="H2778" i="11"/>
  <c r="G528" i="23"/>
  <c r="G549" s="1"/>
  <c r="G2515" i="10"/>
  <c r="G2546" s="1"/>
  <c r="G633"/>
  <c r="G673" s="1"/>
  <c r="G2207" i="24"/>
  <c r="G2248" s="1"/>
  <c r="H1032" i="11"/>
  <c r="G1056" s="1"/>
  <c r="H1256"/>
  <c r="G1280" s="1"/>
  <c r="H1373" i="25"/>
  <c r="E1374" s="1"/>
  <c r="E1375" s="1"/>
  <c r="E1376" s="1"/>
  <c r="F1070" i="14" s="1"/>
  <c r="H1411" i="25"/>
  <c r="G1432" s="1"/>
  <c r="H2456"/>
  <c r="E2457" s="1"/>
  <c r="E2458" s="1"/>
  <c r="E2459" s="1"/>
  <c r="F1119" i="14" s="1"/>
  <c r="G4775" i="25"/>
  <c r="H926"/>
  <c r="H927"/>
  <c r="H482"/>
  <c r="G490" s="1"/>
  <c r="H1612"/>
  <c r="G1633" s="1"/>
  <c r="H1627"/>
  <c r="H1745"/>
  <c r="G1767" s="1"/>
  <c r="H1761"/>
  <c r="H1470"/>
  <c r="G1492" s="1"/>
  <c r="H88"/>
  <c r="H132"/>
  <c r="G140" s="1"/>
  <c r="G141" s="1"/>
  <c r="G142" s="1"/>
  <c r="G143" s="1"/>
  <c r="G144" s="1"/>
  <c r="E991" i="14" s="1"/>
  <c r="G2928" i="25"/>
  <c r="F2945" s="1"/>
  <c r="H2442"/>
  <c r="G2462" s="1"/>
  <c r="H568"/>
  <c r="H1807"/>
  <c r="G2939"/>
  <c r="H356"/>
  <c r="H397"/>
  <c r="H439"/>
  <c r="H1081"/>
  <c r="G1105" s="1"/>
  <c r="H2491"/>
  <c r="G2510" s="1"/>
  <c r="H701"/>
  <c r="H1792"/>
  <c r="G1813" s="1"/>
  <c r="H1225"/>
  <c r="H1224"/>
  <c r="G2512"/>
  <c r="E2505"/>
  <c r="E2506" s="1"/>
  <c r="E2507" s="1"/>
  <c r="F1122" i="14" s="1"/>
  <c r="G2552" i="25"/>
  <c r="G2553" s="1"/>
  <c r="G2554" s="1"/>
  <c r="G2555" s="1"/>
  <c r="G2556" s="1"/>
  <c r="E1138" i="14" s="1"/>
  <c r="E2545" i="25"/>
  <c r="E2546" s="1"/>
  <c r="E2547" s="1"/>
  <c r="F1139" i="14" s="1"/>
  <c r="E2587" i="25"/>
  <c r="E2588" s="1"/>
  <c r="E2589" s="1"/>
  <c r="F1142" i="14" s="1"/>
  <c r="G2594" i="25"/>
  <c r="G2595" s="1"/>
  <c r="G2596" s="1"/>
  <c r="G2597" s="1"/>
  <c r="G2598" s="1"/>
  <c r="E1141" i="14" s="1"/>
  <c r="H177" i="25"/>
  <c r="H222"/>
  <c r="H267"/>
  <c r="H525"/>
  <c r="H742"/>
  <c r="H880"/>
  <c r="H1305"/>
  <c r="G1329" s="1"/>
  <c r="H1553"/>
  <c r="H1848"/>
  <c r="H1890"/>
  <c r="H2408"/>
  <c r="G2785"/>
  <c r="G2790" s="1"/>
  <c r="G2791" s="1"/>
  <c r="G2843"/>
  <c r="G2848" s="1"/>
  <c r="G2849" s="1"/>
  <c r="G2901"/>
  <c r="G2906" s="1"/>
  <c r="G2907" s="1"/>
  <c r="H1000"/>
  <c r="H1144"/>
  <c r="H1001"/>
  <c r="H1145"/>
  <c r="G8369" i="21" l="1"/>
  <c r="G8209"/>
  <c r="G7994"/>
  <c r="G8438"/>
  <c r="G8145"/>
  <c r="G8508"/>
  <c r="G8096"/>
  <c r="G3943"/>
  <c r="G3944" s="1"/>
  <c r="G3945" s="1"/>
  <c r="G3946" s="1"/>
  <c r="E465" i="14" s="1"/>
  <c r="F5329" i="21"/>
  <c r="G5329" s="1"/>
  <c r="D32" i="18"/>
  <c r="H5282" i="19"/>
  <c r="I5282" s="1"/>
  <c r="D55" i="18"/>
  <c r="F2911" i="19"/>
  <c r="I2864"/>
  <c r="E5202" i="21"/>
  <c r="G5202" s="1"/>
  <c r="E5203"/>
  <c r="G5203" s="1"/>
  <c r="E5200"/>
  <c r="G5200" s="1"/>
  <c r="E5201"/>
  <c r="G5201" s="1"/>
  <c r="D5248"/>
  <c r="E5198"/>
  <c r="E5199"/>
  <c r="G5199" s="1"/>
  <c r="E5235"/>
  <c r="G5235" s="1"/>
  <c r="E4195" i="23"/>
  <c r="E4196" s="1"/>
  <c r="E4197" s="1"/>
  <c r="F884" i="14" s="1"/>
  <c r="G954" i="25"/>
  <c r="H954" s="1"/>
  <c r="H957" s="1"/>
  <c r="F2051" i="20"/>
  <c r="G2051" s="1"/>
  <c r="F2205"/>
  <c r="G2205" s="1"/>
  <c r="H5793" i="19"/>
  <c r="I5793" s="1"/>
  <c r="H5279"/>
  <c r="I5279" s="1"/>
  <c r="F2665" i="25"/>
  <c r="G2665" s="1"/>
  <c r="H4669" i="19"/>
  <c r="I4669" s="1"/>
  <c r="G3318" i="10"/>
  <c r="G3337" s="1"/>
  <c r="F943" i="20"/>
  <c r="G943" s="1"/>
  <c r="G621" i="22"/>
  <c r="G623" s="1"/>
  <c r="E8249" i="21"/>
  <c r="E8250" s="1"/>
  <c r="E8251" s="1"/>
  <c r="F659" i="14" s="1"/>
  <c r="G2992" i="23"/>
  <c r="G2993" s="1"/>
  <c r="G2994" s="1"/>
  <c r="H252" i="5"/>
  <c r="F100" i="15"/>
  <c r="H249" i="5"/>
  <c r="D522" s="1"/>
  <c r="G4346" i="22"/>
  <c r="G4347" s="1"/>
  <c r="G4348" s="1"/>
  <c r="G4349" s="1"/>
  <c r="G2477" i="11"/>
  <c r="G2478" s="1"/>
  <c r="G2479" s="1"/>
  <c r="G2480" s="1"/>
  <c r="I3547" i="19"/>
  <c r="I3548" s="1"/>
  <c r="F218" i="20"/>
  <c r="G218" s="1"/>
  <c r="F2579"/>
  <c r="G2579" s="1"/>
  <c r="H2574" i="19"/>
  <c r="I2574" s="1"/>
  <c r="H2963"/>
  <c r="I2963" s="1"/>
  <c r="F2064" i="20"/>
  <c r="G2064" s="1"/>
  <c r="F1410"/>
  <c r="G1410" s="1"/>
  <c r="G3068" i="19"/>
  <c r="I3068" s="1"/>
  <c r="G3069"/>
  <c r="G3066"/>
  <c r="I3066" s="1"/>
  <c r="G3065"/>
  <c r="I3065" s="1"/>
  <c r="G3100"/>
  <c r="I3100" s="1"/>
  <c r="G3067"/>
  <c r="F4349" i="21"/>
  <c r="G4349" s="1"/>
  <c r="G1047" i="11"/>
  <c r="H1047" s="1"/>
  <c r="H3434" i="19"/>
  <c r="I3434" s="1"/>
  <c r="F4771" i="21"/>
  <c r="G4771" s="1"/>
  <c r="F4637"/>
  <c r="G4637" s="1"/>
  <c r="F5327"/>
  <c r="F2957" i="11"/>
  <c r="G2957" s="1"/>
  <c r="H1201" i="19"/>
  <c r="I1201" s="1"/>
  <c r="H1311"/>
  <c r="I1311" s="1"/>
  <c r="G1626" i="23"/>
  <c r="I6005" i="19"/>
  <c r="I6025" s="1"/>
  <c r="E3371" i="22"/>
  <c r="E3372" s="1"/>
  <c r="E3373" s="1"/>
  <c r="F747" i="20"/>
  <c r="G747" s="1"/>
  <c r="F779" i="22"/>
  <c r="G779" s="1"/>
  <c r="I6260" i="19"/>
  <c r="F577" i="20"/>
  <c r="G577" s="1"/>
  <c r="E780" i="11"/>
  <c r="E781" s="1"/>
  <c r="E782" s="1"/>
  <c r="E265"/>
  <c r="E266" s="1"/>
  <c r="E267" s="1"/>
  <c r="H292" i="5"/>
  <c r="E1444" i="11"/>
  <c r="E1445" s="1"/>
  <c r="E1446" s="1"/>
  <c r="E6946" i="21"/>
  <c r="E6950"/>
  <c r="G6950" s="1"/>
  <c r="E6948"/>
  <c r="G6948" s="1"/>
  <c r="G1013" i="22"/>
  <c r="E1019"/>
  <c r="G1019" s="1"/>
  <c r="F1753" i="19"/>
  <c r="G491" i="25"/>
  <c r="G492" s="1"/>
  <c r="G493" s="1"/>
  <c r="G494" s="1"/>
  <c r="E1016" i="14" s="1"/>
  <c r="F2378" i="20"/>
  <c r="G2378" s="1"/>
  <c r="H4599" i="19"/>
  <c r="I4599" s="1"/>
  <c r="E35" i="18"/>
  <c r="H4806" i="19"/>
  <c r="I4806" s="1"/>
  <c r="I1371"/>
  <c r="I1395" s="1"/>
  <c r="G527" i="11"/>
  <c r="G528" s="1"/>
  <c r="G529" s="1"/>
  <c r="G530" s="1"/>
  <c r="G531" s="1"/>
  <c r="F947" i="22"/>
  <c r="G947" s="1"/>
  <c r="I6261" i="19"/>
  <c r="I6262" s="1"/>
  <c r="I6263" s="1"/>
  <c r="I6264" s="1"/>
  <c r="E234" i="14" s="1"/>
  <c r="G6592" i="21"/>
  <c r="G6593" s="1"/>
  <c r="G6594" s="1"/>
  <c r="G6595" s="1"/>
  <c r="E576" i="14" s="1"/>
  <c r="H1727" i="19"/>
  <c r="I1727" s="1"/>
  <c r="E2722" i="25"/>
  <c r="E2723" s="1"/>
  <c r="E2724" s="1"/>
  <c r="F1151" i="14" s="1"/>
  <c r="H284" i="5"/>
  <c r="D552" s="1"/>
  <c r="F733" i="20" s="1"/>
  <c r="G733" s="1"/>
  <c r="G3871" i="21"/>
  <c r="G6093"/>
  <c r="G6094" s="1"/>
  <c r="G6095" s="1"/>
  <c r="G6096" s="1"/>
  <c r="E547" i="14" s="1"/>
  <c r="F398" i="20"/>
  <c r="G398" s="1"/>
  <c r="F3346" i="19"/>
  <c r="G613" i="22"/>
  <c r="G612"/>
  <c r="F4238" i="23"/>
  <c r="G4238" s="1"/>
  <c r="G4242" s="1"/>
  <c r="H5212" i="19"/>
  <c r="I5212" s="1"/>
  <c r="F2654" i="21"/>
  <c r="G2654" s="1"/>
  <c r="F2286"/>
  <c r="G2286" s="1"/>
  <c r="F3354"/>
  <c r="G3354" s="1"/>
  <c r="F2068"/>
  <c r="G2068" s="1"/>
  <c r="G2327" i="11"/>
  <c r="H2327" s="1"/>
  <c r="F18" i="18"/>
  <c r="F4918" i="21"/>
  <c r="G4918" s="1"/>
  <c r="F1770" i="22"/>
  <c r="G1770" s="1"/>
  <c r="G1204" i="11"/>
  <c r="H1204" s="1"/>
  <c r="H1207" s="1"/>
  <c r="G905"/>
  <c r="H905" s="1"/>
  <c r="H908" s="1"/>
  <c r="G981"/>
  <c r="H981" s="1"/>
  <c r="F71" i="18"/>
  <c r="G6647" i="21"/>
  <c r="E573" i="14" s="1"/>
  <c r="F1453" i="22"/>
  <c r="G1453" s="1"/>
  <c r="F1400" i="23"/>
  <c r="G1400" s="1"/>
  <c r="E58" i="18"/>
  <c r="F200" i="20"/>
  <c r="G200" s="1"/>
  <c r="G1594" i="11"/>
  <c r="G1595" s="1"/>
  <c r="G1596" s="1"/>
  <c r="G1597" s="1"/>
  <c r="F73" i="22"/>
  <c r="G73" s="1"/>
  <c r="F122" i="23"/>
  <c r="G122" s="1"/>
  <c r="H4595" i="19"/>
  <c r="I4595" s="1"/>
  <c r="F157" i="22"/>
  <c r="G157" s="1"/>
  <c r="F2371" i="23"/>
  <c r="G2371" s="1"/>
  <c r="F446" i="10"/>
  <c r="G446" s="1"/>
  <c r="H289" i="5"/>
  <c r="D556" s="1"/>
  <c r="F1567" i="24" s="1"/>
  <c r="G1567" s="1"/>
  <c r="G4101" i="21"/>
  <c r="G1494" i="25"/>
  <c r="F2283" i="21"/>
  <c r="G2283" s="1"/>
  <c r="F1648"/>
  <c r="G1648" s="1"/>
  <c r="H5076" i="19"/>
  <c r="I5076" s="1"/>
  <c r="H4949"/>
  <c r="I4949" s="1"/>
  <c r="F2776" i="21"/>
  <c r="G2776" s="1"/>
  <c r="F2371"/>
  <c r="G2371" s="1"/>
  <c r="F70" i="18"/>
  <c r="G2241" i="25"/>
  <c r="H2241" s="1"/>
  <c r="F2958" i="21"/>
  <c r="G2958" s="1"/>
  <c r="F2971" i="11"/>
  <c r="G2971" s="1"/>
  <c r="G1963"/>
  <c r="H1963" s="1"/>
  <c r="F288" i="23"/>
  <c r="G288" s="1"/>
  <c r="F4790" i="21"/>
  <c r="G4790" s="1"/>
  <c r="F5742"/>
  <c r="G5742" s="1"/>
  <c r="F2529" i="22"/>
  <c r="G2529" s="1"/>
  <c r="F2611" i="23"/>
  <c r="G2611" s="1"/>
  <c r="F2366" i="22"/>
  <c r="G2366" s="1"/>
  <c r="G6640" i="21"/>
  <c r="G6641" s="1"/>
  <c r="G6642" s="1"/>
  <c r="G6643" s="1"/>
  <c r="E579" i="14" s="1"/>
  <c r="G1320" i="25"/>
  <c r="H1320" s="1"/>
  <c r="H1323" s="1"/>
  <c r="G1253"/>
  <c r="H1253" s="1"/>
  <c r="G1125" i="11"/>
  <c r="H1125" s="1"/>
  <c r="G1096" i="25"/>
  <c r="H1096" s="1"/>
  <c r="H1099" s="1"/>
  <c r="F2655" i="20"/>
  <c r="G2655" s="1"/>
  <c r="F1412"/>
  <c r="G1412" s="1"/>
  <c r="G2104" i="25"/>
  <c r="H2104" s="1"/>
  <c r="F7543" i="21"/>
  <c r="G7543" s="1"/>
  <c r="F2362" i="23"/>
  <c r="G2362" s="1"/>
  <c r="F907"/>
  <c r="G907" s="1"/>
  <c r="H309" i="19"/>
  <c r="I309" s="1"/>
  <c r="H589"/>
  <c r="I589" s="1"/>
  <c r="F4438" i="21"/>
  <c r="G4438" s="1"/>
  <c r="F2054" i="20"/>
  <c r="G2054" s="1"/>
  <c r="E29" i="18"/>
  <c r="F930" i="20"/>
  <c r="G930" s="1"/>
  <c r="G3716" i="21"/>
  <c r="G3717" s="1"/>
  <c r="G3718" s="1"/>
  <c r="G3719" s="1"/>
  <c r="E453" i="14" s="1"/>
  <c r="I3498" i="19"/>
  <c r="I3499" s="1"/>
  <c r="I3500" s="1"/>
  <c r="I3501" s="1"/>
  <c r="E121" i="14" s="1"/>
  <c r="H2233" i="19"/>
  <c r="I2233" s="1"/>
  <c r="H201"/>
  <c r="I201" s="1"/>
  <c r="H926"/>
  <c r="I926" s="1"/>
  <c r="F849" i="21"/>
  <c r="G849" s="1"/>
  <c r="H5273" i="19"/>
  <c r="I5273" s="1"/>
  <c r="F2285" i="21"/>
  <c r="G2285" s="1"/>
  <c r="F7146"/>
  <c r="G7146" s="1"/>
  <c r="F5350"/>
  <c r="G5350" s="1"/>
  <c r="F742" i="20"/>
  <c r="G742" s="1"/>
  <c r="G6813" i="21"/>
  <c r="G6814" s="1"/>
  <c r="G6815" s="1"/>
  <c r="G6816" s="1"/>
  <c r="E591" i="14" s="1"/>
  <c r="G3507" i="23"/>
  <c r="G3508" s="1"/>
  <c r="G3509" s="1"/>
  <c r="G3510" s="1"/>
  <c r="G3511" s="1"/>
  <c r="E840" i="14" s="1"/>
  <c r="F135" i="24"/>
  <c r="G135" s="1"/>
  <c r="H4614" i="19"/>
  <c r="I4614" s="1"/>
  <c r="F1084" i="23"/>
  <c r="G1084" s="1"/>
  <c r="F754"/>
  <c r="G754" s="1"/>
  <c r="F4923" i="21"/>
  <c r="G4923" s="1"/>
  <c r="H285" i="5"/>
  <c r="D553" s="1"/>
  <c r="F1970" i="21" s="1"/>
  <c r="G1970" s="1"/>
  <c r="E6435"/>
  <c r="E6436" s="1"/>
  <c r="E6437" s="1"/>
  <c r="F569" i="14" s="1"/>
  <c r="F693" i="22"/>
  <c r="G693" s="1"/>
  <c r="F2194" i="23"/>
  <c r="G2194" s="1"/>
  <c r="F1200" i="22"/>
  <c r="G1200" s="1"/>
  <c r="H238" i="5"/>
  <c r="H278"/>
  <c r="D548" s="1"/>
  <c r="I6547" i="19"/>
  <c r="I6548" s="1"/>
  <c r="I6549" s="1"/>
  <c r="I6550" s="1"/>
  <c r="I6551" s="1"/>
  <c r="E246" i="14" s="1"/>
  <c r="F1249" i="23"/>
  <c r="G1249" s="1"/>
  <c r="F4661" i="21"/>
  <c r="G4661" s="1"/>
  <c r="F2067"/>
  <c r="G2067" s="1"/>
  <c r="G4052"/>
  <c r="G4053" s="1"/>
  <c r="G4054" s="1"/>
  <c r="G4055" s="1"/>
  <c r="G4056" s="1"/>
  <c r="E471" i="14" s="1"/>
  <c r="E3015" i="11"/>
  <c r="E3016" s="1"/>
  <c r="E3017" s="1"/>
  <c r="G3539" i="19"/>
  <c r="G3540" s="1"/>
  <c r="G3541" s="1"/>
  <c r="F125" i="14" s="1"/>
  <c r="G5121" i="21"/>
  <c r="G5158" s="1"/>
  <c r="H225" i="5"/>
  <c r="D499" s="1"/>
  <c r="H4662" i="19" s="1"/>
  <c r="I4662" s="1"/>
  <c r="G8364" i="21"/>
  <c r="G8365" s="1"/>
  <c r="G8366" s="1"/>
  <c r="G8367" s="1"/>
  <c r="G8368" s="1"/>
  <c r="E664" i="14" s="1"/>
  <c r="F730" i="20"/>
  <c r="G730" s="1"/>
  <c r="E42" i="18"/>
  <c r="G1434" i="25"/>
  <c r="G1435" s="1"/>
  <c r="G1436" s="1"/>
  <c r="G1437" s="1"/>
  <c r="G1438" s="1"/>
  <c r="E1072" i="14" s="1"/>
  <c r="G7845" i="21"/>
  <c r="G7846" s="1"/>
  <c r="G7847" s="1"/>
  <c r="G7848" s="1"/>
  <c r="E634" i="14" s="1"/>
  <c r="F367" i="15"/>
  <c r="G367" s="1"/>
  <c r="F3283" i="21"/>
  <c r="G3283" s="1"/>
  <c r="F2679" i="25"/>
  <c r="G2679" s="1"/>
  <c r="F4656" i="21"/>
  <c r="G4656" s="1"/>
  <c r="F1085" i="23"/>
  <c r="G1085" s="1"/>
  <c r="F2532"/>
  <c r="G2532" s="1"/>
  <c r="F2680" i="22"/>
  <c r="G2680" s="1"/>
  <c r="F7229" i="21"/>
  <c r="G7229" s="1"/>
  <c r="F2012" i="22"/>
  <c r="G2012" s="1"/>
  <c r="F906" i="23"/>
  <c r="G906" s="1"/>
  <c r="H1260" i="19"/>
  <c r="I1260" s="1"/>
  <c r="I1263" s="1"/>
  <c r="G3072" i="22"/>
  <c r="G3073" s="1"/>
  <c r="G3074" s="1"/>
  <c r="G4304" i="23"/>
  <c r="G4305" s="1"/>
  <c r="G4306" s="1"/>
  <c r="G4307" s="1"/>
  <c r="E889" i="14" s="1"/>
  <c r="G3530" i="22"/>
  <c r="G3531" s="1"/>
  <c r="G3532" s="1"/>
  <c r="G3533" s="1"/>
  <c r="H1724" i="19"/>
  <c r="I1724" s="1"/>
  <c r="F1475" i="21"/>
  <c r="G1475" s="1"/>
  <c r="H4822" i="19"/>
  <c r="I4822" s="1"/>
  <c r="H4685"/>
  <c r="I4685" s="1"/>
  <c r="F2862" i="21"/>
  <c r="G2862" s="1"/>
  <c r="F2448"/>
  <c r="G2448" s="1"/>
  <c r="F1778"/>
  <c r="G1778" s="1"/>
  <c r="G2121" i="25"/>
  <c r="H2121" s="1"/>
  <c r="F3043" i="21"/>
  <c r="G3043" s="1"/>
  <c r="F1864"/>
  <c r="G1864" s="1"/>
  <c r="F628"/>
  <c r="G628" s="1"/>
  <c r="F2216" i="20"/>
  <c r="G2216" s="1"/>
  <c r="F2282" i="22"/>
  <c r="G2282" s="1"/>
  <c r="F2291" i="23"/>
  <c r="G2291" s="1"/>
  <c r="G1030" i="25"/>
  <c r="H1030" s="1"/>
  <c r="H1033" s="1"/>
  <c r="E1034" s="1"/>
  <c r="E1035" s="1"/>
  <c r="E1036" s="1"/>
  <c r="F1055" i="14" s="1"/>
  <c r="G1174" i="25"/>
  <c r="H1174" s="1"/>
  <c r="H1177" s="1"/>
  <c r="G2310" i="11"/>
  <c r="H2310" s="1"/>
  <c r="F2972" i="23"/>
  <c r="G2972" s="1"/>
  <c r="F1761" i="21"/>
  <c r="G1761" s="1"/>
  <c r="H942" i="19"/>
  <c r="I942" s="1"/>
  <c r="H772"/>
  <c r="I772" s="1"/>
  <c r="H2455"/>
  <c r="I2455" s="1"/>
  <c r="F728" i="20"/>
  <c r="G728" s="1"/>
  <c r="F988" i="21"/>
  <c r="G988" s="1"/>
  <c r="H114" i="19"/>
  <c r="I114" s="1"/>
  <c r="F1461" i="21"/>
  <c r="G1461" s="1"/>
  <c r="H5630" i="19"/>
  <c r="I5630" s="1"/>
  <c r="F2354" i="22"/>
  <c r="G2354" s="1"/>
  <c r="F4795" i="21"/>
  <c r="G4795" s="1"/>
  <c r="F2678" i="25"/>
  <c r="G2678" s="1"/>
  <c r="F2653" i="21"/>
  <c r="G2653" s="1"/>
  <c r="F1044" i="20"/>
  <c r="G1044" s="1"/>
  <c r="G839" i="11"/>
  <c r="F53" i="18"/>
  <c r="G515" i="5"/>
  <c r="G1518" i="11"/>
  <c r="G1519" s="1"/>
  <c r="G1520" s="1"/>
  <c r="G1521" s="1"/>
  <c r="G1522" s="1"/>
  <c r="F7327" i="21"/>
  <c r="G7327" s="1"/>
  <c r="G7336" s="1"/>
  <c r="G7337" s="1"/>
  <c r="F1982"/>
  <c r="G1982" s="1"/>
  <c r="F3042"/>
  <c r="G3042" s="1"/>
  <c r="F3049" i="23"/>
  <c r="G3049" s="1"/>
  <c r="G3062" s="1"/>
  <c r="G3063" s="1"/>
  <c r="G3064" s="1"/>
  <c r="G7931" i="21"/>
  <c r="G1674" i="22"/>
  <c r="G1707" s="1"/>
  <c r="H275" i="5"/>
  <c r="F1680" i="22"/>
  <c r="G1680" s="1"/>
  <c r="F1560" i="23"/>
  <c r="G1560" s="1"/>
  <c r="G615" i="11"/>
  <c r="G616" s="1"/>
  <c r="G617" s="1"/>
  <c r="G618" s="1"/>
  <c r="G619" s="1"/>
  <c r="H272" i="5"/>
  <c r="D543" s="1"/>
  <c r="F610" i="21" s="1"/>
  <c r="G610" s="1"/>
  <c r="G5925"/>
  <c r="G5926" s="1"/>
  <c r="G5927" s="1"/>
  <c r="G5928" s="1"/>
  <c r="E535" i="14" s="1"/>
  <c r="H258" i="5"/>
  <c r="D529" s="1"/>
  <c r="H226"/>
  <c r="D500" s="1"/>
  <c r="H274"/>
  <c r="D545" s="1"/>
  <c r="F1167" i="23"/>
  <c r="G1167" s="1"/>
  <c r="F543" i="15"/>
  <c r="G543" s="1"/>
  <c r="F1002" i="23"/>
  <c r="G1002" s="1"/>
  <c r="E4296"/>
  <c r="E4297" s="1"/>
  <c r="E4298" s="1"/>
  <c r="F890" i="14" s="1"/>
  <c r="G2429" i="11"/>
  <c r="G2430" s="1"/>
  <c r="G2431" s="1"/>
  <c r="G2432" s="1"/>
  <c r="H251" i="5"/>
  <c r="F485" i="23"/>
  <c r="G485" s="1"/>
  <c r="G1979" i="25"/>
  <c r="H1979" s="1"/>
  <c r="F1841" i="21"/>
  <c r="G1841" s="1"/>
  <c r="E3741" i="23"/>
  <c r="E3742" s="1"/>
  <c r="E3743" s="1"/>
  <c r="F855" i="14" s="1"/>
  <c r="G3748" i="23"/>
  <c r="G3749" s="1"/>
  <c r="G3750" s="1"/>
  <c r="G3751" s="1"/>
  <c r="G3752" s="1"/>
  <c r="E854" i="14" s="1"/>
  <c r="G502" i="22"/>
  <c r="G503" s="1"/>
  <c r="G504" s="1"/>
  <c r="G505" s="1"/>
  <c r="G506" s="1"/>
  <c r="E495"/>
  <c r="E496" s="1"/>
  <c r="E497" s="1"/>
  <c r="G6666" i="19"/>
  <c r="G6667" s="1"/>
  <c r="G6668" s="1"/>
  <c r="F253" i="14" s="1"/>
  <c r="F5601" i="21"/>
  <c r="G5601" s="1"/>
  <c r="G5603" s="1"/>
  <c r="G5640" s="1"/>
  <c r="F1940" i="22"/>
  <c r="G1940" s="1"/>
  <c r="F1003" i="23"/>
  <c r="G1003" s="1"/>
  <c r="G4763" i="21"/>
  <c r="G4810" s="1"/>
  <c r="F1843" i="22"/>
  <c r="G1843" s="1"/>
  <c r="F1945" i="23"/>
  <c r="G1945" s="1"/>
  <c r="F766" i="24"/>
  <c r="G766" s="1"/>
  <c r="G775" s="1"/>
  <c r="G776" s="1"/>
  <c r="G777" s="1"/>
  <c r="F377" i="20"/>
  <c r="G377" s="1"/>
  <c r="F100" i="13"/>
  <c r="H2114" i="19"/>
  <c r="I2114" s="1"/>
  <c r="H283" i="5"/>
  <c r="D551" s="1"/>
  <c r="F241" i="24" s="1"/>
  <c r="G241" s="1"/>
  <c r="H217" i="5"/>
  <c r="D492" s="1"/>
  <c r="H254"/>
  <c r="H223"/>
  <c r="D497" s="1"/>
  <c r="H1198" i="19" s="1"/>
  <c r="I1198" s="1"/>
  <c r="H288" i="5"/>
  <c r="H265"/>
  <c r="D536" s="1"/>
  <c r="F215" i="10" s="1"/>
  <c r="G215" s="1"/>
  <c r="H1318" i="19"/>
  <c r="I1318" s="1"/>
  <c r="I1322" s="1"/>
  <c r="F2696" i="24"/>
  <c r="G2696" s="1"/>
  <c r="F1505" i="20"/>
  <c r="G1505" s="1"/>
  <c r="D524" i="5"/>
  <c r="F915" i="20" s="1"/>
  <c r="G915" s="1"/>
  <c r="G321" i="25"/>
  <c r="G322" s="1"/>
  <c r="G323" s="1"/>
  <c r="G324" s="1"/>
  <c r="G325" s="1"/>
  <c r="E1004" i="14" s="1"/>
  <c r="G5967" i="21"/>
  <c r="G5968" s="1"/>
  <c r="G5969" s="1"/>
  <c r="G5970" s="1"/>
  <c r="E538" i="14" s="1"/>
  <c r="G3850" i="23"/>
  <c r="G3851" s="1"/>
  <c r="G3852" s="1"/>
  <c r="G3853" s="1"/>
  <c r="G3854" s="1"/>
  <c r="E860" i="14" s="1"/>
  <c r="G1959" i="11"/>
  <c r="H1959" s="1"/>
  <c r="F4266" i="21"/>
  <c r="G4266" s="1"/>
  <c r="F5512"/>
  <c r="G5512" s="1"/>
  <c r="G5514" s="1"/>
  <c r="G5551" s="1"/>
  <c r="G2498" i="24"/>
  <c r="F1478" i="21"/>
  <c r="G1478" s="1"/>
  <c r="F436" i="22"/>
  <c r="G436" s="1"/>
  <c r="F794"/>
  <c r="G794" s="1"/>
  <c r="G1122" i="20"/>
  <c r="G1245" i="25"/>
  <c r="H1245" s="1"/>
  <c r="F5128" i="21"/>
  <c r="G5128" s="1"/>
  <c r="F6871"/>
  <c r="G6871" s="1"/>
  <c r="F2759"/>
  <c r="G2759" s="1"/>
  <c r="F780" i="22"/>
  <c r="G780" s="1"/>
  <c r="F1635" i="23"/>
  <c r="G1635" s="1"/>
  <c r="F217" i="20"/>
  <c r="G217" s="1"/>
  <c r="F745"/>
  <c r="G745" s="1"/>
  <c r="H126" i="19"/>
  <c r="I126" s="1"/>
  <c r="D49" i="18"/>
  <c r="H5790" i="19"/>
  <c r="I5790" s="1"/>
  <c r="I3801"/>
  <c r="I3835" s="1"/>
  <c r="G50" i="22"/>
  <c r="G51" s="1"/>
  <c r="G52" s="1"/>
  <c r="G53" s="1"/>
  <c r="G54" s="1"/>
  <c r="G4353" i="23"/>
  <c r="G4354" s="1"/>
  <c r="G4355" s="1"/>
  <c r="G4356" s="1"/>
  <c r="G4357" s="1"/>
  <c r="E892" i="14" s="1"/>
  <c r="E653" i="11"/>
  <c r="E654" s="1"/>
  <c r="E655" s="1"/>
  <c r="G4894" i="21"/>
  <c r="G4938" s="1"/>
  <c r="F1000" i="23"/>
  <c r="G1000" s="1"/>
  <c r="F988"/>
  <c r="G988" s="1"/>
  <c r="F824"/>
  <c r="G824" s="1"/>
  <c r="F1862"/>
  <c r="G1862" s="1"/>
  <c r="G1195" i="11"/>
  <c r="H1195" s="1"/>
  <c r="G1116"/>
  <c r="H1116" s="1"/>
  <c r="H5211" i="19"/>
  <c r="I5211" s="1"/>
  <c r="F1045" i="22"/>
  <c r="G1045" s="1"/>
  <c r="F2851"/>
  <c r="G2851" s="1"/>
  <c r="G2863" s="1"/>
  <c r="G2871" s="1"/>
  <c r="F2916"/>
  <c r="G2916" s="1"/>
  <c r="G2928" s="1"/>
  <c r="G2929" s="1"/>
  <c r="G2930" s="1"/>
  <c r="G2938" s="1"/>
  <c r="F920" i="23"/>
  <c r="G920" s="1"/>
  <c r="G2326" i="11"/>
  <c r="H2326" s="1"/>
  <c r="F2987" i="22"/>
  <c r="G2987" s="1"/>
  <c r="F1409" i="20"/>
  <c r="G1409" s="1"/>
  <c r="F139" i="24"/>
  <c r="G139" s="1"/>
  <c r="G3197" i="10"/>
  <c r="G3199" s="1"/>
  <c r="G3200" s="1"/>
  <c r="G3201" s="1"/>
  <c r="G3202" s="1"/>
  <c r="G3203" s="1"/>
  <c r="G3204" s="1"/>
  <c r="G2219" i="25"/>
  <c r="H2219" s="1"/>
  <c r="F4334" i="21"/>
  <c r="G4334" s="1"/>
  <c r="H4927" i="19"/>
  <c r="I4927" s="1"/>
  <c r="H578"/>
  <c r="I578" s="1"/>
  <c r="H5413"/>
  <c r="I5413" s="1"/>
  <c r="G2305" i="11"/>
  <c r="H2305" s="1"/>
  <c r="H4663" i="19"/>
  <c r="I4663" s="1"/>
  <c r="F851" i="21"/>
  <c r="G851" s="1"/>
  <c r="E16" i="18"/>
  <c r="H757" i="19"/>
  <c r="I757" s="1"/>
  <c r="F1636" i="21"/>
  <c r="G1636" s="1"/>
  <c r="F1756"/>
  <c r="G1756" s="1"/>
  <c r="F2547"/>
  <c r="G2547" s="1"/>
  <c r="I6406" i="19"/>
  <c r="E3452" i="23"/>
  <c r="E3453" s="1"/>
  <c r="E3454" s="1"/>
  <c r="F838" i="14" s="1"/>
  <c r="I4131" i="19"/>
  <c r="G4503" i="21"/>
  <c r="G4504" s="1"/>
  <c r="G4505" s="1"/>
  <c r="G4506" s="1"/>
  <c r="G4507" s="1"/>
  <c r="E493" i="14" s="1"/>
  <c r="F2656" i="20"/>
  <c r="G2656" s="1"/>
  <c r="G2120" i="25"/>
  <c r="H2120" s="1"/>
  <c r="F2910" i="23"/>
  <c r="G2910" s="1"/>
  <c r="G2922" s="1"/>
  <c r="G2923" s="1"/>
  <c r="G2924" s="1"/>
  <c r="G2082" i="11"/>
  <c r="H2082" s="1"/>
  <c r="H5295" i="19"/>
  <c r="I5295" s="1"/>
  <c r="H4821"/>
  <c r="I4821" s="1"/>
  <c r="F707" i="22"/>
  <c r="G707" s="1"/>
  <c r="F3563" i="23"/>
  <c r="G3563" s="1"/>
  <c r="F582" i="15"/>
  <c r="G582" s="1"/>
  <c r="F2490" i="20"/>
  <c r="G2490" s="1"/>
  <c r="F1150" i="26"/>
  <c r="F6174" i="21"/>
  <c r="G6174" s="1"/>
  <c r="H248" i="5"/>
  <c r="D521" s="1"/>
  <c r="D38" i="18" s="1"/>
  <c r="E3997" i="21"/>
  <c r="E3998" s="1"/>
  <c r="E3999" s="1"/>
  <c r="F469" i="14" s="1"/>
  <c r="F2845" i="22"/>
  <c r="G2845" s="1"/>
  <c r="F1221" i="21"/>
  <c r="G1221" s="1"/>
  <c r="F1520" i="20"/>
  <c r="G1520" s="1"/>
  <c r="G947" i="25"/>
  <c r="H947" s="1"/>
  <c r="F4649" i="21"/>
  <c r="G4649" s="1"/>
  <c r="G2311" i="11"/>
  <c r="H2311" s="1"/>
  <c r="F5226" i="21"/>
  <c r="G5226" s="1"/>
  <c r="H4684" i="19"/>
  <c r="I4684" s="1"/>
  <c r="H5075"/>
  <c r="I5075" s="1"/>
  <c r="F563" i="15"/>
  <c r="G563" s="1"/>
  <c r="F4353" i="21"/>
  <c r="G4353" s="1"/>
  <c r="F44" i="18"/>
  <c r="E4233" i="22"/>
  <c r="E4234" s="1"/>
  <c r="E4235" s="1"/>
  <c r="G1452" i="11"/>
  <c r="G1453" s="1"/>
  <c r="G1454" s="1"/>
  <c r="G1455" s="1"/>
  <c r="F253" i="24"/>
  <c r="G253" s="1"/>
  <c r="G2583" i="11"/>
  <c r="H2583" s="1"/>
  <c r="F1029" i="20"/>
  <c r="G1029" s="1"/>
  <c r="H3084" i="19"/>
  <c r="I3084" s="1"/>
  <c r="H1976"/>
  <c r="I1976" s="1"/>
  <c r="F2384" i="20"/>
  <c r="G2384" s="1"/>
  <c r="H2565" i="19"/>
  <c r="I2565" s="1"/>
  <c r="H2878"/>
  <c r="I2878" s="1"/>
  <c r="H1713"/>
  <c r="I1713" s="1"/>
  <c r="H4053"/>
  <c r="I4053" s="1"/>
  <c r="G2752" i="11"/>
  <c r="G2753" s="1"/>
  <c r="G2754" s="1"/>
  <c r="G2755" s="1"/>
  <c r="G2756" s="1"/>
  <c r="G3697" i="23"/>
  <c r="G3698" s="1"/>
  <c r="G3699" s="1"/>
  <c r="G3700" s="1"/>
  <c r="G3701" s="1"/>
  <c r="E851" i="14" s="1"/>
  <c r="F2505" i="20"/>
  <c r="G2505" s="1"/>
  <c r="E3355" i="23"/>
  <c r="E3356" s="1"/>
  <c r="E3357" s="1"/>
  <c r="F830" i="14" s="1"/>
  <c r="G3362" i="23"/>
  <c r="G3363" s="1"/>
  <c r="G3364" s="1"/>
  <c r="G3365" s="1"/>
  <c r="G3366" s="1"/>
  <c r="E829" i="14" s="1"/>
  <c r="G4552" i="21"/>
  <c r="G4553" s="1"/>
  <c r="G4554" s="1"/>
  <c r="G4555" s="1"/>
  <c r="G4556" s="1"/>
  <c r="E496" i="14" s="1"/>
  <c r="E4545" i="21"/>
  <c r="E4546" s="1"/>
  <c r="E4547" s="1"/>
  <c r="F497" i="14" s="1"/>
  <c r="G1506" i="19"/>
  <c r="G1507" s="1"/>
  <c r="G1508" s="1"/>
  <c r="F68" i="14" s="1"/>
  <c r="H1512" i="19"/>
  <c r="H1513" s="1"/>
  <c r="H1514" s="1"/>
  <c r="F1651" i="21"/>
  <c r="G1651" s="1"/>
  <c r="H5518" i="19"/>
  <c r="I5518" s="1"/>
  <c r="F866" i="21"/>
  <c r="G866" s="1"/>
  <c r="F2775"/>
  <c r="G2775" s="1"/>
  <c r="F2847" i="23"/>
  <c r="G2847" s="1"/>
  <c r="G2859" s="1"/>
  <c r="F1863" i="21"/>
  <c r="G1863" s="1"/>
  <c r="F838" i="23"/>
  <c r="G838" s="1"/>
  <c r="F533" i="15"/>
  <c r="G533" s="1"/>
  <c r="F573"/>
  <c r="G573" s="1"/>
  <c r="F72" i="18"/>
  <c r="F3120" i="21"/>
  <c r="G3120" s="1"/>
  <c r="I4132" i="19"/>
  <c r="I4133" s="1"/>
  <c r="F4922" i="21"/>
  <c r="G4922" s="1"/>
  <c r="F2701" i="24"/>
  <c r="G2701" s="1"/>
  <c r="G2704" s="1"/>
  <c r="G2712" s="1"/>
  <c r="F2810" i="10"/>
  <c r="G2810" s="1"/>
  <c r="F4901" i="21"/>
  <c r="F4902" s="1"/>
  <c r="G4902" s="1"/>
  <c r="F5127"/>
  <c r="G5127" s="1"/>
  <c r="H236" i="5"/>
  <c r="D510" s="1"/>
  <c r="D27" i="18" s="1"/>
  <c r="G27" s="1"/>
  <c r="F385" i="20"/>
  <c r="G385" s="1"/>
  <c r="F2361" i="23"/>
  <c r="G2361" s="1"/>
  <c r="H227" i="5"/>
  <c r="D501" s="1"/>
  <c r="F4898" i="21" s="1"/>
  <c r="G4898" s="1"/>
  <c r="H282" i="5"/>
  <c r="D550" s="1"/>
  <c r="F235" i="24" s="1"/>
  <c r="G235" s="1"/>
  <c r="F1385"/>
  <c r="G1385" s="1"/>
  <c r="G4102" i="21"/>
  <c r="G4103" s="1"/>
  <c r="G4104" s="1"/>
  <c r="G4105" s="1"/>
  <c r="E476" i="14" s="1"/>
  <c r="F5205" i="21"/>
  <c r="G5205" s="1"/>
  <c r="F352" i="20"/>
  <c r="F354" s="1"/>
  <c r="F369" s="1"/>
  <c r="G369" s="1"/>
  <c r="F2821" i="24"/>
  <c r="G2821" s="1"/>
  <c r="G2824" s="1"/>
  <c r="E2825" s="1"/>
  <c r="E2826" s="1"/>
  <c r="E2827" s="1"/>
  <c r="F966" i="14" s="1"/>
  <c r="F1002" i="21"/>
  <c r="G1002" s="1"/>
  <c r="F376" i="23"/>
  <c r="G376" s="1"/>
  <c r="F2206"/>
  <c r="G2206" s="1"/>
  <c r="G2659" i="20"/>
  <c r="E2660" s="1"/>
  <c r="E2661" s="1"/>
  <c r="E2662" s="1"/>
  <c r="F333" i="14" s="1"/>
  <c r="G2224" i="25"/>
  <c r="H2224" s="1"/>
  <c r="F3042" i="23"/>
  <c r="G3042" s="1"/>
  <c r="F4648" i="21"/>
  <c r="G4648" s="1"/>
  <c r="F3576" i="22"/>
  <c r="G3576" s="1"/>
  <c r="F2028" i="23"/>
  <c r="G2028" s="1"/>
  <c r="F941" i="20"/>
  <c r="G941" s="1"/>
  <c r="H213" i="19"/>
  <c r="I213" s="1"/>
  <c r="G511" i="5"/>
  <c r="F795" i="10"/>
  <c r="G795" s="1"/>
  <c r="F836" i="23"/>
  <c r="G836" s="1"/>
  <c r="F5520" i="21"/>
  <c r="G5520" s="1"/>
  <c r="F5430"/>
  <c r="G5430" s="1"/>
  <c r="F5212"/>
  <c r="G5212" s="1"/>
  <c r="G1087" i="25"/>
  <c r="H1087" s="1"/>
  <c r="G1165"/>
  <c r="H1165" s="1"/>
  <c r="F583" i="15"/>
  <c r="G583" s="1"/>
  <c r="F1382" i="22"/>
  <c r="G1382" s="1"/>
  <c r="F5747" i="21"/>
  <c r="G5747" s="1"/>
  <c r="F3282"/>
  <c r="G3282" s="1"/>
  <c r="F5141"/>
  <c r="G5141" s="1"/>
  <c r="F877" i="22"/>
  <c r="G877" s="1"/>
  <c r="G2203" i="11"/>
  <c r="H2203" s="1"/>
  <c r="F214" i="20"/>
  <c r="G214" s="1"/>
  <c r="F1642"/>
  <c r="G1642" s="1"/>
  <c r="G2197"/>
  <c r="G2241" s="1"/>
  <c r="F3344" i="21"/>
  <c r="G3344" s="1"/>
  <c r="G2061" i="11"/>
  <c r="H2061" s="1"/>
  <c r="F2754" i="21"/>
  <c r="G2754" s="1"/>
  <c r="G2182" i="11"/>
  <c r="H2182" s="1"/>
  <c r="G1941"/>
  <c r="H1941" s="1"/>
  <c r="G1980" i="25"/>
  <c r="H1980" s="1"/>
  <c r="F1206" i="21"/>
  <c r="G1206" s="1"/>
  <c r="F1842"/>
  <c r="G1842" s="1"/>
  <c r="F2046"/>
  <c r="G2046" s="1"/>
  <c r="F4246"/>
  <c r="G4246" s="1"/>
  <c r="F2632"/>
  <c r="G2632" s="1"/>
  <c r="F4432"/>
  <c r="G4432" s="1"/>
  <c r="F1130" i="22"/>
  <c r="G1130" s="1"/>
  <c r="F7414" i="21"/>
  <c r="G7414" s="1"/>
  <c r="G7423" s="1"/>
  <c r="G7424" s="1"/>
  <c r="F1413" i="23"/>
  <c r="G1413" s="1"/>
  <c r="F2970" i="11"/>
  <c r="G2970" s="1"/>
  <c r="F5534" i="21"/>
  <c r="G5534" s="1"/>
  <c r="F961" i="22"/>
  <c r="G961" s="1"/>
  <c r="F553" i="15"/>
  <c r="G553" s="1"/>
  <c r="F552" i="20"/>
  <c r="G552" s="1"/>
  <c r="G2880" i="25"/>
  <c r="G2881" s="1"/>
  <c r="E1158" i="14" s="1"/>
  <c r="F2522" i="23"/>
  <c r="G2522" s="1"/>
  <c r="H235" i="5"/>
  <c r="D509" s="1"/>
  <c r="F5608" i="21" s="1"/>
  <c r="G5608" s="1"/>
  <c r="H250" i="5"/>
  <c r="D523" s="1"/>
  <c r="F2760" i="21"/>
  <c r="G2760" s="1"/>
  <c r="H233" i="5"/>
  <c r="D507" s="1"/>
  <c r="F1069" i="23" s="1"/>
  <c r="G1069" s="1"/>
  <c r="H293" i="5"/>
  <c r="F5129" i="21"/>
  <c r="G5129" s="1"/>
  <c r="F2272" i="22"/>
  <c r="G2272" s="1"/>
  <c r="G1167" i="25"/>
  <c r="H1167" s="1"/>
  <c r="F2053" i="20"/>
  <c r="G2053" s="1"/>
  <c r="F3587" i="22"/>
  <c r="G3587" s="1"/>
  <c r="F7241" i="21"/>
  <c r="G7241" s="1"/>
  <c r="G7250" s="1"/>
  <c r="G7251" s="1"/>
  <c r="G2362" i="25"/>
  <c r="H2362" s="1"/>
  <c r="G1962" i="11"/>
  <c r="H1962" s="1"/>
  <c r="F6883" i="21"/>
  <c r="G6883" s="1"/>
  <c r="F1331" i="23"/>
  <c r="G1331" s="1"/>
  <c r="F2570" i="24"/>
  <c r="G2570" s="1"/>
  <c r="F2648" i="20"/>
  <c r="G2648" s="1"/>
  <c r="G3829" i="22"/>
  <c r="G3830" s="1"/>
  <c r="G3831" s="1"/>
  <c r="G3832" s="1"/>
  <c r="F2569" i="20"/>
  <c r="G2569" s="1"/>
  <c r="F562"/>
  <c r="G562" s="1"/>
  <c r="H2454" i="19"/>
  <c r="I2454" s="1"/>
  <c r="H3221"/>
  <c r="I3221" s="1"/>
  <c r="H1858"/>
  <c r="I1858" s="1"/>
  <c r="H3887"/>
  <c r="I3887" s="1"/>
  <c r="H2345"/>
  <c r="I2345" s="1"/>
  <c r="G1697" i="23"/>
  <c r="G1730" s="1"/>
  <c r="G4005" i="21"/>
  <c r="G4006" s="1"/>
  <c r="G4007" s="1"/>
  <c r="G4008" s="1"/>
  <c r="E468" i="14" s="1"/>
  <c r="H277" i="5"/>
  <c r="D547" s="1"/>
  <c r="D64" i="18" s="1"/>
  <c r="G3480" i="22"/>
  <c r="G3481" s="1"/>
  <c r="G3482" s="1"/>
  <c r="G3483" s="1"/>
  <c r="G4193"/>
  <c r="G4194" s="1"/>
  <c r="G4195" s="1"/>
  <c r="G4196" s="1"/>
  <c r="G3902" i="23"/>
  <c r="G3903" s="1"/>
  <c r="G3904" s="1"/>
  <c r="G3905" s="1"/>
  <c r="E863" i="14" s="1"/>
  <c r="F2023" i="24"/>
  <c r="G2023" s="1"/>
  <c r="F2017" i="10"/>
  <c r="G2017" s="1"/>
  <c r="F1669" i="24"/>
  <c r="G1669" s="1"/>
  <c r="F2315"/>
  <c r="G2315" s="1"/>
  <c r="F46" i="13"/>
  <c r="F47" i="15"/>
  <c r="F2476" i="24"/>
  <c r="G2476" s="1"/>
  <c r="E3075" i="22"/>
  <c r="E3076" s="1"/>
  <c r="E3077" s="1"/>
  <c r="G3082"/>
  <c r="F2575" i="23"/>
  <c r="F2620" s="1"/>
  <c r="G2620" s="1"/>
  <c r="F1127"/>
  <c r="F1177" s="1"/>
  <c r="G1177" s="1"/>
  <c r="G1178" s="1"/>
  <c r="E3977" i="22"/>
  <c r="E3978" s="1"/>
  <c r="E3979" s="1"/>
  <c r="G3984"/>
  <c r="G3985" s="1"/>
  <c r="G3986" s="1"/>
  <c r="G3987" s="1"/>
  <c r="G3988" s="1"/>
  <c r="G4153" i="21"/>
  <c r="G4154" s="1"/>
  <c r="G4155" s="1"/>
  <c r="G4156" s="1"/>
  <c r="G4157" s="1"/>
  <c r="E479" i="14" s="1"/>
  <c r="E4146" i="21"/>
  <c r="E4147" s="1"/>
  <c r="E4148" s="1"/>
  <c r="F480" i="14" s="1"/>
  <c r="E3645" i="21"/>
  <c r="E3646" s="1"/>
  <c r="E3647" s="1"/>
  <c r="F451" i="14" s="1"/>
  <c r="G3652" i="21"/>
  <c r="G3653" s="1"/>
  <c r="G3654" s="1"/>
  <c r="G3655" s="1"/>
  <c r="G3656" s="1"/>
  <c r="E450" i="14" s="1"/>
  <c r="F1120" i="24"/>
  <c r="G1120" s="1"/>
  <c r="H1972" i="19"/>
  <c r="I1972" s="1"/>
  <c r="F110" i="24"/>
  <c r="G110" s="1"/>
  <c r="H1854" i="19"/>
  <c r="I1854" s="1"/>
  <c r="H2096"/>
  <c r="I2096" s="1"/>
  <c r="F1674" i="24"/>
  <c r="G1674" s="1"/>
  <c r="F1570"/>
  <c r="G1570" s="1"/>
  <c r="F2365" i="10"/>
  <c r="G2365" s="1"/>
  <c r="F214"/>
  <c r="G214" s="1"/>
  <c r="F234" i="24"/>
  <c r="G234" s="1"/>
  <c r="H1709" i="19"/>
  <c r="I1709" s="1"/>
  <c r="F793" i="10"/>
  <c r="G793" s="1"/>
  <c r="F451" i="24"/>
  <c r="G451" s="1"/>
  <c r="F1364"/>
  <c r="G1364" s="1"/>
  <c r="F1863"/>
  <c r="G1863" s="1"/>
  <c r="H2219" i="19"/>
  <c r="I2219" s="1"/>
  <c r="F641" i="10"/>
  <c r="G641" s="1"/>
  <c r="F1495"/>
  <c r="G1495" s="1"/>
  <c r="E64" i="18"/>
  <c r="F2010" i="10"/>
  <c r="G2010" s="1"/>
  <c r="F429"/>
  <c r="G429" s="1"/>
  <c r="F1810"/>
  <c r="G1810" s="1"/>
  <c r="F544" i="24"/>
  <c r="G544" s="1"/>
  <c r="H2341" i="19"/>
  <c r="I2341" s="1"/>
  <c r="E2795" i="11"/>
  <c r="E2796" s="1"/>
  <c r="E2797" s="1"/>
  <c r="G2802"/>
  <c r="G2315"/>
  <c r="H2315" s="1"/>
  <c r="F3346" i="21"/>
  <c r="G3346" s="1"/>
  <c r="G2071" i="11"/>
  <c r="H2071" s="1"/>
  <c r="F2557" i="21"/>
  <c r="G2557" s="1"/>
  <c r="F2359"/>
  <c r="G2359" s="1"/>
  <c r="F3111"/>
  <c r="G3111" s="1"/>
  <c r="H4810" i="19"/>
  <c r="I4810" s="1"/>
  <c r="G1951" i="11"/>
  <c r="H1951" s="1"/>
  <c r="F2642" i="21"/>
  <c r="G2642" s="1"/>
  <c r="F2764"/>
  <c r="G2764" s="1"/>
  <c r="F2056"/>
  <c r="G2056" s="1"/>
  <c r="G2192" i="11"/>
  <c r="H2192" s="1"/>
  <c r="F2961"/>
  <c r="G2961" s="1"/>
  <c r="F2850" i="21"/>
  <c r="G2850" s="1"/>
  <c r="G1990" i="25"/>
  <c r="H1990" s="1"/>
  <c r="F3195" i="21"/>
  <c r="G3195" s="1"/>
  <c r="F2274"/>
  <c r="G2274" s="1"/>
  <c r="F2948"/>
  <c r="G2948" s="1"/>
  <c r="G2351" i="25"/>
  <c r="H2351" s="1"/>
  <c r="E70" i="18"/>
  <c r="F2158" i="21"/>
  <c r="G2158" s="1"/>
  <c r="F2669" i="25"/>
  <c r="G2669" s="1"/>
  <c r="F1971" i="21"/>
  <c r="G1971" s="1"/>
  <c r="F3273"/>
  <c r="G3273" s="1"/>
  <c r="H5200" i="19"/>
  <c r="I5200" s="1"/>
  <c r="F2438" i="21"/>
  <c r="G2438" s="1"/>
  <c r="F3033"/>
  <c r="G3033" s="1"/>
  <c r="H4673" i="19"/>
  <c r="I4673" s="1"/>
  <c r="F1852" i="21"/>
  <c r="G1852" s="1"/>
  <c r="H5064" i="19"/>
  <c r="I5064" s="1"/>
  <c r="F1766" i="21"/>
  <c r="G1766" s="1"/>
  <c r="H4601" i="19"/>
  <c r="I4601" s="1"/>
  <c r="F4252" i="21"/>
  <c r="G4252" s="1"/>
  <c r="F5613"/>
  <c r="G5613" s="1"/>
  <c r="F5734"/>
  <c r="G5734" s="1"/>
  <c r="F4781"/>
  <c r="G4781" s="1"/>
  <c r="F5216"/>
  <c r="G5216" s="1"/>
  <c r="F1764"/>
  <c r="G1764" s="1"/>
  <c r="H4808" i="19"/>
  <c r="I4808" s="1"/>
  <c r="F592" i="15"/>
  <c r="G592" s="1"/>
  <c r="F5336" i="21"/>
  <c r="G5336" s="1"/>
  <c r="F3271"/>
  <c r="G3271" s="1"/>
  <c r="H4935" i="19"/>
  <c r="I4935" s="1"/>
  <c r="F7233" i="21"/>
  <c r="G7233" s="1"/>
  <c r="G2069" i="11"/>
  <c r="H2069" s="1"/>
  <c r="F2971" i="23"/>
  <c r="G2971" s="1"/>
  <c r="F572" i="15"/>
  <c r="G572" s="1"/>
  <c r="F2908" i="22"/>
  <c r="G2908" s="1"/>
  <c r="F2902" i="23"/>
  <c r="G2902" s="1"/>
  <c r="G2349" i="25"/>
  <c r="H2349" s="1"/>
  <c r="F951" i="22"/>
  <c r="G951" s="1"/>
  <c r="F4647" i="21"/>
  <c r="G4647" s="1"/>
  <c r="F2839" i="23"/>
  <c r="G2839" s="1"/>
  <c r="F2848" i="21"/>
  <c r="G2848" s="1"/>
  <c r="F532" i="15"/>
  <c r="G532" s="1"/>
  <c r="F2667" i="25"/>
  <c r="G2667" s="1"/>
  <c r="F1074" i="23"/>
  <c r="G1074" s="1"/>
  <c r="F1157"/>
  <c r="G1157" s="1"/>
  <c r="F7051" i="21"/>
  <c r="G7051" s="1"/>
  <c r="F2555"/>
  <c r="G2555" s="1"/>
  <c r="H5198" i="19"/>
  <c r="I5198" s="1"/>
  <c r="F1035" i="22"/>
  <c r="G1035" s="1"/>
  <c r="F697"/>
  <c r="G697" s="1"/>
  <c r="F542" i="15"/>
  <c r="G542" s="1"/>
  <c r="F1850" i="21"/>
  <c r="G1850" s="1"/>
  <c r="H5281" i="19"/>
  <c r="I5281" s="1"/>
  <c r="F3041" i="23"/>
  <c r="G3041" s="1"/>
  <c r="G2313" i="11"/>
  <c r="H2313" s="1"/>
  <c r="F783" i="22"/>
  <c r="G783" s="1"/>
  <c r="F3193" i="21"/>
  <c r="G3193" s="1"/>
  <c r="F3051" i="22"/>
  <c r="G3051" s="1"/>
  <c r="F867"/>
  <c r="G867" s="1"/>
  <c r="G2190" i="11"/>
  <c r="H2190" s="1"/>
  <c r="F1120" i="22"/>
  <c r="G1120" s="1"/>
  <c r="F3555" i="23"/>
  <c r="G3555" s="1"/>
  <c r="F5131" i="21"/>
  <c r="G5131" s="1"/>
  <c r="F5434"/>
  <c r="G5434" s="1"/>
  <c r="F3031"/>
  <c r="G3031" s="1"/>
  <c r="F7138"/>
  <c r="G7138" s="1"/>
  <c r="F4910"/>
  <c r="G4910" s="1"/>
  <c r="F1403" i="23"/>
  <c r="G1403" s="1"/>
  <c r="F562" i="15"/>
  <c r="G562" s="1"/>
  <c r="F2640" i="21"/>
  <c r="G2640" s="1"/>
  <c r="F5524"/>
  <c r="G5524" s="1"/>
  <c r="F2959" i="11"/>
  <c r="G2959" s="1"/>
  <c r="F1969" i="21"/>
  <c r="G1969" s="1"/>
  <c r="F552" i="15"/>
  <c r="G552" s="1"/>
  <c r="F2054" i="21"/>
  <c r="G2054" s="1"/>
  <c r="F1204" i="22"/>
  <c r="G1204" s="1"/>
  <c r="F6874" i="21"/>
  <c r="G6874" s="1"/>
  <c r="F2762"/>
  <c r="G2762" s="1"/>
  <c r="F4436"/>
  <c r="G4436" s="1"/>
  <c r="F2979" i="22"/>
  <c r="G2979" s="1"/>
  <c r="F992" i="23"/>
  <c r="G992" s="1"/>
  <c r="F1321"/>
  <c r="G1321" s="1"/>
  <c r="F4340" i="21"/>
  <c r="G4340" s="1"/>
  <c r="F1372" i="22"/>
  <c r="G1372" s="1"/>
  <c r="F1288"/>
  <c r="G1288" s="1"/>
  <c r="H5062" i="19"/>
  <c r="I5062" s="1"/>
  <c r="F2357" i="21"/>
  <c r="G2357" s="1"/>
  <c r="F3109"/>
  <c r="G3109" s="1"/>
  <c r="F3579" i="22"/>
  <c r="G3579" s="1"/>
  <c r="F7319" i="21"/>
  <c r="G7319" s="1"/>
  <c r="F6963"/>
  <c r="G6963" s="1"/>
  <c r="H4671" i="19"/>
  <c r="I4671" s="1"/>
  <c r="F2843" i="22"/>
  <c r="G2843" s="1"/>
  <c r="F828" i="23"/>
  <c r="G828" s="1"/>
  <c r="G1949" i="11"/>
  <c r="H1949" s="1"/>
  <c r="G3276" i="22"/>
  <c r="G3277" s="1"/>
  <c r="G3278" s="1"/>
  <c r="G3279" s="1"/>
  <c r="G3280" s="1"/>
  <c r="E3269"/>
  <c r="E3270" s="1"/>
  <c r="E3271" s="1"/>
  <c r="H1971" i="19"/>
  <c r="I1971" s="1"/>
  <c r="F428" i="10"/>
  <c r="G428" s="1"/>
  <c r="F1862" i="24"/>
  <c r="G1862" s="1"/>
  <c r="F1673"/>
  <c r="G1673" s="1"/>
  <c r="F1569"/>
  <c r="G1569" s="1"/>
  <c r="H1853" i="19"/>
  <c r="I1853" s="1"/>
  <c r="E4082" i="22"/>
  <c r="E4083" s="1"/>
  <c r="E4084" s="1"/>
  <c r="G4089"/>
  <c r="G523" i="5"/>
  <c r="D40" i="18"/>
  <c r="G40" s="1"/>
  <c r="H2673" i="19"/>
  <c r="I2673" s="1"/>
  <c r="H2775"/>
  <c r="I2775" s="1"/>
  <c r="F2206" i="20"/>
  <c r="G2206" s="1"/>
  <c r="H2879" i="19"/>
  <c r="I2879" s="1"/>
  <c r="H3218"/>
  <c r="I3218" s="1"/>
  <c r="H3081"/>
  <c r="I3081" s="1"/>
  <c r="H5788"/>
  <c r="I5788" s="1"/>
  <c r="H2953"/>
  <c r="I2953" s="1"/>
  <c r="G508" i="5"/>
  <c r="H3313" i="19"/>
  <c r="I3313" s="1"/>
  <c r="H2875"/>
  <c r="I2875" s="1"/>
  <c r="G1312" i="25"/>
  <c r="H1312" s="1"/>
  <c r="G1985"/>
  <c r="H1985" s="1"/>
  <c r="F1759" i="22"/>
  <c r="G1759" s="1"/>
  <c r="G1088" i="25"/>
  <c r="H1088" s="1"/>
  <c r="F1561" i="23"/>
  <c r="G1561" s="1"/>
  <c r="F948" i="22"/>
  <c r="G948" s="1"/>
  <c r="F694"/>
  <c r="G694" s="1"/>
  <c r="F3106" i="21"/>
  <c r="G3106" s="1"/>
  <c r="F2909" i="22"/>
  <c r="G2909" s="1"/>
  <c r="F5610" i="21"/>
  <c r="G5610" s="1"/>
  <c r="F1482" i="23"/>
  <c r="G1482" s="1"/>
  <c r="F2844" i="22"/>
  <c r="G2844" s="1"/>
  <c r="F2184"/>
  <c r="G2184" s="1"/>
  <c r="G1117" i="11"/>
  <c r="H1117" s="1"/>
  <c r="G1039"/>
  <c r="H1039" s="1"/>
  <c r="G2346" i="25"/>
  <c r="H2346" s="1"/>
  <c r="G2187" i="11"/>
  <c r="H2187" s="1"/>
  <c r="F1236" i="23"/>
  <c r="G1236" s="1"/>
  <c r="F1534" i="22"/>
  <c r="G1534" s="1"/>
  <c r="F2271"/>
  <c r="G2271" s="1"/>
  <c r="F4782" i="21"/>
  <c r="G4782" s="1"/>
  <c r="F3028"/>
  <c r="G3028" s="1"/>
  <c r="F7135"/>
  <c r="G7135" s="1"/>
  <c r="F1610" i="22"/>
  <c r="G1610" s="1"/>
  <c r="F7479" i="21"/>
  <c r="G7479" s="1"/>
  <c r="F7230"/>
  <c r="G7230" s="1"/>
  <c r="F5735"/>
  <c r="G5735" s="1"/>
  <c r="H1705" i="19"/>
  <c r="I1705" s="1"/>
  <c r="H2092"/>
  <c r="I2092" s="1"/>
  <c r="E12" i="18"/>
  <c r="H2215" i="19"/>
  <c r="I2215" s="1"/>
  <c r="H1968"/>
  <c r="I1968" s="1"/>
  <c r="H1850"/>
  <c r="I1850" s="1"/>
  <c r="F2204" i="23"/>
  <c r="G2204" s="1"/>
  <c r="G7155" i="21"/>
  <c r="G7156" s="1"/>
  <c r="F790" i="10"/>
  <c r="G790" s="1"/>
  <c r="F237" i="24"/>
  <c r="G237" s="1"/>
  <c r="F2597" i="22"/>
  <c r="G2597" s="1"/>
  <c r="F1128"/>
  <c r="G1128" s="1"/>
  <c r="G4090"/>
  <c r="G4091" s="1"/>
  <c r="G4092" s="1"/>
  <c r="G4093" s="1"/>
  <c r="F6881" i="21"/>
  <c r="G6881" s="1"/>
  <c r="F1380" i="22"/>
  <c r="G1380" s="1"/>
  <c r="H2340" i="19"/>
  <c r="I2340" s="1"/>
  <c r="F109" i="24"/>
  <c r="G109" s="1"/>
  <c r="E56" i="18"/>
  <c r="E6584" i="21"/>
  <c r="E6585" s="1"/>
  <c r="E6586" s="1"/>
  <c r="F577" i="14" s="1"/>
  <c r="G4399" i="22"/>
  <c r="G4400" s="1"/>
  <c r="G4401" s="1"/>
  <c r="G4402" s="1"/>
  <c r="F744" i="23"/>
  <c r="G744" s="1"/>
  <c r="F910"/>
  <c r="G910" s="1"/>
  <c r="E72" i="18"/>
  <c r="I3651" i="19"/>
  <c r="I3685" s="1"/>
  <c r="F6267" i="21"/>
  <c r="G6267" s="1"/>
  <c r="G38" i="18"/>
  <c r="F1781" i="23"/>
  <c r="G1781" s="1"/>
  <c r="H269" i="5"/>
  <c r="D540" s="1"/>
  <c r="F1510" i="20" s="1"/>
  <c r="G1510" s="1"/>
  <c r="F2185" i="22"/>
  <c r="G2185" s="1"/>
  <c r="F6380" i="21"/>
  <c r="G6380" s="1"/>
  <c r="F1454" i="22"/>
  <c r="G1454" s="1"/>
  <c r="F1329" i="23"/>
  <c r="G1329" s="1"/>
  <c r="F2530"/>
  <c r="G2530" s="1"/>
  <c r="F2450"/>
  <c r="G2450" s="1"/>
  <c r="F1543" i="22"/>
  <c r="G1543" s="1"/>
  <c r="F2106"/>
  <c r="G2106" s="1"/>
  <c r="F752" i="23"/>
  <c r="G752" s="1"/>
  <c r="F1491"/>
  <c r="G1491" s="1"/>
  <c r="F2688"/>
  <c r="G2688" s="1"/>
  <c r="F875" i="22"/>
  <c r="G875" s="1"/>
  <c r="F1690"/>
  <c r="G1690" s="1"/>
  <c r="F2280"/>
  <c r="G2280" s="1"/>
  <c r="G315" i="11"/>
  <c r="G316" s="1"/>
  <c r="G317" s="1"/>
  <c r="G318" s="1"/>
  <c r="G319" s="1"/>
  <c r="E308"/>
  <c r="E309" s="1"/>
  <c r="E310" s="1"/>
  <c r="D54" i="18"/>
  <c r="G54" s="1"/>
  <c r="G537" i="5"/>
  <c r="F1234" i="23"/>
  <c r="G1234" s="1"/>
  <c r="F2439"/>
  <c r="G2439" s="1"/>
  <c r="F1152"/>
  <c r="G1152" s="1"/>
  <c r="F2011" i="22"/>
  <c r="G2011" s="1"/>
  <c r="F2677" i="23"/>
  <c r="G2677" s="1"/>
  <c r="F1532" i="22"/>
  <c r="G1532" s="1"/>
  <c r="F2193" i="23"/>
  <c r="G2193" s="1"/>
  <c r="F6869" i="21"/>
  <c r="G6869" s="1"/>
  <c r="F3550" i="23"/>
  <c r="G3550" s="1"/>
  <c r="F2095" i="22"/>
  <c r="G2095" s="1"/>
  <c r="F2269"/>
  <c r="G2269" s="1"/>
  <c r="F2434"/>
  <c r="G2434" s="1"/>
  <c r="F1757"/>
  <c r="G1757" s="1"/>
  <c r="F2519" i="23"/>
  <c r="G2519" s="1"/>
  <c r="F1778"/>
  <c r="G1778" s="1"/>
  <c r="G507" i="5"/>
  <c r="F1367" i="22"/>
  <c r="G1367" s="1"/>
  <c r="F1480" i="23"/>
  <c r="G1480" s="1"/>
  <c r="F432" i="10"/>
  <c r="G432" s="1"/>
  <c r="F646" i="24"/>
  <c r="G646" s="1"/>
  <c r="F1136" i="10"/>
  <c r="G1136" s="1"/>
  <c r="E4048" i="23"/>
  <c r="E4049" s="1"/>
  <c r="E4050" s="1"/>
  <c r="F873" i="14" s="1"/>
  <c r="G4055" i="23"/>
  <c r="G4056" s="1"/>
  <c r="G4057" s="1"/>
  <c r="G4058" s="1"/>
  <c r="G4059" s="1"/>
  <c r="E872" i="14" s="1"/>
  <c r="E1667" i="11"/>
  <c r="E1668" s="1"/>
  <c r="E1669" s="1"/>
  <c r="G1674"/>
  <c r="G1675" s="1"/>
  <c r="G1676" s="1"/>
  <c r="G1677" s="1"/>
  <c r="G1678" s="1"/>
  <c r="E3305" i="23"/>
  <c r="E3306" s="1"/>
  <c r="E3307" s="1"/>
  <c r="F827" i="14" s="1"/>
  <c r="G3312" i="23"/>
  <c r="G3313" s="1"/>
  <c r="G3314" s="1"/>
  <c r="G3315" s="1"/>
  <c r="G3316" s="1"/>
  <c r="E826" i="14" s="1"/>
  <c r="E8302" i="21"/>
  <c r="E8303" s="1"/>
  <c r="E8304" s="1"/>
  <c r="F662" i="14" s="1"/>
  <c r="G8309" i="21"/>
  <c r="G8310" s="1"/>
  <c r="G8311" s="1"/>
  <c r="G8312" s="1"/>
  <c r="G8313" s="1"/>
  <c r="E661" i="14" s="1"/>
  <c r="F643" i="10"/>
  <c r="G643" s="1"/>
  <c r="F1122" i="24"/>
  <c r="G1122" s="1"/>
  <c r="F1572"/>
  <c r="G1572" s="1"/>
  <c r="F2479"/>
  <c r="G2479" s="1"/>
  <c r="F1290" i="10"/>
  <c r="G1290" s="1"/>
  <c r="F746" i="24"/>
  <c r="G746" s="1"/>
  <c r="F2396"/>
  <c r="G2396" s="1"/>
  <c r="F912"/>
  <c r="G912" s="1"/>
  <c r="F1133" i="10"/>
  <c r="G1133" s="1"/>
  <c r="F1497"/>
  <c r="G1497" s="1"/>
  <c r="F2367"/>
  <c r="G2367" s="1"/>
  <c r="F2012"/>
  <c r="G2012" s="1"/>
  <c r="F230" i="24"/>
  <c r="G230" s="1"/>
  <c r="F2215"/>
  <c r="G2215" s="1"/>
  <c r="F546"/>
  <c r="G546" s="1"/>
  <c r="F1865"/>
  <c r="G1865" s="1"/>
  <c r="F425" i="10"/>
  <c r="G425" s="1"/>
  <c r="F2172"/>
  <c r="G2172" s="1"/>
  <c r="F2312" i="24"/>
  <c r="G2312" s="1"/>
  <c r="F2711" i="10"/>
  <c r="G2711" s="1"/>
  <c r="F453" i="24"/>
  <c r="G453" s="1"/>
  <c r="F1362"/>
  <c r="G1362" s="1"/>
  <c r="F641"/>
  <c r="G641" s="1"/>
  <c r="E477" i="11"/>
  <c r="E478" s="1"/>
  <c r="E479" s="1"/>
  <c r="G484"/>
  <c r="G485" s="1"/>
  <c r="G486" s="1"/>
  <c r="G487" s="1"/>
  <c r="G488" s="1"/>
  <c r="F2571" i="20"/>
  <c r="G2571" s="1"/>
  <c r="F1289"/>
  <c r="G1289" s="1"/>
  <c r="F1634"/>
  <c r="G1634" s="1"/>
  <c r="F2498"/>
  <c r="G2498" s="1"/>
  <c r="F1513"/>
  <c r="G1513" s="1"/>
  <c r="F1825"/>
  <c r="G1825" s="1"/>
  <c r="E41" i="18"/>
  <c r="F192" i="20"/>
  <c r="G192" s="1"/>
  <c r="F1191"/>
  <c r="G1191" s="1"/>
  <c r="F720"/>
  <c r="G720" s="1"/>
  <c r="F916"/>
  <c r="G916" s="1"/>
  <c r="F1742"/>
  <c r="G1742" s="1"/>
  <c r="F550"/>
  <c r="G550" s="1"/>
  <c r="F1402"/>
  <c r="G1402" s="1"/>
  <c r="F8484" i="21"/>
  <c r="G8484" s="1"/>
  <c r="F1155" i="23"/>
  <c r="G1155" s="1"/>
  <c r="F6961" i="21"/>
  <c r="G6961" s="1"/>
  <c r="F2904" i="23"/>
  <c r="G2904" s="1"/>
  <c r="G1246" i="25"/>
  <c r="H1246" s="1"/>
  <c r="F2973" i="23"/>
  <c r="G2973" s="1"/>
  <c r="G2188" i="11"/>
  <c r="H2188" s="1"/>
  <c r="F4338" i="21"/>
  <c r="G4338" s="1"/>
  <c r="G1089" i="25"/>
  <c r="H1089" s="1"/>
  <c r="F1319" i="23"/>
  <c r="G1319" s="1"/>
  <c r="F1762" i="21"/>
  <c r="G1762" s="1"/>
  <c r="F4912"/>
  <c r="G4912" s="1"/>
  <c r="F1237" i="23"/>
  <c r="G1237" s="1"/>
  <c r="F5611" i="21"/>
  <c r="G5611" s="1"/>
  <c r="F1930" i="22"/>
  <c r="G1930" s="1"/>
  <c r="F2681"/>
  <c r="G2681" s="1"/>
  <c r="F1286"/>
  <c r="G1286" s="1"/>
  <c r="G974" i="11"/>
  <c r="H974" s="1"/>
  <c r="F2111" i="23"/>
  <c r="G2111" s="1"/>
  <c r="F2437" i="22"/>
  <c r="G2437" s="1"/>
  <c r="F2052" i="21"/>
  <c r="G2052" s="1"/>
  <c r="F1401" i="23"/>
  <c r="G1401" s="1"/>
  <c r="E34" i="18"/>
  <c r="F1033" i="22"/>
  <c r="G1033" s="1"/>
  <c r="F2356"/>
  <c r="G2356" s="1"/>
  <c r="F6872" i="21"/>
  <c r="G6872" s="1"/>
  <c r="F2098" i="22"/>
  <c r="G2098" s="1"/>
  <c r="F7679" i="21"/>
  <c r="G7679" s="1"/>
  <c r="G1118" i="11"/>
  <c r="H1118" s="1"/>
  <c r="F1562" i="23"/>
  <c r="G1562" s="1"/>
  <c r="F2841"/>
  <c r="G2841" s="1"/>
  <c r="F2600" i="22"/>
  <c r="G2600" s="1"/>
  <c r="F8414" i="21"/>
  <c r="G8414" s="1"/>
  <c r="F2029" i="23"/>
  <c r="G2029" s="1"/>
  <c r="F2638" i="21"/>
  <c r="G2638" s="1"/>
  <c r="F5522"/>
  <c r="G5522" s="1"/>
  <c r="F781" i="22"/>
  <c r="G781" s="1"/>
  <c r="G1313" i="25"/>
  <c r="H1313" s="1"/>
  <c r="F5338" i="21"/>
  <c r="G5338" s="1"/>
  <c r="G1197" i="11"/>
  <c r="H1197" s="1"/>
  <c r="F742" i="23"/>
  <c r="G742" s="1"/>
  <c r="F2846" i="21"/>
  <c r="G2846" s="1"/>
  <c r="F1967"/>
  <c r="G1967" s="1"/>
  <c r="F865" i="22"/>
  <c r="G865" s="1"/>
  <c r="F695"/>
  <c r="G695" s="1"/>
  <c r="F5214" i="21"/>
  <c r="G5214" s="1"/>
  <c r="F8185"/>
  <c r="G8185" s="1"/>
  <c r="F1202" i="22"/>
  <c r="G1202" s="1"/>
  <c r="F2355" i="21"/>
  <c r="G2355" s="1"/>
  <c r="F7404"/>
  <c r="G7404" s="1"/>
  <c r="F7614"/>
  <c r="G7614" s="1"/>
  <c r="F2270"/>
  <c r="G2270" s="1"/>
  <c r="G1040" i="11"/>
  <c r="H1040" s="1"/>
  <c r="G1264"/>
  <c r="H1264" s="1"/>
  <c r="F949" i="22"/>
  <c r="G949" s="1"/>
  <c r="F1760"/>
  <c r="G1760" s="1"/>
  <c r="G2067" i="11"/>
  <c r="H2067" s="1"/>
  <c r="F1947" i="23"/>
  <c r="G1947" s="1"/>
  <c r="G2105" i="25"/>
  <c r="H2105" s="1"/>
  <c r="F7231" i="21"/>
  <c r="G7231" s="1"/>
  <c r="F3043" i="23"/>
  <c r="G3043" s="1"/>
  <c r="F1611" i="22"/>
  <c r="G1611" s="1"/>
  <c r="F5432" i="21"/>
  <c r="G5432" s="1"/>
  <c r="F1483" i="23"/>
  <c r="G1483" s="1"/>
  <c r="F1845" i="22"/>
  <c r="G1845" s="1"/>
  <c r="F908" i="23"/>
  <c r="G908" s="1"/>
  <c r="F1705"/>
  <c r="G1705" s="1"/>
  <c r="F1370" i="22"/>
  <c r="G1370" s="1"/>
  <c r="G2225" i="25"/>
  <c r="H2225" s="1"/>
  <c r="G898" i="11"/>
  <c r="H898" s="1"/>
  <c r="F1864" i="23"/>
  <c r="G1864" s="1"/>
  <c r="F2553" i="21"/>
  <c r="G2553" s="1"/>
  <c r="F2981" i="22"/>
  <c r="G2981" s="1"/>
  <c r="G1986" i="25"/>
  <c r="H1986" s="1"/>
  <c r="F3107" i="21"/>
  <c r="G3107" s="1"/>
  <c r="F2014" i="22"/>
  <c r="G2014" s="1"/>
  <c r="F3397" i="21"/>
  <c r="G3397" s="1"/>
  <c r="G2347" i="25"/>
  <c r="H2347" s="1"/>
  <c r="F826" i="23"/>
  <c r="G826" s="1"/>
  <c r="F5736" i="21"/>
  <c r="G5736" s="1"/>
  <c r="G1947" i="11"/>
  <c r="H1947" s="1"/>
  <c r="F2281" i="23"/>
  <c r="G2281" s="1"/>
  <c r="F1682" i="22"/>
  <c r="G1682" s="1"/>
  <c r="F3269" i="21"/>
  <c r="G3269" s="1"/>
  <c r="F7317"/>
  <c r="G7317" s="1"/>
  <c r="F1118" i="22"/>
  <c r="G1118" s="1"/>
  <c r="F1535"/>
  <c r="G1535" s="1"/>
  <c r="F3029" i="21"/>
  <c r="G3029" s="1"/>
  <c r="F3553" i="23"/>
  <c r="G3553" s="1"/>
  <c r="F6322" i="21"/>
  <c r="G6322" s="1"/>
  <c r="F7480"/>
  <c r="G7480" s="1"/>
  <c r="F990" i="23"/>
  <c r="G990" s="1"/>
  <c r="F7049" i="21"/>
  <c r="G7049" s="1"/>
  <c r="F7544"/>
  <c r="G7544" s="1"/>
  <c r="F2363" i="23"/>
  <c r="G2363" s="1"/>
  <c r="F4434" i="21"/>
  <c r="G4434" s="1"/>
  <c r="F1636" i="23"/>
  <c r="G1636" s="1"/>
  <c r="F2910" i="22"/>
  <c r="G2910" s="1"/>
  <c r="F3577"/>
  <c r="G3577" s="1"/>
  <c r="F4783" i="21"/>
  <c r="G4783" s="1"/>
  <c r="F2601" i="23"/>
  <c r="G2601" s="1"/>
  <c r="F206" i="20"/>
  <c r="G206" s="1"/>
  <c r="E69" i="18"/>
  <c r="F564" i="20"/>
  <c r="G564" s="1"/>
  <c r="G4155" i="23"/>
  <c r="G4156" s="1"/>
  <c r="G4157" s="1"/>
  <c r="G4158" s="1"/>
  <c r="G4159" s="1"/>
  <c r="E880" i="14" s="1"/>
  <c r="E4148" i="23"/>
  <c r="E4149" s="1"/>
  <c r="E4150" s="1"/>
  <c r="F881" i="14" s="1"/>
  <c r="F4792" i="21"/>
  <c r="G4792" s="1"/>
  <c r="F28" i="18"/>
  <c r="F5347" i="21"/>
  <c r="G5347" s="1"/>
  <c r="F4992"/>
  <c r="G4992" s="1"/>
  <c r="F4920"/>
  <c r="G4920" s="1"/>
  <c r="E349" i="11"/>
  <c r="E350" s="1"/>
  <c r="E351" s="1"/>
  <c r="G356"/>
  <c r="G357" s="1"/>
  <c r="G358" s="1"/>
  <c r="G359" s="1"/>
  <c r="G360" s="1"/>
  <c r="F1842" i="22"/>
  <c r="G1842" s="1"/>
  <c r="H4242" i="19"/>
  <c r="I4242" s="1"/>
  <c r="G2584" i="11"/>
  <c r="H2584" s="1"/>
  <c r="D45" i="18"/>
  <c r="G45" s="1"/>
  <c r="F1282" i="20"/>
  <c r="G1282" s="1"/>
  <c r="G528" i="5"/>
  <c r="F2571" i="24"/>
  <c r="G2571" s="1"/>
  <c r="F2689" i="22"/>
  <c r="G2689" s="1"/>
  <c r="F1082" i="23"/>
  <c r="G1082" s="1"/>
  <c r="G1096" s="1"/>
  <c r="F3585" i="22"/>
  <c r="G3585" s="1"/>
  <c r="F1643" i="23"/>
  <c r="G1643" s="1"/>
  <c r="G1653" s="1"/>
  <c r="G1661" s="1"/>
  <c r="F1287" i="10"/>
  <c r="G1287" s="1"/>
  <c r="F1363" i="24"/>
  <c r="G1363" s="1"/>
  <c r="G547" i="5"/>
  <c r="F2175" i="10"/>
  <c r="G2175" s="1"/>
  <c r="F2026" i="23"/>
  <c r="G2026" s="1"/>
  <c r="F1283" i="22"/>
  <c r="G1283" s="1"/>
  <c r="F955" i="10"/>
  <c r="G955" s="1"/>
  <c r="E7837" i="21"/>
  <c r="E7838" s="1"/>
  <c r="E7839" s="1"/>
  <c r="F635" i="14" s="1"/>
  <c r="F1239" i="23"/>
  <c r="G1239" s="1"/>
  <c r="F7406" i="21"/>
  <c r="G7406" s="1"/>
  <c r="F7136"/>
  <c r="G7136" s="1"/>
  <c r="G2109" i="25"/>
  <c r="H2109" s="1"/>
  <c r="H271" i="5"/>
  <c r="D542" s="1"/>
  <c r="F4331" i="21" s="1"/>
  <c r="G4331" s="1"/>
  <c r="F218" i="10"/>
  <c r="G218" s="1"/>
  <c r="F3053" i="22"/>
  <c r="G3053" s="1"/>
  <c r="G2229" i="25"/>
  <c r="H2229" s="1"/>
  <c r="F2519" i="22"/>
  <c r="G2519" s="1"/>
  <c r="F2442" i="23"/>
  <c r="G2442" s="1"/>
  <c r="F1848" i="21"/>
  <c r="G1848" s="1"/>
  <c r="F2196" i="23"/>
  <c r="G2196" s="1"/>
  <c r="F1479" i="21"/>
  <c r="G1479" s="1"/>
  <c r="H1385" i="19"/>
  <c r="I1385" s="1"/>
  <c r="F2049" i="20"/>
  <c r="G2049" s="1"/>
  <c r="F2376"/>
  <c r="G2376" s="1"/>
  <c r="F2203"/>
  <c r="G2203" s="1"/>
  <c r="E18" i="18"/>
  <c r="F1031" i="22"/>
  <c r="G1031" s="1"/>
  <c r="F2270"/>
  <c r="G2270" s="1"/>
  <c r="F1481" i="23"/>
  <c r="G1481" s="1"/>
  <c r="F2599"/>
  <c r="G2599" s="1"/>
  <c r="F6959" i="21"/>
  <c r="G6959" s="1"/>
  <c r="F3551" i="23"/>
  <c r="G3551" s="1"/>
  <c r="F2109"/>
  <c r="G2109" s="1"/>
  <c r="F1703"/>
  <c r="G1703" s="1"/>
  <c r="F2520"/>
  <c r="G2520" s="1"/>
  <c r="F1116" i="22"/>
  <c r="G1116" s="1"/>
  <c r="F1235" i="23"/>
  <c r="G1235" s="1"/>
  <c r="F1153"/>
  <c r="G1153" s="1"/>
  <c r="F1609" i="22"/>
  <c r="G1609" s="1"/>
  <c r="F2598"/>
  <c r="G2598" s="1"/>
  <c r="F863"/>
  <c r="G863" s="1"/>
  <c r="F2183"/>
  <c r="G2183" s="1"/>
  <c r="F2027" i="23"/>
  <c r="G2027" s="1"/>
  <c r="F2096" i="22"/>
  <c r="G2096" s="1"/>
  <c r="F1317" i="23"/>
  <c r="G1317" s="1"/>
  <c r="F2679" i="22"/>
  <c r="G2679" s="1"/>
  <c r="F1399" i="23"/>
  <c r="G1399" s="1"/>
  <c r="F6870" i="21"/>
  <c r="G6870" s="1"/>
  <c r="F2435" i="22"/>
  <c r="G2435" s="1"/>
  <c r="F5728" i="21"/>
  <c r="G5728" s="1"/>
  <c r="F5330"/>
  <c r="G5330" s="1"/>
  <c r="F4641"/>
  <c r="G4641" s="1"/>
  <c r="E32" i="18"/>
  <c r="F4904" i="21"/>
  <c r="G4904" s="1"/>
  <c r="F4775"/>
  <c r="G4775" s="1"/>
  <c r="H1991" i="19"/>
  <c r="I1991" s="1"/>
  <c r="H2359"/>
  <c r="I2359" s="1"/>
  <c r="H2575"/>
  <c r="I2575" s="1"/>
  <c r="H2237"/>
  <c r="I2237" s="1"/>
  <c r="H1872"/>
  <c r="I1872" s="1"/>
  <c r="G7753" i="21"/>
  <c r="G7754" s="1"/>
  <c r="G7755" s="1"/>
  <c r="G7756" s="1"/>
  <c r="G7757" s="1"/>
  <c r="E629" i="14" s="1"/>
  <c r="E7746" i="21"/>
  <c r="E7747" s="1"/>
  <c r="E7748" s="1"/>
  <c r="F630" i="14" s="1"/>
  <c r="F2641" i="11"/>
  <c r="F2642" s="1"/>
  <c r="F2643" s="1"/>
  <c r="F2648"/>
  <c r="F2649" s="1"/>
  <c r="F2650" s="1"/>
  <c r="F2651" s="1"/>
  <c r="F2652" s="1"/>
  <c r="F2653" s="1"/>
  <c r="F2654" s="1"/>
  <c r="F2655" s="1"/>
  <c r="F2656" s="1"/>
  <c r="G343" i="5"/>
  <c r="H343" s="1"/>
  <c r="E522" s="1"/>
  <c r="G1262" i="11"/>
  <c r="H1262" s="1"/>
  <c r="G945" i="25"/>
  <c r="H945" s="1"/>
  <c r="E30" i="18"/>
  <c r="G896" i="11"/>
  <c r="H896" s="1"/>
  <c r="F1189" i="20"/>
  <c r="G1189" s="1"/>
  <c r="F2492"/>
  <c r="G2492" s="1"/>
  <c r="H2672" i="19"/>
  <c r="I2672" s="1"/>
  <c r="F204" i="20"/>
  <c r="G204" s="1"/>
  <c r="F1507"/>
  <c r="G1507" s="1"/>
  <c r="G1599" i="22"/>
  <c r="G1600" s="1"/>
  <c r="G1603" s="1"/>
  <c r="G1634" s="1"/>
  <c r="H246" i="5"/>
  <c r="D519" s="1"/>
  <c r="D36" i="18" s="1"/>
  <c r="G36" s="1"/>
  <c r="G3042" i="22"/>
  <c r="G2360" i="25"/>
  <c r="H2360" s="1"/>
  <c r="F2065" i="21"/>
  <c r="G2065" s="1"/>
  <c r="F337" i="15"/>
  <c r="G337" s="1"/>
  <c r="F305"/>
  <c r="G305" s="1"/>
  <c r="F50" i="18"/>
  <c r="F1855" i="22"/>
  <c r="G1855" s="1"/>
  <c r="F2373" i="23"/>
  <c r="G2373" s="1"/>
  <c r="F1957"/>
  <c r="G1957" s="1"/>
  <c r="H1109" i="19"/>
  <c r="I1109" s="1"/>
  <c r="F4232" i="23"/>
  <c r="G4232" s="1"/>
  <c r="F4342" i="21"/>
  <c r="G4342" s="1"/>
  <c r="F4638"/>
  <c r="F4639" s="1"/>
  <c r="G4639" s="1"/>
  <c r="F5725"/>
  <c r="G5725" s="1"/>
  <c r="G8038"/>
  <c r="G8039" s="1"/>
  <c r="G8040" s="1"/>
  <c r="G8041" s="1"/>
  <c r="G8042" s="1"/>
  <c r="E646" i="14" s="1"/>
  <c r="H293" i="19"/>
  <c r="I293" s="1"/>
  <c r="H5192"/>
  <c r="I5192" s="1"/>
  <c r="F246" i="21"/>
  <c r="G246" s="1"/>
  <c r="H5415" i="19"/>
  <c r="I5415" s="1"/>
  <c r="H572"/>
  <c r="I572" s="1"/>
  <c r="F416" i="21"/>
  <c r="G416" s="1"/>
  <c r="F2910" i="11"/>
  <c r="G2910" s="1"/>
  <c r="H5056" i="19"/>
  <c r="I5056" s="1"/>
  <c r="F2954" i="11"/>
  <c r="G2954" s="1"/>
  <c r="G7068" i="21"/>
  <c r="G7069" s="1"/>
  <c r="E7070" s="1"/>
  <c r="E7071" s="1"/>
  <c r="E7072" s="1"/>
  <c r="F601" i="14" s="1"/>
  <c r="H221" i="5"/>
  <c r="D495" s="1"/>
  <c r="H1849" i="19" s="1"/>
  <c r="I1849" s="1"/>
  <c r="F1462" i="21"/>
  <c r="G1462" s="1"/>
  <c r="H1097" i="11"/>
  <c r="H1098" s="1"/>
  <c r="G1109" s="1"/>
  <c r="H1109" s="1"/>
  <c r="H1110" s="1"/>
  <c r="G1134" s="1"/>
  <c r="E3422" i="22"/>
  <c r="E3423" s="1"/>
  <c r="E3424" s="1"/>
  <c r="G4005" i="23"/>
  <c r="G4006" s="1"/>
  <c r="G4007" s="1"/>
  <c r="G4008" s="1"/>
  <c r="E869" i="14" s="1"/>
  <c r="H296" i="5"/>
  <c r="D562" s="1"/>
  <c r="D79" i="18" s="1"/>
  <c r="H256" i="5"/>
  <c r="D527" s="1"/>
  <c r="G527" s="1"/>
  <c r="F1779" i="23"/>
  <c r="G1779" s="1"/>
  <c r="F1368" i="22"/>
  <c r="G1368" s="1"/>
  <c r="F2678" i="23"/>
  <c r="G2678" s="1"/>
  <c r="F740"/>
  <c r="G740" s="1"/>
  <c r="F2440"/>
  <c r="G2440" s="1"/>
  <c r="F1452" i="22"/>
  <c r="G1452" s="1"/>
  <c r="E1586" i="11"/>
  <c r="E1587" s="1"/>
  <c r="E1588" s="1"/>
  <c r="H243" i="5"/>
  <c r="D516" s="1"/>
  <c r="D33" i="18" s="1"/>
  <c r="H290" i="5"/>
  <c r="D557" s="1"/>
  <c r="G557" s="1"/>
  <c r="H220"/>
  <c r="D494" s="1"/>
  <c r="H245"/>
  <c r="D518" s="1"/>
  <c r="H1252" i="19" s="1"/>
  <c r="I1252" s="1"/>
  <c r="H222" i="5"/>
  <c r="D496" s="1"/>
  <c r="F1637" i="21" s="1"/>
  <c r="G1637" s="1"/>
  <c r="H229" i="5"/>
  <c r="D503" s="1"/>
  <c r="F1629" i="20" s="1"/>
  <c r="G1629" s="1"/>
  <c r="H291" i="5"/>
  <c r="D559" s="1"/>
  <c r="F243" i="24" s="1"/>
  <c r="G243" s="1"/>
  <c r="H287" i="5"/>
  <c r="D555" s="1"/>
  <c r="H268"/>
  <c r="D539" s="1"/>
  <c r="F424" i="10" s="1"/>
  <c r="G424" s="1"/>
  <c r="H264" i="5"/>
  <c r="D535" s="1"/>
  <c r="D52" i="18" s="1"/>
  <c r="H232" i="5"/>
  <c r="D506" s="1"/>
  <c r="F7046" i="21" s="1"/>
  <c r="G7046" s="1"/>
  <c r="E11" i="18"/>
  <c r="F2881" i="24"/>
  <c r="G2881" s="1"/>
  <c r="F2757"/>
  <c r="G2757" s="1"/>
  <c r="E175" i="23"/>
  <c r="E176" s="1"/>
  <c r="E177" s="1"/>
  <c r="F690" i="14" s="1"/>
  <c r="E3222" i="22"/>
  <c r="E3223" s="1"/>
  <c r="E3224" s="1"/>
  <c r="G3379"/>
  <c r="G3380" s="1"/>
  <c r="G3381" s="1"/>
  <c r="G3382" s="1"/>
  <c r="G370" i="5"/>
  <c r="H370" s="1"/>
  <c r="E549" s="1"/>
  <c r="E3209" i="23"/>
  <c r="E3210" s="1"/>
  <c r="E3211" s="1"/>
  <c r="F821" i="14" s="1"/>
  <c r="G3216" i="23"/>
  <c r="G3217" s="1"/>
  <c r="G3218" s="1"/>
  <c r="G3219" s="1"/>
  <c r="G3220" s="1"/>
  <c r="E820" i="14" s="1"/>
  <c r="E3717" i="22"/>
  <c r="E3718" s="1"/>
  <c r="E3719" s="1"/>
  <c r="G3724"/>
  <c r="G3725" s="1"/>
  <c r="G3726" s="1"/>
  <c r="G3727" s="1"/>
  <c r="G3728" s="1"/>
  <c r="G6685" i="21"/>
  <c r="G6686" s="1"/>
  <c r="G6687" s="1"/>
  <c r="G6688" s="1"/>
  <c r="G6689" s="1"/>
  <c r="E582" i="14" s="1"/>
  <c r="E6678" i="21"/>
  <c r="E6679" s="1"/>
  <c r="E6680" s="1"/>
  <c r="F583" i="14" s="1"/>
  <c r="G2101" i="25"/>
  <c r="H2101" s="1"/>
  <c r="F2266" i="21"/>
  <c r="G2266" s="1"/>
  <c r="F2048"/>
  <c r="G2048" s="1"/>
  <c r="F2756"/>
  <c r="G2756" s="1"/>
  <c r="F4908"/>
  <c r="G4908" s="1"/>
  <c r="F2634"/>
  <c r="G2634" s="1"/>
  <c r="F5334"/>
  <c r="G5334" s="1"/>
  <c r="F4244"/>
  <c r="G4244" s="1"/>
  <c r="F5732"/>
  <c r="G5732" s="1"/>
  <c r="F2351"/>
  <c r="G2351" s="1"/>
  <c r="F304"/>
  <c r="G304" s="1"/>
  <c r="G1943" i="11"/>
  <c r="H1943" s="1"/>
  <c r="F2154" i="21"/>
  <c r="G2154" s="1"/>
  <c r="F1758"/>
  <c r="G1758" s="1"/>
  <c r="F2842"/>
  <c r="G2842" s="1"/>
  <c r="F170"/>
  <c r="G170" s="1"/>
  <c r="F4332"/>
  <c r="G4332" s="1"/>
  <c r="G2221" i="25"/>
  <c r="H2221" s="1"/>
  <c r="G1982"/>
  <c r="H1982" s="1"/>
  <c r="F1844" i="21"/>
  <c r="G1844" s="1"/>
  <c r="G2063" i="11"/>
  <c r="H2063" s="1"/>
  <c r="G2184"/>
  <c r="H2184" s="1"/>
  <c r="G2343" i="25"/>
  <c r="H2343" s="1"/>
  <c r="F2549" i="21"/>
  <c r="G2549" s="1"/>
  <c r="F1963"/>
  <c r="G1963" s="1"/>
  <c r="F4779"/>
  <c r="G4779" s="1"/>
  <c r="F2944"/>
  <c r="G2944" s="1"/>
  <c r="G2307" i="11"/>
  <c r="H2307" s="1"/>
  <c r="E59" i="18"/>
  <c r="F2434" i="21"/>
  <c r="G2434" s="1"/>
  <c r="F4645"/>
  <c r="G4645" s="1"/>
  <c r="F5609"/>
  <c r="G5609" s="1"/>
  <c r="F1928" i="22"/>
  <c r="G1928" s="1"/>
  <c r="E4030"/>
  <c r="E4031" s="1"/>
  <c r="E4032" s="1"/>
  <c r="G4037"/>
  <c r="G4038" s="1"/>
  <c r="G4039" s="1"/>
  <c r="G4040" s="1"/>
  <c r="G4041" s="1"/>
  <c r="F953" i="10"/>
  <c r="G953" s="1"/>
  <c r="F216"/>
  <c r="G216" s="1"/>
  <c r="F639" i="24"/>
  <c r="G639" s="1"/>
  <c r="F112"/>
  <c r="G112" s="1"/>
  <c r="E53" i="18"/>
  <c r="F423" i="10"/>
  <c r="G423" s="1"/>
  <c r="F228" i="24"/>
  <c r="G228" s="1"/>
  <c r="F2646" i="20"/>
  <c r="G2646" s="1"/>
  <c r="F722"/>
  <c r="G722" s="1"/>
  <c r="F194"/>
  <c r="G194" s="1"/>
  <c r="F1394"/>
  <c r="G1394" s="1"/>
  <c r="H2213" i="19"/>
  <c r="I2213" s="1"/>
  <c r="H2335"/>
  <c r="I2335" s="1"/>
  <c r="H2090"/>
  <c r="I2090" s="1"/>
  <c r="H260" i="5"/>
  <c r="D531" s="1"/>
  <c r="F1484" i="23" s="1"/>
  <c r="G1484" s="1"/>
  <c r="H224" i="5"/>
  <c r="D498" s="1"/>
  <c r="G498" s="1"/>
  <c r="I6407" i="19"/>
  <c r="I6408" s="1"/>
  <c r="I6409" s="1"/>
  <c r="I6410" s="1"/>
  <c r="E240" i="14" s="1"/>
  <c r="F255" i="15"/>
  <c r="G255" s="1"/>
  <c r="F347"/>
  <c r="G347" s="1"/>
  <c r="F4991" i="21"/>
  <c r="G4991" s="1"/>
  <c r="F285" i="15"/>
  <c r="G285" s="1"/>
  <c r="G2896" i="23"/>
  <c r="G2930" s="1"/>
  <c r="F5743" i="21"/>
  <c r="G5743" s="1"/>
  <c r="F2195" i="22"/>
  <c r="G2195" s="1"/>
  <c r="F962"/>
  <c r="G962" s="1"/>
  <c r="F1652" i="21"/>
  <c r="G1652" s="1"/>
  <c r="F4271" i="22"/>
  <c r="G4271" s="1"/>
  <c r="G7396" i="21"/>
  <c r="G7430" s="1"/>
  <c r="F4772"/>
  <c r="G4772" s="1"/>
  <c r="I5893" i="19"/>
  <c r="I5894" s="1"/>
  <c r="I5895" s="1"/>
  <c r="I5896" s="1"/>
  <c r="E216" i="14" s="1"/>
  <c r="F2619" i="25"/>
  <c r="G2619" s="1"/>
  <c r="E60" i="18"/>
  <c r="H5585" i="19"/>
  <c r="I5585" s="1"/>
  <c r="H4665"/>
  <c r="I4665" s="1"/>
  <c r="H4929"/>
  <c r="I4929" s="1"/>
  <c r="F1634" i="21"/>
  <c r="G1634" s="1"/>
  <c r="F114"/>
  <c r="G114" s="1"/>
  <c r="H427" i="19"/>
  <c r="I427" s="1"/>
  <c r="H4802"/>
  <c r="I4802" s="1"/>
  <c r="F2631" i="21"/>
  <c r="G2631" s="1"/>
  <c r="H953" i="11"/>
  <c r="H954" s="1"/>
  <c r="G965" s="1"/>
  <c r="H965" s="1"/>
  <c r="H966" s="1"/>
  <c r="G990" s="1"/>
  <c r="G1453" i="21"/>
  <c r="G1493" s="1"/>
  <c r="E2876" i="10"/>
  <c r="E2877" s="1"/>
  <c r="E2878" s="1"/>
  <c r="E6122" i="21"/>
  <c r="E6123" s="1"/>
  <c r="E6124" s="1"/>
  <c r="F551" i="14" s="1"/>
  <c r="E24" i="18"/>
  <c r="F1634" i="23"/>
  <c r="G1634" s="1"/>
  <c r="F1284" i="22"/>
  <c r="G1284" s="1"/>
  <c r="F2517"/>
  <c r="G2517" s="1"/>
  <c r="F1070" i="23"/>
  <c r="G1070" s="1"/>
  <c r="F2279"/>
  <c r="G2279" s="1"/>
  <c r="H239" i="5"/>
  <c r="F368" i="22"/>
  <c r="G368" s="1"/>
  <c r="F2816" i="24"/>
  <c r="G2816" s="1"/>
  <c r="F2949"/>
  <c r="G2949" s="1"/>
  <c r="F2809" i="10"/>
  <c r="G2809" s="1"/>
  <c r="D65" i="18"/>
  <c r="G65" s="1"/>
  <c r="G548" i="5"/>
  <c r="D46" i="18"/>
  <c r="G46" s="1"/>
  <c r="H3426" i="19"/>
  <c r="I3426" s="1"/>
  <c r="I3435" s="1"/>
  <c r="I3451" s="1"/>
  <c r="G529" i="5"/>
  <c r="G518"/>
  <c r="H1310" i="19"/>
  <c r="I1310" s="1"/>
  <c r="D35" i="18"/>
  <c r="G35" s="1"/>
  <c r="D17"/>
  <c r="G17" s="1"/>
  <c r="G500" i="5"/>
  <c r="F1361" i="24"/>
  <c r="G1361" s="1"/>
  <c r="D56" i="18"/>
  <c r="F229" i="24"/>
  <c r="G229" s="1"/>
  <c r="F452"/>
  <c r="G452" s="1"/>
  <c r="F954" i="10"/>
  <c r="G954" s="1"/>
  <c r="F794"/>
  <c r="G794" s="1"/>
  <c r="F227"/>
  <c r="G227" s="1"/>
  <c r="F5855" i="21"/>
  <c r="G5855" s="1"/>
  <c r="G5857" s="1"/>
  <c r="G5876" s="1"/>
  <c r="F7542"/>
  <c r="G7542" s="1"/>
  <c r="H5410" i="19"/>
  <c r="I5410" s="1"/>
  <c r="D47" i="18"/>
  <c r="F378" i="20"/>
  <c r="G378" s="1"/>
  <c r="H581" i="19"/>
  <c r="I581" s="1"/>
  <c r="F2493" i="20"/>
  <c r="G2493" s="1"/>
  <c r="F993" i="21"/>
  <c r="G993" s="1"/>
  <c r="F429" i="22"/>
  <c r="G429" s="1"/>
  <c r="F232"/>
  <c r="G232" s="1"/>
  <c r="F919" i="20"/>
  <c r="G919" s="1"/>
  <c r="F478" i="23"/>
  <c r="G478" s="1"/>
  <c r="H5507" i="19"/>
  <c r="I5507" s="1"/>
  <c r="F1468" i="21"/>
  <c r="G1468" s="1"/>
  <c r="F421"/>
  <c r="G421" s="1"/>
  <c r="F1211"/>
  <c r="G1211" s="1"/>
  <c r="H300" i="19"/>
  <c r="I300" s="1"/>
  <c r="F320" i="22"/>
  <c r="G320" s="1"/>
  <c r="F553" i="20"/>
  <c r="G553" s="1"/>
  <c r="F618" i="21"/>
  <c r="G618" s="1"/>
  <c r="H933" i="19"/>
  <c r="I933" s="1"/>
  <c r="F723" i="20"/>
  <c r="G723" s="1"/>
  <c r="F856" i="21"/>
  <c r="G856" s="1"/>
  <c r="F1641"/>
  <c r="G1641" s="1"/>
  <c r="F6167"/>
  <c r="G6167" s="1"/>
  <c r="F369" i="23"/>
  <c r="G369" s="1"/>
  <c r="F1030" i="20"/>
  <c r="G1030" s="1"/>
  <c r="H764" i="19"/>
  <c r="I764" s="1"/>
  <c r="G530" i="5"/>
  <c r="H436" i="19"/>
  <c r="I436" s="1"/>
  <c r="F1508" i="20"/>
  <c r="G1508" s="1"/>
  <c r="F1397"/>
  <c r="G1397" s="1"/>
  <c r="F195"/>
  <c r="G195" s="1"/>
  <c r="F281" i="23"/>
  <c r="G281" s="1"/>
  <c r="F993"/>
  <c r="G993" s="1"/>
  <c r="F1846" i="22"/>
  <c r="G1846" s="1"/>
  <c r="D50" i="18"/>
  <c r="F2186" i="22"/>
  <c r="G2186" s="1"/>
  <c r="F829" i="23"/>
  <c r="G829" s="1"/>
  <c r="F784" i="22"/>
  <c r="G784" s="1"/>
  <c r="F1948" i="23"/>
  <c r="G1948" s="1"/>
  <c r="F1865"/>
  <c r="G1865" s="1"/>
  <c r="F2364"/>
  <c r="G2364" s="1"/>
  <c r="F952" i="22"/>
  <c r="G952" s="1"/>
  <c r="F2197" i="23"/>
  <c r="G2197" s="1"/>
  <c r="F1931" i="22"/>
  <c r="G1931" s="1"/>
  <c r="F2357"/>
  <c r="G2357" s="1"/>
  <c r="F2202" i="20"/>
  <c r="G2202" s="1"/>
  <c r="F2048"/>
  <c r="G2048" s="1"/>
  <c r="D18" i="18"/>
  <c r="F5324" i="21"/>
  <c r="G5324" s="1"/>
  <c r="H4244" i="19"/>
  <c r="I4244" s="1"/>
  <c r="H762"/>
  <c r="I762" s="1"/>
  <c r="H1375"/>
  <c r="I1375" s="1"/>
  <c r="D14" i="18"/>
  <c r="F2173" i="10"/>
  <c r="G2173" s="1"/>
  <c r="F1866" i="24"/>
  <c r="G1866" s="1"/>
  <c r="D2729" i="23"/>
  <c r="F2729" s="1"/>
  <c r="F2013" i="10"/>
  <c r="G2013" s="1"/>
  <c r="G1716" i="25"/>
  <c r="G1717" s="1"/>
  <c r="G1718" s="1"/>
  <c r="G1719" s="1"/>
  <c r="E1088" i="14" s="1"/>
  <c r="F1765" i="21"/>
  <c r="G1765" s="1"/>
  <c r="F2960" i="11"/>
  <c r="G2960" s="1"/>
  <c r="F2556" i="21"/>
  <c r="G2556" s="1"/>
  <c r="F2055"/>
  <c r="G2055" s="1"/>
  <c r="H5199" i="19"/>
  <c r="I5199" s="1"/>
  <c r="F2849" i="21"/>
  <c r="G2849" s="1"/>
  <c r="G2191" i="11"/>
  <c r="H2191" s="1"/>
  <c r="D70" i="18"/>
  <c r="G70" s="1"/>
  <c r="F2668" i="25"/>
  <c r="G2668" s="1"/>
  <c r="G2108"/>
  <c r="H2108" s="1"/>
  <c r="G2228"/>
  <c r="H2228" s="1"/>
  <c r="G1950" i="11"/>
  <c r="H1950" s="1"/>
  <c r="H4672" i="19"/>
  <c r="I4672" s="1"/>
  <c r="F2273" i="21"/>
  <c r="G2273" s="1"/>
  <c r="F2157"/>
  <c r="G2157" s="1"/>
  <c r="F3345"/>
  <c r="G3345" s="1"/>
  <c r="G2350" i="25"/>
  <c r="H2350" s="1"/>
  <c r="F2763" i="21"/>
  <c r="G2763" s="1"/>
  <c r="F376" i="20"/>
  <c r="G376" s="1"/>
  <c r="G3339" i="10"/>
  <c r="G3341" s="1"/>
  <c r="E3332"/>
  <c r="E3333" s="1"/>
  <c r="E3334" s="1"/>
  <c r="F2572" i="22"/>
  <c r="F2619" s="1"/>
  <c r="G2619" s="1"/>
  <c r="F1427"/>
  <c r="F1473" s="1"/>
  <c r="G1473" s="1"/>
  <c r="F1507"/>
  <c r="F1554" s="1"/>
  <c r="G1554" s="1"/>
  <c r="F2491"/>
  <c r="F2538" s="1"/>
  <c r="G2538" s="1"/>
  <c r="G2539" s="1"/>
  <c r="F751"/>
  <c r="F803" s="1"/>
  <c r="G803" s="1"/>
  <c r="G804" s="1"/>
  <c r="E919"/>
  <c r="F971" s="1"/>
  <c r="G971" s="1"/>
  <c r="G972" s="1"/>
  <c r="F1814"/>
  <c r="F1864" s="1"/>
  <c r="G1864" s="1"/>
  <c r="G1865" s="1"/>
  <c r="F2652"/>
  <c r="F2700" s="1"/>
  <c r="G2700" s="1"/>
  <c r="G2701" s="1"/>
  <c r="F1004"/>
  <c r="F1055" s="1"/>
  <c r="G1055" s="1"/>
  <c r="G1056" s="1"/>
  <c r="F1088"/>
  <c r="F1140" s="1"/>
  <c r="G1140" s="1"/>
  <c r="G1141" s="1"/>
  <c r="F2242"/>
  <c r="F2291" s="1"/>
  <c r="G2291" s="1"/>
  <c r="F2068"/>
  <c r="F2117" s="1"/>
  <c r="G2117" s="1"/>
  <c r="G2118" s="1"/>
  <c r="F655"/>
  <c r="F717" s="1"/>
  <c r="G717" s="1"/>
  <c r="G718" s="1"/>
  <c r="F2327"/>
  <c r="F2375" s="1"/>
  <c r="G2375" s="1"/>
  <c r="G2376" s="1"/>
  <c r="E3551"/>
  <c r="F3596" s="1"/>
  <c r="G3596" s="1"/>
  <c r="F1734"/>
  <c r="F1779" s="1"/>
  <c r="G1779" s="1"/>
  <c r="F1341"/>
  <c r="F1392" s="1"/>
  <c r="G1392" s="1"/>
  <c r="G1393" s="1"/>
  <c r="F2409"/>
  <c r="F2456" s="1"/>
  <c r="G2456" s="1"/>
  <c r="G2457" s="1"/>
  <c r="D1257"/>
  <c r="F1308" s="1"/>
  <c r="G1308" s="1"/>
  <c r="G1309" s="1"/>
  <c r="F2154"/>
  <c r="F2206" s="1"/>
  <c r="G2206" s="1"/>
  <c r="G2207" s="1"/>
  <c r="D69" i="18"/>
  <c r="F929" i="20"/>
  <c r="G929" s="1"/>
  <c r="F563"/>
  <c r="G563" s="1"/>
  <c r="E100" i="13"/>
  <c r="E100" i="15"/>
  <c r="E1150" i="26"/>
  <c r="E162"/>
  <c r="E8133" i="21"/>
  <c r="E8134" s="1"/>
  <c r="E8135" s="1"/>
  <c r="F653" i="14" s="1"/>
  <c r="G8140" i="21"/>
  <c r="G8141" s="1"/>
  <c r="G8142" s="1"/>
  <c r="G8143" s="1"/>
  <c r="G8144" s="1"/>
  <c r="E652" i="14" s="1"/>
  <c r="E75" i="13"/>
  <c r="E119" i="26"/>
  <c r="E78" i="15"/>
  <c r="D687"/>
  <c r="E110" i="26"/>
  <c r="G3170" i="23"/>
  <c r="G3171" s="1"/>
  <c r="G3172" s="1"/>
  <c r="G3173" s="1"/>
  <c r="G3174" s="1"/>
  <c r="E817" i="14" s="1"/>
  <c r="E3163" i="23"/>
  <c r="E3164" s="1"/>
  <c r="E3165" s="1"/>
  <c r="F818" i="14" s="1"/>
  <c r="H5292" i="19"/>
  <c r="I5292" s="1"/>
  <c r="F865" i="21"/>
  <c r="G865" s="1"/>
  <c r="H1988" i="19"/>
  <c r="I1988" s="1"/>
  <c r="F5346" i="21"/>
  <c r="G5346" s="1"/>
  <c r="F4657"/>
  <c r="G4657" s="1"/>
  <c r="F197" i="20"/>
  <c r="G197" s="1"/>
  <c r="F2524" i="10"/>
  <c r="G2524" s="1"/>
  <c r="F2482" i="24"/>
  <c r="G2482" s="1"/>
  <c r="F1730" i="20"/>
  <c r="G1730" s="1"/>
  <c r="D11" i="18"/>
  <c r="F2569" i="24"/>
  <c r="G2569" s="1"/>
  <c r="F1813" i="10"/>
  <c r="G1813" s="1"/>
  <c r="F1667" i="24"/>
  <c r="G1667" s="1"/>
  <c r="F2218"/>
  <c r="G2218" s="1"/>
  <c r="H2451" i="19"/>
  <c r="I2451" s="1"/>
  <c r="H3884"/>
  <c r="I3884" s="1"/>
  <c r="G2340" i="25"/>
  <c r="H2340" s="1"/>
  <c r="F45" i="26"/>
  <c r="H240" i="5"/>
  <c r="D513" s="1"/>
  <c r="H263"/>
  <c r="D534" s="1"/>
  <c r="G534" s="1"/>
  <c r="G7891" i="21"/>
  <c r="G7892" s="1"/>
  <c r="G7893" s="1"/>
  <c r="G7894" s="1"/>
  <c r="E637" i="14" s="1"/>
  <c r="E1708" i="25"/>
  <c r="E1709" s="1"/>
  <c r="E1710" s="1"/>
  <c r="F1089" i="14" s="1"/>
  <c r="G552" i="23"/>
  <c r="G553" s="1"/>
  <c r="G554" s="1"/>
  <c r="G555" s="1"/>
  <c r="E709" i="14" s="1"/>
  <c r="F2446" i="21"/>
  <c r="G2446" s="1"/>
  <c r="H447" i="19"/>
  <c r="I447" s="1"/>
  <c r="H5073"/>
  <c r="I5073" s="1"/>
  <c r="H2111"/>
  <c r="I2111" s="1"/>
  <c r="F2651" i="21"/>
  <c r="G2651" s="1"/>
  <c r="F1218"/>
  <c r="G1218" s="1"/>
  <c r="G2080" i="11"/>
  <c r="H2080" s="1"/>
  <c r="F481" i="15"/>
  <c r="G481" s="1"/>
  <c r="F449"/>
  <c r="G449" s="1"/>
  <c r="H5521" i="19"/>
  <c r="I5521" s="1"/>
  <c r="H310"/>
  <c r="I310" s="1"/>
  <c r="F2368" i="21"/>
  <c r="G2368" s="1"/>
  <c r="F429"/>
  <c r="G429" s="1"/>
  <c r="G2201" i="11"/>
  <c r="H2201" s="1"/>
  <c r="F439" i="15"/>
  <c r="G439" s="1"/>
  <c r="F419"/>
  <c r="G419" s="1"/>
  <c r="H448" i="19"/>
  <c r="I448" s="1"/>
  <c r="F238" i="10"/>
  <c r="G238" s="1"/>
  <c r="F4354" i="21"/>
  <c r="G4354" s="1"/>
  <c r="G5424"/>
  <c r="G5461" s="1"/>
  <c r="F2217" i="20"/>
  <c r="G2217" s="1"/>
  <c r="F4919" i="21"/>
  <c r="G4919" s="1"/>
  <c r="H1986" i="19"/>
  <c r="I1986" s="1"/>
  <c r="H2886"/>
  <c r="I2886" s="1"/>
  <c r="F205" i="20"/>
  <c r="G205" s="1"/>
  <c r="F119" i="24"/>
  <c r="G119" s="1"/>
  <c r="F2718" i="10"/>
  <c r="G2718" s="1"/>
  <c r="F1127" i="24"/>
  <c r="G1127" s="1"/>
  <c r="F2399"/>
  <c r="G2399" s="1"/>
  <c r="G7895" i="21"/>
  <c r="G8314"/>
  <c r="G8261"/>
  <c r="F601" i="23"/>
  <c r="G601" s="1"/>
  <c r="F1631" i="10"/>
  <c r="G1631" s="1"/>
  <c r="F2980" i="22"/>
  <c r="G2980" s="1"/>
  <c r="F1032"/>
  <c r="G1032" s="1"/>
  <c r="G1166" i="25"/>
  <c r="H1166" s="1"/>
  <c r="F4433" i="21"/>
  <c r="G4433" s="1"/>
  <c r="G2066" i="11"/>
  <c r="H2066" s="1"/>
  <c r="F3190" i="21"/>
  <c r="G3190" s="1"/>
  <c r="F2436" i="22"/>
  <c r="G2436" s="1"/>
  <c r="F1946" i="23"/>
  <c r="G1946" s="1"/>
  <c r="F7678" i="21"/>
  <c r="G7678" s="1"/>
  <c r="F6321"/>
  <c r="G6321" s="1"/>
  <c r="F5213"/>
  <c r="G5213" s="1"/>
  <c r="F3052" i="22"/>
  <c r="G3052" s="1"/>
  <c r="F1844"/>
  <c r="G1844" s="1"/>
  <c r="F3396" i="21"/>
  <c r="G3396" s="1"/>
  <c r="G3398" s="1"/>
  <c r="G3419" s="1"/>
  <c r="F2269"/>
  <c r="G2269" s="1"/>
  <c r="F1929" i="22"/>
  <c r="G1929" s="1"/>
  <c r="F2600" i="23"/>
  <c r="G2600" s="1"/>
  <c r="F1117" i="22"/>
  <c r="G1117" s="1"/>
  <c r="F2195" i="23"/>
  <c r="G2195" s="1"/>
  <c r="F1704"/>
  <c r="G1704" s="1"/>
  <c r="F989"/>
  <c r="G989" s="1"/>
  <c r="G897" i="11"/>
  <c r="H897" s="1"/>
  <c r="G1263"/>
  <c r="H1263" s="1"/>
  <c r="F4911" i="21"/>
  <c r="G4911" s="1"/>
  <c r="F2110" i="23"/>
  <c r="G2110" s="1"/>
  <c r="F5727" i="21"/>
  <c r="G5727" s="1"/>
  <c r="F4640"/>
  <c r="G4640" s="1"/>
  <c r="F2948" i="24"/>
  <c r="G2948" s="1"/>
  <c r="F3010"/>
  <c r="G3010" s="1"/>
  <c r="F416" i="23"/>
  <c r="G416" s="1"/>
  <c r="G418" s="1"/>
  <c r="G433" s="1"/>
  <c r="F1367" i="24"/>
  <c r="G1367" s="1"/>
  <c r="F749"/>
  <c r="G749" s="1"/>
  <c r="F221" i="10"/>
  <c r="G221" s="1"/>
  <c r="G544" i="5"/>
  <c r="F1036" i="22"/>
  <c r="G1036" s="1"/>
  <c r="F382" i="20"/>
  <c r="G382" s="1"/>
  <c r="G526" i="5"/>
  <c r="G869" i="25" s="1"/>
  <c r="H869" s="1"/>
  <c r="H870" s="1"/>
  <c r="H871" s="1"/>
  <c r="G887" s="1"/>
  <c r="G28" i="18"/>
  <c r="H3726" i="19"/>
  <c r="I3726" s="1"/>
  <c r="H3079"/>
  <c r="I3079" s="1"/>
  <c r="H4050"/>
  <c r="I4050" s="1"/>
  <c r="H3806"/>
  <c r="I3806" s="1"/>
  <c r="G2336" i="20"/>
  <c r="G3776" i="22"/>
  <c r="G3777" s="1"/>
  <c r="G3778" s="1"/>
  <c r="G3779" s="1"/>
  <c r="G3780" s="1"/>
  <c r="G6864" i="21"/>
  <c r="G6899" s="1"/>
  <c r="G3132" i="22"/>
  <c r="G3133" s="1"/>
  <c r="G3134" s="1"/>
  <c r="G3135" s="1"/>
  <c r="G3136" s="1"/>
  <c r="G2380" i="11"/>
  <c r="G2381" s="1"/>
  <c r="G2382" s="1"/>
  <c r="G2383" s="1"/>
  <c r="G2384" s="1"/>
  <c r="F1900" i="22"/>
  <c r="F1949" s="1"/>
  <c r="G1949" s="1"/>
  <c r="G1950" s="1"/>
  <c r="F5224" i="21"/>
  <c r="G5224" s="1"/>
  <c r="G5237" s="1"/>
  <c r="F5139"/>
  <c r="G5139" s="1"/>
  <c r="F1938" i="22"/>
  <c r="G1938" s="1"/>
  <c r="F5621" i="21"/>
  <c r="G5621" s="1"/>
  <c r="F2753"/>
  <c r="G2753" s="1"/>
  <c r="H4592" i="19"/>
  <c r="I4592" s="1"/>
  <c r="G2181" i="11"/>
  <c r="H2181" s="1"/>
  <c r="F64" i="26"/>
  <c r="H4799" i="19"/>
  <c r="I4799" s="1"/>
  <c r="G3230" i="22"/>
  <c r="G3231" s="1"/>
  <c r="G3232" s="1"/>
  <c r="G3233" s="1"/>
  <c r="I286" i="19"/>
  <c r="I326" s="1"/>
  <c r="G2702" i="11"/>
  <c r="G2703" s="1"/>
  <c r="G2704" s="1"/>
  <c r="G2705" s="1"/>
  <c r="G2706" s="1"/>
  <c r="E3997" i="23"/>
  <c r="E3998" s="1"/>
  <c r="E3999" s="1"/>
  <c r="F870" i="14" s="1"/>
  <c r="G398" i="11"/>
  <c r="G399" s="1"/>
  <c r="G400" s="1"/>
  <c r="G401" s="1"/>
  <c r="G402" s="1"/>
  <c r="G2805" i="23"/>
  <c r="G2806" s="1"/>
  <c r="G2807" s="1"/>
  <c r="G2808" s="1"/>
  <c r="G2809" s="1"/>
  <c r="E797" i="14" s="1"/>
  <c r="D549" i="5"/>
  <c r="H276"/>
  <c r="D546" s="1"/>
  <c r="H253"/>
  <c r="D525" s="1"/>
  <c r="H228"/>
  <c r="D502" s="1"/>
  <c r="H286"/>
  <c r="D554" s="1"/>
  <c r="H247"/>
  <c r="D520" s="1"/>
  <c r="H270"/>
  <c r="D541" s="1"/>
  <c r="D53" i="18"/>
  <c r="E92" i="23"/>
  <c r="E93" s="1"/>
  <c r="E94" s="1"/>
  <c r="F684" i="14" s="1"/>
  <c r="G99" i="23"/>
  <c r="G100" s="1"/>
  <c r="G101" s="1"/>
  <c r="G102" s="1"/>
  <c r="G103" s="1"/>
  <c r="E683" i="14" s="1"/>
  <c r="G4433" i="19"/>
  <c r="G4434" s="1"/>
  <c r="G4435" s="1"/>
  <c r="F168" i="14" s="1"/>
  <c r="I4440" i="19"/>
  <c r="I4441" s="1"/>
  <c r="I4442" s="1"/>
  <c r="I4443" s="1"/>
  <c r="I4444" s="1"/>
  <c r="E167" i="14" s="1"/>
  <c r="G354" i="5"/>
  <c r="H354" s="1"/>
  <c r="E533" s="1"/>
  <c r="F6960" i="21"/>
  <c r="G6960" s="1"/>
  <c r="F1780" i="23"/>
  <c r="G1780" s="1"/>
  <c r="F2013" i="22"/>
  <c r="G2013" s="1"/>
  <c r="F1847" i="21"/>
  <c r="G1847" s="1"/>
  <c r="F1318" i="23"/>
  <c r="G1318" s="1"/>
  <c r="F2599" i="22"/>
  <c r="G2599" s="1"/>
  <c r="G517" i="5"/>
  <c r="G1196" i="11"/>
  <c r="H1196" s="1"/>
  <c r="F1285" i="22"/>
  <c r="G1285" s="1"/>
  <c r="F4249" i="21"/>
  <c r="G4249" s="1"/>
  <c r="F6379"/>
  <c r="G6379" s="1"/>
  <c r="F7613"/>
  <c r="G7613" s="1"/>
  <c r="F1071" i="23"/>
  <c r="G1071" s="1"/>
  <c r="F2679"/>
  <c r="G2679" s="1"/>
  <c r="F2355" i="22"/>
  <c r="G2355" s="1"/>
  <c r="F8184" i="21"/>
  <c r="G8184" s="1"/>
  <c r="F2637"/>
  <c r="G2637" s="1"/>
  <c r="F2903" i="23"/>
  <c r="G2903" s="1"/>
  <c r="F5337" i="21"/>
  <c r="G5337" s="1"/>
  <c r="F2354"/>
  <c r="G2354" s="1"/>
  <c r="F2280" i="23"/>
  <c r="G2280" s="1"/>
  <c r="F8413" i="21"/>
  <c r="G8413" s="1"/>
  <c r="G8415" s="1"/>
  <c r="G8432" s="1"/>
  <c r="F3552" i="23"/>
  <c r="G3552" s="1"/>
  <c r="F5521" i="21"/>
  <c r="G5521" s="1"/>
  <c r="G623" i="23"/>
  <c r="E616"/>
  <c r="E617" s="1"/>
  <c r="E618" s="1"/>
  <c r="F713" i="14" s="1"/>
  <c r="D21" i="18"/>
  <c r="G21" s="1"/>
  <c r="G504" i="5"/>
  <c r="D48" i="15"/>
  <c r="D65" i="26"/>
  <c r="D47" i="13"/>
  <c r="D46" i="26"/>
  <c r="D46" i="13"/>
  <c r="D47" i="15"/>
  <c r="D64" i="26"/>
  <c r="D45"/>
  <c r="G1775" i="11"/>
  <c r="G1776" s="1"/>
  <c r="G1777" s="1"/>
  <c r="G1778" s="1"/>
  <c r="G1779" s="1"/>
  <c r="E1768"/>
  <c r="E1769" s="1"/>
  <c r="E1770" s="1"/>
  <c r="G2118" i="25"/>
  <c r="H2118" s="1"/>
  <c r="H127" i="19"/>
  <c r="I127" s="1"/>
  <c r="F2447" i="21"/>
  <c r="G2447" s="1"/>
  <c r="F2920" i="11"/>
  <c r="G2920" s="1"/>
  <c r="F521" i="15"/>
  <c r="G521" s="1"/>
  <c r="F501"/>
  <c r="G501" s="1"/>
  <c r="H5639" i="19"/>
  <c r="I5639" s="1"/>
  <c r="F2167" i="21"/>
  <c r="G2167" s="1"/>
  <c r="F2957"/>
  <c r="G2957" s="1"/>
  <c r="G1960" i="11"/>
  <c r="H1960" s="1"/>
  <c r="F511" i="15"/>
  <c r="G511" s="1"/>
  <c r="F491"/>
  <c r="G491" s="1"/>
  <c r="F1369" i="24"/>
  <c r="G1369" s="1"/>
  <c r="F1140" i="10"/>
  <c r="G1140" s="1"/>
  <c r="F4903" i="21"/>
  <c r="G4903" s="1"/>
  <c r="F2635" i="24"/>
  <c r="G2635" s="1"/>
  <c r="F2815"/>
  <c r="G2815" s="1"/>
  <c r="F1293" i="10"/>
  <c r="G1293" s="1"/>
  <c r="F117" i="24"/>
  <c r="G117" s="1"/>
  <c r="H3216" i="19"/>
  <c r="I3216" s="1"/>
  <c r="H2669"/>
  <c r="I2669" s="1"/>
  <c r="H3656"/>
  <c r="I3656" s="1"/>
  <c r="F1955" i="23"/>
  <c r="G1955" s="1"/>
  <c r="F959" i="22"/>
  <c r="G959" s="1"/>
  <c r="F791"/>
  <c r="G791" s="1"/>
  <c r="F1853"/>
  <c r="G1853" s="1"/>
  <c r="H756" i="19"/>
  <c r="I756" s="1"/>
  <c r="G2218" i="25"/>
  <c r="H2218" s="1"/>
  <c r="H219" i="5"/>
  <c r="D493" s="1"/>
  <c r="D10" i="18" s="1"/>
  <c r="G10" s="1"/>
  <c r="F1860" i="21"/>
  <c r="G1860" s="1"/>
  <c r="F245" i="15"/>
  <c r="G245" s="1"/>
  <c r="F2629" i="25"/>
  <c r="G2629" s="1"/>
  <c r="H4612" i="19"/>
  <c r="I4612" s="1"/>
  <c r="F4351" i="21"/>
  <c r="G4351" s="1"/>
  <c r="F1775"/>
  <c r="G1775" s="1"/>
  <c r="F627"/>
  <c r="G627" s="1"/>
  <c r="F429" i="15"/>
  <c r="G429" s="1"/>
  <c r="F409"/>
  <c r="G409" s="1"/>
  <c r="H5209" i="19"/>
  <c r="I5209" s="1"/>
  <c r="H5426"/>
  <c r="I5426" s="1"/>
  <c r="F2773" i="21"/>
  <c r="G2773" s="1"/>
  <c r="F1001"/>
  <c r="G1001" s="1"/>
  <c r="F255"/>
  <c r="G255" s="1"/>
  <c r="F357" i="15"/>
  <c r="G357" s="1"/>
  <c r="F2393" i="20"/>
  <c r="G538" i="5"/>
  <c r="F1635" i="10"/>
  <c r="G1635" s="1"/>
  <c r="F1868" i="24"/>
  <c r="G1868" s="1"/>
  <c r="F436" i="10"/>
  <c r="G436" s="1"/>
  <c r="F121" i="24"/>
  <c r="G121" s="1"/>
  <c r="E631" i="14"/>
  <c r="G8043" i="21"/>
  <c r="F2708" i="10"/>
  <c r="G2708" s="1"/>
  <c r="F1732" i="20"/>
  <c r="G1732" s="1"/>
  <c r="F1201" i="22"/>
  <c r="G1201" s="1"/>
  <c r="F3268" i="21"/>
  <c r="G3268" s="1"/>
  <c r="G946" i="25"/>
  <c r="H946" s="1"/>
  <c r="F2051" i="21"/>
  <c r="G2051" s="1"/>
  <c r="F741" i="23"/>
  <c r="G741" s="1"/>
  <c r="F7048" i="21"/>
  <c r="G7048" s="1"/>
  <c r="F2845"/>
  <c r="G2845" s="1"/>
  <c r="F864" i="22"/>
  <c r="G864" s="1"/>
  <c r="F8483" i="21"/>
  <c r="G8483" s="1"/>
  <c r="G8485" s="1"/>
  <c r="G8502" s="1"/>
  <c r="F7316"/>
  <c r="G7316" s="1"/>
  <c r="F5431"/>
  <c r="G5431" s="1"/>
  <c r="F1966"/>
  <c r="G1966" s="1"/>
  <c r="F2518" i="22"/>
  <c r="G2518" s="1"/>
  <c r="F4337" i="21"/>
  <c r="G4337" s="1"/>
  <c r="F2552"/>
  <c r="G2552" s="1"/>
  <c r="F2097" i="22"/>
  <c r="G2097" s="1"/>
  <c r="F2840" i="23"/>
  <c r="G2840" s="1"/>
  <c r="F1369" i="22"/>
  <c r="G1369" s="1"/>
  <c r="F2441" i="23"/>
  <c r="G2441" s="1"/>
  <c r="F1863"/>
  <c r="G1863" s="1"/>
  <c r="F1154"/>
  <c r="G1154" s="1"/>
  <c r="G1946" i="11"/>
  <c r="H1946" s="1"/>
  <c r="D34" i="18"/>
  <c r="F6266" i="21"/>
  <c r="G6266" s="1"/>
  <c r="G6268" s="1"/>
  <c r="G6286" s="1"/>
  <c r="F2521" i="23"/>
  <c r="G2521" s="1"/>
  <c r="G973" i="11"/>
  <c r="H973" s="1"/>
  <c r="F4774" i="21"/>
  <c r="G4774" s="1"/>
  <c r="F2695" i="24"/>
  <c r="G2695" s="1"/>
  <c r="F2880"/>
  <c r="G2880" s="1"/>
  <c r="F960" i="10"/>
  <c r="G960" s="1"/>
  <c r="F915" i="24"/>
  <c r="G915" s="1"/>
  <c r="D61" i="18"/>
  <c r="G61" s="1"/>
  <c r="G552" i="5"/>
  <c r="D25" i="18"/>
  <c r="H2562" i="19"/>
  <c r="I2562" s="1"/>
  <c r="H2771"/>
  <c r="I2771" s="1"/>
  <c r="G7222" i="21"/>
  <c r="G7257" s="1"/>
  <c r="E836" i="22"/>
  <c r="F887" s="1"/>
  <c r="G887" s="1"/>
  <c r="F5442" i="21"/>
  <c r="G5442" s="1"/>
  <c r="F5532"/>
  <c r="G5532" s="1"/>
  <c r="F26" i="18"/>
  <c r="H5053" i="19"/>
  <c r="I5053" s="1"/>
  <c r="D16" i="18"/>
  <c r="F850" i="21"/>
  <c r="G850" s="1"/>
  <c r="G3000" i="22"/>
  <c r="G3001" s="1"/>
  <c r="G3002" s="1"/>
  <c r="H577" i="19"/>
  <c r="I577" s="1"/>
  <c r="F55" i="18"/>
  <c r="G55" s="1"/>
  <c r="H295" i="5"/>
  <c r="D561" s="1"/>
  <c r="H231"/>
  <c r="D505" s="1"/>
  <c r="H241"/>
  <c r="D514" s="1"/>
  <c r="H294"/>
  <c r="G3872" i="21"/>
  <c r="G3873" s="1"/>
  <c r="G3874" s="1"/>
  <c r="G3875" s="1"/>
  <c r="E462" i="14" s="1"/>
  <c r="E3945" i="23"/>
  <c r="E3946" s="1"/>
  <c r="E3947" s="1"/>
  <c r="F867" i="14" s="1"/>
  <c r="G3952" i="23"/>
  <c r="G3953" s="1"/>
  <c r="G3954" s="1"/>
  <c r="G3955" s="1"/>
  <c r="G3956" s="1"/>
  <c r="E866" i="14" s="1"/>
  <c r="H928" i="25"/>
  <c r="H929" s="1"/>
  <c r="G938" s="1"/>
  <c r="H938" s="1"/>
  <c r="H939" s="1"/>
  <c r="G963" s="1"/>
  <c r="G4106" i="23"/>
  <c r="G4107" s="1"/>
  <c r="G4108" s="1"/>
  <c r="G4109" s="1"/>
  <c r="G4110" s="1"/>
  <c r="E875" i="14" s="1"/>
  <c r="G2884" i="10"/>
  <c r="G2886" s="1"/>
  <c r="G2887" s="1"/>
  <c r="G2888" s="1"/>
  <c r="F1681" i="24"/>
  <c r="G1681" s="1"/>
  <c r="F251"/>
  <c r="G251" s="1"/>
  <c r="F76" i="18"/>
  <c r="F719" i="20"/>
  <c r="G719" s="1"/>
  <c r="F1288"/>
  <c r="G1288" s="1"/>
  <c r="E6043" i="21"/>
  <c r="E6044" s="1"/>
  <c r="E6045" s="1"/>
  <c r="F545" i="14" s="1"/>
  <c r="G6050" i="21"/>
  <c r="G6051" s="1"/>
  <c r="G6052" s="1"/>
  <c r="G6053" s="1"/>
  <c r="G6054" s="1"/>
  <c r="E544" i="14" s="1"/>
  <c r="G619" i="25"/>
  <c r="G620" s="1"/>
  <c r="G621" s="1"/>
  <c r="G622" s="1"/>
  <c r="G623" s="1"/>
  <c r="E1025" i="14" s="1"/>
  <c r="E612" i="25"/>
  <c r="E613" s="1"/>
  <c r="E614" s="1"/>
  <c r="F1026" i="14" s="1"/>
  <c r="G2464" i="25"/>
  <c r="G2465" s="1"/>
  <c r="G2466" s="1"/>
  <c r="G2467" s="1"/>
  <c r="G2468" s="1"/>
  <c r="E1118" i="14" s="1"/>
  <c r="F2580" i="20"/>
  <c r="G2580" s="1"/>
  <c r="G2582" s="1"/>
  <c r="G2590" s="1"/>
  <c r="F741"/>
  <c r="G741" s="1"/>
  <c r="F1641"/>
  <c r="G1641" s="1"/>
  <c r="F571"/>
  <c r="G571" s="1"/>
  <c r="F1831"/>
  <c r="G1831" s="1"/>
  <c r="G1834" s="1"/>
  <c r="F1201"/>
  <c r="G1201" s="1"/>
  <c r="F41" i="18"/>
  <c r="F1299" i="20"/>
  <c r="G1299" s="1"/>
  <c r="F937"/>
  <c r="G937" s="1"/>
  <c r="F1523"/>
  <c r="G1523" s="1"/>
  <c r="F5745" i="21"/>
  <c r="G5745" s="1"/>
  <c r="F4659"/>
  <c r="G4659" s="1"/>
  <c r="F5348"/>
  <c r="G5348" s="1"/>
  <c r="F4921"/>
  <c r="G4921" s="1"/>
  <c r="F32" i="18"/>
  <c r="F4793" i="21"/>
  <c r="G4793" s="1"/>
  <c r="H1868" i="19"/>
  <c r="I1868" s="1"/>
  <c r="H1987"/>
  <c r="I1987" s="1"/>
  <c r="H2355"/>
  <c r="I2355" s="1"/>
  <c r="F2336" i="23"/>
  <c r="F2382" s="1"/>
  <c r="G2382" s="1"/>
  <c r="G2383" s="1"/>
  <c r="F1835"/>
  <c r="F1883" s="1"/>
  <c r="G1883" s="1"/>
  <c r="G1884" s="1"/>
  <c r="F2416"/>
  <c r="F2461" s="1"/>
  <c r="G2461" s="1"/>
  <c r="G2462" s="1"/>
  <c r="F1458"/>
  <c r="F1502" s="1"/>
  <c r="G1502" s="1"/>
  <c r="F1374"/>
  <c r="F1423" s="1"/>
  <c r="G1423" s="1"/>
  <c r="G1424" s="1"/>
  <c r="E962"/>
  <c r="F1012" s="1"/>
  <c r="G1012" s="1"/>
  <c r="G1013" s="1"/>
  <c r="F798"/>
  <c r="F848" s="1"/>
  <c r="G848" s="1"/>
  <c r="G849" s="1"/>
  <c r="F2167"/>
  <c r="F2217" s="1"/>
  <c r="G2217" s="1"/>
  <c r="G2218" s="1"/>
  <c r="E3529"/>
  <c r="F3572" s="1"/>
  <c r="G3572" s="1"/>
  <c r="F1536"/>
  <c r="F1581" s="1"/>
  <c r="G1581" s="1"/>
  <c r="F704"/>
  <c r="F764" s="1"/>
  <c r="G764" s="1"/>
  <c r="G765" s="1"/>
  <c r="F2002"/>
  <c r="F2048" s="1"/>
  <c r="G2048" s="1"/>
  <c r="G2049" s="1"/>
  <c r="D1292"/>
  <c r="F1341" s="1"/>
  <c r="G1341" s="1"/>
  <c r="G1342" s="1"/>
  <c r="E881"/>
  <c r="F930" s="1"/>
  <c r="G930" s="1"/>
  <c r="F1210"/>
  <c r="F1259" s="1"/>
  <c r="G1259" s="1"/>
  <c r="G1260" s="1"/>
  <c r="F2496"/>
  <c r="F2541" s="1"/>
  <c r="G2541" s="1"/>
  <c r="G2542" s="1"/>
  <c r="F2253"/>
  <c r="F2300" s="1"/>
  <c r="G2300" s="1"/>
  <c r="G2301" s="1"/>
  <c r="F1757"/>
  <c r="F1800" s="1"/>
  <c r="G1800" s="1"/>
  <c r="F1045"/>
  <c r="F1094" s="1"/>
  <c r="G1094" s="1"/>
  <c r="G1095" s="1"/>
  <c r="F2083"/>
  <c r="F2130" s="1"/>
  <c r="G2130" s="1"/>
  <c r="G2131" s="1"/>
  <c r="F1919"/>
  <c r="F1966" s="1"/>
  <c r="G1966" s="1"/>
  <c r="G1967" s="1"/>
  <c r="F2653"/>
  <c r="F2699" s="1"/>
  <c r="G2699" s="1"/>
  <c r="G2700" s="1"/>
  <c r="F2417" i="20"/>
  <c r="G2417" s="1"/>
  <c r="F2366"/>
  <c r="G2366" s="1"/>
  <c r="G1014" i="23"/>
  <c r="G1022" s="1"/>
  <c r="I4390" i="19"/>
  <c r="I4391" s="1"/>
  <c r="I4392" s="1"/>
  <c r="I4393" s="1"/>
  <c r="I4394" s="1"/>
  <c r="E164" i="14" s="1"/>
  <c r="G4383" i="19"/>
  <c r="G4384" s="1"/>
  <c r="G4385" s="1"/>
  <c r="F165" i="14" s="1"/>
  <c r="F1199" i="20"/>
  <c r="G1199" s="1"/>
  <c r="H4255" i="19"/>
  <c r="I4255" s="1"/>
  <c r="I4262" s="1"/>
  <c r="F1297" i="20"/>
  <c r="G1297" s="1"/>
  <c r="H5293" i="19"/>
  <c r="I5293" s="1"/>
  <c r="F2391" i="20"/>
  <c r="G2391" s="1"/>
  <c r="H1110" i="19"/>
  <c r="I1110" s="1"/>
  <c r="H1384"/>
  <c r="I1384" s="1"/>
  <c r="H311"/>
  <c r="I311" s="1"/>
  <c r="H1208"/>
  <c r="I1208" s="1"/>
  <c r="I1211" s="1"/>
  <c r="I1219" s="1"/>
  <c r="H1453"/>
  <c r="I1453" s="1"/>
  <c r="I1459" s="1"/>
  <c r="I1467" s="1"/>
  <c r="H592"/>
  <c r="I592" s="1"/>
  <c r="F14" i="18"/>
  <c r="H943" i="19"/>
  <c r="I943" s="1"/>
  <c r="F4448" i="21"/>
  <c r="G4448" s="1"/>
  <c r="F4277" i="22"/>
  <c r="G4277" s="1"/>
  <c r="G4281" s="1"/>
  <c r="E5870" i="21"/>
  <c r="E5871" s="1"/>
  <c r="E5872" s="1"/>
  <c r="F533" i="14" s="1"/>
  <c r="G5877" i="21"/>
  <c r="E3665" i="22"/>
  <c r="E3666" s="1"/>
  <c r="E3667" s="1"/>
  <c r="G3672"/>
  <c r="G550" i="5"/>
  <c r="G7024" i="21"/>
  <c r="G7025" s="1"/>
  <c r="G7026" s="1"/>
  <c r="G7027" s="1"/>
  <c r="G7029" s="1"/>
  <c r="F7040" s="1"/>
  <c r="G7040" s="1"/>
  <c r="G7041" s="1"/>
  <c r="G7075" s="1"/>
  <c r="E79" i="18"/>
  <c r="H395" i="19"/>
  <c r="H397" s="1"/>
  <c r="H414" s="1"/>
  <c r="I414" s="1"/>
  <c r="D78" i="15"/>
  <c r="D75" i="13"/>
  <c r="D700" i="15"/>
  <c r="D119" i="26"/>
  <c r="D110"/>
  <c r="G4776" i="25"/>
  <c r="E133"/>
  <c r="E134" s="1"/>
  <c r="E135" s="1"/>
  <c r="F992" i="14" s="1"/>
  <c r="E483" i="25"/>
  <c r="E484" s="1"/>
  <c r="E485" s="1"/>
  <c r="F1017" i="14" s="1"/>
  <c r="G1495" i="25"/>
  <c r="G1496" s="1"/>
  <c r="G1497" s="1"/>
  <c r="G1498" s="1"/>
  <c r="E1077" i="14" s="1"/>
  <c r="G1381" i="25"/>
  <c r="G1382" s="1"/>
  <c r="G1383" s="1"/>
  <c r="G1384" s="1"/>
  <c r="G1385" s="1"/>
  <c r="E1069" i="14" s="1"/>
  <c r="E1382" i="11"/>
  <c r="E1383" s="1"/>
  <c r="E1384" s="1"/>
  <c r="G1389"/>
  <c r="G1390" s="1"/>
  <c r="G1391" s="1"/>
  <c r="G1392" s="1"/>
  <c r="G1393" s="1"/>
  <c r="G110" i="26"/>
  <c r="G75" i="13"/>
  <c r="G78" i="15"/>
  <c r="G119" i="26"/>
  <c r="D739" i="15"/>
  <c r="E3117" i="10"/>
  <c r="E3118" s="1"/>
  <c r="E3119" s="1"/>
  <c r="G3124"/>
  <c r="G3126" s="1"/>
  <c r="H1704" i="19"/>
  <c r="I1704" s="1"/>
  <c r="H2091"/>
  <c r="I2091" s="1"/>
  <c r="D12" i="18"/>
  <c r="G12" s="1"/>
  <c r="H2336" i="19"/>
  <c r="I2336" s="1"/>
  <c r="G1042"/>
  <c r="G1043" s="1"/>
  <c r="G1044" s="1"/>
  <c r="F38" i="14" s="1"/>
  <c r="I1049" i="19"/>
  <c r="I1050" s="1"/>
  <c r="I1051" s="1"/>
  <c r="I1052" s="1"/>
  <c r="I1053" s="1"/>
  <c r="E37" i="14" s="1"/>
  <c r="E7493" i="21"/>
  <c r="E7494" s="1"/>
  <c r="E7495" s="1"/>
  <c r="F616" i="14" s="1"/>
  <c r="G7500" i="21"/>
  <c r="E6334"/>
  <c r="E6335" s="1"/>
  <c r="E6336" s="1"/>
  <c r="F563" i="14" s="1"/>
  <c r="G6341" i="21"/>
  <c r="E8197"/>
  <c r="E8198" s="1"/>
  <c r="E8199" s="1"/>
  <c r="F656" i="14" s="1"/>
  <c r="G8204" i="21"/>
  <c r="G3052" i="10"/>
  <c r="G3053" s="1"/>
  <c r="G3054" s="1"/>
  <c r="E829" i="25"/>
  <c r="E830" s="1"/>
  <c r="E831" s="1"/>
  <c r="F1044" i="14" s="1"/>
  <c r="G836" i="25"/>
  <c r="G837" s="1"/>
  <c r="G838" s="1"/>
  <c r="G839" s="1"/>
  <c r="G840" s="1"/>
  <c r="E1043" i="14" s="1"/>
  <c r="F47" i="13"/>
  <c r="F48" i="15"/>
  <c r="F65" i="26"/>
  <c r="F46"/>
  <c r="G7345" i="21"/>
  <c r="E7338"/>
  <c r="E7339" s="1"/>
  <c r="E7340" s="1"/>
  <c r="F610" i="14" s="1"/>
  <c r="G8433" i="21"/>
  <c r="E8426"/>
  <c r="E8427" s="1"/>
  <c r="E8428" s="1"/>
  <c r="F668" i="14" s="1"/>
  <c r="E8496" i="21"/>
  <c r="E8497" s="1"/>
  <c r="E8498" s="1"/>
  <c r="F671" i="14" s="1"/>
  <c r="G8503" i="21"/>
  <c r="E6280"/>
  <c r="E6281" s="1"/>
  <c r="E6282" s="1"/>
  <c r="F560" i="14" s="1"/>
  <c r="G6287" i="21"/>
  <c r="F5218"/>
  <c r="G5218" s="1"/>
  <c r="F2602" i="22"/>
  <c r="G2602" s="1"/>
  <c r="F1762"/>
  <c r="G1762" s="1"/>
  <c r="F5133" i="21"/>
  <c r="G5133" s="1"/>
  <c r="F2274" i="22"/>
  <c r="G2274" s="1"/>
  <c r="F2016"/>
  <c r="G2016" s="1"/>
  <c r="F699"/>
  <c r="G699" s="1"/>
  <c r="F2603" i="23"/>
  <c r="G2603" s="1"/>
  <c r="F1537" i="22"/>
  <c r="G1537" s="1"/>
  <c r="F1374"/>
  <c r="G1374" s="1"/>
  <c r="F1122"/>
  <c r="G1122" s="1"/>
  <c r="F869"/>
  <c r="G869" s="1"/>
  <c r="F2283" i="23"/>
  <c r="G2283" s="1"/>
  <c r="F1405"/>
  <c r="G1405" s="1"/>
  <c r="F912"/>
  <c r="G912" s="1"/>
  <c r="F1485"/>
  <c r="G1485" s="1"/>
  <c r="F1076"/>
  <c r="G1076" s="1"/>
  <c r="F2031"/>
  <c r="G2031" s="1"/>
  <c r="F746"/>
  <c r="G746" s="1"/>
  <c r="F5526" i="21"/>
  <c r="G5526" s="1"/>
  <c r="F5615"/>
  <c r="G5615" s="1"/>
  <c r="F2521" i="22"/>
  <c r="G2521" s="1"/>
  <c r="F2439"/>
  <c r="G2439" s="1"/>
  <c r="F1206"/>
  <c r="G1206" s="1"/>
  <c r="F2524" i="23"/>
  <c r="G2524" s="1"/>
  <c r="F1290" i="22"/>
  <c r="G1290" s="1"/>
  <c r="F2444" i="23"/>
  <c r="G2444" s="1"/>
  <c r="F1159"/>
  <c r="G1159" s="1"/>
  <c r="F1323"/>
  <c r="G1323" s="1"/>
  <c r="F5436" i="21"/>
  <c r="G5436" s="1"/>
  <c r="F1241" i="23"/>
  <c r="G1241" s="1"/>
  <c r="F1783"/>
  <c r="G1783" s="1"/>
  <c r="F1707"/>
  <c r="G1707" s="1"/>
  <c r="F1037" i="22"/>
  <c r="G1037" s="1"/>
  <c r="F2682" i="23"/>
  <c r="G2682" s="1"/>
  <c r="F1684" i="22"/>
  <c r="G1684" s="1"/>
  <c r="F2113" i="23"/>
  <c r="G2113" s="1"/>
  <c r="F1564"/>
  <c r="G1564" s="1"/>
  <c r="F1456" i="22"/>
  <c r="G1456" s="1"/>
  <c r="F2100"/>
  <c r="G2100" s="1"/>
  <c r="F2683"/>
  <c r="G2683" s="1"/>
  <c r="E48" i="18"/>
  <c r="H2880" i="19"/>
  <c r="I2880" s="1"/>
  <c r="F2055" i="20"/>
  <c r="G2055" s="1"/>
  <c r="H2674" i="19"/>
  <c r="I2674" s="1"/>
  <c r="H2456"/>
  <c r="I2456" s="1"/>
  <c r="H3082"/>
  <c r="I3082" s="1"/>
  <c r="E49" i="18"/>
  <c r="G532" i="5"/>
  <c r="F2207" i="20"/>
  <c r="G2207" s="1"/>
  <c r="H3219" i="19"/>
  <c r="I3219" s="1"/>
  <c r="H5791"/>
  <c r="I5791" s="1"/>
  <c r="H2776"/>
  <c r="I2776" s="1"/>
  <c r="F2382" i="20"/>
  <c r="G2382" s="1"/>
  <c r="F124" i="24"/>
  <c r="G124" s="1"/>
  <c r="F957" i="10"/>
  <c r="G957" s="1"/>
  <c r="F228"/>
  <c r="G228" s="1"/>
  <c r="F643" i="24"/>
  <c r="G643" s="1"/>
  <c r="E52" i="18"/>
  <c r="F244" i="24"/>
  <c r="G244" s="1"/>
  <c r="F1666"/>
  <c r="G1666" s="1"/>
  <c r="E76" i="18"/>
  <c r="H2102" i="19"/>
  <c r="I2102" s="1"/>
  <c r="H2347"/>
  <c r="I2347" s="1"/>
  <c r="H1715"/>
  <c r="I1715" s="1"/>
  <c r="H2225"/>
  <c r="I2225" s="1"/>
  <c r="H1978"/>
  <c r="I1978" s="1"/>
  <c r="H1860"/>
  <c r="I1860" s="1"/>
  <c r="H2567"/>
  <c r="I2567" s="1"/>
  <c r="E51" i="18"/>
  <c r="G1858" i="11"/>
  <c r="G1859" s="1"/>
  <c r="G1860" s="1"/>
  <c r="G1861" s="1"/>
  <c r="G1862" s="1"/>
  <c r="E1851"/>
  <c r="E1852" s="1"/>
  <c r="E1853" s="1"/>
  <c r="E3259" i="10"/>
  <c r="E3260" s="1"/>
  <c r="E3261" s="1"/>
  <c r="G3266"/>
  <c r="G1729" i="11"/>
  <c r="G1730" s="1"/>
  <c r="G1731" s="1"/>
  <c r="G1732" s="1"/>
  <c r="G1733" s="1"/>
  <c r="E1722"/>
  <c r="E1723" s="1"/>
  <c r="E1724" s="1"/>
  <c r="G1627" i="23"/>
  <c r="G1628" s="1"/>
  <c r="G1659" s="1"/>
  <c r="E3639"/>
  <c r="E3640" s="1"/>
  <c r="E3641" s="1"/>
  <c r="F847" i="14" s="1"/>
  <c r="G3646" i="23"/>
  <c r="G3034"/>
  <c r="G3035" s="1"/>
  <c r="G3070" s="1"/>
  <c r="E3748" i="21"/>
  <c r="E3749" s="1"/>
  <c r="E3750" s="1"/>
  <c r="F457" i="14" s="1"/>
  <c r="G3755" i="21"/>
  <c r="G3756" s="1"/>
  <c r="G3757" s="1"/>
  <c r="G3758" s="1"/>
  <c r="G3759" s="1"/>
  <c r="E456" i="14" s="1"/>
  <c r="I1593" i="19"/>
  <c r="I1594" s="1"/>
  <c r="F252" i="24"/>
  <c r="G252" s="1"/>
  <c r="F562"/>
  <c r="G562" s="1"/>
  <c r="G572" s="1"/>
  <c r="G573" s="1"/>
  <c r="G574" s="1"/>
  <c r="F1382"/>
  <c r="G1382" s="1"/>
  <c r="F1879"/>
  <c r="G1879" s="1"/>
  <c r="F445" i="10"/>
  <c r="G445" s="1"/>
  <c r="F809"/>
  <c r="G809" s="1"/>
  <c r="F1826"/>
  <c r="G1826" s="1"/>
  <c r="F2381"/>
  <c r="G2381" s="1"/>
  <c r="H1989" i="19"/>
  <c r="I1989" s="1"/>
  <c r="H2357"/>
  <c r="I2357" s="1"/>
  <c r="H2112"/>
  <c r="I2112" s="1"/>
  <c r="F64" i="18"/>
  <c r="F133" i="24"/>
  <c r="G133" s="1"/>
  <c r="F467"/>
  <c r="G467" s="1"/>
  <c r="G477" s="1"/>
  <c r="G478" s="1"/>
  <c r="G479" s="1"/>
  <c r="F1136"/>
  <c r="G1136" s="1"/>
  <c r="F1586"/>
  <c r="G1586" s="1"/>
  <c r="F235" i="10"/>
  <c r="G235" s="1"/>
  <c r="F657"/>
  <c r="G657" s="1"/>
  <c r="F1511"/>
  <c r="G1511" s="1"/>
  <c r="F2026"/>
  <c r="G2026" s="1"/>
  <c r="H1725" i="19"/>
  <c r="I1725" s="1"/>
  <c r="H2235"/>
  <c r="I2235" s="1"/>
  <c r="H1870"/>
  <c r="I1870" s="1"/>
  <c r="F1684" i="24"/>
  <c r="G1684" s="1"/>
  <c r="G1691" s="1"/>
  <c r="G1692" s="1"/>
  <c r="G1693" s="1"/>
  <c r="E1695" s="1"/>
  <c r="E1696" s="1"/>
  <c r="E1697" s="1"/>
  <c r="F932" i="14" s="1"/>
  <c r="G335" i="5"/>
  <c r="H335" s="1"/>
  <c r="E514" s="1"/>
  <c r="F425" i="23"/>
  <c r="G425" s="1"/>
  <c r="G426" s="1"/>
  <c r="F2762" i="24"/>
  <c r="G2762" s="1"/>
  <c r="G2765" s="1"/>
  <c r="F2887"/>
  <c r="G2887" s="1"/>
  <c r="G2890" s="1"/>
  <c r="F2955"/>
  <c r="G2955" s="1"/>
  <c r="G2958" s="1"/>
  <c r="G2591" i="11"/>
  <c r="H2591" s="1"/>
  <c r="H2594" s="1"/>
  <c r="E2595" s="1"/>
  <c r="E2596" s="1"/>
  <c r="E2597" s="1"/>
  <c r="F3017" i="24"/>
  <c r="G3017" s="1"/>
  <c r="G3020" s="1"/>
  <c r="F2642"/>
  <c r="G2642" s="1"/>
  <c r="G2645" s="1"/>
  <c r="F376" i="22"/>
  <c r="G376" s="1"/>
  <c r="G377" s="1"/>
  <c r="G385" s="1"/>
  <c r="F2816" i="10"/>
  <c r="G2816" s="1"/>
  <c r="G2819" s="1"/>
  <c r="F11" i="18"/>
  <c r="H2232" i="19"/>
  <c r="I2232" s="1"/>
  <c r="F19" i="18"/>
  <c r="H449" i="19"/>
  <c r="I449" s="1"/>
  <c r="F486" i="23"/>
  <c r="G486" s="1"/>
  <c r="G491" s="1"/>
  <c r="F240" i="22"/>
  <c r="G240" s="1"/>
  <c r="G247" s="1"/>
  <c r="F328"/>
  <c r="G328" s="1"/>
  <c r="G335" s="1"/>
  <c r="F1653" i="21"/>
  <c r="G1653" s="1"/>
  <c r="F867"/>
  <c r="G867" s="1"/>
  <c r="F1223"/>
  <c r="G1223" s="1"/>
  <c r="F6175"/>
  <c r="G6175" s="1"/>
  <c r="G6176" s="1"/>
  <c r="F395" i="20"/>
  <c r="G395" s="1"/>
  <c r="G411" s="1"/>
  <c r="E412" s="1"/>
  <c r="E413" s="1"/>
  <c r="E414" s="1"/>
  <c r="F263" i="14" s="1"/>
  <c r="F1045" i="20"/>
  <c r="G1045" s="1"/>
  <c r="H775" i="19"/>
  <c r="I775" s="1"/>
  <c r="F743" i="20"/>
  <c r="G743" s="1"/>
  <c r="F1522"/>
  <c r="G1522" s="1"/>
  <c r="H312" i="19"/>
  <c r="I312" s="1"/>
  <c r="H5519"/>
  <c r="I5519" s="1"/>
  <c r="F47" i="18"/>
  <c r="F289" i="23"/>
  <c r="G289" s="1"/>
  <c r="G296" s="1"/>
  <c r="F377"/>
  <c r="G377" s="1"/>
  <c r="F437" i="22"/>
  <c r="G437" s="1"/>
  <c r="G442" s="1"/>
  <c r="F629" i="21"/>
  <c r="G629" s="1"/>
  <c r="F431"/>
  <c r="G431" s="1"/>
  <c r="F1003"/>
  <c r="G1003" s="1"/>
  <c r="F1480"/>
  <c r="G1480" s="1"/>
  <c r="F215" i="20"/>
  <c r="G215" s="1"/>
  <c r="F573"/>
  <c r="G573" s="1"/>
  <c r="F1411"/>
  <c r="G1411" s="1"/>
  <c r="H944" i="19"/>
  <c r="I944" s="1"/>
  <c r="F939" i="20"/>
  <c r="G939" s="1"/>
  <c r="F2507"/>
  <c r="G2507" s="1"/>
  <c r="G2510" s="1"/>
  <c r="H593" i="19"/>
  <c r="I593" s="1"/>
  <c r="H5424"/>
  <c r="I5424" s="1"/>
  <c r="E47" i="13"/>
  <c r="E48" i="15"/>
  <c r="E65" i="26"/>
  <c r="E46"/>
  <c r="F1123" i="24"/>
  <c r="G1123" s="1"/>
  <c r="F796" i="10"/>
  <c r="G796" s="1"/>
  <c r="E7982" i="21"/>
  <c r="E7983" s="1"/>
  <c r="E7984" s="1"/>
  <c r="F644" i="14" s="1"/>
  <c r="G7989" i="21"/>
  <c r="G7990" s="1"/>
  <c r="G7991" s="1"/>
  <c r="G7992" s="1"/>
  <c r="G7993" s="1"/>
  <c r="E643" i="14" s="1"/>
  <c r="I6618" i="19"/>
  <c r="I6619" s="1"/>
  <c r="I6620" s="1"/>
  <c r="I6621" s="1"/>
  <c r="I6622" s="1"/>
  <c r="E249" i="14" s="1"/>
  <c r="G6611" i="19"/>
  <c r="G6612" s="1"/>
  <c r="G6613" s="1"/>
  <c r="F250" i="14" s="1"/>
  <c r="F1980" i="21"/>
  <c r="G1980" s="1"/>
  <c r="F4263"/>
  <c r="G4263" s="1"/>
  <c r="H2356" i="19"/>
  <c r="I2356" s="1"/>
  <c r="H4682"/>
  <c r="I4682" s="1"/>
  <c r="G2324" i="11"/>
  <c r="H2324" s="1"/>
  <c r="F123" i="21"/>
  <c r="G123" s="1"/>
  <c r="H214" i="19"/>
  <c r="I214" s="1"/>
  <c r="H590"/>
  <c r="I590" s="1"/>
  <c r="F295" i="15"/>
  <c r="G295" s="1"/>
  <c r="G2238" i="25"/>
  <c r="H2238" s="1"/>
  <c r="F265" i="15"/>
  <c r="G265" s="1"/>
  <c r="F2566" i="21"/>
  <c r="G2566" s="1"/>
  <c r="H773" i="19"/>
  <c r="I773" s="1"/>
  <c r="H1869"/>
  <c r="I1869" s="1"/>
  <c r="F275" i="15"/>
  <c r="G275" s="1"/>
  <c r="F1861" i="21"/>
  <c r="G1861" s="1"/>
  <c r="F2859"/>
  <c r="G2859" s="1"/>
  <c r="H2234" i="19"/>
  <c r="I2234" s="1"/>
  <c r="H4946"/>
  <c r="I4946" s="1"/>
  <c r="H5594"/>
  <c r="I5594" s="1"/>
  <c r="G1999" i="25"/>
  <c r="H1999" s="1"/>
  <c r="F62" i="18"/>
  <c r="F808" i="10"/>
  <c r="G808" s="1"/>
  <c r="F1585" i="24"/>
  <c r="G1585" s="1"/>
  <c r="F236" i="10"/>
  <c r="G236" s="1"/>
  <c r="F1510"/>
  <c r="G1510" s="1"/>
  <c r="F1645"/>
  <c r="G1645" s="1"/>
  <c r="G1654" s="1"/>
  <c r="F67" i="18"/>
  <c r="F656" i="10"/>
  <c r="G656" s="1"/>
  <c r="F1135" i="24"/>
  <c r="G1135" s="1"/>
  <c r="G1146" s="1"/>
  <c r="G1147" s="1"/>
  <c r="G1148" s="1"/>
  <c r="F1273"/>
  <c r="G1273" s="1"/>
  <c r="G1282" s="1"/>
  <c r="G1283" s="1"/>
  <c r="G1284" s="1"/>
  <c r="F1305" i="10"/>
  <c r="G1305" s="1"/>
  <c r="G1314" s="1"/>
  <c r="F1148"/>
  <c r="G1148" s="1"/>
  <c r="G1159" s="1"/>
  <c r="F2025"/>
  <c r="G2025" s="1"/>
  <c r="F2380"/>
  <c r="G2380" s="1"/>
  <c r="G2391" s="1"/>
  <c r="E2392" s="1"/>
  <c r="E2393" s="1"/>
  <c r="E2394" s="1"/>
  <c r="F2187"/>
  <c r="G2187" s="1"/>
  <c r="G2196" s="1"/>
  <c r="F927" i="24"/>
  <c r="G927" s="1"/>
  <c r="G936" s="1"/>
  <c r="G937" s="1"/>
  <c r="G938" s="1"/>
  <c r="E940" s="1"/>
  <c r="E941" s="1"/>
  <c r="E942" s="1"/>
  <c r="F917" i="14" s="1"/>
  <c r="F466" i="24"/>
  <c r="G466" s="1"/>
  <c r="F1825" i="10"/>
  <c r="G1825" s="1"/>
  <c r="F444"/>
  <c r="G444" s="1"/>
  <c r="F972"/>
  <c r="G972" s="1"/>
  <c r="F2726"/>
  <c r="G2726" s="1"/>
  <c r="G2735" s="1"/>
  <c r="F1878" i="24"/>
  <c r="G1878" s="1"/>
  <c r="G1889" s="1"/>
  <c r="G1890" s="1"/>
  <c r="G1891" s="1"/>
  <c r="F2230"/>
  <c r="G2230" s="1"/>
  <c r="G2239" s="1"/>
  <c r="G2240" s="1"/>
  <c r="G2241" s="1"/>
  <c r="E2243" s="1"/>
  <c r="E2244" s="1"/>
  <c r="E2245" s="1"/>
  <c r="F941" i="14" s="1"/>
  <c r="F661" i="24"/>
  <c r="G661" s="1"/>
  <c r="G672" s="1"/>
  <c r="G673" s="1"/>
  <c r="G674" s="1"/>
  <c r="F136"/>
  <c r="G136" s="1"/>
  <c r="F973" i="10"/>
  <c r="G973" s="1"/>
  <c r="G4325" i="19"/>
  <c r="G4326" s="1"/>
  <c r="G4327" s="1"/>
  <c r="F162" i="14" s="1"/>
  <c r="I4332" i="19"/>
  <c r="I4333" s="1"/>
  <c r="I4334" s="1"/>
  <c r="I4335" s="1"/>
  <c r="I4336" s="1"/>
  <c r="E161" i="14" s="1"/>
  <c r="E7932" i="21"/>
  <c r="E7933" s="1"/>
  <c r="E7934" s="1"/>
  <c r="F641" i="14" s="1"/>
  <c r="G7939" i="21"/>
  <c r="G7940" s="1"/>
  <c r="G7941" s="1"/>
  <c r="G7942" s="1"/>
  <c r="G7943" s="1"/>
  <c r="E640" i="14" s="1"/>
  <c r="E2864" i="22"/>
  <c r="E2865" s="1"/>
  <c r="E2866" s="1"/>
  <c r="G2540" i="10"/>
  <c r="G2548" s="1"/>
  <c r="G2041" i="24"/>
  <c r="G2042" s="1"/>
  <c r="G2043" s="1"/>
  <c r="E2045" s="1"/>
  <c r="E2046" s="1"/>
  <c r="E2047" s="1"/>
  <c r="F938" i="14" s="1"/>
  <c r="G2332" i="24"/>
  <c r="E2333" s="1"/>
  <c r="E2334" s="1"/>
  <c r="E2335" s="1"/>
  <c r="F944" i="14" s="1"/>
  <c r="G384" i="23"/>
  <c r="E385" s="1"/>
  <c r="E386" s="1"/>
  <c r="E387" s="1"/>
  <c r="F699" i="14" s="1"/>
  <c r="G371" i="20"/>
  <c r="G417" s="1"/>
  <c r="G4629" i="21"/>
  <c r="G4676" s="1"/>
  <c r="G2937" i="10"/>
  <c r="E2930"/>
  <c r="E2931" s="1"/>
  <c r="E2932" s="1"/>
  <c r="G3411" i="23"/>
  <c r="G3412" s="1"/>
  <c r="G3413" s="1"/>
  <c r="G3414" s="1"/>
  <c r="G3415" s="1"/>
  <c r="E834" i="14" s="1"/>
  <c r="E3404" i="23"/>
  <c r="E3405" s="1"/>
  <c r="E3406" s="1"/>
  <c r="F835" i="14" s="1"/>
  <c r="E3320" i="22"/>
  <c r="E3321" s="1"/>
  <c r="E3322" s="1"/>
  <c r="G3327"/>
  <c r="G3328" s="1"/>
  <c r="G3329" s="1"/>
  <c r="G3330" s="1"/>
  <c r="G3331" s="1"/>
  <c r="E8552" i="21"/>
  <c r="E8553" s="1"/>
  <c r="E8554" s="1"/>
  <c r="F674" i="14" s="1"/>
  <c r="G8559" i="21"/>
  <c r="G8560" s="1"/>
  <c r="G8561" s="1"/>
  <c r="G8562" s="1"/>
  <c r="G8563" s="1"/>
  <c r="E673" i="14" s="1"/>
  <c r="G1548" i="19"/>
  <c r="G1549" s="1"/>
  <c r="G1550" s="1"/>
  <c r="F71" i="14" s="1"/>
  <c r="H1555" i="19"/>
  <c r="G1183" i="22"/>
  <c r="E1188"/>
  <c r="G1188" s="1"/>
  <c r="E2172"/>
  <c r="G2172" s="1"/>
  <c r="G2165"/>
  <c r="E8084" i="21"/>
  <c r="E8085" s="1"/>
  <c r="E8086" s="1"/>
  <c r="F650" i="14" s="1"/>
  <c r="G8091" i="21"/>
  <c r="G8092" s="1"/>
  <c r="G8093" s="1"/>
  <c r="G8094" s="1"/>
  <c r="G8095" s="1"/>
  <c r="E649" i="14" s="1"/>
  <c r="G2252" i="22"/>
  <c r="E2258"/>
  <c r="G2258" s="1"/>
  <c r="F2395" i="20"/>
  <c r="G2395" s="1"/>
  <c r="F2218"/>
  <c r="G2218" s="1"/>
  <c r="H3229" i="19"/>
  <c r="I3229" s="1"/>
  <c r="H2464"/>
  <c r="I2464" s="1"/>
  <c r="H2784"/>
  <c r="I2784" s="1"/>
  <c r="H3092"/>
  <c r="I3092" s="1"/>
  <c r="F2065" i="20"/>
  <c r="G2065" s="1"/>
  <c r="H2888" i="19"/>
  <c r="I2888" s="1"/>
  <c r="H2682"/>
  <c r="I2682" s="1"/>
  <c r="F49" i="18"/>
  <c r="F9"/>
  <c r="F2063" i="20"/>
  <c r="G2063" s="1"/>
  <c r="H2462" i="19"/>
  <c r="I2462" s="1"/>
  <c r="H2962"/>
  <c r="I2962" s="1"/>
  <c r="H3735"/>
  <c r="I3735" s="1"/>
  <c r="I3749" s="1"/>
  <c r="H3814"/>
  <c r="I3814" s="1"/>
  <c r="I3829" s="1"/>
  <c r="H3090"/>
  <c r="I3090" s="1"/>
  <c r="F25" i="18"/>
  <c r="H2680" i="19"/>
  <c r="I2680" s="1"/>
  <c r="H3893"/>
  <c r="I3893" s="1"/>
  <c r="I3908" s="1"/>
  <c r="H2573"/>
  <c r="I2573" s="1"/>
  <c r="H3322"/>
  <c r="I3322" s="1"/>
  <c r="H3227"/>
  <c r="I3227" s="1"/>
  <c r="H3665"/>
  <c r="I3665" s="1"/>
  <c r="I3679" s="1"/>
  <c r="H4059"/>
  <c r="I4059" s="1"/>
  <c r="H2782"/>
  <c r="I2782" s="1"/>
  <c r="F1332" i="23"/>
  <c r="G1332" s="1"/>
  <c r="F2690"/>
  <c r="G2690" s="1"/>
  <c r="F1131" i="22"/>
  <c r="G1131" s="1"/>
  <c r="F2610"/>
  <c r="G2610" s="1"/>
  <c r="F5445" i="21"/>
  <c r="G5445" s="1"/>
  <c r="F755" i="23"/>
  <c r="G755" s="1"/>
  <c r="F921"/>
  <c r="G921" s="1"/>
  <c r="F1493"/>
  <c r="G1493" s="1"/>
  <c r="F1791"/>
  <c r="G1791" s="1"/>
  <c r="F1215" i="22"/>
  <c r="G1215" s="1"/>
  <c r="G1226" s="1"/>
  <c r="F2452" i="23"/>
  <c r="G2452" s="1"/>
  <c r="F1383" i="22"/>
  <c r="G1383" s="1"/>
  <c r="F1692"/>
  <c r="G1692" s="1"/>
  <c r="G1701" s="1"/>
  <c r="F2024"/>
  <c r="G2024" s="1"/>
  <c r="F2447"/>
  <c r="G2447" s="1"/>
  <c r="F5535" i="21"/>
  <c r="G5535" s="1"/>
  <c r="F5624"/>
  <c r="G5624" s="1"/>
  <c r="F1046" i="22"/>
  <c r="G1046" s="1"/>
  <c r="F1168" i="23"/>
  <c r="G1168" s="1"/>
  <c r="F5142" i="21"/>
  <c r="G5142" s="1"/>
  <c r="F2691" i="22"/>
  <c r="G2691" s="1"/>
  <c r="F878"/>
  <c r="G878" s="1"/>
  <c r="F708"/>
  <c r="G708" s="1"/>
  <c r="F1250" i="23"/>
  <c r="G1250" s="1"/>
  <c r="F1572"/>
  <c r="G1572" s="1"/>
  <c r="F2121"/>
  <c r="G2121" s="1"/>
  <c r="F1464" i="22"/>
  <c r="G1464" s="1"/>
  <c r="F2108"/>
  <c r="G2108" s="1"/>
  <c r="F48" i="18"/>
  <c r="F1545" i="22"/>
  <c r="G1545" s="1"/>
  <c r="F1715" i="23"/>
  <c r="G1715" s="1"/>
  <c r="G1724" s="1"/>
  <c r="H308" i="19"/>
  <c r="I308" s="1"/>
  <c r="F428" i="21"/>
  <c r="G428" s="1"/>
  <c r="F1476"/>
  <c r="G1476" s="1"/>
  <c r="H5425" i="19"/>
  <c r="I5425" s="1"/>
  <c r="H4681"/>
  <c r="I4681" s="1"/>
  <c r="F2919" i="11"/>
  <c r="G2919" s="1"/>
  <c r="F122" i="21"/>
  <c r="G122" s="1"/>
  <c r="F1219"/>
  <c r="G1219" s="1"/>
  <c r="H588" i="19"/>
  <c r="I588" s="1"/>
  <c r="F254" i="21"/>
  <c r="G254" s="1"/>
  <c r="G259" s="1"/>
  <c r="H5520" i="19"/>
  <c r="I5520" s="1"/>
  <c r="H940"/>
  <c r="I940" s="1"/>
  <c r="H444"/>
  <c r="I444" s="1"/>
  <c r="H4818"/>
  <c r="I4818" s="1"/>
  <c r="F625" i="21"/>
  <c r="G625" s="1"/>
  <c r="H4945" i="19"/>
  <c r="I4945" s="1"/>
  <c r="F1000" i="21"/>
  <c r="G1000" s="1"/>
  <c r="H5291" i="19"/>
  <c r="I5291" s="1"/>
  <c r="H212"/>
  <c r="I212" s="1"/>
  <c r="H5593"/>
  <c r="I5593" s="1"/>
  <c r="H125"/>
  <c r="I125" s="1"/>
  <c r="F1649" i="21"/>
  <c r="G1649" s="1"/>
  <c r="F81" i="22"/>
  <c r="G81" s="1"/>
  <c r="G82" s="1"/>
  <c r="H4611" i="19"/>
  <c r="I4611" s="1"/>
  <c r="F130" i="23"/>
  <c r="G130" s="1"/>
  <c r="G131" s="1"/>
  <c r="H5638" i="19"/>
  <c r="I5638" s="1"/>
  <c r="I5644" s="1"/>
  <c r="G5645" s="1"/>
  <c r="G5646" s="1"/>
  <c r="G5647" s="1"/>
  <c r="F206" i="14" s="1"/>
  <c r="H5072" i="19"/>
  <c r="I5072" s="1"/>
  <c r="H5208"/>
  <c r="I5208" s="1"/>
  <c r="F165" i="22"/>
  <c r="G165" s="1"/>
  <c r="G166" s="1"/>
  <c r="F214" i="23"/>
  <c r="G214" s="1"/>
  <c r="G215" s="1"/>
  <c r="H770" i="19"/>
  <c r="I770" s="1"/>
  <c r="F60" i="18"/>
  <c r="F2628" i="25"/>
  <c r="G2628" s="1"/>
  <c r="F863" i="21"/>
  <c r="G863" s="1"/>
  <c r="F1247" i="23"/>
  <c r="G1247" s="1"/>
  <c r="F918"/>
  <c r="G918" s="1"/>
  <c r="F1165"/>
  <c r="G1165" s="1"/>
  <c r="F1411"/>
  <c r="G1411" s="1"/>
  <c r="F1570"/>
  <c r="G1570" s="1"/>
  <c r="F1789"/>
  <c r="G1789" s="1"/>
  <c r="F2119"/>
  <c r="G2119" s="1"/>
  <c r="F3561"/>
  <c r="G3561" s="1"/>
  <c r="F1043" i="22"/>
  <c r="G1043" s="1"/>
  <c r="F1296"/>
  <c r="G1296" s="1"/>
  <c r="G1310" s="1"/>
  <c r="F1462"/>
  <c r="G1462" s="1"/>
  <c r="F1618"/>
  <c r="G1618" s="1"/>
  <c r="G1628" s="1"/>
  <c r="F2022"/>
  <c r="G2022" s="1"/>
  <c r="F2193"/>
  <c r="G2193" s="1"/>
  <c r="F24" i="18"/>
  <c r="F2609" i="23"/>
  <c r="G2609" s="1"/>
  <c r="F705" i="22"/>
  <c r="G705" s="1"/>
  <c r="F2289" i="23"/>
  <c r="G2289" s="1"/>
  <c r="F1768" i="22"/>
  <c r="G1768" s="1"/>
  <c r="F2608"/>
  <c r="G2608" s="1"/>
  <c r="F2445"/>
  <c r="G2445" s="1"/>
  <c r="F6970" i="21"/>
  <c r="G6970" s="1"/>
  <c r="G6981" s="1"/>
  <c r="G6982" s="1"/>
  <c r="G2117" i="25"/>
  <c r="H2117" s="1"/>
  <c r="F2064" i="21"/>
  <c r="G2064" s="1"/>
  <c r="F310"/>
  <c r="G310" s="1"/>
  <c r="G314" s="1"/>
  <c r="F1979"/>
  <c r="G1979" s="1"/>
  <c r="G2323" i="11"/>
  <c r="H2323" s="1"/>
  <c r="F2282" i="21"/>
  <c r="G2282" s="1"/>
  <c r="F2565"/>
  <c r="G2565" s="1"/>
  <c r="F2772"/>
  <c r="G2772" s="1"/>
  <c r="F4261"/>
  <c r="G4261" s="1"/>
  <c r="F4794"/>
  <c r="G4794" s="1"/>
  <c r="F5349"/>
  <c r="G5349" s="1"/>
  <c r="F2166"/>
  <c r="G2166" s="1"/>
  <c r="F2367"/>
  <c r="G2367" s="1"/>
  <c r="G2359" i="25"/>
  <c r="H2359" s="1"/>
  <c r="F59" i="18"/>
  <c r="G2200" i="11"/>
  <c r="H2200" s="1"/>
  <c r="F5746" i="21"/>
  <c r="G5746" s="1"/>
  <c r="G2237" i="25"/>
  <c r="H2237" s="1"/>
  <c r="G2079" i="11"/>
  <c r="H2079" s="1"/>
  <c r="F2650" i="21"/>
  <c r="G2650" s="1"/>
  <c r="F1774"/>
  <c r="G1774" s="1"/>
  <c r="G1998" i="25"/>
  <c r="H1998" s="1"/>
  <c r="F4660" i="21"/>
  <c r="G4660" s="1"/>
  <c r="F2858"/>
  <c r="G2858" s="1"/>
  <c r="F2956"/>
  <c r="G2956" s="1"/>
  <c r="F645" i="15"/>
  <c r="G645" s="1"/>
  <c r="F635"/>
  <c r="G635" s="1"/>
  <c r="F605"/>
  <c r="G605" s="1"/>
  <c r="F471"/>
  <c r="G471" s="1"/>
  <c r="F399"/>
  <c r="G399" s="1"/>
  <c r="F389"/>
  <c r="G389" s="1"/>
  <c r="F461"/>
  <c r="G461" s="1"/>
  <c r="F615"/>
  <c r="G615" s="1"/>
  <c r="F625"/>
  <c r="G625" s="1"/>
  <c r="F655"/>
  <c r="G655" s="1"/>
  <c r="F665"/>
  <c r="G665" s="1"/>
  <c r="F66" i="18"/>
  <c r="D2732" i="23"/>
  <c r="F2732" s="1"/>
  <c r="E2740" s="1"/>
  <c r="E2741" s="1"/>
  <c r="E2742" s="1"/>
  <c r="F793" i="14" s="1"/>
  <c r="D2756" i="22"/>
  <c r="F2756" s="1"/>
  <c r="F327" i="15"/>
  <c r="G327" s="1"/>
  <c r="D2755" i="23"/>
  <c r="F2755" s="1"/>
  <c r="E2764" s="1"/>
  <c r="E2765" s="1"/>
  <c r="E2766" s="1"/>
  <c r="F795" i="14" s="1"/>
  <c r="D2733" i="22"/>
  <c r="F2733" s="1"/>
  <c r="F317" i="15"/>
  <c r="G317" s="1"/>
  <c r="F33" i="18"/>
  <c r="F2567" i="20"/>
  <c r="G2567" s="1"/>
  <c r="H1251" i="19"/>
  <c r="I1251" s="1"/>
  <c r="H1309"/>
  <c r="I1309" s="1"/>
  <c r="E44" i="18"/>
  <c r="F2018" i="10"/>
  <c r="G2018" s="1"/>
  <c r="F2180"/>
  <c r="G2180" s="1"/>
  <c r="F2371"/>
  <c r="G2371" s="1"/>
  <c r="F2719"/>
  <c r="G2719" s="1"/>
  <c r="F552" i="24"/>
  <c r="G552" s="1"/>
  <c r="F754"/>
  <c r="G754" s="1"/>
  <c r="F457"/>
  <c r="G457" s="1"/>
  <c r="F651"/>
  <c r="G651" s="1"/>
  <c r="F1576"/>
  <c r="G1576" s="1"/>
  <c r="F1871"/>
  <c r="G1871" s="1"/>
  <c r="F2024"/>
  <c r="G2024" s="1"/>
  <c r="F2221"/>
  <c r="G2221" s="1"/>
  <c r="F799" i="10"/>
  <c r="G799" s="1"/>
  <c r="F1141"/>
  <c r="G1141" s="1"/>
  <c r="F647"/>
  <c r="G647" s="1"/>
  <c r="F965"/>
  <c r="G965" s="1"/>
  <c r="F2016"/>
  <c r="G2016" s="1"/>
  <c r="F1503"/>
  <c r="G1503" s="1"/>
  <c r="F2178"/>
  <c r="G2178" s="1"/>
  <c r="F2717"/>
  <c r="G2717" s="1"/>
  <c r="F2398" i="24"/>
  <c r="G2398" s="1"/>
  <c r="F2481"/>
  <c r="G2481" s="1"/>
  <c r="F122"/>
  <c r="G122" s="1"/>
  <c r="F649"/>
  <c r="G649" s="1"/>
  <c r="F920"/>
  <c r="G920" s="1"/>
  <c r="F1869"/>
  <c r="G1869" s="1"/>
  <c r="F1128"/>
  <c r="G1128" s="1"/>
  <c r="F2026"/>
  <c r="G2026" s="1"/>
  <c r="F1670"/>
  <c r="G1670" s="1"/>
  <c r="F1139" i="10"/>
  <c r="G1139" s="1"/>
  <c r="F226"/>
  <c r="G226" s="1"/>
  <c r="F963"/>
  <c r="G963" s="1"/>
  <c r="F1298"/>
  <c r="G1298" s="1"/>
  <c r="F1818"/>
  <c r="G1818" s="1"/>
  <c r="F550" i="24"/>
  <c r="G550" s="1"/>
  <c r="F120"/>
  <c r="G120" s="1"/>
  <c r="F1266"/>
  <c r="G1266" s="1"/>
  <c r="F1126"/>
  <c r="G1126" s="1"/>
  <c r="F1672"/>
  <c r="G1672" s="1"/>
  <c r="F224" i="10"/>
  <c r="G224" s="1"/>
  <c r="F1638"/>
  <c r="G1638" s="1"/>
  <c r="F2314" i="24"/>
  <c r="G2314" s="1"/>
  <c r="F2483"/>
  <c r="G2483" s="1"/>
  <c r="F242"/>
  <c r="G242" s="1"/>
  <c r="F918"/>
  <c r="G918" s="1"/>
  <c r="F2223"/>
  <c r="G2223" s="1"/>
  <c r="F437" i="10"/>
  <c r="G437" s="1"/>
  <c r="F1296"/>
  <c r="G1296" s="1"/>
  <c r="F240" i="24"/>
  <c r="G240" s="1"/>
  <c r="F1578"/>
  <c r="G1578" s="1"/>
  <c r="F1501" i="10"/>
  <c r="G1501" s="1"/>
  <c r="F2525"/>
  <c r="G2525" s="1"/>
  <c r="F2400" i="24"/>
  <c r="G2400" s="1"/>
  <c r="F459"/>
  <c r="G459" s="1"/>
  <c r="F1264"/>
  <c r="G1264" s="1"/>
  <c r="F649" i="10"/>
  <c r="G649" s="1"/>
  <c r="F1636"/>
  <c r="G1636" s="1"/>
  <c r="F2373"/>
  <c r="G2373" s="1"/>
  <c r="F2523"/>
  <c r="G2523" s="1"/>
  <c r="F1372" i="24"/>
  <c r="G1372" s="1"/>
  <c r="F2316"/>
  <c r="G2316" s="1"/>
  <c r="F752"/>
  <c r="G752" s="1"/>
  <c r="F1370"/>
  <c r="G1370" s="1"/>
  <c r="F801" i="10"/>
  <c r="G801" s="1"/>
  <c r="F435"/>
  <c r="G435" s="1"/>
  <c r="F1816"/>
  <c r="G1816" s="1"/>
  <c r="E68" i="18"/>
  <c r="I4489" i="19"/>
  <c r="I4490" s="1"/>
  <c r="I4491" s="1"/>
  <c r="I4492" s="1"/>
  <c r="I4493" s="1"/>
  <c r="E170" i="14" s="1"/>
  <c r="G4482" i="19"/>
  <c r="G4483" s="1"/>
  <c r="G4484" s="1"/>
  <c r="F171" i="14" s="1"/>
  <c r="E2583" i="20"/>
  <c r="E2584" s="1"/>
  <c r="E2585" s="1"/>
  <c r="F330" i="14" s="1"/>
  <c r="H435" i="19"/>
  <c r="I435" s="1"/>
  <c r="F1285" i="20"/>
  <c r="G1285" s="1"/>
  <c r="H763" i="19"/>
  <c r="I763" s="1"/>
  <c r="H986"/>
  <c r="I986" s="1"/>
  <c r="H1446"/>
  <c r="I1446" s="1"/>
  <c r="H299"/>
  <c r="I299" s="1"/>
  <c r="H1199"/>
  <c r="I1199" s="1"/>
  <c r="H1102"/>
  <c r="I1102" s="1"/>
  <c r="H1376"/>
  <c r="I1376" s="1"/>
  <c r="H4245"/>
  <c r="I4245" s="1"/>
  <c r="F2374" i="20"/>
  <c r="G2374" s="1"/>
  <c r="H580" i="19"/>
  <c r="I580" s="1"/>
  <c r="E14" i="18"/>
  <c r="H5277" i="19"/>
  <c r="I5277" s="1"/>
  <c r="H932"/>
  <c r="I932" s="1"/>
  <c r="F1187" i="20"/>
  <c r="G1187" s="1"/>
  <c r="D2754" i="23"/>
  <c r="F2754" s="1"/>
  <c r="D2755" i="22"/>
  <c r="F2755" s="1"/>
  <c r="F236" i="24"/>
  <c r="G236" s="1"/>
  <c r="F2217"/>
  <c r="G2217" s="1"/>
  <c r="F1262"/>
  <c r="G1262" s="1"/>
  <c r="F1867"/>
  <c r="G1867" s="1"/>
  <c r="F797" i="10"/>
  <c r="G797" s="1"/>
  <c r="F220"/>
  <c r="G220" s="1"/>
  <c r="F645"/>
  <c r="G645" s="1"/>
  <c r="F1292"/>
  <c r="G1292" s="1"/>
  <c r="F2014"/>
  <c r="G2014" s="1"/>
  <c r="F1499"/>
  <c r="G1499" s="1"/>
  <c r="F2174"/>
  <c r="G2174" s="1"/>
  <c r="D2731" i="23"/>
  <c r="F2731" s="1"/>
  <c r="E67" i="18"/>
  <c r="F455" i="24"/>
  <c r="G455" s="1"/>
  <c r="F1574"/>
  <c r="G1574" s="1"/>
  <c r="F1135" i="10"/>
  <c r="G1135" s="1"/>
  <c r="F959"/>
  <c r="G959" s="1"/>
  <c r="F2369"/>
  <c r="G2369" s="1"/>
  <c r="F2713"/>
  <c r="G2713" s="1"/>
  <c r="F914" i="24"/>
  <c r="G914" s="1"/>
  <c r="F1124"/>
  <c r="G1124" s="1"/>
  <c r="F431" i="10"/>
  <c r="G431" s="1"/>
  <c r="F1634"/>
  <c r="G1634" s="1"/>
  <c r="F1812"/>
  <c r="G1812" s="1"/>
  <c r="D2732" i="22"/>
  <c r="F2732" s="1"/>
  <c r="I3452" i="19"/>
  <c r="G3445"/>
  <c r="G3446" s="1"/>
  <c r="G3447" s="1"/>
  <c r="F119" i="14" s="1"/>
  <c r="G1179" i="23"/>
  <c r="E1180" s="1"/>
  <c r="E1181" s="1"/>
  <c r="E1182" s="1"/>
  <c r="F731" i="14" s="1"/>
  <c r="I4075" i="19"/>
  <c r="G4076" s="1"/>
  <c r="G4077" s="1"/>
  <c r="G4078" s="1"/>
  <c r="F148" i="14" s="1"/>
  <c r="G1420" i="20"/>
  <c r="G1428" s="1"/>
  <c r="G1277"/>
  <c r="G1308" s="1"/>
  <c r="F744" i="24"/>
  <c r="G744" s="1"/>
  <c r="F1861"/>
  <c r="G1861" s="1"/>
  <c r="F212" i="10"/>
  <c r="G212" s="1"/>
  <c r="F2363"/>
  <c r="G2363" s="1"/>
  <c r="F542" i="24"/>
  <c r="G542" s="1"/>
  <c r="F108"/>
  <c r="G108" s="1"/>
  <c r="F449"/>
  <c r="G449" s="1"/>
  <c r="F910"/>
  <c r="G910" s="1"/>
  <c r="F1568"/>
  <c r="G1568" s="1"/>
  <c r="F1118"/>
  <c r="G1118" s="1"/>
  <c r="F2022"/>
  <c r="G2022" s="1"/>
  <c r="F1360"/>
  <c r="G1360" s="1"/>
  <c r="F1131" i="10"/>
  <c r="G1131" s="1"/>
  <c r="F421"/>
  <c r="G421" s="1"/>
  <c r="F951"/>
  <c r="G951" s="1"/>
  <c r="F1493"/>
  <c r="G1493" s="1"/>
  <c r="F2008"/>
  <c r="G2008" s="1"/>
  <c r="F1806"/>
  <c r="G1806" s="1"/>
  <c r="F2521"/>
  <c r="G2521" s="1"/>
  <c r="F604" i="23"/>
  <c r="G604" s="1"/>
  <c r="H1538" i="19"/>
  <c r="I1538" s="1"/>
  <c r="F2477" i="24"/>
  <c r="G2477" s="1"/>
  <c r="F1260"/>
  <c r="G1260" s="1"/>
  <c r="F791" i="10"/>
  <c r="G791" s="1"/>
  <c r="F1632"/>
  <c r="G1632" s="1"/>
  <c r="F2310" i="24"/>
  <c r="G2310" s="1"/>
  <c r="F555" i="22"/>
  <c r="G555" s="1"/>
  <c r="F1632" i="20"/>
  <c r="G1632" s="1"/>
  <c r="E73" i="18"/>
  <c r="F2394" i="24"/>
  <c r="G2394" s="1"/>
  <c r="F1733" i="20"/>
  <c r="G1733" s="1"/>
  <c r="H3591" i="19"/>
  <c r="I3591" s="1"/>
  <c r="F637" i="24"/>
  <c r="G637" s="1"/>
  <c r="F2213"/>
  <c r="G2213" s="1"/>
  <c r="F1288" i="10"/>
  <c r="G1288" s="1"/>
  <c r="F2709"/>
  <c r="G2709" s="1"/>
  <c r="F226" i="24"/>
  <c r="G226" s="1"/>
  <c r="F1662"/>
  <c r="G1662" s="1"/>
  <c r="F639" i="10"/>
  <c r="G639" s="1"/>
  <c r="F2170"/>
  <c r="G2170" s="1"/>
  <c r="E1421" i="20"/>
  <c r="E1422" s="1"/>
  <c r="E1423" s="1"/>
  <c r="F291" i="14" s="1"/>
  <c r="G2330" i="20"/>
  <c r="G2331"/>
  <c r="H2779" i="11"/>
  <c r="H2780" s="1"/>
  <c r="G2800" s="1"/>
  <c r="G2803" s="1"/>
  <c r="G2804" s="1"/>
  <c r="G2805" s="1"/>
  <c r="G2806" s="1"/>
  <c r="G2995" i="10"/>
  <c r="E2988"/>
  <c r="E2989" s="1"/>
  <c r="E2990" s="1"/>
  <c r="G2964" i="23"/>
  <c r="G2965" s="1"/>
  <c r="G3000" s="1"/>
  <c r="G2899" i="22"/>
  <c r="G2902" s="1"/>
  <c r="G2936" s="1"/>
  <c r="G8604" i="21"/>
  <c r="G8605" s="1"/>
  <c r="G8606" s="1"/>
  <c r="G8607" s="1"/>
  <c r="G8608" s="1"/>
  <c r="E676" i="14" s="1"/>
  <c r="E8597" i="21"/>
  <c r="E8598" s="1"/>
  <c r="E8599" s="1"/>
  <c r="F677" i="14" s="1"/>
  <c r="G3602" i="19"/>
  <c r="G3603" s="1"/>
  <c r="G3604" s="1"/>
  <c r="F128" i="14" s="1"/>
  <c r="I3609" i="19"/>
  <c r="G6020"/>
  <c r="G6021" s="1"/>
  <c r="G6022" s="1"/>
  <c r="F223" i="14" s="1"/>
  <c r="I6027" i="19"/>
  <c r="I6028" s="1"/>
  <c r="I6029" s="1"/>
  <c r="I6030" s="1"/>
  <c r="I6031" s="1"/>
  <c r="E222" i="14" s="1"/>
  <c r="I6143" i="19"/>
  <c r="I6144" s="1"/>
  <c r="I6145" s="1"/>
  <c r="I6146" s="1"/>
  <c r="I6147" s="1"/>
  <c r="E228" i="14" s="1"/>
  <c r="G6136" i="19"/>
  <c r="G6137" s="1"/>
  <c r="G6138" s="1"/>
  <c r="F229" i="14" s="1"/>
  <c r="G6184" i="19"/>
  <c r="G6185" s="1"/>
  <c r="G6186" s="1"/>
  <c r="F232" i="14" s="1"/>
  <c r="I6191" i="19"/>
  <c r="I6192" s="1"/>
  <c r="I6193" s="1"/>
  <c r="I6194" s="1"/>
  <c r="I6195" s="1"/>
  <c r="E231" i="14" s="1"/>
  <c r="E1654" i="23"/>
  <c r="E1655" s="1"/>
  <c r="E1656" s="1"/>
  <c r="F749" i="14" s="1"/>
  <c r="E7692" i="21"/>
  <c r="E7693" s="1"/>
  <c r="E7694" s="1"/>
  <c r="F625" i="14" s="1"/>
  <c r="G7699" i="21"/>
  <c r="E3413"/>
  <c r="E3414" s="1"/>
  <c r="E3415" s="1"/>
  <c r="F434" i="14" s="1"/>
  <c r="G3420" i="21"/>
  <c r="E7157"/>
  <c r="E7158" s="1"/>
  <c r="E7159" s="1"/>
  <c r="F604" i="14" s="1"/>
  <c r="G7164" i="21"/>
  <c r="G1904" i="20"/>
  <c r="G1905" s="1"/>
  <c r="G5690" i="19"/>
  <c r="G5691" s="1"/>
  <c r="G5692" s="1"/>
  <c r="F209" i="14" s="1"/>
  <c r="I5697" i="19"/>
  <c r="I5698" s="1"/>
  <c r="I5699" s="1"/>
  <c r="I5700" s="1"/>
  <c r="I5701" s="1"/>
  <c r="E208" i="14" s="1"/>
  <c r="G2506" i="24"/>
  <c r="E2499"/>
  <c r="E2500" s="1"/>
  <c r="E2501" s="1"/>
  <c r="F950" i="14" s="1"/>
  <c r="E2581" i="24"/>
  <c r="E2582" s="1"/>
  <c r="E2583" s="1"/>
  <c r="F954" i="14" s="1"/>
  <c r="G2588" i="24"/>
  <c r="G2667" i="20"/>
  <c r="G4901" i="21"/>
  <c r="G2415" i="24"/>
  <c r="H1050" i="11"/>
  <c r="H1256" i="25"/>
  <c r="H1128" i="11"/>
  <c r="G653" i="23"/>
  <c r="G656" s="1"/>
  <c r="E3255"/>
  <c r="E3256" s="1"/>
  <c r="E3257" s="1"/>
  <c r="F824" i="14" s="1"/>
  <c r="G3262" i="23"/>
  <c r="G3263" s="1"/>
  <c r="G3264" s="1"/>
  <c r="G3265" s="1"/>
  <c r="G3266" s="1"/>
  <c r="E823" i="14" s="1"/>
  <c r="G2807" i="22"/>
  <c r="G2808" s="1"/>
  <c r="G2809" s="1"/>
  <c r="G2810" s="1"/>
  <c r="G2811" s="1"/>
  <c r="E2800"/>
  <c r="E2801" s="1"/>
  <c r="E2802" s="1"/>
  <c r="G3182"/>
  <c r="G3183" s="1"/>
  <c r="G3184" s="1"/>
  <c r="G3185" s="1"/>
  <c r="G3186" s="1"/>
  <c r="E3175"/>
  <c r="E3176" s="1"/>
  <c r="E3177" s="1"/>
  <c r="E1978" i="20"/>
  <c r="E1979" s="1"/>
  <c r="E1980" s="1"/>
  <c r="F313" i="14" s="1"/>
  <c r="G1985" i="20"/>
  <c r="G1986" s="1"/>
  <c r="H3049" i="19"/>
  <c r="H3102" s="1"/>
  <c r="I3102" s="1"/>
  <c r="I3103" s="1"/>
  <c r="H2185"/>
  <c r="H2308"/>
  <c r="H2749"/>
  <c r="H2793" s="1"/>
  <c r="I2793" s="1"/>
  <c r="H3292"/>
  <c r="H3333" s="1"/>
  <c r="I3333" s="1"/>
  <c r="H2428"/>
  <c r="H2473" s="1"/>
  <c r="I2473" s="1"/>
  <c r="H2538"/>
  <c r="H2587" s="1"/>
  <c r="I2587" s="1"/>
  <c r="H2852"/>
  <c r="H2897" s="1"/>
  <c r="I2897" s="1"/>
  <c r="I2898" s="1"/>
  <c r="H2645"/>
  <c r="H2691" s="1"/>
  <c r="I2691" s="1"/>
  <c r="I2692" s="1"/>
  <c r="H3190"/>
  <c r="H3239" s="1"/>
  <c r="I3239" s="1"/>
  <c r="I5764"/>
  <c r="H5810" s="1"/>
  <c r="I5810" s="1"/>
  <c r="I5811" s="1"/>
  <c r="H1940"/>
  <c r="H2062"/>
  <c r="I1676"/>
  <c r="G6073"/>
  <c r="G6074" s="1"/>
  <c r="G6075" s="1"/>
  <c r="F226" i="14" s="1"/>
  <c r="I6080" i="19"/>
  <c r="I6081" s="1"/>
  <c r="I6082" s="1"/>
  <c r="I6083" s="1"/>
  <c r="I6084" s="1"/>
  <c r="E225" i="14" s="1"/>
  <c r="G6469" i="19"/>
  <c r="G6470" s="1"/>
  <c r="G6471" s="1"/>
  <c r="F244" i="14" s="1"/>
  <c r="I6476" i="19"/>
  <c r="I6477" s="1"/>
  <c r="I6478" s="1"/>
  <c r="I6479" s="1"/>
  <c r="I6480" s="1"/>
  <c r="E243" i="14" s="1"/>
  <c r="G1000" i="19"/>
  <c r="G1001" s="1"/>
  <c r="G1002" s="1"/>
  <c r="F35" i="14" s="1"/>
  <c r="I1007" i="19"/>
  <c r="E6393" i="21"/>
  <c r="E6394" s="1"/>
  <c r="E6395" s="1"/>
  <c r="F566" i="14" s="1"/>
  <c r="G6400" i="21"/>
  <c r="E7557"/>
  <c r="E7558" s="1"/>
  <c r="E7559" s="1"/>
  <c r="F619" i="14" s="1"/>
  <c r="G7564" i="21"/>
  <c r="E4243" i="23"/>
  <c r="E4244" s="1"/>
  <c r="E4245" s="1"/>
  <c r="F887" i="14" s="1"/>
  <c r="G4250" i="23"/>
  <c r="F1220" i="21"/>
  <c r="G1220" s="1"/>
  <c r="F1773"/>
  <c r="G1773" s="1"/>
  <c r="F2281"/>
  <c r="G2281" s="1"/>
  <c r="F2445"/>
  <c r="G2445" s="1"/>
  <c r="F2676" i="25"/>
  <c r="G2676" s="1"/>
  <c r="G1997"/>
  <c r="H1997" s="1"/>
  <c r="F2918" i="11"/>
  <c r="G2918" s="1"/>
  <c r="G1958"/>
  <c r="H1958" s="1"/>
  <c r="G2078"/>
  <c r="H2078" s="1"/>
  <c r="G2199"/>
  <c r="H2199" s="1"/>
  <c r="G2322"/>
  <c r="H2322" s="1"/>
  <c r="F2968"/>
  <c r="G2968" s="1"/>
  <c r="F626" i="21"/>
  <c r="G626" s="1"/>
  <c r="F1650"/>
  <c r="G1650" s="1"/>
  <c r="F1859"/>
  <c r="G1859" s="1"/>
  <c r="F1978"/>
  <c r="G1978" s="1"/>
  <c r="F2063"/>
  <c r="G2063" s="1"/>
  <c r="F2955"/>
  <c r="G2955" s="1"/>
  <c r="F3040"/>
  <c r="G3040" s="1"/>
  <c r="F3202"/>
  <c r="G3202" s="1"/>
  <c r="G3208" s="1"/>
  <c r="F3353"/>
  <c r="G3353" s="1"/>
  <c r="G3357" s="1"/>
  <c r="F864"/>
  <c r="G864" s="1"/>
  <c r="F1477"/>
  <c r="G1477" s="1"/>
  <c r="F2165"/>
  <c r="G2165" s="1"/>
  <c r="F2366"/>
  <c r="G2366" s="1"/>
  <c r="F2564"/>
  <c r="G2564" s="1"/>
  <c r="F2771"/>
  <c r="G2771" s="1"/>
  <c r="F3118"/>
  <c r="G3118" s="1"/>
  <c r="F4262"/>
  <c r="G4262" s="1"/>
  <c r="F4445"/>
  <c r="G4445" s="1"/>
  <c r="H941" i="19"/>
  <c r="I941" s="1"/>
  <c r="H4817"/>
  <c r="I4817" s="1"/>
  <c r="H5207"/>
  <c r="I5207" s="1"/>
  <c r="H4610"/>
  <c r="I4610" s="1"/>
  <c r="H4944"/>
  <c r="I4944" s="1"/>
  <c r="F16" i="18"/>
  <c r="H445" i="19"/>
  <c r="I445" s="1"/>
  <c r="F2649" i="21"/>
  <c r="G2649" s="1"/>
  <c r="F2857"/>
  <c r="G2857" s="1"/>
  <c r="F3280"/>
  <c r="G3280" s="1"/>
  <c r="G3286" s="1"/>
  <c r="F4350"/>
  <c r="G4350" s="1"/>
  <c r="H771" i="19"/>
  <c r="I771" s="1"/>
  <c r="H591"/>
  <c r="I591" s="1"/>
  <c r="H5071"/>
  <c r="I5071" s="1"/>
  <c r="H5290"/>
  <c r="I5290" s="1"/>
  <c r="H4680"/>
  <c r="I4680" s="1"/>
  <c r="H5427"/>
  <c r="I5427" s="1"/>
  <c r="G2358" i="25"/>
  <c r="H2358" s="1"/>
  <c r="G2236"/>
  <c r="H2236" s="1"/>
  <c r="F2627"/>
  <c r="G2627" s="1"/>
  <c r="G2116"/>
  <c r="H2116" s="1"/>
  <c r="E2541" i="10"/>
  <c r="E2542" s="1"/>
  <c r="E2543" s="1"/>
  <c r="E2705" i="24"/>
  <c r="E2706" s="1"/>
  <c r="E2707" s="1"/>
  <c r="F960" i="14" s="1"/>
  <c r="G3993" i="19"/>
  <c r="G3994" s="1"/>
  <c r="G3995" s="1"/>
  <c r="F145" i="14" s="1"/>
  <c r="I4000" i="19"/>
  <c r="G916" i="11"/>
  <c r="E909"/>
  <c r="E910" s="1"/>
  <c r="E911" s="1"/>
  <c r="E1779" i="20"/>
  <c r="E1780" s="1"/>
  <c r="E1781" s="1"/>
  <c r="F300" i="14" s="1"/>
  <c r="G1788" i="20"/>
  <c r="F79" i="15"/>
  <c r="F111" i="26"/>
  <c r="F120"/>
  <c r="F76" i="13"/>
  <c r="F5328" i="21"/>
  <c r="G5328" s="1"/>
  <c r="G5327"/>
  <c r="E2995" i="23"/>
  <c r="E2996" s="1"/>
  <c r="E2997" s="1"/>
  <c r="F809" i="14" s="1"/>
  <c r="G3002" i="23"/>
  <c r="H984" i="11"/>
  <c r="H1274"/>
  <c r="E89" i="25"/>
  <c r="E90" s="1"/>
  <c r="E91" s="1"/>
  <c r="F989" i="14" s="1"/>
  <c r="G96" i="25"/>
  <c r="G97" s="1"/>
  <c r="G98" s="1"/>
  <c r="G99" s="1"/>
  <c r="G100" s="1"/>
  <c r="E988" i="14" s="1"/>
  <c r="G2513" i="25"/>
  <c r="G2514" s="1"/>
  <c r="G2515" s="1"/>
  <c r="G2516" s="1"/>
  <c r="E1121" i="14" s="1"/>
  <c r="G965" i="25"/>
  <c r="E958"/>
  <c r="E959" s="1"/>
  <c r="E960" s="1"/>
  <c r="F1051" i="14" s="1"/>
  <c r="E1762" i="25"/>
  <c r="E1763" s="1"/>
  <c r="E1764" s="1"/>
  <c r="F1092" i="14" s="1"/>
  <c r="G1769" i="25"/>
  <c r="G1770" s="1"/>
  <c r="G1771" s="1"/>
  <c r="G1772" s="1"/>
  <c r="G1773" s="1"/>
  <c r="E1091" i="14" s="1"/>
  <c r="G1635" i="25"/>
  <c r="G1636" s="1"/>
  <c r="G1637" s="1"/>
  <c r="G1638" s="1"/>
  <c r="G1639" s="1"/>
  <c r="E1085" i="14" s="1"/>
  <c r="E1628" i="25"/>
  <c r="E1629" s="1"/>
  <c r="E1630" s="1"/>
  <c r="F1086" i="14" s="1"/>
  <c r="E702" i="25"/>
  <c r="E703" s="1"/>
  <c r="E704" s="1"/>
  <c r="F1032" i="14" s="1"/>
  <c r="G709" i="25"/>
  <c r="G710" s="1"/>
  <c r="G711" s="1"/>
  <c r="G712" s="1"/>
  <c r="G713" s="1"/>
  <c r="E1031" i="14" s="1"/>
  <c r="G447" i="25"/>
  <c r="G448" s="1"/>
  <c r="G449" s="1"/>
  <c r="G450" s="1"/>
  <c r="G451" s="1"/>
  <c r="E1013" i="14" s="1"/>
  <c r="E440" i="25"/>
  <c r="E441" s="1"/>
  <c r="E442" s="1"/>
  <c r="F1014" i="14" s="1"/>
  <c r="G364" i="25"/>
  <c r="G365" s="1"/>
  <c r="G366" s="1"/>
  <c r="G367" s="1"/>
  <c r="G368" s="1"/>
  <c r="E1007" i="14" s="1"/>
  <c r="E357" i="25"/>
  <c r="E358" s="1"/>
  <c r="E359" s="1"/>
  <c r="F1008" i="14" s="1"/>
  <c r="F2947" i="25"/>
  <c r="F2948" s="1"/>
  <c r="F2940"/>
  <c r="G576"/>
  <c r="G577" s="1"/>
  <c r="G578" s="1"/>
  <c r="G579" s="1"/>
  <c r="G580" s="1"/>
  <c r="E1022" i="14" s="1"/>
  <c r="E569" i="25"/>
  <c r="E570" s="1"/>
  <c r="E571" s="1"/>
  <c r="F1023" i="14" s="1"/>
  <c r="H1226" i="25"/>
  <c r="H1227" s="1"/>
  <c r="G1237" s="1"/>
  <c r="H1237" s="1"/>
  <c r="H1238" s="1"/>
  <c r="G1262" s="1"/>
  <c r="E398"/>
  <c r="E399" s="1"/>
  <c r="E400" s="1"/>
  <c r="F1011" i="14" s="1"/>
  <c r="G405" i="25"/>
  <c r="G406" s="1"/>
  <c r="G407" s="1"/>
  <c r="G408" s="1"/>
  <c r="G409" s="1"/>
  <c r="E1010" i="14" s="1"/>
  <c r="E1808" i="25"/>
  <c r="E1809" s="1"/>
  <c r="E1810" s="1"/>
  <c r="F1095" i="14" s="1"/>
  <c r="G1815" i="25"/>
  <c r="G1816" s="1"/>
  <c r="G1817" s="1"/>
  <c r="G1818" s="1"/>
  <c r="G1819" s="1"/>
  <c r="E1094" i="14" s="1"/>
  <c r="I5093" i="19"/>
  <c r="E1150" i="14"/>
  <c r="G2850" i="25"/>
  <c r="G2851" s="1"/>
  <c r="G2852" s="1"/>
  <c r="E1157" i="14" s="1"/>
  <c r="G1856" i="25"/>
  <c r="G1857" s="1"/>
  <c r="G1858" s="1"/>
  <c r="G1859" s="1"/>
  <c r="G1860" s="1"/>
  <c r="E1097" i="14" s="1"/>
  <c r="E1849" i="25"/>
  <c r="E1850" s="1"/>
  <c r="E1851" s="1"/>
  <c r="F1098" i="14" s="1"/>
  <c r="E881" i="25"/>
  <c r="E882" s="1"/>
  <c r="E883" s="1"/>
  <c r="F1048" i="14" s="1"/>
  <c r="G888" i="25"/>
  <c r="G533"/>
  <c r="G534" s="1"/>
  <c r="G535" s="1"/>
  <c r="G536" s="1"/>
  <c r="G537" s="1"/>
  <c r="E1019" i="14" s="1"/>
  <c r="E526" i="25"/>
  <c r="E527" s="1"/>
  <c r="E528" s="1"/>
  <c r="F1020" i="14" s="1"/>
  <c r="E223" i="25"/>
  <c r="E224" s="1"/>
  <c r="E225" s="1"/>
  <c r="F999" i="14" s="1"/>
  <c r="G230" i="25"/>
  <c r="G231" s="1"/>
  <c r="G232" s="1"/>
  <c r="G233" s="1"/>
  <c r="G234" s="1"/>
  <c r="E998" i="14" s="1"/>
  <c r="G2908" i="25"/>
  <c r="G2909" s="1"/>
  <c r="G2910" s="1"/>
  <c r="E1159" i="14" s="1"/>
  <c r="G2792" i="25"/>
  <c r="G2793" s="1"/>
  <c r="G2794" s="1"/>
  <c r="E1155" i="14" s="1"/>
  <c r="E1891" i="25"/>
  <c r="E1892" s="1"/>
  <c r="E1893" s="1"/>
  <c r="F1101" i="14" s="1"/>
  <c r="G1898" i="25"/>
  <c r="G1899" s="1"/>
  <c r="G1900" s="1"/>
  <c r="G1901" s="1"/>
  <c r="G1902" s="1"/>
  <c r="E1100" i="14" s="1"/>
  <c r="E743" i="25"/>
  <c r="E744" s="1"/>
  <c r="E745" s="1"/>
  <c r="F1035" i="14" s="1"/>
  <c r="G750" i="25"/>
  <c r="G751" s="1"/>
  <c r="G752" s="1"/>
  <c r="G753" s="1"/>
  <c r="G754" s="1"/>
  <c r="E1034" i="14" s="1"/>
  <c r="G275" i="25"/>
  <c r="G276" s="1"/>
  <c r="G277" s="1"/>
  <c r="G278" s="1"/>
  <c r="G279" s="1"/>
  <c r="E1001" i="14" s="1"/>
  <c r="E268" i="25"/>
  <c r="E269" s="1"/>
  <c r="E270" s="1"/>
  <c r="F1002" i="14" s="1"/>
  <c r="E178" i="25"/>
  <c r="E179" s="1"/>
  <c r="E180" s="1"/>
  <c r="F995" i="14" s="1"/>
  <c r="G185" i="25"/>
  <c r="G186" s="1"/>
  <c r="G187" s="1"/>
  <c r="G188" s="1"/>
  <c r="G189" s="1"/>
  <c r="E994" i="14" s="1"/>
  <c r="F2949" i="25"/>
  <c r="F2950" s="1"/>
  <c r="H1002"/>
  <c r="H1003" s="1"/>
  <c r="G1014" s="1"/>
  <c r="H1014" s="1"/>
  <c r="H1015" s="1"/>
  <c r="G1039" s="1"/>
  <c r="H1146"/>
  <c r="H1147" s="1"/>
  <c r="G1158" s="1"/>
  <c r="H1158" s="1"/>
  <c r="H1159" s="1"/>
  <c r="G1183" s="1"/>
  <c r="E2409"/>
  <c r="E2410" s="1"/>
  <c r="E2411" s="1"/>
  <c r="F1116" i="14" s="1"/>
  <c r="G2416" i="25"/>
  <c r="G2417" s="1"/>
  <c r="G2418" s="1"/>
  <c r="G2419" s="1"/>
  <c r="G2420" s="1"/>
  <c r="E1115" i="14" s="1"/>
  <c r="G1561" i="25"/>
  <c r="G1562" s="1"/>
  <c r="G1563" s="1"/>
  <c r="G1564" s="1"/>
  <c r="G1565" s="1"/>
  <c r="E1082" i="14" s="1"/>
  <c r="E1554" i="25"/>
  <c r="E1555" s="1"/>
  <c r="E1556" s="1"/>
  <c r="F1083" i="14" s="1"/>
  <c r="F3116" i="19" l="1"/>
  <c r="I3067"/>
  <c r="E6951" i="21"/>
  <c r="G6951" s="1"/>
  <c r="G6946"/>
  <c r="F1103" i="20"/>
  <c r="G1103" s="1"/>
  <c r="D39" i="18"/>
  <c r="G3046" i="21"/>
  <c r="G2289"/>
  <c r="G622" i="22"/>
  <c r="G626" s="1"/>
  <c r="G628" s="1"/>
  <c r="F2407" s="1"/>
  <c r="F2424" s="1"/>
  <c r="G2424" s="1"/>
  <c r="G2425" s="1"/>
  <c r="G2429" s="1"/>
  <c r="G2464" s="1"/>
  <c r="F2365" i="20"/>
  <c r="G2365" s="1"/>
  <c r="G2368" s="1"/>
  <c r="G2430" s="1"/>
  <c r="F1843" i="21"/>
  <c r="G1843" s="1"/>
  <c r="H426" i="19"/>
  <c r="I426" s="1"/>
  <c r="H3590"/>
  <c r="I3590" s="1"/>
  <c r="I3593" s="1"/>
  <c r="I3608" s="1"/>
  <c r="F1860" i="24"/>
  <c r="G1860" s="1"/>
  <c r="F125"/>
  <c r="G125" s="1"/>
  <c r="G540" i="5"/>
  <c r="F553" i="24"/>
  <c r="G553" s="1"/>
  <c r="F2373" i="20"/>
  <c r="G2373" s="1"/>
  <c r="H579" i="19"/>
  <c r="I579" s="1"/>
  <c r="H434"/>
  <c r="I434" s="1"/>
  <c r="H931"/>
  <c r="I931" s="1"/>
  <c r="F642" i="24"/>
  <c r="G642" s="1"/>
  <c r="D512" i="5"/>
  <c r="F950" i="10"/>
  <c r="G950" s="1"/>
  <c r="F1117" i="24"/>
  <c r="G1117" s="1"/>
  <c r="F1805" i="10"/>
  <c r="G1805" s="1"/>
  <c r="G616" i="22"/>
  <c r="G618" s="1"/>
  <c r="G3124" i="21"/>
  <c r="G2974" i="11"/>
  <c r="G556" i="5"/>
  <c r="G535"/>
  <c r="F72" i="22"/>
  <c r="G72" s="1"/>
  <c r="G74" s="1"/>
  <c r="G89" s="1"/>
  <c r="F638" i="10"/>
  <c r="G638" s="1"/>
  <c r="D20" i="18"/>
  <c r="G20" s="1"/>
  <c r="F921" i="20"/>
  <c r="G921" s="1"/>
  <c r="G497" i="5"/>
  <c r="F5429" i="21"/>
  <c r="G5429" s="1"/>
  <c r="F555" i="20"/>
  <c r="G555" s="1"/>
  <c r="D26" i="18"/>
  <c r="H5191" i="19"/>
  <c r="I5191" s="1"/>
  <c r="F743" i="24"/>
  <c r="G743" s="1"/>
  <c r="F652"/>
  <c r="G652" s="1"/>
  <c r="D57" i="18"/>
  <c r="G57" s="1"/>
  <c r="H985" i="19"/>
  <c r="I985" s="1"/>
  <c r="F1284" i="20"/>
  <c r="G1284" s="1"/>
  <c r="F1186"/>
  <c r="G1186" s="1"/>
  <c r="H1101" i="19"/>
  <c r="I1101" s="1"/>
  <c r="F123" i="24"/>
  <c r="G123" s="1"/>
  <c r="F1259"/>
  <c r="G1259" s="1"/>
  <c r="G850" i="23"/>
  <c r="G858" s="1"/>
  <c r="I3069" i="19"/>
  <c r="F3115"/>
  <c r="E5204" i="21"/>
  <c r="G5204" s="1"/>
  <c r="G5198"/>
  <c r="G5206" s="1"/>
  <c r="G5207" s="1"/>
  <c r="G5243" s="1"/>
  <c r="G2340" i="24"/>
  <c r="I5652" i="19"/>
  <c r="I2972"/>
  <c r="G1659" i="20"/>
  <c r="E1660" s="1"/>
  <c r="E1661" s="1"/>
  <c r="E1662" s="1"/>
  <c r="F297" i="14" s="1"/>
  <c r="D560" i="5"/>
  <c r="F778" i="22"/>
  <c r="G778" s="1"/>
  <c r="F2021" i="24"/>
  <c r="G2021" s="1"/>
  <c r="F426" i="10"/>
  <c r="G426" s="1"/>
  <c r="F4907" i="21"/>
  <c r="G4907" s="1"/>
  <c r="H4594" i="19"/>
  <c r="I4594" s="1"/>
  <c r="F420" i="10"/>
  <c r="G420" s="1"/>
  <c r="F2212" i="24"/>
  <c r="G2212" s="1"/>
  <c r="F1861" i="23"/>
  <c r="G1861" s="1"/>
  <c r="H5276" i="19"/>
  <c r="I5276" s="1"/>
  <c r="H298"/>
  <c r="I298" s="1"/>
  <c r="H1445"/>
  <c r="I1445" s="1"/>
  <c r="G7545" i="21"/>
  <c r="G7563" s="1"/>
  <c r="F956" i="10"/>
  <c r="G956" s="1"/>
  <c r="F909" i="24"/>
  <c r="G909" s="1"/>
  <c r="F2007" i="10"/>
  <c r="G2007" s="1"/>
  <c r="E1725" i="23"/>
  <c r="E1726" s="1"/>
  <c r="E1727" s="1"/>
  <c r="F752" i="14" s="1"/>
  <c r="G1732" i="23"/>
  <c r="E7252" i="21"/>
  <c r="E7253" s="1"/>
  <c r="E7254" s="1"/>
  <c r="F607" i="14" s="1"/>
  <c r="G7259" i="21"/>
  <c r="I1271" i="19"/>
  <c r="G1264"/>
  <c r="G1265" s="1"/>
  <c r="G1266" s="1"/>
  <c r="F54" i="14" s="1"/>
  <c r="H4666" i="19"/>
  <c r="I4666" s="1"/>
  <c r="F479" i="15"/>
  <c r="G479" s="1"/>
  <c r="F2435" i="21"/>
  <c r="G2435" s="1"/>
  <c r="F489" i="15"/>
  <c r="G489" s="1"/>
  <c r="G492" s="1"/>
  <c r="G493" s="1"/>
  <c r="G494" s="1"/>
  <c r="G495" s="1"/>
  <c r="F2620" i="25"/>
  <c r="G2620" s="1"/>
  <c r="F115" i="21"/>
  <c r="G115" s="1"/>
  <c r="H1969" i="19"/>
  <c r="I1969" s="1"/>
  <c r="F2635" i="21"/>
  <c r="G2635" s="1"/>
  <c r="F614"/>
  <c r="G614" s="1"/>
  <c r="F253" i="15"/>
  <c r="G253" s="1"/>
  <c r="G256" s="1"/>
  <c r="G257" s="1"/>
  <c r="G258" s="1"/>
  <c r="G259" s="1"/>
  <c r="H5274" i="19"/>
  <c r="I5274" s="1"/>
  <c r="G2344" i="25"/>
  <c r="H2344" s="1"/>
  <c r="F2911" i="11"/>
  <c r="G2911" s="1"/>
  <c r="F293" i="15"/>
  <c r="G293" s="1"/>
  <c r="G296" s="1"/>
  <c r="G297" s="1"/>
  <c r="G298" s="1"/>
  <c r="G299" s="1"/>
  <c r="F2757" i="21"/>
  <c r="G2757" s="1"/>
  <c r="G545" i="5"/>
  <c r="F355" i="15"/>
  <c r="G355" s="1"/>
  <c r="G358" s="1"/>
  <c r="G359" s="1"/>
  <c r="G360" s="1"/>
  <c r="G361" s="1"/>
  <c r="G2222" i="25"/>
  <c r="H2222" s="1"/>
  <c r="H5416" i="19"/>
  <c r="I5416" s="1"/>
  <c r="H760"/>
  <c r="I760" s="1"/>
  <c r="F2267" i="21"/>
  <c r="G2267" s="1"/>
  <c r="G889" i="15"/>
  <c r="H889" s="1"/>
  <c r="E3065" i="23"/>
  <c r="E3066" s="1"/>
  <c r="E3067" s="1"/>
  <c r="F812" i="14" s="1"/>
  <c r="G3072" i="23"/>
  <c r="E1324" i="25"/>
  <c r="E1325" s="1"/>
  <c r="E1326" s="1"/>
  <c r="F1067" i="14" s="1"/>
  <c r="G1331" i="25"/>
  <c r="F2152" i="22"/>
  <c r="F2173" s="1"/>
  <c r="G2173" s="1"/>
  <c r="G2174" s="1"/>
  <c r="F2238"/>
  <c r="F2239" s="1"/>
  <c r="F2240" s="1"/>
  <c r="F2259" s="1"/>
  <c r="G2259" s="1"/>
  <c r="G2260" s="1"/>
  <c r="G2264" s="1"/>
  <c r="G2299" s="1"/>
  <c r="E834"/>
  <c r="F852" s="1"/>
  <c r="G852" s="1"/>
  <c r="G853" s="1"/>
  <c r="G857" s="1"/>
  <c r="G894" s="1"/>
  <c r="G1323" i="19"/>
  <c r="G1324" s="1"/>
  <c r="G1325" s="1"/>
  <c r="F57" i="14" s="1"/>
  <c r="I1330" i="19"/>
  <c r="G73" i="18"/>
  <c r="H2366" i="25"/>
  <c r="G493" i="5"/>
  <c r="G14" i="18"/>
  <c r="F1573" i="24"/>
  <c r="G1573" s="1"/>
  <c r="F430" i="10"/>
  <c r="G430" s="1"/>
  <c r="F1741" i="20"/>
  <c r="G1741" s="1"/>
  <c r="F191"/>
  <c r="G191" s="1"/>
  <c r="F2263" i="21"/>
  <c r="G2263" s="1"/>
  <c r="F2431"/>
  <c r="G2431" s="1"/>
  <c r="F5333"/>
  <c r="G5333" s="1"/>
  <c r="H4801" i="19"/>
  <c r="I4801" s="1"/>
  <c r="I3610"/>
  <c r="I3611" s="1"/>
  <c r="F227" i="24"/>
  <c r="G227" s="1"/>
  <c r="G2304" i="11"/>
  <c r="H2304" s="1"/>
  <c r="H5189" i="19"/>
  <c r="I5189" s="1"/>
  <c r="F1460" i="21"/>
  <c r="G1460" s="1"/>
  <c r="F2645" i="20"/>
  <c r="G2645" s="1"/>
  <c r="F2216" i="24"/>
  <c r="G2216" s="1"/>
  <c r="F2368" i="10"/>
  <c r="G2368" s="1"/>
  <c r="D2730" i="22"/>
  <c r="F2730" s="1"/>
  <c r="F2734" s="1"/>
  <c r="E2741" s="1"/>
  <c r="E2742" s="1"/>
  <c r="E2743" s="1"/>
  <c r="H4668" i="19"/>
  <c r="I4668" s="1"/>
  <c r="H987"/>
  <c r="I987" s="1"/>
  <c r="I989" s="1"/>
  <c r="I1006" s="1"/>
  <c r="I1008" s="1"/>
  <c r="I1009" s="1"/>
  <c r="I1010" s="1"/>
  <c r="I1011" s="1"/>
  <c r="E34" i="14" s="1"/>
  <c r="F2151" i="21"/>
  <c r="G2151" s="1"/>
  <c r="F2907" i="11"/>
  <c r="G2907" s="1"/>
  <c r="I4618" i="19"/>
  <c r="G1187" i="23"/>
  <c r="F2379" i="20"/>
  <c r="F2380" s="1"/>
  <c r="G2380" s="1"/>
  <c r="G1780" i="22"/>
  <c r="E1781" s="1"/>
  <c r="E1782" s="1"/>
  <c r="E1783" s="1"/>
  <c r="G438" i="21"/>
  <c r="G2702" i="22"/>
  <c r="E2703" s="1"/>
  <c r="E2704" s="1"/>
  <c r="E2705" s="1"/>
  <c r="G5455" i="21"/>
  <c r="G5463" s="1"/>
  <c r="G1343" i="23"/>
  <c r="G1351" s="1"/>
  <c r="G2076" i="20"/>
  <c r="F644" i="10"/>
  <c r="G644" s="1"/>
  <c r="D2752" i="23"/>
  <c r="F2752" s="1"/>
  <c r="G1052" i="20"/>
  <c r="E1053" s="1"/>
  <c r="E1054" s="1"/>
  <c r="E1055" s="1"/>
  <c r="F275" i="14" s="1"/>
  <c r="G1394" i="24"/>
  <c r="G1395" s="1"/>
  <c r="G1396" s="1"/>
  <c r="G562" i="5"/>
  <c r="I1389" i="19"/>
  <c r="G1390" s="1"/>
  <c r="G1391" s="1"/>
  <c r="G1392" s="1"/>
  <c r="F60" i="14" s="1"/>
  <c r="G32" i="18"/>
  <c r="F1512" i="20"/>
  <c r="G1512" s="1"/>
  <c r="H428" i="19"/>
  <c r="I428" s="1"/>
  <c r="F4431" i="21"/>
  <c r="G4431" s="1"/>
  <c r="F2941"/>
  <c r="G2941" s="1"/>
  <c r="G2062" i="11"/>
  <c r="H2062" s="1"/>
  <c r="H5414" i="19"/>
  <c r="I5414" s="1"/>
  <c r="H113"/>
  <c r="I113" s="1"/>
  <c r="F2362" i="10"/>
  <c r="G2362" s="1"/>
  <c r="F2309" i="24"/>
  <c r="G2309" s="1"/>
  <c r="F612" i="21"/>
  <c r="G612" s="1"/>
  <c r="F3188"/>
  <c r="G3188" s="1"/>
  <c r="F4333"/>
  <c r="G4333" s="1"/>
  <c r="F952" i="10"/>
  <c r="G952" s="1"/>
  <c r="F2616" i="25"/>
  <c r="G2616" s="1"/>
  <c r="F3104" i="21"/>
  <c r="G3104" s="1"/>
  <c r="F4245"/>
  <c r="G4245" s="1"/>
  <c r="F2047"/>
  <c r="G2047" s="1"/>
  <c r="H925" i="19"/>
  <c r="I925" s="1"/>
  <c r="F121" i="23"/>
  <c r="G121" s="1"/>
  <c r="G123" s="1"/>
  <c r="G138" s="1"/>
  <c r="H1537" i="19"/>
  <c r="I1537" s="1"/>
  <c r="F211" i="10"/>
  <c r="G211" s="1"/>
  <c r="F1631" i="20"/>
  <c r="G1631" s="1"/>
  <c r="G2060" i="11"/>
  <c r="H2060" s="1"/>
  <c r="F5731" i="21"/>
  <c r="G5731" s="1"/>
  <c r="F3272"/>
  <c r="G3272" s="1"/>
  <c r="H4936" i="19"/>
  <c r="I4936" s="1"/>
  <c r="F2437" i="21"/>
  <c r="G2437" s="1"/>
  <c r="F1851"/>
  <c r="G1851" s="1"/>
  <c r="H5063" i="19"/>
  <c r="I5063" s="1"/>
  <c r="G2314" i="11"/>
  <c r="H2314" s="1"/>
  <c r="F3110" i="21"/>
  <c r="G3110" s="1"/>
  <c r="F2641"/>
  <c r="G2641" s="1"/>
  <c r="G2070" i="11"/>
  <c r="H2070" s="1"/>
  <c r="D67" i="18"/>
  <c r="G67" s="1"/>
  <c r="F958" i="10"/>
  <c r="G958" s="1"/>
  <c r="F2712"/>
  <c r="G2712" s="1"/>
  <c r="F1134"/>
  <c r="G1134" s="1"/>
  <c r="G18" i="18"/>
  <c r="G506" i="5"/>
  <c r="F7401" i="21"/>
  <c r="G7401" s="1"/>
  <c r="F2395" i="24"/>
  <c r="G2395" s="1"/>
  <c r="F2171" i="10"/>
  <c r="G2171" s="1"/>
  <c r="G496" i="5"/>
  <c r="H4598" i="19"/>
  <c r="I4598" s="1"/>
  <c r="F2956" i="11"/>
  <c r="G2956" s="1"/>
  <c r="F2664" i="25"/>
  <c r="G2664" s="1"/>
  <c r="F3266" i="21"/>
  <c r="G3266" s="1"/>
  <c r="G2098" i="25"/>
  <c r="H2098" s="1"/>
  <c r="F7228" i="21"/>
  <c r="G7228" s="1"/>
  <c r="F450" i="24"/>
  <c r="G450" s="1"/>
  <c r="F6958" i="21"/>
  <c r="G6958" s="1"/>
  <c r="D24" i="18"/>
  <c r="G24" s="1"/>
  <c r="F3574" i="22"/>
  <c r="G3574" s="1"/>
  <c r="F1451"/>
  <c r="G1451" s="1"/>
  <c r="F1633" i="23"/>
  <c r="G1633" s="1"/>
  <c r="G1638" s="1"/>
  <c r="G1660" s="1"/>
  <c r="G1662" s="1"/>
  <c r="G1663" s="1"/>
  <c r="G1664" s="1"/>
  <c r="G1665" s="1"/>
  <c r="E748" i="14" s="1"/>
  <c r="F905" i="23"/>
  <c r="G905" s="1"/>
  <c r="F1559"/>
  <c r="G1559" s="1"/>
  <c r="F1030" i="22"/>
  <c r="G1030" s="1"/>
  <c r="F1316" i="23"/>
  <c r="G1316" s="1"/>
  <c r="G766"/>
  <c r="E767" s="1"/>
  <c r="E768" s="1"/>
  <c r="E769" s="1"/>
  <c r="F716" i="14" s="1"/>
  <c r="F2108" i="23"/>
  <c r="G2108" s="1"/>
  <c r="H2095" i="19"/>
  <c r="I2095" s="1"/>
  <c r="F2678" i="22"/>
  <c r="G2678" s="1"/>
  <c r="F1494" i="10"/>
  <c r="G1494" s="1"/>
  <c r="F543" i="24"/>
  <c r="G543" s="1"/>
  <c r="F213" i="10"/>
  <c r="G213" s="1"/>
  <c r="F1661" i="24"/>
  <c r="G1661" s="1"/>
  <c r="F2520" i="10"/>
  <c r="G2520" s="1"/>
  <c r="F1205" i="21"/>
  <c r="G1205" s="1"/>
  <c r="F1633"/>
  <c r="G1633" s="1"/>
  <c r="H200" i="19"/>
  <c r="I200" s="1"/>
  <c r="H292"/>
  <c r="I292" s="1"/>
  <c r="F848" i="21"/>
  <c r="G848" s="1"/>
  <c r="H4928" i="19"/>
  <c r="I4928" s="1"/>
  <c r="H5272"/>
  <c r="I5272" s="1"/>
  <c r="F415" i="21"/>
  <c r="G415" s="1"/>
  <c r="H4664" i="19"/>
  <c r="I4664" s="1"/>
  <c r="F156" i="22"/>
  <c r="G156" s="1"/>
  <c r="G158" s="1"/>
  <c r="G174" s="1"/>
  <c r="F1203" i="21"/>
  <c r="G1203" s="1"/>
  <c r="D60" i="18"/>
  <c r="G60" s="1"/>
  <c r="F987" i="21"/>
  <c r="G987" s="1"/>
  <c r="H754" i="19"/>
  <c r="I754" s="1"/>
  <c r="H5584"/>
  <c r="I5584" s="1"/>
  <c r="H571"/>
  <c r="I571" s="1"/>
  <c r="F245" i="21"/>
  <c r="G245" s="1"/>
  <c r="F2909" i="11"/>
  <c r="G2909" s="1"/>
  <c r="F205" i="23"/>
  <c r="G205" s="1"/>
  <c r="G207" s="1"/>
  <c r="G223" s="1"/>
  <c r="F107" i="24"/>
  <c r="G107" s="1"/>
  <c r="F554" i="22"/>
  <c r="G554" s="1"/>
  <c r="F636" i="24"/>
  <c r="G636" s="1"/>
  <c r="I1539" i="19"/>
  <c r="H1554" s="1"/>
  <c r="H1556" s="1"/>
  <c r="H1557" s="1"/>
  <c r="G4638" i="21"/>
  <c r="F1261" i="24"/>
  <c r="G1261" s="1"/>
  <c r="G559" i="5"/>
  <c r="F2618" i="25"/>
  <c r="G2618" s="1"/>
  <c r="H5509" i="19"/>
  <c r="I5509" s="1"/>
  <c r="F3343" i="21"/>
  <c r="G3343" s="1"/>
  <c r="G3348" s="1"/>
  <c r="G3364" s="1"/>
  <c r="F2348"/>
  <c r="G2348" s="1"/>
  <c r="G2183" i="11"/>
  <c r="H2183" s="1"/>
  <c r="F4243" i="21"/>
  <c r="G4243" s="1"/>
  <c r="G866" i="15"/>
  <c r="H866" s="1"/>
  <c r="F2546" i="21"/>
  <c r="G2546" s="1"/>
  <c r="F454" i="24"/>
  <c r="G454" s="1"/>
  <c r="F219" i="10"/>
  <c r="G219" s="1"/>
  <c r="F7677" i="21"/>
  <c r="G7677" s="1"/>
  <c r="D23" i="18"/>
  <c r="G23" s="1"/>
  <c r="G56"/>
  <c r="F1665" i="24"/>
  <c r="G1665" s="1"/>
  <c r="H4805" i="19"/>
  <c r="I4805" s="1"/>
  <c r="G1041" i="25"/>
  <c r="G7481" i="21"/>
  <c r="G7499" s="1"/>
  <c r="G7501" s="1"/>
  <c r="G7502" s="1"/>
  <c r="G7503" s="1"/>
  <c r="G7504" s="1"/>
  <c r="E615" i="14" s="1"/>
  <c r="H5270" i="19"/>
  <c r="I5270" s="1"/>
  <c r="G499" i="5"/>
  <c r="H2244" i="25"/>
  <c r="E2245" s="1"/>
  <c r="E2246" s="1"/>
  <c r="E2247" s="1"/>
  <c r="F1110" i="14" s="1"/>
  <c r="G4269" i="21"/>
  <c r="G2682" i="25"/>
  <c r="E2683" s="1"/>
  <c r="E2684" s="1"/>
  <c r="E2685" s="1"/>
  <c r="F1148" i="14" s="1"/>
  <c r="F2733" i="23"/>
  <c r="F2734" s="1"/>
  <c r="F2735" s="1"/>
  <c r="F2736" s="1"/>
  <c r="F2738" s="1"/>
  <c r="F2739" s="1"/>
  <c r="E792" i="14" s="1"/>
  <c r="G33" i="18"/>
  <c r="G2302" i="23"/>
  <c r="G2208" i="22"/>
  <c r="E2209" s="1"/>
  <c r="E2210" s="1"/>
  <c r="E2211" s="1"/>
  <c r="G1801" i="23"/>
  <c r="G1809" s="1"/>
  <c r="G931"/>
  <c r="G939" s="1"/>
  <c r="G25" i="18"/>
  <c r="G2235" i="20"/>
  <c r="G2243" s="1"/>
  <c r="D2753" i="22"/>
  <c r="F2753" s="1"/>
  <c r="F2757" s="1"/>
  <c r="E2765" s="1"/>
  <c r="E2766" s="1"/>
  <c r="E2767" s="1"/>
  <c r="F913" i="24"/>
  <c r="G913" s="1"/>
  <c r="G1530" i="20"/>
  <c r="G79" i="18"/>
  <c r="G524" i="5"/>
  <c r="G41" i="18"/>
  <c r="D41"/>
  <c r="F1401" i="20"/>
  <c r="G1401" s="1"/>
  <c r="F1635" i="21"/>
  <c r="G1635" s="1"/>
  <c r="H5412" i="19"/>
  <c r="I5412" s="1"/>
  <c r="I5418" s="1"/>
  <c r="I5440" s="1"/>
  <c r="F2839" i="21"/>
  <c r="G2839" s="1"/>
  <c r="G1981" i="25"/>
  <c r="H1981" s="1"/>
  <c r="F113" i="21"/>
  <c r="G113" s="1"/>
  <c r="H5629" i="19"/>
  <c r="I5629" s="1"/>
  <c r="F225" i="24"/>
  <c r="G225" s="1"/>
  <c r="F2169" i="10"/>
  <c r="G2169" s="1"/>
  <c r="G1940" i="11"/>
  <c r="H1940" s="1"/>
  <c r="F2045" i="21"/>
  <c r="G2045" s="1"/>
  <c r="G2100" i="25"/>
  <c r="H2100" s="1"/>
  <c r="F638" i="24"/>
  <c r="G638" s="1"/>
  <c r="F2662" i="25"/>
  <c r="G2662" s="1"/>
  <c r="H927" i="19"/>
  <c r="I927" s="1"/>
  <c r="F1755" i="21"/>
  <c r="G1755" s="1"/>
  <c r="G1951" i="22"/>
  <c r="G1959" s="1"/>
  <c r="F2548" i="21"/>
  <c r="G2548" s="1"/>
  <c r="G510" i="5"/>
  <c r="H5055" i="19"/>
  <c r="I5055" s="1"/>
  <c r="G890" i="15"/>
  <c r="H890" s="1"/>
  <c r="F1130" i="10"/>
  <c r="G1130" s="1"/>
  <c r="F1492"/>
  <c r="G1492" s="1"/>
  <c r="H4926" i="19"/>
  <c r="I4926" s="1"/>
  <c r="G542" i="5"/>
  <c r="F1028" i="20"/>
  <c r="G1028" s="1"/>
  <c r="F3032" i="21"/>
  <c r="G3032" s="1"/>
  <c r="F2947"/>
  <c r="G2947" s="1"/>
  <c r="H4602" i="19"/>
  <c r="I4602" s="1"/>
  <c r="F2358" i="21"/>
  <c r="G2358" s="1"/>
  <c r="G1989" i="25"/>
  <c r="H1989" s="1"/>
  <c r="F3194" i="21"/>
  <c r="G3194" s="1"/>
  <c r="G553" i="5"/>
  <c r="H4809" i="19"/>
  <c r="I4809" s="1"/>
  <c r="F1498" i="10"/>
  <c r="G1498" s="1"/>
  <c r="F1633"/>
  <c r="G1633" s="1"/>
  <c r="F1811"/>
  <c r="G1811" s="1"/>
  <c r="F1291"/>
  <c r="G1291" s="1"/>
  <c r="F7133" i="21"/>
  <c r="G7133" s="1"/>
  <c r="D76" i="18"/>
  <c r="G76" s="1"/>
  <c r="H4932" i="19"/>
  <c r="I4932" s="1"/>
  <c r="H5278"/>
  <c r="I5278" s="1"/>
  <c r="H1200"/>
  <c r="I1200" s="1"/>
  <c r="I1203" s="1"/>
  <c r="I1218" s="1"/>
  <c r="I1220" s="1"/>
  <c r="I1221" s="1"/>
  <c r="I1222" s="1"/>
  <c r="I1223" s="1"/>
  <c r="E50" i="14" s="1"/>
  <c r="F3026" i="21"/>
  <c r="G3026" s="1"/>
  <c r="F541" i="24"/>
  <c r="G541" s="1"/>
  <c r="F603" i="23"/>
  <c r="G603" s="1"/>
  <c r="G606" s="1"/>
  <c r="G622" s="1"/>
  <c r="G624" s="1"/>
  <c r="G625" s="1"/>
  <c r="G626" s="1"/>
  <c r="G627" s="1"/>
  <c r="E712" i="14" s="1"/>
  <c r="F2278" i="23"/>
  <c r="G2278" s="1"/>
  <c r="G2284" s="1"/>
  <c r="G2309" s="1"/>
  <c r="F692" i="22"/>
  <c r="G692" s="1"/>
  <c r="F1115"/>
  <c r="G1115" s="1"/>
  <c r="F1199"/>
  <c r="G1199" s="1"/>
  <c r="F1679"/>
  <c r="G1679" s="1"/>
  <c r="F2598" i="23"/>
  <c r="G2598" s="1"/>
  <c r="F739"/>
  <c r="G739" s="1"/>
  <c r="F1398"/>
  <c r="G1398" s="1"/>
  <c r="F2182" i="22"/>
  <c r="G2182" s="1"/>
  <c r="F862"/>
  <c r="G862" s="1"/>
  <c r="F2393" i="24"/>
  <c r="G2393" s="1"/>
  <c r="F1119"/>
  <c r="G1119" s="1"/>
  <c r="F1809" i="10"/>
  <c r="G1809" s="1"/>
  <c r="D73" i="18"/>
  <c r="F448" i="24"/>
  <c r="G448" s="1"/>
  <c r="F1359"/>
  <c r="G1359" s="1"/>
  <c r="F1960" i="21"/>
  <c r="G1960" s="1"/>
  <c r="G543" i="5"/>
  <c r="E297" i="23"/>
  <c r="E298" s="1"/>
  <c r="E299" s="1"/>
  <c r="F696" i="14" s="1"/>
  <c r="G304" i="23"/>
  <c r="D70" i="15"/>
  <c r="G30" i="19" s="1"/>
  <c r="D85" i="26"/>
  <c r="D66" i="13"/>
  <c r="E1097" i="23"/>
  <c r="E1098" s="1"/>
  <c r="E1099" s="1"/>
  <c r="F728" i="14" s="1"/>
  <c r="G1104" i="23"/>
  <c r="G2932"/>
  <c r="E2925"/>
  <c r="E2926" s="1"/>
  <c r="E2927" s="1"/>
  <c r="F806" i="14" s="1"/>
  <c r="F4770" i="21"/>
  <c r="G4770" s="1"/>
  <c r="F2050" i="20"/>
  <c r="G2050" s="1"/>
  <c r="F4899" i="21"/>
  <c r="G4899" s="1"/>
  <c r="F5325"/>
  <c r="G5325" s="1"/>
  <c r="F2204" i="20"/>
  <c r="G2204" s="1"/>
  <c r="G492" i="5"/>
  <c r="G7432" i="21"/>
  <c r="E7425"/>
  <c r="E7426" s="1"/>
  <c r="E7427" s="1"/>
  <c r="F613" i="14" s="1"/>
  <c r="E2860" i="23"/>
  <c r="E2861" s="1"/>
  <c r="E2862" s="1"/>
  <c r="F803" i="14" s="1"/>
  <c r="G2867" i="23"/>
  <c r="G786" i="24"/>
  <c r="E779"/>
  <c r="E780" s="1"/>
  <c r="E781" s="1"/>
  <c r="F914" i="14" s="1"/>
  <c r="F2364" i="10"/>
  <c r="G2364" s="1"/>
  <c r="H2218" i="19"/>
  <c r="I2218" s="1"/>
  <c r="H1708"/>
  <c r="I1708" s="1"/>
  <c r="F233" i="24"/>
  <c r="G233" s="1"/>
  <c r="F792" i="10"/>
  <c r="G792" s="1"/>
  <c r="F2009"/>
  <c r="G2009" s="1"/>
  <c r="F640"/>
  <c r="G640" s="1"/>
  <c r="F2516" i="22"/>
  <c r="G2516" s="1"/>
  <c r="F3797" i="21"/>
  <c r="G3797" s="1"/>
  <c r="G3798" s="1"/>
  <c r="G3810" s="1"/>
  <c r="G3812" s="1"/>
  <c r="G3813" s="1"/>
  <c r="G3814" s="1"/>
  <c r="G3815" s="1"/>
  <c r="E459" i="14" s="1"/>
  <c r="F1608" i="22"/>
  <c r="G1608" s="1"/>
  <c r="F1702" i="23"/>
  <c r="G1702" s="1"/>
  <c r="F4773" i="21"/>
  <c r="G4773" s="1"/>
  <c r="I5215" i="19"/>
  <c r="I5223" s="1"/>
  <c r="G2071" i="21"/>
  <c r="G2079" s="1"/>
  <c r="G52" i="18"/>
  <c r="F1927" i="22"/>
  <c r="G1927" s="1"/>
  <c r="F2313" i="24"/>
  <c r="G2313" s="1"/>
  <c r="G2319" s="1"/>
  <c r="G2339" s="1"/>
  <c r="G2342" s="1"/>
  <c r="F1371"/>
  <c r="G1371" s="1"/>
  <c r="F751"/>
  <c r="G751" s="1"/>
  <c r="F917"/>
  <c r="G917" s="1"/>
  <c r="F5525" i="21"/>
  <c r="G5525" s="1"/>
  <c r="F1577" i="24"/>
  <c r="G1577" s="1"/>
  <c r="F1295" i="10"/>
  <c r="G1295" s="1"/>
  <c r="F987" i="23"/>
  <c r="G987" s="1"/>
  <c r="F1502" i="10"/>
  <c r="G1502" s="1"/>
  <c r="G392" i="23"/>
  <c r="G1667" i="20"/>
  <c r="F5726" i="21"/>
  <c r="G5726" s="1"/>
  <c r="G2832" i="24"/>
  <c r="G1460" i="19"/>
  <c r="G1461" s="1"/>
  <c r="G1462" s="1"/>
  <c r="F63" i="14" s="1"/>
  <c r="E2931" i="22"/>
  <c r="E2932" s="1"/>
  <c r="E2933" s="1"/>
  <c r="G2458"/>
  <c r="E2459" s="1"/>
  <c r="E2460" s="1"/>
  <c r="E2461" s="1"/>
  <c r="G1261" i="23"/>
  <c r="G1010" i="21"/>
  <c r="G5152"/>
  <c r="G5160" s="1"/>
  <c r="G5545"/>
  <c r="E5546" s="1"/>
  <c r="E5547" s="1"/>
  <c r="E5548" s="1"/>
  <c r="F524" i="14" s="1"/>
  <c r="G1394" i="22"/>
  <c r="G1596" i="24"/>
  <c r="G1597" s="1"/>
  <c r="G1598" s="1"/>
  <c r="G1607" s="1"/>
  <c r="G232" i="20"/>
  <c r="E233" s="1"/>
  <c r="E234" s="1"/>
  <c r="E235" s="1"/>
  <c r="F260" i="14" s="1"/>
  <c r="G249" i="10"/>
  <c r="G148" i="24"/>
  <c r="G149" s="1"/>
  <c r="G150" s="1"/>
  <c r="F2489" i="22"/>
  <c r="F2506" s="1"/>
  <c r="G2506" s="1"/>
  <c r="G2507" s="1"/>
  <c r="G2511" s="1"/>
  <c r="G2546" s="1"/>
  <c r="G3125" i="10"/>
  <c r="G3127" s="1"/>
  <c r="G3128" s="1"/>
  <c r="G3129" s="1"/>
  <c r="G3130" s="1"/>
  <c r="G3131" s="1"/>
  <c r="G3132" s="1"/>
  <c r="G760" i="20"/>
  <c r="E761" s="1"/>
  <c r="E762" s="1"/>
  <c r="E763" s="1"/>
  <c r="F269" i="14" s="1"/>
  <c r="F2497" i="20"/>
  <c r="G2497" s="1"/>
  <c r="F1633"/>
  <c r="G1633" s="1"/>
  <c r="F1824"/>
  <c r="G1824" s="1"/>
  <c r="G1826" s="1"/>
  <c r="G1841" s="1"/>
  <c r="F1190"/>
  <c r="G1190" s="1"/>
  <c r="F2350" i="21"/>
  <c r="G2350" s="1"/>
  <c r="F169"/>
  <c r="G169" s="1"/>
  <c r="F946" i="22"/>
  <c r="G946" s="1"/>
  <c r="F919" i="24"/>
  <c r="G919" s="1"/>
  <c r="F1637" i="10"/>
  <c r="G1637" s="1"/>
  <c r="F223"/>
  <c r="G223" s="1"/>
  <c r="F549" i="24"/>
  <c r="G549" s="1"/>
  <c r="G805" i="22"/>
  <c r="G813" s="1"/>
  <c r="F2755" i="21"/>
  <c r="G2755" s="1"/>
  <c r="F823" i="23"/>
  <c r="G823" s="1"/>
  <c r="F2522" i="10"/>
  <c r="G2522" s="1"/>
  <c r="G2527" s="1"/>
  <c r="G2547" s="1"/>
  <c r="G2549" s="1"/>
  <c r="F2372"/>
  <c r="G2372" s="1"/>
  <c r="F111" i="24"/>
  <c r="G111" s="1"/>
  <c r="G536" i="5"/>
  <c r="G5634" i="21"/>
  <c r="E5635" s="1"/>
  <c r="E5636" s="1"/>
  <c r="E5637" s="1"/>
  <c r="F527" i="14" s="1"/>
  <c r="D59" i="18"/>
  <c r="G59" s="1"/>
  <c r="F2841" i="21"/>
  <c r="G2841" s="1"/>
  <c r="F1944" i="23"/>
  <c r="G1944" s="1"/>
  <c r="F868" i="22"/>
  <c r="G868" s="1"/>
  <c r="F753" i="24"/>
  <c r="G753" s="1"/>
  <c r="F225" i="10"/>
  <c r="G225" s="1"/>
  <c r="F1263" i="24"/>
  <c r="G1263" s="1"/>
  <c r="F434" i="10"/>
  <c r="G434" s="1"/>
  <c r="G4932" i="21"/>
  <c r="G4940" s="1"/>
  <c r="F2433"/>
  <c r="G2433" s="1"/>
  <c r="F5211"/>
  <c r="G5211" s="1"/>
  <c r="F458" i="24"/>
  <c r="G458" s="1"/>
  <c r="G461" s="1"/>
  <c r="G487" s="1"/>
  <c r="F1125"/>
  <c r="G1125" s="1"/>
  <c r="F721" i="20"/>
  <c r="G721" s="1"/>
  <c r="F193"/>
  <c r="G193" s="1"/>
  <c r="F4768" i="21"/>
  <c r="F2375" i="20"/>
  <c r="G2375" s="1"/>
  <c r="F4634" i="21"/>
  <c r="F217" i="10"/>
  <c r="G217" s="1"/>
  <c r="F640" i="24"/>
  <c r="G640" s="1"/>
  <c r="F745"/>
  <c r="G745" s="1"/>
  <c r="F545"/>
  <c r="G545" s="1"/>
  <c r="F427" i="15"/>
  <c r="G427" s="1"/>
  <c r="D62" i="18"/>
  <c r="G62" s="1"/>
  <c r="F4335" i="21"/>
  <c r="G4335" s="1"/>
  <c r="H4930" i="19"/>
  <c r="I4930" s="1"/>
  <c r="H5586"/>
  <c r="I5586" s="1"/>
  <c r="F2945" i="21"/>
  <c r="G2945" s="1"/>
  <c r="G2950" s="1"/>
  <c r="G2968" s="1"/>
  <c r="H5511" i="19"/>
  <c r="I5511" s="1"/>
  <c r="F447" i="15"/>
  <c r="G447" s="1"/>
  <c r="G450" s="1"/>
  <c r="G451" s="1"/>
  <c r="G452" s="1"/>
  <c r="G453" s="1"/>
  <c r="G2308" i="11"/>
  <c r="H2308" s="1"/>
  <c r="F2049" i="21"/>
  <c r="G2049" s="1"/>
  <c r="F407" i="15"/>
  <c r="G407" s="1"/>
  <c r="G410" s="1"/>
  <c r="G411" s="1"/>
  <c r="G412" s="1"/>
  <c r="G413" s="1"/>
  <c r="F82" i="26" s="1"/>
  <c r="H5408" i="19"/>
  <c r="I5408" s="1"/>
  <c r="G551" i="5"/>
  <c r="G1613" i="22"/>
  <c r="G1635" s="1"/>
  <c r="G3597"/>
  <c r="E3598" s="1"/>
  <c r="E3599" s="1"/>
  <c r="E3600" s="1"/>
  <c r="F5519" i="21"/>
  <c r="G5519" s="1"/>
  <c r="G6892"/>
  <c r="G6893" s="1"/>
  <c r="F239" i="24"/>
  <c r="G239" s="1"/>
  <c r="F800" i="10"/>
  <c r="G800" s="1"/>
  <c r="F1265" i="24"/>
  <c r="G1265" s="1"/>
  <c r="F648" i="10"/>
  <c r="G648" s="1"/>
  <c r="G3421" i="21"/>
  <c r="G3422" s="1"/>
  <c r="G3423" s="1"/>
  <c r="G3424" s="1"/>
  <c r="E433" i="14" s="1"/>
  <c r="G7565" i="21"/>
  <c r="G7566" s="1"/>
  <c r="G7567" s="1"/>
  <c r="G7568" s="1"/>
  <c r="E618" i="14" s="1"/>
  <c r="G11" i="18"/>
  <c r="G1702" i="24"/>
  <c r="F2520" i="22"/>
  <c r="G2520" s="1"/>
  <c r="F2220" i="24"/>
  <c r="G2220" s="1"/>
  <c r="F1870"/>
  <c r="G1870" s="1"/>
  <c r="F2015" i="10"/>
  <c r="G2015" s="1"/>
  <c r="F1205" i="22"/>
  <c r="G1205" s="1"/>
  <c r="F964" i="10"/>
  <c r="G964" s="1"/>
  <c r="D68" i="18"/>
  <c r="G68" s="1"/>
  <c r="F318" i="22"/>
  <c r="G318" s="1"/>
  <c r="G322" s="1"/>
  <c r="G342" s="1"/>
  <c r="F1464" i="21"/>
  <c r="G1464" s="1"/>
  <c r="G53" i="18"/>
  <c r="F5126" i="21"/>
  <c r="G5126" s="1"/>
  <c r="F2179" i="10"/>
  <c r="G2179" s="1"/>
  <c r="F2177"/>
  <c r="G2177" s="1"/>
  <c r="F646"/>
  <c r="G646" s="1"/>
  <c r="F1815"/>
  <c r="G1815" s="1"/>
  <c r="F962"/>
  <c r="G962" s="1"/>
  <c r="G4451" i="21"/>
  <c r="G2961"/>
  <c r="H2005" i="25"/>
  <c r="G2013" s="1"/>
  <c r="G1781" i="21"/>
  <c r="G1789" s="1"/>
  <c r="G1837" i="10"/>
  <c r="G4804" i="21"/>
  <c r="F2570" i="20"/>
  <c r="G2570" s="1"/>
  <c r="F549"/>
  <c r="G549" s="1"/>
  <c r="F2265" i="21"/>
  <c r="G2265" s="1"/>
  <c r="F1536" i="22"/>
  <c r="G1536" s="1"/>
  <c r="G1538" s="1"/>
  <c r="G1562" s="1"/>
  <c r="F1575" i="24"/>
  <c r="G1575" s="1"/>
  <c r="F1671"/>
  <c r="G1671" s="1"/>
  <c r="F1817" i="10"/>
  <c r="G1817" s="1"/>
  <c r="F1500"/>
  <c r="G1500" s="1"/>
  <c r="G2220" i="25"/>
  <c r="H2220" s="1"/>
  <c r="F2099" i="22"/>
  <c r="G2099" s="1"/>
  <c r="G2101" s="1"/>
  <c r="G2126" s="1"/>
  <c r="F551" i="24"/>
  <c r="G551" s="1"/>
  <c r="F648"/>
  <c r="G648" s="1"/>
  <c r="F422" i="10"/>
  <c r="G422" s="1"/>
  <c r="G501" i="5"/>
  <c r="F2943" i="21"/>
  <c r="G2943" s="1"/>
  <c r="G2306" i="11"/>
  <c r="H2306" s="1"/>
  <c r="F2360" i="23"/>
  <c r="G2360" s="1"/>
  <c r="D48" i="18"/>
  <c r="G48" s="1"/>
  <c r="F456" i="24"/>
  <c r="G456" s="1"/>
  <c r="F650"/>
  <c r="G650" s="1"/>
  <c r="F1297" i="10"/>
  <c r="G1297" s="1"/>
  <c r="F798"/>
  <c r="G798" s="1"/>
  <c r="G803" s="1"/>
  <c r="G825" s="1"/>
  <c r="F2480" i="24"/>
  <c r="G2480" s="1"/>
  <c r="G509" i="5"/>
  <c r="F2222" i="24"/>
  <c r="G2222" s="1"/>
  <c r="F2716" i="10"/>
  <c r="G2716" s="1"/>
  <c r="F2489" i="20"/>
  <c r="G2489" s="1"/>
  <c r="F5722" i="21"/>
  <c r="G5722" s="1"/>
  <c r="F642" i="10"/>
  <c r="G642" s="1"/>
  <c r="F1496"/>
  <c r="G1496" s="1"/>
  <c r="F1121" i="24"/>
  <c r="G1121" s="1"/>
  <c r="F989" i="21"/>
  <c r="G989" s="1"/>
  <c r="H204" i="19"/>
  <c r="I204" s="1"/>
  <c r="F263" i="15"/>
  <c r="G263" s="1"/>
  <c r="F2352" i="21"/>
  <c r="G2352" s="1"/>
  <c r="G911" i="15"/>
  <c r="H911" s="1"/>
  <c r="H912" s="1"/>
  <c r="H913" s="1"/>
  <c r="H914" s="1"/>
  <c r="D92" i="13" s="1"/>
  <c r="F852" i="21"/>
  <c r="G852" s="1"/>
  <c r="H4803" i="19"/>
  <c r="I4803" s="1"/>
  <c r="F2155" i="21"/>
  <c r="G2155" s="1"/>
  <c r="H5631" i="19"/>
  <c r="I5631" s="1"/>
  <c r="F2843" i="21"/>
  <c r="G2843" s="1"/>
  <c r="H1706" i="19"/>
  <c r="I1706" s="1"/>
  <c r="F6165" i="21"/>
  <c r="G6165" s="1"/>
  <c r="G6169" s="1"/>
  <c r="G6183" s="1"/>
  <c r="D74" i="18"/>
  <c r="G74" s="1"/>
  <c r="G521" i="5"/>
  <c r="F2353" i="22"/>
  <c r="G2353" s="1"/>
  <c r="G34" i="18"/>
  <c r="G2701" i="23"/>
  <c r="G2709" s="1"/>
  <c r="G64" i="18"/>
  <c r="G2621" i="23"/>
  <c r="G2629" s="1"/>
  <c r="F2025" i="24"/>
  <c r="G2025" s="1"/>
  <c r="F2397"/>
  <c r="G2397" s="1"/>
  <c r="G2402" s="1"/>
  <c r="G2422" s="1"/>
  <c r="F1138" i="10"/>
  <c r="G1138" s="1"/>
  <c r="F2370"/>
  <c r="G2370" s="1"/>
  <c r="E1952" i="22"/>
  <c r="E1953" s="1"/>
  <c r="E1954" s="1"/>
  <c r="E1315" i="10"/>
  <c r="E1316" s="1"/>
  <c r="E1317" s="1"/>
  <c r="G1322"/>
  <c r="E260" i="21"/>
  <c r="E261" s="1"/>
  <c r="E262" s="1"/>
  <c r="F347" i="14" s="1"/>
  <c r="G267" i="21"/>
  <c r="E1702" i="22"/>
  <c r="E1703" s="1"/>
  <c r="E1704" s="1"/>
  <c r="G1709"/>
  <c r="G2518" i="20"/>
  <c r="E2511"/>
  <c r="E2512" s="1"/>
  <c r="E2513" s="1"/>
  <c r="F327" i="14" s="1"/>
  <c r="F557" i="20"/>
  <c r="G557" s="1"/>
  <c r="G512" i="5"/>
  <c r="F923" i="20"/>
  <c r="G923" s="1"/>
  <c r="F727"/>
  <c r="G727" s="1"/>
  <c r="D29" i="18"/>
  <c r="G29" s="1"/>
  <c r="F199" i="20"/>
  <c r="G199" s="1"/>
  <c r="F1034"/>
  <c r="G1034" s="1"/>
  <c r="F1373" i="24"/>
  <c r="G1373" s="1"/>
  <c r="G503" i="5"/>
  <c r="F755" i="24"/>
  <c r="G755" s="1"/>
  <c r="F552" i="22"/>
  <c r="G552" s="1"/>
  <c r="F231" i="24"/>
  <c r="G231" s="1"/>
  <c r="F367" i="22"/>
  <c r="G367" s="1"/>
  <c r="G369" s="1"/>
  <c r="G2582" i="11"/>
  <c r="H2582" s="1"/>
  <c r="H2586" s="1"/>
  <c r="G2601" s="1"/>
  <c r="F2808" i="10"/>
  <c r="G2808" s="1"/>
  <c r="G2812" s="1"/>
  <c r="G2826" s="1"/>
  <c r="G494" i="5"/>
  <c r="F2756" i="24"/>
  <c r="G2756" s="1"/>
  <c r="F1757" i="21"/>
  <c r="G1757" s="1"/>
  <c r="F2153"/>
  <c r="G2153" s="1"/>
  <c r="G2160" s="1"/>
  <c r="G2178" s="1"/>
  <c r="F2633"/>
  <c r="G2633" s="1"/>
  <c r="G2342" i="25"/>
  <c r="H2342" s="1"/>
  <c r="F303" i="21"/>
  <c r="G303" s="1"/>
  <c r="G305" s="1"/>
  <c r="G321" s="1"/>
  <c r="F4644"/>
  <c r="G4644" s="1"/>
  <c r="G1942" i="11"/>
  <c r="H1942" s="1"/>
  <c r="F1962" i="21"/>
  <c r="G1962" s="1"/>
  <c r="F4778"/>
  <c r="G4778" s="1"/>
  <c r="F725" i="20"/>
  <c r="G725" s="1"/>
  <c r="F2495"/>
  <c r="G2495" s="1"/>
  <c r="F1399"/>
  <c r="G1399" s="1"/>
  <c r="H2207" i="11"/>
  <c r="E2208" s="1"/>
  <c r="E2209" s="1"/>
  <c r="E2210" s="1"/>
  <c r="E1600" i="24"/>
  <c r="E1601" s="1"/>
  <c r="E1602" s="1"/>
  <c r="F929" i="14" s="1"/>
  <c r="G531" i="5"/>
  <c r="F2682" i="22"/>
  <c r="G2682" s="1"/>
  <c r="F2015"/>
  <c r="G2015" s="1"/>
  <c r="G2017" s="1"/>
  <c r="G2042" s="1"/>
  <c r="G117" i="21"/>
  <c r="G133" s="1"/>
  <c r="G973" i="22"/>
  <c r="G981" s="1"/>
  <c r="F1075" i="23"/>
  <c r="G1075" s="1"/>
  <c r="F1322"/>
  <c r="G1322" s="1"/>
  <c r="F745"/>
  <c r="G745" s="1"/>
  <c r="G6323" i="21"/>
  <c r="G6340" s="1"/>
  <c r="G6342" s="1"/>
  <c r="G6343" s="1"/>
  <c r="G6344" s="1"/>
  <c r="G6345" s="1"/>
  <c r="E562" i="14" s="1"/>
  <c r="F2602" i="23"/>
  <c r="G2602" s="1"/>
  <c r="G2604" s="1"/>
  <c r="G2628" s="1"/>
  <c r="F427" i="22"/>
  <c r="G427" s="1"/>
  <c r="G431" s="1"/>
  <c r="G449" s="1"/>
  <c r="G820" i="11"/>
  <c r="H820" s="1"/>
  <c r="H821" s="1"/>
  <c r="H822" s="1"/>
  <c r="G838" s="1"/>
  <c r="G840" s="1"/>
  <c r="G841" s="1"/>
  <c r="G842" s="1"/>
  <c r="G843" s="1"/>
  <c r="F2377" i="20"/>
  <c r="G2377" s="1"/>
  <c r="F5723" i="21"/>
  <c r="G5723" s="1"/>
  <c r="H2124" i="25"/>
  <c r="G2865" i="21"/>
  <c r="G2873" s="1"/>
  <c r="G2779"/>
  <c r="G2787" s="1"/>
  <c r="G1867"/>
  <c r="G1875" s="1"/>
  <c r="H2330" i="11"/>
  <c r="G2338" s="1"/>
  <c r="G2923"/>
  <c r="E2924" s="1"/>
  <c r="E2925" s="1"/>
  <c r="E2926" s="1"/>
  <c r="E1015" i="23"/>
  <c r="E1016" s="1"/>
  <c r="E1017" s="1"/>
  <c r="F725" i="14" s="1"/>
  <c r="G774" i="23"/>
  <c r="G2602" i="11"/>
  <c r="E1802" i="23"/>
  <c r="E1803" s="1"/>
  <c r="E1804" s="1"/>
  <c r="F755" i="14" s="1"/>
  <c r="G2250" i="24"/>
  <c r="G7077" i="21"/>
  <c r="G2463" i="23"/>
  <c r="G2036" i="10"/>
  <c r="E2037" s="1"/>
  <c r="E2038" s="1"/>
  <c r="E2039" s="1"/>
  <c r="G1212" i="19"/>
  <c r="G1213" s="1"/>
  <c r="G1214" s="1"/>
  <c r="F51" i="14" s="1"/>
  <c r="G6288" i="21"/>
  <c r="G6289" s="1"/>
  <c r="G6290" s="1"/>
  <c r="G6291" s="1"/>
  <c r="E559" i="14" s="1"/>
  <c r="H1967" i="19"/>
  <c r="I1967" s="1"/>
  <c r="H2214"/>
  <c r="I2214" s="1"/>
  <c r="F1455" i="22"/>
  <c r="G1455" s="1"/>
  <c r="G1457" s="1"/>
  <c r="G1481" s="1"/>
  <c r="F1158" i="23"/>
  <c r="G1158" s="1"/>
  <c r="F2030"/>
  <c r="G2030" s="1"/>
  <c r="G2032" s="1"/>
  <c r="G2057" s="1"/>
  <c r="F1240"/>
  <c r="G1240" s="1"/>
  <c r="G6381" i="21"/>
  <c r="G6399" s="1"/>
  <c r="G6401" s="1"/>
  <c r="G6402" s="1"/>
  <c r="G6403" s="1"/>
  <c r="G6404" s="1"/>
  <c r="E565" i="14" s="1"/>
  <c r="F2282" i="23"/>
  <c r="G2282" s="1"/>
  <c r="F2438" i="22"/>
  <c r="G2438" s="1"/>
  <c r="G2440" s="1"/>
  <c r="G2465" s="1"/>
  <c r="G482" i="15"/>
  <c r="G483" s="1"/>
  <c r="G484" s="1"/>
  <c r="G485" s="1"/>
  <c r="G82" i="26" s="1"/>
  <c r="G2540" i="22"/>
  <c r="E2541" s="1"/>
  <c r="E2542" s="1"/>
  <c r="E2543" s="1"/>
  <c r="G2573" i="24"/>
  <c r="G2587" s="1"/>
  <c r="G69" i="18"/>
  <c r="F551" i="20"/>
  <c r="G551" s="1"/>
  <c r="F1504"/>
  <c r="G1504" s="1"/>
  <c r="F917"/>
  <c r="G917" s="1"/>
  <c r="F7314" i="21"/>
  <c r="G7314" s="1"/>
  <c r="F1571" i="24"/>
  <c r="G1571" s="1"/>
  <c r="F1289" i="10"/>
  <c r="G1289" s="1"/>
  <c r="F1663" i="24"/>
  <c r="G1663" s="1"/>
  <c r="F2366" i="10"/>
  <c r="G2366" s="1"/>
  <c r="F911" i="24"/>
  <c r="G911" s="1"/>
  <c r="F2311"/>
  <c r="G2311" s="1"/>
  <c r="F2710" i="10"/>
  <c r="G2710" s="1"/>
  <c r="F1864" i="24"/>
  <c r="G1864" s="1"/>
  <c r="F1964" i="21"/>
  <c r="G1964" s="1"/>
  <c r="H5057" i="19"/>
  <c r="I5057" s="1"/>
  <c r="H1851"/>
  <c r="I1851" s="1"/>
  <c r="F509" i="15"/>
  <c r="G509" s="1"/>
  <c r="G512" s="1"/>
  <c r="G513" s="1"/>
  <c r="G514" s="1"/>
  <c r="G515" s="1"/>
  <c r="G85" i="26" s="1"/>
  <c r="F303" i="15"/>
  <c r="G303" s="1"/>
  <c r="G306" s="1"/>
  <c r="G307" s="1"/>
  <c r="G308" s="1"/>
  <c r="G309" s="1"/>
  <c r="D86" i="26" s="1"/>
  <c r="G2185" i="11"/>
  <c r="H2185" s="1"/>
  <c r="F365" i="15"/>
  <c r="G365" s="1"/>
  <c r="G368" s="1"/>
  <c r="G369" s="1"/>
  <c r="G370" s="1"/>
  <c r="G371" s="1"/>
  <c r="F499"/>
  <c r="G499" s="1"/>
  <c r="G502" s="1"/>
  <c r="G503" s="1"/>
  <c r="G504" s="1"/>
  <c r="G505" s="1"/>
  <c r="G100" i="26" s="1"/>
  <c r="F4247" i="21"/>
  <c r="G4247" s="1"/>
  <c r="F417" i="15"/>
  <c r="G417" s="1"/>
  <c r="G420" s="1"/>
  <c r="G421" s="1"/>
  <c r="G422" s="1"/>
  <c r="G423" s="1"/>
  <c r="F68" s="1"/>
  <c r="H2216" i="19"/>
  <c r="I2216" s="1"/>
  <c r="F243" i="15"/>
  <c r="G243" s="1"/>
  <c r="G246" s="1"/>
  <c r="G247" s="1"/>
  <c r="G248" s="1"/>
  <c r="G249" s="1"/>
  <c r="D61" i="13" s="1"/>
  <c r="F519" i="15"/>
  <c r="G519" s="1"/>
  <c r="G522" s="1"/>
  <c r="G523" s="1"/>
  <c r="G524" s="1"/>
  <c r="G525" s="1"/>
  <c r="G86" i="26" s="1"/>
  <c r="H4596" i="19"/>
  <c r="I4596" s="1"/>
  <c r="H2093"/>
  <c r="I2093" s="1"/>
  <c r="H296"/>
  <c r="I296" s="1"/>
  <c r="H2338"/>
  <c r="I2338" s="1"/>
  <c r="H5193"/>
  <c r="I5193" s="1"/>
  <c r="G1983" i="25"/>
  <c r="H1983" s="1"/>
  <c r="G865" i="15"/>
  <c r="H865" s="1"/>
  <c r="G2102" i="25"/>
  <c r="H2102" s="1"/>
  <c r="F991" i="21"/>
  <c r="G991" s="1"/>
  <c r="F230" i="22"/>
  <c r="G230" s="1"/>
  <c r="G234" s="1"/>
  <c r="G254" s="1"/>
  <c r="H5505" i="19"/>
  <c r="I5505" s="1"/>
  <c r="F854" i="21"/>
  <c r="G854" s="1"/>
  <c r="H5059" i="19"/>
  <c r="I5059" s="1"/>
  <c r="H5792"/>
  <c r="I5792" s="1"/>
  <c r="I5795" s="1"/>
  <c r="I5818" s="1"/>
  <c r="H5195"/>
  <c r="I5195" s="1"/>
  <c r="F384" i="20"/>
  <c r="G384" s="1"/>
  <c r="F1404" i="23"/>
  <c r="G1404" s="1"/>
  <c r="F1782"/>
  <c r="G1782" s="1"/>
  <c r="G1784" s="1"/>
  <c r="G1808" s="1"/>
  <c r="F2601" i="22"/>
  <c r="G2601" s="1"/>
  <c r="G2603" s="1"/>
  <c r="G2627" s="1"/>
  <c r="F698"/>
  <c r="G698" s="1"/>
  <c r="F2273"/>
  <c r="G2273" s="1"/>
  <c r="G2275" s="1"/>
  <c r="G2300" s="1"/>
  <c r="F2681" i="23"/>
  <c r="G2681" s="1"/>
  <c r="G2683" s="1"/>
  <c r="G2708" s="1"/>
  <c r="F1563"/>
  <c r="G1563" s="1"/>
  <c r="F5132" i="21"/>
  <c r="G5132" s="1"/>
  <c r="F5435"/>
  <c r="G5435" s="1"/>
  <c r="F2523" i="23"/>
  <c r="G2523" s="1"/>
  <c r="G2525" s="1"/>
  <c r="G2550" s="1"/>
  <c r="F5614" i="21"/>
  <c r="G5614" s="1"/>
  <c r="F383" i="20"/>
  <c r="G383" s="1"/>
  <c r="F1104"/>
  <c r="G1104" s="1"/>
  <c r="E39" i="18"/>
  <c r="G39" s="1"/>
  <c r="G522" i="5"/>
  <c r="F470" i="15"/>
  <c r="G470" s="1"/>
  <c r="F664"/>
  <c r="G664" s="1"/>
  <c r="F326"/>
  <c r="G326" s="1"/>
  <c r="F398"/>
  <c r="G398" s="1"/>
  <c r="E66" i="18"/>
  <c r="F644" i="15"/>
  <c r="G644" s="1"/>
  <c r="F460"/>
  <c r="G460" s="1"/>
  <c r="F614"/>
  <c r="G614" s="1"/>
  <c r="F316"/>
  <c r="G316" s="1"/>
  <c r="F604"/>
  <c r="G604" s="1"/>
  <c r="F654"/>
  <c r="G654" s="1"/>
  <c r="F634"/>
  <c r="G634" s="1"/>
  <c r="F388"/>
  <c r="G388" s="1"/>
  <c r="F624"/>
  <c r="G624" s="1"/>
  <c r="H1250" i="19"/>
  <c r="I1250" s="1"/>
  <c r="I1255" s="1"/>
  <c r="I1270" s="1"/>
  <c r="H1308"/>
  <c r="I1308" s="1"/>
  <c r="I1313" s="1"/>
  <c r="I1329" s="1"/>
  <c r="D44" i="18"/>
  <c r="G44" s="1"/>
  <c r="F2566" i="20"/>
  <c r="G2566" s="1"/>
  <c r="I3453" i="19"/>
  <c r="I3454" s="1"/>
  <c r="I3455" s="1"/>
  <c r="I3456" s="1"/>
  <c r="E118" i="14" s="1"/>
  <c r="G958" i="20"/>
  <c r="G966" s="1"/>
  <c r="G2657" i="21"/>
  <c r="G874"/>
  <c r="E875" s="1"/>
  <c r="E876" s="1"/>
  <c r="E877" s="1"/>
  <c r="F359" i="14" s="1"/>
  <c r="G1660" i="21"/>
  <c r="G1668" s="1"/>
  <c r="G519" i="5"/>
  <c r="G516"/>
  <c r="G1555" i="22"/>
  <c r="G1563" s="1"/>
  <c r="G667" i="10"/>
  <c r="E668" s="1"/>
  <c r="E669" s="1"/>
  <c r="E670" s="1"/>
  <c r="F1289" i="22"/>
  <c r="G1289" s="1"/>
  <c r="G1866"/>
  <c r="G430" i="15"/>
  <c r="G431" s="1"/>
  <c r="G432" s="1"/>
  <c r="G433" s="1"/>
  <c r="F65" i="13" s="1"/>
  <c r="F911" i="23"/>
  <c r="G911" s="1"/>
  <c r="G4357" i="21"/>
  <c r="G4365" s="1"/>
  <c r="F1207"/>
  <c r="G1207" s="1"/>
  <c r="D13" i="18"/>
  <c r="G13" s="1"/>
  <c r="F476" i="23"/>
  <c r="G476" s="1"/>
  <c r="G480" s="1"/>
  <c r="G498" s="1"/>
  <c r="D9" i="18"/>
  <c r="G9" s="1"/>
  <c r="F4636" i="21"/>
  <c r="G4636" s="1"/>
  <c r="G16" i="18"/>
  <c r="G2590" i="24"/>
  <c r="G2035" i="22"/>
  <c r="G2043" s="1"/>
  <c r="G1057"/>
  <c r="E1058" s="1"/>
  <c r="E1059" s="1"/>
  <c r="E1060" s="1"/>
  <c r="G1582" i="23"/>
  <c r="I130" i="19"/>
  <c r="I319"/>
  <c r="I328" s="1"/>
  <c r="G2119" i="22"/>
  <c r="G2127" s="1"/>
  <c r="G1503" i="23"/>
  <c r="G1511" s="1"/>
  <c r="G49" i="18"/>
  <c r="G818" i="10"/>
  <c r="E819" s="1"/>
  <c r="E820" s="1"/>
  <c r="E821" s="1"/>
  <c r="G266" i="15"/>
  <c r="G267" s="1"/>
  <c r="G268" s="1"/>
  <c r="G269" s="1"/>
  <c r="D82" i="26" s="1"/>
  <c r="I218" i="19"/>
  <c r="I227" s="1"/>
  <c r="G495" i="5"/>
  <c r="I1112" i="19"/>
  <c r="I1120" s="1"/>
  <c r="G5756" i="21"/>
  <c r="G5764" s="1"/>
  <c r="G590" i="20"/>
  <c r="G1744"/>
  <c r="G1786" s="1"/>
  <c r="G888" i="22"/>
  <c r="G171" i="21"/>
  <c r="G186" s="1"/>
  <c r="F1373" i="22"/>
  <c r="G1373" s="1"/>
  <c r="F1121"/>
  <c r="G1121" s="1"/>
  <c r="F5217" i="21"/>
  <c r="G5217" s="1"/>
  <c r="G8186"/>
  <c r="G8203" s="1"/>
  <c r="G8205" s="1"/>
  <c r="G8206" s="1"/>
  <c r="G8207" s="1"/>
  <c r="G8208" s="1"/>
  <c r="E655" i="14" s="1"/>
  <c r="G7615" i="21"/>
  <c r="G7634" s="1"/>
  <c r="G7636" s="1"/>
  <c r="G7637" s="1"/>
  <c r="G7638" s="1"/>
  <c r="G7639" s="1"/>
  <c r="E621" i="14" s="1"/>
  <c r="F1683" i="22"/>
  <c r="G1683" s="1"/>
  <c r="F2443" i="23"/>
  <c r="G2443" s="1"/>
  <c r="G2445" s="1"/>
  <c r="G2470" s="1"/>
  <c r="F1706"/>
  <c r="G1706" s="1"/>
  <c r="G1708" s="1"/>
  <c r="G1731" s="1"/>
  <c r="F2112"/>
  <c r="G2112" s="1"/>
  <c r="F1761" i="22"/>
  <c r="G1761" s="1"/>
  <c r="G1763" s="1"/>
  <c r="G1787" s="1"/>
  <c r="G2377"/>
  <c r="D15" i="18"/>
  <c r="G15" s="1"/>
  <c r="F1393" i="20"/>
  <c r="G1393" s="1"/>
  <c r="G3340" i="10"/>
  <c r="G3342" s="1"/>
  <c r="G3343" s="1"/>
  <c r="G3344" s="1"/>
  <c r="G3345" s="1"/>
  <c r="G3346" s="1"/>
  <c r="G3347" s="1"/>
  <c r="G47" i="18"/>
  <c r="G5878" i="21"/>
  <c r="G5879" s="1"/>
  <c r="G539" i="5"/>
  <c r="F2214" i="24"/>
  <c r="G2214" s="1"/>
  <c r="G2225" s="1"/>
  <c r="G2249" s="1"/>
  <c r="F2011" i="10"/>
  <c r="G2011" s="1"/>
  <c r="F1807"/>
  <c r="G1807" s="1"/>
  <c r="F1132"/>
  <c r="G1132" s="1"/>
  <c r="F113" i="24"/>
  <c r="G113" s="1"/>
  <c r="F2478"/>
  <c r="G2478" s="1"/>
  <c r="G2485" s="1"/>
  <c r="G2505" s="1"/>
  <c r="G2507" s="1"/>
  <c r="F437" i="15"/>
  <c r="G437" s="1"/>
  <c r="G440" s="1"/>
  <c r="G441" s="1"/>
  <c r="G442" s="1"/>
  <c r="G443" s="1"/>
  <c r="F273"/>
  <c r="G273" s="1"/>
  <c r="F2550" i="21"/>
  <c r="G2550" s="1"/>
  <c r="F4983"/>
  <c r="G4983" s="1"/>
  <c r="G4986" s="1"/>
  <c r="G5001" s="1"/>
  <c r="F1845"/>
  <c r="G1845" s="1"/>
  <c r="H432" i="19"/>
  <c r="I432" s="1"/>
  <c r="F247" i="21"/>
  <c r="G247" s="1"/>
  <c r="G249" s="1"/>
  <c r="G266" s="1"/>
  <c r="F1759"/>
  <c r="G1759" s="1"/>
  <c r="H117" i="19"/>
  <c r="I117" s="1"/>
  <c r="G2064" i="11"/>
  <c r="H2064" s="1"/>
  <c r="H575" i="19"/>
  <c r="I575" s="1"/>
  <c r="F283" i="15"/>
  <c r="G283" s="1"/>
  <c r="G286" s="1"/>
  <c r="G287" s="1"/>
  <c r="G288" s="1"/>
  <c r="G289" s="1"/>
  <c r="D84" i="26" s="1"/>
  <c r="F335" i="15"/>
  <c r="G335" s="1"/>
  <c r="G338" s="1"/>
  <c r="G339" s="1"/>
  <c r="G340" s="1"/>
  <c r="G341" s="1"/>
  <c r="F345"/>
  <c r="G345" s="1"/>
  <c r="G348" s="1"/>
  <c r="G349" s="1"/>
  <c r="G350" s="1"/>
  <c r="G351" s="1"/>
  <c r="F375"/>
  <c r="G375" s="1"/>
  <c r="G378" s="1"/>
  <c r="G379" s="1"/>
  <c r="G380" s="1"/>
  <c r="G381" s="1"/>
  <c r="E71" s="1"/>
  <c r="F1631" i="21"/>
  <c r="G1631" s="1"/>
  <c r="F1201"/>
  <c r="G1201" s="1"/>
  <c r="G1944" i="11"/>
  <c r="H1944" s="1"/>
  <c r="F417" i="21"/>
  <c r="G417" s="1"/>
  <c r="F1458"/>
  <c r="G1458" s="1"/>
  <c r="F419"/>
  <c r="G419" s="1"/>
  <c r="F616"/>
  <c r="G616" s="1"/>
  <c r="F367" i="23"/>
  <c r="G367" s="1"/>
  <c r="G371" s="1"/>
  <c r="G391" s="1"/>
  <c r="G393" s="1"/>
  <c r="G394" s="1"/>
  <c r="G395" s="1"/>
  <c r="G396" s="1"/>
  <c r="E698" i="14" s="1"/>
  <c r="F279" i="23"/>
  <c r="G279" s="1"/>
  <c r="G283" s="1"/>
  <c r="G303" s="1"/>
  <c r="G305" s="1"/>
  <c r="G306" s="1"/>
  <c r="G307" s="1"/>
  <c r="G308" s="1"/>
  <c r="E695" i="14" s="1"/>
  <c r="G4994" i="21"/>
  <c r="E1011"/>
  <c r="E1012" s="1"/>
  <c r="E1013" s="1"/>
  <c r="F362" i="14" s="1"/>
  <c r="G1018" i="21"/>
  <c r="G219" i="19"/>
  <c r="G220" s="1"/>
  <c r="G221" s="1"/>
  <c r="F17" i="14" s="1"/>
  <c r="G450" i="22"/>
  <c r="E443"/>
  <c r="E444" s="1"/>
  <c r="E445" s="1"/>
  <c r="F5331" i="21"/>
  <c r="G5331" s="1"/>
  <c r="F4642"/>
  <c r="G4642" s="1"/>
  <c r="F5729"/>
  <c r="G5729" s="1"/>
  <c r="D31" i="18"/>
  <c r="F4905" i="21"/>
  <c r="G4905" s="1"/>
  <c r="F4776"/>
  <c r="G4776" s="1"/>
  <c r="E1395" i="22"/>
  <c r="E1396" s="1"/>
  <c r="E1397" s="1"/>
  <c r="G1402"/>
  <c r="G257" i="10"/>
  <c r="E250"/>
  <c r="E251" s="1"/>
  <c r="E252" s="1"/>
  <c r="G419" i="20"/>
  <c r="E481" i="24"/>
  <c r="E482" s="1"/>
  <c r="E483" s="1"/>
  <c r="F905" i="14" s="1"/>
  <c r="G488" i="24"/>
  <c r="G1293"/>
  <c r="E1286"/>
  <c r="E1287" s="1"/>
  <c r="E1288" s="1"/>
  <c r="F923" i="14" s="1"/>
  <c r="E5238" i="21"/>
  <c r="E5239" s="1"/>
  <c r="E5240" s="1"/>
  <c r="F515" i="14" s="1"/>
  <c r="G5245" i="21"/>
  <c r="E2303" i="23"/>
  <c r="E2304" s="1"/>
  <c r="E2305" s="1"/>
  <c r="F773" i="14" s="1"/>
  <c r="G2310" i="23"/>
  <c r="E1583"/>
  <c r="E1584" s="1"/>
  <c r="E1585" s="1"/>
  <c r="F746" i="14" s="1"/>
  <c r="G1590" i="23"/>
  <c r="G2292" i="22"/>
  <c r="G2293" s="1"/>
  <c r="E6983" i="21"/>
  <c r="E6984" s="1"/>
  <c r="E6985" s="1"/>
  <c r="F598" i="14" s="1"/>
  <c r="G6990" i="21"/>
  <c r="E5456"/>
  <c r="E5457" s="1"/>
  <c r="E5458" s="1"/>
  <c r="F521" i="14" s="1"/>
  <c r="G2084" i="20"/>
  <c r="E2077"/>
  <c r="E2078" s="1"/>
  <c r="E2079" s="1"/>
  <c r="F316" i="14" s="1"/>
  <c r="G1157" i="24"/>
  <c r="E1150"/>
  <c r="E1151" s="1"/>
  <c r="E1152" s="1"/>
  <c r="F920" i="14" s="1"/>
  <c r="E1160" i="10"/>
  <c r="E1161" s="1"/>
  <c r="E1162" s="1"/>
  <c r="G1167"/>
  <c r="E576" i="24"/>
  <c r="E577" s="1"/>
  <c r="E578" s="1"/>
  <c r="F908" i="14" s="1"/>
  <c r="G583" i="24"/>
  <c r="F653" i="22"/>
  <c r="F682" s="1"/>
  <c r="G682" s="1"/>
  <c r="G683" s="1"/>
  <c r="G687" s="1"/>
  <c r="G725" s="1"/>
  <c r="F3630"/>
  <c r="F3642" s="1"/>
  <c r="G3642" s="1"/>
  <c r="G3646" s="1"/>
  <c r="G3670" s="1"/>
  <c r="G3673" s="1"/>
  <c r="G3674" s="1"/>
  <c r="G3675" s="1"/>
  <c r="G3676" s="1"/>
  <c r="F1086"/>
  <c r="F1105" s="1"/>
  <c r="G1105" s="1"/>
  <c r="G1106" s="1"/>
  <c r="G1110" s="1"/>
  <c r="G1148" s="1"/>
  <c r="E3550"/>
  <c r="F3565" s="1"/>
  <c r="G3565" s="1"/>
  <c r="G3569" s="1"/>
  <c r="G3603" s="1"/>
  <c r="F2066"/>
  <c r="F2085" s="1"/>
  <c r="G2085" s="1"/>
  <c r="G2086" s="1"/>
  <c r="G2090" s="1"/>
  <c r="G2125" s="1"/>
  <c r="F1731"/>
  <c r="E917"/>
  <c r="F936" s="1"/>
  <c r="G936" s="1"/>
  <c r="G937" s="1"/>
  <c r="G941" s="1"/>
  <c r="G979" s="1"/>
  <c r="F1896"/>
  <c r="F1897" s="1"/>
  <c r="F1898" s="1"/>
  <c r="F1918" s="1"/>
  <c r="G1918" s="1"/>
  <c r="G1919" s="1"/>
  <c r="G1922" s="1"/>
  <c r="G1957" s="1"/>
  <c r="F2323"/>
  <c r="F2324" s="1"/>
  <c r="F2325" s="1"/>
  <c r="F2344" s="1"/>
  <c r="G2344" s="1"/>
  <c r="F1981"/>
  <c r="F1982" s="1"/>
  <c r="F1983" s="1"/>
  <c r="F2002" s="1"/>
  <c r="G2002" s="1"/>
  <c r="G2003" s="1"/>
  <c r="G2006" s="1"/>
  <c r="G2041" s="1"/>
  <c r="F1424"/>
  <c r="F1425" s="1"/>
  <c r="F1426" s="1"/>
  <c r="F1442" s="1"/>
  <c r="G1442" s="1"/>
  <c r="G1446" s="1"/>
  <c r="G1480" s="1"/>
  <c r="F1339"/>
  <c r="F1357" s="1"/>
  <c r="G1357" s="1"/>
  <c r="G1358" s="1"/>
  <c r="G1362" s="1"/>
  <c r="G1400" s="1"/>
  <c r="F2650"/>
  <c r="F2668" s="1"/>
  <c r="G2668" s="1"/>
  <c r="G2669" s="1"/>
  <c r="G2673" s="1"/>
  <c r="G2708" s="1"/>
  <c r="F749"/>
  <c r="F768" s="1"/>
  <c r="G768" s="1"/>
  <c r="G769" s="1"/>
  <c r="G773" s="1"/>
  <c r="G811" s="1"/>
  <c r="F2571"/>
  <c r="F2588" s="1"/>
  <c r="G2588" s="1"/>
  <c r="G2592" s="1"/>
  <c r="G2626" s="1"/>
  <c r="D1255"/>
  <c r="F1273" s="1"/>
  <c r="G1273" s="1"/>
  <c r="G1274" s="1"/>
  <c r="G1278" s="1"/>
  <c r="G1316" s="1"/>
  <c r="F1002"/>
  <c r="F1020" s="1"/>
  <c r="G1020" s="1"/>
  <c r="G1021" s="1"/>
  <c r="G1025" s="1"/>
  <c r="G1063" s="1"/>
  <c r="F1810"/>
  <c r="F1811" s="1"/>
  <c r="F1812" s="1"/>
  <c r="F1833" s="1"/>
  <c r="G1833" s="1"/>
  <c r="G1834" s="1"/>
  <c r="G1837" s="1"/>
  <c r="G1872" s="1"/>
  <c r="G2393" i="20"/>
  <c r="F2394"/>
  <c r="G2394" s="1"/>
  <c r="F1949" i="23"/>
  <c r="G1949" s="1"/>
  <c r="G1950" s="1"/>
  <c r="G1975" s="1"/>
  <c r="F2187" i="22"/>
  <c r="G2187" s="1"/>
  <c r="F1932"/>
  <c r="G1932" s="1"/>
  <c r="F1847"/>
  <c r="G1847" s="1"/>
  <c r="G1848" s="1"/>
  <c r="G1873" s="1"/>
  <c r="F2358"/>
  <c r="G2358" s="1"/>
  <c r="F830" i="23"/>
  <c r="G830" s="1"/>
  <c r="E50" i="18"/>
  <c r="G50" s="1"/>
  <c r="F994" i="23"/>
  <c r="G994" s="1"/>
  <c r="F2198"/>
  <c r="G2198" s="1"/>
  <c r="G2199" s="1"/>
  <c r="G2226" s="1"/>
  <c r="F1866"/>
  <c r="G1866" s="1"/>
  <c r="G1867" s="1"/>
  <c r="G1892" s="1"/>
  <c r="F785" i="22"/>
  <c r="G785" s="1"/>
  <c r="F2365" i="23"/>
  <c r="G2365" s="1"/>
  <c r="F953" i="22"/>
  <c r="G953" s="1"/>
  <c r="G533" i="5"/>
  <c r="E1398" i="24"/>
  <c r="E1399" s="1"/>
  <c r="E1400" s="1"/>
  <c r="F926" i="14" s="1"/>
  <c r="G1405" i="24"/>
  <c r="G2889" i="10"/>
  <c r="G2890" s="1"/>
  <c r="G2891" s="1"/>
  <c r="F2889"/>
  <c r="F925" i="20"/>
  <c r="G925" s="1"/>
  <c r="H294" i="19"/>
  <c r="I294" s="1"/>
  <c r="H573"/>
  <c r="I573" s="1"/>
  <c r="G525" i="5"/>
  <c r="F729" i="20"/>
  <c r="G729" s="1"/>
  <c r="H929" i="19"/>
  <c r="I929" s="1"/>
  <c r="F559" i="20"/>
  <c r="G559" s="1"/>
  <c r="H115" i="19"/>
  <c r="I115" s="1"/>
  <c r="H758"/>
  <c r="I758" s="1"/>
  <c r="I766" s="1"/>
  <c r="I789" s="1"/>
  <c r="F1036" i="20"/>
  <c r="G1036" s="1"/>
  <c r="H202" i="19"/>
  <c r="I202" s="1"/>
  <c r="H430"/>
  <c r="I430" s="1"/>
  <c r="I438" s="1"/>
  <c r="I464" s="1"/>
  <c r="D42" i="18"/>
  <c r="G42" s="1"/>
  <c r="F201" i="20"/>
  <c r="G201" s="1"/>
  <c r="G1486" i="23"/>
  <c r="G1510" s="1"/>
  <c r="G2589" i="24"/>
  <c r="G2052"/>
  <c r="G2632" i="25"/>
  <c r="G2640" s="1"/>
  <c r="I4688" i="19"/>
  <c r="I4696" s="1"/>
  <c r="I782"/>
  <c r="I790" s="1"/>
  <c r="G2572" i="21"/>
  <c r="I4083" i="19"/>
  <c r="E806" i="22"/>
  <c r="E807" s="1"/>
  <c r="E808" s="1"/>
  <c r="G2399" i="10"/>
  <c r="G264" i="24"/>
  <c r="G265" s="1"/>
  <c r="G266" s="1"/>
  <c r="G1735" i="20"/>
  <c r="G1736" s="1"/>
  <c r="G1785" s="1"/>
  <c r="G1789" s="1"/>
  <c r="G5359" i="21"/>
  <c r="E5360" s="1"/>
  <c r="E5361" s="1"/>
  <c r="E5362" s="1"/>
  <c r="F518" i="14" s="1"/>
  <c r="G276" i="15"/>
  <c r="G277" s="1"/>
  <c r="G278" s="1"/>
  <c r="G279" s="1"/>
  <c r="G947" i="24"/>
  <c r="F1504" i="22"/>
  <c r="F1505" s="1"/>
  <c r="F1506" s="1"/>
  <c r="F1523" s="1"/>
  <c r="G1523" s="1"/>
  <c r="G1527" s="1"/>
  <c r="G1561" s="1"/>
  <c r="F1171"/>
  <c r="F1189" s="1"/>
  <c r="G1189" s="1"/>
  <c r="G1190" s="1"/>
  <c r="G1194" s="1"/>
  <c r="G1232" s="1"/>
  <c r="G2028" i="24"/>
  <c r="G2051" s="1"/>
  <c r="G2053" s="1"/>
  <c r="G1640" i="10"/>
  <c r="G1661" s="1"/>
  <c r="G4670" i="21"/>
  <c r="E4671" s="1"/>
  <c r="E4672" s="1"/>
  <c r="E4673" s="1"/>
  <c r="F500" i="14" s="1"/>
  <c r="F4231" i="23"/>
  <c r="G4231" s="1"/>
  <c r="G4233" s="1"/>
  <c r="G4249" s="1"/>
  <c r="F4270" i="22"/>
  <c r="G4270" s="1"/>
  <c r="G4272" s="1"/>
  <c r="G4288" s="1"/>
  <c r="D58" i="18"/>
  <c r="G58" s="1"/>
  <c r="F4253" i="21"/>
  <c r="G4253" s="1"/>
  <c r="F4437"/>
  <c r="G4437" s="1"/>
  <c r="F4341"/>
  <c r="G4341" s="1"/>
  <c r="G541" i="5"/>
  <c r="F547" i="24"/>
  <c r="G547" s="1"/>
  <c r="F644"/>
  <c r="G644" s="1"/>
  <c r="G560" i="5"/>
  <c r="F115" i="24"/>
  <c r="G115" s="1"/>
  <c r="F1365"/>
  <c r="G1365" s="1"/>
  <c r="D77" i="18"/>
  <c r="G77" s="1"/>
  <c r="F747" i="24"/>
  <c r="G747" s="1"/>
  <c r="E79" i="15"/>
  <c r="E76" i="13"/>
  <c r="E111" i="26"/>
  <c r="E120"/>
  <c r="H1847" i="19"/>
  <c r="I1847" s="1"/>
  <c r="H1965"/>
  <c r="I1965" s="1"/>
  <c r="H2334"/>
  <c r="I2334" s="1"/>
  <c r="H2089"/>
  <c r="I2089" s="1"/>
  <c r="H2212"/>
  <c r="I2212" s="1"/>
  <c r="D19" i="18"/>
  <c r="G19" s="1"/>
  <c r="H1702" i="19"/>
  <c r="I1702" s="1"/>
  <c r="F603" i="15"/>
  <c r="G603" s="1"/>
  <c r="F387"/>
  <c r="G387" s="1"/>
  <c r="G782"/>
  <c r="H782" s="1"/>
  <c r="H783" s="1"/>
  <c r="H784" s="1"/>
  <c r="H785" s="1"/>
  <c r="D66" i="18"/>
  <c r="G824" i="15"/>
  <c r="H824" s="1"/>
  <c r="H825" s="1"/>
  <c r="H826" s="1"/>
  <c r="H827" s="1"/>
  <c r="F83" i="13" s="1"/>
  <c r="F633" i="15"/>
  <c r="G633" s="1"/>
  <c r="F643"/>
  <c r="G643" s="1"/>
  <c r="G839"/>
  <c r="H839" s="1"/>
  <c r="H840" s="1"/>
  <c r="H841" s="1"/>
  <c r="H842" s="1"/>
  <c r="D844" s="1"/>
  <c r="F459"/>
  <c r="G459" s="1"/>
  <c r="G462" s="1"/>
  <c r="G463" s="1"/>
  <c r="G464" s="1"/>
  <c r="G465" s="1"/>
  <c r="F623"/>
  <c r="G623" s="1"/>
  <c r="G549" i="5"/>
  <c r="F315" i="15"/>
  <c r="G315" s="1"/>
  <c r="G766"/>
  <c r="H766" s="1"/>
  <c r="H767" s="1"/>
  <c r="H768" s="1"/>
  <c r="H769" s="1"/>
  <c r="F469"/>
  <c r="G469" s="1"/>
  <c r="F613"/>
  <c r="G613" s="1"/>
  <c r="G809"/>
  <c r="H809" s="1"/>
  <c r="H810" s="1"/>
  <c r="H811" s="1"/>
  <c r="H812" s="1"/>
  <c r="D814" s="1"/>
  <c r="H86" s="1"/>
  <c r="F663"/>
  <c r="G663" s="1"/>
  <c r="F653"/>
  <c r="G653" s="1"/>
  <c r="G656" s="1"/>
  <c r="G657" s="1"/>
  <c r="G658" s="1"/>
  <c r="G659" s="1"/>
  <c r="F325"/>
  <c r="G325" s="1"/>
  <c r="G328" s="1"/>
  <c r="G329" s="1"/>
  <c r="G330" s="1"/>
  <c r="G331" s="1"/>
  <c r="F397"/>
  <c r="G397" s="1"/>
  <c r="G795"/>
  <c r="H795" s="1"/>
  <c r="H796" s="1"/>
  <c r="H797" s="1"/>
  <c r="H798" s="1"/>
  <c r="H2342" i="19"/>
  <c r="I2342" s="1"/>
  <c r="H1973"/>
  <c r="I1973" s="1"/>
  <c r="H2097"/>
  <c r="I2097" s="1"/>
  <c r="H2220"/>
  <c r="I2220" s="1"/>
  <c r="H1855"/>
  <c r="I1855" s="1"/>
  <c r="H1710"/>
  <c r="I1710" s="1"/>
  <c r="D22" i="18"/>
  <c r="G22" s="1"/>
  <c r="G505" i="5"/>
  <c r="H2877" i="19"/>
  <c r="I2877" s="1"/>
  <c r="I2881" s="1"/>
  <c r="I2906" s="1"/>
  <c r="F2568" i="20"/>
  <c r="G2568" s="1"/>
  <c r="F2208"/>
  <c r="G2208" s="1"/>
  <c r="G2211" s="1"/>
  <c r="G2242" s="1"/>
  <c r="H3728" i="19"/>
  <c r="I3728" s="1"/>
  <c r="I3730" s="1"/>
  <c r="I3756" s="1"/>
  <c r="F1032" i="20"/>
  <c r="G1032" s="1"/>
  <c r="H1857" i="19"/>
  <c r="I1857" s="1"/>
  <c r="F561" i="20"/>
  <c r="G561" s="1"/>
  <c r="F380"/>
  <c r="G380" s="1"/>
  <c r="H3083" i="19"/>
  <c r="I3083" s="1"/>
  <c r="I3085" s="1"/>
  <c r="I3111" s="1"/>
  <c r="F2052" i="20"/>
  <c r="G2052" s="1"/>
  <c r="H2222" i="19"/>
  <c r="I2222" s="1"/>
  <c r="H2099"/>
  <c r="I2099" s="1"/>
  <c r="F1188" i="20"/>
  <c r="G1188" s="1"/>
  <c r="H2564" i="19"/>
  <c r="I2564" s="1"/>
  <c r="F1506" i="20"/>
  <c r="G1506" s="1"/>
  <c r="H2344" i="19"/>
  <c r="I2344" s="1"/>
  <c r="H2955"/>
  <c r="I2955" s="1"/>
  <c r="I2957" s="1"/>
  <c r="I2979" s="1"/>
  <c r="H3658"/>
  <c r="I3658" s="1"/>
  <c r="H2453"/>
  <c r="I2453" s="1"/>
  <c r="I2457" s="1"/>
  <c r="I2482" s="1"/>
  <c r="H2671"/>
  <c r="I2671" s="1"/>
  <c r="I2675" s="1"/>
  <c r="I2700" s="1"/>
  <c r="H4052"/>
  <c r="I4052" s="1"/>
  <c r="I4054" s="1"/>
  <c r="I4082" s="1"/>
  <c r="F2491" i="20"/>
  <c r="G2491" s="1"/>
  <c r="H2773" i="19"/>
  <c r="I2773" s="1"/>
  <c r="I2777" s="1"/>
  <c r="I2802" s="1"/>
  <c r="F2647" i="20"/>
  <c r="G2647" s="1"/>
  <c r="D37" i="18"/>
  <c r="G37" s="1"/>
  <c r="F1286" i="20"/>
  <c r="G1286" s="1"/>
  <c r="G520" i="5"/>
  <c r="F731" i="20"/>
  <c r="G731" s="1"/>
  <c r="H3808" i="19"/>
  <c r="I3808" s="1"/>
  <c r="I3810" s="1"/>
  <c r="I3836" s="1"/>
  <c r="H1975"/>
  <c r="I1975" s="1"/>
  <c r="H3886"/>
  <c r="I3886" s="1"/>
  <c r="I3888" s="1"/>
  <c r="I3915" s="1"/>
  <c r="H3969"/>
  <c r="I3969" s="1"/>
  <c r="I3971" s="1"/>
  <c r="I3999" s="1"/>
  <c r="I4001" s="1"/>
  <c r="H3315"/>
  <c r="I3315" s="1"/>
  <c r="I3317" s="1"/>
  <c r="I3341" s="1"/>
  <c r="F1395" i="20"/>
  <c r="G1395" s="1"/>
  <c r="F2383"/>
  <c r="G2383" s="1"/>
  <c r="H3220" i="19"/>
  <c r="I3220" s="1"/>
  <c r="I3222" s="1"/>
  <c r="I3248" s="1"/>
  <c r="F927" i="20"/>
  <c r="G927" s="1"/>
  <c r="F1884"/>
  <c r="G1884" s="1"/>
  <c r="G1886" s="1"/>
  <c r="G1912" s="1"/>
  <c r="F203"/>
  <c r="G203" s="1"/>
  <c r="H1712" i="19"/>
  <c r="I1712" s="1"/>
  <c r="H4246"/>
  <c r="I4246" s="1"/>
  <c r="I4249" s="1"/>
  <c r="I4269" s="1"/>
  <c r="H2346"/>
  <c r="I2346" s="1"/>
  <c r="H1714"/>
  <c r="I1714" s="1"/>
  <c r="H1977"/>
  <c r="I1977" s="1"/>
  <c r="H2101"/>
  <c r="I2101" s="1"/>
  <c r="H2224"/>
  <c r="I2224" s="1"/>
  <c r="H1859"/>
  <c r="I1859" s="1"/>
  <c r="D51" i="18"/>
  <c r="G51" s="1"/>
  <c r="H2566" i="19"/>
  <c r="I2566" s="1"/>
  <c r="I3660"/>
  <c r="I3686" s="1"/>
  <c r="I5433"/>
  <c r="G5434" s="1"/>
  <c r="G5435" s="1"/>
  <c r="G5436" s="1"/>
  <c r="F197" i="14" s="1"/>
  <c r="I951" i="19"/>
  <c r="G952" s="1"/>
  <c r="G953" s="1"/>
  <c r="G954" s="1"/>
  <c r="F32" i="14" s="1"/>
  <c r="I3334" i="19"/>
  <c r="G3335" s="1"/>
  <c r="G3336" s="1"/>
  <c r="G3337" s="1"/>
  <c r="F116" i="14" s="1"/>
  <c r="G889" i="25"/>
  <c r="G890" s="1"/>
  <c r="G891" s="1"/>
  <c r="G892" s="1"/>
  <c r="E1047" i="14" s="1"/>
  <c r="I5299" i="19"/>
  <c r="I5307" s="1"/>
  <c r="I456"/>
  <c r="I465" s="1"/>
  <c r="G2374" i="21"/>
  <c r="G2382" s="1"/>
  <c r="G636"/>
  <c r="E637" s="1"/>
  <c r="E638" s="1"/>
  <c r="E639" s="1"/>
  <c r="F356" i="14" s="1"/>
  <c r="H2086" i="11"/>
  <c r="G2094" s="1"/>
  <c r="G1230" i="21"/>
  <c r="G1238" s="1"/>
  <c r="D101" i="26"/>
  <c r="G2620" i="22"/>
  <c r="G2628" s="1"/>
  <c r="G3573" i="23"/>
  <c r="E3574" s="1"/>
  <c r="E3575" s="1"/>
  <c r="E3576" s="1"/>
  <c r="F844" i="14" s="1"/>
  <c r="G1142" i="22"/>
  <c r="E1143" s="1"/>
  <c r="E1144" s="1"/>
  <c r="E1145" s="1"/>
  <c r="G1521" i="10"/>
  <c r="G1529" s="1"/>
  <c r="G502" i="5"/>
  <c r="G8434" i="21"/>
  <c r="G8435" s="1"/>
  <c r="G8436" s="1"/>
  <c r="G8437" s="1"/>
  <c r="E667" i="14" s="1"/>
  <c r="G1204" i="20"/>
  <c r="G26" i="18"/>
  <c r="G7680" i="21"/>
  <c r="G7698" s="1"/>
  <c r="G7700" s="1"/>
  <c r="G7701" s="1"/>
  <c r="G7702" s="1"/>
  <c r="G7703" s="1"/>
  <c r="E624" i="14" s="1"/>
  <c r="F3108" i="21"/>
  <c r="G3108" s="1"/>
  <c r="F4646"/>
  <c r="G4646" s="1"/>
  <c r="G2068" i="11"/>
  <c r="H2068" s="1"/>
  <c r="F1763" i="21"/>
  <c r="G1763" s="1"/>
  <c r="F5433"/>
  <c r="G5433" s="1"/>
  <c r="F2271"/>
  <c r="G2271" s="1"/>
  <c r="F6962"/>
  <c r="G6962" s="1"/>
  <c r="F1238" i="23"/>
  <c r="G1238" s="1"/>
  <c r="F2901"/>
  <c r="G2901" s="1"/>
  <c r="G2905" s="1"/>
  <c r="G2931" s="1"/>
  <c r="G2933" s="1"/>
  <c r="G2934" s="1"/>
  <c r="G2935" s="1"/>
  <c r="G2936" s="1"/>
  <c r="E805" i="14" s="1"/>
  <c r="F5733" i="21"/>
  <c r="G5733" s="1"/>
  <c r="F7318"/>
  <c r="G7318" s="1"/>
  <c r="F909" i="23"/>
  <c r="G909" s="1"/>
  <c r="F3554"/>
  <c r="G3554" s="1"/>
  <c r="G3556" s="1"/>
  <c r="G3580" s="1"/>
  <c r="F2838"/>
  <c r="G2838" s="1"/>
  <c r="G2842" s="1"/>
  <c r="G2866" s="1"/>
  <c r="G2868" s="1"/>
  <c r="G2869" s="1"/>
  <c r="G2870" s="1"/>
  <c r="G2871" s="1"/>
  <c r="E802" i="14" s="1"/>
  <c r="F3040" i="23"/>
  <c r="G3040" s="1"/>
  <c r="G3044" s="1"/>
  <c r="G3071" s="1"/>
  <c r="F2639" i="21"/>
  <c r="G2639" s="1"/>
  <c r="F2958" i="11"/>
  <c r="G2958" s="1"/>
  <c r="H5280" i="19"/>
  <c r="I5280" s="1"/>
  <c r="F1203" i="22"/>
  <c r="G1203" s="1"/>
  <c r="F1371"/>
  <c r="G1371" s="1"/>
  <c r="G1375" s="1"/>
  <c r="G1401" s="1"/>
  <c r="G2312" i="11"/>
  <c r="H2312" s="1"/>
  <c r="H2317" s="1"/>
  <c r="G2337" s="1"/>
  <c r="F2847" i="21"/>
  <c r="G2847" s="1"/>
  <c r="F4251"/>
  <c r="G4251" s="1"/>
  <c r="H4670" i="19"/>
  <c r="I4670" s="1"/>
  <c r="I4675" s="1"/>
  <c r="I4695" s="1"/>
  <c r="F7232" i="21"/>
  <c r="G7232" s="1"/>
  <c r="F2554"/>
  <c r="G2554" s="1"/>
  <c r="F3578" i="22"/>
  <c r="G3578" s="1"/>
  <c r="F1968" i="21"/>
  <c r="G1968" s="1"/>
  <c r="F2053"/>
  <c r="G2053" s="1"/>
  <c r="F1119" i="22"/>
  <c r="G1119" s="1"/>
  <c r="F5523" i="21"/>
  <c r="G5523" s="1"/>
  <c r="F782" i="22"/>
  <c r="G782" s="1"/>
  <c r="F3030" i="21"/>
  <c r="G3030" s="1"/>
  <c r="F743" i="23"/>
  <c r="G743" s="1"/>
  <c r="F1287" i="22"/>
  <c r="G1287" s="1"/>
  <c r="F4339" i="21"/>
  <c r="G4339" s="1"/>
  <c r="H4600" i="19"/>
  <c r="I4600" s="1"/>
  <c r="G2189" i="11"/>
  <c r="H2189" s="1"/>
  <c r="H5061" i="19"/>
  <c r="I5061" s="1"/>
  <c r="G2106" i="25"/>
  <c r="H2106" s="1"/>
  <c r="H4807" i="19"/>
  <c r="I4807" s="1"/>
  <c r="F3270" i="21"/>
  <c r="G3270" s="1"/>
  <c r="F551" i="15"/>
  <c r="G551" s="1"/>
  <c r="G554" s="1"/>
  <c r="G555" s="1"/>
  <c r="G556" s="1"/>
  <c r="G557" s="1"/>
  <c r="H4934" i="19"/>
  <c r="I4934" s="1"/>
  <c r="I4939" s="1"/>
  <c r="I4959" s="1"/>
  <c r="F6873" i="21"/>
  <c r="G6873" s="1"/>
  <c r="G6875" s="1"/>
  <c r="G6876" s="1"/>
  <c r="G6900" s="1"/>
  <c r="F7050"/>
  <c r="G7050" s="1"/>
  <c r="G7052" s="1"/>
  <c r="G7053" s="1"/>
  <c r="G7076" s="1"/>
  <c r="F3050" i="22"/>
  <c r="G3050" s="1"/>
  <c r="G3054" s="1"/>
  <c r="G3081" s="1"/>
  <c r="F591" i="15"/>
  <c r="G591" s="1"/>
  <c r="G594" s="1"/>
  <c r="G595" s="1"/>
  <c r="G596" s="1"/>
  <c r="G597" s="1"/>
  <c r="F1402" i="23"/>
  <c r="G1402" s="1"/>
  <c r="F1320"/>
  <c r="G1320" s="1"/>
  <c r="F7405" i="21"/>
  <c r="G7405" s="1"/>
  <c r="G7407" s="1"/>
  <c r="G7408" s="1"/>
  <c r="G7431" s="1"/>
  <c r="G7433" s="1"/>
  <c r="G7434" s="1"/>
  <c r="G7435" s="1"/>
  <c r="G7436" s="1"/>
  <c r="E612" i="14" s="1"/>
  <c r="G1948" i="11"/>
  <c r="H1948" s="1"/>
  <c r="F5612" i="21"/>
  <c r="G5612" s="1"/>
  <c r="F531" i="15"/>
  <c r="G531" s="1"/>
  <c r="G534" s="1"/>
  <c r="G535" s="1"/>
  <c r="G536" s="1"/>
  <c r="G537" s="1"/>
  <c r="G1987" i="25"/>
  <c r="H1987" s="1"/>
  <c r="F1849" i="21"/>
  <c r="G1849" s="1"/>
  <c r="F561" i="15"/>
  <c r="G561" s="1"/>
  <c r="G564" s="1"/>
  <c r="G565" s="1"/>
  <c r="G566" s="1"/>
  <c r="G567" s="1"/>
  <c r="F2761" i="21"/>
  <c r="G2761" s="1"/>
  <c r="F950" i="22"/>
  <c r="G950" s="1"/>
  <c r="F2907"/>
  <c r="G2907" s="1"/>
  <c r="G2911" s="1"/>
  <c r="G2937" s="1"/>
  <c r="G2939" s="1"/>
  <c r="G2940" s="1"/>
  <c r="G2941" s="1"/>
  <c r="G2942" s="1"/>
  <c r="F4909" i="21"/>
  <c r="G4909" s="1"/>
  <c r="G2348" i="25"/>
  <c r="H2348" s="1"/>
  <c r="F1073" i="23"/>
  <c r="G1073" s="1"/>
  <c r="F5215" i="21"/>
  <c r="G5215" s="1"/>
  <c r="F5335"/>
  <c r="G5335" s="1"/>
  <c r="F5130"/>
  <c r="G5130" s="1"/>
  <c r="F2978" i="22"/>
  <c r="G2978" s="1"/>
  <c r="G2982" s="1"/>
  <c r="G3009" s="1"/>
  <c r="G2226" i="25"/>
  <c r="H2226" s="1"/>
  <c r="H2231" s="1"/>
  <c r="G2251" s="1"/>
  <c r="F1156" i="23"/>
  <c r="G1156" s="1"/>
  <c r="G1160" s="1"/>
  <c r="G1186" s="1"/>
  <c r="F696" i="22"/>
  <c r="G696" s="1"/>
  <c r="H5197" i="19"/>
  <c r="I5197" s="1"/>
  <c r="F2970" i="23"/>
  <c r="G2970" s="1"/>
  <c r="G2974" s="1"/>
  <c r="G3001" s="1"/>
  <c r="G3003" s="1"/>
  <c r="G3004" s="1"/>
  <c r="G3005" s="1"/>
  <c r="G3006" s="1"/>
  <c r="E808" i="14" s="1"/>
  <c r="F1034" i="22"/>
  <c r="G1034" s="1"/>
  <c r="G1038" s="1"/>
  <c r="G1064" s="1"/>
  <c r="F827" i="23"/>
  <c r="G827" s="1"/>
  <c r="G831" s="1"/>
  <c r="G857" s="1"/>
  <c r="F541" i="15"/>
  <c r="G541" s="1"/>
  <c r="G544" s="1"/>
  <c r="G545" s="1"/>
  <c r="G546" s="1"/>
  <c r="G547" s="1"/>
  <c r="D72" i="18"/>
  <c r="G72" s="1"/>
  <c r="F3192" i="21"/>
  <c r="G3192" s="1"/>
  <c r="F4780"/>
  <c r="G4780" s="1"/>
  <c r="G555" i="5"/>
  <c r="F571" i="15"/>
  <c r="G571" s="1"/>
  <c r="G574" s="1"/>
  <c r="G575" s="1"/>
  <c r="G576" s="1"/>
  <c r="G577" s="1"/>
  <c r="F7137" i="21"/>
  <c r="G7137" s="1"/>
  <c r="F2356"/>
  <c r="G2356" s="1"/>
  <c r="F2842" i="22"/>
  <c r="G2842" s="1"/>
  <c r="G2846" s="1"/>
  <c r="G2870" s="1"/>
  <c r="G2872" s="1"/>
  <c r="G2873" s="1"/>
  <c r="G2874" s="1"/>
  <c r="G2875" s="1"/>
  <c r="F4435" i="21"/>
  <c r="G4435" s="1"/>
  <c r="F581" i="15"/>
  <c r="G581" s="1"/>
  <c r="G584" s="1"/>
  <c r="G585" s="1"/>
  <c r="G586" s="1"/>
  <c r="G587" s="1"/>
  <c r="F866" i="22"/>
  <c r="G866" s="1"/>
  <c r="F991" i="23"/>
  <c r="G991" s="1"/>
  <c r="F2666" i="25"/>
  <c r="G2666" s="1"/>
  <c r="G2671" s="1"/>
  <c r="G2689" s="1"/>
  <c r="G561" i="5"/>
  <c r="D78" i="18"/>
  <c r="G78" s="1"/>
  <c r="F1209" i="21"/>
  <c r="G1209" s="1"/>
  <c r="F2643" i="20"/>
  <c r="G2643" s="1"/>
  <c r="G554" i="5"/>
  <c r="H1099" i="19"/>
  <c r="I1099" s="1"/>
  <c r="I1104" s="1"/>
  <c r="I1119" s="1"/>
  <c r="F1639" i="21"/>
  <c r="G1639" s="1"/>
  <c r="H1447" i="19"/>
  <c r="I1447" s="1"/>
  <c r="I1449" s="1"/>
  <c r="I1466" s="1"/>
  <c r="I1468" s="1"/>
  <c r="I1469" s="1"/>
  <c r="H1377"/>
  <c r="I1377" s="1"/>
  <c r="I1379" s="1"/>
  <c r="I1396" s="1"/>
  <c r="F1466" i="21"/>
  <c r="G1466" s="1"/>
  <c r="D71" i="18"/>
  <c r="G71" s="1"/>
  <c r="D63"/>
  <c r="G63" s="1"/>
  <c r="G546" i="5"/>
  <c r="F386" i="20"/>
  <c r="G386" s="1"/>
  <c r="G1194" i="11"/>
  <c r="H1194" s="1"/>
  <c r="H1199" s="1"/>
  <c r="G1214" s="1"/>
  <c r="G971"/>
  <c r="H971" s="1"/>
  <c r="H976" s="1"/>
  <c r="G991" s="1"/>
  <c r="G1261"/>
  <c r="H1261" s="1"/>
  <c r="H1266" s="1"/>
  <c r="G1281" s="1"/>
  <c r="D30" i="18"/>
  <c r="G30" s="1"/>
  <c r="G944" i="25"/>
  <c r="H944" s="1"/>
  <c r="H949" s="1"/>
  <c r="G964" s="1"/>
  <c r="G966" s="1"/>
  <c r="G967" s="1"/>
  <c r="G968" s="1"/>
  <c r="G969" s="1"/>
  <c r="E1050" i="14" s="1"/>
  <c r="G1310" i="25"/>
  <c r="H1310" s="1"/>
  <c r="H1315" s="1"/>
  <c r="G1330" s="1"/>
  <c r="G1332" s="1"/>
  <c r="G1333" s="1"/>
  <c r="G1334" s="1"/>
  <c r="G1335" s="1"/>
  <c r="E1066" i="14" s="1"/>
  <c r="G1115" i="11"/>
  <c r="H1115" s="1"/>
  <c r="H1120" s="1"/>
  <c r="G1135" s="1"/>
  <c r="G1020" i="25"/>
  <c r="H1020" s="1"/>
  <c r="H1025" s="1"/>
  <c r="G1040" s="1"/>
  <c r="G1042" s="1"/>
  <c r="G1043" s="1"/>
  <c r="G1044" s="1"/>
  <c r="G1045" s="1"/>
  <c r="E1054" i="14" s="1"/>
  <c r="G1164" i="25"/>
  <c r="H1164" s="1"/>
  <c r="H1169" s="1"/>
  <c r="G1184" s="1"/>
  <c r="G1243"/>
  <c r="H1243" s="1"/>
  <c r="H1248" s="1"/>
  <c r="G1263" s="1"/>
  <c r="G513" i="5"/>
  <c r="G1086" i="25"/>
  <c r="H1086" s="1"/>
  <c r="H1091" s="1"/>
  <c r="G1106" s="1"/>
  <c r="G895" i="11"/>
  <c r="H895" s="1"/>
  <c r="H900" s="1"/>
  <c r="G915" s="1"/>
  <c r="G917" s="1"/>
  <c r="G918" s="1"/>
  <c r="G919" s="1"/>
  <c r="G920" s="1"/>
  <c r="G1037"/>
  <c r="H1037" s="1"/>
  <c r="H1042" s="1"/>
  <c r="G1057" s="1"/>
  <c r="G4634" i="21"/>
  <c r="F4635"/>
  <c r="G4635" s="1"/>
  <c r="I600" i="19"/>
  <c r="I609" s="1"/>
  <c r="I4952"/>
  <c r="G4953" s="1"/>
  <c r="G4954" s="1"/>
  <c r="G4955" s="1"/>
  <c r="F185" i="14" s="1"/>
  <c r="G1487" i="21"/>
  <c r="E1488" s="1"/>
  <c r="E1489" s="1"/>
  <c r="E1490" s="1"/>
  <c r="F368" i="14" s="1"/>
  <c r="G457" i="10"/>
  <c r="G465" s="1"/>
  <c r="G1302" i="20"/>
  <c r="E1303" s="1"/>
  <c r="E1304" s="1"/>
  <c r="E1305" s="1"/>
  <c r="F286" i="14" s="1"/>
  <c r="I5079" i="19"/>
  <c r="I4825"/>
  <c r="I4833" s="1"/>
  <c r="G2171" i="21"/>
  <c r="G2179" s="1"/>
  <c r="G1986"/>
  <c r="F1987" s="1"/>
  <c r="F1988" s="1"/>
  <c r="F1989" s="1"/>
  <c r="F382" i="14" s="1"/>
  <c r="H1966" i="11"/>
  <c r="E1967" s="1"/>
  <c r="E1968" s="1"/>
  <c r="E1969" s="1"/>
  <c r="G2451" i="21"/>
  <c r="E2452" s="1"/>
  <c r="E2453" s="1"/>
  <c r="E2454" s="1"/>
  <c r="F397" i="14" s="1"/>
  <c r="G4251" i="23"/>
  <c r="G4252" s="1"/>
  <c r="G4253" s="1"/>
  <c r="G4254" s="1"/>
  <c r="E886" i="14" s="1"/>
  <c r="G1425" i="23"/>
  <c r="G1474" i="22"/>
  <c r="G1482" s="1"/>
  <c r="G2132" i="23"/>
  <c r="G2140" s="1"/>
  <c r="I5527" i="19"/>
  <c r="I5535" s="1"/>
  <c r="G8504" i="21"/>
  <c r="G8505" s="1"/>
  <c r="G8506" s="1"/>
  <c r="G8507" s="1"/>
  <c r="E670" i="14" s="1"/>
  <c r="G983" i="10"/>
  <c r="E984" s="1"/>
  <c r="E985" s="1"/>
  <c r="E986" s="1"/>
  <c r="E676" i="24"/>
  <c r="E677" s="1"/>
  <c r="E678" s="1"/>
  <c r="F911" i="14" s="1"/>
  <c r="G683" i="24"/>
  <c r="G1900"/>
  <c r="E1893"/>
  <c r="E1894" s="1"/>
  <c r="E1895" s="1"/>
  <c r="F935" i="14" s="1"/>
  <c r="E1838" i="10"/>
  <c r="E1839" s="1"/>
  <c r="E1840" s="1"/>
  <c r="G1845"/>
  <c r="G1662"/>
  <c r="E1655"/>
  <c r="E1656" s="1"/>
  <c r="E1657" s="1"/>
  <c r="G4263" i="19"/>
  <c r="G4264" s="1"/>
  <c r="G4265" s="1"/>
  <c r="F159" i="14" s="1"/>
  <c r="I4270" i="19"/>
  <c r="G1968" i="23"/>
  <c r="G2219"/>
  <c r="E1835" i="20"/>
  <c r="E1836" s="1"/>
  <c r="E1837" s="1"/>
  <c r="F303" i="14" s="1"/>
  <c r="G1842" i="20"/>
  <c r="G2384" i="23"/>
  <c r="G2050"/>
  <c r="G1885"/>
  <c r="G2543"/>
  <c r="E4282" i="22"/>
  <c r="E4283" s="1"/>
  <c r="E4284" s="1"/>
  <c r="G4289"/>
  <c r="I1397" i="19"/>
  <c r="D79" i="15"/>
  <c r="D120" i="26"/>
  <c r="D111"/>
  <c r="D76" i="13"/>
  <c r="F3055" i="10"/>
  <c r="G3055"/>
  <c r="G3056" s="1"/>
  <c r="G3057" s="1"/>
  <c r="G120" i="26"/>
  <c r="G111"/>
  <c r="G79" i="15"/>
  <c r="G76" i="13"/>
  <c r="G1318" i="22"/>
  <c r="E1311"/>
  <c r="E1312" s="1"/>
  <c r="E1313" s="1"/>
  <c r="E932" i="23"/>
  <c r="E933" s="1"/>
  <c r="E934" s="1"/>
  <c r="F722" i="14" s="1"/>
  <c r="G446" i="21"/>
  <c r="E439"/>
  <c r="E440" s="1"/>
  <c r="E441" s="1"/>
  <c r="F353" i="14" s="1"/>
  <c r="G2471" i="23"/>
  <c r="E2464"/>
  <c r="E2465" s="1"/>
  <c r="E2466" s="1"/>
  <c r="F779" i="14" s="1"/>
  <c r="E1344" i="23"/>
  <c r="E1345" s="1"/>
  <c r="E1346" s="1"/>
  <c r="F737" i="14" s="1"/>
  <c r="G3750" i="19"/>
  <c r="G3751" s="1"/>
  <c r="G3752" s="1"/>
  <c r="F136" i="14" s="1"/>
  <c r="I3757" i="19"/>
  <c r="G2743" i="10"/>
  <c r="E2736"/>
  <c r="E2737" s="1"/>
  <c r="E2738" s="1"/>
  <c r="E2197"/>
  <c r="E2198" s="1"/>
  <c r="E2199" s="1"/>
  <c r="G2204"/>
  <c r="G2044"/>
  <c r="E1475" i="22"/>
  <c r="E1476" s="1"/>
  <c r="E1477" s="1"/>
  <c r="G1065"/>
  <c r="G1234"/>
  <c r="E1227"/>
  <c r="E1228" s="1"/>
  <c r="E1229" s="1"/>
  <c r="I3916" i="19"/>
  <c r="G3909"/>
  <c r="G3910" s="1"/>
  <c r="G3911" s="1"/>
  <c r="F142" i="14" s="1"/>
  <c r="E2236" i="20"/>
  <c r="E2237" s="1"/>
  <c r="E2238" s="1"/>
  <c r="F319" i="14" s="1"/>
  <c r="G514" i="5"/>
  <c r="F4906" i="21"/>
  <c r="G4906" s="1"/>
  <c r="F4643"/>
  <c r="G4643" s="1"/>
  <c r="E31" i="18"/>
  <c r="G31" s="1"/>
  <c r="F4777" i="21"/>
  <c r="G4777" s="1"/>
  <c r="F5730"/>
  <c r="G5730" s="1"/>
  <c r="F5332"/>
  <c r="G5332" s="1"/>
  <c r="G1269" i="23"/>
  <c r="E1262"/>
  <c r="E1263" s="1"/>
  <c r="E1264" s="1"/>
  <c r="F734" i="14" s="1"/>
  <c r="G175" i="22"/>
  <c r="E168"/>
  <c r="E169" s="1"/>
  <c r="E170" s="1"/>
  <c r="G139" i="23"/>
  <c r="G140" s="1"/>
  <c r="G141" s="1"/>
  <c r="G142" s="1"/>
  <c r="G143" s="1"/>
  <c r="E686" i="14" s="1"/>
  <c r="E132" i="23"/>
  <c r="E133" s="1"/>
  <c r="E134" s="1"/>
  <c r="F687" i="14" s="1"/>
  <c r="G90" i="22"/>
  <c r="G91" s="1"/>
  <c r="G92" s="1"/>
  <c r="G93" s="1"/>
  <c r="G94" s="1"/>
  <c r="E83"/>
  <c r="E84" s="1"/>
  <c r="E85" s="1"/>
  <c r="I3687" i="19"/>
  <c r="G3680"/>
  <c r="G3681" s="1"/>
  <c r="G3682" s="1"/>
  <c r="F133" i="14" s="1"/>
  <c r="I3837" i="19"/>
  <c r="G3830"/>
  <c r="G3831" s="1"/>
  <c r="G3832" s="1"/>
  <c r="F139" i="14" s="1"/>
  <c r="I2980" i="19"/>
  <c r="G2973"/>
  <c r="G2974" s="1"/>
  <c r="G2975" s="1"/>
  <c r="F107" i="14" s="1"/>
  <c r="E1531" i="20"/>
  <c r="E1532" s="1"/>
  <c r="E1533" s="1"/>
  <c r="F294" i="14" s="1"/>
  <c r="G1538" i="20"/>
  <c r="E248" i="22"/>
  <c r="E249" s="1"/>
  <c r="E250" s="1"/>
  <c r="G255"/>
  <c r="G256" s="1"/>
  <c r="G257" s="1"/>
  <c r="G258" s="1"/>
  <c r="G259" s="1"/>
  <c r="G3028" i="24"/>
  <c r="E3021"/>
  <c r="E3022" s="1"/>
  <c r="E3023" s="1"/>
  <c r="F980" i="14" s="1"/>
  <c r="E2959" i="24"/>
  <c r="E2960" s="1"/>
  <c r="E2961" s="1"/>
  <c r="F977" i="14" s="1"/>
  <c r="G2966" i="24"/>
  <c r="E2766"/>
  <c r="E2767" s="1"/>
  <c r="E2768" s="1"/>
  <c r="F963" i="14" s="1"/>
  <c r="G2773" i="24"/>
  <c r="G3268" i="10"/>
  <c r="G3267"/>
  <c r="G2333" i="20"/>
  <c r="G2334" s="1"/>
  <c r="G719" i="22"/>
  <c r="G187" i="21"/>
  <c r="E180"/>
  <c r="E181" s="1"/>
  <c r="E182" s="1"/>
  <c r="F344" i="14" s="1"/>
  <c r="E315" i="21"/>
  <c r="E316" s="1"/>
  <c r="E317" s="1"/>
  <c r="F350" i="14" s="1"/>
  <c r="G322" i="21"/>
  <c r="G4777" i="25"/>
  <c r="G4778" s="1"/>
  <c r="G4779" s="1"/>
  <c r="G4780" s="1"/>
  <c r="G4781" s="1"/>
  <c r="G1636" i="22"/>
  <c r="E1629"/>
  <c r="E1630" s="1"/>
  <c r="E1631" s="1"/>
  <c r="E217" i="23"/>
  <c r="E218" s="1"/>
  <c r="E219" s="1"/>
  <c r="F693" i="14" s="1"/>
  <c r="G224" i="23"/>
  <c r="G2939" i="10"/>
  <c r="G2938"/>
  <c r="E3003" i="22"/>
  <c r="E3004" s="1"/>
  <c r="E3005" s="1"/>
  <c r="G3010"/>
  <c r="E6177" i="21"/>
  <c r="E6178" s="1"/>
  <c r="E6179" s="1"/>
  <c r="F554" i="14" s="1"/>
  <c r="G6184" i="21"/>
  <c r="E336" i="22"/>
  <c r="E337" s="1"/>
  <c r="E338" s="1"/>
  <c r="G343"/>
  <c r="E492" i="23"/>
  <c r="E493" s="1"/>
  <c r="E494" s="1"/>
  <c r="F705" i="14" s="1"/>
  <c r="G499" i="23"/>
  <c r="G2827" i="10"/>
  <c r="E2820"/>
  <c r="E2821" s="1"/>
  <c r="E2822" s="1"/>
  <c r="G2653" i="24"/>
  <c r="E2646"/>
  <c r="E2647" s="1"/>
  <c r="E2648" s="1"/>
  <c r="F957" i="14" s="1"/>
  <c r="E2891" i="24"/>
  <c r="E2892" s="1"/>
  <c r="E2893" s="1"/>
  <c r="F971" i="14" s="1"/>
  <c r="G2898" i="24"/>
  <c r="E427" i="23"/>
  <c r="E428" s="1"/>
  <c r="E429" s="1"/>
  <c r="F702" i="14" s="1"/>
  <c r="G434" i="23"/>
  <c r="G435" s="1"/>
  <c r="G436" s="1"/>
  <c r="G437" s="1"/>
  <c r="G438" s="1"/>
  <c r="E701" i="14" s="1"/>
  <c r="I1596" i="19"/>
  <c r="H2934"/>
  <c r="H2935" s="1"/>
  <c r="H2937" s="1"/>
  <c r="H2947" s="1"/>
  <c r="I2947" s="1"/>
  <c r="I2948" s="1"/>
  <c r="I2978" s="1"/>
  <c r="I5599"/>
  <c r="G126" i="21"/>
  <c r="F2756" i="23"/>
  <c r="F2757" s="1"/>
  <c r="F2758" s="1"/>
  <c r="F2759" s="1"/>
  <c r="F2761" s="1"/>
  <c r="E2762" s="1"/>
  <c r="E794" i="14" s="1"/>
  <c r="G657" i="23"/>
  <c r="G658" s="1"/>
  <c r="E1906" i="20"/>
  <c r="E1907" s="1"/>
  <c r="E1908" s="1"/>
  <c r="F308" i="14" s="1"/>
  <c r="G1913" i="20"/>
  <c r="E146" i="26"/>
  <c r="D146"/>
  <c r="F128"/>
  <c r="E98"/>
  <c r="E67" i="15"/>
  <c r="E63" i="13"/>
  <c r="E82" i="26"/>
  <c r="E70" i="15"/>
  <c r="E101" i="26"/>
  <c r="E85"/>
  <c r="E66" i="13"/>
  <c r="E1275" i="11"/>
  <c r="E1276" s="1"/>
  <c r="E1277" s="1"/>
  <c r="G1282"/>
  <c r="G1185" i="25"/>
  <c r="E1178"/>
  <c r="E1179" s="1"/>
  <c r="E1180" s="1"/>
  <c r="F1061" i="14" s="1"/>
  <c r="E4358" i="21"/>
  <c r="E4359" s="1"/>
  <c r="E4360" s="1"/>
  <c r="F488" i="14" s="1"/>
  <c r="E4270" i="21"/>
  <c r="E4271" s="1"/>
  <c r="E4272" s="1"/>
  <c r="F485" i="14" s="1"/>
  <c r="G4277" i="21"/>
  <c r="E3358"/>
  <c r="E3359" s="1"/>
  <c r="E3360" s="1"/>
  <c r="F431" i="14" s="1"/>
  <c r="G3365" i="21"/>
  <c r="E3047"/>
  <c r="E3048" s="1"/>
  <c r="E3049" s="1"/>
  <c r="F419" i="14" s="1"/>
  <c r="G3054" i="21"/>
  <c r="E2072"/>
  <c r="E2073" s="1"/>
  <c r="E2074" s="1"/>
  <c r="F385" i="14" s="1"/>
  <c r="G644" i="21"/>
  <c r="E2331" i="11"/>
  <c r="E2332" s="1"/>
  <c r="E2333" s="1"/>
  <c r="G2690" i="25"/>
  <c r="E2290" i="21"/>
  <c r="E2291" s="1"/>
  <c r="E2292" s="1"/>
  <c r="F391" i="14" s="1"/>
  <c r="G2297" i="21"/>
  <c r="G5812" i="19"/>
  <c r="G5813" s="1"/>
  <c r="G5814" s="1"/>
  <c r="F214" i="14" s="1"/>
  <c r="I5819" i="19"/>
  <c r="I2588"/>
  <c r="I2589" s="1"/>
  <c r="F64" i="13"/>
  <c r="F99" i="26"/>
  <c r="G131" i="19"/>
  <c r="G132" s="1"/>
  <c r="G133" s="1"/>
  <c r="F14" i="14" s="1"/>
  <c r="I138" i="19"/>
  <c r="G1107" i="25"/>
  <c r="E1100"/>
  <c r="E1101" s="1"/>
  <c r="E1102" s="1"/>
  <c r="F1058" i="14" s="1"/>
  <c r="G1264" i="25"/>
  <c r="E1257"/>
  <c r="E1258" s="1"/>
  <c r="E1259" s="1"/>
  <c r="F1064" i="14" s="1"/>
  <c r="E4805" i="21"/>
  <c r="E4806" s="1"/>
  <c r="E4807" s="1"/>
  <c r="F503" i="14" s="1"/>
  <c r="G4812" i="21"/>
  <c r="E2416" i="24"/>
  <c r="E2417" s="1"/>
  <c r="E2418" s="1"/>
  <c r="F947" i="14" s="1"/>
  <c r="G2423" i="24"/>
  <c r="G2345" i="22"/>
  <c r="G2348" s="1"/>
  <c r="G2383" s="1"/>
  <c r="G45" i="19"/>
  <c r="G31" i="21"/>
  <c r="H83" i="13"/>
  <c r="G2379" i="20"/>
  <c r="G2997" i="10"/>
  <c r="G2996"/>
  <c r="I3104" i="19"/>
  <c r="I4002"/>
  <c r="D66" i="15"/>
  <c r="D97" i="26"/>
  <c r="D81"/>
  <c r="D62" i="13"/>
  <c r="F85" i="26"/>
  <c r="F66" i="13"/>
  <c r="F70" i="15"/>
  <c r="F101" i="26"/>
  <c r="G992" i="11"/>
  <c r="E985"/>
  <c r="E986" s="1"/>
  <c r="E987" s="1"/>
  <c r="G1215"/>
  <c r="E1208"/>
  <c r="E1209" s="1"/>
  <c r="E1210" s="1"/>
  <c r="E4933" i="21"/>
  <c r="E4934" s="1"/>
  <c r="E4935" s="1"/>
  <c r="F506" i="14" s="1"/>
  <c r="G1989" i="20"/>
  <c r="G1987"/>
  <c r="G1988"/>
  <c r="G1990"/>
  <c r="E2367" i="25"/>
  <c r="E2368" s="1"/>
  <c r="E2369" s="1"/>
  <c r="F1113" i="14" s="1"/>
  <c r="G2374" i="25"/>
  <c r="G5080" i="19"/>
  <c r="G5081" s="1"/>
  <c r="G5082" s="1"/>
  <c r="F188" i="14" s="1"/>
  <c r="I5087" i="19"/>
  <c r="G783"/>
  <c r="G784" s="1"/>
  <c r="G785" s="1"/>
  <c r="F29" i="14" s="1"/>
  <c r="E3287" i="21"/>
  <c r="E3288" s="1"/>
  <c r="E3289" s="1"/>
  <c r="F428" i="14" s="1"/>
  <c r="G3294" i="21"/>
  <c r="G2665"/>
  <c r="E2658"/>
  <c r="E2659" s="1"/>
  <c r="E2660" s="1"/>
  <c r="F405" i="14" s="1"/>
  <c r="G4619" i="19"/>
  <c r="G4620" s="1"/>
  <c r="G4621" s="1"/>
  <c r="F176" i="14" s="1"/>
  <c r="I4626" i="19"/>
  <c r="G4826"/>
  <c r="G4827" s="1"/>
  <c r="G4828" s="1"/>
  <c r="F182" i="14" s="1"/>
  <c r="E4452" i="21"/>
  <c r="E4453" s="1"/>
  <c r="E4454" s="1"/>
  <c r="F491" i="14" s="1"/>
  <c r="G4459" i="21"/>
  <c r="E3125"/>
  <c r="E3126" s="1"/>
  <c r="E3127" s="1"/>
  <c r="F422" i="14" s="1"/>
  <c r="G3132" i="21"/>
  <c r="E2573"/>
  <c r="E2574" s="1"/>
  <c r="E2575" s="1"/>
  <c r="F402" i="14" s="1"/>
  <c r="G2580" i="21"/>
  <c r="E3209"/>
  <c r="E3210" s="1"/>
  <c r="E3211" s="1"/>
  <c r="F425" i="14" s="1"/>
  <c r="G3216" i="21"/>
  <c r="E2962"/>
  <c r="E2963" s="1"/>
  <c r="E2964" s="1"/>
  <c r="F414" i="14" s="1"/>
  <c r="G2969" i="21"/>
  <c r="G2982" i="11"/>
  <c r="E2975"/>
  <c r="G1974"/>
  <c r="E2006" i="25"/>
  <c r="E2007" s="1"/>
  <c r="E2008" s="1"/>
  <c r="F1104" i="14" s="1"/>
  <c r="I1821" i="19"/>
  <c r="I1825" s="1"/>
  <c r="H1881" s="1"/>
  <c r="I1881" s="1"/>
  <c r="I1882" s="1"/>
  <c r="I1680"/>
  <c r="I3240"/>
  <c r="I3241" s="1"/>
  <c r="I2474"/>
  <c r="I2475" s="1"/>
  <c r="I2794"/>
  <c r="I2795" s="1"/>
  <c r="F63" i="13"/>
  <c r="F86" i="26"/>
  <c r="F71" i="15"/>
  <c r="F67" i="13"/>
  <c r="F102" i="26"/>
  <c r="E68" i="15"/>
  <c r="E64" i="13"/>
  <c r="E99" i="26"/>
  <c r="E83"/>
  <c r="E1129" i="11"/>
  <c r="E1130" s="1"/>
  <c r="E1131" s="1"/>
  <c r="G1136"/>
  <c r="E1051"/>
  <c r="E1052" s="1"/>
  <c r="E1053" s="1"/>
  <c r="G1058"/>
  <c r="E152" i="24"/>
  <c r="E153" s="1"/>
  <c r="E154" s="1"/>
  <c r="F899" i="14" s="1"/>
  <c r="G159" i="24"/>
  <c r="I2899" i="19"/>
  <c r="I2693"/>
  <c r="F2941" i="25"/>
  <c r="F2942" s="1"/>
  <c r="F1162" i="14" s="1"/>
  <c r="F2951" i="25"/>
  <c r="F2952" s="1"/>
  <c r="E65" i="13" l="1"/>
  <c r="E69" i="15"/>
  <c r="G48" i="21"/>
  <c r="G50" i="23"/>
  <c r="G225"/>
  <c r="G226" s="1"/>
  <c r="G227" s="1"/>
  <c r="G228" s="1"/>
  <c r="E692" i="14" s="1"/>
  <c r="G1150" i="22"/>
  <c r="G7320" i="21"/>
  <c r="G7321" s="1"/>
  <c r="G7344" s="1"/>
  <c r="G7346" s="1"/>
  <c r="G7347" s="1"/>
  <c r="G7348" s="1"/>
  <c r="G7349" s="1"/>
  <c r="E609" i="14" s="1"/>
  <c r="G6964" i="21"/>
  <c r="G6965" s="1"/>
  <c r="G6989" s="1"/>
  <c r="G636" i="15"/>
  <c r="G637" s="1"/>
  <c r="G638" s="1"/>
  <c r="G639" s="1"/>
  <c r="G1733" i="23"/>
  <c r="G1734" s="1"/>
  <c r="G1735" s="1"/>
  <c r="G1736" s="1"/>
  <c r="E751" i="14" s="1"/>
  <c r="G2591" i="24"/>
  <c r="G2592" s="1"/>
  <c r="G2593" s="1"/>
  <c r="G2594" s="1"/>
  <c r="G2595" s="1"/>
  <c r="G2596" s="1"/>
  <c r="E953" i="14" s="1"/>
  <c r="G858" i="21"/>
  <c r="G881" s="1"/>
  <c r="G922" i="24"/>
  <c r="G946" s="1"/>
  <c r="G1580"/>
  <c r="G1606" s="1"/>
  <c r="G1608" s="1"/>
  <c r="G2684" i="22"/>
  <c r="G2709" s="1"/>
  <c r="G2522"/>
  <c r="G2547" s="1"/>
  <c r="G1060" i="20"/>
  <c r="G47"/>
  <c r="G70" i="15"/>
  <c r="G2252" i="25"/>
  <c r="D65" i="15"/>
  <c r="F2735" i="22"/>
  <c r="F2736" s="1"/>
  <c r="F2737" s="1"/>
  <c r="F2739" s="1"/>
  <c r="F2740" s="1"/>
  <c r="G84" i="26"/>
  <c r="G31" i="20"/>
  <c r="D69" i="15"/>
  <c r="G1843" i="20"/>
  <c r="G2650"/>
  <c r="G2666" s="1"/>
  <c r="G2668" s="1"/>
  <c r="G2672" s="1"/>
  <c r="G1854" i="21"/>
  <c r="G1874" s="1"/>
  <c r="H1953" i="11"/>
  <c r="G1973" s="1"/>
  <c r="G786" i="22"/>
  <c r="G812" s="1"/>
  <c r="G2644" i="21"/>
  <c r="G2664" s="1"/>
  <c r="G1291" i="20"/>
  <c r="G1309" s="1"/>
  <c r="G2500"/>
  <c r="G2517" s="1"/>
  <c r="G2057"/>
  <c r="G2083" s="1"/>
  <c r="E974" i="22"/>
  <c r="E975" s="1"/>
  <c r="E976" s="1"/>
  <c r="G1788"/>
  <c r="G1106" i="20"/>
  <c r="G1121" s="1"/>
  <c r="G1123" s="1"/>
  <c r="G2020" i="10"/>
  <c r="G2043" s="1"/>
  <c r="G2045" s="1"/>
  <c r="G230"/>
  <c r="G256" s="1"/>
  <c r="G967"/>
  <c r="G990" s="1"/>
  <c r="G31" i="25"/>
  <c r="G48"/>
  <c r="G882" i="21"/>
  <c r="G33" i="23"/>
  <c r="I4960" i="19"/>
  <c r="D829" i="15"/>
  <c r="E2133" i="23"/>
  <c r="E2134" s="1"/>
  <c r="E2135" s="1"/>
  <c r="F767" i="14" s="1"/>
  <c r="G1664" i="10"/>
  <c r="G7139" i="21"/>
  <c r="G7140" s="1"/>
  <c r="G7163" s="1"/>
  <c r="G7165" s="1"/>
  <c r="G7166" s="1"/>
  <c r="G7167" s="1"/>
  <c r="G7168" s="1"/>
  <c r="E603" i="14" s="1"/>
  <c r="G3197" i="21"/>
  <c r="G3215" s="1"/>
  <c r="G5616"/>
  <c r="G5641" s="1"/>
  <c r="G3035"/>
  <c r="G3053" s="1"/>
  <c r="G3113"/>
  <c r="G3131" s="1"/>
  <c r="G66" i="18"/>
  <c r="I119" i="19"/>
  <c r="I137" s="1"/>
  <c r="G2188" i="22"/>
  <c r="G2215" s="1"/>
  <c r="G5339" i="21"/>
  <c r="G5366" s="1"/>
  <c r="G423"/>
  <c r="G445" s="1"/>
  <c r="G268"/>
  <c r="G269" s="1"/>
  <c r="G270" s="1"/>
  <c r="G271" s="1"/>
  <c r="E346" i="14" s="1"/>
  <c r="G2251" i="24"/>
  <c r="G1685" i="22"/>
  <c r="G1708" s="1"/>
  <c r="E2622" i="23"/>
  <c r="E2623" s="1"/>
  <c r="E2624" s="1"/>
  <c r="F785" i="14" s="1"/>
  <c r="I5633" i="19"/>
  <c r="I5651" s="1"/>
  <c r="I5653" s="1"/>
  <c r="I5654" s="1"/>
  <c r="I5655" s="1"/>
  <c r="I5656" s="1"/>
  <c r="E205" i="14" s="1"/>
  <c r="E851" i="23"/>
  <c r="E852" s="1"/>
  <c r="E853" s="1"/>
  <c r="F719" i="14" s="1"/>
  <c r="I5588" i="19"/>
  <c r="I5606" s="1"/>
  <c r="G651" i="10"/>
  <c r="G674" s="1"/>
  <c r="G1130" i="24"/>
  <c r="G1156" s="1"/>
  <c r="G1268"/>
  <c r="G1292" s="1"/>
  <c r="G2622" i="25"/>
  <c r="G2639" s="1"/>
  <c r="G6953" i="21"/>
  <c r="G6988" s="1"/>
  <c r="G99" i="26"/>
  <c r="G64" i="13"/>
  <c r="G1294" i="24"/>
  <c r="G1295"/>
  <c r="G1793" i="20"/>
  <c r="G1791"/>
  <c r="G2244"/>
  <c r="G259" i="10"/>
  <c r="G1019" i="21"/>
  <c r="G1020" s="1"/>
  <c r="G1021" s="1"/>
  <c r="G1022" s="1"/>
  <c r="G1023" s="1"/>
  <c r="G1024" s="1"/>
  <c r="E361" i="14" s="1"/>
  <c r="G439" i="10"/>
  <c r="G464" s="1"/>
  <c r="G467" s="1"/>
  <c r="E100" i="26"/>
  <c r="G128"/>
  <c r="E2087" i="11"/>
  <c r="E2088" s="1"/>
  <c r="E2089" s="1"/>
  <c r="G5216" i="19"/>
  <c r="G5217" s="1"/>
  <c r="G5218" s="1"/>
  <c r="F191" i="14" s="1"/>
  <c r="G5300" i="19"/>
  <c r="G5301" s="1"/>
  <c r="G5302" s="1"/>
  <c r="F194" i="14" s="1"/>
  <c r="I5441" i="19"/>
  <c r="I5442" s="1"/>
  <c r="I5443" s="1"/>
  <c r="I5444" s="1"/>
  <c r="I5445" s="1"/>
  <c r="E196" i="14" s="1"/>
  <c r="D154" i="26"/>
  <c r="D93" i="15"/>
  <c r="G2339" i="11"/>
  <c r="G2340" s="1"/>
  <c r="G2341" s="1"/>
  <c r="G2342" s="1"/>
  <c r="G2963"/>
  <c r="G2981" s="1"/>
  <c r="G606" i="15"/>
  <c r="G607" s="1"/>
  <c r="G608" s="1"/>
  <c r="G609" s="1"/>
  <c r="I80" i="26" s="1"/>
  <c r="G995" i="21"/>
  <c r="G1017" s="1"/>
  <c r="G1300" i="10"/>
  <c r="G1321" s="1"/>
  <c r="G1324" s="1"/>
  <c r="E84" i="26"/>
  <c r="G83" i="13"/>
  <c r="G2931" i="11"/>
  <c r="G3366" i="21"/>
  <c r="G3367" s="1"/>
  <c r="G3368" s="1"/>
  <c r="G3369" s="1"/>
  <c r="E430" i="14" s="1"/>
  <c r="F2866" i="21"/>
  <c r="F2867" s="1"/>
  <c r="F2868" s="1"/>
  <c r="F411" i="14" s="1"/>
  <c r="D100" i="26"/>
  <c r="F85" i="15"/>
  <c r="E154" i="26"/>
  <c r="E1661" i="21"/>
  <c r="E1662" s="1"/>
  <c r="E1663" s="1"/>
  <c r="F371" i="14" s="1"/>
  <c r="G5553" i="21"/>
  <c r="G2216" i="22"/>
  <c r="E93" i="15"/>
  <c r="G4290" i="22"/>
  <c r="G4291" s="1"/>
  <c r="G4292" s="1"/>
  <c r="G4293" s="1"/>
  <c r="G826" i="10"/>
  <c r="G827" s="1"/>
  <c r="G4651" i="21"/>
  <c r="G4677" s="1"/>
  <c r="G389" i="20"/>
  <c r="G418" s="1"/>
  <c r="G1470" i="21"/>
  <c r="G1494" s="1"/>
  <c r="G870" i="22"/>
  <c r="G895" s="1"/>
  <c r="G2361" i="21"/>
  <c r="G2381" s="1"/>
  <c r="G700" i="22"/>
  <c r="G726" s="1"/>
  <c r="G5134" i="21"/>
  <c r="G5159" s="1"/>
  <c r="H2353" i="25"/>
  <c r="G2373" s="1"/>
  <c r="G2375" s="1"/>
  <c r="G2376" s="1"/>
  <c r="G2377" s="1"/>
  <c r="G2378" s="1"/>
  <c r="E1112" i="14" s="1"/>
  <c r="G2766" i="21"/>
  <c r="G2786" s="1"/>
  <c r="G7078"/>
  <c r="G7079" s="1"/>
  <c r="G7080" s="1"/>
  <c r="G7081" s="1"/>
  <c r="E600" i="14" s="1"/>
  <c r="G3275" i="21"/>
  <c r="G3293" s="1"/>
  <c r="G3295" s="1"/>
  <c r="G3296" s="1"/>
  <c r="G3297" s="1"/>
  <c r="G3298" s="1"/>
  <c r="E427" i="14" s="1"/>
  <c r="H2194" i="11"/>
  <c r="G2214" s="1"/>
  <c r="G747" i="23"/>
  <c r="G773" s="1"/>
  <c r="G1123" i="22"/>
  <c r="G1149" s="1"/>
  <c r="G2852" i="21"/>
  <c r="G2872" s="1"/>
  <c r="G2874" s="1"/>
  <c r="G2875" s="1"/>
  <c r="G2876" s="1"/>
  <c r="G2877" s="1"/>
  <c r="E410" i="14" s="1"/>
  <c r="I5285" i="19"/>
  <c r="I5306" s="1"/>
  <c r="I5308" s="1"/>
  <c r="I5309" s="1"/>
  <c r="I5310" s="1"/>
  <c r="I5311" s="1"/>
  <c r="E193" i="14" s="1"/>
  <c r="G2276" i="21"/>
  <c r="G2296" s="1"/>
  <c r="G2298" s="1"/>
  <c r="G2299" s="1"/>
  <c r="G2300" s="1"/>
  <c r="G2301" s="1"/>
  <c r="E390" i="14" s="1"/>
  <c r="I935" i="19"/>
  <c r="I958" s="1"/>
  <c r="E959" i="20"/>
  <c r="E960" s="1"/>
  <c r="E961" s="1"/>
  <c r="F272" i="14" s="1"/>
  <c r="G2710" i="22"/>
  <c r="G2466"/>
  <c r="G1710"/>
  <c r="G1711" s="1"/>
  <c r="G1712" s="1"/>
  <c r="G1713" s="1"/>
  <c r="I1272" i="19"/>
  <c r="I1273" s="1"/>
  <c r="G2788" i="21"/>
  <c r="G2789" s="1"/>
  <c r="G2790" s="1"/>
  <c r="G2791" s="1"/>
  <c r="E407" i="14" s="1"/>
  <c r="E2702" i="23"/>
  <c r="E2703" s="1"/>
  <c r="E2704" s="1"/>
  <c r="F788" i="14" s="1"/>
  <c r="G2359" i="22"/>
  <c r="G2384" s="1"/>
  <c r="G1820" i="10"/>
  <c r="G1844" s="1"/>
  <c r="G1846" s="1"/>
  <c r="G2182"/>
  <c r="G2203" s="1"/>
  <c r="G2205" s="1"/>
  <c r="G2440" i="21"/>
  <c r="G2458" s="1"/>
  <c r="G2913" i="11"/>
  <c r="G2930" s="1"/>
  <c r="G2970" i="21"/>
  <c r="G2971" s="1"/>
  <c r="G2972" s="1"/>
  <c r="G2973" s="1"/>
  <c r="E413" i="14" s="1"/>
  <c r="G2603" i="11"/>
  <c r="G2424" i="24"/>
  <c r="G320" i="19"/>
  <c r="G2669" i="20"/>
  <c r="G7234" i="21"/>
  <c r="G7235" s="1"/>
  <c r="G7258" s="1"/>
  <c r="G7260" s="1"/>
  <c r="G7261" s="1"/>
  <c r="G7262" s="1"/>
  <c r="G7263" s="1"/>
  <c r="E606" i="14" s="1"/>
  <c r="G2366" i="23"/>
  <c r="G2391" s="1"/>
  <c r="G240" i="20"/>
  <c r="G557" i="22"/>
  <c r="G573" s="1"/>
  <c r="G575" s="1"/>
  <c r="G576" s="1"/>
  <c r="G577" s="1"/>
  <c r="G578" s="1"/>
  <c r="G1143" i="10"/>
  <c r="G1166" s="1"/>
  <c r="G1168" s="1"/>
  <c r="G1505"/>
  <c r="G1528" s="1"/>
  <c r="F98" i="26"/>
  <c r="G645" i="21"/>
  <c r="G646" s="1"/>
  <c r="G647" s="1"/>
  <c r="G648" s="1"/>
  <c r="E355" i="14" s="1"/>
  <c r="G1127" i="20"/>
  <c r="F136" i="26"/>
  <c r="G1495" i="21"/>
  <c r="E92" i="13"/>
  <c r="G5642" i="21"/>
  <c r="G176" i="22"/>
  <c r="G177" s="1"/>
  <c r="G178" s="1"/>
  <c r="G179" s="1"/>
  <c r="G1213" i="21"/>
  <c r="G1237" s="1"/>
  <c r="G995" i="23"/>
  <c r="G1021" s="1"/>
  <c r="H1992" i="25"/>
  <c r="G2012" s="1"/>
  <c r="G2014" s="1"/>
  <c r="G2015" s="1"/>
  <c r="G2016" s="1"/>
  <c r="G2017" s="1"/>
  <c r="E1103" i="14" s="1"/>
  <c r="I5066" i="19"/>
  <c r="I5086" s="1"/>
  <c r="G1291" i="22"/>
  <c r="G1317" s="1"/>
  <c r="G5527" i="21"/>
  <c r="G5552" s="1"/>
  <c r="G3580" i="22"/>
  <c r="G3604" s="1"/>
  <c r="G3073" i="23"/>
  <c r="G3074" s="1"/>
  <c r="G3075" s="1"/>
  <c r="G3076" s="1"/>
  <c r="E811" i="14" s="1"/>
  <c r="G6991" i="21"/>
  <c r="G6992" s="1"/>
  <c r="G6993" s="1"/>
  <c r="G6994" s="1"/>
  <c r="E597" i="14" s="1"/>
  <c r="H2073" i="11"/>
  <c r="G2093" s="1"/>
  <c r="G2095" s="1"/>
  <c r="G2096" s="1"/>
  <c r="G2097" s="1"/>
  <c r="G2098" s="1"/>
  <c r="G1404" i="20"/>
  <c r="G1427" s="1"/>
  <c r="G1429" s="1"/>
  <c r="G1433" s="1"/>
  <c r="G2519"/>
  <c r="G2523" s="1"/>
  <c r="G2085"/>
  <c r="G2573"/>
  <c r="G2589" s="1"/>
  <c r="G2591" s="1"/>
  <c r="G2592" s="1"/>
  <c r="G646" i="15"/>
  <c r="G647" s="1"/>
  <c r="G648" s="1"/>
  <c r="G649" s="1"/>
  <c r="I84" i="26" s="1"/>
  <c r="G1376" i="24"/>
  <c r="G1404" s="1"/>
  <c r="G556"/>
  <c r="G582" s="1"/>
  <c r="G584" s="1"/>
  <c r="G2217" i="22"/>
  <c r="G2218" s="1"/>
  <c r="G2219" s="1"/>
  <c r="G2220" s="1"/>
  <c r="G1113" i="19"/>
  <c r="G1114" s="1"/>
  <c r="G1115" s="1"/>
  <c r="F48" i="14" s="1"/>
  <c r="G768" i="20"/>
  <c r="G620" i="21"/>
  <c r="G643" s="1"/>
  <c r="G2114" i="23"/>
  <c r="G2139" s="1"/>
  <c r="I1331" i="19"/>
  <c r="I1332" s="1"/>
  <c r="G1565" i="23"/>
  <c r="G1589" s="1"/>
  <c r="H868" i="15"/>
  <c r="H869" s="1"/>
  <c r="H870" s="1"/>
  <c r="G1873" i="24"/>
  <c r="G1899" s="1"/>
  <c r="G1901" s="1"/>
  <c r="G3605" i="22"/>
  <c r="G2177"/>
  <c r="G2214" s="1"/>
  <c r="G1636" i="20"/>
  <c r="G1666" s="1"/>
  <c r="G1668" s="1"/>
  <c r="H892" i="15"/>
  <c r="H893" s="1"/>
  <c r="H894" s="1"/>
  <c r="D92" s="1"/>
  <c r="I1121" i="19"/>
  <c r="I1122" s="1"/>
  <c r="I1123" s="1"/>
  <c r="I1124" s="1"/>
  <c r="I1126" s="1"/>
  <c r="E40" i="14" s="1"/>
  <c r="G2046" i="10"/>
  <c r="G2047" s="1"/>
  <c r="G2048" s="1"/>
  <c r="G2049" s="1"/>
  <c r="G2050" s="1"/>
  <c r="F4769" i="21"/>
  <c r="G4769" s="1"/>
  <c r="G4768"/>
  <c r="G67" i="13"/>
  <c r="D71" i="15"/>
  <c r="G2425" i="24"/>
  <c r="E1556" i="22"/>
  <c r="E1557" s="1"/>
  <c r="E1558" s="1"/>
  <c r="E2036"/>
  <c r="E2037" s="1"/>
  <c r="E2038" s="1"/>
  <c r="G2550" i="10"/>
  <c r="G2551" s="1"/>
  <c r="G2552" s="1"/>
  <c r="G2553" s="1"/>
  <c r="G2554" s="1"/>
  <c r="G1207" i="22"/>
  <c r="G1233" s="1"/>
  <c r="G1235" s="1"/>
  <c r="G1236" s="1"/>
  <c r="G1237" s="1"/>
  <c r="G1238" s="1"/>
  <c r="G1239" i="21"/>
  <c r="G1240" s="1"/>
  <c r="G1241" s="1"/>
  <c r="G1242" s="1"/>
  <c r="E364" i="14" s="1"/>
  <c r="G655" i="24"/>
  <c r="G682" s="1"/>
  <c r="G685" s="1"/>
  <c r="F67" i="15"/>
  <c r="G71"/>
  <c r="E1782" i="21"/>
  <c r="E1783" s="1"/>
  <c r="E1784" s="1"/>
  <c r="F376" i="14" s="1"/>
  <c r="E2172" i="21"/>
  <c r="E2173" s="1"/>
  <c r="E2174" s="1"/>
  <c r="F388" i="14" s="1"/>
  <c r="D102" i="26"/>
  <c r="H85" i="15"/>
  <c r="G1108" i="25"/>
  <c r="G1109" s="1"/>
  <c r="G1110" s="1"/>
  <c r="G1111" s="1"/>
  <c r="E1057" i="14" s="1"/>
  <c r="F83" i="26"/>
  <c r="G83"/>
  <c r="E2780" i="21"/>
  <c r="E2781" s="1"/>
  <c r="E2782" s="1"/>
  <c r="F408" i="14" s="1"/>
  <c r="G1186" i="25"/>
  <c r="G1187" s="1"/>
  <c r="G1188" s="1"/>
  <c r="G1189" s="1"/>
  <c r="E1060" i="14" s="1"/>
  <c r="G1126" i="20"/>
  <c r="F100" i="26"/>
  <c r="G1637" i="22"/>
  <c r="G1638" s="1"/>
  <c r="G1639" s="1"/>
  <c r="G1640" s="1"/>
  <c r="E5153" i="21"/>
  <c r="E5154" s="1"/>
  <c r="E5155" s="1"/>
  <c r="F512" i="14" s="1"/>
  <c r="G3581" i="23"/>
  <c r="G4440" i="21"/>
  <c r="G4458" s="1"/>
  <c r="G4344"/>
  <c r="G4364" s="1"/>
  <c r="G4366" s="1"/>
  <c r="G4367" s="1"/>
  <c r="G4368" s="1"/>
  <c r="G4369" s="1"/>
  <c r="E487" i="14" s="1"/>
  <c r="G1403" i="22"/>
  <c r="G1404" s="1"/>
  <c r="G1405" s="1"/>
  <c r="G1406" s="1"/>
  <c r="G666" i="15"/>
  <c r="G667" s="1"/>
  <c r="G668" s="1"/>
  <c r="G669" s="1"/>
  <c r="I67" i="13" s="1"/>
  <c r="I206" i="19"/>
  <c r="I226" s="1"/>
  <c r="G1933" i="22"/>
  <c r="G1958" s="1"/>
  <c r="G1960" s="1"/>
  <c r="G1961" s="1"/>
  <c r="G1962" s="1"/>
  <c r="G1963" s="1"/>
  <c r="G675" i="10"/>
  <c r="G676" s="1"/>
  <c r="G1159" i="24"/>
  <c r="G2721" i="10"/>
  <c r="G2742" s="1"/>
  <c r="G2744" s="1"/>
  <c r="G1676" i="24"/>
  <c r="G1701" s="1"/>
  <c r="G451" i="22"/>
  <c r="G452" s="1"/>
  <c r="G453" s="1"/>
  <c r="G454" s="1"/>
  <c r="E6894" i="21"/>
  <c r="E6895" s="1"/>
  <c r="E6896" s="1"/>
  <c r="F595" i="14" s="1"/>
  <c r="G6901" i="21"/>
  <c r="G5161"/>
  <c r="G5162" s="1"/>
  <c r="G5163" s="1"/>
  <c r="G5164" s="1"/>
  <c r="E511" i="14" s="1"/>
  <c r="G1151" i="22"/>
  <c r="G1152" s="1"/>
  <c r="G1153" s="1"/>
  <c r="G1154" s="1"/>
  <c r="G68" i="15"/>
  <c r="G1077" i="23"/>
  <c r="G1103" s="1"/>
  <c r="G4785" i="21"/>
  <c r="G4811" s="1"/>
  <c r="G4813" s="1"/>
  <c r="G4815" s="1"/>
  <c r="G677" i="10"/>
  <c r="G5367" i="21"/>
  <c r="E102" i="26"/>
  <c r="G1216" i="11"/>
  <c r="G1217" s="1"/>
  <c r="G1218" s="1"/>
  <c r="G1219" s="1"/>
  <c r="G85" i="15"/>
  <c r="G67"/>
  <c r="I959" i="19"/>
  <c r="I960" s="1"/>
  <c r="I961" s="1"/>
  <c r="I962" s="1"/>
  <c r="I963" s="1"/>
  <c r="E31" i="14" s="1"/>
  <c r="G457" i="19"/>
  <c r="G458" s="1"/>
  <c r="G459" s="1"/>
  <c r="F23" i="14" s="1"/>
  <c r="F84" i="26"/>
  <c r="G2521" i="20"/>
  <c r="G6185" i="21"/>
  <c r="G6186" s="1"/>
  <c r="G6187" s="1"/>
  <c r="G6188" s="1"/>
  <c r="E553" i="14" s="1"/>
  <c r="I3917" i="19"/>
  <c r="I3918" s="1"/>
  <c r="G2745" i="10"/>
  <c r="G2746" s="1"/>
  <c r="G2747" s="1"/>
  <c r="G2748" s="1"/>
  <c r="G2749" s="1"/>
  <c r="G2753" s="1"/>
  <c r="G2755" s="1"/>
  <c r="G2467" i="22"/>
  <c r="G2468" s="1"/>
  <c r="G2469" s="1"/>
  <c r="G2470" s="1"/>
  <c r="G3217" i="21"/>
  <c r="G3218" s="1"/>
  <c r="G3219" s="1"/>
  <c r="G3220" s="1"/>
  <c r="E424" i="14" s="1"/>
  <c r="G4913" i="21"/>
  <c r="G4939" s="1"/>
  <c r="G4941" s="1"/>
  <c r="G4943" s="1"/>
  <c r="G1406" i="23"/>
  <c r="G1432" s="1"/>
  <c r="G6902" i="21"/>
  <c r="G6903" s="1"/>
  <c r="G6904" s="1"/>
  <c r="G6905" s="1"/>
  <c r="E594" i="14" s="1"/>
  <c r="I4812" i="19"/>
  <c r="I4832" s="1"/>
  <c r="I4605"/>
  <c r="I4625" s="1"/>
  <c r="I4627" s="1"/>
  <c r="I4628" s="1"/>
  <c r="I4629" s="1"/>
  <c r="I4630" s="1"/>
  <c r="E175" i="14" s="1"/>
  <c r="G3055" i="21"/>
  <c r="G3056" s="1"/>
  <c r="G3057" s="1"/>
  <c r="G3058" s="1"/>
  <c r="E418" i="14" s="1"/>
  <c r="G2058" i="21"/>
  <c r="G2078" s="1"/>
  <c r="G2080" s="1"/>
  <c r="G2081" s="1"/>
  <c r="G2082" s="1"/>
  <c r="G2083" s="1"/>
  <c r="E384" i="14" s="1"/>
  <c r="G5437" i="21"/>
  <c r="G5462" s="1"/>
  <c r="G5464" s="1"/>
  <c r="G5465" s="1"/>
  <c r="G5466" s="1"/>
  <c r="G5467" s="1"/>
  <c r="E520" i="14" s="1"/>
  <c r="G1531" i="10"/>
  <c r="G2548" i="22"/>
  <c r="G2549" s="1"/>
  <c r="G2550" s="1"/>
  <c r="G2551" s="1"/>
  <c r="G2552" s="1"/>
  <c r="G932" i="20"/>
  <c r="G965" s="1"/>
  <c r="G967" s="1"/>
  <c r="G1193"/>
  <c r="G1211" s="1"/>
  <c r="G1039"/>
  <c r="G1059" s="1"/>
  <c r="G1061" s="1"/>
  <c r="G1065" s="1"/>
  <c r="G472" i="15"/>
  <c r="G473" s="1"/>
  <c r="G474" s="1"/>
  <c r="G475" s="1"/>
  <c r="G62" i="13" s="1"/>
  <c r="G626" i="15"/>
  <c r="G627" s="1"/>
  <c r="G628" s="1"/>
  <c r="G629" s="1"/>
  <c r="G390"/>
  <c r="G391" s="1"/>
  <c r="G392" s="1"/>
  <c r="G393" s="1"/>
  <c r="F61" i="13" s="1"/>
  <c r="G128" i="24"/>
  <c r="G158" s="1"/>
  <c r="G161" s="1"/>
  <c r="G1663" i="10"/>
  <c r="G1665" s="1"/>
  <c r="G1666" s="1"/>
  <c r="G1667" s="1"/>
  <c r="G1668" s="1"/>
  <c r="G814" i="22"/>
  <c r="G815" s="1"/>
  <c r="G816" s="1"/>
  <c r="G817" s="1"/>
  <c r="G2044"/>
  <c r="G2045" s="1"/>
  <c r="G2046" s="1"/>
  <c r="G2047" s="1"/>
  <c r="I5513" i="19"/>
  <c r="I5534" s="1"/>
  <c r="I5536" s="1"/>
  <c r="I5537" s="1"/>
  <c r="I5538" s="1"/>
  <c r="I5539" s="1"/>
  <c r="E199" i="14" s="1"/>
  <c r="G2375" i="10"/>
  <c r="G2398" s="1"/>
  <c r="G2401" s="1"/>
  <c r="G246" i="24"/>
  <c r="G274" s="1"/>
  <c r="I101" i="26"/>
  <c r="I85"/>
  <c r="F80"/>
  <c r="I64" i="13"/>
  <c r="I68" i="15"/>
  <c r="I99" i="26"/>
  <c r="G949" i="24"/>
  <c r="G896" i="22"/>
  <c r="G897" s="1"/>
  <c r="G898" s="1"/>
  <c r="G899" s="1"/>
  <c r="G900" s="1"/>
  <c r="E889"/>
  <c r="E890" s="1"/>
  <c r="E891" s="1"/>
  <c r="E1867"/>
  <c r="E1868" s="1"/>
  <c r="E1869" s="1"/>
  <c r="G1874"/>
  <c r="G598" i="20"/>
  <c r="E591"/>
  <c r="E592" s="1"/>
  <c r="E593" s="1"/>
  <c r="F266" i="14" s="1"/>
  <c r="G2132" i="25"/>
  <c r="E2125"/>
  <c r="E2126" s="1"/>
  <c r="E2127" s="1"/>
  <c r="F1107" i="14" s="1"/>
  <c r="E4995" i="21"/>
  <c r="E4996" s="1"/>
  <c r="E4997" s="1"/>
  <c r="F509" i="14" s="1"/>
  <c r="G5002" i="21"/>
  <c r="G5003" s="1"/>
  <c r="G5004" s="1"/>
  <c r="G5005" s="1"/>
  <c r="G5006" s="1"/>
  <c r="E508" i="14" s="1"/>
  <c r="G2383" i="21"/>
  <c r="G2384" s="1"/>
  <c r="G2385" s="1"/>
  <c r="G2386" s="1"/>
  <c r="E393" i="14" s="1"/>
  <c r="G1875" i="22"/>
  <c r="G1876" s="1"/>
  <c r="G1877" s="1"/>
  <c r="G1878" s="1"/>
  <c r="E5757" i="21"/>
  <c r="E5758" s="1"/>
  <c r="E5759" s="1"/>
  <c r="F530" i="14" s="1"/>
  <c r="G66" i="13"/>
  <c r="D80" i="26"/>
  <c r="E1231" i="21"/>
  <c r="E1232" s="1"/>
  <c r="E1233" s="1"/>
  <c r="F365" i="14" s="1"/>
  <c r="I4271" i="19"/>
  <c r="I4272" s="1"/>
  <c r="I4273" s="1"/>
  <c r="I4274" s="1"/>
  <c r="I2568"/>
  <c r="I2596" s="1"/>
  <c r="G616" i="15"/>
  <c r="G617" s="1"/>
  <c r="G618" s="1"/>
  <c r="G619" s="1"/>
  <c r="D67"/>
  <c r="G1137" i="11"/>
  <c r="G1138" s="1"/>
  <c r="G1139" s="1"/>
  <c r="G1140" s="1"/>
  <c r="E67" i="13"/>
  <c r="G102" i="26"/>
  <c r="G2215" i="11"/>
  <c r="G1994" i="21"/>
  <c r="G2180"/>
  <c r="G2181" s="1"/>
  <c r="G2182" s="1"/>
  <c r="G2183" s="1"/>
  <c r="E387" i="14" s="1"/>
  <c r="G3133" i="21"/>
  <c r="G3134" s="1"/>
  <c r="G3135" s="1"/>
  <c r="G3136" s="1"/>
  <c r="E421" i="14" s="1"/>
  <c r="G4689" i="19"/>
  <c r="G4690" s="1"/>
  <c r="G4691" s="1"/>
  <c r="F179" i="14" s="1"/>
  <c r="G69" i="15"/>
  <c r="D67" i="13"/>
  <c r="G1609" i="24"/>
  <c r="G1610" s="1"/>
  <c r="G1611" s="1"/>
  <c r="G1612" s="1"/>
  <c r="G98" i="26"/>
  <c r="G101"/>
  <c r="F1868" i="21"/>
  <c r="F1869" s="1"/>
  <c r="F1870" s="1"/>
  <c r="F379" i="14" s="1"/>
  <c r="E2375" i="21"/>
  <c r="E2376" s="1"/>
  <c r="E2377" s="1"/>
  <c r="F394" i="14" s="1"/>
  <c r="G4678" i="21"/>
  <c r="G4679" s="1"/>
  <c r="F69" i="15"/>
  <c r="D65" i="13"/>
  <c r="D96" i="26"/>
  <c r="G323" i="21"/>
  <c r="G324" s="1"/>
  <c r="G325" s="1"/>
  <c r="G326" s="1"/>
  <c r="E349" i="14" s="1"/>
  <c r="E2120" i="22"/>
  <c r="E2121" s="1"/>
  <c r="E2122" s="1"/>
  <c r="G5528" i="19"/>
  <c r="G5529" s="1"/>
  <c r="G5530" s="1"/>
  <c r="F200" i="14" s="1"/>
  <c r="E1522" i="10"/>
  <c r="E1523" s="1"/>
  <c r="E1524" s="1"/>
  <c r="G447" i="21"/>
  <c r="G448" s="1"/>
  <c r="G449" s="1"/>
  <c r="G450" s="1"/>
  <c r="E352" i="14" s="1"/>
  <c r="I61" i="13"/>
  <c r="G1310" i="20"/>
  <c r="G1483" i="22"/>
  <c r="G1484" s="1"/>
  <c r="G1485" s="1"/>
  <c r="G1486" s="1"/>
  <c r="G1643" i="21"/>
  <c r="G1667" s="1"/>
  <c r="G1669" s="1"/>
  <c r="G1670" s="1"/>
  <c r="G1671" s="1"/>
  <c r="G1672" s="1"/>
  <c r="G1673" s="1"/>
  <c r="G1674" s="1"/>
  <c r="E370" i="14" s="1"/>
  <c r="I5202" i="19"/>
  <c r="I5222" s="1"/>
  <c r="I5224" s="1"/>
  <c r="I5225" s="1"/>
  <c r="I5226" s="1"/>
  <c r="I5227" s="1"/>
  <c r="E190" i="14" s="1"/>
  <c r="G954" i="22"/>
  <c r="G980" s="1"/>
  <c r="G982" s="1"/>
  <c r="G983" s="1"/>
  <c r="G984" s="1"/>
  <c r="G985" s="1"/>
  <c r="G1319"/>
  <c r="G1320" s="1"/>
  <c r="G1321" s="1"/>
  <c r="G1322" s="1"/>
  <c r="G4256" i="21"/>
  <c r="G4276" s="1"/>
  <c r="G4278" s="1"/>
  <c r="G4279" s="1"/>
  <c r="G4280" s="1"/>
  <c r="G4281" s="1"/>
  <c r="E484" i="14" s="1"/>
  <c r="G208" i="20"/>
  <c r="G239" s="1"/>
  <c r="G241" s="1"/>
  <c r="G242" s="1"/>
  <c r="G1515"/>
  <c r="G1537" s="1"/>
  <c r="G1539" s="1"/>
  <c r="G1541" s="1"/>
  <c r="G400" i="15"/>
  <c r="G401" s="1"/>
  <c r="G402" s="1"/>
  <c r="G403" s="1"/>
  <c r="F97" i="26" s="1"/>
  <c r="G318" i="15"/>
  <c r="G319" s="1"/>
  <c r="G320" s="1"/>
  <c r="G321" s="1"/>
  <c r="E80" i="26" s="1"/>
  <c r="G258" i="10"/>
  <c r="G260" s="1"/>
  <c r="G261" s="1"/>
  <c r="G262" s="1"/>
  <c r="G263" s="1"/>
  <c r="G1323"/>
  <c r="G1325" s="1"/>
  <c r="G1326" s="1"/>
  <c r="G1327" s="1"/>
  <c r="G1328" s="1"/>
  <c r="I302" i="19"/>
  <c r="I327" s="1"/>
  <c r="I329" s="1"/>
  <c r="I330" s="1"/>
  <c r="I331" s="1"/>
  <c r="I332" s="1"/>
  <c r="E19" i="14" s="1"/>
  <c r="E1504" i="23"/>
  <c r="E1505" s="1"/>
  <c r="E1506" s="1"/>
  <c r="F743" i="14" s="1"/>
  <c r="G5737" i="21"/>
  <c r="G5763" s="1"/>
  <c r="D98" i="26"/>
  <c r="G2604" i="11"/>
  <c r="G2385" i="22"/>
  <c r="G2386" s="1"/>
  <c r="G2387" s="1"/>
  <c r="G2388" s="1"/>
  <c r="G2389" s="1"/>
  <c r="E2378"/>
  <c r="E2379" s="1"/>
  <c r="E2380" s="1"/>
  <c r="G384"/>
  <c r="G386" s="1"/>
  <c r="G387" s="1"/>
  <c r="G388" s="1"/>
  <c r="G389" s="1"/>
  <c r="E378"/>
  <c r="E379" s="1"/>
  <c r="E380" s="1"/>
  <c r="G883" i="21"/>
  <c r="G884" s="1"/>
  <c r="G885" s="1"/>
  <c r="G886" s="1"/>
  <c r="G887" s="1"/>
  <c r="G888" s="1"/>
  <c r="E358" i="14" s="1"/>
  <c r="G2641" i="25"/>
  <c r="G2642" s="1"/>
  <c r="G2643" s="1"/>
  <c r="G2644" s="1"/>
  <c r="E1144" i="14" s="1"/>
  <c r="E86" i="26"/>
  <c r="G65" i="13"/>
  <c r="G2508" i="24"/>
  <c r="G2509" s="1"/>
  <c r="G2510" s="1"/>
  <c r="G2511" s="1"/>
  <c r="G2512" s="1"/>
  <c r="G63" i="13"/>
  <c r="G500" i="23"/>
  <c r="G501" s="1"/>
  <c r="G502" s="1"/>
  <c r="G503" s="1"/>
  <c r="E704" i="14" s="1"/>
  <c r="G991" i="10"/>
  <c r="G1324" i="23"/>
  <c r="G1350" s="1"/>
  <c r="G2559" i="21"/>
  <c r="G2579" s="1"/>
  <c r="G2581" s="1"/>
  <c r="G2582" s="1"/>
  <c r="G2583" s="1"/>
  <c r="G2584" s="1"/>
  <c r="E401" i="14" s="1"/>
  <c r="G2629" i="22"/>
  <c r="G2630" s="1"/>
  <c r="G2631" s="1"/>
  <c r="G2632" s="1"/>
  <c r="G1407" i="24"/>
  <c r="G490"/>
  <c r="E2633" i="25"/>
  <c r="E2634" s="1"/>
  <c r="E2635" s="1"/>
  <c r="F1145" i="14" s="1"/>
  <c r="G1792" i="20"/>
  <c r="I3688" i="19"/>
  <c r="I3689" s="1"/>
  <c r="G1902" i="24"/>
  <c r="G1265" i="25"/>
  <c r="G1266" s="1"/>
  <c r="G1267" s="1"/>
  <c r="G1268" s="1"/>
  <c r="E1063" i="14" s="1"/>
  <c r="G5219" i="21"/>
  <c r="G5244" s="1"/>
  <c r="G5246" s="1"/>
  <c r="G5247" s="1"/>
  <c r="G5248" s="1"/>
  <c r="G5249" s="1"/>
  <c r="E514" i="14" s="1"/>
  <c r="G1876" i="21"/>
  <c r="G1877" s="1"/>
  <c r="G1878" s="1"/>
  <c r="G1879" s="1"/>
  <c r="E378" i="14" s="1"/>
  <c r="G1975" i="11"/>
  <c r="G1976" s="1"/>
  <c r="G1977" s="1"/>
  <c r="G1978" s="1"/>
  <c r="I4961" i="19"/>
  <c r="I4962" s="1"/>
  <c r="I4963" s="1"/>
  <c r="I4964" s="1"/>
  <c r="E184" i="14" s="1"/>
  <c r="H2111" i="25"/>
  <c r="G2131" s="1"/>
  <c r="G1973" i="21"/>
  <c r="G1993" s="1"/>
  <c r="G2666"/>
  <c r="G2667" s="1"/>
  <c r="G2668" s="1"/>
  <c r="G2669" s="1"/>
  <c r="E404" i="14" s="1"/>
  <c r="G913" i="23"/>
  <c r="G938" s="1"/>
  <c r="G1242"/>
  <c r="G1268" s="1"/>
  <c r="G1768" i="21"/>
  <c r="G1788" s="1"/>
  <c r="G1790" s="1"/>
  <c r="G1791" s="1"/>
  <c r="G1792" s="1"/>
  <c r="G1793" s="1"/>
  <c r="E375" i="14" s="1"/>
  <c r="G758" i="24"/>
  <c r="G785" s="1"/>
  <c r="G788" s="1"/>
  <c r="D63" i="13"/>
  <c r="G566" i="20"/>
  <c r="G597" s="1"/>
  <c r="I583" i="19"/>
  <c r="I608" s="1"/>
  <c r="G2424" i="20"/>
  <c r="E2425" s="1"/>
  <c r="E2426" s="1"/>
  <c r="E2427" s="1"/>
  <c r="F322" i="14" s="1"/>
  <c r="G1066" i="22"/>
  <c r="G1067" s="1"/>
  <c r="G1068" s="1"/>
  <c r="G1069" s="1"/>
  <c r="G2711"/>
  <c r="G2712" s="1"/>
  <c r="G2713" s="1"/>
  <c r="G2714" s="1"/>
  <c r="G2128"/>
  <c r="G2129" s="1"/>
  <c r="G2130" s="1"/>
  <c r="G2131" s="1"/>
  <c r="G2248" i="20"/>
  <c r="G2245"/>
  <c r="G2246"/>
  <c r="G2247"/>
  <c r="G2086"/>
  <c r="G2089"/>
  <c r="G2088"/>
  <c r="G2087"/>
  <c r="I100" i="26"/>
  <c r="I65" i="13"/>
  <c r="I71" i="15"/>
  <c r="I102" i="26"/>
  <c r="I610" i="19"/>
  <c r="I611" s="1"/>
  <c r="I612" s="1"/>
  <c r="I613" s="1"/>
  <c r="E25" i="14" s="1"/>
  <c r="G971" i="20"/>
  <c r="G969"/>
  <c r="G968"/>
  <c r="G970"/>
  <c r="G1431"/>
  <c r="G1432"/>
  <c r="G466" i="10"/>
  <c r="G245" i="20"/>
  <c r="G684" i="24"/>
  <c r="G2301" i="22"/>
  <c r="E2294"/>
  <c r="E2295" s="1"/>
  <c r="E2296" s="1"/>
  <c r="I4834" i="19"/>
  <c r="I4835" s="1"/>
  <c r="I4836" s="1"/>
  <c r="I4837" s="1"/>
  <c r="E181" i="14" s="1"/>
  <c r="H65" i="13"/>
  <c r="H84" i="26"/>
  <c r="H69" i="15"/>
  <c r="H100" i="26"/>
  <c r="E97"/>
  <c r="E81"/>
  <c r="E62" i="13"/>
  <c r="E66" i="15"/>
  <c r="D128" i="26"/>
  <c r="D85" i="15"/>
  <c r="D136" i="26"/>
  <c r="D83" i="13"/>
  <c r="E268" i="24"/>
  <c r="E269" s="1"/>
  <c r="E270" s="1"/>
  <c r="F902" i="14" s="1"/>
  <c r="G275" i="24"/>
  <c r="F2947"/>
  <c r="G2947" s="1"/>
  <c r="G2950" s="1"/>
  <c r="G2965" s="1"/>
  <c r="G2967" s="1"/>
  <c r="F3009"/>
  <c r="G3009" s="1"/>
  <c r="G3012" s="1"/>
  <c r="G3027" s="1"/>
  <c r="G3029" s="1"/>
  <c r="F2634"/>
  <c r="G2634" s="1"/>
  <c r="G2638" s="1"/>
  <c r="G2652" s="1"/>
  <c r="G2654" s="1"/>
  <c r="F2694"/>
  <c r="G2694" s="1"/>
  <c r="G2697" s="1"/>
  <c r="G2711" s="1"/>
  <c r="F2814"/>
  <c r="G2814" s="1"/>
  <c r="G2817" s="1"/>
  <c r="G2831" s="1"/>
  <c r="F2879"/>
  <c r="G2879" s="1"/>
  <c r="G2882" s="1"/>
  <c r="G2897" s="1"/>
  <c r="G2899" s="1"/>
  <c r="F2755"/>
  <c r="G2755" s="1"/>
  <c r="G2758" s="1"/>
  <c r="G2772" s="1"/>
  <c r="G2774" s="1"/>
  <c r="H64" i="13"/>
  <c r="H68" i="15"/>
  <c r="H83" i="26"/>
  <c r="H99"/>
  <c r="F1732" i="22"/>
  <c r="F1733" s="1"/>
  <c r="F1748"/>
  <c r="G1748" s="1"/>
  <c r="G1752" s="1"/>
  <c r="G1786" s="1"/>
  <c r="G1789" s="1"/>
  <c r="G1790" s="1"/>
  <c r="G1791" s="1"/>
  <c r="G1792" s="1"/>
  <c r="H62" i="13"/>
  <c r="H81" i="26"/>
  <c r="H97"/>
  <c r="H66" i="15"/>
  <c r="H67"/>
  <c r="H82" i="26"/>
  <c r="H98"/>
  <c r="H63" i="13"/>
  <c r="G97" i="26"/>
  <c r="G81"/>
  <c r="I63" i="13"/>
  <c r="I82" i="26"/>
  <c r="I98"/>
  <c r="I67" i="15"/>
  <c r="G1283" i="11"/>
  <c r="G1284" s="1"/>
  <c r="G1285" s="1"/>
  <c r="G1286" s="1"/>
  <c r="G1406" i="24"/>
  <c r="G5765" i="21"/>
  <c r="G5766" s="1"/>
  <c r="G1296" i="24"/>
  <c r="G1297" s="1"/>
  <c r="G1298" s="1"/>
  <c r="G1299" s="1"/>
  <c r="G2520" i="20"/>
  <c r="E2621" i="22"/>
  <c r="E2622" s="1"/>
  <c r="E2623" s="1"/>
  <c r="G1530" i="10"/>
  <c r="G1532" s="1"/>
  <c r="G1533" s="1"/>
  <c r="G1534" s="1"/>
  <c r="G1535" s="1"/>
  <c r="I66" i="13"/>
  <c r="E458" i="10"/>
  <c r="E459" s="1"/>
  <c r="E460" s="1"/>
  <c r="I2349" i="19"/>
  <c r="I2377" s="1"/>
  <c r="G1158" i="24"/>
  <c r="G2341"/>
  <c r="G2343" s="1"/>
  <c r="G2344" s="1"/>
  <c r="G2345" s="1"/>
  <c r="G2346" s="1"/>
  <c r="G1059" i="11"/>
  <c r="G1060" s="1"/>
  <c r="G1061" s="1"/>
  <c r="G1062" s="1"/>
  <c r="G2459" i="21"/>
  <c r="G2460" s="1"/>
  <c r="G2461" s="1"/>
  <c r="G2462" s="1"/>
  <c r="G2463" s="1"/>
  <c r="E396" i="14" s="1"/>
  <c r="G4460" i="21"/>
  <c r="G4461" s="1"/>
  <c r="G4462" s="1"/>
  <c r="G4463" s="1"/>
  <c r="E490" i="14" s="1"/>
  <c r="I5088" i="19"/>
  <c r="I5089" s="1"/>
  <c r="I5090" s="1"/>
  <c r="I5091" s="1"/>
  <c r="G2206" i="10"/>
  <c r="G2252" i="24"/>
  <c r="G2253" s="1"/>
  <c r="G2254" s="1"/>
  <c r="G2255" s="1"/>
  <c r="G2256" s="1"/>
  <c r="G136" i="26"/>
  <c r="H136"/>
  <c r="H128"/>
  <c r="I139" i="19"/>
  <c r="I140" s="1"/>
  <c r="I141" s="1"/>
  <c r="I142" s="1"/>
  <c r="E13" i="14" s="1"/>
  <c r="I3342" i="19"/>
  <c r="G2691" i="25"/>
  <c r="G2253"/>
  <c r="G2254" s="1"/>
  <c r="G2255" s="1"/>
  <c r="G2256" s="1"/>
  <c r="E1109" i="14" s="1"/>
  <c r="G2302" i="22"/>
  <c r="G2303" s="1"/>
  <c r="G2304" s="1"/>
  <c r="G2305" s="1"/>
  <c r="G2522" i="20"/>
  <c r="G601" i="19"/>
  <c r="G2670" i="20"/>
  <c r="G2655" i="24"/>
  <c r="G5643" i="21"/>
  <c r="G5644" s="1"/>
  <c r="G5645" s="1"/>
  <c r="G5646" s="1"/>
  <c r="E526" i="14" s="1"/>
  <c r="I83" i="26"/>
  <c r="I70" i="15"/>
  <c r="I4084" i="19"/>
  <c r="I4085" s="1"/>
  <c r="I2227"/>
  <c r="I2255" s="1"/>
  <c r="I1862"/>
  <c r="I1889" s="1"/>
  <c r="G2054" i="24"/>
  <c r="G2055" s="1"/>
  <c r="G2056" s="1"/>
  <c r="G2057" s="1"/>
  <c r="G2058" s="1"/>
  <c r="G948"/>
  <c r="G3606" i="22"/>
  <c r="G3607" s="1"/>
  <c r="G3608" s="1"/>
  <c r="G3609" s="1"/>
  <c r="G585" i="24"/>
  <c r="G586" s="1"/>
  <c r="G587" s="1"/>
  <c r="G588" s="1"/>
  <c r="G589" s="1"/>
  <c r="H67" i="13"/>
  <c r="H86" i="26"/>
  <c r="H71" i="15"/>
  <c r="H102" i="26"/>
  <c r="I81"/>
  <c r="I66" i="15"/>
  <c r="I62" i="13"/>
  <c r="I97" i="26"/>
  <c r="H101"/>
  <c r="H85"/>
  <c r="H70" i="15"/>
  <c r="H66" i="13"/>
  <c r="D83" i="26"/>
  <c r="D68" i="15"/>
  <c r="D99" i="26"/>
  <c r="D64" i="13"/>
  <c r="E1426" i="23"/>
  <c r="E1427" s="1"/>
  <c r="E1428" s="1"/>
  <c r="F740" i="14" s="1"/>
  <c r="G1433" i="23"/>
  <c r="H65" i="15"/>
  <c r="H96" i="26"/>
  <c r="H61" i="13"/>
  <c r="H80" i="26"/>
  <c r="E1205" i="20"/>
  <c r="E1206" s="1"/>
  <c r="E1207" s="1"/>
  <c r="F283" i="14" s="1"/>
  <c r="G1212" i="20"/>
  <c r="D86" i="15"/>
  <c r="D129" i="26"/>
  <c r="D84" i="13"/>
  <c r="D137" i="26"/>
  <c r="E136"/>
  <c r="E83" i="13"/>
  <c r="E85" i="15"/>
  <c r="E128" i="26"/>
  <c r="E771" i="15"/>
  <c r="G80" i="26"/>
  <c r="G61" i="13"/>
  <c r="G96" i="26"/>
  <c r="G65" i="15"/>
  <c r="I1398" i="19"/>
  <c r="I1399" s="1"/>
  <c r="I1980"/>
  <c r="I2008" s="1"/>
  <c r="G420" i="20"/>
  <c r="I4697" i="19"/>
  <c r="I4698" s="1"/>
  <c r="I4699" s="1"/>
  <c r="I4700" s="1"/>
  <c r="E178" i="14" s="1"/>
  <c r="G1543" i="20"/>
  <c r="G1914"/>
  <c r="G2671"/>
  <c r="I96" i="26"/>
  <c r="I1717" i="19"/>
  <c r="I1744" s="1"/>
  <c r="G2983" i="11"/>
  <c r="G2984" s="1"/>
  <c r="G2985" s="1"/>
  <c r="G2986" s="1"/>
  <c r="G993"/>
  <c r="G994" s="1"/>
  <c r="G995" s="1"/>
  <c r="G996" s="1"/>
  <c r="I2981" i="19"/>
  <c r="I2982" s="1"/>
  <c r="G344" i="22"/>
  <c r="G345" s="1"/>
  <c r="G346" s="1"/>
  <c r="G347" s="1"/>
  <c r="I3838" i="19"/>
  <c r="I3839" s="1"/>
  <c r="G1564" i="22"/>
  <c r="G1565" s="1"/>
  <c r="G1566" s="1"/>
  <c r="G1567" s="1"/>
  <c r="I3758" i="19"/>
  <c r="I3759" s="1"/>
  <c r="G2594" i="20"/>
  <c r="G1311"/>
  <c r="G1314" s="1"/>
  <c r="I2104" i="19"/>
  <c r="I2132" s="1"/>
  <c r="G489" i="24"/>
  <c r="G491" s="1"/>
  <c r="G492" s="1"/>
  <c r="G493" s="1"/>
  <c r="G494" s="1"/>
  <c r="G2400" i="10"/>
  <c r="G2402" s="1"/>
  <c r="G2403" s="1"/>
  <c r="G2404" s="1"/>
  <c r="G2405" s="1"/>
  <c r="G2409" s="1"/>
  <c r="G2411" s="1"/>
  <c r="G736" i="20"/>
  <c r="G767" s="1"/>
  <c r="G769" s="1"/>
  <c r="I228" i="19"/>
  <c r="I229" s="1"/>
  <c r="I230" s="1"/>
  <c r="I231" s="1"/>
  <c r="E16" i="14" s="1"/>
  <c r="G1976" i="23"/>
  <c r="E1969"/>
  <c r="E1970" s="1"/>
  <c r="E1971" s="1"/>
  <c r="F761" i="14" s="1"/>
  <c r="E2220" i="23"/>
  <c r="E2221" s="1"/>
  <c r="E2222" s="1"/>
  <c r="F770" i="14" s="1"/>
  <c r="G2227" i="23"/>
  <c r="G1844" i="20"/>
  <c r="G1847"/>
  <c r="G1846"/>
  <c r="G1845"/>
  <c r="G1893" i="23"/>
  <c r="E1886"/>
  <c r="E1887" s="1"/>
  <c r="E1888" s="1"/>
  <c r="F758" i="14" s="1"/>
  <c r="G2392" i="23"/>
  <c r="E2385"/>
  <c r="E2386" s="1"/>
  <c r="E2387" s="1"/>
  <c r="F776" i="14" s="1"/>
  <c r="G2551" i="23"/>
  <c r="E2544"/>
  <c r="E2545" s="1"/>
  <c r="E2546" s="1"/>
  <c r="F782" i="14" s="1"/>
  <c r="G2058" i="23"/>
  <c r="E2051"/>
  <c r="E2052" s="1"/>
  <c r="E2053" s="1"/>
  <c r="F764" i="14" s="1"/>
  <c r="G188" i="21"/>
  <c r="G189" s="1"/>
  <c r="G190" s="1"/>
  <c r="G191" s="1"/>
  <c r="E343" i="14" s="1"/>
  <c r="G2998" i="10"/>
  <c r="G2999" s="1"/>
  <c r="G3000" s="1"/>
  <c r="G3001" s="1"/>
  <c r="G3002" s="1"/>
  <c r="G3003" s="1"/>
  <c r="G1790" i="20"/>
  <c r="G1991"/>
  <c r="E795" i="24"/>
  <c r="G795" s="1"/>
  <c r="E1671" i="10"/>
  <c r="G1671" s="1"/>
  <c r="E684"/>
  <c r="G684" s="1"/>
  <c r="E1166" i="24"/>
  <c r="G1166" s="1"/>
  <c r="E1000" i="10"/>
  <c r="G1000" s="1"/>
  <c r="E692" i="24"/>
  <c r="G692" s="1"/>
  <c r="E1909"/>
  <c r="G1909" s="1"/>
  <c r="E1331" i="10"/>
  <c r="G1331" s="1"/>
  <c r="E1711" i="24"/>
  <c r="G1711" s="1"/>
  <c r="E2515"/>
  <c r="G2515" s="1"/>
  <c r="E956"/>
  <c r="G956" s="1"/>
  <c r="E284"/>
  <c r="G284" s="1"/>
  <c r="E2752" i="10"/>
  <c r="G2752" s="1"/>
  <c r="E168" i="24"/>
  <c r="G168" s="1"/>
  <c r="E835" i="10"/>
  <c r="G835" s="1"/>
  <c r="E2432" i="24"/>
  <c r="G2432" s="1"/>
  <c r="E474" i="10"/>
  <c r="G474" s="1"/>
  <c r="E2349" i="24"/>
  <c r="G2349" s="1"/>
  <c r="E2557" i="10"/>
  <c r="G2557" s="1"/>
  <c r="E497" i="24"/>
  <c r="G497" s="1"/>
  <c r="E266" i="10"/>
  <c r="G266" s="1"/>
  <c r="E1302" i="24"/>
  <c r="G1302" s="1"/>
  <c r="E2408" i="10"/>
  <c r="G2408" s="1"/>
  <c r="E2259" i="24"/>
  <c r="G2259" s="1"/>
  <c r="E2213" i="10"/>
  <c r="G2213" s="1"/>
  <c r="E1854"/>
  <c r="G1854" s="1"/>
  <c r="E2061" i="24"/>
  <c r="G2061" s="1"/>
  <c r="E592"/>
  <c r="G592" s="1"/>
  <c r="E1616"/>
  <c r="G1616" s="1"/>
  <c r="E1538" i="10"/>
  <c r="G1538" s="1"/>
  <c r="E1414" i="24"/>
  <c r="G1414" s="1"/>
  <c r="E2053" i="10"/>
  <c r="G2053" s="1"/>
  <c r="G2940"/>
  <c r="G2941" s="1"/>
  <c r="G2942" s="1"/>
  <c r="G2943" s="1"/>
  <c r="G2944" s="1"/>
  <c r="G2945" s="1"/>
  <c r="F2758" i="22"/>
  <c r="F2759" s="1"/>
  <c r="F2760" s="1"/>
  <c r="F2762" s="1"/>
  <c r="E2763" s="1"/>
  <c r="I5607" i="19"/>
  <c r="I5608" s="1"/>
  <c r="I5609" s="1"/>
  <c r="I5610" s="1"/>
  <c r="I5611" s="1"/>
  <c r="E202" i="14" s="1"/>
  <c r="G5600" i="19"/>
  <c r="G5601" s="1"/>
  <c r="G5602" s="1"/>
  <c r="F203" i="14" s="1"/>
  <c r="I1598" i="19"/>
  <c r="I1597"/>
  <c r="G2829" i="10"/>
  <c r="G2828"/>
  <c r="G134" i="21"/>
  <c r="G135" s="1"/>
  <c r="G136" s="1"/>
  <c r="G137" s="1"/>
  <c r="G138" s="1"/>
  <c r="E340" i="14" s="1"/>
  <c r="E127" i="21"/>
  <c r="E128" s="1"/>
  <c r="E129" s="1"/>
  <c r="F341" i="14" s="1"/>
  <c r="E720" i="22"/>
  <c r="E721" s="1"/>
  <c r="E722" s="1"/>
  <c r="G727"/>
  <c r="G728" s="1"/>
  <c r="G729" s="1"/>
  <c r="G730" s="1"/>
  <c r="G731" s="1"/>
  <c r="G2386" i="20"/>
  <c r="G2431" s="1"/>
  <c r="G3269" i="10"/>
  <c r="G3270" s="1"/>
  <c r="G3271" s="1"/>
  <c r="G3272" s="1"/>
  <c r="G3273" s="1"/>
  <c r="G3274" s="1"/>
  <c r="G660" i="23"/>
  <c r="G670"/>
  <c r="G2476" i="19"/>
  <c r="G2477" s="1"/>
  <c r="G2478" s="1"/>
  <c r="F92" i="14" s="1"/>
  <c r="I2483" i="19"/>
  <c r="G2796"/>
  <c r="G2797" s="1"/>
  <c r="G2798" s="1"/>
  <c r="F101" i="14" s="1"/>
  <c r="I2803" i="19"/>
  <c r="G3242"/>
  <c r="G3243" s="1"/>
  <c r="G3244" s="1"/>
  <c r="F113" i="14" s="1"/>
  <c r="I3249" i="19"/>
  <c r="G1992" i="20"/>
  <c r="E145" i="26"/>
  <c r="E92" i="15"/>
  <c r="E91" i="13"/>
  <c r="E153" i="26"/>
  <c r="I2597" i="19"/>
  <c r="G2590"/>
  <c r="G2591" s="1"/>
  <c r="G2592" s="1"/>
  <c r="F95" i="14" s="1"/>
  <c r="G2756" i="10"/>
  <c r="G2694" i="19"/>
  <c r="G2695" s="1"/>
  <c r="G2696" s="1"/>
  <c r="F98" i="14" s="1"/>
  <c r="I2701" i="19"/>
  <c r="G2900"/>
  <c r="G2901" s="1"/>
  <c r="G2902" s="1"/>
  <c r="F104" i="14" s="1"/>
  <c r="I2907" i="19"/>
  <c r="I1128"/>
  <c r="G321"/>
  <c r="G322" s="1"/>
  <c r="F20" i="14" s="1"/>
  <c r="H2312" i="19"/>
  <c r="H2368" s="1"/>
  <c r="I2368" s="1"/>
  <c r="H1944"/>
  <c r="H2000" s="1"/>
  <c r="I2000" s="1"/>
  <c r="I2001" s="1"/>
  <c r="H1736"/>
  <c r="I1736" s="1"/>
  <c r="I1737" s="1"/>
  <c r="H2066"/>
  <c r="H2123" s="1"/>
  <c r="I2123" s="1"/>
  <c r="H2189"/>
  <c r="H2246" s="1"/>
  <c r="I2246" s="1"/>
  <c r="E2976" i="11"/>
  <c r="E2977" s="1"/>
  <c r="D153" i="26"/>
  <c r="G1613" i="24"/>
  <c r="H400" i="19"/>
  <c r="H402" s="1"/>
  <c r="H404" s="1"/>
  <c r="H415" s="1"/>
  <c r="I415" s="1"/>
  <c r="I420" s="1"/>
  <c r="I463" s="1"/>
  <c r="I466" s="1"/>
  <c r="I467" s="1"/>
  <c r="I468" s="1"/>
  <c r="I469" s="1"/>
  <c r="E22" i="14" s="1"/>
  <c r="H728" i="19"/>
  <c r="H730" s="1"/>
  <c r="H732" s="1"/>
  <c r="H743" s="1"/>
  <c r="I743" s="1"/>
  <c r="I749" s="1"/>
  <c r="I788" s="1"/>
  <c r="I791" s="1"/>
  <c r="I792" s="1"/>
  <c r="I793" s="1"/>
  <c r="I794" s="1"/>
  <c r="E28" i="14" s="1"/>
  <c r="F129" i="26"/>
  <c r="F137"/>
  <c r="F86" i="15"/>
  <c r="F84" i="13"/>
  <c r="G602" i="19"/>
  <c r="G603" s="1"/>
  <c r="F26" i="14" s="1"/>
  <c r="G1917" i="20"/>
  <c r="G1916"/>
  <c r="G1918"/>
  <c r="G1915"/>
  <c r="G1671"/>
  <c r="G1669"/>
  <c r="G1670"/>
  <c r="G1672"/>
  <c r="G4816" i="21"/>
  <c r="G1883" i="19"/>
  <c r="G1884" s="1"/>
  <c r="G1885" s="1"/>
  <c r="F77" i="14" s="1"/>
  <c r="I1890" i="19"/>
  <c r="I3112"/>
  <c r="G3105"/>
  <c r="G3106" s="1"/>
  <c r="G3107" s="1"/>
  <c r="F110" i="14" s="1"/>
  <c r="G86" i="15"/>
  <c r="G129" i="26"/>
  <c r="G84" i="13"/>
  <c r="G137" i="26"/>
  <c r="H84" i="13"/>
  <c r="H137" i="26"/>
  <c r="H129"/>
  <c r="G2692" i="25"/>
  <c r="G2693" s="1"/>
  <c r="G2694" s="1"/>
  <c r="G46" i="20"/>
  <c r="G48" s="1"/>
  <c r="G30" i="21"/>
  <c r="G32" s="1"/>
  <c r="G32" i="23"/>
  <c r="G34" s="1"/>
  <c r="G44" i="19"/>
  <c r="G46" s="1"/>
  <c r="G30" i="25"/>
  <c r="G32" s="1"/>
  <c r="G30" i="20"/>
  <c r="G32" s="1"/>
  <c r="G49" i="23"/>
  <c r="G51" s="1"/>
  <c r="G29" i="19"/>
  <c r="G31" s="1"/>
  <c r="G47" i="21"/>
  <c r="G49" s="1"/>
  <c r="G47" i="25"/>
  <c r="G49" s="1"/>
  <c r="G4685" i="21"/>
  <c r="G33"/>
  <c r="I2385" i="19"/>
  <c r="G52" i="23"/>
  <c r="I3690" i="19"/>
  <c r="G50" i="21"/>
  <c r="I4003" i="19"/>
  <c r="I3252"/>
  <c r="H2486"/>
  <c r="H2016"/>
  <c r="G1921" i="20"/>
  <c r="H6677" i="19"/>
  <c r="I2486"/>
  <c r="I1897"/>
  <c r="H2263"/>
  <c r="I3549"/>
  <c r="H3549"/>
  <c r="H2140"/>
  <c r="F2092" i="20"/>
  <c r="G4947" i="21"/>
  <c r="I3115" i="19"/>
  <c r="H4086"/>
  <c r="H1752"/>
  <c r="G2440" i="20"/>
  <c r="I2016" i="19"/>
  <c r="H2704"/>
  <c r="F5374" i="21"/>
  <c r="H2600" i="19"/>
  <c r="H3690"/>
  <c r="G2251" i="20"/>
  <c r="G33"/>
  <c r="H1897" i="19"/>
  <c r="G2092" i="20"/>
  <c r="I5822" i="19"/>
  <c r="I3919"/>
  <c r="G5880" i="21"/>
  <c r="I4275" i="19"/>
  <c r="I2910"/>
  <c r="I2140"/>
  <c r="H3919"/>
  <c r="H3252"/>
  <c r="H1400"/>
  <c r="G47"/>
  <c r="I3760"/>
  <c r="H2385"/>
  <c r="F1318" i="20"/>
  <c r="I1400" i="19"/>
  <c r="I3345"/>
  <c r="H3345"/>
  <c r="I2704"/>
  <c r="F4819" i="21"/>
  <c r="G49" i="20"/>
  <c r="I4183" i="19"/>
  <c r="I4185" s="1"/>
  <c r="I4186" s="1"/>
  <c r="E153" i="14" s="1"/>
  <c r="I2263" i="19"/>
  <c r="G35" i="23"/>
  <c r="H4275" i="19"/>
  <c r="H5822"/>
  <c r="F2440" i="20"/>
  <c r="G5374" i="21"/>
  <c r="H2910" i="19"/>
  <c r="F5880" i="21"/>
  <c r="G1220" i="20"/>
  <c r="G33" i="25"/>
  <c r="G1318" i="20"/>
  <c r="F1921"/>
  <c r="I4134" i="19"/>
  <c r="I4136" s="1"/>
  <c r="I4137" s="1"/>
  <c r="E150" i="14" s="1"/>
  <c r="F5771" i="21"/>
  <c r="I3840" i="19"/>
  <c r="F2251" i="20"/>
  <c r="H3840" i="19"/>
  <c r="G32"/>
  <c r="G4819" i="21"/>
  <c r="H4183" i="19"/>
  <c r="I1752"/>
  <c r="H2806"/>
  <c r="F4947" i="21"/>
  <c r="I4086" i="19"/>
  <c r="F1220" i="20"/>
  <c r="H4134" i="19"/>
  <c r="I6677"/>
  <c r="I6678" s="1"/>
  <c r="I6679" s="1"/>
  <c r="E252" i="14" s="1"/>
  <c r="H4003" i="19"/>
  <c r="H3760"/>
  <c r="G50" i="25"/>
  <c r="H3115" i="19"/>
  <c r="I2600"/>
  <c r="F4685" i="21"/>
  <c r="G5771"/>
  <c r="I2806" i="19"/>
  <c r="G5368" i="21"/>
  <c r="G2426" i="24"/>
  <c r="G2427" s="1"/>
  <c r="G2428" s="1"/>
  <c r="F2954" i="25"/>
  <c r="F2955" s="1"/>
  <c r="F2956" s="1"/>
  <c r="E1161" i="14" s="1"/>
  <c r="G1125" i="20" l="1"/>
  <c r="G1124"/>
  <c r="G1496" i="21"/>
  <c r="G1497" s="1"/>
  <c r="G1498" s="1"/>
  <c r="G1499" s="1"/>
  <c r="G1500" s="1"/>
  <c r="G1501" s="1"/>
  <c r="E367" i="14" s="1"/>
  <c r="G4814" i="21"/>
  <c r="G4817" s="1"/>
  <c r="G4818" s="1"/>
  <c r="D91" i="13"/>
  <c r="G1213" i="20"/>
  <c r="G244"/>
  <c r="D145" i="26"/>
  <c r="G2593" i="20"/>
  <c r="G243"/>
  <c r="G1430"/>
  <c r="I69" i="15"/>
  <c r="G2605" i="11"/>
  <c r="G2606" s="1"/>
  <c r="G2607" s="1"/>
  <c r="G2608" s="1"/>
  <c r="G2609" s="1"/>
  <c r="G2610" s="1"/>
  <c r="F65" i="15"/>
  <c r="G1847" i="10"/>
  <c r="G1848" s="1"/>
  <c r="G1849" s="1"/>
  <c r="G1850" s="1"/>
  <c r="G1851" s="1"/>
  <c r="G1160" i="24"/>
  <c r="G1161" s="1"/>
  <c r="G1162" s="1"/>
  <c r="G1163" s="1"/>
  <c r="G828" i="10"/>
  <c r="G829" s="1"/>
  <c r="G830" s="1"/>
  <c r="G831" s="1"/>
  <c r="G832" s="1"/>
  <c r="G1169"/>
  <c r="G1170" s="1"/>
  <c r="G1171" s="1"/>
  <c r="G1172" s="1"/>
  <c r="G1173" s="1"/>
  <c r="G1174" s="1"/>
  <c r="G1175" s="1"/>
  <c r="G2932" i="11"/>
  <c r="G2933" s="1"/>
  <c r="G2934" s="1"/>
  <c r="G2935" s="1"/>
  <c r="I65" i="15"/>
  <c r="G599" i="20"/>
  <c r="F96" i="26"/>
  <c r="G2595" i="20"/>
  <c r="G2596" s="1"/>
  <c r="G2597" s="1"/>
  <c r="G2599" s="1"/>
  <c r="G2600" s="1"/>
  <c r="E329" i="14" s="1"/>
  <c r="G678" i="10"/>
  <c r="G679" s="1"/>
  <c r="G680" s="1"/>
  <c r="G681" s="1"/>
  <c r="G5554" i="21"/>
  <c r="G5555" s="1"/>
  <c r="G5556" s="1"/>
  <c r="G5557" s="1"/>
  <c r="E523" i="14" s="1"/>
  <c r="G2673" i="20"/>
  <c r="G2674" s="1"/>
  <c r="G2675" s="1"/>
  <c r="G2676" s="1"/>
  <c r="E332" i="14" s="1"/>
  <c r="G2216" i="11"/>
  <c r="G2217" s="1"/>
  <c r="G2218" s="1"/>
  <c r="G2219" s="1"/>
  <c r="G1064" i="20"/>
  <c r="G1703" i="24"/>
  <c r="G1704"/>
  <c r="G160"/>
  <c r="G162" s="1"/>
  <c r="G163" s="1"/>
  <c r="G164" s="1"/>
  <c r="G165" s="1"/>
  <c r="G4942" i="21"/>
  <c r="G5767"/>
  <c r="E96" i="26"/>
  <c r="G5883" i="21"/>
  <c r="G1408" i="24"/>
  <c r="G1409" s="1"/>
  <c r="G1410" s="1"/>
  <c r="G1411" s="1"/>
  <c r="G66" i="15"/>
  <c r="F62" i="13"/>
  <c r="G2432" i="20"/>
  <c r="I86" i="26"/>
  <c r="G1995" i="21"/>
  <c r="G1996" s="1"/>
  <c r="G1997" s="1"/>
  <c r="G1998" s="1"/>
  <c r="E381" i="14" s="1"/>
  <c r="G1903" i="24"/>
  <c r="G1904" s="1"/>
  <c r="G1905" s="1"/>
  <c r="G1906" s="1"/>
  <c r="G950"/>
  <c r="G951" s="1"/>
  <c r="G952" s="1"/>
  <c r="G953" s="1"/>
  <c r="G1063" i="20"/>
  <c r="G4944" i="21"/>
  <c r="G1062" i="20"/>
  <c r="G2968" i="24"/>
  <c r="G2969" s="1"/>
  <c r="G2970" s="1"/>
  <c r="G2971" s="1"/>
  <c r="G2972" s="1"/>
  <c r="G2973" s="1"/>
  <c r="G2974" s="1"/>
  <c r="E976" i="14" s="1"/>
  <c r="F1436" i="20"/>
  <c r="E61" i="13"/>
  <c r="F1796" i="20"/>
  <c r="G2207" i="10"/>
  <c r="G2208" s="1"/>
  <c r="G2209" s="1"/>
  <c r="G2210" s="1"/>
  <c r="G2214" s="1"/>
  <c r="G2215" s="1"/>
  <c r="G2524" i="20"/>
  <c r="G2525" s="1"/>
  <c r="G2526" s="1"/>
  <c r="G2527" s="1"/>
  <c r="E326" i="14" s="1"/>
  <c r="G246" i="20"/>
  <c r="G247" s="1"/>
  <c r="G248" s="1"/>
  <c r="G249" s="1"/>
  <c r="E259" i="14" s="1"/>
  <c r="F1546" i="20"/>
  <c r="G5768" i="21"/>
  <c r="G5769" s="1"/>
  <c r="G5770" s="1"/>
  <c r="G4681"/>
  <c r="G4680"/>
  <c r="G4682"/>
  <c r="G992" i="10"/>
  <c r="G993"/>
  <c r="G601" i="20"/>
  <c r="G600"/>
  <c r="E2212" i="10"/>
  <c r="G2212" s="1"/>
  <c r="E1301" i="24"/>
  <c r="G1301" s="1"/>
  <c r="G1303" s="1"/>
  <c r="G1304" s="1"/>
  <c r="E922" i="14" s="1"/>
  <c r="G787" i="24"/>
  <c r="G789" s="1"/>
  <c r="G790" s="1"/>
  <c r="G791" s="1"/>
  <c r="G792" s="1"/>
  <c r="G1794" i="20"/>
  <c r="G1795" s="1"/>
  <c r="G1312"/>
  <c r="E496" i="24"/>
  <c r="G496" s="1"/>
  <c r="G498" s="1"/>
  <c r="H5825" i="19"/>
  <c r="H1402"/>
  <c r="H3612"/>
  <c r="E65" i="15"/>
  <c r="I3253" i="19" s="1"/>
  <c r="E1330" i="10"/>
  <c r="G1330" s="1"/>
  <c r="G1332" s="1"/>
  <c r="G1333" s="1"/>
  <c r="E2258" i="24"/>
  <c r="G2258" s="1"/>
  <c r="G2260" s="1"/>
  <c r="E283"/>
  <c r="G283" s="1"/>
  <c r="F66" i="15"/>
  <c r="G2249" i="20"/>
  <c r="G2250" s="1"/>
  <c r="I1471" i="19"/>
  <c r="I1472" s="1"/>
  <c r="I1473" s="1"/>
  <c r="E62" i="14" s="1"/>
  <c r="E1908" i="24"/>
  <c r="G1908" s="1"/>
  <c r="E1615"/>
  <c r="G1615" s="1"/>
  <c r="G1617" s="1"/>
  <c r="E2052" i="10"/>
  <c r="G2052" s="1"/>
  <c r="G2054" s="1"/>
  <c r="E691" i="24"/>
  <c r="G691" s="1"/>
  <c r="E2751" i="10"/>
  <c r="G2751" s="1"/>
  <c r="H1471" i="19"/>
  <c r="E955" i="24"/>
  <c r="G955" s="1"/>
  <c r="G957" s="1"/>
  <c r="G958" s="1"/>
  <c r="E916" i="14" s="1"/>
  <c r="E2514" i="24"/>
  <c r="G2514" s="1"/>
  <c r="G2516" s="1"/>
  <c r="G2517" s="1"/>
  <c r="E949" i="14" s="1"/>
  <c r="E265" i="10"/>
  <c r="G265" s="1"/>
  <c r="G267" s="1"/>
  <c r="G268" s="1"/>
  <c r="AG268" s="1"/>
  <c r="AG269" s="1"/>
  <c r="E794" i="24"/>
  <c r="G794" s="1"/>
  <c r="E1670" i="10"/>
  <c r="G1670" s="1"/>
  <c r="G1672" s="1"/>
  <c r="G1673" s="1"/>
  <c r="E473"/>
  <c r="G473" s="1"/>
  <c r="G1993" i="20"/>
  <c r="G1274" i="19"/>
  <c r="I1274" s="1"/>
  <c r="I1275" s="1"/>
  <c r="I1276" s="1"/>
  <c r="E53" i="14" s="1"/>
  <c r="E683" i="10"/>
  <c r="G683" s="1"/>
  <c r="G685" s="1"/>
  <c r="G1436" i="20"/>
  <c r="E834" i="10"/>
  <c r="G834" s="1"/>
  <c r="G1675" i="20"/>
  <c r="E1413" i="24"/>
  <c r="G1413" s="1"/>
  <c r="G1415" s="1"/>
  <c r="G1416" s="1"/>
  <c r="E925" i="14" s="1"/>
  <c r="E2556" i="10"/>
  <c r="G2556" s="1"/>
  <c r="G2558" s="1"/>
  <c r="G2561" s="1"/>
  <c r="E1165" i="24"/>
  <c r="G1165" s="1"/>
  <c r="E591"/>
  <c r="G591" s="1"/>
  <c r="I5825" i="19"/>
  <c r="G1542" i="20"/>
  <c r="G1540"/>
  <c r="G2656" i="24"/>
  <c r="G2657" s="1"/>
  <c r="G2658" s="1"/>
  <c r="F2659" s="1"/>
  <c r="G2433" i="20"/>
  <c r="G2436" s="1"/>
  <c r="G1333" i="19"/>
  <c r="I1333" s="1"/>
  <c r="I1334" s="1"/>
  <c r="I1335" s="1"/>
  <c r="E56" i="14" s="1"/>
  <c r="G1796" i="20"/>
  <c r="E999" i="10"/>
  <c r="G999" s="1"/>
  <c r="I1402" i="19"/>
  <c r="I1403" s="1"/>
  <c r="I1404" s="1"/>
  <c r="E59" i="14" s="1"/>
  <c r="E167" i="24"/>
  <c r="G167" s="1"/>
  <c r="F5883" i="21"/>
  <c r="F81" i="26"/>
  <c r="G1994" i="20"/>
  <c r="G1995" s="1"/>
  <c r="E312" i="14" s="1"/>
  <c r="E1537" i="10"/>
  <c r="G1537" s="1"/>
  <c r="G1539" s="1"/>
  <c r="G1546" i="20"/>
  <c r="E2348" i="24"/>
  <c r="G2348" s="1"/>
  <c r="G2350" s="1"/>
  <c r="G2351" s="1"/>
  <c r="E943" i="14" s="1"/>
  <c r="E2431" i="24"/>
  <c r="G2431" s="1"/>
  <c r="E2407" i="10"/>
  <c r="G2407" s="1"/>
  <c r="F1675" i="20"/>
  <c r="E1853" i="10"/>
  <c r="G1853" s="1"/>
  <c r="F1993" i="20"/>
  <c r="G686" i="24"/>
  <c r="G687" s="1"/>
  <c r="G688" s="1"/>
  <c r="G689" s="1"/>
  <c r="G1434" i="20"/>
  <c r="G1435" s="1"/>
  <c r="G972"/>
  <c r="G973" s="1"/>
  <c r="G974" s="1"/>
  <c r="G975" s="1"/>
  <c r="E271" i="14" s="1"/>
  <c r="G2133" i="25"/>
  <c r="G2134" s="1"/>
  <c r="G2135" s="1"/>
  <c r="G2136" s="1"/>
  <c r="E1106" i="14" s="1"/>
  <c r="G1217" i="20"/>
  <c r="G1215"/>
  <c r="G1214"/>
  <c r="G1216"/>
  <c r="E86" i="15"/>
  <c r="E129" i="26"/>
  <c r="E137"/>
  <c r="E84" i="13"/>
  <c r="G2833" i="24"/>
  <c r="G2834"/>
  <c r="G1313" i="20"/>
  <c r="G2412" i="10"/>
  <c r="G593" i="24"/>
  <c r="G594" s="1"/>
  <c r="E907" i="14" s="1"/>
  <c r="G1315" i="20"/>
  <c r="G2775" i="24"/>
  <c r="G2776" s="1"/>
  <c r="G2777" s="1"/>
  <c r="G2778" s="1"/>
  <c r="F2779" s="1"/>
  <c r="G3030"/>
  <c r="G3031" s="1"/>
  <c r="G3032" s="1"/>
  <c r="G3033" s="1"/>
  <c r="G3034" s="1"/>
  <c r="G3035" s="1"/>
  <c r="G3036" s="1"/>
  <c r="E979" i="14" s="1"/>
  <c r="G468" i="10"/>
  <c r="G469" s="1"/>
  <c r="G470" s="1"/>
  <c r="G471" s="1"/>
  <c r="G2090" i="20"/>
  <c r="G2091" s="1"/>
  <c r="G771"/>
  <c r="G773"/>
  <c r="G772"/>
  <c r="G770"/>
  <c r="H3550" i="19"/>
  <c r="H3841"/>
  <c r="G4820" i="21"/>
  <c r="G1319" i="20"/>
  <c r="F4948" i="21"/>
  <c r="H3253" i="19"/>
  <c r="H3116"/>
  <c r="I3116"/>
  <c r="F5772" i="21"/>
  <c r="H4087" i="19"/>
  <c r="I2264"/>
  <c r="H2141"/>
  <c r="G2441" i="20"/>
  <c r="H2386" i="19"/>
  <c r="I2705"/>
  <c r="H1898"/>
  <c r="I2601"/>
  <c r="F1922" i="20"/>
  <c r="I3920" i="19"/>
  <c r="I3922" s="1"/>
  <c r="I3923" s="1"/>
  <c r="E141" i="14" s="1"/>
  <c r="I3550" i="19"/>
  <c r="I3552" s="1"/>
  <c r="I3553" s="1"/>
  <c r="E124" i="14" s="1"/>
  <c r="G1922" i="20"/>
  <c r="G2093"/>
  <c r="I2911" i="19"/>
  <c r="F2441" i="20"/>
  <c r="H2017" i="19"/>
  <c r="I2141"/>
  <c r="F2252" i="20"/>
  <c r="H2807" i="19"/>
  <c r="G4948" i="21"/>
  <c r="I3346" i="19"/>
  <c r="I2017"/>
  <c r="F5375" i="21"/>
  <c r="F5881"/>
  <c r="H4004" i="19"/>
  <c r="G423" i="20"/>
  <c r="G422"/>
  <c r="G424"/>
  <c r="G421"/>
  <c r="G2713" i="24"/>
  <c r="G2714"/>
  <c r="G276"/>
  <c r="G277"/>
  <c r="F3001" i="10"/>
  <c r="G2900" i="24"/>
  <c r="G2901" s="1"/>
  <c r="G2902" s="1"/>
  <c r="G2903" s="1"/>
  <c r="G2904" s="1"/>
  <c r="G2905" s="1"/>
  <c r="G2906" s="1"/>
  <c r="E970" i="14" s="1"/>
  <c r="F2943" i="10"/>
  <c r="G1848" i="20"/>
  <c r="G1849" s="1"/>
  <c r="G1850" s="1"/>
  <c r="G1851" s="1"/>
  <c r="E302" i="14" s="1"/>
  <c r="G2830" i="10"/>
  <c r="G2831" s="1"/>
  <c r="G2832" s="1"/>
  <c r="G2833" s="1"/>
  <c r="G2834" s="1"/>
  <c r="G2835" s="1"/>
  <c r="I1601" i="19"/>
  <c r="H1604" s="1"/>
  <c r="G4945" i="21"/>
  <c r="G4946" s="1"/>
  <c r="G4950" s="1"/>
  <c r="G4951" s="1"/>
  <c r="E505" i="14" s="1"/>
  <c r="G2659" i="24"/>
  <c r="G2660" s="1"/>
  <c r="G2661" s="1"/>
  <c r="E956" i="14" s="1"/>
  <c r="G1673" i="20"/>
  <c r="G1674" s="1"/>
  <c r="I4277" i="19"/>
  <c r="I4278" s="1"/>
  <c r="E158" i="14" s="1"/>
  <c r="G1919" i="20"/>
  <c r="G1920" s="1"/>
  <c r="G1924" s="1"/>
  <c r="G1925" s="1"/>
  <c r="E307" i="14" s="1"/>
  <c r="I5092" i="19"/>
  <c r="I5094" s="1"/>
  <c r="E187" i="14" s="1"/>
  <c r="E1147"/>
  <c r="G2429" i="24"/>
  <c r="G5371" i="21"/>
  <c r="G5370"/>
  <c r="G5369"/>
  <c r="I2124" i="19"/>
  <c r="I2125" s="1"/>
  <c r="G2002"/>
  <c r="G2003" s="1"/>
  <c r="G2004" s="1"/>
  <c r="F80" i="14" s="1"/>
  <c r="I2009" i="19"/>
  <c r="I1130"/>
  <c r="I1131" s="1"/>
  <c r="G672" i="23"/>
  <c r="G671"/>
  <c r="G51" i="21"/>
  <c r="G53" i="23"/>
  <c r="G34" i="25"/>
  <c r="G36" i="23"/>
  <c r="G50" i="20"/>
  <c r="I2247" i="19"/>
  <c r="I2248" s="1"/>
  <c r="G1738"/>
  <c r="G1739" s="1"/>
  <c r="G1740" s="1"/>
  <c r="F74" i="14" s="1"/>
  <c r="I1745" i="19"/>
  <c r="I2369"/>
  <c r="I2370" s="1"/>
  <c r="G661" i="23"/>
  <c r="G662"/>
  <c r="G51" i="25"/>
  <c r="G33" i="19"/>
  <c r="G34" i="20"/>
  <c r="G48" i="19"/>
  <c r="G34" i="21"/>
  <c r="G1797" i="20" l="1"/>
  <c r="G1798" s="1"/>
  <c r="E299" i="14" s="1"/>
  <c r="G1128" i="20"/>
  <c r="G1129" s="1"/>
  <c r="G1130" s="1"/>
  <c r="G1131" s="1"/>
  <c r="E279" i="14" s="1"/>
  <c r="G2434" i="20"/>
  <c r="G1855" i="10"/>
  <c r="G1856" s="1"/>
  <c r="G796" i="24"/>
  <c r="G797" s="1"/>
  <c r="E913" i="14" s="1"/>
  <c r="G1066" i="20"/>
  <c r="G1067" s="1"/>
  <c r="G1068" s="1"/>
  <c r="G1069" s="1"/>
  <c r="E274" i="14" s="1"/>
  <c r="G1705" i="24"/>
  <c r="G1706" s="1"/>
  <c r="G1707" s="1"/>
  <c r="G1708" s="1"/>
  <c r="G603" i="20"/>
  <c r="G602"/>
  <c r="F1558" i="19"/>
  <c r="H1558" s="1"/>
  <c r="H1559" s="1"/>
  <c r="H1560" s="1"/>
  <c r="E70" i="14" s="1"/>
  <c r="E2060" i="24"/>
  <c r="G2060" s="1"/>
  <c r="G2062" s="1"/>
  <c r="F1515" i="19"/>
  <c r="H1515" s="1"/>
  <c r="H1516" s="1"/>
  <c r="H1517" s="1"/>
  <c r="E67" i="14" s="1"/>
  <c r="I3612" i="19"/>
  <c r="I3613" s="1"/>
  <c r="I3614" s="1"/>
  <c r="E127" i="14" s="1"/>
  <c r="E1710" i="24"/>
  <c r="G1710" s="1"/>
  <c r="G1712" s="1"/>
  <c r="G1713" s="1"/>
  <c r="E931" i="14" s="1"/>
  <c r="G2433" i="24"/>
  <c r="G2434" s="1"/>
  <c r="E946" i="14" s="1"/>
  <c r="G1167" i="24"/>
  <c r="G1169" s="1"/>
  <c r="G836" i="10"/>
  <c r="G837" s="1"/>
  <c r="G2057"/>
  <c r="G2056"/>
  <c r="G1676" i="20"/>
  <c r="G1677" s="1"/>
  <c r="E296" i="14" s="1"/>
  <c r="G4822" i="21"/>
  <c r="G4823" s="1"/>
  <c r="E502" i="14" s="1"/>
  <c r="G2095" i="20"/>
  <c r="G2096" s="1"/>
  <c r="E315" i="14" s="1"/>
  <c r="G2560" i="10"/>
  <c r="G693" i="24"/>
  <c r="G694" s="1"/>
  <c r="E910" i="14" s="1"/>
  <c r="G1544" i="20"/>
  <c r="G1545" s="1"/>
  <c r="G1547" s="1"/>
  <c r="G1548" s="1"/>
  <c r="E293" i="14" s="1"/>
  <c r="G1910" i="24"/>
  <c r="G1912" s="1"/>
  <c r="G1316" i="20"/>
  <c r="G1317" s="1"/>
  <c r="G994" i="10"/>
  <c r="G995" s="1"/>
  <c r="G996" s="1"/>
  <c r="G997" s="1"/>
  <c r="G1001" s="1"/>
  <c r="G1002" s="1"/>
  <c r="G4683" i="21"/>
  <c r="G4684" s="1"/>
  <c r="G1541" i="10"/>
  <c r="G1542"/>
  <c r="G1170" i="24"/>
  <c r="E919" i="14" s="1"/>
  <c r="G1913" i="24"/>
  <c r="E934" i="14" s="1"/>
  <c r="G501" i="24"/>
  <c r="E904" i="14" s="1"/>
  <c r="G500" i="24"/>
  <c r="G1620"/>
  <c r="E928" i="14" s="1"/>
  <c r="G1619" i="24"/>
  <c r="G688" i="10"/>
  <c r="G687"/>
  <c r="G2262" i="24"/>
  <c r="G2263"/>
  <c r="E940" i="14" s="1"/>
  <c r="G2779" i="24"/>
  <c r="G2780" s="1"/>
  <c r="G2781" s="1"/>
  <c r="E962" i="14" s="1"/>
  <c r="G2437" i="20"/>
  <c r="G1437"/>
  <c r="G1438" s="1"/>
  <c r="E290" i="14" s="1"/>
  <c r="G169" i="24"/>
  <c r="G170" s="1"/>
  <c r="AG170" s="1"/>
  <c r="AG171" s="1"/>
  <c r="G2435" i="20"/>
  <c r="I3761" i="19"/>
  <c r="I3763" s="1"/>
  <c r="I3764" s="1"/>
  <c r="E135" i="14" s="1"/>
  <c r="I5823" i="19"/>
  <c r="H3920"/>
  <c r="I4004"/>
  <c r="I4006" s="1"/>
  <c r="I4007" s="1"/>
  <c r="E144" i="14" s="1"/>
  <c r="H2983" i="19"/>
  <c r="G4686" i="21"/>
  <c r="H5823" i="19"/>
  <c r="H2911"/>
  <c r="I2487"/>
  <c r="H2601"/>
  <c r="I3691"/>
  <c r="I3693" s="1"/>
  <c r="I3694" s="1"/>
  <c r="E132" i="14" s="1"/>
  <c r="G2252" i="20"/>
  <c r="G2254" s="1"/>
  <c r="G2255" s="1"/>
  <c r="E318" i="14" s="1"/>
  <c r="F4820" i="21"/>
  <c r="I1753" i="19"/>
  <c r="G5772" i="21"/>
  <c r="G5774" s="1"/>
  <c r="G5775" s="1"/>
  <c r="E529" i="14" s="1"/>
  <c r="G5375" i="21"/>
  <c r="I2386" i="19"/>
  <c r="G475" i="10"/>
  <c r="G476" s="1"/>
  <c r="G1218" i="20"/>
  <c r="G1219" s="1"/>
  <c r="G1222" s="1"/>
  <c r="G1223" s="1"/>
  <c r="E282" i="14" s="1"/>
  <c r="H2264" i="19"/>
  <c r="H2487"/>
  <c r="F1319" i="20"/>
  <c r="I3841" i="19"/>
  <c r="I3843" s="1"/>
  <c r="I3844" s="1"/>
  <c r="E138" i="14" s="1"/>
  <c r="I1898" i="19"/>
  <c r="I2983"/>
  <c r="I2985" s="1"/>
  <c r="I2986" s="1"/>
  <c r="E106" i="14" s="1"/>
  <c r="F2093" i="20"/>
  <c r="H3761" i="19"/>
  <c r="H2705"/>
  <c r="F4686" i="21"/>
  <c r="I4087" i="19"/>
  <c r="I4089" s="1"/>
  <c r="I4090" s="1"/>
  <c r="E147" i="14" s="1"/>
  <c r="I2807" i="19"/>
  <c r="H1753"/>
  <c r="H3346"/>
  <c r="G5881" i="21"/>
  <c r="G5884" s="1"/>
  <c r="G5885" s="1"/>
  <c r="E532" i="14" s="1"/>
  <c r="H3691" i="19"/>
  <c r="I1665"/>
  <c r="I1666" s="1"/>
  <c r="G2715" i="24"/>
  <c r="G2716" s="1"/>
  <c r="G2717" s="1"/>
  <c r="G2835"/>
  <c r="G2836" s="1"/>
  <c r="G2837" s="1"/>
  <c r="G278"/>
  <c r="G279" s="1"/>
  <c r="G280" s="1"/>
  <c r="G281" s="1"/>
  <c r="G285" s="1"/>
  <c r="G286" s="1"/>
  <c r="E901" i="14" s="1"/>
  <c r="G425" i="20"/>
  <c r="G426" s="1"/>
  <c r="G427" s="1"/>
  <c r="G428" s="1"/>
  <c r="E262" i="14" s="1"/>
  <c r="G774" i="20"/>
  <c r="G775" s="1"/>
  <c r="G776" s="1"/>
  <c r="G777" s="1"/>
  <c r="E268" i="14" s="1"/>
  <c r="G1321" i="20"/>
  <c r="G1322" s="1"/>
  <c r="E285" i="14" s="1"/>
  <c r="G665" i="23"/>
  <c r="G667" s="1"/>
  <c r="E960" s="1"/>
  <c r="F979" s="1"/>
  <c r="G979" s="1"/>
  <c r="G675"/>
  <c r="G677" s="1"/>
  <c r="F2414" s="1"/>
  <c r="F2431" s="1"/>
  <c r="G2431" s="1"/>
  <c r="G2432" s="1"/>
  <c r="G2434" s="1"/>
  <c r="G2469" s="1"/>
  <c r="G2472" s="1"/>
  <c r="G2473" s="1"/>
  <c r="G2474" s="1"/>
  <c r="G2475" s="1"/>
  <c r="E778" i="14" s="1"/>
  <c r="G5372" i="21"/>
  <c r="G5373" s="1"/>
  <c r="H1929" i="19"/>
  <c r="H3189"/>
  <c r="H3208" s="1"/>
  <c r="I3208" s="1"/>
  <c r="I3209" s="1"/>
  <c r="I3211" s="1"/>
  <c r="I3247" s="1"/>
  <c r="I3250" s="1"/>
  <c r="I3251" s="1"/>
  <c r="I3255" s="1"/>
  <c r="I3256" s="1"/>
  <c r="E112" i="14" s="1"/>
  <c r="H2644" i="19"/>
  <c r="H2662" s="1"/>
  <c r="I2662" s="1"/>
  <c r="H2537"/>
  <c r="H2555" s="1"/>
  <c r="I2555" s="1"/>
  <c r="I2556" s="1"/>
  <c r="I2557" s="1"/>
  <c r="I2595" s="1"/>
  <c r="I2598" s="1"/>
  <c r="I2599" s="1"/>
  <c r="I2603" s="1"/>
  <c r="I2604" s="1"/>
  <c r="E94" i="14" s="1"/>
  <c r="H2174" i="19"/>
  <c r="H2427"/>
  <c r="H2444" s="1"/>
  <c r="I2444" s="1"/>
  <c r="I2445" s="1"/>
  <c r="I2446" s="1"/>
  <c r="I2481" s="1"/>
  <c r="I2484" s="1"/>
  <c r="I2485" s="1"/>
  <c r="H2748"/>
  <c r="H2764" s="1"/>
  <c r="I2764" s="1"/>
  <c r="I2765" s="1"/>
  <c r="I2766" s="1"/>
  <c r="I2801" s="1"/>
  <c r="I2804" s="1"/>
  <c r="I2805" s="1"/>
  <c r="H3291"/>
  <c r="H3306" s="1"/>
  <c r="I3306" s="1"/>
  <c r="I3308" s="1"/>
  <c r="I3340" s="1"/>
  <c r="I3343" s="1"/>
  <c r="H5763"/>
  <c r="H5780" s="1"/>
  <c r="I5780" s="1"/>
  <c r="H2051"/>
  <c r="H3048"/>
  <c r="H3071" s="1"/>
  <c r="I3071" s="1"/>
  <c r="H2851"/>
  <c r="H2868" s="1"/>
  <c r="I2868" s="1"/>
  <c r="H2297"/>
  <c r="I1810"/>
  <c r="I1811" s="1"/>
  <c r="H1841" s="1"/>
  <c r="I1841" s="1"/>
  <c r="I1842" s="1"/>
  <c r="I1888" s="1"/>
  <c r="I1891" s="1"/>
  <c r="E41" i="14"/>
  <c r="I1133" i="19"/>
  <c r="I2378"/>
  <c r="G2371"/>
  <c r="G2372" s="1"/>
  <c r="G2373" s="1"/>
  <c r="F89" i="14" s="1"/>
  <c r="G2249" i="19"/>
  <c r="G2250" s="1"/>
  <c r="G2251" s="1"/>
  <c r="F86" i="14" s="1"/>
  <c r="I2256" i="19"/>
  <c r="G2126"/>
  <c r="G2127" s="1"/>
  <c r="G2128" s="1"/>
  <c r="F83" i="14" s="1"/>
  <c r="I2133" i="19"/>
  <c r="G604" i="20" l="1"/>
  <c r="G605" s="1"/>
  <c r="G606" s="1"/>
  <c r="G607" s="1"/>
  <c r="E265" i="14" s="1"/>
  <c r="G2065" i="24"/>
  <c r="E937" i="14" s="1"/>
  <c r="G2064" i="24"/>
  <c r="F2081" i="23"/>
  <c r="F2100" s="1"/>
  <c r="G2100" s="1"/>
  <c r="I2809" i="19"/>
  <c r="I2810" s="1"/>
  <c r="E100" i="14" s="1"/>
  <c r="E898"/>
  <c r="G5377" i="21"/>
  <c r="G5378" s="1"/>
  <c r="E517" i="14" s="1"/>
  <c r="G2438" i="20"/>
  <c r="G2439" s="1"/>
  <c r="G2443" s="1"/>
  <c r="G2444" s="1"/>
  <c r="E321" i="14" s="1"/>
  <c r="I2489" i="19"/>
  <c r="I2490" s="1"/>
  <c r="E91" i="14" s="1"/>
  <c r="G4688" i="21"/>
  <c r="G4689" s="1"/>
  <c r="E499" i="14" s="1"/>
  <c r="F702" i="23"/>
  <c r="F731" s="1"/>
  <c r="G731" s="1"/>
  <c r="G732" s="1"/>
  <c r="G734" s="1"/>
  <c r="G772" s="1"/>
  <c r="G775" s="1"/>
  <c r="G776" s="1"/>
  <c r="G777" s="1"/>
  <c r="G778" s="1"/>
  <c r="E715" i="14" s="1"/>
  <c r="E3528" i="23"/>
  <c r="F3543" s="1"/>
  <c r="G3543" s="1"/>
  <c r="G3545" s="1"/>
  <c r="G3579" s="1"/>
  <c r="G3582" s="1"/>
  <c r="G3583" s="1"/>
  <c r="G3584" s="1"/>
  <c r="G3585" s="1"/>
  <c r="E843" i="14" s="1"/>
  <c r="F2165" i="23"/>
  <c r="F2186" s="1"/>
  <c r="G2186" s="1"/>
  <c r="G2187" s="1"/>
  <c r="G2188" s="1"/>
  <c r="G2225" s="1"/>
  <c r="G2228" s="1"/>
  <c r="G2229" s="1"/>
  <c r="G2230" s="1"/>
  <c r="G2231" s="1"/>
  <c r="E769" i="14" s="1"/>
  <c r="F1831" i="23"/>
  <c r="F1533"/>
  <c r="F1534" s="1"/>
  <c r="F1535" s="1"/>
  <c r="F1552" s="1"/>
  <c r="G1552" s="1"/>
  <c r="G1554" s="1"/>
  <c r="G1588" s="1"/>
  <c r="G1591" s="1"/>
  <c r="G1592" s="1"/>
  <c r="G1593" s="1"/>
  <c r="G1594" s="1"/>
  <c r="E745" i="14" s="1"/>
  <c r="F2718" i="24"/>
  <c r="G2718"/>
  <c r="G2719" s="1"/>
  <c r="G2720" s="1"/>
  <c r="E959" i="14" s="1"/>
  <c r="F796" i="23"/>
  <c r="F815" s="1"/>
  <c r="G815" s="1"/>
  <c r="G816" s="1"/>
  <c r="G818" s="1"/>
  <c r="G856" s="1"/>
  <c r="G859" s="1"/>
  <c r="G860" s="1"/>
  <c r="G861" s="1"/>
  <c r="G862" s="1"/>
  <c r="E718" i="14" s="1"/>
  <c r="F1125" i="23"/>
  <c r="F1144" s="1"/>
  <c r="G1144" s="1"/>
  <c r="G1145" s="1"/>
  <c r="G1147" s="1"/>
  <c r="G1185" s="1"/>
  <c r="G1188" s="1"/>
  <c r="G1189" s="1"/>
  <c r="G1190" s="1"/>
  <c r="G1191" s="1"/>
  <c r="E730" i="14" s="1"/>
  <c r="F2249" i="23"/>
  <c r="F2250" s="1"/>
  <c r="F2251" s="1"/>
  <c r="F2270" s="1"/>
  <c r="G2270" s="1"/>
  <c r="F2574"/>
  <c r="F2591" s="1"/>
  <c r="G2591" s="1"/>
  <c r="G2593" s="1"/>
  <c r="G2627" s="1"/>
  <c r="G2630" s="1"/>
  <c r="G2631" s="1"/>
  <c r="G2632" s="1"/>
  <c r="G2633" s="1"/>
  <c r="E784" i="14" s="1"/>
  <c r="F1208" i="23"/>
  <c r="F1226" s="1"/>
  <c r="G1226" s="1"/>
  <c r="F1754"/>
  <c r="F1771" s="1"/>
  <c r="G1771" s="1"/>
  <c r="G1773" s="1"/>
  <c r="G1807" s="1"/>
  <c r="G1810" s="1"/>
  <c r="G1811" s="1"/>
  <c r="G1812" s="1"/>
  <c r="G1813" s="1"/>
  <c r="E754" i="14" s="1"/>
  <c r="F3606" i="23"/>
  <c r="F3618" s="1"/>
  <c r="G3618" s="1"/>
  <c r="G3620" s="1"/>
  <c r="G3644" s="1"/>
  <c r="G3647" s="1"/>
  <c r="G3648" s="1"/>
  <c r="G3649" s="1"/>
  <c r="G3650" s="1"/>
  <c r="E846" i="14" s="1"/>
  <c r="E879" i="23"/>
  <c r="F897" s="1"/>
  <c r="G897" s="1"/>
  <c r="G898" s="1"/>
  <c r="G900" s="1"/>
  <c r="G937" s="1"/>
  <c r="G940" s="1"/>
  <c r="G941" s="1"/>
  <c r="G942" s="1"/>
  <c r="G943" s="1"/>
  <c r="E721" i="14" s="1"/>
  <c r="F1915" i="23"/>
  <c r="F2494"/>
  <c r="F2511" s="1"/>
  <c r="G2511" s="1"/>
  <c r="G2512" s="1"/>
  <c r="G2514" s="1"/>
  <c r="G2549" s="1"/>
  <c r="G2552" s="1"/>
  <c r="G2553" s="1"/>
  <c r="G2554" s="1"/>
  <c r="G2555" s="1"/>
  <c r="E781" i="14" s="1"/>
  <c r="F1372" i="23"/>
  <c r="F1390" s="1"/>
  <c r="G1390" s="1"/>
  <c r="G1391" s="1"/>
  <c r="G1393" s="1"/>
  <c r="G1431" s="1"/>
  <c r="G1434" s="1"/>
  <c r="G1435" s="1"/>
  <c r="G1436" s="1"/>
  <c r="G1437" s="1"/>
  <c r="E739" i="14" s="1"/>
  <c r="D1290" i="23"/>
  <c r="F1308" s="1"/>
  <c r="G1308" s="1"/>
  <c r="G1309" s="1"/>
  <c r="G1311" s="1"/>
  <c r="G1349" s="1"/>
  <c r="G1352" s="1"/>
  <c r="G1353" s="1"/>
  <c r="G1354" s="1"/>
  <c r="G1355" s="1"/>
  <c r="E736" i="14" s="1"/>
  <c r="F2332" i="23"/>
  <c r="F2333" s="1"/>
  <c r="F2334" s="1"/>
  <c r="F2353" s="1"/>
  <c r="G2353" s="1"/>
  <c r="F2651"/>
  <c r="F2669" s="1"/>
  <c r="G2669" s="1"/>
  <c r="F1455"/>
  <c r="F1456" s="1"/>
  <c r="F1457" s="1"/>
  <c r="F1473" s="1"/>
  <c r="G1473" s="1"/>
  <c r="G1475" s="1"/>
  <c r="G1509" s="1"/>
  <c r="G1512" s="1"/>
  <c r="G1513" s="1"/>
  <c r="G1514" s="1"/>
  <c r="G1515" s="1"/>
  <c r="E742" i="14" s="1"/>
  <c r="F1998" i="23"/>
  <c r="F1999" s="1"/>
  <c r="F2000" s="1"/>
  <c r="F2019" s="1"/>
  <c r="G2019" s="1"/>
  <c r="F2838" i="24"/>
  <c r="G2838"/>
  <c r="G2839" s="1"/>
  <c r="G2840" s="1"/>
  <c r="E965" i="14" s="1"/>
  <c r="F1043" i="23"/>
  <c r="F1061" s="1"/>
  <c r="G1061" s="1"/>
  <c r="G1062" s="1"/>
  <c r="G1064" s="1"/>
  <c r="G1102" s="1"/>
  <c r="G1105" s="1"/>
  <c r="G1106" s="1"/>
  <c r="G1107" s="1"/>
  <c r="G1108" s="1"/>
  <c r="E727" i="14" s="1"/>
  <c r="H2175" i="19"/>
  <c r="H2205" s="1"/>
  <c r="I2205" s="1"/>
  <c r="H1696"/>
  <c r="I1696" s="1"/>
  <c r="I1697" s="1"/>
  <c r="I1743" s="1"/>
  <c r="I1746" s="1"/>
  <c r="H2298"/>
  <c r="H2327" s="1"/>
  <c r="I2327" s="1"/>
  <c r="H2052"/>
  <c r="H2082" s="1"/>
  <c r="I2082" s="1"/>
  <c r="H1930"/>
  <c r="H1959" s="1"/>
  <c r="I1959" s="1"/>
  <c r="I1960" s="1"/>
  <c r="I2007" s="1"/>
  <c r="I2010" s="1"/>
  <c r="I3072"/>
  <c r="I3074" s="1"/>
  <c r="I3110" s="1"/>
  <c r="I3113" s="1"/>
  <c r="I3114" s="1"/>
  <c r="I3118" s="1"/>
  <c r="I3119" s="1"/>
  <c r="E109" i="14" s="1"/>
  <c r="I5781" i="19"/>
  <c r="I5783" s="1"/>
  <c r="I5817" s="1"/>
  <c r="I5820" s="1"/>
  <c r="I5821" s="1"/>
  <c r="I5826" s="1"/>
  <c r="I5827" s="1"/>
  <c r="E213" i="14" s="1"/>
  <c r="I2663" i="19"/>
  <c r="I2664" s="1"/>
  <c r="I2699" s="1"/>
  <c r="I2702" s="1"/>
  <c r="I2703" s="1"/>
  <c r="I2707" s="1"/>
  <c r="I2708" s="1"/>
  <c r="E97" i="14" s="1"/>
  <c r="I1893" i="19"/>
  <c r="I1892"/>
  <c r="I1894"/>
  <c r="I2869"/>
  <c r="I2870" s="1"/>
  <c r="I2905" s="1"/>
  <c r="I2908" s="1"/>
  <c r="I2909" s="1"/>
  <c r="I2913" s="1"/>
  <c r="I2914" s="1"/>
  <c r="E103" i="14" s="1"/>
  <c r="I3344" i="19"/>
  <c r="I3348" s="1"/>
  <c r="I3349" s="1"/>
  <c r="E115" i="14" s="1"/>
  <c r="G2101" i="23"/>
  <c r="G2103" s="1"/>
  <c r="G2138" s="1"/>
  <c r="G2141" s="1"/>
  <c r="G2142" s="1"/>
  <c r="G2143" s="1"/>
  <c r="G2144" s="1"/>
  <c r="E766" i="14" s="1"/>
  <c r="F1916" i="23"/>
  <c r="F1917" s="1"/>
  <c r="F1937" s="1"/>
  <c r="G1937" s="1"/>
  <c r="F1832"/>
  <c r="F1833" s="1"/>
  <c r="F1854" s="1"/>
  <c r="G1854" s="1"/>
  <c r="G980"/>
  <c r="G982" s="1"/>
  <c r="G1020" s="1"/>
  <c r="G1023" s="1"/>
  <c r="G1024" s="1"/>
  <c r="G1025" s="1"/>
  <c r="G1026" s="1"/>
  <c r="E724" i="14" s="1"/>
  <c r="I1135" i="19"/>
  <c r="I1136" s="1"/>
  <c r="G2670" i="23"/>
  <c r="G2672" s="1"/>
  <c r="G2707" s="1"/>
  <c r="G2710" s="1"/>
  <c r="G2711" s="1"/>
  <c r="G2712" s="1"/>
  <c r="G2713" s="1"/>
  <c r="E787" i="14" s="1"/>
  <c r="G1227" i="23"/>
  <c r="G1229" s="1"/>
  <c r="G1267" s="1"/>
  <c r="G1270" s="1"/>
  <c r="G1271" s="1"/>
  <c r="G1272" s="1"/>
  <c r="G1273" s="1"/>
  <c r="E733" i="14" s="1"/>
  <c r="F1755" i="23" l="1"/>
  <c r="F1756" s="1"/>
  <c r="I2011" i="19"/>
  <c r="I2012"/>
  <c r="I2013"/>
  <c r="I2328"/>
  <c r="I2329" s="1"/>
  <c r="I2376" s="1"/>
  <c r="I2379" s="1"/>
  <c r="I2206"/>
  <c r="I2207" s="1"/>
  <c r="I2254" s="1"/>
  <c r="I2257" s="1"/>
  <c r="I2083"/>
  <c r="I2084" s="1"/>
  <c r="I2131" s="1"/>
  <c r="I2134" s="1"/>
  <c r="I1749"/>
  <c r="I1747"/>
  <c r="I1748"/>
  <c r="I1895"/>
  <c r="I1896" s="1"/>
  <c r="I1900" s="1"/>
  <c r="I1901" s="1"/>
  <c r="E76" i="14" s="1"/>
  <c r="G2354" i="23"/>
  <c r="G2355" s="1"/>
  <c r="G2390" s="1"/>
  <c r="G2393" s="1"/>
  <c r="G2394" s="1"/>
  <c r="G2395" s="1"/>
  <c r="G2396" s="1"/>
  <c r="E775" i="14" s="1"/>
  <c r="G2271" i="23"/>
  <c r="G2273" s="1"/>
  <c r="G2308" s="1"/>
  <c r="G2311" s="1"/>
  <c r="G2312" s="1"/>
  <c r="G2313" s="1"/>
  <c r="G2314" s="1"/>
  <c r="E772" i="14" s="1"/>
  <c r="G1855" i="23"/>
  <c r="G1856" s="1"/>
  <c r="G1891" s="1"/>
  <c r="G1894" s="1"/>
  <c r="G1895" s="1"/>
  <c r="G1896" s="1"/>
  <c r="G1897" s="1"/>
  <c r="E757" i="14" s="1"/>
  <c r="G1938" i="23"/>
  <c r="G1939" s="1"/>
  <c r="G1974" s="1"/>
  <c r="G1977" s="1"/>
  <c r="G1978" s="1"/>
  <c r="G1979" s="1"/>
  <c r="G1980" s="1"/>
  <c r="E760" i="14" s="1"/>
  <c r="G2020" i="23"/>
  <c r="G2021" s="1"/>
  <c r="G2056" s="1"/>
  <c r="G2059" s="1"/>
  <c r="G2060" s="1"/>
  <c r="G2061" s="1"/>
  <c r="G2062" s="1"/>
  <c r="E763" i="14" s="1"/>
  <c r="I1138" i="19"/>
  <c r="E42" i="14"/>
  <c r="I2260" i="19" l="1"/>
  <c r="I2258"/>
  <c r="I2259"/>
  <c r="I2137"/>
  <c r="I2136"/>
  <c r="I2135"/>
  <c r="I2380"/>
  <c r="I2382"/>
  <c r="I2381"/>
  <c r="I1750"/>
  <c r="I2014"/>
  <c r="I2015" s="1"/>
  <c r="I2019" s="1"/>
  <c r="I2020" s="1"/>
  <c r="E79" i="14" s="1"/>
  <c r="I1140" i="19"/>
  <c r="I1141" s="1"/>
  <c r="I2383" l="1"/>
  <c r="I2384" s="1"/>
  <c r="I2388" s="1"/>
  <c r="I2389" s="1"/>
  <c r="E88" i="14" s="1"/>
  <c r="I2138" i="19"/>
  <c r="I2139" s="1"/>
  <c r="I2143" s="1"/>
  <c r="I2144" s="1"/>
  <c r="E82" i="14" s="1"/>
  <c r="I1751" i="19"/>
  <c r="I1755" s="1"/>
  <c r="I1756" s="1"/>
  <c r="E73" i="14" s="1"/>
  <c r="I2261" i="19"/>
  <c r="I2262" s="1"/>
  <c r="I2266" s="1"/>
  <c r="I2267" s="1"/>
  <c r="E85" i="14" s="1"/>
  <c r="I1143" i="19"/>
  <c r="E43" i="14"/>
  <c r="I1145" i="19" l="1"/>
  <c r="I1146" s="1"/>
  <c r="E44" i="14" l="1"/>
  <c r="I1148" i="19"/>
  <c r="I1150" l="1"/>
  <c r="I1151" s="1"/>
  <c r="E45" i="14" l="1"/>
  <c r="I1153" i="19"/>
  <c r="I1155" l="1"/>
  <c r="I1156" s="1"/>
  <c r="I1158" l="1"/>
  <c r="E46" i="14"/>
  <c r="I1160" i="19" l="1"/>
  <c r="I1161" s="1"/>
  <c r="E47" i="14" s="1"/>
</calcChain>
</file>

<file path=xl/sharedStrings.xml><?xml version="1.0" encoding="utf-8"?>
<sst xmlns="http://schemas.openxmlformats.org/spreadsheetml/2006/main" count="77693" uniqueCount="9963">
  <si>
    <t>Daily progress as per data in item: IRR-CAW-2-6</t>
  </si>
  <si>
    <t>Quantity of 8 mm main steel ( 6x4x1.2x0.39 )</t>
  </si>
  <si>
    <t>Use rate of air hose 2 Nos x 8 hrs</t>
  </si>
  <si>
    <t>Use rate of water hose 2 Nos x 8 hrs</t>
  </si>
  <si>
    <t xml:space="preserve">A. Cost of Materials </t>
  </si>
  <si>
    <t>to required curveture, cost of all materials, machinery, labour, formwork including supports,</t>
  </si>
  <si>
    <t>cleaning, batching, mixing, placing in position, levelling, vibrating, finishing, curing etc.,</t>
  </si>
  <si>
    <t>Cast iron blocks</t>
  </si>
  <si>
    <t>Cast steel drums / gears</t>
  </si>
  <si>
    <t>Cast steel pinions</t>
  </si>
  <si>
    <t>Cast steel wheels / pulleys / hubs / rollers / retainers</t>
  </si>
  <si>
    <t>Chemical for de-greasing/ derusting/phosphate coating</t>
  </si>
  <si>
    <t>Coal tar epoxy paint</t>
  </si>
  <si>
    <t>Forged steel hooks / shackles</t>
  </si>
  <si>
    <t>MS pipe 200 / 300 mm dia</t>
  </si>
  <si>
    <t>MS pipe 32 mm dia</t>
  </si>
  <si>
    <t>Fine aggregate : 0.45 cum         Cement content : 220 kg            Super plasticizer : 0.88 kg</t>
  </si>
  <si>
    <t xml:space="preserve">materials, machinery, labour, all operations such as excavation, sorting out, </t>
  </si>
  <si>
    <t xml:space="preserve">transportation, spreading soil in layer of specified thickness, breaking clods, </t>
  </si>
  <si>
    <t>For 1 cum masonry</t>
  </si>
  <si>
    <t xml:space="preserve">CR stones 30 x 30 x 45 </t>
  </si>
  <si>
    <t>cm.</t>
  </si>
  <si>
    <t>Stone Chips</t>
  </si>
  <si>
    <t>Consider 100 Rm of parapet for cleaning:</t>
  </si>
  <si>
    <t>Area to be cleaned considering 1.25 sqm per Rm length</t>
  </si>
  <si>
    <t>Oxalic acid @ 25 sqm / ltr</t>
  </si>
  <si>
    <t>Approximately 2 cum natural river sand yeilds 1 cum of sand blasting grade sand after seiving</t>
  </si>
  <si>
    <t>in 2mm and 1 mm sieves.</t>
  </si>
  <si>
    <t>Allowing 50 % extra for projections, the actual area of sand blasting</t>
  </si>
  <si>
    <t>Requirement of processed sand                        ( 150 x 0.10 )</t>
  </si>
  <si>
    <t>required level and profile, cost of all materials, machinery, labour, placing the excavated soil</t>
  </si>
  <si>
    <t>Add for labour charges for scaffolding / supports @ 15% of shuttering.</t>
  </si>
  <si>
    <t>1:3</t>
  </si>
  <si>
    <t>Less salvage value @ 20%</t>
  </si>
  <si>
    <t>Add seignorage charges on soil @    Rs:</t>
  </si>
  <si>
    <t>tonne capacity of hoist</t>
  </si>
  <si>
    <t xml:space="preserve">                             </t>
  </si>
  <si>
    <t>DAM AND ALLIED WORKS</t>
  </si>
  <si>
    <t>ROCK PITCHING:</t>
  </si>
  <si>
    <t>Air compressor 8.5 cmm ( diesel)</t>
  </si>
  <si>
    <t>m dia</t>
  </si>
  <si>
    <t>:within</t>
  </si>
  <si>
    <t>m each</t>
  </si>
  <si>
    <t xml:space="preserve">:within </t>
  </si>
  <si>
    <t xml:space="preserve">2 x 150 </t>
  </si>
  <si>
    <t>tonnes</t>
  </si>
  <si>
    <t>Total time</t>
  </si>
  <si>
    <t>load compared to materials under Category above are included.</t>
  </si>
  <si>
    <t>Lead: Upto 50 m :</t>
  </si>
  <si>
    <t>This is initial lead and cost is covered under item basic rate.</t>
  </si>
  <si>
    <t>Lead: Upto 100 m :</t>
  </si>
  <si>
    <t>Head Mazdoor</t>
  </si>
  <si>
    <t>Head mazdoor</t>
  </si>
  <si>
    <t>head Mazdoor</t>
  </si>
  <si>
    <t>3. The rates for loading at quarry including idle hire charges of trucks and hire charges</t>
  </si>
  <si>
    <t>If water is to be brought from other place add only lead charges @ 500 ltr / cum. to the data</t>
  </si>
  <si>
    <t xml:space="preserve">dry density of embankment compacted to more than 95 percent density </t>
  </si>
  <si>
    <t xml:space="preserve">control. Considering a shrinkage factor of 5 percent the net quantity of </t>
  </si>
  <si>
    <t>embankment will be ( 660 x 0.95 ) say</t>
  </si>
  <si>
    <t xml:space="preserve">Generally borrow area is stripped once in a week for 6 days requirement </t>
  </si>
  <si>
    <t>Time required for releasing, cleaning and resetting paver</t>
  </si>
  <si>
    <t>Total time for 2.7 cum concrete lining</t>
  </si>
  <si>
    <t xml:space="preserve">Daily progress considering paver movement time </t>
  </si>
  <si>
    <t>in stages of 3 m depth. Though, drilling takes less than one hour further saturation of drilled</t>
  </si>
  <si>
    <t>hole till there is steady intake of water takes considerable time.</t>
  </si>
  <si>
    <t xml:space="preserve">1 : 4 proportion including 10 cm thick sand backing at the junction of wall </t>
  </si>
  <si>
    <t>with lead upto 1 km and all lifts.</t>
  </si>
  <si>
    <t>Quantity of steel per mould ( 0.55 x 2 + 0.30 x 2 ) x 2.4 x 1.025</t>
  </si>
  <si>
    <t xml:space="preserve">Cost of steel angles @                                      Rs: </t>
  </si>
  <si>
    <t xml:space="preserve">Aportioning of machinery &amp; wok force: </t>
  </si>
  <si>
    <t>For lining slabs     :</t>
  </si>
  <si>
    <t>Use rate of pressure hose per hour</t>
  </si>
  <si>
    <t>Use rate of 50 m pressure hose</t>
  </si>
  <si>
    <t>Sundries ( packer assembly etc )</t>
  </si>
  <si>
    <t>Grouting equipment</t>
  </si>
  <si>
    <t>(STORED WITH E-N-C &amp; TO INCORPORATE CHANGES YEARLY/ AS NEEDED)</t>
  </si>
  <si>
    <t>Consider embedded parts for radial gate for spillway opening of size 15 m x 9 m for analysis.</t>
  </si>
  <si>
    <t>- use of shock tube detonators / trunk line delays to reduce ground vibrations.</t>
  </si>
  <si>
    <t>- monitoring and recording ground vibrations.</t>
  </si>
  <si>
    <t>Cartmen with double bullock cart</t>
  </si>
  <si>
    <t>Unloading and laying Sods:</t>
  </si>
  <si>
    <t>Turfing Sods</t>
  </si>
  <si>
    <t>Cart men with double bullock cart</t>
  </si>
  <si>
    <t>say 10 cum</t>
  </si>
  <si>
    <t xml:space="preserve">Super plasticizer : </t>
  </si>
  <si>
    <t>Temperature of wet coarse aggregate in aggregate bin</t>
  </si>
  <si>
    <t>( Ta )</t>
  </si>
  <si>
    <t>Specific heat of coarse aggregate</t>
  </si>
  <si>
    <t>( Ca )</t>
  </si>
  <si>
    <t>Free water in coarse aggregate</t>
  </si>
  <si>
    <t>( Wam )</t>
  </si>
  <si>
    <t>Weight of Fine aggregate</t>
  </si>
  <si>
    <t>( Ws )</t>
  </si>
  <si>
    <t>Temperature of fine aggregate in bin</t>
  </si>
  <si>
    <t>( Ts )</t>
  </si>
  <si>
    <t>Specific heat of fine aggregate</t>
  </si>
  <si>
    <t>and other miscellaneous works.</t>
  </si>
  <si>
    <t xml:space="preserve">Cost of drill rod 1.5 m long @                           Rs: </t>
  </si>
  <si>
    <t xml:space="preserve"> / Each</t>
  </si>
  <si>
    <t>Life of drill rod for drilling in hard rock with reconditioning</t>
  </si>
  <si>
    <t>Considering 50 minutes per hour working,</t>
  </si>
  <si>
    <t xml:space="preserve">Time required for </t>
  </si>
  <si>
    <t>i) Positioning of tipper at loading point</t>
  </si>
  <si>
    <t>Min</t>
  </si>
  <si>
    <t xml:space="preserve">ii) Loading by front end loader 1 cum bucket capacity </t>
  </si>
  <si>
    <t>@ 45 / 25 cum per hour</t>
  </si>
  <si>
    <t>iii) Manoevouring, reversing, dumping and turning</t>
  </si>
  <si>
    <t>-</t>
  </si>
  <si>
    <t xml:space="preserve"> for return</t>
  </si>
  <si>
    <t>iv) Waiting time, unforeseen contingencies, etc.</t>
  </si>
  <si>
    <t>a)  Machinery</t>
  </si>
  <si>
    <t>Tipper 10 t capacity</t>
  </si>
  <si>
    <t xml:space="preserve">Front end-loader 1 cum bucket capacity @ 45 cum </t>
  </si>
  <si>
    <t>per hour</t>
  </si>
  <si>
    <t>Rate per cum = (a+b)/5.5</t>
  </si>
  <si>
    <t>Placing tipper at loading point, loading with front</t>
  </si>
  <si>
    <t>end loader excluding time for haulage and return trip.</t>
  </si>
  <si>
    <t>Useful rubble and stone chips will be issued at dump yard at the issue rate for usefull rubble /</t>
  </si>
  <si>
    <t>stone chips. Sorting out and breaking charges included in rate analysis.</t>
  </si>
  <si>
    <t>Cross sectional area (1.50 + 10.50 ) x 3 / 2</t>
  </si>
  <si>
    <t>Length of rock-toe for 100 cum ( 100 / 18 )</t>
  </si>
  <si>
    <t>No. of trips per day for additional lead ( 8 x 60 / 1 )</t>
  </si>
  <si>
    <t>Quantity of material by head load per load</t>
  </si>
  <si>
    <t>Quantity of material by head load per day ( 480 x 0.015 ) say</t>
  </si>
  <si>
    <t>Deploy one mazdoor for every 50 m additional lead beyond initial lead.</t>
  </si>
  <si>
    <t>Rate
in Rs.</t>
  </si>
  <si>
    <t>Total Rs:</t>
  </si>
  <si>
    <t>contractor's profit and overhead charges</t>
  </si>
  <si>
    <t>Cost of sand / bag for 0.025 cum @                 Rs:</t>
  </si>
  <si>
    <t>Use rate of 50 m air hose 50 mm 1 No.</t>
  </si>
  <si>
    <t>Use rate of 25 mm air hose 2 Nos</t>
  </si>
  <si>
    <t>Shock tube detonators</t>
  </si>
  <si>
    <t>Noiseless trunk line delays</t>
  </si>
  <si>
    <t>Use rate of chain link wire mesh</t>
  </si>
  <si>
    <t>Detonating shock tube</t>
  </si>
  <si>
    <t>Explosive small dia ( Kelvex-220 )</t>
  </si>
  <si>
    <t>In view of narrow width spreading soil by dozer is generally not be possible.</t>
  </si>
  <si>
    <t>Soil collected in heaps along the edge of the canal can be pushed down by dozer to the extent</t>
  </si>
  <si>
    <t>Consider 100 sqm turfing area:</t>
  </si>
  <si>
    <t>Quantity of sand for spreading ( 20 mm thick )</t>
  </si>
  <si>
    <t>Quantity of Hariyala sods</t>
  </si>
  <si>
    <t>Plug</t>
  </si>
  <si>
    <t>one plug</t>
  </si>
  <si>
    <t>LDPE sheet 1000 micron thick</t>
  </si>
  <si>
    <t>Use rate of T.C bit 100 mm dia</t>
  </si>
  <si>
    <t>Use rate of 50 m air hose for waggon drill</t>
  </si>
  <si>
    <t>Use rate of 25 m air hose for JH 2 Nos</t>
  </si>
  <si>
    <t>High strength ANFO booster</t>
  </si>
  <si>
    <t>ANFO</t>
  </si>
  <si>
    <t>Diesel oil</t>
  </si>
  <si>
    <t>D-cord</t>
  </si>
  <si>
    <t>Tippers 5 cum capacity</t>
  </si>
  <si>
    <t>Angle dozer</t>
  </si>
  <si>
    <t>Crew for Waggon drill</t>
  </si>
  <si>
    <t>chain link mesh or waste tyres and sand bags, monitoring ground vibrations at specified</t>
  </si>
  <si>
    <t>Stone chips @ 15 % at quarry</t>
  </si>
  <si>
    <t>Pump 5 hp(diesel) 2 Nos. 4 hrs each</t>
  </si>
  <si>
    <t>Sundries ( power line etc )</t>
  </si>
  <si>
    <t>Crew for Batching plant</t>
  </si>
  <si>
    <t>* Add  Leads and Lifts, Area Allowance and VAT as applicable in the estimate</t>
  </si>
  <si>
    <t>** Area Allowance includes profit component also</t>
  </si>
  <si>
    <t>WORK ITEM RATES</t>
  </si>
  <si>
    <t>Road tax on transport vehicles</t>
  </si>
  <si>
    <t>Use of gas cutting torch with 50 min / hr working ( 20 x 60 / 50 )</t>
  </si>
  <si>
    <t>Use of pug cutting machine with 50 min / hr working ( 8 x 60 / 50 )</t>
  </si>
  <si>
    <t>For cutting structural steel sections to required sizes gas cutting is assumed.</t>
  </si>
  <si>
    <t>Acetelyne gas @ 0.6 cum / hour ( 119 x 0.60 )</t>
  </si>
  <si>
    <t>Oxygen gas @ 1.8 cum / hour ( 119 x 1.80 )</t>
  </si>
  <si>
    <t>Use of gas cutting torch with 50 min / hr working ( 75 x 60 / 50 )</t>
  </si>
  <si>
    <t>Use of pug cutting machine with 50 min / hr working ( 44 x 60 / 50 )</t>
  </si>
  <si>
    <t xml:space="preserve">Add for bolts &amp; nuts/ clamps etc. @ </t>
  </si>
  <si>
    <t>No. of trips per day foradditional lift 1.0 m above 3 m ( 8 x 60 / 0.29)</t>
  </si>
  <si>
    <t>kgs</t>
  </si>
  <si>
    <t xml:space="preserve">For additional lift  of  1m  beyond initial lift of 3 m </t>
  </si>
  <si>
    <t>Use rate of reamer shell per m drilling</t>
  </si>
  <si>
    <t>Cost of extension rod 16.5 m @                 Rs:</t>
  </si>
  <si>
    <t>Life of extension rods</t>
  </si>
  <si>
    <t>Use rate of 16.5 m length extension rods</t>
  </si>
  <si>
    <t>Honne wood core box 1.5 x 0.32 x 0.12 m :</t>
  </si>
  <si>
    <t>Honne planks 0.033 cum @                       Rs:</t>
  </si>
  <si>
    <t>Use rate of core box per m drilling</t>
  </si>
  <si>
    <t>Use rate of casing shoe bit</t>
  </si>
  <si>
    <t>Use rate of reamer shell</t>
  </si>
  <si>
    <t>Use rate of extension rod set 16.5 m</t>
  </si>
  <si>
    <t>Use rate of honne core box</t>
  </si>
  <si>
    <t>Deploy 2 air compressors of 8.5 cmm capacity and 4 jack hammers for 17.5</t>
  </si>
  <si>
    <t xml:space="preserve"> hours for drilling with 50 min per hour working.</t>
  </si>
  <si>
    <t xml:space="preserve">the shovel. Generally one dumper has to move out after loading to position </t>
  </si>
  <si>
    <t>Output of 1 bullock drawn roller with 75 percent efficiency</t>
  </si>
  <si>
    <t>5 hp pump ( diesel )</t>
  </si>
  <si>
    <t>Operator pump</t>
  </si>
  <si>
    <t>Crowbarman for loosening soil</t>
  </si>
  <si>
    <t xml:space="preserve">Precooling of aggregate is not considered. However, as coarse aggregate </t>
  </si>
  <si>
    <t xml:space="preserve">stocked in open area gets heated up in day time spraying of water over </t>
  </si>
  <si>
    <t xml:space="preserve">coarse aggregate heaps is considered to keep the aggregate temperature </t>
  </si>
  <si>
    <t>charges, collection of core samples, logging and lebelling, supplying honne wood core box</t>
  </si>
  <si>
    <t>Qty of CC for paver / hr for 75 mm thickness (120 x 0.075 )</t>
  </si>
  <si>
    <t xml:space="preserve"> Labour</t>
  </si>
  <si>
    <t xml:space="preserve">Rate per cum = </t>
  </si>
  <si>
    <t>b) Unloading</t>
  </si>
  <si>
    <t>50% of the loading charges i.e.,</t>
  </si>
  <si>
    <t xml:space="preserve"> by manual means including a lead upto 30 m</t>
  </si>
  <si>
    <t xml:space="preserve"> including a lead upto 30 m</t>
  </si>
  <si>
    <t>Unit = 1000 Nos.</t>
  </si>
  <si>
    <t>Taking output = 2000 Nos</t>
  </si>
  <si>
    <t xml:space="preserve">Cost for 2000 Nos.   =  </t>
  </si>
  <si>
    <t>b) Unloading + stacking</t>
  </si>
  <si>
    <t>100% of loading charges I.e., Rs.</t>
  </si>
  <si>
    <t>Unit = 1 t</t>
  </si>
  <si>
    <t>Taking output = 10 t</t>
  </si>
  <si>
    <t xml:space="preserve">Cost for 10 t   =  </t>
  </si>
  <si>
    <t xml:space="preserve">Rate per 1 tonne = </t>
  </si>
  <si>
    <t>b)  Machinery</t>
  </si>
  <si>
    <t>Truck 10t</t>
  </si>
  <si>
    <t xml:space="preserve">Cost for 5.5 cum   = </t>
  </si>
  <si>
    <t>Mate</t>
  </si>
  <si>
    <t>Mazdoor(unskilled)</t>
  </si>
  <si>
    <t xml:space="preserve">Cost for 5.5 cum   =  </t>
  </si>
  <si>
    <t xml:space="preserve">Cost for 2000 Nos.  =  </t>
  </si>
  <si>
    <t xml:space="preserve">Rate per 1000 bricks = </t>
  </si>
  <si>
    <t>100% of loading charges i.e., Rs.</t>
  </si>
  <si>
    <t xml:space="preserve">Cost for 10 t  = </t>
  </si>
  <si>
    <t xml:space="preserve">Loading  of Lime, Aggregate, Stone Boulder, </t>
  </si>
  <si>
    <t xml:space="preserve">Brick Aggregate, Kankar, Building Rubbish, </t>
  </si>
  <si>
    <t xml:space="preserve">Crushed Slag, Stone for Masonry work by </t>
  </si>
  <si>
    <t>mechanical  means including a lead upto 30 m</t>
  </si>
  <si>
    <t>Placing tipper at loading point, loading with front end</t>
  </si>
  <si>
    <t xml:space="preserve"> loader excluding time for haulage and return trip.</t>
  </si>
  <si>
    <t>MASONRY WORKS :</t>
  </si>
  <si>
    <t>Cost of dismantling assumed at 50 % of erection charges.</t>
  </si>
  <si>
    <t>Area of shuttering with supports considered.</t>
  </si>
  <si>
    <t xml:space="preserve">Life of paving cylinder in Sqm of lining </t>
  </si>
  <si>
    <t>No machinery other than ventilation fans required. For defuming tunnel ventilation fans are</t>
  </si>
  <si>
    <t>GENERAL GUIDE LINES FOR REVISING WAGES OF WORKERS:</t>
  </si>
  <si>
    <t>The basic wages shall not be less than the minimum wages fixed by the Government.</t>
  </si>
  <si>
    <t>Fine aggregate : 0.45 cum          Cement content : 350 kg           Super plasticizer : 1.4 kg</t>
  </si>
  <si>
    <t>Depth of drilling for 68 holes ( 68 x 2 x 1.10 )</t>
  </si>
  <si>
    <t>Quantity of in-situ excavation per blast ( 27.00 x 1.80 )</t>
  </si>
  <si>
    <t>Quantity of explosive for under cuts secondary blasting @ 10 %</t>
  </si>
  <si>
    <t>LS :</t>
  </si>
  <si>
    <t>Consider actual weight for data rate analysis.</t>
  </si>
  <si>
    <t>Structural steel conforming to IS : 2062 :</t>
  </si>
  <si>
    <t>Structural steel angles / beams / channels / bars with 2.5 % wastage</t>
  </si>
  <si>
    <t>Structural steel plates / flats with 2.5 % wastage</t>
  </si>
  <si>
    <t xml:space="preserve">and all lifts. </t>
  </si>
  <si>
    <t xml:space="preserve"> CA : 0.80 cum, FA : 0.45cum, Blending Ratio of CA--65:35)</t>
  </si>
  <si>
    <t>For 1 cum CC :-  Coarse aggregates : 0.80 cum   Fine aggregate : 0.45 cum</t>
  </si>
  <si>
    <t>Cycle time for loading 8 buckets ( 8 x 35 / 60 )</t>
  </si>
  <si>
    <t>No. of tippers to match corrected cycle time of shovel ( 12.60 / 4.00 )</t>
  </si>
  <si>
    <t>10 hp pump</t>
  </si>
  <si>
    <t>Thickness of CR face stone masonry assumed</t>
  </si>
  <si>
    <t>machinery, labour, formwork, fabricating and placing reinforcement steel, mixing, laying,</t>
  </si>
  <si>
    <t>Jaw crusher 900 x 500 mm ( 120 tph ) with 50 hp motor</t>
  </si>
  <si>
    <t>Transformer 250 KVA</t>
  </si>
  <si>
    <t>Truck 10 t ( excluding tyres )</t>
  </si>
  <si>
    <t>Upright drilling machine</t>
  </si>
  <si>
    <t>Ventilation fan 20 hp</t>
  </si>
  <si>
    <t>Vibratory pad foot roller 8 t</t>
  </si>
  <si>
    <t>Waggon drill</t>
  </si>
  <si>
    <t>Catrman with double bullock cart</t>
  </si>
  <si>
    <t>cm long through stones at 1.50 m c / c over a backing of 60 cm thick graded filter media</t>
  </si>
  <si>
    <t>consisting of sand, 10 mm and 40 mm size approved graded aggregates laid in layers of 20 cm</t>
  </si>
  <si>
    <t>45 cm thick graded filter media consisting of sand, 10 mm and 40 mm size graded approved</t>
  </si>
  <si>
    <t>Time for turning and spotting</t>
  </si>
  <si>
    <t>No. of tippers to match corrected cycle time of shovel ( 14.00/ 5.00 )</t>
  </si>
  <si>
    <t>Output of tipper / hr with 50 min working / hr ( 50 x 3.57 / 14.00 )</t>
  </si>
  <si>
    <t>Output for use of 2 jack hammers / hour @ 8 m / hr</t>
  </si>
  <si>
    <t xml:space="preserve">of all materials, machinery, labour, scaffolding, ramps, cleaning, packing </t>
  </si>
  <si>
    <t xml:space="preserve">However, as face stone masonry is comparatively slower 25 cum / day </t>
  </si>
  <si>
    <t>20 mm down filter aggregate</t>
  </si>
  <si>
    <t>( 80 x 1.4 x 0.15 )</t>
  </si>
  <si>
    <t>Depth of hole ( generally not less than twice the burden )</t>
  </si>
  <si>
    <t>Effective depth of hole ( 2.40 - 0.15 )</t>
  </si>
  <si>
    <t>Area of excavation for 285.8 cum ( 285.8 / 2.25 )</t>
  </si>
  <si>
    <t>Nos. of holes for 127 sqm area ( 127 / 0.80 x 1.00 )</t>
  </si>
  <si>
    <t>Depth of drilling ( 159 x 2.40 )</t>
  </si>
  <si>
    <t>Add for secondary drilling @ 5 % holes of 0.6 m depth say</t>
  </si>
  <si>
    <t>and   three coats of aluminium paint or synthetic enamel , 25 microns/coat</t>
  </si>
  <si>
    <t>Insitu quantity of soil per bucket considering 10 % bulkage</t>
  </si>
  <si>
    <t>Stone chips @ 15 % with 2 % wastage</t>
  </si>
  <si>
    <t>Cement mortar 1 : 5 propotion @ 30 %</t>
  </si>
  <si>
    <t>MASONRY &amp; GUNITING WORKS :</t>
  </si>
  <si>
    <t>40 mm down filter aggregate</t>
  </si>
  <si>
    <t>Sectional area of excavation                                     ( 14.00 + 8.20 ) x 0.5 x 5.80</t>
  </si>
  <si>
    <t>for slab : 0.7857 x 0.2 ( 1.6 x 1.6 - 0.6 x 0.6 )</t>
  </si>
  <si>
    <t>for cover : 0.7857 x 0.65 x 0.65 x 0.075</t>
  </si>
  <si>
    <t>Quantity of materials for 1 cum of M-15 CC using 20 mm down CA :</t>
  </si>
  <si>
    <t>Cenemt : 290 kg Fine aggregate : 0.44 cum Coarse aggregate : 0.80 cum</t>
  </si>
  <si>
    <t>Cost of drill rod 1.5 m long @ Rs:  / Each</t>
  </si>
  <si>
    <t>40 mm down filter aggregate ( 0.22 + 1.52 ) x 80 x 0.65 / 2</t>
  </si>
  <si>
    <t>40 mm filter shall contain 85 % 40-20 mm &amp; 15 % 20-10 mm</t>
  </si>
  <si>
    <t>Time for rolling 1044 cum soil in embankment layer</t>
  </si>
  <si>
    <t>6 Sorting out / sectioning / labour for testing etc :</t>
  </si>
  <si>
    <t>2.00 x 2.50</t>
  </si>
  <si>
    <t xml:space="preserve"> holes</t>
  </si>
  <si>
    <t xml:space="preserve"> ltrs</t>
  </si>
  <si>
    <t>Deploy one tipper for disposal of manually excavated soil.</t>
  </si>
  <si>
    <t>UNIT :</t>
  </si>
  <si>
    <t>Shovel 0.85 cum capacity</t>
  </si>
  <si>
    <t>Tippers 5 cum capacity 6 Nos</t>
  </si>
  <si>
    <t>Crew for Shovel</t>
  </si>
  <si>
    <t>Crew for Tipper</t>
  </si>
  <si>
    <t>Total      Rs:</t>
  </si>
  <si>
    <t>Quantity of 25 mm dia rods 2.50 m long allowing 5 % wastage</t>
  </si>
  <si>
    <t xml:space="preserve">Sand : 0.40 cum         Cement : 143 kg         </t>
  </si>
  <si>
    <t xml:space="preserve">Sand : 0.40 cum             Cement : 143 kg          </t>
  </si>
  <si>
    <t xml:space="preserve">Sand : 0.35 cum Cement : 133 kg </t>
  </si>
  <si>
    <t>Cement  : 456 kg            Sand :</t>
  </si>
  <si>
    <t>( allowing 10 cm margin at top / bottom )</t>
  </si>
  <si>
    <t>Use rate of shuttering for concrete / use / sqm for 40 uses</t>
  </si>
  <si>
    <t>Erection and dismantling shuttering / scaffolding :</t>
  </si>
  <si>
    <t>Annexure-B</t>
  </si>
  <si>
    <t>2 Fitters, 1 Carpentor Cl-II &amp; 5 mazdoors erect 50 sqm shuttering &amp; scaffolding / day.</t>
  </si>
  <si>
    <t>Add for smooth blast area                                           ( 1.50 x 7.5 x 1.1 ) x 2</t>
  </si>
  <si>
    <t>Quantity of 25 mm dia bars for 10 bolts with 5 % wastage</t>
  </si>
  <si>
    <t>aggregates satisfying filter creteria behind rock-toe and 15 cm thick sand, 20 cm thick 20 mm</t>
  </si>
  <si>
    <t>Thickness of sand filter</t>
  </si>
  <si>
    <t>For lining slabs      :</t>
  </si>
  <si>
    <t>For lug slabs         :</t>
  </si>
  <si>
    <t>Quantity of concrete for 25 lug slabs</t>
  </si>
  <si>
    <t>Deploy 300 / 200 concrete mixer for 8 hours for 225 lining &amp; 25 lug slabs.</t>
  </si>
  <si>
    <t>Mason Cl I @ 10 cum / day</t>
  </si>
  <si>
    <t>Mason Cl II @ 6 cum / day</t>
  </si>
  <si>
    <t>Chavalis 4 gangs / day</t>
  </si>
  <si>
    <t>for loading stone chips</t>
  </si>
  <si>
    <t>for packing mortar</t>
  </si>
  <si>
    <t>Hume pipe 150 mm dia</t>
  </si>
  <si>
    <t>Quantity of mortar with 5 to 10 % wastage : 0.75 cum</t>
  </si>
  <si>
    <t>Manual mixing )</t>
  </si>
  <si>
    <t xml:space="preserve">Quantity of mortar with 5 to 10 % wastage </t>
  </si>
  <si>
    <t>: 0.75</t>
  </si>
  <si>
    <t>Ordinary Clay, Silt and Brick Earth used in the Manufacture of Bricks including Mangalore Tiles</t>
  </si>
  <si>
    <t>TUNNEL AND ALLIED WORKS - DATA RATES</t>
  </si>
  <si>
    <t>DAM AND ALLIED WORKS - DATA RATES</t>
  </si>
  <si>
    <t>GATE HOIST AND ALLIED WORKS - DATA RATES</t>
  </si>
  <si>
    <t>Consider 1.5 x 2.1 m size gallery contraction joint for analysis.</t>
  </si>
  <si>
    <t xml:space="preserve">8 mm torsteel rods </t>
  </si>
  <si>
    <t>Sundries such as soldering gun etc.,</t>
  </si>
  <si>
    <t>10. The rates for unloading of materials except earth, sand, gravel, coarse aggregate, rubble,</t>
  </si>
  <si>
    <t>size stone and cut stone are inclusive of stacking.</t>
  </si>
  <si>
    <t>EXCAVATION WORKS :</t>
  </si>
  <si>
    <t>Consider 7.0 m length of canal excavation for analysis.</t>
  </si>
  <si>
    <t>Quantity of excavation for 7.0 m length                         ( 7.0 x 2.50 )</t>
  </si>
  <si>
    <t>Consider drilling by jack hammer and mucking by combination of shovel and tippers.</t>
  </si>
  <si>
    <t>Helper Jack hammer / Pneumatic tamper</t>
  </si>
  <si>
    <t>adopted irrespective of mode of conveyance.</t>
  </si>
  <si>
    <t>2. For total lead exceeding 150 m conveyance by mechanical means only shall be adopted</t>
  </si>
  <si>
    <t>irrespective of mode of conveyance.</t>
  </si>
  <si>
    <t xml:space="preserve">3. The rates for loading at quarry including idle hire charges of trucks and hire charges per for </t>
  </si>
  <si>
    <t>each kilometer  and upto 5 km  are cumulative and inclusive of total charges for preceding lead.</t>
  </si>
  <si>
    <t>4. Unless otherwise specified lead charges for Earth / Sand / Gravel / Aggregates and Stones</t>
  </si>
  <si>
    <t>Shovel 0.85 cum ( 8 x 100 / 400 )</t>
  </si>
  <si>
    <t>28 Nos.</t>
  </si>
  <si>
    <t>Labour for erecting &amp; dismantling scaffolding @ :                         15 % of labour for shuttering</t>
  </si>
  <si>
    <t>A. Cost of Materials including seigniorage charges</t>
  </si>
  <si>
    <t>formwork, cleaning, batching, mixing, placing in position, levelling, vibrating, finishing, curing</t>
  </si>
  <si>
    <t>For 1 cum CC :-    Coarse aggregates : 0.98 cum           Blending ratio : 35 :30 : 20 : 15</t>
  </si>
  <si>
    <t>Shuttering at 2.75 sqm / cum of concrete considered for piers and abutments.</t>
  </si>
  <si>
    <t>Cost of scaffolding materials considered @ :                                 30 % of shuttering</t>
  </si>
  <si>
    <t>Unit = cum</t>
  </si>
  <si>
    <t>Total in Rs.</t>
  </si>
  <si>
    <t>Number of sand bags 25 kg each at 1 per hole and 20 % extra for edges</t>
  </si>
  <si>
    <t>Add for smooth blast holes and 20 % extra for edges</t>
  </si>
  <si>
    <t>Total quantity of soil to laid for lining</t>
  </si>
  <si>
    <t>As the density control of soil in the dump area will be less compared to natural ground due to</t>
  </si>
  <si>
    <t>Forged steel components conforming to IS : 2004 :</t>
  </si>
  <si>
    <t>Lifting hooks</t>
  </si>
  <si>
    <t>Electric delay detonators are to be used to control ground vibrations.</t>
  </si>
  <si>
    <t>Effective depth of pull per hole</t>
  </si>
  <si>
    <t>Quantity of excavation</t>
  </si>
  <si>
    <t>For painting 1 coat primer and 2 coats</t>
  </si>
  <si>
    <t>finishing paint at 15 sqm / day                           :</t>
  </si>
  <si>
    <t>26 painter Cl-ll &amp; 7 helpers for 3 x 132 sqm</t>
  </si>
  <si>
    <t>Chequered plates</t>
  </si>
  <si>
    <t>Bolt / Nut / Washer</t>
  </si>
  <si>
    <t>Use of gas cutting torch with 50 min / hr working      ( 50 x 60 / 50 )</t>
  </si>
  <si>
    <t>Use of pug cutting machine with 50 min / hr working ( 73 x 60 / 50 )</t>
  </si>
  <si>
    <t>( 388 / 15 ) x 8 / 2</t>
  </si>
  <si>
    <t>( 3495 / 15 ) x 8 / 6</t>
  </si>
  <si>
    <t>Deploy welding transformer for 415 hours.</t>
  </si>
  <si>
    <t>For handling of parts during fabrication and erection use of mobile derric crane for 4 hours and</t>
  </si>
  <si>
    <t>stationery derric crane for 8 hours considered.</t>
  </si>
  <si>
    <t>Cutting sections 50 hours</t>
  </si>
  <si>
    <t>10 hp pump ( ele )</t>
  </si>
  <si>
    <t>Guniting equipment</t>
  </si>
  <si>
    <t>Watchman</t>
  </si>
  <si>
    <t>OTHER CATEGORY:</t>
  </si>
  <si>
    <t>For 1 cum CC :-   Coarse aggregates : 0.90 cum                     Blending ratio : 50 :30 : 20</t>
  </si>
  <si>
    <t>Sundries ( hand rail /staircase / gate etc )</t>
  </si>
  <si>
    <t>Tower crane 5 t capacity</t>
  </si>
  <si>
    <t>Marker / Fabricator / Erector / Mechanic</t>
  </si>
  <si>
    <t>Rate per tonne capacity of hoist</t>
  </si>
  <si>
    <t xml:space="preserve"> aluminium paint or synthetic enamel  per coat </t>
  </si>
  <si>
    <t>E.M Parts  OF ALL TYPES OF GATES</t>
  </si>
  <si>
    <t>For cleaning collection of rebound sand and other works</t>
  </si>
  <si>
    <t>Cost of 50 m air hose @                            Rs:</t>
  </si>
  <si>
    <t>Use rate of air hose per hour</t>
  </si>
  <si>
    <t>In-situ quantity / bucket for 20 % bulkage on unloading ( 1 /1.20 )</t>
  </si>
  <si>
    <t>In-situ quantity per load for 20 % bulkage of soil ( 5 /1.2 )</t>
  </si>
  <si>
    <t>Number of buckets per load ( 4.16 / 0.83 )</t>
  </si>
  <si>
    <t>Cost of sand / bag for 0.025 cum @ Rs: / cum</t>
  </si>
  <si>
    <t>Cost of 50 m air hose @ Rs: / Rm</t>
  </si>
  <si>
    <t>Quantity of materials for 1 manhole :</t>
  </si>
  <si>
    <t>Cement :</t>
  </si>
  <si>
    <t>Coarse aggregate 20 - 10 mm</t>
  </si>
  <si>
    <t>( 2x1.9+4x1.7+4x1.5+4x0.7)x0.89</t>
  </si>
  <si>
    <t>for cut-off bed</t>
  </si>
  <si>
    <t>Assume daily average concreting programme of about 500 cum for 3 shift working.</t>
  </si>
  <si>
    <t>km/hr</t>
  </si>
  <si>
    <t>Quantity of concrete for each slab ( 0.45 x 0.15 x 0.03 )</t>
  </si>
  <si>
    <t xml:space="preserve">Quantity of steel per mould ( 0.45 x 2 + 0.15 x 2 ) x 1.8 x 1.025 </t>
  </si>
  <si>
    <t xml:space="preserve">Cost of fabrication @                                        Rs: </t>
  </si>
  <si>
    <t>Deploy dozer for 2.5 hours including trimming breached portion of embankment.</t>
  </si>
  <si>
    <t>Use rate of 50 m air hose 4 Nos.</t>
  </si>
  <si>
    <t>Quantity of paint for 100 sqm 2 coats with 2 % wastage ( 100 x 1x 1.02 /9)</t>
  </si>
  <si>
    <t>Quantity of paint for 65sqm 2 coats with 2 % wastage ( 100 x2x 1.02 /10)</t>
  </si>
  <si>
    <t>3x100/20</t>
  </si>
  <si>
    <t xml:space="preserve">works including cost of drilling and cleaning hole, filling hole with cement </t>
  </si>
  <si>
    <t xml:space="preserve">mortar 1 : 1 proportion, driving anchor rod, cost of all materials, machinery, </t>
  </si>
  <si>
    <t>LEAD/LIFT/LOADING &amp; UNLOADING CHARGES</t>
  </si>
  <si>
    <t xml:space="preserve">        LEAD, LIFT, LOADING AND UNLOADING CHARGES FOR MATERIALS</t>
  </si>
  <si>
    <t>1. For total lead upto 150 m ( including initial lead ) lead charges by head load only shall be</t>
  </si>
  <si>
    <t>Time required for levelling 539 cum</t>
  </si>
  <si>
    <t>to 6 percent watering by weight, requirement of water for 539 cum of embankment will be</t>
  </si>
  <si>
    <t>about 5 tanker loads of 8000 ltrs each.</t>
  </si>
  <si>
    <t xml:space="preserve">annealed steel wire, including cost of all materials, machinery, labour etc., </t>
  </si>
  <si>
    <t xml:space="preserve">materials, machinery, labour, formwork, centering, scaffolding, cleaning, </t>
  </si>
  <si>
    <t xml:space="preserve">batching, mixing, placing in position, levelling, vibrating, finishing, curing </t>
  </si>
  <si>
    <t xml:space="preserve">Deploy 1 air compressor 7 cmm capacity for cleaning surface, air supply to </t>
  </si>
  <si>
    <t>batching plant and for operating concrete bucket doors.</t>
  </si>
  <si>
    <t xml:space="preserve">For erecting &amp; dismantling heavy duty shutters consider labour charges at </t>
  </si>
  <si>
    <t>1.5 times the labour charges for erecting &amp; dismantling normal shuttering.</t>
  </si>
  <si>
    <t>Dumpers.</t>
  </si>
  <si>
    <t>For Every 1.00 Lift beyond initial lift of 3 meters</t>
  </si>
  <si>
    <t xml:space="preserve">Cost of wire mesh @                                       Rs: </t>
  </si>
  <si>
    <t>Life of wire mesh with 25 % replacement each use</t>
  </si>
  <si>
    <t xml:space="preserve">Use rate of wire mesh / use / sqm </t>
  </si>
  <si>
    <t>Add for replacements @</t>
  </si>
  <si>
    <t xml:space="preserve">Cost of empty cement bag per No. @                Rs: </t>
  </si>
  <si>
    <t>Crew for Needle vibrator</t>
  </si>
  <si>
    <t>Mason Class-I</t>
  </si>
  <si>
    <t>for batching materials</t>
  </si>
  <si>
    <t>for loading mortar pans</t>
  </si>
  <si>
    <t>for laying and moving paver</t>
  </si>
  <si>
    <t>for conveying concrete</t>
  </si>
  <si>
    <t>for cleaning/ washing/ curing</t>
  </si>
  <si>
    <t>For 1 cum CC :- Coarse aggregates : 0.80 cum                              Blending ratio : 65 :35</t>
  </si>
  <si>
    <t xml:space="preserve">Daily output of 2 mixers </t>
  </si>
  <si>
    <t>( 18 x 0.10 )</t>
  </si>
  <si>
    <t>Total time for 1.8 cum concrete lining</t>
  </si>
  <si>
    <t>( 18 x 15 )</t>
  </si>
  <si>
    <t>Labour for concreting :</t>
  </si>
  <si>
    <t>concrete.</t>
  </si>
  <si>
    <t>Total cost per bag</t>
  </si>
  <si>
    <t>Life of sand bag</t>
  </si>
  <si>
    <t xml:space="preserve">Use rate of sand bag / use / bag </t>
  </si>
  <si>
    <t>Use rate of wire mesh</t>
  </si>
  <si>
    <t>CA : 0.68 cum,  FA : 0.43cum)</t>
  </si>
  <si>
    <t xml:space="preserve">plus or minus 3 percent limit. Assuming seasonal average of 4 to 5 percent </t>
  </si>
  <si>
    <t xml:space="preserve">watering by weight, daily requirement of water for 630 cum of embankment </t>
  </si>
  <si>
    <t xml:space="preserve">Deploy 8000 ltr capacity water tanker for 5 hours daily for watering before </t>
  </si>
  <si>
    <t>Deploy two pneumatic tampers and one 8.5 cmm air compressor.</t>
  </si>
  <si>
    <t>Daily output of 2 pneumatic tampers with 50 min per hour working:</t>
  </si>
  <si>
    <t>2 x 6.0 x 8 x 50 / 60</t>
  </si>
  <si>
    <t>STEEL AND CEMENT CONCRETE WORKS :</t>
  </si>
  <si>
    <t>all operations such as re-excavation, sorting out, transporting, spreading in layer of specified</t>
  </si>
  <si>
    <t>Output of roller / hr with 50 min /hr working and 75 % efficiancy</t>
  </si>
  <si>
    <t>Area to be stripped assuming 1.5 m depth of cut ( 412.8 x 6 / 1.5 ) :</t>
  </si>
  <si>
    <t>Qty of stripping with 5 % extra area ( 1651.2x1.05x0.20 )</t>
  </si>
  <si>
    <t>Time required for stripping 346.75 cum</t>
  </si>
  <si>
    <t>Rate as per PH items</t>
  </si>
  <si>
    <t>Rate as per local competitive quotations</t>
  </si>
  <si>
    <t> Rate as per local competitive quotations</t>
  </si>
  <si>
    <t>Rate to be obtained from Electricity/Municipal Departments</t>
  </si>
  <si>
    <t>As per local competitive market rate</t>
  </si>
  <si>
    <t>RM</t>
  </si>
  <si>
    <t>per bag</t>
  </si>
  <si>
    <t>Thinner</t>
  </si>
  <si>
    <t xml:space="preserve">Note: </t>
  </si>
  <si>
    <t xml:space="preserve">etc., including dressing bed and sides to required level and profile, cost of all materials, </t>
  </si>
  <si>
    <t xml:space="preserve">machinery, labour, placing the excavated rock in dump area or for formation of service </t>
  </si>
  <si>
    <t>IRR-DAW-6-4-A</t>
  </si>
  <si>
    <t>30 cm thick 80 - 20 mm size graded coarse</t>
  </si>
  <si>
    <t>Area of filter drain for 100 cum 100 / 0.3</t>
  </si>
  <si>
    <t xml:space="preserve">333.33 x 0.30 </t>
  </si>
  <si>
    <t>Labour Requirement:</t>
  </si>
  <si>
    <t xml:space="preserve">IRR-DAW-5-4-A </t>
  </si>
  <si>
    <t xml:space="preserve"> (For Maintenance Works)</t>
  </si>
  <si>
    <t>Deduct Rate for Proctar's density Control of 95% using 8T roller as per IRR-PMW-3-23</t>
  </si>
  <si>
    <t>Add Rate for Proctor's Density control of 90% using 2T Roller as per IRR-PMW-3-24</t>
  </si>
  <si>
    <t>IRR-CAW-5-3-A</t>
  </si>
  <si>
    <t>Consider 100 cum sand blanket laying.</t>
  </si>
  <si>
    <t>IRR-CAW-8-1-A</t>
  </si>
  <si>
    <t>(For Maintenance works)</t>
  </si>
  <si>
    <t>( rubble stones : 0.207 cum/sqm,  Stone Chips : 0.03375cum/sqm, Pin Headers 30cm : 2/sqm)</t>
  </si>
  <si>
    <t>( rubble stones : 0.2475 cum/sqm) (For Maintenance Works)</t>
  </si>
  <si>
    <t>IRR-CAW-8-2-A</t>
  </si>
  <si>
    <t>Sand for Filling</t>
  </si>
  <si>
    <t>Stone Chips at Quarry</t>
  </si>
  <si>
    <t>New Item1-2010-11</t>
  </si>
  <si>
    <t>new Item2-2010-11</t>
  </si>
  <si>
    <t>new Item3-2010-11</t>
  </si>
  <si>
    <t>(New Item1 - 2011-12)</t>
  </si>
  <si>
    <t>(New Item2- 2011-12)</t>
  </si>
  <si>
    <t>New Item6 - 2010-11</t>
  </si>
  <si>
    <t>New Item 7 - 2010-11</t>
  </si>
  <si>
    <t>New Item5 - 2010-11</t>
  </si>
  <si>
    <t>(New Item3- 2011--12)</t>
  </si>
  <si>
    <t>(New Item4 - 2011-12)</t>
  </si>
  <si>
    <t>(New Item5 - 2011-12)</t>
  </si>
  <si>
    <t>IRR-DAW-5-4-A (New Item1 -2011-12)</t>
  </si>
  <si>
    <t>IRR-DAW-6-4-A (New Item2 2011-12)</t>
  </si>
  <si>
    <t>IRR-CAW-5-3-A (New Item 3 -2011-12)</t>
  </si>
  <si>
    <t>IRR-CAW-8-1-A (New Item4 - 2011-12)</t>
  </si>
  <si>
    <t>IRR-CAW-8-2 - A (New Item5 - 2011-12)</t>
  </si>
  <si>
    <t xml:space="preserve"> percent</t>
  </si>
  <si>
    <t>Stainless steel plates / flats</t>
  </si>
  <si>
    <t>Welding electrodes for stitch welding at 10 % of total with 2.5 % wastage</t>
  </si>
  <si>
    <t>Welding electrodes (SS) for stitch welding at 10 % of total with 2.5 % wastage</t>
  </si>
  <si>
    <t>Welding electrodes ( LH ) for run welding at 90 % of total with 2.5 % wastage</t>
  </si>
  <si>
    <t>tonne capacity</t>
  </si>
  <si>
    <t>about 5 percent excavation mainly for trimming bed to final profile by manual</t>
  </si>
  <si>
    <t xml:space="preserve"> labour the daily output will be:</t>
  </si>
  <si>
    <t>Super Plasticizer</t>
  </si>
  <si>
    <t>Use rate of manual paver</t>
  </si>
  <si>
    <t>Concrete mixer 600/400 ltr ( diesel )</t>
  </si>
  <si>
    <t>Needle vibrator 40 mm dia ( petrol )</t>
  </si>
  <si>
    <t>Crew for Concrete mixer</t>
  </si>
  <si>
    <t>as perscedule of rates under itemsinthis chapter and add as applicable separately)</t>
  </si>
  <si>
    <t xml:space="preserve">Total length of cutting+ 10% variations </t>
  </si>
  <si>
    <t>For cutting structural steel sections to required size gas cutting is assumed .</t>
  </si>
  <si>
    <t>for cutting sections less than 12 mm in thickness plate shearing</t>
  </si>
  <si>
    <t>Hiring ofheavy dutycrane for 4 hours considered for handling yoke / anchor girder parts from river</t>
  </si>
  <si>
    <t>Tower crane/heavy duty tyre mounted crane</t>
  </si>
  <si>
    <t>A-2</t>
  </si>
  <si>
    <t xml:space="preserve">  RADIAL GATES</t>
  </si>
  <si>
    <t>Gates</t>
  </si>
  <si>
    <t>of skin plate, stiffeners, horizontal girders, radial arms, trunnion assemblies, tie beam, pulley</t>
  </si>
  <si>
    <t xml:space="preserve">(without painting on sand-blasted or mechanical cleaning surfaces which are added extra </t>
  </si>
  <si>
    <t>Assume 1.5 m bed width and 1.2 m depth of flow.</t>
  </si>
  <si>
    <t>Assume side slopes of 1.5 horizontal to 1 vertical.</t>
  </si>
  <si>
    <t>Rubber seals</t>
  </si>
  <si>
    <t>Side seals</t>
  </si>
  <si>
    <t>Deploy 20 hp sludge pump for removing drill water from pit</t>
  </si>
  <si>
    <t>Total time for drilling including preparation for drilling</t>
  </si>
  <si>
    <t>Quantity of in-situ excavation per blast ( 22.91 x 1.30 )</t>
  </si>
  <si>
    <t>Consider laying of concrete in panels of 3 m length.</t>
  </si>
  <si>
    <t>( rubble stones : 1.1cum, cement : 98kg, sand 0.34 cum)</t>
  </si>
  <si>
    <t>BACK FILLING &amp; OTHER WORKS :</t>
  </si>
  <si>
    <t>Total lift upto 3 m (covered by item rate)</t>
  </si>
  <si>
    <t>Initial lift</t>
  </si>
  <si>
    <t>For Every 1.00 Lift beyond</t>
  </si>
  <si>
    <t>initial lift of 3 meters</t>
  </si>
  <si>
    <t>DETAILED DATA</t>
  </si>
  <si>
    <t>LEAD / LIFT / LOADING &amp; UNLOADING CHARGES - DATA RATES</t>
  </si>
  <si>
    <t>I. GENERAL DATA FOR LEAD / LIFT / LOADING &amp; UNLOADING:</t>
  </si>
  <si>
    <t>A . DATA FOR LEAD CHARGES BY HEAD LOAD :</t>
  </si>
  <si>
    <t xml:space="preserve">Building Rubbish, Crushed Slag, Stone for Masonry </t>
  </si>
  <si>
    <t>Work by manual means including a lead upto 30 m</t>
  </si>
  <si>
    <t>Taking output = 5.5 cum</t>
  </si>
  <si>
    <t xml:space="preserve">The ideal cycle time for shovel requires spotting of tipper within 1.33 </t>
  </si>
  <si>
    <t>time for the shovel will be 1.60 minutes.</t>
  </si>
  <si>
    <t xml:space="preserve">In-situ dry density of soil in dump area will be generally less than dry </t>
  </si>
  <si>
    <t xml:space="preserve">         ---</t>
  </si>
  <si>
    <t xml:space="preserve">        ---</t>
  </si>
  <si>
    <t>20 mm down filter aggregate ( 0.5 + 2.5 ) x 80 x 1/2 - ( 36.37 + 45.23 )</t>
  </si>
  <si>
    <t xml:space="preserve">Total quantity of filter </t>
  </si>
  <si>
    <t>( 56.00 + 120.00 )</t>
  </si>
  <si>
    <t xml:space="preserve">Sand unscreened </t>
  </si>
  <si>
    <t>20-10 mm filter aggregate</t>
  </si>
  <si>
    <t>Coarse aggregate 10 mm down</t>
  </si>
  <si>
    <t>ii ) The rate includes levelling canal bed by hammering / chiselling all rock projections wherever</t>
  </si>
  <si>
    <t>required.</t>
  </si>
  <si>
    <t>Assume 10.40 m width of canal at the bench level and 1.25 m average depth of cutting.</t>
  </si>
  <si>
    <t>Details of plant and machinery same as in item IRR-DAW-2-2.</t>
  </si>
  <si>
    <t>Use rate of normal shutter / sqm as per Item-IRR-DAW-2-2 annexure-A</t>
  </si>
  <si>
    <t>( As per data in Item-IRR-DAW-2-2 annexure-B )</t>
  </si>
  <si>
    <t>Use rate of shuttering ( Annexure-A Item-IRR-DAW-2-2 )</t>
  </si>
  <si>
    <t>( As per annexure-B in item- IRR-DAW-2-2 )</t>
  </si>
  <si>
    <t>( As per annexure-B Item- IRR-DAW-2-2)</t>
  </si>
  <si>
    <t>( As per annexure-B Item- IRR-DAW-2-2 )</t>
  </si>
  <si>
    <t>Cost of shuttering as per data in Item-IRR-DAW-2-2</t>
  </si>
  <si>
    <t xml:space="preserve">Same as in Item - IRR-DAW-2-9 with 1 Mason Cl - I extra for finishing and mazdoor </t>
  </si>
  <si>
    <t>Cycle time for batching / mixing / unloading 1 mix ( item - IRR-DAW-2-9 )</t>
  </si>
  <si>
    <t>Use rate of shuttering for 40 uses ( Annexure-A Item-IRR-DAW-2-2 )</t>
  </si>
  <si>
    <t>Labour for shuttering ( Annexure-B Item-IRR-DAW-2-2 )</t>
  </si>
  <si>
    <t>Daily concreting programme ( based on data in item - IRR-DAW-2-2 )</t>
  </si>
  <si>
    <t>Hourly output of batching plant ( based on data in item-IRR-DAW-2-2 )</t>
  </si>
  <si>
    <t>Same as in item IRR-DAW-3-1.</t>
  </si>
  <si>
    <t>Other category same as in item IRR-DAW-3-1.</t>
  </si>
  <si>
    <t>Other category same as in item IRR-DAW-3-1</t>
  </si>
  <si>
    <t>All other data same as in item No. IRR-DAW-5-1.</t>
  </si>
  <si>
    <t>Requirement of machinery based on data in item-IRR-DAW-5-1:</t>
  </si>
  <si>
    <t>Requirement of materials for 100 cum based on data for 400 cum in item - IRR-DAW-5-7:</t>
  </si>
  <si>
    <t>Use rate of shuttering per sqm ( as per Item - IRR-DAW-2-2 )</t>
  </si>
  <si>
    <t>Labour for erecting and dismantling shuttering per sqm ( Item-IRR-DAW-2-2 )</t>
  </si>
  <si>
    <t>Requirement of machinery for 100 cum based on data for 350 cum in item IRR-DAW-5-7:</t>
  </si>
  <si>
    <t>Requirement of materials for supports per tonne : Same as in item- IRR-TAW-3-3</t>
  </si>
  <si>
    <t>Requirement of machinery for supports per tonne : Same as in item- IRR-TAW-3-3 except drilling jumbo.</t>
  </si>
  <si>
    <t>Requirement of labour for supports per tonne : Same as in item- IRR-TAW-3-3 except for erection and</t>
  </si>
  <si>
    <t>Use rate of end shutter per sqm ( Annexure-A Item-IRR-TAW-5-3 )</t>
  </si>
  <si>
    <t>Erecting &amp; dismantling end shutter / sqm ( Annexure-B Item-IRR-TAW-5-3 )</t>
  </si>
  <si>
    <t>Capacity of shovel bucket</t>
  </si>
  <si>
    <t>Capacity of shovel bucket under heaped condition</t>
  </si>
  <si>
    <t>Capacity of tipper</t>
  </si>
  <si>
    <t>Lead for disposal of excavated soil</t>
  </si>
  <si>
    <t>( 2 x 25 x 60 / 50 / 60 )</t>
  </si>
  <si>
    <t>For conveying and placing consider combination of tippers and tower cranes.</t>
  </si>
  <si>
    <t>Rate Analysis</t>
  </si>
  <si>
    <t>All data same as in item: IRR-CAW-2-1 except compaction.</t>
  </si>
  <si>
    <t>Daily progress as per data in item: IRR-CAW-2-1</t>
  </si>
  <si>
    <t>Deploy dozer as per data in item: IRR-CAW-2-1</t>
  </si>
  <si>
    <t>Deploy shovel as per data in item: IRR-CAW-2-1</t>
  </si>
  <si>
    <t>Deploy tippers as per data in item: IRR-CAW-2-1</t>
  </si>
  <si>
    <t>Deploy shovel cum dozer as per data in item: IRR-CAW-2-1</t>
  </si>
  <si>
    <t>Deploy 8000 ltr water tanker as per data in item: IRR-CAW-2-1</t>
  </si>
  <si>
    <t>Data same as in Item: IRR-CAW-2-3</t>
  </si>
  <si>
    <t>All data same as in item:  IRR-CAW-2-6 except compaction.</t>
  </si>
  <si>
    <t>Lead for disposal of excavated rock rock</t>
  </si>
  <si>
    <t>In-situ qty / bucket for 40 % bulkage of hard rock ( 1 /1.40 )</t>
  </si>
  <si>
    <t>In-situ qty per load for 40 % bulkage of hard rock ( 5 /1.40 )</t>
  </si>
  <si>
    <t>Number of buckets per load ( 3.57 / 0.71 )</t>
  </si>
  <si>
    <t>Ideal cycle time for loading 5 buckets ( 5 x 50 / 60 )</t>
  </si>
  <si>
    <t>next tipper for loading. Assuming one loading cycle extra, the corrected cycle time for shavel</t>
  </si>
  <si>
    <t>Cycle time of shovel for digging &amp; loading</t>
  </si>
  <si>
    <t>used for tunnel supporting ribs.</t>
  </si>
  <si>
    <t>No. of tippers to match corrected cycle time of shovel ( 14.16/2.66 )</t>
  </si>
  <si>
    <t>Output of tipper / hr with 50 min working / hr ( 50 x 4.34 / 14.16 )</t>
  </si>
  <si>
    <t>Shuttering at 1 sqm / cum of concrete considered for foundation filling works.</t>
  </si>
  <si>
    <t>Use rate of shuttering for 40 uses ( Annexure-A above )</t>
  </si>
  <si>
    <t>Scaffolding for foundation concreting assumed</t>
  </si>
  <si>
    <t>: 10 % of shuttering</t>
  </si>
  <si>
    <t>Labour for shuttering ( Annexure-B above )</t>
  </si>
  <si>
    <t>Bottom seal ( flat uncladed )</t>
  </si>
  <si>
    <t>Side seals ( bulb teflon claded )</t>
  </si>
  <si>
    <t>Top seal ( bulb teflon claded )</t>
  </si>
  <si>
    <t>Corner seals ( bulb teflon claded )</t>
  </si>
  <si>
    <t>mazdoor:</t>
  </si>
  <si>
    <t>mazdoor ( casting yard )</t>
  </si>
  <si>
    <t>mazdoor ( for fixing )</t>
  </si>
  <si>
    <t>Conveying stone slabs mazdoor</t>
  </si>
  <si>
    <t>Assisting mason for laying stones mazdoor</t>
  </si>
  <si>
    <t>Cement mortar mixing &amp; conveying mazdoor</t>
  </si>
  <si>
    <t>Conveying PCC slabs mazdoor</t>
  </si>
  <si>
    <t>Generally 50 to 65 mm thick cut jungle wood planks are placed behind supports as lagging /</t>
  </si>
  <si>
    <t>Number of coping slabs for pillers</t>
  </si>
  <si>
    <t>Quantity of concrete per span :</t>
  </si>
  <si>
    <t>For kerb ( 36 x 0.35 x 0.20 )</t>
  </si>
  <si>
    <t>For grinding and finishing weld joints 32 hours use of grinding machine considered.</t>
  </si>
  <si>
    <t xml:space="preserve">                         RATE ANALYSIS FOR FUEL CHARGES OF MACHINERY</t>
  </si>
  <si>
    <t>Electric motor powered machinery:</t>
  </si>
  <si>
    <t>Quantity of steel per mould ( 0.55 x 4 x 2.4 x 1.025 )</t>
  </si>
  <si>
    <t xml:space="preserve">Cost of steel angles @                                     Rs: </t>
  </si>
  <si>
    <t xml:space="preserve">(Cement content: 17.4 kg / joint, FA : 0.022cum/joint, Hemp Yarn : 0.127kg/joint) </t>
  </si>
  <si>
    <t xml:space="preserve">(Cement content: 24.8 kg / joint, FA : 0.025cum/joint, Hemp Yarn : 0.22kg/joint) </t>
  </si>
  <si>
    <t>tunnel sides due to geological faults etc., including cost of all materials, machinery, labour,</t>
  </si>
  <si>
    <t>Use rate of water hose 4 Nos</t>
  </si>
  <si>
    <t>Sundries ( gas for cutting / heating etc )</t>
  </si>
  <si>
    <t xml:space="preserve">Cement  : 446 kg               Sand  : </t>
  </si>
  <si>
    <t xml:space="preserve">Cement  : 495 kg                 Sand  : </t>
  </si>
  <si>
    <t>For 1 cum CC :-              Coarse aggregates : 0.90 cum                 Blending ratio : 50 :30 : 20</t>
  </si>
  <si>
    <t>Requirement of materials per cum of CC:</t>
  </si>
  <si>
    <t>40 to 20 mm size</t>
  </si>
  <si>
    <t>20 to 10 mm size</t>
  </si>
  <si>
    <t>10 to 4.75 mm size</t>
  </si>
  <si>
    <t>materials, machinery, labour, ventilation, lighting, drainage etc., complete.</t>
  </si>
  <si>
    <t>Generally rate of drilling in rock or concrete inside tunnel will be less compared to drilling in</t>
  </si>
  <si>
    <t>open area.</t>
  </si>
  <si>
    <t>Deploy 1 air compressor of 8.5 cmm capacity and 3 jack hammers for 13 hours considering</t>
  </si>
  <si>
    <t>(10.53*60/50)</t>
  </si>
  <si>
    <t>C. LABOUR :</t>
  </si>
  <si>
    <t>Total Cost of Labour     Rs.</t>
  </si>
  <si>
    <t>finishing paint at 15 sqm / day                     :</t>
  </si>
  <si>
    <t>Excise duty on supply :</t>
  </si>
  <si>
    <t>Quantity of mortar for 36 sqm with 20 % rebound ( 36 x 1.2 x 0.025 ) :</t>
  </si>
  <si>
    <t>Add for filling crevices / joints in exposed rock etc @ 5%</t>
  </si>
  <si>
    <t>Dewatering pump 20 hp ( electric)</t>
  </si>
  <si>
    <t>Air compressor 8.5 cmm ( electric )</t>
  </si>
  <si>
    <t>Air compressor 15 cmm ( electric )</t>
  </si>
  <si>
    <t>Concrete mixer 300 / 200 ( diesel )</t>
  </si>
  <si>
    <t>Assembly/Erection of drums / drive units</t>
  </si>
  <si>
    <t>Assembly/Erection of CT drive units</t>
  </si>
  <si>
    <t>Assembly/Erection of LT drive units</t>
  </si>
  <si>
    <t>Erection of cabin / railings etc</t>
  </si>
  <si>
    <t>Cartman with double bullock cart</t>
  </si>
  <si>
    <t>Output of dozer cum shovel for levelling per hour</t>
  </si>
  <si>
    <t>Generally the soil from excavation will be in moist condition. In the beginning of the season no</t>
  </si>
  <si>
    <t>Operator Crusher / Conveyor / Mucker</t>
  </si>
  <si>
    <t xml:space="preserve">drawings for 15 m x 9 m spillway </t>
  </si>
  <si>
    <t>RADIAL GATES-ROPE DRUM HOISTS    WITH  HOIST BRIDGES</t>
  </si>
  <si>
    <t>CONTRACTION JOINT WORKS:</t>
  </si>
  <si>
    <t>Jaw plates 500 x 300 mm ( serreted )</t>
  </si>
  <si>
    <t>Number of buckets per load ( 5.00 / 1.00 )</t>
  </si>
  <si>
    <t>Ideal cycle time for loading 5 buckets ( 5 x 60 / 60 )</t>
  </si>
  <si>
    <t>28 mm dia 6 / 37 construction 1 No 120 Rm @ 2.71 kg / m</t>
  </si>
  <si>
    <t>Oxygen gas @ 1.8 cum / hour                               ( 111 x 1.80 )</t>
  </si>
  <si>
    <t>Use of gas cutting torch with 50 min / hr working     ( 111 x 60 / 50 )</t>
  </si>
  <si>
    <t>( 180 / 15 ) x 8 / 2</t>
  </si>
  <si>
    <t>( 1625 / 15 ) x 8 / 6</t>
  </si>
  <si>
    <t>Considering 0.3 m free board the size of shuttering for 3 m length panal will be 9.60 sqm on</t>
  </si>
  <si>
    <t>either side including curved portions and over laps.</t>
  </si>
  <si>
    <t>Guide roller fixing / Cleaning / Lowering</t>
  </si>
  <si>
    <t>Quantity of 6 mm stirrups ( 6x5x0.6x0.22 )</t>
  </si>
  <si>
    <t>Needle vibrator 60 mm dia ( petrol )</t>
  </si>
  <si>
    <t>Deploy 1 Stone chiseller and 1 Stone breakers for 0.5 day for levelling bed.</t>
  </si>
  <si>
    <t>Time for turning and un-loading</t>
  </si>
  <si>
    <t>Time for average 0.75 km return trip ( 0.75 x 60 / 15 )</t>
  </si>
  <si>
    <t>Extra time for spotting</t>
  </si>
  <si>
    <t>Jaw plates 400 x 225 mm ( serreted )</t>
  </si>
  <si>
    <t>Nylon Conveyor belt 3 ply 600 mm width</t>
  </si>
  <si>
    <t>Nylon Conveyor belt 3 ply 1000 mm width</t>
  </si>
  <si>
    <t>OTHER COSTS ON MATERIAL / MACHINERY / EQUIPMENT</t>
  </si>
  <si>
    <t>The rate provided for ' SUNDRIES' ( Lumpsum provision for unquantified inputs in the data</t>
  </si>
  <si>
    <t>Consider 10 m length railing.</t>
  </si>
  <si>
    <t>No. of RCC post @ 2 m interval</t>
  </si>
  <si>
    <t>Output of concrete per shift of 8 hours</t>
  </si>
  <si>
    <t>( 30 x 8 )</t>
  </si>
  <si>
    <t>Formwork</t>
  </si>
  <si>
    <t>Scaffolding / supports etc @ 15 percent of shuttering.</t>
  </si>
  <si>
    <t xml:space="preserve">density of embankment compacted to more than 95 percent density </t>
  </si>
  <si>
    <t xml:space="preserve">control. Considering shrinkage factor of 5 percent the net quantity of </t>
  </si>
  <si>
    <t>embankment will be ( 850 x 0.95 )</t>
  </si>
  <si>
    <t xml:space="preserve">percent watering by weight, daily requirement of water for 807 cum of </t>
  </si>
  <si>
    <t xml:space="preserve">Soil collected for embankment layer gets compacted to some extent </t>
  </si>
  <si>
    <t>during levelling.</t>
  </si>
  <si>
    <t>Consider 1000 sqm canal slope for maintanance work per day.</t>
  </si>
  <si>
    <t>Cost of scaffolding / bracing materials considered @ :                  15 % of shuttering</t>
  </si>
  <si>
    <t>bags to prevent flying of rock fragments during blasting.</t>
  </si>
  <si>
    <t>In-situ quantity / load for 10 % bulkage of soil ( 5.00 / 1.10 )</t>
  </si>
  <si>
    <t>Number of buckets per load ( 4.50 / 0.90 )</t>
  </si>
  <si>
    <t>Thickness of loose layer</t>
  </si>
  <si>
    <t>Thickness of layer after compaction</t>
  </si>
  <si>
    <t>Quantity of compacted fill per hour 50 x 0.12</t>
  </si>
  <si>
    <t xml:space="preserve">Quantity of steel per mould ( 0.45 x 2 + 0.3 x 2 ) x 1.8 x 1.025 </t>
  </si>
  <si>
    <t>In-situ qty / bucket for 15 % bulkage of soil              ( 0.57 / 1.15 )</t>
  </si>
  <si>
    <t>Consider 3 Ice making plants of 10 t capacity / Day each with all accessories.</t>
  </si>
  <si>
    <t>Sundries ( amonia gas etc)</t>
  </si>
  <si>
    <t>Ice maker unit consisting of:</t>
  </si>
  <si>
    <t>Insitu qty / bucket for 10 % bulkage of soil in dump area</t>
  </si>
  <si>
    <t>Assume digging &amp; loading cycle at 80 % of borrow area.</t>
  </si>
  <si>
    <t>Add for shutter oil at 0.2 ltr/ sqm @                   Rs:</t>
  </si>
  <si>
    <t>Effective area of shutter &amp; soldier with 10 cm margin at top and bottom</t>
  </si>
  <si>
    <t>Add for shutter oil at 0.2 ltr/ sqm @                    Rs:</t>
  </si>
  <si>
    <t>excavated stuff neatly in specified dump area or disposing off the same as directed etc.,</t>
  </si>
  <si>
    <t>Helper Laboratory / Instrumentation</t>
  </si>
  <si>
    <t>Helper Road roller</t>
  </si>
  <si>
    <t>Helper Shovel / Scraper / Dozer</t>
  </si>
  <si>
    <t>Helper Crusher / Conveyor / Mucker</t>
  </si>
  <si>
    <t>Helper Tipper / Dumper/ Transit mixer</t>
  </si>
  <si>
    <t>Helper Vibrator</t>
  </si>
  <si>
    <t>Output of tipper / hr with 50 min working / hr ( 50 x 4.54 / 12.67 )</t>
  </si>
  <si>
    <t>Output for 4.7 tippers per day ( 4.7 x 18.00 x 8 )</t>
  </si>
  <si>
    <t>about 7 tanker loads of 8000 ltrs each.</t>
  </si>
  <si>
    <t>As the paver will be released soon after completing concreting upto top level of lining and moved</t>
  </si>
  <si>
    <t>to next portion to be lined 200 uses can be considered as life of paver.</t>
  </si>
  <si>
    <t>Further it is assumed that the shuttering of paver will be oiled after every 4 uses of the paver.</t>
  </si>
  <si>
    <t>Considering this the quantity of shutter oil is assumed at 0.05 ltr / sqm.</t>
  </si>
  <si>
    <t>Cenent for incidentals @ 5 kg / cum</t>
  </si>
  <si>
    <t>Soil already collected in embankment area as part of disposal of excavated soil</t>
  </si>
  <si>
    <t>from canal excavation.</t>
  </si>
  <si>
    <t>Rope drum hoist for radial gate consists of embedded parts for anchorage, hoist supporting</t>
  </si>
  <si>
    <t>Cycle time for loading 8 buckets ( 8 x 25 / 60 )</t>
  </si>
  <si>
    <t>Time for 1km haulage under load ( 60 / 15 )</t>
  </si>
  <si>
    <t>Chapter II</t>
  </si>
  <si>
    <t>EXCAVATION :</t>
  </si>
  <si>
    <t>For the purpose of working out conveyance charges by head load the category of materials as</t>
  </si>
  <si>
    <t>classified in ( I ) above are grouped together as under :</t>
  </si>
  <si>
    <t>CATEGORY : Earth / Sand / Gravel / Murrum / Lime / Surki / Coarse aggregate /</t>
  </si>
  <si>
    <t>Rubble stone / Size stone / Cut stone</t>
  </si>
  <si>
    <t xml:space="preserve">             In this group materials which are comperatively lighter and generally conveyed by head load</t>
  </si>
  <si>
    <t>by light / heavy mazdoor are included. Method of conveyance, approximate weight per load</t>
  </si>
  <si>
    <t>Length of canal for excavation                                   ( 3 x 2.00 )</t>
  </si>
  <si>
    <t>Quantity of excavation for 6.0 m length                      ( 64.38 x 6.00 )</t>
  </si>
  <si>
    <t>No. of blast holes in 3 rows with 5 to 6 holes in each row</t>
  </si>
  <si>
    <t>Length of drilling for 17 holes                                    ( 13 x 6 + 4 x 6.5 )</t>
  </si>
  <si>
    <t>Drilling for secondary blasting for 5% qty @ 0.6 m / cum</t>
  </si>
  <si>
    <t>No.of blast holes for secondary blasting @ 0.6 m / hole ( 12 / 0.6 )</t>
  </si>
  <si>
    <t>Time for drilling 104 m for 1 Waggon drill @ 12 m / hour</t>
  </si>
  <si>
    <r>
      <t>M</t>
    </r>
    <r>
      <rPr>
        <sz val="10"/>
        <rFont val="Arial"/>
        <family val="2"/>
      </rPr>
      <t>3</t>
    </r>
    <r>
      <rPr>
        <sz val="10"/>
        <rFont val="Arial"/>
        <family val="2"/>
      </rPr>
      <t>/MT</t>
    </r>
  </si>
  <si>
    <t>Road Metal &amp; Ballast</t>
  </si>
  <si>
    <t>3a</t>
  </si>
  <si>
    <t>The quantity of wire mesh and sand bags required for covering smooth blast area is included</t>
  </si>
  <si>
    <t>in item for excavation by controlled blasting method.</t>
  </si>
  <si>
    <t>Consider 100 cum chimney filter:</t>
  </si>
  <si>
    <t>Consider 3 to 4 minutes for moulding one slab &amp; 2 Masons working on moulding work.</t>
  </si>
  <si>
    <t xml:space="preserve">Daily output of moulding for 2 Masons </t>
  </si>
  <si>
    <t>It is proposed to mould 225 lining slabs and 25 lug slabs daily since moulding of lug</t>
  </si>
  <si>
    <t xml:space="preserve">recommendations of designers, it is to adopt  surface preperation  done manually  by hand and power tool </t>
  </si>
  <si>
    <t xml:space="preserve"> after cleaning by chemical treatment to remove grease, rust, scaling etc., and to form phasphate coating </t>
  </si>
  <si>
    <t>to prevent further rusting, before applying primer painting.</t>
  </si>
  <si>
    <t>unit</t>
  </si>
  <si>
    <t>100 sq.meters</t>
  </si>
  <si>
    <t>excavation for foundation, providing 30 cm dia hume pipe outlet, cost of all materials, machinery,</t>
  </si>
  <si>
    <t>labour, formwork, scaffolding, batching, mixing, laying, vibrating, finishing, curing etc., complete</t>
  </si>
  <si>
    <t>Consider one manhole for analysis.</t>
  </si>
  <si>
    <t>M-15 grade CC :</t>
  </si>
  <si>
    <t xml:space="preserve">excavation for thickness of murum bedding add per  </t>
  </si>
  <si>
    <t>Quantity of Explosive @ 0.25 kg / cum</t>
  </si>
  <si>
    <t>Quantity of small dia explosive @ 0.2 kg / cum for secondary blast</t>
  </si>
  <si>
    <t>1/cum</t>
  </si>
  <si>
    <t>The basic wages need not be revised every year and any revision, if warranted, shall take</t>
  </si>
  <si>
    <t>For batching and mixing assume 50 cum / hour rated capacity Batching plant.</t>
  </si>
  <si>
    <t>Capacity of mixer drum</t>
  </si>
  <si>
    <t xml:space="preserve">2 x 1.50 </t>
  </si>
  <si>
    <t>Tipper 5 cum ( 24 x 100 / 400 )</t>
  </si>
  <si>
    <t>Surface finishing required 12.40 x 100 / 18</t>
  </si>
  <si>
    <t>M</t>
  </si>
  <si>
    <t>Corrected Quantity of in-situ soil per load ( 5 x 0.83 )</t>
  </si>
  <si>
    <t>Ideal cycle time for loading 5 buckets ( 5 x 20 / 60 )</t>
  </si>
  <si>
    <t>The ideal cycle time for shovel requires spotting of a tipper within 1.67 minutes near the shovel.</t>
  </si>
  <si>
    <t>However, in practice for canal excavation the space available may not permit positioning of the</t>
  </si>
  <si>
    <t>tippers on either side of the shovel. Generally, one tipper has to move after loading to position</t>
  </si>
  <si>
    <t xml:space="preserve">min </t>
  </si>
  <si>
    <t>No. of Transit mixers to match 11 cum /hr (11.00 / 3.77)</t>
  </si>
  <si>
    <t>3 x 3</t>
  </si>
  <si>
    <t>Qty of CC for paver / hr for 80 mm thickness (120 x 0.08 )</t>
  </si>
  <si>
    <t>Requirement of labour for 100 sqm turfing:</t>
  </si>
  <si>
    <t>stage</t>
  </si>
  <si>
    <t>Super plasticizer</t>
  </si>
  <si>
    <t>Consider one spillway bridge span of 18 m.</t>
  </si>
  <si>
    <t>Consider solid parapet for rate analysis for one span.</t>
  </si>
  <si>
    <t>Mason Cl II for preparing backing @ 50 sqm / day</t>
  </si>
  <si>
    <t>Pin headers 45 cm</t>
  </si>
  <si>
    <t>CM 1:3 proportion including cost of all materials, labour, packing chips and mortar, finishing,</t>
  </si>
  <si>
    <t>Rate of interest on capital cost shall be as approved by Govt or other competent authority.</t>
  </si>
  <si>
    <t>Air hose 25 mm dia</t>
  </si>
  <si>
    <t>Diesel</t>
  </si>
  <si>
    <t>Output of 0.5 crowbarman, 0.5 stone breaker, 2 mazdoors assumed at 5.0</t>
  </si>
  <si>
    <t xml:space="preserve"> cum per day.</t>
  </si>
  <si>
    <t>For controlling flying of rock fragments during blasting consider covering the</t>
  </si>
  <si>
    <t xml:space="preserve"> blasting area with 20 guage 50 x 50 mm opening chain link mesh and sand</t>
  </si>
  <si>
    <t xml:space="preserve"> bags.</t>
  </si>
  <si>
    <t>( c)</t>
  </si>
  <si>
    <t>No. of tippers to match corrected cycle time of shovel ( 10.00/ 2.00 )</t>
  </si>
  <si>
    <t>spacing considered for hard rock is assumed.</t>
  </si>
  <si>
    <t>Grid spacing of holes</t>
  </si>
  <si>
    <t>Use rate of sand bag</t>
  </si>
  <si>
    <t>Electric delay detonators</t>
  </si>
  <si>
    <t>Air compressor 8.5 cmm ( diesel ) 1 No</t>
  </si>
  <si>
    <t>Crew for Angle dozer</t>
  </si>
  <si>
    <t>Stone chiseller Cl - II</t>
  </si>
  <si>
    <t>Quantity of paint for 100 sqm 4coat with 2 % wastage ( 100 x 2x 1.02 /6)</t>
  </si>
  <si>
    <t>magnetic brake system, hand operation assembly, control panel, wire rope, pulleys, ladder etc.,</t>
  </si>
  <si>
    <t>Shape of adit assumed for excavation</t>
  </si>
  <si>
    <t>D - shape</t>
  </si>
  <si>
    <t>Height of adit assumed ( finished section )</t>
  </si>
  <si>
    <t>Pay-line margin assumed</t>
  </si>
  <si>
    <t xml:space="preserve">Cost of water hose 25 m each @           / Rm            Rs: </t>
  </si>
  <si>
    <t>excavation mainly for trimming of bed and sides to final profile by manual the daily output</t>
  </si>
  <si>
    <t>Sundries ( lathe, blower etc )</t>
  </si>
  <si>
    <t>Turner</t>
  </si>
  <si>
    <t>Blacksmith</t>
  </si>
  <si>
    <t>Dismantling &amp; extending track line</t>
  </si>
  <si>
    <t>Releasing / moving / aligning gantry</t>
  </si>
  <si>
    <t>Cleaning &amp; Oiling gantry / Bulk head fixing</t>
  </si>
  <si>
    <t>Placer pipe assembling for different positions</t>
  </si>
  <si>
    <t>Erection of worm reducers / brake</t>
  </si>
  <si>
    <t>Brake</t>
  </si>
  <si>
    <t>Air compressor 8.5 cmm electric</t>
  </si>
  <si>
    <t>Air compressor 15 cmm electric</t>
  </si>
  <si>
    <t xml:space="preserve">labour, raking-out and cleaning joints, scaffolding wherever required and all </t>
  </si>
  <si>
    <t>8. Loading charges are not payable for conveyance by mechanical means for disposal of</t>
  </si>
  <si>
    <t>excavated materials beyond initial lead of 50 m wherever specified.</t>
  </si>
  <si>
    <t>Needle vibrator 40 mm ( electric )</t>
  </si>
  <si>
    <t>Needle vibrator 60 mm ( petrol )</t>
  </si>
  <si>
    <t>Needle vibrator 60 mm ( electric )</t>
  </si>
  <si>
    <t>Stationery derric crane</t>
  </si>
  <si>
    <t>Air compressor 8.5 cmm ( electric)</t>
  </si>
  <si>
    <t>Air compressor 15 cmm ( electric)</t>
  </si>
  <si>
    <t>Concrete mixer 300 / 200 ( diesel)</t>
  </si>
  <si>
    <t>Concrete mixer 300 / 200 ltr ( electric)</t>
  </si>
  <si>
    <t>Concrete mixer 600 / 400 ( diesel)</t>
  </si>
  <si>
    <t xml:space="preserve">                                  ( EXCLUDING FUEL &amp; CREW )</t>
  </si>
  <si>
    <t>Capital cost of machinery / equipment</t>
  </si>
  <si>
    <t>Salvage value of machinery / equipment ( as percentage of capital cost )</t>
  </si>
  <si>
    <t>s</t>
  </si>
  <si>
    <t xml:space="preserve">I </t>
  </si>
  <si>
    <t>Formwork : 2.50 sqm per cum of concrete considered.</t>
  </si>
  <si>
    <t>Stone chips @ 30 %</t>
  </si>
  <si>
    <t>Reinforcement steel 10 mm dia</t>
  </si>
  <si>
    <t xml:space="preserve">   2. For total lead exceeding 150 m conveyance charges by mechanical means only shall</t>
  </si>
  <si>
    <t>Mazdoor for conveying stone chips</t>
  </si>
  <si>
    <t>Mazdoor for supplying stones and assisting mason</t>
  </si>
  <si>
    <t>Consider 4 mazdoors.</t>
  </si>
  <si>
    <t>Mazdoor for assisting mason</t>
  </si>
  <si>
    <t>Deploy drilling jumbo for total 10 hours including time for movement.</t>
  </si>
  <si>
    <t>beams / channels / round bars. For plates / flats less than 12 mm in thickness plate shearing</t>
  </si>
  <si>
    <t>Requirement of paver :</t>
  </si>
  <si>
    <t>Area of lining per use</t>
  </si>
  <si>
    <t>Daily output of 2 mixers</t>
  </si>
  <si>
    <t>with initial lead upto 50 m and all lifts.</t>
  </si>
  <si>
    <t>For batching 40-20 CA</t>
  </si>
  <si>
    <t xml:space="preserve">B.( Lead) Conveyance charges for machinery per kilometer for transporting materials </t>
  </si>
  <si>
    <t xml:space="preserve">CATEGORY : Earth / Sand / Gravel / Murrum / Lime / Surki / Coarse aggregate / Rubble stone </t>
  </si>
  <si>
    <t>/ Size stone / Cut stone</t>
  </si>
  <si>
    <t>Qty of Porus plug =11/4x0.1x0.1x0.4=</t>
  </si>
  <si>
    <t>Unloading charges of fabricated parts  Rs</t>
  </si>
  <si>
    <t>Add 1 km lead charges for fabricated parts                                Rs.</t>
  </si>
  <si>
    <t>Add 2 leads</t>
  </si>
  <si>
    <t>CANAL LINING WORKS :</t>
  </si>
  <si>
    <t>Deploy 8000 ltr capacity water tanker for 7 hours for watering before rolling.</t>
  </si>
  <si>
    <t>Time for rolling 750 cum soil in embankment layer</t>
  </si>
  <si>
    <t>Soil already collected as part of disposal of excavated soil.</t>
  </si>
  <si>
    <t>All data same as in item: IRR-CAW-2-6 except watering and compaction.</t>
  </si>
  <si>
    <t>All data same as in item: IRR-CAW-3-1 except compaction.</t>
  </si>
  <si>
    <t>Daily progress as per data in item: IRR-CAW-3-1</t>
  </si>
  <si>
    <t>Deploy shovel cum dozer as per data in item: IRR-CAW-3-1</t>
  </si>
  <si>
    <t>Deploy tippers as per data in item: IRR-CAW-3-1</t>
  </si>
  <si>
    <t>Deploy 8000 ltr water tanker as per data in item: IRR-CAW-3-1</t>
  </si>
  <si>
    <t>Deploy 5 hp pump as per data in item: IRR-CAW-3-1</t>
  </si>
  <si>
    <t>All data same as item: IRR-CAW-3-3 except compaction.</t>
  </si>
  <si>
    <t>Daily progress as per data in item: IRR-CAW-3-3</t>
  </si>
  <si>
    <t>Deploy 0.5 cum shovel as per data in item: IRR-CAW-3-3</t>
  </si>
  <si>
    <t>Deploy tippers as per data in item: IRR-CAW-3-3</t>
  </si>
  <si>
    <t>Deploy dozer as per data in item: IRR-CAW-3-3</t>
  </si>
  <si>
    <t>Deploy 8000 ltr water tanker as per data in item: IRR-CAW-3-3</t>
  </si>
  <si>
    <t>Deploy 5 hp pump as per data in item: IRR-CAW-3-3</t>
  </si>
  <si>
    <t>Shovel digging and loading cycle same as in Item:IRR-CAW-3-3</t>
  </si>
  <si>
    <t>Round trip cycle time for tipper same as in Item:IRR-CAW-3-3</t>
  </si>
  <si>
    <t>Data same as in Item:IRR-CAW-3-3</t>
  </si>
  <si>
    <t>All data same as in item: IRR-CAW-4-1 except compaction.</t>
  </si>
  <si>
    <t>Daily progress as per data in item: IRR-CAW-4-1</t>
  </si>
  <si>
    <t>Deploy shovel cum dozer as per data in item: IRR-CAW-4-1</t>
  </si>
  <si>
    <t>Deploy 8000 ltr water tanker as per data in item: IRR-CAW-4-1</t>
  </si>
  <si>
    <t>All data same as in item: IRR-CAW-4-3 except compaction.</t>
  </si>
  <si>
    <t>Daily progress as per data in item: IRR-CAW-4-3</t>
  </si>
  <si>
    <t>Deploy shovel cum dozer as per data in item: IRR-CAW-4-3</t>
  </si>
  <si>
    <t>Deploy 8000 ltr water tanker as per data in item: IRR-CAW-4-3</t>
  </si>
  <si>
    <t>Deploy 5 hp pump as per data in item: IRR-CAW-4-3</t>
  </si>
  <si>
    <t>Data same as in Item: IRR-CAW-4-3</t>
  </si>
  <si>
    <t>All operations same as in item IRR-CAW-7-1 except compacting soil.</t>
  </si>
  <si>
    <t>Quantity considred for analysis in item IRR-CAW-7-1.</t>
  </si>
  <si>
    <t>under items IRR-CAW-7-7 and IRR-CAW-7-8 and saperate rate for shifting shall not be allowed.</t>
  </si>
  <si>
    <t>Use rate of shuttering for 40 uses ( Annexure-A Item-IRR-CCDW-2-3 )</t>
  </si>
  <si>
    <t>Labour for shuttering ( Annexure-B Item-IRR-CCDW-2-3 )</t>
  </si>
  <si>
    <t>two mazdoors less than in item IRR-CCDW-2-3</t>
  </si>
  <si>
    <t xml:space="preserve">Use rate of shuttering for 40 uses ( Annexure-A Item-IRR-CCDW-2-3 )          Rs: </t>
  </si>
  <si>
    <t xml:space="preserve">Labour for shuttering ( Annexure-B Item-IRR-CCDW-2-3)                             Rs: </t>
  </si>
  <si>
    <t>Requirement of labour for concreting same as in item : IRR-CCDW-2-3.</t>
  </si>
  <si>
    <t xml:space="preserve">Labour for shuttering ( Annexure-B Item-IRR-CCDW-2-3 )                            Rs: </t>
  </si>
  <si>
    <t>Requirement of labour for concreting same as in item : IRR-CCDW-2-4.</t>
  </si>
  <si>
    <t xml:space="preserve">Use rate of shuttering for 40 uses ( Annexure-A Item-IRR-CCDW-2-3 )                             Rs: </t>
  </si>
  <si>
    <t xml:space="preserve">Labour for shuttering ( Annexure-B Item-IRR-CCDW-2-3 )                                                Rs: </t>
  </si>
  <si>
    <t>Requirement of labour for concreting same as in item :IRR-CCDW-2-3 with 1 mazdoor extra.</t>
  </si>
  <si>
    <t xml:space="preserve">Use rate of shuttering for 40 uses ( Annexure-A Item-IRR-CCDW-2-3 )                              Rs: </t>
  </si>
  <si>
    <t>Requirement of labour for concreting: 1 mazdoor less than in item IRR-CCDW-2-3</t>
  </si>
  <si>
    <t>Use rate of shuttering for 40 uses ( Annexure-A Item-IRR-CCDW-2-3 )                             Rs:</t>
  </si>
  <si>
    <t>Requirement of labour for concreting: same as in item IRR-CCDW-2-5</t>
  </si>
  <si>
    <t>Use rate of shuttering ( Annexure-A Item-IRR-CCDW-2-3 )                            Rs:</t>
  </si>
  <si>
    <t xml:space="preserve">Labour for shuttering ( Annexure-B Item-IRR-CCDW-2-3 )                             Rs: </t>
  </si>
  <si>
    <t xml:space="preserve">Requirement of labour for concreting : 3 mazdoors less than in item IRR-CCDW-2-3 </t>
  </si>
  <si>
    <t xml:space="preserve">Labour for shuttering ( Annexure-B Item IRR-CCDW-2-3 )                                                Rs: </t>
  </si>
  <si>
    <t xml:space="preserve">Use rate of shuttering for 40 uses ( Annexure-A Item-IRR-CCDW-2-3 )                            Rs:  </t>
  </si>
  <si>
    <t xml:space="preserve">Labour for shuttering ( Annexure-B Item-IRR-CCDW-2-3 )                                              Rs:   </t>
  </si>
  <si>
    <t>Use rate ofshuttering for 40 uses</t>
  </si>
  <si>
    <t>M S Bolts / Nuts / Washers</t>
  </si>
  <si>
    <t>Murum</t>
  </si>
  <si>
    <t>Oxalic acid</t>
  </si>
  <si>
    <t>Oxygen gas</t>
  </si>
  <si>
    <t>PVC sealing strip</t>
  </si>
  <si>
    <t>PVC water stopper 310 mm wide</t>
  </si>
  <si>
    <t>Reinforcement steel</t>
  </si>
  <si>
    <t>Resin bond Cement capsule</t>
  </si>
  <si>
    <t>Deploy 1 water tanker and 2 pumps (1 at BP site and 1 at Water source) for water requirement</t>
  </si>
  <si>
    <t>3 x 3 grid</t>
  </si>
  <si>
    <t>Cost of paving cylinder @ Rs.</t>
  </si>
  <si>
    <t>c2</t>
  </si>
  <si>
    <t>operations such as re-excavation, sorting out, transporting, spreading in layer of specified</t>
  </si>
  <si>
    <t>20 cm thick sand, 15 cm thick 20 mm down and 15 cm thick 40 mm down size graded coarse</t>
  </si>
  <si>
    <t>at minimum possible level.</t>
  </si>
  <si>
    <t xml:space="preserve">hole drilled in bed rock and other end provided with L-bend for embedding in </t>
  </si>
  <si>
    <t xml:space="preserve">concrete / masonry of over flow / non-over flow blocks and other appertenant </t>
  </si>
  <si>
    <t xml:space="preserve">i ) 1 m width of excavation along the face to be dressed shall be treated as </t>
  </si>
  <si>
    <t>excavation by line drilling and smooth blasting.</t>
  </si>
  <si>
    <t xml:space="preserve">surface requiring dressing has come off neatly as per specifications or </t>
  </si>
  <si>
    <t xml:space="preserve">atleast 50 percent of smooth blast holes are visible for inspection and are </t>
  </si>
  <si>
    <t>spaced at specified interval.</t>
  </si>
  <si>
    <t>Add for shutter oil at 0.2 ltr/ sqm @ Rs:  / ltr</t>
  </si>
  <si>
    <t>Use rate of shutters considering average  uses</t>
  </si>
  <si>
    <t>32 mm dia jack hammer drilling assumed.</t>
  </si>
  <si>
    <t>mazdoor for assisting in cutting / fabrication / fixing</t>
  </si>
  <si>
    <t>1 carpenter Cl II and 2 mazdoors are considered for cutting and fixing / cum.</t>
  </si>
  <si>
    <t>3 Bar benders &amp; 6 mazdoors</t>
  </si>
  <si>
    <t>mazdoor 2 x 0.5</t>
  </si>
  <si>
    <t>Consider 2 Masons, 8 man mazdoors at paver site for laying &amp; curing CC</t>
  </si>
  <si>
    <t>Mazdoor for conveying mortar</t>
  </si>
  <si>
    <t>Mazdoor for curing and miscellaneous works</t>
  </si>
  <si>
    <t>assumed at 0.9 m for rate analysis.</t>
  </si>
  <si>
    <t>Effective depth of pull ( 0.90 - 0.10 )</t>
  </si>
  <si>
    <t>say   :</t>
  </si>
  <si>
    <t>Deploy 2 concrete mixers (diesel) one on either  side for lining.</t>
  </si>
  <si>
    <t>aggregate filter including cost of all materials, labour, excavation of pit etc., complete with</t>
  </si>
  <si>
    <t>lead upto 50 m and all lifts.</t>
  </si>
  <si>
    <t>Consider 10 Nos filter drains.</t>
  </si>
  <si>
    <t>Shuttering at 1 sqm / cum of concrete considered for foundation filling work.</t>
  </si>
  <si>
    <t>Scaffolding for foundation concreting assumed @</t>
  </si>
  <si>
    <t>10 % of shuttering</t>
  </si>
  <si>
    <t>Cement for mortar</t>
  </si>
  <si>
    <t>Vibratory pad foot roller 8 tonne</t>
  </si>
  <si>
    <t>Crew for Pump</t>
  </si>
  <si>
    <t>Crew for Water tanker</t>
  </si>
  <si>
    <t>Crew for Roller</t>
  </si>
  <si>
    <t>Heat dissipated by free water in CA : Wam x Cw ( Ta - T )</t>
  </si>
  <si>
    <t>0.02 x 1490 x 1.00 ( 25 - 15 )</t>
  </si>
  <si>
    <t>Heat dissipated by moisture in sand : Wsm x Cw ( Ts - T )</t>
  </si>
  <si>
    <t>0.01 x 575 x 1.00 ( 27 - 15 )</t>
  </si>
  <si>
    <t>Heat dissipated by mixing water : ( Ww - Wam - Wsm - Wi ) Cw ( Tw - T )</t>
  </si>
  <si>
    <t>( 126 - 29.8 - 5.75 - Wi ) x 1.00 x ( 25 - 15 )</t>
  </si>
  <si>
    <t>-10Wi+904.50</t>
  </si>
  <si>
    <t>Heat absorbed by ice : Wi x ( T - Ci x Ti + 80 )</t>
  </si>
  <si>
    <t>Wi x ( 15 - 0.5 x -5 + 80 )</t>
  </si>
  <si>
    <t>97.5Wi</t>
  </si>
  <si>
    <t>Heat balance equation:</t>
  </si>
  <si>
    <t>Heat absorbed = Heat dissipated</t>
  </si>
  <si>
    <t>97.5 Wi = 1575.00 + 3278.00 + 1518.00 + 298.00 + 69.00 - 904.5 - 10Wi</t>
  </si>
  <si>
    <t>107.5 Wi = 5833.50</t>
  </si>
  <si>
    <t>Weight of ice flake / cum of concrete</t>
  </si>
  <si>
    <t>5833.5 / 107.5</t>
  </si>
  <si>
    <t>Quantity of ice required / day for 500 cum concrete</t>
  </si>
  <si>
    <t>No. of blast holes in 7 rows @ 1.2 m interval staggered ( 4 x 8 + 3 x 9 )</t>
  </si>
  <si>
    <t>Length of drilling for 59 holes @ 1.4 m per hole</t>
  </si>
  <si>
    <t>Add drilling for secondary blasting for 5% qty @ 0.6 m / cum</t>
  </si>
  <si>
    <t>Time for drilling 85 m for 2 jack hammers ( 85 / 16 )</t>
  </si>
  <si>
    <t>Dhobi</t>
  </si>
  <si>
    <t>Diploma Engineer / Surveyor</t>
  </si>
  <si>
    <t>Diver with headgear</t>
  </si>
  <si>
    <t>for mucking shift 8 Nos</t>
  </si>
  <si>
    <t>blocks, gear box, electric motor, hand operation assembly, brake, wire rope, gate position</t>
  </si>
  <si>
    <t>Run welding 2728 hours</t>
  </si>
  <si>
    <t>Erection of trunnion and tie beam</t>
  </si>
  <si>
    <t>Erection of Horizontal girders</t>
  </si>
  <si>
    <t xml:space="preserve">lime, Aggregate, Stone boulder, Brick aggregate,  </t>
  </si>
  <si>
    <t xml:space="preserve">Kankar, Building rubbish, Manure, Crushed Slag, </t>
  </si>
  <si>
    <t>Civic worker</t>
  </si>
  <si>
    <t>Permanent steel supports are generally provided in the form of quarter / half / full rib depending</t>
  </si>
  <si>
    <t>Add for LH / RH shifting &amp; erection of Paver @</t>
  </si>
  <si>
    <t>Add for ledge cutting / erection of tracks etc @</t>
  </si>
  <si>
    <t>cost of all materials, labour, scaffolding etc., complete with all leads and</t>
  </si>
  <si>
    <t>aggregates satisfying filter creteria as per specifications including cost of all materials, labour,</t>
  </si>
  <si>
    <t>Area of filter drain for 100 cum 100 / 0.85</t>
  </si>
  <si>
    <t>Qty of stripping with 5 % extra area ( 240x1.05x0.25 )</t>
  </si>
  <si>
    <t>Time required for stripping 63 cum</t>
  </si>
  <si>
    <t>Consider 2 hours including time for shifting / ramp cutting / trimming etc.</t>
  </si>
  <si>
    <t>Requirement of dozer for one day work 480 cum</t>
  </si>
  <si>
    <t>Quantity of explosive small dia per blast @ 1.0 kg per cum</t>
  </si>
  <si>
    <t>Total quantity of explosive</t>
  </si>
  <si>
    <t>For conveying concrete @ 1 per cum</t>
  </si>
  <si>
    <t>For cleaning, curing &amp; miscellaneous</t>
  </si>
  <si>
    <t>Cement for mix</t>
  </si>
  <si>
    <t>Cement for incidentals @ 5 kg / cum</t>
  </si>
  <si>
    <t>Coarse aggregate 10 mm below</t>
  </si>
  <si>
    <t xml:space="preserve">the shovel may not permit free movement of the tippers quickly. Some times </t>
  </si>
  <si>
    <t xml:space="preserve">one loaded tipper has to move after loading to position next tipper for loading. </t>
  </si>
  <si>
    <t>steel ), machinery, labour and one coat of primer painting.</t>
  </si>
  <si>
    <t>( 69 / 15 ) x 8 / 2</t>
  </si>
  <si>
    <t>( 622 / 15 ) x 8 / 6</t>
  </si>
  <si>
    <t>Deploy welding transformer for 73 hours.</t>
  </si>
  <si>
    <t>( 18 x 0.25 + 55 x 0.75 ) :</t>
  </si>
  <si>
    <t>gears and pinions, plummer blocks, worm reducer, floating shaft, electric motor, hand operation</t>
  </si>
  <si>
    <t>Quantity of concrete for each slab ( 0.40 x 0.40 x 0.03 )</t>
  </si>
  <si>
    <t>For lining slabs    :</t>
  </si>
  <si>
    <t>For lug slabs       :</t>
  </si>
  <si>
    <t>Crew for Transit mixer</t>
  </si>
  <si>
    <t>Crew for Concrete paver</t>
  </si>
  <si>
    <t>Crew for DG set</t>
  </si>
  <si>
    <t>Mechanic</t>
  </si>
  <si>
    <t>Fitter</t>
  </si>
  <si>
    <t>Add for shifting &amp; re-erection of BP @</t>
  </si>
  <si>
    <t xml:space="preserve">    Rs:</t>
  </si>
  <si>
    <t>Quantity of stone chips for packing @ 15 %</t>
  </si>
  <si>
    <t>For sorting out &amp; breaking useful rubble and chips:</t>
  </si>
  <si>
    <t>for excavation by normal blasting or controlled blasting as the case may be.</t>
  </si>
  <si>
    <t>- drilling holes at closer interval along the final excavation lines on either side of canal with light</t>
  </si>
  <si>
    <t>blasting to achieve neat side slopes.</t>
  </si>
  <si>
    <t>Consider 1 m width of excavation on either side for line drilling and smooth blasting.</t>
  </si>
  <si>
    <t>Sectional area of excavation by smooth blasting           ( 2 x 1 x 1.25 )</t>
  </si>
  <si>
    <t>( 10 x 2.15 x 3.85 x 1.05 )</t>
  </si>
  <si>
    <t>Quantity of washer for 10 bolts with 5 % wastage</t>
  </si>
  <si>
    <t>( 10 x 2 x 0.2 x 0.2 x 78.5 x 1.05 )</t>
  </si>
  <si>
    <t>( 10 x 0.15 x 0.025 x 157 x 1.05 )</t>
  </si>
  <si>
    <t>Quantity of steel for wedge for 10 bolts with 5 % wastage</t>
  </si>
  <si>
    <t>structure, pulley supporting structures, pulleys, drive stool, rope drums, couplings, shafts,</t>
  </si>
  <si>
    <t xml:space="preserve">For 1 cum CC :- </t>
  </si>
  <si>
    <t xml:space="preserve">Coarse aggregates </t>
  </si>
  <si>
    <t xml:space="preserve">Scaffolding : Cost of scaffolding materials considered at 15 percent of </t>
  </si>
  <si>
    <t>shuttering.</t>
  </si>
  <si>
    <t xml:space="preserve">Formwork :Average 1.00 sqm / cum of concrete considered for gravity type </t>
  </si>
  <si>
    <t>Requirement of chain link mesh and sand bags for smooth blast area is also included in this</t>
  </si>
  <si>
    <t>Stainless steel plate</t>
  </si>
  <si>
    <t xml:space="preserve"> ( Cost / Life )</t>
  </si>
  <si>
    <t xml:space="preserve">under specified pressure as directed in drilled holes by stage grouting </t>
  </si>
  <si>
    <t xml:space="preserve">method including cost of all materials, machinery, labour, redrilling if </t>
  </si>
  <si>
    <t xml:space="preserve">DESIGNS AND DRAWING CHARGES  AT 2% BE  ADDED EXTRA TO THE ESTIMATES, IF CONTRACTOR'S  </t>
  </si>
  <si>
    <t xml:space="preserve">SCOPE OF WORK  INVOLVES DESIGNS COMPONENT ALSO </t>
  </si>
  <si>
    <t>upto 10 degree to vertical as directed including cost of all materials, machinery, labour, water</t>
  </si>
  <si>
    <t>Requirement of dozer for one day work 346.75 cum</t>
  </si>
  <si>
    <t>Consider 5 hours including time for levelling stripped soil / shifting time.</t>
  </si>
  <si>
    <t>tanker for 5 hours daily for watering before rolling. Deploy 5 hp pump for 2 hours.</t>
  </si>
  <si>
    <t>Time for rolling 495.36 cum soil in embankment layer</t>
  </si>
  <si>
    <t>Time for rolling 495.36 cum spread soil</t>
  </si>
  <si>
    <t>Tippers 5.00 cum capacity 6 Nos</t>
  </si>
  <si>
    <t>Tippers 5 cum of 6 Nos</t>
  </si>
  <si>
    <t>Average distance to be covered beyond initial lead of 50 m</t>
  </si>
  <si>
    <t>Average speed of conveyance by head load</t>
  </si>
  <si>
    <t>m / minute</t>
  </si>
  <si>
    <t>Round trip cycle time for 25 m considering 50 min/ hr working</t>
  </si>
  <si>
    <t xml:space="preserve">Cost of 50 m air hose 50 mm @                        Rs: </t>
  </si>
  <si>
    <t>for conveying rubble stones</t>
  </si>
  <si>
    <t>for preparing mortar</t>
  </si>
  <si>
    <t>for laying &amp; packing mortar</t>
  </si>
  <si>
    <t>for washing rubble / finishing / curing</t>
  </si>
  <si>
    <t>2.5 to 3 per sqm of cross sectional area for small tunnels and in the range of 2.0 to 2.5 per</t>
  </si>
  <si>
    <t>Pump 20 hp electric</t>
  </si>
  <si>
    <t>Crew for Pump 10 hp</t>
  </si>
  <si>
    <t>Crew for Pump 20 hp</t>
  </si>
  <si>
    <t>Crew for Winch</t>
  </si>
  <si>
    <t>Hammerman 1 No. in each shift</t>
  </si>
  <si>
    <t>for mucking 8 Nos in each shift</t>
  </si>
  <si>
    <t>for other 2 shifts 1 No / shift</t>
  </si>
  <si>
    <t>of all materials,machinery, labour, scaling excavated surface, removing under-cuts, ventilation,</t>
  </si>
  <si>
    <t>lighting, drainage, removing and hauling the excavated muck outside tunnel upto specified</t>
  </si>
  <si>
    <t>Stenographer / Computer Operator</t>
  </si>
  <si>
    <t>Telephone / Wireless Operator</t>
  </si>
  <si>
    <t>say :</t>
  </si>
  <si>
    <t>( say ) :</t>
  </si>
  <si>
    <t>any time gap between excavation and rehandling relatively more watering is needed. Assuming</t>
  </si>
  <si>
    <t>Output of roller / hr with 50 min /hr working and 75 % effenciancy</t>
  </si>
  <si>
    <t>50 / 60 ( 1.9 x 4000 x 0.3 x 0.75 / 9 )</t>
  </si>
  <si>
    <t>Time for rolling 720 cum soil in embankment layer</t>
  </si>
  <si>
    <t>Sorting out/ sectioning/ labour for testing etc :</t>
  </si>
  <si>
    <t>Nill</t>
  </si>
  <si>
    <t>Tippers 5.00 cum capacity 4 Nos.</t>
  </si>
  <si>
    <t>Pump 5 hp ( diesel )</t>
  </si>
  <si>
    <t>For 1 cum CC :- Coarse aggregates : 0.80 cum</t>
  </si>
  <si>
    <t>Graduate Engineer</t>
  </si>
  <si>
    <t>Lab Assistant</t>
  </si>
  <si>
    <t>Cost of gas cutting set                          @ Rs:</t>
  </si>
  <si>
    <t>10-4.75 mm CA</t>
  </si>
  <si>
    <t>Sand including finishing</t>
  </si>
  <si>
    <t>ABSTRACT :</t>
  </si>
  <si>
    <t>GI bolts / nuts / washers with 2.5 % wastage</t>
  </si>
  <si>
    <t>- covering blasting area with chain link mesh or conveyor belts or waste tyres and sand bags</t>
  </si>
  <si>
    <t>to prevent flying of rock fragments during blasting.</t>
  </si>
  <si>
    <t>Provision for Oil &amp; Lubricants :</t>
  </si>
  <si>
    <t>Electric motor operated machinery</t>
  </si>
  <si>
    <t>20 percent of energy charges</t>
  </si>
  <si>
    <t>No. of tippers to match corrected cycle time of shovel ( 15.5/4 )</t>
  </si>
  <si>
    <t>neatly in dump area or for the formation of service road / embankment as directed etc.,</t>
  </si>
  <si>
    <t>Time for ( av ) 0.75 km haulage under load ( 0.75 x 60 / 15 )</t>
  </si>
  <si>
    <t>Deploy 10 hp pump for 4 hours for pumping water to storage tank.</t>
  </si>
  <si>
    <t>Labour for erecting &amp; dismantling scaffolding :                       No scaffolding required.</t>
  </si>
  <si>
    <t>Cement for incidentals @ 2 kg / cum</t>
  </si>
  <si>
    <t xml:space="preserve">volume including cost of all materials,  machinery, labour, formwork, curing </t>
  </si>
  <si>
    <t xml:space="preserve">all materials, machinery, labour, formwork, centering, scaffolding, cleaning, </t>
  </si>
  <si>
    <t xml:space="preserve">Assuming one extra cycle for shovel the corrected cycle time for the shovel </t>
  </si>
  <si>
    <t>will be 2.20 minutes.</t>
  </si>
  <si>
    <t>Dewatering pump 10 hp diesel</t>
  </si>
  <si>
    <t>Dewatering pump 10 hp electric</t>
  </si>
  <si>
    <t>Dewatering pump 20 hp diesel</t>
  </si>
  <si>
    <t>(A+B+C+D)/16.45</t>
  </si>
  <si>
    <t>(A+B+C+D)/11.70</t>
  </si>
  <si>
    <t>In-situ quantity per load for 10 % bulkage of soil ( 5.0 /1.1 )</t>
  </si>
  <si>
    <t>Number of buckets per load ( 4.54 / 0.53 )</t>
  </si>
  <si>
    <t>Cost of gas cutting set                        @ Rs:</t>
  </si>
  <si>
    <t>Bronze bush</t>
  </si>
  <si>
    <t>Forged steel components :</t>
  </si>
  <si>
    <t>Quantity</t>
  </si>
  <si>
    <t>/ tonne</t>
  </si>
  <si>
    <t>/ sqm</t>
  </si>
  <si>
    <t>STATEMENT OF WAGES OF WORKERS</t>
  </si>
  <si>
    <t>rates ) shall be updated on the basis of general percentage increase / decrease in the</t>
  </si>
  <si>
    <t>Crew for pump</t>
  </si>
  <si>
    <t>Day</t>
  </si>
  <si>
    <t xml:space="preserve"> Rs:</t>
  </si>
  <si>
    <t>Total cost of Labour</t>
  </si>
  <si>
    <t>ABSTRACT:</t>
  </si>
  <si>
    <t>A. Cost of Materials</t>
  </si>
  <si>
    <t>Add metal for plug</t>
  </si>
  <si>
    <t>Consider fixing 6 bearings for one spillway bridge span.</t>
  </si>
  <si>
    <t>Daily output of masonry for 10 cum mortar with 40 % mortar content</t>
  </si>
  <si>
    <t xml:space="preserve">Tarfelt joint filler board with 2 % wastage ( 100 x 0.38 x 1.02 ) </t>
  </si>
  <si>
    <t>Carpenter Cl- II</t>
  </si>
  <si>
    <t>As the density control of soil in dump area will be less compared to natural ground due to</t>
  </si>
  <si>
    <t>bulkage of soil during excavation shrinkage foctor to compensate for bulkage has to be</t>
  </si>
  <si>
    <t>for stacking after curing</t>
  </si>
  <si>
    <t>for cleaning &amp; miscellaneous</t>
  </si>
  <si>
    <t>B. Hire charges of Machinery</t>
  </si>
  <si>
    <t xml:space="preserve">Cost of sand / bag for 0.025 cum @                  Rs: </t>
  </si>
  <si>
    <t>UNIT:</t>
  </si>
  <si>
    <t>hour</t>
  </si>
  <si>
    <t>Stone breaker</t>
  </si>
  <si>
    <t>Total cost for</t>
  </si>
  <si>
    <t>Deploy 1 Air compressor 15 cmm for 8 hours with 50 minutes per hour working</t>
  </si>
  <si>
    <t>Bolt / Nut / Washer conforming to IS : 1363 :</t>
  </si>
  <si>
    <t>MS bolts / nuts with 2.5 % wastage</t>
  </si>
  <si>
    <t>Welding electrodes :</t>
  </si>
  <si>
    <t>Cost of manual paver :</t>
  </si>
  <si>
    <t>Shuttering plate 4 mm thick 19 sqm @ 31.40 kg / sqm</t>
  </si>
  <si>
    <t>Vertical and horizontal stiffeners 65 x 65 x 6 mm angles @ 1 m spacing</t>
  </si>
  <si>
    <t>@ 5.8 kg / m ( 3.2x8 + 3 x 8 ) = 49.6 m</t>
  </si>
  <si>
    <t>Bracings ISMC100 22 m @ 9.2 kg / m</t>
  </si>
  <si>
    <t>Gusset plates for bracings 300x300x10 mm 6 Nos @ 78.5 kg / sqm</t>
  </si>
  <si>
    <t>Welding electrode 4 mm dia x 450 mm ( radiographic low hydrogen )</t>
  </si>
  <si>
    <t>Quantity of concrete for each slab ( 0.45 x 0.30 x 0.03 )</t>
  </si>
  <si>
    <t>of all materials, machinery, labour, all other operations such as re-excavation,</t>
  </si>
  <si>
    <t>Output of shovel with 50 min./ hr working                 ( 50 x 60 x 0.5 / 30 )</t>
  </si>
  <si>
    <t>Daily output of excavation                                       ( 8 x 50 )</t>
  </si>
  <si>
    <t>Pump 2 hp for ice cutting - 3 Nos.</t>
  </si>
  <si>
    <t>Pump 2 hp for pumping water-3 Nos.</t>
  </si>
  <si>
    <t>Output of roller / hr with 50 min /hr working and 60 % effenciancy</t>
  </si>
  <si>
    <t>Excavation for Structures- Mechanical Means</t>
  </si>
  <si>
    <t>initial lead upto 50 m and initial lift upto 3 m.</t>
  </si>
  <si>
    <t>lead upto 50 m and initial lift upto 3 m.</t>
  </si>
  <si>
    <t>assembly, brake, wire rope, gate position indicator, switch box etc. with related accessories.</t>
  </si>
  <si>
    <t>Quantity of overfallen muck considered for analysis</t>
  </si>
  <si>
    <t>By dumper</t>
  </si>
  <si>
    <t>Quantity of overfallen muck requiring blasting assumed @ 20 %</t>
  </si>
  <si>
    <t xml:space="preserve">Labour charges for erecting &amp; dismantling scaffolding : 15 % of labour for </t>
  </si>
  <si>
    <t xml:space="preserve">For 1 cum plum CC :- </t>
  </si>
  <si>
    <t>Coarse aggregates :</t>
  </si>
  <si>
    <t xml:space="preserve">Blending ratio : </t>
  </si>
  <si>
    <t xml:space="preserve">For 1 cum porous CC : </t>
  </si>
  <si>
    <t>65:35</t>
  </si>
  <si>
    <t>Chapter VI</t>
  </si>
  <si>
    <t>PRELIMINARY AND MAINTENANCE WORKS</t>
  </si>
  <si>
    <t>JUNGLE CLEARANCE :</t>
  </si>
  <si>
    <t>v ) In case, where the above criteria is not fulfilled payment shall be restricted to rate provided</t>
  </si>
  <si>
    <t>Black smith / Tin smith / Rivetor</t>
  </si>
  <si>
    <t>inspection and are spaced at specified interval.</t>
  </si>
  <si>
    <t>Deploy 1 air compressors of 8.5 cmm capacity and 2 jack hammers for 5 hours for drilling with</t>
  </si>
  <si>
    <t>50 min per hour working.</t>
  </si>
  <si>
    <t>Consider loading of only alternate holes with half the normal charge per cum.</t>
  </si>
  <si>
    <t>Quantity of Explosive @ 0.20 kg / cum</t>
  </si>
  <si>
    <t>Electric delay detonators @ 1 per alternate hole</t>
  </si>
  <si>
    <t>For 90 % density control of embankment 10 % shrinkage factor is assumed on the basis of</t>
  </si>
  <si>
    <t>No watering proposed. Rolling under available moisture condition.</t>
  </si>
  <si>
    <t>heaps as part of disposal of excavated soil from canal including cost of all materials,machinery,</t>
  </si>
  <si>
    <t>NOTE:</t>
  </si>
  <si>
    <t>If 15 cm thick murum bed is to be provided below pitching add</t>
  </si>
  <si>
    <t>Mason Cl II for laying pitching @ 15 sqm / day</t>
  </si>
  <si>
    <t>Pin header (Through stone) 45 cm</t>
  </si>
  <si>
    <t>Cost of welding set                             @ Rs:</t>
  </si>
  <si>
    <t>Quantity of excavation ( 0.70 x 0.45 x 0.40 )</t>
  </si>
  <si>
    <t>Quantity of M-10 grade concrete ( 0.13 -- 0.35x0.25x0.30 )</t>
  </si>
  <si>
    <t>Surface painting 2 coats</t>
  </si>
  <si>
    <t>One line dressed Km stone</t>
  </si>
  <si>
    <t>40-20 mm coarse aggregate</t>
  </si>
  <si>
    <t>Synthetic enamel paint I st quality</t>
  </si>
  <si>
    <t>Sundries ( brush / oil etc )</t>
  </si>
  <si>
    <t>CANAL CROSS DRAINAGE WORKS - DATA RATES</t>
  </si>
  <si>
    <t>including preparing bed, flush pointing joints in CM 1 : 3 propn, cost of all materials ( excluding</t>
  </si>
  <si>
    <t>to 6 percent watering by weight, daily requirement of water for 620 cum of embankment will be</t>
  </si>
  <si>
    <t>Temperature of ice flakes in ice elevator</t>
  </si>
  <si>
    <t>( Ti )</t>
  </si>
  <si>
    <t>(-5.00)</t>
  </si>
  <si>
    <t>Deploy 1 water tanker and 2 pumps ( 1 at BP site and 1at Water source) for water requirement</t>
  </si>
  <si>
    <t>at BP site and at lining site.</t>
  </si>
  <si>
    <t>Deploy about 50 KVA capacity DG set with all accessories at BP site.</t>
  </si>
  <si>
    <t>Deploy about 30 KVA capacity DG set with all accessories at Paver site.</t>
  </si>
  <si>
    <t>Add for Ele sub-station / Demand charges @</t>
  </si>
  <si>
    <t>Deploy 4 tippers of 5.00 cum capacity for 8 hours to convey soil to embankment area.</t>
  </si>
  <si>
    <t>Spreading soil in 25 to 30 cm layer:</t>
  </si>
  <si>
    <t xml:space="preserve">the shovel. Generally one dumper has to move after loading to position the </t>
  </si>
  <si>
    <t>next dumper for loading. Assuming one extra cycle for shovel, the</t>
  </si>
  <si>
    <t xml:space="preserve">Further, assuming about 95 percent of excavation by deploying shovel and </t>
  </si>
  <si>
    <t>Crew for Drilling Jumbo</t>
  </si>
  <si>
    <t>CANAL CROSS DRAINAGE WORKS</t>
  </si>
  <si>
    <t>Daily progress of lining @ 120 sqm / hour</t>
  </si>
  <si>
    <t>Quantity of concrete for 960 sqm</t>
  </si>
  <si>
    <t>corrected qty of concrete for 100 sqm per hour</t>
  </si>
  <si>
    <t>Life of machinery / equipment in years</t>
  </si>
  <si>
    <t>Life of machinery / equipment in hours</t>
  </si>
  <si>
    <t>For 1 tonne of permanent supports requirement of materials is considered as under including</t>
  </si>
  <si>
    <t>wastage in cutting and fabrication at 3 percent.</t>
  </si>
  <si>
    <t>ISWB 150 sections for ribs</t>
  </si>
  <si>
    <t>10 mm thick plates for end connections</t>
  </si>
  <si>
    <t>25 mm dia bars for anchors and tie rods</t>
  </si>
  <si>
    <t>Bolts / Nuts / Washers for fitting</t>
  </si>
  <si>
    <t>No.of welding electrodes for 8 m welding / support @ 5 / Rm.</t>
  </si>
  <si>
    <t>per tonne</t>
  </si>
  <si>
    <t>For handling and erection mobile derric crane for 4 hours considered.</t>
  </si>
  <si>
    <t>Cutting sections 133 hours</t>
  </si>
  <si>
    <t>Erection /stitch welding anchors 48 hours</t>
  </si>
  <si>
    <t>Erection of rails &amp; fixing clamps</t>
  </si>
  <si>
    <t>Run welding 145 hours</t>
  </si>
  <si>
    <t>Finishing / checking / cleaning</t>
  </si>
  <si>
    <t>Cost of gas cutting set                            @    Rs:</t>
  </si>
  <si>
    <t>Structural steel :</t>
  </si>
  <si>
    <t xml:space="preserve">Seigniorage charges of soil from borrow areas/ dump yards   </t>
  </si>
  <si>
    <t>one meter lift is taken equivalent to 6 meters lead</t>
  </si>
  <si>
    <t>average speed  of conveyance by head load</t>
  </si>
  <si>
    <t>60 m/minute</t>
  </si>
  <si>
    <t>Round trip cycle time for 1.00 m considering 50 min/ hr working</t>
  </si>
  <si>
    <t>1 x6x 60 / 50 / 60 )</t>
  </si>
  <si>
    <t>No. of trips per day for lift 1.0 m above  3 m ( 8 x 60 / 0..12)</t>
  </si>
  <si>
    <t>Quantity of material by head load</t>
  </si>
  <si>
    <t>Quantity of material by head load per day ( 4000x 0.015 )</t>
  </si>
  <si>
    <t>Deploy 1 mazdoor for every additional lift of 1.0 m beyond initial lift.</t>
  </si>
  <si>
    <t xml:space="preserve">Lift : Upto 3.00 m for materials under this Category </t>
  </si>
  <si>
    <t>D. LOADING AND UNLOADING CHARGES BY MANUAL MEANS (including idle hire charges of trucks )</t>
  </si>
  <si>
    <t>E. LOADING AND UNLOADING CHARGES BY MECHANICAL MEANS (including idle hire charges of trucks)</t>
  </si>
  <si>
    <t>F.  LIFT CHARGES FOR MATERIALS  BY HEAD LOAD</t>
  </si>
  <si>
    <t>Total lift
( Total lift includes initial lift )</t>
  </si>
  <si>
    <t>Quantity of resin and hardener mixture at 0.10 kg / bearing</t>
  </si>
  <si>
    <t>Synthetic adhesive ( Resin + Hardener )</t>
  </si>
  <si>
    <t>Marker / Erector</t>
  </si>
  <si>
    <t>Assume average 3 m width of wall.</t>
  </si>
  <si>
    <t>Shalimastic sealing compound</t>
  </si>
  <si>
    <t>Shutter oil</t>
  </si>
  <si>
    <t>Structural steel fabrication</t>
  </si>
  <si>
    <t>Number of elastomeric bearings for 1 span</t>
  </si>
  <si>
    <t>Average output of 300 / 200 ltr mixer :</t>
  </si>
  <si>
    <t>cum / day</t>
  </si>
  <si>
    <t>Gas cutter / Welder</t>
  </si>
  <si>
    <t xml:space="preserve">Time for drilling 31.25 m with 50 min/ hr working &amp; frequent shifting </t>
  </si>
  <si>
    <t>Deploy 8.5 cmm Air compressor and Waggon drill for 3 hours.</t>
  </si>
  <si>
    <t>Use rate of 50 mm dia drill bit</t>
  </si>
  <si>
    <t>(A+B+C+D)/440</t>
  </si>
  <si>
    <t>(A+B+C+D)/265</t>
  </si>
  <si>
    <t>(A+B+C+D)/805</t>
  </si>
  <si>
    <t>(A+B+C+D)/68</t>
  </si>
  <si>
    <t>(A+B+C+D)/17.50</t>
  </si>
  <si>
    <t>(A+B+C+D)/386</t>
  </si>
  <si>
    <t xml:space="preserve">      Rs:</t>
  </si>
  <si>
    <t>(A+B+C+D)/1.0</t>
  </si>
  <si>
    <t>(A+B+C+D)/7.50</t>
  </si>
  <si>
    <t>Total for materials under this Category  for</t>
  </si>
  <si>
    <t>Lead: Upto 150 m :</t>
  </si>
  <si>
    <t>Average distance to be covered beyond initial of 50 m :</t>
  </si>
  <si>
    <t>Deploy two mazdoors for conveyance beyond initial lead.</t>
  </si>
  <si>
    <t>Total for materials under this Category for</t>
  </si>
  <si>
    <t>CATEGORY : Cement in bag / Reinforcement steel / Structural steel sections</t>
  </si>
  <si>
    <t>( 2 x 25 x 60 / 50 / 30 )</t>
  </si>
  <si>
    <t>No. of trips per day for lead upto 100 m ( 8 x 60 / 2 )</t>
  </si>
  <si>
    <t>Quantity of material by head load per day ( 240 x 50 / 1000 )</t>
  </si>
  <si>
    <t>MS pipe 100 mm dia</t>
  </si>
  <si>
    <t xml:space="preserve">Welding electrodes for stitch welding at 10 % of total with 2.5 % wastage </t>
  </si>
  <si>
    <t>8 hours considered.</t>
  </si>
  <si>
    <t>Welding set</t>
  </si>
  <si>
    <t>Winch 35 hp electric</t>
  </si>
  <si>
    <t>ACCESSORIES TO MACHINERY / EQUIPMENT</t>
  </si>
  <si>
    <t>required, tying with 1.25 mm dia.soft annealed steel wire, including cost of all materials, labour,</t>
  </si>
  <si>
    <t>of canal excavation.</t>
  </si>
  <si>
    <t>Only local rehandling of soil to lining area is required.</t>
  </si>
  <si>
    <t>It is proposed to mould 225 lining slabs and 25 lug slabs daily since moulding of</t>
  </si>
  <si>
    <t xml:space="preserve"> lug slabs saperately results in high rate of under utilization of machinery and work force.</t>
  </si>
  <si>
    <t xml:space="preserve">Deploy 5 hp diesel pump for 0.5 hour &amp; 8000 ltr water tanker for 1 hour for 1 week </t>
  </si>
  <si>
    <t>water requirement of about 8000 ltrs for concrete mixing and curing.</t>
  </si>
  <si>
    <t>B. Hire Charges of machinery</t>
  </si>
  <si>
    <t xml:space="preserve"> CA : 0.68 cum, FA : 0.43cum)</t>
  </si>
  <si>
    <t xml:space="preserve">labour, forming weep holes at specified intervals, finishing, curing etc., complete </t>
  </si>
  <si>
    <t xml:space="preserve">If water is to be brought from other place add only lead charges @ 500 ltr / cum. </t>
  </si>
  <si>
    <t>SAND BLASTING AND PAINTING</t>
  </si>
  <si>
    <t>Speed for loaded tipper under canal excavation condition</t>
  </si>
  <si>
    <t>Speed for empty tipper under canal excavation condition</t>
  </si>
  <si>
    <t>For packing and surface finishing.</t>
  </si>
  <si>
    <t>Mason Class-II</t>
  </si>
  <si>
    <t>Rubble</t>
  </si>
  <si>
    <t>Stone chips</t>
  </si>
  <si>
    <t>20 mm down graded aggregates satisfying specified filter creteria in layers as per specifications</t>
  </si>
  <si>
    <t>Time for cutting by shearing machine at av. 10 m / hour progress</t>
  </si>
  <si>
    <t>Shuttering at 5.0 sqm / cum of concrete considered for columns and beams..</t>
  </si>
  <si>
    <t xml:space="preserve">             RATE ANALYSIS FOR HIRE CHARGES OF MACHINERY</t>
  </si>
  <si>
    <t>Other accessories / controls / junctions</t>
  </si>
  <si>
    <t>years</t>
  </si>
  <si>
    <t>percent</t>
  </si>
  <si>
    <t>Mechanic Cl- II</t>
  </si>
  <si>
    <t>Painter Cl- II</t>
  </si>
  <si>
    <t>Patkari / Neeraganti / Sowdy</t>
  </si>
  <si>
    <t>UN-SKILLED CATEGORY:</t>
  </si>
  <si>
    <t>Cement / Asphalt handling mazdoor</t>
  </si>
  <si>
    <t>EMBANKMENT WORKS USING DUMP AREA SOIL :</t>
  </si>
  <si>
    <t>of embankment will be about 5 tanker loads of 8000 ltrs each.</t>
  </si>
  <si>
    <t>Deploy 8000 ltr capacity water tanker for 5 hours daily for watering before rolling.</t>
  </si>
  <si>
    <t>Diesel generating set 50 KVA</t>
  </si>
  <si>
    <t>Diesel Loco 45 hp</t>
  </si>
  <si>
    <t>Dewatering pump 5 hp diesel</t>
  </si>
  <si>
    <t>Dewatering pump 5 hp electric</t>
  </si>
  <si>
    <t xml:space="preserve">Cost of extn rod with sleeve 4.5 m @                Rs: </t>
  </si>
  <si>
    <t>D. Add for contractor's profit and overheads on (A+B+C)</t>
  </si>
  <si>
    <t>(A+B+C+D)/100</t>
  </si>
  <si>
    <t>(A+B+C+D)/40</t>
  </si>
  <si>
    <t>(A+B+C+D)/480</t>
  </si>
  <si>
    <t>(A+B+C+D)/320</t>
  </si>
  <si>
    <t>(A+B+C+D)/520</t>
  </si>
  <si>
    <t>(A+B+C+D)/880</t>
  </si>
  <si>
    <t>(A+B+C+D)/14</t>
  </si>
  <si>
    <t>(A+B+C+D)/20</t>
  </si>
  <si>
    <t>(A+B+C+D)/36</t>
  </si>
  <si>
    <t>(A+B+C+D)/500</t>
  </si>
  <si>
    <t>(A+B+C+D)/6</t>
  </si>
  <si>
    <t>(A+B+C+D)/3</t>
  </si>
  <si>
    <t>(A+B+C+D)/12</t>
  </si>
  <si>
    <t>(A+B+C+D)/8.70</t>
  </si>
  <si>
    <t>(A+B+C+D)/825</t>
  </si>
  <si>
    <t>(A+B+C+D)/630</t>
  </si>
  <si>
    <t>(A+B+C+D)/970</t>
  </si>
  <si>
    <t>(A+B+C+D)/807</t>
  </si>
  <si>
    <t>(A+B+C+D)/80</t>
  </si>
  <si>
    <t>(A+B+C+D)/400</t>
  </si>
  <si>
    <t>item and 10 % extra area of wire mesh is considered for overlaps.</t>
  </si>
  <si>
    <t>placing and removal of mesh / sand bags and other miscellaneous works.</t>
  </si>
  <si>
    <t xml:space="preserve">Cost of drill rod 1.5 m long @                            Rs: </t>
  </si>
  <si>
    <t>Fuse coil for secondary blasting</t>
  </si>
  <si>
    <t>Use rate of air hose</t>
  </si>
  <si>
    <t>Use rate of sand blast gun nozzle</t>
  </si>
  <si>
    <t>Sundries( Rust inhibitive, seive etc )</t>
  </si>
  <si>
    <t>Sand blasting equipment</t>
  </si>
  <si>
    <t>Area of concrete for body drain : ( 0.685 x 0.685 - 0.7857x0.23x0.23 )</t>
  </si>
  <si>
    <t>sqm.</t>
  </si>
  <si>
    <t xml:space="preserve">and other appurtenant structures and placing the excavated rock neatly in </t>
  </si>
  <si>
    <t>the next dumper for loading. Assuming one extra cycle for shovel, the</t>
  </si>
  <si>
    <t>TYPES OF GATES:</t>
  </si>
  <si>
    <t>COPING &amp; RAILING WORKS :</t>
  </si>
  <si>
    <t>MAINTENANCE WORKS :</t>
  </si>
  <si>
    <t xml:space="preserve">Add for scaffolding </t>
  </si>
  <si>
    <t>say : 18 cum per day</t>
  </si>
  <si>
    <t>say : 15 cum per day</t>
  </si>
  <si>
    <t xml:space="preserve">Average output of 300/200 ltr mixer : 50 x 10 x 8 / 220                 </t>
  </si>
  <si>
    <t xml:space="preserve">Average output of 300/200 ltr mixer : 50 x 13 x 8 / 350                 </t>
  </si>
  <si>
    <t>Chapter IV</t>
  </si>
  <si>
    <t>EXCAVATION &amp; FOUNDATION TREATMENT WORKS :</t>
  </si>
  <si>
    <t xml:space="preserve">Cost of 50 m air hose 25 mm @                       Rs: </t>
  </si>
  <si>
    <t>Alternatively, if the soil samples are collected at specified depth interval, drilling can be</t>
  </si>
  <si>
    <t>continued after collection of samples. For purpose of rate analysis rate of progress of drilling in</t>
  </si>
  <si>
    <t xml:space="preserve">all materials, machinery, labour, all other operations such as excavation, </t>
  </si>
  <si>
    <t xml:space="preserve">sorting out, transportation, spreading soil in layers of specified thickness, </t>
  </si>
  <si>
    <t xml:space="preserve">The ideal cycle time for shovel requires spotting of a tipper within 2.08 </t>
  </si>
  <si>
    <t>and smooth blasting and remaining portion shall be treated as excavation by normal / controlled</t>
  </si>
  <si>
    <t>blasting as the case may be.</t>
  </si>
  <si>
    <t>ii ) The rate under this item shall be adopted for canals designed for carrying capacity of less</t>
  </si>
  <si>
    <t>iii ) The rate includes controlling fly-rock wherever required.</t>
  </si>
  <si>
    <t>iv ) The rate under this item shall be paid only on ascertaining that the excavated face has</t>
  </si>
  <si>
    <t xml:space="preserve"> min</t>
  </si>
  <si>
    <t>Unit:</t>
  </si>
  <si>
    <t>Consider average 1.0 m wide excavation on either side under line drilling and smooth blasting to</t>
  </si>
  <si>
    <t>obtain neat excavated slopes.</t>
  </si>
  <si>
    <t>Rate analysis prepared separately for smooth blasting quantity.</t>
  </si>
  <si>
    <t xml:space="preserve">removing all loose materials by wedging / chiselling and disposing off the </t>
  </si>
  <si>
    <t>of soil.</t>
  </si>
  <si>
    <t xml:space="preserve">Deploy 4 tippers of 5.00 cum capacity for 8 hours to convey soil to </t>
  </si>
  <si>
    <t xml:space="preserve">the season no watering may be necessary and in summer months about 8 </t>
  </si>
  <si>
    <t>Length of canal for 7 rows                                      ( 7 x 1.00 )</t>
  </si>
  <si>
    <t>say :  17.5</t>
  </si>
  <si>
    <t xml:space="preserve">restricted to the rate provided for excavation by normal or controlled blasting </t>
  </si>
  <si>
    <t>as the case may be..</t>
  </si>
  <si>
    <t xml:space="preserve">Excavation in hard rock by line drilling and smooth blasting with </t>
  </si>
  <si>
    <t>ROCK FILL WORKS :</t>
  </si>
  <si>
    <t xml:space="preserve">For 30 m to 36 m from surface </t>
  </si>
  <si>
    <t>Beyond 36 m upto 42 m from surface</t>
  </si>
  <si>
    <t xml:space="preserve">Beyond 42 m upto 48 m from surface </t>
  </si>
  <si>
    <t>For 36 m to 42 m from surface</t>
  </si>
  <si>
    <t>Beyond 42 m upto 48 m from surface</t>
  </si>
  <si>
    <t>Quantity of filter behind rock-toe:</t>
  </si>
  <si>
    <t>Sand unscreened</t>
  </si>
  <si>
    <t>( 80 x 1.4 x 0.2 )</t>
  </si>
  <si>
    <t>Chapter V</t>
  </si>
  <si>
    <t>GATES / HOISTS AND ALLIED WORKS</t>
  </si>
  <si>
    <t>pinions</t>
  </si>
  <si>
    <t>Rope drums 2 Nos/Gears</t>
  </si>
  <si>
    <t xml:space="preserve">    Mate (Mason Cl- ll )</t>
  </si>
  <si>
    <t>Air Compressor 250 cft with 2 leads of pneumatic breaker</t>
  </si>
  <si>
    <t xml:space="preserve">Diesel mixer 300/200 </t>
  </si>
  <si>
    <t>Upright drilling machine/Grinder</t>
  </si>
  <si>
    <t>B.MACHINERY</t>
  </si>
  <si>
    <t xml:space="preserve">Fuel Charges </t>
  </si>
  <si>
    <t>Crew Charges</t>
  </si>
  <si>
    <t>IRR-CAW-7-47</t>
  </si>
  <si>
    <t>A. Manual Works</t>
  </si>
  <si>
    <t>Index_code</t>
  </si>
  <si>
    <t>(Common to all Departments)</t>
  </si>
  <si>
    <t>Excavation and disposal data same as in Item-IRR-DAW-1-2.</t>
  </si>
  <si>
    <t>FOUNDATION WELL SINKING WORKS :</t>
  </si>
  <si>
    <t>*Rm</t>
  </si>
  <si>
    <t>for 3 to 10 meters for each running meter</t>
  </si>
  <si>
    <t>Chapter - II</t>
  </si>
  <si>
    <t>Output of tipper / hr. with 50 min working / hr ( 50 x 3.57 / 11.50 ):</t>
  </si>
  <si>
    <t>Output of 1 shovel &amp; 4 tippers per hour (in-situ qty )        ( 15.52 x 4 ):</t>
  </si>
  <si>
    <t>For 68 cum in-situ quantity deploy 1 shovel &amp; 4 tippers for:</t>
  </si>
  <si>
    <t>For levelling 68 cum muck in dump yard deploy 1 dozer for:</t>
  </si>
  <si>
    <t xml:space="preserve">Quantity of steel per mould                   ( 0.4 x 4 ) x 1.8 x 1.025 </t>
  </si>
  <si>
    <t>Cost of steel angles @                                     Rs:</t>
  </si>
  <si>
    <t>For 1 cum CC :-        Coarse aggregates : 0.68 cum                 Fine aggregate : 0.43 cum</t>
  </si>
  <si>
    <t>Earth / Sand /Gravel
Murrum/ Lime/ Surki/
Size stone / Cut stone
Rubble / Coarse
aggregate
Rs / cum</t>
  </si>
  <si>
    <t>Cement /
Reinforce-
ment steel
Str steel
Rs / tonne</t>
  </si>
  <si>
    <t>PCC slab/
Shahbad
slab / CC
block/ BS
slab / Laterite
/ Wood
Rs / cum</t>
  </si>
  <si>
    <t>Quantity of concrete for 6 posts ( 0.125x0.125x0.75x6 )</t>
  </si>
  <si>
    <t>Useful stone chips ( at dump yard )</t>
  </si>
  <si>
    <t>Use rate of drill bit 50 mm dia</t>
  </si>
  <si>
    <t>Cycle time for loading 8 buckets ( 8 x 20 / 60 )</t>
  </si>
  <si>
    <t>Time for 1km haulage under load ( 60 / 20 )</t>
  </si>
  <si>
    <t>Time for 1 km return trip ( 60 / 25 )</t>
  </si>
  <si>
    <t>Requirement of materials per template including CM 1:4 joint:</t>
  </si>
  <si>
    <t xml:space="preserve">Cement :15.5 kg. </t>
  </si>
  <si>
    <t>Sand :0.025 cum.</t>
  </si>
  <si>
    <t xml:space="preserve">20-10 mm CA : 0.025 cum </t>
  </si>
  <si>
    <t>10-4.75 mm CA : 0.015 cum</t>
  </si>
  <si>
    <t xml:space="preserve">Reinforcement steel : 10 kg per block </t>
  </si>
  <si>
    <t>Stage down grouting in 6 m stages assumed.</t>
  </si>
  <si>
    <t>Use rate of 50 m air hose 2 Nos.</t>
  </si>
  <si>
    <t>Explosive small dia. (Kelvex-220 )</t>
  </si>
  <si>
    <t>Fuel / energy charges</t>
  </si>
  <si>
    <t>Angle dozer 90 hp</t>
  </si>
  <si>
    <t>Tippers 5 cum capacity 3 Nos.</t>
  </si>
  <si>
    <t>Number of roller passes to achieve specified density control</t>
  </si>
  <si>
    <t>cost of all materials, machinery, labour, placing the excavated rock neatly in approved dump</t>
  </si>
  <si>
    <t>are for loose volume and not for compacted or in-situ volume.</t>
  </si>
  <si>
    <t>6. Lift charges are not payable where conveyance of materials is by mechanical means to</t>
  </si>
  <si>
    <t>final placing point.</t>
  </si>
  <si>
    <t>7. Loading and unloading charges are not payable for conveyance by head load.</t>
  </si>
  <si>
    <t>Requirement of labour for laying aggregate and filter fabric :</t>
  </si>
  <si>
    <t>Area of surface finishing for top &amp; sides</t>
  </si>
  <si>
    <t>Helper Grouting/ Guniting/ Shotcreting</t>
  </si>
  <si>
    <t>/ kg</t>
  </si>
  <si>
    <t>Excise</t>
  </si>
  <si>
    <t>duty on</t>
  </si>
  <si>
    <t>( 1 + 2 )</t>
  </si>
  <si>
    <t>%</t>
  </si>
  <si>
    <t>Total</t>
  </si>
  <si>
    <t>rate /</t>
  </si>
  <si>
    <t>(1+2+3)</t>
  </si>
  <si>
    <t>For 1 cum CC :-              Coarse aggregates : 0.98 cum               Blending ratio : 35 :30 : 20 : 15</t>
  </si>
  <si>
    <t>Cost of scaffolding materials considered @ :                                30 % of shuttering</t>
  </si>
  <si>
    <t>Labour for erecting &amp; dismantling scaffolding :                              30 % of labour for shuttering</t>
  </si>
  <si>
    <t>Cost of 2.3 m soldier 18.17 kg @                     Rs:</t>
  </si>
  <si>
    <t>Cost of 6mm plate 1.41 kg @                          Rs:</t>
  </si>
  <si>
    <t>Add for bolts &amp; nuts @ 0.5 kg/ sqm                 Rs:</t>
  </si>
  <si>
    <t>Use rate of shutters:</t>
  </si>
  <si>
    <t>Add for 2 J-bolts/ sqm for fixing soldier @           Rs:</t>
  </si>
  <si>
    <t xml:space="preserve">Cost of paving cylinder @                                 Rs: </t>
  </si>
  <si>
    <t>/ Each.</t>
  </si>
  <si>
    <t>Life of paving cylinder in sqm of lining</t>
  </si>
  <si>
    <t xml:space="preserve">Use rate of paving cylinder / sqm </t>
  </si>
  <si>
    <t>shall be inclusive of cost of basic metal for these components, casting / forging charges,</t>
  </si>
  <si>
    <t>machining charges and applicable excise duty on finished alloy component.</t>
  </si>
  <si>
    <t>a.</t>
  </si>
  <si>
    <t>Basic</t>
  </si>
  <si>
    <t>metal /</t>
  </si>
  <si>
    <t>Casting /</t>
  </si>
  <si>
    <t>machining</t>
  </si>
  <si>
    <t>or forging</t>
  </si>
  <si>
    <t>Available materials from removal of disturbed pitching.</t>
  </si>
  <si>
    <t>No extra labour required for sectioning as trimming roller margin forms part of the soil collection</t>
  </si>
  <si>
    <t>Diesel road roller 8-10 tonne</t>
  </si>
  <si>
    <t>Crew for Road roller</t>
  </si>
  <si>
    <t>Deploy dozer for 2.00 hour for pushing soil.</t>
  </si>
  <si>
    <t>Since dozer is not considered for spreading soil about 25 % extra roller passes are needed.</t>
  </si>
  <si>
    <t>15 cm thick loose layer.</t>
  </si>
  <si>
    <t xml:space="preserve"> mm</t>
  </si>
  <si>
    <t xml:space="preserve"> cum/hr</t>
  </si>
  <si>
    <t>grid</t>
  </si>
  <si>
    <t xml:space="preserve"> ltr</t>
  </si>
  <si>
    <t>slabs</t>
  </si>
  <si>
    <t xml:space="preserve"> No</t>
  </si>
  <si>
    <t>Excavation and disposal :</t>
  </si>
  <si>
    <t>Thickness of lining</t>
  </si>
  <si>
    <t>Cylinder type Mechanical paver with one side paving arrangement considered.</t>
  </si>
  <si>
    <t>Average output of mechanical paver / hour</t>
  </si>
  <si>
    <t>corrected qty of concrete for 100 sqm</t>
  </si>
  <si>
    <t>Round trip cycle time for transit mixer:</t>
  </si>
  <si>
    <t>Turning &amp; spotting at BP</t>
  </si>
  <si>
    <t>Loading CC</t>
  </si>
  <si>
    <t>Conveying from BP to Paver site( average )</t>
  </si>
  <si>
    <t>Turning &amp; spotting at Paver site</t>
  </si>
  <si>
    <t>say</t>
  </si>
  <si>
    <t>ramps, cleaning, packing mortar, wedging stone chips, finishing, curing etc., complete with</t>
  </si>
  <si>
    <t xml:space="preserve">Thickness of face stone masonry assumed </t>
  </si>
  <si>
    <t>Cost of fabrication &amp; painting @                       Rs:</t>
  </si>
  <si>
    <t>Add for transportation, erection &amp; dismantling @</t>
  </si>
  <si>
    <t>Considering 100 uses cost per use of gantry</t>
  </si>
  <si>
    <t>Add for repairs/ replacements etc., @</t>
  </si>
  <si>
    <t>Conveying stones chips Mazdoor</t>
  </si>
  <si>
    <t xml:space="preserve">drawings for 15 m x 9 m radial gate </t>
  </si>
  <si>
    <t>The actual weight of walkway/ foot bridge  as per data</t>
  </si>
  <si>
    <t>For erection of fabricated walkway 1 hour use of tower crane considered.</t>
  </si>
  <si>
    <t>For handling during fabrication mobile  crane for 4 hours considered.</t>
  </si>
  <si>
    <t>VERTICAL LIFT GATES-EM PARTS</t>
  </si>
  <si>
    <t xml:space="preserve">machinery, labour, etc., complete as per specifications and approved drawings </t>
  </si>
  <si>
    <t xml:space="preserve">The ideal cycle time for shovel requires spotting of a dumper within </t>
  </si>
  <si>
    <t>Hemp yarn :</t>
  </si>
  <si>
    <t xml:space="preserve">Hemp yarn : </t>
  </si>
  <si>
    <t>day</t>
  </si>
  <si>
    <t xml:space="preserve">less salvage value at </t>
  </si>
  <si>
    <t xml:space="preserve">reconditioning charges @ </t>
  </si>
  <si>
    <t>Rate per</t>
  </si>
  <si>
    <t>Rate per cum</t>
  </si>
  <si>
    <t>formwork, scaffolding, cleaning, batching, mixing, placing in position, levelling, vibrating,</t>
  </si>
  <si>
    <t>Use rate of air hose 20 m per hour                                             (cost / life)</t>
  </si>
  <si>
    <t>Time required for stripping 248 cum</t>
  </si>
  <si>
    <t>Quantity of mortar for 100 sqm with 10 % wastage :</t>
  </si>
  <si>
    <t>sqm per day</t>
  </si>
  <si>
    <t>Quantity of mortar for 100 sqm with 10 %   wastage :</t>
  </si>
  <si>
    <t xml:space="preserve">Burnt stone slab 10 cm thick with 5 % wastage : </t>
  </si>
  <si>
    <t>For batching 20-10 &amp; 10-4.75 CA</t>
  </si>
  <si>
    <t>For batching FA</t>
  </si>
  <si>
    <t>For remixing &amp; filling mortar pans</t>
  </si>
  <si>
    <t>Shuttering for 1 block : 1.00 sqm</t>
  </si>
  <si>
    <t>Consider 45 / 30 ltr hand mixer for mixing concrete.</t>
  </si>
  <si>
    <t>Steel mould fabricated using ISJC-150 for sides and 3 mm plate stiffened with 30 x 30 x 4 mm</t>
  </si>
  <si>
    <t>angles for end plates is considered. Hard wood scantling 2 Nos of size 75 x 63 mm 1.8 m long</t>
  </si>
  <si>
    <t>are considered for forming Tee portion.</t>
  </si>
  <si>
    <t>ISJC-150 : 4.6 m length @ 9.9 kg / m</t>
  </si>
  <si>
    <t>say:</t>
  </si>
  <si>
    <t>3 mm thick plate 0.14 sqm @ 24.75 kg/ sqm</t>
  </si>
  <si>
    <t>6 mm thick base plate 0.80 sqm @ 47.10 kg/ sqm</t>
  </si>
  <si>
    <t>30x30x4 mm angle 2.1 m length @ 1.8 kg/ m</t>
  </si>
  <si>
    <t>Total weight</t>
  </si>
  <si>
    <t>Cost of ISJC-150 :46 kg                                @ Rs:</t>
  </si>
  <si>
    <t>per kg</t>
  </si>
  <si>
    <t xml:space="preserve">     ( un exposed to water) two coats of  zink  phosphate primer (airless spray preferred) 40microns/coat</t>
  </si>
  <si>
    <t>synthetic enamel paint 25 microns/coat</t>
  </si>
  <si>
    <t>Deploy 2 mazdoors at BP site for miscellaneous works.</t>
  </si>
  <si>
    <t>shovel will be 2.00 minutes.</t>
  </si>
  <si>
    <t>Round trip cycle time for tipper:</t>
  </si>
  <si>
    <t>sets</t>
  </si>
  <si>
    <t>machinery, labour, forming weep holes at specified intervals, finishing, curing etc., complete</t>
  </si>
  <si>
    <t>Requirement of materials for laying 10 cum UCR masonry lining in CM 1:5.</t>
  </si>
  <si>
    <t>Thickness of masonry assumed</t>
  </si>
  <si>
    <t>Cement mortar 1:5 propn considering 40 % voids</t>
  </si>
  <si>
    <t>Uncoursed rubble stones</t>
  </si>
  <si>
    <t>Through stones @ 1 per sqm</t>
  </si>
  <si>
    <t>Quantity of paint for 2 coats with 2 % wastage ( 100 x 2x 1.02 /12)</t>
  </si>
  <si>
    <t>Quantity of paint for 100 sqm 3coats with 2 % wastage ( 100 x 3x 1.02 /12)</t>
  </si>
  <si>
    <t xml:space="preserve"> Zinc chromite red oxide primer</t>
  </si>
  <si>
    <t>synthetic enamel paint,</t>
  </si>
  <si>
    <t xml:space="preserve"> WALK WAYS( CAT WALKS), LIFTING BEAMS,etc,</t>
  </si>
  <si>
    <t>Quantity of loose soil to be spread ( 325 x 1.20 ) :</t>
  </si>
  <si>
    <t>For conveying, spreading and packing :</t>
  </si>
  <si>
    <t>Consider 100 sqm filter media laying.</t>
  </si>
  <si>
    <t>Filter fabric with 5 % for lapping and wastage ( 2 x 100 x 1.05 )</t>
  </si>
  <si>
    <t>Requirement of labour for laying aggregate and filter fabric:</t>
  </si>
  <si>
    <t>Life of diamond core bit in hard rock</t>
  </si>
  <si>
    <t>Use rate of diamond core bit per m drilling</t>
  </si>
  <si>
    <t>controlled blasting. Hence no provision is considered for muffling arrangement for this item.</t>
  </si>
  <si>
    <t>come off neatly as per specifications or atleast 50 percent of smooth blast holes are visible for</t>
  </si>
  <si>
    <t>EMBANKMENT WORKS USING BORROW AREA SOIL :</t>
  </si>
  <si>
    <t>Rubble/ size stone/ cut stone/ Coarse aggregate,Lime in Rs/cum</t>
  </si>
  <si>
    <t>cement in Rs/tonne</t>
  </si>
  <si>
    <t>steel  in Rs./tonne</t>
  </si>
  <si>
    <t>brick work   Rs/1000 No</t>
  </si>
  <si>
    <t>Loading</t>
  </si>
  <si>
    <t>Unloading</t>
  </si>
  <si>
    <t>EARTH / ROCKFILL EMBANKMENT WORKS :</t>
  </si>
  <si>
    <t>area or disposing off the same as directed etc., complete with initial</t>
  </si>
  <si>
    <t>PAINTING WITHOUT SAND BLASTING</t>
  </si>
  <si>
    <t>(A+B+C+D)/240</t>
  </si>
  <si>
    <t>(A+B+C+D)/25</t>
  </si>
  <si>
    <t>(A+B+C+D)/1.05</t>
  </si>
  <si>
    <t>(A+B+C+D)/192</t>
  </si>
  <si>
    <t>(A+B+C+D)/96</t>
  </si>
  <si>
    <t>Rated capacity of batching plant for 10.56 cum / hour output:</t>
  </si>
  <si>
    <t>( 10.56 x 60 / 50 / 0.7 )</t>
  </si>
  <si>
    <t>No.of Transit mixers to match 11.62 cum / hr ( 10.56 / 3.77 )</t>
  </si>
  <si>
    <t>all materials, machinery, labour, , complete as per specifications and drawings with all leads and lifts</t>
  </si>
  <si>
    <t xml:space="preserve">The actual weight of river sluice service gate rope drum hoist </t>
  </si>
  <si>
    <t>HOIST BRIDGE/ WITH TRESSELS</t>
  </si>
  <si>
    <t>Sectional area of excavation                                  ( 8.40 + 7.15 ) x 0.5 x 1.25</t>
  </si>
  <si>
    <t>Number of rows considered</t>
  </si>
  <si>
    <t>DEWATERING &amp; GUNITING WORKS :</t>
  </si>
  <si>
    <t>PP filter fabric 250 gsm</t>
  </si>
  <si>
    <t>stones and spalls in layers, hand packing, wedging, finishing surface to required slopes etc.,</t>
  </si>
  <si>
    <t>Scaffolding / supports assumed at 15 percent of formwork.</t>
  </si>
  <si>
    <t>Graduate / Laboratory Assistant</t>
  </si>
  <si>
    <t>Graduate Engineer/ Geologist</t>
  </si>
  <si>
    <t>Horticulture Assistant / Photographer</t>
  </si>
  <si>
    <t>Lift charges are admissible only lifting effort beyond initial lift specified in the work item.</t>
  </si>
  <si>
    <t>Lift : ADDITIONAL LIFT  CHARGES FOR  each 1 METER LIFT BEYOND 3 M INITIAL LIFT</t>
  </si>
  <si>
    <t>1.25 mm dia soft annealed steel wire, including cost of all materials, machinery, labour etc.,</t>
  </si>
  <si>
    <t>Cleaning,straightening</t>
  </si>
  <si>
    <t>Consider 4.50 m outer dia. well kerb for analysis.</t>
  </si>
  <si>
    <t>DETAILS OF FOUNDATION WELL CUTTING EDGE</t>
  </si>
  <si>
    <t>capacity of hoist</t>
  </si>
  <si>
    <t xml:space="preserve"> SAND BLASTING AND PAINTING AS PER IS:14177-1994</t>
  </si>
  <si>
    <t>Consider 100 sqm area for cleaning by sand blasting:</t>
  </si>
  <si>
    <t>and  two super coats with a total thickness of 300 microns</t>
  </si>
  <si>
    <t xml:space="preserve"> (each 150+/- 5) of solventless  coaltar epoxy paint each coat 150 microns ( total  300 microns)</t>
  </si>
  <si>
    <t xml:space="preserve">Mazdoor </t>
  </si>
  <si>
    <t>Deploy 1 Air compressor 15 cmm for 1.5 hours with 50 minutes per hour working.</t>
  </si>
  <si>
    <t>Deploy 4 Jack hammers / Stooper drills for 1.5 hours with 50 minutes per hour working.</t>
  </si>
  <si>
    <t>Cost of drill rod 2.5 m long @           Rs:      / No.</t>
  </si>
  <si>
    <t>Cost of water hose 25 m/ jack hammer @ Rs:  / m</t>
  </si>
  <si>
    <t xml:space="preserve">Cost per use considering </t>
  </si>
  <si>
    <t>Cost of 4 mm plate 33.91 kg @   / kg          Rs:</t>
  </si>
  <si>
    <t>Cost of 6.6 m angle 25.08 kg @   / kg         Rs:</t>
  </si>
  <si>
    <t xml:space="preserve">rods on either side at 1 metre interval including cost of all materials, </t>
  </si>
  <si>
    <t>rebound is considered at 20 percent for analysis.</t>
  </si>
  <si>
    <t>For 25 mm thick guniting the rate of progress will be 4 to 5 sqm per hour.</t>
  </si>
  <si>
    <t>For analysis rate of progress is considered at 4.5 sqm per hour.</t>
  </si>
  <si>
    <t>For shift of 8 hours the progress will be 36 sqm.</t>
  </si>
  <si>
    <t>Cost of welding set                                    @ Rs:</t>
  </si>
  <si>
    <t>Deploy mazdoors 6 Nos for 1 day to assist paver crew.</t>
  </si>
  <si>
    <t>Final checking / Finishing / cleaning</t>
  </si>
  <si>
    <t>Amount of variable DA per point CP index</t>
  </si>
  <si>
    <t>Difference in index</t>
  </si>
  <si>
    <t>( a - b )</t>
  </si>
  <si>
    <t>Variable DA / Day = ( Difference in index ) x ( rate of DA per point ) x 30 / 26</t>
  </si>
  <si>
    <t>d.</t>
  </si>
  <si>
    <t>:</t>
  </si>
  <si>
    <t>Rs:</t>
  </si>
  <si>
    <t>/ Day</t>
  </si>
  <si>
    <t>CATEGORY OF WORKER</t>
  </si>
  <si>
    <t>railing, long / cross travel arrangements, rope drums, gear systems, electric motors, electro-</t>
  </si>
  <si>
    <t>magnetic brake system, cabin, control panel, wire rope, ladder, motorised cable reeling drum</t>
  </si>
  <si>
    <t>Weight of hoist with all accessories is assumed at 0.175 tonne per tonne capacity of hoist.</t>
  </si>
  <si>
    <t>36 mm dia 6 / 37 construction 2 Nos 50 m each @ 4.48 kg / Rm</t>
  </si>
  <si>
    <t>Other components :</t>
  </si>
  <si>
    <t>Manual operation assembly</t>
  </si>
  <si>
    <t>Worm reducer</t>
  </si>
  <si>
    <t>Electric motor 20 hp</t>
  </si>
  <si>
    <t>Deploy welding transformer for 300 hours.</t>
  </si>
  <si>
    <t>For lowering gate leaf from hoist chamber use of tower crane for 1 hour considered.</t>
  </si>
  <si>
    <t>( 1 - s / 100 ) x Capital cost / life in hours</t>
  </si>
  <si>
    <t>Interest charges</t>
  </si>
  <si>
    <t>Av.Capital cost x Rate of interest x life in years/life in hours/100</t>
  </si>
  <si>
    <t>Repair charges</t>
  </si>
  <si>
    <t xml:space="preserve">Cost of air hose 20 m @                           Rs:                 </t>
  </si>
  <si>
    <t xml:space="preserve">Cost of water hose 20 m @                       Rs:                </t>
  </si>
  <si>
    <t>Allkyd based iron oxide paint</t>
  </si>
  <si>
    <t xml:space="preserve">Output of 3 mazdoors per day                                                 </t>
  </si>
  <si>
    <t>Output of 1 mazdoor per day @ 4 cum / day</t>
  </si>
  <si>
    <t xml:space="preserve">Output of 1 mazdoor per day </t>
  </si>
  <si>
    <t>Output of 2 mazdoors per day</t>
  </si>
  <si>
    <t>Increase in labour                     mazdoor</t>
  </si>
  <si>
    <t>For kerb / bed concreting average 1 sqm shuttering is required per cum of concrete.</t>
  </si>
  <si>
    <t>Requirement of shuttering for 28 cum concrete</t>
  </si>
  <si>
    <t>Cement for incidentals @ 1 kg / cum</t>
  </si>
  <si>
    <t>Use rate of shuttering for kerb / bed</t>
  </si>
  <si>
    <t xml:space="preserve">diameter steel dowel rods on either side at 1m interval, forming 125 x 125 </t>
  </si>
  <si>
    <t xml:space="preserve">Cement for mix </t>
  </si>
  <si>
    <t>for conveying stones / rubble</t>
  </si>
  <si>
    <t>for preparation of mortar</t>
  </si>
  <si>
    <t>Out turn of two mazdoors assumed at 4 cum per day.</t>
  </si>
  <si>
    <t>Out turn of 1 crowbarman / Stone breaker, two mazdoors : 4 cum per day.</t>
  </si>
  <si>
    <t xml:space="preserve">Cement  : 569 kg           Sand  : </t>
  </si>
  <si>
    <t>Cement  : 668 kg                  Sand  :</t>
  </si>
  <si>
    <t>Generally about 10 to 12 passes of diesel road roller is adequate for achieving 98 percent density</t>
  </si>
  <si>
    <t>control for 25 cm thick loose layer.</t>
  </si>
  <si>
    <t>Time for rolling 394 cum spread soil</t>
  </si>
  <si>
    <t>Generally 8 - 10 passes of diesel road roller is adequate for achieving 95 percent density control for</t>
  </si>
  <si>
    <t xml:space="preserve">                       (STORED WITH E-N-C  &amp;TO INCORPORATE CHANGES YEARLY/AS NEEDED)</t>
  </si>
  <si>
    <t xml:space="preserve"> A.. SPILLWAY RADIAL GATES</t>
  </si>
  <si>
    <t>E.M Parts and anchorages</t>
  </si>
  <si>
    <t xml:space="preserve">tie flats, trunnion supports etc., including cost of all materials, machinery, labour, welding, finishing,  with </t>
  </si>
  <si>
    <t>Cartman with single bullock cart</t>
  </si>
  <si>
    <t>Chavali / Navagani</t>
  </si>
  <si>
    <t>Time required for levelling 720 cum</t>
  </si>
  <si>
    <t>Watering;</t>
  </si>
  <si>
    <t>EMBANKMENT WORKS USING EXCAVATED SOIL :</t>
  </si>
  <si>
    <t>Placing tipper at unloading point,  excluding time</t>
  </si>
  <si>
    <t xml:space="preserve"> for haulage and return trip.</t>
  </si>
  <si>
    <t xml:space="preserve"> F.  LIFT CHARGES FOR MATERIALS  BY HEAD LOAD</t>
  </si>
  <si>
    <t>for laying including lifting</t>
  </si>
  <si>
    <t>same irrespective of kind of soil. However, digging and loading cycle at 80 % of borrow area</t>
  </si>
  <si>
    <t>Cost of BX diamond core bit @                   Rs:</t>
  </si>
  <si>
    <t>Life of diamond core bit BX in hard rock</t>
  </si>
  <si>
    <t>Grid spacing of holes for 32 mm dia jack hammer holes</t>
  </si>
  <si>
    <t>As per the data under Item-IRR-TAW-3-3 consider 1 tonne suppots for analysis.</t>
  </si>
  <si>
    <t>All data same as in item-IRR-CAW-1-7 (b)</t>
  </si>
  <si>
    <t>All data same as in item-IRR-CAW-1-9 (a)</t>
  </si>
  <si>
    <t>For cutting structural steel sections to required size gas cutting is assumed for cutting angles /</t>
  </si>
  <si>
    <t>iii) Waiting time, unforeseen contingencies, etc.</t>
  </si>
  <si>
    <t xml:space="preserve">35 cm x 35 cm x 1 m pillars spaced approximately at 3.35 m c / c, 12.5 cm </t>
  </si>
  <si>
    <t>Cost of 50 m air hose 50 mm @                        Rs:</t>
  </si>
  <si>
    <t>Life of wire mesh</t>
  </si>
  <si>
    <t>Deploy 5 hp pump as per data in item: IRR-CAW-2-1</t>
  </si>
  <si>
    <t>Assume 4 mazdoors as per data in item: IRR-CAW-2-1.</t>
  </si>
  <si>
    <t>All data same as in item: IRR-CAW-2-3 except compaction.</t>
  </si>
  <si>
    <t>Daily progress as per data in item:  IRR-CAW-2-3</t>
  </si>
  <si>
    <t>deploy dozer as per data in item:  IRR-CAW-2-3</t>
  </si>
  <si>
    <t>Deploy shovel as per data in item:  IRR-CAW-2-3</t>
  </si>
  <si>
    <t>Deploy tippers as per data in item:  IRR-CAW-2-3</t>
  </si>
  <si>
    <t>Deploy dozer as per data in item:  IRR-CAW-2-3</t>
  </si>
  <si>
    <t>Deploy 8000 ltr water tanker as per data in item:  IRR-CAW-2-3</t>
  </si>
  <si>
    <t>Deploy 5 hp pump as per data in item:  IRR-CAW-2-3</t>
  </si>
  <si>
    <t>Assume 4 mazdoors as per data in item:  IRR-CAW-2-3.</t>
  </si>
  <si>
    <t>Work requires:</t>
  </si>
  <si>
    <t>Needle vibrator 40 mm electric</t>
  </si>
  <si>
    <t>Needle vibrator 60 mm petrol</t>
  </si>
  <si>
    <t>Needle vibrator 60 mm electric</t>
  </si>
  <si>
    <t>Planing machine 4 m stroke</t>
  </si>
  <si>
    <t>- conducting trial studies for drilling and blasting method to be adopted to avoid damages to</t>
  </si>
  <si>
    <t>near-by structures.</t>
  </si>
  <si>
    <t>Deploy dozer as per data in item: IRR-CAW-2-6</t>
  </si>
  <si>
    <t>Deploy shovel as per data in item: IRR-CAW-2-6</t>
  </si>
  <si>
    <t>Deploy tippers as per data in item: IRR-CAW-2-6</t>
  </si>
  <si>
    <t>Deploy shovel cum dozer as per data in item: IRR-CAW-2-6</t>
  </si>
  <si>
    <t>Deploy 5 hp pump as per data in item: IRR-CAW-2-6</t>
  </si>
  <si>
    <t>Assume 4 mazdoors as per data in item: IRR-CAW-2-6</t>
  </si>
  <si>
    <t>Welder ( X - ray grade )</t>
  </si>
  <si>
    <t>Consider 100 cum rockfill casing to canal embankment.</t>
  </si>
  <si>
    <t>Quantity of rubble stones from quarry</t>
  </si>
  <si>
    <t>Kg</t>
  </si>
  <si>
    <t>Shovel 0.5 cum</t>
  </si>
  <si>
    <t>Tippers 5 cum</t>
  </si>
  <si>
    <t>Drilling and Blasting pattern :</t>
  </si>
  <si>
    <t>Pattern of holes</t>
  </si>
  <si>
    <t>Staggered</t>
  </si>
  <si>
    <t>Hole initiation</t>
  </si>
  <si>
    <t>Bottom</t>
  </si>
  <si>
    <t>Initiation system</t>
  </si>
  <si>
    <t>Ele detonators</t>
  </si>
  <si>
    <t>Initiation pattern</t>
  </si>
  <si>
    <t>All rows</t>
  </si>
  <si>
    <t>Disposal of excavated rock :</t>
  </si>
  <si>
    <t>Quantity of excavation ( in-situ )</t>
  </si>
  <si>
    <t xml:space="preserve">Add for fixtures and painting @ </t>
  </si>
  <si>
    <t xml:space="preserve">Add for labour charges @ </t>
  </si>
  <si>
    <t xml:space="preserve">Add for blasting studies &amp; monitoring vibrations etc </t>
  </si>
  <si>
    <t>mazdoor ( BP site )</t>
  </si>
  <si>
    <t>mazdoor ( Paver site )</t>
  </si>
  <si>
    <t xml:space="preserve">Deploy 2 mazdoors at BP site for miscellaneous works </t>
  </si>
  <si>
    <t>Plate shearing machine upto 12 mm</t>
  </si>
  <si>
    <t>ii ) The rate under this item shall be adopted where the control of fly-rock and ground vibrations</t>
  </si>
  <si>
    <t>is required.</t>
  </si>
  <si>
    <t>Add for shutter oil at 0.05 ltr/ sqm for 18 sqm @ Rs:</t>
  </si>
  <si>
    <t>Effective area of shutter &amp; soldier with 10 cm margin on either side</t>
  </si>
  <si>
    <t>Shuttering at 2 sqm / cum of concrete considered for sub / super structure works.</t>
  </si>
  <si>
    <t>( 141 x 0.25 + 425 x 0.75 )</t>
  </si>
  <si>
    <t>For lifting and placing in position hoist drums, worm reducers, gears, floating shafts etc deploy</t>
  </si>
  <si>
    <t>- covering blasting area with chain link mesh or waste conveyor belts or waste tyres and sand</t>
  </si>
  <si>
    <t>Labour charges for erecting &amp; dismantling shuttering / sqm</t>
  </si>
  <si>
    <t xml:space="preserve">Equivalent volume batching assumed. Size of concrete mixer </t>
  </si>
  <si>
    <t xml:space="preserve"> 300/ 200 </t>
  </si>
  <si>
    <t>Consider reconstructing of 100 cum of rock-toe and filter together :</t>
  </si>
  <si>
    <t>Details of Rock-toe:</t>
  </si>
  <si>
    <t>For total lead more than 3 km upto 4 km</t>
  </si>
  <si>
    <t>For total lead more than 4 km upto 5 km</t>
  </si>
  <si>
    <t>For lead beyond 5 km upto 30 km for every km</t>
  </si>
  <si>
    <t>For lead beyond 30 km for every km</t>
  </si>
  <si>
    <t>CATEGORY : Coarse aggregate / Rubble stone / Size stone / Cut stone</t>
  </si>
  <si>
    <t>Truck hire charges</t>
  </si>
  <si>
    <t>CATEGORY : PCC slabs/ Shahabad slabs/ BS slabs/ CC &amp; Laterite blocks/ Wood</t>
  </si>
  <si>
    <t>CATEGORY : water</t>
  </si>
  <si>
    <t>litres</t>
  </si>
  <si>
    <t>Water tanker hire charges</t>
  </si>
  <si>
    <t>Rate per 1000 litres</t>
  </si>
  <si>
    <t>MORD -data</t>
  </si>
  <si>
    <t>Loading  of Lime, Aggregate,  Stone Boulder,</t>
  </si>
  <si>
    <t>a) Loading</t>
  </si>
  <si>
    <t xml:space="preserve"> Brick Aggregate, Kankar, Building Rubbish,</t>
  </si>
  <si>
    <t>Rate Rs.</t>
  </si>
  <si>
    <t>Amount Rs.</t>
  </si>
  <si>
    <t>Consider 20 m porous concrete body drain for analysis.</t>
  </si>
  <si>
    <t>Quantity of concrete required for 20 m drain ( 0.428 x 20 )</t>
  </si>
  <si>
    <t>Consider output at 8.56 cum for analysis.</t>
  </si>
  <si>
    <t>Shuttering requirement: (4 x 0.685 x 20 x1.1 + 3.14 x 0.23 x 20 x 1.1 ) :</t>
  </si>
  <si>
    <t>Add for shutter oil 0.2 ltr / sqm @ Rs:</t>
  </si>
  <si>
    <t>Use rate of shutter per sqm for 100 uses</t>
  </si>
  <si>
    <t>for laying &amp; packing concrete</t>
  </si>
  <si>
    <t xml:space="preserve">Use rate of heavy duty shutter / sqm </t>
  </si>
  <si>
    <t>Foreman for controlling crane movements</t>
  </si>
  <si>
    <t>directed etc., complete.</t>
  </si>
  <si>
    <t>Trolley frame ISMC200 7 m @ 22.1 kg / m</t>
  </si>
  <si>
    <t>Top frame</t>
  </si>
  <si>
    <t>Jack and jack supports</t>
  </si>
  <si>
    <t>Wheels and supports</t>
  </si>
  <si>
    <t>Labour cost for shuttering/scaffolding</t>
  </si>
  <si>
    <t>for sorting out rubble in dump yard</t>
  </si>
  <si>
    <t>for conveying rubble</t>
  </si>
  <si>
    <t>Jack hammer drill rod 2.5 m length ( 387 x 100 / 400 )</t>
  </si>
  <si>
    <t>Deploy 1 air compressors of 8.5 cmm capacity and 2 jack hammers for drilling</t>
  </si>
  <si>
    <t>with 50 min per hour working. ( 5.31 x 60 / 50 )</t>
  </si>
  <si>
    <t>Quantity of Explosive @ 0.3 kg / cum for 68 cum</t>
  </si>
  <si>
    <t>Add for secondary blasting @ 0.2 kg / cum</t>
  </si>
  <si>
    <t>Electric detonators @ 1 per hole for main blast</t>
  </si>
  <si>
    <t>Deploy 3 mazdoor at BP site for feeding cement to cement bin / silo</t>
  </si>
  <si>
    <t xml:space="preserve">Use rate of air hose / hour </t>
  </si>
  <si>
    <t>Cement for grouting</t>
  </si>
  <si>
    <t>25 mm dia steel</t>
  </si>
  <si>
    <t>Use rate of 32 mm dia drill rod</t>
  </si>
  <si>
    <t>hammer or stooper drills as directed to specified depth for consolidation / contact grouting</t>
  </si>
  <si>
    <t xml:space="preserve">                                                                                Total                    Rs:   </t>
  </si>
  <si>
    <t>Clamp shell and hoisting ropes</t>
  </si>
  <si>
    <t>face blasting is more the excavation will be generally carried out by heading and benching</t>
  </si>
  <si>
    <t>For scaling &amp; cleaning</t>
  </si>
  <si>
    <t>For dismantling / Laying track</t>
  </si>
  <si>
    <t>Surveyer</t>
  </si>
  <si>
    <t>Helper shuttering 2 x 0.5</t>
  </si>
  <si>
    <t>Khalasi 6 x 0.5</t>
  </si>
  <si>
    <t>For Moving / Positioning gantry</t>
  </si>
  <si>
    <t>For miscellaneous works of BP</t>
  </si>
  <si>
    <t>Life of drill rod for drilling in soft rock requiring blasting</t>
  </si>
  <si>
    <t xml:space="preserve">Use rate of drill rod per m drilling </t>
  </si>
  <si>
    <t xml:space="preserve">               In this group the materials in moulded condition / cut to standard size which are heavier per</t>
  </si>
  <si>
    <t>Deploy Drilling jumbo for 4 hours including fixing bolts.</t>
  </si>
  <si>
    <t>Deploy 10 hp pump for 1 hour for pumping water to storage tank.</t>
  </si>
  <si>
    <t>Deploy 4 Jack hammers / Stooper drills for 8 hours</t>
  </si>
  <si>
    <t>For drilling holes for bolts 2 hours use of drilling machine considered.</t>
  </si>
  <si>
    <t>For grinding and finishing weld joints 2 hours use of grinding machine considered</t>
  </si>
  <si>
    <t>Cutting sections / drilling holes 34 hours</t>
  </si>
  <si>
    <t>Fabricating by stitch welding 32 hours</t>
  </si>
  <si>
    <t>Run welding 96 hours</t>
  </si>
  <si>
    <t>Erection / anchoring / finishing / checking</t>
  </si>
  <si>
    <t>and wire brushing at 15 sqm / day                      :</t>
  </si>
  <si>
    <t>9 helpers for 132 sqm</t>
  </si>
  <si>
    <t>Fitter shuttering 4 Nos. @                               Rs:</t>
  </si>
  <si>
    <t>Fitter shuttering 2 Nos. @                               Rs:</t>
  </si>
  <si>
    <t>Carpentor Cl -II 1 Nos. @                                Rs:</t>
  </si>
  <si>
    <t>Run welding 55 hours</t>
  </si>
  <si>
    <t>Use of gas cutting torch with 50 min / hr working          ( 35 x 60 / 50 )</t>
  </si>
  <si>
    <t>For drilling holes for pins / guide shoes 2 hours use of drilling machine considered.</t>
  </si>
  <si>
    <t xml:space="preserve">The ideal cycle time for shovel requires spotting of a dumper within 1.67 </t>
  </si>
  <si>
    <t xml:space="preserve">minutes near the shovel. However, in practice for dam or canal excavation </t>
  </si>
  <si>
    <t xml:space="preserve">the space available may not permit positioning of dumpers on either side of </t>
  </si>
  <si>
    <t>Deploy 1 air compressor of 8.5 cmm capacity and 2 jack hammers for 1 hours for drilling</t>
  </si>
  <si>
    <t>i ) The rate under this item shall be adopted for canals designed for carrying capacity of more</t>
  </si>
  <si>
    <t>than 15 cumecs or where the average depth of excavation in hard rock is more than 3 m.</t>
  </si>
  <si>
    <t>DATA</t>
  </si>
  <si>
    <t>Add 10 % extra for overlapping</t>
  </si>
  <si>
    <t>Deploy 1 Stone chiseller and 1 Stone breaker for levelling bed.</t>
  </si>
  <si>
    <t>Local sand or drill cutting available within 1 km is considered for filling bags.</t>
  </si>
  <si>
    <t>( 20 + 30 ) x 1 x 0.8</t>
  </si>
  <si>
    <t xml:space="preserve">works and placing the excavated soil neatly in dump area or disposing off </t>
  </si>
  <si>
    <t>For run welding @ 6 hrs usage / shift &amp; @ 15 electrodes / hr</t>
  </si>
  <si>
    <t>Deploy 2 concrete mixers ( diesel ) one on either side for lining.</t>
  </si>
  <si>
    <t>Consider drilling by Waggon drill and mucking by combination of Shovel and Tippers.</t>
  </si>
  <si>
    <t xml:space="preserve"> joints, pressing mortar into joints, cost of all materials, labour, scaffolding, </t>
  </si>
  <si>
    <t xml:space="preserve">and about 5 percent excavation mainly for trimming by manual labour, the </t>
  </si>
  <si>
    <t>daily output will be : say</t>
  </si>
  <si>
    <t>5 cum per day.</t>
  </si>
  <si>
    <t>Deploy 1 crowbarman, 2 stone breakers, 6 mazdoors for 14 cum</t>
  </si>
  <si>
    <t>Total Rs:  for 60 cum</t>
  </si>
  <si>
    <t>FOR CATEGORY: Cement bag / Reinforcement steel / Structural steel sections</t>
  </si>
  <si>
    <t>25 m/minute</t>
  </si>
  <si>
    <t>1 x6x 60 / 50 / 25 )</t>
  </si>
  <si>
    <t>upto 1 km and all lifts.</t>
  </si>
  <si>
    <t>Unit weight of mortar 1 : 2.5 proportion by weight in kg / cum</t>
  </si>
  <si>
    <t>For data rate analysis the rate of progress is considered at 4.5 sqm per hour.</t>
  </si>
  <si>
    <t>Quantity of mortar for 36 sqm with 20 % rebound ( 36 x 1.2 x 0.025 )</t>
  </si>
  <si>
    <t>Add mortar for filling joints / crevices etc @ 5 %</t>
  </si>
  <si>
    <t>Requirement of materials for laying 100 sqm slab lining in CM 1:3.</t>
  </si>
  <si>
    <t>Laying and jointing PCC slabs Mason Cl I</t>
  </si>
  <si>
    <t xml:space="preserve">For 1 cum CC :- Coarse aggregates : 0.80 cum </t>
  </si>
  <si>
    <t>Blending ratio : 65 : 35</t>
  </si>
  <si>
    <t>Quantity of concrete for each slab ( 0.55 x 0.30 x 0.055 )</t>
  </si>
  <si>
    <t>per set</t>
  </si>
  <si>
    <t>Electric energy (Category:HT-2B)</t>
  </si>
  <si>
    <t>per kwhr</t>
  </si>
  <si>
    <t>Salvage value ( as percentage of capital cost ) "s"</t>
  </si>
  <si>
    <t>STANDARD DATA FOR MACHINERY</t>
  </si>
  <si>
    <t>Note:</t>
  </si>
  <si>
    <t>Life and repair charges are as per CWC guidelines except for truck, tipper and road roller</t>
  </si>
  <si>
    <t>Preparing stone slabs for laying Mason Cl II</t>
  </si>
  <si>
    <t>For 1 cum CC :- Coarse aggregates : 0.80 cum Blending ratio : 65 : 35</t>
  </si>
  <si>
    <t>5 hp pump ( diesel ) 2 Nos.</t>
  </si>
  <si>
    <t>Sundries ( samplers etc )</t>
  </si>
  <si>
    <t>Crew for Core drilling machine</t>
  </si>
  <si>
    <t xml:space="preserve">materials, machinery, labour, scaffolding, cleaning, packing mortar, wedging </t>
  </si>
  <si>
    <t xml:space="preserve">For 1 cum masonry :- </t>
  </si>
  <si>
    <t xml:space="preserve">Sand : </t>
  </si>
  <si>
    <t xml:space="preserve">Cement : </t>
  </si>
  <si>
    <t>For 1 cum masonry :-</t>
  </si>
  <si>
    <t>slabs saperately results in high rate of under utilization of machinery and work force.</t>
  </si>
  <si>
    <t>Time required for levelling 750 cum</t>
  </si>
  <si>
    <t>slump.</t>
  </si>
  <si>
    <t xml:space="preserve">Temperature of concrete at mixing point considering 3 deg C gain in </t>
  </si>
  <si>
    <t xml:space="preserve">temperature during trasportation from batching plant to placing point shall be </t>
  </si>
  <si>
    <t>9. Loading and unloading charges are not payable for conveyance by mechanical means for</t>
  </si>
  <si>
    <t>disposal of excavated materials beyond initial lead of 1 km wherever specified.</t>
  </si>
  <si>
    <t>(WLL BE WITH E-N-C &amp; TO INCORPORATE CHANGES YEARLY/ AS NEEDED)</t>
  </si>
  <si>
    <t>Chapter - I</t>
  </si>
  <si>
    <t xml:space="preserve">where surface cleaning by sand blasting is not feasible and based on specific </t>
  </si>
  <si>
    <t>Assuming 2 hours for removing and refixing each stone 4 stones can be fixed / day.</t>
  </si>
  <si>
    <t>Since the soil is from dump area no stripping is involved.</t>
  </si>
  <si>
    <t xml:space="preserve">position the next dumper for loading. Assuming one extra cycle for shovel, </t>
  </si>
  <si>
    <t>the corrected cycle time for the shovel will be :</t>
  </si>
  <si>
    <t xml:space="preserve">Further, assuming about 95 percent of excavation by deploying shovel </t>
  </si>
  <si>
    <t>and time required to cover specified additional distance will be generally same</t>
  </si>
  <si>
    <t>Therefore common data is considered for conveyance by head load for materials under this category.</t>
  </si>
  <si>
    <t>CATEGORY  : Cement in bag / Reinforcement steel / Structural steel sections</t>
  </si>
  <si>
    <t xml:space="preserve">             In this group the materials in packed / rolled / fabricated condition which are heavier per load</t>
  </si>
  <si>
    <t>compared to the materials under Category above and which can not be split into small</t>
  </si>
  <si>
    <t>quantities for the purpose of conveyance are included. The unit of measurement for these</t>
  </si>
  <si>
    <t>materials is per tonne.</t>
  </si>
  <si>
    <t>CATEGORY : PCC slab / Shahabad stone slab / CC block / Laterite stone / BS slab / Wood</t>
  </si>
  <si>
    <t>Requirement of labour for concreting:  3 mazdoors less than in item IRR-CCDW-2-3.</t>
  </si>
  <si>
    <t xml:space="preserve">Use rate of shuttering for 40 uses ( Annexure-A Item IRR-CCDW-2-3 )                         Rs:     </t>
  </si>
  <si>
    <t xml:space="preserve">Labour for shuttering ( Annexure-B Item-IRR-CCDW-2-3 )                                           Rs:     </t>
  </si>
  <si>
    <t>Requirement of labour for concreting same as in item IRR-CCDW-2-3 except Mason.</t>
  </si>
  <si>
    <t>Requirement of labour for concreting same as in itemIRR-CCDW-2-9</t>
  </si>
  <si>
    <t xml:space="preserve">Use rate of shuttering for 40 uses ( Annexure-A Item-IRR-CCDW-2-3 )                            Rs: </t>
  </si>
  <si>
    <t xml:space="preserve">Labour for shuttering ( Annexure-B Item-IRR-CCDW-2-3)                                              Rs: </t>
  </si>
  <si>
    <t>Requirement of labour for concreting same as in item IRR-CCDW-2-5.</t>
  </si>
  <si>
    <t xml:space="preserve">Use rate of shuttering for 40 uses ( Annexure-A Item-IRR-CCDW-2-3 )                           Rs:    </t>
  </si>
  <si>
    <t>Requirement of labour for concreting same as in item IRR-CCDW-2-4 with average 2 mazdoors extra for lift</t>
  </si>
  <si>
    <t xml:space="preserve">Use rate of shuttering for 40 uses ( Annexure-A Item-IRR-CCDW-2-3 )                          Rs: </t>
  </si>
  <si>
    <t xml:space="preserve">Labour for shuttering ( Annexure-B Item-IRR-CCDW-2-3 )                                            Rs: </t>
  </si>
  <si>
    <t xml:space="preserve">Use rate of shuttering for 40 uses ( Annexure-A Item-IRR-CCDW-2-3 )                      Rs:     </t>
  </si>
  <si>
    <t xml:space="preserve">Labour for shuttering ( Annexure-B Item-IRR-CCDW-2-3 )                                        Rs:   </t>
  </si>
  <si>
    <t>Requirement of labour for concreting same as in item IRR-CCDW-2-3 with average 2 mazdoors extra for lift</t>
  </si>
  <si>
    <t xml:space="preserve">Use rate of shuttering for 40 uses ( Annexure-A Item-IRR-CCDW-2-3 )                      Rs:         </t>
  </si>
  <si>
    <t xml:space="preserve">Labour for shuttering ( Annexure-B Item-IRR-CCDW-2-3 )                                        Rs:         </t>
  </si>
  <si>
    <t xml:space="preserve">Use rate of shuttering for 40 uses ( Annexure-A Item-IRR-CCDW-2-3)                         Rs:  </t>
  </si>
  <si>
    <t xml:space="preserve">Labour for shuttering ( Annexure-B Item-IRR-CCDW-2-3 )                                           Rs:   </t>
  </si>
  <si>
    <t>Requirement of labour for concreting same as in item IRR-CCDW-2-3 with average 3 mazdoors extra for lift</t>
  </si>
  <si>
    <t xml:space="preserve">Use rate of shuttering for 40 uses ( Annexure-A Item-IRR-CCDW-2-3 )                       Rs: </t>
  </si>
  <si>
    <t xml:space="preserve">Labour for shuttering ( Annexure-B Item-IRR-CCDW-2-3)                                         Rs:     </t>
  </si>
  <si>
    <t>Requirement of labour for concreting same as in item IRR-CCDW-2-3.</t>
  </si>
  <si>
    <t xml:space="preserve">Use rate of shuttering for 40 uses ( Annexure-A Item-IRR-CCDW-2-3)                      Rs:       </t>
  </si>
  <si>
    <t xml:space="preserve">Labour for shuttering ( Annexure-B Item-IRR-CCDW-2-3)                                        Rs:        </t>
  </si>
  <si>
    <t>Requirement of labour for concreting same as in item IRR-CCDW-2-4.</t>
  </si>
  <si>
    <t xml:space="preserve">Use rate of shuttering for 30 uses ( Annexure-A Item-IRR-CCDW-2-3 )                      Rs:        </t>
  </si>
  <si>
    <t xml:space="preserve">Labour for shuttering ( Annexure-B Item-IRR-CCDW-2-3)                                         Rs:         </t>
  </si>
  <si>
    <t>Requirement of labour for concreting same as in item IRR-CCDW-2-4 with 0.5 mazdoor and 1 mason extra.</t>
  </si>
  <si>
    <t xml:space="preserve">Use rate of shuttering ( Annexure-A Item-IRR-CCDW-2-3)                                         Rs:      </t>
  </si>
  <si>
    <t xml:space="preserve">Labour for shuttering ( Annexure-B Item-IRR-CCDW-2-3)                                           Rs:     </t>
  </si>
  <si>
    <t xml:space="preserve">Use rate of shuttering for 40 uses ( Annexure-A Item-IRR-CCDW-2-3 )                       Rs:        </t>
  </si>
  <si>
    <t xml:space="preserve">Labour for shuttering ( Annexure-B Item-IRR-CCDW-2-3 )                                         Rs:        </t>
  </si>
  <si>
    <t>Requirement of labour for concreting same as in item IRR-CCDW-2-4 with 1 mason and 1.5 mazdoor extra for</t>
  </si>
  <si>
    <t xml:space="preserve">Use rate of shuttering for 40 uses ( Annexure-A Item-IRR-CCDW-2-3)                       Rs:       </t>
  </si>
  <si>
    <t xml:space="preserve">Labour for shuttering ( Annexure-B Item-IRR-CCDW-2-3 )                                          Rs:      </t>
  </si>
  <si>
    <t>Requirement of labour for concreting same as in item IRR-CCDW-2-4 with 2.5 mazdoors extra for lift involved</t>
  </si>
  <si>
    <t xml:space="preserve">Use rate of shuttering for 40 uses ( Annexure-A Item-IRR-CCDW-2-3 )   Rs:       </t>
  </si>
  <si>
    <t xml:space="preserve">Cost of labour for shuttering ( Annexure-B Item-IRR-CCDW-2-3)           Rs:        </t>
  </si>
  <si>
    <t>Requirement of labour for concreting same as in itemIRR-CCDW-2-3.</t>
  </si>
  <si>
    <t>Use rate of shuttering for 40 uses ( Item-IRR-CCDW-2-3 Annexure-A )</t>
  </si>
  <si>
    <t xml:space="preserve">Requirement of materials: as per fabrication drawings </t>
  </si>
  <si>
    <t xml:space="preserve"> Add contractors profit and overheads at 14% to all items</t>
  </si>
  <si>
    <t>IRR-DAW-1-5(b)</t>
  </si>
  <si>
    <t>IRR-DAW-1-6(c)</t>
  </si>
  <si>
    <t>IRR-DAW-1-4(a)</t>
  </si>
  <si>
    <t>IRR-DAW-1-11(a)</t>
  </si>
  <si>
    <t>IRR-DAW-1-12(b)</t>
  </si>
  <si>
    <t>IRR-DAW-2-11(a)</t>
  </si>
  <si>
    <t>IRR-DAW-2-12(b)</t>
  </si>
  <si>
    <t>IRR_DAW-3-1</t>
  </si>
  <si>
    <t>IRR_DAW-3-2</t>
  </si>
  <si>
    <t>IRR_DAW-3-3</t>
  </si>
  <si>
    <t>IRR_DAW-3-4</t>
  </si>
  <si>
    <t>IRR_DAW-3-5</t>
  </si>
  <si>
    <t>IRR-DAW-6</t>
  </si>
  <si>
    <t>IRR-CAW-1-6 (a)</t>
  </si>
  <si>
    <t>IRR-CAW-1-7 (b)</t>
  </si>
  <si>
    <t>IRR-CAW-1-8( c)</t>
  </si>
  <si>
    <t>IRR-CAW-1-9(a)</t>
  </si>
  <si>
    <t>IRR-CAW-1-10(b)</t>
  </si>
  <si>
    <t>IRR-CAW-1-11(c)</t>
  </si>
  <si>
    <t>IRR-CAW-5-10(a)</t>
  </si>
  <si>
    <t>IRR-CAW-5-11(b)</t>
  </si>
  <si>
    <t>Data</t>
  </si>
  <si>
    <t>Stones and spalls available in dump yard shall be issued at specified issue rate.</t>
  </si>
  <si>
    <t>Quantity of rubble from dump yard</t>
  </si>
  <si>
    <t>Quantity of spalls from dump yard</t>
  </si>
  <si>
    <t>For pillars ( 12 x 2 x 0.55 x 1 + 2 x 0.15 x 1 )</t>
  </si>
  <si>
    <t>aggregates laid in layers of 15 cm thick each including cost of all materials, machinery,</t>
  </si>
  <si>
    <t xml:space="preserve">appurtenant structures etc., including placing and levelling the excavated </t>
  </si>
  <si>
    <t>rock neatly in dump area or other place as directed etc., complete with</t>
  </si>
  <si>
    <t>(b)</t>
  </si>
  <si>
    <t xml:space="preserve">Excavation in hard rock by controlled blasting method with arrangements </t>
  </si>
  <si>
    <t>Cost of 1.8 m flat 4.23 kg @   / kg              Rs:</t>
  </si>
  <si>
    <t>Cost of 2.3 m soldier 18.17 kg @   / kg       Rs:</t>
  </si>
  <si>
    <t>Cost of 6mm plate 1.41 kg @    / kg           Rs:</t>
  </si>
  <si>
    <t>Add for bolts &amp; nuts @ 0.5 kg/ sqm   / kg   Rs:</t>
  </si>
  <si>
    <t>Add for fabrication of shutter @     / kg        Rs:</t>
  </si>
  <si>
    <t>Needle vibrator 40 mm dia</t>
  </si>
  <si>
    <t>Crew for Agitator car</t>
  </si>
  <si>
    <t>Cost of gas cutting set                           @ Rs:</t>
  </si>
  <si>
    <t>Use rate of 50 m air hose 2 Nos</t>
  </si>
  <si>
    <t>Ordinary detonators</t>
  </si>
  <si>
    <t>Nos</t>
  </si>
  <si>
    <t>Electric detonators</t>
  </si>
  <si>
    <t>Tippers 5 cum capacity 4 Nos.</t>
  </si>
  <si>
    <t>Air compressor 8.5 cmm ( diesel )</t>
  </si>
  <si>
    <t>Jack hammers 2 Nos.</t>
  </si>
  <si>
    <t xml:space="preserve">Cost of one box for storing </t>
  </si>
  <si>
    <t>ISLC 100 2.3 m length @ 7.9 kg / m</t>
  </si>
  <si>
    <t>6 mm plate 0.03 sqm @ 47.1 kg/ sqm</t>
  </si>
  <si>
    <t>The actual weight of screw hoist as per data sheet</t>
  </si>
  <si>
    <t>Hoist body / Lock nut / Main nut</t>
  </si>
  <si>
    <t>Hoist stem</t>
  </si>
  <si>
    <t>Area to be stripped assuming 2.0 m depth of cut ( 480 / 2.0 ) :</t>
  </si>
  <si>
    <t>For 1 cum CC :- Coarse aggregates : 0.98 cum               Blending ratio : 35 :30 : 20 : 15</t>
  </si>
  <si>
    <t>10-4.75 mm coarse aggregate</t>
  </si>
  <si>
    <t>40 mm dia GI pipes B class</t>
  </si>
  <si>
    <t>CANAL AND ALLIED WORKS</t>
  </si>
  <si>
    <t>10 % of labour for shuttering.</t>
  </si>
  <si>
    <t>Concrete mixer 600/400 ltr ( diesel)</t>
  </si>
  <si>
    <t>For drilling holes in skin plate and seal clamps for seal fixing 100 hours use of drilling machine</t>
  </si>
  <si>
    <t>Cutting sections 442 hours</t>
  </si>
  <si>
    <t>Dewatering pump 20 hp electric</t>
  </si>
  <si>
    <t>Drifter</t>
  </si>
  <si>
    <t>Acetelyne gas @ 0.6 cum / hour ( 70 x 0.60 )</t>
  </si>
  <si>
    <t>Oxygen gas @ 1.8 cum / hour ( 70 x 1.80 )</t>
  </si>
  <si>
    <t>Size of gate for 15 x 9 m spillway opening: Length :15 m Height :9.75 m</t>
  </si>
  <si>
    <t>Capacity of hoist required in tonnes : 1.5 x 57.669</t>
  </si>
  <si>
    <t>Deploy tipper for 4 hours with fuel charges for 1 hour for shifting.</t>
  </si>
  <si>
    <t>Shifting</t>
  </si>
  <si>
    <t>Tipper</t>
  </si>
  <si>
    <t>Sundries (ropes / rails etc)</t>
  </si>
  <si>
    <t>Crew for Paver</t>
  </si>
  <si>
    <t>Consider cycle time of 10 minutes for batching, mixing and laying concrete in moulds.</t>
  </si>
  <si>
    <t>Daily out put will be about 20 templates.</t>
  </si>
  <si>
    <t>Crowbar man</t>
  </si>
  <si>
    <t>For loading mortar pans</t>
  </si>
  <si>
    <t>For unloading mortar pans and laying</t>
  </si>
  <si>
    <t>For assisting Mason</t>
  </si>
  <si>
    <t>next tipper for loading. Assuming one loading cycle of 33 sec extra, the corrected cycle time for shavel</t>
  </si>
  <si>
    <t>will be 3.50 minutes.</t>
  </si>
  <si>
    <t xml:space="preserve">Output of 3 mazdoors for cutting trees / day </t>
  </si>
  <si>
    <t>2 mazdoors for cutting branches, collecting and stacking cut wood.</t>
  </si>
  <si>
    <t xml:space="preserve">Increase in labour         mazdoor             ( 5 x 0.35 )    </t>
  </si>
  <si>
    <t>girders, vertical end girders, stiffeners, wheels, gate guide rollers, brackets for pulleys, seals</t>
  </si>
  <si>
    <t>etc., with all accessories.</t>
  </si>
  <si>
    <t>turn over tax/sales tax on works contract. Separate provision shall be made in the estimate towards such</t>
  </si>
  <si>
    <t>Labour for erecting &amp; dismantling scaffolding :                              25 % of labour for shuttering</t>
  </si>
  <si>
    <t>involved for counterfort wall works.</t>
  </si>
  <si>
    <t>Daily progress with 1air compressor and 1 pump( 5 hp ) : ( 4x6x8 )</t>
  </si>
  <si>
    <t>hours.</t>
  </si>
  <si>
    <t>and two coats of synthetic enamel paint, cost of all materials, machinery, labour, formwork,</t>
  </si>
  <si>
    <t>Output of 4 tippers per hour ( 15.52*4 )</t>
  </si>
  <si>
    <t>Time required for disposal of 386 cum          ( 386 / 62.08 )</t>
  </si>
  <si>
    <t xml:space="preserve">Amount in Rs. </t>
  </si>
  <si>
    <t>12 mm to 40 mm metal</t>
  </si>
  <si>
    <t>Cum</t>
  </si>
  <si>
    <t xml:space="preserve">Total cost of Materials </t>
  </si>
  <si>
    <t>The cost of transport vehicles / equipment shall be exclusive of cost of tyres and tubes.</t>
  </si>
  <si>
    <t>same irrespective of kind of soil. However, digging and loading cycle at 65 % of borrow area</t>
  </si>
  <si>
    <t>assumed.</t>
  </si>
  <si>
    <t>For handling during fabrication mobile derric crane for 50 hours and stationery derric crane for</t>
  </si>
  <si>
    <t>100 hours considered.</t>
  </si>
  <si>
    <t>Quantity of concrete for each slab (0.60 x 0.30 x 0.10)</t>
  </si>
  <si>
    <t xml:space="preserve">say </t>
  </si>
  <si>
    <t>Cement for incidentals @ 4 kg / cum</t>
  </si>
  <si>
    <t>Plums of size 150 to 80 mm</t>
  </si>
  <si>
    <t>for placing plums</t>
  </si>
  <si>
    <t>for conveying plums</t>
  </si>
  <si>
    <t>Labour for shuttering</t>
  </si>
  <si>
    <t>Quantity of loose soil for conveyance with 20 % bulkage:</t>
  </si>
  <si>
    <t>Daily progress of grouting assumed for 6 m stage grouting</t>
  </si>
  <si>
    <t>holes</t>
  </si>
  <si>
    <t>Average grout intake assumed per m depth of hole</t>
  </si>
  <si>
    <t>No extra labour considered for sectioning as trimming roller margin forms part of soil collection</t>
  </si>
  <si>
    <t>average of 5 % watering by weight, the daily requirement of water for 394 cum of embankment</t>
  </si>
  <si>
    <t>Requirement of dozer for one day work of 394 cum</t>
  </si>
  <si>
    <t>seasonal average of 6 % watering by weight, requirement of water for 394 cum of embankment</t>
  </si>
  <si>
    <t xml:space="preserve">Batching plant </t>
  </si>
  <si>
    <t>Batching plant</t>
  </si>
  <si>
    <t>Scaffolding for sub/ super structure concreting assumed :              25 % of shuttering</t>
  </si>
  <si>
    <t>Requirement of labour for 10 cum masonry lining in</t>
  </si>
  <si>
    <t>Hand  Mixing Charges</t>
  </si>
  <si>
    <t>Assuming 30 cm thick concrete lining and about 25 cm extra excavation for fixing permanent</t>
  </si>
  <si>
    <t>structural steel supports and further 20 cm pay line margin the over all width of tunnel for</t>
  </si>
  <si>
    <t>excavation will be 6.00 m.</t>
  </si>
  <si>
    <t>Quantity of electric detonators assuming 0.5 m holes</t>
  </si>
  <si>
    <t>Quantity of detonating fuse coil</t>
  </si>
  <si>
    <t>Deploy 1 air compressor 15 cmm and 2 waggon drills for 8 hours.</t>
  </si>
  <si>
    <t>Deploy convey mucker for loading @ 16 cum / hour</t>
  </si>
  <si>
    <t>Deploy 5 cum dumpers 2 Nos @ 8 cum / hour each</t>
  </si>
  <si>
    <t>Explosive small dia.</t>
  </si>
  <si>
    <t>Detonator ( ele )</t>
  </si>
  <si>
    <t xml:space="preserve">Area of tunnel upto pay-line ( 0.5 x 0.7857x 5.5 x 5.5 )+( 5.5 x 2.75 ) </t>
  </si>
  <si>
    <t>Deploy 0.85 cum shovel and 3 tippers for 2.5 hours for disposal of 97 cum excavated rock</t>
  </si>
  <si>
    <t>Consider rope drum hoist for radial gate for spillway opening of size 15 m x 9 m for analysis.</t>
  </si>
  <si>
    <t>Output of pneumatic tamper per hour</t>
  </si>
  <si>
    <t xml:space="preserve">45 to 50 </t>
  </si>
  <si>
    <t>Deploy 5 hp pump as per data in item: 25</t>
  </si>
  <si>
    <t>CATEGORY : Cement/ Steel/ Pipes/ RCC poles/ AC &amp; GI sheets/ Packed materials</t>
  </si>
  <si>
    <t>CATEGORY : Earth / Sand / Gravel / Murrum / Lime / Surki /</t>
  </si>
  <si>
    <t>For total lead upto 1 km</t>
  </si>
  <si>
    <t>Tipper hire charges</t>
  </si>
  <si>
    <t>Fuel charges</t>
  </si>
  <si>
    <t>Crew charges</t>
  </si>
  <si>
    <t>Total for</t>
  </si>
  <si>
    <t>For total lead more than 1 km upto 2 km</t>
  </si>
  <si>
    <t>For total lead more than 2 km upto 3 km</t>
  </si>
  <si>
    <t>Amount
in Rs.</t>
  </si>
  <si>
    <t>Excise duty on Gates / Hoist supplies</t>
  </si>
  <si>
    <t>Insurance charges on machinery</t>
  </si>
  <si>
    <t>KVA / month</t>
  </si>
  <si>
    <t>Kwhr</t>
  </si>
  <si>
    <t>% / annum</t>
  </si>
  <si>
    <t>Water hose ( pressure ) 20 mm dia</t>
  </si>
  <si>
    <t>Rs./annum</t>
  </si>
  <si>
    <t>LS</t>
  </si>
  <si>
    <t>Requirement of materials for providing 100 sqm turfing.</t>
  </si>
  <si>
    <t>Turfing sods</t>
  </si>
  <si>
    <t>PRELIMINARY WORKS :</t>
  </si>
  <si>
    <t>11/4x0.1x0.1x0.4x80%</t>
  </si>
  <si>
    <t>Deduct Qty of Plug = 11/4x0.1x0.1x0.325</t>
  </si>
  <si>
    <t>Deduct Qty of Plug 11/4x0.1x0.1x0.15=</t>
  </si>
  <si>
    <t>including cutting slabs to required size, mixing mortar, finishing joints neatly, curing etc.,</t>
  </si>
  <si>
    <t>Out put of 1 waggon drill per day</t>
  </si>
  <si>
    <t>( 16 x 6 )</t>
  </si>
  <si>
    <t>For 6 m drilling average 4.5 m extension rods with coupling sleeves required.</t>
  </si>
  <si>
    <t xml:space="preserve">Further, assuming disposal of 95 % rock by shovel and dumper combination </t>
  </si>
  <si>
    <t xml:space="preserve">and 5 % rock mainly for trimming / cleaning by manual labour and tipper, </t>
  </si>
  <si>
    <t>the quantity of rock to be disposed off by shovel and dumper will be</t>
  </si>
  <si>
    <t>Since this is a slow work output of mixer is assumed at one span parapet CC :</t>
  </si>
  <si>
    <t>For openings in wall panels ( 10 x 9 x 1.5 x 0.15 )</t>
  </si>
  <si>
    <t>Deploy dozer about 1.5 hours for pushing soil to lining area.</t>
  </si>
  <si>
    <t>Generally the soil from excavation will be in moist condition. In the beginning of season no</t>
  </si>
  <si>
    <t>needed to maintain the soil moisture within OMC plus or minus 3 percent limit. However, for</t>
  </si>
  <si>
    <t>Time required for levelling 390 cum</t>
  </si>
  <si>
    <t>and loading the same to transport vehicle at borrow area.</t>
  </si>
  <si>
    <t>Using 200 gsm filter fabric.</t>
  </si>
  <si>
    <t>Use rate of grout hose 20 m</t>
  </si>
  <si>
    <t>Use rate of water hose 20 m</t>
  </si>
  <si>
    <t>Use rate of guniting nozzle</t>
  </si>
  <si>
    <t>Use rate of air hose 50 m 1 Nos.</t>
  </si>
  <si>
    <t>Gas for splitting anchor rods</t>
  </si>
  <si>
    <t>Steel wedges</t>
  </si>
  <si>
    <t xml:space="preserve">machinery, labour,, greasing, providing hand railing and approach staircase with gate to hoist platform, </t>
  </si>
  <si>
    <t xml:space="preserve">, complete as per specifications and approved drawings  </t>
  </si>
  <si>
    <t>Quantity of excavation for 7 m length                      ( 9.72 x 7.00 )</t>
  </si>
  <si>
    <t>Drilling and Blasting:</t>
  </si>
  <si>
    <t>Consider drilling by Jack hammers and mucking by combination of Shovel and Tippers.</t>
  </si>
  <si>
    <t>The burden ( distance of hole from free face of excavation ) is considered at 25 to 30 times dia</t>
  </si>
  <si>
    <t>of hole and spacing of holes is considered at 1.20 to 1.25 times burden.</t>
  </si>
  <si>
    <t>Burden distance for 32 mm dia jack hammer holes</t>
  </si>
  <si>
    <t>Spacing of holes</t>
  </si>
  <si>
    <t>(A+B+C+D)/925</t>
  </si>
  <si>
    <t xml:space="preserve">and about 5 percent excavation mainly for trimming bed to final profile by </t>
  </si>
  <si>
    <t>manual labour the daily output will be :</t>
  </si>
  <si>
    <t>20 cm thick sand layers, 25 cm thick 20 mm down coarse aggregate layers and 50 cm thick</t>
  </si>
  <si>
    <t>Quantity of loose soil to be spread ( 480 x 1.20 ) :</t>
  </si>
  <si>
    <t>Time required for levelling 576 cum</t>
  </si>
  <si>
    <t>80-20 mm coarse aggregate layer using approved materials satisfying specified filter creteria as</t>
  </si>
  <si>
    <t>per specifications including cost of all materials, machinery, labour, laying to required slope,</t>
  </si>
  <si>
    <t>cm each</t>
  </si>
  <si>
    <t>Thickness of 20 mm down CA layers ( 2 )</t>
  </si>
  <si>
    <t>Area of drain for 100 cum 100/1.40</t>
  </si>
  <si>
    <t>20 cm thick sand, 25 cm thick 20 - 4.75 mm and 40 cm thick 80 - 20 mm size graded coarse</t>
  </si>
  <si>
    <t>The quantity of wire mesh and sand bags include requirement for smooth blast area also.</t>
  </si>
  <si>
    <t xml:space="preserve">      :</t>
  </si>
  <si>
    <t>Output of tipper / hr with 50 min working / hr ( 50 x 4.00 / 13.33 ) :</t>
  </si>
  <si>
    <t>Output for 4 tippers per day ( 4 x 15 x 8 )</t>
  </si>
  <si>
    <t>shifting</t>
  </si>
  <si>
    <t>HUME PIPE LAYING &amp; JOINTING WORKS :</t>
  </si>
  <si>
    <t xml:space="preserve">8 to 10 percent watering may be needed to maintain soil moisture within </t>
  </si>
  <si>
    <t xml:space="preserve">percent watering by weight, daily requirement of water for 970 cum of </t>
  </si>
  <si>
    <t>Less openings in wall panels ( 10 x 9 x 0.60 x 0.15 x 0.125 )</t>
  </si>
  <si>
    <t>Blending ratio : 65 :35</t>
  </si>
  <si>
    <t>Repair cost  % C</t>
  </si>
  <si>
    <t>Type Factor</t>
  </si>
  <si>
    <t>Duty Factor</t>
  </si>
  <si>
    <t>n</t>
  </si>
  <si>
    <t>h</t>
  </si>
  <si>
    <t>r</t>
  </si>
  <si>
    <t>c1</t>
  </si>
  <si>
    <t>For providing 30 cm thick compacted murum bed in B.C soil area including additional</t>
  </si>
  <si>
    <t xml:space="preserve"> by muffling arrangements for dam, spillway, intake structure and other </t>
  </si>
  <si>
    <t>FILTER &amp; PITCHING WORKS :</t>
  </si>
  <si>
    <t>Use rate of T.C cross bit per m drilling                                        (cost / life)</t>
  </si>
  <si>
    <t>Use rate of 6 m extn rod per m drilling                                        (cost / life)</t>
  </si>
  <si>
    <t>Requirement of labour for spreading and tamping:</t>
  </si>
  <si>
    <t>Drilling jumbo ( excluding tyres )</t>
  </si>
  <si>
    <t>Dumper 4.5 cum ( excluding tyres )</t>
  </si>
  <si>
    <t>Geophysical Ele.resistivity meter</t>
  </si>
  <si>
    <t>Grouting pump</t>
  </si>
  <si>
    <t>No. of holes in shaft area @ 2 per sqm</t>
  </si>
  <si>
    <t>Depth of drilling for 60 holes</t>
  </si>
  <si>
    <t>For 1 cum CC :-        Coarse aggregates : 0.80 cum                     Blending ratio : 65 :35</t>
  </si>
  <si>
    <t>Turning / moving and spotting</t>
  </si>
  <si>
    <t>Loading muck by convey mucker and work force</t>
  </si>
  <si>
    <t>Deploy 10 hp pump for 8 hours for pumping water to storage tank for concreting / curing water</t>
  </si>
  <si>
    <t>requirements.</t>
  </si>
  <si>
    <t>Progress per shift of 8 hours:                                 ( 8 x 3.50 )</t>
  </si>
  <si>
    <t>Placing in position and tying</t>
  </si>
  <si>
    <t>Checking, correcting &amp; misc. works</t>
  </si>
  <si>
    <t>Operator Lathe/Drilling/Shearing machine</t>
  </si>
  <si>
    <t>including necessary excavation, refilling, flush pointing joints in CM 1 : 3 propn, cost of all</t>
  </si>
  <si>
    <t>Requirement of materials for fixing 100 Rm lug slab in CM 1:3.</t>
  </si>
  <si>
    <t>Requirement of labour for 100 Rm lug slab fixing in CM 1:3.</t>
  </si>
  <si>
    <t>Fixing and jointing PCC lug slabs Mason Cl I</t>
  </si>
  <si>
    <t>Laying lug slabs Mason Cl- II</t>
  </si>
  <si>
    <t>complete with all leads and lifts.</t>
  </si>
  <si>
    <t xml:space="preserve">Requirement of materials for fixing drops. </t>
  </si>
  <si>
    <t>Using 500 micron thick LDPE sheet.</t>
  </si>
  <si>
    <t>Consider 250 sqm LDPE sheet 500 micron thick laying per day.</t>
  </si>
  <si>
    <t>Consider 10 percent extra sheet for joints &amp; wastage.</t>
  </si>
  <si>
    <t>hoist is supported on steel bridge and no anchorages and base frames are required.</t>
  </si>
  <si>
    <t>Weight of hoist with all accessories                       ( 0.1 x 50 )</t>
  </si>
  <si>
    <t>The actual weight of barrage gate rope drum hoist as per data sheet :</t>
  </si>
  <si>
    <t xml:space="preserve">fly-rock by muffling arrangements for dam, spillway, intake structure and </t>
  </si>
  <si>
    <t xml:space="preserve">other appurtenant structures etc., including dressing sides and bed to </t>
  </si>
  <si>
    <t xml:space="preserve">required level / profile, placing and levelling the excavated rock neatly in </t>
  </si>
  <si>
    <t xml:space="preserve"> all lifts.</t>
  </si>
  <si>
    <t>Length of steel to be cut by using shearing machine</t>
  </si>
  <si>
    <t>Time for gas cutting manually assuming average cutting progress of 2 m / hour</t>
  </si>
  <si>
    <t>Time for gas cutting by pug cutting machine at ( av ) 3 m / hour</t>
  </si>
  <si>
    <t>Welding electrodes ( SS ) for run welding at 90 % of total with 2.5 % wastage</t>
  </si>
  <si>
    <t>Cutting :</t>
  </si>
  <si>
    <t>Khandki stones 20-25 cm height</t>
  </si>
  <si>
    <t>Khandki stones 25-30 cm height</t>
  </si>
  <si>
    <t>Consider 0.5 cum shovel for 2 hours for pushing CA / FA to BP stock pile area.</t>
  </si>
  <si>
    <t>Requirement of materials for constructing 100 sqm pitching:</t>
  </si>
  <si>
    <t>Pin headers @ 2 per sqm</t>
  </si>
  <si>
    <t>Requirement of labour for 100 sqm pitching:</t>
  </si>
  <si>
    <t>packing of concrete during placement of concrete by placer pump.</t>
  </si>
  <si>
    <t>@ Rs:</t>
  </si>
  <si>
    <t>/ Each</t>
  </si>
  <si>
    <t>Rate of interest per annum</t>
  </si>
  <si>
    <t>Miscellaneous charges</t>
  </si>
  <si>
    <t>For 20 uses of supports the drilling jumbo will be used for 18 hours each time.</t>
  </si>
  <si>
    <t>Drilling jumbo ( for each use 12 hours for erection and 6 hours for dismantling )</t>
  </si>
  <si>
    <t>dismantling of supports. For erection and dismantling the requirement of labour will be for each</t>
  </si>
  <si>
    <t>Consider ISWB 150 x 100 sections @ 0.75 m c / c.</t>
  </si>
  <si>
    <t>Consider 10 mm plate for fabrication of end plates.</t>
  </si>
  <si>
    <t>Consider 25 mm dia bars for anchorage and tie rods with washers and nuts @ 1 m c/c.</t>
  </si>
  <si>
    <t>Arch ribs 4 Nos of 2.25 m length each @ 17 kg / m</t>
  </si>
  <si>
    <t xml:space="preserve">Battery / charging cost etc @ </t>
  </si>
  <si>
    <t>accessories across canal CD work or other locations wherever shifting and re-erecting is</t>
  </si>
  <si>
    <t>operating canal escape / regulator gate including cost of all materials, machinery, labour,</t>
  </si>
  <si>
    <t>Requirement of materials for 100 sqm slab lining in CM 1:3.</t>
  </si>
  <si>
    <t>Stone slabs with 5 percent allowance for breakage / wastage</t>
  </si>
  <si>
    <t>Cement mortar 1:3 propn for joints</t>
  </si>
  <si>
    <t>Requirement of labour for 100 sqm slab lining in CM 1:3.</t>
  </si>
  <si>
    <t>Cartman with Double bullock cart for conveying water</t>
  </si>
  <si>
    <t>Shahabad Stone slabs</t>
  </si>
  <si>
    <t>Rate per tonne capacity</t>
  </si>
  <si>
    <t>Hammerman</t>
  </si>
  <si>
    <t>for mucking shift 4 Nos</t>
  </si>
  <si>
    <t>for other 2 shifts 1 No each shift</t>
  </si>
  <si>
    <t>Add for Air and Water line @</t>
  </si>
  <si>
    <t>Add for Ventilation @</t>
  </si>
  <si>
    <t>Add for Lighting @</t>
  </si>
  <si>
    <t>Deploy 0.9 cum shovel and 4 tippers for disposal of excavated rock.</t>
  </si>
  <si>
    <t>Deploy 1 Stone chiseller, 1 stonebreaker for 0.5 day for levelling bed.</t>
  </si>
  <si>
    <t>Time required for levelling 495 cum</t>
  </si>
  <si>
    <t>seasonal average of 4 to 5 percent watering by weight, daily requirement of water for 412.800 cum</t>
  </si>
  <si>
    <t>control of 98 percent.</t>
  </si>
  <si>
    <t>50 / 60 ( 1.9 x 4000 x 0.225 x 0.75 / 11 )</t>
  </si>
  <si>
    <t>Time for rolling 495 cum soil in embankment layer</t>
  </si>
  <si>
    <t>about 6 tanker loads of 8000 ltrs each.</t>
  </si>
  <si>
    <t>Deploy 8000 ltr capacity water tanker for 6 hours daily for watering before rolling.</t>
  </si>
  <si>
    <t>Deploy 5 hp pump for 3 hours.</t>
  </si>
  <si>
    <t>piers / abutments for maintenance of gate parts at trunnion level.</t>
  </si>
  <si>
    <t>Consider catwalk for a clear span of 15 m and 3 m wide piers.</t>
  </si>
  <si>
    <t>Details of material / Gas cutting / Welding considered for rate analysis are based on foot bridge</t>
  </si>
  <si>
    <t>Chequered plates with 2.5 % wastage</t>
  </si>
  <si>
    <t>Welding electrodes for run welding at 90 % of total with 2.5 % wastage</t>
  </si>
  <si>
    <t>Acetelyne gas @ 0.6 cum / hour ( 28 x 0.60 )</t>
  </si>
  <si>
    <t>Basic wages per a day</t>
  </si>
  <si>
    <t>Scaffolding : Cost of scaffolding materials considered at 100 percent of shuttering.</t>
  </si>
  <si>
    <t>Batching plant 2 x 1 cum</t>
  </si>
  <si>
    <t>Lubricants etc @ 5 %</t>
  </si>
  <si>
    <t>Transit mixer 3 Nos</t>
  </si>
  <si>
    <t>Mechanical paver</t>
  </si>
  <si>
    <t>DG set for batching plant 50 KVA</t>
  </si>
  <si>
    <t>DG set for paver 30 KVA</t>
  </si>
  <si>
    <t>Shovel 0.5 cum / Loader</t>
  </si>
  <si>
    <t>Water tanker</t>
  </si>
  <si>
    <t>Spacing of peripheral holes at 8 times diameter of hole.</t>
  </si>
  <si>
    <t>No. of holes for 6.0 m length trimming                      ( 2 x 6.0 / 0.7 )</t>
  </si>
  <si>
    <t>Diesel engine operated machinery</t>
  </si>
  <si>
    <t>Cost of 4 mm plate 33.91 kg @                        Rs:</t>
  </si>
  <si>
    <t>Output of tipper / hr with 50 min working / hr ( 50 x 4.30 / 9.90 )</t>
  </si>
  <si>
    <t>Tippers 5.00 cum capacity 6 Nos.</t>
  </si>
  <si>
    <t>Ideal cycle time for loading 5 buckets ( 5 x 25 / 60 )</t>
  </si>
  <si>
    <t>seasonal average of 4 to 5 percent watering by weight, daily requirement of water for 245 cum</t>
  </si>
  <si>
    <t>of embankment will be about 3 tanker loads of 8000 ltrs each.</t>
  </si>
  <si>
    <t>Deploy 8000 ltr capacity water tanker for 3 hours for watering before rolling.</t>
  </si>
  <si>
    <t>Use rate of drill rod per m drilling</t>
  </si>
  <si>
    <t>Use rate of water hose per hour</t>
  </si>
  <si>
    <t>In view of shallow holes and wet drilling regular flushing is not required.</t>
  </si>
  <si>
    <t>Metal               = 1X0.30X 0.45 x100 =</t>
  </si>
  <si>
    <t>13.5 Cum</t>
  </si>
  <si>
    <t>Sand for filter    = 45.00-13.50 =</t>
  </si>
  <si>
    <t>31.5 Cum</t>
  </si>
  <si>
    <t>Add 1/3 metal qty =13.50/3</t>
  </si>
  <si>
    <t>Area covered by one hole ( 1.50 x 1.80 )</t>
  </si>
  <si>
    <t>Consider 100 cum excavation for analysis.</t>
  </si>
  <si>
    <t>Area for 100 cum SR requiring blasting for 1.3 m pull ( 100 / 1.3 ) :</t>
  </si>
  <si>
    <t xml:space="preserve">Nos. of holes for 77 sqm area </t>
  </si>
  <si>
    <t>( 77 / 2.7 )</t>
  </si>
  <si>
    <t>Consider river / canal sluice service gate for 2.5 m x 3 m sluice opening for analysis.</t>
  </si>
  <si>
    <t>Use rate of materials :</t>
  </si>
  <si>
    <t>RATE ANALYSIS</t>
  </si>
  <si>
    <t>A. MATERIALS:</t>
  </si>
  <si>
    <t>Sl No</t>
  </si>
  <si>
    <t>Unit</t>
  </si>
  <si>
    <t>Rate</t>
  </si>
  <si>
    <t>Amount</t>
  </si>
  <si>
    <t>Sundries</t>
  </si>
  <si>
    <t>Hour</t>
  </si>
  <si>
    <t>TOTAL</t>
  </si>
  <si>
    <t>Total cost of Materials</t>
  </si>
  <si>
    <t>B. MACHINERY:</t>
  </si>
  <si>
    <t>Description</t>
  </si>
  <si>
    <t>Fuel / Energy charges</t>
  </si>
  <si>
    <t>Total hire charges of Machinery</t>
  </si>
  <si>
    <t>C. LABOUR:</t>
  </si>
  <si>
    <t>1.50 x 1.80</t>
  </si>
  <si>
    <t>Concrete mixer 600 / 400 ltr ( electric</t>
  </si>
  <si>
    <t>Concrete paver 100 sqm / hr</t>
  </si>
  <si>
    <t>taxes/ duties. Therefore, for purpose of rate analysis 75 percent of total cost excluding the cost</t>
  </si>
  <si>
    <t xml:space="preserve">mazdoor </t>
  </si>
  <si>
    <t>No. of dumpers to match corrected cycle time of shovel ( 12.50 / 3.00 ) :</t>
  </si>
  <si>
    <t>Requirement of labour for concreting ( for 2 mixers ) :</t>
  </si>
  <si>
    <t>Mason Cl I</t>
  </si>
  <si>
    <t>Use of gas cutting torch with 50 min / hour working ( 30 x 60 / 50 )</t>
  </si>
  <si>
    <t>Miscellaneous and wastage</t>
  </si>
  <si>
    <t xml:space="preserve">Total </t>
  </si>
  <si>
    <t>Wt :</t>
  </si>
  <si>
    <t xml:space="preserve">                                                                                  Total                   Rs: </t>
  </si>
  <si>
    <t xml:space="preserve">Beyond 30 m upto 36 m from surface </t>
  </si>
  <si>
    <t>ii ) The rate under this item shall be adopted for canals designed for carrying capacity of more</t>
  </si>
  <si>
    <t>Screw conveyor with 15 hp motor -1</t>
  </si>
  <si>
    <t>all leads and lifts.</t>
  </si>
  <si>
    <t>Consider 100 m length mastic filler joint.</t>
  </si>
  <si>
    <t>Asphalt 80/100 Gr</t>
  </si>
  <si>
    <t>coarse aggregate including cost of all materials, machinery, labour, batching, mixing, laying,</t>
  </si>
  <si>
    <t>Cement  : 322 kg                          Sand  :</t>
  </si>
  <si>
    <t xml:space="preserve">Cement  : 629 kg        Sand  : </t>
  </si>
  <si>
    <t xml:space="preserve">Cement  : 472 kg            Sand  : </t>
  </si>
  <si>
    <t>Cement  : 1050 kg       Sand  :</t>
  </si>
  <si>
    <t>the next tipper for loading. Assuming extra time of 0.35 minute, the corrected cycle time for the</t>
  </si>
  <si>
    <t>MS bolts / nuts / washers with 2.5 % wastage</t>
  </si>
  <si>
    <t>f.</t>
  </si>
  <si>
    <t>Zinc at 70 kg / trunnion ( 2 x 70 )</t>
  </si>
  <si>
    <t>g.</t>
  </si>
  <si>
    <t>Rubber seal conforming to IS : 11855 :</t>
  </si>
  <si>
    <t>Temperature of concrete at placing point considered</t>
  </si>
  <si>
    <t>deg C</t>
  </si>
  <si>
    <t>Quantity of in-situ soil per load ( 5 x 0.86 )</t>
  </si>
  <si>
    <t>Helper Batching plant</t>
  </si>
  <si>
    <t>Helper Blasting</t>
  </si>
  <si>
    <t>Helper Bus/ Ambulance/ Lorry/ Tanker</t>
  </si>
  <si>
    <t>III.</t>
  </si>
  <si>
    <t>IV.</t>
  </si>
  <si>
    <t>Helper Bending/Shearing/Planing machine</t>
  </si>
  <si>
    <t>Helper Carpenter</t>
  </si>
  <si>
    <t>Width of spillway bridge considered</t>
  </si>
  <si>
    <t>Requirement of materials for one expansion joint :</t>
  </si>
  <si>
    <t>for aggregate and all leads for fabric and all lifts.</t>
  </si>
  <si>
    <t>Using 250 gsm filter fabric.</t>
  </si>
  <si>
    <t>Consider one double bullock cart for 2 days with 3 trips per day.</t>
  </si>
  <si>
    <t>For removing and loading sods.</t>
  </si>
  <si>
    <t>For un-loading and laying sods.</t>
  </si>
  <si>
    <t>For surface preparation to lay sods.</t>
  </si>
  <si>
    <t>Fuel charges ( gas )</t>
  </si>
  <si>
    <t>Rubble stones at dump yard</t>
  </si>
  <si>
    <t>Stone chips ( spalls ) at dump yard</t>
  </si>
  <si>
    <t>Welding electrodes for welding plate and anchors</t>
  </si>
  <si>
    <t>Joint filler board 38 mm thick ( 2 x 19 mm )</t>
  </si>
  <si>
    <t>Deploy welding machine for 8 hours for welding plate.</t>
  </si>
  <si>
    <t>Structural steel angle</t>
  </si>
  <si>
    <t>12 dia steel anchors</t>
  </si>
  <si>
    <t>Joint filler board 19 mm thick</t>
  </si>
  <si>
    <t>Sundries ( cutting gas / paint etc )</t>
  </si>
  <si>
    <t>Sundries (cutting torch/ welding guns etc)</t>
  </si>
  <si>
    <t>Insitu quantity/ bucket for 10 % bulkage of soil in dump area</t>
  </si>
  <si>
    <t xml:space="preserve"> it is proposed to adopt chemical treatment</t>
  </si>
  <si>
    <t>Quantity of paint for 100 sqm 4coat with 2 % wastage ( 100 x 4x 1.02 /6)</t>
  </si>
  <si>
    <t>5x100/15</t>
  </si>
  <si>
    <t>10 mm down CA @ 25 %</t>
  </si>
  <si>
    <t>Surveyor</t>
  </si>
  <si>
    <t>Tinsmith</t>
  </si>
  <si>
    <t>Turner / Driller</t>
  </si>
  <si>
    <t>Use rate of drill rod 2.5 m long</t>
  </si>
  <si>
    <t>In-situ quantity / bucket for 10 % bulkage of soil ( 1 / 1.10 )</t>
  </si>
  <si>
    <t>Formwork / shuttering : for manhole sides ( 3.142 x 1.6 x 3 + 3.142 x 1.2 x 2.8</t>
  </si>
  <si>
    <t>for cut-off wall ( 2 x 1.5 x 2.8 )</t>
  </si>
  <si>
    <t>for top slab ( 0.7857 x 1.2 x 1.2 )</t>
  </si>
  <si>
    <t>Total say</t>
  </si>
  <si>
    <t>Coarse aggregate 20 to 10 mm</t>
  </si>
  <si>
    <t>Coarse aggregate 10 to 4.75 mm</t>
  </si>
  <si>
    <t>Hume pipe 300 mm dia</t>
  </si>
  <si>
    <t>Concrete mixer 300 / 200 ( ele )</t>
  </si>
  <si>
    <t>for bar bending</t>
  </si>
  <si>
    <t>for concreting</t>
  </si>
  <si>
    <t>for curing</t>
  </si>
  <si>
    <t>II.</t>
  </si>
  <si>
    <t>Blaster ( Licensed )</t>
  </si>
  <si>
    <t>Carpenter Cl- I</t>
  </si>
  <si>
    <t>Electrician ( Licensed )</t>
  </si>
  <si>
    <t>Fitter Cl- I</t>
  </si>
  <si>
    <t>Floor Polisher / Tile Layer</t>
  </si>
  <si>
    <t>Foreman</t>
  </si>
  <si>
    <t>Gauge reader</t>
  </si>
  <si>
    <t>Mason Cl- I / Brick layer Cl- I</t>
  </si>
  <si>
    <t>Mechanic Cl- I</t>
  </si>
  <si>
    <t>Operator Air compressor / DG set</t>
  </si>
  <si>
    <t>Operator Batching plant</t>
  </si>
  <si>
    <t>Operator Bus/Ambulance/ Lorry/ Tanker</t>
  </si>
  <si>
    <t>Operator Concrete / Asphalt mixer</t>
  </si>
  <si>
    <t>Operator Concrete / Asphalt paver</t>
  </si>
  <si>
    <t>Helper Wagon drill/ Drifter</t>
  </si>
  <si>
    <t>Lineman Electric / Telephone</t>
  </si>
  <si>
    <t>Interest on capital cost</t>
  </si>
  <si>
    <t>Lubricants</t>
  </si>
  <si>
    <t>Petrol</t>
  </si>
  <si>
    <t>Rivets</t>
  </si>
  <si>
    <t>Quantity of loose soil to be spread ( 600 x 1.20 )</t>
  </si>
  <si>
    <t>Generally soil from canal excavation will be in moist condition.In the beginning of the season no</t>
  </si>
  <si>
    <t>Depth of drilling per hole ( 0.80 + 0.10 )</t>
  </si>
  <si>
    <t>Area of excavation for 320 cum ( 320 / 0.8 )</t>
  </si>
  <si>
    <t xml:space="preserve"> times</t>
  </si>
  <si>
    <t xml:space="preserve">times </t>
  </si>
  <si>
    <t>Burden for 32 mm dia jack hammer holes say</t>
  </si>
  <si>
    <t>Cost of 3 mm plate 4 kg                               @ Rs:</t>
  </si>
  <si>
    <t>Cost of 6 mm plate 39 kg                             @ Rs:</t>
  </si>
  <si>
    <t>Cost of 30x30x4mm angle 4 kg                     @ Rs:</t>
  </si>
  <si>
    <t>Add for bolts &amp; nuts</t>
  </si>
  <si>
    <t>( LS)</t>
  </si>
  <si>
    <t>Add for fabrication of mould @ Rs:</t>
  </si>
  <si>
    <t>Less salvage value @</t>
  </si>
  <si>
    <t>( - )</t>
  </si>
  <si>
    <t>blasting area with 20 guage 50 x 50 mm chain link mesh and sand bags.</t>
  </si>
  <si>
    <t>Lap jointing considered for bars upto 36 mm diameter.</t>
  </si>
  <si>
    <t>Lap jointing considered assuming all reinforcement below 36 mm dia.</t>
  </si>
  <si>
    <t>Plums of size 150 to 180 mm</t>
  </si>
  <si>
    <t>Assuming 3 m bending / hour, time for bending 594 m ( 594 / 3 )</t>
  </si>
  <si>
    <t>With 50 minutes / hour working deploy bending machine for</t>
  </si>
  <si>
    <t>Length of welding</t>
  </si>
  <si>
    <t>Use rate of paving cylinder / sqm</t>
  </si>
  <si>
    <t>(cost / life)</t>
  </si>
  <si>
    <t>Use rate of Extension rod with coupling sleeve</t>
  </si>
  <si>
    <t>Use rate of Jack hammer drill rod 1.5 m</t>
  </si>
  <si>
    <t>Use rate of Jack hammer drill rod 1.6 m</t>
  </si>
  <si>
    <t>Jack hammers 3 Nos.</t>
  </si>
  <si>
    <t>lead upto 1 km and all lifts.</t>
  </si>
  <si>
    <t>hoist supporting structure, pulley support, pulleys, drive stool, rope drums, shafts, couplings,</t>
  </si>
  <si>
    <t>gears and pinions, plummer blocks, gear box, electric motor, hand operation assembly, brake,</t>
  </si>
  <si>
    <t>Fixing &amp; tying with binding wire</t>
  </si>
  <si>
    <t>Checking / correcting &amp; misc.</t>
  </si>
  <si>
    <t>Through stones ( available )</t>
  </si>
  <si>
    <t>rock-toe removed for re-construction including cost of all machinery, labour, laying filter and</t>
  </si>
  <si>
    <t>For handling during fabrication mobile derric crane for 4 hours and stationery derric crane for</t>
  </si>
  <si>
    <t>Quantity of murum with 20 % bulkage ( 100 x 0.15 x 1.2 )</t>
  </si>
  <si>
    <t>Casing shoe bit</t>
  </si>
  <si>
    <t>Diamond core bit BX size</t>
  </si>
  <si>
    <t>Hot bitumen Grade 85 / 25 and 80 / 100 in the ratio of 2 : 1 considered for joining sheets.</t>
  </si>
  <si>
    <t>Bitumen 85 / 25 and 80 / 100 Gr</t>
  </si>
  <si>
    <t>Joining &amp; laying @ 10 % of sheet cost</t>
  </si>
  <si>
    <t>Note :</t>
  </si>
  <si>
    <t>SCHEDULE OF RATES</t>
  </si>
  <si>
    <t>two coats of zinc phosphate primer (airless spray preferred) 40microns/coat</t>
  </si>
  <si>
    <t xml:space="preserve">average period of 30 minutes including water intake observations after </t>
  </si>
  <si>
    <t xml:space="preserve">Flushing of 4 holes at a time with air supply from one 8.5 cmm compressor </t>
  </si>
  <si>
    <t>to 2 holes at a time alternatively assumed.</t>
  </si>
  <si>
    <t xml:space="preserve">Considering 50 minutes / hour working and time required for water intake </t>
  </si>
  <si>
    <t xml:space="preserve">observation and shifting from hole to hole etc., 4 holes of 6 m each can be </t>
  </si>
  <si>
    <t>flushed in one hour.</t>
  </si>
  <si>
    <t xml:space="preserve">Use of 2 Nos .air hoses 50 m each and 2 Nos. water hoses 50 m each </t>
  </si>
  <si>
    <t>considered for flushing 4 holes at a time in 1 hour.</t>
  </si>
  <si>
    <t>Deploy 1 air compressor of 8.5 cmm capacity and 1 Waggon drill for 10.5 hours for drilling with</t>
  </si>
  <si>
    <t>Time for drilling 85 m for 2 jack hammers                      ( 85 / 16 )</t>
  </si>
  <si>
    <t>Cost of 1.5 m drill rod @                                   Rs:</t>
  </si>
  <si>
    <t xml:space="preserve">Cost of 50 m air hose 25 mm @                        Rs: </t>
  </si>
  <si>
    <t>all operations such as excavation, sorting out, transporting, spreading in layer of specified</t>
  </si>
  <si>
    <t>Lead for conveyance of soil</t>
  </si>
  <si>
    <t>Quantity of Cement for slurry at 2.5 kg / hole for 25 holes</t>
  </si>
  <si>
    <t>Lead for disposal of excavated hard rock</t>
  </si>
  <si>
    <t>Short delay detonators</t>
  </si>
  <si>
    <t>Delay system</t>
  </si>
  <si>
    <t>25 ms interval</t>
  </si>
  <si>
    <t>St line row by row</t>
  </si>
  <si>
    <t>Muffling arrangements:</t>
  </si>
  <si>
    <t>to burden ratio shall be more than 3.</t>
  </si>
  <si>
    <t>of tippers on either side of the shovel. Generally one tipper has to move after loading to position</t>
  </si>
  <si>
    <t>As the soil is from dump area no stripping of top soil involved.</t>
  </si>
  <si>
    <t xml:space="preserve">corrected cycle time for the shovel will be </t>
  </si>
  <si>
    <t>Round trip cycle time for dumper</t>
  </si>
  <si>
    <t>Concrete mix details per cum for 80-100 mm slump:</t>
  </si>
  <si>
    <t>Coarse aggregate 40 mm down</t>
  </si>
  <si>
    <t>Blending ratio</t>
  </si>
  <si>
    <t>40 to 20 mm</t>
  </si>
  <si>
    <t>20 to 10 mm</t>
  </si>
  <si>
    <t>10 to 4.75 mm</t>
  </si>
  <si>
    <t>Quantity of electric detonators for secondary blasting</t>
  </si>
  <si>
    <t>LS  :</t>
  </si>
  <si>
    <t>Deploy drilling jumbo for 1 hour for loading explosives.</t>
  </si>
  <si>
    <t>Defuming and scaling loose materials:</t>
  </si>
  <si>
    <t>Daily progress of lining @ 100 sqm / hour</t>
  </si>
  <si>
    <t>batching, mixing, placing in position, levelling, vibrating, finishing, curing etc., complete with</t>
  </si>
  <si>
    <t>( 120 / 15 ) x 8 / 2</t>
  </si>
  <si>
    <t>( 1075 / 15 ) x 8 / 6</t>
  </si>
  <si>
    <t>Deploy welding transformer for 128 hours.</t>
  </si>
  <si>
    <t>( 32 x 0.25 + 96 x 0.75 )</t>
  </si>
  <si>
    <t>LDPE sheet ( Geo membrane ) 1000 micron thick</t>
  </si>
  <si>
    <t>For 1 cum CC :-        Coarse aggregates : 0.90 cum                 Blending ratio : 50 :30 : 20</t>
  </si>
  <si>
    <t>Area of excavation for 520 cum ( 520 / 1.25 )</t>
  </si>
  <si>
    <t>Consider 90 hp dozer for 4 hours for levelling collected rockfill material in layer and for removal</t>
  </si>
  <si>
    <t>The ideal cycle time for shovel requires spotting of a dumper within 5.00 minutes near the</t>
  </si>
  <si>
    <t>shovel. However, space available at quarry site may not be adequate to position tippers on</t>
  </si>
  <si>
    <t>Contractor's profit and overhead charges</t>
  </si>
  <si>
    <t>( 2 x 25 x 60 / 50 / 40 )</t>
  </si>
  <si>
    <t>No. of trips per day for lead upto 100 m ( 8 x 60 / 1.5 )</t>
  </si>
  <si>
    <t>Quantity of material by head load per day ( 320 x 0.017 ) say</t>
  </si>
  <si>
    <t>crew for compressor</t>
  </si>
  <si>
    <t>Consider removing and resetting of 100 sqm slab lining in CM 1 : 3.</t>
  </si>
  <si>
    <t>Packing joints with asphalt mortar</t>
  </si>
  <si>
    <t>Number of wall panels of size 0.45 x 0.80 x 0.125 m ( on u/s only )</t>
  </si>
  <si>
    <t>The quantity of wire mesh and sand bags to cover smooth blast area is included under item for</t>
  </si>
  <si>
    <t>Trial running for lifting / lowering gate</t>
  </si>
  <si>
    <t>Rope drum hoist for radial gate consists of embedded parts for anchorages, hoist supporting</t>
  </si>
  <si>
    <t>Note: 1. For drilling through over-burden beyond 30 m from surface increase the basic rate per</t>
  </si>
  <si>
    <t xml:space="preserve"> Rm by 10 percent.</t>
  </si>
  <si>
    <t xml:space="preserve"> per for  each kilometer  and upto 5 km  are cumulative and inclusive of total charges for </t>
  </si>
  <si>
    <t>preceding lead.</t>
  </si>
  <si>
    <t>inclusive of  rates  for preceding lift,laed and  hire cahrges</t>
  </si>
  <si>
    <t xml:space="preserve">11. Hire charges are per 1KM  for tippers and trucks for tranport of materials from work site </t>
  </si>
  <si>
    <t>to dump  yard and other places are cumulative&amp; includes previous km upto 5 kms</t>
  </si>
  <si>
    <t>Consider spacing of peripheral holes at 10 times diameter of hole.</t>
  </si>
  <si>
    <t>Spacing of peripheral holes</t>
  </si>
  <si>
    <t>Number of boundary holes on two sides ( 20 + 30 ) / 0.33</t>
  </si>
  <si>
    <t>Depth of drilling @ 0.9 m per hole ( 152 x 0.9 )</t>
  </si>
  <si>
    <t>Rate of drilling in hard rock by jack hammer</t>
  </si>
  <si>
    <t>Time for drilling 138 m @ 32.00 m per hour</t>
  </si>
  <si>
    <t>walls.</t>
  </si>
  <si>
    <t>Coarse aggregates</t>
  </si>
  <si>
    <t>m</t>
  </si>
  <si>
    <t>min</t>
  </si>
  <si>
    <t>i ) For excavation of canal below free board level combination of normal / controlled blasting and</t>
  </si>
  <si>
    <t>For small canals consider locally fabricated manually operated paver for in-situ concrete lining.</t>
  </si>
  <si>
    <t>By operating the screw jack the side shuttering can be positioned in place.</t>
  </si>
  <si>
    <t xml:space="preserve"> (A+B+C+D)/48.60</t>
  </si>
  <si>
    <t>15 cm thick sand layers and 20 cm thick 20 mm down coarse aggregate layer using approved</t>
  </si>
  <si>
    <t>materials satisfying specified filter creteria as per specifications including cost of all materials,</t>
  </si>
  <si>
    <t>Total thickness of filter</t>
  </si>
  <si>
    <t>Thickness of sand layers ( 2 )</t>
  </si>
  <si>
    <t>Area of drain for 100 cum 100 / 0.50</t>
  </si>
  <si>
    <t>Output of tipper / hr with 50 min working / hr ( 50 x 4.16 / 10.00 )</t>
  </si>
  <si>
    <t>Output for 5 tippers per day ( 5 x 20.80 x 8 )</t>
  </si>
  <si>
    <t>Further, assuming about 90 percent of excavation by deploying shovel and about 10 percent</t>
  </si>
  <si>
    <t>excavation mainly for trimming the canal to final profile by manual labour the daily output will</t>
  </si>
  <si>
    <t>be :</t>
  </si>
  <si>
    <t>/ Rm</t>
  </si>
  <si>
    <t xml:space="preserve">Use rate ofextension rod per Rm drilling </t>
  </si>
  <si>
    <t>hoist drawings for 15 m x 9 m spillway gate</t>
  </si>
  <si>
    <t>Walk way(cat walk)</t>
  </si>
  <si>
    <t>Useful rubble ( at dump yard )</t>
  </si>
  <si>
    <t>For radial gates where field welding is more hourly progress is assumed at 12 electrodes / hour.</t>
  </si>
  <si>
    <t>For 1 cum CC :-               Coarse aggregates : 0.90 cum              Blending ratio : 50 :30 : 20</t>
  </si>
  <si>
    <t>scaling excavated surface, ventilation, lighting, drainage removing and hauling excavated muck</t>
  </si>
  <si>
    <t>For run welding @ 6 hrs usage / shift &amp; @ 12 electrodes / hr</t>
  </si>
  <si>
    <t>( 24554 / 12 ) x 8 / 6</t>
  </si>
  <si>
    <t>Rubble stones :</t>
  </si>
  <si>
    <t>mm and 20 mm down graded aggregates satisfying specified filter creteria in layers as per</t>
  </si>
  <si>
    <t>specifications including cost of all materials, machinery, labour, laying to required slopes,</t>
  </si>
  <si>
    <t>(V):0.5(H)</t>
  </si>
  <si>
    <t>Cross sectional area ( 1.00 + 2.30 ) x 1.30 / 2</t>
  </si>
  <si>
    <t>Length of drain for 100 cum ( 100 / 2.145 )</t>
  </si>
  <si>
    <t xml:space="preserve">46 62 </t>
  </si>
  <si>
    <t>Quantity of 80-20 mm filter aggregate.</t>
  </si>
  <si>
    <t xml:space="preserve">all materials, machinery, labour, scaffolding, ramps, cleaning, packing </t>
  </si>
  <si>
    <t>Binding wire 1.25 mm dia</t>
  </si>
  <si>
    <t>Sundries ( chairs / spacers etc )</t>
  </si>
  <si>
    <t>cost of all materials, machinery, labour, cleaning, batching, mixing, placing in position,</t>
  </si>
  <si>
    <t>Cost per use assuming 500 uses</t>
  </si>
  <si>
    <t>Add for bolts &amp; nuts/clamps etc. @ 15%</t>
  </si>
  <si>
    <t>Add for shutter oil @ 0.1 ltr      Rs.</t>
  </si>
  <si>
    <t>Total cost / use   Rs.</t>
  </si>
  <si>
    <t>5 hp pump (diesel)</t>
  </si>
  <si>
    <t>Crew for water tanker</t>
  </si>
  <si>
    <t>For shifting slabs to curing pond</t>
  </si>
  <si>
    <t>For stacking after curing</t>
  </si>
  <si>
    <t>Deploy 3 mazdoors for cleaning, manual disposal of muck at bed level</t>
  </si>
  <si>
    <t>No. of tippers to match corrected cycle time of shovel ( 11.50/3.5 )</t>
  </si>
  <si>
    <t>say 4 Nos.</t>
  </si>
  <si>
    <t>Output of tipper / hr with 50 min working / hr ( 50 x 3.57 / 11.50 )</t>
  </si>
  <si>
    <t>Output of 1 shovel &amp; 4 tippers per hour ( in-situ qty ) ( 12.75 x 4 )</t>
  </si>
  <si>
    <t>Deploy 3 mazdoors for cleaning, manual disposal of muck at bed level,</t>
  </si>
  <si>
    <t>Filling charges @ 2 mazdoors per 100 bags / day</t>
  </si>
  <si>
    <t>Use rate of paving cylinder / sqm including repairs.</t>
  </si>
  <si>
    <t>Total :</t>
  </si>
  <si>
    <t>Fuel / Energy charges @ 25 % hrs for stitch welding &amp; @ 75 % hrs for run welding.</t>
  </si>
  <si>
    <t>(195 x 0.25 + 585 x 0.75)</t>
  </si>
  <si>
    <t>Planing SS plates for seal seats :</t>
  </si>
  <si>
    <t>C. Cost of Labour</t>
  </si>
  <si>
    <t>excavation mainly for trimming of bed / sides to final profile by manual labour the daily output</t>
  </si>
  <si>
    <t>will be :</t>
  </si>
  <si>
    <t>Deploy one tipper for disposal of manually excavated soft rock.</t>
  </si>
  <si>
    <t>Cost of air hose 25 m / jack hammer @ Rs:</t>
  </si>
  <si>
    <t>Requirement of labour other tham crew:</t>
  </si>
  <si>
    <t>Fabricating by stitch welding 18 hours</t>
  </si>
  <si>
    <t>No. of Operator</t>
  </si>
  <si>
    <t>No. of Helper</t>
  </si>
  <si>
    <t>Total Yearly wages</t>
  </si>
  <si>
    <t>Yearly usage of machinery in hours</t>
  </si>
  <si>
    <t>Cleaning, conveying, erecting and oiling:</t>
  </si>
  <si>
    <t>Gas cutter for preparing washers and wedges</t>
  </si>
  <si>
    <t>Blacksmith for slitting rods and tapering wedges</t>
  </si>
  <si>
    <t>Turner for threading bolts</t>
  </si>
  <si>
    <t>Fitter for fixing bolts</t>
  </si>
  <si>
    <t>Khalasis for handling 2 Nos for 0.5 day</t>
  </si>
  <si>
    <t>Steel plate for washers</t>
  </si>
  <si>
    <t>Steel plate for wedges</t>
  </si>
  <si>
    <t>Erection of sector arms</t>
  </si>
  <si>
    <t>Consider 2 cum capacity agitator cars for conveying concrete.</t>
  </si>
  <si>
    <t>Unloading concrete to placer drum</t>
  </si>
  <si>
    <t>The rate of concreting for 2 agitator cars with 50 min / hr working :</t>
  </si>
  <si>
    <t>Loading BP material bins</t>
  </si>
  <si>
    <t>Placing concrete for sides and arch</t>
  </si>
  <si>
    <t>Placer pump</t>
  </si>
  <si>
    <t>Deploy 8.5 cmm air compressor ( ele ) for air supply to placer pump.</t>
  </si>
  <si>
    <t>Track mounted collapsible gantry considered for supporting sides and arch concrete.</t>
  </si>
  <si>
    <t>Cutting sections 385 hours</t>
  </si>
  <si>
    <t>Fabricating by stitch welding 300 hours</t>
  </si>
  <si>
    <t>Run welding 897 hours</t>
  </si>
  <si>
    <t>Assembly/Erection of wheels/ base frame</t>
  </si>
  <si>
    <t>Assembly/Erection of portals</t>
  </si>
  <si>
    <t>Tarfelt joint filler board 12 mm thick</t>
  </si>
  <si>
    <t>Tarfelt joint filler board 20 mm thick</t>
  </si>
  <si>
    <t xml:space="preserve">Deploy 10 hp pump for 1 hour for pumping water to storage tank for mixing </t>
  </si>
  <si>
    <t xml:space="preserve"> mazdoor</t>
  </si>
  <si>
    <t>mazdoor</t>
  </si>
  <si>
    <t xml:space="preserve"> including cost of all materials, labour, drilling 8 mm dia holes etc. complete with all</t>
  </si>
  <si>
    <t>Consider 10 Nos 100 mm dia PVC pipes 40 cm long each</t>
  </si>
  <si>
    <t>PVC pipe 100 mm dia 10 Nos</t>
  </si>
  <si>
    <t>Unloading concrete at paver site</t>
  </si>
  <si>
    <t>Return trip to BP ( average )</t>
  </si>
  <si>
    <t>Copper sheet 15 sqm of weight</t>
  </si>
  <si>
    <t xml:space="preserve">kg </t>
  </si>
  <si>
    <t>and curing.</t>
  </si>
  <si>
    <t>With 50 min/ hour working output of transit mixer / hour</t>
  </si>
  <si>
    <t>Hourly requirement of concrete for 100 sqm / hour lining</t>
  </si>
  <si>
    <t xml:space="preserve">Add for repair charges at </t>
  </si>
  <si>
    <t xml:space="preserve">Add for repairs/ replacements/ catwalks etc., @ </t>
  </si>
  <si>
    <t>t</t>
  </si>
  <si>
    <t xml:space="preserve">Deduct salvage value @ </t>
  </si>
  <si>
    <t>Deploy 50 mazdoors for disposal.</t>
  </si>
  <si>
    <t>Deploy 50 mazdoors for disposal of blasted rock.</t>
  </si>
  <si>
    <t xml:space="preserve">Output of 2 mazdoors per day </t>
  </si>
  <si>
    <t>wherever required including cost of all materials, machinery, labour, fixing in position, lighting,</t>
  </si>
  <si>
    <t>Number of wall panels of size 3.00 x 0.80 x 0.125 m</t>
  </si>
  <si>
    <t>Number of wall panels of size 0.45 x 0.80 x 0.125 m (on u/s only)</t>
  </si>
  <si>
    <t>Length of coping for wall panels ( 3 x 10 + 2 x 0.45 )</t>
  </si>
  <si>
    <t>materials, machinery, labour, shoring, strutting, scaling excavated surface, ventilation, lighting,</t>
  </si>
  <si>
    <t>drainage, removing and hauling excavated muck outside shaft upto specified dump area and</t>
  </si>
  <si>
    <t>Size of shaft assumed</t>
  </si>
  <si>
    <t>Shape of shaft assumed for excavation</t>
  </si>
  <si>
    <t>Circular</t>
  </si>
  <si>
    <t>Depth of shaft assumed</t>
  </si>
  <si>
    <t>Diameter of shaft upto pay line for excavation</t>
  </si>
  <si>
    <t>Average lift involved for excavation of shaft upto tunnel level</t>
  </si>
  <si>
    <t>Deploy winch &amp; cradle for 0.5 hour for marking hole locations.</t>
  </si>
  <si>
    <t>No. of peripheral holes with 0.75 m spacing ( 20 times dia )</t>
  </si>
  <si>
    <t>finishing paint at 15 sqm / day :                 341 painter Cl-ll &amp; 68 helpers for 4 x 1280 sqm</t>
  </si>
  <si>
    <t>Use rate of air hose 50 m</t>
  </si>
  <si>
    <t>Anchor rod 25 mm dia</t>
  </si>
  <si>
    <t>Through stones 65 to 75 cm long @ 1.5 m interval</t>
  </si>
  <si>
    <t>Stone chips @ 15 percent of stone</t>
  </si>
  <si>
    <t>(from quarry)</t>
  </si>
  <si>
    <t>50 m and all lifts.</t>
  </si>
  <si>
    <t>Output of 1 Crowbarman assumed at 10 cum per day for loosening gravely soil.</t>
  </si>
  <si>
    <t>Since this is a slow work output of mixer is assumed at one span parapet CC</t>
  </si>
  <si>
    <t>Requirement of formwork :</t>
  </si>
  <si>
    <t>For kerb ( 4 x 18 x 0.20 + 4 x 0.35 x 0.20 )</t>
  </si>
  <si>
    <t>PP filter fabric 200 gsm</t>
  </si>
  <si>
    <t>without involving contractors</t>
  </si>
  <si>
    <t>compound etc., complete.</t>
  </si>
  <si>
    <t>Consider 100 sqm area for cleaning:</t>
  </si>
  <si>
    <t>Rust remover/ inhibiter / sand paper etc</t>
  </si>
  <si>
    <t>Painter Class-II</t>
  </si>
  <si>
    <t>Sundries (Rust remover/ inhibitor /</t>
  </si>
  <si>
    <t>sand paper etc)</t>
  </si>
  <si>
    <t>Add for scaffolding / ladder etc @</t>
  </si>
  <si>
    <t>Concrete mixer 300/200 ltr ( diesel)</t>
  </si>
  <si>
    <t>for batching materials / laying CC</t>
  </si>
  <si>
    <t>for demoulding / oiling / laying</t>
  </si>
  <si>
    <t>for shifting slabs to curing pond</t>
  </si>
  <si>
    <t>Assume average 20 sqm surface finishing for 100 cum of rockfill.</t>
  </si>
  <si>
    <t>Time for rolling 539 cum soil in embankment layer</t>
  </si>
  <si>
    <t>detonating fuse coil ( 200 x 100 / 400 )</t>
  </si>
  <si>
    <t>Air compressor 8.5 cmm ( 30 x 100 / 400 )</t>
  </si>
  <si>
    <t>inorganic zinc silicate</t>
  </si>
  <si>
    <t>10 mm torsteel rods</t>
  </si>
  <si>
    <t>PVC water seal 23 cm wide</t>
  </si>
  <si>
    <t>In-situ quantity per bucket for 15 % bulkage of soil ( 1 / 1.15 )</t>
  </si>
  <si>
    <t>In-situ quantity per load for 20 % bulkage of soil ( 5.00 / 1.2 )</t>
  </si>
  <si>
    <t>Number of buckets per load ( 4.17 / 0.86 )</t>
  </si>
  <si>
    <t>Helper Drilling jumbo / Loco / Winch</t>
  </si>
  <si>
    <t>Deploy 1 air compressors of 8.5 cmm capacity and 1 waggon drill for 12 hours for drilling with</t>
  </si>
  <si>
    <t>Quantity of rock requiring secondary blasting @ 5 %</t>
  </si>
  <si>
    <t>Length of jack hammer drilling @ 0.6 m / cum</t>
  </si>
  <si>
    <t>Deploy 1 air compressors of 8.5 cmm capacity and 2 jack hammers for 0.25 hour for drilling</t>
  </si>
  <si>
    <t>hole for secondary blasting of large rock fragments.</t>
  </si>
  <si>
    <t>Concrete hand mixer 45 / 30 ltr</t>
  </si>
  <si>
    <t>Total time for 2.70 cum concrete lining</t>
  </si>
  <si>
    <t>Deploy 2 dumpers for conveying muck @ 12 cum per hour :</t>
  </si>
  <si>
    <t>Quantity of material by head load per day ( 1655x50x 0.015 )</t>
  </si>
  <si>
    <t>tons</t>
  </si>
  <si>
    <t>Deploy 1 mazdoor for every additional lift of 1.5 m beyond initial lift.or2/3 mazdoor</t>
  </si>
  <si>
    <t>TONS</t>
  </si>
  <si>
    <t>Total Rs:  for  83 Tonnes</t>
  </si>
  <si>
    <t>FOR CATEGORY  : PCC slab / Shahabad stone slab / CC block / Laterite stone / BS slab / Wood</t>
  </si>
  <si>
    <t>Lift : ADDITIONAL LIFT  CHARGES FOR EACH 1 METER LIFT BEYOND 3 M INITIAL LIFT</t>
  </si>
  <si>
    <t>40 m/minute</t>
  </si>
  <si>
    <t>1 x6x 60 / 50 / 40 )</t>
  </si>
  <si>
    <t>No. of trips per day for lift 1.0 m  ( 8 x 60 / 0.18 )</t>
  </si>
  <si>
    <t>Quantity of material by head load per day ( 1667x 0.018 )</t>
  </si>
  <si>
    <t>Lift : Upto 3.00 m for materials under Category</t>
  </si>
  <si>
    <t>Total Rs: for 45 cum</t>
  </si>
  <si>
    <t>Hourly Crew Charges in Rs</t>
  </si>
  <si>
    <t>Operator in Rs</t>
  </si>
  <si>
    <t>Helper   in Rs</t>
  </si>
  <si>
    <t>Hire charge in Rs</t>
  </si>
  <si>
    <t>for loading chips</t>
  </si>
  <si>
    <t xml:space="preserve">Stone chips </t>
  </si>
  <si>
    <t xml:space="preserve">Sand </t>
  </si>
  <si>
    <t>Average output of 300 / 200</t>
  </si>
  <si>
    <t xml:space="preserve"> ltr mixer </t>
  </si>
  <si>
    <t>Total in Rs</t>
  </si>
  <si>
    <t>Round trip cycle time for dumper :</t>
  </si>
  <si>
    <t xml:space="preserve"> at average spacing of 1.5 times the spacing considered for hard rock is</t>
  </si>
  <si>
    <t xml:space="preserve"> assumed.</t>
  </si>
  <si>
    <t xml:space="preserve">Deploy 2 air compressors 8.5 cmm capacity and 4 jack hammers for </t>
  </si>
  <si>
    <t>6.50 hours considering 50 minutes per hour working.</t>
  </si>
  <si>
    <t>No. of holes for 7.0 m length trimming                        ( 2 x 7.0 / 0.33 )</t>
  </si>
  <si>
    <t>Spun pipe moulder</t>
  </si>
  <si>
    <t>Total thickness of revetment</t>
  </si>
  <si>
    <t>Sarang / Khalasi</t>
  </si>
  <si>
    <t>including chiselling and removing leached lime deposit and disposing off all the waste material</t>
  </si>
  <si>
    <t>Consider 100 Rm of gallery for cleaning:</t>
  </si>
  <si>
    <t xml:space="preserve">: </t>
  </si>
  <si>
    <t xml:space="preserve">Wire brush </t>
  </si>
  <si>
    <t>Chiseller Cl II</t>
  </si>
  <si>
    <t>Sundries ( brooms, gloves etc )</t>
  </si>
  <si>
    <t>Fitter Cl- II</t>
  </si>
  <si>
    <t>Progress of drilling per shift by one waggon drill is considered at 60 m for analysis.</t>
  </si>
  <si>
    <t>Quantity of stripping considering 5 % extra area ( 1182x1.05x0.20 )</t>
  </si>
  <si>
    <t xml:space="preserve">cleaning, packing mortar, wedging stone chips, curing etc.,complete with </t>
  </si>
  <si>
    <t>Assume 16.80 m width of excavation for canal and 5.80 m depth of cutting in hard rock.</t>
  </si>
  <si>
    <t>Consider average 1.4 m wide excavation on either side under line drilling and smooth blasting to</t>
  </si>
  <si>
    <t>REINFORCEMENT &amp; CEMENT CONCRETE WORKS :</t>
  </si>
  <si>
    <t>Consider removing and resetting of 100 sqm pitching.</t>
  </si>
  <si>
    <t>For sorting out and breaking over size stones in dump yard :</t>
  </si>
  <si>
    <t>Use rate of each air hose per hour</t>
  </si>
  <si>
    <t xml:space="preserve"> ( cost / life ) :</t>
  </si>
  <si>
    <t xml:space="preserve">Use rate of each water hose per hour ( cost / life ) </t>
  </si>
  <si>
    <t>Rm.</t>
  </si>
  <si>
    <t>For packing and finishing:</t>
  </si>
  <si>
    <t>For controlling flying of rock fragments during blasting consider covering the blasting area with</t>
  </si>
  <si>
    <t>20 guage 50 x 50 mm chain link mesh and sand bags.</t>
  </si>
  <si>
    <t>For batching cement</t>
  </si>
  <si>
    <t>Oxygen gas @ 1.8 cum / hour ( 28 x 1.80 )</t>
  </si>
  <si>
    <t>shop painting, cleaning, positioning and anchoring first stage embedments,</t>
  </si>
  <si>
    <t>In-situ quantity per load for 5 cum of soft rock ( 5 / 1.30 )</t>
  </si>
  <si>
    <t>for curing &amp; miscellaneous works</t>
  </si>
  <si>
    <t>for batching sand</t>
  </si>
  <si>
    <t>For grinding and finishing weld joints 2 hours use of grinding machine considered.</t>
  </si>
  <si>
    <t>Cutting sections 84 hours</t>
  </si>
  <si>
    <t>Fabricating by stitch welding 47 hours</t>
  </si>
  <si>
    <t>Run welding 140 hours</t>
  </si>
  <si>
    <t>Finishing / guide shoe fixing / checking</t>
  </si>
  <si>
    <t>Use rate of drill rod per m drilling ( cost / life )</t>
  </si>
  <si>
    <t>Length of cutting assuming cutting for 2 sides as per data sheet</t>
  </si>
  <si>
    <t>Scaffolding for foundation concreting assumed @                   : 10 % of shuttering</t>
  </si>
  <si>
    <t>Labour charges for erecting and dismantling shuttering per sqm</t>
  </si>
  <si>
    <t>( Excluding T &amp; P / Profit / Overheads / Hidden costs )</t>
  </si>
  <si>
    <t>For 1 cum CC :- Coarse aggregates : 0.90 cum Blending ratio : 50 :30 : 20</t>
  </si>
  <si>
    <t>Formwork &amp; scaffolding :</t>
  </si>
  <si>
    <t xml:space="preserve">Rs: </t>
  </si>
  <si>
    <t>HIRE CHARGES OF MACHINERY</t>
  </si>
  <si>
    <t>REFERENCE DATA ON CAPITAL COST &amp; WAGES OF CREW</t>
  </si>
  <si>
    <t>S.No</t>
  </si>
  <si>
    <t>Description of machinery</t>
  </si>
  <si>
    <t>2 Fitters, 1 Carpentor Cl-II and 5 mazdoors erect 50 sqm shuttering / day.</t>
  </si>
  <si>
    <t>Add for rails / fixtures etc., @</t>
  </si>
  <si>
    <t>Dozer for stripping borrow area ( 80 x 1.30 / 825 )</t>
  </si>
  <si>
    <t>Shovel for digging &amp; loading ( 80 x 8.00 / 825 )</t>
  </si>
  <si>
    <t>Assume side slopes of 0.5 horizontal to 1 vertical.</t>
  </si>
  <si>
    <t xml:space="preserve">drilling additional holes along the boundary of excavation area and smooth </t>
  </si>
  <si>
    <t>The burden ( distance of hole from free face of excavation ) is considered at 20 times diameter</t>
  </si>
  <si>
    <t xml:space="preserve">thick wall 80 cm height with 12.5 cm thick and 35 cm wide coping slab for </t>
  </si>
  <si>
    <t xml:space="preserve">wall and 12 .5 cm thick 40 cm x 40 cm coping for pillars with top edges of </t>
  </si>
  <si>
    <t xml:space="preserve">with initial lead upto 1 km and all lifts. </t>
  </si>
  <si>
    <t xml:space="preserve">for CC at </t>
  </si>
  <si>
    <t>Stripping of borrow area :</t>
  </si>
  <si>
    <t>holes for secondary blasting with 50 min per hour working.</t>
  </si>
  <si>
    <t>Quantity of Explosive @ 0.5 kg / cum for 386 cum</t>
  </si>
  <si>
    <t>Consider 20 % high strength ANFO booster for priming ANFO.</t>
  </si>
  <si>
    <t>Consider 80 % ANFO mixed with diesel oil for colunm.</t>
  </si>
  <si>
    <t>Diesel oil @ 180 ml per kg</t>
  </si>
  <si>
    <t>Quantity of Explosive @ 0.2 kg / cum for secondary blast</t>
  </si>
  <si>
    <t>Detonating cord for 17 holes in 3 rows</t>
  </si>
  <si>
    <t>Detonating fuse coil for secondary blasting</t>
  </si>
  <si>
    <t>Air compressor 8.5 cmm ( diesel ) 1 Nos</t>
  </si>
  <si>
    <t>Crew for Dozer</t>
  </si>
  <si>
    <t>50 x 50 mm opening chain link mesh or waste tyres and sand bags, monitoring ground</t>
  </si>
  <si>
    <t>vibrations at specified locations, costof all materials, machinery, labour, placing excavated rock</t>
  </si>
  <si>
    <t>and all lifts.</t>
  </si>
  <si>
    <t xml:space="preserve">For wearing coat concrete shall be laid in alternate panels with asphalt </t>
  </si>
  <si>
    <t xml:space="preserve">mortar filling for panel joints after curing concrete. The thickness of </t>
  </si>
  <si>
    <t>concrete shall be 100 mm at the centre of roadway and 50 mm at kerb.</t>
  </si>
  <si>
    <t xml:space="preserve">range of 18 to 21 C at the concrete placement point by inundation of coarse </t>
  </si>
  <si>
    <t>including cleaning, straightening, cutting, bending, hooking, lapping / welding joints wherever</t>
  </si>
  <si>
    <t xml:space="preserve">seal fixing etc.with allleads and lifts, complete as per specifications andvapproved drawings </t>
  </si>
  <si>
    <t xml:space="preserve">The actual weight of river sluice service gate </t>
  </si>
  <si>
    <t>VERTICAL LIFT GATES-ROPE DRUM HOIST UPTO 30 TON  CAP. POWER OPERATED</t>
  </si>
  <si>
    <t>with all accessories for operating river sluice / canal sluice service gate including cost of</t>
  </si>
  <si>
    <t>all other materials, machinery, labour, scaling excavated surface, ventilation, lighting, drainage,</t>
  </si>
  <si>
    <t xml:space="preserve"> HOISTS:STRUCTURAL COMPONENTS--painting structurals on sand blasted surfaces with</t>
  </si>
  <si>
    <t xml:space="preserve">and  one coat  65+/-5 of alkyd based micaccous iron oxide paint </t>
  </si>
  <si>
    <t xml:space="preserve">followed by  two coats of synthetic enamel paint 25 microns/coat  </t>
  </si>
  <si>
    <t>Defuming by leaving compressed air</t>
  </si>
  <si>
    <t>Total cycle of excavation per blast of 1.3 m depth</t>
  </si>
  <si>
    <t>Anchors / supports for cables / lights</t>
  </si>
  <si>
    <t>Use rate of wire rope per hour ( cost / life )</t>
  </si>
  <si>
    <t>Weight of mucking bucket</t>
  </si>
  <si>
    <t>Add for hooks / door arrangements etc @</t>
  </si>
  <si>
    <t>Add for repairs / maintenance etc @</t>
  </si>
  <si>
    <t>Life of mucking bucket assumed</t>
  </si>
  <si>
    <t>1( V ) :1 ( H )</t>
  </si>
  <si>
    <t>1( V ) :2 ( H )</t>
  </si>
  <si>
    <t>Cross sectional area (1.50 + 10.50) x 3 / 2</t>
  </si>
  <si>
    <t>Details of Filter behind &amp; below rock-toe:</t>
  </si>
  <si>
    <t>Thickness of sand layers</t>
  </si>
  <si>
    <t>Formwork : 0.5 sqm / cum of concrete considered for wearing coat.</t>
  </si>
  <si>
    <t>for laying &amp; compacting</t>
  </si>
  <si>
    <t>Requirement of materials per cum of concrete:</t>
  </si>
  <si>
    <t>Quantity of cement grouting per day ( 7 x 6 x 25</t>
  </si>
  <si>
    <t>Cost of grout hose 50 m</t>
  </si>
  <si>
    <t>Life of pressure hose</t>
  </si>
  <si>
    <t>1 (V) : 2 (H)</t>
  </si>
  <si>
    <t>Cross sectional area ( 1.50 + 10.50 ) x 3 / 2</t>
  </si>
  <si>
    <t>Scaffolding for sub/ super structure concreting assumed :         25 % of shuttering</t>
  </si>
  <si>
    <t>Labour for erecting &amp; dismsntling scaffolding :                         25 % of labour for shuttering.</t>
  </si>
  <si>
    <t>Depth of probing assumed at each point</t>
  </si>
  <si>
    <t>Stage depth for probing assumed</t>
  </si>
  <si>
    <t>Number of stages per point</t>
  </si>
  <si>
    <t>Progress of probing per day</t>
  </si>
  <si>
    <t>Workforce required:</t>
  </si>
  <si>
    <t>Geophysist / Geologist</t>
  </si>
  <si>
    <t>Sundries ( misc. consumables )</t>
  </si>
  <si>
    <t>Electric resistivity meter</t>
  </si>
  <si>
    <t>Requirement of end shutter</t>
  </si>
  <si>
    <t>6 sqm</t>
  </si>
  <si>
    <t>Labour for erecting &amp; dismantling scaffolding :                               30 % of labour for shuttering.</t>
  </si>
  <si>
    <t xml:space="preserve">Cement mortar mixing </t>
  </si>
  <si>
    <t>1.00 Cum</t>
  </si>
  <si>
    <t>1 No.</t>
  </si>
  <si>
    <t xml:space="preserve">                                                                                 Total              Rs:        </t>
  </si>
  <si>
    <t xml:space="preserve">             --e m parts--150+/- 5 two coats(each 150) Two coats of solventless  coaltar epoxy paint</t>
  </si>
  <si>
    <t xml:space="preserve">            --lifting beams/ladders-- two coats 130 microns (each 65+/-5) of alkyd based micaccous iron oxide paint</t>
  </si>
  <si>
    <t>Hoists and supporting structure</t>
  </si>
  <si>
    <t>Primary coats--</t>
  </si>
  <si>
    <t>Blending ratio :</t>
  </si>
  <si>
    <t xml:space="preserve"> 65:35</t>
  </si>
  <si>
    <t xml:space="preserve">for embedding in concrete / masonry for spillway and appurtenant works </t>
  </si>
  <si>
    <t xml:space="preserve">including drilling and cleaning hole, filling hole with thick cement slurry, </t>
  </si>
  <si>
    <t xml:space="preserve">driving anchor rod, cost of all materials, machinery, labour, steel wedge </t>
  </si>
  <si>
    <t>Honne wood core box 1.5 x 0.32 x 0.12 m</t>
  </si>
  <si>
    <t>Av. Diameter of tree for 0.6 to 1.2 m girth</t>
  </si>
  <si>
    <t>Av. Diameter of tree for 1.2 to 1.8 m girth</t>
  </si>
  <si>
    <t>Av. Diameter of tree for 1.8 to 2.4 m girth</t>
  </si>
  <si>
    <t>Operator Shovel / Scraper / Dozer</t>
  </si>
  <si>
    <t>Operator Spillway / Sluice gate</t>
  </si>
  <si>
    <t>Convey mucker ( excluding tyres )</t>
  </si>
  <si>
    <t>Core drilling machine</t>
  </si>
  <si>
    <t>Diesel generating set 30 KVA</t>
  </si>
  <si>
    <t xml:space="preserve">Use rate of drill per Rm drilling </t>
  </si>
  <si>
    <t xml:space="preserve">Cost of air hose 50 m long @                           Rs: </t>
  </si>
  <si>
    <t>For excavation at borrow area</t>
  </si>
  <si>
    <t>For spreading / levelling / sectioning</t>
  </si>
  <si>
    <t>Cartman with Bullock cart for water</t>
  </si>
  <si>
    <t>market rates or on the basis of R.B.I ' All Commodity' index.</t>
  </si>
  <si>
    <t>( 166 + 103 ) x 8 / 15 / 2</t>
  </si>
  <si>
    <t>/ day</t>
  </si>
  <si>
    <t>Shovel 0.50 cum capacity</t>
  </si>
  <si>
    <t>Deploy 1 tipper for 4 hours for disposal of manually excavated hard rock.</t>
  </si>
  <si>
    <t>Deploy 90 hp dozer for 1 hour for levelling excavated rock in the dump yard.</t>
  </si>
  <si>
    <t>Drilling and Blasting</t>
  </si>
  <si>
    <t>Use of pug cutting machine with 50 min / hr working    ( 7 x 60 / 50 )</t>
  </si>
  <si>
    <t>( 44 / 15 ) x 8 / 2</t>
  </si>
  <si>
    <t>( 392 / 15 ) x 8 / 6</t>
  </si>
  <si>
    <t>Deploy 8.5 cmm air compressor for 8 hours.</t>
  </si>
  <si>
    <t>blocking to prevent loosening and over falling of weak / highly jointed rock formations during</t>
  </si>
  <si>
    <t>daily blasting for excavation of tunnel.</t>
  </si>
  <si>
    <t>Erection of other accessories</t>
  </si>
  <si>
    <t>Erection of control panel / cabling</t>
  </si>
  <si>
    <t>Checking and trial running without ropes</t>
  </si>
  <si>
    <t>Rope fixing and checking</t>
  </si>
  <si>
    <t>Finishing / cleaning</t>
  </si>
  <si>
    <t>Cost of welding set                              @ Rs:</t>
  </si>
  <si>
    <t>Cost of gas cutting set                         @ Rs:</t>
  </si>
  <si>
    <t>Loading explosive and blasting :</t>
  </si>
  <si>
    <t>or say ( Rate for  3.0m to 10m well sinking )</t>
  </si>
  <si>
    <t xml:space="preserve">Hourly requirement of concrete for 100 Sqm/hour lining </t>
  </si>
  <si>
    <t xml:space="preserve">Quantity of 20  mm CA </t>
  </si>
  <si>
    <t xml:space="preserve">Quantity of  10 mm CA </t>
  </si>
  <si>
    <t>Cost of gas cutting set                               @ Rs:</t>
  </si>
  <si>
    <t>Wheels / Pulleys</t>
  </si>
  <si>
    <t>Forged steel components</t>
  </si>
  <si>
    <t>Wire rope 28 mm dia 6/37 construction</t>
  </si>
  <si>
    <t>Standard Rails 45 kg / m with 2.5 % wastage</t>
  </si>
  <si>
    <t>Total length of cutting assuming cutting for 2 sides</t>
  </si>
  <si>
    <t>of embankment for field channels etc., including dressing of bed and sides to required profile,</t>
  </si>
  <si>
    <t>Output of roller / hr with 50 min / hr working and 75 % effenciancy</t>
  </si>
  <si>
    <t>Capacity of dumper</t>
  </si>
  <si>
    <t>Upto:</t>
  </si>
  <si>
    <t>km.</t>
  </si>
  <si>
    <t>embankment, filter drains / catch water drains etc., including dressing bed and sides to</t>
  </si>
  <si>
    <t>Add for variations ( cutting for more than 2 sides / odd shapes etc ) at 10 %</t>
  </si>
  <si>
    <t>Total length of cutting</t>
  </si>
  <si>
    <t>Abstract</t>
  </si>
  <si>
    <t xml:space="preserve">and other appurtenant structures and placing the excavated stuff neatly in specified dump </t>
  </si>
  <si>
    <t>Time for rolling 576 cum soil in embankment layer</t>
  </si>
  <si>
    <t xml:space="preserve">Cost of empty cement bag @                          Rs: </t>
  </si>
  <si>
    <t>REINFORCEMENT &amp; CONCRETE WORKS :</t>
  </si>
  <si>
    <t xml:space="preserve"> tonne capacity</t>
  </si>
  <si>
    <t>the shovel will be 2.00 minutes.</t>
  </si>
  <si>
    <t xml:space="preserve">In-situ dry density of soil in borrow area will be generally less than dry </t>
  </si>
  <si>
    <t>Defuming and scaling loose materials</t>
  </si>
  <si>
    <t>Moving from pocket position and spotting</t>
  </si>
  <si>
    <t>Cost of water hose 50 m @ Rs:</t>
  </si>
  <si>
    <t>Rate of drilling by jack hammer in hard rock per hour</t>
  </si>
  <si>
    <t>Deploy 300 / 200 concrete mixer for 8 hours</t>
  </si>
  <si>
    <t>Rated capacity of batching plant considering 50 minutes / hour working</t>
  </si>
  <si>
    <t>and 70 percent job / management efficiency ( 30 x 60 / 50 / 0.70 ) :</t>
  </si>
  <si>
    <t>ladder etc., with all accessories for supporting rope drum hoist for operating barrage</t>
  </si>
  <si>
    <t>Time for 1km haulage under load ( 60 / 12 )</t>
  </si>
  <si>
    <t>lit</t>
  </si>
  <si>
    <t>Class II Mason</t>
  </si>
  <si>
    <t>For batching materials/laying</t>
  </si>
  <si>
    <t>For demoulding/cleaning/oiling</t>
  </si>
  <si>
    <t>with initial lead upto 1 km and all lifts.</t>
  </si>
  <si>
    <t>Since soil is from dump area no stripping involved.</t>
  </si>
  <si>
    <t>Gas cutter</t>
  </si>
  <si>
    <t>Helper fabrication / erection</t>
  </si>
  <si>
    <t>Khalasi</t>
  </si>
  <si>
    <t>Welder ( General )</t>
  </si>
  <si>
    <t>Mason Cl II</t>
  </si>
  <si>
    <t>Stone Chiseller Cl I</t>
  </si>
  <si>
    <t>1.50 x 2.00</t>
  </si>
  <si>
    <t>For handling and erection mobile derric crane for 10 hours and stationery derric crane for 20 hrs</t>
  </si>
  <si>
    <t>For drilling holes in skin plate, counter weight blocks, horizontal girders and seal clamps use of</t>
  </si>
  <si>
    <t>Cost of manual paver @                                  Rs:</t>
  </si>
  <si>
    <t>Use rate of paver :</t>
  </si>
  <si>
    <t>For conveying &amp; laying stone / chips</t>
  </si>
  <si>
    <t>Fine aggregate : 0.45 cum           Cement content : 350 kg          Super plasticizer : 1.40 kg</t>
  </si>
  <si>
    <t>HOIST BRIDGES ,HOISTING EQUIPMENT AND CRANES,Etc,</t>
  </si>
  <si>
    <t>Light mazdoors</t>
  </si>
  <si>
    <t>Watering for 15 days:</t>
  </si>
  <si>
    <t>For drilling holes in skin plate and seal clamps for seal fixing 50 hours use of drilling machine</t>
  </si>
  <si>
    <t>considered.</t>
  </si>
  <si>
    <t>It is assumed that all stitch welding will be done by fabricator. Hence, no separate provision is</t>
  </si>
  <si>
    <t>For drilling holes for anchor bolts 50 hours use of drilling machine considered.</t>
  </si>
  <si>
    <t>ITI certificate holder / Tracer / Printer</t>
  </si>
  <si>
    <t>Literate mazdoor</t>
  </si>
  <si>
    <t xml:space="preserve"> Nos.</t>
  </si>
  <si>
    <t xml:space="preserve"> kg</t>
  </si>
  <si>
    <t xml:space="preserve"> Rm</t>
  </si>
  <si>
    <t xml:space="preserve"> No.</t>
  </si>
  <si>
    <t>1.00 x 1.20</t>
  </si>
  <si>
    <t xml:space="preserve"> hour</t>
  </si>
  <si>
    <t xml:space="preserve"> Rm.</t>
  </si>
  <si>
    <t xml:space="preserve"> uses</t>
  </si>
  <si>
    <t xml:space="preserve"> use</t>
  </si>
  <si>
    <t xml:space="preserve">tonne </t>
  </si>
  <si>
    <t>Use of pug cutting machine with 50 min / hr working           ( 124 x 60 / 50 )</t>
  </si>
  <si>
    <t>of cross sectional area for tunnel upto 45 sqm and in the range of 2.0 to 2.5 per sqm of cross</t>
  </si>
  <si>
    <t>sectional area for tunnel exceeding 45 sqm.</t>
  </si>
  <si>
    <t>The number of holes for tunnel excavation will be generally in the range of 2.5 to 3.0 per sqm</t>
  </si>
  <si>
    <t xml:space="preserve"> other appurtenant works and placing the excavated material neatly in dump</t>
  </si>
  <si>
    <t xml:space="preserve">2.50 minutes near the shovel. However, in practice for dam or canal </t>
  </si>
  <si>
    <t xml:space="preserve">excavation the space available may not permit positioning of dumpers on </t>
  </si>
  <si>
    <t xml:space="preserve">either side of the shovel. Generally one dumper has to move after loading to </t>
  </si>
  <si>
    <t>( 1575 / 15 ) x 8 / 6</t>
  </si>
  <si>
    <t>Deploy welding transformer for 187 hours.</t>
  </si>
  <si>
    <t>( 47 x 0.25 + 140 x 0.75 )</t>
  </si>
  <si>
    <t>Use rate of ropes etc</t>
  </si>
  <si>
    <t xml:space="preserve">Add for transportation upto work site @ </t>
  </si>
  <si>
    <t>Cost of drill bit 50 mm dia @ Rs:</t>
  </si>
  <si>
    <t>Cost of 50 mm dia air hose 50 m @ Rs:</t>
  </si>
  <si>
    <t>Add for 2 J-bolts / sqm for fixing soldier @ Rs:</t>
  </si>
  <si>
    <t>Rough stones ( rubble ) 30 to 45 cm long</t>
  </si>
  <si>
    <t>Through stones 65 to 75 cm long</t>
  </si>
  <si>
    <t xml:space="preserve">including cost of all materials, machinery, labour, all operations such as </t>
  </si>
  <si>
    <t xml:space="preserve">excavation, sorting out, transportation, spreading soil in layer of specified </t>
  </si>
  <si>
    <t>skin material to expose fresh foundation rock. Therefore, depth of hole for drilling in hard rock is</t>
  </si>
  <si>
    <t xml:space="preserve">(Cement content: 32.1 kg / joint, FA : 0.031cum/joint, Hemp Yarn : 0.25kg/joint) </t>
  </si>
  <si>
    <t xml:space="preserve">(Cement content: 39.6 kg / joint, FA : 0.039cum/joint, Hemp Yarn : 0.31kg/joint) </t>
  </si>
  <si>
    <t xml:space="preserve">(Cement content: 44.6 kg / joint, FA : 0.045cum/joint, Hemp Yarn : 0.34kg/joint) </t>
  </si>
  <si>
    <t xml:space="preserve">(Cement content: 49.5 kg / joint, FA : 0.05cum/joint, Hemp Yarn : 0.377kg/joint) </t>
  </si>
  <si>
    <t xml:space="preserve">(Cement content: 56.9 kg / joint, FA : 0.058cum/joint, Hemp Yarn : 0.415kg/joint) </t>
  </si>
  <si>
    <t xml:space="preserve">(Cement content: 66.8 kg / joint, FA : 0.069cum/joint, Hemp Yarn : 0.453kg/joint) </t>
  </si>
  <si>
    <t>stones from approved source including cost of all materials, machinery, labour, scaffolding,</t>
  </si>
  <si>
    <t xml:space="preserve">        :</t>
  </si>
  <si>
    <t>for conveying rubble/ stones</t>
  </si>
  <si>
    <t>Rated capacity of batching plant required for 16.50 cum/hour output :</t>
  </si>
  <si>
    <t>CA: 0.98 cum, Blending Ratio of CA --40:30:20:10, FA: 0.37 cum)</t>
  </si>
  <si>
    <t>CA : 0.90 cum, blending ratio of CA--50:30:20, FA :  0.40 cum)</t>
  </si>
  <si>
    <t>For 95 % density control of embankment 10 % shrinkage factor is assumed on the basis of</t>
  </si>
  <si>
    <t>considering 10 % bulkage of soil in dump area.</t>
  </si>
  <si>
    <t>Vulcanising materials</t>
  </si>
  <si>
    <t>Sundries such as heater etc.,</t>
  </si>
  <si>
    <t>involved for piers and abutment works.</t>
  </si>
  <si>
    <t xml:space="preserve"> New extra items-- common item for all earth works  using only manual labour </t>
  </si>
  <si>
    <t>for all other works   without involving contractors</t>
  </si>
  <si>
    <t>Cycle time for batching / mixing / unloading 1 mix</t>
  </si>
  <si>
    <t>Labour requirement:</t>
  </si>
  <si>
    <t>Remixing and conveying concrete</t>
  </si>
  <si>
    <t>Laying concrete</t>
  </si>
  <si>
    <t>Mason</t>
  </si>
  <si>
    <t>Washing / cleaning / curing etc</t>
  </si>
  <si>
    <t>1.00 sqm per cum of concrete considered.</t>
  </si>
  <si>
    <t>Scaffolding</t>
  </si>
  <si>
    <t>Convey mucker</t>
  </si>
  <si>
    <t>Dewatering pump 5 hp ( diesel )</t>
  </si>
  <si>
    <t>Dewatering pump 5 hp ( electric )</t>
  </si>
  <si>
    <t>Dewatering pump 10 hp ( diesel )</t>
  </si>
  <si>
    <t xml:space="preserve">                  be adopted irrespective of mode of conveyance.</t>
  </si>
  <si>
    <t>Quantity of stripping considering 5 % extra area ( 2550 x 1.05 x 0.25 )</t>
  </si>
  <si>
    <t>Time required for stripping 670 cum</t>
  </si>
  <si>
    <t>Consider 8 hours including time for levelling stripped soil / shifting time.</t>
  </si>
  <si>
    <t>Use rate of air hose 2 Nos.</t>
  </si>
  <si>
    <t>Jack hammer 2 Nos.</t>
  </si>
  <si>
    <t>20 mm down aggregate  100 x 0.2 )</t>
  </si>
  <si>
    <t>Total Cost of materials</t>
  </si>
  <si>
    <t>20 mm down aggregate with  ( 100 x 0.2)</t>
  </si>
  <si>
    <t>Cycle time for loading 8 buckets ( 8 x 32 / 60 )</t>
  </si>
  <si>
    <t>Output of tipper / hr with 50 min working / hr ( 50 x 4.00 / 12.20 )</t>
  </si>
  <si>
    <t>Output for 3 tippers per day ( 3 x 16.40 x 8 )</t>
  </si>
  <si>
    <t>Area to be stripped assuming 2.0 m depth of cut ( 394 x 6 / 2.0 )</t>
  </si>
  <si>
    <t xml:space="preserve">Total hire chargs of Machinery </t>
  </si>
  <si>
    <t>200 x 1 x 0.20</t>
  </si>
  <si>
    <t xml:space="preserve">200 x 2 x 0.15 </t>
  </si>
  <si>
    <t>For conveying &amp; laying sand ( 2 mazdoors 6 cum / day ).</t>
  </si>
  <si>
    <t>min.</t>
  </si>
  <si>
    <t>Batching 10 mm below CA</t>
  </si>
  <si>
    <t>For 1 cum CC :- Coarse aggregates : 0.80 cum            Blending ratio : 65 :35</t>
  </si>
  <si>
    <t>Curing Man Mazdoor</t>
  </si>
  <si>
    <t>Crew charges for Agitator car</t>
  </si>
  <si>
    <t>Mazdoor for assisting masons</t>
  </si>
  <si>
    <t>Conveying CM Mazdoor</t>
  </si>
  <si>
    <t>Curing mazdoor</t>
  </si>
  <si>
    <t>Conveying CM mazdoor</t>
  </si>
  <si>
    <t>Conveying stone chips mazdoor</t>
  </si>
  <si>
    <t>Mazdoors</t>
  </si>
  <si>
    <t>Deploy 0.85 cum shovel and 4 tippers for 6.22 hours for disposal of 386 cum excavated rock.</t>
  </si>
  <si>
    <t>Deploy 3 mazdoors for stemming / cleaning and other miscellaneous works.</t>
  </si>
  <si>
    <t>Output of 3 tippers per hour ( 13.73 x 3 )</t>
  </si>
  <si>
    <t>Time required for disposal of 386 cum             ( 386 / 41.19 )</t>
  </si>
  <si>
    <t>Filling charges @ 2  mazdoors per 100 bags/ day</t>
  </si>
  <si>
    <t>down coarse aggregate around pressure relief pipe and 75 mm thick sand around coarse</t>
  </si>
  <si>
    <t>Average capital cost C x ( n + 1 ) / 2 n</t>
  </si>
  <si>
    <t>C'</t>
  </si>
  <si>
    <t>Energy consumption( in kwhr/hr)</t>
  </si>
  <si>
    <t>0.746 x BHP x c1 x c2</t>
  </si>
  <si>
    <t>Diesel engine powered machinery:</t>
  </si>
  <si>
    <t xml:space="preserve">Cement mortar preparation  </t>
  </si>
  <si>
    <t xml:space="preserve">Output of 1 Mason    </t>
  </si>
  <si>
    <t>cm</t>
  </si>
  <si>
    <t xml:space="preserve">For 1 cum masonry :-    Khandki stones 25x25x30 cm : 18 Nos. Stone chips : </t>
  </si>
  <si>
    <t xml:space="preserve">Header stones 25x25x45 cm size : 6 Nos.                             Rubble stones : </t>
  </si>
  <si>
    <t>For 1 cum masonry :- Khandki stones 25x25x30 cm : 18 Nos. Stone chips :</t>
  </si>
  <si>
    <t>Header stones 25x25x45 cm size : 6 Nos.                           Rubble stones :</t>
  </si>
  <si>
    <t xml:space="preserve">Quantity of mortar for 100 sqm with 10 % wastage : </t>
  </si>
  <si>
    <t>Amount                in Rs</t>
  </si>
  <si>
    <t>( Included in material Rate)</t>
  </si>
  <si>
    <t>Total Cost of materials      Rs :</t>
  </si>
  <si>
    <t>B.MACHINERY  :</t>
  </si>
  <si>
    <t>Total hire charges of machinery                     Rs :</t>
  </si>
  <si>
    <t>C.LABOUR  :</t>
  </si>
  <si>
    <t>Total cost of labour                                      Rs :</t>
  </si>
  <si>
    <t>A.Cost of Materials including ryolty charges</t>
  </si>
  <si>
    <t>C.Cost of Labour</t>
  </si>
  <si>
    <t>Time for rolling 720 cum spread soil</t>
  </si>
  <si>
    <t>Add for trestle bridge for tower crane track @</t>
  </si>
  <si>
    <t>40 :30 : 20 : 10</t>
  </si>
  <si>
    <t xml:space="preserve">Fine aggregate </t>
  </si>
  <si>
    <t xml:space="preserve">Super plasticizer </t>
  </si>
  <si>
    <t>ltr.</t>
  </si>
  <si>
    <t>Output of roller / hr with 50 min /hr working and 75 % efficiency</t>
  </si>
  <si>
    <t>Deploy 4 tippers for 30 cum / hour output of batching plant.</t>
  </si>
  <si>
    <t>Deploy 1 air compressor 7 cmm capacity for cleaning surface, air supply to batching plant and</t>
  </si>
  <si>
    <t>for operating concrete bucket doors.</t>
  </si>
  <si>
    <t>Output of concrete per shift of 8 hours ( 30 x 8 )</t>
  </si>
  <si>
    <t>Formwork : 0.50 sqm per cum of concrete considered.</t>
  </si>
  <si>
    <t>Structural steel plates / flats</t>
  </si>
  <si>
    <t>Add contractor's profit and overhead charges</t>
  </si>
  <si>
    <t>C. LABOUR ( for erection ):</t>
  </si>
  <si>
    <t>Progress per shift of 8 hours:                                  ( 8 x 3.00 )</t>
  </si>
  <si>
    <t>in Rs:</t>
  </si>
  <si>
    <t>Sl No:</t>
  </si>
  <si>
    <t>DESCRIPTION OF MACHINERY / EQUIPMENT</t>
  </si>
  <si>
    <t>Agitator car / Transit mixer 2 cum ( excluding tyres )</t>
  </si>
  <si>
    <t>Air compressor 5 cmm electric</t>
  </si>
  <si>
    <t>Air compressor 7 cmm diesel</t>
  </si>
  <si>
    <t>Air compressor 7 cmm electric</t>
  </si>
  <si>
    <t>Air compressor 8.5 cmm diesel</t>
  </si>
  <si>
    <t>Deploy 5 hp diesel pump for 0.5 hour &amp; 8000 ltr water tanker for 1 hour for 1 week water</t>
  </si>
  <si>
    <t>requirement of about 8000 ltrs for concrete mixing and curing.</t>
  </si>
  <si>
    <t>Consider steel moulds made of 40x40x4 mm angles</t>
  </si>
  <si>
    <t xml:space="preserve">Sand : 0.40 cum. Cement : 95 kg. </t>
  </si>
  <si>
    <t>Consider 100 m length of expansion joint.</t>
  </si>
  <si>
    <t>Crew for Ice maker unit</t>
  </si>
  <si>
    <t>for Ice chamber ( 2 x 3 )</t>
  </si>
  <si>
    <t xml:space="preserve">Cost of 75 mm dia T.C cross bit @            Rs:              </t>
  </si>
  <si>
    <t xml:space="preserve">Cost of 6 m extn rod with sleeve @            Rs:              </t>
  </si>
  <si>
    <t>Daily output of masonry for 10 cum mortar with 35 % mortar content</t>
  </si>
  <si>
    <t>Stone chiseller Cl -I</t>
  </si>
  <si>
    <t xml:space="preserve">Dressed stones 30 x 30 x 45 </t>
  </si>
  <si>
    <t xml:space="preserve">Dressed stones 30 x 30 x 60 </t>
  </si>
  <si>
    <t>of all materials, machinery, labour,  seal fixing etc., complete as per specifications and approved drawings</t>
  </si>
  <si>
    <t>data</t>
  </si>
  <si>
    <t>Area of chain link mesh for controlled blast area           ( 8.40 x 7.5 x 1.1 )</t>
  </si>
  <si>
    <t>For fixing each kilometre stone:</t>
  </si>
  <si>
    <t>Consider embedded parts for stoplog gate for spillway opening of size 15 m x 9 m for analysis.</t>
  </si>
  <si>
    <t>Acetelyne gas @ 0.6 cum / hour          ( 42 x 0.60 )</t>
  </si>
  <si>
    <t>Oxygen gas @ 1.8 cum / hour             ( 42 x 1.80 )</t>
  </si>
  <si>
    <t>Total cost of machinery</t>
  </si>
  <si>
    <t>RS:</t>
  </si>
  <si>
    <t>down coarse aggregate and 65 cm thick 40 mm down size coarse aggregate satisfying filter</t>
  </si>
  <si>
    <t>creiteria below rock-toe as per specifications including cost of all materials, machinery, labour,</t>
  </si>
  <si>
    <t>Consider 80 m length of rock-toe for analysis.</t>
  </si>
  <si>
    <t>50 m and initial lift upto 3 m.</t>
  </si>
  <si>
    <t>Cross sectional area ( 0.00 + 2.50 ) x 1 / 2</t>
  </si>
  <si>
    <t>Consider 100 cum rock toe:</t>
  </si>
  <si>
    <t xml:space="preserve">Length of rock toe for 100 cum </t>
  </si>
  <si>
    <t>( 100 / 1.25 )</t>
  </si>
  <si>
    <t xml:space="preserve">Rubble </t>
  </si>
  <si>
    <t>80-20 mm filter shall contain 90 % 80-40 mm &amp; 10 % 40-20 mm</t>
  </si>
  <si>
    <t>For batching and mixing deploy 2 x 1.5 cum capacity batching plant.</t>
  </si>
  <si>
    <t xml:space="preserve">Output of concrete per shift of 8 hours ( 30 x 8 ) </t>
  </si>
  <si>
    <t>Use rate of heavy duty shutters for mass concrete</t>
  </si>
  <si>
    <t>Depth of drilling @ 0.75 m per cum</t>
  </si>
  <si>
    <t>Deploy 15 cmm air compressor for 1 hour.</t>
  </si>
  <si>
    <t>Deploy 4 Jack hammers for 1 hour.</t>
  </si>
  <si>
    <t>Quantity of explosive @ 0.40 kg / cum</t>
  </si>
  <si>
    <t>For grinding and finishing weld joints in skin plate and other locations 8 hours use of grinding</t>
  </si>
  <si>
    <t>Cutting sections 66 hours</t>
  </si>
  <si>
    <t>Fabricating by stitch welding 75 hours</t>
  </si>
  <si>
    <t>Run welding 225 hours</t>
  </si>
  <si>
    <t>Fixing counter weight blocks</t>
  </si>
  <si>
    <t>PVC pipe of 100 mm dia</t>
  </si>
  <si>
    <t>Add seignorage charges on soil         Rs:</t>
  </si>
  <si>
    <t>Sorting out/ sectioning etc :</t>
  </si>
  <si>
    <t>Fuel charge in Rs</t>
  </si>
  <si>
    <t>For 1 cum CC :-            Coarse aggregates : 0.98 cum                 Blending ratio : 35 :30 : 20 : 15</t>
  </si>
  <si>
    <t>Set</t>
  </si>
  <si>
    <t>DETAILS OF CAPITAL COST OF MACHINERY / EQUIPMENT</t>
  </si>
  <si>
    <t>GUIDE LINES FOR FIXING CAPITAL COST OF MACHINERY / EQUIPMENT:</t>
  </si>
  <si>
    <t>The Capital cost of machinery / equipment shall be for new machinery / equipment and</t>
  </si>
  <si>
    <t>Extra drilling considered at 5 percent for secondary blasting of large fragments.</t>
  </si>
  <si>
    <t>Total depth of drilling ( 90 x 1.05 )</t>
  </si>
  <si>
    <t>Cost of 6.6 m angle 25.08 kg @                       Rs:</t>
  </si>
  <si>
    <t>Cost of welding set @                              Rs:</t>
  </si>
  <si>
    <t>Life of welding set</t>
  </si>
  <si>
    <t>Use rate of welding set per hour</t>
  </si>
  <si>
    <t>Cost of gas cutting set @                        Rs:</t>
  </si>
  <si>
    <t>Use rate of gas cutting set per hr</t>
  </si>
  <si>
    <t>( cost / life)</t>
  </si>
  <si>
    <t>Length of tunnel assumed</t>
  </si>
  <si>
    <t>Thickness of CC lining</t>
  </si>
  <si>
    <t>Diameter of tunnel upto pay line for excavation</t>
  </si>
  <si>
    <t xml:space="preserve">71.43 x 0.50 </t>
  </si>
  <si>
    <t xml:space="preserve">71.43 x 2 x 0.25 </t>
  </si>
  <si>
    <t>71.43 x 2 x 0.20</t>
  </si>
  <si>
    <t>Aportioned hire charges of machinery @  for lug slabs</t>
  </si>
  <si>
    <t>Aportioned cost of labour @  for lug slabs</t>
  </si>
  <si>
    <t>Av. output of 300 / 200 ltr mixer / day :( 50 / 190 ) x ( 50 / 5.5 ) x8</t>
  </si>
  <si>
    <t>Generally, the depth of rib will be considered at 25 mm per metre width of tunnel and the</t>
  </si>
  <si>
    <t>spacing of ribs depends on the condition of strata to be supported. Average spacing of 5 times</t>
  </si>
  <si>
    <t>Area to be stripped assuming 2.0 m depth of cut ( 870 x 6 / 2.0 )</t>
  </si>
  <si>
    <t>Output of dozer per hr with 50 min / hr working for stripping</t>
  </si>
  <si>
    <t>As per data in annuxure-B )</t>
  </si>
  <si>
    <t>Cement / Reinforce-ment steel Str steel      Rs / tonne</t>
  </si>
  <si>
    <t>PCC slab/ Shahbad slab / CC block/ BS slab/ Late-rite / Wood    Rs / cum</t>
  </si>
  <si>
    <t>Total lead upto 50 m (covered by item rate)</t>
  </si>
  <si>
    <t>initial lead</t>
  </si>
  <si>
    <t>Total lead upto 100 m</t>
  </si>
  <si>
    <t>Total lead upto 150 m</t>
  </si>
  <si>
    <t>Notes: 1. No loading or unloading charges are admissible for conveyance by head load.</t>
  </si>
  <si>
    <t>Fuel charges for heating</t>
  </si>
  <si>
    <t>Ideal cycle time of shovel for digging &amp; loading</t>
  </si>
  <si>
    <t>Time for ( av ) 0.75km haulage under load ( 0.75 x 60 / 15 )</t>
  </si>
  <si>
    <t>4 mazdoors for rubble filling &amp; for packing with sand &amp; watering.</t>
  </si>
  <si>
    <t>For conveying &amp; laying sand ( 2 mazdoors @ 6 cum / day ).</t>
  </si>
  <si>
    <t>Use rate of delivery pipe:</t>
  </si>
  <si>
    <t>of steel columns and beams with cross beams, ties, bracings, stiffeners, hand railing, ladder,</t>
  </si>
  <si>
    <t>chequered plate covering, anchorages etc., with all accessories.</t>
  </si>
  <si>
    <t>Consider hoist bridge for supporting 50 t rope drum hoist.</t>
  </si>
  <si>
    <t>Fabricating by stitch welding 141 hours</t>
  </si>
  <si>
    <t>Run welding 425 hours</t>
  </si>
  <si>
    <t>Erection of anchors</t>
  </si>
  <si>
    <t>Erection of drums and gears</t>
  </si>
  <si>
    <t>Erection of floating shaft / pulleys</t>
  </si>
  <si>
    <t>Erection of worm reducers / brake / motor</t>
  </si>
  <si>
    <t xml:space="preserve">          Rs :</t>
  </si>
  <si>
    <t>Cost of double core barrel @                      Rs:</t>
  </si>
  <si>
    <t>Life of double tube core barrel</t>
  </si>
  <si>
    <t>Use rate of double tube core barrel per m drilling</t>
  </si>
  <si>
    <t>Cost of 16.5 m extension rod @                 Rs:</t>
  </si>
  <si>
    <t xml:space="preserve">Cement considering 34% mortar </t>
  </si>
  <si>
    <t xml:space="preserve">Sand considering 34% mortar </t>
  </si>
  <si>
    <t>Deploy 4 jack hammers with pusher leg for drilling.</t>
  </si>
  <si>
    <t>Say :</t>
  </si>
  <si>
    <t>Deploy 1 air compressor 15 cmm for air supply to 4 jack hammers</t>
  </si>
  <si>
    <t>Deploy drilling jumbo for drilling</t>
  </si>
  <si>
    <t>Deploy 10 hp pump for water supply to drilling work.</t>
  </si>
  <si>
    <t>Depth of pull per blast for 2 m deep holes</t>
  </si>
  <si>
    <t>Quantity of in-situ excavation per blast ( 21.43 x 1.80 )</t>
  </si>
  <si>
    <t>Quantity of explosive small dia per blast @ 1.00 kg per cum</t>
  </si>
  <si>
    <t>Acetelyne gas @ 0.6 cum / hour          ( 10 x 0.60 )</t>
  </si>
  <si>
    <t>Oxygen gas @ 1.8 cum / hour             ( 10 x 1.80 )</t>
  </si>
  <si>
    <t xml:space="preserve">Stone chips @ 15 % of rubble </t>
  </si>
  <si>
    <t xml:space="preserve">Surface finishing for D / S face </t>
  </si>
  <si>
    <t>( 1.80 x 80 )</t>
  </si>
  <si>
    <t>Requirement of labour :</t>
  </si>
  <si>
    <t>Helper Crane/ Tower crane/ Cable way</t>
  </si>
  <si>
    <t>Deploy 2.5 crowbarman, 1 stone breaker, 10 mazdoors for trimming.</t>
  </si>
  <si>
    <t>Output of 0.5 crowbarman, 1 stone breaker, 2 mazdoors assumed at</t>
  </si>
  <si>
    <t>Deploy 2.5 crowbarman, 2.5 stone breakers, 10 mazdoors for 24 cum.</t>
  </si>
  <si>
    <t>Time required for mucking 45 cum ( 45 x 15 / 0.50 / 60 )</t>
  </si>
  <si>
    <t>Deploy winch for 28 hours including time for movement of work force in shifts.</t>
  </si>
  <si>
    <t>Deploy 1 mucking bucket for 24 hours for removing muck from shaft.</t>
  </si>
  <si>
    <t>zinc phosphate primer</t>
  </si>
  <si>
    <t>alkyd based micaccous iron oxide paint</t>
  </si>
  <si>
    <t>consisting of sand, 10 mm and 40 mm size approved graded aggregates laid in layers of 15 cm</t>
  </si>
  <si>
    <t>thick each including cost of all materials, machinery, labour, laying to required slopes, wedging</t>
  </si>
  <si>
    <t>dump area or other place as directed, cost of all materials, machinery, labour etc., complete</t>
  </si>
  <si>
    <t>i) For excavation of canal below free board level combination of normal / controlled blasting and</t>
  </si>
  <si>
    <t xml:space="preserve">Quantity of concrete per use of paver </t>
  </si>
  <si>
    <t>( 18 x 0.15 )</t>
  </si>
  <si>
    <t xml:space="preserve">Time required for concreting per paver length lining </t>
  </si>
  <si>
    <t>providing sump wherever necessary, cost of all materials, machinery, labour, drainage, lighting,</t>
  </si>
  <si>
    <t>ventilation and all other ancillary operations etc., complete.</t>
  </si>
  <si>
    <t>Consider 20 hp electric pump installed near junction of adit / channel with tunnel.</t>
  </si>
  <si>
    <t>100 mm dia B Class G.I. Delivery pipe 250 m length.</t>
  </si>
  <si>
    <t>Daily average 8 hours pumping.</t>
  </si>
  <si>
    <t>Energy consumption per hour running of pump ( 20 x 0.746 )</t>
  </si>
  <si>
    <t>Miscellaneous such as indicator lamps etc</t>
  </si>
  <si>
    <t>Total / hour:</t>
  </si>
  <si>
    <t>500 m long 25 mm dia GI pipe line and 50 m long 25 mm dia water hose are assumed.</t>
  </si>
  <si>
    <t>For 30 m drilling average 16.5 m extension rods with coupling sleeves required.</t>
  </si>
  <si>
    <t>Cost of casing shoe bit @                          Rs:</t>
  </si>
  <si>
    <t>Life of casing shoe bit in over-burden</t>
  </si>
  <si>
    <t>For rate analysis combination of diamond bit and reamer shell is assumed.</t>
  </si>
  <si>
    <t>Cost of NX diamond core bit @                   Rs:</t>
  </si>
  <si>
    <t>Life of extension rod</t>
  </si>
  <si>
    <t xml:space="preserve">Use rate of extension rod per Rm drilling </t>
  </si>
  <si>
    <t xml:space="preserve">Cost of 1.5 m drill rod @                                  Rs: </t>
  </si>
  <si>
    <t xml:space="preserve">Use rate of drill rod per Rm drilling  </t>
  </si>
  <si>
    <t>mazdoor 10 Nos.</t>
  </si>
  <si>
    <t>mazdoor 5 Nos.</t>
  </si>
  <si>
    <t xml:space="preserve">steel bridge drawings for barrage gates </t>
  </si>
  <si>
    <t>ROPE DRUM HOIST WITHOUT HOIST BRIDGE FOR BARRAGE GATES</t>
  </si>
  <si>
    <t>LDPE sheet 500 micron thick</t>
  </si>
  <si>
    <t>LDPE sheet 750 micron thick</t>
  </si>
  <si>
    <t xml:space="preserve">along the boundary of excavation. Only alternative holes are to be charged </t>
  </si>
  <si>
    <t>and blasted along with main blast.</t>
  </si>
  <si>
    <t xml:space="preserve">Consider 1 m width of excavation along the boundary as area requiring line </t>
  </si>
  <si>
    <t xml:space="preserve">drilling and smooth blasting and requirement of neat excavated surface for </t>
  </si>
  <si>
    <t>two sides.</t>
  </si>
  <si>
    <t xml:space="preserve">Deploy 2 air compressors of 8.5 cmm capacity and 4 jack hammers for </t>
  </si>
  <si>
    <t>5.5 hours for drilling with 50 min per hour working.</t>
  </si>
  <si>
    <t xml:space="preserve">For controlling flying of rock fragments during blasting consider covering the </t>
  </si>
  <si>
    <t>Nos. of holes for 416 sqm area ( 416 / 2.7 )</t>
  </si>
  <si>
    <t>Depth of drilling ( 154 x 1.4 )</t>
  </si>
  <si>
    <t>Rate of drilling in soft rock requiring blasting per hour</t>
  </si>
  <si>
    <t>rate analysis combination of shoe bit and reamer shell is assumed.</t>
  </si>
  <si>
    <t>Cement for CC &amp; top finishing</t>
  </si>
  <si>
    <t xml:space="preserve">scaffolding, cleaning, batching, mixing, placing in position, levelling, </t>
  </si>
  <si>
    <t>Tower crane cycle</t>
  </si>
  <si>
    <t>Return trip from Tower crane spot to BP</t>
  </si>
  <si>
    <t>Output of tipper with 50 min / hr working ( 1.5 x 50 / 9 )</t>
  </si>
  <si>
    <t>Work force other than operating crew :</t>
  </si>
  <si>
    <t>( 2 x 1.7 ) x 0.89</t>
  </si>
  <si>
    <t>for manhole sides</t>
  </si>
  <si>
    <t>( 15 x 3.3 + 9 x 4.5 ) x 0.89</t>
  </si>
  <si>
    <t>for cut-off wall</t>
  </si>
  <si>
    <t>( 5 x 1.5 + 9 x 3.3 ) x 0.89</t>
  </si>
  <si>
    <t>for rungs</t>
  </si>
  <si>
    <t>( 8 x 1 ) x 0.89</t>
  </si>
  <si>
    <t>for top slab</t>
  </si>
  <si>
    <t>( 2x1.5+4x1.3+4x1.1+4x0.3)x0.89</t>
  </si>
  <si>
    <t>for cover</t>
  </si>
  <si>
    <t>Output of sand blasting per hour</t>
  </si>
  <si>
    <t>1 (V) : 1 (H)</t>
  </si>
  <si>
    <t>Side slope down stream side</t>
  </si>
  <si>
    <t>1 (V) : 1.5 (H)</t>
  </si>
  <si>
    <t>Height</t>
  </si>
  <si>
    <t>1 day time is required for dismantling, shifting and re-erection of paver and DG set including</t>
  </si>
  <si>
    <t>aligning.</t>
  </si>
  <si>
    <t>Deploy paver crew for 1 day.</t>
  </si>
  <si>
    <t xml:space="preserve">Av. Diameter of tree for 0.3 to 0.6 m girth </t>
  </si>
  <si>
    <t>Diesel consumption ( in ltr / hr )</t>
  </si>
  <si>
    <t>0.220 x FHP x c1 x c2</t>
  </si>
  <si>
    <t>c1 and c2 are type and duty factors ( refer standard data table for values of c1 and c2 ).</t>
  </si>
  <si>
    <t>Assume daily average concreting programme of about 500 cum.</t>
  </si>
  <si>
    <t>Add for binding wire / temperary supports etc.@</t>
  </si>
  <si>
    <t>Add for repairs / replacements / catwalks etc.@</t>
  </si>
  <si>
    <t xml:space="preserve"> each</t>
  </si>
  <si>
    <t>Add for shutter oil at 0.2 ltr / sqm Rs:</t>
  </si>
  <si>
    <t>Cost of grout hose 25m @ Rs:</t>
  </si>
  <si>
    <t xml:space="preserve">Cost of water hose 25m @ Rs: </t>
  </si>
  <si>
    <t>Cost of guniting nozzle @ Rs:</t>
  </si>
  <si>
    <t>Size of concrete mixer</t>
  </si>
  <si>
    <t>300 / 200</t>
  </si>
  <si>
    <t>Cycle time for batching 1 mix :</t>
  </si>
  <si>
    <t>Batching 40-20 mm CA</t>
  </si>
  <si>
    <t>Batching 20-10 mm &amp; 10 mm below CA</t>
  </si>
  <si>
    <t>parellel activity</t>
  </si>
  <si>
    <t xml:space="preserve">       -----</t>
  </si>
  <si>
    <t>Batching fine aggregate</t>
  </si>
  <si>
    <t>Batching cement</t>
  </si>
  <si>
    <t>Consider 25 anchor rods for analysis.</t>
  </si>
  <si>
    <t>Using 750 micron thick LDPE sheet.</t>
  </si>
  <si>
    <t>Consider 250 sqm LDPE sheet 750 micron thick laying per day.</t>
  </si>
  <si>
    <t>i ) If the surface on which the LDPE sheet is to be laid is too rough and undulating provide</t>
  </si>
  <si>
    <t>Quantity of muck per load considered under tunnel working conditions</t>
  </si>
  <si>
    <t>Moving from turning pocket position and spotting</t>
  </si>
  <si>
    <t>Time for loaded dumper to pass waiting point</t>
  </si>
  <si>
    <t>Say:</t>
  </si>
  <si>
    <t>Sectional area of excavation              ( 8.40 + 7.15 ) x 0.5 x 1.25</t>
  </si>
  <si>
    <t>plums of size 150 to 80 mm : 0.25cum )</t>
  </si>
  <si>
    <t>Khalasi for mucking shift 4 Nos</t>
  </si>
  <si>
    <t>Khalasi for mucking 2 Nos in each shift</t>
  </si>
  <si>
    <t>Depth of drilling for 54 holes ( 54 x 2 x 1.10 )</t>
  </si>
  <si>
    <t>Average rate of drilling per hour per jack hammer</t>
  </si>
  <si>
    <t>Stone chiseller Cl II</t>
  </si>
  <si>
    <t>For 1 cum masonry :-               Rubble stones : 0.85 cum            Stone chips : 0.15 cum.</t>
  </si>
  <si>
    <t>Cement mortar preparation</t>
  </si>
  <si>
    <t>Manual</t>
  </si>
  <si>
    <t>Output of 1 Mason</t>
  </si>
  <si>
    <t>Add for scaffolding @</t>
  </si>
  <si>
    <t>Add for labour for scaffolding @</t>
  </si>
  <si>
    <t>Sand with 2 % wastage</t>
  </si>
  <si>
    <t>Cement mortar 1 : 3 propotion for pointing</t>
  </si>
  <si>
    <t>Laying pitching Mason Cl II @ 20 sqm / day</t>
  </si>
  <si>
    <t>Fine aggregate</t>
  </si>
  <si>
    <t>Requirement of 7 cmm compressor                  ( 150 x 60 / 50 / 22.5 )</t>
  </si>
  <si>
    <t>Requirement of sand blasting equipment</t>
  </si>
  <si>
    <t>For seiving sand</t>
  </si>
  <si>
    <t>Tippers 5.00 cum capacity 5 Nos.</t>
  </si>
  <si>
    <t>Dressed stones 30 x 30 x 60 cm</t>
  </si>
  <si>
    <t xml:space="preserve"> Sqm.</t>
  </si>
  <si>
    <t>Deploy 2 x 1.00 cum rated capacity non-tilting type batching plant for 12 hours.</t>
  </si>
  <si>
    <t>Deploy 10 hp pump for 8 hours for pumping water to storage tank for water requirement for</t>
  </si>
  <si>
    <t>concreting and curing.</t>
  </si>
  <si>
    <t>Acetylene gas @ 0.8 cum / t</t>
  </si>
  <si>
    <t>For welding sections:</t>
  </si>
  <si>
    <t>Electrodes 4 x 300 mm @ 125 Nos / t</t>
  </si>
  <si>
    <t xml:space="preserve"> / Day</t>
  </si>
  <si>
    <t xml:space="preserve"> hours</t>
  </si>
  <si>
    <t xml:space="preserve"> years</t>
  </si>
  <si>
    <t>km</t>
  </si>
  <si>
    <t xml:space="preserve"> km</t>
  </si>
  <si>
    <t xml:space="preserve">:Upto </t>
  </si>
  <si>
    <t xml:space="preserve"> km / hr</t>
  </si>
  <si>
    <t>sec</t>
  </si>
  <si>
    <t xml:space="preserve"> buckets</t>
  </si>
  <si>
    <t xml:space="preserve"> Nos</t>
  </si>
  <si>
    <t>Cost of fabrication @                                        Rs:</t>
  </si>
  <si>
    <t>Add for shutter oil @ 0.1 ltr                               Rs:</t>
  </si>
  <si>
    <t>Total cost / use</t>
  </si>
  <si>
    <t>Diesel road roller 8-10 tonnes</t>
  </si>
  <si>
    <t>lifts.</t>
  </si>
  <si>
    <t>Daily progress of CNS lining assumed</t>
  </si>
  <si>
    <t>density control of 95 percent.</t>
  </si>
  <si>
    <t>50 / 60 ( 1.9 x 4000 x 0.225 x 0.75 /9 )</t>
  </si>
  <si>
    <t>Deploy welding transformer for 193 hours.</t>
  </si>
  <si>
    <t>( 48 x 0.25 + 145 x 0.75 )</t>
  </si>
  <si>
    <t>Length of contraction joint at water seal location</t>
  </si>
  <si>
    <t>Materials required: PVC water seal 23 cm wide</t>
  </si>
  <si>
    <t>Cost of drill rod 1.6 m long @ Rs:  / No.</t>
  </si>
  <si>
    <t>Cost of air hose 100 m each @ Rs:  / Rm</t>
  </si>
  <si>
    <t>Cost of water hose 100 m each @ Rs:  / Rm</t>
  </si>
  <si>
    <t>Consider 8 hours including time for levelling stripped siol / shifting time.</t>
  </si>
  <si>
    <t>Requirement of dozer for one day work 825 cum</t>
  </si>
  <si>
    <t>2 Collection of soil for embankment:</t>
  </si>
  <si>
    <t>Batching 20-10 mm CA</t>
  </si>
  <si>
    <t xml:space="preserve">Preparation of mortar </t>
  </si>
  <si>
    <t xml:space="preserve">Output of 1 Mason </t>
  </si>
  <si>
    <t>Header stones 25x25x45 cm</t>
  </si>
  <si>
    <t>Quantity of stripping considering 5 % extra area ( 2610 x 1.05 x 0.25)</t>
  </si>
  <si>
    <t>Quantity of concrete for each slab ( 0.55 x 0.55 x 0.055 )</t>
  </si>
  <si>
    <t>DRILLING &amp; GROUTING WORKS :</t>
  </si>
  <si>
    <t>Acetelyne gas @ 0.6 cum / hour                           ( 365 x 0.60 )</t>
  </si>
  <si>
    <t>Oxygen gas @ 1.8 cum / hour                              ( 365 x 1.80 )</t>
  </si>
  <si>
    <t>Use of gas cutting torch with 50 min / hr working               ( 175 x 60 / 50 )</t>
  </si>
  <si>
    <t>Use of pug cutting machine with 50 min / hr working          ( 190 x 60 / 50 )</t>
  </si>
  <si>
    <t>Use of shearing machine with 50 min / hr working              ( 10 x60 / 50 )</t>
  </si>
  <si>
    <t>Bending :</t>
  </si>
  <si>
    <t>Assuming 1.2 m wide plates, length of plate for bending      ( 15 x 11 / 1.2 )</t>
  </si>
  <si>
    <t>Length of Tee sections @ 0.4 m spacing                           ( 15 x 11 / 0.4 )</t>
  </si>
  <si>
    <t>Length of side seal base and cover flats                             ( 11 x 2 x 2 )</t>
  </si>
  <si>
    <t xml:space="preserve">( say) : </t>
  </si>
  <si>
    <t>Quantity of explosive for secondary blasting @ 5 %</t>
  </si>
  <si>
    <t>Sl No.</t>
  </si>
  <si>
    <t>Explosive small dia ( Kelvex-220 or equivalent)</t>
  </si>
  <si>
    <t>DESCRIPTION OF MATERIAL</t>
  </si>
  <si>
    <t>UNIT</t>
  </si>
  <si>
    <t>cum</t>
  </si>
  <si>
    <t>kg</t>
  </si>
  <si>
    <t>sqm</t>
  </si>
  <si>
    <t>tonne</t>
  </si>
  <si>
    <t>Each</t>
  </si>
  <si>
    <t>ltr</t>
  </si>
  <si>
    <t>Rm</t>
  </si>
  <si>
    <t>RATE</t>
  </si>
  <si>
    <t>in Rs.</t>
  </si>
  <si>
    <t>Geo-textile ( filter fabric ) 250 gsm</t>
  </si>
  <si>
    <t>G I Pipe 100 mm dia B Class</t>
  </si>
  <si>
    <t>G I Pipe 15 mm dia A class</t>
  </si>
  <si>
    <t>G I pipe 25 mm dia A class</t>
  </si>
  <si>
    <t>G I pipe 40 mm dia B class</t>
  </si>
  <si>
    <t>G I pipe 50 mm dia A class</t>
  </si>
  <si>
    <t>G I Pipe 80 mm dia B Class</t>
  </si>
  <si>
    <t>J- Bolts 30 cm long</t>
  </si>
  <si>
    <t xml:space="preserve">Cement  : 788 kg              Sand  : </t>
  </si>
  <si>
    <t>2 mazdoors @ 6 cum / day including laying fabric.</t>
  </si>
  <si>
    <t>EWE in all soils= 1x0.60x0.75x100 =</t>
  </si>
  <si>
    <t>45 Cum</t>
  </si>
  <si>
    <t>Area of excavation upto payline</t>
  </si>
  <si>
    <t>No. of holes considering 2.5 holes / sqm</t>
  </si>
  <si>
    <t>Depth of drilling for 35 holes ( 35 x 1.7 x 1.1 )</t>
  </si>
  <si>
    <t>Haunch portion on either side :</t>
  </si>
  <si>
    <t>No. of holes considering 3 holes / sqm</t>
  </si>
  <si>
    <t>For 1 cum CC :-    Coarse aggregates : 0.98             cum Blending ratio : 35 :30 : 20 : 15</t>
  </si>
  <si>
    <t>drill will be about 7.5 m considering 50 minutes per hour working.</t>
  </si>
  <si>
    <t>Crew charges for Jack Hammer</t>
  </si>
  <si>
    <t>Crew charges for Drilling Jumbo</t>
  </si>
  <si>
    <t>Deploy 10 hp pump for 6 hours for pumping water to storage tank.</t>
  </si>
  <si>
    <t>Progress of drilling per shift for 2 waggon drills</t>
  </si>
  <si>
    <t>Life of T.C cross bit 75 mm dia in rock</t>
  </si>
  <si>
    <t>Daily output of moulding for 2 Masons</t>
  </si>
  <si>
    <t>Aportioning of machinery &amp; work fore :        For lining slabs:</t>
  </si>
  <si>
    <t>90 percent</t>
  </si>
  <si>
    <t xml:space="preserve">        For lug slabs :</t>
  </si>
  <si>
    <t>finishing, forming contraction joints, fixing PVC joint sealing strips, curing, shifting of paver</t>
  </si>
  <si>
    <t>Deploy welding transformer for 2949 hours.</t>
  </si>
  <si>
    <t>( 737 x 0.25 + 2212 x 0.75 )</t>
  </si>
  <si>
    <t>Wire rope 12 mm dia 6/36 construction</t>
  </si>
  <si>
    <t>No</t>
  </si>
  <si>
    <t>Erection of vertical stiffeners</t>
  </si>
  <si>
    <t>Erection of skin plates</t>
  </si>
  <si>
    <t>Erection of end sheilds and hood</t>
  </si>
  <si>
    <t>Erection of bracings</t>
  </si>
  <si>
    <t>Molten zinc filling for trunnion supports</t>
  </si>
  <si>
    <t>Seal fixing</t>
  </si>
  <si>
    <t>For painting 1 coat primer and 3 coats</t>
  </si>
  <si>
    <t>Welding holder set ( cable / holder / gloves / mask etc )</t>
  </si>
  <si>
    <t>Welder (X-ray quality)</t>
  </si>
  <si>
    <t>MATERIALS FOR GATES AND HOISTS</t>
  </si>
  <si>
    <t>Use rate of ropes</t>
  </si>
  <si>
    <t>Total hire charges of Machinery      Rs.</t>
  </si>
  <si>
    <t>machine and for the remaining sections pug cutting machine is considered.</t>
  </si>
  <si>
    <t>Length of steel to be cut by using gas manually</t>
  </si>
  <si>
    <t>Length of steel to be cut by gas using pug cutting machine</t>
  </si>
  <si>
    <t>Shuttering at : 1 sqm / cum of concrete considered for foundation filling work.</t>
  </si>
  <si>
    <t>scaffolding, cleaning, batching, mixing, placing in position, levelling, vibrating, finishing, curing</t>
  </si>
  <si>
    <t>For 1 cum CC :-           Coarse aggregates : 0.80 cum                 Blending ratio : 65 :35</t>
  </si>
  <si>
    <t>Total yearly operating crew charges for Air compressor ( diesel )</t>
  </si>
  <si>
    <t>Hourly operating crew charges= ( yearly crew charges / yearly usage of machinery)</t>
  </si>
  <si>
    <t>Rounded off to</t>
  </si>
  <si>
    <t>For surface finishing of SS plates for wheel / seal tracks planing machine is considered.</t>
  </si>
  <si>
    <t>labour, formwork, scaffolding, cleaning, batching, mixing, placing in position, levelling, vibrating,</t>
  </si>
  <si>
    <t>Other accessories such as railing, chequered plate, ladder etc @ 10 %</t>
  </si>
  <si>
    <t>The actual weight of hoist supporting bridge as per data sheet</t>
  </si>
  <si>
    <t>MS pipes 32 mm dia</t>
  </si>
  <si>
    <t>MS pipes 25 mm dia</t>
  </si>
  <si>
    <t>MS bolt / Nut / Washers with 2.5 % wastage</t>
  </si>
  <si>
    <t>Acetelyne gas @ 0.6 cum / hour              ( 123 x 0.60 )</t>
  </si>
  <si>
    <t>Oxygen gas @ 1.8 cum / hour                  ( 123 x 1.80 )</t>
  </si>
  <si>
    <t>as perscedule of rates under items in this chapter and add as applicable separately)</t>
  </si>
  <si>
    <t xml:space="preserve">Length of welding </t>
  </si>
  <si>
    <t>other consumeable accessories shall not be included in the capital cost.</t>
  </si>
  <si>
    <t>Consider 15 m span and 10 m over all height for bridge.</t>
  </si>
  <si>
    <t>Details of material / Gas cutting / Welding considered for rate analysis are based on structural</t>
  </si>
  <si>
    <t>Assessment of weight of structural steel for bridge:</t>
  </si>
  <si>
    <t>Columns with bracings, anchors, stiffeners etc @ 400 kg / m for 9 m ht</t>
  </si>
  <si>
    <t>Beams with cross beams, stiffeners etc @ 400 kg / m for 15 m span</t>
  </si>
  <si>
    <t>Generally, the rate of progress of drilling in hard rock varies from 2 m per day to 3 m per day</t>
  </si>
  <si>
    <t>Number of sand bags at 3 per hole ( 20 + 10 ) x 3</t>
  </si>
  <si>
    <t>Add 20 % extra for placing sands bags on edges of wire mesh</t>
  </si>
  <si>
    <t>( 665 + 66 ) x 8 / 15 / 2</t>
  </si>
  <si>
    <t xml:space="preserve"> m</t>
  </si>
  <si>
    <t xml:space="preserve"> sec</t>
  </si>
  <si>
    <t xml:space="preserve"> cum / hr</t>
  </si>
  <si>
    <t>Welding electrode 4 mm dia x 450 mm ( stainless steel )</t>
  </si>
  <si>
    <t>Zinc</t>
  </si>
  <si>
    <t>Deploy bending machine for 8 hours for bending arch ribs.</t>
  </si>
  <si>
    <t xml:space="preserve">Cost of 50 m air hose @                                   Rs: </t>
  </si>
  <si>
    <t>one end closed with perforated GI plate and other end provided with alluminium lid hinged</t>
  </si>
  <si>
    <t>leads and lifts.</t>
  </si>
  <si>
    <t>Cost of 100 mm dia pipe 250 m @ Rs: 395.00 / Rm</t>
  </si>
  <si>
    <t>Life of G.I. pipe</t>
  </si>
  <si>
    <t>This is equivalent to running 1 fan for 2 hrs. Consider 1 fan 20 hp for 2 hrs.</t>
  </si>
  <si>
    <t>( for av. 10 cm pay line margin filling &amp; 10 % length with supports )</t>
  </si>
  <si>
    <t>Average quantity of concrete / gantry length of lining</t>
  </si>
  <si>
    <t>Surface area of gantry for sides and arch portion</t>
  </si>
  <si>
    <t xml:space="preserve">During guniting a portion of the mortar mix is wasted due rebounding of </t>
  </si>
  <si>
    <t xml:space="preserve">mainly sand particles. The extend of rebound varies from 20 to 25 percent. </t>
  </si>
  <si>
    <t>(Cement content: 350 kg / cum with use of super plasticiser(0.4% by wt. of cement),</t>
  </si>
  <si>
    <t xml:space="preserve">CA : 0.765cum, Blending Ratio of CA--50:30:20, FA : 0.34 cum, </t>
  </si>
  <si>
    <t>Stone Chips : 0.15 cum)</t>
  </si>
  <si>
    <t>(Cement content: 143 kg / cum of masonry, rubble stones : 0.85cum, FA : 0.40 cum,</t>
  </si>
  <si>
    <t>(Cement content: 133 kg / cum of masonry, rubble stones : 0.45cum, FA : 0.35 cum,</t>
  </si>
  <si>
    <t xml:space="preserve">(Cement content: 9.9 kg / joint, FA : 0.01cum/joint, Hemp Yarn : 0.091kg/joint) </t>
  </si>
  <si>
    <t>Time required for drilling with 3 jack hammers</t>
  </si>
  <si>
    <t>Needle Vibrator / Shutter vibrator</t>
  </si>
  <si>
    <t>Crew charges for Air compressor</t>
  </si>
  <si>
    <t>Crew charges for Batching plant</t>
  </si>
  <si>
    <t>FOR CATEGORY : Earth / Sand / Gravel / Murrum / Lime / Surki / Coarse aggregate /</t>
  </si>
  <si>
    <t>Lift : Upto 3.00 m</t>
  </si>
  <si>
    <t>This is the initial lift and forms integral part of the activities in the basic rate of work item.</t>
  </si>
  <si>
    <t>Chapterwise item No.</t>
  </si>
  <si>
    <t>S.NO</t>
  </si>
  <si>
    <t>Item description</t>
  </si>
  <si>
    <t>Chapter I</t>
  </si>
  <si>
    <t>EXCAVATION &amp; FOUNDATION TREATMENT WORKS:</t>
  </si>
  <si>
    <t>FOUNDATION FILLING WORKS :</t>
  </si>
  <si>
    <t>Coarse aggregate 10 mm (available)</t>
  </si>
  <si>
    <t xml:space="preserve">( un exposed to water)one coat  65+/-5 of alkyd based micaccous iron oxide paint followed by  two coats of </t>
  </si>
  <si>
    <t>synthetic enamel paint25 microns/coat</t>
  </si>
  <si>
    <t>Length of drilling for 18 holes                                   ( 18 x 6.7 )</t>
  </si>
  <si>
    <t xml:space="preserve">Average output of 300/200 ltr mixer : 50 x 12 x 8 / 350                </t>
  </si>
  <si>
    <t>say : 14</t>
  </si>
  <si>
    <t>No. of tippers to match corrected cycle time of shovel ( 9.90 / 2 )</t>
  </si>
  <si>
    <t>Stone chips ( available )</t>
  </si>
  <si>
    <t>Rough stones ( available )</t>
  </si>
  <si>
    <t>MS Bolts / Nuts / Washers with 2.5 % wastage</t>
  </si>
  <si>
    <t>Steel wire rope conforming to IS : 2266 :</t>
  </si>
  <si>
    <t>Quantity of explosive small dia at 0.3 kg / cum</t>
  </si>
  <si>
    <t>Add for secondary blasting @ 5%</t>
  </si>
  <si>
    <t>16.50*60/50/0.7</t>
  </si>
  <si>
    <t>No. of Transit mixers to match 16.50 cum /hr (16.50 / 3.77)</t>
  </si>
  <si>
    <t>Deploy 5 hp pump for 1.5 hours.</t>
  </si>
  <si>
    <t>Time for rolling 390 cum soil in embankment layer</t>
  </si>
  <si>
    <t>Deploy 4 Transit mixers for conveyance of CC from BP to Paver  site</t>
  </si>
  <si>
    <t>Turning and unloading</t>
  </si>
  <si>
    <t>Return trip to reversing point</t>
  </si>
  <si>
    <t>Cycle time for haulage per load of 4.5 cum</t>
  </si>
  <si>
    <t>Since the waiting time will be more than the running time if 2 dumpers are deployed deploy</t>
  </si>
  <si>
    <t>1 dumper for conveying muck.</t>
  </si>
  <si>
    <t>charges, reaming, collection of wash samples at suitable intervals, logging and lebelling,</t>
  </si>
  <si>
    <t>supplying honne wood core box, fixing casing pipes ( excluding cost of casing pipes ) etc.,</t>
  </si>
  <si>
    <t>bolting to anchors embedded in concrete at intervals. The width of track shall be as per the</t>
  </si>
  <si>
    <t>requirement of gantry long travel specifications.</t>
  </si>
  <si>
    <t xml:space="preserve">                                                                                      Total               Rs:   </t>
  </si>
  <si>
    <t>Rate per metre = (a+b+c)</t>
  </si>
  <si>
    <t>For conveying &amp; laying sand ( 2 mazdoors @ 5 cum /day).</t>
  </si>
  <si>
    <t>Miscellaneous / Break downs / pipe clogging etc</t>
  </si>
  <si>
    <t>Setting time before release of gantry</t>
  </si>
  <si>
    <t>Quantity of Explosive @ 0.3 kg / cum</t>
  </si>
  <si>
    <t>Add for secondary blasting</t>
  </si>
  <si>
    <t>Number of secondary blast holes ( 14 / 0.6 )</t>
  </si>
  <si>
    <t>Electric delay detonators @ 1 per hole for 500 main blast holes</t>
  </si>
  <si>
    <t>In-situ quantity per load for 40 % bulkage of hard rock ( 5 / 1.40 ) :</t>
  </si>
  <si>
    <t xml:space="preserve">sinking plums of size 150 to 80 mm upto 15 percent for gravity type </t>
  </si>
  <si>
    <t>including cleaning, straightening, cutting, bending, hooking, lapping, tying with 1.25 mm dia.</t>
  </si>
  <si>
    <t>For lifting and placing in position sector arms / horizontal girders / tie beam 10 hours use of</t>
  </si>
  <si>
    <t>tower crane considered.</t>
  </si>
  <si>
    <t>Additional excavation involved for 7 Nos</t>
  </si>
  <si>
    <t>initial lead upto 50 m and all lifts.</t>
  </si>
  <si>
    <t>Ice elevator with 5 hp motor - 1 No.</t>
  </si>
  <si>
    <t>MS plate 140 x 6 mm 7.5 m long @ 47.1 kg / sqm with 2.5 % wastage</t>
  </si>
  <si>
    <t xml:space="preserve">                                                                                 Total              Rs:  </t>
  </si>
  <si>
    <t>Labour for erecting &amp; dismantling scaffolding : 30 % of labour for shuttering</t>
  </si>
  <si>
    <t>Preparation of surface and spreading sand:</t>
  </si>
  <si>
    <t>Removing and loading sods:</t>
  </si>
  <si>
    <t>No. of tippers to match corrected cycle time of shovel ( 12.67 / 2.67 )</t>
  </si>
  <si>
    <t>Soil collected for embankment layer gets compacted to some extent during levelling.</t>
  </si>
  <si>
    <t>Generally 8 to 10 passes of vibratory pad foot roller is adequate for achieving specified density</t>
  </si>
  <si>
    <t>control of 95 percent.</t>
  </si>
  <si>
    <t>Effective length of roller drum</t>
  </si>
  <si>
    <t>tanker for 4 hours for watering before rolling. Deploy 5 hp pump for 2 hours.</t>
  </si>
  <si>
    <t>excavation mainly for trimming bed and sides of channels / trenches to final profile by manual</t>
  </si>
  <si>
    <t xml:space="preserve">labour, the daily output will be : </t>
  </si>
  <si>
    <t>Consider 5 hours including time for levelling stripped siol / shifting time.</t>
  </si>
  <si>
    <t>Spreading soil in 15 cm layer:</t>
  </si>
  <si>
    <t>shall be planned properly to produce graded material.</t>
  </si>
  <si>
    <t>For 300 mm down size rockfill consider 32 mm dia jack hammer drilling.</t>
  </si>
  <si>
    <t>Shuttering at 1.0 sqm / cum of concrete considered for well cap works.</t>
  </si>
  <si>
    <t>Consider upstream seal vertical lift roller gate. The gate leaf consists of skin plate, horizontal</t>
  </si>
  <si>
    <t>Chapter III</t>
  </si>
  <si>
    <t>CHAPTER-IV</t>
  </si>
  <si>
    <t>Use rate of grouting hose 50 m</t>
  </si>
  <si>
    <t>Use rate of water hose 50 m</t>
  </si>
  <si>
    <t>Grouting machine</t>
  </si>
  <si>
    <t>Crew for Grout pump</t>
  </si>
  <si>
    <t>activities during setting time of concrete, the total cycle time for one gantry length concreting</t>
  </si>
  <si>
    <t>will be about 48 hours.</t>
  </si>
  <si>
    <t>Shuttering at 2.5 sqm / cum of concrete considered for deck slab and kerb.</t>
  </si>
  <si>
    <t>Cost of shuttering for concrete / use/ sqm</t>
  </si>
  <si>
    <t>( Excluding T &amp; P / Profit / Overheads)</t>
  </si>
  <si>
    <t>Erection &amp; dismantling shuttering :</t>
  </si>
  <si>
    <t>1 Fitter is considered / day.</t>
  </si>
  <si>
    <t>Quantity of delay detonators per blast</t>
  </si>
  <si>
    <t>installed in duct system at about 300 m interval and are run for about 1 hour after each blast.</t>
  </si>
  <si>
    <t>Consider 10 sqm coping for analysis.</t>
  </si>
  <si>
    <t>Burnt stone slab 10 cm thick with 5 % wastage : 10.50 sqm</t>
  </si>
  <si>
    <t>Cycle time of loading dumper per load of 4.50 cum</t>
  </si>
  <si>
    <t>Haulage cycle time:</t>
  </si>
  <si>
    <t>Running time from loading point to dump yard @ av 10 km / hr</t>
  </si>
  <si>
    <t>Ideal cycle time for shovel for digging &amp; loading</t>
  </si>
  <si>
    <t>( 1499 + 927 ) x 8 / 15 / 6</t>
  </si>
  <si>
    <t>Deploy welding transformer for 288 hours.</t>
  </si>
  <si>
    <t>( 72 x 0.25 + 216 x 0.75 )</t>
  </si>
  <si>
    <t>Planing SS plates for slide block / seal tracks :</t>
  </si>
  <si>
    <t xml:space="preserve"> for miscellaneous works and for pushing CA/FA to BP stock pile Area</t>
  </si>
  <si>
    <t>Length of air hose for drilling per jack hammer</t>
  </si>
  <si>
    <t>Disposal of blasted soft rock :</t>
  </si>
  <si>
    <t>Deploy 6 crowbarman and 3 stone breakers for loosening blasted material.</t>
  </si>
  <si>
    <t>Use rate of drill rod 1.6 m length</t>
  </si>
  <si>
    <t>For 1 cum CC :-         Coarse aggregates : 0.80 cum                   Blending ratio : 65 : 35</t>
  </si>
  <si>
    <t>/ cum</t>
  </si>
  <si>
    <t>Fuel charges ( gas for heating )</t>
  </si>
  <si>
    <t xml:space="preserve">Materials required: PVC water stops: </t>
  </si>
  <si>
    <t>m.</t>
  </si>
  <si>
    <t xml:space="preserve">8 mm torsteel rods : </t>
  </si>
  <si>
    <t>15 mm dia GI pipe</t>
  </si>
  <si>
    <t xml:space="preserve">Asphalt : </t>
  </si>
  <si>
    <t>PVC water stops 310 mm wide</t>
  </si>
  <si>
    <t>Vulcanizing materials</t>
  </si>
  <si>
    <t>Cost of 50 mm dia cross bit @ Rs:  / Each</t>
  </si>
  <si>
    <t>Cost of extension rod 4.5 m @ Rs:  / Rm</t>
  </si>
  <si>
    <t>Cost of 50 mm dia air hose 50 m @ Rs:  / Rm</t>
  </si>
  <si>
    <t xml:space="preserve"> Rate per </t>
  </si>
  <si>
    <t xml:space="preserve">  Rm</t>
  </si>
  <si>
    <t>Since dozer is not considered for spreading soil about 25 percent extra roller passes neeed.</t>
  </si>
  <si>
    <t xml:space="preserve">The ideal cycle time for shovel requires spotting of tipper within 1.67 minutes </t>
  </si>
  <si>
    <t xml:space="preserve">near the shovel. However, in practice, the space available on either side of </t>
  </si>
  <si>
    <t>For pillars ( 12 x 1 x 0.35 x 0.35 )</t>
  </si>
  <si>
    <t>For wall panels ( 10 x 3 x 0.80 x 0.125 + 2 x 0.45 x 0.80 x 0.125 )</t>
  </si>
  <si>
    <t>For wall coping ( 10 x 3 x 0.35 x 0.125 + 2 x 0.45 x 0.35 x 0.125 )</t>
  </si>
  <si>
    <t xml:space="preserve">close to dam site or for foundation excavation for dam blocks in flood gap </t>
  </si>
  <si>
    <t>portion or for excavation of power house pit / sluice structures near toe of</t>
  </si>
  <si>
    <t xml:space="preserve"> dam blocks.</t>
  </si>
  <si>
    <t xml:space="preserve">Limiting the depth of holes and use of delay detonators to minimise </t>
  </si>
  <si>
    <t>watering be may necessary and in summer months about 8 to 10 percent watering may be</t>
  </si>
  <si>
    <t>of embankment will be about 4 tanker loads of 8000 ltrs each.</t>
  </si>
  <si>
    <t>Deploy 8000 ltr capacity water tanker for 4 hours daily for watering before rolling.</t>
  </si>
  <si>
    <t>Deploy 5 hp pump for 2 hours.</t>
  </si>
  <si>
    <t>mazdoor 5 Nos. @                               Rs:</t>
  </si>
  <si>
    <t>0.5 mazdoor for levelling and compacting works.</t>
  </si>
  <si>
    <t>2 Masons &amp; 2 mazdoors considered for 10 joints.</t>
  </si>
  <si>
    <t>2.5 Masons &amp; 3 mazdoors considered for 10 joints.</t>
  </si>
  <si>
    <t>3 Masons &amp; 4 mazdoors considered for 10 joints.</t>
  </si>
  <si>
    <t>3 Masons &amp; 5 mazdoors considered for 10 joints.</t>
  </si>
  <si>
    <t>4 Masons &amp; 6 mazdoors considered for 10 joints.</t>
  </si>
  <si>
    <t>Output of 1 mazdoor for levelling &amp; compaction / day ( loose )</t>
  </si>
  <si>
    <t>No stripping of borrow involved as the soil is from canal excavation.</t>
  </si>
  <si>
    <t>Collection of soil for CNS lining:</t>
  </si>
  <si>
    <t>It is assumed that cohesive non-swelling soil from canal excavation is conveyed and collected</t>
  </si>
  <si>
    <t>along the edge of the canal reach requiring CNS soil lining and conveyance charges form part</t>
  </si>
  <si>
    <t xml:space="preserve"> 50 :30 : 20</t>
  </si>
  <si>
    <t>Equivalent volume batching assumed.</t>
  </si>
  <si>
    <t>will be about 5 tanker loads of 8000 ltrs each.</t>
  </si>
  <si>
    <t>Depth of drilling including secondary blasting ( 215 x 1.4 x 1.05 )</t>
  </si>
  <si>
    <t>Ideal cycle time for loading 5 buckets ( 5 x 16 / 60 )</t>
  </si>
  <si>
    <t>Speed for empty dumper under haul road condition</t>
  </si>
  <si>
    <t>In-situ quantity / bucket for 20 % bulkage on unloading ( 1 / 1.20 )</t>
  </si>
  <si>
    <t>In-situ quantity per load for 5 cum soil ( 5 / 1.2 )</t>
  </si>
  <si>
    <t>In-situ quantity per bucket for 30 % bulkage on unloading ( 1 / 1.30 ) :</t>
  </si>
  <si>
    <t>Drilling and Blasting :</t>
  </si>
  <si>
    <t>Depth of drilling per hole</t>
  </si>
  <si>
    <t>Effective depth of pull</t>
  </si>
  <si>
    <t>Compressor 125 hp - 1 No</t>
  </si>
  <si>
    <t>Condenser with 30 hp motor - 1 No.</t>
  </si>
  <si>
    <t>Ice makers 10 t / day each - 3 Nos.</t>
  </si>
  <si>
    <t>Cost of scaffolding materials considered @ :                                250 % of shuttering</t>
  </si>
  <si>
    <t>Labour for erecting &amp; dismantling scaffolding @ :                          250 % of labour for shuttering</t>
  </si>
  <si>
    <t>Use rate of shuttering for 30 uses</t>
  </si>
  <si>
    <t>Deploy drilling jumbo for 12 hours for erection of 1 tonne supports.</t>
  </si>
  <si>
    <t>Structural steel beams</t>
  </si>
  <si>
    <t>Structural steel plates</t>
  </si>
  <si>
    <t>Steel bars for tie rods &amp; anchors</t>
  </si>
  <si>
    <t>For cutting sections:</t>
  </si>
  <si>
    <t>Oxygen gas @ 2.4 cum / t</t>
  </si>
  <si>
    <t>A. MATERIALS (for 20 uses):</t>
  </si>
  <si>
    <t>Tie rods &amp; anchors</t>
  </si>
  <si>
    <t>Oxygen gas @ 2.40 cum / t</t>
  </si>
  <si>
    <t>1.00x1.20</t>
  </si>
  <si>
    <t>14. 15</t>
  </si>
  <si>
    <t>cum per day</t>
  </si>
  <si>
    <t xml:space="preserve"> / sqm</t>
  </si>
  <si>
    <t>embankment will be about 8 tanker loads of 8000 ltrs each.</t>
  </si>
  <si>
    <t>Time for rolling 1140 cum soil in embankment layer</t>
  </si>
  <si>
    <t>Weight of ice flakes</t>
  </si>
  <si>
    <t>( Wi )</t>
  </si>
  <si>
    <t>extent of opening of joints in rock during / after excavation.</t>
  </si>
  <si>
    <t>The average gruot intake for consilidation /contact grouting is considered at 50 kg per metre.</t>
  </si>
  <si>
    <t>The average progress of grouting per shift is considered at 1500 kg.</t>
  </si>
  <si>
    <t>Deploy Grout pump with accessories for 8 hours.</t>
  </si>
  <si>
    <t>Deploy Drilling jumbo for 2 hours during grouting of top holes.</t>
  </si>
  <si>
    <t>Av. Diameter of tree for 2.4 to 3.0 m girth</t>
  </si>
  <si>
    <t xml:space="preserve">Diameter of tree 3.0 m girth </t>
  </si>
  <si>
    <t>Diameter of tree for 3.5 m girth</t>
  </si>
  <si>
    <t>either side of the shovel. Generally one tipper has to move after loading to position the next</t>
  </si>
  <si>
    <t>tipper for loading. Assuming turning and spotting time of 0.5 minute, the cycle time for the</t>
  </si>
  <si>
    <t>shovel will be :</t>
  </si>
  <si>
    <t>Length of kerb on u /s and d / s ( 18.00 + 18.00 )</t>
  </si>
  <si>
    <t>Length of parapet ( 18.00 + 18.00 - 0.90 )</t>
  </si>
  <si>
    <t>Number of pillars for 3.35 m c / c spacing</t>
  </si>
  <si>
    <t xml:space="preserve">for control of fly-rock is generally adopted where there are structures very </t>
  </si>
  <si>
    <t>Use rate of cross bit per m drilling ( cost / life )</t>
  </si>
  <si>
    <t>Use rate of 4.5 m extn rod per m drilling ( cost / life )</t>
  </si>
  <si>
    <t>Use rate of air hose 50 m per hour ( cost / life )</t>
  </si>
  <si>
    <t>For drilling in hard rock beyond 6 m from surface increase the basic rate per Rm of previous</t>
  </si>
  <si>
    <t>stage by 10 percent for next stage of 6 m beyond previous stage towards redrilling in partially</t>
  </si>
  <si>
    <t>conveying manually. Assuming 50 % manual rehandling.</t>
  </si>
  <si>
    <t>For rehandling and spreading rubble at rock-toe:</t>
  </si>
  <si>
    <t>20-10 mm CA               : 0.04 cum</t>
  </si>
  <si>
    <t>For grinding and finishing weld joints in liner plates 8 hours use of grinding machine considered.</t>
  </si>
  <si>
    <t>Finishing / Cleaning</t>
  </si>
  <si>
    <t>For 1 cum CC :- Coarse aggregates : 0.90 cum                   Blending ratio : 50 :30 : 20</t>
  </si>
  <si>
    <t>Scaffolding for foundation concreting assumed @ : 10 % of shuttering</t>
  </si>
  <si>
    <t>Depth of drilling for 25 holes 1.25 m deep</t>
  </si>
  <si>
    <t xml:space="preserve">contractiom joints fixing pvc joint seiling strips shifting of paver from one side of canal to other </t>
  </si>
  <si>
    <t>Batchning plant shifting &amp; re-erection considered at 10 Km interval.</t>
  </si>
  <si>
    <t>Rated capacity of batching plant required for 11.00 cum/hour output :</t>
  </si>
  <si>
    <t>Tippers 5.00 cum capacity 3 Nos.</t>
  </si>
  <si>
    <t xml:space="preserve">For truck, tipper and road roller, the life is considered as per the prevailing norms in the </t>
  </si>
  <si>
    <t>In-situ quantity / bucket for 40 % bulkage on unloading ( 1 / 1.40 )</t>
  </si>
  <si>
    <t>In-situ quantity per load for 5 cum of hard rock ( 5 / 1.40 )</t>
  </si>
  <si>
    <t xml:space="preserve">Number of buckets per load ( 3.57 / 0.71 ) </t>
  </si>
  <si>
    <t>: say</t>
  </si>
  <si>
    <t>Ideal cycle time for loading 5 buckets ( 5 x 45 / 60 )</t>
  </si>
  <si>
    <t>by weight including cost of all materials, machinery, labour, ventilation, lighting, drainage</t>
  </si>
  <si>
    <t xml:space="preserve">DATA  and RATES    ---GATE / HOIST AND ALLIED WORKS - </t>
  </si>
  <si>
    <t>Cement  mix</t>
  </si>
  <si>
    <t>Cement mix</t>
  </si>
  <si>
    <t xml:space="preserve">Cement for mortar </t>
  </si>
  <si>
    <t>Thickness of rough stone layer</t>
  </si>
  <si>
    <t>Consider 100 sqm revetment area:</t>
  </si>
  <si>
    <t>Rough stones 30 to 45 cm long</t>
  </si>
  <si>
    <t>( available )</t>
  </si>
  <si>
    <t>one waggon drill per day.</t>
  </si>
  <si>
    <t>Spotting &amp; hooking loaded bucket</t>
  </si>
  <si>
    <t>Lifting, turning &amp; moving loaded bucket</t>
  </si>
  <si>
    <t>Lowering &amp; unloading concrete</t>
  </si>
  <si>
    <t>Lifting, turning &amp; moving empty bucket</t>
  </si>
  <si>
    <t>Lowering &amp; dehooking empty bucket</t>
  </si>
  <si>
    <t>Output of tower crane with 50 min / hr working and 80 %</t>
  </si>
  <si>
    <t>Operator Tipper / Dumper / Transit mixer</t>
  </si>
  <si>
    <t>Operator Concrete vibrator</t>
  </si>
  <si>
    <t>Operator Wagon drill / Drifter</t>
  </si>
  <si>
    <t>Painter Cl- I</t>
  </si>
  <si>
    <t>For assessing labour average height between berms is considered.</t>
  </si>
  <si>
    <t>For conveying &amp; laying stone/ chips</t>
  </si>
  <si>
    <t>Acetelyne gas @ 0.6 cum / hour          ( 17 x 0.60 )</t>
  </si>
  <si>
    <t>Oxygen gas @ 1.8 cum / hour             ( 17 x 1.80 )</t>
  </si>
  <si>
    <t>Use of gas cutting torch with 50 min / hr working         ( 10 x 60 / 50 )</t>
  </si>
  <si>
    <t>Use of pug cutting machine with 50 min / hr working ( 40 x 60 / 50 )</t>
  </si>
  <si>
    <t>Use of shearing machine with 50 min / hr working ( 3 x60 / 50 )</t>
  </si>
  <si>
    <t>For conveying &amp; laying sand ( 2 mazdoors @  : 7 cum / day ).</t>
  </si>
  <si>
    <t>Total thickness of riprap</t>
  </si>
  <si>
    <t>For 1 cum CC :-      Coarse aggregates : 0.80 cum                       Blending ratio : 65 :35</t>
  </si>
  <si>
    <t>I.</t>
  </si>
  <si>
    <t>SKILLED CATEGORY:</t>
  </si>
  <si>
    <t>Bar bender</t>
  </si>
  <si>
    <t>aggregates laid in layers of 15 cm thick each including cost of all materials, machinery, labour,</t>
  </si>
  <si>
    <t>Effective depth of hole for jack hammer drilling</t>
  </si>
  <si>
    <t>Assuming 2 km / hour speed and 20 passes per layer for rolling.</t>
  </si>
  <si>
    <t>filter creteria including cost of all materials, machinery, labour, compacting etc., complete with</t>
  </si>
  <si>
    <t>Diamond core bit NX size</t>
  </si>
  <si>
    <t>Double tube core barrel</t>
  </si>
  <si>
    <t>Extension drill rod with coupling sleeve</t>
  </si>
  <si>
    <t xml:space="preserve">Considering shrinkage factor of 15 percent the net quantity of </t>
  </si>
  <si>
    <t>embankment will be ( 1140 x 0.85 )</t>
  </si>
  <si>
    <t xml:space="preserve">Deploy 6 tippers of 5.00 cum capacity for 8 hours to convey soil to </t>
  </si>
  <si>
    <t>Laying &amp; dismantling pipe</t>
  </si>
  <si>
    <t>Consider 2 mazdoors &amp; 2 crowbarman for sorting out in dump yard.</t>
  </si>
  <si>
    <t>Electric detonators at 1 per hole</t>
  </si>
  <si>
    <t xml:space="preserve">Cost of drill rod 1.6 m long @                           Rs : </t>
  </si>
  <si>
    <t>Wire brush</t>
  </si>
  <si>
    <t>Wire mesh 20 gauge</t>
  </si>
  <si>
    <t>Zinc chromate red oxide primer paint</t>
  </si>
  <si>
    <t xml:space="preserve">Less salvage value at </t>
  </si>
  <si>
    <t>use</t>
  </si>
  <si>
    <t xml:space="preserve"> in Rs.</t>
  </si>
  <si>
    <t>in Rs</t>
  </si>
  <si>
    <t xml:space="preserve">aggregates and adding flaked ice as part of mixing water including cost of </t>
  </si>
  <si>
    <t xml:space="preserve">Considering 15 to 20 mm wide and 50 mm deep joints the quantity of </t>
  </si>
  <si>
    <t>cement mortar required will be about 0.70 cum for 100 sqm of pointing.</t>
  </si>
  <si>
    <t>(Manual mixing )</t>
  </si>
  <si>
    <t>Requirement of labour for concreting :</t>
  </si>
  <si>
    <t>Laying and compacting / finishing concrete</t>
  </si>
  <si>
    <t>Mason Cl - I</t>
  </si>
  <si>
    <t>Jack hammer drill rod 1.5 m</t>
  </si>
  <si>
    <t>Jack hammer drill rod 2.5 m</t>
  </si>
  <si>
    <t>Paving Cylinder</t>
  </si>
  <si>
    <t>Rails 30R ( 30 kg / m )</t>
  </si>
  <si>
    <t>Reamer shell</t>
  </si>
  <si>
    <t>Tyres and Tubes for truck</t>
  </si>
  <si>
    <t>Wire rope 16 mm dia</t>
  </si>
  <si>
    <t>AGGREGATE CRUSHING &amp; PROCESSING PLANT</t>
  </si>
  <si>
    <t>Add for electric sub-station/ Demand charges @</t>
  </si>
  <si>
    <t>Thickness of 20 mm down CA layers</t>
  </si>
  <si>
    <t>Thickness of 80-20 mm CA filter</t>
  </si>
  <si>
    <t>Quantity of stones to be reused</t>
  </si>
  <si>
    <t>Quantity of stone chips to be reused</t>
  </si>
  <si>
    <t>Surface finishing required 12.40 x 58.20 / 18</t>
  </si>
  <si>
    <t>gates including cost of all materials, machinery, labour,  welding, finishing,  etc., complete</t>
  </si>
  <si>
    <t>Ordinary detonators for secondary blasting</t>
  </si>
  <si>
    <t>PRELIMINARY &amp; MAINTENANCE WORKS - DATA RATES</t>
  </si>
  <si>
    <t>etc., complete.</t>
  </si>
  <si>
    <t xml:space="preserve"> sqm</t>
  </si>
  <si>
    <t xml:space="preserve">Rate per </t>
  </si>
  <si>
    <t>Output of 2 mazdoors for cutting trees / day</t>
  </si>
  <si>
    <t>1 mazdoor for cutting branches, collecting and stacking cut wood.</t>
  </si>
  <si>
    <t>1mazdoor for cutting branches, collecting and stacking cut wood.</t>
  </si>
  <si>
    <t xml:space="preserve">Output of 2 mazdoors for cutting trees / day </t>
  </si>
  <si>
    <t>contraction joints, fixing PVC joint sealing strips, curing, shifting of paver  from one side to othere</t>
  </si>
  <si>
    <t>100 mm</t>
  </si>
  <si>
    <t>Quantity of CC for paver / hour (100 x 0.10)</t>
  </si>
  <si>
    <t>Add extra qty for curvature at Bed &amp; side junction&amp; lug 10%</t>
  </si>
  <si>
    <t>Deploy 1 dumper for conveying muck @ 9 cum per hour</t>
  </si>
  <si>
    <t>Deploy convey mucker and labour force for loading</t>
  </si>
  <si>
    <t>Overall cycle time :</t>
  </si>
  <si>
    <t>Checking alignment and marking hole locations</t>
  </si>
  <si>
    <t>Drilling holes</t>
  </si>
  <si>
    <t>Loading explosive and blasting</t>
  </si>
  <si>
    <t>Life of guniting nozzle</t>
  </si>
  <si>
    <t>Use rate of guniting nozzle per hour ( cost / life )</t>
  </si>
  <si>
    <t>the next tipper for loading. Assuming one cycle time extra the corrected cycle time for the</t>
  </si>
  <si>
    <t>Rate of drilling in soft rock per hour</t>
  </si>
  <si>
    <t>Time required for drilling with 2 jack hammers</t>
  </si>
  <si>
    <t>50 minutes per hour working.</t>
  </si>
  <si>
    <t>Quantity of Explosive ( Kelvex-220 ) at 0.2 kg / cum</t>
  </si>
  <si>
    <t>Add extra qty for curvature at bed &amp; side junction @ 10 %</t>
  </si>
  <si>
    <t>Cost of sand blast gun nozzle @                Rs:</t>
  </si>
  <si>
    <t>Life of sand blast gun nozzle</t>
  </si>
  <si>
    <t>Use rate of sand blast gun nozzle per hour</t>
  </si>
  <si>
    <t>stones to specified slopes, wedging with chips, finishing etc. complete with initial lead upto</t>
  </si>
  <si>
    <t>TUNNEL AND ALLIED WORKS</t>
  </si>
  <si>
    <t>The same moving gantry crane can also be used for operating river sluice emergency gate.</t>
  </si>
  <si>
    <t>Therefore, the hoisting capacity of the gantry crane depends on the requirement of hoisting</t>
  </si>
  <si>
    <t>next tipper for loading. Assuming one loading cycle extra, the corrected cycle time for shovel</t>
  </si>
  <si>
    <t>Deploy 0.85 cum shovel and 3 tippers for 10 hours for disposal of 386 cum excavated rock.</t>
  </si>
  <si>
    <t>Deploy 1 stone chiseller and 1 stone breaker for levelling bed wherever required.</t>
  </si>
  <si>
    <t xml:space="preserve">Cost of T.C bit 100 mm dia @                           Rs: </t>
  </si>
  <si>
    <t>Time for 1 km return trip ( 60 / 20 )</t>
  </si>
  <si>
    <t>No. of tippers to match corrected cycle time of shovel ( 13.33 / 3.33 )</t>
  </si>
  <si>
    <t>Deploy Drilling jumbo for 4 hours during guniting of arch portion.</t>
  </si>
  <si>
    <t>Water proofing compound</t>
  </si>
  <si>
    <t>Welding electrodes 4 mm dia</t>
  </si>
  <si>
    <t>Quantity of concrete per use of paver</t>
  </si>
  <si>
    <t>(18x0.10)</t>
  </si>
  <si>
    <t>Time reqired for concreting per paver length lin</t>
  </si>
  <si>
    <t>Requirement of paver:</t>
  </si>
  <si>
    <t>18.00 sqm</t>
  </si>
  <si>
    <t>Tippers for conveyance of soil ( 80 x 32.00 / 825 )</t>
  </si>
  <si>
    <t>Water tanker for watering ( 80 x 8.00 / 825 )</t>
  </si>
  <si>
    <t>Pump 5 hp ( 80 x 4.00 / 825 )</t>
  </si>
  <si>
    <t>For spreading soil in 10 to 15 cm layers:</t>
  </si>
  <si>
    <t>Quantity of nuts for 10 bolts ( 10 x 2 x 0.2 )</t>
  </si>
  <si>
    <t xml:space="preserve"> Cum</t>
  </si>
  <si>
    <t>Quantity of 40 mm CA @0.50*0.90</t>
  </si>
  <si>
    <t>necessary including aligning paver correctly for continuing canal lining work, cost of all</t>
  </si>
  <si>
    <t>Defuming and scaling loose rock fragments</t>
  </si>
  <si>
    <t>Mucking excavated rock</t>
  </si>
  <si>
    <t>Bed cleaning, support fixing, rock bolting, lighting etc</t>
  </si>
  <si>
    <t>Total cycle of excavation per blast of 1.8 m length</t>
  </si>
  <si>
    <t>Deploy drilling jumbo for total 8 hours including time for movement.</t>
  </si>
  <si>
    <t>Life of drill rod with reconditionong</t>
  </si>
  <si>
    <t>Length of air and water hose assumed</t>
  </si>
  <si>
    <t>Life of water hose</t>
  </si>
  <si>
    <t>cleaning, batching, mixing, placing in position in alternate panels, levelling, compacting,</t>
  </si>
  <si>
    <t>Curing Mazdoor</t>
  </si>
  <si>
    <t>Conveying mortar Mazdoor</t>
  </si>
  <si>
    <t>2 mazdoors for laying 6 cum per day.</t>
  </si>
  <si>
    <t>For wall panels ( 10 x 2 x 3 x 0.80 + 2 x 2 x 0.45 x 0.80 + 2 x 0.15 x 0.80 )</t>
  </si>
  <si>
    <t>For wall coping ( 0.45 x 3 x 10 + 0.45 x 0.45 x 2 + 2 x 0.35 x 0.15 )</t>
  </si>
  <si>
    <t>For pillar coping ( 12 x 4 x 0.35 x 0.15 )</t>
  </si>
  <si>
    <t>Total ( say )</t>
  </si>
  <si>
    <t>Coarse aggregate 20 mm .</t>
  </si>
  <si>
    <t>Coarse aggregate 10 mm .</t>
  </si>
  <si>
    <t>ADDITIONAL MATERIALS FOR GATES &amp; HOISTS</t>
  </si>
  <si>
    <t>GUIDE LINES :</t>
  </si>
  <si>
    <t>For cast steel / Alloy steel / Forged steel / Bronze, alluminium alloy components the rates</t>
  </si>
  <si>
    <t>Assisting mason for laying PCC slabs mazdoor</t>
  </si>
  <si>
    <t>Quantity of paint for 100 sqm1coats with 2 % wastage ( 100 x 1x 1.02 /9)</t>
  </si>
  <si>
    <t>Quantity of paint for 100 sqm3coats with 2 % wastage ( 100 x3x 1.02 /12)</t>
  </si>
  <si>
    <t>4x100/15</t>
  </si>
  <si>
    <t>cost of all materials, machinery, labour, placing the excavated stuff for formation of service</t>
  </si>
  <si>
    <t>Life of cross bit 50 mm dia in rock</t>
  </si>
  <si>
    <t>Life of extension rod with coupling sleeve</t>
  </si>
  <si>
    <t>Needle vibrator 40 mm ( ele )</t>
  </si>
  <si>
    <t>for curing &amp; miscellaneous</t>
  </si>
  <si>
    <t>For loading sand blast drum</t>
  </si>
  <si>
    <t>For assisting sand blaster</t>
  </si>
  <si>
    <t>CANAL AND ALLIED WORKS - DATA RATES</t>
  </si>
  <si>
    <t>( cost / life</t>
  </si>
  <si>
    <t>Use rate of guniting nozzle per hour</t>
  </si>
  <si>
    <t>Helper Concrete / Asphalt mixer</t>
  </si>
  <si>
    <t>Helper Concrete / Asphalt paver</t>
  </si>
  <si>
    <t>Helper Core drilling machine</t>
  </si>
  <si>
    <t>Area to be stripped assuming 2.0 m depth of cut ( 325 / 2.0 ) :</t>
  </si>
  <si>
    <t>Quantity of stripping considering 5 % extra area ( 162.5x1.05x0.20 ) :</t>
  </si>
  <si>
    <t>Time required for stripping 34.1 cum</t>
  </si>
  <si>
    <t>Consider 1 hour including time for shifting.</t>
  </si>
  <si>
    <t>complete with initial lead upto 50 m and all lifts.</t>
  </si>
  <si>
    <t xml:space="preserve">the shovel may not permit free movement of the tippers quickly. Some </t>
  </si>
  <si>
    <t xml:space="preserve">times one loaded tipper has to move after loading to position next tipper for </t>
  </si>
  <si>
    <t xml:space="preserve">loading. Assuming one extra cycle for shovel the corrected cycle time for </t>
  </si>
  <si>
    <t>Shuttering at 2.00 sqm / cum of concrete considered for mass concrete pipes.</t>
  </si>
  <si>
    <t>Cost of scaffolding / bracing materials considered :                      15 % of shuttering</t>
  </si>
  <si>
    <t>DATA:</t>
  </si>
  <si>
    <t>Turning and unloading time</t>
  </si>
  <si>
    <t>Checking and running without rope</t>
  </si>
  <si>
    <t>Trial running by lowering / lifting gate</t>
  </si>
  <si>
    <t>Drilling Jumbo</t>
  </si>
  <si>
    <t>Sundries ( lathe / drilling / grinder )</t>
  </si>
  <si>
    <t>For 1 cum CC :-          Coarse aggregates : 0.90 cum                   Blending ratio : 50 :30 : 20</t>
  </si>
  <si>
    <t>No. of tippers to match corrected cycle time of shovel ( 9.50 / 1.60 )</t>
  </si>
  <si>
    <t>upto:</t>
  </si>
  <si>
    <t xml:space="preserve">For providing average 75 mm thick sand backing add </t>
  </si>
  <si>
    <t xml:space="preserve">per sqm </t>
  </si>
  <si>
    <t>Using 1000 micron thick LDPE sheet.</t>
  </si>
  <si>
    <t>Effective area of shutter &amp; soldier</t>
  </si>
  <si>
    <t xml:space="preserve">face, energy dissipating structures, training walls, piers, abutments and </t>
  </si>
  <si>
    <t xml:space="preserve">Cement 43 Gr </t>
  </si>
  <si>
    <t xml:space="preserve">Coarse aggregate </t>
  </si>
  <si>
    <t>Cement for incidentals @ 0.5 kg/slab</t>
  </si>
  <si>
    <t>Quantity of compacted embankment for 10 % shrinkage ( 680 x 0.90 )</t>
  </si>
  <si>
    <t>Quantity of loose soil to be spread ( 680 x 1.10 ) :</t>
  </si>
  <si>
    <t>including removing rust, cleaning surface, cost of all materials, labour, scaffolding etc.,</t>
  </si>
  <si>
    <t>Consider 100 sqm area for painting:</t>
  </si>
  <si>
    <t>Coverage of paints for each coat</t>
  </si>
  <si>
    <t>Ideal cycle time for loading 5 buckets ( 5 x 22 / 60 )</t>
  </si>
  <si>
    <t>No. of tippers to match corrected cycle time of shovel ( 10.10 / 2 )</t>
  </si>
  <si>
    <t>Output of tipper / hr with 50 min working / hr ( 50 x 4.30 / 10.10 )</t>
  </si>
  <si>
    <t>Quantity of sand for 36 sqm</t>
  </si>
  <si>
    <t>Labour charges for erecting &amp; dismantling heavy duty shuttering / sqm    Rs:</t>
  </si>
  <si>
    <t xml:space="preserve">providing and fixing 38 mm thick joint filler board matching the thickness of </t>
  </si>
  <si>
    <t xml:space="preserve">MS angles 75 x 75 x 6 mm 7.5 m long 2 Nos. @ 6.8 kg / Rm with </t>
  </si>
  <si>
    <t>2.5 % wastage ( 2 x 7.50 x 6.80 x 1.025 )</t>
  </si>
  <si>
    <t xml:space="preserve">12 mm dia anchors 0.30 m long @ 15 cm c / c @ 0.89 kg / m with </t>
  </si>
  <si>
    <t>2.5 % wastage ( 100 x 0.30 x 0.89 x 1.025 )</t>
  </si>
  <si>
    <t>Quantity of cement grouting per day ( 7 x 6 x 25 )</t>
  </si>
  <si>
    <t>Life of 25 mm dia GI Pipe</t>
  </si>
  <si>
    <t>Use rate of 400 m GI pipe 25 mm dia per hour ( cost / life )</t>
  </si>
  <si>
    <t>Use rate of 100 m pressure hose</t>
  </si>
  <si>
    <t>Use rate of 400 m GI pipe</t>
  </si>
  <si>
    <t>Rate per tonne</t>
  </si>
  <si>
    <t>No. of tippers to match corrected cycle time of shovel ( 13.73 / 3.73 )</t>
  </si>
  <si>
    <t>Output of tipper / hr with 50 min working / hr ( 50 x 4.53 / 13.73 )</t>
  </si>
  <si>
    <t>Output for 3.7 tippers per day ( 3.7 x 16.50 x 8 )</t>
  </si>
  <si>
    <t>Quantity of compacted embankment for 10 % shrinkage ( 490 x 0.90 )</t>
  </si>
  <si>
    <t>Quantity of loose soil to be spread ( 490 x 1.10 )</t>
  </si>
  <si>
    <t>Laying and jointing stone slabs Mason Cl I</t>
  </si>
  <si>
    <t>Area of shuttering with scaffolding / supports considered.</t>
  </si>
  <si>
    <t xml:space="preserve">Cost of fabrication @                                         Rs: </t>
  </si>
  <si>
    <t>Shovel digging and loading cycle per bucket</t>
  </si>
  <si>
    <t>Size of adit assumed ( finished section )</t>
  </si>
  <si>
    <t>machinery, labour, laying each layer to required slope, compaction etc., complete with initial</t>
  </si>
  <si>
    <t>Thickness of 80-20 mm CA layer</t>
  </si>
  <si>
    <t>Area of filter drain for 100 cum 100 / 0.90</t>
  </si>
  <si>
    <t>111.10 x 0.30 x 1.02</t>
  </si>
  <si>
    <t>Requirement of materials with 5 % for compaction and wastage:</t>
  </si>
  <si>
    <t>Sand satisfying filter creteria</t>
  </si>
  <si>
    <t>complete with lead upto 50 m and all lifts.</t>
  </si>
  <si>
    <t>Assuming 0.5 hour for excavation and fixing each stone.</t>
  </si>
  <si>
    <t>Consider 2 Stone chiseller Cl- I for top surface dressing of 32 stones.</t>
  </si>
  <si>
    <t>Nos.</t>
  </si>
  <si>
    <t>Rough stone 20x20x75 cm</t>
  </si>
  <si>
    <t>(Included in material rate)</t>
  </si>
  <si>
    <t>Deploy welding transformer for 3637 hours.</t>
  </si>
  <si>
    <t>Cost of welding set                               @ Rs:</t>
  </si>
  <si>
    <t>Quantity of binding wire per tonne</t>
  </si>
  <si>
    <t>Wastage of steel</t>
  </si>
  <si>
    <t>Cleaning and straightening</t>
  </si>
  <si>
    <t>Marking, cutting, bending &amp; stacking</t>
  </si>
  <si>
    <t xml:space="preserve">300/ 200 </t>
  </si>
  <si>
    <t xml:space="preserve">           --</t>
  </si>
  <si>
    <t>Conveying plums</t>
  </si>
  <si>
    <t>Laying concrete and plums</t>
  </si>
  <si>
    <t>for loading plums</t>
  </si>
  <si>
    <t>for laying concrete and plums</t>
  </si>
  <si>
    <t xml:space="preserve">For 1 cum CC :- Coarse aggregates </t>
  </si>
  <si>
    <t>Requirement of 10 mm down aggregate @ 0.015 cum / No.</t>
  </si>
  <si>
    <t>Explosive small dia ( Kelvex-220 ) ( 118 x 100 / 400 )</t>
  </si>
  <si>
    <t>Electric detonator ( 159 x 100 / 400 )</t>
  </si>
  <si>
    <t>Detonator ordinary ( 8 x 100 / 400 )</t>
  </si>
  <si>
    <t>Rockfill material collected can be levelled manually or by using dozer.</t>
  </si>
  <si>
    <t>Acetelyne gas @ 0.6 cum / hour                            ( 25 x 0.60 )</t>
  </si>
  <si>
    <t>Oxygen gas @ 1.8 cum / hour                                ( 25 x 1.80 )</t>
  </si>
  <si>
    <t xml:space="preserve">of all materials, machinery, labour, formwork, cleaning, batching, mixing, </t>
  </si>
  <si>
    <t xml:space="preserve">placing in position in alternate panels, levelling, compacting, finishing, </t>
  </si>
  <si>
    <t>Requirement of chain link mesh and sand bags for smooth blast area is included in this item.</t>
  </si>
  <si>
    <t>for chain link mesh 10 % extra area considered for overlapping.</t>
  </si>
  <si>
    <t>For sand bags 20 % extra quantity considered for placing sand bags on edges of wire mesh.</t>
  </si>
  <si>
    <t>Area of chain link mesh for 17 m width and 7 m length</t>
  </si>
  <si>
    <t>Cost of 1.8 m flat 4.23 kg @                            Rs:</t>
  </si>
  <si>
    <t>Miscellaneous fittings / switches etc</t>
  </si>
  <si>
    <t>Loading mixer drum &amp; miscellaneous</t>
  </si>
  <si>
    <t>Mixing and unloading</t>
  </si>
  <si>
    <t>Stone chips @ 15 %</t>
  </si>
  <si>
    <t>Requirement of labour for 10 cum masonry lining in CM 1:5.</t>
  </si>
  <si>
    <t>Total cycle of excavation &amp; supporting /blast of 1.5 m length</t>
  </si>
  <si>
    <t>Deploy drilling jumbo for 11 hours for various operations including time for movement.</t>
  </si>
  <si>
    <t>Jack hammer ( 4 x 6 hrs )</t>
  </si>
  <si>
    <t>Hammerman 2 Nos</t>
  </si>
  <si>
    <t>Stone chips at quarry</t>
  </si>
  <si>
    <t>on the condition of rock and mode of excavation and size of sections. For the purpose of rate</t>
  </si>
  <si>
    <t>analysis quarter arch rib fabrication is considered.</t>
  </si>
  <si>
    <t>/kg</t>
  </si>
  <si>
    <t>/ltr</t>
  </si>
  <si>
    <t>FOR</t>
  </si>
  <si>
    <t>REVISION OF DATA RATES</t>
  </si>
  <si>
    <t>Crew Charge in Rs.</t>
  </si>
  <si>
    <r>
      <t xml:space="preserve">                                         </t>
    </r>
    <r>
      <rPr>
        <sz val="10"/>
        <color indexed="63"/>
        <rFont val="Calibri"/>
        <family val="2"/>
      </rPr>
      <t>RATE ANALYSIS FOR OPERATING CREW CHARGES</t>
    </r>
  </si>
  <si>
    <t>No.</t>
  </si>
  <si>
    <t>Cement for incidentals @ 1 kg / slab</t>
  </si>
  <si>
    <t>Use rate of moulds for 500 uses</t>
  </si>
  <si>
    <t>Cast steel components :( Basic metal - steel )</t>
  </si>
  <si>
    <t>considered to estimate the compacted embankment quantity.</t>
  </si>
  <si>
    <t>Welding electrodes for stitch welding at 10 % of total with 2.5 % wastage :</t>
  </si>
  <si>
    <t>Cost of scaffolding materials considered @ :                                50 % of shuttering</t>
  </si>
  <si>
    <t>and dismantling the same before concreting including cost of all materials, machinery, labour,</t>
  </si>
  <si>
    <t>B. MACHINERY (for erection and dismantling):</t>
  </si>
  <si>
    <t>C. LABOUR ( for fabrication ):</t>
  </si>
  <si>
    <t>For dismantling of supports:</t>
  </si>
  <si>
    <t>sill beam, slide tracks, seal seats, guide rails, dogging sets for storage of stoplog elements</t>
  </si>
  <si>
    <t>cleaning surface, batching, mixing, placing in position, levelling, compacting, finishing, curing</t>
  </si>
  <si>
    <t>shall conform to relevant Indian standards / technical specifications and approved drawings.</t>
  </si>
  <si>
    <t>as per specifications and other technical data including revisions.</t>
  </si>
  <si>
    <t>50x50x6 mm angle 6.6 m length @ 3.8 kg/ m</t>
  </si>
  <si>
    <t>50x6 mm flat 1.8 m length @ 2.35 kg/ m</t>
  </si>
  <si>
    <t>Rate of progress for 1 m deep holes per hour</t>
  </si>
  <si>
    <t xml:space="preserve">Cost of 1.6 m drill rod @                                 Rs: </t>
  </si>
  <si>
    <t>Rs.</t>
  </si>
  <si>
    <t xml:space="preserve">Cost of air hose 50 m long @                          Rs: </t>
  </si>
  <si>
    <t xml:space="preserve">Use rate of air hose per hour </t>
  </si>
  <si>
    <t>Consider 10 holes of 1 m depth for analysis.</t>
  </si>
  <si>
    <t>Use rate of drill rod 1.6 m long</t>
  </si>
  <si>
    <t>Electric delay detonators @ 1 per alternate smooth blast holes</t>
  </si>
  <si>
    <t xml:space="preserve">No. of dumpers to match corrected cycle time of shovel ( 14.00 / 4.50 ) </t>
  </si>
  <si>
    <t xml:space="preserve">Output of dumper / hr with 50 min working / hr ( 50 x 3.57 / 14.00 ) </t>
  </si>
  <si>
    <t>Deploy 1 shovel and 3 dumpers for 1 hour for disposal of 40 cum.</t>
  </si>
  <si>
    <t>Deploy one 0.50 cum capacity shovel for 8 hours for digging and loading soil.</t>
  </si>
  <si>
    <t>blasting to obtain neat excavated profile minimising over-cuts.</t>
  </si>
  <si>
    <t xml:space="preserve">covering blasting area with chain link mesh or waste conveyor belts or </t>
  </si>
  <si>
    <t>waste tyres and sand bags to prevent flying of rock fragments during blasting.</t>
  </si>
  <si>
    <t xml:space="preserve">For obtaining neat side face blast holes are to be drilled at closer interval </t>
  </si>
  <si>
    <t>Time required for levelling 812.74 cum</t>
  </si>
  <si>
    <t>Time for rolling 812.74 cum soil in embankment layer</t>
  </si>
  <si>
    <t>50 / 60 ( 1.9 x 4000 x 0.25 x 0.75 /9 )</t>
  </si>
  <si>
    <t>Time for rolling 812.74 cum spread soil</t>
  </si>
  <si>
    <t>50 / 60 ( 1.9 x 4000 x 0.25 x 0.75 / 9 )</t>
  </si>
  <si>
    <t>Output for 5.32  tippers per day ( 6 x 15.32 x 8 )</t>
  </si>
  <si>
    <t>Quantity of compacted embankment for 10 % shrinkage ( 735.36 x 0.90 )</t>
  </si>
  <si>
    <t>661.8 cum</t>
  </si>
  <si>
    <t>Quantity of loose soil to be spread ( 735.36 x 1.10 ) :</t>
  </si>
  <si>
    <t>Time required for levelling 808.9 cum</t>
  </si>
  <si>
    <t xml:space="preserve">dowel rods on either side at 1 metre interval including cost of all materials, </t>
  </si>
  <si>
    <t>For foundation filling in large area and above pipes no rehandling of soil is considered.</t>
  </si>
  <si>
    <t>Output of 8-10 tonne road roller for compaction per hour</t>
  </si>
  <si>
    <t>Operator road roller</t>
  </si>
  <si>
    <t>size 70x45x40 cm, embedding the stone by 30 cm in concrete, providing 2 coats synthetic</t>
  </si>
  <si>
    <t>enamel paint of approved quality and colour to exposed surfaces and lettering as directed, cost</t>
  </si>
  <si>
    <t>machinery, labour, batching, mixing, placing in position as per detailed specifications etc.,</t>
  </si>
  <si>
    <t>For placing concrete under water by using tremie the slump of concrete shall be about 150 mm.</t>
  </si>
  <si>
    <t>Minimum cement content as per IS: 456-2000 Clause-14.2.2 : 350 kg / cum.</t>
  </si>
  <si>
    <t>Add for shutter oil at 0.2 ltr/ sqm @ Rs:</t>
  </si>
  <si>
    <t>Use rate of gantry / sqm / use considering 100 sqm effective area</t>
  </si>
  <si>
    <t>use of supports.</t>
  </si>
  <si>
    <t>scaffolding, cleaning, batching, mixing, placing in position,levelling, vibrating, finishing, curing</t>
  </si>
  <si>
    <t>Shuttering at 4.5 sqm / cum of concrete considered for troughs.</t>
  </si>
  <si>
    <t>for laying concrete.</t>
  </si>
  <si>
    <t>Needle vibrator 40 mm dia ( diesel )</t>
  </si>
  <si>
    <t xml:space="preserve"> Deploy 300/400 Diesel mixer for 8 hours.</t>
  </si>
  <si>
    <t>Consider steel moulds made of 40x30x4 mm angles</t>
  </si>
  <si>
    <t>Quantity of steel per mould (0.60x2+0.3x2)x2.6x1.025</t>
  </si>
  <si>
    <t>Say :    4.80kg</t>
  </si>
  <si>
    <t>Cement for incidentals @ 0.5kg/slab</t>
  </si>
  <si>
    <t>Coarse aggregate 20 mm below</t>
  </si>
  <si>
    <t>The basic rates are EXCLUSIVEof preparation of designs / drawings / material schedules etc.,</t>
  </si>
  <si>
    <t>Use of gas cutting torch with 50 min / hr working ( 25 x 60 / 50 )</t>
  </si>
  <si>
    <t>Use of pug cutting machine with 50 min / hr working ( 343 x 60 / 50 )</t>
  </si>
  <si>
    <t>( 2765 / 15 ) x 8 / 2</t>
  </si>
  <si>
    <t>( 24885 / 15 ) x 8 / 6</t>
  </si>
  <si>
    <t>Jaw plates 900 x 500 mm ( serreted )</t>
  </si>
  <si>
    <t>gears and pinions, plummer blocks, worm reducer, floating shaft, hand operation assembly,</t>
  </si>
  <si>
    <t>brake, wire rope, gate position indicator etc. with related accessories.</t>
  </si>
  <si>
    <t>Weight of hoist with all accessories                       ( 0.3 x 10 )</t>
  </si>
  <si>
    <t>CA : 0.90 cum, Blending Ratio of CA -- 50:30:20, FA : 0.40 cum)</t>
  </si>
  <si>
    <t>drilling jumbo / air and water hoses from place to place.</t>
  </si>
  <si>
    <t>consider 12 m height of contraction joint for analysis.</t>
  </si>
  <si>
    <t>Reinforcement steel 8 mm dia</t>
  </si>
  <si>
    <t>GI pipe 15 mm dia</t>
  </si>
  <si>
    <t>Nil</t>
  </si>
  <si>
    <t>Time for rolling 792 cum soil in embankment layer</t>
  </si>
  <si>
    <t>Shovel 0.85 cum</t>
  </si>
  <si>
    <t>Speed for loaded dumper under haul road condition</t>
  </si>
  <si>
    <t xml:space="preserve">( Data adopted from MORTH) </t>
  </si>
  <si>
    <t>Fuel/ Energy charges</t>
  </si>
  <si>
    <t>crew for excavator</t>
  </si>
  <si>
    <t>Deploy 1 tipper for 4 hours for disposal of hard rock obtained by trimming.</t>
  </si>
  <si>
    <t>Deploy 90 hp dozer for 2 hour for levelling excavated rock in the dump yard.</t>
  </si>
  <si>
    <t>Area of chain link mesh for 20 m x 30 m area ( 20 x 30 )</t>
  </si>
  <si>
    <t>Qty of Sand =0.60x0.6x0.75=0.27-0.081=</t>
  </si>
  <si>
    <t xml:space="preserve">Add 1/3 metal qty =0.078/3 = </t>
  </si>
  <si>
    <t>Super  plasticiser</t>
  </si>
  <si>
    <t>Use rate  of paving cylinder</t>
  </si>
  <si>
    <t>In-situ qty per load for 20 % bulkage of soil ( 5.0 /1.2 )</t>
  </si>
  <si>
    <t xml:space="preserve">say : </t>
  </si>
  <si>
    <t>Use rate of materials:</t>
  </si>
  <si>
    <t>Hourly requirement considering 16.5 production hours in 3 shifts ( 500 / 16.50 )</t>
  </si>
  <si>
    <t>No watering proposed for the work. Rolling under available moisture condition.</t>
  </si>
  <si>
    <t>Average number of roller passes to achieve specified density control</t>
  </si>
  <si>
    <t>labour, all operations such as excavation, sorting out, transporting, spreading in layer of</t>
  </si>
  <si>
    <t>Foreman for controlling tower crane movements</t>
  </si>
  <si>
    <t>Mason Cl I for laying concrete ( 2 at each placing point )</t>
  </si>
  <si>
    <t>of hole and spacing of holes is considered at 1.25 times burden.</t>
  </si>
  <si>
    <t>Burden distance for 100 mm dia holes</t>
  </si>
  <si>
    <t>Spacing of holes at 1.25 times burden</t>
  </si>
  <si>
    <t>Grid spacing of holes for 100 mm dia Waggon drill holes</t>
  </si>
  <si>
    <t>Consider 3 burden distance for excavation.</t>
  </si>
  <si>
    <t>Quantity of spalls from quarry</t>
  </si>
  <si>
    <t>Use rate of grout hose 25 m</t>
  </si>
  <si>
    <t>Use rate of water hose 25 m</t>
  </si>
  <si>
    <t>for cement handling</t>
  </si>
  <si>
    <t>for sand</t>
  </si>
  <si>
    <t>Rubble stones ( at quarry )</t>
  </si>
  <si>
    <t>Stone chips / spalls ( at quarry )</t>
  </si>
  <si>
    <t>Mason Cl- II</t>
  </si>
  <si>
    <t>mortar pans or by collecting and rehandling after draining out water.</t>
  </si>
  <si>
    <t>excavation, back filling with available stuff after refixing, forming base platform of size 90 x 90 x</t>
  </si>
  <si>
    <t>work inspector</t>
  </si>
  <si>
    <t>work inspector 1 in each shift</t>
  </si>
  <si>
    <t>Consider 1 work inspector &amp; 2 mazdoors for fixing 32 stones / day</t>
  </si>
  <si>
    <t>Deploy 6 crowbarman and 6 stone breakers for loosening and breaking blasted</t>
  </si>
  <si>
    <t>Ordinary detonator</t>
  </si>
  <si>
    <t>Electric detonator</t>
  </si>
  <si>
    <t>Use rate of drill rod</t>
  </si>
  <si>
    <t>Jack hammer 2 Nos</t>
  </si>
  <si>
    <t>Blaster licensed</t>
  </si>
  <si>
    <t>Requirement of materials with 2 % wastage for filter:</t>
  </si>
  <si>
    <t xml:space="preserve">( Khandki stones 25- 30 cm height : 1200 Nos/sqm,  Stone Chips : 0.0675cum/sqm, </t>
  </si>
  <si>
    <t>Pin Headers 45cm : 2/sqm)</t>
  </si>
  <si>
    <t xml:space="preserve">( Khandki stones 25- 30 cm height : 730 Nos/sqm,  Stone Chips : 0.0675cum/sqm, </t>
  </si>
  <si>
    <t>(FA : 2 cum/sqm)</t>
  </si>
  <si>
    <t>CA : 0.98cum, Blending Ratio of CA--35:30:20:15, FA : 0.35 cum)</t>
  </si>
  <si>
    <t>stone chips : 0.15 cum/cum, FA : 0.4 cum)</t>
  </si>
  <si>
    <t xml:space="preserve">( Cement content : 143 kg/cum of masonry, rubble stones : 0.85 cum, </t>
  </si>
  <si>
    <t>supports,  all enabling works, profit, overheads, small tools / plants, hidden cost</t>
  </si>
  <si>
    <t>Rope drum hoist for river / canal sluice service gate consists of embedded parts for anchorage,</t>
  </si>
  <si>
    <t>Agitator car 2 cum ( 2 Nos )</t>
  </si>
  <si>
    <t>Needle Vibrator</t>
  </si>
  <si>
    <t>Pump 10 hp ( Ele )</t>
  </si>
  <si>
    <t>Crew for vibrator</t>
  </si>
  <si>
    <t>Name of the 
Minor Mineral</t>
  </si>
  <si>
    <t>Deploy 1 air compressor 8.5 cmm capacity and 2 jack hammers for 8 hours with 50 minutes</t>
  </si>
  <si>
    <t>Consider 2 mazdoors for spraying water.</t>
  </si>
  <si>
    <t>for bed lining.However 5 mazdoors considered for finishing to required slopes.</t>
  </si>
  <si>
    <t>Conveying PCC lug slabs mazdoor</t>
  </si>
  <si>
    <t>Assisting mason for fixing PCC lug slabs mazdoor</t>
  </si>
  <si>
    <t>Deploy about 50 KVA capacity DG set with all accessories at BP site</t>
  </si>
  <si>
    <t>Deploy about 30 KVA capacity DG set with all accessories at paver site</t>
  </si>
  <si>
    <t>Quantity of concrete for 800 Sqm</t>
  </si>
  <si>
    <t xml:space="preserve">Super paistizer </t>
  </si>
  <si>
    <t xml:space="preserve">For 1 cum CC :-   Coarse aggregates : 0.68 cum </t>
  </si>
  <si>
    <t>Fine aggregate : 0.43 cum</t>
  </si>
  <si>
    <t>Consider 0.5 stone chiseller Cl- I for dressing top surface and engraving BM data.</t>
  </si>
  <si>
    <t>Rubble stone at quarry</t>
  </si>
  <si>
    <t>Total thickness of rivetment</t>
  </si>
  <si>
    <t>Thickness of 10 mm down CA layer</t>
  </si>
  <si>
    <t>Thickness of 40 mm CA layer</t>
  </si>
  <si>
    <t>Structural steel Erector</t>
  </si>
  <si>
    <t>Helper erector</t>
  </si>
  <si>
    <t>Quantity of rust cleaner / inhibitor at 8 sqm / ltr</t>
  </si>
  <si>
    <t>Requirement of other machinery :</t>
  </si>
  <si>
    <t>proportion by volume including cost of all materials ( excluding pipes and collars ), machinery,</t>
  </si>
  <si>
    <t>Consider 10 joints for analysis.</t>
  </si>
  <si>
    <t>Weight of manually operated hoist</t>
  </si>
  <si>
    <t xml:space="preserve">Length of contraction joint at water seal location : </t>
  </si>
  <si>
    <t xml:space="preserve">Materials required: Copper sheet 9.00 x 0.6 m of </t>
  </si>
  <si>
    <t>Laying masonry Mason Cl I</t>
  </si>
  <si>
    <t>Laying masonry Mason Cl II</t>
  </si>
  <si>
    <t>Uncoursed rubble stones at quarry</t>
  </si>
  <si>
    <t>Through stones 20x20x30 cm</t>
  </si>
  <si>
    <t>For conveying &amp; laying 20 mm down CA ( 2 mazdoors @ 5 cum / day ).</t>
  </si>
  <si>
    <t>2 mazdoors @ 6 cum / day.</t>
  </si>
  <si>
    <t>B.( Lead) Conveyance charges for machinery per kilometer for transporting materials by tippers and trucks</t>
  </si>
  <si>
    <t xml:space="preserve">                                                                        </t>
  </si>
  <si>
    <t>( No loading and unloading charges allowed for machinery loading and unloading )</t>
  </si>
  <si>
    <t>Distance</t>
  </si>
  <si>
    <t>(Lead) charges for trucks and tippers  for Earth / Sand /Gravel / Murrum/ Lime/ Surki/ per cu.meter</t>
  </si>
  <si>
    <t>(Lead) charges for trucks and tippers for Rubble/Size stones/ Cut Stones/ Coarse aggregate per cu.meter</t>
  </si>
  <si>
    <t>(Lead) charges for trucks and tippers  for Cement/ Steel/ RCC poles/ AC &amp; GI sheets/ Packed materials/tonne</t>
  </si>
  <si>
    <t>(Lead) charges for trucks and tippers per cu.meter  for PCC slabs/ Shahabad slabs/ CC &amp; Laterite blocks/ Wood/ cum</t>
  </si>
  <si>
    <t>(Lead) charges for trucks and tippers per cu.meter  for water/ 1000 litres</t>
  </si>
  <si>
    <t>Lead  upto 1 km</t>
  </si>
  <si>
    <t>Lead  upto 2 km</t>
  </si>
  <si>
    <t>Lead upto  3 km</t>
  </si>
  <si>
    <t>Lead  upto 4 km</t>
  </si>
  <si>
    <t>Lead  upto 5 km</t>
  </si>
  <si>
    <t xml:space="preserve"> for Every km beyond 5 km upto 30 km</t>
  </si>
  <si>
    <t>for Every km beyond 30 km</t>
  </si>
  <si>
    <t>C. LOADING AND UNLOADING CHARGES BY MANUAL MEANS (idle hire charges of trucks are not added)</t>
  </si>
  <si>
    <t>Description of item</t>
  </si>
  <si>
    <t>Earth / Sand /Gravel
Murrum/ / Surki/
Rs / cum</t>
  </si>
  <si>
    <t>Jack hammer ( 60 x 100 / 400 )</t>
  </si>
  <si>
    <t>( 0.14 x 7.50 x 47.10 x 1.025 )</t>
  </si>
  <si>
    <t>Super plasticiser</t>
  </si>
  <si>
    <t>Use rate of paving cylinder</t>
  </si>
  <si>
    <t>the soil moisture within OMC plus or minus 3 percent limit. Assuming seasonal average of 5</t>
  </si>
  <si>
    <t>machinery, labour, forming weep holes at specified interval, finishing, curing etc., complete</t>
  </si>
  <si>
    <t>Stones and chips will be issued from dump yard at specified issue rate.</t>
  </si>
  <si>
    <t>Thickness of masonry lining assumed</t>
  </si>
  <si>
    <t>Uncoursed rubble at dump yard</t>
  </si>
  <si>
    <t>Stone chips at dump yard</t>
  </si>
  <si>
    <t>Cement Required for 0.003 = 0.003x50/0.127=</t>
  </si>
  <si>
    <t>Kgs</t>
  </si>
  <si>
    <t>Machine mixing Charges</t>
  </si>
  <si>
    <t>Man Mazdoor</t>
  </si>
  <si>
    <t>The average grout intake in the contact zone is considered at 75 kg per metre. Beyond contact</t>
  </si>
  <si>
    <t>zone the grout intake may vary from 25 kg per metre to 50 kg per metre depending on the</t>
  </si>
  <si>
    <t>Intermediate stiffeners 40x40x5 mm angles 36 m @ 3.78 kg / m</t>
  </si>
  <si>
    <t>(11*60/50/0.7)</t>
  </si>
  <si>
    <t>Dumpers 5 cum capacity 3 Nos.</t>
  </si>
  <si>
    <t>Air compressor 8.5 cmm (ele) 2 Nos.</t>
  </si>
  <si>
    <t>Quantity of loose soil to be spread</t>
  </si>
  <si>
    <t>Time required for levelling 1140 cum</t>
  </si>
  <si>
    <t>Requirement of materials:</t>
  </si>
  <si>
    <t>Resetting and jointing stone slabs Mason Cl I</t>
  </si>
  <si>
    <t>Geophysical Electric resistivity meter</t>
  </si>
  <si>
    <t>Guniting / sand blast equipment</t>
  </si>
  <si>
    <t>Ice plant &amp; accessories 30 t / day</t>
  </si>
  <si>
    <t>Needle vibrator 40 mm ( petrol )</t>
  </si>
  <si>
    <t>1 Bar benders &amp; 2 mazdoors</t>
  </si>
  <si>
    <t>1 Bar benders &amp; 1 mazdoors</t>
  </si>
  <si>
    <t>Deploy 3 mazdoors at BP site for feeding cement to cement bin / silo.</t>
  </si>
  <si>
    <t>No. of tippers to match corrected cycle time of shovel ( 14.17/2.67 ) :</t>
  </si>
  <si>
    <t>Since soil is from dump area no stripping is involved.</t>
  </si>
  <si>
    <t>Deploy one 0.50 cum capacity shovel for 8 hours for re-excavation and loading soil.</t>
  </si>
  <si>
    <t>Deploy 5 tippers of 5.00 cum capacity for 8 hours to convey soil to embankment area.</t>
  </si>
  <si>
    <t>Generally soil in the dump area will be in moist condition. In the beginning of the season no</t>
  </si>
  <si>
    <t>watering may be necessary. However, in summer months as the loose soil looses moisture at</t>
  </si>
  <si>
    <t>faster rate compared to borrow area about 10 to 12 % watering may be needed to maintain</t>
  </si>
  <si>
    <t>Consider 1 work inspector, 1 Mason CL- II &amp; 1 mazdoor for fixing 7 drops per day.</t>
  </si>
  <si>
    <t>Consider 1 work inspector &amp; 2 mazdoors for refixing 18 stones / day</t>
  </si>
  <si>
    <t>Consider 1 work inspector &amp; 2 mazdoors for fixing 10 stones</t>
  </si>
  <si>
    <t>Consider 1 work inspector, 1 Mason Cl- II &amp; 2 mazdoors for fixing.</t>
  </si>
  <si>
    <t>Consider 1 work inspector &amp; 2 mazdoors for removing and refixing 18 stones / day</t>
  </si>
  <si>
    <t>Consider 1 work inspector, 1 Mason &amp; 2 mazdoor for refixing 8 stones / day</t>
  </si>
  <si>
    <t xml:space="preserve">Consider 1 work inspector, 8 mazdoors </t>
  </si>
  <si>
    <t>Tipper 5 cum ( excluding tyres )</t>
  </si>
  <si>
    <t>Tipping tub 1.5 cum</t>
  </si>
  <si>
    <t>Tower crane 5 tonne</t>
  </si>
  <si>
    <t>Quantity of 80-20 mm filter to be reused</t>
  </si>
  <si>
    <t>Cost of 50 m air hose @ Rs:</t>
  </si>
  <si>
    <t>Cost of drill rod 2.5 m long @ Rs:  / Each</t>
  </si>
  <si>
    <t>Cost of air hose 50 m long @ Rs:  / Rm</t>
  </si>
  <si>
    <t xml:space="preserve">Reconditionong charges @ </t>
  </si>
  <si>
    <t>Spacing of holes @ 1.20 times burden</t>
  </si>
  <si>
    <t>Grid spacing of holes in m</t>
  </si>
  <si>
    <t xml:space="preserve">1.00 x1.20 </t>
  </si>
  <si>
    <t>Nos. of holes for 400 sqm area ( 400 / 1.00 x 1.20 )</t>
  </si>
  <si>
    <t>Depth of drilling ( 333 x 0.9 )</t>
  </si>
  <si>
    <t>soil.</t>
  </si>
  <si>
    <t xml:space="preserve">Deploy 5 tippers of 5.00 cum capacity for 8 hours to convey soil to </t>
  </si>
  <si>
    <t>embankment area.</t>
  </si>
  <si>
    <t xml:space="preserve">Generally soil in borrow area will be in moist condition. In the beginning of </t>
  </si>
  <si>
    <t xml:space="preserve">the season no watering may be necessary and in summer months about </t>
  </si>
  <si>
    <t>Quantity of explosive small dia at 0.3 kg / cum for main blast</t>
  </si>
  <si>
    <t>Quantity of explosive small dia at 0.2 kg / cum for secondary blast</t>
  </si>
  <si>
    <t xml:space="preserve">30 times diameter of hole and spacing of holes is considered at 1.20 times </t>
  </si>
  <si>
    <t>burden.</t>
  </si>
  <si>
    <t xml:space="preserve">Consider drilling by Jack hammers and mucking by deploying Shovel and </t>
  </si>
  <si>
    <t xml:space="preserve">drill or any other suitable equipment including cost of all materials, </t>
  </si>
  <si>
    <t xml:space="preserve">machinery, labour, redrilling through partially set grout wherever required </t>
  </si>
  <si>
    <t xml:space="preserve">The item rate for drilling through rock / masonry / concrete includes redrilling </t>
  </si>
  <si>
    <t>through partially set grout, if any, in the portion of hole already grouted.</t>
  </si>
  <si>
    <t xml:space="preserve">Generally rate of drilling by waggon drill in rock or masonry or concrete in </t>
  </si>
  <si>
    <t xml:space="preserve">open area including shifting from hole to hole will be about 12 m per hour. </t>
  </si>
  <si>
    <t>for miscellaneous works ( 1 x 3 )</t>
  </si>
  <si>
    <t xml:space="preserve"> including cost of all materials,labour,hand packing,finishing etc.,complete</t>
  </si>
  <si>
    <t xml:space="preserve">Cement considering 35 % mortar </t>
  </si>
  <si>
    <t xml:space="preserve">Sand considering 35 % mortar </t>
  </si>
  <si>
    <t xml:space="preserve"> including cost of all materials,labour, packing chips and mortar ,finishing etc.,complete</t>
  </si>
  <si>
    <t>Crew charges for placer pump</t>
  </si>
  <si>
    <t>Crew charges for vibrator</t>
  </si>
  <si>
    <t>Concreting 48 cum @ 3.00 cum per hour</t>
  </si>
  <si>
    <t xml:space="preserve">Quantity of mortar for 100 sqm with 10 %   wastage : </t>
  </si>
  <si>
    <t>the profile of tunnel. This requires more labour for bending at fabrication yard and for placing</t>
  </si>
  <si>
    <t>bars in position in tunnel.</t>
  </si>
  <si>
    <t>Marking, bending and stacking</t>
  </si>
  <si>
    <t>Alloy steel components :</t>
  </si>
  <si>
    <t>Trunnion pins</t>
  </si>
  <si>
    <t>cost of all materials, machinery, labour, scaffolding, cleaning, packing cement mortar, wedging</t>
  </si>
  <si>
    <t>Time for drilling 63 m                                                 ( 63 / 16 )</t>
  </si>
  <si>
    <t>Consider 2 mazdoors for supplying spalls and miscellaneous works.</t>
  </si>
  <si>
    <t>Assume 4 mazdoors for sorting out.</t>
  </si>
  <si>
    <t>Consider 2 Masons, 10 mazdoors at paver site for laying &amp; curing CC.</t>
  </si>
  <si>
    <t>Consider 2 Masons, 10 mazdoors at paver site for laying &amp; curing CC</t>
  </si>
  <si>
    <t>Mazdoor:</t>
  </si>
  <si>
    <t xml:space="preserve">Mazdoor for conveying concrete @ 1 per cum </t>
  </si>
  <si>
    <t>Mazdoor for conveying concrete @ 1 per cum</t>
  </si>
  <si>
    <t>Concrete placer pump</t>
  </si>
  <si>
    <t>i ) The rate under this item shall be adopted for canals designed for carrying capacity of less</t>
  </si>
  <si>
    <t>than 15 cumecs or where the average depth of excavation in hard rock is less than 3 m.</t>
  </si>
  <si>
    <t>will be about 4 tanker loads of 8000 ltrs each.</t>
  </si>
  <si>
    <t>Since dozer is not considered for spreading soil about 25 percent extra roller passes needed.</t>
  </si>
  <si>
    <t>Depth of drilling ( 29 x 1.5 )</t>
  </si>
  <si>
    <t>A. Cost of Materials including serignorage charges</t>
  </si>
  <si>
    <t>Output of tipper / hr with 50 min working / hr ( 50 x 4.00 / 14.67 )</t>
  </si>
  <si>
    <t>Output for 3 tippers per day ( 3 x 13.63 x 8 )</t>
  </si>
  <si>
    <t>Add for conveyor system @</t>
  </si>
  <si>
    <t>Add for electric sub-station / Demand charges @</t>
  </si>
  <si>
    <t>Total quantity of explosive for 330 cum</t>
  </si>
  <si>
    <t>Ordinary detonators for secondary blast</t>
  </si>
  <si>
    <t>Electric detonators for main blast</t>
  </si>
  <si>
    <t>Rs</t>
  </si>
  <si>
    <t>Use rate of drill rod 1.5 m long</t>
  </si>
  <si>
    <t>Chavali</t>
  </si>
  <si>
    <t>Output for 5 tippers per day ( 5 x 21.70 x 8 )</t>
  </si>
  <si>
    <t>the net quantity of embankment will be ( 870 x 0.95 )</t>
  </si>
  <si>
    <t>1 Stripping of borrow area :</t>
  </si>
  <si>
    <t>Alloy steel ( IS : 1570-stainless steel ) pins</t>
  </si>
  <si>
    <t>Bolt / Nut / Washer ( hot dipped galvanized )</t>
  </si>
  <si>
    <t>Bolt / Nut / Washer ( stainless steel )</t>
  </si>
  <si>
    <t>Burden distance for 32 mm dia jack hammer holes say</t>
  </si>
  <si>
    <t>Spacing of holes at 1.20 times burden</t>
  </si>
  <si>
    <t xml:space="preserve">1.00 x 1.20 </t>
  </si>
  <si>
    <t>For surface finishing of stainless steel plates for seal seats planing machine is considered.</t>
  </si>
  <si>
    <t>Length of SS plate for surface finishing by planing machine</t>
  </si>
  <si>
    <t>Length of planing at a time for 4 m stroke planing machine</t>
  </si>
  <si>
    <t>Time for planing 3 m length section with 50 min / hour working</t>
  </si>
  <si>
    <t xml:space="preserve">Time for planing 56 m SS plates </t>
  </si>
  <si>
    <t>( 56 x 8 / 3 )</t>
  </si>
  <si>
    <t>brake system, wire rope, ladder etc., with all accessories for operating canal regulator</t>
  </si>
  <si>
    <t xml:space="preserve">radial gate including cost of all materials, machinery, labour, welding, finishing, cleaning, </t>
  </si>
  <si>
    <t>Labour charges for erecting &amp; dismantling scaffolding : 100 % of labour for shuttering.</t>
  </si>
  <si>
    <t>Concrete mixer 300 / 200 ltr ( ele</t>
  </si>
  <si>
    <t>for batching cement ( cement handling )</t>
  </si>
  <si>
    <t>Concrete mixer 600/400 ltr (diesel)</t>
  </si>
  <si>
    <t>5 hp pump (diesl)</t>
  </si>
  <si>
    <t>Needle vibrator 40 mm die (petrol)</t>
  </si>
  <si>
    <t>A. Cost of Materials including royalty charges</t>
  </si>
  <si>
    <t>Rate of drilling in hard rock per hour</t>
  </si>
  <si>
    <t>including 50 m lead and for all lifts.</t>
  </si>
  <si>
    <t>No. of tippers to match corrected cycle time of shovel ( 14.17 / 2.67 )</t>
  </si>
  <si>
    <t>Output of tipper / hr with 50 min working / hr ( 50 x 4.54 / 14.17 )</t>
  </si>
  <si>
    <t>Cycle time of various operations for concreting:</t>
  </si>
  <si>
    <t>Cleaning / scaling bed for laying track line</t>
  </si>
  <si>
    <t>Joint</t>
  </si>
  <si>
    <t>( Manual mixing )</t>
  </si>
  <si>
    <t>Stone chiseller Cl-I</t>
  </si>
  <si>
    <t>Gas cutter for preparing washers</t>
  </si>
  <si>
    <t>Sundries(gas for cutting etc)</t>
  </si>
  <si>
    <t>Sundries ( lathe, etc )</t>
  </si>
  <si>
    <t>Time for 1 km return trip ( 60 /15 )</t>
  </si>
  <si>
    <t>No. of tippers to match corrected cycle time of shovel ( 15.50 / 4.00 )</t>
  </si>
  <si>
    <t>Output of tipper / hr with 50 min working / hr ( 50 x 4.00 / 15.50 )</t>
  </si>
  <si>
    <t>Output for 4 tippers per day ( 4 x 12.90 x 8 )</t>
  </si>
  <si>
    <t>Area to be stripped assuming 1.5 m depth of cut ( 412.8 x 6 /1.5 ) :</t>
  </si>
  <si>
    <t>Quantity of stripping considering 5 % extra area ( 1651.2 x1.05 x 0.20 ) :</t>
  </si>
  <si>
    <t>Time required for stripping 346.752 cum</t>
  </si>
  <si>
    <t>10 percent</t>
  </si>
  <si>
    <t>Deploy 1 mazdoor for miscellaneous works.</t>
  </si>
  <si>
    <t>Deploy 0.85 cum shovel and 4 tippers for 0.28 hours for disposal of 17.5 cum excavated rock</t>
  </si>
  <si>
    <t>upto 3 m.</t>
  </si>
  <si>
    <t>4.5 Cum</t>
  </si>
  <si>
    <t>Sl.No</t>
  </si>
  <si>
    <t>Particulars</t>
  </si>
  <si>
    <t>Qty</t>
  </si>
  <si>
    <t>Average rate of drilling considering 50 % time for shifting</t>
  </si>
  <si>
    <t>Tippers 5 cum capacity 5 Nos</t>
  </si>
  <si>
    <t>sides to required profile, cost of all materials, machinery, labour, placing the excavated stuff</t>
  </si>
  <si>
    <t>Number of slabs per cum of concrete</t>
  </si>
  <si>
    <t>Generally borrow area is stripped once in a week for 6 days requirement of soil.</t>
  </si>
  <si>
    <t>Depth of stripping</t>
  </si>
  <si>
    <t>Time required for stripping 685 cum</t>
  </si>
  <si>
    <t xml:space="preserve">                                                                                       Total           Rs:     </t>
  </si>
  <si>
    <t>Water for W / C ratio of 0.6 and use of air entraining admixture</t>
  </si>
  <si>
    <t>Specific heat of water</t>
  </si>
  <si>
    <t>( Cw )</t>
  </si>
  <si>
    <t>Use of chilled water and flaked ice considered for mixing concrete.</t>
  </si>
  <si>
    <t>For erecting &amp; dismantling heavy duty shutters consider labour charges at 1.5 times the labour</t>
  </si>
  <si>
    <t>charges for erecting &amp; dismantling normal shuttering.</t>
  </si>
  <si>
    <t>Labour charges for erecting &amp; dismantling heavy duty shuttering / sqm</t>
  </si>
  <si>
    <t>Super Plasticizer or AEA</t>
  </si>
  <si>
    <t>Batching plant 2 x 1.5 cum</t>
  </si>
  <si>
    <t>Air compressor 7 cmm ( ele )</t>
  </si>
  <si>
    <t>Tower crane 5 t</t>
  </si>
  <si>
    <t>Concrete bucket</t>
  </si>
  <si>
    <t>Needle vibrator 60 mm dia ( ele )</t>
  </si>
  <si>
    <t>Crew for Tipper ( 4 )</t>
  </si>
  <si>
    <t>Crew for Tower crane ( 2 )</t>
  </si>
  <si>
    <t>Crew for Needle vibrator ( 2 )</t>
  </si>
  <si>
    <t>for silo ( cement handling )</t>
  </si>
  <si>
    <t>for batching plant</t>
  </si>
  <si>
    <t>for conveyor system</t>
  </si>
  <si>
    <t>for laying &amp; vibrating</t>
  </si>
  <si>
    <t>for cleaning / washing / curing</t>
  </si>
  <si>
    <t>Removing and refixing disturbed chainage / demarcation / hectometre / guard stones</t>
  </si>
  <si>
    <t>The rate for structural steel fabrication shall include cost of all materials (except structural</t>
  </si>
  <si>
    <t>Needle vibrator 40 mm petrol</t>
  </si>
  <si>
    <t>For 1 cum CC :-           Coarse aggregates : 0.90 cum                 Blending ratio : 50 : 30 : 20</t>
  </si>
  <si>
    <t>Shuttering at 3.25 sqm / cum of concrete considered for counterfort walls.</t>
  </si>
  <si>
    <t>Use rate of water hose</t>
  </si>
  <si>
    <t>Sundries( paint / template etc )</t>
  </si>
  <si>
    <t>Air compressor 15 cmm ( ele )</t>
  </si>
  <si>
    <t>Jack hammer ( 4 x 5 hrs )</t>
  </si>
  <si>
    <t>Dumper ( 1 x 6.5 hrs )</t>
  </si>
  <si>
    <t>Pump 10 hp ( ele )</t>
  </si>
  <si>
    <t>Ventilation fans 20 hp</t>
  </si>
  <si>
    <t>Sundries(explosive van / magazine )</t>
  </si>
  <si>
    <t>Crew for Drilling jumbo</t>
  </si>
  <si>
    <t>FINISHING COATS:</t>
  </si>
  <si>
    <t xml:space="preserve">Use rate of shutter considering </t>
  </si>
  <si>
    <t>Scaffolding of shuttering  @</t>
  </si>
  <si>
    <t xml:space="preserve">Scaffolding of shuttering @  </t>
  </si>
  <si>
    <t xml:space="preserve">density of embankment compacted to more than 95 percent density control. </t>
  </si>
  <si>
    <t>Considering shrinkage factor of 5 percent</t>
  </si>
  <si>
    <t xml:space="preserve">Generally borrow area is stripped once in a week for 6 days requirement of </t>
  </si>
  <si>
    <t>Sand bags at 1 per alternate hole for smooth blast holes say</t>
  </si>
  <si>
    <t>Use rate of materials</t>
  </si>
  <si>
    <t>Pump 5 hp ( ele )</t>
  </si>
  <si>
    <t>Total cost of Machinery</t>
  </si>
  <si>
    <t>Output of tipper / hr with 50 min working / hr ( 50 x 5.00 / 15.00 )</t>
  </si>
  <si>
    <t>Output for 3 dumpers per day ( 3 x 16.67 x 8 )</t>
  </si>
  <si>
    <t>Considering 40 % bulkage, insitu quantity of rock will be ( 400 / 1.40 )</t>
  </si>
  <si>
    <t>Deploy 3 dumpers for conveying quarried rock from quarry to rockfill embankment area.</t>
  </si>
  <si>
    <t xml:space="preserve">Add for bolts &amp; nuts / clamps @ </t>
  </si>
  <si>
    <t>Labour charges for erecting &amp; dismantling normal shuttering / sqm</t>
  </si>
  <si>
    <t>A.  (Lead) Conveyance Charges for materials by head load</t>
  </si>
  <si>
    <t>Total distance                                           ( Total lead includes initial lead )</t>
  </si>
  <si>
    <t>Add for aggregate conveyor system @</t>
  </si>
  <si>
    <t xml:space="preserve">11. Hire charges are per 1KM  for tippers and trucks for tranport of materials from work site to dump </t>
  </si>
  <si>
    <t>Aportioned hire charges of machinery  for lining slab</t>
  </si>
  <si>
    <t>Aportioned cost of labour  for lining slabs</t>
  </si>
  <si>
    <t>Aportioned hire charges of machinery for lug slabs</t>
  </si>
  <si>
    <t>Aportioned cost of labourfor lug slabs</t>
  </si>
  <si>
    <t>Aportioned hire charges of machinery   for lining slab</t>
  </si>
  <si>
    <t>Aportioned hire charges of machinery   for lug slabs</t>
  </si>
  <si>
    <t>In-situ qty per bucket for 25 % bulkage of soil ( 0.57 /1.25 )</t>
  </si>
  <si>
    <t>Output of shovel with 50 min./ hr working( 50 x 60 x 0.45 / 45 )</t>
  </si>
  <si>
    <t>Daily output of excavation ( 8 x 30 )</t>
  </si>
  <si>
    <t>excavation mainly for trimming the canal to final profile by manual labour, the daily output will</t>
  </si>
  <si>
    <t xml:space="preserve">groove with asphalt, circulation of steam at intervals, cost of all materials, </t>
  </si>
  <si>
    <t xml:space="preserve">Superplasticizer 0.4% by wt. of cement) </t>
  </si>
  <si>
    <t>CA : 0.90cum, Blending Ratio of CA--50:30:20, FA : 0.40 cum)</t>
  </si>
  <si>
    <t>CA : 0.80cum, Blending Ratio of CA--65:35, FA : 0.45 cum)</t>
  </si>
  <si>
    <t>Quantity of drilling for 10 bolts</t>
  </si>
  <si>
    <t>Rate of drilling for rock bolts including shifting</t>
  </si>
  <si>
    <t>Cost of steel angles @          Rs.</t>
  </si>
  <si>
    <t>Cost of fabrication @           Rs.</t>
  </si>
  <si>
    <t>15% (-) Rs.</t>
  </si>
  <si>
    <t>150 mm</t>
  </si>
  <si>
    <t>Quantity of CC for paver / hour (100 x 0.15)</t>
  </si>
  <si>
    <t>50 / 60 ( 1.5 x 3000 x 0.15 x 0.75 /10 )</t>
  </si>
  <si>
    <t>Time for rolling 551.6 cum spread soil</t>
  </si>
  <si>
    <t>Deploy 27 mazdoors for levelling 551.6 cum soil including extra soil required for roller</t>
  </si>
  <si>
    <t>Labour charges for dismantling : @ 50 percent of labour charges for erection.</t>
  </si>
  <si>
    <t>Generally 8-10 passes of diesel road roller is adequate for achieving 95 percent density control for</t>
  </si>
  <si>
    <t>cum/hour</t>
  </si>
  <si>
    <t xml:space="preserve"> cum/hour</t>
  </si>
  <si>
    <t>Pneumatic tampers 2 Nos.</t>
  </si>
  <si>
    <t>walk way at trunnion level generally consists of 1 m wide structural steel bridge spanning across</t>
  </si>
  <si>
    <t xml:space="preserve">Cost of extn rod with sleeve 4.5 m @                 Rs: </t>
  </si>
  <si>
    <t xml:space="preserve"> / Rm</t>
  </si>
  <si>
    <t xml:space="preserve">Cost of 1.6 m drill rod @                                  Rs: </t>
  </si>
  <si>
    <t>Quantity of concrete for porous block ( 0.20 x 0.20 x 0.20 )</t>
  </si>
  <si>
    <t>Quantity of sand around porous block ( 0.40 x 0.40 x 0.10 )</t>
  </si>
  <si>
    <t>Assuming 4 percent watering ( about 60 ltr / cum ) and 4 trips per day:</t>
  </si>
  <si>
    <t>150 mm dia hume pipe</t>
  </si>
  <si>
    <t>20 - 10 mm coarse aggregate</t>
  </si>
  <si>
    <t>Sand</t>
  </si>
  <si>
    <t>For conveying &amp; laying 80-20 mm CA ( 2 mazdoors @  : 5 cum / day ).</t>
  </si>
  <si>
    <t>For conveying &amp; laying 20 mm down CA ( 2 mazdoors @  : 5 cum / day ).</t>
  </si>
  <si>
    <t>For conveying &amp; laying 40-20 mm CA ( 2 mazdoors @  : 5 cum / day )..</t>
  </si>
  <si>
    <t>For conveying &amp; laying 40-20 mm CA( 2 mazdoors @  : 5 cum / day ).</t>
  </si>
  <si>
    <t>For watering for 15 days ( 1 mazdoor 500 sqm / day )</t>
  </si>
  <si>
    <t>Filter fabric with 10 % for lapping and wastage ( 2 x 100 x 1.10 )</t>
  </si>
  <si>
    <t>etc., with all accessories for operating spillway stop log gate elements and river sluice /</t>
  </si>
  <si>
    <t xml:space="preserve">canal sluice emergency gates including cost of all materials, machinery, labour, </t>
  </si>
  <si>
    <t xml:space="preserve">The actual weight of moving gantry crane </t>
  </si>
  <si>
    <t>RAIL TRACK  FOR GANTRY CRANE</t>
  </si>
  <si>
    <t>machinery, labour,  complete as per specifications</t>
  </si>
  <si>
    <t>No. of tippers to match corrected cycle time of shovel ( 10.40 / 2.50 ) :</t>
  </si>
  <si>
    <t>Output of tipper / hr with 50 min working / hr ( 50 x 4.30 / 10.40 ) say</t>
  </si>
  <si>
    <t>Output for 4 tippers per day ( 4 x 20.70 x 8 ) say</t>
  </si>
  <si>
    <t>Area to be stripped assuming 2.0 m depth of cut ( 630 x 6 / 2.0 )</t>
  </si>
  <si>
    <t>Quantity of stripping considering 5 % extra area ( 1890 x 1.05 x 0.25 )</t>
  </si>
  <si>
    <t>Time required for stripping 496 cum</t>
  </si>
  <si>
    <t>Deploy 1 Stone breaker and 1 stone chiseller for trimming bed / sides wherever required.</t>
  </si>
  <si>
    <t>other miscellaneous works.</t>
  </si>
  <si>
    <t>Use rate of T.C bit per Rm drilling</t>
  </si>
  <si>
    <t>Cost of extn rod with sleeve 4.5 m @                 Rs:</t>
  </si>
  <si>
    <t>Speed for loaded tipper under haul road condition</t>
  </si>
  <si>
    <t xml:space="preserve">included under item for excavation by controlled blasting. Hence, separate </t>
  </si>
  <si>
    <t>provision is not considered in this item.</t>
  </si>
  <si>
    <t xml:space="preserve">stepping, removing all loose material by wedging / chiselling and disposing </t>
  </si>
  <si>
    <t>off the same as directed and cleaning the surface with air and water jet etc.</t>
  </si>
  <si>
    <t>Requirement of materials with 2 % wastage:</t>
  </si>
  <si>
    <t>Quantity of 20 mm down filter aggregate.</t>
  </si>
  <si>
    <t>20 mm down filter shall contain 75 % 20-10 mm &amp; 25 % 10 mm down</t>
  </si>
  <si>
    <t>Quantity of filter sand.</t>
  </si>
  <si>
    <t xml:space="preserve"> cutting, bending, aligning, anchoring, welding,finishing etc.,complete with all leads and lifts. </t>
  </si>
  <si>
    <t>The ideal cycle time for shovel requires spotting of a tipper within 2.92 minutes near the shovel.</t>
  </si>
  <si>
    <t>Consider track length of 200 m for rate analysis.</t>
  </si>
  <si>
    <t>Actual weight of materials as per data</t>
  </si>
  <si>
    <t>Use rate of water hose per hour ( cost / life )</t>
  </si>
  <si>
    <t>Quantity of rails for haulage of tubs Haulage track outside</t>
  </si>
  <si>
    <t>Crew for Convey mucker</t>
  </si>
  <si>
    <t>Crew for Dumper</t>
  </si>
  <si>
    <t>Crew for ventilation fans</t>
  </si>
  <si>
    <t>Fitter / Mechanic</t>
  </si>
  <si>
    <t>Deploy 4 jack hammers for drilling.</t>
  </si>
  <si>
    <t>Deploy 1 air compressor 15 cmm for air supply to 4 jack hammers :</t>
  </si>
  <si>
    <t>Deploy 10 hp pump for pumping water to storage tank.</t>
  </si>
  <si>
    <t>Coarse aggregate 40 mm</t>
  </si>
  <si>
    <t>Coarse aggregate 20 mm</t>
  </si>
  <si>
    <t>Coarse aggregate 10 mm</t>
  </si>
  <si>
    <t>MS pipe 32 mm dia for railing</t>
  </si>
  <si>
    <t>Add for fabrication of shutter @ 82.8 kg/sqm       Rs:</t>
  </si>
  <si>
    <t>Add for repairs/ replacements/ catwalks etc., @</t>
  </si>
  <si>
    <t>Add for binding wire/ temperary supports etc., @</t>
  </si>
  <si>
    <t>Use of gas cutting torch with 50 min / hr working       ( 10 x 60 / 50 )</t>
  </si>
  <si>
    <t>( 7 / 15 ) x 8 / 2</t>
  </si>
  <si>
    <t>( 66 / 15 ) x 8 / 6</t>
  </si>
  <si>
    <t>Deploy welding transformer for 8 hours.</t>
  </si>
  <si>
    <t>( 2 x 0.25 + 6 x 0.75 )</t>
  </si>
  <si>
    <t>Average output of 2 mazdoors assumed at 6 cum / day for trimming.</t>
  </si>
  <si>
    <t>Deploy 30 mazdoors for trimming 93 cum.</t>
  </si>
  <si>
    <t>Spreading soil in 25cm layer:</t>
  </si>
  <si>
    <t>Crew for Air compressor</t>
  </si>
  <si>
    <t>Crew for Jack hammer</t>
  </si>
  <si>
    <t>Blaster</t>
  </si>
  <si>
    <t>Helper blaster</t>
  </si>
  <si>
    <t>by removing all projections by hammering / chiselling, cost of all materials, machinery, labour,</t>
  </si>
  <si>
    <t>placing the excavated rock neatly in approved dump area and levelling the same as directed</t>
  </si>
  <si>
    <t>Quantity of in-situ ( dumped )soil per load ( 5 x 0.90 )</t>
  </si>
  <si>
    <t xml:space="preserve">Use rate of paver considering average </t>
  </si>
  <si>
    <t>uses</t>
  </si>
  <si>
    <t xml:space="preserve">Add for repairs/ replacements etc., @ </t>
  </si>
  <si>
    <t xml:space="preserve">Use rate of mould considering average </t>
  </si>
  <si>
    <t xml:space="preserve">Cost per use assuming </t>
  </si>
  <si>
    <t>300/ 200</t>
  </si>
  <si>
    <t>Drilling output for use of 4 jack hammers / hour</t>
  </si>
  <si>
    <t>Time for drilling 464 m @ 32.00 m per hour</t>
  </si>
  <si>
    <t>Output for 5 tippers per day ( 5 x 21.30 x 8 )</t>
  </si>
  <si>
    <t>Area to be stripped assuming 2.0 m depth of cut ( 850 x 6 / 2.0 ) :</t>
  </si>
  <si>
    <t>Resin bond cement grout capsule</t>
  </si>
  <si>
    <t xml:space="preserve"> MANUAL OPERATED ROPE DRUM  HOISTS</t>
  </si>
  <si>
    <t>Mason Cl II for laying pitching @ 20 sqm / day</t>
  </si>
  <si>
    <t>Pin header (Through stone) 30 cm</t>
  </si>
  <si>
    <t>If 15 cm thick murum bed is to be provided below pitching</t>
  </si>
  <si>
    <t>Consider 100 sqm area of pitching:</t>
  </si>
  <si>
    <t>Aportioned hire charges of machinery @  for lining slab</t>
  </si>
  <si>
    <t>Aportioned cost of labour @  for lining slabs</t>
  </si>
  <si>
    <t>Consider 3 to 4 minutes for moulding one slab &amp; 2 Masons</t>
  </si>
  <si>
    <t>working on moulding work.</t>
  </si>
  <si>
    <t>Extra drilling considered at 10 percent for inclination cut holes and for any secondary blasting</t>
  </si>
  <si>
    <t>of large fragments during mucking.</t>
  </si>
  <si>
    <t>For grinding edges of parts requiring finishing 8 hours use of grinding machine considered.</t>
  </si>
  <si>
    <t>consisting of columns, beams, bracings, stiffeners, ties, chequered plate covering, hand railing,</t>
  </si>
  <si>
    <t>Details of material / Gas cutting / Welding considered for rate analysis are based on rope drum</t>
  </si>
  <si>
    <t>Cost of welding set                                  @    Rs:</t>
  </si>
  <si>
    <t>( 530 / 15 ) x 8 / 2</t>
  </si>
  <si>
    <t>( 4776 / 15 ) x 8 / 6</t>
  </si>
  <si>
    <t xml:space="preserve">legged G.I pipe with U - bend at bottom for circulation of steam at intervals </t>
  </si>
  <si>
    <t xml:space="preserve">and forming 150 mm dia formed drain behind water seals including cost of </t>
  </si>
  <si>
    <t>20 mm down aggregate  ( 100 x 0.4  )</t>
  </si>
  <si>
    <t>Add seignorage charges on sand @ ( Included in material rate)</t>
  </si>
  <si>
    <t>For 0.75 cum mortar : Cement  : 455.446 kg    Sand : 0.735 cum</t>
  </si>
  <si>
    <t>MT</t>
  </si>
  <si>
    <t>Mazdoor</t>
  </si>
  <si>
    <t>Tippers 5 cum capacity 5 Nos.</t>
  </si>
  <si>
    <t>Deploy welding transformer for 566 hours.</t>
  </si>
  <si>
    <t>Use of shearing machine with 50 min / hour working           ( 4 x 60 / 50 )</t>
  </si>
  <si>
    <t>Welding :</t>
  </si>
  <si>
    <t>The basic rates are inclusive of cost of all materials, machinery, labour, fabrication, erection,</t>
  </si>
  <si>
    <t>Stainless steel plate / flats</t>
  </si>
  <si>
    <t>MS bolts and nuts</t>
  </si>
  <si>
    <t>Welding electrodes ( LH )</t>
  </si>
  <si>
    <t>Welding electrodes ( stainless steel )</t>
  </si>
  <si>
    <t>depending on the depth of drilling. For drilling upto 30 m from surface the rate of drilling is</t>
  </si>
  <si>
    <t>assumed at 3 m per day for analysis.</t>
  </si>
  <si>
    <t>of materials ( assuming 25 % of machinery and labour components for erection ) is considered</t>
  </si>
  <si>
    <t>for assessing excise duty.</t>
  </si>
  <si>
    <t>Use rate of extension rods</t>
  </si>
  <si>
    <t>If water is to be brought from other place add only lead charges @ 500 ltr / cum.</t>
  </si>
  <si>
    <t>SCREW GEAR HOISTS including plat form( UPTO 10 TON CAP)</t>
  </si>
  <si>
    <t>For 1 cum CC :- Coarse aggregates : 0.90 cum                            Blending ratio : 50 :30 : 20</t>
  </si>
  <si>
    <t>hours</t>
  </si>
  <si>
    <t>Labour for erection &amp; dismantling scaffolding :                        10 % of labour for shuttering.</t>
  </si>
  <si>
    <t>No machinery other than ventilation fans are required. For defuming adit ventilation fans are</t>
  </si>
  <si>
    <t>Annexure: B</t>
  </si>
  <si>
    <t>Fitter shuttering 4 Nos.</t>
  </si>
  <si>
    <t>Carpentor Cl -II 2 Nos.</t>
  </si>
  <si>
    <t>Fitter shuttering 2 Nos.</t>
  </si>
  <si>
    <t>Carpentor Cl -II 1 Nos.</t>
  </si>
  <si>
    <t>Concrete mix details for 50-70 mm slump:</t>
  </si>
  <si>
    <t>Sand for mortar of 1:1 ratio</t>
  </si>
  <si>
    <t>say 0.05 cum</t>
  </si>
  <si>
    <t>(where 1440 kg/cum is the sp. gravity of cement)</t>
  </si>
  <si>
    <t>filling with 12 mm to 40 mm HG machine Crushed metal and sand in bed including</t>
  </si>
  <si>
    <t>Requirement of materials  for 100 mt drain</t>
  </si>
  <si>
    <t>stone, including cost of all materials, labour, dressing top surface of stone, engraving BM data</t>
  </si>
  <si>
    <t>For painting 1 coat primer and 4 coats</t>
  </si>
  <si>
    <t>The actual weight of stoplog element lifting beam as per data sheet</t>
  </si>
  <si>
    <t>Unloading and laying sods:</t>
  </si>
  <si>
    <t>For scaling &amp; cleaning bed</t>
  </si>
  <si>
    <t>For loading cement to BP bin</t>
  </si>
  <si>
    <t>bed, batching, mixing, conveying and laying, levelling, compacting, finishing, curing, lighting,</t>
  </si>
  <si>
    <t>Vertical ribs 2 Nos of 2.75 m length each @ 17 kg / m</t>
  </si>
  <si>
    <t>Laying concrete for kerb/ invert</t>
  </si>
  <si>
    <t>Masom Cl I</t>
  </si>
  <si>
    <t>Labour charges for shuttering</t>
  </si>
  <si>
    <t xml:space="preserve">Add 5 % extra for fabrication of curved shuttering                                Rs: </t>
  </si>
  <si>
    <t>Weigth of 30R rails 300 m length @ 30 kg / Rm</t>
  </si>
  <si>
    <t>Labour for erecting &amp; dismantling scaffolding @ :                          50 % of labour for shuttering</t>
  </si>
  <si>
    <t>Screw type hoist for operating gate consists of supporting structure, hoist body, hoist stem,</t>
  </si>
  <si>
    <t>thrust bearings, operating wheel / handle with related accessories.</t>
  </si>
  <si>
    <t>Consider screw type hoist for canal escape / regulator gate for vent opening of size 2 m x 2 m.</t>
  </si>
  <si>
    <t>During guniting a portion of the mortar mix is wasted due to rebounding of mainly sand particles.</t>
  </si>
  <si>
    <t>The extend of rebound varies from 20 to 25 percent. In view of very rich mix the extent of</t>
  </si>
  <si>
    <t xml:space="preserve">including cost of all materials mechinery labour batching mixing placing in position forming </t>
  </si>
  <si>
    <t>Consider rope drum hoist for radial gate for canal regulator opening of size 3 m x 3.7 m.</t>
  </si>
  <si>
    <t>Capacity of hoist required in tonnes with 25% reserve capacity</t>
  </si>
  <si>
    <t>Consider 1 mazdoor for assisting in laying work by supplier.</t>
  </si>
  <si>
    <t>Conveying stones mazdoor</t>
  </si>
  <si>
    <t>Cement mortar mixing &amp; loading pans mazdoor</t>
  </si>
  <si>
    <t>Packing mortar mazdoor</t>
  </si>
  <si>
    <t>1 Crowman &amp; 1 mazdoors for sorting out stones in dump yard.</t>
  </si>
  <si>
    <t>1 Crowman &amp; 1 mazdoors for sorting out stones</t>
  </si>
  <si>
    <t>mazdoor for assisting mason</t>
  </si>
  <si>
    <t>mazdoor for preparing cement mortar</t>
  </si>
  <si>
    <t>(A+B+C+D)/15.0</t>
  </si>
  <si>
    <t>(A+B+C+D)/14.0</t>
  </si>
  <si>
    <t>c) Add for Contractor's profit and overhead charges on (A+B)</t>
  </si>
  <si>
    <t>Rate per metre = (a+b+c)/1.0</t>
  </si>
  <si>
    <t>Joints</t>
  </si>
  <si>
    <t>joint</t>
  </si>
  <si>
    <t>(A+B+C+D)/4.0</t>
  </si>
  <si>
    <t>(5x100/20)</t>
  </si>
  <si>
    <t>F. Add for contractor's profit and overheads on (A+B+C+D+E)</t>
  </si>
  <si>
    <t>(A+B+C+D)/8.0</t>
  </si>
  <si>
    <t>(A+B+C+D)/5.0</t>
  </si>
  <si>
    <t>(A+B+C+D)/7.0</t>
  </si>
  <si>
    <t>(A+B+C+D)/150.0</t>
  </si>
  <si>
    <t>(A+B+C+D)/50.0</t>
  </si>
  <si>
    <t>(A+B+C+D)/2.0</t>
  </si>
  <si>
    <t>Stages</t>
  </si>
  <si>
    <t>(A+B+C+D)/3.0</t>
  </si>
  <si>
    <t>(A+B+C+D)/105.0</t>
  </si>
  <si>
    <t>(A+B+C+D)/480.0</t>
  </si>
  <si>
    <t>(A+B+C+D)/325.0</t>
  </si>
  <si>
    <t>(A+B+C+D)/612.0</t>
  </si>
  <si>
    <t>(A+B+C+D)/440.0</t>
  </si>
  <si>
    <t>(A+B+C+D)/12.0</t>
  </si>
  <si>
    <t>(A+B+C+D+E+F)/100.0</t>
  </si>
  <si>
    <t>soft annealed steel wire, welding wherever required including cost of all materials, machinery,</t>
  </si>
  <si>
    <t>to 6 percent watering by weight, requirement of water for 680 cum of embankment will be</t>
  </si>
  <si>
    <t>upto 50 m and all lifts.</t>
  </si>
  <si>
    <t>Consider 100 sqm sand blanket laying.</t>
  </si>
  <si>
    <t>Quantity of sand ( unscreened )</t>
  </si>
  <si>
    <t>initial lead upto 1 km and all lifts.</t>
  </si>
  <si>
    <t>extension rods / reduction in rate of drilling etc @ :</t>
  </si>
  <si>
    <t xml:space="preserve"> Rate / Rm</t>
  </si>
  <si>
    <t>Coarse aggr. 40-20 mm ( available)</t>
  </si>
  <si>
    <t>For cleaning &amp; miscellaneous</t>
  </si>
  <si>
    <t>will be 3.5 minutes.</t>
  </si>
  <si>
    <t>No. of tippers to match corrected cycle time of shovel ( 11.50/ 2.92 )</t>
  </si>
  <si>
    <t>Output of 5 mazdoor per day</t>
  </si>
  <si>
    <t>Spillway stoplog gate consists of number of vertical lift slide gate elements. Each gate element</t>
  </si>
  <si>
    <t>consists of skin plate, horizontal girders, vertical end girders, stiffeners, slide blocks, gate guide</t>
  </si>
  <si>
    <t>shoes, lifting pins and seals with all accessories.</t>
  </si>
  <si>
    <t>Extra drilling considered at 10 percent for inclination of holes and for removal of any under cuts</t>
  </si>
  <si>
    <t>taxes / duties. Therefore, for purpose of rate analysis 75 percent of total cost excluding the cost</t>
  </si>
  <si>
    <t>of materials ( assuming 25 % erection cost ) is considered for assessing excise duty.</t>
  </si>
  <si>
    <t>Deploy welding transformer for 47 hours.</t>
  </si>
  <si>
    <t>Consider radial gate for spillway opening of size 15 m x 9 m for analysis.</t>
  </si>
  <si>
    <t>Details of material / Gas cutting / Welding considered for rate analysis are based on radial gate</t>
  </si>
  <si>
    <t>Carpentor Cl -II 2 Nos. @                                Rs:</t>
  </si>
  <si>
    <t>Dismantling and stacking:</t>
  </si>
  <si>
    <t>The actual weight of radial gate leaf as per fabrication drawings</t>
  </si>
  <si>
    <t>Zinc rich epoxy primer</t>
  </si>
  <si>
    <t>Rust cleaner / inhibitor</t>
  </si>
  <si>
    <t>Formwork : 1.00 sqm per cum of concrete considered.</t>
  </si>
  <si>
    <t>Cement for incidentals @ 3 kg/ cum</t>
  </si>
  <si>
    <t>approved sand and 80-20 mm and 20 mm down graded aggregates satisfying the filter creteria</t>
  </si>
  <si>
    <t>in layers of 30 cm thickness each as per specifications including cost of all materials,</t>
  </si>
  <si>
    <t>seasonal average of 4 to 5 percent watering by weight, daily requirement of water for 480 cum</t>
  </si>
  <si>
    <t>of embankment will be about 4 tanker loads of 8000 ltrs each. Deploy 8000 ltr capacity water</t>
  </si>
  <si>
    <t>Cost of welding set @                                   Rs:</t>
  </si>
  <si>
    <t>Cost of gas cutting set @                              Rs:</t>
  </si>
  <si>
    <t>tonne wt</t>
  </si>
  <si>
    <t>t capacity</t>
  </si>
  <si>
    <t>Structural steel</t>
  </si>
  <si>
    <t>Alloy steel components</t>
  </si>
  <si>
    <t>Shafts</t>
  </si>
  <si>
    <t>Pins</t>
  </si>
  <si>
    <t>Labour for erecting &amp; dismantling scaffolding :            No scaffolding required.</t>
  </si>
  <si>
    <t>stationery derric crane for 300 hours considered.</t>
  </si>
  <si>
    <t>Cutting sections 450 hours</t>
  </si>
  <si>
    <t>Drilling holes for seal fixing</t>
  </si>
  <si>
    <t>Use rate of casing shoe bit per m drilling</t>
  </si>
  <si>
    <t>Cost of reamer shell @                              Rs:</t>
  </si>
  <si>
    <t>Life of reamer shell</t>
  </si>
  <si>
    <t>Add seignorage charges on stone ( Included in material cost )</t>
  </si>
  <si>
    <t>Add seignorage charges on murum ( Included in material cost )</t>
  </si>
  <si>
    <t>Specific heat of ice flakes</t>
  </si>
  <si>
    <t>( Ci )</t>
  </si>
  <si>
    <t>Heat dissipated by Cement : Wc x Cc ( Tc - T )</t>
  </si>
  <si>
    <t>210 x 0.25 ( 45 - 15 )</t>
  </si>
  <si>
    <t>Heat dissipated by Aggregate : Wa x Ca ( Ta - T )</t>
  </si>
  <si>
    <t>1490 x 0.22 ( 25 - 15 )</t>
  </si>
  <si>
    <t>Heat dissipated by sand : Ws x Cs ( Ts - T )</t>
  </si>
  <si>
    <t>575 x 0.22 ( 27 - 15 )</t>
  </si>
  <si>
    <t>Thickness of rough stone layer including stone chips</t>
  </si>
  <si>
    <t>Consider 100 sqm rivetment area:</t>
  </si>
  <si>
    <t>Quantity of materials to be removed:</t>
  </si>
  <si>
    <t>Rough stones and stone chips</t>
  </si>
  <si>
    <t>40 mm down filter backing</t>
  </si>
  <si>
    <t>10 mm down filter backing</t>
  </si>
  <si>
    <t>sand filter backing</t>
  </si>
  <si>
    <t>Masom Class-II</t>
  </si>
  <si>
    <t xml:space="preserve">Output of 5 mazdoors per day             </t>
  </si>
  <si>
    <t>Consider 1 mazdoor for stacking and levelling area.</t>
  </si>
  <si>
    <t>Consider 2 mazdoors for stacking and levelling area.</t>
  </si>
  <si>
    <t>( 1.75 x 2 / 4 )</t>
  </si>
  <si>
    <t>Output of 3 mazdoors per day</t>
  </si>
  <si>
    <t>Time for drilling 37.5 m with 50 min / hr working &amp; frequent shifting say</t>
  </si>
  <si>
    <t>Deploy 8.5 cmm Air compressor and Waggon drill for 4 hours.</t>
  </si>
  <si>
    <t>Use rate of drill bit per m drilling</t>
  </si>
  <si>
    <t>:Upto</t>
  </si>
  <si>
    <t xml:space="preserve"> cum / day</t>
  </si>
  <si>
    <t xml:space="preserve"> cm</t>
  </si>
  <si>
    <t xml:space="preserve"> cm each</t>
  </si>
  <si>
    <t>Wheel / Pulley / Hub / Plummer / Roller</t>
  </si>
  <si>
    <t>Drum / Gear</t>
  </si>
  <si>
    <t>Pinion</t>
  </si>
  <si>
    <t>For conveying &amp; laying 10 mm down CA( 2 mazdoors @ 5 cum /day).</t>
  </si>
  <si>
    <t>For wetting C.A &amp; curing</t>
  </si>
  <si>
    <t>Temperature of chilled water in mixing water tank</t>
  </si>
  <si>
    <t>( Tw )</t>
  </si>
  <si>
    <t>the depth of rib ( generally 2 ribs per blast ) is considered for analysis.</t>
  </si>
  <si>
    <t>For 6 m wide tunnel the depth of rib required will be 150 mm.</t>
  </si>
  <si>
    <t>Repair charges ( as percentage of capital cost )</t>
  </si>
  <si>
    <t xml:space="preserve">r </t>
  </si>
  <si>
    <t>Depreciation charges</t>
  </si>
  <si>
    <t>( for value of ' r ' refer standard data table )</t>
  </si>
  <si>
    <t>( as percentage of repair charges )</t>
  </si>
  <si>
    <t>Repair rxC/h/100 in Rs</t>
  </si>
  <si>
    <t>Misce. rxC/h/1000 in Rs</t>
  </si>
  <si>
    <t xml:space="preserve">Total                                                                                                                                                                                                                                                          </t>
  </si>
  <si>
    <t>shovel will be 2.02  minutes.</t>
  </si>
  <si>
    <t>Life of drill bit for drilling in hard rock</t>
  </si>
  <si>
    <t>Weight of gantry @ 150 kg / sqm</t>
  </si>
  <si>
    <t>Cost of gantry including cost of steel, fabrication, painting, transportation and erection:</t>
  </si>
  <si>
    <t>Cost of beams/angles/channels at 50 % @       Rs:</t>
  </si>
  <si>
    <t>Cost of plates @ at 40 % @                            Rs:</t>
  </si>
  <si>
    <t>Cost of wheels/Jacks/Fixtures at 10 % @         Rs:</t>
  </si>
  <si>
    <t xml:space="preserve">Total     </t>
  </si>
  <si>
    <t>cleaning, straightening, cutting, bending, hooking, lapping, welding wherever required,tying with</t>
  </si>
  <si>
    <t>Air hose 50 mm dia</t>
  </si>
  <si>
    <t>Rails</t>
  </si>
  <si>
    <t>stoplog gate elements / river sluice / canal sluice emergency gate including cost of all materials,</t>
  </si>
  <si>
    <t xml:space="preserve">In view of restricted width of cut-off trench limiting free movement of tippers </t>
  </si>
  <si>
    <t xml:space="preserve">and also due to movement of tippers for longer distance in reverse direction </t>
  </si>
  <si>
    <t>Repair provision x Capital cost / life in hours / 100</t>
  </si>
  <si>
    <t>tower crane for 4 hours.</t>
  </si>
  <si>
    <t>labour, aligning, packing joints with hemp, finishing, curing etc., complete with initial lead upto</t>
  </si>
  <si>
    <t>Quantity of in-situ hard rock per load ( 5 / 1.40 )</t>
  </si>
  <si>
    <t>Time for loading tipper by shovel</t>
  </si>
  <si>
    <t>Rehandling charges for 1 km are considered both at erection and dismantling stages.</t>
  </si>
  <si>
    <t>Out of 6 shifts ( 48 hours ) 3 shifts are considered as concreting shifts and 3 shifts are</t>
  </si>
  <si>
    <t>considered as preparatory shifts.</t>
  </si>
  <si>
    <t>Use rate of end shuttering</t>
  </si>
  <si>
    <t>Use rate of steel gantry</t>
  </si>
  <si>
    <t>Sundries ( placer pipe etc )</t>
  </si>
  <si>
    <t>Air compressor ( Ele ) 8.5 cmm</t>
  </si>
  <si>
    <t>Assuming requirement of 2 supports per blast length of 1.5 m and considering 4 hours time for</t>
  </si>
  <si>
    <t>erection of each support, the time required for erection of 1.00 tonne steel supports will be</t>
  </si>
  <si>
    <t>( 1000 x 4 / 350 )</t>
  </si>
  <si>
    <t>removing and hauling the excavated muck outside tunnel upto specified dump area and all</t>
  </si>
  <si>
    <t>Extra excavation for supports</t>
  </si>
  <si>
    <t>Area of tunnel upto pay-line ( 0.5 x 0.7857x 6 x 6 )+( 6 x 2.75 )</t>
  </si>
  <si>
    <t>Weight of Water including free moisture and ice flakes</t>
  </si>
  <si>
    <t>( Ww )</t>
  </si>
  <si>
    <t>Use of gas cutting torch with 50 min / hr working                ( 13 x 60 / 50 )</t>
  </si>
  <si>
    <t>Considering this, the number of holes for tunnel excavation will be generally in the range of</t>
  </si>
  <si>
    <t>Fuel/Energy charges</t>
  </si>
  <si>
    <t>Rated capacity of batching plant required for 8.48 cum/hour output :</t>
  </si>
  <si>
    <t xml:space="preserve">materials, machinery, labour, cleaning, batching, mixing, placing in position, finishing, forming </t>
  </si>
  <si>
    <t>Time for turning and un-loading ( considering slow movement on rockfill )</t>
  </si>
  <si>
    <t>Quantity of filter below rock-toe:</t>
  </si>
  <si>
    <t>for batching other materials</t>
  </si>
  <si>
    <t>Labour cost of shuttering</t>
  </si>
  <si>
    <t xml:space="preserve">Cycle time for batching 1 mix </t>
  </si>
  <si>
    <t xml:space="preserve">          --</t>
  </si>
  <si>
    <t>Consider 10 anchor rods for analysis.</t>
  </si>
  <si>
    <t>Depth of drilling for 10 holes of 1.25 m depth each</t>
  </si>
  <si>
    <t>Cement for grouting at 0.5 kg per hole</t>
  </si>
  <si>
    <t>Rate of drilling in hard rock for 32 mm hole / hour:</t>
  </si>
  <si>
    <t>mazdoor for packing mortar</t>
  </si>
  <si>
    <t>Running time from loading point to dump yard at av. 12 km / hr :</t>
  </si>
  <si>
    <t>Return trip to waiting point</t>
  </si>
  <si>
    <t>Waiting time before spotting</t>
  </si>
  <si>
    <t>Deploy 5 hp diesel pump for .5 hour &amp; 8000 ltr water tanker for 1 hour for 1 week water</t>
  </si>
  <si>
    <t xml:space="preserve">Quantity of steel per mould ( 0.4 x 2 + 0.15 x 2 ) x 1.8 x 1.025  </t>
  </si>
  <si>
    <t xml:space="preserve">Cost of steel angles @                                    Rs: </t>
  </si>
  <si>
    <t>Cost of fabrication @                                       Rs:</t>
  </si>
  <si>
    <t>Number of buckets per load ( 4.53 / 0.53 )</t>
  </si>
  <si>
    <t>Automatic lifting beam for lifting spillway stop log elements consists of fabricated beam with</t>
  </si>
  <si>
    <t>lifting bracket and automatic engaging / dis-engaging type hooks for under water hooking /</t>
  </si>
  <si>
    <t>de-hooking of gate element. Lifting beam is an independent attachment to moving gantry crane.</t>
  </si>
  <si>
    <t>Quantity of embankment considered</t>
  </si>
  <si>
    <t>Area covered by one hole ( 1.00 x 1.20 )</t>
  </si>
  <si>
    <t>Area of excavation for 100 cum ( 100 / 0.8 )</t>
  </si>
  <si>
    <t>Nos. of holes for 125 sqm area ( 125 / 1.20 )</t>
  </si>
  <si>
    <t>Depth of drilling ( 104 x 0.9 )</t>
  </si>
  <si>
    <t>Add drilling for secondary blasting @ 5 %</t>
  </si>
  <si>
    <t>bed to pier / abutment at trunnion level.</t>
  </si>
  <si>
    <t>For drilling holes for anchor bolts and for grinding surface / edges of parts requiring finishing</t>
  </si>
  <si>
    <t>16 hours use of drilling / grinding machine considered.</t>
  </si>
  <si>
    <t>For handling of parts during fabrication and erection use of mobile derric crane for 32 hours and</t>
  </si>
  <si>
    <t>stationery derric crane for 64 hours considered.</t>
  </si>
  <si>
    <t>Requirement of work force :</t>
  </si>
  <si>
    <t>Work component</t>
  </si>
  <si>
    <t>Marker /</t>
  </si>
  <si>
    <t>Gas cutter/</t>
  </si>
  <si>
    <t>Fabricator /</t>
  </si>
  <si>
    <t>Welder</t>
  </si>
  <si>
    <t>sections are above 10 mm thick.</t>
  </si>
  <si>
    <t>Acetelyne gas @ 0.6 cum / hour ( 368 x 0.60 )</t>
  </si>
  <si>
    <t>Oxygen gas @ 1.8 cum / hour ( 368 x 1.80 )</t>
  </si>
  <si>
    <t>Sundries ( paints/ binding wire etc )</t>
  </si>
  <si>
    <t>Side seals ( music note type uncladed )</t>
  </si>
  <si>
    <t>Loading cement to BP bin</t>
  </si>
  <si>
    <t>No shuttering is required for over excavations in bed.</t>
  </si>
  <si>
    <t>Agitator car 2 cum</t>
  </si>
  <si>
    <t>Total quantity of explosive per blast</t>
  </si>
  <si>
    <t>Angles / beams / channels / bars</t>
  </si>
  <si>
    <t>Plates / flats</t>
  </si>
  <si>
    <t>Cast steel components :</t>
  </si>
  <si>
    <t>Trunnion hubs / Guide rollers</t>
  </si>
  <si>
    <t>Wedge 25 mm wide 20 mm thick at one end 150 mm long</t>
  </si>
  <si>
    <t>M S Nuts for bolts</t>
  </si>
  <si>
    <t>Diameter of hole for fixing rock bolt</t>
  </si>
  <si>
    <t>Depth of hole for fixing rock bolt</t>
  </si>
  <si>
    <t>M-014</t>
  </si>
  <si>
    <t>M-015</t>
  </si>
  <si>
    <t>M-016</t>
  </si>
  <si>
    <t>M-017</t>
  </si>
  <si>
    <t xml:space="preserve">Increase in cross sectional area for 0.5 m increase in girth </t>
  </si>
  <si>
    <t>stages</t>
  </si>
  <si>
    <t>points</t>
  </si>
  <si>
    <t xml:space="preserve">Quantity of murum assuming 40 x 40 x45 cm pit for each stone  </t>
  </si>
  <si>
    <t xml:space="preserve">Quantity of concrete for 10 stones at 0.05 cum per stone  </t>
  </si>
  <si>
    <t>buckets</t>
  </si>
  <si>
    <t>20 to 25</t>
  </si>
  <si>
    <t>sqm / ltr</t>
  </si>
  <si>
    <t>each</t>
  </si>
  <si>
    <t>kwhr</t>
  </si>
  <si>
    <t>hrs</t>
  </si>
  <si>
    <t>mm</t>
  </si>
  <si>
    <t>m / hr</t>
  </si>
  <si>
    <t>kg / tonne</t>
  </si>
  <si>
    <t>kg / t</t>
  </si>
  <si>
    <t>cum / hr</t>
  </si>
  <si>
    <t>m / hour</t>
  </si>
  <si>
    <t>Cost of jack hammer drill rod 2.5 m long @   Rs:</t>
  </si>
  <si>
    <t xml:space="preserve"> / m</t>
  </si>
  <si>
    <t>Cost of air hose 25 m / jack hammer @  Rs:</t>
  </si>
  <si>
    <t>Cost of water hose 25 m / jack hammer @  Rs:</t>
  </si>
  <si>
    <t>Limeshell</t>
  </si>
  <si>
    <t>Marble</t>
  </si>
  <si>
    <t xml:space="preserve">Average output of 300 / 200 ltr mixer </t>
  </si>
  <si>
    <t>Thickness of chisel drafted &amp; hammer dressed face stone masonry assumed</t>
  </si>
  <si>
    <t xml:space="preserve">For 1 cum masonry :-  </t>
  </si>
  <si>
    <t>for excavation for foundation</t>
  </si>
  <si>
    <t>Alluminium / Bronze alloy components :</t>
  </si>
  <si>
    <t>Bush for Trunnion / Guide roller</t>
  </si>
  <si>
    <t>Bolt / Nut / Washer :</t>
  </si>
  <si>
    <t>GI bolts / nuts / washers</t>
  </si>
  <si>
    <t>MS bolts / nuts / washers</t>
  </si>
  <si>
    <t>Rubber seals :</t>
  </si>
  <si>
    <t>Bottom seal</t>
  </si>
  <si>
    <t>Side seals ( Z - type )</t>
  </si>
  <si>
    <t>Length of cutting assuming cutting for 2 sides</t>
  </si>
  <si>
    <t>the same in specified dump area or as directed including cost of all materials, machinery,</t>
  </si>
  <si>
    <t>Generally, the cut holes and easers will be spaced at 65 to 75 cm grid and the trimmers will be</t>
  </si>
  <si>
    <t>spaced at 50 to 60 cm apart along the periphery of excavation area.</t>
  </si>
  <si>
    <t>Generally for shafts defuming is carried out by leaving compressed air by air hose for about</t>
  </si>
  <si>
    <t>0.5 hour to remove blasting gases and dust.Deploy air compressor for 0.5 hour.</t>
  </si>
  <si>
    <t>Winch and 0.5 cum bottom / side opening bucket are considered for removing the muck from</t>
  </si>
  <si>
    <t>shaft and rail mounted tipping tubs are considered for further haulage and disposal.</t>
  </si>
  <si>
    <t>Cycle time for operating mucking bucket by winch :</t>
  </si>
  <si>
    <t>Lowering bucket by winch @ 15 m / minute for av. 40 m</t>
  </si>
  <si>
    <t>Loading muck by work force</t>
  </si>
  <si>
    <t>Lifting by winch @ 15 m / minute for av. 40 m</t>
  </si>
  <si>
    <t>Unloading to tipping tub</t>
  </si>
  <si>
    <t>Quantity of muck per mucking bucket</t>
  </si>
  <si>
    <t xml:space="preserve"> including cost of all materials,labour,hand packing,finishing etc.,complete </t>
  </si>
  <si>
    <t>Uncoursed rubble stones at Quarry</t>
  </si>
  <si>
    <t>The drilling pattern for excavation of tunnel / adit depends on the size and shape of tunnel, rock</t>
  </si>
  <si>
    <t>formation, type of explosive and the fragmentation of rock required to suite the type of mucking</t>
  </si>
  <si>
    <t>equipment. The drilling pattern shall ensure minimum over-break.</t>
  </si>
  <si>
    <t xml:space="preserve">Mason Cl I for laying pitching </t>
  </si>
  <si>
    <t>Sand ( Screened)</t>
  </si>
  <si>
    <t>( Cs )</t>
  </si>
  <si>
    <t>Free moisture in fine aggregate</t>
  </si>
  <si>
    <t>( Wsm )</t>
  </si>
  <si>
    <t>Chequered plate with 2.5 % wastage</t>
  </si>
  <si>
    <t>Rope drums 2 Nos / Gears</t>
  </si>
  <si>
    <t>Wheels and Pulleys</t>
  </si>
  <si>
    <t>Plummer blocks / Couplings</t>
  </si>
  <si>
    <t>Alloy steel steel components conforming to IS: 1570 :</t>
  </si>
  <si>
    <t>Water Resources Department and repair charges  are as per CWC guidelines'</t>
  </si>
  <si>
    <t>Life in years</t>
  </si>
  <si>
    <t>Life in hours</t>
  </si>
  <si>
    <t>1.90 m</t>
  </si>
  <si>
    <t>Speed of roller per hour</t>
  </si>
  <si>
    <t>4.0 km</t>
  </si>
  <si>
    <t>Thickness of layer</t>
  </si>
  <si>
    <t>excavated rock neatly in specified dump area or stack yard as directed etc., complete with</t>
  </si>
  <si>
    <t>Generally, the excavation for foundations of CD works in hard rock is limited to removal of top</t>
  </si>
  <si>
    <t>Asphalt</t>
  </si>
  <si>
    <t>Elbows / Nipple / Plugs etc.,</t>
  </si>
  <si>
    <t>Soldering materials</t>
  </si>
  <si>
    <t>Steam circulation arrangement</t>
  </si>
  <si>
    <t>Cost of shuttering materials :</t>
  </si>
  <si>
    <t>Annexure: A</t>
  </si>
  <si>
    <t>Coarse aggregate 40mm</t>
  </si>
  <si>
    <t>with all accessories mounted on cross travel trolley for operating stoplog gate elements.</t>
  </si>
  <si>
    <t>Average grout intake of cement  assumed per m depth of hole</t>
  </si>
  <si>
    <t>Shutter size : 900 mm x 1200 mm Length of soldier : 2.3 m</t>
  </si>
  <si>
    <t>A. Cost of Materials including seignorage charges</t>
  </si>
  <si>
    <t>For 1 cum masonry :-                Rubble stones : 0.85 cum           Stone chips : 0.15 cum.</t>
  </si>
  <si>
    <t>Rubble stones</t>
  </si>
  <si>
    <t>mortar into joints, cost of all materials, labour, scaffolding, finishing, curing etc., complete with</t>
  </si>
  <si>
    <t>Consider 100 sqm area for analysis.</t>
  </si>
  <si>
    <t>Considering 15 to 20 mm wide and 50 mm deep joints the quantity of cement mortar required</t>
  </si>
  <si>
    <t>will be about 0.70 cum for 100 sqm pointing.</t>
  </si>
  <si>
    <t>Add for scaffolding / ramps etc @</t>
  </si>
  <si>
    <t>( Manual mixing)</t>
  </si>
  <si>
    <t>Mason Cl- I</t>
  </si>
  <si>
    <t>Further, to provide adiquate bearing for lagging sectoins wide flanged structural steel beams are</t>
  </si>
  <si>
    <t>For 1 cum CC :- Coarse aggregates : 0.90 cum                  Blending ratio : 50 :30 : 20</t>
  </si>
  <si>
    <t xml:space="preserve">Cost of steel angles @                                   Rs: </t>
  </si>
  <si>
    <t>Cost of fabrication @                                      Rs:</t>
  </si>
  <si>
    <t>Add for shutter oil @ 0.04 ltr Rs:</t>
  </si>
  <si>
    <t xml:space="preserve"> / ltr</t>
  </si>
  <si>
    <t>Use rate of moulds for 250 uses</t>
  </si>
  <si>
    <t>Hand mixer 45 / 30 ltr</t>
  </si>
  <si>
    <t>for batching / mixing / laying</t>
  </si>
  <si>
    <t>for demoulding / cleaning / oiling</t>
  </si>
  <si>
    <t>For 1 cum CC :-      Coarse aggregates : 0.68 cum           Fine aggregate : 0.43 cum</t>
  </si>
  <si>
    <t>beyond 5 m.</t>
  </si>
  <si>
    <t>Diameter of root cluster for 5.0 m girth</t>
  </si>
  <si>
    <t>Diameter of root cluster for 5.5 m girth</t>
  </si>
  <si>
    <t>Coarse aggregate</t>
  </si>
  <si>
    <t>Add for blasting studies &amp; monitoring vibrations etc</t>
  </si>
  <si>
    <t>Note: Remove the items which are not relevant</t>
  </si>
  <si>
    <t>Crew fir Bending machine</t>
  </si>
  <si>
    <t>For cutting &amp; preparing sections:</t>
  </si>
  <si>
    <t>Structural steel Marker</t>
  </si>
  <si>
    <t>Helper fabrication</t>
  </si>
  <si>
    <t>For erection of supports:</t>
  </si>
  <si>
    <t>50 / 60 ( 1.9 x 4000 x 0.225x 0.75 / 11 )</t>
  </si>
  <si>
    <t>Assume 4 mazdoors.</t>
  </si>
  <si>
    <t>Tipper 5 cum capacity 1 No</t>
  </si>
  <si>
    <t>For field connections:</t>
  </si>
  <si>
    <t>M.S.Bolts / Nuts &amp; Washers</t>
  </si>
  <si>
    <t>cleaning,scaffolding, packing mortar, wedging stone chips, curing, ventilation, lighting, drainage</t>
  </si>
  <si>
    <t>For 1 cum masonry :-         Rubble stones : 0.83 cum            Stone chips : 0.13 cum.</t>
  </si>
  <si>
    <t>Consider 2 cum capacity agitator car for conveying concrete.</t>
  </si>
  <si>
    <t>Cycle time for one round trip:</t>
  </si>
  <si>
    <t>Turning and spotting</t>
  </si>
  <si>
    <t>Loading 4 mixes of 0.5 cum @ 5 min per mix</t>
  </si>
  <si>
    <t>Running time from BP to placing point av. 1 km</t>
  </si>
  <si>
    <t>Unloading concrete</t>
  </si>
  <si>
    <t>Return trip to BP</t>
  </si>
  <si>
    <t>Total cycle time for round trip</t>
  </si>
  <si>
    <t>Deploy 2 Agitator cars for conveying concrete.</t>
  </si>
  <si>
    <t>and for secondary blasting of large fragments during mucking.</t>
  </si>
  <si>
    <t>Area of lining for 15 uses of paver</t>
  </si>
  <si>
    <t>All materials / bought out components for embedded parts, gates, hoists and allied works</t>
  </si>
  <si>
    <t>Deploy 1 tipping tub for 24 hours for disposal of muck outside shaft.</t>
  </si>
  <si>
    <t>Marking hole locations and preparation for drilling</t>
  </si>
  <si>
    <t>Unit = Running meter</t>
  </si>
  <si>
    <t>Taking output = 1m</t>
  </si>
  <si>
    <t>diameter of well = 6.00m</t>
  </si>
  <si>
    <t>(i)</t>
  </si>
  <si>
    <t xml:space="preserve">minutes near the shovel. However, in practice, the space available on either </t>
  </si>
  <si>
    <t xml:space="preserve">side of the shovel may not permit free movement of the tippers quickly. </t>
  </si>
  <si>
    <t xml:space="preserve">Some times one loaded tipper has to move after loading to position next </t>
  </si>
  <si>
    <t xml:space="preserve">tipper for loading. Assuming one extra cycle for shovel the corrected cycle </t>
  </si>
  <si>
    <t>time for the shovel will be 2.50 minutes.</t>
  </si>
  <si>
    <t xml:space="preserve">In-situ dry density of soil in borrow area will be generally less than </t>
  </si>
  <si>
    <t>Jungle wood planks</t>
  </si>
  <si>
    <t>Insitu qty / bucket for 15 % bulkage of soil in dump area</t>
  </si>
  <si>
    <t>In-situ quantity per load for 15 % bulkage of soil ( 5.0 /1.15 )</t>
  </si>
  <si>
    <t>Number of buckets per load ( 4.34 / 0.50 )</t>
  </si>
  <si>
    <t>Output of tipper / hr with 50 min working / hr ( 50 x 4.53 / 14.17 )</t>
  </si>
  <si>
    <t xml:space="preserve">Total cost for </t>
  </si>
  <si>
    <t>Cost of welding set                                 @ Rs:</t>
  </si>
  <si>
    <t>B. MACHINERY (for fabrication):</t>
  </si>
  <si>
    <t>Trunnion bush / Guide roller bush</t>
  </si>
  <si>
    <t>e.</t>
  </si>
  <si>
    <t>Bolts / Nuts / Washers conforming to IS : 1363 :</t>
  </si>
  <si>
    <t>(on 75 percent cost excluding cost of materials)</t>
  </si>
  <si>
    <t xml:space="preserve">D.Add for excise duty </t>
  </si>
  <si>
    <t xml:space="preserve">E. Add for transportation upto work site @ </t>
  </si>
  <si>
    <t xml:space="preserve">D. Add for excise duty </t>
  </si>
  <si>
    <t>Coarse aggregate 10 - 4.75 mm</t>
  </si>
  <si>
    <t>Cost of gas cutting set                             @ Rs:</t>
  </si>
  <si>
    <t>Cast iron components</t>
  </si>
  <si>
    <t>CI blocks for counter wt</t>
  </si>
  <si>
    <t>Add for shutter oil @ 0.06 ltr Rs:</t>
  </si>
  <si>
    <t>Zinc chromate, alluminium primer</t>
  </si>
  <si>
    <t>all lifts.</t>
  </si>
  <si>
    <t>Quantity of paint for 100 sqm 2 coats with 2 % wastage ( 100 x 2 x 1.02 / 6 )</t>
  </si>
  <si>
    <t>Sundries ( rust remover / brush etc )</t>
  </si>
  <si>
    <t>including cleaning surface, cost of all materials, labour, scaffolding etc., complete with</t>
  </si>
  <si>
    <t>all leads and all lifts.</t>
  </si>
  <si>
    <t>Synthetic enamel paint ( 1st quality )</t>
  </si>
  <si>
    <t>including disposing off the same in spoil bank or on the canal embankment in layers as</t>
  </si>
  <si>
    <t>Excavated silt in slussy condition can be disposed off in single operation without heaping silt in</t>
  </si>
  <si>
    <t>Deploy 8.5 cmm compressor ( diesel )</t>
  </si>
  <si>
    <t>Deploy 2 jack hammers</t>
  </si>
  <si>
    <t xml:space="preserve">Cost of drill rod 32 mm dia @                           Rs: </t>
  </si>
  <si>
    <t>Life of drill rod with reconditioning</t>
  </si>
  <si>
    <t>G.I Bolts / Nuts and Washers</t>
  </si>
  <si>
    <t>Size of gate for 15 x 9 m spillway opening at crest          Length : 15 m                 Height : 9.75 m</t>
  </si>
  <si>
    <t>foundations of canal cross drainage and other appurtenant structures</t>
  </si>
  <si>
    <t>and placing excavated stuff neatly in specified dump area or disposing</t>
  </si>
  <si>
    <t>initial lift upto 1.5 m.  (WIthout involving the contractors for specified works )</t>
  </si>
  <si>
    <t>With 3 Cum per day output</t>
  </si>
  <si>
    <t>With 2.5 Cum per day output</t>
  </si>
  <si>
    <t>Soft rock 1.33 Cum/Day</t>
  </si>
  <si>
    <t>Hard rock 0.67Cum/ day</t>
  </si>
  <si>
    <t>Average output of 2 mazdoors assumed at 6 cum per day for trimming.</t>
  </si>
  <si>
    <t xml:space="preserve">Deploy 16 mazdoors for 46 </t>
  </si>
  <si>
    <t>Output of 0.5 crowbarman, 2 mazdoors assumed at 5.5 cum per day.</t>
  </si>
  <si>
    <t>Deploy 2.5 crowbarman, 10 mazdoors for 27 cum.</t>
  </si>
  <si>
    <t>Sectional area of excavation             ( 14.00 + 8.20 ) x 0.5 x 5.80</t>
  </si>
  <si>
    <t>Life of reamer shell in hard rock</t>
  </si>
  <si>
    <t>For 1 cum CC :-           Coarse aggregates : 0.68 cum               Fine aggregate : 0.43 cum</t>
  </si>
  <si>
    <t>Fuel / Energy charges for system</t>
  </si>
  <si>
    <t xml:space="preserve">cleaning and preparing surface, mixing and applying adhesive, fixing bearing </t>
  </si>
  <si>
    <t>Requirement of sand @ 0.035 cum / No.</t>
  </si>
  <si>
    <t xml:space="preserve">Reconditioning charges @ </t>
  </si>
  <si>
    <t>Use of pug cutting machine with 50 min / hr working ( 50 x 60 / 50 )</t>
  </si>
  <si>
    <t>( 175 / 15 ) x 8 / 2</t>
  </si>
  <si>
    <t>Bolt / Nut / Washers conforming to IS : 1363 :</t>
  </si>
  <si>
    <t>Welder / Gas cutter</t>
  </si>
  <si>
    <t xml:space="preserve">Acetelyne gas @ 0.6 cum / hour </t>
  </si>
  <si>
    <t>( 154 x 0.60 )</t>
  </si>
  <si>
    <t xml:space="preserve">Oxygen gas @ 1.8 cum / hour </t>
  </si>
  <si>
    <t>( 154 x 1.80 )</t>
  </si>
  <si>
    <t>Normally, for investigation works,drilling hole and water intake tests are carried out alternatively</t>
  </si>
  <si>
    <t>Cost of 50 m air hose @ Rs:  / Rm</t>
  </si>
  <si>
    <t>Cost of wire mesh @ Rs:  / sqm</t>
  </si>
  <si>
    <t xml:space="preserve">Less salvage value @ </t>
  </si>
  <si>
    <t xml:space="preserve">Add for replacement of damaged mesh @ </t>
  </si>
  <si>
    <t xml:space="preserve">Cost of empty cement bag @ Rs: </t>
  </si>
  <si>
    <t>all materials ,labour,watering for minimum 15 days etc.,,complete.</t>
  </si>
  <si>
    <t>For stich welding @ 2 hrs usage / shift &amp; @ 12 electrodes / hr</t>
  </si>
  <si>
    <t>( 2728 / 12 ) x 8 / 2</t>
  </si>
  <si>
    <t xml:space="preserve">Add for binding wire/ temperary supports etc., @ </t>
  </si>
  <si>
    <t>Consider 1 permanent BM stone for analysis.</t>
  </si>
  <si>
    <t xml:space="preserve">Quantity of excavation ( 0.9 x 0.9 x 1.2 ) </t>
  </si>
  <si>
    <t>Quantity of concrete 1 : 3 : 6 propn.</t>
  </si>
  <si>
    <t>Quantity of UCR masonry in CM 1 : 5 propn.</t>
  </si>
  <si>
    <t>Crew for Vibrator</t>
  </si>
  <si>
    <t>For 1 cum CC :- Coarse aggregates : 0.90 cum</t>
  </si>
  <si>
    <t>Blending ratio : 50 :30 : 20</t>
  </si>
  <si>
    <t>for laying</t>
  </si>
  <si>
    <t>Life of air hose</t>
  </si>
  <si>
    <t>Use rate of mucking bucket per hour ( cost / life )</t>
  </si>
  <si>
    <t>Use rate of rail track</t>
  </si>
  <si>
    <t>Shift</t>
  </si>
  <si>
    <t xml:space="preserve">Add for wastage @ </t>
  </si>
  <si>
    <t xml:space="preserve">Use rate of shutters considering average </t>
  </si>
  <si>
    <t>Depth of pull per blast for 1.7 m deep holes</t>
  </si>
  <si>
    <t>Quantity of in-situ excavation per blast ( 30.64 x 1.50 )</t>
  </si>
  <si>
    <t>Fabricating by stitch welding 12 hours</t>
  </si>
  <si>
    <t>Run welding 35 hours</t>
  </si>
  <si>
    <t>Alloy steel components conforming to IS : 1570 :</t>
  </si>
  <si>
    <t>Stainless steel plates</t>
  </si>
  <si>
    <t>Lifting pins</t>
  </si>
  <si>
    <t>Cast steel components conforming to IS : 1030 :</t>
  </si>
  <si>
    <t>Trunnion hub / Guide roller</t>
  </si>
  <si>
    <t>Alluminium / Bronze alloy components conforming to IS : 305 :</t>
  </si>
  <si>
    <t>Itemwise unit rate for Labour Component</t>
  </si>
  <si>
    <t>Deploy 0.5 crowbarman, 0.5 stone breaker, 2 mazdoors for trimming / cleaning.</t>
  </si>
  <si>
    <t xml:space="preserve"> mazdoors for cleaning / curing etc</t>
  </si>
  <si>
    <t>mazdoors for cleaning / curing etc</t>
  </si>
  <si>
    <t>mazdoors for conveying mortar / chips</t>
  </si>
  <si>
    <t>mazdoor for chips</t>
  </si>
  <si>
    <t>For conveying &amp; laying sand ( 2 mazdoors @  6 cum / day ).</t>
  </si>
  <si>
    <t>For conveying &amp; laying sand (2 mazdoors @  6 cum / day ).</t>
  </si>
  <si>
    <t>For conveying &amp; laying 20 mm down CA ( 2 mazdoors @  5 cum / day ).</t>
  </si>
  <si>
    <t>For conveying &amp; laying 80-20 mm CA ( 2 mazdoors @  5 cum / day ).</t>
  </si>
  <si>
    <t>For conveying &amp; laying sand ( 2 mazdoors @  : 6 cum / day ).</t>
  </si>
  <si>
    <t>For conveying &amp; laying 20 mm down CA ( 2 mazdoors @  : 6 cum / day ).</t>
  </si>
  <si>
    <t>For conveying &amp; laying 80-20 mm CA ( 2 mazdoors @  : 6 cum / day ).</t>
  </si>
  <si>
    <t>statement of lead charges, shall be for all leads.</t>
  </si>
  <si>
    <t>Average of the prevailing market rates, ignoring freak rates, shall be the criteria for fixing</t>
  </si>
  <si>
    <t>The rates for materials shall be inclusive of all taxes, duties and other local levies.</t>
  </si>
  <si>
    <t>The rates for materials, except those for which lead charges are admissible as per the</t>
  </si>
  <si>
    <t xml:space="preserve">with one end split and driven firmly using steel wedge into 1.25 m deep 45 </t>
  </si>
  <si>
    <t>LDPE sheet ( Geo membrane ) 500 micron thick</t>
  </si>
  <si>
    <t>LDPE sheet ( Geo membrane ) 750 micron thick</t>
  </si>
  <si>
    <t>For lug slabs        :</t>
  </si>
  <si>
    <t>Quantity of concrete for 225 lining slabs</t>
  </si>
  <si>
    <t>Generally, rate of progress of drilling in hard rock varies from 2 m per day to 3 m per day</t>
  </si>
  <si>
    <t>Cost of welding set                                   @ Rs:</t>
  </si>
  <si>
    <t>Shuttering at 0.5 sqm / cum of concrete considered for wearing coat.</t>
  </si>
  <si>
    <t>No scaffolding required for wearing coat concrete laying.</t>
  </si>
  <si>
    <t>finishing and packing joints with asphalt mortar.</t>
  </si>
  <si>
    <t>Sundries ( asphalt mortar etc )</t>
  </si>
  <si>
    <t xml:space="preserve">times normal </t>
  </si>
  <si>
    <t>shutters</t>
  </si>
  <si>
    <t xml:space="preserve">sqm per cum </t>
  </si>
  <si>
    <t>of concrete considered.</t>
  </si>
  <si>
    <t>Add for blasting studies &amp; monitoring vibrations etc @</t>
  </si>
  <si>
    <t>including removing under-cuts by chiselling / hammering, placing the excavated rock neatly in</t>
  </si>
  <si>
    <t>Deploy 8000 ltr capacity water tanker for 5 hours for watering before rolling.</t>
  </si>
  <si>
    <t>1 km and all lifts.</t>
  </si>
  <si>
    <t>Sand of gradation 2mm to 1mm @ 0.10 cum / sqm</t>
  </si>
  <si>
    <t>line drilling and smooth blasting shall be adopted to obtain neat side slopes. For the purpose</t>
  </si>
  <si>
    <t>of payment 1 m width of excavation on either side shall be treated as excavation by line drilling</t>
  </si>
  <si>
    <t>ramming as directed including cost of all materials, machinery, labour etc., complete with</t>
  </si>
  <si>
    <t>Bulkage of 5 percent considered.</t>
  </si>
  <si>
    <t>Structural steel hoist bridge for supporting rope drum hoist for operating barrage gates consists</t>
  </si>
  <si>
    <t>Spillway stoplog gate embedded parts consist of sill beam, slide tracks / seal tracks and gate</t>
  </si>
  <si>
    <t>guides and dogging sets for storage of elements with accessories such as first stage anchors.</t>
  </si>
  <si>
    <t>Use rate of sand bag / use / bag ( cost / life )</t>
  </si>
  <si>
    <t>Deploy one 0.85 cum capacity shovel for 8 hours for digging and loading soil.</t>
  </si>
  <si>
    <t>3 Spreading soil in 25 to 30 cm layer:</t>
  </si>
  <si>
    <t>Quantity of loose soil to be spread ( 870 x 1.20 )</t>
  </si>
  <si>
    <t>Time required for levelling 1044 cum</t>
  </si>
  <si>
    <t>4 Watering;</t>
  </si>
  <si>
    <t>5 Compaction:</t>
  </si>
  <si>
    <t xml:space="preserve"> / kg</t>
  </si>
  <si>
    <t>Add for shutter oil @ 0.02 ltr Rs:</t>
  </si>
  <si>
    <t>Cement for incidentals @ 0.3 kg/slab</t>
  </si>
  <si>
    <t>M-103</t>
  </si>
  <si>
    <t>M-104</t>
  </si>
  <si>
    <t>M-105</t>
  </si>
  <si>
    <t>Geo grids</t>
  </si>
  <si>
    <t>M-106</t>
  </si>
  <si>
    <t>M-107</t>
  </si>
  <si>
    <t>M-108</t>
  </si>
  <si>
    <t>M-109</t>
  </si>
  <si>
    <t>M-110</t>
  </si>
  <si>
    <t>GI bolt 10 mm Dia</t>
  </si>
  <si>
    <t>M-111</t>
  </si>
  <si>
    <t>Grouting pump with agitator</t>
  </si>
  <si>
    <t>M-112</t>
  </si>
  <si>
    <t xml:space="preserve"> Grass (Doob)</t>
  </si>
  <si>
    <t>M-113</t>
  </si>
  <si>
    <t>M-114</t>
  </si>
  <si>
    <t>HDPE pipes 75mm dia</t>
  </si>
  <si>
    <t>M-115</t>
  </si>
  <si>
    <t>HDPE pipes 90mm dia</t>
  </si>
  <si>
    <t>M-116</t>
  </si>
  <si>
    <t>M-117</t>
  </si>
  <si>
    <t>Helical pipes 600mm diameter</t>
  </si>
  <si>
    <t>M-118</t>
  </si>
  <si>
    <t>Hot applied thermoplastic compound</t>
  </si>
  <si>
    <t>M-119</t>
  </si>
  <si>
    <t>M-120</t>
  </si>
  <si>
    <t>Joint Sealant Compound</t>
  </si>
  <si>
    <t>M-121</t>
  </si>
  <si>
    <t>Jute netting, open weave, 2.5 cm square opening for seeding and Mulching</t>
  </si>
  <si>
    <t>M-122</t>
  </si>
  <si>
    <t>LDO for steam curing</t>
  </si>
  <si>
    <t>M-123</t>
  </si>
  <si>
    <t>M.S. Clamps</t>
  </si>
  <si>
    <t>M-124</t>
  </si>
  <si>
    <t>M-125</t>
  </si>
  <si>
    <t>M-126</t>
  </si>
  <si>
    <t>Mild Steel bars</t>
  </si>
  <si>
    <t>M-127</t>
  </si>
  <si>
    <t xml:space="preserve">joints, pressing mortar into joints, cost of all materials, labour, scaffolding, </t>
  </si>
  <si>
    <t>other appurtenant works and placing the excavated rock neatly in dump area</t>
  </si>
  <si>
    <t xml:space="preserve"> or stack yard including levelling as directed etc., complete with </t>
  </si>
  <si>
    <t>Output of 1 mazdoor assumed at 10 cum loose soil for spreading and levelling.</t>
  </si>
  <si>
    <t>Consider 4 Mason Cl- II and 4 mazdoors for levelling &amp; packing rockfill.</t>
  </si>
  <si>
    <t>Consider 2 Mason Cl- II and 2 mazdoors for surface finishing to slope.</t>
  </si>
  <si>
    <t>Thickness of guniting</t>
  </si>
  <si>
    <t>Mortar mix proportion by weight</t>
  </si>
  <si>
    <t>Water to cement ratio by weight</t>
  </si>
  <si>
    <t>Unit weight of mortar 1 : 3 proportion by weight in kg / cum</t>
  </si>
  <si>
    <t>Cement per cum of mortar</t>
  </si>
  <si>
    <t>Sand per cum of mortar</t>
  </si>
  <si>
    <t>Total quantity of mortar for 36 sqm</t>
  </si>
  <si>
    <t>Deploy Guniting equipment with accessories for 8 hours.</t>
  </si>
  <si>
    <t>Weight of hoist with all accessories is assumed at 0.1 tonne per tonne capacity of hoist as the</t>
  </si>
  <si>
    <t>bed and sides to required level and profile, cost of all materials, machinery, labour, placing the</t>
  </si>
  <si>
    <t>excavated soft rock neatly in dump area or for formation of service road as directed etc.,</t>
  </si>
  <si>
    <t>Lead for disposal of excavated soft rock</t>
  </si>
  <si>
    <t>In-situ qty / bucket for 30 % bulkage on unloading ( 1 / 1.30 )</t>
  </si>
  <si>
    <t>In-situ quantity / load for 5 cum of soft rock ( 5 / 1.3 )</t>
  </si>
  <si>
    <t>Number of buckets per load ( 3.85 / 0.77 )</t>
  </si>
  <si>
    <t>Ideal cycle time for loading 5 buckets ( 5 x 30 / 60 )</t>
  </si>
  <si>
    <t>Add for hard wood scantling 75x63 mm 1.8 m long 2 Nos</t>
  </si>
  <si>
    <t>Use rate of mould:</t>
  </si>
  <si>
    <t>Add for shutter oil at 0.2 ltr/sqm for 1sqm @ Rs:</t>
  </si>
  <si>
    <t>/ ltr</t>
  </si>
  <si>
    <t>Use rate of mould for template / use for 100 uses</t>
  </si>
  <si>
    <t>lead upto upto 1 km and all lifts.</t>
  </si>
  <si>
    <t>structures near toe of dam blocks.</t>
  </si>
  <si>
    <t xml:space="preserve">including cost of all materials, machinery, labour, cutting, aligning, welding, finishing, </t>
  </si>
  <si>
    <t xml:space="preserve">Requirement of materials : </t>
  </si>
  <si>
    <t xml:space="preserve"> MOVING GANTRY CRANE-CLASS II</t>
  </si>
  <si>
    <t>For Erection/Dismantling bulk head</t>
  </si>
  <si>
    <t>For Laying concrete by placer</t>
  </si>
  <si>
    <t>For wetting C.A / Curing etc</t>
  </si>
  <si>
    <t>considered for welder for stitch welding.</t>
  </si>
  <si>
    <t>For surface cleaning by chemical cleaner</t>
  </si>
  <si>
    <t xml:space="preserve">machinery, labour, cutting, welding etc, complete as per specifications and approved drawings  </t>
  </si>
  <si>
    <t>Beyond 6 m upto 12 m from surface :</t>
  </si>
  <si>
    <t xml:space="preserve">Upto 6 m from surface </t>
  </si>
  <si>
    <t xml:space="preserve"> Rate per</t>
  </si>
  <si>
    <t>Add for redrilling through partially set grout / additional</t>
  </si>
  <si>
    <t>extension rods / reduction in rate of drilling etc @</t>
  </si>
  <si>
    <t>Beyond 6 m upto 12 m from surface</t>
  </si>
  <si>
    <t>Beyond 12 m upto 18 m from surface :</t>
  </si>
  <si>
    <t xml:space="preserve">For 6 m to 12 m from surface </t>
  </si>
  <si>
    <t xml:space="preserve">Beyond 12 m upto 18 m from surface </t>
  </si>
  <si>
    <t xml:space="preserve">Rate / Rm </t>
  </si>
  <si>
    <t>Synthetic Enamel paint 1st quality</t>
  </si>
  <si>
    <t>Checking and trial running without rope</t>
  </si>
  <si>
    <t>Trial running by lifting / lowering gate</t>
  </si>
  <si>
    <t>For 1 cum CC :- Coarse aggregates : 0.90 cum                    Blending ratio : 50 :30 : 20</t>
  </si>
  <si>
    <t>Shuttering 2 sqm / cum of concrete considered for sub / super structure works.</t>
  </si>
  <si>
    <t>Scaffolding for sub/ super structure concreting assumed :             25 % of shuttering</t>
  </si>
  <si>
    <t>Labour for erecting &amp; dismantling scaffolding :                              25 % of labour for shuttering.</t>
  </si>
  <si>
    <t>Use rate of shuttering</t>
  </si>
  <si>
    <t>Welding electrodes ( std )</t>
  </si>
  <si>
    <t>Tower crane 5 t cpacity</t>
  </si>
  <si>
    <t>Crew for Bending machine</t>
  </si>
  <si>
    <t>system, brake system, electric motor, wire ropes, gate position indicator, manual operation</t>
  </si>
  <si>
    <t>method. For week strata arch rib supports are to be erected before benching.</t>
  </si>
  <si>
    <t>Assuming spacing of arch supports at 0.75 m interval the effective depth of pull per blast is</t>
  </si>
  <si>
    <t>considered at 1.5 m. The depth of hole for 1.5 m pull is considered at 1.7 m.</t>
  </si>
  <si>
    <t>Extra drilling considered at 10 percent for inclination of holes and for removal of any under</t>
  </si>
  <si>
    <t>needed to maintain soil moisture within OMC plus or minus 3 percent limit. Assuming seasonal</t>
  </si>
  <si>
    <t>mazdoors for conveyer / air &amp; water jet cleaning.</t>
  </si>
  <si>
    <t>mazdoors for batching cement and sand</t>
  </si>
  <si>
    <t>mazdoor for rubble</t>
  </si>
  <si>
    <t>1 Mason Cl -II and 3 mazdoors : for laying 50 Rm pipe / day.</t>
  </si>
  <si>
    <t>mazdoor for other works</t>
  </si>
  <si>
    <t>Shafts / Keys</t>
  </si>
  <si>
    <t>Worm reducer ( size 800 )</t>
  </si>
  <si>
    <t>Electric motor 12.5 hp</t>
  </si>
  <si>
    <t>No. of dumpers to match corrected cycle time of shovel ( 14.00 / 4.50 ) :</t>
  </si>
  <si>
    <t>Output of dumper / hr with 50 min working / hr ( 50 x 3.57 / 14.00 ) :</t>
  </si>
  <si>
    <t>Output for 3 dumpers per day ( 3 x 12.75 x 8 ) say</t>
  </si>
  <si>
    <t>cum.</t>
  </si>
  <si>
    <t>Deploy 3 dumpers for disposal of excavated hard rock.</t>
  </si>
  <si>
    <t>Consider 100 sqm riprap area:</t>
  </si>
  <si>
    <t>Rough stones</t>
  </si>
  <si>
    <t>Rough stones ( rubble )</t>
  </si>
  <si>
    <t>including cost of all materials, machinery, labour, laying to required slopes, compaction etc.,</t>
  </si>
  <si>
    <t>Bottom width</t>
  </si>
  <si>
    <t>Side slopes :</t>
  </si>
  <si>
    <t>1( V ):1(H)</t>
  </si>
  <si>
    <t>Progress per shift of 8 hours:                                   ( 8 x 3.50 )</t>
  </si>
  <si>
    <t>Loading cement to BP material bin</t>
  </si>
  <si>
    <t>As concrete will be placed by pneumatic placer, the reinforcement bars have to be held regidly</t>
  </si>
  <si>
    <t xml:space="preserve">Cost of 50 m air hose @                                  Rs: </t>
  </si>
  <si>
    <t>Approximate length of welding for 4.5 m dia ring</t>
  </si>
  <si>
    <t>No of electrodes required @ 10 / m welding</t>
  </si>
  <si>
    <t>Beyond 18 m upto 24 m from surface</t>
  </si>
  <si>
    <t xml:space="preserve">Beyond 24 m upto 30 m from surface </t>
  </si>
  <si>
    <t xml:space="preserve">For 18 m to 24 m from surface </t>
  </si>
  <si>
    <t>the next tipper for loading. Assuming extra time of 20 seconds the corrected cycle time for the</t>
  </si>
  <si>
    <t>Requirement of dozer for one day work 807 cum</t>
  </si>
  <si>
    <t>Quantity of loose soil to be spread ( 850 x 1.20 )</t>
  </si>
  <si>
    <t>Time required for levelling 1020 cum</t>
  </si>
  <si>
    <t>Time for rolling 1020 cum soil in embankment layer</t>
  </si>
  <si>
    <t xml:space="preserve">Round trip cycle time for dumper </t>
  </si>
  <si>
    <t>Output for 3 dumpers per hour ( 3 x 12.75 ) say</t>
  </si>
  <si>
    <t xml:space="preserve">Deploy 1 shovel and 3 dumpers for 12 hours for disposal of </t>
  </si>
  <si>
    <t>Quantity of loose soil to be spread ( 412.8 x 1.20 ) :</t>
  </si>
  <si>
    <t>CA : 0.80 cum, Blending Ratio of CA -- 65:35, FA : 0.44 cum)</t>
  </si>
  <si>
    <t>super plasticiser, CA : 0.80 cum, Blending Ratio of CA -- 65:35,</t>
  </si>
  <si>
    <t xml:space="preserve"> FA : 0.44 cum)</t>
  </si>
  <si>
    <t>Blending Ratio of CA -- 65:35)</t>
  </si>
  <si>
    <t>of cement), CA : 0.80 cum, Blending Ratio of CA--65:35, FA : 0.44 cum)</t>
  </si>
  <si>
    <t>of cement, CA : 0.80 cum, Blending Ratio of CA--65:35, FA : 0.44 cum)</t>
  </si>
  <si>
    <t>wt. of cement, CA : 0.80 cum, Blending Ratio of CA--65:35, FA : 0.45 cum)</t>
  </si>
  <si>
    <t xml:space="preserve">( Cement content : 190 kg/cum of masonry, rubble stones : 0.85 cum, </t>
  </si>
  <si>
    <t>For removing, conveying &amp; stacking stone/ chips( 1 mazdoor 4 cum / day)</t>
  </si>
  <si>
    <t>Removing / Cleaning disturbed slabs mazdoor</t>
  </si>
  <si>
    <t>Assisting mason for relaying stones mazdoor</t>
  </si>
  <si>
    <t>Removing and handling stones and chips : mazdoor</t>
  </si>
  <si>
    <t>mazdoor for cleaning</t>
  </si>
  <si>
    <t>Assembly/Erection of top frame</t>
  </si>
  <si>
    <t>Assembly/Erection of CT trolley</t>
  </si>
  <si>
    <t>Rate / Rm</t>
  </si>
  <si>
    <t xml:space="preserve">mm size groove in between two water stops, providing &amp; fixing 15 mm dia </t>
  </si>
  <si>
    <t xml:space="preserve">two legged G.I pipe with U-bend at bottom for circulation steam at interval, </t>
  </si>
  <si>
    <t xml:space="preserve">forming 150 mm diameter formed drain behind water seals including filling </t>
  </si>
  <si>
    <t>CA : 0.80 cum, Blending Ratio of CA--65:35,  FA : 0.45 cum)</t>
  </si>
  <si>
    <t>( rubble stones : 0.96 cum,  Stone Chips : 0.15cum, Through Stones 20 x 20 x 30cm : 1/sqm)</t>
  </si>
  <si>
    <t>( rubble stones : 0.23 cum/sqm,  Stone Chips : 0.0375cum/sqm, Pin Headers 30cm : 2/sqm)</t>
  </si>
  <si>
    <t>hand packing, finishing etc., complete</t>
  </si>
  <si>
    <t>( rubble stones : 0.33 cum/sqm)</t>
  </si>
  <si>
    <t>( rubble stones : 0.275 cum/sqm,  Stone Chips : 0.045cum/sqm, Pin Headers 30cm : 2/sqm)</t>
  </si>
  <si>
    <t>( rubble stones : 0.40 cum/sqm,  Stone Chips : 0.0675cum/sqm, Pin Headers 45cm : 2/sqm)</t>
  </si>
  <si>
    <t>( rubble stones : 0.495 cum/sqm)</t>
  </si>
  <si>
    <t>( rubble stones : 0.33 cum/sqm )</t>
  </si>
  <si>
    <t xml:space="preserve">( Khandki stones 20- 25 cm height : 1200 Nos/sqm,  Stone Chips : 0.045cum/sqm, </t>
  </si>
  <si>
    <t>Pin Headers 30cm : 2/sqm)</t>
  </si>
  <si>
    <t xml:space="preserve">Output of 1 mason for smooth plastering  </t>
  </si>
  <si>
    <t xml:space="preserve">Output of 1 mason for smooth plastering </t>
  </si>
  <si>
    <t>No. of tippers to match corrected cycle time of shovel ( 15.00 / 5.00 )</t>
  </si>
  <si>
    <t>Deploy 90 hp dozer for 0.25 hour for levelling excavated rock in the dump yard.</t>
  </si>
  <si>
    <t>Area of chain link mesh for 1 m width ( 20 + 30 ) x 1 x 1.10</t>
  </si>
  <si>
    <t>Bronze, alluminium alloy components : ( Bronze alloy )</t>
  </si>
  <si>
    <t>Bearing / Bush</t>
  </si>
  <si>
    <t>b.</t>
  </si>
  <si>
    <t>c.</t>
  </si>
  <si>
    <t>The rate in the total rate column is rounded off to nearest Rs : 5.00.</t>
  </si>
  <si>
    <t>For other materials the rates shall be prevailing market rates.</t>
  </si>
  <si>
    <t>Alloy steel ( IS : 1570-carbon steel ) shafts</t>
  </si>
  <si>
    <t>of overburden in quarry.</t>
  </si>
  <si>
    <t>As the density of rockfill is dependant on gradation the drilling and blasting operations at quarry</t>
  </si>
  <si>
    <t>Nos. of holes for 644 sqm area ( 644 / 3 )</t>
  </si>
  <si>
    <t>Scaffolding @  of shuttering</t>
  </si>
  <si>
    <t>The basic rates are inclusive of taxes, duties (excise ), levies and all other incidental charges including</t>
  </si>
  <si>
    <t xml:space="preserve">  no provision is made for stitch welding and it is part of welding work</t>
  </si>
  <si>
    <t>In cases, where the current capital cost of machinery / equipment could not be collected</t>
  </si>
  <si>
    <t>through enquiries, the capital cost considered for previous year may be updated on the</t>
  </si>
  <si>
    <t>basis of average percentage increase / decrease in the index for machinery published in</t>
  </si>
  <si>
    <t>the R.B.I Bulletin.</t>
  </si>
  <si>
    <t>COST</t>
  </si>
  <si>
    <t>Operator Core drilling machine</t>
  </si>
  <si>
    <t>Operator Crane/ Tower crane/ Cable way</t>
  </si>
  <si>
    <t>Operator Drilling jumbo / Loco / Winch</t>
  </si>
  <si>
    <t xml:space="preserve">Grid spacing of holes for soft rock requiring blasting depends on the nature </t>
  </si>
  <si>
    <t>of soft rock at any particular location. For the purpose of rate analysis holes</t>
  </si>
  <si>
    <t xml:space="preserve">including cost of all materials, machinery, labour, scaffolding, ramps, </t>
  </si>
  <si>
    <t xml:space="preserve">Beyond 18 m upto 24 m from surface </t>
  </si>
  <si>
    <t xml:space="preserve">For 12 m to 18 m from surface </t>
  </si>
  <si>
    <t xml:space="preserve">extension rods / reduction in rate of drilling etc @ </t>
  </si>
  <si>
    <t>Cost of water hose 25 m/ jack hammer @ Rs:/ m</t>
  </si>
  <si>
    <t>Cost of air hose 25 m / jack hammer @ Rs:  / m</t>
  </si>
  <si>
    <t>For conveying &amp; laying sand ( 2 mazdoors : 6 cum / day ).</t>
  </si>
  <si>
    <t xml:space="preserve"> mazdoors</t>
  </si>
  <si>
    <t>For conveying &amp; laying filter CA (  mazdoors : 6 cum / day ).</t>
  </si>
  <si>
    <t>mazdoors</t>
  </si>
  <si>
    <t>Structural steel plate / flats</t>
  </si>
  <si>
    <t xml:space="preserve">As normally 6 m stage is considered for grouting, 16 holes of 6 m each </t>
  </si>
  <si>
    <t xml:space="preserve">considered for rate analysis with one 8.5 cmm capacity air compressor and </t>
  </si>
  <si>
    <t>Rate of drilling by waggon drill in open area</t>
  </si>
  <si>
    <t>Considering about 25 percent reduction in efficiency the hourly progress of drilling by waggon</t>
  </si>
  <si>
    <t>Dressed stones 30 x 30 x 45 cm</t>
  </si>
  <si>
    <t>M-025</t>
  </si>
  <si>
    <t>M-026</t>
  </si>
  <si>
    <t>M-027</t>
  </si>
  <si>
    <t>M-028</t>
  </si>
  <si>
    <t>M-029</t>
  </si>
  <si>
    <t>M-030</t>
  </si>
  <si>
    <t>M-031</t>
  </si>
  <si>
    <t>M-032</t>
  </si>
  <si>
    <t>M-033</t>
  </si>
  <si>
    <t>M-034</t>
  </si>
  <si>
    <t>M-035</t>
  </si>
  <si>
    <t>M-036</t>
  </si>
  <si>
    <t>M-037</t>
  </si>
  <si>
    <t>M-038</t>
  </si>
  <si>
    <t>M-039</t>
  </si>
  <si>
    <t>M-040</t>
  </si>
  <si>
    <t>M-041</t>
  </si>
  <si>
    <t>M-042</t>
  </si>
  <si>
    <t>M-043</t>
  </si>
  <si>
    <t>M-044</t>
  </si>
  <si>
    <t>M-045</t>
  </si>
  <si>
    <t>M-046</t>
  </si>
  <si>
    <t>M-047</t>
  </si>
  <si>
    <t>M-048</t>
  </si>
  <si>
    <t>M-049</t>
  </si>
  <si>
    <t>M-050</t>
  </si>
  <si>
    <t>M-051</t>
  </si>
  <si>
    <t>M-052</t>
  </si>
  <si>
    <t>M-053</t>
  </si>
  <si>
    <t>M-054</t>
  </si>
  <si>
    <t>M-055</t>
  </si>
  <si>
    <t>M-056</t>
  </si>
  <si>
    <t>AC pipe 100 mm dia</t>
  </si>
  <si>
    <t>metre</t>
  </si>
  <si>
    <t>M-057</t>
  </si>
  <si>
    <t>Acrylic polymer bonding coat</t>
  </si>
  <si>
    <t>litre</t>
  </si>
  <si>
    <t>M-058</t>
  </si>
  <si>
    <t>M-059</t>
  </si>
  <si>
    <t>M-060</t>
  </si>
  <si>
    <t>M-061</t>
  </si>
  <si>
    <t>M-062</t>
  </si>
  <si>
    <t>nos</t>
  </si>
  <si>
    <t>M-063</t>
  </si>
  <si>
    <t>Barbed wire</t>
  </si>
  <si>
    <t>M-064</t>
  </si>
  <si>
    <t>Bearing (Cost of parts)</t>
  </si>
  <si>
    <t>M-065</t>
  </si>
  <si>
    <t>Bearing (Cast steel rocker bearing assembly of 250 tonne )</t>
  </si>
  <si>
    <t>M-066</t>
  </si>
  <si>
    <t>M-067</t>
  </si>
  <si>
    <t>M-068</t>
  </si>
  <si>
    <t>M-069</t>
  </si>
  <si>
    <t>IRR-PMW-2-3</t>
  </si>
  <si>
    <t>IRR-PMW-2-4</t>
  </si>
  <si>
    <t>IRR-PMW-2-5</t>
  </si>
  <si>
    <t>IRR-PMW-2-6</t>
  </si>
  <si>
    <t>IRR-PMW-2-7</t>
  </si>
  <si>
    <t>IRR-PMW-2-8</t>
  </si>
  <si>
    <t>IRR-PMW-2-9</t>
  </si>
  <si>
    <t>IRR-PMW-3</t>
  </si>
  <si>
    <t>IRR-PMW-3-1</t>
  </si>
  <si>
    <t>IRR-PMW-3-2</t>
  </si>
  <si>
    <t>IRR-PMW-3-3</t>
  </si>
  <si>
    <t>IRR-PMW-3-4</t>
  </si>
  <si>
    <t>IRR-PMW-3-5</t>
  </si>
  <si>
    <t>IRR-PMW-3-6</t>
  </si>
  <si>
    <t>IRR-PMW-3-7</t>
  </si>
  <si>
    <t>IRR-PMW-3-8</t>
  </si>
  <si>
    <t>IRR-PMW-3-9</t>
  </si>
  <si>
    <t>IRR-PMW-3-10</t>
  </si>
  <si>
    <t>IRR-PMW-3-11</t>
  </si>
  <si>
    <t>IRR-PMW-3-12</t>
  </si>
  <si>
    <t>IRR-PMW-3-13</t>
  </si>
  <si>
    <t>IRR-PMW-3-14</t>
  </si>
  <si>
    <t>IRR-PMW-3-15</t>
  </si>
  <si>
    <t>IRR-PMW-3-16</t>
  </si>
  <si>
    <t>IRR-PMW-3-17</t>
  </si>
  <si>
    <t>IRR-PMW-3-18</t>
  </si>
  <si>
    <t>IRR-PMW-3-19</t>
  </si>
  <si>
    <t>IRR-PMW-3-20</t>
  </si>
  <si>
    <t>IRR-PMW-3-21</t>
  </si>
  <si>
    <t>COM_MWRK</t>
  </si>
  <si>
    <t>COM_MWRK-1</t>
  </si>
  <si>
    <t>COM_MWRK-2</t>
  </si>
  <si>
    <t>COM_MWRK-3</t>
  </si>
  <si>
    <t>COM_MWRK-4</t>
  </si>
  <si>
    <t>IRR-DAW-5</t>
  </si>
  <si>
    <t>IRR-TAW-2</t>
  </si>
  <si>
    <t>IRR-TAW-3</t>
  </si>
  <si>
    <t>IRR-TAW-4</t>
  </si>
  <si>
    <t>IRR-TAW-5</t>
  </si>
  <si>
    <t>IRR-CAW-2-8</t>
  </si>
  <si>
    <t>ROCK PITCHING</t>
  </si>
  <si>
    <t>COM-MWRK</t>
  </si>
  <si>
    <t>COM-MWRK-1</t>
  </si>
  <si>
    <t>COM-MWRK-2</t>
  </si>
  <si>
    <t>COM-MWRK-3</t>
  </si>
  <si>
    <t>COM-MWRK-4</t>
  </si>
  <si>
    <t xml:space="preserve">seigniorage charges on  Materials as per SSR </t>
  </si>
  <si>
    <t>Other Overheads included for the work items of Irrigation</t>
  </si>
  <si>
    <t>Cement /steel handling  mazdoor</t>
  </si>
  <si>
    <t>Drilling machines</t>
  </si>
  <si>
    <t>Planing machine</t>
  </si>
  <si>
    <t>Crew for Tower crane</t>
  </si>
  <si>
    <t>Crew for Mobile crane</t>
  </si>
  <si>
    <t>Crew for Shearing machine</t>
  </si>
  <si>
    <t>Crew for Planing machine</t>
  </si>
  <si>
    <t>Crew for Drilling machine</t>
  </si>
  <si>
    <t>Crew for Grinding machine</t>
  </si>
  <si>
    <t>Marker / Fabricator / Erector</t>
  </si>
  <si>
    <t>Welder ( X - ray )</t>
  </si>
  <si>
    <t>Helper for cleaning / painting</t>
  </si>
  <si>
    <t>Painter Cl - II</t>
  </si>
  <si>
    <t xml:space="preserve">Total  </t>
  </si>
  <si>
    <t>2 mazdoors @ 10 cum / day.</t>
  </si>
  <si>
    <t xml:space="preserve">Requirement of materials for 100 cum </t>
  </si>
  <si>
    <t xml:space="preserve">( 1.25 x 80 ) </t>
  </si>
  <si>
    <t>( 100 x 0.15 )</t>
  </si>
  <si>
    <t>Requirement of materials</t>
  </si>
  <si>
    <t>(0.38 + 0.78 ) x 0.20 x 200  / 2</t>
  </si>
  <si>
    <t>100.00 - 23.2</t>
  </si>
  <si>
    <t>Needle vibrator 60 mm dia ( petrol)</t>
  </si>
  <si>
    <t>Fabricating by stitch welding 195 hours</t>
  </si>
  <si>
    <t>Run welding 585 hours</t>
  </si>
  <si>
    <t>Erection of Anchor / Yoke girders</t>
  </si>
  <si>
    <t>Erection of tie flats</t>
  </si>
  <si>
    <t>Erection of first stage anchors</t>
  </si>
  <si>
    <t>Erection of Sill beam / Wall plates</t>
  </si>
  <si>
    <t>Finishing / cleaning / checking</t>
  </si>
  <si>
    <t>Side slope upstream side</t>
  </si>
  <si>
    <t>Cycle time for loading 8 buckets ( 8 x 28 / 60 )</t>
  </si>
  <si>
    <t>Cycle time for tipper:</t>
  </si>
  <si>
    <t>over-burden is assumed at 3 Rm per hour.</t>
  </si>
  <si>
    <t>Drilling in over-burden can be by using TC bit or combination of shoe bit and reamer shell. For</t>
  </si>
  <si>
    <t>Use rate of heavy duty shutters for mass concrete : 1.5 times normal shutters</t>
  </si>
  <si>
    <t>Use rate of normal shutter / sqm as per annexure-A</t>
  </si>
  <si>
    <t>Use rate of heavy duty shutter / sqm</t>
  </si>
  <si>
    <t>No scaffolding required for dam mass concrete works.</t>
  </si>
  <si>
    <t>For conveying &amp; laying 40-20 mm CA ( 2 mazdoors @  5 cum /day).</t>
  </si>
  <si>
    <t>For conveying &amp; laying 20 mm down CA( 2 mazdoors @ 5 cum /day).</t>
  </si>
  <si>
    <t>Shovel digging and loading cycle per bucket for dumped soil</t>
  </si>
  <si>
    <t>Time for (av ) 0.75 km haulage under load ( 0.75 x 60 / 15 )</t>
  </si>
  <si>
    <t>For 68 cum in-situ quantity deploy 1 shovel &amp; 3 tippers for</t>
  </si>
  <si>
    <t>For levelling 68 cum muck in dump yard deploy 1 dozer for</t>
  </si>
  <si>
    <t xml:space="preserve">Cost of 25 mm dia 50 m air hose @                  Rs: </t>
  </si>
  <si>
    <t>20 - 10 mm CA @ 75 %</t>
  </si>
  <si>
    <t>Pin headers 30 cm long</t>
  </si>
  <si>
    <t>5 hp diesel pump</t>
  </si>
  <si>
    <t>proportion including cost of all materials, labour, packing chips and mortar, finishing, curing</t>
  </si>
  <si>
    <t>Pin headers ( Through stone) @ 2 per sqm</t>
  </si>
  <si>
    <t>Laying pitching Mason Cl II @ 15 sqm / day</t>
  </si>
  <si>
    <t>Re-laying and packing stones Mason Cl II</t>
  </si>
  <si>
    <t>etc., out of tunnel including breaking large fragments by blasting if necessary and disposing off</t>
  </si>
  <si>
    <t>Heading portion :</t>
  </si>
  <si>
    <t>Structural steel angles / beams / channels with 2.5 % wastage</t>
  </si>
  <si>
    <t>Depth</t>
  </si>
  <si>
    <t>Cross sectional area ( 0.50 + 1.50 ) x 0.50 / 2</t>
  </si>
  <si>
    <t>Thickness of sand layer</t>
  </si>
  <si>
    <t>Thickness of 20 mm down CA layer</t>
  </si>
  <si>
    <t>Consider 100 cum filter drain:</t>
  </si>
  <si>
    <t>Length of drain for 100 cum ( 100 / 0.50 )</t>
  </si>
  <si>
    <t>Life of grout hose</t>
  </si>
  <si>
    <t>Use rate of grout hose per hour ( cost / life )</t>
  </si>
  <si>
    <t>Cost of water hose 25 m @ Rs: 110.00 / m</t>
  </si>
  <si>
    <t>=</t>
  </si>
  <si>
    <t>Crowbarman</t>
  </si>
  <si>
    <t>Electrician</t>
  </si>
  <si>
    <t>Helper blasting</t>
  </si>
  <si>
    <t>Mason Class I</t>
  </si>
  <si>
    <t>Mason Class II</t>
  </si>
  <si>
    <t>Pipe fitter</t>
  </si>
  <si>
    <t>Stone chiseller Cl- I</t>
  </si>
  <si>
    <t>Stone chiseller Cl- II</t>
  </si>
  <si>
    <t>Consider 10 cum rubble and sand filling.</t>
  </si>
  <si>
    <t>Quantity of rubble</t>
  </si>
  <si>
    <t>Quantity of sand</t>
  </si>
  <si>
    <t>Rubble stones at quarry</t>
  </si>
  <si>
    <t>shovel will be 2.83 minutes.</t>
  </si>
  <si>
    <t xml:space="preserve">Ideal cycle time of shovel for digging &amp; loading </t>
  </si>
  <si>
    <t>No. of tippers to match corrected cycle time of shovel ( 10.83/ 2.83 )</t>
  </si>
  <si>
    <t>Output for 4 tippers per day ( 4 x 17.77 x 8 )</t>
  </si>
  <si>
    <t>35 cm thick 30 cm high UCR masonry in CM 1 : 5 proportion protective wall alround the BM</t>
  </si>
  <si>
    <t>For conveying &amp; laying sand ( 2 mazdoors @  : 5 cum / day ).</t>
  </si>
  <si>
    <t>For conveying &amp; laying 10 mm down CA( 2 mazdoors @  : 5 cum / day ).</t>
  </si>
  <si>
    <t>For conveying &amp; laying 40-20 mm CA ( 2 mazdoors @  : 5 cum / day ).</t>
  </si>
  <si>
    <t>For conveying &amp; laying 10 mm down CA ( 2 mazdoors @  : 5 cum / day ).</t>
  </si>
  <si>
    <t>stones and spalls in layers, hand packing, wedging, finishing the surface to required slopes</t>
  </si>
  <si>
    <t>Trial operation and final adjustments</t>
  </si>
  <si>
    <t>Cast iron components :</t>
  </si>
  <si>
    <t>Thrust bearings</t>
  </si>
  <si>
    <t>Output of tipper / hr with 50 min working / hr ( 50 x 3.85 / 10.83 )</t>
  </si>
  <si>
    <t>Acetelyne gas @ 0.6 cum / hour                            ( 111 x 0.60 )</t>
  </si>
  <si>
    <t xml:space="preserve">For 1 cum CC:- Coarse aggregates: 0.90 cum </t>
  </si>
  <si>
    <t>Blinding ratio :50:30:20</t>
  </si>
  <si>
    <t>Speed for empty tipper under haul road condition</t>
  </si>
  <si>
    <t>In-situ qty / bucket for 15 % bulkage of soil ( 0.58 /1.15 )</t>
  </si>
  <si>
    <t>In-situ quantity per load for 20 % bulkage of soil ( 5.0 /1.2 )</t>
  </si>
  <si>
    <t>Number of buckets per load ( 4.00 / 0.50 )</t>
  </si>
  <si>
    <t>sub total (b)</t>
  </si>
  <si>
    <t>sub total (a+b)</t>
  </si>
  <si>
    <t>or say ( Rate upto  3.0m for 6.0 m well sinking )</t>
  </si>
  <si>
    <t>(ii)</t>
  </si>
  <si>
    <t>Beyond 3m and upto 10m depth</t>
  </si>
  <si>
    <t>Rate of sinking  = 0.33 m per hour.</t>
  </si>
  <si>
    <t>Bearing (PTFE sliding plate bearing assembly of 80 tonnes )</t>
  </si>
  <si>
    <t>M-070</t>
  </si>
  <si>
    <t>Bearing (Supply of sliding plate bearing of 80 tonne)</t>
  </si>
  <si>
    <t>M-071</t>
  </si>
  <si>
    <t>M-072</t>
  </si>
  <si>
    <t>M-073</t>
  </si>
  <si>
    <t>Bitumen ( Cationic Emulsion )</t>
  </si>
  <si>
    <t>M-074</t>
  </si>
  <si>
    <t>M-075</t>
  </si>
  <si>
    <t>M-076</t>
  </si>
  <si>
    <t>Bitumen (Cutback )</t>
  </si>
  <si>
    <t>M-077</t>
  </si>
  <si>
    <t>M-078</t>
  </si>
  <si>
    <t>M-079</t>
  </si>
  <si>
    <t>Brick</t>
  </si>
  <si>
    <t>M-080</t>
  </si>
  <si>
    <t>M-081</t>
  </si>
  <si>
    <t>M-082</t>
  </si>
  <si>
    <t>M-083</t>
  </si>
  <si>
    <t>M-084</t>
  </si>
  <si>
    <t>Compressible Fibre Board(20mm thick)</t>
  </si>
  <si>
    <t>M-085</t>
  </si>
  <si>
    <t>Connectors/ Staples</t>
  </si>
  <si>
    <t>M-086</t>
  </si>
  <si>
    <t>Copper Plate(12m long x 250mmwide)</t>
  </si>
  <si>
    <t>M-087</t>
  </si>
  <si>
    <t>Corrosion resistant Structural steel</t>
  </si>
  <si>
    <t>M-088</t>
  </si>
  <si>
    <t>M-089</t>
  </si>
  <si>
    <t>M-090</t>
  </si>
  <si>
    <t>M-091</t>
  </si>
  <si>
    <t>M-092</t>
  </si>
  <si>
    <t>M-093</t>
  </si>
  <si>
    <t>Elastomeric slab seal expansion joint assembly manufactured by using chloroprene, elastomer for elastomeric slab unit conforming to clause 915.1 of IRC: 83 (part II),</t>
  </si>
  <si>
    <t>M-094</t>
  </si>
  <si>
    <t>Electric Detonators @ 1 detonator for 1/2 gelatin stick of 125 gms each</t>
  </si>
  <si>
    <t>M-095</t>
  </si>
  <si>
    <t>Aportioned cost of labour  for lug slabs</t>
  </si>
  <si>
    <t>Aportioned hire charges of machinery @ 90% for lining slab    Rs.</t>
  </si>
  <si>
    <t>Aportioned cost of labour for lining slabs     Rs.</t>
  </si>
  <si>
    <t>Aportioned hire charges of machinery for lining slab</t>
  </si>
  <si>
    <t>Aportioned cost of labour for lining slabs</t>
  </si>
  <si>
    <t>As the temperary supports are dismantled before concreting and reused else where the cost of</t>
  </si>
  <si>
    <t>materials including fabrication will be per use of supports.</t>
  </si>
  <si>
    <t>Consider 20 uses for support materials.</t>
  </si>
  <si>
    <t>Structural beams</t>
  </si>
  <si>
    <t>Structural plates</t>
  </si>
  <si>
    <t>Tie rods and anchors</t>
  </si>
  <si>
    <t>Oxygen gas per tonne fabrication</t>
  </si>
  <si>
    <t>Acetylene gas per tonne fabrication</t>
  </si>
  <si>
    <t>Welding electrodes per tonne fabrication</t>
  </si>
  <si>
    <t>for  considering 50 min per hour working.</t>
  </si>
  <si>
    <t>at  diameter of hole and spacing of holes is considered atburden.</t>
  </si>
  <si>
    <t>Deploy welding machine for 16 hours for welding end plates.</t>
  </si>
  <si>
    <t>Average output of 2 mazdoors assumed at 5 cum / day for trimming</t>
  </si>
  <si>
    <t>Output of 1 crowbarman, output of 2 mazdoors assumed at 5.50 cum per day.</t>
  </si>
  <si>
    <t>Deploy 11 crowbarman, 22 mazdoors for 60 cum.</t>
  </si>
  <si>
    <t>Output of 1 crowbarman, output of 2 mazdoors assumed at 5 cum per day.</t>
  </si>
  <si>
    <t>Coursed rubble stone 30 x 30 x 60 cm</t>
  </si>
  <si>
    <t>Curing Compound</t>
  </si>
  <si>
    <t>Delay - noiseless trunk</t>
  </si>
  <si>
    <t>Detonating fuse coil</t>
  </si>
  <si>
    <t>Detonating shock tube / Cord relays</t>
  </si>
  <si>
    <t>Detonator delay type</t>
  </si>
  <si>
    <t>Detonator electric</t>
  </si>
  <si>
    <t>Detonator ordinary</t>
  </si>
  <si>
    <t>Empty cement bag</t>
  </si>
  <si>
    <t>Explosive ANFO</t>
  </si>
  <si>
    <t>6 mm plate 0.03 sqm @ 47.1 kg / sqm</t>
  </si>
  <si>
    <t>Total wt</t>
  </si>
  <si>
    <t>Cost of 4 mm plate 33.91 kg</t>
  </si>
  <si>
    <t>Cost of 6.6 m angle 25.08 kg</t>
  </si>
  <si>
    <t>Cost of 1.8 m flat 4.23 kg</t>
  </si>
  <si>
    <t>Cost of 2.3 m soldier 18.17 kg</t>
  </si>
  <si>
    <t>Cost of 6mm plate 1.41 kg</t>
  </si>
  <si>
    <t>Add for bolts &amp; nuts @ 0.5 kg / sqm</t>
  </si>
  <si>
    <t>Add for fabrication of shutter</t>
  </si>
  <si>
    <t>Deduct salvage value @</t>
  </si>
  <si>
    <t>(11 x 60 / 50 / 0.7)</t>
  </si>
  <si>
    <t>cum/hr</t>
  </si>
  <si>
    <t>Length of welding as per data sheet</t>
  </si>
  <si>
    <t>For stich welding @ 2 hrs usage / shift &amp; @ 15 electrodes / hr</t>
  </si>
  <si>
    <t>Use rate of water hose 20 m per hour                                         (cost / life)</t>
  </si>
  <si>
    <t>Use rate of cross bit 75 mm dia</t>
  </si>
  <si>
    <t>Use rate of air hose 20 m</t>
  </si>
  <si>
    <t>capacity for spillway stoplog element or river sluice emergency gate whichever is higher.</t>
  </si>
  <si>
    <t xml:space="preserve">                                                                               Total                 Rs:    </t>
  </si>
  <si>
    <t>Acetylene gas</t>
  </si>
  <si>
    <t>Binding wire</t>
  </si>
  <si>
    <t>Burnt stone slab 10 cm thick</t>
  </si>
  <si>
    <t>Sundries( Hopper etc. )</t>
  </si>
  <si>
    <t>Fitter shuttering</t>
  </si>
  <si>
    <t>for erecting/ dismantling tremie</t>
  </si>
  <si>
    <t>for feeding tremie hopper</t>
  </si>
  <si>
    <t xml:space="preserve">SCOPE OF  WORK  INVOLVES DESIGNS COMPONENT ALSO </t>
  </si>
  <si>
    <t xml:space="preserve">PAINTING CHARGES ADDED EXTRA TO THE DATA ITEMS AS PER APPLICABILITY DRAFTING FROM </t>
  </si>
  <si>
    <t>Actual capacity of hoist as per data</t>
  </si>
  <si>
    <t>Labour for erecting &amp; dismsntling scaffolding :                             25 % of labour for shuttering.</t>
  </si>
  <si>
    <t>Filling charges @ 2 mazdoors per 100 bags/ day</t>
  </si>
  <si>
    <t>1 Crowbarman, 1 stone breaker and 1 mazdoor prepare 50 sqm per day.</t>
  </si>
  <si>
    <t>0.5 mazdoor for air water jet cleaning for 100 sqm area.</t>
  </si>
  <si>
    <t>1 crowbar man, 1 stone breaker and 1 mazdoor prepare 50 sqm per day.</t>
  </si>
  <si>
    <t>mazdoor ( cement handling)</t>
  </si>
  <si>
    <t>Consider 10 Nos perforated 50 mm dia GI pipes 12.50 cm long each.</t>
  </si>
  <si>
    <t>GI pipe 50 mm dia 10 Nos</t>
  </si>
  <si>
    <t>GI plate &amp; Alluminium lid ( hinged )</t>
  </si>
  <si>
    <t>Drilling 8 mm dia holes</t>
  </si>
  <si>
    <t>Consider 10 Nos perforated 50 mm dia GI pipes 22.50 cm long each.</t>
  </si>
  <si>
    <t>28 mm dia 6 / 37 construction 150 Rm @ 2.71 kg / m</t>
  </si>
  <si>
    <t>Electric motor 17.5 hp</t>
  </si>
  <si>
    <t>Electric motor 5 hp</t>
  </si>
  <si>
    <t>Electric motor 3 hp</t>
  </si>
  <si>
    <t>Ele-magnetic / Thruster brakes</t>
  </si>
  <si>
    <t>Electric cable / switches / control panels etc</t>
  </si>
  <si>
    <t>i.</t>
  </si>
  <si>
    <t>Add for variations ( cutting for more than 2 sides / odd shapes etc ) at 10 % :</t>
  </si>
  <si>
    <t>Length of steel to be cut by using gas cutting torch manually</t>
  </si>
  <si>
    <t>Acetelyne gas @ 0.6 cum / hour                             ( 321 x 0.60 )</t>
  </si>
  <si>
    <t>Use of gas cutting torch with 50 min / hr working      ( 125 x 60 / 50 )</t>
  </si>
  <si>
    <t>Use of pug cutting machine with 50 min / hr working ( 196 x 60 / 50 )</t>
  </si>
  <si>
    <t>( 1123 / 15 ) x 8 / 2</t>
  </si>
  <si>
    <t>( 10110 / 15 ) x 8 / 6</t>
  </si>
  <si>
    <t>Deploy welding transformer for 1197 hours.</t>
  </si>
  <si>
    <t>tower crane for 6 hours.</t>
  </si>
  <si>
    <t>For handling and erection of portals mobile derric crane for 100 hours considered.</t>
  </si>
  <si>
    <t>For handling of parts during fabrication and erection mobile derric crane for 20 hours and</t>
  </si>
  <si>
    <t>stationery derric crane for 40 hours considered.</t>
  </si>
  <si>
    <t>D. Add for contractor's profit and overheads on (A+B+C+blasting study charges)</t>
  </si>
  <si>
    <t>(A+B+C+D)/97</t>
  </si>
  <si>
    <t>(A+B+C+D)/412.80</t>
  </si>
  <si>
    <t>(A+B+C+D)/677.28</t>
  </si>
  <si>
    <t>(A+B+C+D)/735.36</t>
  </si>
  <si>
    <t xml:space="preserve">Cost of air hose 25 m each @       / Rm                    Rs: </t>
  </si>
  <si>
    <t>for cleaning bed</t>
  </si>
  <si>
    <t>for loading material bin ( Cement )</t>
  </si>
  <si>
    <t>for miscellaneous works at BP</t>
  </si>
  <si>
    <t>for laying concrete</t>
  </si>
  <si>
    <t>The concrete laying mazdoors will assist the fitter for moving and re-positioning of the paver.</t>
  </si>
  <si>
    <t>Requirement of materials :</t>
  </si>
  <si>
    <t>Length of 100 x 100 x 10 mm angle</t>
  </si>
  <si>
    <t>Length of 250 x 12 mm plate</t>
  </si>
  <si>
    <t>Weight of angle including 2.5 percent wastage @ 14.90 kg / m</t>
  </si>
  <si>
    <t>Use rate of paving cylinder / sqm including repairs</t>
  </si>
  <si>
    <t xml:space="preserve"> </t>
  </si>
  <si>
    <t>Pump 5 hp (diesel) 2 Nos. 4 hrs each</t>
  </si>
  <si>
    <t>TOTAL Rs.</t>
  </si>
  <si>
    <t>The actual weight of spillway stoplog elements as per data sheet</t>
  </si>
  <si>
    <t>Bronze pads for slide blocks</t>
  </si>
  <si>
    <t>Labour for erecting &amp; dismsntling scaffolding :                              25 % of labour for shuttering.</t>
  </si>
  <si>
    <t>25 percent of fuel charges</t>
  </si>
  <si>
    <t>FHP/BHP of machine</t>
  </si>
  <si>
    <t>Diesel ltr / hour</t>
  </si>
  <si>
    <t>Ele power kwhr / hr</t>
  </si>
  <si>
    <t>Fuel/power charges/ hr in Rs</t>
  </si>
  <si>
    <t>Lubricant/ oil / hour in Rs</t>
  </si>
  <si>
    <t>Total         in Rs</t>
  </si>
  <si>
    <t>For the purpose of working out wages of crew on hourly basis the daily wages are converted to</t>
  </si>
  <si>
    <t>yearly wages by multiplying the daily wages with ( 26 days x 12 months). The yearly wages are</t>
  </si>
  <si>
    <t>then divided by yearly usage of machinery in hours to get hourly wages of operating crew.</t>
  </si>
  <si>
    <t>outside tunnel upto specified dump area and all other ancillary operations etc., complete with</t>
  </si>
  <si>
    <t>In case of tunnel where the height is more or where the chances of over excavation due to full</t>
  </si>
  <si>
    <t>Deploy Drilling jumbo for 8 hours.</t>
  </si>
  <si>
    <t>Quantity of explosive small dia per blast @ 0.8 kg per cum</t>
  </si>
  <si>
    <t>Quantity of explosive small dia at 0.4 kg / cum for good fragmentation</t>
  </si>
  <si>
    <t>Electric detonators for main blast @ 1 per hole</t>
  </si>
  <si>
    <t>Assume 30 % voids in graded dozer levelled and hand packed rockfill.</t>
  </si>
  <si>
    <t>Quantity of rockfill in layer ( 285.8 / 0.70 ) with 1 % wastage</t>
  </si>
  <si>
    <t>Assume average 5 sqm surface finishing for 100 cum of rockfill.</t>
  </si>
  <si>
    <t>- use of delay detonators to reduce ground vibrations.</t>
  </si>
  <si>
    <t>- monitoring and recording ground vibrations..</t>
  </si>
  <si>
    <t xml:space="preserve">Requirement of chain link mesh and sand bags for smooth blasting area </t>
  </si>
  <si>
    <t>Bottom seal ( flat type )with wastage</t>
  </si>
  <si>
    <t>Side seals ( Z - type ) with wastage</t>
  </si>
  <si>
    <t>Requirement of labour:</t>
  </si>
  <si>
    <t>Coarse aggregate 20-10 mm 75 %</t>
  </si>
  <si>
    <t>Coarse aggregate 10 mm down 25 %</t>
  </si>
  <si>
    <t>For the purpose of data rate the extent of rebound is considered at 20 percent.</t>
  </si>
  <si>
    <t xml:space="preserve">Requirement of materials for 176 cum filter </t>
  </si>
  <si>
    <t>( 22.40 + 36.37 )</t>
  </si>
  <si>
    <t>40 - 20 mm filter aggregate ( 16.8 x 0.85 + 45.2 x 0.85 )</t>
  </si>
  <si>
    <t xml:space="preserve">( 16.8 x 0.15 + 45.2 x 0.15 + 16.8 x 0.75 + 38.4 x 0.75 ) </t>
  </si>
  <si>
    <t xml:space="preserve">10 mm below filter aggregate ( 16.8 x 0.25 + 38.4 x 0.25 ) </t>
  </si>
  <si>
    <t>Deploy 5 crowbarman, 10 mazdoors for 25 cum.</t>
  </si>
  <si>
    <t>Output of 1 crowbarman/stone breaker,  output of 2 mazdoors assumed at 5 cum per day.</t>
  </si>
  <si>
    <t>Deploy 8 crowbarman / stone breaker, 16 mazdoors for 40 cum.</t>
  </si>
  <si>
    <t>Deploy 5 mazdoors for cleaning, manual disposal of muck at bed level,</t>
  </si>
  <si>
    <t>Deploy 2 mazdoors for cleaning, manual disposal of trimmed muck and</t>
  </si>
  <si>
    <t xml:space="preserve">Use rate of water hose per hour </t>
  </si>
  <si>
    <t>Small dia explosive</t>
  </si>
  <si>
    <t>Delay detonators</t>
  </si>
  <si>
    <t>including cost of all materials, machinery, labour, watering, ramming etc., complete with initial</t>
  </si>
  <si>
    <t>Consider 10 cum rubble/ boulder and sand filling.</t>
  </si>
  <si>
    <t xml:space="preserve">Quantity of rubble/ boulder </t>
  </si>
  <si>
    <t xml:space="preserve">Quantity of sand </t>
  </si>
  <si>
    <t>Rubble / Boulder</t>
  </si>
  <si>
    <t>Use rate of delivery pipe per hour: ( cost / life )</t>
  </si>
  <si>
    <t>Use rate of G.I.pipe 100 mm dia</t>
  </si>
  <si>
    <t>Electric pump 20 hp</t>
  </si>
  <si>
    <t xml:space="preserve">Add 10% towards scaffolding/laddor @ </t>
  </si>
  <si>
    <t>Consider one shutter and one soldier set :</t>
  </si>
  <si>
    <t>Turning &amp; Spotting at Paver site</t>
  </si>
  <si>
    <t xml:space="preserve">Unloading concrete at paver site </t>
  </si>
  <si>
    <t>with 50 min/hour working output of transit mixer / hour</t>
  </si>
  <si>
    <t xml:space="preserve">Hourly requirement of concrete for 80 Sqm/hour lining </t>
  </si>
  <si>
    <t>at BP site and at linging site.</t>
  </si>
  <si>
    <t>Deploy 10no's man &amp; women mazdoor   for feeding cement to cement bin / silo</t>
  </si>
  <si>
    <t>Oxygen gas for cutting sections</t>
  </si>
  <si>
    <t>Acetylene gas for cutting sections</t>
  </si>
  <si>
    <t xml:space="preserve">thick and 35 cm wide coping slab for posts and pillars with top edges of </t>
  </si>
  <si>
    <t xml:space="preserve">initial lead upto 1 km and all lifts. </t>
  </si>
  <si>
    <t>Consider 0.25 m extra excavation alround and 0.4 to 0.5 m depth for removal of stumps.</t>
  </si>
  <si>
    <t>Cement</t>
  </si>
  <si>
    <t>---</t>
  </si>
  <si>
    <t>Bullock drawn roller for rolling</t>
  </si>
  <si>
    <t>Output of 1 bullock cart for watering</t>
  </si>
  <si>
    <t>Sundries(Starter/Switches ete)</t>
  </si>
  <si>
    <t>Crew charges for Pump</t>
  </si>
  <si>
    <t>Add for LH / RH shifting  &amp; erection of Paver @</t>
  </si>
  <si>
    <t>Sqm</t>
  </si>
  <si>
    <t>Cement : 321.8 kg      Sand :  0.735  cum</t>
  </si>
  <si>
    <t>Assisting mason mazdoor</t>
  </si>
  <si>
    <t>Preparing CM 1 : 5 mazdoor</t>
  </si>
  <si>
    <t xml:space="preserve"> for loading soil</t>
  </si>
  <si>
    <t xml:space="preserve"> mazdoor for conveying</t>
  </si>
  <si>
    <t>Deploy 3 air compressors of 8.5 cmm capacity and 6 jack hammers for 10 hours considering</t>
  </si>
  <si>
    <t>4 mm thick plate 1.08 sqm @ 31.4 kg/ sqm</t>
  </si>
  <si>
    <t>Life of gas cutting set</t>
  </si>
  <si>
    <t>Quantity of cement  for 36 sqm</t>
  </si>
  <si>
    <t>Quantity of sandfor 36 sqm</t>
  </si>
  <si>
    <t>Consider moving gantry crane for operating spillway stoplog gate element of 8.92 t weight.</t>
  </si>
  <si>
    <t>average 75 mm thick unscreened sand backing to LDPE sheet.</t>
  </si>
  <si>
    <t>For providing average 75 mm thick sand backing :</t>
  </si>
  <si>
    <t>Quantity of excavation for 6.0 m length ( 6.0 x 16.24 )</t>
  </si>
  <si>
    <t>Consider drilling by waggon drill and mucking by combination of shovel and tippers.</t>
  </si>
  <si>
    <t>Assume 6 mazdoors</t>
  </si>
  <si>
    <t>Considering cleaning / scaling bed / track dismsntling and erection are carried out as parallel</t>
  </si>
  <si>
    <t>(A+B+C+D)/768</t>
  </si>
  <si>
    <t>(A+B+C+D)/600</t>
  </si>
  <si>
    <t>(A+B+C+D)/10</t>
  </si>
  <si>
    <t>each plug</t>
  </si>
  <si>
    <t>(A+B+C+D)/100.0</t>
  </si>
  <si>
    <t>(A+B+C+D)/176.0</t>
  </si>
  <si>
    <t>(A+B+C+D)/394.0</t>
  </si>
  <si>
    <t>(A+B+C+D)/32.0</t>
  </si>
  <si>
    <t>(A+B+C+D)/1000.0</t>
  </si>
  <si>
    <t>(A+B+C+D)/960.0</t>
  </si>
  <si>
    <t>D. Add for contractor's profit and overheads on (A+B+C+other percentages)</t>
  </si>
  <si>
    <t>(A+B+C+D)/800.0</t>
  </si>
  <si>
    <t>(A+B+C+D)/20.0</t>
  </si>
  <si>
    <t>(A+B+C+D)/10.0</t>
  </si>
  <si>
    <t>(A+B+C+D)/250.0</t>
  </si>
  <si>
    <t>(A+B+C+D)/100.00</t>
  </si>
  <si>
    <t>(A+B+C+D)/225.0</t>
  </si>
  <si>
    <t>(A+B+C+D)/25.0</t>
  </si>
  <si>
    <t xml:space="preserve"> CA : 0.68 cum,  FA : 0.43cum)</t>
  </si>
  <si>
    <t>(A+B+C+D)/240.0</t>
  </si>
  <si>
    <t>(A+B+C+D)/180.0</t>
  </si>
  <si>
    <t>(A+B+C+D)/615.0</t>
  </si>
  <si>
    <t>Moving gantry crane consists of rail mounted gantry frame with long travel arrangement, cross</t>
  </si>
  <si>
    <t>travel trolley with track arrangement mounted on gantry frame top platform, rope drum hoist</t>
  </si>
  <si>
    <t>Time required for drilling with 6 jack hammers</t>
  </si>
  <si>
    <t>Yearly usage of machinery in hours = Life of machinery in hours / Life of machinery in years</t>
  </si>
  <si>
    <t>Example: Operating crew charges for Air compressor ( diesel ) :</t>
  </si>
  <si>
    <t>Operator compressor</t>
  </si>
  <si>
    <t>Helper compressor</t>
  </si>
  <si>
    <t>Life of Air compressor ( diesel ) in hours</t>
  </si>
  <si>
    <t>Chapter VII</t>
  </si>
  <si>
    <t>excluding loading, unloading and idle hire charges of machinery.</t>
  </si>
  <si>
    <t>Rs/cum</t>
  </si>
  <si>
    <t xml:space="preserve">Add seigniorage charges for soil </t>
  </si>
  <si>
    <t>1/4of painters</t>
  </si>
  <si>
    <t>Excise duty on supply : no excise duly if done at site</t>
  </si>
  <si>
    <t>nil</t>
  </si>
  <si>
    <t>sq.meter</t>
  </si>
  <si>
    <t xml:space="preserve"> ALL TYPES OF GATES</t>
  </si>
  <si>
    <t>Quantity of paint for 40sqm1coats with 2 % wastage ( 100 x 1x 1.02 /9)</t>
  </si>
  <si>
    <t>Quantity of paint for 100 sqm 3coats with 2 % wastage ( 100 x 3x 1.02 /6)</t>
  </si>
  <si>
    <t>Period of flushing with air and water jets alternatively</t>
  </si>
  <si>
    <t>For surface cleaner and wire brushingat 15sq. Metrs/day-- helpers</t>
  </si>
  <si>
    <t>Honne wood 0.033 cum @                         Rs:</t>
  </si>
  <si>
    <t>Use rate of diamond core bit</t>
  </si>
  <si>
    <t>Use rate of double tube core barrel</t>
  </si>
  <si>
    <t>Stone Chiseller Cl II</t>
  </si>
  <si>
    <t>STATEMENT OF RATES FOR MATERIALS</t>
  </si>
  <si>
    <t>GENERAL GUIDE LINES FOR REVISING RATES OF MATERIALS:</t>
  </si>
  <si>
    <t>market rates for materials.</t>
  </si>
  <si>
    <r>
      <t>M</t>
    </r>
    <r>
      <rPr>
        <sz val="10"/>
        <rFont val="Arial"/>
        <family val="2"/>
      </rPr>
      <t>3</t>
    </r>
  </si>
  <si>
    <t>Operator Concrete pump / Placer/ ice plant</t>
  </si>
  <si>
    <t>Fabricating by stitch welding 72 hours</t>
  </si>
  <si>
    <t>Run welding 216 hours</t>
  </si>
  <si>
    <t>Round trip cycle time of dumper</t>
  </si>
  <si>
    <t>E. Cost of Labour for erection and dismantling</t>
  </si>
  <si>
    <t>in place to prevent displacement due to shooting effect of concrete. This requires about</t>
  </si>
  <si>
    <t xml:space="preserve">machinery, labour,  seal fixing etc.,complete as per specifications and approved drawings </t>
  </si>
  <si>
    <t>Consider gate 15 m x 9 m  opening for analysis.</t>
  </si>
  <si>
    <t>STOP LOGS-automatic lifting beam</t>
  </si>
  <si>
    <t>all lifts</t>
  </si>
  <si>
    <t>Quantity of paint for 100 sqm 1coatwith 2 % wastage ( 100 x 1x 1.02 /9)</t>
  </si>
  <si>
    <t xml:space="preserve">Labour for scaffolding @ </t>
  </si>
  <si>
    <t>Deploy 0.5 Stone breaker and 0.5 Stone chiseller for trimming bed / sides wherever required.</t>
  </si>
  <si>
    <t>Output for 4 dumpers per day ( 4 x 15.40 x 8 ) say</t>
  </si>
  <si>
    <t>Consider 0.9 wide opening for approach to pier top hoist platform on d / s side.</t>
  </si>
  <si>
    <t>Daily output of moulding for 2 Masons say:</t>
  </si>
  <si>
    <t>initial lift upto 3 m.</t>
  </si>
  <si>
    <t xml:space="preserve">(Cement content: 7.5 kg / sqm, FA : 0.030 cum/sqm, Burnt stone slab 10 cm </t>
  </si>
  <si>
    <t>thick 1.05 sqm/ sqm)</t>
  </si>
  <si>
    <t>labour component/unit qty</t>
  </si>
  <si>
    <t>labour component/unit qty (including contractor's profit)</t>
  </si>
  <si>
    <t>labour component/unit qty(including contractor's profit)</t>
  </si>
  <si>
    <t>Rope drum hoist for vertical lift barrage gate consists of hoist supporting frames, pulley</t>
  </si>
  <si>
    <t>supports, pulleys, drive stool, rope drums, shafts, couplings, gears and pinions, plummer</t>
  </si>
  <si>
    <t>Time for drilling 121 m @ 11 m / hour                         ( 121 / 11 )</t>
  </si>
  <si>
    <t>Spreading soil in 25  cm layer:</t>
  </si>
  <si>
    <t>Requirement of dozer for one day work 412.8 cum</t>
  </si>
  <si>
    <t>perschedule  rates  formulated in the same chapter as per applicability and specifications</t>
  </si>
  <si>
    <t xml:space="preserve">The basic rates are exclusive of cost of river diversion arrangements, dewatering, desilting ,secondary concreting </t>
  </si>
  <si>
    <t>of EM parts etc., which form part of civil works.</t>
  </si>
  <si>
    <t>Disposal of excavated rock:</t>
  </si>
  <si>
    <t>with 50 min per hour working.</t>
  </si>
  <si>
    <t>Consider 20 hp fan 1 No. for 1 hr.</t>
  </si>
  <si>
    <t>Mucking excavated rock :</t>
  </si>
  <si>
    <t>75 cm long through stones at 1.50 m c / c over a backing of 45 cm thick graded filter media</t>
  </si>
  <si>
    <t>Weight of hoist with all accessories ( 0.175 x 90 )</t>
  </si>
  <si>
    <t>The actual weight of spillway radial gate rope drum hoist as per data sheet</t>
  </si>
  <si>
    <t>Angles / Beams / Channels / Bars with 2.5 % wastage</t>
  </si>
  <si>
    <t>Plates / Flats with 2.5 % wastage</t>
  </si>
  <si>
    <t>Rope drums 2 Nos / Gears 4 Nos</t>
  </si>
  <si>
    <t>Pinions</t>
  </si>
  <si>
    <t>Pulleys 720 PCD 6 Nos</t>
  </si>
  <si>
    <t>Plummer blocks / Hubs</t>
  </si>
  <si>
    <t>Shafts ( carbon steel )</t>
  </si>
  <si>
    <t>Bronze alloy components :</t>
  </si>
  <si>
    <t>Bronze bearings / bush</t>
  </si>
  <si>
    <t>Wire rope 36 mm dia 6/37 construction</t>
  </si>
  <si>
    <t>MS Bolt / Nut / Washer</t>
  </si>
  <si>
    <t>Worm reducers</t>
  </si>
  <si>
    <t>Floating shaft 300 mm dia</t>
  </si>
  <si>
    <t>Manual operating system</t>
  </si>
  <si>
    <t>Grease</t>
  </si>
  <si>
    <t>Tarfelt joint filler board  ( 100 x 0.10  )</t>
  </si>
  <si>
    <t>Rail track for moving gantry crane consists of 45 kg / m standard rails fixed by welding and</t>
  </si>
  <si>
    <t>concrete / masonry including cost of all materials, machinery, labour, drilling and cleaning</t>
  </si>
  <si>
    <t>Assuming spacing of supports at 0.75 m the depth of pull is considered at 1.5 m.</t>
  </si>
  <si>
    <t>Depth of holes for 1.5 m pull</t>
  </si>
  <si>
    <t>Depth of drilling for 77 holes ( 77 x 1.7 x 1.10 )</t>
  </si>
  <si>
    <t>including cost of all materials, machinery, labour, cutting, bending, welding, grinding, lighting,</t>
  </si>
  <si>
    <t>Operator Bending / Planing machine</t>
  </si>
  <si>
    <t>Operator Road roller</t>
  </si>
  <si>
    <t xml:space="preserve">HOIST EQUIPMENT1.-where sand blasting is not possible, hand and power tool cleaning be </t>
  </si>
  <si>
    <t>adopted</t>
  </si>
  <si>
    <t>70microns/coat</t>
  </si>
  <si>
    <t xml:space="preserve">  surfaces with one coat of inorganic zinc silicate (airless spray preferred)70+/- 5</t>
  </si>
  <si>
    <t xml:space="preserve">rods on either side at one metre interval, forming 125 x 125 mm size groove </t>
  </si>
  <si>
    <t>Consider use of rail track for 24 hours.</t>
  </si>
  <si>
    <t>Length of 16 mm dia wire rope for winch assuming 80 m deep shaft</t>
  </si>
  <si>
    <t>Life of wire rope for lifting</t>
  </si>
  <si>
    <t>Add for fixtures @</t>
  </si>
  <si>
    <t>Life of rails under tunnel working conditions</t>
  </si>
  <si>
    <t>Use rate of rails per year ( cost / life )</t>
  </si>
  <si>
    <t>Add for repairs &amp; replacement @</t>
  </si>
  <si>
    <t>Requirement of labour for spreading collected sand.</t>
  </si>
  <si>
    <t>Top width</t>
  </si>
  <si>
    <t>50 / 60 ( 1.9 x 4000 x 0.3 x 0.60 / 11 )</t>
  </si>
  <si>
    <t xml:space="preserve">                 (oil tank control cabins,hoist beams and pipe support)  one coat of  zink  phosphate primer (airless spray </t>
  </si>
  <si>
    <t>preferred) 50microns/coat</t>
  </si>
  <si>
    <t xml:space="preserve">(oil tank control cabins,hoist beams and pipe support)  one coat of  zink  phosphate primer (airless spray preferred) </t>
  </si>
  <si>
    <t>50microns/coat</t>
  </si>
  <si>
    <t>For handling and erection mobile derric crane for 50 hours considered.</t>
  </si>
  <si>
    <t>For drilling holes for bolts 16 hours use of drilling machine considered.</t>
  </si>
  <si>
    <t>For grinding and finishing weld joints 8 hours use of grinding machine considered</t>
  </si>
  <si>
    <t>Cutting sections 143 hours</t>
  </si>
  <si>
    <t>For cutting structural steel sections to required sizes gas cutting is assumed since most of the</t>
  </si>
  <si>
    <t>1.25 m length driven into 32 mm dia hole drilled in bed rock and remaining length embedded in</t>
  </si>
  <si>
    <t>CR stones 30 x 30 x 60 cm</t>
  </si>
  <si>
    <t>Average output of 300 / 200 ltr mixer</t>
  </si>
  <si>
    <t>Excise duty is applicable on supply of fabricated parts. The cost of materials is inclusive of all</t>
  </si>
  <si>
    <t xml:space="preserve"> LEAD, LIFT, LOADING AND UNLOADING CHARGES FOR MATERIALS</t>
  </si>
  <si>
    <t>COM-LDLFT</t>
  </si>
  <si>
    <t>by tippers and trucks excluding loading, unloading and idle hire charges of machinery.</t>
  </si>
  <si>
    <t>COM-LDLFT-1</t>
  </si>
  <si>
    <t>COM-LDLFT-2</t>
  </si>
  <si>
    <t>COM-LDLFT-3</t>
  </si>
  <si>
    <t>COM-LDLFT-4</t>
  </si>
  <si>
    <t>COM-LDLFT-5</t>
  </si>
  <si>
    <t>COM-LDLFT-6</t>
  </si>
  <si>
    <t>Bending machine 3000 x 12 mm</t>
  </si>
  <si>
    <t>Fabricating by stitch welding 737 hours</t>
  </si>
  <si>
    <t>Run welding 2212 hours</t>
  </si>
  <si>
    <t>Seal fixing 8 elements @ 2 per day</t>
  </si>
  <si>
    <t>Finishing / cleaning / guide shoe fixing</t>
  </si>
  <si>
    <t>Trial operation and checking</t>
  </si>
  <si>
    <t>and wire brushing at 15 sqm / day :            85 helpers for 1280 sqm</t>
  </si>
  <si>
    <t>Rate in Rs</t>
  </si>
  <si>
    <t>electro-magnetic brake system, manual operation assembly, position indicator, control panel,</t>
  </si>
  <si>
    <t>including cost of all materials, machinery, labour, cutting, bending, aligning, anchoring, welding,</t>
  </si>
  <si>
    <t>Use 250 mm dia flanged pipes for tremie.</t>
  </si>
  <si>
    <t>No formwork and scaffolding required.</t>
  </si>
  <si>
    <t>Add for tremie arrangement @</t>
  </si>
  <si>
    <t xml:space="preserve">on sand blasted  surfaces with two coats of zinc phosphate primer (airless spray preferred) </t>
  </si>
  <si>
    <t>40microns/coat and   twocoats of alkyd based micaccous iro oxide paint , 65 microns/coat</t>
  </si>
  <si>
    <t>Use rate of air hose 4 Nos</t>
  </si>
  <si>
    <t>Jack hammer ( 4 x 6.5 hrs )</t>
  </si>
  <si>
    <t>Dumper ( 2 x 6 hrs )</t>
  </si>
  <si>
    <t>Quantity of concrete for each slab ( 0.40 x 0.15 x 0.03 )</t>
  </si>
  <si>
    <t>dia. stirrups including fixing 3 rows of 40 mm dia. GI pipes with one coat of red oxide primer</t>
  </si>
  <si>
    <t>Deploy 8000 ltr capacity water tanker for 8 hours daily for watering before rolling.</t>
  </si>
  <si>
    <t>For fixing each hectometre stone:</t>
  </si>
  <si>
    <t>Quantity of excavation ( 0.50 x 0.45 x 0.40 )</t>
  </si>
  <si>
    <t>Quantity of M-10 grade concrete ( 0.10 -- 0.15x0.10x0.30 )</t>
  </si>
  <si>
    <t>One line dressed hectometre stone</t>
  </si>
  <si>
    <t>drilling machine for 16 hours considered.</t>
  </si>
  <si>
    <t>Full face method of excavation is assumed.</t>
  </si>
  <si>
    <t>For conveying &amp; laying 80-20 mm CA ( 2 mazdoors@  5 cum / day ).</t>
  </si>
  <si>
    <t>for bed : ( 0.7857 x 2 x 2 x 0.2 ) + ( 1.7 x 0.4 x 0.2 )</t>
  </si>
  <si>
    <t>for sides : ( 3.142 x 1.4 x 2.8 x 0.2 ) + ( 1.5 x 2.8 x 0.2 )</t>
  </si>
  <si>
    <t>Assume 6 mazdoors.</t>
  </si>
  <si>
    <t>Pneumatic placer 0.5 cum</t>
  </si>
  <si>
    <t>Pneumatic tamper</t>
  </si>
  <si>
    <t>Pug cutting machine</t>
  </si>
  <si>
    <t>Pusher leg</t>
  </si>
  <si>
    <t>Road roller diesel 10 t</t>
  </si>
  <si>
    <t>Shovel 0.50 cum 75 hp</t>
  </si>
  <si>
    <t>Shovel 0.85 cum 110 hp</t>
  </si>
  <si>
    <t xml:space="preserve"> Mazdoor</t>
  </si>
  <si>
    <t>Curing  Mazdoor</t>
  </si>
  <si>
    <t>- drilling holes at closer interval near final excavation lines on either side of canal and light</t>
  </si>
  <si>
    <t xml:space="preserve">  blasting to achieve fairly neat side slopes.</t>
  </si>
  <si>
    <t>Consider 16.80 m width of excavation and 5.8 m depth of cutting.</t>
  </si>
  <si>
    <t xml:space="preserve"> Add AREA ALLOWANCES AS APPLICABLE ON LABOUR COMPONENT ONLY ( SHOWN UNDER EACH  ITEM)</t>
  </si>
  <si>
    <t>2 mazdoors for rubble filling &amp; 2 mazdoor for packing with sand &amp; watering.</t>
  </si>
  <si>
    <t>Output of 2 mazdoors for rehandling at site per day( loose)</t>
  </si>
  <si>
    <t>1mazdoor for watering and miscellaneous works at site.</t>
  </si>
  <si>
    <t>1mazdoor for watering at site.</t>
  </si>
  <si>
    <t>Zinc phosphate primer</t>
  </si>
  <si>
    <t>to 6 percent watering by weight, daily requirement of water for 735.36 cum of embankment will be</t>
  </si>
  <si>
    <t>Time for rolling 808.9 cum soil in embankment layer</t>
  </si>
  <si>
    <t>Time for rolling 808.9 cum spread soil</t>
  </si>
  <si>
    <t>Output for 6 tippers per day ( 6 x 16 x 8 )</t>
  </si>
  <si>
    <t>Quantity of compacted embankment for 10 % shrinkage ( 768 x 0.90 )</t>
  </si>
  <si>
    <t>Quantity of loose soil to be spread ( 768 x 1.10 )</t>
  </si>
  <si>
    <t>Time required for levelling 844.8 cum</t>
  </si>
  <si>
    <t>50 / 60 ( 1.9 x 4000 x 0.25 x 0.75 / 11 )</t>
  </si>
  <si>
    <t>Time for rolling 844.8 cum soil in embankment layer</t>
  </si>
  <si>
    <t>Time for rolling 844.8 cum spread soil</t>
  </si>
  <si>
    <t>Output for 5 tippers per day ( 6 x 16 x 8 )</t>
  </si>
  <si>
    <t>Time required for levelling 768 cum</t>
  </si>
  <si>
    <t xml:space="preserve">                                                                                   Total                Rs:  </t>
  </si>
  <si>
    <r>
      <t xml:space="preserve">Add 5 % extra for fabrication of curved shuttering                                    Rs:   </t>
    </r>
    <r>
      <rPr>
        <sz val="10"/>
        <color indexed="52"/>
        <rFont val="Calibri"/>
        <family val="2"/>
      </rPr>
      <t/>
    </r>
  </si>
  <si>
    <t>For 1 cum CC :- Coarse aggregates : 0.80 cum                   Blending ratio : 65 :35</t>
  </si>
  <si>
    <t>Formwork and scaffolding :</t>
  </si>
  <si>
    <t>Cement including finishing</t>
  </si>
  <si>
    <t>Electric detonators at 1 per hole for main blast</t>
  </si>
  <si>
    <t>Fuse coil</t>
  </si>
  <si>
    <t xml:space="preserve">Cost of drill rod 1.5 m long @                             Rs: </t>
  </si>
  <si>
    <t>Life of drill rod for drilling in soft rock with reconditioning</t>
  </si>
  <si>
    <t>( 4.439 x 0.80 x 0.65)</t>
  </si>
  <si>
    <t>( 4.439 x 0.80 x 0.35  )</t>
  </si>
  <si>
    <t>( 4.439 x 0.44 )</t>
  </si>
  <si>
    <t>Reinforcement steel :</t>
  </si>
  <si>
    <t xml:space="preserve"> for manhole bed</t>
  </si>
  <si>
    <t>Add for wastage of steel @</t>
  </si>
  <si>
    <t>Reinforcement steel with 5 % wastage</t>
  </si>
  <si>
    <t>job / management efficiency ( 1.50 x 0.80 x 50 / 4.00 )</t>
  </si>
  <si>
    <t>Deploy 2 tower cranes of 5 t ( average ) lifting capacity.</t>
  </si>
  <si>
    <t>Quantity of muck to be removed per blast considering 50 % bulkage</t>
  </si>
  <si>
    <t>Capacity of dumper per load</t>
  </si>
  <si>
    <t>Quantity of muck per load considered under adit working conditions</t>
  </si>
  <si>
    <t>Loading cycle time:</t>
  </si>
  <si>
    <t>Quantity of muck disposal per hour / dumper</t>
  </si>
  <si>
    <t>Diameter of adit upto pay line for excavation</t>
  </si>
  <si>
    <t>Distance of dump yard from face</t>
  </si>
  <si>
    <t>Haulage of excavated muck</t>
  </si>
  <si>
    <t>By dumpers</t>
  </si>
  <si>
    <t>Checking alignment and marking hole locations :</t>
  </si>
  <si>
    <t>cutting, bending, welding, grinding, ventilation, lighting, drainage and all other ancillary</t>
  </si>
  <si>
    <t>for conveying laying concrete</t>
  </si>
  <si>
    <t>for washing CA / curing</t>
  </si>
  <si>
    <t>materials, machinery, labour, formwork, batching, mixing, conveying upto placing point in</t>
  </si>
  <si>
    <t>Deploy 1 air compressor 8.5 cmm capacity and 2 jack hammers for 3 hours.</t>
  </si>
  <si>
    <t>Consider side slopes of 0.5 horizontal to 1 vertical.</t>
  </si>
  <si>
    <t>Consider 3 burden ( 6.00 m ) length of canal excavation for analysis.</t>
  </si>
  <si>
    <t>Sectional area of excavation by smooth blasting ( 2 x 1.4 x 5.80 )</t>
  </si>
  <si>
    <t>Excavation and disposal</t>
  </si>
  <si>
    <t>Output of shovel</t>
  </si>
  <si>
    <t>Manual trimming</t>
  </si>
  <si>
    <t>Total output ( In-situ quantity )</t>
  </si>
  <si>
    <t>Deploy 0.85 cum shovel for 8 hours for digging and loading.</t>
  </si>
  <si>
    <t>Deploy 4 dumpers 5 cum capacity for disposal of shovel output.</t>
  </si>
  <si>
    <t>Deploy 1 tipper for disposal of trimmed soft rock.</t>
  </si>
  <si>
    <t>Depth of drilling per hole using jack hammers</t>
  </si>
  <si>
    <t>The cost of drill rods / drill bits / air hose / water hose / road tax / insurance charges and</t>
  </si>
  <si>
    <t>Cost of scaffolding materials considered @ :                                25 % of shuttering</t>
  </si>
  <si>
    <t>Where mucking is to be carried out through shaft using winch and mucking tub system</t>
  </si>
  <si>
    <t>percussion drilling using waggon drill or other suitable drilling equipment including cost of all</t>
  </si>
  <si>
    <t>Number of buckets per load ( 3.57 / 0.71 ) say</t>
  </si>
  <si>
    <t>Use rate of BX diamond core bit per m drilling</t>
  </si>
  <si>
    <t>Use rate of 16.5 m extension rod</t>
  </si>
  <si>
    <t>Assuming 0.75 hour for each stone and 7 hours working 9 stones can be fixed / day.</t>
  </si>
  <si>
    <t>Consider 1 stone chiseller Cl- I for rough dressing / marking on stones.</t>
  </si>
  <si>
    <t>Murrum</t>
  </si>
  <si>
    <t>Number of buckets per load ( 3.85 / 0.77 ) say</t>
  </si>
  <si>
    <t>12 mm dia 6 / 36 construction 2 Nos 35 m each @ 0.6 kg / Rm</t>
  </si>
  <si>
    <t>Turning &amp; spotting</t>
  </si>
  <si>
    <t>Loading bucket</t>
  </si>
  <si>
    <t>Conveyance from BP to Tower crane spot</t>
  </si>
  <si>
    <t>ordinary detonators for secondary blasting</t>
  </si>
  <si>
    <t>spreading soil to specified thickness, breaking clods, sectioning, watering, compacting each</t>
  </si>
  <si>
    <t>M-018</t>
  </si>
  <si>
    <t>M-019</t>
  </si>
  <si>
    <t>M-020</t>
  </si>
  <si>
    <t>M-021</t>
  </si>
  <si>
    <t>M-022</t>
  </si>
  <si>
    <t>M-023</t>
  </si>
  <si>
    <t>M-024</t>
  </si>
  <si>
    <t>Hume pipe with collar 150 mm dia</t>
  </si>
  <si>
    <t>Hume pipe with collar 300 mm dia</t>
  </si>
  <si>
    <t>Forged steel components : ( Basic metal - structural steel</t>
  </si>
  <si>
    <t>Hook / Shackle</t>
  </si>
  <si>
    <t>Alloy steel components : ( Basic metal - alloy steel )</t>
  </si>
  <si>
    <t>Shaft ( carbon steel )</t>
  </si>
  <si>
    <t>Pin ( stainless steel )</t>
  </si>
  <si>
    <t>Use rate of shuttering and Scaffolding materials :</t>
  </si>
  <si>
    <t>Annexure-A</t>
  </si>
  <si>
    <t>Size of shutter considered : 900 mm x 1200 mm</t>
  </si>
  <si>
    <t>Area of one shutter</t>
  </si>
  <si>
    <t>Length of soldier for fixing shutter</t>
  </si>
  <si>
    <t>4 mm thick plate 1.08 sqm @ 31.4 kg / sqm</t>
  </si>
  <si>
    <t>50x50x6 mm angle 6.6 m length @ 3.8 kg / m</t>
  </si>
  <si>
    <t>50x6 mm flat 1.8 m length @ 2.35 kg / m</t>
  </si>
  <si>
    <t>Number of buckets per load ( 3.70 / 0.74 )</t>
  </si>
  <si>
    <t>Ideal cycle time for loading 5 buckets ( 5 x 35 / 60 )</t>
  </si>
  <si>
    <t>Cast iron components conforming to IS : 210 :</t>
  </si>
  <si>
    <t>Cast iron blocks for counter weight</t>
  </si>
  <si>
    <t>Wheel axles / Pins</t>
  </si>
  <si>
    <t>Wheels / guide rollers</t>
  </si>
  <si>
    <t>Bearings / Bushes</t>
  </si>
  <si>
    <t>SS bolts / nuts / washers with 2.5 % wastage</t>
  </si>
  <si>
    <t>Bottom seal ( flat type )</t>
  </si>
  <si>
    <t>Side seals ( music note type teflon claded )</t>
  </si>
  <si>
    <t>Top seal ( music note type teflon claded )</t>
  </si>
  <si>
    <t>Corner seal ( teflon claded )</t>
  </si>
  <si>
    <t>( 282 / 15 ) x 8 / 2</t>
  </si>
  <si>
    <t>( 2532 / 15 ) x 8 / 6</t>
  </si>
  <si>
    <t>Gate position indicator</t>
  </si>
  <si>
    <t>Ele-magnetic brake</t>
  </si>
  <si>
    <t>Wire rope sockets</t>
  </si>
  <si>
    <t>MS pipe 300 mm dia 13.32 Rm @ 75 kg / Rm</t>
  </si>
  <si>
    <t>Life of Air compressor ( diesel ) in years</t>
  </si>
  <si>
    <t>Yearly usage of Air compressor ( 10000 / 8 )</t>
  </si>
  <si>
    <t>Yearly wages of Operator compressor = ( 26 x 12 x Daily wages )</t>
  </si>
  <si>
    <t>Yearly wages of Helper compressor = ( 26 x 12 x Daily wages )</t>
  </si>
  <si>
    <t>Watering:</t>
  </si>
  <si>
    <t>Soil collected for embankment layer gets compacted to some extent during levelling by dozer.</t>
  </si>
  <si>
    <t>Capital cost in Rs</t>
  </si>
  <si>
    <t>Wages of Operator</t>
  </si>
  <si>
    <t>Wages of Helper</t>
  </si>
  <si>
    <t>Operator</t>
  </si>
  <si>
    <t>Helper</t>
  </si>
  <si>
    <t>C</t>
  </si>
  <si>
    <t>Rs/Day</t>
  </si>
  <si>
    <t>Agitator car / Transit mixer 2 cum</t>
  </si>
  <si>
    <t>Tyres and tubes 6 sets</t>
  </si>
  <si>
    <t>Air compressor 5 cmm ( electric )</t>
  </si>
  <si>
    <t>Air compressor 7 cmm ( diesel )</t>
  </si>
  <si>
    <t>Air compressor 7 cmm ( electric )</t>
  </si>
  <si>
    <t>Air compressor 8.5 cmm ( diesel</t>
  </si>
  <si>
    <t>Batching plant 0.5 cum</t>
  </si>
  <si>
    <t>Batching plant 2 x 1.00 cum</t>
  </si>
  <si>
    <t>Batching plant 2 x 1.50 cum</t>
  </si>
  <si>
    <t>Cast steel components</t>
  </si>
  <si>
    <t>Wheels / Guide rollers</t>
  </si>
  <si>
    <t>SS bolts / nuts / washers</t>
  </si>
  <si>
    <t xml:space="preserve">to 50 mm dia. hole drilled in bed rock and other end provided with L- bend </t>
  </si>
  <si>
    <t>locations, cost of all materials, machinery, labour, placing excavated rock neatly in approved</t>
  </si>
  <si>
    <t>Structural steel plate</t>
  </si>
  <si>
    <t>Conside 10 bolts for analysis:</t>
  </si>
  <si>
    <t>Length of rock bolt excluding threaded portion</t>
  </si>
  <si>
    <t>Use rate of curved shutter (40 uses)</t>
  </si>
  <si>
    <t>Time for planing 50.4 m SS plates ( 50.4 x 8 / 3 )</t>
  </si>
  <si>
    <t>For handling and erection mobile derric crane for 4 hours and stationery derric crane for 8 hrs</t>
  </si>
  <si>
    <t>Cutting sections 70 hours</t>
  </si>
  <si>
    <t>(cement content : 95 kg/cum of masonry, Rubble stones : 0.83 cum, Stone chips : 0.13 cum,</t>
  </si>
  <si>
    <t xml:space="preserve"> FA : 0.40 cum)</t>
  </si>
  <si>
    <t>required and further spreading in layers of specified thickness has to be carried out by manual</t>
  </si>
  <si>
    <t>labour. Deploy dozer for 2.00 hour for pushing soil.</t>
  </si>
  <si>
    <t>margin.</t>
  </si>
  <si>
    <t>980 kg</t>
  </si>
  <si>
    <t>Requirement of labour for 10 cum masonry lining in CM 1:5</t>
  </si>
  <si>
    <t>in dump yard.</t>
  </si>
  <si>
    <t>Requirement of materials for constructing 100 Sqm pitching :</t>
  </si>
  <si>
    <t>Mason Cl II for laying pitching</t>
  </si>
  <si>
    <t>DATA :</t>
  </si>
  <si>
    <t>Rate          in Rs</t>
  </si>
  <si>
    <t>Rein.Steel with 5 % wastage</t>
  </si>
  <si>
    <t>Quantity of materials  for cement and for aggregates.</t>
  </si>
  <si>
    <t xml:space="preserve">Thickness of lining </t>
  </si>
  <si>
    <t>Cylinder type Mechanical paver with one side paving arrangement considered</t>
  </si>
  <si>
    <t>Conveying from BP to Paver site (average)</t>
  </si>
  <si>
    <t>For miscellaneous work at BP</t>
  </si>
  <si>
    <t>Guniting / sand blasting equipment</t>
  </si>
  <si>
    <t>Ice plant with accessories 30 t / day</t>
  </si>
  <si>
    <t>Jack hammer</t>
  </si>
  <si>
    <t>Str steel angle / beam / channel / bars</t>
  </si>
  <si>
    <t>Requirement of dozer for one day work 705.6 cum</t>
  </si>
  <si>
    <t>B. MACHINERY</t>
  </si>
  <si>
    <t>Rate in Rs.</t>
  </si>
  <si>
    <t>Amount in Rs.</t>
  </si>
  <si>
    <t>Excavation of drain with  Excavator</t>
  </si>
  <si>
    <t xml:space="preserve">Total hire charges of Machinery </t>
  </si>
  <si>
    <t>Total Rs.</t>
  </si>
  <si>
    <t>C. LABOUR</t>
  </si>
  <si>
    <t>Labour for Sand laying</t>
  </si>
  <si>
    <t>for conveying mortar / chips</t>
  </si>
  <si>
    <t>Cutting sections/ drilling holes 23 hours</t>
  </si>
  <si>
    <t>The actual weight of embedded parts as per data sheet</t>
  </si>
  <si>
    <t>Labour for erecting &amp; dismantling scaffolding :                              10 % of labour for shuttering.</t>
  </si>
  <si>
    <t xml:space="preserve"> (A+B+C+D)/38.50</t>
  </si>
  <si>
    <t>D.Add for contractor's profit and overheads on (A+B+C+other percentages)</t>
  </si>
  <si>
    <t xml:space="preserve">Area of adit upto pay-line ( 0.5 x 0.7857x 4.9 x 4.9 )+( 4.9 x 2.45 ) </t>
  </si>
  <si>
    <t>For conveying &amp; laying 20 mm down CA ( 13 mazdoors @ 5 cum / day</t>
  </si>
  <si>
    <t xml:space="preserve">Use rate of air hose per hr </t>
  </si>
  <si>
    <t>Use rate of drill rod 1.5 m length</t>
  </si>
  <si>
    <t>including cost of all materials, machinery, labour, cleaning holes, ventilation, lighting, drainage</t>
  </si>
  <si>
    <t>and all other ancillary operations etc., complete.</t>
  </si>
  <si>
    <t>Diameter of hole for consolidation / contact grouting</t>
  </si>
  <si>
    <t>Consider 100 m drilling for analysis:</t>
  </si>
  <si>
    <t>Rate of drilling by jack hammer in open area</t>
  </si>
  <si>
    <t>The rate of drilling for consolidation / contact grouting will be slow in view of frequent shifting of</t>
  </si>
  <si>
    <t>Length of canal for 7 rows                                       ( 7 x 1.00 )</t>
  </si>
  <si>
    <t>Quantity of excavation for 7 m length                       ( 9.72 x 7.00 )</t>
  </si>
  <si>
    <t>Local shifting and re-erection of paver for LH and RH side lining included in concrete lining rates</t>
  </si>
  <si>
    <t>Cycle time of loading dumper per load of 4.5 cum</t>
  </si>
  <si>
    <t>Deploy 2 dumpers for conveying muck @ 12 cum per hour</t>
  </si>
  <si>
    <t>Bed cleaning, Jumbo movements, rock bolting, lighting etc</t>
  </si>
  <si>
    <t>Erection of temperary / permanent supports</t>
  </si>
  <si>
    <t>commissioning and testing of gates, hoists and other related components as per technical</t>
  </si>
  <si>
    <t>specifications.</t>
  </si>
  <si>
    <t>of 8 mm dia main bars embedded in kerb concrete for a depth of 40 cm and 5 Nos. of 6 mm</t>
  </si>
  <si>
    <t>Consider 6 hours including time for levelling stripped siol / shifting time.</t>
  </si>
  <si>
    <t>Collection of soil for embankment:</t>
  </si>
  <si>
    <t>Tipper 5 cum</t>
  </si>
  <si>
    <t>Truck 10 t</t>
  </si>
  <si>
    <t>Truck mounted derric crane 5 t</t>
  </si>
  <si>
    <t>Wagon drill</t>
  </si>
  <si>
    <t>Water tanker 8000 ltr</t>
  </si>
  <si>
    <t>Winch 35 hp ( electric )</t>
  </si>
  <si>
    <t xml:space="preserve">                   OTHER DATA FOR WORKING OUT HIRE CHARGES</t>
  </si>
  <si>
    <t>Rate of interest "r"</t>
  </si>
  <si>
    <t>% per annum</t>
  </si>
  <si>
    <t>Road tax</t>
  </si>
  <si>
    <t>per annum.</t>
  </si>
  <si>
    <t>% per annum.</t>
  </si>
  <si>
    <t>per litre</t>
  </si>
  <si>
    <t>Lubricating oil</t>
  </si>
  <si>
    <t>Tyres &amp; tubes for lorry</t>
  </si>
  <si>
    <t>proportion by volume including raking and cleaning joints for 50 mm depth, pressing cement</t>
  </si>
  <si>
    <t>Formwork for 6 posts</t>
  </si>
  <si>
    <t>20-10 mm coarse aggregate</t>
  </si>
  <si>
    <t>The burden ( distance of hole from free face of excavation ) is considered :</t>
  </si>
  <si>
    <t>Cost of grout hose 100 m @ Rs:</t>
  </si>
  <si>
    <t>Cost of 25 mm GI pipe 400 m @ Rs:</t>
  </si>
  <si>
    <t xml:space="preserve">in correct position etc., including cost of all materials except bearings, </t>
  </si>
  <si>
    <t>Geo-textile ( filter fabric ) 200 gsm</t>
  </si>
  <si>
    <t>BASIC DATA</t>
  </si>
  <si>
    <t>Tippers 5 cum 3 Nos</t>
  </si>
  <si>
    <t>Erector /</t>
  </si>
  <si>
    <t>Cutting sections 190 hours</t>
  </si>
  <si>
    <t>Drilling holes for anchors / supports</t>
  </si>
  <si>
    <t>per hour working.</t>
  </si>
  <si>
    <t>Use rate of mucking bucket</t>
  </si>
  <si>
    <t>Jack hammer ( 4 x 4 hrs )</t>
  </si>
  <si>
    <t>shall be inclusive of all taxes, duties, other levies.</t>
  </si>
  <si>
    <t>Output of 1 mazdoor for spreading &amp; levelling at site per day</t>
  </si>
  <si>
    <t>cost of all materials, machinery, labour, all operations such as collection of soil, sorting out,</t>
  </si>
  <si>
    <t>cuts and for secondary blasting of large fragments during mucking.</t>
  </si>
  <si>
    <t xml:space="preserve">Requirement of materials </t>
  </si>
  <si>
    <t xml:space="preserve">117.65 x 0.40 </t>
  </si>
  <si>
    <t>117.65 x 0.25</t>
  </si>
  <si>
    <t xml:space="preserve">117.65 x 0.20 </t>
  </si>
  <si>
    <t>For 1 cum plum CC :-      Coarse aggregates : 0.765 cum              Blending ratio : 50 :30 : 20</t>
  </si>
  <si>
    <t>Plums of size 150 to 80 mm : 0.25 cum</t>
  </si>
  <si>
    <t>Shuttering at 2.75 sqm / cum of concrete considered for gravity type walls / piers.</t>
  </si>
  <si>
    <t>Quantity of fine aggregate @ 0.44 cum/ cum of CC</t>
  </si>
  <si>
    <t>Time for (av) 0.75 km haulage under load ( 0.75 x 60 / 15 )</t>
  </si>
  <si>
    <t xml:space="preserve">Extra time for spotting  </t>
  </si>
  <si>
    <t>No. of tippers to match corrected cycle time of shovel ( 11.50/ 3.50 )</t>
  </si>
  <si>
    <t>say 4 Nos</t>
  </si>
  <si>
    <t>Add for repair charges at 25%</t>
  </si>
  <si>
    <t xml:space="preserve">RATE ANALYSIS </t>
  </si>
  <si>
    <t>Add for overlaps @ 10 %</t>
  </si>
  <si>
    <t>Add requirement for smooth blast hole area ( 20 + 30 ) x 1.1</t>
  </si>
  <si>
    <t>Sand bags at 1 per hole</t>
  </si>
  <si>
    <t>Add requirement for smooth blast holes say</t>
  </si>
  <si>
    <t>Use rate of wire mesh / use / sqm ( cost / life )</t>
  </si>
  <si>
    <t>Add for 1 km lead / loading / unloading charges for 0.025 cum</t>
  </si>
  <si>
    <t>Quantity of Explosive at 0.20 kg / cum</t>
  </si>
  <si>
    <t>size 50x45x40 cm, embedding the stone by 30 cm in concrete, providing 2 coats synthetic</t>
  </si>
  <si>
    <t>Less salvage value @ ( - )</t>
  </si>
  <si>
    <t>Less salvage value @  ( - )</t>
  </si>
  <si>
    <t>Cost of 30 R rails 300 m @ Rs:  / tonne</t>
  </si>
  <si>
    <t>Cost of steel plates @ 75 % @ Rs:  / kg</t>
  </si>
  <si>
    <t>Cost of steel angles @ 25 % @ Rs:  / kg</t>
  </si>
  <si>
    <t>Cost of fabrication @ Rs:  / kg</t>
  </si>
  <si>
    <t>Cost of wire rope 150 m length @ Rs: / Rm</t>
  </si>
  <si>
    <t>Use rate of rails per shift considering  working days</t>
  </si>
  <si>
    <t>Consider 10 Nos perforated 50 mm dia GI pipes 30 cm long each.</t>
  </si>
  <si>
    <t>Consider 10 Nos perforated 50 mm dia GI pipes 45 cm long each.</t>
  </si>
  <si>
    <t>Consider 10 Nos perforated 50 mm dia GI pipes 75 cm long each.</t>
  </si>
  <si>
    <t>GI pipe 50 mm dia</t>
  </si>
  <si>
    <t>Rate of drilling assumed per hour</t>
  </si>
  <si>
    <t>Deploy 1 air compressor 8.5 cmm and 2 jack hammers for drilling.</t>
  </si>
  <si>
    <t xml:space="preserve">100 x 10 mm angle and 250 x 12 mm plate for sinking for sinking 4.50 m outer diameter </t>
  </si>
  <si>
    <t xml:space="preserve">foundation wells  foundation wells including cost of all materials, machinery, labour, bending, </t>
  </si>
  <si>
    <t>Cost of welding set @                           Rs:</t>
  </si>
  <si>
    <t>Cost of gas cutting set @                      Rs:</t>
  </si>
  <si>
    <t>Alluminium / Bronze alloy components</t>
  </si>
  <si>
    <t>Bronze pads</t>
  </si>
  <si>
    <t>Carpenter Cl- II / Erector shuttering</t>
  </si>
  <si>
    <t>Material parameters considered / assumed for heat balance equation:</t>
  </si>
  <si>
    <t>Weight of Cement</t>
  </si>
  <si>
    <t>( Wc )</t>
  </si>
  <si>
    <t>Temperature of cement in silo</t>
  </si>
  <si>
    <t>( Tc )</t>
  </si>
  <si>
    <t>Specific heat of cement</t>
  </si>
  <si>
    <t>( Cc )</t>
  </si>
  <si>
    <t>Weight of Coarse aggregate</t>
  </si>
  <si>
    <t>( Wa )</t>
  </si>
  <si>
    <t>Area of excavation upto payline                  ( 0.7857 x 5.4 x 5.4 )</t>
  </si>
  <si>
    <t>Depth of drilling</t>
  </si>
  <si>
    <t>Depth of pull</t>
  </si>
  <si>
    <t>Use rate of air hose per hour ( cost / life )</t>
  </si>
  <si>
    <t xml:space="preserve">Output of 2 mazdoors per day                                                      : 2.50 </t>
  </si>
  <si>
    <t>particulars</t>
  </si>
  <si>
    <t>Consider 1 mazdoor for conveying murum from stack.</t>
  </si>
  <si>
    <t>Consider 1 mazdoor for handling concrete materials.</t>
  </si>
  <si>
    <t>Consider 1 mazdoor for curing at 1 hour daily.</t>
  </si>
  <si>
    <t>Consider 1 mazdoor for handling concrete / masonry materials.</t>
  </si>
  <si>
    <t>Mazdoor for stone chips</t>
  </si>
  <si>
    <t>No stripping of top soil involved as useful soil from excavation is collected.</t>
  </si>
  <si>
    <t>Size of tunnel assumed ( finished section )</t>
  </si>
  <si>
    <t>Shape of tunnel assumed for excavation</t>
  </si>
  <si>
    <t>Height of tunnel assumed ( finished section )</t>
  </si>
  <si>
    <t>2. For providing HDPE or light black MS casing pipes add the cost of pipe per Rm.</t>
  </si>
  <si>
    <t>Fabricating by stitch welding 104 hours</t>
  </si>
  <si>
    <t>Run welding 311 hours</t>
  </si>
  <si>
    <t>For erection of columns &amp; bracings</t>
  </si>
  <si>
    <t>For erection of beams / cross beams</t>
  </si>
  <si>
    <t>For erection of railing / covering etc</t>
  </si>
  <si>
    <t>Structural steel angles/ beams / channels</t>
  </si>
  <si>
    <t>MS pipe 25 mm dia</t>
  </si>
  <si>
    <t>Bolt / Nut / Washers</t>
  </si>
  <si>
    <t>Drilling machine</t>
  </si>
  <si>
    <t>Pins ( stainless steel )</t>
  </si>
  <si>
    <t>Clear diameter of tunnel</t>
  </si>
  <si>
    <t>50 percent more binding wire compared to locations where concrete placement is by manual</t>
  </si>
  <si>
    <t>labour.</t>
  </si>
  <si>
    <t>Quantity of binding wire for works other than tunnel</t>
  </si>
  <si>
    <t>Quantity of binding wire for reinforcement in tunnel ( 1.5 x 9 )</t>
  </si>
  <si>
    <t>Electric cable / switch / control panel etc</t>
  </si>
  <si>
    <t>h.</t>
  </si>
  <si>
    <t xml:space="preserve">Labour cost for scaffolding @ </t>
  </si>
  <si>
    <t>Scaffolding @ of shuttering</t>
  </si>
  <si>
    <t>seasonal average of 4 to 5 percent watering by weight, daily requirement of water for 677.28 cum</t>
  </si>
  <si>
    <t>of embankment will be about 6 tanker loads of 8000 ltrs each. Deploy 8000 ltr capacity water</t>
  </si>
  <si>
    <t>tanker for 6 hours daily for watering before rolling. Deploy 5 hp pump for 3 hours.</t>
  </si>
  <si>
    <t>50 / 60 ( 1.9 x 4000 x 0.25 x 0.75 /11 )</t>
  </si>
  <si>
    <t>include one mazdoor for extra lift  beyond initial lift involved for super structure quantity.</t>
  </si>
  <si>
    <t>CA : 0.80cum, Blending Ratio of CA--65:35,  FA : 0.45 cum)</t>
  </si>
  <si>
    <t>Operator Jackhammer/Pneumatic tamper</t>
  </si>
  <si>
    <t>Operator Pump / Ventilation fan</t>
  </si>
  <si>
    <t>rubber seals, clamps etc., with all accessories  including cost of all materials,</t>
  </si>
  <si>
    <t xml:space="preserve">Earth / Sand /Gravel / Murrum/ Lime/ Surki/ Size stone / Cut stone Rubble / Coarse aggregate    Rs/ Cum                                                                                                                                                               </t>
  </si>
  <si>
    <t xml:space="preserve">Earth / Sand /Gravel / Murrum/ Lime/ Surki/ Size stone / Cut stone Rubble / Coarse aggregate       Rs/Cum                                                                                                                                                            </t>
  </si>
  <si>
    <t>Epoxy compound with accessories for preparing epoxy mortar</t>
  </si>
  <si>
    <t>M-096</t>
  </si>
  <si>
    <t>Epoxy mortar</t>
  </si>
  <si>
    <t>M-097</t>
  </si>
  <si>
    <t>M-098</t>
  </si>
  <si>
    <t>Epoxy resin-hardner mix for prime coat</t>
  </si>
  <si>
    <t>M-099</t>
  </si>
  <si>
    <t>Flag of red color cloth 600 x 600 mm</t>
  </si>
  <si>
    <t>M-100</t>
  </si>
  <si>
    <t>M-101</t>
  </si>
  <si>
    <t>M-102</t>
  </si>
  <si>
    <t>Requirement of natural river sand                      ( 15.00 x 2 )</t>
  </si>
  <si>
    <t>Requirement of machinery:</t>
  </si>
  <si>
    <t>a(ii)</t>
  </si>
  <si>
    <t>Colour</t>
  </si>
  <si>
    <t>White</t>
  </si>
  <si>
    <t>Black</t>
  </si>
  <si>
    <t>--</t>
  </si>
  <si>
    <t>embankments over 20 mm thick sand backing including cost of all materials, machinery,</t>
  </si>
  <si>
    <t>labour including preparing surface, spreading sand, watering for 15 days etc., complete with</t>
  </si>
  <si>
    <t>For cutting structural steel sections to required sizes gas cutting is assumed for cutting angles/</t>
  </si>
  <si>
    <t>beams / channels / round bars and for thick plates / flats. For plate / flats less than 12 mm</t>
  </si>
  <si>
    <t>thick use of shearing machine is assumed to the extent feasible.</t>
  </si>
  <si>
    <t>agitator cars, placing in position, levelling, vibrating, finishing, curing, ventilation, lighting,</t>
  </si>
  <si>
    <t>Cost of shuttering :</t>
  </si>
  <si>
    <t xml:space="preserve">Shutter area :   </t>
  </si>
  <si>
    <t>The basic rates are inclusive of finishing, wastage of materials , incidental works, temperary</t>
  </si>
  <si>
    <t>on labour etc.</t>
  </si>
  <si>
    <t xml:space="preserve">B. MACHINERY: </t>
  </si>
  <si>
    <t>lubricants etc @ 5%</t>
  </si>
  <si>
    <t xml:space="preserve">Total hire  charges of Machinery </t>
  </si>
  <si>
    <t>Deploy 10 mazdoors for spreading and removing wire mesh, sand bags etc.</t>
  </si>
  <si>
    <t>mazdoors for loading cement to silo</t>
  </si>
  <si>
    <t>mazdoors for batching operations</t>
  </si>
  <si>
    <t>mazdoors for conveyer / air &amp; water jet cleaning</t>
  </si>
  <si>
    <t>mazdoors for handling buckets( 3 at each point )</t>
  </si>
  <si>
    <t>Output of mazdoor for levelling per day</t>
  </si>
  <si>
    <t>Struct. steel Fabricator / Marker / Erector</t>
  </si>
  <si>
    <t>Welder / Gas Cutter</t>
  </si>
  <si>
    <t>SEMI SKILLED CATEGORY:</t>
  </si>
  <si>
    <t>Asphalt Sprayer / Boiler attendant</t>
  </si>
  <si>
    <t>Bhisti</t>
  </si>
  <si>
    <t>Boatman with boat</t>
  </si>
  <si>
    <t>Khandki stones 25x25x30 cm</t>
  </si>
  <si>
    <t>Add for scaffolding materials @</t>
  </si>
  <si>
    <t>Stone chiseller Cl -II</t>
  </si>
  <si>
    <t>Cost of air hose 50 m @ Rs:</t>
  </si>
  <si>
    <t>Sodium vapour lamp</t>
  </si>
  <si>
    <t>M-169</t>
  </si>
  <si>
    <t>M-170</t>
  </si>
  <si>
    <t>M-171</t>
  </si>
  <si>
    <t>M-172</t>
  </si>
  <si>
    <t>Steel drum 300 mm dia 1.2 m high/empty bitumen drum</t>
  </si>
  <si>
    <t>M-173</t>
  </si>
  <si>
    <t>Steel helmet and cushion block on top of pile head during driving.</t>
  </si>
  <si>
    <t>M-174</t>
  </si>
  <si>
    <t>M-179</t>
  </si>
  <si>
    <t>M-180</t>
  </si>
  <si>
    <t>M-181</t>
  </si>
  <si>
    <t>M-182</t>
  </si>
  <si>
    <t>M-183</t>
  </si>
  <si>
    <t>M-184</t>
  </si>
  <si>
    <t>Tiles size 300 x 300 mm and 25 mm thick</t>
  </si>
  <si>
    <t>M-185</t>
  </si>
  <si>
    <t>Timber</t>
  </si>
  <si>
    <t>M-186</t>
  </si>
  <si>
    <t>Traffic cones with 150 mm reflective sleeve</t>
  </si>
  <si>
    <t>M-187</t>
  </si>
  <si>
    <t>Tube anchorage set complete with bearing plate, permanent wedges etc</t>
  </si>
  <si>
    <t>M-188</t>
  </si>
  <si>
    <t>KL</t>
  </si>
  <si>
    <t>M-190</t>
  </si>
  <si>
    <t>Water based cement paint</t>
  </si>
  <si>
    <t>M-191</t>
  </si>
  <si>
    <t>M-192</t>
  </si>
  <si>
    <t>Wire mesh 50mm x 50mm size of 3mm wire</t>
  </si>
  <si>
    <t>M-193</t>
  </si>
  <si>
    <t>Wooden ballies 2" Dia for bracing</t>
  </si>
  <si>
    <t>M-194</t>
  </si>
  <si>
    <t>Wooden ballies 8" Dia and 9 m long</t>
  </si>
  <si>
    <t>M-195</t>
  </si>
  <si>
    <t>Wooden packing</t>
  </si>
  <si>
    <t>M-196</t>
  </si>
  <si>
    <t>Wooden staff for fastening of flag 25 mm dia, one m long</t>
  </si>
  <si>
    <t xml:space="preserve">Item 8.3 </t>
  </si>
  <si>
    <t>Printing new letter and figures of any shade (ii) English Roman</t>
  </si>
  <si>
    <t>per cm height per letter</t>
  </si>
  <si>
    <t xml:space="preserve">Item 8.8 </t>
  </si>
  <si>
    <t>Painting Two Coats on New Concrete Surfaces</t>
  </si>
  <si>
    <t>Output of tipper / hr with 50 min working / hr ( 50 x 4.00 / 14.17 ) :</t>
  </si>
  <si>
    <t>Output for 6 tippers per day ( 6 x 14.11 x 8 )</t>
  </si>
  <si>
    <t>Area to be stripped assuming 1.5 m depth of cut ( 677.28 x 6 / 1.5 ) :</t>
  </si>
  <si>
    <t>Qty of stripping with 5 % extra area ( 2709.12x1.05x0.20 )</t>
  </si>
  <si>
    <t>Time required for stripping 568.92 cum</t>
  </si>
  <si>
    <t>of all materials, machinery, labour, scaffolding, cleaning joints, smooth finishing, curing etc.,</t>
  </si>
  <si>
    <t>Quantity of explosive for secondary blasting @ 10 %</t>
  </si>
  <si>
    <t>LS:</t>
  </si>
  <si>
    <t>MATERIALS FOR POWER SUPPLY WORKS</t>
  </si>
  <si>
    <t>Quantity of loose soil to be spread ( 600 x 1.20 ) :</t>
  </si>
  <si>
    <t>Output of dozer for levelling per hour</t>
  </si>
  <si>
    <t>TEMPORARY &amp; PERMANENT SUPPORTS :</t>
  </si>
  <si>
    <t>In-situ qty / bucket for 35 % bulkage on unloading ( 1 / 1.35 )</t>
  </si>
  <si>
    <t>In-situ quantity / load for 5 cum of soft rock ( 5 / 1.35 )</t>
  </si>
  <si>
    <t>explosive energy to reduce ground vibrations.</t>
  </si>
  <si>
    <t xml:space="preserve">covering blasting area with chain link mesh or waste conveyor belts or waste </t>
  </si>
  <si>
    <t>tyres and sand bags to prevent flying of rock fragments during blasting.</t>
  </si>
  <si>
    <t>Concrete admixture ( Super plasticiser )</t>
  </si>
  <si>
    <t>Deploy 2 x 1.00 cum rated capacity non-tilting type batching plant for 8 hours.</t>
  </si>
  <si>
    <t>Quantity of paint for 100 sqm 2 coat with 2 % wastage ( 100 x 2x 1.02 /6)</t>
  </si>
  <si>
    <t>into consideration the local conditions for perticular category of worker and the trend in</t>
  </si>
  <si>
    <t>quoted rates.</t>
  </si>
  <si>
    <t>Current state annual average CP index</t>
  </si>
  <si>
    <t>Base state annual average CP index</t>
  </si>
  <si>
    <t>machinery, labour, formwork, scaffolding, cleaning, batching, mixing, placing in position,</t>
  </si>
  <si>
    <t>For pillar coping ( 12 x 0.40 x 0.40 x 0.125 )</t>
  </si>
  <si>
    <t>Total ( say)</t>
  </si>
  <si>
    <t>For 1 cum CC :- Coarse aggregates : 0.80 cum.</t>
  </si>
  <si>
    <t xml:space="preserve">Equivalent volume batching assumed. Size of concrete mixer    :  </t>
  </si>
  <si>
    <t>Deploy drilling jumbo for 1 hour for marking hole locations.</t>
  </si>
  <si>
    <t>Drilling holes :</t>
  </si>
  <si>
    <t>For 24 m to 30 m from surface</t>
  </si>
  <si>
    <t xml:space="preserve">  Rs:</t>
  </si>
  <si>
    <t>Beyond 30 m upto 36 m from surface</t>
  </si>
  <si>
    <t>20 mm thick plastering to be done in 2 layers of 12 mm and 8 mm .</t>
  </si>
  <si>
    <t xml:space="preserve">Output of 1 mason for rough plastering </t>
  </si>
  <si>
    <t>Ideal cycle time for loading 5 buckets ( 5 x 30 / 60 ) :</t>
  </si>
  <si>
    <t>Consider 1 stone chiseller Cl- I for dressing top surface of 10 stones.</t>
  </si>
  <si>
    <t>Consider 2 stone chiseller Cl- I for engraving BM data on top surface of 10 stones.</t>
  </si>
  <si>
    <t>Spacing of peripheral holes at 10 times diameter of hole.</t>
  </si>
  <si>
    <t>coarse aggregate, 20 cm thick for bed / sides / top slab / 1.5 m long cut-off wall and 7.5 cm</t>
  </si>
  <si>
    <t>thick for cover including providing 12 mm dia reinforcement bars at 30 cm c / c bothways for</t>
  </si>
  <si>
    <t>bed / sides / cut-off wall / top slab / rungs and 8 mm dia bars at 15 cm c / c bothways for cover,</t>
  </si>
  <si>
    <t>Output of dumper / hr with 50 min working / hr ( 50 x 3.85 / 12.50 ) :</t>
  </si>
  <si>
    <t>For good fragmentation to facilitate easy loading by 0.85 cum capacity shovel the bench height</t>
  </si>
  <si>
    <t>Quantity of fine aggregate @ 0.40 cum/ cum of CC</t>
  </si>
  <si>
    <t xml:space="preserve">Sqm </t>
  </si>
  <si>
    <t>Concrete mixer 300 / 200 ltr ( electric )</t>
  </si>
  <si>
    <t>Concrete mixer 600 / 400 ( diesel )</t>
  </si>
  <si>
    <t>Concrete mixer 600 / 400 ltr ( electric )</t>
  </si>
  <si>
    <t>1 mazdoor for curing @ daily 1 hour for one week.</t>
  </si>
  <si>
    <t>1mazdoor for curing @ daily 1 hour for one week.</t>
  </si>
  <si>
    <t>Use rate welding holder set</t>
  </si>
  <si>
    <t>Use rate gas cutting torch set</t>
  </si>
  <si>
    <t>Welding transformer</t>
  </si>
  <si>
    <t>Tower crane</t>
  </si>
  <si>
    <t>Plate shearing machine</t>
  </si>
  <si>
    <t>Mobile derric crane</t>
  </si>
  <si>
    <t>Grinding machine</t>
  </si>
  <si>
    <t>(Cement content: 220 kg / cum with use of super plasticiser(0.4% by wt. of cement),</t>
  </si>
  <si>
    <t>(Cement content: 300 kg / cum with use of super plasticiser(0.4% by wt. of cement),</t>
  </si>
  <si>
    <t xml:space="preserve"> (A+B+C+D)/30.0</t>
  </si>
  <si>
    <t xml:space="preserve"> (A+B+C+D)/46.0</t>
  </si>
  <si>
    <t xml:space="preserve"> (A+B+C+D)/50.0</t>
  </si>
  <si>
    <t xml:space="preserve"> (A+B+C+D)/100.0</t>
  </si>
  <si>
    <t xml:space="preserve"> (A+B+C+D)/15.0</t>
  </si>
  <si>
    <t xml:space="preserve"> (A+B+C+D)/36.0</t>
  </si>
  <si>
    <t xml:space="preserve"> (A+B+C+D)/20.0</t>
  </si>
  <si>
    <t xml:space="preserve"> (A+B+C+D)/1.0</t>
  </si>
  <si>
    <t xml:space="preserve"> (A+B+C+D)/10.0</t>
  </si>
  <si>
    <t xml:space="preserve"> (A+B+C+D)/28.0</t>
  </si>
  <si>
    <t xml:space="preserve"> (A+B+C+D)/48.0</t>
  </si>
  <si>
    <t xml:space="preserve"> (A+B+C+D)/1.50</t>
  </si>
  <si>
    <t xml:space="preserve"> (A+B+C+D)/120.0</t>
  </si>
  <si>
    <t>For conveying &amp; laying 80-20 mm CA ( 2 mazdoors @ 5 cum /day).</t>
  </si>
  <si>
    <t>Output of 2 mazdoors assumed at 5 cum per day.</t>
  </si>
  <si>
    <t>Output of 3 mazdoors assumed at 6 cum per day.</t>
  </si>
  <si>
    <t>For removing, conveying &amp; stacking 40-20 mm CA ( 2 mazdoors @ 4 cum /day).</t>
  </si>
  <si>
    <t>For removing, conveying &amp; stacking 10 mm down CA( 2 mazdoors @ 4 cum / day)</t>
  </si>
  <si>
    <t xml:space="preserve">Add 5 percent extra for fabrication of curved shuttering                            :          </t>
  </si>
  <si>
    <t>Drilling holes for pins / bolts fixing</t>
  </si>
  <si>
    <t>tower crane or other suitable lifting device for 2 hours.</t>
  </si>
  <si>
    <t>to remove grease, rust, scaling etc., and to form phasphate coating to prevent further rusting</t>
  </si>
  <si>
    <t>before applying primer painting.</t>
  </si>
  <si>
    <t>Dumper ( 2 x 6.5 hrs )</t>
  </si>
  <si>
    <t>Crew for Ventilation fan</t>
  </si>
  <si>
    <t>for pushing muck in heading portion</t>
  </si>
  <si>
    <t>for cleaning &amp;miscellaneous</t>
  </si>
  <si>
    <t xml:space="preserve">all materials, machinery, labour, filling asphalt, circulation of steam through </t>
  </si>
  <si>
    <t xml:space="preserve">pipes etc., complete with all leads and lifts. consider 12 m height of </t>
  </si>
  <si>
    <t>contraction joint for analysis.</t>
  </si>
  <si>
    <t xml:space="preserve">Materials required: </t>
  </si>
  <si>
    <t xml:space="preserve">15 mm dia GI pipe : </t>
  </si>
  <si>
    <t xml:space="preserve">compared to open area, time required for collection of soil will be more. For </t>
  </si>
  <si>
    <t xml:space="preserve">collection of same quantity of soil in cut-off trench about 20 percent extra </t>
  </si>
  <si>
    <t xml:space="preserve">time will be required. Therefore, 20 percent increase in the requirement of </t>
  </si>
  <si>
    <t xml:space="preserve">tippers assumed for cut-off trench filling compared to embankment in </t>
  </si>
  <si>
    <t>CHAPTER-V</t>
  </si>
  <si>
    <t>CHAPTER-VI</t>
  </si>
  <si>
    <t xml:space="preserve"> leads and lifts &amp;all accessories </t>
  </si>
  <si>
    <t>( 0.60 + 1.10 ) x 0.50 x 46.62  / 2</t>
  </si>
  <si>
    <t>( 0.80 + 1.70 ) x 0.90 x 46.62 / 2 - 19.82</t>
  </si>
  <si>
    <t>2.145 x 46.62- 52.50</t>
  </si>
  <si>
    <t>.</t>
  </si>
  <si>
    <t>Labour for Metal laying</t>
  </si>
  <si>
    <t>Cement mortar 1:5 propn considering 34% voids</t>
  </si>
  <si>
    <t>3.400cum</t>
  </si>
  <si>
    <t>3.40cum</t>
  </si>
  <si>
    <t>11cum</t>
  </si>
  <si>
    <t>CM 1:5 laying masonry mason CI I</t>
  </si>
  <si>
    <t>13 Nos.</t>
  </si>
  <si>
    <t xml:space="preserve"> Mason CI II</t>
  </si>
  <si>
    <t>6 Nos.</t>
  </si>
  <si>
    <t>20 to 25 sqm area can be covered by 1 cum of cut jungle wood sections.</t>
  </si>
  <si>
    <t>5 percent extra wood assumed for wedges / wastage etc.</t>
  </si>
  <si>
    <t>Use of drilling jumbo assumed for 2 hours.</t>
  </si>
  <si>
    <t>Cut jungle wood</t>
  </si>
  <si>
    <t>Carpenter Cl II</t>
  </si>
  <si>
    <t>Jaw crusher 500 x 300 mm ( 60 tph ) with 30 hp motor</t>
  </si>
  <si>
    <t>Jaw crusher 400 x 225 mm ( 10 tph ) with 25 hp motor</t>
  </si>
  <si>
    <t xml:space="preserve">in between copper strips for filling asphalt including fixing 15 mm dia two </t>
  </si>
  <si>
    <t>Steel pipe 25 mm external dia as per               IS:1239</t>
  </si>
  <si>
    <t>M-175</t>
  </si>
  <si>
    <t>Steel pipe 50 mm external dia as per               IS:1239</t>
  </si>
  <si>
    <t>M-176</t>
  </si>
  <si>
    <t>M-177</t>
  </si>
  <si>
    <t>Steel wire rope 40 mm</t>
  </si>
  <si>
    <t>M-178</t>
  </si>
  <si>
    <t>Strip seal expansion join</t>
  </si>
  <si>
    <t>A. MATERIALS :</t>
  </si>
  <si>
    <t>Sl. No</t>
  </si>
  <si>
    <t>Total Cost of Materials Rs.</t>
  </si>
  <si>
    <t>B. MACHINERY :</t>
  </si>
  <si>
    <t>: Cost of scaffolding materials considered at 15 percent of shuttering.</t>
  </si>
  <si>
    <t>Labour cost for erecting &amp; dismantling shuttering</t>
  </si>
  <si>
    <t>Labour charges for erecting &amp; dismantling scaffolding : 15 % of labour for shuttering.</t>
  </si>
  <si>
    <t>Cement for incidentals @ 3 kg</t>
  </si>
  <si>
    <t>Concrete mixer 300 / 200 ltr ( ele )</t>
  </si>
  <si>
    <t>Needle vibrator 40 mm dia ( ele )</t>
  </si>
  <si>
    <t>for batching cement ( cement handling</t>
  </si>
  <si>
    <t>Dismantling, shifting and re-erecting mechanical concrete paver is necessary at each CD work</t>
  </si>
  <si>
    <t>location. As CD works will not be at any fixed interval separate rate is proposed for dismantling,</t>
  </si>
  <si>
    <t>shifting and re-erection of paver. As per the information collected from equipment suppliers</t>
  </si>
  <si>
    <t>Shutter area :</t>
  </si>
  <si>
    <t>mazdoor 10 Nos. @                              Rs:</t>
  </si>
  <si>
    <t>2.    Machined surfaces should not be painted</t>
  </si>
  <si>
    <t>3.  for maintenance unless sand blasting is essential hand and power tool cleaning be adopted</t>
  </si>
  <si>
    <t>PRIMAR COATS-- GATES</t>
  </si>
  <si>
    <t xml:space="preserve">             ---gatesand stoplogs--70+/- 5 one coat of inoganiczink silicate(airless spray preferred)</t>
  </si>
  <si>
    <t xml:space="preserve">             --e m parts---70+/- 5 one coat of inoganiczink silicate(airless spray preferred)</t>
  </si>
  <si>
    <t xml:space="preserve">            --lifting beams/ladders--two coats of zinc phosphate primer (airless spray preferred) 40microns/coat</t>
  </si>
  <si>
    <t>FINISHING COATS--GATES</t>
  </si>
  <si>
    <t xml:space="preserve">           --- gatesand stoplogs-150+/- 5 two coats(each 150) of solventless  coaltar epoxy paint</t>
  </si>
  <si>
    <t>initial lead considered for analysis</t>
  </si>
  <si>
    <t>corrected cycle time for the shovel will be :</t>
  </si>
  <si>
    <t>Round trip cycle time for dumper:</t>
  </si>
  <si>
    <t>No. of dumpers to match corrected cycle time of shovel ( 11.50 / 2.00 )</t>
  </si>
  <si>
    <t>Output of dumper / hr with 50 min working / hr ( 50 x 4.17 / 11.50 ) :</t>
  </si>
  <si>
    <t>Output for 5.75 dumpers per day ( 5.75 x 18.13 x 8 ) say</t>
  </si>
  <si>
    <t>Deploy 6 dumpers for disposal of shovel output of 834 cum.</t>
  </si>
  <si>
    <t xml:space="preserve">Rate </t>
  </si>
  <si>
    <t xml:space="preserve">Amount </t>
  </si>
  <si>
    <t>Angle Dozer 90 hp</t>
  </si>
  <si>
    <t>Cleaning, conveying, erection and oiling:</t>
  </si>
  <si>
    <t>Labour charges for shuttering / scaffolding per sqm</t>
  </si>
  <si>
    <t xml:space="preserve">Cement </t>
  </si>
  <si>
    <t>kg.</t>
  </si>
  <si>
    <t xml:space="preserve"> ltr.</t>
  </si>
  <si>
    <t>Length of canal for excavation                                  ( 3 x 2.00 )</t>
  </si>
  <si>
    <t>Quantity of excavation for 6.0 m length                     ( 64.38 x 6.00 )</t>
  </si>
  <si>
    <t>Noiseless trunk line delays for use with shock tube @ 1 No. for 2 holes</t>
  </si>
  <si>
    <t>Shock tube detonator @ 7 m per hole</t>
  </si>
  <si>
    <t>Lead for disposal of excavated rock</t>
  </si>
  <si>
    <t xml:space="preserve">to 10 percent watering may be needed to maintain soil moisture within OMC </t>
  </si>
  <si>
    <t xml:space="preserve">sorting out, transportation, spreading in layers of specified thickness, </t>
  </si>
  <si>
    <t>Consider 5.5 hours including time for levelling stripped siol / shifting time.</t>
  </si>
  <si>
    <t>Requirement of dozer for one day work 630 cum</t>
  </si>
  <si>
    <t>Quantity of loose soil to be spread ( 660 x 1.20 )</t>
  </si>
  <si>
    <t>Time required for levelling 792 cum</t>
  </si>
  <si>
    <t>Consider 32 mm dia jack hammer drilling .</t>
  </si>
  <si>
    <t>Rock-toe material can be spread partly by dumping the material directly at spot and partly by</t>
  </si>
  <si>
    <t>conveying manually. Assuming 50 % manual conveying.</t>
  </si>
  <si>
    <t xml:space="preserve">arrangements for control of fly-rock is generally adopted where there are </t>
  </si>
  <si>
    <t xml:space="preserve">structures very close to dam site or for foundation excavation for dam </t>
  </si>
  <si>
    <t xml:space="preserve">blocks in flood gap portion or for excavation of power house pit / sluice </t>
  </si>
  <si>
    <t>with 50 min per hour working.                                    ( 5.31 x 60 / 50 )</t>
  </si>
  <si>
    <t>Electric short delay detonators @ 1 per hole for main blast</t>
  </si>
  <si>
    <t>For packing voids in dozed layer and hand packing at edges.</t>
  </si>
  <si>
    <t>For surface finishing 20 sqm.</t>
  </si>
  <si>
    <t>Deploy 2 maistries ( 1 at quarry and 1 at site ).</t>
  </si>
  <si>
    <t>Use rate of air hose 6 Nos.</t>
  </si>
  <si>
    <t>Sundries ( waste tyres etc )</t>
  </si>
  <si>
    <t>Jack hammer 6 Nos</t>
  </si>
  <si>
    <t xml:space="preserve">Beyond 36 m upto 42 m from surface </t>
  </si>
  <si>
    <t xml:space="preserve">20 cm x 15 cm posts 80 cm height approximately 30 cm c / c with 12.5 cm </t>
  </si>
  <si>
    <t xml:space="preserve"> i ) If the surface on which the LDPE sheet is to be laid is too rough and undulating provide</t>
  </si>
  <si>
    <t>Dumpers 5 cum capacity 6 Nos</t>
  </si>
  <si>
    <t xml:space="preserve">2.00 x 2.50 </t>
  </si>
  <si>
    <t>ltrs</t>
  </si>
  <si>
    <t>km / hr</t>
  </si>
  <si>
    <t>slabs saperately results in high rate of under utulization of machinery and work force.</t>
  </si>
  <si>
    <t>As daily requirement of concrete is very small deploy 45 / 30 hand mixer for 8 hours.</t>
  </si>
  <si>
    <t>Consider steel moulds made of 30x30x4 mm angles</t>
  </si>
  <si>
    <t>( considering 60 cm hight kerb above bed level already laid )</t>
  </si>
  <si>
    <t>Concrete for filling support reaches &amp; pay line margin @ 45 %</t>
  </si>
  <si>
    <t>Grid spacing of holes for soft rock requiring blasting depends on the nature of soft rock at any</t>
  </si>
  <si>
    <t>Time required for drilling with 4 jack hammers ( 216 / 40 ) say</t>
  </si>
  <si>
    <t>Quantity of Explosive at 0.20 kg / cum ( 520 x 0.20 )</t>
  </si>
  <si>
    <t>Use rate of drill rod per Rm ( cost / life )</t>
  </si>
  <si>
    <t>Use rate of air hose per hr ( cost / life )</t>
  </si>
  <si>
    <t xml:space="preserve"> cum.</t>
  </si>
  <si>
    <t>Use rate of 1.5 m drill rod</t>
  </si>
  <si>
    <t>Reconditioning charges @</t>
  </si>
  <si>
    <t>Use rate of air hose 4 Nos.</t>
  </si>
  <si>
    <t>Explosive small dia</t>
  </si>
  <si>
    <t>Dumpers 5 cum capacity 4 Nos.</t>
  </si>
  <si>
    <t>Air compressor 8.5 cmm ( ele ) 2 Nos</t>
  </si>
  <si>
    <t>Jack hammers 4 Nos.</t>
  </si>
  <si>
    <t xml:space="preserve">Scaffolding of shuttering @ </t>
  </si>
  <si>
    <t>Deploy 5 hp pump for 4 hours.</t>
  </si>
  <si>
    <t>conveying and fixing in position including necessary excavation for seating, finishing joints in</t>
  </si>
  <si>
    <t>Details of template wall blocks:</t>
  </si>
  <si>
    <t>1.80 m long inverted T - section with keys on either end.</t>
  </si>
  <si>
    <t>Base : 225 mm x 87 mm .</t>
  </si>
  <si>
    <t xml:space="preserve">Top : 75 mm x 63 mm </t>
  </si>
  <si>
    <t>Key : 150 mm depth</t>
  </si>
  <si>
    <t>Qty of CC per block : Base:- 0.225 x 0.087 x 1.80</t>
  </si>
  <si>
    <t>Top:- 0.075 x 0.063 x 1.80</t>
  </si>
  <si>
    <t>Keys:- 0.150 x 0.225 x 0.15 x 2</t>
  </si>
  <si>
    <t>Length of drilling for 42 holes @ 1.5 m / hole               ( 42 x 1.5 )</t>
  </si>
  <si>
    <t xml:space="preserve"> :</t>
  </si>
  <si>
    <t>Sand unscreened ( 0.5 + 0.8 ) x0.15 x 80 / 2 + ( 2 x 0.21 x 0.85 x 80 )</t>
  </si>
  <si>
    <t>For good fragmentation consider burden at 25 times dia of hole ( say ) :</t>
  </si>
  <si>
    <t>Consider spacing at 1.25 times burden</t>
  </si>
  <si>
    <t>0.80 x 1.00</t>
  </si>
  <si>
    <t>No formwork &amp; scaffolding required.</t>
  </si>
  <si>
    <t xml:space="preserve"> and other appurtenant works and placing the excavated material neatly in </t>
  </si>
  <si>
    <t>Depth of drilling for 8 holes ( 8 x 1.7 x 1.1 )</t>
  </si>
  <si>
    <t>Benching portion :</t>
  </si>
  <si>
    <t>Area of excavation upto payline ( 6 x 2.75 )</t>
  </si>
  <si>
    <t>mazdoor ( cement handling )</t>
  </si>
  <si>
    <t>2 Bar benders &amp; 2 mazdoors</t>
  </si>
  <si>
    <t>2 Bar benders &amp; 4 mazdoors</t>
  </si>
  <si>
    <t>Mechanical Means</t>
  </si>
  <si>
    <t xml:space="preserve">Depth upto 3 m </t>
  </si>
  <si>
    <t>Taking output = 240 cum</t>
  </si>
  <si>
    <t>b)      Machinery</t>
  </si>
  <si>
    <t xml:space="preserve">Hydraulic excavator 1.0 cum bucket capacity </t>
  </si>
  <si>
    <t>Taking output = 180 cum</t>
  </si>
  <si>
    <t>Hard Rock ( blasting prohibited )</t>
  </si>
  <si>
    <t>Taking output = 10 cum</t>
  </si>
  <si>
    <t>Time for 1 km return trip ( 60 / 15 )</t>
  </si>
  <si>
    <t>Depth of drilling for 25 holes 1.5 m deep</t>
  </si>
  <si>
    <t>Cement for cement mortar grouting at 3 kg per hole</t>
  </si>
  <si>
    <t>Rate of drilling by waggon drill per hour</t>
  </si>
  <si>
    <t>G.I sheet ( plain )</t>
  </si>
  <si>
    <t>Hariyala turfing sods</t>
  </si>
  <si>
    <t>Hemp yarn</t>
  </si>
  <si>
    <t>Honne wood planks</t>
  </si>
  <si>
    <t>50 / 60 ( 1.9 x 4000 x 0.25 x 0.75 / 10 )</t>
  </si>
  <si>
    <t>Output of 2 mazdoors assumed at 5 cum per day for excavation of gravely soil</t>
  </si>
  <si>
    <t>ABSTRACT</t>
  </si>
  <si>
    <t>sqm of cross sectional area for large tunnels.</t>
  </si>
  <si>
    <t>For rate analysis 2.5 holes per sqm of cross sectional area considered.</t>
  </si>
  <si>
    <t>Number of holes for full face excavation</t>
  </si>
  <si>
    <t>Depth of holes</t>
  </si>
  <si>
    <t>tax on works contract at the rate prevailing at the time of preparation of estimate.</t>
  </si>
  <si>
    <t>The basic rates are inclusive of all leads and lifts including rehandling.</t>
  </si>
  <si>
    <t>The basic rates are inclusive of preparatory works such as rectification of damages, repairing</t>
  </si>
  <si>
    <t>Use of pug cutting machine with 50 min / hr working           ( 12 x 60 / 50 )</t>
  </si>
  <si>
    <t>( 80 / 15 ) x 8 / 2</t>
  </si>
  <si>
    <t>( 720 / 15 ) x 8 / 6</t>
  </si>
  <si>
    <t>Deploy welding transformer for 85 hours.</t>
  </si>
  <si>
    <t>tower crane for 2 hours.</t>
  </si>
  <si>
    <t>For handling during fabrication and erection mobile derric crane for 10 hours considered.</t>
  </si>
  <si>
    <t>Cutting sections/ drilling holes 31 hours</t>
  </si>
  <si>
    <t>Fabricating by stitch welding 21 hours</t>
  </si>
  <si>
    <t>Run welding 64 hours</t>
  </si>
  <si>
    <t>Erection of hoist frame</t>
  </si>
  <si>
    <t>Erection of drums / gears / shafts</t>
  </si>
  <si>
    <t>Erection of pulleys / plummer blocks</t>
  </si>
  <si>
    <t>(A+B+C+D)/18.0</t>
  </si>
  <si>
    <t>Depth below bed level upto 3.0m</t>
  </si>
  <si>
    <t>Rate of sinking = 0.50 m /hour</t>
  </si>
  <si>
    <t>a) Labour</t>
  </si>
  <si>
    <t xml:space="preserve">    Sinker ( skilled)</t>
  </si>
  <si>
    <t xml:space="preserve">    Sinking helper (  Semi skilled)</t>
  </si>
  <si>
    <t>sub total (a)</t>
  </si>
  <si>
    <t>and horizontal filter blanket for embankment including cost of all materials, machinery, labour</t>
  </si>
  <si>
    <t>Consider 100 sqm filter blanket laying.</t>
  </si>
  <si>
    <t>Generally soil in the borrow area will be in moist condition. In the beginning of the season no</t>
  </si>
  <si>
    <t>watering may be necessary and in summer months about 8 to 10 percent watering may be</t>
  </si>
  <si>
    <t>needed to maintain the soil moisture within OMC plus or minus 3 percent limit. Assuming</t>
  </si>
  <si>
    <t>seasonal average of 4 to 5 percent watering by weight, daily requirement of water for 600 cum</t>
  </si>
  <si>
    <t>Compaction:</t>
  </si>
  <si>
    <t xml:space="preserve">Deploy 1 air compressor 7 cmm capacity for cleaning surface, air supply </t>
  </si>
  <si>
    <t>to batching plant and for operating concrete bucket doors.</t>
  </si>
  <si>
    <t xml:space="preserve">Use rate of heavy duty shutters considered at 1.5 times </t>
  </si>
  <si>
    <t>normal shutters.</t>
  </si>
  <si>
    <t xml:space="preserve">down size approved, clean, hard, graded aggregates including cost of all </t>
  </si>
  <si>
    <t>Consider 10 bench mark stones for analysis.</t>
  </si>
  <si>
    <t>Consider 40 x 40 x 75 cm pit for fixing stone.</t>
  </si>
  <si>
    <t>Quantity of paint for 100 sqm2coats with 2 % wastage ( 100 x 2x 1.02 /9)</t>
  </si>
  <si>
    <t>Quantity of paint for 2 coats 100 sqm with 2 % wastage ( 100 x 2 x 1.02 / 12 )</t>
  </si>
  <si>
    <t xml:space="preserve">75 x 75 x 6 mm angles 2 numbers provided with 25 cm long 12 mm dia. </t>
  </si>
  <si>
    <t xml:space="preserve">anchors fixed to both flanges at 15 cm c /c and 140 x 6 mm plate welded </t>
  </si>
  <si>
    <t xml:space="preserve">on top of one of the angle including cost of all materials, machinery, labour, </t>
  </si>
  <si>
    <t>Time for cutting by shearing machine at av. 10 m / hr progress</t>
  </si>
  <si>
    <t>Str.Steel angle with 2.5 % wastage</t>
  </si>
  <si>
    <t>Str.Steel plate with 2.5 % wastage</t>
  </si>
  <si>
    <t>Steel for anchors</t>
  </si>
  <si>
    <t>Acetyline gas</t>
  </si>
  <si>
    <t>Welding electrodes</t>
  </si>
  <si>
    <t>Str. Steel fabricator</t>
  </si>
  <si>
    <t>Quantity of paint for 100 sqm 1coat with 2 % wastage ( 100 x1x 1.02 / 7)</t>
  </si>
  <si>
    <t xml:space="preserve"> two coats of synthetic enamel paint 25 microns/coat  </t>
  </si>
  <si>
    <t>Quantity of paint for 100 sqm 2 coat with 2 % wastage ( 100 x 2x 1.02 /12)</t>
  </si>
  <si>
    <t xml:space="preserve">alkyd based micaccous iron oxide paint </t>
  </si>
  <si>
    <t>synthetic enamel paint</t>
  </si>
  <si>
    <t>one coats of zinc phosphate primer (airless spray preferred) 50microns/coat</t>
  </si>
  <si>
    <t>For surface cleaner and wire brushingat 15sq. Metrs/day</t>
  </si>
  <si>
    <t>7 helpers</t>
  </si>
  <si>
    <t>(50mm thick)</t>
  </si>
  <si>
    <t>Sand (Screened)</t>
  </si>
  <si>
    <t xml:space="preserve"> ( 250 x 0.075 ) </t>
  </si>
  <si>
    <t>Bronze Bush</t>
  </si>
  <si>
    <t>Quantity of electric detonators for blasting</t>
  </si>
  <si>
    <t>Defuming shaft:</t>
  </si>
  <si>
    <t>( 5983 + 591 ) x 8 / 15 / 6</t>
  </si>
  <si>
    <t>Deploy welding transformer for 780 hours.</t>
  </si>
  <si>
    <t>Use rate of drill rod per Rm drilling ( cost / life )</t>
  </si>
  <si>
    <t>50 / 60 ( 1.5 x 3000 x 0.15 x 0.75 / 12 )</t>
  </si>
  <si>
    <t>Erection of anchors / dogging set</t>
  </si>
  <si>
    <t>Erection of Sill beam / Tracks / Guide</t>
  </si>
  <si>
    <t>Cost of gas cutting set @                         Rs:</t>
  </si>
  <si>
    <t>m samples</t>
  </si>
  <si>
    <t>Cost of drill rod 2.5 m long @      / No.                      Rs:</t>
  </si>
  <si>
    <t>Add seignorage charges on soil @                  Rs:</t>
  </si>
  <si>
    <t>Add seignorage charges on CA @                      Rs:</t>
  </si>
  <si>
    <t>Add seignorage charges on FA @                      Rs:</t>
  </si>
  <si>
    <t>Add seignorage charges on CA @                        Rs.</t>
  </si>
  <si>
    <t>Add seignorage charges on FA @                        Rs.</t>
  </si>
  <si>
    <t>Add seignorage charges on Sand @ Rs:</t>
  </si>
  <si>
    <t>Shale/Slate</t>
  </si>
  <si>
    <t>Rehmati</t>
  </si>
  <si>
    <t>a(i)</t>
  </si>
  <si>
    <t>For drilling holes in plates 8 hours use of drilling machine considered.</t>
  </si>
  <si>
    <t>Cutting sections 148 hours</t>
  </si>
  <si>
    <t xml:space="preserve">Use rate of T.C bit per Rm drilling </t>
  </si>
  <si>
    <t>( Cost / Life )</t>
  </si>
  <si>
    <t>Less weight of drive unit ( electric motor / cover etc )</t>
  </si>
  <si>
    <t>Use of pug cutting machine with 50 min / hr working     ( 7 x 60 / 50 )</t>
  </si>
  <si>
    <t>For 1 cum CC :-          Coarse aggregates : 0.90 cum(1300 kg)           Blending ratio : 50 :30 : 20</t>
  </si>
  <si>
    <t>Concrete admixture( Super plasticiser )</t>
  </si>
  <si>
    <t xml:space="preserve">The rate of concreting for 2 agitator cars with 50 min / hr working </t>
  </si>
  <si>
    <t xml:space="preserve">stone chips : 0.15 cum/cum, FA : 0.375 cum, </t>
  </si>
  <si>
    <t>CR stones 30 x 30 x 45 cm : 9.75 No, CR stones 30 x 30 x 60 cm : 3.25 No)</t>
  </si>
  <si>
    <t xml:space="preserve">( Cement content : 134 kg/cum of masonry, rubble stones : 0.35 cum, </t>
  </si>
  <si>
    <t xml:space="preserve">( Cement content : 167 kg/cum of masonry, rubble stones : 0.35 cum, </t>
  </si>
  <si>
    <t xml:space="preserve">stone chips : 0.15 cum/cum, FA : 0.35 cum, </t>
  </si>
  <si>
    <t>Dressed stones 30 x 30 x 45 cm : 10 No, Dressed stones 30 x 30 x 60 cm : 3.40 No)</t>
  </si>
  <si>
    <t xml:space="preserve">( Cement content : 125 kg/cum of masonry, rubble stones : 0.35 cum, </t>
  </si>
  <si>
    <t>( 4.439 x 300 )</t>
  </si>
  <si>
    <t>FA : 0.44 cum, superplasticizer (0.4% by wt. of cement)</t>
  </si>
  <si>
    <t>( Cement content : 300 kg/cum , CA : 0.80 cum, Blending Ratioof CA -- 65:35,</t>
  </si>
  <si>
    <t>Crew for Pneumatic tamper</t>
  </si>
  <si>
    <t>wire rope, gate position indicator, switch box etc. with related accessories.</t>
  </si>
  <si>
    <t>Consider rope drum hoist for river / canal sluice service gate for vent of size 2.5 m x 3 m.</t>
  </si>
  <si>
    <t>Capacity of hoist in tonnes with 25% reserve capacity</t>
  </si>
  <si>
    <t>( Capacity of hoist to be rounded off to next 5 tonne )</t>
  </si>
  <si>
    <t>Pulleys 3 Nos / Couplings 2 Nos</t>
  </si>
  <si>
    <t>Alloy steel steel components conforming to IS : 1570 :</t>
  </si>
  <si>
    <t>Steel wire rope conforming ti IS 2266 :</t>
  </si>
  <si>
    <t xml:space="preserve">Av. diameter of root cluster for 0.30 to 1.5 m girth </t>
  </si>
  <si>
    <t xml:space="preserve">Av. diameter of root cluster for 1.50 to 3.0 m girth </t>
  </si>
  <si>
    <t xml:space="preserve">Av. diameter of root cluster for 3.0 to 5.0 m girth </t>
  </si>
  <si>
    <t>machinery, labour, scaling excavated surface, ventilation, lighting, drainage, removing and</t>
  </si>
  <si>
    <t>hauling the excavated muck outside adit upto specified dump area and all other ancillary</t>
  </si>
  <si>
    <t>Laying and fixing of 100 mm Dia 300 mm long precast porus CC plugs in bed and sides</t>
  </si>
  <si>
    <t>using 1.181 Kgs of cement per each using 20 mm HG metal and placing in local filters of size</t>
  </si>
  <si>
    <t xml:space="preserve"> 600x600x750 mm in size including Excavation of drains and Cost of procuring of all materials</t>
  </si>
  <si>
    <t>Qty of Metal     = 1X0.30X 0.45 x100 =</t>
  </si>
  <si>
    <t xml:space="preserve"> 6 mm to 40 mm</t>
  </si>
  <si>
    <t>Shingle</t>
  </si>
  <si>
    <t>Concrete mixer 300 / 200 ltr(ele)</t>
  </si>
  <si>
    <t>Daily output of masonry for 10 cum mortar with 37.50 % mortar content</t>
  </si>
  <si>
    <t xml:space="preserve">Thickness of CR face stone masonry assumed </t>
  </si>
  <si>
    <t>CR stones 30 x 30 x 45</t>
  </si>
  <si>
    <t xml:space="preserve">CR stones 30 x 30 x 60 </t>
  </si>
  <si>
    <t xml:space="preserve">Rubble stones : </t>
  </si>
  <si>
    <t>Diameter of ribbed steel rock bolt</t>
  </si>
  <si>
    <t>Length of rock bolt including threaded portion</t>
  </si>
  <si>
    <t>Plate washers 200 x 200 x 10 mm thick</t>
  </si>
  <si>
    <t>No. of tippers to match corrected cycle time of shovel ( 14.67 / 4.67 )</t>
  </si>
  <si>
    <t>Cost of gas cutting set                       @ Rs:</t>
  </si>
  <si>
    <t>Chequered plate</t>
  </si>
  <si>
    <t xml:space="preserve"> tonne</t>
  </si>
  <si>
    <t xml:space="preserve"> cum</t>
  </si>
  <si>
    <t>minutes</t>
  </si>
  <si>
    <t xml:space="preserve"> minutes</t>
  </si>
  <si>
    <t>No. of tippers to match corrected cycle time of shovel ( 9.32/2.02 )</t>
  </si>
  <si>
    <t>Output of tipper / hr with 50 min working / hr ( 50 x 3.70 / 9.32 )</t>
  </si>
  <si>
    <t>Output for 4.61 tippers per day ( 4.61 x 19.85 x 8 )</t>
  </si>
  <si>
    <t>or say 805 cum</t>
  </si>
  <si>
    <t>Deploy 5 tippers for disposal of excavated soft rock .</t>
  </si>
  <si>
    <t>Area of excavation for 805 cum ( 805 / 1.25 )</t>
  </si>
  <si>
    <t>Fuel / Energy charges @ 75 % load</t>
  </si>
  <si>
    <t>Bending machine</t>
  </si>
  <si>
    <t>Concrete bucket 1.5 cum</t>
  </si>
  <si>
    <t>Concrete hand mixer 45/30 ltr</t>
  </si>
  <si>
    <t>Concrete mixer 300/200 ltr(diesel)</t>
  </si>
  <si>
    <t>Concrete mixer 300/200 ltr ( ele )</t>
  </si>
  <si>
    <t>Concrete mixer 600/400 ltr(diesel)</t>
  </si>
  <si>
    <t>Assume 9 m long collapsible type steel gantry</t>
  </si>
  <si>
    <t>Diameter of tunnel ( finished ) considered</t>
  </si>
  <si>
    <t>Hight of tunnel ( finished ) considered</t>
  </si>
  <si>
    <t>Quantity of concrete / gantry considering 30 cm thick lining</t>
  </si>
  <si>
    <t>Khalasi ( 2 x 0.5 )</t>
  </si>
  <si>
    <t>include one extra mazdoor for average liftbeyond initial lift involved for super structure quantity</t>
  </si>
  <si>
    <t>( Excluding T &amp; P / Profit / Overheads )</t>
  </si>
  <si>
    <t>templete</t>
  </si>
  <si>
    <t>Sand ( screened )</t>
  </si>
  <si>
    <t>Use rate of mould</t>
  </si>
  <si>
    <t>set</t>
  </si>
  <si>
    <t>Sundries( water charges &amp; misc. )</t>
  </si>
  <si>
    <t>Hand mixer</t>
  </si>
  <si>
    <t>Mason Class I for fixing</t>
  </si>
  <si>
    <t>Mason Class II for casting</t>
  </si>
  <si>
    <t xml:space="preserve">Generally for dam works excavation in hard rock is for limited depth to </t>
  </si>
  <si>
    <t xml:space="preserve">remove top jointed and skin material to expose fresh rock for seating of </t>
  </si>
  <si>
    <t>structure. Therefore, the depth of hole is limited to 0.90 m for rate analysis.</t>
  </si>
  <si>
    <t>(a)</t>
  </si>
  <si>
    <t xml:space="preserve">The ideal cycle time for shovel requires spotting of a dumper within 3.75 </t>
  </si>
  <si>
    <t xml:space="preserve">minutes near the shovel. However, in practice for dam or canal excavation, </t>
  </si>
  <si>
    <t>the space  available may not permit positioning of dumpers on either side of</t>
  </si>
  <si>
    <t xml:space="preserve"> the shovel. Generally one dumper has to move after loading to position the </t>
  </si>
  <si>
    <t>Operator Grouting/ Guniting/ Shotcreting</t>
  </si>
  <si>
    <t xml:space="preserve">Stone Chips : 0.15 cum, Khandki stones 25 x 25 x 30 cm : 180 Nos, Header stones </t>
  </si>
  <si>
    <t>see below. COM-LDLFT-5-B</t>
  </si>
  <si>
    <t>Air compressor 8.5cmm( diesel )3 Nos</t>
  </si>
  <si>
    <t>HIRE CHARGES OF  OF MACHINERY</t>
  </si>
  <si>
    <t>COM-DTL-LDLFT-1</t>
  </si>
  <si>
    <t>COM-DTL-LDLFT-6</t>
  </si>
  <si>
    <t>COM-DTL-LDLFT-5</t>
  </si>
  <si>
    <t>COM-DTL-LDLFT-5-A</t>
  </si>
  <si>
    <t>COM-DTL-LDLFT-5-B</t>
  </si>
  <si>
    <t>COM-DTL-LDLFT-4</t>
  </si>
  <si>
    <t>COM-DTL-LDLFT-3</t>
  </si>
  <si>
    <t>COM-DTL-LDLFT-2</t>
  </si>
  <si>
    <t>Batching plant 0.5 cum( 6 cum/hr)</t>
  </si>
  <si>
    <t>Batching plant 2 x 1.00 cum(15 cum/hr)</t>
  </si>
  <si>
    <t>Batching plant 2 x 1.50 cum(50 cum/hr)</t>
  </si>
  <si>
    <t>The ideal cycle time for shovel requires spotting of a tipper within 2.50 minutes near the shovel.</t>
  </si>
  <si>
    <t>However, in practice for dam or canal excavation the space available may not permit positioning</t>
  </si>
  <si>
    <t>Cost of grout hose 25 m @ Rs:  / m</t>
  </si>
  <si>
    <t>Cost of guniting nozzle @ Rs:  / m</t>
  </si>
  <si>
    <t>For removing, conveying &amp; stacking sand ( 2 mazdoors @ 4 cum /day).</t>
  </si>
  <si>
    <t xml:space="preserve"> / cum</t>
  </si>
  <si>
    <t xml:space="preserve"> /cum</t>
  </si>
  <si>
    <t>Tarfelt joint filler board ( 100 x 0.15  )</t>
  </si>
  <si>
    <t>For 1 cum CC :- Coarse aggregates : 0.80 cum                           Blending ratio : 65 :35</t>
  </si>
  <si>
    <t>Scaffolding for sub/ super structure concreting assumed :             25 % of shuttering.</t>
  </si>
  <si>
    <t>b) Machinery</t>
  </si>
  <si>
    <t xml:space="preserve">    Hire &amp; running charges of crane with grab </t>
  </si>
  <si>
    <t xml:space="preserve">    bucket of 0.75 cum capacity and accessories.</t>
  </si>
  <si>
    <t>set grout / additional extension rods / reduction in progress etc.</t>
  </si>
  <si>
    <t>Use rate of cross bit 50 mm dia</t>
  </si>
  <si>
    <t>Use rate of 50 mm dia air hose 50 m</t>
  </si>
  <si>
    <t>Use rate of extension rod 4.5 m</t>
  </si>
  <si>
    <t>Upto 6 m from surface</t>
  </si>
  <si>
    <t>Gardener / Trained mali</t>
  </si>
  <si>
    <t>Helper Air compressor / DG set</t>
  </si>
  <si>
    <t>NIL</t>
  </si>
  <si>
    <t>Requirement of labour for 100 sq.meters:</t>
  </si>
  <si>
    <t>3x100/15</t>
  </si>
  <si>
    <t>helper/mazdoor</t>
  </si>
  <si>
    <t>1/3of painters</t>
  </si>
  <si>
    <t xml:space="preserve">inorganic zinc silicate </t>
  </si>
  <si>
    <t xml:space="preserve"> Solventless Coal tar epoxy paint</t>
  </si>
  <si>
    <t>Sundries ( brushes,ladders,platforms etc )</t>
  </si>
  <si>
    <t>Capacity of concrete bucket</t>
  </si>
  <si>
    <t>Weight of empty bucket</t>
  </si>
  <si>
    <t>t/cum</t>
  </si>
  <si>
    <t>Cycle time for tower crane:</t>
  </si>
  <si>
    <t>Alluminium/ Bronze alloy components conforming to IS : 305 :</t>
  </si>
  <si>
    <t>Bearings / Bush</t>
  </si>
  <si>
    <t>MS bolts and nuts with 2.5 % wastage</t>
  </si>
  <si>
    <t>Acetelyne gas @ 0.6 cum / hour ( 55 x 0.60 )</t>
  </si>
  <si>
    <t>Oxygen gas @ 1.8 cum / hour ( 55 x 1.80 )</t>
  </si>
  <si>
    <t>Use of gas cutting torch with 50 min / hr working ( 15 x 60 / 50 )</t>
  </si>
  <si>
    <t>Coarse aggregate 10-4.75 mm</t>
  </si>
  <si>
    <t>Coarse aggregate 20-10 mm</t>
  </si>
  <si>
    <t>Coarse aggregate 40-20 mm</t>
  </si>
  <si>
    <t>Coarse aggregate 80-40 mm</t>
  </si>
  <si>
    <t>Coir brush</t>
  </si>
  <si>
    <t>Copper sheet 16 SWG</t>
  </si>
  <si>
    <t>Coursed rubble stone 30 x 30 x 45 cm</t>
  </si>
  <si>
    <t xml:space="preserve">Cement  : 321 kg              Sand  : </t>
  </si>
  <si>
    <t xml:space="preserve">Cement  : 396 kg              Sand  : </t>
  </si>
  <si>
    <t>B. Hire Charges of Machinery</t>
  </si>
  <si>
    <t>Shuttering at 5.50 sqm / cum of concrete considered for coping work.</t>
  </si>
  <si>
    <t>for laying and tamping</t>
  </si>
  <si>
    <t>involved and 2 mazdoors extra for handling plums.</t>
  </si>
  <si>
    <t>No welding of reinforcement bars is considered since the diameter of bars for tunnel RCC works</t>
  </si>
  <si>
    <t>will be generally less than 32 mm.</t>
  </si>
  <si>
    <t>thick plate washers and nuts and tightening the same by torque wrench after hardening of</t>
  </si>
  <si>
    <t>cement grout, cost of all materials, machinery, labour, ventilation, lighting, drainage and other</t>
  </si>
  <si>
    <t>In contact zones, perticularly in crown portion, the grout intake will be heavy due to inadequate</t>
  </si>
  <si>
    <t>rolling.</t>
  </si>
  <si>
    <t xml:space="preserve">Soil collected for embankment layer gets compacted to some extent during </t>
  </si>
  <si>
    <t>levelling.</t>
  </si>
  <si>
    <t>achieve density control of over 95 percent.</t>
  </si>
  <si>
    <t>excavation, sorting out, transportation, spreading soil to specified thickness,</t>
  </si>
  <si>
    <t>Add seignorage charges on Stone@                  Rs:</t>
  </si>
  <si>
    <t>Add seignorage charges on Sand @                  Rs:</t>
  </si>
  <si>
    <t>Add seignorage charges on Stone @                 Rs:</t>
  </si>
  <si>
    <t>Add seignorage charges on Soil @                    Rs:</t>
  </si>
  <si>
    <t>Add seignorage charges on Stone @                    Rs:</t>
  </si>
  <si>
    <t>Add seignorage charges on CA @                        Rs:</t>
  </si>
  <si>
    <t>Add seignorage charges on FA @                        Rs:</t>
  </si>
  <si>
    <t>Deploy 4 dumpers for shovel output of 493 cum in-situ soft rock.</t>
  </si>
  <si>
    <t>Dumpers 5 cum capacity( 4 Nos)</t>
  </si>
  <si>
    <t>Tipper 5 cum capacity( 1 No)</t>
  </si>
  <si>
    <t>Alloy steel conforming to IS : 1570 :</t>
  </si>
  <si>
    <t>For grinding and finishing weld joints in skin plate and other locations 50 hours use of grinding</t>
  </si>
  <si>
    <t>machine considered.</t>
  </si>
  <si>
    <t>For handling during fabrication and erection of gate parts mobile derric crane for 150 hours and</t>
  </si>
  <si>
    <t>Requirement of materials for laying 10 cum UCR Masonry lining in CM 1:5</t>
  </si>
  <si>
    <t>30cm</t>
  </si>
  <si>
    <t xml:space="preserve">5. The rates for lift charges,lead charges, hire charges are cumulative and inclusive of </t>
  </si>
  <si>
    <t xml:space="preserve">Add for Contrators' Overheads and profit including labour importation @ </t>
  </si>
  <si>
    <t>VAT @</t>
  </si>
  <si>
    <t xml:space="preserve">Deduct salvage value on machinery @ </t>
  </si>
  <si>
    <t>Add for excise duty on 75 percent cost excluding cost of materials @</t>
  </si>
  <si>
    <t>Index- code</t>
  </si>
  <si>
    <t>IRR-DAW</t>
  </si>
  <si>
    <t>IRR-DAW-1</t>
  </si>
  <si>
    <t>IRR-DAW-1-1</t>
  </si>
  <si>
    <t>IRR-DAW-1-2</t>
  </si>
  <si>
    <t>IRR-DAW-1-3</t>
  </si>
  <si>
    <t>IRR-DAW-1-4</t>
  </si>
  <si>
    <t>IRR-DAW-1-5</t>
  </si>
  <si>
    <t>IRR-DAW-1-6</t>
  </si>
  <si>
    <t>IRR-DAW-1-7</t>
  </si>
  <si>
    <t>IRR-DAW-1-8</t>
  </si>
  <si>
    <t>IRR-DAW-1-9</t>
  </si>
  <si>
    <t>IRR-DAW-1-10</t>
  </si>
  <si>
    <t>IRR-DAW-1-11</t>
  </si>
  <si>
    <t>IRR-DAW-1-12</t>
  </si>
  <si>
    <t>IRR-DAW-1-13</t>
  </si>
  <si>
    <t>IRR-DAW-1-14</t>
  </si>
  <si>
    <t>IRR-DAW-2</t>
  </si>
  <si>
    <t>IRR-DAW-2-1A</t>
  </si>
  <si>
    <t xml:space="preserve">overlaps and wastages wherever required, tying with 1.25 mm diameter soft </t>
  </si>
  <si>
    <t>overlaps and wastage</t>
  </si>
  <si>
    <t>as per NHAI-data</t>
  </si>
  <si>
    <t xml:space="preserve"> overlapping and wastage Wastage of steel</t>
  </si>
  <si>
    <t>A.MATERIAL</t>
  </si>
  <si>
    <t>D.Add for contractor's profit and overheads on A+B+C</t>
  </si>
  <si>
    <t>Rate per/ TON.=(A+B+C+D) / I</t>
  </si>
  <si>
    <t>IRR-DAW-2-1B</t>
  </si>
  <si>
    <t>welding  joints considered for bars above 36 mm diameter.</t>
  </si>
  <si>
    <t>Rein.Steel with 2.5  % wastage</t>
  </si>
  <si>
    <t xml:space="preserve"> One</t>
  </si>
  <si>
    <t>welding machine</t>
  </si>
  <si>
    <t>fuel charges</t>
  </si>
  <si>
    <t xml:space="preserve"> welder</t>
  </si>
  <si>
    <t>Welding electrodes 5 per joint and 14 joints per ton</t>
  </si>
  <si>
    <t>IRR-DAW-2-2</t>
  </si>
  <si>
    <t>IRR-DAW-2-3</t>
  </si>
  <si>
    <t>IRR-DAW-2-4</t>
  </si>
  <si>
    <t>IRR-DAW-2-5</t>
  </si>
  <si>
    <t>IRR-DAW-2-6</t>
  </si>
  <si>
    <t>Consider 20 m x 30 m area for excavation.</t>
  </si>
  <si>
    <t>Quantity of excavation ( 20 x 30 x 0.8 )</t>
  </si>
  <si>
    <t>Number of drill holes ( 20 x 30 / 1.2 )</t>
  </si>
  <si>
    <t>Length of drilling ( 500 x 0.9 )</t>
  </si>
  <si>
    <t>Add for secondary blasting for 5 % quantity @ 0.6 m / cum</t>
  </si>
  <si>
    <t>Quantity of 20 mm down filter to be reused</t>
  </si>
  <si>
    <t>Quantity of sand to be replaced by fresh sand</t>
  </si>
  <si>
    <t>For reconstructing rock-toe :</t>
  </si>
  <si>
    <t>For relaying filter materials:</t>
  </si>
  <si>
    <t>Rubble ( available )</t>
  </si>
  <si>
    <t>80-20 mm filter ( available )</t>
  </si>
  <si>
    <t>20 mm down filter ( available )</t>
  </si>
  <si>
    <t>Pin headers( Through stones) @ 2 per sqm</t>
  </si>
  <si>
    <t>Crew for Sand blasting equipment</t>
  </si>
  <si>
    <t>Add for secondary drilling for 5 % quantity @ 0.6 m depth / cum say</t>
  </si>
  <si>
    <t>Rate of drilling in hard rock per hour using jack hammer</t>
  </si>
  <si>
    <t>Time required for drilling with 4 jack hammers say</t>
  </si>
  <si>
    <t>Rate of drilling in hard rock per hour by Waggon drill</t>
  </si>
  <si>
    <t>The rate analysis is for excavation excluding smooth blasting area.</t>
  </si>
  <si>
    <t>Holes in the smooth blast area are not considered in the rate analysis.</t>
  </si>
  <si>
    <t>As the soil in the dump yard will be loose the digging and loading cycle practically should be</t>
  </si>
  <si>
    <t>compaction.</t>
  </si>
  <si>
    <t>Dewatering pump 10 hp ( electric</t>
  </si>
  <si>
    <t>Dewatering pump 20 hp ( diesel )</t>
  </si>
  <si>
    <t>Dewatering pump 20 hp ( electric</t>
  </si>
  <si>
    <t>Drilling jumbo</t>
  </si>
  <si>
    <t>Dumper 4.5 cum</t>
  </si>
  <si>
    <t>50 / 60 ( 1.9 x 4000 x 0.225 x 0.75 / 9 )</t>
  </si>
  <si>
    <t>Time for rolling 495 cum spread soil</t>
  </si>
  <si>
    <t>Deploy 2 mazdoors for spraying water.</t>
  </si>
  <si>
    <t>Output of 1 mazdoor for spreading soil</t>
  </si>
  <si>
    <t>Deploy 27 mazdoors</t>
  </si>
  <si>
    <t>for bed lining.However for finishing the surface to required slopes etc deploy 5 mazdoors.</t>
  </si>
  <si>
    <t>Output of tipper / hr with 50 min working / hr ( 50 x 4.50 / 9.50 ) say :</t>
  </si>
  <si>
    <t>Output for 6 tippers per day ( 6 x 23.70 x 8 )</t>
  </si>
  <si>
    <t>End plates 12 Nos 0.2 x 0.2 m each @ 78.5 kg / sqm</t>
  </si>
  <si>
    <t>Tie rods 14 Nos 25 mm dia 0.9 m length @ 3.85 kg / m</t>
  </si>
  <si>
    <t>Bolts / Nuts / Washers for connections</t>
  </si>
  <si>
    <t>Total weight / set of support excluding wastage</t>
  </si>
  <si>
    <t>indicator, switch box etc. with related accessories.</t>
  </si>
  <si>
    <t>For conveying &amp; laying 10 mm down CA (( 2 mazdoors @  : 5 cum / day ).</t>
  </si>
  <si>
    <t xml:space="preserve">The burden ( distance of hole from free face of excavation ) is considered at </t>
  </si>
  <si>
    <t>Consider rope drum hoist for operating barrage gate for clear opening of 13.72 m x 8.26 m.</t>
  </si>
  <si>
    <t>hoist drawings for barrage gate of Hipparagi Barrage.</t>
  </si>
  <si>
    <t>Acetylene @ 0.8 cum / t</t>
  </si>
  <si>
    <t>Electrodes @ 125 Nos / t</t>
  </si>
  <si>
    <t>M.S.Bolts / Nuts / Washers</t>
  </si>
  <si>
    <t>Total cost of Materials for 20 uses of supports</t>
  </si>
  <si>
    <t>Consider 10 cum rubble and murum filling.</t>
  </si>
  <si>
    <t>horizontal and vertical girders, stiffeners, lifting pins, bronze padded slide blocks/bearings, guide shoes,</t>
  </si>
  <si>
    <t>Air compressor 8.5 cmm ( ele )</t>
  </si>
  <si>
    <t>Crew for Guniting equipment</t>
  </si>
  <si>
    <t>Consider 100 m open jointed hume pipe drain for analysis.</t>
  </si>
  <si>
    <t>Number of collars for 100 m length</t>
  </si>
  <si>
    <t xml:space="preserve">Weight of pipe and collars @ </t>
  </si>
  <si>
    <t>kg/m.</t>
  </si>
  <si>
    <t>tonnes.</t>
  </si>
  <si>
    <t>Hume pipe 300 mm dia.with collar</t>
  </si>
  <si>
    <t>wedge, 10 mm thick plate washers and nuts, tightening bolt by torque wrench, cost of all</t>
  </si>
  <si>
    <t>materials, machinery, labour, ventilation, lighting, drainage and all other ancillary operations</t>
  </si>
  <si>
    <t xml:space="preserve">8 to 10 percent watering may be needed to maintain the soil moisture within </t>
  </si>
  <si>
    <t xml:space="preserve">OMC plus or minus 3 percent limit. Assuming seasonal average of 4 to 5 </t>
  </si>
  <si>
    <t xml:space="preserve">percent watering by weight, daily requirement of water for 825 cum of </t>
  </si>
  <si>
    <t>embankment will be about 7 tanker loads of 8000 ltrs each.</t>
  </si>
  <si>
    <t xml:space="preserve">Deploy 8000 ltr capacity water tanker for 8 hours daily for watering before </t>
  </si>
  <si>
    <t>IRR-CCDW-5-5</t>
  </si>
  <si>
    <t>IRR-CCDW-6</t>
  </si>
  <si>
    <t>IRR-CCDW-6-1</t>
  </si>
  <si>
    <t>IRR-CCDW-6-2</t>
  </si>
  <si>
    <t>IRR-CCDW-6-3</t>
  </si>
  <si>
    <t>IRR-CCDW-6-4</t>
  </si>
  <si>
    <t>IRR-CCDW-6-5</t>
  </si>
  <si>
    <t>IRR-CCDW-6-6</t>
  </si>
  <si>
    <t>IRR-CCDW-6-7</t>
  </si>
  <si>
    <t>IRR-CCDW-6-8</t>
  </si>
  <si>
    <t>IRR-CCDW-6-9</t>
  </si>
  <si>
    <t>IRR-CCDW-7</t>
  </si>
  <si>
    <t>IRR-CCDW-7-1</t>
  </si>
  <si>
    <t>IRR-CCDW-7-2</t>
  </si>
  <si>
    <t>IRR-CCDW-7-3</t>
  </si>
  <si>
    <t>IRR-CCDW-7-4</t>
  </si>
  <si>
    <t>IRR-CCDW-7-5</t>
  </si>
  <si>
    <t>IRR-GAW</t>
  </si>
  <si>
    <t>IRR-GAW-1</t>
  </si>
  <si>
    <t>IRR-GAW-1-1</t>
  </si>
  <si>
    <t>IRR-GAW-1-2</t>
  </si>
  <si>
    <t>IRR-GAW-1-3</t>
  </si>
  <si>
    <t>IRR-GAW-1-4</t>
  </si>
  <si>
    <t>IRR-GAW-2</t>
  </si>
  <si>
    <t>IRR-GAW-2-1</t>
  </si>
  <si>
    <t>IRR-GAW-2-2</t>
  </si>
  <si>
    <t>IRR-GAW-2-3</t>
  </si>
  <si>
    <t>IRR-GAW-2-4</t>
  </si>
  <si>
    <t>IRR-GAW-2-5</t>
  </si>
  <si>
    <t>IRR-GAW-2-6</t>
  </si>
  <si>
    <t>IRR-GAW-2-7</t>
  </si>
  <si>
    <t>IRR-GAW-2-8</t>
  </si>
  <si>
    <t>IRR-GAW-2-9</t>
  </si>
  <si>
    <t>IRR-GAW-2-10</t>
  </si>
  <si>
    <t>IRR-GAW-2-11</t>
  </si>
  <si>
    <t>IRR-GAW-3</t>
  </si>
  <si>
    <t>IRR-GAW-3-1</t>
  </si>
  <si>
    <t>IRR-GAW-3-2</t>
  </si>
  <si>
    <t>IRR-GAW-3-3</t>
  </si>
  <si>
    <t>IRR-GAW-3-4</t>
  </si>
  <si>
    <t>IRR-GAW-3-5</t>
  </si>
  <si>
    <t>IRR-GAW-4</t>
  </si>
  <si>
    <t>IRR-GAW-4-1</t>
  </si>
  <si>
    <t>IRR-GAW-4-2</t>
  </si>
  <si>
    <t>IRR-GAW-4-3</t>
  </si>
  <si>
    <t>IRR-GAW-4-4</t>
  </si>
  <si>
    <t>IRR-PMW</t>
  </si>
  <si>
    <t>IRR-PMW-1</t>
  </si>
  <si>
    <t>IRR-PMW-1-1</t>
  </si>
  <si>
    <t>IRR-PMW-1-2</t>
  </si>
  <si>
    <t>IRR-PMW-1-3</t>
  </si>
  <si>
    <t>IRR-PMW-1-4</t>
  </si>
  <si>
    <t>IRR-PMW-1-5</t>
  </si>
  <si>
    <t>IRR-PMW-1-6</t>
  </si>
  <si>
    <t>IRR-PMW-1-7</t>
  </si>
  <si>
    <t>IRR-PMW-1-8</t>
  </si>
  <si>
    <t>IRR-PMW-1-9</t>
  </si>
  <si>
    <t>IRR-PMW-1-10</t>
  </si>
  <si>
    <t>IRR-PMW-1-11</t>
  </si>
  <si>
    <t>IRR-PMW-1-12</t>
  </si>
  <si>
    <t>IRR-PMW-1-13</t>
  </si>
  <si>
    <t>IRR-PMW-1-14</t>
  </si>
  <si>
    <t>IRR-PMW-1-15</t>
  </si>
  <si>
    <t>IRR-PMW-1-16</t>
  </si>
  <si>
    <t>IRR-PMW-2</t>
  </si>
  <si>
    <t>IRR-PMW-2-1</t>
  </si>
  <si>
    <t>IRR-PMW-2-2</t>
  </si>
  <si>
    <t>10 % of labour for shuttering</t>
  </si>
  <si>
    <t>Requirement of labour for concreting:</t>
  </si>
  <si>
    <t>For unloading mortar pans</t>
  </si>
  <si>
    <t>Cement for incidentals @ 3 kg / cum</t>
  </si>
  <si>
    <t>Use rate of shuttering for 40 uses</t>
  </si>
  <si>
    <t>Concrete mixer 300/200 ltr ( diesel )</t>
  </si>
  <si>
    <t>Labour cost for shuttering</t>
  </si>
  <si>
    <t>50 / 60 ( 1.9 x 4000 x 0.25 x 0.75 / 12 )</t>
  </si>
  <si>
    <t>Generally 10 to 12 passes of vibratory pad foot roller is adequate for achieving specified density</t>
  </si>
  <si>
    <t>B. Hire charges of Machinery for fabrication</t>
  </si>
  <si>
    <t>C. Hire charges of Machinery for erection and dismantling</t>
  </si>
  <si>
    <t>D. Cost of Labour for fabrication</t>
  </si>
  <si>
    <t xml:space="preserve">Number of buckets per load ( 4.16 / 0.83 ) </t>
  </si>
  <si>
    <t>Deploy 2 air compressors of 8.5 cmm capacity and 4 jack hammers  :</t>
  </si>
  <si>
    <t>Depth of drilling for 41 holes ( 41 x 1.7 x 1.1 )</t>
  </si>
  <si>
    <t>Total depth of drilling ( 65.5 + 15 + 76.5 )</t>
  </si>
  <si>
    <t>Total area of excavation</t>
  </si>
  <si>
    <t>Quantity of in-situ excavation per blast ( 33.24 x 1.50 )</t>
  </si>
  <si>
    <t>Quantity of delay detonators per blast ( 35 + 8 + 41 )</t>
  </si>
  <si>
    <t>Deploy drilling jumbo for loading explosives. ( 1 + 0.5 + 0.5 )</t>
  </si>
  <si>
    <t>Explosive ANFO high strength booster</t>
  </si>
  <si>
    <t>Geo-textile ( filter fabric ) 160 gsm</t>
  </si>
  <si>
    <t>Fabricating by stitch welding 909 hours</t>
  </si>
  <si>
    <t>This is equivalent to running 1 fan for 2 hrs. However, since excavation is planned in stages</t>
  </si>
  <si>
    <t>1 hour defuming after each of 3 blasts is considered adequate.</t>
  </si>
  <si>
    <t>Capacityof dumper per load</t>
  </si>
  <si>
    <t>Erection of permanent supports</t>
  </si>
  <si>
    <t>For foundation filling in pits and around pipes requires collection and rehandling of soil.</t>
  </si>
  <si>
    <t>Cartman with double bullock cart for supplying water</t>
  </si>
  <si>
    <t>Cost of air hose 25 m each @ Rs:  / Rm</t>
  </si>
  <si>
    <t>Cost of water hose 25 m each @ Rs:  / Rm</t>
  </si>
  <si>
    <t>Cost of drill rod 2.5 m long @ Rs:  / No.</t>
  </si>
  <si>
    <t>Cost of drill rod 1.6 m length @ Rs:  / No.</t>
  </si>
  <si>
    <t xml:space="preserve">  Materials other than covered under irrigation</t>
  </si>
  <si>
    <t>Sl. No.</t>
  </si>
  <si>
    <t>M-002</t>
  </si>
  <si>
    <t>M-003</t>
  </si>
  <si>
    <t>M-004</t>
  </si>
  <si>
    <t>M-005</t>
  </si>
  <si>
    <t>M-006</t>
  </si>
  <si>
    <t>M-007</t>
  </si>
  <si>
    <t>M-008</t>
  </si>
  <si>
    <t>M-009</t>
  </si>
  <si>
    <t>M-010</t>
  </si>
  <si>
    <t>M-011</t>
  </si>
  <si>
    <t>M-012</t>
  </si>
  <si>
    <t>M-013</t>
  </si>
  <si>
    <t>50 m long 50 mm dia air hose assumed.</t>
  </si>
  <si>
    <t>hr</t>
  </si>
  <si>
    <t>M-128</t>
  </si>
  <si>
    <t>M-129</t>
  </si>
  <si>
    <t>Nipples 12mm</t>
  </si>
  <si>
    <t>M-130</t>
  </si>
  <si>
    <t>M-131</t>
  </si>
  <si>
    <t>Paint</t>
  </si>
  <si>
    <t>M-132</t>
  </si>
  <si>
    <t>Pavement Marking Paint</t>
  </si>
  <si>
    <t>M-133</t>
  </si>
  <si>
    <t>Paving Fabric</t>
  </si>
  <si>
    <t>M-134</t>
  </si>
  <si>
    <t>M-135</t>
  </si>
  <si>
    <t>Perforated pipe of cement concrete, internal dia 100 mm</t>
  </si>
  <si>
    <t>M-136</t>
  </si>
  <si>
    <t>Pesticide</t>
  </si>
  <si>
    <t>M-137</t>
  </si>
  <si>
    <t>M-138</t>
  </si>
  <si>
    <t>Plastic sheath, 1.25 mm thick for dowel bars</t>
  </si>
  <si>
    <t>M-139</t>
  </si>
  <si>
    <t>M-140</t>
  </si>
  <si>
    <t>Polymer braids</t>
  </si>
  <si>
    <t>M-141</t>
  </si>
  <si>
    <t>M-142</t>
  </si>
  <si>
    <t>M-143</t>
  </si>
  <si>
    <t>M-144</t>
  </si>
  <si>
    <t>Pre-moulded asphalt filler board</t>
  </si>
  <si>
    <t>M-145</t>
  </si>
  <si>
    <t>Pre-packed cement based polymer concrete of strength 45 Mpa at 28 days</t>
  </si>
  <si>
    <t>M-146</t>
  </si>
  <si>
    <t>M-147</t>
  </si>
  <si>
    <t>Quick setting compound</t>
  </si>
  <si>
    <t>M-148</t>
  </si>
  <si>
    <t>M-149</t>
  </si>
  <si>
    <t>M-150</t>
  </si>
  <si>
    <t>M-151</t>
  </si>
  <si>
    <t>M-152</t>
  </si>
  <si>
    <t>Reflectorising glass beads</t>
  </si>
  <si>
    <t>M-153</t>
  </si>
  <si>
    <t>Reinforcement strips 60 mm wide 5 mm thick as per clause 3102. (Copper Strips)</t>
  </si>
  <si>
    <t>M-154</t>
  </si>
  <si>
    <t>M-155</t>
  </si>
  <si>
    <t>M-156</t>
  </si>
  <si>
    <t>Reinforcement strips 60 mm wide 5 mm thick as per clause 3102. (Stainless steel strips)</t>
  </si>
  <si>
    <t>M-157</t>
  </si>
  <si>
    <t>M-158</t>
  </si>
  <si>
    <t>M-159</t>
  </si>
  <si>
    <t>Sand bags (Cost of sand and Empty cement bag)</t>
  </si>
  <si>
    <t>M-160</t>
  </si>
  <si>
    <t>M-161</t>
  </si>
  <si>
    <t>Scrap tyres of size 900 x 20</t>
  </si>
  <si>
    <t>M-162</t>
  </si>
  <si>
    <t>M-163</t>
  </si>
  <si>
    <t>M-164</t>
  </si>
  <si>
    <t>Separation Membrane of impermeable plastic sheeting 125 micron thick</t>
  </si>
  <si>
    <t>M-165</t>
  </si>
  <si>
    <t>Sheathing duct</t>
  </si>
  <si>
    <t>M-166</t>
  </si>
  <si>
    <t>Shrubs</t>
  </si>
  <si>
    <t>M-167</t>
  </si>
  <si>
    <t>Sludge / Farm yard manure @ 0.18 cum per 100 sqm at site of work for turfing</t>
  </si>
  <si>
    <t>M-168</t>
  </si>
  <si>
    <t>Quantity of murum</t>
  </si>
  <si>
    <t xml:space="preserve">4 mazdoors  for rubble filling &amp; packing with murum </t>
  </si>
  <si>
    <t>all operations such as excavation, sortingout, transporting, spreading in layer of specified</t>
  </si>
  <si>
    <t>In-situ qty per bucket for 15 % bulkage of soil ( 0.58 /1.15 )</t>
  </si>
  <si>
    <t>Cycle time for loading 8 buckets ( 8 x 30 / 60 )</t>
  </si>
  <si>
    <t>Consider 4 hours including time for levelling stripped siol / shifting time.</t>
  </si>
  <si>
    <t>Requirement of dozer for one day work 400 cum say</t>
  </si>
  <si>
    <t>Deploy 3 tippers of 5.00 cum capacity for 8 hours to convey soil to embankment area.</t>
  </si>
  <si>
    <t>Cement 43 Gr</t>
  </si>
  <si>
    <t>Deploy 10 hp pump for 2 hours for pumping water to storage tank.</t>
  </si>
  <si>
    <t>Cost of grout hose 50 m @                    Rs:</t>
  </si>
  <si>
    <t>Use rate of grout hose per hour</t>
  </si>
  <si>
    <t>Cost of water hose 50 m @                   Rs:</t>
  </si>
  <si>
    <t xml:space="preserve">Cement  : 75 kg         Sand  : </t>
  </si>
  <si>
    <t>Cement  : 75 kg            Sand  : 0.30 cum</t>
  </si>
  <si>
    <t>Cement  : 75 kg Sand  :</t>
  </si>
  <si>
    <t>total steel with 5% wastage</t>
  </si>
  <si>
    <t xml:space="preserve">Cement  : 99 kg             Sand  : </t>
  </si>
  <si>
    <t xml:space="preserve">Cement  : 174 kg             Sand  : </t>
  </si>
  <si>
    <t>Cement  : 248kg                  Sand  :</t>
  </si>
  <si>
    <t>IRR-DAW-2-7</t>
  </si>
  <si>
    <t>IRR-DAW-2-8</t>
  </si>
  <si>
    <t>IRR-DAW-2-9</t>
  </si>
  <si>
    <t>IRR-DAW-2-10</t>
  </si>
  <si>
    <t>IRR-DAW-2-11</t>
  </si>
  <si>
    <t>IRR-DAW-2-12</t>
  </si>
  <si>
    <t>IRR-DAW-2-13</t>
  </si>
  <si>
    <t>IRR-DAW-2-14</t>
  </si>
  <si>
    <t>IRR-DAW-2-15</t>
  </si>
  <si>
    <t>IRR-DAW-2-16</t>
  </si>
  <si>
    <t>IRR-DAW-2-17</t>
  </si>
  <si>
    <t>IRR-DAW-3-1</t>
  </si>
  <si>
    <t>IRR-DAW-3-2</t>
  </si>
  <si>
    <t>IRR-DAW-3-3</t>
  </si>
  <si>
    <t>IRR-DAW-3-4</t>
  </si>
  <si>
    <t>IRR-DAW-3-5</t>
  </si>
  <si>
    <t>IRR-DAW-3-6</t>
  </si>
  <si>
    <t>IRR-DAW-3-7</t>
  </si>
  <si>
    <t>IRR-DAW-3-8</t>
  </si>
  <si>
    <t>IRR-DAW-4-1</t>
  </si>
  <si>
    <t>IRR-DAW-4-2</t>
  </si>
  <si>
    <t>IRR-DAW-4-3</t>
  </si>
  <si>
    <t>IRR-DAW-4-4</t>
  </si>
  <si>
    <t>IRR-DAW-4-5</t>
  </si>
  <si>
    <t>IRR-DAW-5-1</t>
  </si>
  <si>
    <t>IRR-DAW-5-2</t>
  </si>
  <si>
    <t>IRR-DAW-5-3</t>
  </si>
  <si>
    <t>IRR-DAW-5-4</t>
  </si>
  <si>
    <t>IRR-DAW-5-5</t>
  </si>
  <si>
    <t>IRR-DAW-5-6</t>
  </si>
  <si>
    <t>IRR-DAW-5-7</t>
  </si>
  <si>
    <t>IRR-DAW-5-8</t>
  </si>
  <si>
    <t>IRR-DAW-5-9</t>
  </si>
  <si>
    <t>IRR-DAW-5-10</t>
  </si>
  <si>
    <t>IRR-DAW-6-1</t>
  </si>
  <si>
    <t>IRR-DAW-6-2</t>
  </si>
  <si>
    <t>IRR-DAW-6-3</t>
  </si>
  <si>
    <t>IRR-DAW-6-4</t>
  </si>
  <si>
    <t>IRR-DAW-6-5</t>
  </si>
  <si>
    <t>IRR-DAW-6-6</t>
  </si>
  <si>
    <t>IRR-DAW-6-7</t>
  </si>
  <si>
    <t>IRR-DAW-6-8</t>
  </si>
  <si>
    <t>IRR-DAW-6-9</t>
  </si>
  <si>
    <t>IRR-DAW-6-10</t>
  </si>
  <si>
    <t>IRR-DAW-6-11</t>
  </si>
  <si>
    <t>IRR-DAW-6-12</t>
  </si>
  <si>
    <t>IRR-DAW-6-13</t>
  </si>
  <si>
    <t>IRR-TAW</t>
  </si>
  <si>
    <t>IRR-TAW-1</t>
  </si>
  <si>
    <t>IRR-TAW-1-1</t>
  </si>
  <si>
    <t>IRR-TAW-1-2</t>
  </si>
  <si>
    <t>IRR-TAW-1-3</t>
  </si>
  <si>
    <t>IRR-TAW-1-4</t>
  </si>
  <si>
    <t>IRR-TAW-1-5</t>
  </si>
  <si>
    <t>IRR-TAW-1-6</t>
  </si>
  <si>
    <t>IRR-TAW-2-1</t>
  </si>
  <si>
    <t>IRR-TAW-2-2</t>
  </si>
  <si>
    <t>IRR-TAW-3-1</t>
  </si>
  <si>
    <t>IRR-TAW-3-2</t>
  </si>
  <si>
    <t>IRR-TAW-3-3</t>
  </si>
  <si>
    <t>IRR-TAW-3-4</t>
  </si>
  <si>
    <t>IRR-TAW-3-5</t>
  </si>
  <si>
    <t>IRR-TAW-4-1</t>
  </si>
  <si>
    <t>IRR_DAW-3</t>
  </si>
  <si>
    <t>IRR_DAW-4</t>
  </si>
  <si>
    <t>IRR_DAW-5</t>
  </si>
  <si>
    <t>IRR_DAW-6</t>
  </si>
  <si>
    <t>IRR_TAW-4</t>
  </si>
  <si>
    <t>IRR_TAW-2</t>
  </si>
  <si>
    <t>IRR_TAW-3</t>
  </si>
  <si>
    <t>IRR_TAW-5</t>
  </si>
  <si>
    <t>IRR-TAW-5-1</t>
  </si>
  <si>
    <t>IRR-TAW-5-2</t>
  </si>
  <si>
    <t>IRR-TAW-5-3</t>
  </si>
  <si>
    <t>IRR-TAW-5-4</t>
  </si>
  <si>
    <t>IRR-TAW-6</t>
  </si>
  <si>
    <t>IRR-TAW-6-1</t>
  </si>
  <si>
    <t>IRR-TAW-6-2</t>
  </si>
  <si>
    <t>IRR-TAW-6-3</t>
  </si>
  <si>
    <t>IRR-CAW</t>
  </si>
  <si>
    <t>IRR-CAW-1</t>
  </si>
  <si>
    <t>IRR-CAW-1-1</t>
  </si>
  <si>
    <t>IRR-CAW-1-2</t>
  </si>
  <si>
    <t>IRR-CAW-1-3</t>
  </si>
  <si>
    <t>IRR-CAW-1-4</t>
  </si>
  <si>
    <t>IRR-CAW-1-5</t>
  </si>
  <si>
    <t>IRR-CAW-1-6</t>
  </si>
  <si>
    <t>IRR-CAW-1-7</t>
  </si>
  <si>
    <t>IRR-CAW-1-8</t>
  </si>
  <si>
    <t>IRR-CAW-1-9</t>
  </si>
  <si>
    <t>IRR-CAW-1-10</t>
  </si>
  <si>
    <t>IRR-CAW-1-11</t>
  </si>
  <si>
    <t>IRR-CAW-2</t>
  </si>
  <si>
    <t>IRR-CAW-2-1</t>
  </si>
  <si>
    <t>IRR-CAW-2-2</t>
  </si>
  <si>
    <t>IRR-CAW-2-3</t>
  </si>
  <si>
    <t>IRR-CAW-2-4</t>
  </si>
  <si>
    <t>IRR-CAW-2-5</t>
  </si>
  <si>
    <t>IRR-CAW-2-6</t>
  </si>
  <si>
    <t>IRR-CAW-2-7</t>
  </si>
  <si>
    <t>IRR-CAW-3</t>
  </si>
  <si>
    <t>IRR-CAW-3-1</t>
  </si>
  <si>
    <t>IRR-CAW-3-2</t>
  </si>
  <si>
    <t>IRR-CAW-3-3</t>
  </si>
  <si>
    <t>IRR-CAW-3-4</t>
  </si>
  <si>
    <t>IRR-CAW-3-5</t>
  </si>
  <si>
    <t>IRR-CAW-4</t>
  </si>
  <si>
    <t>IRR-CAW-4-1</t>
  </si>
  <si>
    <t>IRR-CAW-4-2</t>
  </si>
  <si>
    <t>IRR-CAW-4-3</t>
  </si>
  <si>
    <t>IRR-CAW-4-4</t>
  </si>
  <si>
    <t>IRR-CAW-4-5</t>
  </si>
  <si>
    <t>IRR-CAW-4-6</t>
  </si>
  <si>
    <t>IRR-CAW-5</t>
  </si>
  <si>
    <t>IRR-CAW-5-1</t>
  </si>
  <si>
    <t>IRR-CAW-5-2</t>
  </si>
  <si>
    <t>IRR-CAW-5-3</t>
  </si>
  <si>
    <t>IRR-CAW-5-4</t>
  </si>
  <si>
    <t>IRR-CAW-5-5</t>
  </si>
  <si>
    <t>IRR-CAW-5-6</t>
  </si>
  <si>
    <t>IRR-CAW-5-7</t>
  </si>
  <si>
    <t>IRR-CAW-5-8</t>
  </si>
  <si>
    <t>IRR-CAW-5-9</t>
  </si>
  <si>
    <t>IRR-CAW-5-10</t>
  </si>
  <si>
    <t>IRR-CAW-5-11</t>
  </si>
  <si>
    <t>IRR-CAW-6</t>
  </si>
  <si>
    <t>IRR-CAW-6-1</t>
  </si>
  <si>
    <t>IRR-CAW-6-2</t>
  </si>
  <si>
    <t>IRR-CAW-7</t>
  </si>
  <si>
    <t>IRR-CAW-7-1</t>
  </si>
  <si>
    <t>IRR-CAW-7-2</t>
  </si>
  <si>
    <t>IRR-CAW-7-3</t>
  </si>
  <si>
    <t>IRR-CAW-7-4</t>
  </si>
  <si>
    <t>IRR-CAW-7-5</t>
  </si>
  <si>
    <t>IRR-CAW-7-6</t>
  </si>
  <si>
    <t>IRR-CAW-7-7</t>
  </si>
  <si>
    <t>IRR-CAW-7-8</t>
  </si>
  <si>
    <t>IRR-CAW-7-9</t>
  </si>
  <si>
    <t>IRR-CAW-7-10</t>
  </si>
  <si>
    <t>IRR-CAW-7-11</t>
  </si>
  <si>
    <t>IRR-CAW-7-12</t>
  </si>
  <si>
    <t>IRR-CAW-7-13</t>
  </si>
  <si>
    <t>IRR-CAW-7-14</t>
  </si>
  <si>
    <t>IRR-CAW-7-15</t>
  </si>
  <si>
    <t>IRR-CAW-7-16</t>
  </si>
  <si>
    <t>IRR-CAW-7-17</t>
  </si>
  <si>
    <t>IRR-CAW-7-18</t>
  </si>
  <si>
    <t>IRR-CAW-7-19</t>
  </si>
  <si>
    <t>IRR-CAW-7-20</t>
  </si>
  <si>
    <t>IRR-CAW-7-21</t>
  </si>
  <si>
    <t>IRR-CAW-7-22</t>
  </si>
  <si>
    <t>IRR-CAW-7-23</t>
  </si>
  <si>
    <t>IRR-CAW-7-24</t>
  </si>
  <si>
    <t>IRR-CAW-7-25</t>
  </si>
  <si>
    <t>IRR-CAW-7-26</t>
  </si>
  <si>
    <t>IRR-CAW-7-27</t>
  </si>
  <si>
    <t>IRR-CAW-7-28</t>
  </si>
  <si>
    <t>IRR-CAW-7-29</t>
  </si>
  <si>
    <t>IRR-CAW-7-30</t>
  </si>
  <si>
    <t>IRR-CAW-7-31</t>
  </si>
  <si>
    <t>IRR-CAW-7-32</t>
  </si>
  <si>
    <t>IRR-CAW-7-33</t>
  </si>
  <si>
    <t>IRR-CAW-7-34</t>
  </si>
  <si>
    <t>IRR-CAW-7-35</t>
  </si>
  <si>
    <t>IRR-CAW-7-36</t>
  </si>
  <si>
    <t>IRR-CAW-7-37</t>
  </si>
  <si>
    <t>IRR-CAW-7-38</t>
  </si>
  <si>
    <t>IRR-CAW-7-39</t>
  </si>
  <si>
    <t>IRR-CAW-7-40</t>
  </si>
  <si>
    <t>IRR-CAW-7-41</t>
  </si>
  <si>
    <t>IRR-CAW-7-42</t>
  </si>
  <si>
    <t>IRR-CAW-7-43</t>
  </si>
  <si>
    <t>IRR-CAW-7-44</t>
  </si>
  <si>
    <t>IRR-CAW-7-45</t>
  </si>
  <si>
    <t>IRR-CAW-7-46</t>
  </si>
  <si>
    <t>IRR-CAW-8</t>
  </si>
  <si>
    <t>IRR-CAW-8-1</t>
  </si>
  <si>
    <t>IRR-CAW-8-2</t>
  </si>
  <si>
    <t>IRR-CAW-8-3</t>
  </si>
  <si>
    <t>IRR-CAW-8-4</t>
  </si>
  <si>
    <t>IRR-CAW-8-5</t>
  </si>
  <si>
    <t>IRR-CAW-8-6</t>
  </si>
  <si>
    <t>IRR-CAW-8-7</t>
  </si>
  <si>
    <t>IRR-CAW-8-8</t>
  </si>
  <si>
    <t>IRR-CAW-8-9</t>
  </si>
  <si>
    <t>IRR-CAW-8-10</t>
  </si>
  <si>
    <t>IRR-CAW-8-11</t>
  </si>
  <si>
    <t>IRR-CAW-8-12</t>
  </si>
  <si>
    <t>IRR-CAW-8-13</t>
  </si>
  <si>
    <t>IRR-CAW-8-14</t>
  </si>
  <si>
    <t>IRR-CCDW</t>
  </si>
  <si>
    <t>IRR-CCDW-1</t>
  </si>
  <si>
    <t>IRR-CCDW-1-1</t>
  </si>
  <si>
    <t>IRR-CCDW-1-2</t>
  </si>
  <si>
    <t>IRR-CCDW-1-3</t>
  </si>
  <si>
    <t>IRR-CCDW-1-4</t>
  </si>
  <si>
    <t>IRR-CCDW-1-5</t>
  </si>
  <si>
    <t>IRR-CCDW-1-6</t>
  </si>
  <si>
    <t>IRR-CCDW-1-7</t>
  </si>
  <si>
    <t>IRR-CCDW-1-8</t>
  </si>
  <si>
    <t>IRR-CCDW-2</t>
  </si>
  <si>
    <t>IRR-CCDW-2-1</t>
  </si>
  <si>
    <t>IRR-CCDW-2-2</t>
  </si>
  <si>
    <t>IRR-CCDW-2-3</t>
  </si>
  <si>
    <t>IRR-CCDW-2-4</t>
  </si>
  <si>
    <t>IRR-CCDW-2-5</t>
  </si>
  <si>
    <t>IRR-CCDW-2-6</t>
  </si>
  <si>
    <t>IRR-CCDW-2-7</t>
  </si>
  <si>
    <t>IRR-CCDW-2-8</t>
  </si>
  <si>
    <t>IRR-CCDW-2-9</t>
  </si>
  <si>
    <t>IRR-CCDW-2-10</t>
  </si>
  <si>
    <t>IRR-CCDW-2-11</t>
  </si>
  <si>
    <t>IRR-CCDW-2-12</t>
  </si>
  <si>
    <t>IRR-CCDW-2-13</t>
  </si>
  <si>
    <t>IRR-CCDW-2-14</t>
  </si>
  <si>
    <t>IRR-CCDW-2-15</t>
  </si>
  <si>
    <t>IRR-CCDW-2-16</t>
  </si>
  <si>
    <t>IRR-CCDW-2-17</t>
  </si>
  <si>
    <t>IRR-CCDW-2-18</t>
  </si>
  <si>
    <t>IRR-CCDW-2-19</t>
  </si>
  <si>
    <t>IRR-CCDW-2-20</t>
  </si>
  <si>
    <t>IRR-CCDW-2-21</t>
  </si>
  <si>
    <t>IRR-CCDW-2-22</t>
  </si>
  <si>
    <t>IRR-CCDW-2-23</t>
  </si>
  <si>
    <t>IRR-CCDW-2-24</t>
  </si>
  <si>
    <t>IRR-CCDW-2-25</t>
  </si>
  <si>
    <t>IRR-CCDW-2-26</t>
  </si>
  <si>
    <t>IRR-CCDW-2-27</t>
  </si>
  <si>
    <t>IRR-CCDW-3</t>
  </si>
  <si>
    <t>IRR-CCDW-3-1</t>
  </si>
  <si>
    <t>IRR-CCDW-3-2</t>
  </si>
  <si>
    <t>IRR-CCDW-4</t>
  </si>
  <si>
    <t>IRR-CCDW-4-1</t>
  </si>
  <si>
    <t>IRR-CCDW-4-2</t>
  </si>
  <si>
    <t>IRR-CCDW-4-3</t>
  </si>
  <si>
    <t>IRR-CCDW-4-4</t>
  </si>
  <si>
    <t>IRR-CCDW-4-5</t>
  </si>
  <si>
    <t>IRR-CCDW-4-6</t>
  </si>
  <si>
    <t>IRR-CCDW-4-7</t>
  </si>
  <si>
    <t>IRR-CCDW-4-8</t>
  </si>
  <si>
    <t>IRR-CCDW-4-9</t>
  </si>
  <si>
    <t>IRR-CCDW-4-10</t>
  </si>
  <si>
    <t>IRR-CCDW-5</t>
  </si>
  <si>
    <t>IRR-CCDW-5-1</t>
  </si>
  <si>
    <t>IRR-CCDW-5-2</t>
  </si>
  <si>
    <t>IRR-CCDW-5-3</t>
  </si>
  <si>
    <t>IRR-CCDW-5-4</t>
  </si>
  <si>
    <t>25 x 25x 45 cm : 60 Nos)</t>
  </si>
  <si>
    <t xml:space="preserve"> dust. After cleaning,applying primary coat with one coat of Zinc rich epoxy primer to athickness of 40 microns </t>
  </si>
  <si>
    <t>,followed by finishing coats</t>
  </si>
  <si>
    <t>Rs/MT</t>
  </si>
  <si>
    <t>Rates of seigniorage fee  
     (In Rupees) /cum</t>
  </si>
  <si>
    <t>Rates of seigniorage fee  
     (In Rupees) / MT</t>
  </si>
  <si>
    <t xml:space="preserve">Use rate of drill rod per Rm drilling </t>
  </si>
  <si>
    <t>( cost / life )</t>
  </si>
  <si>
    <t>Length of air hose for drilling for each jack hammer</t>
  </si>
  <si>
    <t>Cutting sections / Drilling holes 14 hours</t>
  </si>
  <si>
    <t>Fabricating / welding 8 hours</t>
  </si>
  <si>
    <t>Erection of hoist frame / body</t>
  </si>
  <si>
    <t>to required curvature, cost of all materials, machinery, labour, formwork including supports</t>
  </si>
  <si>
    <t>The rate of concreting for 2 agitator cars with 50 min / hr working</t>
  </si>
  <si>
    <t>Weight of concrete 1.5 cum @</t>
  </si>
  <si>
    <t>Scaffolding  of shuttering @</t>
  </si>
  <si>
    <t>Use rate of scaffolding @</t>
  </si>
  <si>
    <t xml:space="preserve">Labour cost of scaffolding @ </t>
  </si>
  <si>
    <t>Scaffolding of shuttering @</t>
  </si>
  <si>
    <t xml:space="preserve">Use rate of scaffolding @ </t>
  </si>
  <si>
    <t>Quantity of loose soil to be spread (677.28 x 1.20 ) :</t>
  </si>
  <si>
    <t>For 98 % density control of embankment 10 % shrinkage factor is assumed on the basis of</t>
  </si>
  <si>
    <t>Weight of plate including 2.5 percent wastage @ 23.60 kg / m</t>
  </si>
  <si>
    <t>Add for anchors @ 10 percent of wt of angle and plate</t>
  </si>
  <si>
    <t>Labour requirement per tonne:</t>
  </si>
  <si>
    <t>In view of restricted head room between shuttering and excavation line placing reinforcement</t>
  </si>
  <si>
    <t>will be slow compared to open area.Further bars in transverse direction are to be bent to match</t>
  </si>
  <si>
    <t>Weight of hoist with all accessories is assumed at 0.3 tonne per tonne capacity of hoist.</t>
  </si>
  <si>
    <t>The actual weight of regulator radial gate rope drum hoist as per data sheet</t>
  </si>
  <si>
    <t>Pulleys 6 Nos</t>
  </si>
  <si>
    <t>Labour for erecting &amp; dismantling scaffolding :</t>
  </si>
  <si>
    <t>CA : 0.90 cum, Blending Ratio of CA : 50:30:20, FA : 0.40 cum)</t>
  </si>
  <si>
    <t xml:space="preserve">(Thickness of the masonry assumed: 0.3 m, rubble stones : 0.96 cum, Stone Chips : 0.15cum, </t>
  </si>
  <si>
    <t>Through Stones 20 x 20 x 30cm : 1/sqm)</t>
  </si>
  <si>
    <t xml:space="preserve">(  Thickness of the CR face assumed: 0.75 m,Cement content : 178 kg/cum of masonry, </t>
  </si>
  <si>
    <t xml:space="preserve">rubble stones : 0.35 cum, stone chips : 0.15 cum/cum, FA : 0.375 cum, </t>
  </si>
  <si>
    <t>with initial lead upto 50m and all lifts.(without pin headers) : 1.1 cum)</t>
  </si>
  <si>
    <t xml:space="preserve">(Thickness of the Masonry assumed: 0.3 m ,  rubble stones </t>
  </si>
  <si>
    <t xml:space="preserve">iii ) The rate under this item shall be paid only on ascertaining that the </t>
  </si>
  <si>
    <t xml:space="preserve">iv ) In case, where the above criteria is not fulfilled payment shall be </t>
  </si>
  <si>
    <t>ii) The rate includes controlling fly-rock wherever required.</t>
  </si>
  <si>
    <t>mt</t>
  </si>
  <si>
    <t>Consumables in sinking @ 10% of machinery charges</t>
  </si>
  <si>
    <t>Cement for incidentals @ 5 Kg / cum</t>
  </si>
  <si>
    <t>CA : 0.90cum, Blending Ratio of CA--50:30:20,  FA : 0.40 cum)</t>
  </si>
  <si>
    <t>IRR-TAW-2-3</t>
  </si>
  <si>
    <t xml:space="preserve">100 x 100x5 mm in between the two layers including cost and conveyance of all materials, </t>
  </si>
  <si>
    <t xml:space="preserve"> directed by Engineer-in-Charge</t>
  </si>
  <si>
    <t>1:2.44:1.1</t>
  </si>
  <si>
    <t>Unit weight of mortar 1 : 2.44:1.1 proportion by weight in kg / cum</t>
  </si>
  <si>
    <t>Coarse Aggregate per cum of mortar</t>
  </si>
  <si>
    <t>For 76 mm thick guniting the rate of progress will be 4 to 5 sqm per hour.</t>
  </si>
  <si>
    <t>Quantity of mortar for 36 sqm with 20 % rebound ( 36 x 1.2 x 0.076 ) :</t>
  </si>
  <si>
    <t>Quantity of Coarse Aggregate for 36 sqm</t>
  </si>
  <si>
    <t>Chain linked weld mesh/ fabric 100 x 100 x 5 mm size, @ 3kg per sqm, for 36 sqm</t>
  </si>
  <si>
    <t>Coarse aggregate 10-4.75 mm size</t>
  </si>
  <si>
    <t>Welded steel wire fabric 100 x 100 x 5 mm</t>
  </si>
  <si>
    <t>IRR-PMW-3-22</t>
  </si>
  <si>
    <t>sectioning,etc.,complete with initial lead upto 1 km and all lifts.</t>
  </si>
  <si>
    <t>Add seigniorage charges for soil (As per G.O.Ms.No.198 ,dt:13.08.09)</t>
  </si>
  <si>
    <t>materials, machinery, labour, all operations such as watering, compacting</t>
  </si>
  <si>
    <t>materials, machinery, labour, all operations such as compacting</t>
  </si>
  <si>
    <t>Tractor with 2T Roller</t>
  </si>
  <si>
    <t>Rate per  cum</t>
  </si>
  <si>
    <t>807 cum</t>
  </si>
  <si>
    <t>IRR-PMW-3-23</t>
  </si>
  <si>
    <t>IRR-PMW-3-24</t>
  </si>
  <si>
    <t>Tractor with 2T roller</t>
  </si>
  <si>
    <t>( rubble stones : 0.275 cum/sqm)</t>
  </si>
  <si>
    <t>all lifts. ( Cement content : 220 kg /cum with use of super plasticiser,</t>
  </si>
  <si>
    <t xml:space="preserve"> ( Cement content : 310 kg / cum with use of super plasticiser,</t>
  </si>
  <si>
    <t xml:space="preserve">Clearing thick jungle growth ( less than 50 percent open space ) including bushes </t>
  </si>
  <si>
    <t>Cartman with Double Bullock cart for water</t>
  </si>
  <si>
    <t>per cum</t>
  </si>
  <si>
    <t>IRR-DAW-2-4A (new Item2 2010-11)</t>
  </si>
  <si>
    <t>IRR-DAW-2-4B (new Item3 2010-11)</t>
  </si>
  <si>
    <t>IRR-DAW-2-2A (new Item1 2010-11)</t>
  </si>
  <si>
    <t>IRR-TAW-2-3 (new Item4 2010-11)</t>
  </si>
  <si>
    <t>IRR-PMW-3-24 (new Item7 2010-11)</t>
  </si>
  <si>
    <t xml:space="preserve">12. The lead &amp; lift charges are inclusive of contractor's profit and overhead charges of </t>
  </si>
  <si>
    <t>If designs &amp;drawings are to be done by private agency 2% of  estimated cost be added</t>
  </si>
  <si>
    <t>(A+B+C+D)/7.00</t>
  </si>
  <si>
    <t xml:space="preserve">upto 1 km and all lifts. ( Cement content : 330 kg / cum with use of </t>
  </si>
  <si>
    <t>Av. output of 300 / 200 ltr mixer / day :( 50 / 330 ) x ( 50 / 4.5 ) x 8</t>
  </si>
  <si>
    <t>(A+B+C+D)/13.47</t>
  </si>
  <si>
    <t>( Cement content 350 kg / cum with use of super plasticiser( 0.4% by wt.</t>
  </si>
  <si>
    <t>( Cement content : 380 kg / cum with use of super plasticiser(0.4% by</t>
  </si>
  <si>
    <t>Av. output of 300 / 200 ltr mixer / day :( 50 / 380 ) x ( 50 / 4.5 ) x 8</t>
  </si>
  <si>
    <t>Fine aggregate : 0.40 cum          Cement content : 220 kg            Super plasticizer : 0.88 kg</t>
  </si>
  <si>
    <t xml:space="preserve">Average output of 300/200 ltr mixer : 50 x 9 x 8 /220                 </t>
  </si>
  <si>
    <t>(A+B+C+D)/16.36</t>
  </si>
  <si>
    <t>( Cement content : 300 kg / cum with super plastcizer (0.4% by wt. of cement),</t>
  </si>
  <si>
    <t xml:space="preserve">                                  Cement content : 300 kg                       Super plasticizer : 1.20 kg</t>
  </si>
  <si>
    <t xml:space="preserve">( Cement content : 300 kg / cum with super plastcizer (0.4% by wt. of cement), </t>
  </si>
  <si>
    <t xml:space="preserve">                             Cement content : 300 kg                   Super plasticizer : 1.20 kg</t>
  </si>
  <si>
    <t xml:space="preserve"> Cement content : 300kg                Super placticizer : 1.20 kg</t>
  </si>
  <si>
    <t xml:space="preserve">                          Cement content : 300 kg </t>
  </si>
  <si>
    <t xml:space="preserve">                               Cement content : 300 kg                         Super plasticizer : 1.20 kg</t>
  </si>
  <si>
    <t>lifts. ( Cement content : 280 kg / cum with use of super plasticiser,</t>
  </si>
  <si>
    <t>Av. output of 300 / 200 ltr mixer / day :( 50 / 280 ) x ( 50 / 4.5 ) x8</t>
  </si>
  <si>
    <t>(A+B+C+D)/15.87</t>
  </si>
  <si>
    <t xml:space="preserve">(M15 Cement content : 400kg/cum, CA : 1cum, </t>
  </si>
  <si>
    <t>Output of 300 / 200 ltr mixer for 8 hours ( 50 x 10 x 8 / 400 ) say</t>
  </si>
  <si>
    <t>( Cement content : 350 kg / cum with use of super plasticiser(0.4% by wt.</t>
  </si>
  <si>
    <t>all lifts. ( Cement content : 260 kg / cum with use of super plasticiser,</t>
  </si>
  <si>
    <t>Av. output of 300 / 200 ltr mixer / day :( 50 / 260 ) x ( 50 / 5.5 ) x8</t>
  </si>
  <si>
    <t>or say</t>
  </si>
  <si>
    <t xml:space="preserve">all lifts. ( Cement content : 260 kg / cum of concrete with use of plums </t>
  </si>
  <si>
    <t>Av. output of 300 / 200 ltr mixer / day :( 50 / 260 ) x ( 50 / 5.5 )x8</t>
  </si>
  <si>
    <t xml:space="preserve">and super plasticiser of 0.4% of cement quantity, CA : 0.77 cum, </t>
  </si>
  <si>
    <t xml:space="preserve">Blending Ratio of CA : 50:30:20,FA : 0.34 cum, </t>
  </si>
  <si>
    <t>plums of size 150 to 80 mm : 0.25 cum)</t>
  </si>
  <si>
    <t>lifts. ( Cement content 220 kg / cum with use of super plasticiser,</t>
  </si>
  <si>
    <t>(A+B+C+D)/16.53</t>
  </si>
  <si>
    <t xml:space="preserve">content : 220 kg / cum, CA : 0.90cum, Blending Ratio of CA--50:30:20, FA : 0.40 cum, </t>
  </si>
  <si>
    <t>Fine aggregate : 0.40 cum                Cement content : 220 kg           Super plasticizer : 0.88 kg</t>
  </si>
  <si>
    <t>( Cement content 330 kg / cum for use of super plasticiser(0.4% by wt. of cement),</t>
  </si>
  <si>
    <t>Fine aggregate : 0.40 cum ( 700 kg )           Cement : 330 kg              Super plasticizer : 1.32 kg</t>
  </si>
  <si>
    <t>( 43 Gr Cement content: 250 kg / cum for use of super plasticiser(0.4% by wt. of cement),</t>
  </si>
  <si>
    <t>Fine aggregate : 0.40 cum Cement content : 250 kg            Super plasticizer : 1.00 kg</t>
  </si>
  <si>
    <t>cum/day</t>
  </si>
  <si>
    <t xml:space="preserve">Average output of 600/400 ltr mixer : 100 x 5 x 8 / 250 </t>
  </si>
  <si>
    <t>( 2.7 x 8 x 60 / 32 )</t>
  </si>
  <si>
    <t>( 8 x 60 / 46 ) x 2.7</t>
  </si>
  <si>
    <t xml:space="preserve">Number of uses for 28.17 cum output of mixers </t>
  </si>
  <si>
    <t>( 28.17 / 2.70 )</t>
  </si>
  <si>
    <t>( 18 x 10 )</t>
  </si>
  <si>
    <t xml:space="preserve">Area of lining for 10 uses of paver </t>
  </si>
  <si>
    <t>(A+B+C+D)/28.17</t>
  </si>
  <si>
    <t>Fine aggregate: 0.40cum Cement Content : 250 Kg</t>
  </si>
  <si>
    <t>Super Plasticizer: 1.00 kg</t>
  </si>
  <si>
    <t>average output of 600/400 ltr mixer  =100*5*8/250</t>
  </si>
  <si>
    <t xml:space="preserve">Daily output of 2 mixers                    </t>
  </si>
  <si>
    <t>(1.8x8.0x60/32)</t>
  </si>
  <si>
    <t>Daily progress considering paver movement time (8x60/32)x1.8</t>
  </si>
  <si>
    <t>Number of ueses for 27 cum output of mixers</t>
  </si>
  <si>
    <t>(27/1.8)</t>
  </si>
  <si>
    <t>(18x15)</t>
  </si>
  <si>
    <t>(A+B+C+D)/27.0</t>
  </si>
  <si>
    <t>(Cement content: 250 kg / cum for use of super plasticiser(0.4% by wt. of cement),</t>
  </si>
  <si>
    <t>Quantity of cement @ 250Kg / cum of CC</t>
  </si>
  <si>
    <t>(Cement content: 290 kg / cum for use of super plasticiser(0.4% by wt. of cement),</t>
  </si>
  <si>
    <t>Fine aggregate : 0.40 cum Cement content : 290 kg</t>
  </si>
  <si>
    <t>Super plasticizer : 1.16 kg</t>
  </si>
  <si>
    <t>( 8 x 60 / 52) x 2.7</t>
  </si>
  <si>
    <t xml:space="preserve">Number of uses for 24.92 cum output of mixers </t>
  </si>
  <si>
    <t>( 24.92 / 2.7 )</t>
  </si>
  <si>
    <t xml:space="preserve">Area of lining for 9.23 uses of paver </t>
  </si>
  <si>
    <t>( 18 x 9.23 )</t>
  </si>
  <si>
    <t>(A+B+C+D)/24.92</t>
  </si>
  <si>
    <t>concrete for curvatures and bends etc.,)</t>
  </si>
  <si>
    <t>use of super plasticiser(0.4% by wt. of cement),CA : 0.80cum, Blending Ratio of CA--65:35,</t>
  </si>
  <si>
    <t xml:space="preserve"> FA : 0.45 cum equivalent concrete volume:79.2 cum including the extra quantity of </t>
  </si>
  <si>
    <t xml:space="preserve">(43 Gr Cement content: 300 kg /cum (22.5 kg/ sqm) for </t>
  </si>
  <si>
    <t xml:space="preserve">(43 Gr Cement content: 300 kg /cum (24 kg/ sqm) for </t>
  </si>
  <si>
    <t xml:space="preserve"> FA : 0.45 cum equivalent concrete volume:84.48 cum including the extra quantity of </t>
  </si>
  <si>
    <t xml:space="preserve"> FA : 0.45 cum equivalent concrete volume:88 cum including the extra quantity of </t>
  </si>
  <si>
    <t xml:space="preserve">(43 Gr Cement content: 300 kg /cum (30 kg/ sqm) for </t>
  </si>
  <si>
    <t>Quantity of cement @ 300Kg / cum of CC</t>
  </si>
  <si>
    <t>Fine aggregate : 0.45 cum Cement content : 250 kg                        Super plasticizer : 1.00 kg.</t>
  </si>
  <si>
    <t>Average output of 600/400 ltr mixer : 100 x 5 x 8 / 250                     say : 16 cum per day</t>
  </si>
  <si>
    <t>( 1.8 x 8 x 60 / 32 )</t>
  </si>
  <si>
    <t>( 8 x 60 / 32) x 1.8</t>
  </si>
  <si>
    <t xml:space="preserve">Number of uses for 27 cum output of mixers </t>
  </si>
  <si>
    <t>( 27 / 1.8 )</t>
  </si>
  <si>
    <t xml:space="preserve">Area of lining for 15 uses of paver </t>
  </si>
  <si>
    <t>Requirement of labour for concreting : Same as in item IRR-CAW-7-10 except mazdoor for conveying</t>
  </si>
  <si>
    <t>Requirement of labour for concreting : Same as in item IRR-CAW-7-10 except Mazdoor for conveying</t>
  </si>
  <si>
    <t>(Cement content: 300 kg / cum for use of super plasticiser(0.4% by wt. of cement),</t>
  </si>
  <si>
    <t>Fine aggregate : 0.45 cum Cement content : 300 kg</t>
  </si>
  <si>
    <t>Super plasticizer : 1.20 kg</t>
  </si>
  <si>
    <t>Average output of 600/400 ltr mixer : 100 x 5 x 8 / 300</t>
  </si>
  <si>
    <t>( 1.8 x 8 x 60 / 26.67)</t>
  </si>
  <si>
    <t>( 8 x 60 / 37.4 ) x 1.8</t>
  </si>
  <si>
    <t>Number of uses for 23.1 cum output of mixers</t>
  </si>
  <si>
    <t>( 23.10/ 1.8 )</t>
  </si>
  <si>
    <t>Area of lining for 12.83 uses of paver</t>
  </si>
  <si>
    <t>( 18 x 12.83 )</t>
  </si>
  <si>
    <t>(A+B+C+D)/23.10</t>
  </si>
  <si>
    <t>Quantity of cement @300Kg / cum of CC</t>
  </si>
  <si>
    <t xml:space="preserve"> FA : 0.44 cum equivalent concrete volume:132 cum including the extra quantity of </t>
  </si>
  <si>
    <t xml:space="preserve">(43 Gr Cement content: 300 kg /cum (45 kg/ sqm) for </t>
  </si>
  <si>
    <t>Fine aggregate : 0.45 cum Cement content : 300 kg  Super plasticizer : 1.2 kg</t>
  </si>
  <si>
    <t xml:space="preserve">Fine aggregate : 0.45 cum Cement content : 300 kg </t>
  </si>
  <si>
    <t>Super plasticizer : 1.2 kg</t>
  </si>
  <si>
    <t xml:space="preserve">CA : 0.80 cum,  Blending Ratio of CA : 65:35, FA : 0.45cum, </t>
  </si>
  <si>
    <t>equivalent concrete volume: 0.23 cum)</t>
  </si>
  <si>
    <t>equivalent concrete volume: 3.74 cum)</t>
  </si>
  <si>
    <t>CA : 0.80 cum, Blending Ratio of CA : 65:35, FA : 0.45cum</t>
  </si>
  <si>
    <t>(Cement content: 330 kg / cum with use of super plasticiser(0.4% by wt. of cement),</t>
  </si>
  <si>
    <t>Fine aggregate : 0.45 cum            Cement content : 330 kg         Super plasticizer : 1.32 kg</t>
  </si>
  <si>
    <t xml:space="preserve">Average output of 300/200 ltr mixer : 50 x 13 x 8 / 330                 </t>
  </si>
  <si>
    <t>(A+B+C+D)/15.76</t>
  </si>
  <si>
    <t>(Cement content: 280 kg / cum with use of super plasticiser(0.4% by wt. of cement),</t>
  </si>
  <si>
    <t>Fine aggregate : 0.45 cum        Cement content : 280 kg             Super plasticizer : 1.12 kg</t>
  </si>
  <si>
    <t xml:space="preserve">Average output of 300/200 ltr mixer : 50 x 11 x 8 / 280                 </t>
  </si>
  <si>
    <t>(A+B+C+D)/15.71</t>
  </si>
  <si>
    <t>(Cement content: 320 kg / cum with use of super plasticiser(0.4% by wt. of cement),</t>
  </si>
  <si>
    <t>Fine aggregate : 0.40 cum         Cement content : 320 kg        Super plasticizer : 1.28 kg</t>
  </si>
  <si>
    <t xml:space="preserve">Average output of 300/200 ltr mixer : 50 x 12 x 8 / 320           </t>
  </si>
  <si>
    <t>Fine aggregate : 0.40 cum      Cement content : 280 kg            Super plasticizer : 1.12 kg</t>
  </si>
  <si>
    <t xml:space="preserve">Average output of 300/200 ltr mixer : 50 x 10 x 8 / 280            </t>
  </si>
  <si>
    <t>(A+B+C+D)/14.29</t>
  </si>
  <si>
    <t>Fine aggregate : 0.45 cum       Cement content : 330 kg              Super plasticizer : 1.32 kg</t>
  </si>
  <si>
    <t>Fine aggregate : 0.45 cum          Cement content : 330 kg            Super plasticizer : 1.32 kg</t>
  </si>
  <si>
    <t xml:space="preserve">Average output of 300/200 ltr mixer : 50 x 13 x 8 / 330                  </t>
  </si>
  <si>
    <t>Fine aggregate : 0.45 cum            Cement content : 330 kg          Super plasticizer : 1.32 kg</t>
  </si>
  <si>
    <t>Fine aggregate : 0.45 cum       Cement content : 330 kg               Super plasticizer : 1.32 kg</t>
  </si>
  <si>
    <t>Fine aggregate : 0.45 cum           Cement content : 330 kg           Super plasticizer : 1.32 kg</t>
  </si>
  <si>
    <t>Fine aggregate : 0.45 cum          Cement content : 300 kg         Super plasticizer : 1.2 kg</t>
  </si>
  <si>
    <t xml:space="preserve">Average output of 300/200 ltr mixer : 50 x 11 x 8 / 300           </t>
  </si>
  <si>
    <t>(A+B+C+D)/14.67</t>
  </si>
  <si>
    <t>(Cement content: 260 kg / cum with use of super plasticiser(0.4% by wt. of cement),</t>
  </si>
  <si>
    <t>Fine aggregate : 0.40 cum Cement content : 260 kg Super plasticizer : (=260*0.4%) = 1.04 kg</t>
  </si>
  <si>
    <t xml:space="preserve">Average output of 300/200 ltr mixer : 50 x 10 x 8 /260 </t>
  </si>
  <si>
    <t>(A+B+C+D)/15.38</t>
  </si>
  <si>
    <t>Fine aggregate : 0.40 cum      Cement content : 220 kg        Super plasticizer : 0.88 kg</t>
  </si>
  <si>
    <t xml:space="preserve">Average output of 300/200 ltr mixer : 50 x 9 x 8 / 220           </t>
  </si>
  <si>
    <t>(Cement content: 310 kg / cum with use of super plasticiser(0.4% by wt. of cement),</t>
  </si>
  <si>
    <t>Fine aggregate : 0.40 cum               Cement content : 310 kg        Super plasticizer : 1.24 kg</t>
  </si>
  <si>
    <t xml:space="preserve">Average output of 300/200 ltr mixer : 50 x 11 x 8 / 310                 </t>
  </si>
  <si>
    <t>(A+B+C+D)/14.19</t>
  </si>
  <si>
    <t>Fine aggregate : 0.40 cum          Cement content : 320 kg            Super plasticizer : 1.28 kg</t>
  </si>
  <si>
    <t>Average output of 300/200 ltr mixer : 50 x 12 x 8 / 320</t>
  </si>
  <si>
    <t>Fine aggregate : 0.40 cum         Cement content : 320 kg            Super plasticizer : 1.28 kg</t>
  </si>
  <si>
    <t xml:space="preserve">Average output of 300/200 ltr mixer : 50 x 13 x 8 / 320                 </t>
  </si>
  <si>
    <t>(A+B+C+D)/16.25</t>
  </si>
  <si>
    <t>Fine aggregate : 0.34 cum         Cement content : 260 kg              Super plasticizer : 1.04 kg</t>
  </si>
  <si>
    <t xml:space="preserve">Average output of 300/200 ltr mixer : 50 x 10 x 8 / 260                   </t>
  </si>
  <si>
    <t>Consider 15.38 cum concrete.          Quantity of plum concrete :</t>
  </si>
  <si>
    <t>Quantity of plum concrete for 15 % plums (13.99 / 0.85 )</t>
  </si>
  <si>
    <t>(A+B+C+D)/18.09</t>
  </si>
  <si>
    <t>Fine aggregate : 0.40 cum          Cement content : 260 kg            Super plasticizer : 1.04kg</t>
  </si>
  <si>
    <t xml:space="preserve">Average output of 300/200 ltr mixer : 50 x 10 x 8 / 260                  </t>
  </si>
  <si>
    <t>(Cement content: 250 kg / cum with use of super plasticiser(0.4% by wt. of cement),</t>
  </si>
  <si>
    <t>Fine aggregate : 0.35          cum Cement content : 250 kg            Super plasticizer : 1.00 kg</t>
  </si>
  <si>
    <t>Average output of 600/400 ltr mixer : 100 x 4.5 x 8 /250</t>
  </si>
  <si>
    <t>(A+B+C+D)/14.40</t>
  </si>
  <si>
    <t>Fine aggregate : 0.35 cum        Cement content :220 kg           Super plasticizer : 0.88 kg</t>
  </si>
  <si>
    <t xml:space="preserve">Average output of 600/400 ltr mixer : 100 x 4 x 8 /220                </t>
  </si>
  <si>
    <t>(A+B+C+D)/14.55</t>
  </si>
  <si>
    <t>Fine aggregate : 0.35 cum      Cement content : 250 kg        Super plasticizer : 1.00 kg</t>
  </si>
  <si>
    <t xml:space="preserve">Average output of 600/400 ltr mixer : 100 x 4.5 x 8 /250                 </t>
  </si>
  <si>
    <t>Fine aggregate : 0.35 cum          Cement content :220 kg             Super plasticizer : 0.88 kg</t>
  </si>
  <si>
    <t xml:space="preserve">Average output of 600/400 ltr mixer : 100 x 4 x 8 /220                  </t>
  </si>
  <si>
    <t>Fine aggregate : 0.35 cum          Cement content : 250 kg            Super plasticizer : 1.00 kg</t>
  </si>
  <si>
    <t>(new4 - 2011-12)</t>
  </si>
  <si>
    <t>Jeep Driver</t>
  </si>
  <si>
    <t>Data Processing Operator</t>
  </si>
  <si>
    <t>Deleted</t>
  </si>
  <si>
    <t>Rate as per PH item</t>
  </si>
  <si>
    <t>As per local market rate</t>
  </si>
  <si>
    <t>As per rates fixed by R&amp;B Dept based on refinery rates</t>
  </si>
  <si>
    <t>As per Building SSR</t>
  </si>
  <si>
    <t>welded steel wire fabric 100X100X5 mm size</t>
  </si>
  <si>
    <t>(Lead) charges for per cu.meter  for water/ 1000 litres</t>
  </si>
  <si>
    <t>IRR-DAW-2-2A</t>
  </si>
  <si>
    <t xml:space="preserve">all lifts. ( Cement content : 300 kg /cum with use of </t>
  </si>
  <si>
    <t xml:space="preserve">0.4% of cement content super plasticiser , CA : 0.90 cum, </t>
  </si>
  <si>
    <t>Blending Ratio of CA -- 40:30:20:10, FA : 0.40 cum )</t>
  </si>
  <si>
    <t xml:space="preserve">all lifts. ( Cement content : 250 kg /cum with use of super plasticiser </t>
  </si>
  <si>
    <t xml:space="preserve">equal to 0.4% of cement content , CA : 0.98 cum, </t>
  </si>
  <si>
    <t>Blending Ratio of CA -- 40:30:20:10, FA : 0.35 cum )</t>
  </si>
  <si>
    <t>IRR-DAW-2-4A</t>
  </si>
  <si>
    <t xml:space="preserve"> ( Cement content : 360 kg / cum with use of super plasticiser,</t>
  </si>
  <si>
    <t>IRR-DAW-2-4B</t>
  </si>
  <si>
    <t xml:space="preserve"> ( Cement content : 380 kg / cum with use of super plasticiser,</t>
  </si>
  <si>
    <t>CA : 0.90 cum, blending ratio of CA--65:35, FA :  0.40 cum)</t>
  </si>
  <si>
    <t>3.The Lead &amp; Lift Charges are inclusive of 14% Contractor's Profit and Over Head Charges</t>
  </si>
  <si>
    <t>Note:The Lead &amp; Lift Charges are inclusive of 14% Contractor's Profit and Over Head Charges</t>
  </si>
  <si>
    <t xml:space="preserve">5. The rates for lift charges,lead charges hire cahrges are cumulative are cumulative and </t>
  </si>
  <si>
    <t xml:space="preserve">Add seignorage charges on CA @      (included in material rate)              </t>
  </si>
  <si>
    <t xml:space="preserve">Add seignorage charges on FA @     (included in material rate)                       </t>
  </si>
  <si>
    <t xml:space="preserve">      b) Machinery</t>
  </si>
  <si>
    <t xml:space="preserve">Add seignorage charges on Stone @(Included in material rate)          </t>
  </si>
  <si>
    <t xml:space="preserve">Add seignorage charges on Sand @ (Included in material rate)            </t>
  </si>
  <si>
    <t xml:space="preserve">Add seignorage charges on Stone @  (Included in material rate)      </t>
  </si>
  <si>
    <t xml:space="preserve">Add seignorage charges on Sand @(Included in material rate)       </t>
  </si>
  <si>
    <t>( 2.7 x 8 x 60 / 27.59 )</t>
  </si>
  <si>
    <t xml:space="preserve"> vertical lift gates and stop log gate elements   ( SLIDING GATES)</t>
  </si>
  <si>
    <t>VERTICAL LIFT GATES/STOP LOGS -  ROLLER MOUNTED</t>
  </si>
  <si>
    <t>( As per rate analysis under item IRR-CAW-8-1- Note )</t>
  </si>
  <si>
    <t>( As per rate analysis under item IRR-CAW-8-1 - Note )</t>
  </si>
  <si>
    <t>27 (a)</t>
  </si>
  <si>
    <t>27 (b)</t>
  </si>
  <si>
    <t>Sand for filling</t>
  </si>
  <si>
    <t>For establishing Electrical Sub-Stations at the Project Sites wherever necessary, the rates approved by APTRANSCO may be followed.</t>
  </si>
  <si>
    <t>deleted</t>
  </si>
  <si>
    <t>Plumber / Pipe fitter</t>
  </si>
  <si>
    <t>Boulder with minimum size of 300 mm  for Pitching</t>
  </si>
  <si>
    <t>Granular Material or hard murum for GSB works</t>
  </si>
  <si>
    <t>Fly ash conforming to IS: 3812 ( Part II  &amp; I)</t>
  </si>
  <si>
    <t>Aluminum Paint</t>
  </si>
  <si>
    <t>Aluminum alloy plate 2mm Thick</t>
  </si>
  <si>
    <t>Aluminum sheeting fixed with encapsulated lens type reflective sheeting  including 2% towards lettering, cost of angle iron, cost of drilling holes, nuts, bolts etc. and signs as applicable</t>
  </si>
  <si>
    <t>Aluminum studs 100 x 100 mm fitted with lens reflectors</t>
  </si>
  <si>
    <t>Bearing (Elastomeric bearing assembly consisting of 7 internal layers of elastomer bonded to 6 nos. internal reinforcing steel laminates by the process of vulcanization,)</t>
  </si>
  <si>
    <t>Bearing (Forged steel roller bearing of 250 tonne)</t>
  </si>
  <si>
    <t>Bitumen (60-70 grade)(Excluding taxes)</t>
  </si>
  <si>
    <t>Bitumen (80-100 grade ) (Excluding taxes)</t>
  </si>
  <si>
    <t>Bitumen (emulsion)(Excluding taxes)</t>
  </si>
  <si>
    <t>C.I. shoes for the pile</t>
  </si>
  <si>
    <t>Cold twisted bars (HYSD/TMT Bars)</t>
  </si>
  <si>
    <t>Collar for joints 300 mm dia</t>
  </si>
  <si>
    <t>Corrugated sheet, 3 mm thick, "Tie" beam section railing</t>
  </si>
  <si>
    <t>Credit for excavated rock found suitable for use</t>
  </si>
  <si>
    <t>As per  local competitive quotations</t>
  </si>
  <si>
    <t>Galvanized MS flat clamp</t>
  </si>
  <si>
    <t>Galvanized steel wire crates of mesh size 100 mm x 100 mm woven with 4mm dia. GI wire in rolls of required size.</t>
  </si>
  <si>
    <t>Galvanized structural steel plate 200 mm wide, 6 mm thick, 24 m long</t>
  </si>
  <si>
    <t>(a)Geo membrane 500 micron thick</t>
  </si>
  <si>
    <t>(b) Geo membrane 750 micron thick</t>
  </si>
  <si>
    <t>(c) Geo membrane 1000 micron thick</t>
  </si>
  <si>
    <t>Geo nets</t>
  </si>
  <si>
    <t>(a)Geo textile 160 gsm</t>
  </si>
  <si>
    <t>(b) Geo textile 200 gsm</t>
  </si>
  <si>
    <t>(c) Geo textile 250 gsm</t>
  </si>
  <si>
    <t>Geo textile filter fabric</t>
  </si>
  <si>
    <t>Grass (Fine)</t>
  </si>
  <si>
    <t>M.S. shoes @ 35 Kg per pile of 15 m</t>
  </si>
  <si>
    <t>Modular  strip/box seal expansion joint including anchorage catering to a horizontal movement beyond 70 mm and up to 140mm assembly comprising of edge beams, central beam,2 modules chloroprene seal, anchorage elements, support and control system, all steel sections protected against corrosion and installed by the manufacturer or his authorized representative</t>
  </si>
  <si>
    <t>Modular  strip/box seal expansion joint catering to a horizontal movement beyond 140mm and up to 210mm box/box seal joint assembly containing 3 modules/cells and comprising of edge beams, two central beams, chloroprene seal, anchorage elements, support and control system, all steel sections protected against corrosion and installed by the manufacturer or his authorized representative</t>
  </si>
  <si>
    <t>R.C.C Pipes 200 mm dia, 2.5 m long for drainage</t>
  </si>
  <si>
    <t>Pre moulded Joint filler, 25 mm thick for expansion joint.</t>
  </si>
  <si>
    <t>Preformed continuous chloroprene elastomer or closed cell foam sealing element with high tear strength, vulcanized in a single operation for the full length of a joint to ensure water tightness.</t>
  </si>
  <si>
    <t>RCC Pipe NP 4 heavy duty non pressure pipe 300 mm dia</t>
  </si>
  <si>
    <t>Reinforcement strips 60 mm wide 5 mm thick as per clause 3102. (Galvanized carbon steel strips)</t>
  </si>
  <si>
    <t>Reinforcement strips 60 mm wide 5 mm thick as per clause 3102. (Glass reinforced polymer/ fiber reinforced polymer/polymeric strips)</t>
  </si>
  <si>
    <t>Seeds(Grass)</t>
  </si>
  <si>
    <t>Structural Steel(HYSD/TMT bars)</t>
  </si>
  <si>
    <t>Synthetic Geo grids as per clause 3102.8 and approved design and specifications.</t>
  </si>
  <si>
    <t>Un slaked lime</t>
  </si>
  <si>
    <t>Benching old embankment slopes 0.45 X 0.45 M</t>
  </si>
  <si>
    <t>Laying Sand Bags in the stipulated places including cost of empty cement bag, sand, thread, stiching charges and labour charges with 14%overhead charges and contractors profits.</t>
  </si>
  <si>
    <t>Eradication of Weed growth from Drains, Canals by spraying Chemicals</t>
  </si>
  <si>
    <t>bricks</t>
  </si>
  <si>
    <t>Rate per 1000 bricks</t>
  </si>
  <si>
    <t>Truck 10 T charges</t>
  </si>
  <si>
    <t>CATEGORY : Bricks (as adopted by R&amp;B(Buildings))</t>
  </si>
  <si>
    <t>Loading of Bricks - 1000 Nos (Regular sizes - 225x140x70 mm) by manual means  including a lead upto 30 m</t>
  </si>
  <si>
    <t>Taking output = 2000 Nos.</t>
  </si>
  <si>
    <t xml:space="preserve">Rate per 1000 Nos. = </t>
  </si>
  <si>
    <t>Cement /steel handling  Mazdoor</t>
  </si>
  <si>
    <t>(Lead) charges for trucks  per 1000 Nos. of Bricks</t>
  </si>
  <si>
    <t>FOR THE YEAR :2012-13</t>
  </si>
  <si>
    <t xml:space="preserve">FOR THE YEAR :    2012-13      </t>
  </si>
  <si>
    <t>For the Year:2012-13</t>
  </si>
  <si>
    <t xml:space="preserve"> Use rate of drill rod 1.5 m length</t>
  </si>
  <si>
    <t>Fine aggregate (Un-screened )</t>
  </si>
  <si>
    <t>Fine aggregate (Un-Screened )</t>
  </si>
  <si>
    <t>Sand (Un-Screened )</t>
  </si>
  <si>
    <t>Sand (Screened )</t>
  </si>
  <si>
    <t>Sand (Un-Screened)</t>
  </si>
  <si>
    <t xml:space="preserve">Item 8.9 </t>
  </si>
  <si>
    <t>Misellaneous Items</t>
  </si>
  <si>
    <t>Fine aggregate (Un-Screened)</t>
  </si>
  <si>
    <t>average 75 mm thick sand backing to LDPE sheet.</t>
  </si>
  <si>
    <t>Rough Stone for Revetment</t>
  </si>
  <si>
    <t>Sand  (Screened )</t>
  </si>
  <si>
    <t>Sand (Un-Screened ) ( from quarry)</t>
  </si>
  <si>
    <t>Sand (Un-Screened) ( fresh from quarry )</t>
  </si>
  <si>
    <t>IRR-PMW-3-25</t>
  </si>
  <si>
    <t>Weed Removal by Manual Means</t>
  </si>
  <si>
    <t>2012-13</t>
  </si>
  <si>
    <t>(New Item 3)</t>
  </si>
  <si>
    <t>Removal of Water Hyacinth up to 30 cm thick</t>
  </si>
  <si>
    <t>A. MATERIALS</t>
  </si>
  <si>
    <t>Unit :</t>
  </si>
  <si>
    <t>Total Cost of Materials</t>
  </si>
  <si>
    <t>Work Inspector</t>
  </si>
  <si>
    <t>Total Cost of Labour</t>
  </si>
  <si>
    <t>A.COST OF MATERIALS</t>
  </si>
  <si>
    <t>B.COST OF MACHINERY</t>
  </si>
  <si>
    <t>C.COST OF LABOUR</t>
  </si>
  <si>
    <t>D. Add for Contractor's Profit and overheads</t>
  </si>
  <si>
    <t>Total Cost for removal weed in the extent of 2000 Sqm</t>
  </si>
  <si>
    <t>Rate per Sqm</t>
  </si>
  <si>
    <t>(A+B+C+D)/2000</t>
  </si>
  <si>
    <t>Removal of Water Hyacinth beyond 30 cm thick</t>
  </si>
  <si>
    <t>Clearing Alchi Tilla</t>
  </si>
  <si>
    <t>Removal of Jammu</t>
  </si>
  <si>
    <t>Removal of Imponea, Cornea</t>
  </si>
  <si>
    <t>Removal of Natchu, goobi, thooti, etc.</t>
  </si>
  <si>
    <t>IRR-PMW-3-25(a)</t>
  </si>
  <si>
    <t>IRR-PMW-3-25(b)</t>
  </si>
  <si>
    <t>IRR-PMW-3-25(c)</t>
  </si>
  <si>
    <t>IRR-PMW-3-25(d)</t>
  </si>
  <si>
    <t>IRR-PMW-3-25(e)</t>
  </si>
  <si>
    <t>IRR-PMW-3-25(f)</t>
  </si>
  <si>
    <t xml:space="preserve">DAM AND ALLIED WORKS - Standard Data </t>
  </si>
  <si>
    <t>for drilling upto 6 m depth from surface.</t>
  </si>
  <si>
    <t xml:space="preserve">grouting method including cost of all materials, machinery, labour, </t>
  </si>
  <si>
    <t>approved source including cost of all materials, machinery, labour, hand packing rubble</t>
  </si>
  <si>
    <t>TUNNEL AND ALLIED WORKS - Standard Data</t>
  </si>
  <si>
    <t>Excavation for tunnel by tunnelling methods including excavation for supports in all types of</t>
  </si>
  <si>
    <t>Excavation for tunnel by heading and benching tunnelling methods including excavation</t>
  </si>
  <si>
    <t>Providing and fixing hard variety cut jungle wood for lagging / blocking locations in tunnel</t>
  </si>
  <si>
    <t>grouting including cost of all materials, machinery, labour, redrilling wherever necessary,</t>
  </si>
  <si>
    <t>CANAL AND ALLIED WORKS - Standard Data</t>
  </si>
  <si>
    <t>canals, seating of embankment, filter drain / catch water drains etc., including dressing of</t>
  </si>
  <si>
    <t>controlling fly-rock by muffling arrangements such as placing 50 x 50 mm opening</t>
  </si>
  <si>
    <t>4 cum capacity Transit mixers considered for conveying CC from BP to paver site.</t>
  </si>
  <si>
    <t>4 cum  capacity Transit mixers considered for conveyance CC from BP to paver side</t>
  </si>
  <si>
    <t xml:space="preserve">contraction joints fixing pvc joint seiling strips shifting of paver from one side of canal to other </t>
  </si>
  <si>
    <t>Cost of shuttering : Consider 1 shuttering set.</t>
  </si>
  <si>
    <t xml:space="preserve">If 15 cm thick murum bed is to be provided below pitching </t>
  </si>
  <si>
    <t>Add ( As per rate analysis under item IRR-CAW-8-1     - Note)</t>
  </si>
  <si>
    <t>Add ( As per rate analysis under item IRR-CAW-8-1    - Note)</t>
  </si>
  <si>
    <t>cross drainage and other appurtenant structures and placing the excavated stuff neatly in</t>
  </si>
  <si>
    <t>for foundations of canal cross drainage and other appurtenant structures and placing the</t>
  </si>
  <si>
    <t>foundations of canal cross drainage and other appurtenant structures and placing the</t>
  </si>
  <si>
    <t>aggregates for foundation filling including cost of all materials, machinery, labour, formwork,</t>
  </si>
  <si>
    <t xml:space="preserve">Add 10 % extra for fabrication of curved shuttering                                    Rs:     </t>
  </si>
  <si>
    <t xml:space="preserve">Add 10 % extra for fabrication of curved shuttering                                 Rs:       </t>
  </si>
  <si>
    <t xml:space="preserve">Add 10 % extra for fabrication of curved shuttering                                    Rs:  </t>
  </si>
  <si>
    <t xml:space="preserve">Add 5 % extra for fabrication of curved shuttering                                     Rs:     </t>
  </si>
  <si>
    <t xml:space="preserve">Add 5 percent extra for fabrication of curved shuttering                             :    </t>
  </si>
  <si>
    <t>aggregates for coping slab including cost of all materials, machinery, labour, formwork,</t>
  </si>
  <si>
    <t>CANAL CROSS DRAINAGE WORKS - Standard Data</t>
  </si>
  <si>
    <t>HYDRAULIC GATES AND ALLIED EQUIPMENT - Standard Data</t>
  </si>
  <si>
    <t>structural components:   two coats of zinc phosphate primer silicate(airless spray preferred) 40microns/coat</t>
  </si>
  <si>
    <t>Machinery: one coat of zinc phosphate primer (airless spray preferred) 50microns/coat</t>
  </si>
  <si>
    <t xml:space="preserve"> HYDRAULIC HOIST:(exposed to water) One coat ofcoat of inoganic zink silicate (airless spray preferred) </t>
  </si>
  <si>
    <t>unmachined surfaces:             one primer coat ofchlorinated rubber based zinc phosphate primer 50+/- microns</t>
  </si>
  <si>
    <t xml:space="preserve">structural components: one coat  65+/-5 of alkyd based micaccous iron oxide paint followed by  two coats of </t>
  </si>
  <si>
    <t>Machinery: three coats of aluminium paint orsynthetic enamel zinc phosphate primer , 25 microns/coat</t>
  </si>
  <si>
    <t xml:space="preserve"> HYDRAULIC HOIST:(exposed to water) two coats of solventless coal tar epoxy paint150 microns/coat</t>
  </si>
  <si>
    <t>unmachined surfaces: three coats of vinyl resin/chlorinated rubber paint 30+/-5 microns</t>
  </si>
  <si>
    <t xml:space="preserve">Requirement of materials : as per fabrication drawings </t>
  </si>
  <si>
    <t xml:space="preserve">river sluice / canal sluice vent including cost of all materials, machinery, labour,welding ,aligning finishing </t>
  </si>
  <si>
    <t>Requirement of materials : as per fabrication drawings</t>
  </si>
  <si>
    <t>Requirement of materials: as per fabrication drawings</t>
  </si>
  <si>
    <t xml:space="preserve"> primary coat:  Coverage of  primer paint inorganic zinc silicate for coat</t>
  </si>
  <si>
    <t xml:space="preserve"> super coats:   Coverage of solventless  coaltar epoxy paint for coat</t>
  </si>
  <si>
    <t xml:space="preserve"> primary coat:  Coverage of  primer paint with zinc phosphate primer for coat</t>
  </si>
  <si>
    <t xml:space="preserve"> super coats:   Coverage of alkyd based micaccous iron oxide paint</t>
  </si>
  <si>
    <t xml:space="preserve"> super coats:   Coverage of one coat  65+/-5 of alkyd based micaccous iron oxide paint </t>
  </si>
  <si>
    <t xml:space="preserve"> super coats:   Coverage of aluminium paint or synthetic enamel  per coat </t>
  </si>
  <si>
    <t xml:space="preserve"> primary coat:  Coverage of  Zinc rich epoxy primer primer for coat</t>
  </si>
  <si>
    <t xml:space="preserve"> super coats:   Coverage of coal tar epoxy paint  4 coats , 100 microns per coat </t>
  </si>
  <si>
    <t xml:space="preserve"> super coats:   Coverage of coal tar epoxy paint  3coats , 100 microns per coat </t>
  </si>
  <si>
    <t xml:space="preserve"> primary coat:  Coverage of Zinc chromite red oxide primer for coat</t>
  </si>
  <si>
    <t xml:space="preserve"> super coats:   Coverage of synthetic enamel paint, 3coats , 100 microns per coat </t>
  </si>
  <si>
    <t xml:space="preserve"> super coats:   Coverage of coal tar epoxy paint 2 coats , 100 microns per coat </t>
  </si>
  <si>
    <t>PRELIMINARY AND MAINTENANCE WORKS - Standard Data</t>
  </si>
  <si>
    <t>Cleaning drainage gallery, adits, instrumentation galleries etc., by scrubbing / brushing</t>
  </si>
  <si>
    <t>cranes / railings etc., with zinc chromate alluminium primer paint of approved quality</t>
  </si>
  <si>
    <t>cranes / railings etc., with first quality synthetic enemel paint of approved colour</t>
  </si>
  <si>
    <t xml:space="preserve"> 8T roller etc., complete with initial lead upto 1 km and all lifts.</t>
  </si>
  <si>
    <t>be adopted irrespective of mode of conveyance.</t>
  </si>
  <si>
    <t xml:space="preserve">Unit: </t>
  </si>
  <si>
    <t>A. Materials:</t>
  </si>
  <si>
    <t>B. Machinery:</t>
  </si>
  <si>
    <t>C. Labour:</t>
  </si>
  <si>
    <t>a) Material</t>
  </si>
  <si>
    <t>c) Labour</t>
  </si>
  <si>
    <t xml:space="preserve">      c) Labour</t>
  </si>
  <si>
    <t>A.Materials:</t>
  </si>
  <si>
    <t>c)     Labour</t>
  </si>
  <si>
    <t xml:space="preserve">      a) Material</t>
  </si>
  <si>
    <t>Depreciation          (1-s%)xC/h in Rs</t>
  </si>
  <si>
    <t>Interest C'xI%xn/h in Rs</t>
  </si>
  <si>
    <t>Insurance in Rs (C'xp%xn/h)</t>
  </si>
  <si>
    <t>Insurance (p)</t>
  </si>
  <si>
    <t xml:space="preserve">(Cement content: 7.5 kg / sqm, FA : 0.030 cum/sqm, </t>
  </si>
  <si>
    <t>Burnt stone slab 10 cm thick 1.05 sqm/ sqm)</t>
  </si>
  <si>
    <r>
      <t xml:space="preserve">Excavation for foundation </t>
    </r>
    <r>
      <rPr>
        <b/>
        <sz val="14"/>
        <rFont val="Arial"/>
        <family val="2"/>
      </rPr>
      <t xml:space="preserve">in </t>
    </r>
    <r>
      <rPr>
        <b/>
        <sz val="14"/>
        <rFont val="Cambria"/>
        <family val="1"/>
      </rPr>
      <t>all kinds of soil</t>
    </r>
    <r>
      <rPr>
        <sz val="14"/>
        <rFont val="Arial"/>
        <family val="2"/>
      </rPr>
      <t xml:space="preserve"> including boulders </t>
    </r>
    <r>
      <rPr>
        <b/>
        <sz val="14"/>
        <rFont val="Cambria"/>
        <family val="1"/>
      </rPr>
      <t>upto 0.30 m</t>
    </r>
    <r>
      <rPr>
        <sz val="14"/>
        <rFont val="Arial"/>
        <family val="2"/>
      </rPr>
      <t xml:space="preserve"> diameter for dam, spillway, intake structure and other appurtenant works and placing the excavated soil neatly in dump area or disposing off the same as directed etc., </t>
    </r>
    <r>
      <rPr>
        <sz val="14"/>
        <rFont val="Cambria"/>
        <family val="1"/>
      </rPr>
      <t xml:space="preserve">complete </t>
    </r>
    <r>
      <rPr>
        <b/>
        <sz val="14"/>
        <rFont val="Cambria"/>
        <family val="1"/>
      </rPr>
      <t>with initial lead upto 1 km and all lifts.</t>
    </r>
  </si>
  <si>
    <r>
      <t xml:space="preserve">Excavation for foundation in </t>
    </r>
    <r>
      <rPr>
        <b/>
        <sz val="14"/>
        <rFont val="Cambria"/>
        <family val="1"/>
      </rPr>
      <t>ordinary rock (</t>
    </r>
    <r>
      <rPr>
        <b/>
        <sz val="14"/>
        <rFont val="Arial"/>
        <family val="2"/>
      </rPr>
      <t xml:space="preserve">including </t>
    </r>
    <r>
      <rPr>
        <b/>
        <sz val="14"/>
        <rFont val="Cambria"/>
        <family val="1"/>
      </rPr>
      <t>HDR)</t>
    </r>
    <r>
      <rPr>
        <sz val="14"/>
        <rFont val="Arial"/>
        <family val="2"/>
      </rPr>
      <t xml:space="preserve"> without blasting including boulders </t>
    </r>
    <r>
      <rPr>
        <b/>
        <sz val="14"/>
        <rFont val="Arial"/>
        <family val="2"/>
      </rPr>
      <t>above 0.3 m upto 0.6 m</t>
    </r>
    <r>
      <rPr>
        <sz val="14"/>
        <rFont val="Arial"/>
        <family val="2"/>
      </rPr>
      <t xml:space="preserve"> dia for dam, spillway, intake structure and other appurtenant works and placing the excavated material neatly in dump area or disposing off the same as directed etc., </t>
    </r>
    <r>
      <rPr>
        <sz val="14"/>
        <rFont val="Cambria"/>
        <family val="1"/>
      </rPr>
      <t xml:space="preserve">complete </t>
    </r>
    <r>
      <rPr>
        <b/>
        <sz val="14"/>
        <rFont val="Cambria"/>
        <family val="1"/>
      </rPr>
      <t>with initial lead upto 1 km and all lifts.</t>
    </r>
  </si>
  <si>
    <r>
      <t xml:space="preserve">Excavation for foundation in </t>
    </r>
    <r>
      <rPr>
        <b/>
        <sz val="14"/>
        <rFont val="Cambria"/>
        <family val="1"/>
      </rPr>
      <t>hard rock (</t>
    </r>
    <r>
      <rPr>
        <b/>
        <sz val="14"/>
        <rFont val="Arial"/>
        <family val="2"/>
      </rPr>
      <t>including</t>
    </r>
    <r>
      <rPr>
        <b/>
        <sz val="14"/>
        <rFont val="Cambria"/>
        <family val="1"/>
      </rPr>
      <t xml:space="preserve"> F&amp;F)</t>
    </r>
    <r>
      <rPr>
        <sz val="14"/>
        <rFont val="Arial"/>
        <family val="2"/>
      </rPr>
      <t xml:space="preserve"> </t>
    </r>
    <r>
      <rPr>
        <sz val="14"/>
        <rFont val="Cambria"/>
        <family val="1"/>
      </rPr>
      <t>requiring blasting</t>
    </r>
    <r>
      <rPr>
        <sz val="14"/>
        <rFont val="Arial"/>
        <family val="2"/>
      </rPr>
      <t xml:space="preserve"> including boulders </t>
    </r>
    <r>
      <rPr>
        <b/>
        <sz val="14"/>
        <rFont val="Arial"/>
        <family val="2"/>
      </rPr>
      <t xml:space="preserve">above </t>
    </r>
    <r>
      <rPr>
        <b/>
        <sz val="14"/>
        <rFont val="Cambria"/>
        <family val="1"/>
      </rPr>
      <t>0.6 m upto 1.2 m dia.</t>
    </r>
    <r>
      <rPr>
        <sz val="14"/>
        <rFont val="Cambria"/>
        <family val="1"/>
      </rPr>
      <t xml:space="preserve"> </t>
    </r>
    <r>
      <rPr>
        <sz val="14"/>
        <rFont val="Arial"/>
        <family val="2"/>
      </rPr>
      <t xml:space="preserve">for dam, spillway, intake structure and other appurtenant works and placing the excavated material neatly in dump area or disposing off the same as directed etc., </t>
    </r>
    <r>
      <rPr>
        <sz val="14"/>
        <rFont val="Cambria"/>
        <family val="1"/>
      </rPr>
      <t xml:space="preserve">complete </t>
    </r>
    <r>
      <rPr>
        <b/>
        <sz val="14"/>
        <rFont val="Cambria"/>
        <family val="1"/>
      </rPr>
      <t>with initial lead upto 1 km and all lifts.</t>
    </r>
  </si>
  <si>
    <r>
      <t xml:space="preserve">Excavation for foundation in </t>
    </r>
    <r>
      <rPr>
        <b/>
        <sz val="14"/>
        <rFont val="Cambria"/>
        <family val="1"/>
      </rPr>
      <t>hard rock of all toughness</t>
    </r>
    <r>
      <rPr>
        <sz val="14"/>
        <rFont val="Cambria"/>
        <family val="1"/>
      </rPr>
      <t xml:space="preserve"> by blasting</t>
    </r>
    <r>
      <rPr>
        <sz val="14"/>
        <rFont val="Arial"/>
        <family val="2"/>
      </rPr>
      <t xml:space="preserve"> including boulders </t>
    </r>
    <r>
      <rPr>
        <b/>
        <sz val="14"/>
        <rFont val="Cambria"/>
        <family val="1"/>
      </rPr>
      <t>above 1.2 m dia.</t>
    </r>
    <r>
      <rPr>
        <sz val="14"/>
        <rFont val="Cambria"/>
        <family val="1"/>
      </rPr>
      <t xml:space="preserve"> </t>
    </r>
    <r>
      <rPr>
        <sz val="14"/>
        <rFont val="Arial"/>
        <family val="2"/>
      </rPr>
      <t xml:space="preserve">for dam, spillway, intake structure and other appurtenant works and placing the excavated rock neatly in dump area or stack yard including levelling as directed etc., complete </t>
    </r>
    <r>
      <rPr>
        <b/>
        <sz val="14"/>
        <rFont val="Cambria"/>
        <family val="1"/>
      </rPr>
      <t>with initial lead upto 1 km and all lifts.</t>
    </r>
  </si>
  <si>
    <r>
      <t xml:space="preserve">Excavation for foundation in </t>
    </r>
    <r>
      <rPr>
        <b/>
        <sz val="14"/>
        <rFont val="Cambria"/>
        <family val="1"/>
      </rPr>
      <t>hard rock of all toughness</t>
    </r>
    <r>
      <rPr>
        <sz val="14"/>
        <rFont val="Arial"/>
        <family val="2"/>
      </rPr>
      <t xml:space="preserve"> including boulders</t>
    </r>
    <r>
      <rPr>
        <sz val="14"/>
        <rFont val="Cambria"/>
        <family val="1"/>
      </rPr>
      <t xml:space="preserve"> </t>
    </r>
    <r>
      <rPr>
        <b/>
        <sz val="14"/>
        <rFont val="Cambria"/>
        <family val="1"/>
      </rPr>
      <t xml:space="preserve">above 1.2 m dia. </t>
    </r>
    <r>
      <rPr>
        <b/>
        <sz val="14"/>
        <rFont val="Arial"/>
        <family val="2"/>
      </rPr>
      <t>by</t>
    </r>
    <r>
      <rPr>
        <b/>
        <sz val="14"/>
        <rFont val="Cambria"/>
        <family val="1"/>
      </rPr>
      <t xml:space="preserve"> controlled blasting method</t>
    </r>
    <r>
      <rPr>
        <sz val="14"/>
        <rFont val="Cambria"/>
        <family val="1"/>
      </rPr>
      <t xml:space="preserve"> and controlling fly-rock by muffling arrangements</t>
    </r>
    <r>
      <rPr>
        <sz val="14"/>
        <rFont val="Arial"/>
        <family val="2"/>
      </rPr>
      <t xml:space="preserve"> for dam, spillway, intake structure and other appurtenant structures etc., including placing and levelling the excavated rock neatly in dump area or other place as directed etc., </t>
    </r>
    <r>
      <rPr>
        <sz val="14"/>
        <rFont val="Cambria"/>
        <family val="1"/>
      </rPr>
      <t xml:space="preserve">complete </t>
    </r>
    <r>
      <rPr>
        <b/>
        <sz val="14"/>
        <rFont val="Cambria"/>
        <family val="1"/>
      </rPr>
      <t>with lead upto upto 1 km and all lifts.</t>
    </r>
  </si>
  <si>
    <r>
      <t xml:space="preserve">Excavation for foundation </t>
    </r>
    <r>
      <rPr>
        <b/>
        <sz val="14"/>
        <rFont val="Arial"/>
        <family val="2"/>
      </rPr>
      <t xml:space="preserve">in </t>
    </r>
    <r>
      <rPr>
        <b/>
        <sz val="14"/>
        <rFont val="Cambria"/>
        <family val="1"/>
      </rPr>
      <t xml:space="preserve">hard rock of all toughness </t>
    </r>
    <r>
      <rPr>
        <b/>
        <sz val="14"/>
        <rFont val="Arial"/>
        <family val="2"/>
      </rPr>
      <t xml:space="preserve">including boulders </t>
    </r>
    <r>
      <rPr>
        <b/>
        <sz val="14"/>
        <rFont val="Cambria"/>
        <family val="1"/>
      </rPr>
      <t xml:space="preserve">above 1.2 m dia. </t>
    </r>
    <r>
      <rPr>
        <b/>
        <sz val="14"/>
        <rFont val="Arial"/>
        <family val="2"/>
      </rPr>
      <t>by</t>
    </r>
    <r>
      <rPr>
        <b/>
        <sz val="14"/>
        <rFont val="Cambria"/>
        <family val="1"/>
      </rPr>
      <t xml:space="preserve"> line drilling </t>
    </r>
    <r>
      <rPr>
        <b/>
        <sz val="14"/>
        <rFont val="Arial"/>
        <family val="2"/>
      </rPr>
      <t>and</t>
    </r>
    <r>
      <rPr>
        <b/>
        <sz val="14"/>
        <rFont val="Cambria"/>
        <family val="1"/>
      </rPr>
      <t xml:space="preserve"> smooth blasting</t>
    </r>
    <r>
      <rPr>
        <sz val="14"/>
        <rFont val="Cambria"/>
        <family val="1"/>
      </rPr>
      <t xml:space="preserve"> and controlling fly-rock by muffling arrangements </t>
    </r>
    <r>
      <rPr>
        <sz val="14"/>
        <rFont val="Arial"/>
        <family val="2"/>
      </rPr>
      <t xml:space="preserve">for dam, spillway, intake structure and other appurtenant structures etc., including dressing sides and bed to required level / profile, placing and levelling the excavated rock neatly in dump area or other place as directed etc., complete </t>
    </r>
    <r>
      <rPr>
        <b/>
        <sz val="14"/>
        <rFont val="Cambria"/>
        <family val="1"/>
      </rPr>
      <t>with lead upto 1 km and all lifts.</t>
    </r>
    <r>
      <rPr>
        <sz val="14"/>
        <rFont val="Cambria"/>
        <family val="1"/>
      </rPr>
      <t xml:space="preserve"> 
</t>
    </r>
    <r>
      <rPr>
        <sz val="14"/>
        <rFont val="Arial"/>
        <family val="2"/>
      </rPr>
      <t>i ) For the purpose of payment 1 m width of excavation along boundary of excavation shall be treated as excavation by line drilling and smooth blasting and remaining portion shall be treated as excavation by normal / controlled blasting as the case may be.
ii ) The rate includes controlling fly-rock wherever required.
iii ) The rate under this item shall be paid only on ascertaining that the excavated face has come off neatly as per specifications or atleast 50 percent of smooth blast holes are visible for inspection and are spaced at specified interval.
iv ) In case, where the above criteria is not fulfilled payment shall be restricted to rate provided for excavation by normal blasting or controlled blasting as the case may be.</t>
    </r>
  </si>
  <si>
    <r>
      <t xml:space="preserve">Preparing </t>
    </r>
    <r>
      <rPr>
        <b/>
        <sz val="14"/>
        <rFont val="Cambria"/>
        <family val="1"/>
      </rPr>
      <t>foundation bed for masonry or concrete</t>
    </r>
    <r>
      <rPr>
        <sz val="14"/>
        <rFont val="Arial"/>
        <family val="2"/>
      </rPr>
      <t xml:space="preserve"> by benching, stepping, removing all loose material by wedging / chiselling and disposing off the same as directed and cleaning the surface with air and water jet etc.,complete</t>
    </r>
    <r>
      <rPr>
        <sz val="14"/>
        <rFont val="Cambria"/>
        <family val="1"/>
      </rPr>
      <t xml:space="preserve"> </t>
    </r>
    <r>
      <rPr>
        <b/>
        <sz val="14"/>
        <rFont val="Cambria"/>
        <family val="1"/>
      </rPr>
      <t>with initial lead upto 50 m and all lifts.</t>
    </r>
  </si>
  <si>
    <r>
      <t xml:space="preserve">Preparing </t>
    </r>
    <r>
      <rPr>
        <b/>
        <sz val="14"/>
        <rFont val="Arial"/>
        <family val="2"/>
      </rPr>
      <t xml:space="preserve">foundation </t>
    </r>
    <r>
      <rPr>
        <b/>
        <sz val="14"/>
        <rFont val="Cambria"/>
        <family val="1"/>
      </rPr>
      <t>bed for cut-off trench</t>
    </r>
    <r>
      <rPr>
        <b/>
        <sz val="14"/>
        <rFont val="Arial"/>
        <family val="2"/>
      </rPr>
      <t xml:space="preserve"> filling</t>
    </r>
    <r>
      <rPr>
        <sz val="14"/>
        <rFont val="Arial"/>
        <family val="2"/>
      </rPr>
      <t xml:space="preserve"> in rock portion by removing all loose materials by wedging / chiselling and disposing off the same as directed etc., </t>
    </r>
    <r>
      <rPr>
        <sz val="14"/>
        <rFont val="Cambria"/>
        <family val="1"/>
      </rPr>
      <t xml:space="preserve">complete </t>
    </r>
    <r>
      <rPr>
        <b/>
        <sz val="14"/>
        <rFont val="Cambria"/>
        <family val="1"/>
      </rPr>
      <t>with initial lead upto 50 m and all lifts.</t>
    </r>
  </si>
  <si>
    <r>
      <rPr>
        <b/>
        <sz val="14"/>
        <rFont val="Arial"/>
        <family val="2"/>
      </rPr>
      <t>Drilling 45 to 50 mm dia holes</t>
    </r>
    <r>
      <rPr>
        <sz val="14"/>
        <rFont val="Arial"/>
        <family val="2"/>
      </rPr>
      <t xml:space="preserve"> vertical or inclined upto 10 degrees to vertical in </t>
    </r>
    <r>
      <rPr>
        <b/>
        <sz val="14"/>
        <rFont val="Arial"/>
        <family val="2"/>
      </rPr>
      <t>rock /masonry / concrete by percussion drilling</t>
    </r>
    <r>
      <rPr>
        <sz val="14"/>
        <rFont val="Arial"/>
        <family val="2"/>
      </rPr>
      <t xml:space="preserve"> using waggon drill or any other suitable equipment including cost of all materials, machinery, labour, redrilling through partially set grout wherever required etc., complete</t>
    </r>
    <r>
      <rPr>
        <sz val="14"/>
        <rFont val="Cambria"/>
        <family val="1"/>
      </rPr>
      <t xml:space="preserve"> </t>
    </r>
    <r>
      <rPr>
        <b/>
        <sz val="14"/>
        <rFont val="Cambria"/>
        <family val="1"/>
      </rPr>
      <t>for drilling upto 6 m depth from surface</t>
    </r>
    <r>
      <rPr>
        <b/>
        <sz val="14"/>
        <rFont val="Arial"/>
        <family val="2"/>
      </rPr>
      <t>.</t>
    </r>
    <r>
      <rPr>
        <sz val="14"/>
        <rFont val="Arial"/>
        <family val="2"/>
      </rPr>
      <t xml:space="preserve">
The item rate for drilling through rock / masonry / concrete includes redrilling through partially set grout, if any, in the portion of the hole drilled and grouted.</t>
    </r>
  </si>
  <si>
    <r>
      <rPr>
        <b/>
        <sz val="14"/>
        <rFont val="Arial"/>
        <family val="2"/>
      </rPr>
      <t>Flushing grout holes of all sizes</t>
    </r>
    <r>
      <rPr>
        <sz val="14"/>
        <rFont val="Arial"/>
        <family val="2"/>
      </rPr>
      <t xml:space="preserve"> with water and air jets alternatively for an average period of </t>
    </r>
    <r>
      <rPr>
        <b/>
        <sz val="14"/>
        <rFont val="Arial"/>
        <family val="2"/>
      </rPr>
      <t xml:space="preserve">30 minutes </t>
    </r>
    <r>
      <rPr>
        <sz val="14"/>
        <rFont val="Arial"/>
        <family val="2"/>
      </rPr>
      <t>including water intake observations after flushing, cost of all materials, machinery, labour etc., complete.</t>
    </r>
  </si>
  <si>
    <r>
      <rPr>
        <b/>
        <sz val="14"/>
        <rFont val="Arial"/>
        <family val="2"/>
      </rPr>
      <t>Consolidation grouting with neat cement grout mix</t>
    </r>
    <r>
      <rPr>
        <sz val="14"/>
        <rFont val="Arial"/>
        <family val="2"/>
      </rPr>
      <t xml:space="preserve"> of suitable consistency under specified pressure as directed in drilled holes </t>
    </r>
    <r>
      <rPr>
        <sz val="14"/>
        <rFont val="Cambria"/>
        <family val="1"/>
      </rPr>
      <t xml:space="preserve">by stage grouting method </t>
    </r>
    <r>
      <rPr>
        <sz val="14"/>
        <rFont val="Arial"/>
        <family val="2"/>
      </rPr>
      <t>including cost of all materials, machinery, labour, redrilling if necessary etc.,</t>
    </r>
    <r>
      <rPr>
        <sz val="14"/>
        <rFont val="Cambria"/>
        <family val="1"/>
      </rPr>
      <t xml:space="preserve">complete </t>
    </r>
    <r>
      <rPr>
        <b/>
        <sz val="14"/>
        <rFont val="Cambria"/>
        <family val="1"/>
      </rPr>
      <t>with initial lead upto 1 km and all lifts.</t>
    </r>
  </si>
  <si>
    <r>
      <rPr>
        <b/>
        <sz val="14"/>
        <rFont val="Arial"/>
        <family val="2"/>
      </rPr>
      <t>Curtain grouting with neat cement grout mix</t>
    </r>
    <r>
      <rPr>
        <sz val="14"/>
        <rFont val="Arial"/>
        <family val="2"/>
      </rPr>
      <t xml:space="preserve"> of suitable consistency under specified pressure as directed in drilled holes by stage grouting method including cost of all materials, machinery, labour, redrilling if necessary etc., </t>
    </r>
    <r>
      <rPr>
        <sz val="14"/>
        <rFont val="Cambria"/>
        <family val="1"/>
      </rPr>
      <t xml:space="preserve">complete </t>
    </r>
    <r>
      <rPr>
        <b/>
        <sz val="14"/>
        <rFont val="Cambria"/>
        <family val="1"/>
      </rPr>
      <t>with initial lead upto 1 km and all lifts.</t>
    </r>
  </si>
  <si>
    <r>
      <t xml:space="preserve">Providing and fixing </t>
    </r>
    <r>
      <rPr>
        <b/>
        <sz val="14"/>
        <rFont val="Cambria"/>
        <family val="1"/>
      </rPr>
      <t>25 mm dia</t>
    </r>
    <r>
      <rPr>
        <b/>
        <sz val="14"/>
        <rFont val="Arial"/>
        <family val="2"/>
      </rPr>
      <t xml:space="preserve"> 3 m long </t>
    </r>
    <r>
      <rPr>
        <b/>
        <sz val="14"/>
        <rFont val="Cambria"/>
        <family val="1"/>
      </rPr>
      <t>cold twisted deformed steel dowel bars</t>
    </r>
    <r>
      <rPr>
        <sz val="14"/>
        <rFont val="Arial"/>
        <family val="2"/>
      </rPr>
      <t xml:space="preserve"> with one end driven into 45 to 50 mm diameter 1.50 m deep hole drilled in bed rock and other end provided with L-bend for embedding in concrete / masonry of over flow / non-over flow blocks and other appertenant works including cost of drilling and cleaning hole, filling hole with </t>
    </r>
    <r>
      <rPr>
        <b/>
        <sz val="14"/>
        <rFont val="Arial"/>
        <family val="2"/>
      </rPr>
      <t>cement mortar 1 : 1 proportion</t>
    </r>
    <r>
      <rPr>
        <sz val="14"/>
        <rFont val="Arial"/>
        <family val="2"/>
      </rPr>
      <t xml:space="preserve">, driving anchor rod, cost of all materials, machinery, labour etc., </t>
    </r>
    <r>
      <rPr>
        <b/>
        <sz val="14"/>
        <rFont val="Cambria"/>
        <family val="1"/>
      </rPr>
      <t>complete with initial lead upto 1 km and all lifts.</t>
    </r>
  </si>
  <si>
    <r>
      <rPr>
        <b/>
        <sz val="14"/>
        <rFont val="Arial"/>
        <family val="2"/>
      </rPr>
      <t xml:space="preserve">Providing and fixing </t>
    </r>
    <r>
      <rPr>
        <b/>
        <sz val="14"/>
        <rFont val="Cambria"/>
        <family val="1"/>
      </rPr>
      <t>25 mm dia. 2.75 m long ribbed steel anchor rods</t>
    </r>
    <r>
      <rPr>
        <sz val="14"/>
        <rFont val="Cambria"/>
        <family val="1"/>
      </rPr>
      <t xml:space="preserve"> </t>
    </r>
    <r>
      <rPr>
        <sz val="14"/>
        <rFont val="Arial"/>
        <family val="2"/>
      </rPr>
      <t>with one end split and driven firmly using steel wedge into 1.25 m deep 45 to 50 mm dia. hole drilled in bed rock and other end provided with L- bend for embedding in concrete / masonry for spillway and appurtenant works including drilling and cleaning hole, filling hole with thick cement slurry, driving anchor rod, cost of all materials, machinery, labour, steel wedge etc.,</t>
    </r>
    <r>
      <rPr>
        <sz val="14"/>
        <rFont val="Cambria"/>
        <family val="1"/>
      </rPr>
      <t xml:space="preserve"> complete </t>
    </r>
    <r>
      <rPr>
        <b/>
        <sz val="14"/>
        <rFont val="Cambria"/>
        <family val="1"/>
      </rPr>
      <t>with initial lead upto 1 km and all lifts.</t>
    </r>
  </si>
  <si>
    <r>
      <t xml:space="preserve">Providing, fabricating and placing in position </t>
    </r>
    <r>
      <rPr>
        <b/>
        <sz val="14"/>
        <rFont val="Arial"/>
        <family val="2"/>
      </rPr>
      <t xml:space="preserve">reinforcement steel for RCC,below 36 dia rods </t>
    </r>
    <r>
      <rPr>
        <sz val="14"/>
        <rFont val="Arial"/>
        <family val="2"/>
      </rPr>
      <t xml:space="preserve">overlaps and wastages wherever required, tying with 1.25 mm diameter soft annealed steel wire, including cost of all materials, machinery, labour etc., complete </t>
    </r>
    <r>
      <rPr>
        <b/>
        <sz val="14"/>
        <rFont val="Arial"/>
        <family val="2"/>
      </rPr>
      <t>with initial lead upto 1 km and all lifts.</t>
    </r>
  </si>
  <si>
    <r>
      <t xml:space="preserve">Providing, fabricating and placing in position </t>
    </r>
    <r>
      <rPr>
        <b/>
        <sz val="14"/>
        <rFont val="Arial"/>
        <family val="2"/>
      </rPr>
      <t xml:space="preserve">reinforcement steel for RCC  above 36 dia with welding </t>
    </r>
    <r>
      <rPr>
        <sz val="14"/>
        <rFont val="Arial"/>
        <family val="2"/>
      </rPr>
      <t xml:space="preserve">and wastage at 2.5%, tying with 1.25 mm diameter soft annealed steel wire, including cost of all materials, machinery, labour etc., complete </t>
    </r>
    <r>
      <rPr>
        <b/>
        <sz val="14"/>
        <rFont val="Arial"/>
        <family val="2"/>
      </rPr>
      <t>with initial lead upto 1 km and all lifts.</t>
    </r>
  </si>
  <si>
    <r>
      <t>Providing and laying</t>
    </r>
    <r>
      <rPr>
        <sz val="14"/>
        <rFont val="Cambria"/>
        <family val="1"/>
      </rPr>
      <t xml:space="preserve"> </t>
    </r>
    <r>
      <rPr>
        <b/>
        <sz val="14"/>
        <rFont val="Cambria"/>
        <family val="1"/>
      </rPr>
      <t>insitu vibrated M-15</t>
    </r>
    <r>
      <rPr>
        <sz val="14"/>
        <rFont val="Cambria"/>
        <family val="1"/>
      </rPr>
      <t xml:space="preserve"> </t>
    </r>
    <r>
      <rPr>
        <sz val="14"/>
        <rFont val="Arial"/>
        <family val="2"/>
      </rPr>
      <t xml:space="preserve">( 28 days cube compressive strength not less than 15 N / sq mm ) grade cement concrete </t>
    </r>
    <r>
      <rPr>
        <sz val="14"/>
        <rFont val="Cambria"/>
        <family val="1"/>
      </rPr>
      <t xml:space="preserve">using </t>
    </r>
    <r>
      <rPr>
        <b/>
        <sz val="14"/>
        <rFont val="Cambria"/>
        <family val="1"/>
      </rPr>
      <t xml:space="preserve">80 mm down </t>
    </r>
    <r>
      <rPr>
        <b/>
        <sz val="14"/>
        <rFont val="Arial"/>
        <family val="2"/>
      </rPr>
      <t>size</t>
    </r>
    <r>
      <rPr>
        <sz val="14"/>
        <rFont val="Arial"/>
        <family val="2"/>
      </rPr>
      <t xml:space="preserve"> approved, clean, hard, graded aggregates including cost of all materials, machinery, labour, formwork, centering, scaffolding, cleaning, batching, mixing, placing in position, levelling, vibrating, finishing, curing etc.,complete </t>
    </r>
    <r>
      <rPr>
        <b/>
        <sz val="14"/>
        <rFont val="Arial"/>
        <family val="2"/>
      </rPr>
      <t>for plain concrete works</t>
    </r>
    <r>
      <rPr>
        <sz val="14"/>
        <rFont val="Arial"/>
        <family val="2"/>
      </rPr>
      <t xml:space="preserve"> </t>
    </r>
    <r>
      <rPr>
        <sz val="14"/>
        <rFont val="Cambria"/>
        <family val="1"/>
      </rPr>
      <t xml:space="preserve">with </t>
    </r>
    <r>
      <rPr>
        <b/>
        <sz val="14"/>
        <rFont val="Cambria"/>
        <family val="1"/>
      </rPr>
      <t>initial lead upto 1 km and all lifts.</t>
    </r>
    <r>
      <rPr>
        <sz val="14"/>
        <rFont val="Cambria"/>
        <family val="1"/>
      </rPr>
      <t xml:space="preserve"> ( </t>
    </r>
    <r>
      <rPr>
        <b/>
        <sz val="14"/>
        <rFont val="Cambria"/>
        <family val="1"/>
      </rPr>
      <t>Cement content : 250 kg /cum with use of super plasticiser equla to 0.4% of cement content, CA : 0.98 cum, Blending Ratio of CA -- 40:30:20:10, FA : 0.35 cum )</t>
    </r>
    <r>
      <rPr>
        <sz val="14"/>
        <rFont val="Cambria"/>
        <family val="1"/>
      </rPr>
      <t>)</t>
    </r>
  </si>
  <si>
    <r>
      <t>Providing and laying</t>
    </r>
    <r>
      <rPr>
        <sz val="14"/>
        <rFont val="Cambria"/>
        <family val="1"/>
      </rPr>
      <t xml:space="preserve"> </t>
    </r>
    <r>
      <rPr>
        <b/>
        <sz val="14"/>
        <rFont val="Cambria"/>
        <family val="1"/>
      </rPr>
      <t>insitu vibrated M-20</t>
    </r>
    <r>
      <rPr>
        <sz val="14"/>
        <rFont val="Cambria"/>
        <family val="1"/>
      </rPr>
      <t xml:space="preserve"> </t>
    </r>
    <r>
      <rPr>
        <sz val="14"/>
        <rFont val="Arial"/>
        <family val="2"/>
      </rPr>
      <t xml:space="preserve">( 28 days cube compressive strength not less than 20 N / sq mm ) grade cement concrete </t>
    </r>
    <r>
      <rPr>
        <sz val="14"/>
        <rFont val="Cambria"/>
        <family val="1"/>
      </rPr>
      <t xml:space="preserve">using </t>
    </r>
    <r>
      <rPr>
        <b/>
        <sz val="14"/>
        <rFont val="Cambria"/>
        <family val="1"/>
      </rPr>
      <t xml:space="preserve">80 mm down </t>
    </r>
    <r>
      <rPr>
        <b/>
        <sz val="14"/>
        <rFont val="Arial"/>
        <family val="2"/>
      </rPr>
      <t>size</t>
    </r>
    <r>
      <rPr>
        <sz val="14"/>
        <rFont val="Arial"/>
        <family val="2"/>
      </rPr>
      <t xml:space="preserve"> approved, clean, hard, graded aggregates including cost of all materials, machinery, labour, formwork, centering, scaffolding, cleaning, batching, mixing, placing in position, levelling, vibrating, finishing, curing etc.,complete </t>
    </r>
    <r>
      <rPr>
        <b/>
        <sz val="14"/>
        <rFont val="Arial"/>
        <family val="2"/>
      </rPr>
      <t>for plain concrete works</t>
    </r>
    <r>
      <rPr>
        <sz val="14"/>
        <rFont val="Arial"/>
        <family val="2"/>
      </rPr>
      <t xml:space="preserve"> </t>
    </r>
    <r>
      <rPr>
        <sz val="14"/>
        <rFont val="Cambria"/>
        <family val="1"/>
      </rPr>
      <t>with</t>
    </r>
    <r>
      <rPr>
        <b/>
        <sz val="14"/>
        <rFont val="Cambria"/>
        <family val="1"/>
      </rPr>
      <t xml:space="preserve"> initial lead upto 1 km and all lifts.</t>
    </r>
    <r>
      <rPr>
        <sz val="14"/>
        <rFont val="Cambria"/>
        <family val="1"/>
      </rPr>
      <t xml:space="preserve"> (</t>
    </r>
    <r>
      <rPr>
        <b/>
        <sz val="14"/>
        <rFont val="Cambria"/>
        <family val="1"/>
      </rPr>
      <t xml:space="preserve"> Cement content : 300 kg /cum with use of super plasticiser equla to 0.4% of cement content, CA : 0.90 cum, Blending Ratio of CA -- 40:30:20:10, FA : 0.4 cum )</t>
    </r>
    <r>
      <rPr>
        <sz val="14"/>
        <rFont val="Cambria"/>
        <family val="1"/>
      </rPr>
      <t>)</t>
    </r>
  </si>
  <si>
    <r>
      <t>Providing and laying</t>
    </r>
    <r>
      <rPr>
        <sz val="14"/>
        <rFont val="Cambria"/>
        <family val="1"/>
      </rPr>
      <t xml:space="preserve"> </t>
    </r>
    <r>
      <rPr>
        <b/>
        <sz val="14"/>
        <rFont val="Cambria"/>
        <family val="1"/>
      </rPr>
      <t>insitu vibrated M-10</t>
    </r>
    <r>
      <rPr>
        <sz val="14"/>
        <rFont val="Arial"/>
        <family val="2"/>
      </rPr>
      <t xml:space="preserve"> ( 28 days cube compressive strength not less than 10 N / sq mm ) grade cement concrete </t>
    </r>
    <r>
      <rPr>
        <sz val="14"/>
        <rFont val="Cambria"/>
        <family val="1"/>
      </rPr>
      <t xml:space="preserve">using </t>
    </r>
    <r>
      <rPr>
        <b/>
        <sz val="14"/>
        <rFont val="Cambria"/>
        <family val="1"/>
      </rPr>
      <t xml:space="preserve">80 mm down </t>
    </r>
    <r>
      <rPr>
        <b/>
        <sz val="14"/>
        <rFont val="Arial"/>
        <family val="2"/>
      </rPr>
      <t>size</t>
    </r>
    <r>
      <rPr>
        <sz val="14"/>
        <rFont val="Arial"/>
        <family val="2"/>
      </rPr>
      <t xml:space="preserve"> approved, clean, hard, graded aggregates including cost of all materials, machinery, labour, formwork, centering, scaffolding, cleaning, batching, mixing, placing in position, levelling, vibrating, finishing, curing etc.,complete </t>
    </r>
    <r>
      <rPr>
        <b/>
        <sz val="14"/>
        <rFont val="Arial"/>
        <family val="2"/>
      </rPr>
      <t>for plain concrete works</t>
    </r>
    <r>
      <rPr>
        <sz val="14"/>
        <rFont val="Arial"/>
        <family val="2"/>
      </rPr>
      <t xml:space="preserve"> </t>
    </r>
    <r>
      <rPr>
        <sz val="14"/>
        <rFont val="Cambria"/>
        <family val="1"/>
      </rPr>
      <t xml:space="preserve">with </t>
    </r>
    <r>
      <rPr>
        <b/>
        <sz val="14"/>
        <rFont val="Cambria"/>
        <family val="1"/>
      </rPr>
      <t>initial lead upto 1 km and all lifts.</t>
    </r>
    <r>
      <rPr>
        <sz val="14"/>
        <rFont val="Cambria"/>
        <family val="1"/>
      </rPr>
      <t xml:space="preserve"> ( </t>
    </r>
    <r>
      <rPr>
        <b/>
        <sz val="14"/>
        <rFont val="Cambria"/>
        <family val="1"/>
      </rPr>
      <t xml:space="preserve">Cement content : 220 kg /cum with use of super plasticiser, CA: 0.98 cum, Blending Ratio of CA --40:30:20:10, FA: 0.37 cum </t>
    </r>
    <r>
      <rPr>
        <sz val="14"/>
        <rFont val="Cambria"/>
        <family val="1"/>
      </rPr>
      <t>)</t>
    </r>
  </si>
  <si>
    <r>
      <t xml:space="preserve">Providing and laying </t>
    </r>
    <r>
      <rPr>
        <b/>
        <sz val="14"/>
        <rFont val="Cambria"/>
        <family val="1"/>
      </rPr>
      <t>insitu vibrated M-20</t>
    </r>
    <r>
      <rPr>
        <sz val="14"/>
        <rFont val="Cambria"/>
        <family val="1"/>
      </rPr>
      <t xml:space="preserve"> </t>
    </r>
    <r>
      <rPr>
        <sz val="14"/>
        <rFont val="Arial"/>
        <family val="2"/>
      </rPr>
      <t xml:space="preserve">( 28 days cube compressive strength not less than 20 N / sq mm ) grade cement concrete </t>
    </r>
    <r>
      <rPr>
        <sz val="14"/>
        <rFont val="Cambria"/>
        <family val="1"/>
      </rPr>
      <t xml:space="preserve">using </t>
    </r>
    <r>
      <rPr>
        <b/>
        <sz val="14"/>
        <rFont val="Cambria"/>
        <family val="1"/>
      </rPr>
      <t>40 mm down size</t>
    </r>
    <r>
      <rPr>
        <sz val="14"/>
        <rFont val="Cambria"/>
        <family val="1"/>
      </rPr>
      <t xml:space="preserve"> </t>
    </r>
    <r>
      <rPr>
        <sz val="14"/>
        <rFont val="Arial"/>
        <family val="2"/>
      </rPr>
      <t>approved, clean, hard, graded aggregates including cost of all materials, machinery, labour, formwork, centering, scaffolding, cleaning, batching, mixing, placing in position, levelling, vibrating, finishing, curing etc.,</t>
    </r>
    <r>
      <rPr>
        <b/>
        <sz val="14"/>
        <rFont val="Arial"/>
        <family val="2"/>
      </rPr>
      <t>complete for RCC works</t>
    </r>
    <r>
      <rPr>
        <sz val="14"/>
        <rFont val="Arial"/>
        <family val="2"/>
      </rPr>
      <t xml:space="preserve"> of gallery, sluice, spillway crest, spillway d / s face, energy dissipating structures, training walls, piers, abutments and such other locations </t>
    </r>
    <r>
      <rPr>
        <b/>
        <sz val="14"/>
        <rFont val="Cambria"/>
        <family val="1"/>
      </rPr>
      <t>with initial lead upto 1 km and all lifts. ( Cement content : 310 kg / cum with use of super plasticiser, CA : 0.90 cum, blending ratio of CA--50:30:20, FA :  0.40 cum</t>
    </r>
    <r>
      <rPr>
        <sz val="14"/>
        <rFont val="Cambria"/>
        <family val="1"/>
      </rPr>
      <t>)</t>
    </r>
  </si>
  <si>
    <r>
      <t xml:space="preserve">Providing and laying </t>
    </r>
    <r>
      <rPr>
        <b/>
        <sz val="14"/>
        <rFont val="Cambria"/>
        <family val="1"/>
      </rPr>
      <t>insitu vibrated M-25</t>
    </r>
    <r>
      <rPr>
        <sz val="14"/>
        <rFont val="Arial"/>
        <family val="2"/>
      </rPr>
      <t xml:space="preserve"> ( 28 days cube compressive strength not less than 25 N / sq mm ) grade cement concrete </t>
    </r>
    <r>
      <rPr>
        <sz val="14"/>
        <rFont val="Cambria"/>
        <family val="1"/>
      </rPr>
      <t xml:space="preserve">using </t>
    </r>
    <r>
      <rPr>
        <b/>
        <sz val="14"/>
        <rFont val="Cambria"/>
        <family val="1"/>
      </rPr>
      <t>40 mm down</t>
    </r>
    <r>
      <rPr>
        <b/>
        <sz val="14"/>
        <rFont val="Arial"/>
        <family val="2"/>
      </rPr>
      <t xml:space="preserve"> size</t>
    </r>
    <r>
      <rPr>
        <sz val="14"/>
        <rFont val="Arial"/>
        <family val="2"/>
      </rPr>
      <t xml:space="preserve"> approved, clean, hard, graded aggregates including cost of all materials, machinery, labour, formwork, centering, scaffolding, cleaning, batching, mixing, placing in position, levelling, vibrating, finishing, curing etc.,</t>
    </r>
    <r>
      <rPr>
        <b/>
        <sz val="14"/>
        <rFont val="Arial"/>
        <family val="2"/>
      </rPr>
      <t xml:space="preserve">complete for </t>
    </r>
    <r>
      <rPr>
        <b/>
        <sz val="14"/>
        <rFont val="Cambria"/>
        <family val="1"/>
      </rPr>
      <t>RCC works</t>
    </r>
    <r>
      <rPr>
        <sz val="14"/>
        <rFont val="Cambria"/>
        <family val="1"/>
      </rPr>
      <t xml:space="preserve"> of gallery, sluice, spillway crest, spillway d / s face, energy dissipating structures, training walls, piers, abutments</t>
    </r>
    <r>
      <rPr>
        <sz val="14"/>
        <rFont val="Arial"/>
        <family val="2"/>
      </rPr>
      <t xml:space="preserve"> and such other locations with </t>
    </r>
    <r>
      <rPr>
        <b/>
        <sz val="14"/>
        <rFont val="Cambria"/>
        <family val="1"/>
      </rPr>
      <t>initial lead upto 1 km and all lifts.</t>
    </r>
    <r>
      <rPr>
        <b/>
        <sz val="14"/>
        <rFont val="Arial"/>
        <family val="2"/>
      </rPr>
      <t xml:space="preserve"> ( </t>
    </r>
    <r>
      <rPr>
        <b/>
        <sz val="14"/>
        <rFont val="Cambria"/>
        <family val="1"/>
      </rPr>
      <t>Cement content : 360 kg / cum with use of super plasticiser,CA : 0.90 cum, blending ratio of CA--50:30:20, FA :  0.40 cum</t>
    </r>
    <r>
      <rPr>
        <sz val="14"/>
        <rFont val="Arial"/>
        <family val="2"/>
      </rPr>
      <t>)</t>
    </r>
  </si>
  <si>
    <r>
      <t xml:space="preserve">Providing and laying </t>
    </r>
    <r>
      <rPr>
        <b/>
        <sz val="14"/>
        <rFont val="Arial"/>
        <family val="2"/>
      </rPr>
      <t xml:space="preserve">insitu vibrated </t>
    </r>
    <r>
      <rPr>
        <b/>
        <sz val="14"/>
        <rFont val="Calibri"/>
        <family val="2"/>
      </rPr>
      <t>M-25</t>
    </r>
    <r>
      <rPr>
        <sz val="14"/>
        <rFont val="Arial"/>
        <family val="2"/>
      </rPr>
      <t xml:space="preserve"> ( 28 days cube compressive strength not less than 25 N / sq mm ) grade cement concrete using </t>
    </r>
    <r>
      <rPr>
        <b/>
        <sz val="14"/>
        <rFont val="Calibri"/>
        <family val="2"/>
      </rPr>
      <t>20 mm down size</t>
    </r>
    <r>
      <rPr>
        <sz val="14"/>
        <rFont val="Arial"/>
        <family val="2"/>
      </rPr>
      <t xml:space="preserve"> approved, clean, hard, graded aggregates including cost of all materials, machinery, labour, formwork, centering, scaffolding, cleaning, batching, mixing, placing in position, levelling, vibrating, finishing, curing etc.,complete for </t>
    </r>
    <r>
      <rPr>
        <b/>
        <sz val="14"/>
        <rFont val="Calibri"/>
        <family val="2"/>
      </rPr>
      <t>RCC works</t>
    </r>
    <r>
      <rPr>
        <sz val="14"/>
        <rFont val="Calibri"/>
        <family val="2"/>
      </rPr>
      <t xml:space="preserve"> of gallery, sluice, spillway crest, spillway d / s face, energy dissipating structures, training walls, piers, abutments</t>
    </r>
    <r>
      <rPr>
        <sz val="14"/>
        <rFont val="Arial"/>
        <family val="2"/>
      </rPr>
      <t xml:space="preserve"> and such other locations </t>
    </r>
    <r>
      <rPr>
        <b/>
        <sz val="14"/>
        <rFont val="Arial"/>
        <family val="2"/>
      </rPr>
      <t xml:space="preserve">with </t>
    </r>
    <r>
      <rPr>
        <b/>
        <sz val="14"/>
        <rFont val="Calibri"/>
        <family val="2"/>
      </rPr>
      <t>initial lead upto 1 km and all lifts.</t>
    </r>
    <r>
      <rPr>
        <b/>
        <sz val="14"/>
        <rFont val="Arial"/>
        <family val="2"/>
      </rPr>
      <t xml:space="preserve"> ( </t>
    </r>
    <r>
      <rPr>
        <b/>
        <sz val="14"/>
        <rFont val="Calibri"/>
        <family val="2"/>
      </rPr>
      <t>Cement content : 380 kg / cum with use of super plasticiser,CA : 0.90 cum, blending ratio of CA--65:35, FA :  0.40 cum</t>
    </r>
    <r>
      <rPr>
        <b/>
        <sz val="14"/>
        <rFont val="Arial"/>
        <family val="2"/>
      </rPr>
      <t>)</t>
    </r>
  </si>
  <si>
    <r>
      <t xml:space="preserve">Providing and laying </t>
    </r>
    <r>
      <rPr>
        <b/>
        <sz val="14"/>
        <rFont val="Cambria"/>
        <family val="1"/>
      </rPr>
      <t>insitu vibrated M-15</t>
    </r>
    <r>
      <rPr>
        <sz val="14"/>
        <rFont val="Arial"/>
        <family val="2"/>
      </rPr>
      <t xml:space="preserve"> ( 28 days cube compressive strength not less than 15 N / sq mm ) grade cement concrete </t>
    </r>
    <r>
      <rPr>
        <sz val="14"/>
        <rFont val="Cambria"/>
        <family val="1"/>
      </rPr>
      <t xml:space="preserve">using </t>
    </r>
    <r>
      <rPr>
        <b/>
        <sz val="14"/>
        <rFont val="Cambria"/>
        <family val="1"/>
      </rPr>
      <t>40 mm down size</t>
    </r>
    <r>
      <rPr>
        <sz val="14"/>
        <rFont val="Cambria"/>
        <family val="1"/>
      </rPr>
      <t xml:space="preserve"> </t>
    </r>
    <r>
      <rPr>
        <sz val="14"/>
        <rFont val="Arial"/>
        <family val="2"/>
      </rPr>
      <t xml:space="preserve">approved, clean, hard, graded aggregates including cost of all materials, machinery, labour, formwork, centering, scaffolding, cleaning, batching, mixing, placing in position, levelling, vibrating, finishing, curing etc.,complete for plain concrete works </t>
    </r>
    <r>
      <rPr>
        <b/>
        <sz val="14"/>
        <rFont val="Cambria"/>
        <family val="1"/>
      </rPr>
      <t>with initial lead upto 1 km and all lifts. ( Cement content : 260 kg /cum with use of super plasticiser,CA : 0.90 cum, Blending Ratio of CA -- 50:30:20, FA : 0.40 cum</t>
    </r>
    <r>
      <rPr>
        <sz val="14"/>
        <rFont val="Cambria"/>
        <family val="1"/>
      </rPr>
      <t>)</t>
    </r>
  </si>
  <si>
    <r>
      <t xml:space="preserve">Providing and laying </t>
    </r>
    <r>
      <rPr>
        <b/>
        <sz val="14"/>
        <rFont val="Arial"/>
        <family val="2"/>
      </rPr>
      <t xml:space="preserve">insitu </t>
    </r>
    <r>
      <rPr>
        <b/>
        <sz val="14"/>
        <rFont val="Cambria"/>
        <family val="1"/>
      </rPr>
      <t>vibrated M-15</t>
    </r>
    <r>
      <rPr>
        <sz val="14"/>
        <rFont val="Arial"/>
        <family val="2"/>
      </rPr>
      <t xml:space="preserve"> ( 28 days cube compressive strength not less than 15 N / sq mm ) grade cement concrete </t>
    </r>
    <r>
      <rPr>
        <sz val="14"/>
        <rFont val="Cambria"/>
        <family val="1"/>
      </rPr>
      <t xml:space="preserve">using </t>
    </r>
    <r>
      <rPr>
        <b/>
        <sz val="14"/>
        <rFont val="Cambria"/>
        <family val="1"/>
      </rPr>
      <t>40 mm down size</t>
    </r>
    <r>
      <rPr>
        <sz val="14"/>
        <rFont val="Cambria"/>
        <family val="1"/>
      </rPr>
      <t xml:space="preserve"> </t>
    </r>
    <r>
      <rPr>
        <sz val="14"/>
        <rFont val="Arial"/>
        <family val="2"/>
      </rPr>
      <t xml:space="preserve">approved, clean, hard, graded aggregates with </t>
    </r>
    <r>
      <rPr>
        <sz val="14"/>
        <rFont val="Cambria"/>
        <family val="1"/>
      </rPr>
      <t xml:space="preserve">placing and </t>
    </r>
    <r>
      <rPr>
        <b/>
        <sz val="14"/>
        <rFont val="Cambria"/>
        <family val="1"/>
      </rPr>
      <t xml:space="preserve">sinking plums of </t>
    </r>
    <r>
      <rPr>
        <b/>
        <sz val="14"/>
        <rFont val="Arial"/>
        <family val="2"/>
      </rPr>
      <t xml:space="preserve">size 150 to 80 mm </t>
    </r>
    <r>
      <rPr>
        <b/>
        <sz val="14"/>
        <rFont val="Cambria"/>
        <family val="1"/>
      </rPr>
      <t>upto 15 percent</t>
    </r>
    <r>
      <rPr>
        <sz val="14"/>
        <rFont val="Cambria"/>
        <family val="1"/>
      </rPr>
      <t xml:space="preserve"> for gravity type structures </t>
    </r>
    <r>
      <rPr>
        <sz val="14"/>
        <rFont val="Arial"/>
        <family val="2"/>
      </rPr>
      <t>including cost of all materials, machinery, labour, formwork, scaffolding, cleaning, batching, mixing, placing in position, levelling, vibrating, finishing, curing etc.,</t>
    </r>
    <r>
      <rPr>
        <sz val="14"/>
        <rFont val="Cambria"/>
        <family val="1"/>
      </rPr>
      <t xml:space="preserve">complete </t>
    </r>
    <r>
      <rPr>
        <b/>
        <sz val="14"/>
        <rFont val="Cambria"/>
        <family val="1"/>
      </rPr>
      <t>with initial lead upto 1 km and all lifts. ( Cement content : 260 kg / cum of concrete with use of plums and super plasticiser,, CA : 0.77 cum, Blending Ratio of CA : 50:30:20,FA : 0.34 cum, plums of size 150 to 80 mm : 0.25 cum</t>
    </r>
    <r>
      <rPr>
        <sz val="14"/>
        <rFont val="Cambria"/>
        <family val="1"/>
      </rPr>
      <t>)</t>
    </r>
  </si>
  <si>
    <r>
      <t xml:space="preserve">Providing and laying </t>
    </r>
    <r>
      <rPr>
        <b/>
        <sz val="14"/>
        <rFont val="Arial"/>
        <family val="2"/>
      </rPr>
      <t xml:space="preserve">insitu </t>
    </r>
    <r>
      <rPr>
        <b/>
        <sz val="14"/>
        <rFont val="Cambria"/>
        <family val="1"/>
      </rPr>
      <t>vibrated M-10</t>
    </r>
    <r>
      <rPr>
        <sz val="14"/>
        <rFont val="Cambria"/>
        <family val="1"/>
      </rPr>
      <t xml:space="preserve"> </t>
    </r>
    <r>
      <rPr>
        <sz val="14"/>
        <rFont val="Arial"/>
        <family val="2"/>
      </rPr>
      <t xml:space="preserve">( 28 days cube compressive strength not less than 10 N / sq mm ) grade cement concrete using </t>
    </r>
    <r>
      <rPr>
        <b/>
        <sz val="14"/>
        <rFont val="Cambria"/>
        <family val="1"/>
      </rPr>
      <t>40 mm down size</t>
    </r>
    <r>
      <rPr>
        <sz val="14"/>
        <rFont val="Cambria"/>
        <family val="1"/>
      </rPr>
      <t xml:space="preserve"> </t>
    </r>
    <r>
      <rPr>
        <sz val="14"/>
        <rFont val="Arial"/>
        <family val="2"/>
      </rPr>
      <t xml:space="preserve">approved, clean, hard, graded aggregates including cost of all materials, machinery, labour, formwork, centering, scaffolding, cleaning, batching, mixing, placing in position, levelling, vibrating, finishing, curing etc.,complete for </t>
    </r>
    <r>
      <rPr>
        <b/>
        <sz val="14"/>
        <rFont val="Arial"/>
        <family val="2"/>
      </rPr>
      <t>plain concrete works</t>
    </r>
    <r>
      <rPr>
        <sz val="14"/>
        <rFont val="Arial"/>
        <family val="2"/>
      </rPr>
      <t xml:space="preserve"> with </t>
    </r>
    <r>
      <rPr>
        <b/>
        <sz val="14"/>
        <rFont val="Cambria"/>
        <family val="1"/>
      </rPr>
      <t xml:space="preserve">initial lead upto 1 km and all lifts. ( Cement content 220 kg /cum with use of super plasticiser,CA : 0.90 cum, Blending Ratio of CA : 50:30:20, FA : 0.40 cum </t>
    </r>
    <r>
      <rPr>
        <sz val="14"/>
        <rFont val="Cambria"/>
        <family val="1"/>
      </rPr>
      <t>)</t>
    </r>
  </si>
  <si>
    <r>
      <t xml:space="preserve">Providing and laying </t>
    </r>
    <r>
      <rPr>
        <b/>
        <sz val="14"/>
        <rFont val="Arial"/>
        <family val="2"/>
      </rPr>
      <t>insitu v</t>
    </r>
    <r>
      <rPr>
        <b/>
        <sz val="14"/>
        <rFont val="Cambria"/>
        <family val="1"/>
      </rPr>
      <t>ibrated M-15</t>
    </r>
    <r>
      <rPr>
        <sz val="14"/>
        <rFont val="Cambria"/>
        <family val="1"/>
      </rPr>
      <t xml:space="preserve"> </t>
    </r>
    <r>
      <rPr>
        <sz val="14"/>
        <rFont val="Arial"/>
        <family val="2"/>
      </rPr>
      <t xml:space="preserve">( 28 days cube compressive strength not less than 15 N / sq mm ) grade cement concrete using </t>
    </r>
    <r>
      <rPr>
        <b/>
        <sz val="14"/>
        <rFont val="Cambria"/>
        <family val="1"/>
      </rPr>
      <t>20 mm down size</t>
    </r>
    <r>
      <rPr>
        <sz val="14"/>
        <rFont val="Cambria"/>
        <family val="1"/>
      </rPr>
      <t xml:space="preserve"> </t>
    </r>
    <r>
      <rPr>
        <sz val="14"/>
        <rFont val="Arial"/>
        <family val="2"/>
      </rPr>
      <t xml:space="preserve">approved, clean, hard, graded aggregates including cost of all materials, machinery, labour, formwork, centering, scaffolding, cleaning, batching, mixing, placing in position, levelling, vibrating, finishing, curing etc.,complete </t>
    </r>
    <r>
      <rPr>
        <b/>
        <sz val="14"/>
        <rFont val="Arial"/>
        <family val="2"/>
      </rPr>
      <t>for plain concrete works</t>
    </r>
    <r>
      <rPr>
        <sz val="14"/>
        <rFont val="Arial"/>
        <family val="2"/>
      </rPr>
      <t xml:space="preserve"> </t>
    </r>
    <r>
      <rPr>
        <sz val="14"/>
        <rFont val="Cambria"/>
        <family val="1"/>
      </rPr>
      <t xml:space="preserve">with </t>
    </r>
    <r>
      <rPr>
        <b/>
        <sz val="14"/>
        <rFont val="Cambria"/>
        <family val="1"/>
      </rPr>
      <t>initial lead upto 1 km and all lifts. ( Cement content : 280 kg /cum with use of super plasticiser,CA : 0.80 cum, Blending Ratio of CA -- 65:35, FA : 0.44 cum</t>
    </r>
    <r>
      <rPr>
        <sz val="14"/>
        <rFont val="Cambria"/>
        <family val="1"/>
      </rPr>
      <t>)</t>
    </r>
  </si>
  <si>
    <r>
      <t>Providing and laying</t>
    </r>
    <r>
      <rPr>
        <sz val="14"/>
        <rFont val="Cambria"/>
        <family val="1"/>
      </rPr>
      <t xml:space="preserve"> </t>
    </r>
    <r>
      <rPr>
        <b/>
        <sz val="14"/>
        <rFont val="Cambria"/>
        <family val="1"/>
      </rPr>
      <t>insitu vibrated M-20</t>
    </r>
    <r>
      <rPr>
        <sz val="14"/>
        <rFont val="Arial"/>
        <family val="2"/>
      </rPr>
      <t xml:space="preserve"> ( 28 days cube compressive strength not less than 20 N / sq mm ) grade cement concrete using </t>
    </r>
    <r>
      <rPr>
        <b/>
        <sz val="14"/>
        <rFont val="Cambria"/>
        <family val="1"/>
      </rPr>
      <t>20 mm down size</t>
    </r>
    <r>
      <rPr>
        <sz val="14"/>
        <rFont val="Cambria"/>
        <family val="1"/>
      </rPr>
      <t xml:space="preserve"> </t>
    </r>
    <r>
      <rPr>
        <sz val="14"/>
        <rFont val="Arial"/>
        <family val="2"/>
      </rPr>
      <t>approved, clean, hard, graded aggregates including cost of all materials, machinery, labour, formwork, centering, scaffolding, cleaning, batching, mixing, placing in position, levelling, vibrating, finishing, curing etc.,complete f</t>
    </r>
    <r>
      <rPr>
        <b/>
        <sz val="14"/>
        <rFont val="Arial"/>
        <family val="2"/>
      </rPr>
      <t>or RCC works</t>
    </r>
    <r>
      <rPr>
        <sz val="14"/>
        <rFont val="Arial"/>
        <family val="2"/>
      </rPr>
      <t xml:space="preserve"> of spillway bridge, blockouts and such other similar structures with conjested reinforcement </t>
    </r>
    <r>
      <rPr>
        <sz val="14"/>
        <rFont val="Cambria"/>
        <family val="1"/>
      </rPr>
      <t xml:space="preserve">with </t>
    </r>
    <r>
      <rPr>
        <b/>
        <sz val="14"/>
        <rFont val="Cambria"/>
        <family val="1"/>
      </rPr>
      <t>initial lead upto 1 km and all lifts. ( Cement content : 330 kg / cum with use of super plasticiser, CA : 0.80 cum, Blending Ratio of CA -- 65:35, FA : 0.44 cum</t>
    </r>
    <r>
      <rPr>
        <sz val="14"/>
        <rFont val="Cambria"/>
        <family val="1"/>
      </rPr>
      <t>).</t>
    </r>
    <r>
      <rPr>
        <sz val="14"/>
        <rFont val="Arial"/>
        <family val="2"/>
      </rPr>
      <t xml:space="preserve">  </t>
    </r>
  </si>
  <si>
    <r>
      <t>Providing and forming</t>
    </r>
    <r>
      <rPr>
        <sz val="14"/>
        <rFont val="Cambria"/>
        <family val="1"/>
      </rPr>
      <t xml:space="preserve"> </t>
    </r>
    <r>
      <rPr>
        <b/>
        <sz val="14"/>
        <rFont val="Cambria"/>
        <family val="1"/>
      </rPr>
      <t>porous concrete body drain</t>
    </r>
    <r>
      <rPr>
        <sz val="14"/>
        <rFont val="Cambria"/>
        <family val="1"/>
      </rPr>
      <t xml:space="preserve"> </t>
    </r>
    <r>
      <rPr>
        <sz val="14"/>
        <rFont val="Arial"/>
        <family val="2"/>
      </rPr>
      <t xml:space="preserve">of </t>
    </r>
    <r>
      <rPr>
        <sz val="14"/>
        <rFont val="Cambria"/>
        <family val="1"/>
      </rPr>
      <t xml:space="preserve">size 68.5 x 68.5 cm </t>
    </r>
    <r>
      <rPr>
        <sz val="14"/>
        <rFont val="Arial"/>
        <family val="2"/>
      </rPr>
      <t>with 23 cm diameter central hole using cement and</t>
    </r>
    <r>
      <rPr>
        <sz val="14"/>
        <rFont val="Cambria"/>
        <family val="1"/>
      </rPr>
      <t xml:space="preserve"> </t>
    </r>
    <r>
      <rPr>
        <b/>
        <sz val="14"/>
        <rFont val="Cambria"/>
        <family val="1"/>
      </rPr>
      <t>20 mm down</t>
    </r>
    <r>
      <rPr>
        <sz val="14"/>
        <rFont val="Cambria"/>
        <family val="1"/>
      </rPr>
      <t xml:space="preserve"> </t>
    </r>
    <r>
      <rPr>
        <sz val="14"/>
        <rFont val="Arial"/>
        <family val="2"/>
      </rPr>
      <t xml:space="preserve">approved, clean, hard, graded coarse aggregates in </t>
    </r>
    <r>
      <rPr>
        <b/>
        <sz val="14"/>
        <rFont val="Cambria"/>
        <family val="1"/>
      </rPr>
      <t>1 : 3.50</t>
    </r>
    <r>
      <rPr>
        <sz val="14"/>
        <rFont val="Cambria"/>
        <family val="1"/>
      </rPr>
      <t xml:space="preserve"> </t>
    </r>
    <r>
      <rPr>
        <sz val="14"/>
        <rFont val="Arial"/>
        <family val="2"/>
      </rPr>
      <t xml:space="preserve">proportion by volume including cost of all materials, machinery, labour, formwork, curing etc., </t>
    </r>
    <r>
      <rPr>
        <sz val="14"/>
        <rFont val="Cambria"/>
        <family val="1"/>
      </rPr>
      <t>complete</t>
    </r>
    <r>
      <rPr>
        <b/>
        <sz val="14"/>
        <rFont val="Cambria"/>
        <family val="1"/>
      </rPr>
      <t xml:space="preserve"> with initial lead upto 1 km and all lifts.(M15 Cement content : 400kg/cum, CA : 1cum, Blending Ratio of CA -- 65:35) </t>
    </r>
  </si>
  <si>
    <r>
      <t>Providing and laying</t>
    </r>
    <r>
      <rPr>
        <sz val="14"/>
        <rFont val="Cambria"/>
        <family val="1"/>
      </rPr>
      <t xml:space="preserve"> insitu </t>
    </r>
    <r>
      <rPr>
        <b/>
        <sz val="14"/>
        <rFont val="Cambria"/>
        <family val="1"/>
      </rPr>
      <t>vibrated M-20</t>
    </r>
    <r>
      <rPr>
        <sz val="14"/>
        <rFont val="Cambria"/>
        <family val="1"/>
      </rPr>
      <t xml:space="preserve"> (</t>
    </r>
    <r>
      <rPr>
        <sz val="14"/>
        <rFont val="Arial"/>
        <family val="2"/>
      </rPr>
      <t xml:space="preserve"> 28 days cube compressive strength not less than 20 N / sq mm ) grade cement concrete using </t>
    </r>
    <r>
      <rPr>
        <b/>
        <sz val="14"/>
        <rFont val="Cambria"/>
        <family val="1"/>
      </rPr>
      <t>20 mm down size</t>
    </r>
    <r>
      <rPr>
        <sz val="14"/>
        <rFont val="Cambria"/>
        <family val="1"/>
      </rPr>
      <t xml:space="preserve"> </t>
    </r>
    <r>
      <rPr>
        <sz val="14"/>
        <rFont val="Arial"/>
        <family val="2"/>
      </rPr>
      <t xml:space="preserve">approved, clean, hard, graded aggregates including cost of all materials, machinery, labour, formwork, centering, scaffolding, cleaning, batching, mixing, placing in position, levelling, vibrating, finishing, curing etc.,complete </t>
    </r>
    <r>
      <rPr>
        <sz val="14"/>
        <rFont val="Cambria"/>
        <family val="1"/>
      </rPr>
      <t xml:space="preserve">for </t>
    </r>
    <r>
      <rPr>
        <b/>
        <sz val="14"/>
        <rFont val="Cambria"/>
        <family val="1"/>
      </rPr>
      <t>RCC solid parapet</t>
    </r>
    <r>
      <rPr>
        <sz val="14"/>
        <rFont val="Cambria"/>
        <family val="1"/>
      </rPr>
      <t xml:space="preserve"> </t>
    </r>
    <r>
      <rPr>
        <sz val="14"/>
        <rFont val="Arial"/>
        <family val="2"/>
      </rPr>
      <t xml:space="preserve">consisting of 35 cm x 20 cm kerb, 35 cm x 35 cm x 1 m pillars spaced approximately at 3.35 m c / c, 12.5 cm thick wall 80 cm height with 12.5 cm thick and 35 cm wide coping slab for wall and 12 .5 cm thick 40 cm x 40 cm coping for pillars with top edges of  kerb and coping chamferred / rounded as directed etc., complete </t>
    </r>
    <r>
      <rPr>
        <b/>
        <sz val="14"/>
        <rFont val="Arial"/>
        <family val="2"/>
      </rPr>
      <t xml:space="preserve">( excluding cost of providing and placing reinforcement steel and gate ) with </t>
    </r>
    <r>
      <rPr>
        <b/>
        <sz val="14"/>
        <rFont val="Cambria"/>
        <family val="1"/>
      </rPr>
      <t>initial lead upto 1 km and all lifts. ( Cement content 350 kg / cum with use of super plasticiser( 0.4% by wt.of cement), CA : 0.80 cum, Blending Ratio of CA--65:35, FA : 0.44 cum)</t>
    </r>
  </si>
  <si>
    <r>
      <t xml:space="preserve">Providing and laying </t>
    </r>
    <r>
      <rPr>
        <b/>
        <sz val="14"/>
        <rFont val="Cambria"/>
        <family val="1"/>
      </rPr>
      <t>insitu vibrated M-20</t>
    </r>
    <r>
      <rPr>
        <sz val="14"/>
        <rFont val="Arial"/>
        <family val="2"/>
      </rPr>
      <t xml:space="preserve"> ( 28 days cube compressive strength not less than 20 N / sq mm ) grade cement concrete using </t>
    </r>
    <r>
      <rPr>
        <b/>
        <sz val="14"/>
        <rFont val="Cambria"/>
        <family val="1"/>
      </rPr>
      <t>20 mm down size</t>
    </r>
    <r>
      <rPr>
        <sz val="14"/>
        <rFont val="Cambria"/>
        <family val="1"/>
      </rPr>
      <t xml:space="preserve"> </t>
    </r>
    <r>
      <rPr>
        <sz val="14"/>
        <rFont val="Arial"/>
        <family val="2"/>
      </rPr>
      <t xml:space="preserve">approved, clean, hard, graded aggregates including cost of all materials, machinery, labour, formwork, centering, scaffolding, cleaning, batching, mixing, placing in position, levelling, vibrating, finishing, curing etc.,complete for </t>
    </r>
    <r>
      <rPr>
        <b/>
        <sz val="14"/>
        <rFont val="Cambria"/>
        <family val="1"/>
      </rPr>
      <t>RCC ornamental parapet</t>
    </r>
    <r>
      <rPr>
        <sz val="14"/>
        <rFont val="Cambria"/>
        <family val="1"/>
      </rPr>
      <t xml:space="preserve"> </t>
    </r>
    <r>
      <rPr>
        <sz val="14"/>
        <rFont val="Arial"/>
        <family val="2"/>
      </rPr>
      <t xml:space="preserve">consisting of 35 cm x 20 cm kerb, 35 cm x 35 cm x 1 m pillars spaced approximately at 3.5 m apart, 20 cm x 15 cm posts 80 cm height approximately 30 cm c / c with 12.5 cm thick and 35 cm wide coping slab for posts and pillars with top edges of kerb and coping chamferred or rounded as directed etc., complete ( excluding cost of providing and placing reinforcement steel and gate ) </t>
    </r>
    <r>
      <rPr>
        <b/>
        <sz val="14"/>
        <rFont val="Cambria"/>
        <family val="1"/>
      </rPr>
      <t>with initial lead upto 1 km and all lifts. ( Cement content : 350 kg / cum with use of super plasticiser, CA : 0.80 cum, Blending Ratio of CA--65:35, FA : 0.44 cum)</t>
    </r>
  </si>
  <si>
    <r>
      <t xml:space="preserve">Providing and laying </t>
    </r>
    <r>
      <rPr>
        <b/>
        <sz val="14"/>
        <rFont val="Cambria"/>
        <family val="1"/>
      </rPr>
      <t>insitu M- 25</t>
    </r>
    <r>
      <rPr>
        <sz val="14"/>
        <rFont val="Cambria"/>
        <family val="1"/>
      </rPr>
      <t xml:space="preserve"> </t>
    </r>
    <r>
      <rPr>
        <sz val="14"/>
        <rFont val="Arial"/>
        <family val="2"/>
      </rPr>
      <t xml:space="preserve">( 28 days cube compressive strength not less than 25 N / sq mm ) grade cement concrete using </t>
    </r>
    <r>
      <rPr>
        <b/>
        <sz val="14"/>
        <rFont val="Cambria"/>
        <family val="1"/>
      </rPr>
      <t>20 mm down</t>
    </r>
    <r>
      <rPr>
        <sz val="14"/>
        <rFont val="Cambria"/>
        <family val="1"/>
      </rPr>
      <t xml:space="preserve"> size </t>
    </r>
    <r>
      <rPr>
        <sz val="14"/>
        <rFont val="Arial"/>
        <family val="2"/>
      </rPr>
      <t xml:space="preserve">approved, clean, hard, graded aggregates for </t>
    </r>
    <r>
      <rPr>
        <sz val="14"/>
        <rFont val="Cambria"/>
        <family val="1"/>
      </rPr>
      <t xml:space="preserve">wearing coat </t>
    </r>
    <r>
      <rPr>
        <sz val="14"/>
        <rFont val="Arial"/>
        <family val="2"/>
      </rPr>
      <t xml:space="preserve">including cost of all materials, machinery, labour, formwork, cleaning, batching, mixing, placing in position in alternate panels, levelling, compacting, finishing, curing, packing joints with asphalt mortar etc., </t>
    </r>
    <r>
      <rPr>
        <b/>
        <sz val="14"/>
        <rFont val="Arial"/>
        <family val="2"/>
      </rPr>
      <t xml:space="preserve">complete </t>
    </r>
    <r>
      <rPr>
        <b/>
        <sz val="14"/>
        <rFont val="Cambria"/>
        <family val="1"/>
      </rPr>
      <t>with initial lead upto 1 km and all lifts. ( Cement content : 380 kg / cum with use of super plasticiser, CA : 0.80 cum, Blending Ratio of CA--65:35, FA : 0.45 cum)</t>
    </r>
  </si>
  <si>
    <r>
      <t xml:space="preserve">Pre-cooling to control placement temperature of cement concrete in the range of 18 to 21 C at the concrete placement point by inundation of coarse aggregates and adding flaked ice as part of mixing water including cost of all materials, machinery, labour etc., </t>
    </r>
    <r>
      <rPr>
        <b/>
        <sz val="14"/>
        <rFont val="Arial"/>
        <family val="2"/>
      </rPr>
      <t xml:space="preserve">complete </t>
    </r>
    <r>
      <rPr>
        <b/>
        <sz val="14"/>
        <rFont val="Cambria"/>
        <family val="1"/>
      </rPr>
      <t>with all leads and lifts</t>
    </r>
    <r>
      <rPr>
        <sz val="14"/>
        <rFont val="Cambria"/>
        <family val="1"/>
      </rPr>
      <t>.</t>
    </r>
  </si>
  <si>
    <r>
      <t xml:space="preserve">Conveying and </t>
    </r>
    <r>
      <rPr>
        <sz val="14"/>
        <rFont val="Cambria"/>
        <family val="1"/>
      </rPr>
      <t>fixing elastomeric bearing</t>
    </r>
    <r>
      <rPr>
        <sz val="14"/>
        <rFont val="Arial"/>
        <family val="2"/>
      </rPr>
      <t xml:space="preserve"> for spillway bridge including cleaning and preparing surface, mixing and applying adhesive, fixing bearing in correct position etc., including cost of all materials except bearings, machinery, labour etc., </t>
    </r>
    <r>
      <rPr>
        <b/>
        <sz val="14"/>
        <rFont val="Arial"/>
        <family val="2"/>
      </rPr>
      <t>complete with all leads and lifts.</t>
    </r>
  </si>
  <si>
    <r>
      <t xml:space="preserve">Providing and constructing </t>
    </r>
    <r>
      <rPr>
        <b/>
        <sz val="14"/>
        <rFont val="Arial"/>
        <family val="2"/>
      </rPr>
      <t xml:space="preserve">150 mm dia </t>
    </r>
    <r>
      <rPr>
        <b/>
        <sz val="14"/>
        <rFont val="Cambria"/>
        <family val="1"/>
      </rPr>
      <t>hume pipe weep holes</t>
    </r>
    <r>
      <rPr>
        <b/>
        <sz val="14"/>
        <rFont val="Arial"/>
        <family val="2"/>
      </rPr>
      <t xml:space="preserve"> for concrete / masonry walls</t>
    </r>
    <r>
      <rPr>
        <sz val="14"/>
        <rFont val="Arial"/>
        <family val="2"/>
      </rPr>
      <t xml:space="preserve"> including providing 20 x 20 x 20 cm size porous concrete block made of cement and </t>
    </r>
    <r>
      <rPr>
        <b/>
        <sz val="14"/>
        <rFont val="Cambria"/>
        <family val="1"/>
      </rPr>
      <t>20 mm down</t>
    </r>
    <r>
      <rPr>
        <sz val="14"/>
        <rFont val="Cambria"/>
        <family val="1"/>
      </rPr>
      <t xml:space="preserve"> </t>
    </r>
    <r>
      <rPr>
        <sz val="14"/>
        <rFont val="Arial"/>
        <family val="2"/>
      </rPr>
      <t xml:space="preserve">coarse aggregate </t>
    </r>
    <r>
      <rPr>
        <sz val="14"/>
        <rFont val="Cambria"/>
        <family val="1"/>
      </rPr>
      <t xml:space="preserve">in </t>
    </r>
    <r>
      <rPr>
        <b/>
        <sz val="14"/>
        <rFont val="Cambria"/>
        <family val="1"/>
      </rPr>
      <t xml:space="preserve">1 : 4 proportion </t>
    </r>
    <r>
      <rPr>
        <sz val="14"/>
        <rFont val="Cambria"/>
        <family val="1"/>
      </rPr>
      <t xml:space="preserve">including 10 cm thick </t>
    </r>
    <r>
      <rPr>
        <sz val="14"/>
        <rFont val="Arial"/>
        <family val="2"/>
      </rPr>
      <t>sand backing at the junction of wall and soil back fill, cost of all materials, machinery, labour etc., complete</t>
    </r>
    <r>
      <rPr>
        <b/>
        <sz val="14"/>
        <rFont val="Arial"/>
        <family val="2"/>
      </rPr>
      <t xml:space="preserve"> </t>
    </r>
    <r>
      <rPr>
        <b/>
        <sz val="14"/>
        <rFont val="Cambria"/>
        <family val="1"/>
      </rPr>
      <t>with lead upto 1 km and all lifts.</t>
    </r>
  </si>
  <si>
    <r>
      <t xml:space="preserve">Providing and </t>
    </r>
    <r>
      <rPr>
        <b/>
        <sz val="14"/>
        <rFont val="Arial"/>
        <family val="2"/>
      </rPr>
      <t xml:space="preserve">forming </t>
    </r>
    <r>
      <rPr>
        <b/>
        <sz val="14"/>
        <rFont val="Cambria"/>
        <family val="1"/>
      </rPr>
      <t xml:space="preserve">expansion joint </t>
    </r>
    <r>
      <rPr>
        <b/>
        <sz val="14"/>
        <rFont val="Arial"/>
        <family val="2"/>
      </rPr>
      <t>for spillway bridge</t>
    </r>
    <r>
      <rPr>
        <sz val="14"/>
        <rFont val="Arial"/>
        <family val="2"/>
      </rPr>
      <t xml:space="preserve"> consisting of 75 x 75 x 6 mm angles 2 numbers provided with 25 cm long 12 mm dia. anchors fixed to both flanges at 15 cm c /c and 140 x 6 mm plate welded on top of one of the angle including cost of all materials, machinery, labour, providing and fixing 38 mm thick joint filler board matching the thickness of wearing coat, painting etc., </t>
    </r>
    <r>
      <rPr>
        <b/>
        <sz val="14"/>
        <rFont val="Arial"/>
        <family val="2"/>
      </rPr>
      <t xml:space="preserve">complete </t>
    </r>
    <r>
      <rPr>
        <b/>
        <sz val="14"/>
        <rFont val="Cambria"/>
        <family val="1"/>
      </rPr>
      <t>with lead upto 1 km and all lifts.</t>
    </r>
  </si>
  <si>
    <r>
      <t xml:space="preserve">Providing and constructing </t>
    </r>
    <r>
      <rPr>
        <b/>
        <sz val="14"/>
        <rFont val="Cambria"/>
        <family val="1"/>
      </rPr>
      <t>un-coursed rubble stone masonry</t>
    </r>
    <r>
      <rPr>
        <sz val="14"/>
        <rFont val="Arial"/>
        <family val="2"/>
      </rPr>
      <t xml:space="preserve"> using approved stones in </t>
    </r>
    <r>
      <rPr>
        <b/>
        <sz val="14"/>
        <rFont val="Arial"/>
        <family val="2"/>
      </rPr>
      <t>cement mortar</t>
    </r>
    <r>
      <rPr>
        <b/>
        <sz val="14"/>
        <rFont val="Cambria"/>
        <family val="1"/>
      </rPr>
      <t xml:space="preserve"> 1 : 3</t>
    </r>
    <r>
      <rPr>
        <b/>
        <sz val="14"/>
        <rFont val="Arial"/>
        <family val="2"/>
      </rPr>
      <t xml:space="preserve"> proportion</t>
    </r>
    <r>
      <rPr>
        <sz val="14"/>
        <rFont val="Arial"/>
        <family val="2"/>
      </rPr>
      <t xml:space="preserve"> including cost of all materials, machinery, labour, scaffolding, cleaning, packing mortar, wedging stone chips, curing etc., </t>
    </r>
    <r>
      <rPr>
        <b/>
        <sz val="14"/>
        <rFont val="Cambria"/>
        <family val="1"/>
      </rPr>
      <t>complete with initial lead upto 1 km and all lifts.( Cement content : 190 kg/cum of masonry, rubble stones : 0.85 cum,stone chips : 0.15 cum/cum, FA : 0.4 cum)</t>
    </r>
    <r>
      <rPr>
        <sz val="14"/>
        <rFont val="Cambria"/>
        <family val="1"/>
      </rPr>
      <t xml:space="preserve"> </t>
    </r>
  </si>
  <si>
    <r>
      <t xml:space="preserve">Providing and constructing </t>
    </r>
    <r>
      <rPr>
        <b/>
        <sz val="14"/>
        <rFont val="Cambria"/>
        <family val="1"/>
      </rPr>
      <t>un-coursed rubble stone masonry</t>
    </r>
    <r>
      <rPr>
        <sz val="14"/>
        <rFont val="Cambria"/>
        <family val="1"/>
      </rPr>
      <t xml:space="preserve"> </t>
    </r>
    <r>
      <rPr>
        <sz val="14"/>
        <rFont val="Arial"/>
        <family val="2"/>
      </rPr>
      <t xml:space="preserve">using approved stones in </t>
    </r>
    <r>
      <rPr>
        <b/>
        <sz val="14"/>
        <rFont val="Arial"/>
        <family val="2"/>
      </rPr>
      <t xml:space="preserve">cement mortar </t>
    </r>
    <r>
      <rPr>
        <b/>
        <sz val="14"/>
        <rFont val="Cambria"/>
        <family val="1"/>
      </rPr>
      <t xml:space="preserve">1 : 4 </t>
    </r>
    <r>
      <rPr>
        <b/>
        <sz val="14"/>
        <rFont val="Arial"/>
        <family val="2"/>
      </rPr>
      <t>proportion</t>
    </r>
    <r>
      <rPr>
        <sz val="14"/>
        <rFont val="Arial"/>
        <family val="2"/>
      </rPr>
      <t xml:space="preserve"> including cost of all materials, machinery, labour, scaffolding, cleaning, packing mortar, wedging stone chips, curing etc., </t>
    </r>
    <r>
      <rPr>
        <b/>
        <sz val="14"/>
        <rFont val="Arial"/>
        <family val="2"/>
      </rPr>
      <t>complete</t>
    </r>
    <r>
      <rPr>
        <b/>
        <sz val="14"/>
        <rFont val="Cambria"/>
        <family val="1"/>
      </rPr>
      <t xml:space="preserve"> with initial lead upto 1 km and all lifts.( Cement content : 143 kg/cum of masonry, rubble stones : 0.85 cum, stone chips : 0.15 cum/cum, FA : 0.4 cum)</t>
    </r>
  </si>
  <si>
    <r>
      <t xml:space="preserve">Providing and constructing </t>
    </r>
    <r>
      <rPr>
        <b/>
        <sz val="14"/>
        <rFont val="Cambria"/>
        <family val="1"/>
      </rPr>
      <t>coursed rubble face stone masonry</t>
    </r>
    <r>
      <rPr>
        <sz val="14"/>
        <rFont val="Arial"/>
        <family val="2"/>
      </rPr>
      <t xml:space="preserve"> using approved rubble stones in </t>
    </r>
    <r>
      <rPr>
        <b/>
        <sz val="14"/>
        <rFont val="Arial"/>
        <family val="2"/>
      </rPr>
      <t xml:space="preserve">cement mortar </t>
    </r>
    <r>
      <rPr>
        <b/>
        <sz val="14"/>
        <rFont val="Cambria"/>
        <family val="1"/>
      </rPr>
      <t>1 : 3</t>
    </r>
    <r>
      <rPr>
        <b/>
        <sz val="14"/>
        <rFont val="Arial"/>
        <family val="2"/>
      </rPr>
      <t xml:space="preserve"> proportion</t>
    </r>
    <r>
      <rPr>
        <sz val="14"/>
        <rFont val="Arial"/>
        <family val="2"/>
      </rPr>
      <t xml:space="preserve"> including cost of all materials, machinery, labour, scaffolding, ramps, cleaning, packing mortar, wedging stone chips, curing etc., </t>
    </r>
    <r>
      <rPr>
        <b/>
        <sz val="14"/>
        <rFont val="Arial"/>
        <family val="2"/>
      </rPr>
      <t xml:space="preserve">with </t>
    </r>
    <r>
      <rPr>
        <b/>
        <sz val="14"/>
        <rFont val="Cambria"/>
        <family val="1"/>
      </rPr>
      <t>initial lead upto 1 km and all lifts.( Thickness of the CR face assumed: 0.75 m, Cement content : 178 kg/cum of masonry, rubble stones : 0.35 cum, stone chips : 0.15 cum/cum, FA : 0.375 cum, CR stones 30 x 30 x 45 cm : 9.75 No, CR stones 30 x 30 x 60 cm : 3.25 No)</t>
    </r>
  </si>
  <si>
    <r>
      <t xml:space="preserve">Providing and constructing </t>
    </r>
    <r>
      <rPr>
        <b/>
        <sz val="14"/>
        <rFont val="Cambria"/>
        <family val="1"/>
      </rPr>
      <t>coursed rubble face stone masonry</t>
    </r>
    <r>
      <rPr>
        <sz val="14"/>
        <rFont val="Arial"/>
        <family val="2"/>
      </rPr>
      <t xml:space="preserve"> using approved rubble stones in </t>
    </r>
    <r>
      <rPr>
        <b/>
        <sz val="14"/>
        <rFont val="Arial"/>
        <family val="2"/>
      </rPr>
      <t>cement mortar 1 : 4 proportion</t>
    </r>
    <r>
      <rPr>
        <sz val="14"/>
        <rFont val="Arial"/>
        <family val="2"/>
      </rPr>
      <t xml:space="preserve"> including cost of all materials, machinery, labour, scaffolding,ramps, cleaning, packing mortar, wedging stone chips, curing etc.,</t>
    </r>
    <r>
      <rPr>
        <sz val="14"/>
        <rFont val="Cambria"/>
        <family val="1"/>
      </rPr>
      <t xml:space="preserve"> </t>
    </r>
    <r>
      <rPr>
        <b/>
        <sz val="14"/>
        <rFont val="Cambria"/>
        <family val="1"/>
      </rPr>
      <t>with initial lead upto 1 km and all lifts. ( Cement content : 134 kg/cum of masonry, rubble stones : 0.35 cum, stone chips : 0.15 cum/cum, FA : 0.375 cum, CR stones 30 x 30 x 45 cm : 9.75 No, CR stones 30 x 30 x 60 cm : 3.25 No)</t>
    </r>
  </si>
  <si>
    <r>
      <t xml:space="preserve">Providing and constructing </t>
    </r>
    <r>
      <rPr>
        <b/>
        <sz val="14"/>
        <rFont val="Cambria"/>
        <family val="1"/>
      </rPr>
      <t>chisel drafted and hammer dressed face stone masonry</t>
    </r>
    <r>
      <rPr>
        <sz val="14"/>
        <rFont val="Arial"/>
        <family val="2"/>
      </rPr>
      <t xml:space="preserve"> with approved stones in </t>
    </r>
    <r>
      <rPr>
        <b/>
        <sz val="14"/>
        <rFont val="Arial"/>
        <family val="2"/>
      </rPr>
      <t>cement mortar</t>
    </r>
    <r>
      <rPr>
        <b/>
        <sz val="14"/>
        <rFont val="Cambria"/>
        <family val="1"/>
      </rPr>
      <t xml:space="preserve"> 1 : 3 </t>
    </r>
    <r>
      <rPr>
        <b/>
        <sz val="14"/>
        <rFont val="Arial"/>
        <family val="2"/>
      </rPr>
      <t>proportion</t>
    </r>
    <r>
      <rPr>
        <sz val="14"/>
        <rFont val="Arial"/>
        <family val="2"/>
      </rPr>
      <t xml:space="preserve"> including cost of all materials, machinery, labour, scaffolding, ramps, cleaning, packing mortar, wedging stone chips, curing etc.,complete </t>
    </r>
    <r>
      <rPr>
        <b/>
        <sz val="14"/>
        <rFont val="Cambria"/>
        <family val="1"/>
      </rPr>
      <t>with initial lead upto 1 km and all lifts.( Cement content : 167 kg/cum of masonry, rubble stones : 0.35 cum, stone chips : 0.15 cum/cum, FA : 0.35 cum, Dressed stones 30 x 30 x 45 cm : 10 No, Dressed stones 30 x 30 x 60 cm : 3.40 No)</t>
    </r>
  </si>
  <si>
    <r>
      <t xml:space="preserve">Providing and constructing </t>
    </r>
    <r>
      <rPr>
        <b/>
        <sz val="14"/>
        <rFont val="Cambria"/>
        <family val="1"/>
      </rPr>
      <t>chisel drafted and hammer dressed face stone masonry</t>
    </r>
    <r>
      <rPr>
        <sz val="14"/>
        <rFont val="Arial"/>
        <family val="2"/>
      </rPr>
      <t xml:space="preserve"> with approved stones in </t>
    </r>
    <r>
      <rPr>
        <b/>
        <sz val="14"/>
        <rFont val="Arial"/>
        <family val="2"/>
      </rPr>
      <t xml:space="preserve">cement mortar </t>
    </r>
    <r>
      <rPr>
        <b/>
        <sz val="14"/>
        <rFont val="Cambria"/>
        <family val="1"/>
      </rPr>
      <t xml:space="preserve">1 : 4 </t>
    </r>
    <r>
      <rPr>
        <b/>
        <sz val="14"/>
        <rFont val="Arial"/>
        <family val="2"/>
      </rPr>
      <t>proportion</t>
    </r>
    <r>
      <rPr>
        <sz val="14"/>
        <rFont val="Arial"/>
        <family val="2"/>
      </rPr>
      <t xml:space="preserve"> including cost of all materials, machinery, labour, scaffolding, ramps, cleaning, packing mortar, wedging stone chips, curing etc.,complete </t>
    </r>
    <r>
      <rPr>
        <b/>
        <sz val="14"/>
        <rFont val="Cambria"/>
        <family val="1"/>
      </rPr>
      <t>with initial lead upto 1 km and all lifts.( Cement content : 125 kg/cum of masonry, rubble stones : 0.35 cum, stone chips : 0.15 cum/cum, FA : 0.35 cum, Dressed stones 30 x 30 x 45 cm : 10 No, Dressed stones 30 x 30 x 60 cm : 3.40 No</t>
    </r>
    <r>
      <rPr>
        <sz val="14"/>
        <rFont val="Cambria"/>
        <family val="1"/>
      </rPr>
      <t>)</t>
    </r>
  </si>
  <si>
    <r>
      <t xml:space="preserve">Providing </t>
    </r>
    <r>
      <rPr>
        <b/>
        <sz val="14"/>
        <rFont val="Cambria"/>
        <family val="1"/>
      </rPr>
      <t>cement mortar pointing</t>
    </r>
    <r>
      <rPr>
        <b/>
        <sz val="14"/>
        <rFont val="Arial"/>
        <family val="2"/>
      </rPr>
      <t xml:space="preserve"> to coursed rubble face stone masonry</t>
    </r>
    <r>
      <rPr>
        <sz val="14"/>
        <rFont val="Arial"/>
        <family val="2"/>
      </rPr>
      <t xml:space="preserve"> 50 mm deep in </t>
    </r>
    <r>
      <rPr>
        <b/>
        <sz val="14"/>
        <rFont val="Arial"/>
        <family val="2"/>
      </rPr>
      <t xml:space="preserve">CM </t>
    </r>
    <r>
      <rPr>
        <b/>
        <sz val="14"/>
        <rFont val="Cambria"/>
        <family val="1"/>
      </rPr>
      <t xml:space="preserve">1 : 2 </t>
    </r>
    <r>
      <rPr>
        <b/>
        <sz val="14"/>
        <rFont val="Arial"/>
        <family val="2"/>
      </rPr>
      <t>proportion</t>
    </r>
    <r>
      <rPr>
        <sz val="14"/>
        <rFont val="Arial"/>
        <family val="2"/>
      </rPr>
      <t xml:space="preserve"> by volume including raking and cleaning joints, pressing mortar into joints, cost of all materials, labour, scaffolding, finishing, curing etc., </t>
    </r>
    <r>
      <rPr>
        <b/>
        <sz val="14"/>
        <rFont val="Arial"/>
        <family val="2"/>
      </rPr>
      <t xml:space="preserve">complete with </t>
    </r>
    <r>
      <rPr>
        <b/>
        <sz val="14"/>
        <rFont val="Cambria"/>
        <family val="1"/>
      </rPr>
      <t>initial lead upto 1 km and all lifts.</t>
    </r>
  </si>
  <si>
    <r>
      <t xml:space="preserve">Providing </t>
    </r>
    <r>
      <rPr>
        <b/>
        <sz val="14"/>
        <rFont val="Cambria"/>
        <family val="1"/>
      </rPr>
      <t>cement mortar pointing</t>
    </r>
    <r>
      <rPr>
        <b/>
        <sz val="14"/>
        <rFont val="Arial"/>
        <family val="2"/>
      </rPr>
      <t xml:space="preserve"> to coursed rubble face stone masonry</t>
    </r>
    <r>
      <rPr>
        <sz val="14"/>
        <rFont val="Arial"/>
        <family val="2"/>
      </rPr>
      <t xml:space="preserve"> 50 mm deep in </t>
    </r>
    <r>
      <rPr>
        <b/>
        <sz val="14"/>
        <rFont val="Arial"/>
        <family val="2"/>
      </rPr>
      <t xml:space="preserve">CM </t>
    </r>
    <r>
      <rPr>
        <b/>
        <sz val="14"/>
        <rFont val="Cambria"/>
        <family val="1"/>
      </rPr>
      <t xml:space="preserve">1 : 3 </t>
    </r>
    <r>
      <rPr>
        <b/>
        <sz val="14"/>
        <rFont val="Arial"/>
        <family val="2"/>
      </rPr>
      <t>proportion</t>
    </r>
    <r>
      <rPr>
        <sz val="14"/>
        <rFont val="Arial"/>
        <family val="2"/>
      </rPr>
      <t xml:space="preserve"> by volume including raking and cleaning joints, pressing mortar into joints, cost of all materials, labour, scaffolding, finishing, curing etc., complete </t>
    </r>
    <r>
      <rPr>
        <b/>
        <sz val="14"/>
        <rFont val="Arial"/>
        <family val="2"/>
      </rPr>
      <t xml:space="preserve">with </t>
    </r>
    <r>
      <rPr>
        <b/>
        <sz val="14"/>
        <rFont val="Cambria"/>
        <family val="1"/>
      </rPr>
      <t>initial lead upto 1 km and all lifts.</t>
    </r>
  </si>
  <si>
    <r>
      <t xml:space="preserve">Providing </t>
    </r>
    <r>
      <rPr>
        <b/>
        <sz val="14"/>
        <rFont val="Cambria"/>
        <family val="1"/>
      </rPr>
      <t>25 mm thick guniting</t>
    </r>
    <r>
      <rPr>
        <b/>
        <sz val="14"/>
        <rFont val="Arial"/>
        <family val="2"/>
      </rPr>
      <t xml:space="preserve"> to rock or masonry surface</t>
    </r>
    <r>
      <rPr>
        <sz val="14"/>
        <rFont val="Arial"/>
        <family val="2"/>
      </rPr>
      <t xml:space="preserve"> in </t>
    </r>
    <r>
      <rPr>
        <b/>
        <sz val="14"/>
        <rFont val="Cambria"/>
        <family val="1"/>
      </rPr>
      <t>cement mortar 1 : 3</t>
    </r>
    <r>
      <rPr>
        <b/>
        <sz val="14"/>
        <rFont val="Arial"/>
        <family val="2"/>
      </rPr>
      <t xml:space="preserve"> proportion</t>
    </r>
    <r>
      <rPr>
        <sz val="14"/>
        <rFont val="Arial"/>
        <family val="2"/>
      </rPr>
      <t xml:space="preserve"> by weight including cost of all materials, machinery, labour, raking-out and cleaning joints, scaffolding wherever required and all other ancillary operations etc., complete </t>
    </r>
    <r>
      <rPr>
        <b/>
        <sz val="14"/>
        <rFont val="Cambria"/>
        <family val="1"/>
      </rPr>
      <t>with initial lead upto 1 km and all lifts.</t>
    </r>
  </si>
  <si>
    <r>
      <t xml:space="preserve">Providing and </t>
    </r>
    <r>
      <rPr>
        <b/>
        <sz val="14"/>
        <rFont val="Arial"/>
        <family val="2"/>
      </rPr>
      <t xml:space="preserve">constructing </t>
    </r>
    <r>
      <rPr>
        <b/>
        <sz val="14"/>
        <rFont val="Cambria"/>
        <family val="1"/>
      </rPr>
      <t>contraction joints</t>
    </r>
    <r>
      <rPr>
        <sz val="14"/>
        <rFont val="Arial"/>
        <family val="2"/>
      </rPr>
      <t xml:space="preserve"> by fixing 16 SWG 60 cm wide annealed </t>
    </r>
    <r>
      <rPr>
        <sz val="14"/>
        <rFont val="Cambria"/>
        <family val="1"/>
      </rPr>
      <t xml:space="preserve">copper sheets </t>
    </r>
    <r>
      <rPr>
        <sz val="14"/>
        <rFont val="Arial"/>
        <family val="2"/>
      </rPr>
      <t xml:space="preserve">in two lines with 8 mm dia steel dowel rods on either side at one metre interval, forming 125 x 125 mm size groove in between copper strips for filling asphalt including fixing 15 mm dia two legged G.I pipe with U - bend at bottom for circulation of steam at intervals and forming 150 mm dia formed drain behind water seals including cost of all materials, machinery, labour, filling asphalt, circulation of steam through pipes etc., </t>
    </r>
    <r>
      <rPr>
        <b/>
        <sz val="14"/>
        <rFont val="Cambria"/>
        <family val="1"/>
      </rPr>
      <t>complete with all leads and lifts.</t>
    </r>
  </si>
  <si>
    <r>
      <t xml:space="preserve">Providing and </t>
    </r>
    <r>
      <rPr>
        <b/>
        <sz val="14"/>
        <rFont val="Arial"/>
        <family val="2"/>
      </rPr>
      <t xml:space="preserve">constructing </t>
    </r>
    <r>
      <rPr>
        <b/>
        <sz val="14"/>
        <rFont val="Cambria"/>
        <family val="1"/>
      </rPr>
      <t>contraction joints</t>
    </r>
    <r>
      <rPr>
        <sz val="14"/>
        <rFont val="Arial"/>
        <family val="2"/>
      </rPr>
      <t xml:space="preserve"> by fixing 310 mm wide central bulb type approved quality PVC water stop in two lines with 8 mm diameter steel dowel rods on either side at 1m interval, forming 125 x 125 mm size groove in between two water stops, providing &amp; fixing 15 mm dia two legged G.I pipe with U-bend at bottom for circulation steam at interval, forming </t>
    </r>
    <r>
      <rPr>
        <sz val="14"/>
        <rFont val="Cambria"/>
        <family val="1"/>
      </rPr>
      <t>150 mm</t>
    </r>
    <r>
      <rPr>
        <sz val="14"/>
        <rFont val="Arial"/>
        <family val="2"/>
      </rPr>
      <t xml:space="preserve"> diameter formed drain behind water seals including filling groove with asphalt, circulation of steam at intervals, cost of all materials, machinery, labour etc.,</t>
    </r>
    <r>
      <rPr>
        <sz val="14"/>
        <rFont val="Cambria"/>
        <family val="1"/>
      </rPr>
      <t xml:space="preserve"> </t>
    </r>
    <r>
      <rPr>
        <b/>
        <sz val="14"/>
        <rFont val="Cambria"/>
        <family val="1"/>
      </rPr>
      <t>complete with all leads and lifts.</t>
    </r>
  </si>
  <si>
    <r>
      <t xml:space="preserve">Providing and </t>
    </r>
    <r>
      <rPr>
        <b/>
        <sz val="14"/>
        <rFont val="Arial"/>
        <family val="2"/>
      </rPr>
      <t xml:space="preserve">constructing </t>
    </r>
    <r>
      <rPr>
        <b/>
        <sz val="14"/>
        <rFont val="Cambria"/>
        <family val="1"/>
      </rPr>
      <t>contraction joints</t>
    </r>
    <r>
      <rPr>
        <sz val="14"/>
        <rFont val="Arial"/>
        <family val="2"/>
      </rPr>
      <t xml:space="preserve"> by fixing 16 SWG 60 cm wide annealed</t>
    </r>
    <r>
      <rPr>
        <sz val="14"/>
        <rFont val="Cambria"/>
        <family val="1"/>
      </rPr>
      <t xml:space="preserve"> copper sheets </t>
    </r>
    <r>
      <rPr>
        <sz val="14"/>
        <rFont val="Arial"/>
        <family val="2"/>
      </rPr>
      <t xml:space="preserve">in single line with 8 mm dia steel dowel rods on either side at 1 metre interval including cost of all materials, machinery, labour etc., </t>
    </r>
    <r>
      <rPr>
        <sz val="14"/>
        <rFont val="Cambria"/>
        <family val="1"/>
      </rPr>
      <t>complete with all leads and lifts.</t>
    </r>
  </si>
  <si>
    <r>
      <t xml:space="preserve">Providing and </t>
    </r>
    <r>
      <rPr>
        <b/>
        <sz val="14"/>
        <rFont val="Arial"/>
        <family val="2"/>
      </rPr>
      <t xml:space="preserve">constructing </t>
    </r>
    <r>
      <rPr>
        <b/>
        <sz val="14"/>
        <rFont val="Cambria"/>
        <family val="1"/>
      </rPr>
      <t>contraction joints</t>
    </r>
    <r>
      <rPr>
        <sz val="14"/>
        <rFont val="Arial"/>
        <family val="2"/>
      </rPr>
      <t xml:space="preserve"> by fixing 23 cm wide central bulb type </t>
    </r>
    <r>
      <rPr>
        <sz val="14"/>
        <rFont val="Cambria"/>
        <family val="1"/>
      </rPr>
      <t xml:space="preserve">PVC </t>
    </r>
    <r>
      <rPr>
        <sz val="14"/>
        <rFont val="Arial"/>
        <family val="2"/>
      </rPr>
      <t xml:space="preserve">water stop in single line supported by 10 mm dia steel dowel rods on either side at 1 metre interval including cost of all materials, machinery, labour, valcunising joints etc., </t>
    </r>
    <r>
      <rPr>
        <b/>
        <sz val="14"/>
        <rFont val="Cambria"/>
        <family val="1"/>
      </rPr>
      <t>complete with all leads and lifts.</t>
    </r>
  </si>
  <si>
    <r>
      <t xml:space="preserve">Providing </t>
    </r>
    <r>
      <rPr>
        <b/>
        <sz val="14"/>
        <rFont val="Cambria"/>
        <family val="1"/>
      </rPr>
      <t>casing</t>
    </r>
    <r>
      <rPr>
        <b/>
        <sz val="14"/>
        <rFont val="Arial"/>
        <family val="2"/>
      </rPr>
      <t xml:space="preserve"> embankment</t>
    </r>
    <r>
      <rPr>
        <sz val="14"/>
        <rFont val="Arial"/>
        <family val="2"/>
      </rPr>
      <t xml:space="preserve"> </t>
    </r>
    <r>
      <rPr>
        <sz val="14"/>
        <rFont val="Cambria"/>
        <family val="1"/>
      </rPr>
      <t xml:space="preserve">using </t>
    </r>
    <r>
      <rPr>
        <b/>
        <sz val="14"/>
        <rFont val="Cambria"/>
        <family val="1"/>
      </rPr>
      <t>semi-pervious soil available from excavation</t>
    </r>
    <r>
      <rPr>
        <sz val="14"/>
        <rFont val="Arial"/>
        <family val="2"/>
      </rPr>
      <t xml:space="preserve"> in layers of</t>
    </r>
    <r>
      <rPr>
        <sz val="14"/>
        <rFont val="Cambria"/>
        <family val="1"/>
      </rPr>
      <t xml:space="preserve"> </t>
    </r>
    <r>
      <rPr>
        <b/>
        <sz val="14"/>
        <rFont val="Cambria"/>
        <family val="1"/>
      </rPr>
      <t>25 to 30 cm</t>
    </r>
    <r>
      <rPr>
        <sz val="14"/>
        <rFont val="Cambria"/>
        <family val="1"/>
      </rPr>
      <t xml:space="preserve"> </t>
    </r>
    <r>
      <rPr>
        <sz val="14"/>
        <rFont val="Arial"/>
        <family val="2"/>
      </rPr>
      <t xml:space="preserve">before compaction including cost of all materials, machinery, labour, all other operations such as re-excavation, sorting out, transportation, spreading in layers of specified thickness, breaking clods, sectioning, watering, compacting to specified density control of </t>
    </r>
    <r>
      <rPr>
        <b/>
        <sz val="14"/>
        <rFont val="Cambria"/>
        <family val="1"/>
      </rPr>
      <t>not less than 90 percent</t>
    </r>
    <r>
      <rPr>
        <sz val="14"/>
        <rFont val="Cambria"/>
        <family val="1"/>
      </rPr>
      <t xml:space="preserve"> </t>
    </r>
    <r>
      <rPr>
        <sz val="14"/>
        <rFont val="Arial"/>
        <family val="2"/>
      </rPr>
      <t xml:space="preserve">using </t>
    </r>
    <r>
      <rPr>
        <b/>
        <sz val="14"/>
        <rFont val="Arial"/>
        <family val="2"/>
      </rPr>
      <t>2Tonne Roller</t>
    </r>
    <r>
      <rPr>
        <sz val="14"/>
        <rFont val="Cambria"/>
        <family val="1"/>
      </rPr>
      <t xml:space="preserve"> </t>
    </r>
    <r>
      <rPr>
        <sz val="14"/>
        <rFont val="Arial"/>
        <family val="2"/>
      </rPr>
      <t xml:space="preserve">as stipulated etc., complete </t>
    </r>
    <r>
      <rPr>
        <b/>
        <sz val="14"/>
        <rFont val="Cambria"/>
        <family val="1"/>
      </rPr>
      <t>with initial lead upto 1 km and all lifts. (For Maintenance Works)</t>
    </r>
  </si>
  <si>
    <r>
      <t xml:space="preserve">Providing </t>
    </r>
    <r>
      <rPr>
        <b/>
        <sz val="14"/>
        <rFont val="Cambria"/>
        <family val="1"/>
      </rPr>
      <t>embankment adjacent to masonry / concrete structures</t>
    </r>
    <r>
      <rPr>
        <sz val="14"/>
        <rFont val="Cambria"/>
        <family val="1"/>
      </rPr>
      <t xml:space="preserve"> and </t>
    </r>
    <r>
      <rPr>
        <b/>
        <sz val="14"/>
        <rFont val="Cambria"/>
        <family val="1"/>
      </rPr>
      <t>filling trial pits</t>
    </r>
    <r>
      <rPr>
        <sz val="14"/>
        <rFont val="Cambria"/>
        <family val="1"/>
      </rPr>
      <t xml:space="preserve"> </t>
    </r>
    <r>
      <rPr>
        <sz val="14"/>
        <rFont val="Arial"/>
        <family val="2"/>
      </rPr>
      <t xml:space="preserve">using </t>
    </r>
    <r>
      <rPr>
        <b/>
        <sz val="14"/>
        <rFont val="Arial"/>
        <family val="2"/>
      </rPr>
      <t xml:space="preserve">impervious soil from </t>
    </r>
    <r>
      <rPr>
        <b/>
        <sz val="14"/>
        <rFont val="Cambria"/>
        <family val="1"/>
      </rPr>
      <t>approved borrow areas</t>
    </r>
    <r>
      <rPr>
        <sz val="14"/>
        <rFont val="Cambria"/>
        <family val="1"/>
      </rPr>
      <t xml:space="preserve"> </t>
    </r>
    <r>
      <rPr>
        <sz val="14"/>
        <rFont val="Arial"/>
        <family val="2"/>
      </rPr>
      <t>in layers of</t>
    </r>
    <r>
      <rPr>
        <sz val="14"/>
        <rFont val="Cambria"/>
        <family val="1"/>
      </rPr>
      <t xml:space="preserve"> </t>
    </r>
    <r>
      <rPr>
        <b/>
        <sz val="14"/>
        <rFont val="Cambria"/>
        <family val="1"/>
      </rPr>
      <t xml:space="preserve">10 to 15 cm </t>
    </r>
    <r>
      <rPr>
        <sz val="14"/>
        <rFont val="Arial"/>
        <family val="2"/>
      </rPr>
      <t xml:space="preserve">and compacting each layer to </t>
    </r>
    <r>
      <rPr>
        <sz val="14"/>
        <rFont val="Cambria"/>
        <family val="1"/>
      </rPr>
      <t xml:space="preserve">density control of </t>
    </r>
    <r>
      <rPr>
        <b/>
        <sz val="14"/>
        <rFont val="Cambria"/>
        <family val="1"/>
      </rPr>
      <t>not less than 95 percent</t>
    </r>
    <r>
      <rPr>
        <sz val="14"/>
        <rFont val="Cambria"/>
        <family val="1"/>
      </rPr>
      <t xml:space="preserve"> using </t>
    </r>
    <r>
      <rPr>
        <b/>
        <sz val="14"/>
        <rFont val="Cambria"/>
        <family val="1"/>
      </rPr>
      <t xml:space="preserve">pneumatic tampers or by vibratory earth rammers </t>
    </r>
    <r>
      <rPr>
        <sz val="14"/>
        <rFont val="Arial"/>
        <family val="2"/>
      </rPr>
      <t xml:space="preserve">including cost of all materials, machinery, labour, picking previous layer, spreading soil in layer, breaking clods, watering etc., </t>
    </r>
    <r>
      <rPr>
        <sz val="14"/>
        <rFont val="Cambria"/>
        <family val="1"/>
      </rPr>
      <t xml:space="preserve">complete </t>
    </r>
    <r>
      <rPr>
        <b/>
        <sz val="14"/>
        <rFont val="Cambria"/>
        <family val="1"/>
      </rPr>
      <t>with initial lead upto 1 km and all lifts.</t>
    </r>
  </si>
  <si>
    <r>
      <t xml:space="preserve">Providing and </t>
    </r>
    <r>
      <rPr>
        <b/>
        <sz val="14"/>
        <rFont val="Arial"/>
        <family val="2"/>
      </rPr>
      <t xml:space="preserve">constructing </t>
    </r>
    <r>
      <rPr>
        <b/>
        <sz val="14"/>
        <rFont val="Cambria"/>
        <family val="1"/>
      </rPr>
      <t>rockfill embankment</t>
    </r>
    <r>
      <rPr>
        <sz val="14"/>
        <rFont val="Cambria"/>
        <family val="1"/>
      </rPr>
      <t xml:space="preserve"> with 300 mm down graded stones</t>
    </r>
    <r>
      <rPr>
        <sz val="14"/>
        <rFont val="Arial"/>
        <family val="2"/>
      </rPr>
      <t xml:space="preserve"> and quarry spalls from </t>
    </r>
    <r>
      <rPr>
        <b/>
        <sz val="14"/>
        <rFont val="Arial"/>
        <family val="2"/>
      </rPr>
      <t>approved source</t>
    </r>
    <r>
      <rPr>
        <sz val="14"/>
        <rFont val="Arial"/>
        <family val="2"/>
      </rPr>
      <t xml:space="preserve"> including cost of all materials, machinery, labour, spreading stones and spalls in layers, hand packing, wedging, finishing the surface to required slopes etc., </t>
    </r>
    <r>
      <rPr>
        <b/>
        <sz val="14"/>
        <rFont val="Arial"/>
        <family val="2"/>
      </rPr>
      <t xml:space="preserve">complete </t>
    </r>
    <r>
      <rPr>
        <b/>
        <sz val="14"/>
        <rFont val="Cambria"/>
        <family val="1"/>
      </rPr>
      <t>with initial lead upto 1 km and all lifts.</t>
    </r>
  </si>
  <si>
    <r>
      <t xml:space="preserve">Providing and </t>
    </r>
    <r>
      <rPr>
        <b/>
        <sz val="14"/>
        <rFont val="Arial"/>
        <family val="2"/>
      </rPr>
      <t xml:space="preserve">constructing </t>
    </r>
    <r>
      <rPr>
        <b/>
        <sz val="14"/>
        <rFont val="Cambria"/>
        <family val="1"/>
      </rPr>
      <t>dry rubble rock-toe</t>
    </r>
    <r>
      <rPr>
        <sz val="14"/>
        <rFont val="Cambria"/>
        <family val="1"/>
      </rPr>
      <t xml:space="preserve"> using rubble and stone chips from </t>
    </r>
    <r>
      <rPr>
        <b/>
        <sz val="14"/>
        <rFont val="Cambria"/>
        <family val="1"/>
      </rPr>
      <t>approved source</t>
    </r>
    <r>
      <rPr>
        <sz val="14"/>
        <rFont val="Cambria"/>
        <family val="1"/>
      </rPr>
      <t xml:space="preserve"> </t>
    </r>
    <r>
      <rPr>
        <sz val="14"/>
        <rFont val="Arial"/>
        <family val="2"/>
      </rPr>
      <t>including cost of all materials, machinery, labour, hand packing rubble and stone chips, finishing top and sides to required slopes etc.,</t>
    </r>
    <r>
      <rPr>
        <sz val="14"/>
        <rFont val="Cambria"/>
        <family val="1"/>
      </rPr>
      <t xml:space="preserve"> complete</t>
    </r>
    <r>
      <rPr>
        <b/>
        <sz val="14"/>
        <rFont val="Cambria"/>
        <family val="1"/>
      </rPr>
      <t xml:space="preserve"> with initial lead upto 1 km and all lifts.</t>
    </r>
  </si>
  <si>
    <r>
      <t xml:space="preserve">Providing and </t>
    </r>
    <r>
      <rPr>
        <b/>
        <sz val="14"/>
        <rFont val="Arial"/>
        <family val="2"/>
      </rPr>
      <t xml:space="preserve">constructing </t>
    </r>
    <r>
      <rPr>
        <b/>
        <sz val="14"/>
        <rFont val="Cambria"/>
        <family val="1"/>
      </rPr>
      <t>dry rubble rock-toe</t>
    </r>
    <r>
      <rPr>
        <sz val="14"/>
        <rFont val="Cambria"/>
        <family val="1"/>
      </rPr>
      <t xml:space="preserve"> with rubble and stone chips from </t>
    </r>
    <r>
      <rPr>
        <b/>
        <sz val="14"/>
        <rFont val="Cambria"/>
        <family val="1"/>
      </rPr>
      <t>dump yard</t>
    </r>
    <r>
      <rPr>
        <sz val="14"/>
        <rFont val="Cambria"/>
        <family val="1"/>
      </rPr>
      <t xml:space="preserve"> </t>
    </r>
    <r>
      <rPr>
        <sz val="14"/>
        <rFont val="Arial"/>
        <family val="2"/>
      </rPr>
      <t xml:space="preserve">including cost of all materials, machinery, labour, hand packing rubble and stone chips, finishing top and sides to required slopes etc., </t>
    </r>
    <r>
      <rPr>
        <sz val="14"/>
        <rFont val="Cambria"/>
        <family val="1"/>
      </rPr>
      <t xml:space="preserve">complete </t>
    </r>
    <r>
      <rPr>
        <b/>
        <sz val="14"/>
        <rFont val="Cambria"/>
        <family val="1"/>
      </rPr>
      <t xml:space="preserve">with initial lead upto 1 km and all lifts. </t>
    </r>
    <r>
      <rPr>
        <sz val="14"/>
        <rFont val="Cambria"/>
        <family val="1"/>
      </rPr>
      <t xml:space="preserve">
Note: </t>
    </r>
    <r>
      <rPr>
        <sz val="14"/>
        <rFont val="Arial"/>
        <family val="2"/>
      </rPr>
      <t>Useful rubble and stone chips will be issued at dump yard at the issue rate for usefull rubble /stone chips. Sorting out and breaking charges included in rate analysis.</t>
    </r>
  </si>
  <si>
    <r>
      <t xml:space="preserve">Providing and </t>
    </r>
    <r>
      <rPr>
        <b/>
        <sz val="14"/>
        <rFont val="Arial"/>
        <family val="2"/>
      </rPr>
      <t xml:space="preserve">laying 30 cm diameter </t>
    </r>
    <r>
      <rPr>
        <b/>
        <sz val="14"/>
        <rFont val="Cambria"/>
        <family val="1"/>
      </rPr>
      <t>open jointed hume pipes with collars in rock-toe</t>
    </r>
    <r>
      <rPr>
        <sz val="14"/>
        <rFont val="Arial"/>
        <family val="2"/>
      </rPr>
      <t xml:space="preserve"> for drainage including cost of all materials, machinery, labour etc., </t>
    </r>
    <r>
      <rPr>
        <b/>
        <sz val="14"/>
        <rFont val="Cambria"/>
        <family val="1"/>
      </rPr>
      <t>complete with lead upto 1 km and all lifts.</t>
    </r>
  </si>
  <si>
    <r>
      <t xml:space="preserve">Providing and </t>
    </r>
    <r>
      <rPr>
        <b/>
        <sz val="14"/>
        <rFont val="Arial"/>
        <family val="2"/>
      </rPr>
      <t xml:space="preserve">constructing 1.20 m internal diameter and average 3 m height </t>
    </r>
    <r>
      <rPr>
        <b/>
        <sz val="14"/>
        <rFont val="Cambria"/>
        <family val="1"/>
      </rPr>
      <t>RCC manhole</t>
    </r>
    <r>
      <rPr>
        <sz val="14"/>
        <rFont val="Arial"/>
        <family val="2"/>
      </rPr>
      <t xml:space="preserve"> with 60 cm dia. top cover in </t>
    </r>
    <r>
      <rPr>
        <b/>
        <sz val="14"/>
        <rFont val="Cambria"/>
        <family val="1"/>
      </rPr>
      <t>M-15</t>
    </r>
    <r>
      <rPr>
        <sz val="14"/>
        <rFont val="Cambria"/>
        <family val="1"/>
      </rPr>
      <t xml:space="preserve"> </t>
    </r>
    <r>
      <rPr>
        <sz val="14"/>
        <rFont val="Arial"/>
        <family val="2"/>
      </rPr>
      <t xml:space="preserve">grade cement concrete using </t>
    </r>
    <r>
      <rPr>
        <b/>
        <sz val="14"/>
        <rFont val="Arial"/>
        <family val="2"/>
      </rPr>
      <t>20 mm down graded</t>
    </r>
    <r>
      <rPr>
        <sz val="14"/>
        <rFont val="Arial"/>
        <family val="2"/>
      </rPr>
      <t xml:space="preserve">, clean, hard coarse aggregate, 20 cm thick for bed / sides / top slab / 1.5 m long cut-off wall and 7.5 cm thick for cover including providing 12 mm dia reinforcement bars at 30 cm c / c bothways for bed / sides / cut-off wall / top slab / rungs and 8 mm dia bars at 15 cm c / c bothways for cover, excavation for foundation, providing 30 cm dia hume pipe outlet, cost of all materials, machinery, labour, formwork, scaffolding, batching, mixing, laying, vibrating, finishing, curing etc., </t>
    </r>
    <r>
      <rPr>
        <b/>
        <sz val="14"/>
        <rFont val="Cambria"/>
        <family val="1"/>
      </rPr>
      <t>complete with lead upto 1 km and all lifts.( Cement content : 300 kg/cum , CA : 0.80 cum, Blending Ratioof CA -- 65:35,FA : 0.44 cum, superplasticizer (0.4% by wt. of cement</t>
    </r>
    <r>
      <rPr>
        <sz val="14"/>
        <rFont val="Cambria"/>
        <family val="1"/>
      </rPr>
      <t>)</t>
    </r>
  </si>
  <si>
    <r>
      <t xml:space="preserve">Providing and </t>
    </r>
    <r>
      <rPr>
        <b/>
        <sz val="14"/>
        <rFont val="Arial"/>
        <family val="2"/>
      </rPr>
      <t xml:space="preserve">constructing </t>
    </r>
    <r>
      <rPr>
        <b/>
        <sz val="14"/>
        <rFont val="Cambria"/>
        <family val="1"/>
      </rPr>
      <t>longitudinal and cross graded filter drains</t>
    </r>
    <r>
      <rPr>
        <sz val="14"/>
        <rFont val="Arial"/>
        <family val="2"/>
      </rPr>
      <t xml:space="preserve"> using </t>
    </r>
    <r>
      <rPr>
        <sz val="14"/>
        <rFont val="Cambria"/>
        <family val="1"/>
      </rPr>
      <t xml:space="preserve">sand and 80-20 mm and 20 mm </t>
    </r>
    <r>
      <rPr>
        <sz val="14"/>
        <rFont val="Arial"/>
        <family val="2"/>
      </rPr>
      <t xml:space="preserve">down graded aggregates </t>
    </r>
    <r>
      <rPr>
        <b/>
        <sz val="14"/>
        <rFont val="Arial"/>
        <family val="2"/>
      </rPr>
      <t>satisfying specified filter creteria</t>
    </r>
    <r>
      <rPr>
        <sz val="14"/>
        <rFont val="Arial"/>
        <family val="2"/>
      </rPr>
      <t xml:space="preserve"> in layers as per specifications including cost of all materials, machinery, labour, laying to required slopes, compaction etc. complete </t>
    </r>
    <r>
      <rPr>
        <b/>
        <sz val="14"/>
        <rFont val="Arial"/>
        <family val="2"/>
      </rPr>
      <t xml:space="preserve">with </t>
    </r>
    <r>
      <rPr>
        <b/>
        <sz val="14"/>
        <rFont val="Cambria"/>
        <family val="1"/>
      </rPr>
      <t>initial lead upto 50 m and all lifts.</t>
    </r>
  </si>
  <si>
    <r>
      <t xml:space="preserve">Providing and </t>
    </r>
    <r>
      <rPr>
        <b/>
        <sz val="14"/>
        <rFont val="Arial"/>
        <family val="2"/>
      </rPr>
      <t xml:space="preserve">constructing 1.40 m thick </t>
    </r>
    <r>
      <rPr>
        <b/>
        <sz val="14"/>
        <rFont val="Cambria"/>
        <family val="1"/>
      </rPr>
      <t>vertical or inclined graded filter</t>
    </r>
    <r>
      <rPr>
        <sz val="14"/>
        <rFont val="Arial"/>
        <family val="2"/>
      </rPr>
      <t xml:space="preserve"> media consisting of </t>
    </r>
    <r>
      <rPr>
        <b/>
        <sz val="14"/>
        <rFont val="Cambria"/>
        <family val="1"/>
      </rPr>
      <t>20 cm thick</t>
    </r>
    <r>
      <rPr>
        <b/>
        <sz val="14"/>
        <rFont val="Arial"/>
        <family val="2"/>
      </rPr>
      <t xml:space="preserve"> sand layers, 25 cm thick 20 mm down coarse aggregate layer</t>
    </r>
    <r>
      <rPr>
        <sz val="14"/>
        <rFont val="Arial"/>
        <family val="2"/>
      </rPr>
      <t xml:space="preserve">s and 50 cm thick 80-20 mm coarse aggregate layer using approved materials satisfying specified filter creteria as per specifications including cost of all materials, machinery, labour, laying to required slope, compaction etc., complete </t>
    </r>
    <r>
      <rPr>
        <b/>
        <sz val="14"/>
        <rFont val="Cambria"/>
        <family val="1"/>
      </rPr>
      <t>with initial lead upto 50 m and all lifts.</t>
    </r>
  </si>
  <si>
    <r>
      <t xml:space="preserve">Providing and </t>
    </r>
    <r>
      <rPr>
        <b/>
        <sz val="14"/>
        <rFont val="Arial"/>
        <family val="2"/>
      </rPr>
      <t xml:space="preserve">constructing graded </t>
    </r>
    <r>
      <rPr>
        <b/>
        <sz val="14"/>
        <rFont val="Cambria"/>
        <family val="1"/>
      </rPr>
      <t>filter media below and behind rock-toe</t>
    </r>
    <r>
      <rPr>
        <sz val="14"/>
        <rFont val="Arial"/>
        <family val="2"/>
      </rPr>
      <t xml:space="preserve"> consisting of </t>
    </r>
    <r>
      <rPr>
        <b/>
        <sz val="14"/>
        <rFont val="Arial"/>
        <family val="2"/>
      </rPr>
      <t>20 cm thick sand, 25 cm thick 20 - 4.75 mm and 40 cm thick 80 - 20 mm size graded coarse aggregates</t>
    </r>
    <r>
      <rPr>
        <sz val="14"/>
        <rFont val="Arial"/>
        <family val="2"/>
      </rPr>
      <t xml:space="preserve"> satisfying filter creteria as per specifications including cost of all materials, labour, machinery, laying to required slope, compaction etc., complete </t>
    </r>
    <r>
      <rPr>
        <b/>
        <sz val="14"/>
        <rFont val="Cambria"/>
        <family val="1"/>
      </rPr>
      <t>with initial lead upto 50 m and all lifts.</t>
    </r>
  </si>
  <si>
    <r>
      <t xml:space="preserve">Providing and </t>
    </r>
    <r>
      <rPr>
        <b/>
        <sz val="14"/>
        <rFont val="Arial"/>
        <family val="2"/>
      </rPr>
      <t xml:space="preserve">constructing graded </t>
    </r>
    <r>
      <rPr>
        <b/>
        <sz val="14"/>
        <rFont val="Cambria"/>
        <family val="1"/>
      </rPr>
      <t>filter media below and behind rock-toe</t>
    </r>
    <r>
      <rPr>
        <sz val="14"/>
        <rFont val="Arial"/>
        <family val="2"/>
      </rPr>
      <t xml:space="preserve"> consisting of </t>
    </r>
    <r>
      <rPr>
        <b/>
        <sz val="14"/>
        <rFont val="Cambria"/>
        <family val="1"/>
      </rPr>
      <t>30 cm</t>
    </r>
    <r>
      <rPr>
        <b/>
        <sz val="14"/>
        <rFont val="Arial"/>
        <family val="2"/>
      </rPr>
      <t xml:space="preserve"> thick, </t>
    </r>
    <r>
      <rPr>
        <b/>
        <sz val="14"/>
        <rFont val="Cambria"/>
        <family val="1"/>
      </rPr>
      <t>80 - 20 mm</t>
    </r>
    <r>
      <rPr>
        <b/>
        <sz val="14"/>
        <rFont val="Arial"/>
        <family val="2"/>
      </rPr>
      <t xml:space="preserve"> size graded coarse aggregates</t>
    </r>
    <r>
      <rPr>
        <sz val="14"/>
        <rFont val="Arial"/>
        <family val="2"/>
      </rPr>
      <t xml:space="preserve"> satisfying filter creteria as per specifications including cost of all materials, labour, machinery, laying to required slope, compaction etc.,</t>
    </r>
    <r>
      <rPr>
        <b/>
        <sz val="14"/>
        <rFont val="Arial"/>
        <family val="2"/>
      </rPr>
      <t xml:space="preserve"> complete </t>
    </r>
    <r>
      <rPr>
        <b/>
        <sz val="14"/>
        <rFont val="Cambria"/>
        <family val="1"/>
      </rPr>
      <t>with initial lead upto 50 m and all lifts.</t>
    </r>
  </si>
  <si>
    <r>
      <t xml:space="preserve">Providing and </t>
    </r>
    <r>
      <rPr>
        <b/>
        <sz val="14"/>
        <rFont val="Arial"/>
        <family val="2"/>
      </rPr>
      <t xml:space="preserve">laying </t>
    </r>
    <r>
      <rPr>
        <b/>
        <sz val="14"/>
        <rFont val="Cambria"/>
        <family val="1"/>
      </rPr>
      <t xml:space="preserve">filter media consisting of 2 layers of 250 gsm </t>
    </r>
    <r>
      <rPr>
        <b/>
        <sz val="14"/>
        <rFont val="Arial"/>
        <family val="2"/>
      </rPr>
      <t xml:space="preserve">poly-propeline non-woven filter fabric and </t>
    </r>
    <r>
      <rPr>
        <b/>
        <sz val="14"/>
        <rFont val="Cambria"/>
        <family val="1"/>
      </rPr>
      <t xml:space="preserve">400 mm thick 20 mm down </t>
    </r>
    <r>
      <rPr>
        <b/>
        <sz val="14"/>
        <rFont val="Arial"/>
        <family val="2"/>
      </rPr>
      <t>graded coarse aggregate</t>
    </r>
    <r>
      <rPr>
        <sz val="14"/>
        <rFont val="Arial"/>
        <family val="2"/>
      </rPr>
      <t xml:space="preserve"> for vertical / inclined and horizontal filter blanket for embankment including cost of all materials, machinery, labour etc., complete with </t>
    </r>
    <r>
      <rPr>
        <sz val="14"/>
        <rFont val="Cambria"/>
        <family val="1"/>
      </rPr>
      <t xml:space="preserve">lead upto 50 m for aggregate </t>
    </r>
    <r>
      <rPr>
        <b/>
        <sz val="14"/>
        <rFont val="Cambria"/>
        <family val="1"/>
      </rPr>
      <t>and all leads for fabric and all lifts.</t>
    </r>
  </si>
  <si>
    <r>
      <t xml:space="preserve">Providing and </t>
    </r>
    <r>
      <rPr>
        <b/>
        <sz val="14"/>
        <rFont val="Arial"/>
        <family val="2"/>
      </rPr>
      <t xml:space="preserve">constructing </t>
    </r>
    <r>
      <rPr>
        <b/>
        <sz val="14"/>
        <rFont val="Cambria"/>
        <family val="1"/>
      </rPr>
      <t>45 cm thick</t>
    </r>
    <r>
      <rPr>
        <b/>
        <sz val="14"/>
        <rFont val="Arial"/>
        <family val="2"/>
      </rPr>
      <t xml:space="preserve"> </t>
    </r>
    <r>
      <rPr>
        <b/>
        <sz val="14"/>
        <rFont val="Cambria"/>
        <family val="1"/>
      </rPr>
      <t>chimney filter</t>
    </r>
    <r>
      <rPr>
        <sz val="14"/>
        <rFont val="Arial"/>
        <family val="2"/>
      </rPr>
      <t xml:space="preserve"> using clean approved sand satisfying filter creteria including cost of all materials, machinery, labour, compacting etc.,</t>
    </r>
    <r>
      <rPr>
        <b/>
        <sz val="14"/>
        <rFont val="Arial"/>
        <family val="2"/>
      </rPr>
      <t xml:space="preserve"> complete </t>
    </r>
    <r>
      <rPr>
        <b/>
        <sz val="14"/>
        <rFont val="Cambria"/>
        <family val="1"/>
      </rPr>
      <t>with initial lead upto 50 m and all lifts.</t>
    </r>
  </si>
  <si>
    <r>
      <t xml:space="preserve">Providing and </t>
    </r>
    <r>
      <rPr>
        <b/>
        <sz val="14"/>
        <rFont val="Arial"/>
        <family val="2"/>
      </rPr>
      <t xml:space="preserve">constructing </t>
    </r>
    <r>
      <rPr>
        <b/>
        <sz val="14"/>
        <rFont val="Cambria"/>
        <family val="1"/>
      </rPr>
      <t>90 cm thick transition cum filter</t>
    </r>
    <r>
      <rPr>
        <sz val="14"/>
        <rFont val="Arial"/>
        <family val="2"/>
      </rPr>
      <t xml:space="preserve"> media behind rockfill using approved sand and 80-20 mm and 20 mm down graded aggregates satisfying the filter creteria in layers of 30 cm thickness each as per specifications including cost of all materials, machinery, labour, laying each layer to required slope, compaction etc., complete </t>
    </r>
    <r>
      <rPr>
        <b/>
        <sz val="14"/>
        <rFont val="Cambria"/>
        <family val="1"/>
      </rPr>
      <t>with initial lead upto 50 m and all lifts.</t>
    </r>
  </si>
  <si>
    <r>
      <t xml:space="preserve">Providing and </t>
    </r>
    <r>
      <rPr>
        <b/>
        <sz val="14"/>
        <rFont val="Arial"/>
        <family val="2"/>
      </rPr>
      <t xml:space="preserve">constructing </t>
    </r>
    <r>
      <rPr>
        <b/>
        <sz val="14"/>
        <rFont val="Cambria"/>
        <family val="1"/>
      </rPr>
      <t>60 cm thick hand packed</t>
    </r>
    <r>
      <rPr>
        <b/>
        <sz val="14"/>
        <rFont val="Arial"/>
        <family val="2"/>
      </rPr>
      <t xml:space="preserve"> rough stone revetment with 65 to 75 cm long through stones </t>
    </r>
    <r>
      <rPr>
        <sz val="14"/>
        <rFont val="Arial"/>
        <family val="2"/>
      </rPr>
      <t>at 1.50 m c / c over a backing of</t>
    </r>
    <r>
      <rPr>
        <sz val="14"/>
        <rFont val="Cambria"/>
        <family val="1"/>
      </rPr>
      <t xml:space="preserve"> 45 cm thick graded filter media </t>
    </r>
    <r>
      <rPr>
        <sz val="14"/>
        <rFont val="Arial"/>
        <family val="2"/>
      </rPr>
      <t>consisting of sand, 10 mm and 40 mm size approved graded aggregates laid in layers of 15 cm thick each including cost of all materials, machinery, labour, laying to required slopes, wedging with chips, finishing etc. complete</t>
    </r>
    <r>
      <rPr>
        <b/>
        <sz val="14"/>
        <rFont val="Arial"/>
        <family val="2"/>
      </rPr>
      <t xml:space="preserve"> </t>
    </r>
    <r>
      <rPr>
        <b/>
        <sz val="14"/>
        <rFont val="Cambria"/>
        <family val="1"/>
      </rPr>
      <t>with initial lead upto 50 m and all lifts.</t>
    </r>
  </si>
  <si>
    <r>
      <t xml:space="preserve">Providing and </t>
    </r>
    <r>
      <rPr>
        <b/>
        <sz val="14"/>
        <rFont val="Arial"/>
        <family val="2"/>
      </rPr>
      <t>constructing</t>
    </r>
    <r>
      <rPr>
        <b/>
        <sz val="14"/>
        <rFont val="Cambria"/>
        <family val="1"/>
      </rPr>
      <t xml:space="preserve"> 60 cm thick hand packed </t>
    </r>
    <r>
      <rPr>
        <b/>
        <sz val="14"/>
        <rFont val="Arial"/>
        <family val="2"/>
      </rPr>
      <t xml:space="preserve">rough stone revetment with 65 to 75 cm long through stones </t>
    </r>
    <r>
      <rPr>
        <sz val="14"/>
        <rFont val="Arial"/>
        <family val="2"/>
      </rPr>
      <t xml:space="preserve">at 1.50 m c / c over a backing of </t>
    </r>
    <r>
      <rPr>
        <sz val="14"/>
        <rFont val="Cambria"/>
        <family val="1"/>
      </rPr>
      <t xml:space="preserve">60 cm thick graded filter </t>
    </r>
    <r>
      <rPr>
        <sz val="14"/>
        <rFont val="Arial"/>
        <family val="2"/>
      </rPr>
      <t xml:space="preserve">media consisting of sand, 10 mm and 40 mm size approved graded aggregates laid in layers of </t>
    </r>
    <r>
      <rPr>
        <sz val="14"/>
        <rFont val="Cambria"/>
        <family val="1"/>
      </rPr>
      <t xml:space="preserve">20 cm thick </t>
    </r>
    <r>
      <rPr>
        <sz val="14"/>
        <rFont val="Arial"/>
        <family val="2"/>
      </rPr>
      <t xml:space="preserve">each including cost of all materials, machinery, labour, laying to required slopes, wedging with chips, finishing etc. complete </t>
    </r>
    <r>
      <rPr>
        <b/>
        <sz val="14"/>
        <rFont val="Arial"/>
        <family val="2"/>
      </rPr>
      <t xml:space="preserve">with </t>
    </r>
    <r>
      <rPr>
        <b/>
        <sz val="14"/>
        <rFont val="Cambria"/>
        <family val="1"/>
      </rPr>
      <t>initial lead upto 50 m and all lifts.</t>
    </r>
  </si>
  <si>
    <r>
      <t xml:space="preserve">Providing and </t>
    </r>
    <r>
      <rPr>
        <b/>
        <sz val="14"/>
        <rFont val="Arial"/>
        <family val="2"/>
      </rPr>
      <t xml:space="preserve">constructing </t>
    </r>
    <r>
      <rPr>
        <b/>
        <sz val="14"/>
        <rFont val="Cambria"/>
        <family val="1"/>
      </rPr>
      <t>60 cm thick hand packed</t>
    </r>
    <r>
      <rPr>
        <b/>
        <sz val="14"/>
        <rFont val="Arial"/>
        <family val="2"/>
      </rPr>
      <t xml:space="preserve"> rough stone riprap over a backing of </t>
    </r>
    <r>
      <rPr>
        <b/>
        <sz val="14"/>
        <rFont val="Cambria"/>
        <family val="1"/>
      </rPr>
      <t>45 cm thick graded filter</t>
    </r>
    <r>
      <rPr>
        <sz val="14"/>
        <rFont val="Cambria"/>
        <family val="1"/>
      </rPr>
      <t xml:space="preserve"> </t>
    </r>
    <r>
      <rPr>
        <sz val="14"/>
        <rFont val="Arial"/>
        <family val="2"/>
      </rPr>
      <t xml:space="preserve">media consisting of sand, 10 mm and 40 mm size graded approved aggregates laid in layers of 15 cm thick each including cost of all materials, machinery, labour, laying to required slopes, wedging with stone chips etc., </t>
    </r>
    <r>
      <rPr>
        <b/>
        <sz val="14"/>
        <rFont val="Arial"/>
        <family val="2"/>
      </rPr>
      <t xml:space="preserve">complete </t>
    </r>
    <r>
      <rPr>
        <b/>
        <sz val="14"/>
        <rFont val="Cambria"/>
        <family val="1"/>
      </rPr>
      <t>with initial lead upto 50 m and all lifts.</t>
    </r>
  </si>
  <si>
    <r>
      <t xml:space="preserve">Providing and </t>
    </r>
    <r>
      <rPr>
        <b/>
        <sz val="14"/>
        <rFont val="Arial"/>
        <family val="2"/>
      </rPr>
      <t xml:space="preserve">constructing </t>
    </r>
    <r>
      <rPr>
        <b/>
        <sz val="14"/>
        <rFont val="Cambria"/>
        <family val="1"/>
      </rPr>
      <t>75 cm thick hand packed</t>
    </r>
    <r>
      <rPr>
        <b/>
        <sz val="14"/>
        <rFont val="Arial"/>
        <family val="2"/>
      </rPr>
      <t xml:space="preserve"> rough stone riprap over a backing of </t>
    </r>
    <r>
      <rPr>
        <b/>
        <sz val="14"/>
        <rFont val="Cambria"/>
        <family val="1"/>
      </rPr>
      <t>45 cm thick graded filter</t>
    </r>
    <r>
      <rPr>
        <sz val="14"/>
        <rFont val="Cambria"/>
        <family val="1"/>
      </rPr>
      <t xml:space="preserve"> </t>
    </r>
    <r>
      <rPr>
        <sz val="14"/>
        <rFont val="Arial"/>
        <family val="2"/>
      </rPr>
      <t xml:space="preserve">media consisting of sand, 10 mm and 40 mm size graded approved aggregates laid in layers of </t>
    </r>
    <r>
      <rPr>
        <sz val="14"/>
        <rFont val="Cambria"/>
        <family val="1"/>
      </rPr>
      <t xml:space="preserve">15 cm thick </t>
    </r>
    <r>
      <rPr>
        <sz val="14"/>
        <rFont val="Arial"/>
        <family val="2"/>
      </rPr>
      <t>each including cost of all materials, machinery, labour, laying to required slopes, wedging with stone chips, etc., complete</t>
    </r>
    <r>
      <rPr>
        <b/>
        <sz val="14"/>
        <rFont val="Arial"/>
        <family val="2"/>
      </rPr>
      <t xml:space="preserve"> with </t>
    </r>
    <r>
      <rPr>
        <b/>
        <sz val="14"/>
        <rFont val="Cambria"/>
        <family val="1"/>
      </rPr>
      <t>initial lead upto 50 m and all lifts.</t>
    </r>
  </si>
  <si>
    <r>
      <t xml:space="preserve">Providing and </t>
    </r>
    <r>
      <rPr>
        <b/>
        <sz val="14"/>
        <rFont val="Arial"/>
        <family val="2"/>
      </rPr>
      <t xml:space="preserve">constructing </t>
    </r>
    <r>
      <rPr>
        <b/>
        <sz val="14"/>
        <rFont val="Cambria"/>
        <family val="1"/>
      </rPr>
      <t>90 cm thick hand packed</t>
    </r>
    <r>
      <rPr>
        <b/>
        <sz val="14"/>
        <rFont val="Arial"/>
        <family val="2"/>
      </rPr>
      <t xml:space="preserve"> rough stone riprap over a backing of</t>
    </r>
    <r>
      <rPr>
        <b/>
        <sz val="14"/>
        <rFont val="Cambria"/>
        <family val="1"/>
      </rPr>
      <t xml:space="preserve"> 45 cm thick graded filter</t>
    </r>
    <r>
      <rPr>
        <sz val="14"/>
        <rFont val="Cambria"/>
        <family val="1"/>
      </rPr>
      <t xml:space="preserve"> </t>
    </r>
    <r>
      <rPr>
        <sz val="14"/>
        <rFont val="Arial"/>
        <family val="2"/>
      </rPr>
      <t xml:space="preserve">media consisting of sand, 10 mm and 40 mm size graded approved aggregates laid in layers of </t>
    </r>
    <r>
      <rPr>
        <sz val="14"/>
        <rFont val="Cambria"/>
        <family val="1"/>
      </rPr>
      <t xml:space="preserve">15 cm thick </t>
    </r>
    <r>
      <rPr>
        <sz val="14"/>
        <rFont val="Arial"/>
        <family val="2"/>
      </rPr>
      <t xml:space="preserve">each including cost of all materials, machinery, labour, laying to required slopes, wedging with stone chips etc., </t>
    </r>
    <r>
      <rPr>
        <b/>
        <sz val="14"/>
        <rFont val="Arial"/>
        <family val="2"/>
      </rPr>
      <t xml:space="preserve">complete </t>
    </r>
    <r>
      <rPr>
        <b/>
        <sz val="14"/>
        <rFont val="Cambria"/>
        <family val="1"/>
      </rPr>
      <t>with initial lead upto 50 m and all lifts.</t>
    </r>
  </si>
  <si>
    <r>
      <t xml:space="preserve">Providing and </t>
    </r>
    <r>
      <rPr>
        <b/>
        <sz val="14"/>
        <rFont val="Arial"/>
        <family val="2"/>
      </rPr>
      <t>laying Hariyala or other approved quality turfing sods</t>
    </r>
    <r>
      <rPr>
        <sz val="14"/>
        <rFont val="Arial"/>
        <family val="2"/>
      </rPr>
      <t xml:space="preserve"> for the slopes of earthen embankments over </t>
    </r>
    <r>
      <rPr>
        <sz val="14"/>
        <rFont val="Cambria"/>
        <family val="1"/>
      </rPr>
      <t xml:space="preserve">20 mm thick sand </t>
    </r>
    <r>
      <rPr>
        <sz val="14"/>
        <rFont val="Arial"/>
        <family val="2"/>
      </rPr>
      <t xml:space="preserve">backing including cost of all materials, machinery, labour including preparing surface, spreading sand, watering for 15 days etc., </t>
    </r>
    <r>
      <rPr>
        <b/>
        <sz val="14"/>
        <rFont val="Arial"/>
        <family val="2"/>
      </rPr>
      <t xml:space="preserve">complete </t>
    </r>
    <r>
      <rPr>
        <b/>
        <sz val="14"/>
        <rFont val="Cambria"/>
        <family val="1"/>
      </rPr>
      <t>with initial lead upto 1 km and all lifts.</t>
    </r>
  </si>
  <si>
    <r>
      <rPr>
        <b/>
        <sz val="14"/>
        <rFont val="Arial"/>
        <family val="2"/>
      </rPr>
      <t>Excavation for adit by tunnelling methods in all types of rock</t>
    </r>
    <r>
      <rPr>
        <sz val="14"/>
        <rFont val="Arial"/>
        <family val="2"/>
      </rPr>
      <t xml:space="preserve"> including cost of all materials, machinery, labour, scaling excavated surface, ventilation, lighting, drainage, removing and hauling the excavated muck outside adit upto specified dump area and all other ancillary operations etc., </t>
    </r>
    <r>
      <rPr>
        <b/>
        <sz val="14"/>
        <rFont val="Arial"/>
        <family val="2"/>
      </rPr>
      <t xml:space="preserve">complete </t>
    </r>
    <r>
      <rPr>
        <b/>
        <sz val="14"/>
        <rFont val="Cambria"/>
        <family val="1"/>
      </rPr>
      <t>with initial lead upto 50 m and all lifts.</t>
    </r>
  </si>
  <si>
    <r>
      <rPr>
        <b/>
        <sz val="14"/>
        <rFont val="Arial"/>
        <family val="2"/>
      </rPr>
      <t xml:space="preserve">Excavation for </t>
    </r>
    <r>
      <rPr>
        <b/>
        <sz val="14"/>
        <rFont val="Cambria"/>
        <family val="1"/>
      </rPr>
      <t>vertical / inclined shaft</t>
    </r>
    <r>
      <rPr>
        <b/>
        <sz val="14"/>
        <rFont val="Arial"/>
        <family val="2"/>
      </rPr>
      <t xml:space="preserve"> in all types of soft / hard rock</t>
    </r>
    <r>
      <rPr>
        <sz val="14"/>
        <rFont val="Arial"/>
        <family val="2"/>
      </rPr>
      <t xml:space="preserve"> including cost of all materials, machinery, labour, shoring, strutting, scaling excavated surface, ventilation, lighting, drainage, removing and hauling excavated muck outside shaft upto specified dump area and all other ancillary operations etc., </t>
    </r>
    <r>
      <rPr>
        <b/>
        <sz val="14"/>
        <rFont val="Cambria"/>
        <family val="1"/>
      </rPr>
      <t>complete with initial lead upto 1 km and all lifts.</t>
    </r>
  </si>
  <si>
    <r>
      <rPr>
        <b/>
        <sz val="14"/>
        <rFont val="Arial"/>
        <family val="2"/>
      </rPr>
      <t>Excavation for tunnel by tunnelling methods in rock not requiring supports</t>
    </r>
    <r>
      <rPr>
        <sz val="14"/>
        <rFont val="Arial"/>
        <family val="2"/>
      </rPr>
      <t xml:space="preserve"> including cost of all materials,machinery, labour, scaling excavated surface, removing under-cuts, ventilation, lighting, drainage, removing and hauling the excavated muck outside tunnel upto specified dump area and all other ancillary operations etc., </t>
    </r>
    <r>
      <rPr>
        <b/>
        <sz val="14"/>
        <rFont val="Arial"/>
        <family val="2"/>
      </rPr>
      <t>complete with</t>
    </r>
    <r>
      <rPr>
        <b/>
        <sz val="14"/>
        <rFont val="Cambria"/>
        <family val="1"/>
      </rPr>
      <t xml:space="preserve"> initial lead upto 1 km and all lifts.</t>
    </r>
  </si>
  <si>
    <r>
      <rPr>
        <b/>
        <sz val="14"/>
        <rFont val="Arial"/>
        <family val="2"/>
      </rPr>
      <t xml:space="preserve">Excavation for tunnel by tunnelling methods including excavation for supports in all types of soil / </t>
    </r>
    <r>
      <rPr>
        <b/>
        <sz val="14"/>
        <rFont val="Cambria"/>
        <family val="1"/>
      </rPr>
      <t>rock strata requiring supports</t>
    </r>
    <r>
      <rPr>
        <sz val="14"/>
        <rFont val="Arial"/>
        <family val="2"/>
      </rPr>
      <t xml:space="preserve"> ( excluding cost of providing supports ) including cost of all other materials, machinery, labour, scaling excavated surface, ventilation, lighting, drainage, removing and hauling the excavated muck outside tunnel upto specified dump area and all other ancillary operations etc., </t>
    </r>
    <r>
      <rPr>
        <b/>
        <sz val="14"/>
        <rFont val="Arial"/>
        <family val="2"/>
      </rPr>
      <t xml:space="preserve">complete </t>
    </r>
    <r>
      <rPr>
        <b/>
        <sz val="14"/>
        <rFont val="Cambria"/>
        <family val="1"/>
      </rPr>
      <t>with initial lead upto 1 km and all lifts.</t>
    </r>
  </si>
  <si>
    <r>
      <rPr>
        <b/>
        <sz val="14"/>
        <rFont val="Arial"/>
        <family val="2"/>
      </rPr>
      <t xml:space="preserve">Excavation for tunnel by </t>
    </r>
    <r>
      <rPr>
        <b/>
        <sz val="14"/>
        <rFont val="Cambria"/>
        <family val="1"/>
      </rPr>
      <t>heading and benching tunnelling methods</t>
    </r>
    <r>
      <rPr>
        <sz val="14"/>
        <rFont val="Arial"/>
        <family val="2"/>
      </rPr>
      <t xml:space="preserve"> including excavation for supports in all types of soil / </t>
    </r>
    <r>
      <rPr>
        <sz val="14"/>
        <rFont val="Cambria"/>
        <family val="1"/>
      </rPr>
      <t xml:space="preserve">rock strata requiring supports </t>
    </r>
    <r>
      <rPr>
        <sz val="14"/>
        <rFont val="Arial"/>
        <family val="2"/>
      </rPr>
      <t xml:space="preserve">( excluding cost of providing supports ) for roof before benching including cost of all other materials, machinery, labour, scaling excavated surface, ventilation, lighting, drainage removing and hauling excavated muck outside tunnel upto specified dump area and all other ancillary operations etc., complete </t>
    </r>
    <r>
      <rPr>
        <b/>
        <sz val="14"/>
        <rFont val="Cambria"/>
        <family val="1"/>
      </rPr>
      <t>with initial lead upto 1 km and all lifts.</t>
    </r>
    <r>
      <rPr>
        <sz val="14"/>
        <rFont val="Cambria"/>
        <family val="1"/>
      </rPr>
      <t xml:space="preserve">
NOTE:</t>
    </r>
    <r>
      <rPr>
        <sz val="14"/>
        <rFont val="Arial"/>
        <family val="2"/>
      </rPr>
      <t xml:space="preserve"> Where mucking is to be carried out through shaft using winch and mucking tub system increase the basic rates for items 3, 4 &amp; 5 by </t>
    </r>
    <r>
      <rPr>
        <sz val="14"/>
        <rFont val="Cambria"/>
        <family val="1"/>
      </rPr>
      <t>8 percent.</t>
    </r>
  </si>
  <si>
    <r>
      <rPr>
        <b/>
        <sz val="14"/>
        <rFont val="Arial"/>
        <family val="2"/>
      </rPr>
      <t>Removing and hauling muck overfallen</t>
    </r>
    <r>
      <rPr>
        <sz val="14"/>
        <rFont val="Arial"/>
        <family val="2"/>
      </rPr>
      <t xml:space="preserve"> due to natural causes such as geological faults etc., out of tunnel including breaking large fragments by blasting if necessary and disposing off  the same in specified dump area or as directed including cost of all materials, machinery, labour, ventilation, drainage, lighting and all other ancillary operations etc., </t>
    </r>
    <r>
      <rPr>
        <sz val="14"/>
        <rFont val="Cambria"/>
        <family val="1"/>
      </rPr>
      <t xml:space="preserve">complete </t>
    </r>
    <r>
      <rPr>
        <b/>
        <sz val="14"/>
        <rFont val="Cambria"/>
        <family val="1"/>
      </rPr>
      <t>with initial lead upto 1 km and all lifts.</t>
    </r>
  </si>
  <si>
    <r>
      <rPr>
        <b/>
        <sz val="14"/>
        <rFont val="Arial"/>
        <family val="2"/>
      </rPr>
      <t>Dewatering tunnel by pumping out water</t>
    </r>
    <r>
      <rPr>
        <sz val="14"/>
        <rFont val="Arial"/>
        <family val="2"/>
      </rPr>
      <t xml:space="preserve"> collected by natural drainage inside tunnel including providing sump wherever necessary, cost of all materials, machinery, labour, drainage, lighting, ventilation and all other ancillary operations etc., complete.</t>
    </r>
  </si>
  <si>
    <r>
      <rPr>
        <b/>
        <sz val="14"/>
        <rFont val="Arial"/>
        <family val="2"/>
      </rPr>
      <t xml:space="preserve">Providing 25 mm thick </t>
    </r>
    <r>
      <rPr>
        <b/>
        <sz val="14"/>
        <rFont val="Cambria"/>
        <family val="1"/>
      </rPr>
      <t>guniting to sides and arch</t>
    </r>
    <r>
      <rPr>
        <sz val="14"/>
        <rFont val="Cambria"/>
        <family val="1"/>
      </rPr>
      <t xml:space="preserve"> of tunnel</t>
    </r>
    <r>
      <rPr>
        <sz val="14"/>
        <rFont val="Arial"/>
        <family val="2"/>
      </rPr>
      <t xml:space="preserve"> in </t>
    </r>
    <r>
      <rPr>
        <b/>
        <sz val="14"/>
        <rFont val="Arial"/>
        <family val="2"/>
      </rPr>
      <t xml:space="preserve">cement mortar </t>
    </r>
    <r>
      <rPr>
        <b/>
        <sz val="14"/>
        <rFont val="Cambria"/>
        <family val="1"/>
      </rPr>
      <t>1 : 3</t>
    </r>
    <r>
      <rPr>
        <sz val="14"/>
        <rFont val="Arial"/>
        <family val="2"/>
      </rPr>
      <t xml:space="preserve"> proportion by weight including cost of all materials, machinery, labour, ventilation, lighting, drainage and all other ancillary operations etc., </t>
    </r>
    <r>
      <rPr>
        <sz val="14"/>
        <rFont val="Cambria"/>
        <family val="1"/>
      </rPr>
      <t xml:space="preserve">complete </t>
    </r>
    <r>
      <rPr>
        <b/>
        <sz val="14"/>
        <rFont val="Cambria"/>
        <family val="1"/>
      </rPr>
      <t>with lead upto 1 km and all lifts.</t>
    </r>
  </si>
  <si>
    <r>
      <t xml:space="preserve">Providing and </t>
    </r>
    <r>
      <rPr>
        <b/>
        <sz val="14"/>
        <rFont val="Arial"/>
        <family val="2"/>
      </rPr>
      <t xml:space="preserve">fixing </t>
    </r>
    <r>
      <rPr>
        <b/>
        <sz val="14"/>
        <rFont val="Cambria"/>
        <family val="1"/>
      </rPr>
      <t>25 mm diameter steel rock bolts with mechanical</t>
    </r>
    <r>
      <rPr>
        <b/>
        <sz val="14"/>
        <rFont val="Arial"/>
        <family val="2"/>
      </rPr>
      <t xml:space="preserve"> / wedge type anchorage</t>
    </r>
    <r>
      <rPr>
        <sz val="14"/>
        <rFont val="Arial"/>
        <family val="2"/>
      </rPr>
      <t xml:space="preserve"> including drilling 35 mm dia holes, providing 15 cm long 20 mm thick steel tapered wedge, 10 mm thick plate washers and nuts, tightening bolt by torque wrench, cost of all materials, machinery, labour, ventilation, lighting, drainage and all other ancillary operations etc., </t>
    </r>
    <r>
      <rPr>
        <b/>
        <sz val="14"/>
        <rFont val="Cambria"/>
        <family val="1"/>
      </rPr>
      <t>complete with lead upto 1 km and all lifts.</t>
    </r>
  </si>
  <si>
    <r>
      <t xml:space="preserve">Providing and </t>
    </r>
    <r>
      <rPr>
        <b/>
        <sz val="14"/>
        <rFont val="Arial"/>
        <family val="2"/>
      </rPr>
      <t xml:space="preserve">fixing </t>
    </r>
    <r>
      <rPr>
        <b/>
        <sz val="14"/>
        <rFont val="Cambria"/>
        <family val="1"/>
      </rPr>
      <t>25 mm diameter steel rock bolts with</t>
    </r>
    <r>
      <rPr>
        <b/>
        <sz val="14"/>
        <rFont val="Arial"/>
        <family val="2"/>
      </rPr>
      <t xml:space="preserve"> resin bond </t>
    </r>
    <r>
      <rPr>
        <b/>
        <sz val="14"/>
        <rFont val="Cambria"/>
        <family val="1"/>
      </rPr>
      <t>cement capsule anchorage</t>
    </r>
    <r>
      <rPr>
        <sz val="14"/>
        <rFont val="Cambria"/>
        <family val="1"/>
      </rPr>
      <t xml:space="preserve"> </t>
    </r>
    <r>
      <rPr>
        <sz val="14"/>
        <rFont val="Arial"/>
        <family val="2"/>
      </rPr>
      <t xml:space="preserve">including drilling 35 mm dia holes, inserting grout capsule, driving bolt,fixing 10 mm thick plate washers and nuts and tightening the same by torque wrench after hardening of cement grout, cost of all materials, machinery, labour, ventilation, lighting, drainage and other ancillary operations etc., </t>
    </r>
    <r>
      <rPr>
        <b/>
        <sz val="14"/>
        <rFont val="Cambria"/>
        <family val="1"/>
      </rPr>
      <t>complete with lead upto 1 km and all lifts.</t>
    </r>
  </si>
  <si>
    <r>
      <t xml:space="preserve">Providing, fabricating and </t>
    </r>
    <r>
      <rPr>
        <b/>
        <sz val="14"/>
        <rFont val="Arial"/>
        <family val="2"/>
      </rPr>
      <t xml:space="preserve">fixing in position </t>
    </r>
    <r>
      <rPr>
        <b/>
        <sz val="14"/>
        <rFont val="Cambria"/>
        <family val="1"/>
      </rPr>
      <t>permanent structural steel supports</t>
    </r>
    <r>
      <rPr>
        <b/>
        <sz val="14"/>
        <rFont val="Arial"/>
        <family val="2"/>
      </rPr>
      <t xml:space="preserve"> as per details</t>
    </r>
    <r>
      <rPr>
        <sz val="14"/>
        <rFont val="Arial"/>
        <family val="2"/>
      </rPr>
      <t xml:space="preserve"> including cost of all materials, machinery, labour, cutting, bending, welding, grinding, lighting, ventilation, drainage and all other ancillary operations etc., </t>
    </r>
    <r>
      <rPr>
        <sz val="14"/>
        <rFont val="Cambria"/>
        <family val="1"/>
      </rPr>
      <t xml:space="preserve">complete </t>
    </r>
    <r>
      <rPr>
        <b/>
        <sz val="14"/>
        <rFont val="Cambria"/>
        <family val="1"/>
      </rPr>
      <t>with initial lead upto 1 km and all lifts.</t>
    </r>
  </si>
  <si>
    <r>
      <t xml:space="preserve">Providing, fabricating and </t>
    </r>
    <r>
      <rPr>
        <b/>
        <sz val="14"/>
        <rFont val="Arial"/>
        <family val="2"/>
      </rPr>
      <t xml:space="preserve">fixing in position </t>
    </r>
    <r>
      <rPr>
        <b/>
        <sz val="14"/>
        <rFont val="Cambria"/>
        <family val="1"/>
      </rPr>
      <t>temperary structural steel supports</t>
    </r>
    <r>
      <rPr>
        <b/>
        <sz val="14"/>
        <rFont val="Arial"/>
        <family val="2"/>
      </rPr>
      <t xml:space="preserve"> as per details </t>
    </r>
    <r>
      <rPr>
        <sz val="14"/>
        <rFont val="Arial"/>
        <family val="2"/>
      </rPr>
      <t xml:space="preserve">and dismantling the same before concreting including cost of all materials, machinery, labour, cutting, bending, welding, grinding, ventilation, lighting, drainage and all other ancillary operations etc.,complete </t>
    </r>
    <r>
      <rPr>
        <b/>
        <sz val="14"/>
        <rFont val="Cambria"/>
        <family val="1"/>
      </rPr>
      <t>with initial lead upto 1 km and all lifts.</t>
    </r>
  </si>
  <si>
    <r>
      <t xml:space="preserve">Providing and fixing </t>
    </r>
    <r>
      <rPr>
        <b/>
        <sz val="14"/>
        <rFont val="Arial"/>
        <family val="2"/>
      </rPr>
      <t>hard variety cut jungle wood for lagging / blocking locations in tunnel</t>
    </r>
    <r>
      <rPr>
        <sz val="14"/>
        <rFont val="Arial"/>
        <family val="2"/>
      </rPr>
      <t xml:space="preserve"> wherever required including cost of all materials, machinery, labour, fixing in position, lighting, ventilation, drainage etc </t>
    </r>
    <r>
      <rPr>
        <sz val="14"/>
        <rFont val="Cambria"/>
        <family val="1"/>
      </rPr>
      <t xml:space="preserve">complete </t>
    </r>
    <r>
      <rPr>
        <b/>
        <sz val="14"/>
        <rFont val="Cambria"/>
        <family val="1"/>
      </rPr>
      <t>with all leads and lifts.</t>
    </r>
  </si>
  <si>
    <r>
      <t xml:space="preserve">Providing and </t>
    </r>
    <r>
      <rPr>
        <b/>
        <sz val="14"/>
        <rFont val="Arial"/>
        <family val="2"/>
      </rPr>
      <t xml:space="preserve">constructing </t>
    </r>
    <r>
      <rPr>
        <b/>
        <sz val="14"/>
        <rFont val="Cambria"/>
        <family val="1"/>
      </rPr>
      <t>un-coursed rubble stone masonry</t>
    </r>
    <r>
      <rPr>
        <sz val="14"/>
        <rFont val="Arial"/>
        <family val="2"/>
      </rPr>
      <t xml:space="preserve"> with approved stones from tunnel excavated muck in </t>
    </r>
    <r>
      <rPr>
        <b/>
        <sz val="14"/>
        <rFont val="Cambria"/>
        <family val="1"/>
      </rPr>
      <t>cement mortar 1 : 6</t>
    </r>
    <r>
      <rPr>
        <sz val="14"/>
        <rFont val="Cambria"/>
        <family val="1"/>
      </rPr>
      <t xml:space="preserve"> </t>
    </r>
    <r>
      <rPr>
        <sz val="14"/>
        <rFont val="Arial"/>
        <family val="2"/>
      </rPr>
      <t xml:space="preserve">proportion for backfilling over cuts / slips on tunnel sides due to geological faults etc., including cost of all materials, machinery, labour, cleaning,scaffolding, packing mortar, wedging stone chips, curing, ventilation, lighting, drainage </t>
    </r>
    <r>
      <rPr>
        <sz val="14"/>
        <rFont val="Cambria"/>
        <family val="1"/>
      </rPr>
      <t xml:space="preserve">complete </t>
    </r>
    <r>
      <rPr>
        <b/>
        <sz val="14"/>
        <rFont val="Cambria"/>
        <family val="1"/>
      </rPr>
      <t>with lead upto 1 km and all lifts.(cement content : 95 kg/cum of masonry, Rubble stones : 0.83 cum, Stone chips : 0.13 cum,FA : 0.40 cum)</t>
    </r>
  </si>
  <si>
    <r>
      <t xml:space="preserve">Providing, fabricating and placing in position </t>
    </r>
    <r>
      <rPr>
        <b/>
        <sz val="14"/>
        <rFont val="Cambria"/>
        <family val="1"/>
      </rPr>
      <t>reinforcement steel</t>
    </r>
    <r>
      <rPr>
        <b/>
        <sz val="14"/>
        <rFont val="Arial"/>
        <family val="2"/>
      </rPr>
      <t xml:space="preserve"> for tunnel RCC works</t>
    </r>
    <r>
      <rPr>
        <sz val="14"/>
        <rFont val="Arial"/>
        <family val="2"/>
      </rPr>
      <t xml:space="preserve"> including cleaning, straightening, cutting, bending, hooking, lapping / welding joints wherever required, tying with 1.25 mm dia.soft annealed steel wire, including cost of all materials, labour, machinery, ventilation, lighting, drainage etc.,complete </t>
    </r>
    <r>
      <rPr>
        <b/>
        <sz val="14"/>
        <rFont val="Arial"/>
        <family val="2"/>
      </rPr>
      <t xml:space="preserve">with </t>
    </r>
    <r>
      <rPr>
        <b/>
        <sz val="14"/>
        <rFont val="Cambria"/>
        <family val="1"/>
      </rPr>
      <t>initial lead upto 1 km and all lifts.</t>
    </r>
  </si>
  <si>
    <r>
      <t xml:space="preserve">Providing and laying </t>
    </r>
    <r>
      <rPr>
        <b/>
        <sz val="14"/>
        <rFont val="Arial"/>
        <family val="2"/>
      </rPr>
      <t xml:space="preserve">insitu vibrated </t>
    </r>
    <r>
      <rPr>
        <b/>
        <sz val="14"/>
        <rFont val="Cambria"/>
        <family val="1"/>
      </rPr>
      <t>M-10</t>
    </r>
    <r>
      <rPr>
        <sz val="14"/>
        <rFont val="Cambria"/>
        <family val="1"/>
      </rPr>
      <t xml:space="preserve"> </t>
    </r>
    <r>
      <rPr>
        <sz val="14"/>
        <rFont val="Arial"/>
        <family val="2"/>
      </rPr>
      <t xml:space="preserve">( 28 days cube compressive strength not less than 10 N / sq mm ) grade cement concrete </t>
    </r>
    <r>
      <rPr>
        <sz val="14"/>
        <rFont val="Cambria"/>
        <family val="1"/>
      </rPr>
      <t xml:space="preserve">using </t>
    </r>
    <r>
      <rPr>
        <b/>
        <sz val="14"/>
        <rFont val="Cambria"/>
        <family val="1"/>
      </rPr>
      <t xml:space="preserve">40 mm down </t>
    </r>
    <r>
      <rPr>
        <b/>
        <sz val="14"/>
        <rFont val="Arial"/>
        <family val="2"/>
      </rPr>
      <t>size</t>
    </r>
    <r>
      <rPr>
        <sz val="14"/>
        <rFont val="Arial"/>
        <family val="2"/>
      </rPr>
      <t xml:space="preserve"> approved, clean, hard, graded aggregates crushed from tunnel excavated muck for filling and levelling over-cuts in bed due to geological faults etc., including cost of all materials, machinery, labour, cleaning bed, batching, mixing, conveying and laying, levelling, compacting, finishing, curing, lighting, ventilation, drainage etc., </t>
    </r>
    <r>
      <rPr>
        <b/>
        <sz val="14"/>
        <rFont val="Arial"/>
        <family val="2"/>
      </rPr>
      <t xml:space="preserve">complete </t>
    </r>
    <r>
      <rPr>
        <b/>
        <sz val="14"/>
        <rFont val="Cambria"/>
        <family val="1"/>
      </rPr>
      <t xml:space="preserve">with initial lead upto 1 km and all lifts. ( Cement content : 220 kg / cum, CA : 0.90cum, Blending Ratio of CA--50:30:20, FA : 0.40 cum, Superplasticizer 0.4% by wt. of cement) </t>
    </r>
  </si>
  <si>
    <r>
      <t xml:space="preserve">Providing and laying </t>
    </r>
    <r>
      <rPr>
        <b/>
        <sz val="14"/>
        <rFont val="Arial"/>
        <family val="2"/>
      </rPr>
      <t xml:space="preserve">insitu vibrated </t>
    </r>
    <r>
      <rPr>
        <b/>
        <sz val="14"/>
        <rFont val="Cambria"/>
        <family val="1"/>
      </rPr>
      <t>M-20</t>
    </r>
    <r>
      <rPr>
        <sz val="14"/>
        <rFont val="Arial"/>
        <family val="2"/>
      </rPr>
      <t xml:space="preserve"> ( 28 days cube compressive strength not less than 20 N / sqmm ) grade cement concrete using </t>
    </r>
    <r>
      <rPr>
        <b/>
        <sz val="14"/>
        <rFont val="Cambria"/>
        <family val="1"/>
      </rPr>
      <t>40 mm and down size</t>
    </r>
    <r>
      <rPr>
        <sz val="14"/>
        <rFont val="Cambria"/>
        <family val="1"/>
      </rPr>
      <t xml:space="preserve"> </t>
    </r>
    <r>
      <rPr>
        <sz val="14"/>
        <rFont val="Arial"/>
        <family val="2"/>
      </rPr>
      <t>approved clean, hard, graded aggregates crushed from tunnel muck</t>
    </r>
    <r>
      <rPr>
        <sz val="14"/>
        <rFont val="Cambria"/>
        <family val="1"/>
      </rPr>
      <t xml:space="preserve"> for kerb and bed lining</t>
    </r>
    <r>
      <rPr>
        <sz val="14"/>
        <rFont val="Arial"/>
        <family val="2"/>
      </rPr>
      <t xml:space="preserve"> including cost of all materials, machinery, labour, formwork, batching, mixing, conveying upto placing point in agitator cars, placing in position, levelling, vibrating, finishing, curing, ventilation, lighting, drainage and all other ancillary operations etc., </t>
    </r>
    <r>
      <rPr>
        <sz val="14"/>
        <rFont val="Cambria"/>
        <family val="1"/>
      </rPr>
      <t xml:space="preserve">complete </t>
    </r>
    <r>
      <rPr>
        <b/>
        <sz val="14"/>
        <rFont val="Cambria"/>
        <family val="1"/>
      </rPr>
      <t>with lead upto 1 km and all lifts. ( Cement content 330 kg / cum for use of super plasticiser(0.4% by wt. of cement),CA : 0.90cum, Blending Ratio of CA--50:30:20, FA : 0.40 cum)</t>
    </r>
  </si>
  <si>
    <r>
      <t xml:space="preserve">Providing and laying </t>
    </r>
    <r>
      <rPr>
        <b/>
        <sz val="14"/>
        <rFont val="Arial"/>
        <family val="2"/>
      </rPr>
      <t xml:space="preserve">insitu vibrated </t>
    </r>
    <r>
      <rPr>
        <b/>
        <sz val="14"/>
        <rFont val="Cambria"/>
        <family val="1"/>
      </rPr>
      <t>M-20</t>
    </r>
    <r>
      <rPr>
        <sz val="14"/>
        <rFont val="Cambria"/>
        <family val="1"/>
      </rPr>
      <t xml:space="preserve"> </t>
    </r>
    <r>
      <rPr>
        <sz val="14"/>
        <rFont val="Arial"/>
        <family val="2"/>
      </rPr>
      <t xml:space="preserve">( 28 days cube compressive strength not less than 20 N / sqmm ) grade cement concrete using </t>
    </r>
    <r>
      <rPr>
        <b/>
        <sz val="14"/>
        <rFont val="Cambria"/>
        <family val="1"/>
      </rPr>
      <t>40 mm and down size</t>
    </r>
    <r>
      <rPr>
        <sz val="14"/>
        <rFont val="Cambria"/>
        <family val="1"/>
      </rPr>
      <t xml:space="preserve"> </t>
    </r>
    <r>
      <rPr>
        <sz val="14"/>
        <rFont val="Arial"/>
        <family val="2"/>
      </rPr>
      <t xml:space="preserve">approved clean, hard, graded aggregates crushed from tunnel muck </t>
    </r>
    <r>
      <rPr>
        <sz val="14"/>
        <rFont val="Cambria"/>
        <family val="1"/>
      </rPr>
      <t xml:space="preserve">for sides and arch lining </t>
    </r>
    <r>
      <rPr>
        <sz val="14"/>
        <rFont val="Arial"/>
        <family val="2"/>
      </rPr>
      <t xml:space="preserve">including cost of all materials, machinery, labour, formwork, batching, mixing, conveying upto placing point in agitator cars, placing in position, levelling, vibrating, finishing, curing, ventilation, lighting,  drainage and all other ancillary operations etc., </t>
    </r>
    <r>
      <rPr>
        <sz val="14"/>
        <rFont val="Cambria"/>
        <family val="1"/>
      </rPr>
      <t xml:space="preserve">complete </t>
    </r>
    <r>
      <rPr>
        <b/>
        <sz val="14"/>
        <rFont val="Cambria"/>
        <family val="1"/>
      </rPr>
      <t>with lead upto 1 km and all lifts. ( Cement content 330 kg / cum for use of super plasticiser(0.4% by wt. of cement),CA : 0.90cum, Blending Ratio of CA--50:30:20, FA : 0.40 cum)</t>
    </r>
  </si>
  <si>
    <r>
      <rPr>
        <b/>
        <sz val="14"/>
        <rFont val="Arial"/>
        <family val="2"/>
      </rPr>
      <t xml:space="preserve">Drilling 32 mm diameter </t>
    </r>
    <r>
      <rPr>
        <b/>
        <sz val="14"/>
        <rFont val="Cambria"/>
        <family val="1"/>
      </rPr>
      <t>grout holes</t>
    </r>
    <r>
      <rPr>
        <b/>
        <sz val="14"/>
        <rFont val="Arial"/>
        <family val="2"/>
      </rPr>
      <t xml:space="preserve"> in concrete / rock by percussion drilling</t>
    </r>
    <r>
      <rPr>
        <sz val="14"/>
        <rFont val="Arial"/>
        <family val="2"/>
      </rPr>
      <t xml:space="preserve"> using jack hammer or stooper drills as directed to specified depth for consolidation / contact grouting including cost of all materials, machinery, labour, cleaning holes, ventilation, lighting, drainage and all other ancillary operations etc., complete.</t>
    </r>
  </si>
  <si>
    <r>
      <rPr>
        <b/>
        <sz val="14"/>
        <rFont val="Arial"/>
        <family val="2"/>
      </rPr>
      <t>Grouting cement slurry in grout holes under specified pressure</t>
    </r>
    <r>
      <rPr>
        <b/>
        <sz val="14"/>
        <rFont val="Cambria"/>
        <family val="1"/>
      </rPr>
      <t xml:space="preserve"> for consolidation / contact grouting</t>
    </r>
    <r>
      <rPr>
        <sz val="14"/>
        <rFont val="Cambria"/>
        <family val="1"/>
      </rPr>
      <t xml:space="preserve"> </t>
    </r>
    <r>
      <rPr>
        <sz val="14"/>
        <rFont val="Arial"/>
        <family val="2"/>
      </rPr>
      <t>including cost of all materials, machinery, labour, redrilling wherever necessary, ventilation,lighting, drainage and other ancillary operations etc.,</t>
    </r>
    <r>
      <rPr>
        <sz val="14"/>
        <rFont val="Cambria"/>
        <family val="1"/>
      </rPr>
      <t xml:space="preserve"> complete </t>
    </r>
    <r>
      <rPr>
        <b/>
        <sz val="14"/>
        <rFont val="Cambria"/>
        <family val="1"/>
      </rPr>
      <t>with lead upto 1 km and all lifts.</t>
    </r>
  </si>
  <si>
    <r>
      <rPr>
        <b/>
        <sz val="14"/>
        <rFont val="Arial"/>
        <family val="2"/>
      </rPr>
      <t xml:space="preserve">Drilling 75 mm diameter </t>
    </r>
    <r>
      <rPr>
        <b/>
        <sz val="14"/>
        <rFont val="Cambria"/>
        <family val="1"/>
      </rPr>
      <t>drainage holes</t>
    </r>
    <r>
      <rPr>
        <sz val="14"/>
        <rFont val="Arial"/>
        <family val="2"/>
      </rPr>
      <t xml:space="preserve"> vertical or inclined in rock / concrete in tunnel by </t>
    </r>
    <r>
      <rPr>
        <b/>
        <sz val="14"/>
        <rFont val="Arial"/>
        <family val="2"/>
      </rPr>
      <t>percussion drilling</t>
    </r>
    <r>
      <rPr>
        <sz val="14"/>
        <rFont val="Arial"/>
        <family val="2"/>
      </rPr>
      <t xml:space="preserve"> using waggon drill or other suitable drilling equipment including cost of all materials, machinery, labour, ventilation, lighting, drainage etc., complete.</t>
    </r>
  </si>
  <si>
    <r>
      <t xml:space="preserve">Excavation </t>
    </r>
    <r>
      <rPr>
        <b/>
        <sz val="14"/>
        <rFont val="Arial"/>
        <family val="2"/>
      </rPr>
      <t xml:space="preserve">in </t>
    </r>
    <r>
      <rPr>
        <b/>
        <sz val="14"/>
        <rFont val="Cambria"/>
        <family val="1"/>
      </rPr>
      <t>all kinds of soil</t>
    </r>
    <r>
      <rPr>
        <sz val="14"/>
        <rFont val="Arial"/>
        <family val="2"/>
      </rPr>
      <t xml:space="preserve"> including boulders </t>
    </r>
    <r>
      <rPr>
        <b/>
        <sz val="14"/>
        <rFont val="Cambria"/>
        <family val="1"/>
      </rPr>
      <t>upto 0.3 m diameter</t>
    </r>
    <r>
      <rPr>
        <sz val="14"/>
        <rFont val="Cambria"/>
        <family val="1"/>
      </rPr>
      <t xml:space="preserve"> for </t>
    </r>
    <r>
      <rPr>
        <b/>
        <sz val="14"/>
        <rFont val="Cambria"/>
        <family val="1"/>
      </rPr>
      <t>canal</t>
    </r>
    <r>
      <rPr>
        <sz val="14"/>
        <rFont val="Cambria"/>
        <family val="1"/>
      </rPr>
      <t>,</t>
    </r>
    <r>
      <rPr>
        <sz val="14"/>
        <rFont val="Arial"/>
        <family val="2"/>
      </rPr>
      <t xml:space="preserve"> seating of embankment, filter drains / catch water drains etc., including dressing bed and sides to required level and profile, cost of all materials, machinery, labour, placing the excavated soil neatly in dump area or for the formation of service road / embankment as directed etc., </t>
    </r>
    <r>
      <rPr>
        <sz val="14"/>
        <rFont val="Cambria"/>
        <family val="1"/>
      </rPr>
      <t xml:space="preserve">complete </t>
    </r>
    <r>
      <rPr>
        <b/>
        <sz val="14"/>
        <rFont val="Cambria"/>
        <family val="1"/>
      </rPr>
      <t>with initial lead upto 1 km and all lifts.</t>
    </r>
  </si>
  <si>
    <r>
      <t xml:space="preserve">Excavation </t>
    </r>
    <r>
      <rPr>
        <b/>
        <sz val="14"/>
        <rFont val="Arial"/>
        <family val="2"/>
      </rPr>
      <t xml:space="preserve">in </t>
    </r>
    <r>
      <rPr>
        <b/>
        <sz val="14"/>
        <rFont val="Cambria"/>
        <family val="1"/>
      </rPr>
      <t>all kinds of soil</t>
    </r>
    <r>
      <rPr>
        <sz val="14"/>
        <rFont val="Arial"/>
        <family val="2"/>
      </rPr>
      <t xml:space="preserve"> including boulders </t>
    </r>
    <r>
      <rPr>
        <b/>
        <sz val="14"/>
        <rFont val="Cambria"/>
        <family val="1"/>
      </rPr>
      <t>upto 0.30 m dia</t>
    </r>
    <r>
      <rPr>
        <sz val="14"/>
        <rFont val="Cambria"/>
        <family val="1"/>
      </rPr>
      <t xml:space="preserve"> for </t>
    </r>
    <r>
      <rPr>
        <b/>
        <sz val="14"/>
        <rFont val="Cambria"/>
        <family val="1"/>
      </rPr>
      <t>field channels</t>
    </r>
    <r>
      <rPr>
        <sz val="14"/>
        <rFont val="Arial"/>
        <family val="2"/>
      </rPr>
      <t xml:space="preserve">, seating of embankment for field channels etc., including dressing of bed and sides to required profile, cost of all materials, machinery, labour, placing the excavated stuff for formation of service road / embankment as directed etc., </t>
    </r>
    <r>
      <rPr>
        <sz val="14"/>
        <rFont val="Cambria"/>
        <family val="1"/>
      </rPr>
      <t>complete with lead upto 10 m and lift upto 3 m.
(Machinery excavation and manual conveyance)</t>
    </r>
  </si>
  <si>
    <r>
      <t xml:space="preserve">Excavation </t>
    </r>
    <r>
      <rPr>
        <b/>
        <sz val="14"/>
        <rFont val="Arial"/>
        <family val="2"/>
      </rPr>
      <t xml:space="preserve">in </t>
    </r>
    <r>
      <rPr>
        <b/>
        <sz val="14"/>
        <rFont val="Cambria"/>
        <family val="1"/>
      </rPr>
      <t>ordinary rock (</t>
    </r>
    <r>
      <rPr>
        <b/>
        <sz val="14"/>
        <rFont val="Arial"/>
        <family val="2"/>
      </rPr>
      <t xml:space="preserve">including </t>
    </r>
    <r>
      <rPr>
        <b/>
        <sz val="14"/>
        <rFont val="Cambria"/>
        <family val="1"/>
      </rPr>
      <t>HDR)</t>
    </r>
    <r>
      <rPr>
        <b/>
        <sz val="14"/>
        <rFont val="Arial"/>
        <family val="2"/>
      </rPr>
      <t xml:space="preserve"> </t>
    </r>
    <r>
      <rPr>
        <b/>
        <sz val="14"/>
        <rFont val="Cambria"/>
        <family val="1"/>
      </rPr>
      <t xml:space="preserve">  without blasting</t>
    </r>
    <r>
      <rPr>
        <sz val="14"/>
        <rFont val="Arial"/>
        <family val="2"/>
      </rPr>
      <t xml:space="preserve"> including boulders</t>
    </r>
    <r>
      <rPr>
        <sz val="14"/>
        <rFont val="Cambria"/>
        <family val="1"/>
      </rPr>
      <t xml:space="preserve"> </t>
    </r>
    <r>
      <rPr>
        <b/>
        <sz val="14"/>
        <rFont val="Cambria"/>
        <family val="1"/>
      </rPr>
      <t>above 0.30 m upto 0.6 m dia</t>
    </r>
    <r>
      <rPr>
        <b/>
        <sz val="14"/>
        <rFont val="Arial"/>
        <family val="2"/>
      </rPr>
      <t>.</t>
    </r>
    <r>
      <rPr>
        <b/>
        <sz val="14"/>
        <rFont val="Cambria"/>
        <family val="1"/>
      </rPr>
      <t xml:space="preserve"> for canals</t>
    </r>
    <r>
      <rPr>
        <sz val="14"/>
        <rFont val="Cambria"/>
        <family val="1"/>
      </rPr>
      <t xml:space="preserve">, seating of embankment, filter </t>
    </r>
    <r>
      <rPr>
        <sz val="14"/>
        <rFont val="Arial"/>
        <family val="2"/>
      </rPr>
      <t xml:space="preserve">drain / catch water drains etc., including dressing of bed and sides to required level and profile, cost of all materials, machinery, labour, placing the excavated soft rock neatly in dump area or for formation of service road as directed etc., </t>
    </r>
    <r>
      <rPr>
        <sz val="14"/>
        <rFont val="Cambria"/>
        <family val="1"/>
      </rPr>
      <t xml:space="preserve">complete </t>
    </r>
    <r>
      <rPr>
        <b/>
        <sz val="14"/>
        <rFont val="Cambria"/>
        <family val="1"/>
      </rPr>
      <t>with lead upto 1 km and all lifts.</t>
    </r>
  </si>
  <si>
    <r>
      <t xml:space="preserve">Excavation </t>
    </r>
    <r>
      <rPr>
        <b/>
        <sz val="14"/>
        <rFont val="Arial"/>
        <family val="2"/>
      </rPr>
      <t xml:space="preserve">in </t>
    </r>
    <r>
      <rPr>
        <b/>
        <sz val="14"/>
        <rFont val="Cambria"/>
        <family val="1"/>
      </rPr>
      <t xml:space="preserve">ordinary rock </t>
    </r>
    <r>
      <rPr>
        <b/>
        <sz val="14"/>
        <rFont val="Arial"/>
        <family val="2"/>
      </rPr>
      <t xml:space="preserve">(including </t>
    </r>
    <r>
      <rPr>
        <b/>
        <sz val="14"/>
        <rFont val="Cambria"/>
        <family val="1"/>
      </rPr>
      <t>HDR) without blasting</t>
    </r>
    <r>
      <rPr>
        <sz val="14"/>
        <rFont val="Arial"/>
        <family val="2"/>
      </rPr>
      <t xml:space="preserve"> including boulders </t>
    </r>
    <r>
      <rPr>
        <b/>
        <sz val="14"/>
        <rFont val="Cambria"/>
        <family val="1"/>
      </rPr>
      <t>above 0.3 m upto 0.60 m dia.</t>
    </r>
    <r>
      <rPr>
        <b/>
        <sz val="14"/>
        <rFont val="Arial"/>
        <family val="2"/>
      </rPr>
      <t xml:space="preserve"> for </t>
    </r>
    <r>
      <rPr>
        <b/>
        <sz val="14"/>
        <rFont val="Cambria"/>
        <family val="1"/>
      </rPr>
      <t>field channels</t>
    </r>
    <r>
      <rPr>
        <sz val="14"/>
        <rFont val="Cambria"/>
        <family val="1"/>
      </rPr>
      <t xml:space="preserve">, </t>
    </r>
    <r>
      <rPr>
        <sz val="14"/>
        <rFont val="Arial"/>
        <family val="2"/>
      </rPr>
      <t xml:space="preserve">seating of embankment for field channels etc., including dressing of bed and sides to required profile, cost of all materials, machinery, labour, placing the excavated stuff for formation of service road as directed etc.,complete </t>
    </r>
    <r>
      <rPr>
        <b/>
        <sz val="14"/>
        <rFont val="Arial"/>
        <family val="2"/>
      </rPr>
      <t xml:space="preserve">with </t>
    </r>
    <r>
      <rPr>
        <b/>
        <sz val="14"/>
        <rFont val="Cambria"/>
        <family val="1"/>
      </rPr>
      <t>lead upto 10 m and lift upto 3 m.</t>
    </r>
    <r>
      <rPr>
        <sz val="14"/>
        <rFont val="Cambria"/>
        <family val="1"/>
      </rPr>
      <t xml:space="preserve">
(Machinery excavation and manual conveyance)</t>
    </r>
  </si>
  <si>
    <r>
      <rPr>
        <b/>
        <sz val="14"/>
        <rFont val="Arial"/>
        <family val="2"/>
      </rPr>
      <t xml:space="preserve">Excavation in </t>
    </r>
    <r>
      <rPr>
        <b/>
        <sz val="14"/>
        <rFont val="Cambria"/>
        <family val="1"/>
      </rPr>
      <t xml:space="preserve">hard rock </t>
    </r>
    <r>
      <rPr>
        <b/>
        <sz val="14"/>
        <rFont val="Arial"/>
        <family val="2"/>
      </rPr>
      <t xml:space="preserve">(including </t>
    </r>
    <r>
      <rPr>
        <b/>
        <sz val="14"/>
        <rFont val="Cambria"/>
        <family val="1"/>
      </rPr>
      <t>F&amp;F rock) requiring blasting</t>
    </r>
    <r>
      <rPr>
        <sz val="14"/>
        <rFont val="Arial"/>
        <family val="2"/>
      </rPr>
      <t xml:space="preserve"> including boulders </t>
    </r>
    <r>
      <rPr>
        <b/>
        <sz val="14"/>
        <rFont val="Cambria"/>
        <family val="1"/>
      </rPr>
      <t>above 0.6 m upto 1.2 m dia.</t>
    </r>
    <r>
      <rPr>
        <b/>
        <sz val="14"/>
        <rFont val="Arial"/>
        <family val="2"/>
      </rPr>
      <t xml:space="preserve"> for</t>
    </r>
    <r>
      <rPr>
        <b/>
        <sz val="14"/>
        <rFont val="Cambria"/>
        <family val="1"/>
      </rPr>
      <t xml:space="preserve"> canals</t>
    </r>
    <r>
      <rPr>
        <sz val="14"/>
        <rFont val="Cambria"/>
        <family val="1"/>
      </rPr>
      <t xml:space="preserve">, </t>
    </r>
    <r>
      <rPr>
        <sz val="14"/>
        <rFont val="Arial"/>
        <family val="2"/>
      </rPr>
      <t xml:space="preserve">seating of embankment, filter drain / catch water drains etc., including dressing bed and sides to required level and profile, cost of all materials, machinery, labour, placing the excavated rock in dump area or for formation of service road as directed etc., </t>
    </r>
    <r>
      <rPr>
        <b/>
        <sz val="14"/>
        <rFont val="Cambria"/>
        <family val="1"/>
      </rPr>
      <t>complete with lead upto 1 km and all lifts.</t>
    </r>
  </si>
  <si>
    <r>
      <rPr>
        <b/>
        <sz val="14"/>
        <rFont val="Arial"/>
        <family val="2"/>
      </rPr>
      <t xml:space="preserve">Excavation in </t>
    </r>
    <r>
      <rPr>
        <b/>
        <sz val="14"/>
        <rFont val="Cambria"/>
        <family val="1"/>
      </rPr>
      <t>hard rock of all toughness by blasting</t>
    </r>
    <r>
      <rPr>
        <sz val="14"/>
        <rFont val="Cambria"/>
        <family val="1"/>
      </rPr>
      <t xml:space="preserve"> including</t>
    </r>
    <r>
      <rPr>
        <sz val="14"/>
        <rFont val="Arial"/>
        <family val="2"/>
      </rPr>
      <t xml:space="preserve"> boulders </t>
    </r>
    <r>
      <rPr>
        <b/>
        <sz val="14"/>
        <rFont val="Cambria"/>
        <family val="1"/>
      </rPr>
      <t xml:space="preserve">above 1.2 m dia. </t>
    </r>
    <r>
      <rPr>
        <b/>
        <sz val="14"/>
        <rFont val="Arial"/>
        <family val="2"/>
      </rPr>
      <t>for</t>
    </r>
    <r>
      <rPr>
        <b/>
        <sz val="14"/>
        <rFont val="Cambria"/>
        <family val="1"/>
      </rPr>
      <t xml:space="preserve"> canals</t>
    </r>
    <r>
      <rPr>
        <sz val="14"/>
        <rFont val="Cambria"/>
        <family val="1"/>
      </rPr>
      <t>,</t>
    </r>
    <r>
      <rPr>
        <sz val="14"/>
        <rFont val="Arial"/>
        <family val="2"/>
      </rPr>
      <t xml:space="preserve"> seating of embankment, filter drain / catch water drains etc., including levelling the bed by removing all projections by hammering / chiselling, cost of all materials, machinery, labour, placing the excavated rock neatly in approved dump area and levelling the same as directed etc., </t>
    </r>
    <r>
      <rPr>
        <sz val="14"/>
        <rFont val="Cambria"/>
        <family val="1"/>
      </rPr>
      <t xml:space="preserve">complete </t>
    </r>
    <r>
      <rPr>
        <b/>
        <sz val="14"/>
        <rFont val="Cambria"/>
        <family val="1"/>
      </rPr>
      <t>with initial lead upto 1 km and all lifts.</t>
    </r>
    <r>
      <rPr>
        <sz val="14"/>
        <rFont val="Cambria"/>
        <family val="1"/>
      </rPr>
      <t xml:space="preserve">
</t>
    </r>
    <r>
      <rPr>
        <sz val="14"/>
        <rFont val="Arial"/>
        <family val="2"/>
      </rPr>
      <t>i ) The rate under this item shall be adopted for canals designed for carrying capacity of less than 15 cumecs or where the average depth excavation in hard rock is less than 3 m.
ii ) The rate includes levelling canal bed by hammering / chiselling all rock projections wherever required.</t>
    </r>
  </si>
  <si>
    <r>
      <rPr>
        <b/>
        <sz val="14"/>
        <rFont val="Arial"/>
        <family val="2"/>
      </rPr>
      <t xml:space="preserve">Excavation in </t>
    </r>
    <r>
      <rPr>
        <b/>
        <sz val="14"/>
        <rFont val="Cambria"/>
        <family val="1"/>
      </rPr>
      <t>hard rock of all toughness</t>
    </r>
    <r>
      <rPr>
        <sz val="14"/>
        <rFont val="Arial"/>
        <family val="2"/>
      </rPr>
      <t xml:space="preserve"> including boulders </t>
    </r>
    <r>
      <rPr>
        <b/>
        <sz val="14"/>
        <rFont val="Cambria"/>
        <family val="1"/>
      </rPr>
      <t>above 1.2 m dia.</t>
    </r>
    <r>
      <rPr>
        <sz val="14"/>
        <rFont val="Cambria"/>
        <family val="1"/>
      </rPr>
      <t xml:space="preserve"> </t>
    </r>
    <r>
      <rPr>
        <sz val="14"/>
        <rFont val="Arial"/>
        <family val="2"/>
      </rPr>
      <t xml:space="preserve">by </t>
    </r>
    <r>
      <rPr>
        <b/>
        <sz val="14"/>
        <rFont val="Arial"/>
        <family val="2"/>
      </rPr>
      <t xml:space="preserve">approved controlled blasting methods for </t>
    </r>
    <r>
      <rPr>
        <b/>
        <sz val="14"/>
        <rFont val="Cambria"/>
        <family val="1"/>
      </rPr>
      <t>canals</t>
    </r>
    <r>
      <rPr>
        <sz val="14"/>
        <rFont val="Cambria"/>
        <family val="1"/>
      </rPr>
      <t>, cut-off trench of embankment, filter / catch-water drains etc.,</t>
    </r>
    <r>
      <rPr>
        <sz val="14"/>
        <rFont val="Arial"/>
        <family val="2"/>
      </rPr>
      <t xml:space="preserve"> including</t>
    </r>
    <r>
      <rPr>
        <sz val="14"/>
        <rFont val="Cambria"/>
        <family val="1"/>
      </rPr>
      <t xml:space="preserve"> controlling fly-rock by muffling arrangements </t>
    </r>
    <r>
      <rPr>
        <sz val="14"/>
        <rFont val="Arial"/>
        <family val="2"/>
      </rPr>
      <t>such as placing 50 x 50 mm opening chain link mesh or waste tyres and sand bags, monitoring ground vibrations at specified locations, costof all materials, machinery, labour, placing excavated rock neatly in approved dump area or other place as directed etc.,</t>
    </r>
    <r>
      <rPr>
        <sz val="14"/>
        <rFont val="Cambria"/>
        <family val="1"/>
      </rPr>
      <t xml:space="preserve"> complete </t>
    </r>
    <r>
      <rPr>
        <b/>
        <sz val="14"/>
        <rFont val="Cambria"/>
        <family val="1"/>
      </rPr>
      <t>with lead upto 1 km and all lifts.</t>
    </r>
    <r>
      <rPr>
        <sz val="14"/>
        <rFont val="Cambria"/>
        <family val="1"/>
      </rPr>
      <t xml:space="preserve">
</t>
    </r>
    <r>
      <rPr>
        <sz val="14"/>
        <rFont val="Arial"/>
        <family val="2"/>
      </rPr>
      <t>i) The rate under this item shall be adopted for canals designed for carrying capacity of less than 15 cumecs or where the average depth excavation in hard rock is less than 3 m.
ii ) The rate under this item shall be adopted where the control of fly-rock and ground vibrations is required.</t>
    </r>
  </si>
  <si>
    <r>
      <rPr>
        <b/>
        <sz val="14"/>
        <rFont val="Arial"/>
        <family val="2"/>
      </rPr>
      <t xml:space="preserve">Excavation in </t>
    </r>
    <r>
      <rPr>
        <b/>
        <sz val="14"/>
        <rFont val="Cambria"/>
        <family val="1"/>
      </rPr>
      <t>hard rock of all toughness</t>
    </r>
    <r>
      <rPr>
        <sz val="14"/>
        <rFont val="Arial"/>
        <family val="2"/>
      </rPr>
      <t xml:space="preserve"> including boulders </t>
    </r>
    <r>
      <rPr>
        <b/>
        <sz val="14"/>
        <rFont val="Cambria"/>
        <family val="1"/>
      </rPr>
      <t>above 1.2 m dia. for dressing canal sides</t>
    </r>
    <r>
      <rPr>
        <sz val="14"/>
        <rFont val="Cambria"/>
        <family val="1"/>
      </rPr>
      <t xml:space="preserve"> </t>
    </r>
    <r>
      <rPr>
        <sz val="14"/>
        <rFont val="Arial"/>
        <family val="2"/>
      </rPr>
      <t xml:space="preserve">neatly on either side to required profile by line drilling and smooth blasting including removing under-cuts by chiselling / hammering, placing the excavated rock neatly in dump area or other place as directed, cost of all materials, machinery, labour etc., </t>
    </r>
    <r>
      <rPr>
        <sz val="14"/>
        <rFont val="Cambria"/>
        <family val="1"/>
      </rPr>
      <t xml:space="preserve">complete </t>
    </r>
    <r>
      <rPr>
        <b/>
        <sz val="14"/>
        <rFont val="Cambria"/>
        <family val="1"/>
      </rPr>
      <t>with lead upto 1 km and all lifts.</t>
    </r>
    <r>
      <rPr>
        <sz val="14"/>
        <rFont val="Cambria"/>
        <family val="1"/>
      </rPr>
      <t xml:space="preserve">
</t>
    </r>
    <r>
      <rPr>
        <sz val="14"/>
        <rFont val="Arial"/>
        <family val="2"/>
      </rPr>
      <t>i) For excavation of canal below free board level combination of normal controlled blasting and line drilling and smooth blasting shall be adopted to obtain neat side slopes. For the purpose of payment 1 m width of excavation on either side shall be treated as excavation by line drilling and smooth blasting and remaining portion shall be treated as excavation by normal / controlled blasting as the case may be.
ii ) The rate under this item shall be adopted for canals designed for carrying capacity of less than 15 cumecs or where the average depth of excavation in hard rock is less than 3 m.
iii ) The rate includes controlling fly-rock wherever required.
iv ) The rate under this item shall be paid only on ascertaining that the excavated face has come off neatly as per specifications or atleast 50 percent of smooth blast holes are visible for inspection and are spaced at  specified interval.
v ) In case, where the above criteria is not fulfilled payment shall be restricted to the rate provided for excavation by normal blasting or controlled blasting as the case may be.</t>
    </r>
  </si>
  <si>
    <r>
      <rPr>
        <b/>
        <sz val="14"/>
        <rFont val="Arial"/>
        <family val="2"/>
      </rPr>
      <t xml:space="preserve">Excavation in </t>
    </r>
    <r>
      <rPr>
        <b/>
        <sz val="14"/>
        <rFont val="Cambria"/>
        <family val="1"/>
      </rPr>
      <t>hard rock by blasting</t>
    </r>
    <r>
      <rPr>
        <sz val="14"/>
        <rFont val="Arial"/>
        <family val="2"/>
      </rPr>
      <t xml:space="preserve"> including boulders </t>
    </r>
    <r>
      <rPr>
        <b/>
        <sz val="14"/>
        <rFont val="Cambria"/>
        <family val="1"/>
      </rPr>
      <t>above 1.2 m dia. for canals</t>
    </r>
    <r>
      <rPr>
        <sz val="14"/>
        <rFont val="Arial"/>
        <family val="2"/>
      </rPr>
      <t xml:space="preserve">, seating embankment etc., including levelling bed by removing all projections </t>
    </r>
    <r>
      <rPr>
        <sz val="14"/>
        <rFont val="Cambria"/>
        <family val="1"/>
      </rPr>
      <t xml:space="preserve">by hammering / chiselling, </t>
    </r>
    <r>
      <rPr>
        <sz val="14"/>
        <rFont val="Arial"/>
        <family val="2"/>
      </rPr>
      <t xml:space="preserve">cost of all materials, machinery, labour, placing the excavated rock neatly in approved dump area and levelling the same as directed etc.,complete </t>
    </r>
    <r>
      <rPr>
        <b/>
        <sz val="14"/>
        <rFont val="Cambria"/>
        <family val="1"/>
      </rPr>
      <t>with initial lead upto 1 km and all lifts.</t>
    </r>
    <r>
      <rPr>
        <sz val="14"/>
        <rFont val="Cambria"/>
        <family val="1"/>
      </rPr>
      <t xml:space="preserve">
</t>
    </r>
    <r>
      <rPr>
        <sz val="14"/>
        <rFont val="Arial"/>
        <family val="2"/>
      </rPr>
      <t>i ) The rate under this item shall be adopted for canals designed for carrying capacity of more than 15 cumecs or where the average depth of excavation in hard rock is more than 3 m.
ii ) The rate includes levelling canal bed by hammering /chiselling all rock projections wherever required.</t>
    </r>
  </si>
  <si>
    <r>
      <rPr>
        <b/>
        <sz val="14"/>
        <rFont val="Arial"/>
        <family val="2"/>
      </rPr>
      <t xml:space="preserve">Excavation in </t>
    </r>
    <r>
      <rPr>
        <b/>
        <sz val="14"/>
        <rFont val="Cambria"/>
        <family val="1"/>
      </rPr>
      <t>hard rock of all toughness</t>
    </r>
    <r>
      <rPr>
        <sz val="14"/>
        <rFont val="Arial"/>
        <family val="2"/>
      </rPr>
      <t xml:space="preserve"> including boulders </t>
    </r>
    <r>
      <rPr>
        <b/>
        <sz val="14"/>
        <rFont val="Cambria"/>
        <family val="1"/>
      </rPr>
      <t xml:space="preserve">above 1.2 m dia. by approved controlled blasting methods for canals, </t>
    </r>
    <r>
      <rPr>
        <b/>
        <sz val="14"/>
        <rFont val="Arial"/>
        <family val="2"/>
      </rPr>
      <t>cut-off trench of embankment</t>
    </r>
    <r>
      <rPr>
        <sz val="14"/>
        <rFont val="Arial"/>
        <family val="2"/>
      </rPr>
      <t xml:space="preserve"> etc., including </t>
    </r>
    <r>
      <rPr>
        <sz val="14"/>
        <rFont val="Cambria"/>
        <family val="1"/>
      </rPr>
      <t xml:space="preserve">controlling fly-rock by muffling arrangements </t>
    </r>
    <r>
      <rPr>
        <sz val="14"/>
        <rFont val="Arial"/>
        <family val="2"/>
      </rPr>
      <t xml:space="preserve">such as placing 50 x 50 mm opening chain link mesh or waste tyres and sand bags, monitoring ground vibrations at specified locations, cost of all materials, machinery, labour, placing excavated rock neatly in approved dump area or other place as directed etc., </t>
    </r>
    <r>
      <rPr>
        <sz val="14"/>
        <rFont val="Cambria"/>
        <family val="1"/>
      </rPr>
      <t xml:space="preserve">complete </t>
    </r>
    <r>
      <rPr>
        <b/>
        <sz val="14"/>
        <rFont val="Cambria"/>
        <family val="1"/>
      </rPr>
      <t>with lead upto 1 km and all lifts.</t>
    </r>
    <r>
      <rPr>
        <sz val="14"/>
        <rFont val="Cambria"/>
        <family val="1"/>
      </rPr>
      <t xml:space="preserve">
</t>
    </r>
    <r>
      <rPr>
        <sz val="14"/>
        <rFont val="Arial"/>
        <family val="2"/>
      </rPr>
      <t>i ) The rate under this item shall be adopted for canals designed for carrying capacity of more than 15 cumecs or where the average depth of excavation in hard rock is more than 3 m. 
ii ) The rate under this item shall be adopted where the control of fly-rock and ground vibrations is required.</t>
    </r>
  </si>
  <si>
    <r>
      <rPr>
        <b/>
        <sz val="14"/>
        <rFont val="Arial"/>
        <family val="2"/>
      </rPr>
      <t xml:space="preserve">Excavation in </t>
    </r>
    <r>
      <rPr>
        <b/>
        <sz val="14"/>
        <rFont val="Cambria"/>
        <family val="1"/>
      </rPr>
      <t>hard rock of all toughness</t>
    </r>
    <r>
      <rPr>
        <sz val="14"/>
        <rFont val="Arial"/>
        <family val="2"/>
      </rPr>
      <t xml:space="preserve"> including boulders </t>
    </r>
    <r>
      <rPr>
        <b/>
        <sz val="14"/>
        <rFont val="Cambria"/>
        <family val="1"/>
      </rPr>
      <t>above 1.2 m dia</t>
    </r>
    <r>
      <rPr>
        <b/>
        <sz val="14"/>
        <rFont val="Arial"/>
        <family val="2"/>
      </rPr>
      <t xml:space="preserve">. </t>
    </r>
    <r>
      <rPr>
        <b/>
        <sz val="14"/>
        <rFont val="Cambria"/>
        <family val="1"/>
      </rPr>
      <t>for dressing canal sides</t>
    </r>
    <r>
      <rPr>
        <sz val="14"/>
        <rFont val="Cambria"/>
        <family val="1"/>
      </rPr>
      <t xml:space="preserve"> </t>
    </r>
    <r>
      <rPr>
        <sz val="14"/>
        <rFont val="Arial"/>
        <family val="2"/>
      </rPr>
      <t>neatly on either side to required profile</t>
    </r>
    <r>
      <rPr>
        <sz val="14"/>
        <rFont val="Cambria"/>
        <family val="1"/>
      </rPr>
      <t xml:space="preserve"> by line drilling and smooth blasting </t>
    </r>
    <r>
      <rPr>
        <sz val="14"/>
        <rFont val="Arial"/>
        <family val="2"/>
      </rPr>
      <t xml:space="preserve">including removing under-cuts </t>
    </r>
    <r>
      <rPr>
        <sz val="14"/>
        <rFont val="Cambria"/>
        <family val="1"/>
      </rPr>
      <t xml:space="preserve">by chiselling / hammering, </t>
    </r>
    <r>
      <rPr>
        <sz val="14"/>
        <rFont val="Arial"/>
        <family val="2"/>
      </rPr>
      <t xml:space="preserve">placing the excavated rock neatly in dump area or other place as directed, cost of all materials, machinery, labour etc., </t>
    </r>
    <r>
      <rPr>
        <sz val="14"/>
        <rFont val="Cambria"/>
        <family val="1"/>
      </rPr>
      <t xml:space="preserve">complete </t>
    </r>
    <r>
      <rPr>
        <b/>
        <sz val="14"/>
        <rFont val="Cambria"/>
        <family val="1"/>
      </rPr>
      <t>with lead upto 1 km and all lifts.</t>
    </r>
    <r>
      <rPr>
        <sz val="14"/>
        <rFont val="Cambria"/>
        <family val="1"/>
      </rPr>
      <t xml:space="preserve">
</t>
    </r>
    <r>
      <rPr>
        <sz val="14"/>
        <rFont val="Arial"/>
        <family val="2"/>
      </rPr>
      <t>i ) For excavation of canal below free board level combination of normal controlled blasting and line drilling and smooth blasting shall be adopted to obtain neat side slopes. For the purpose of payment 1 m  width of excavation on either side shall be treated as excavation by line drilling and smooth blasting and remaining portion shall be treated as excavation by normal / controlled blasting as the case may be.
ii ) The rate under this item shall be adopted for canals designed for carrying capacity of more than 15 cumecs or where the average depth of excavation in hard rock is more than 3 m.
iii ) The rate includes controlling fly-rock wherever required.
iv ) The rate under this item shall be paid only on ascertaining that the excavated face has come  off neatly as per specifications or atleast 50 percent of smooth blast holes are visible for inspection and are spaced at specified interval. 
v ) In case, where the above criteria is not fulfilled payment shall be restricted to the rate provided for excavation by normal blasting or controlled blasting as the case may be.</t>
    </r>
  </si>
  <si>
    <r>
      <t xml:space="preserve">Providing </t>
    </r>
    <r>
      <rPr>
        <b/>
        <sz val="14"/>
        <rFont val="Arial"/>
        <family val="2"/>
      </rPr>
      <t xml:space="preserve">compacted embankment for </t>
    </r>
    <r>
      <rPr>
        <b/>
        <sz val="14"/>
        <rFont val="Cambria"/>
        <family val="1"/>
      </rPr>
      <t>field irrigation channels</t>
    </r>
    <r>
      <rPr>
        <b/>
        <sz val="14"/>
        <rFont val="Arial"/>
        <family val="2"/>
      </rPr>
      <t xml:space="preserve"> with gravely soil</t>
    </r>
    <r>
      <rPr>
        <sz val="14"/>
        <rFont val="Arial"/>
        <family val="2"/>
      </rPr>
      <t xml:space="preserve"> from </t>
    </r>
    <r>
      <rPr>
        <sz val="14"/>
        <rFont val="Cambria"/>
        <family val="1"/>
      </rPr>
      <t xml:space="preserve">approved </t>
    </r>
    <r>
      <rPr>
        <b/>
        <sz val="14"/>
        <rFont val="Cambria"/>
        <family val="1"/>
      </rPr>
      <t>borrow area</t>
    </r>
    <r>
      <rPr>
        <sz val="14"/>
        <rFont val="Arial"/>
        <family val="2"/>
      </rPr>
      <t xml:space="preserve"> including sorting out, spreading in </t>
    </r>
    <r>
      <rPr>
        <b/>
        <sz val="14"/>
        <rFont val="Arial"/>
        <family val="2"/>
      </rPr>
      <t xml:space="preserve">layers of </t>
    </r>
    <r>
      <rPr>
        <b/>
        <sz val="14"/>
        <rFont val="Cambria"/>
        <family val="1"/>
      </rPr>
      <t>15 cm</t>
    </r>
    <r>
      <rPr>
        <sz val="14"/>
        <rFont val="Cambria"/>
        <family val="1"/>
      </rPr>
      <t xml:space="preserve"> thickness</t>
    </r>
    <r>
      <rPr>
        <sz val="14"/>
        <rFont val="Arial"/>
        <family val="2"/>
      </rPr>
      <t xml:space="preserve">, breaking clods, watering, compacting, dressing sides to required slopes etc.,complete </t>
    </r>
    <r>
      <rPr>
        <b/>
        <sz val="14"/>
        <rFont val="Cambria"/>
        <family val="1"/>
      </rPr>
      <t>with lead upto 50 m and all lifts</t>
    </r>
    <r>
      <rPr>
        <sz val="14"/>
        <rFont val="Cambria"/>
        <family val="1"/>
      </rPr>
      <t>.</t>
    </r>
    <r>
      <rPr>
        <sz val="14"/>
        <rFont val="Arial"/>
        <family val="2"/>
      </rPr>
      <t xml:space="preserve">
( manual work with water pump)</t>
    </r>
  </si>
  <si>
    <r>
      <t xml:space="preserve">Providing </t>
    </r>
    <r>
      <rPr>
        <b/>
        <sz val="14"/>
        <rFont val="Cambria"/>
        <family val="1"/>
      </rPr>
      <t>rubble and sand filling</t>
    </r>
    <r>
      <rPr>
        <sz val="14"/>
        <rFont val="Arial"/>
        <family val="2"/>
      </rPr>
      <t xml:space="preserve"> in </t>
    </r>
    <r>
      <rPr>
        <b/>
        <sz val="14"/>
        <rFont val="Arial"/>
        <family val="2"/>
      </rPr>
      <t xml:space="preserve">layers of </t>
    </r>
    <r>
      <rPr>
        <b/>
        <sz val="14"/>
        <rFont val="Cambria"/>
        <family val="1"/>
      </rPr>
      <t>22.5 to 30 cm</t>
    </r>
    <r>
      <rPr>
        <sz val="14"/>
        <rFont val="Cambria"/>
        <family val="1"/>
      </rPr>
      <t xml:space="preserve"> </t>
    </r>
    <r>
      <rPr>
        <sz val="14"/>
        <rFont val="Arial"/>
        <family val="2"/>
      </rPr>
      <t xml:space="preserve">including cost of all materials, machinery, labour, watering, ramming etc., complete </t>
    </r>
    <r>
      <rPr>
        <b/>
        <sz val="14"/>
        <rFont val="Arial"/>
        <family val="2"/>
      </rPr>
      <t xml:space="preserve">with </t>
    </r>
    <r>
      <rPr>
        <b/>
        <sz val="14"/>
        <rFont val="Cambria"/>
        <family val="1"/>
      </rPr>
      <t>initial lead upto 50 m and all lifts.</t>
    </r>
  </si>
  <si>
    <r>
      <t xml:space="preserve">Providing </t>
    </r>
    <r>
      <rPr>
        <b/>
        <sz val="14"/>
        <rFont val="Cambria"/>
        <family val="1"/>
      </rPr>
      <t>rubble and Murum filling</t>
    </r>
    <r>
      <rPr>
        <b/>
        <sz val="14"/>
        <rFont val="Arial"/>
        <family val="2"/>
      </rPr>
      <t xml:space="preserve"> in layers of </t>
    </r>
    <r>
      <rPr>
        <b/>
        <sz val="14"/>
        <rFont val="Cambria"/>
        <family val="1"/>
      </rPr>
      <t>22.5 to 30 cm</t>
    </r>
    <r>
      <rPr>
        <sz val="14"/>
        <rFont val="Cambria"/>
        <family val="1"/>
      </rPr>
      <t xml:space="preserve"> </t>
    </r>
    <r>
      <rPr>
        <sz val="14"/>
        <rFont val="Arial"/>
        <family val="2"/>
      </rPr>
      <t xml:space="preserve">including cost of all materials, machinery, labour, watering, ramming etc., complete </t>
    </r>
    <r>
      <rPr>
        <b/>
        <sz val="14"/>
        <rFont val="Arial"/>
        <family val="2"/>
      </rPr>
      <t xml:space="preserve">with </t>
    </r>
    <r>
      <rPr>
        <b/>
        <sz val="14"/>
        <rFont val="Cambria"/>
        <family val="1"/>
      </rPr>
      <t>initial lead upto 50 m and all lifts.</t>
    </r>
  </si>
  <si>
    <r>
      <t xml:space="preserve">Providing and </t>
    </r>
    <r>
      <rPr>
        <b/>
        <sz val="14"/>
        <rFont val="Cambria"/>
        <family val="1"/>
      </rPr>
      <t>laying 25 cm thick sand blanket</t>
    </r>
    <r>
      <rPr>
        <b/>
        <sz val="14"/>
        <rFont val="Arial"/>
        <family val="2"/>
      </rPr>
      <t xml:space="preserve"> below embankment</t>
    </r>
    <r>
      <rPr>
        <sz val="14"/>
        <rFont val="Arial"/>
        <family val="2"/>
      </rPr>
      <t xml:space="preserve"> including cost of all materials, machinery, labour, spreading to specified thickness etc., </t>
    </r>
    <r>
      <rPr>
        <sz val="14"/>
        <rFont val="Cambria"/>
        <family val="1"/>
      </rPr>
      <t xml:space="preserve">complete </t>
    </r>
    <r>
      <rPr>
        <b/>
        <sz val="14"/>
        <rFont val="Cambria"/>
        <family val="1"/>
      </rPr>
      <t>with initial lead upto 50 m and all lifts.</t>
    </r>
  </si>
  <si>
    <r>
      <t xml:space="preserve">Providing and </t>
    </r>
    <r>
      <rPr>
        <b/>
        <sz val="14"/>
        <rFont val="Cambria"/>
        <family val="1"/>
      </rPr>
      <t>laying sand blanket</t>
    </r>
    <r>
      <rPr>
        <b/>
        <sz val="14"/>
        <rFont val="Arial"/>
        <family val="2"/>
      </rPr>
      <t xml:space="preserve"> below embankment</t>
    </r>
    <r>
      <rPr>
        <sz val="14"/>
        <rFont val="Arial"/>
        <family val="2"/>
      </rPr>
      <t xml:space="preserve"> including cost of all materials, machinery, labour, spreading to specified thickness etc., </t>
    </r>
    <r>
      <rPr>
        <sz val="14"/>
        <rFont val="Cambria"/>
        <family val="1"/>
      </rPr>
      <t xml:space="preserve">complete </t>
    </r>
    <r>
      <rPr>
        <b/>
        <sz val="14"/>
        <rFont val="Cambria"/>
        <family val="1"/>
      </rPr>
      <t>with initial lead upto 50 m and all lifts.</t>
    </r>
  </si>
  <si>
    <r>
      <t xml:space="preserve">Providing and </t>
    </r>
    <r>
      <rPr>
        <b/>
        <sz val="14"/>
        <rFont val="Arial"/>
        <family val="2"/>
      </rPr>
      <t xml:space="preserve">constructing </t>
    </r>
    <r>
      <rPr>
        <b/>
        <sz val="14"/>
        <rFont val="Cambria"/>
        <family val="1"/>
      </rPr>
      <t>dry rubble rock-toe using rubble and stone chips</t>
    </r>
    <r>
      <rPr>
        <sz val="14"/>
        <rFont val="Cambria"/>
        <family val="1"/>
      </rPr>
      <t xml:space="preserve"> </t>
    </r>
    <r>
      <rPr>
        <sz val="14"/>
        <rFont val="Arial"/>
        <family val="2"/>
      </rPr>
      <t xml:space="preserve">from </t>
    </r>
    <r>
      <rPr>
        <b/>
        <sz val="14"/>
        <rFont val="Cambria"/>
        <family val="1"/>
      </rPr>
      <t>approved source</t>
    </r>
    <r>
      <rPr>
        <sz val="14"/>
        <rFont val="Cambria"/>
        <family val="1"/>
      </rPr>
      <t xml:space="preserve"> </t>
    </r>
    <r>
      <rPr>
        <sz val="14"/>
        <rFont val="Arial"/>
        <family val="2"/>
      </rPr>
      <t>including cost of all materials, machinery, labour, hand packing rubble and stone chips, finishing top and sides to required slopes etc.,</t>
    </r>
    <r>
      <rPr>
        <sz val="14"/>
        <rFont val="Cambria"/>
        <family val="1"/>
      </rPr>
      <t xml:space="preserve"> complete </t>
    </r>
    <r>
      <rPr>
        <b/>
        <sz val="14"/>
        <rFont val="Cambria"/>
        <family val="1"/>
      </rPr>
      <t>with initial lead upto 50 m and all lifts.</t>
    </r>
  </si>
  <si>
    <r>
      <t xml:space="preserve">Providing and </t>
    </r>
    <r>
      <rPr>
        <b/>
        <sz val="14"/>
        <rFont val="Arial"/>
        <family val="2"/>
      </rPr>
      <t xml:space="preserve">constructing </t>
    </r>
    <r>
      <rPr>
        <b/>
        <sz val="14"/>
        <rFont val="Cambria"/>
        <family val="1"/>
      </rPr>
      <t>longitudinal and cross graded filter drains</t>
    </r>
    <r>
      <rPr>
        <sz val="14"/>
        <rFont val="Arial"/>
        <family val="2"/>
      </rPr>
      <t xml:space="preserve"> using sand and </t>
    </r>
    <r>
      <rPr>
        <sz val="14"/>
        <rFont val="Cambria"/>
        <family val="1"/>
      </rPr>
      <t xml:space="preserve">20 mm down </t>
    </r>
    <r>
      <rPr>
        <sz val="14"/>
        <rFont val="Arial"/>
        <family val="2"/>
      </rPr>
      <t xml:space="preserve">graded aggregates satisfying specified filter creteria in layers as per specifications including cost of all materials, machinery, labour, laying to required slopes, compaction etc., </t>
    </r>
    <r>
      <rPr>
        <sz val="14"/>
        <rFont val="Cambria"/>
        <family val="1"/>
      </rPr>
      <t xml:space="preserve">complete </t>
    </r>
    <r>
      <rPr>
        <b/>
        <sz val="14"/>
        <rFont val="Cambria"/>
        <family val="1"/>
      </rPr>
      <t>with initial lead upto 50 m and all lifts.</t>
    </r>
  </si>
  <si>
    <r>
      <t xml:space="preserve">Laying </t>
    </r>
    <r>
      <rPr>
        <b/>
        <sz val="14"/>
        <rFont val="Cambria"/>
        <family val="1"/>
      </rPr>
      <t xml:space="preserve">Longitudinal Drains and Transverse drains </t>
    </r>
    <r>
      <rPr>
        <b/>
        <sz val="14"/>
        <rFont val="Arial"/>
        <family val="2"/>
      </rPr>
      <t>of Size 600 x600 x750 mm in Bed</t>
    </r>
    <r>
      <rPr>
        <sz val="14"/>
        <rFont val="Arial"/>
        <family val="2"/>
      </rPr>
      <t xml:space="preserve"> and filling with 12 mm to 40 mm HG machine Crushed metal and sand in bed including excavation of drains and Cost of procuring of all materials</t>
    </r>
  </si>
  <si>
    <r>
      <t xml:space="preserve">Laying and </t>
    </r>
    <r>
      <rPr>
        <b/>
        <sz val="14"/>
        <rFont val="Arial"/>
        <family val="2"/>
      </rPr>
      <t xml:space="preserve">fixing of 100 mm Dia 300 mm long </t>
    </r>
    <r>
      <rPr>
        <b/>
        <sz val="14"/>
        <rFont val="Cambria"/>
        <family val="1"/>
      </rPr>
      <t>precast porus CC plugs in bed and sides</t>
    </r>
    <r>
      <rPr>
        <sz val="14"/>
        <rFont val="Arial"/>
        <family val="2"/>
      </rPr>
      <t xml:space="preserve"> using 1.181 Kgs of cement per each using 20 mm HG metal and placing in local filters of size  600x600x750 mm in size including excavation of drains and Cost of procuring of all materials</t>
    </r>
  </si>
  <si>
    <r>
      <t xml:space="preserve">Providing and </t>
    </r>
    <r>
      <rPr>
        <b/>
        <sz val="14"/>
        <rFont val="Arial"/>
        <family val="2"/>
      </rPr>
      <t xml:space="preserve">constructing 0.50 m thick </t>
    </r>
    <r>
      <rPr>
        <b/>
        <sz val="14"/>
        <rFont val="Cambria"/>
        <family val="1"/>
      </rPr>
      <t>vertical or inclined graded filter</t>
    </r>
    <r>
      <rPr>
        <b/>
        <sz val="14"/>
        <rFont val="Arial"/>
        <family val="2"/>
      </rPr>
      <t xml:space="preserve"> media</t>
    </r>
    <r>
      <rPr>
        <sz val="14"/>
        <rFont val="Arial"/>
        <family val="2"/>
      </rPr>
      <t xml:space="preserve"> consisting of </t>
    </r>
    <r>
      <rPr>
        <sz val="14"/>
        <rFont val="Cambria"/>
        <family val="1"/>
      </rPr>
      <t>15 cm thick sand</t>
    </r>
    <r>
      <rPr>
        <sz val="14"/>
        <rFont val="Arial"/>
        <family val="2"/>
      </rPr>
      <t xml:space="preserve"> layers and </t>
    </r>
    <r>
      <rPr>
        <sz val="14"/>
        <rFont val="Cambria"/>
        <family val="1"/>
      </rPr>
      <t xml:space="preserve">20 cm thick 20 mm </t>
    </r>
    <r>
      <rPr>
        <sz val="14"/>
        <rFont val="Arial"/>
        <family val="2"/>
      </rPr>
      <t xml:space="preserve">down coarse aggregate layer using approved materials satisfying specified filter creteria as per specifications including cost of all materials, machinery, labour, laying to required slope, compaction etc., </t>
    </r>
    <r>
      <rPr>
        <sz val="14"/>
        <rFont val="Cambria"/>
        <family val="1"/>
      </rPr>
      <t xml:space="preserve">complete </t>
    </r>
    <r>
      <rPr>
        <b/>
        <sz val="14"/>
        <rFont val="Cambria"/>
        <family val="1"/>
      </rPr>
      <t>with initial lead upto 50 m and all lifts.</t>
    </r>
  </si>
  <si>
    <r>
      <t xml:space="preserve">Providing and </t>
    </r>
    <r>
      <rPr>
        <b/>
        <sz val="14"/>
        <rFont val="Arial"/>
        <family val="2"/>
      </rPr>
      <t xml:space="preserve">constructing graded </t>
    </r>
    <r>
      <rPr>
        <b/>
        <sz val="14"/>
        <rFont val="Cambria"/>
        <family val="1"/>
      </rPr>
      <t>filter media below and behind rock-toe</t>
    </r>
    <r>
      <rPr>
        <sz val="14"/>
        <rFont val="Arial"/>
        <family val="2"/>
      </rPr>
      <t xml:space="preserve"> consisting of 20 cm thick sand, 15 cm thick 20 mm down and 15 cm thick 40 mm down size graded coarse aggregates satisfying filter creteria behind rock-toe and 15 cm thick sand, 20 cm thick 20 mm down coarse aggregate and </t>
    </r>
    <r>
      <rPr>
        <sz val="14"/>
        <rFont val="Cambria"/>
        <family val="1"/>
      </rPr>
      <t>65 cm thick 40 mm down</t>
    </r>
    <r>
      <rPr>
        <sz val="14"/>
        <rFont val="Arial"/>
        <family val="2"/>
      </rPr>
      <t xml:space="preserve"> size coarse aggregate satisfying filter creiteria below rock-toe as per specifications including cost of all materials, machinery, labour, laying to required slope, compaction etc., complete </t>
    </r>
    <r>
      <rPr>
        <b/>
        <sz val="14"/>
        <rFont val="Cambria"/>
        <family val="1"/>
      </rPr>
      <t>with initial lead upto 50 m and all lifts.</t>
    </r>
  </si>
  <si>
    <r>
      <t xml:space="preserve">Providing and </t>
    </r>
    <r>
      <rPr>
        <b/>
        <sz val="14"/>
        <rFont val="Arial"/>
        <family val="2"/>
      </rPr>
      <t xml:space="preserve">laying </t>
    </r>
    <r>
      <rPr>
        <b/>
        <sz val="14"/>
        <rFont val="Cambria"/>
        <family val="1"/>
      </rPr>
      <t>filter media consisting of 2 layers of</t>
    </r>
    <r>
      <rPr>
        <b/>
        <sz val="14"/>
        <rFont val="Arial"/>
        <family val="2"/>
      </rPr>
      <t xml:space="preserve"> poly-propeline</t>
    </r>
    <r>
      <rPr>
        <sz val="14"/>
        <rFont val="Arial"/>
        <family val="2"/>
      </rPr>
      <t xml:space="preserve"> nonwoven </t>
    </r>
    <r>
      <rPr>
        <sz val="14"/>
        <rFont val="Cambria"/>
        <family val="1"/>
      </rPr>
      <t xml:space="preserve">filter fabric and 200 mm thick 20 mm down </t>
    </r>
    <r>
      <rPr>
        <sz val="14"/>
        <rFont val="Arial"/>
        <family val="2"/>
      </rPr>
      <t xml:space="preserve">graded coarse aggregate for embankment including cost of all materials, machinery, labour, forming toe drain etc., complete </t>
    </r>
    <r>
      <rPr>
        <b/>
        <sz val="14"/>
        <rFont val="Cambria"/>
        <family val="1"/>
      </rPr>
      <t xml:space="preserve">with lead upto 50 m for aggregate and all leads for fabric and all lifts. </t>
    </r>
    <r>
      <rPr>
        <sz val="14"/>
        <rFont val="Cambria"/>
        <family val="1"/>
      </rPr>
      <t xml:space="preserve">
Using </t>
    </r>
    <r>
      <rPr>
        <b/>
        <sz val="14"/>
        <rFont val="Cambria"/>
        <family val="1"/>
      </rPr>
      <t>200 gsm</t>
    </r>
    <r>
      <rPr>
        <sz val="14"/>
        <rFont val="Cambria"/>
        <family val="1"/>
      </rPr>
      <t xml:space="preserve"> filter fabric.</t>
    </r>
  </si>
  <si>
    <r>
      <t xml:space="preserve">Providing and </t>
    </r>
    <r>
      <rPr>
        <b/>
        <sz val="14"/>
        <rFont val="Cambria"/>
        <family val="1"/>
      </rPr>
      <t>laying filter media consisting of</t>
    </r>
    <r>
      <rPr>
        <b/>
        <sz val="14"/>
        <rFont val="Arial"/>
        <family val="2"/>
      </rPr>
      <t xml:space="preserve"> 2 layers of poly-propeline</t>
    </r>
    <r>
      <rPr>
        <sz val="14"/>
        <rFont val="Arial"/>
        <family val="2"/>
      </rPr>
      <t xml:space="preserve"> nonwoven </t>
    </r>
    <r>
      <rPr>
        <sz val="14"/>
        <rFont val="Cambria"/>
        <family val="1"/>
      </rPr>
      <t xml:space="preserve">filter fabric and 200 mm thick 20 mm down </t>
    </r>
    <r>
      <rPr>
        <sz val="14"/>
        <rFont val="Arial"/>
        <family val="2"/>
      </rPr>
      <t xml:space="preserve">graded coarse aggregate for embankment including cost of all materials, machinery, labour, forming toe drain etc., complete </t>
    </r>
    <r>
      <rPr>
        <b/>
        <sz val="14"/>
        <rFont val="Cambria"/>
        <family val="1"/>
      </rPr>
      <t xml:space="preserve">with lead upto 50 m for aggregate and all leads for fabric and all lifts. </t>
    </r>
    <r>
      <rPr>
        <sz val="14"/>
        <rFont val="Cambria"/>
        <family val="1"/>
      </rPr>
      <t xml:space="preserve">
Using </t>
    </r>
    <r>
      <rPr>
        <b/>
        <sz val="14"/>
        <rFont val="Cambria"/>
        <family val="1"/>
      </rPr>
      <t>250 gsm</t>
    </r>
    <r>
      <rPr>
        <sz val="14"/>
        <rFont val="Cambria"/>
        <family val="1"/>
      </rPr>
      <t xml:space="preserve"> filter fabric.</t>
    </r>
  </si>
  <si>
    <r>
      <t xml:space="preserve">Providing and </t>
    </r>
    <r>
      <rPr>
        <b/>
        <sz val="14"/>
        <rFont val="Arial"/>
        <family val="2"/>
      </rPr>
      <t xml:space="preserve">constructing </t>
    </r>
    <r>
      <rPr>
        <b/>
        <sz val="14"/>
        <rFont val="Cambria"/>
        <family val="1"/>
      </rPr>
      <t>rockfill casing</t>
    </r>
    <r>
      <rPr>
        <b/>
        <sz val="14"/>
        <rFont val="Arial"/>
        <family val="2"/>
      </rPr>
      <t xml:space="preserve"> </t>
    </r>
    <r>
      <rPr>
        <b/>
        <sz val="14"/>
        <rFont val="Cambria"/>
        <family val="1"/>
      </rPr>
      <t>to canal embankment</t>
    </r>
    <r>
      <rPr>
        <sz val="14"/>
        <rFont val="Cambria"/>
        <family val="1"/>
      </rPr>
      <t xml:space="preserve"> </t>
    </r>
    <r>
      <rPr>
        <sz val="14"/>
        <rFont val="Arial"/>
        <family val="2"/>
      </rPr>
      <t xml:space="preserve">with graded stones and spalls from </t>
    </r>
    <r>
      <rPr>
        <b/>
        <sz val="14"/>
        <rFont val="Arial"/>
        <family val="2"/>
      </rPr>
      <t>approved quarry</t>
    </r>
    <r>
      <rPr>
        <sz val="14"/>
        <rFont val="Arial"/>
        <family val="2"/>
      </rPr>
      <t xml:space="preserve"> including cost of all materials, machinery, labour, spreading stones and spalls in layers, hand packing, wedging, finishing surface to required slopes etc., complete</t>
    </r>
    <r>
      <rPr>
        <b/>
        <sz val="14"/>
        <rFont val="Arial"/>
        <family val="2"/>
      </rPr>
      <t xml:space="preserve"> with </t>
    </r>
    <r>
      <rPr>
        <b/>
        <sz val="14"/>
        <rFont val="Cambria"/>
        <family val="1"/>
      </rPr>
      <t>initial lead upto 50 m and all lifts.</t>
    </r>
  </si>
  <si>
    <r>
      <t xml:space="preserve">Providing and </t>
    </r>
    <r>
      <rPr>
        <b/>
        <sz val="14"/>
        <rFont val="Arial"/>
        <family val="2"/>
      </rPr>
      <t xml:space="preserve">constructing </t>
    </r>
    <r>
      <rPr>
        <b/>
        <sz val="14"/>
        <rFont val="Cambria"/>
        <family val="1"/>
      </rPr>
      <t>rockfill casing</t>
    </r>
    <r>
      <rPr>
        <b/>
        <sz val="14"/>
        <rFont val="Arial"/>
        <family val="2"/>
      </rPr>
      <t xml:space="preserve"> to canal embankment</t>
    </r>
    <r>
      <rPr>
        <sz val="14"/>
        <rFont val="Arial"/>
        <family val="2"/>
      </rPr>
      <t xml:space="preserve"> with graded </t>
    </r>
    <r>
      <rPr>
        <sz val="14"/>
        <rFont val="Cambria"/>
        <family val="1"/>
      </rPr>
      <t xml:space="preserve">stones and spalls available </t>
    </r>
    <r>
      <rPr>
        <b/>
        <sz val="14"/>
        <rFont val="Cambria"/>
        <family val="1"/>
      </rPr>
      <t>in dump yard</t>
    </r>
    <r>
      <rPr>
        <sz val="14"/>
        <rFont val="Cambria"/>
        <family val="1"/>
      </rPr>
      <t xml:space="preserve"> </t>
    </r>
    <r>
      <rPr>
        <sz val="14"/>
        <rFont val="Arial"/>
        <family val="2"/>
      </rPr>
      <t xml:space="preserve">including cost of all materials, machinery, labour, spreading stones and spalls in layers, hand packing, wedging, finishing surface to required slopes etc., </t>
    </r>
    <r>
      <rPr>
        <sz val="14"/>
        <rFont val="Cambria"/>
        <family val="1"/>
      </rPr>
      <t xml:space="preserve">complete </t>
    </r>
    <r>
      <rPr>
        <b/>
        <sz val="14"/>
        <rFont val="Cambria"/>
        <family val="1"/>
      </rPr>
      <t>with initial lead upto 50 m and all lifts.</t>
    </r>
    <r>
      <rPr>
        <sz val="14"/>
        <rFont val="Cambria"/>
        <family val="1"/>
      </rPr>
      <t xml:space="preserve">
</t>
    </r>
    <r>
      <rPr>
        <sz val="14"/>
        <rFont val="Arial"/>
        <family val="2"/>
      </rPr>
      <t>Stones and spalls available in dump yard will be issued at specified issue rate.</t>
    </r>
  </si>
  <si>
    <r>
      <t xml:space="preserve">Providing </t>
    </r>
    <r>
      <rPr>
        <b/>
        <sz val="14"/>
        <rFont val="Cambria"/>
        <family val="1"/>
      </rPr>
      <t>cohesive non-swelling ( CNS ) soil</t>
    </r>
    <r>
      <rPr>
        <b/>
        <sz val="14"/>
        <rFont val="Arial"/>
        <family val="2"/>
      </rPr>
      <t xml:space="preserve"> lining to canals</t>
    </r>
    <r>
      <rPr>
        <sz val="14"/>
        <rFont val="Arial"/>
        <family val="2"/>
      </rPr>
      <t xml:space="preserve"> using soil from </t>
    </r>
    <r>
      <rPr>
        <b/>
        <sz val="14"/>
        <rFont val="Arial"/>
        <family val="2"/>
      </rPr>
      <t>approved borrow area</t>
    </r>
    <r>
      <rPr>
        <sz val="14"/>
        <rFont val="Arial"/>
        <family val="2"/>
      </rPr>
      <t xml:space="preserve"> including spreading soil in </t>
    </r>
    <r>
      <rPr>
        <b/>
        <sz val="14"/>
        <rFont val="Arial"/>
        <family val="2"/>
      </rPr>
      <t xml:space="preserve">layers of thickness </t>
    </r>
    <r>
      <rPr>
        <b/>
        <sz val="14"/>
        <rFont val="Cambria"/>
        <family val="1"/>
      </rPr>
      <t>not more than 15 cm</t>
    </r>
    <r>
      <rPr>
        <sz val="14"/>
        <rFont val="Arial"/>
        <family val="2"/>
      </rPr>
      <t xml:space="preserve">, breaking clods, watering, compacting to density control of </t>
    </r>
    <r>
      <rPr>
        <b/>
        <sz val="14"/>
        <rFont val="Cambria"/>
        <family val="1"/>
      </rPr>
      <t>not less than 98 percent</t>
    </r>
    <r>
      <rPr>
        <sz val="14"/>
        <rFont val="Cambria"/>
        <family val="1"/>
      </rPr>
      <t xml:space="preserve"> </t>
    </r>
    <r>
      <rPr>
        <sz val="14"/>
        <rFont val="Arial"/>
        <family val="2"/>
      </rPr>
      <t xml:space="preserve">or as stipulated, dressing to required profile etc., complete </t>
    </r>
    <r>
      <rPr>
        <b/>
        <sz val="14"/>
        <rFont val="Cambria"/>
        <family val="1"/>
      </rPr>
      <t>with initial lead upto 1 km and all lifts.</t>
    </r>
  </si>
  <si>
    <r>
      <t xml:space="preserve">Providing </t>
    </r>
    <r>
      <rPr>
        <b/>
        <sz val="14"/>
        <rFont val="Cambria"/>
        <family val="1"/>
      </rPr>
      <t>cohesive non-swelling ( CNS )</t>
    </r>
    <r>
      <rPr>
        <b/>
        <sz val="14"/>
        <rFont val="Arial"/>
        <family val="2"/>
      </rPr>
      <t xml:space="preserve"> soil lining to canals</t>
    </r>
    <r>
      <rPr>
        <sz val="14"/>
        <rFont val="Arial"/>
        <family val="2"/>
      </rPr>
      <t xml:space="preserve"> using soil from </t>
    </r>
    <r>
      <rPr>
        <b/>
        <sz val="14"/>
        <rFont val="Arial"/>
        <family val="2"/>
      </rPr>
      <t>approved borrow area</t>
    </r>
    <r>
      <rPr>
        <sz val="14"/>
        <rFont val="Arial"/>
        <family val="2"/>
      </rPr>
      <t xml:space="preserve"> including spreading soil in </t>
    </r>
    <r>
      <rPr>
        <b/>
        <sz val="14"/>
        <rFont val="Arial"/>
        <family val="2"/>
      </rPr>
      <t xml:space="preserve">layers of thickness </t>
    </r>
    <r>
      <rPr>
        <b/>
        <sz val="14"/>
        <rFont val="Cambria"/>
        <family val="1"/>
      </rPr>
      <t>not more than 15 cm</t>
    </r>
    <r>
      <rPr>
        <sz val="14"/>
        <rFont val="Cambria"/>
        <family val="1"/>
      </rPr>
      <t xml:space="preserve">, </t>
    </r>
    <r>
      <rPr>
        <sz val="14"/>
        <rFont val="Arial"/>
        <family val="2"/>
      </rPr>
      <t xml:space="preserve">breaking clods, watering, compacting to density control of </t>
    </r>
    <r>
      <rPr>
        <b/>
        <sz val="14"/>
        <rFont val="Cambria"/>
        <family val="1"/>
      </rPr>
      <t>not less than 95 percent</t>
    </r>
    <r>
      <rPr>
        <sz val="14"/>
        <rFont val="Cambria"/>
        <family val="1"/>
      </rPr>
      <t xml:space="preserve"> </t>
    </r>
    <r>
      <rPr>
        <sz val="14"/>
        <rFont val="Arial"/>
        <family val="2"/>
      </rPr>
      <t xml:space="preserve">or as stipulated, dressing to required profile etc., complete </t>
    </r>
    <r>
      <rPr>
        <b/>
        <sz val="14"/>
        <rFont val="Arial"/>
        <family val="2"/>
      </rPr>
      <t xml:space="preserve">with </t>
    </r>
    <r>
      <rPr>
        <b/>
        <sz val="14"/>
        <rFont val="Cambria"/>
        <family val="1"/>
      </rPr>
      <t>initial lead upto 1 km and all lifts.</t>
    </r>
  </si>
  <si>
    <r>
      <t xml:space="preserve">Providing </t>
    </r>
    <r>
      <rPr>
        <b/>
        <sz val="14"/>
        <rFont val="Cambria"/>
        <family val="1"/>
      </rPr>
      <t>cohesive non-swelling ( CNS ) soil</t>
    </r>
    <r>
      <rPr>
        <b/>
        <sz val="14"/>
        <rFont val="Arial"/>
        <family val="2"/>
      </rPr>
      <t xml:space="preserve"> lining to canal</t>
    </r>
    <r>
      <rPr>
        <sz val="14"/>
        <rFont val="Arial"/>
        <family val="2"/>
      </rPr>
      <t xml:space="preserve"> </t>
    </r>
    <r>
      <rPr>
        <sz val="14"/>
        <rFont val="Cambria"/>
        <family val="1"/>
      </rPr>
      <t>using</t>
    </r>
    <r>
      <rPr>
        <sz val="14"/>
        <rFont val="Arial"/>
        <family val="2"/>
      </rPr>
      <t xml:space="preserve"> soil </t>
    </r>
    <r>
      <rPr>
        <b/>
        <sz val="14"/>
        <rFont val="Arial"/>
        <family val="2"/>
      </rPr>
      <t>collected in heaps along the edge of canal requiring CNS soil lining</t>
    </r>
    <r>
      <rPr>
        <sz val="14"/>
        <rFont val="Arial"/>
        <family val="2"/>
      </rPr>
      <t xml:space="preserve"> as part of the disposal of excavated soil from canal excavation in CNS soil reach including spreading in layers of thickness </t>
    </r>
    <r>
      <rPr>
        <b/>
        <sz val="14"/>
        <rFont val="Cambria"/>
        <family val="1"/>
      </rPr>
      <t>not more than 15 cm</t>
    </r>
    <r>
      <rPr>
        <sz val="14"/>
        <rFont val="Arial"/>
        <family val="2"/>
      </rPr>
      <t xml:space="preserve">, breaking clods, watering, compacting to density control of </t>
    </r>
    <r>
      <rPr>
        <b/>
        <sz val="14"/>
        <rFont val="Cambria"/>
        <family val="1"/>
      </rPr>
      <t>not less than 95 percent</t>
    </r>
    <r>
      <rPr>
        <sz val="14"/>
        <rFont val="Cambria"/>
        <family val="1"/>
      </rPr>
      <t xml:space="preserve"> </t>
    </r>
    <r>
      <rPr>
        <sz val="14"/>
        <rFont val="Arial"/>
        <family val="2"/>
      </rPr>
      <t xml:space="preserve">or as stipulated, dressing to required profile etc., complete </t>
    </r>
    <r>
      <rPr>
        <b/>
        <sz val="14"/>
        <rFont val="Arial"/>
        <family val="2"/>
      </rPr>
      <t xml:space="preserve">with </t>
    </r>
    <r>
      <rPr>
        <b/>
        <sz val="14"/>
        <rFont val="Cambria"/>
        <family val="1"/>
      </rPr>
      <t>lead upto upto 50 m and all lifts.</t>
    </r>
  </si>
  <si>
    <r>
      <t xml:space="preserve">Providing and </t>
    </r>
    <r>
      <rPr>
        <b/>
        <sz val="14"/>
        <rFont val="Arial"/>
        <family val="2"/>
      </rPr>
      <t xml:space="preserve">fixing 20 x 20 x 75 cm size top surface neatly dressed </t>
    </r>
    <r>
      <rPr>
        <b/>
        <sz val="14"/>
        <rFont val="Cambria"/>
        <family val="1"/>
      </rPr>
      <t>canal bed level stones</t>
    </r>
    <r>
      <rPr>
        <sz val="14"/>
        <rFont val="Cambria"/>
        <family val="1"/>
      </rPr>
      <t xml:space="preserve"> </t>
    </r>
    <r>
      <rPr>
        <sz val="14"/>
        <rFont val="Arial"/>
        <family val="2"/>
      </rPr>
      <t xml:space="preserve">including cost of all materials, labour, excavation, fixing in position to correct level etc., complete </t>
    </r>
    <r>
      <rPr>
        <b/>
        <sz val="14"/>
        <rFont val="Cambria"/>
        <family val="1"/>
      </rPr>
      <t>with lead upto 50 m and all lifts.</t>
    </r>
  </si>
  <si>
    <r>
      <t>Providing,</t>
    </r>
    <r>
      <rPr>
        <sz val="14"/>
        <rFont val="Cambria"/>
        <family val="1"/>
      </rPr>
      <t xml:space="preserve"> fabricating and </t>
    </r>
    <r>
      <rPr>
        <b/>
        <sz val="14"/>
        <rFont val="Cambria"/>
        <family val="1"/>
      </rPr>
      <t>placing</t>
    </r>
    <r>
      <rPr>
        <b/>
        <sz val="14"/>
        <rFont val="Arial"/>
        <family val="2"/>
      </rPr>
      <t xml:space="preserve"> in position </t>
    </r>
    <r>
      <rPr>
        <b/>
        <sz val="14"/>
        <rFont val="Cambria"/>
        <family val="1"/>
      </rPr>
      <t>reinforcement steel</t>
    </r>
    <r>
      <rPr>
        <b/>
        <sz val="14"/>
        <rFont val="Arial"/>
        <family val="2"/>
      </rPr>
      <t xml:space="preserve"> bars</t>
    </r>
    <r>
      <rPr>
        <sz val="14"/>
        <rFont val="Arial"/>
        <family val="2"/>
      </rPr>
      <t xml:space="preserve"> </t>
    </r>
    <r>
      <rPr>
        <sz val="14"/>
        <rFont val="Cambria"/>
        <family val="1"/>
      </rPr>
      <t xml:space="preserve">for </t>
    </r>
    <r>
      <rPr>
        <b/>
        <sz val="14"/>
        <rFont val="Cambria"/>
        <family val="1"/>
      </rPr>
      <t>RCC works</t>
    </r>
    <r>
      <rPr>
        <sz val="14"/>
        <rFont val="Arial"/>
        <family val="2"/>
      </rPr>
      <t xml:space="preserve"> including cleaning, straightening, cutting, bending, hooking, lapping, tying with</t>
    </r>
    <r>
      <rPr>
        <sz val="14"/>
        <rFont val="Cambria"/>
        <family val="1"/>
      </rPr>
      <t xml:space="preserve"> 1.25 mm dia.</t>
    </r>
    <r>
      <rPr>
        <sz val="14"/>
        <rFont val="Arial"/>
        <family val="2"/>
      </rPr>
      <t>soft annealed steel wire, welding wherever required including cost of all materials, machinery, labour etc., complete</t>
    </r>
    <r>
      <rPr>
        <b/>
        <sz val="14"/>
        <rFont val="Cambria"/>
        <family val="1"/>
      </rPr>
      <t xml:space="preserve"> with initial lead upto 50 and all lifts.(1.05 tonne/tonne of steel)</t>
    </r>
  </si>
  <si>
    <r>
      <t xml:space="preserve">Providing and </t>
    </r>
    <r>
      <rPr>
        <b/>
        <sz val="14"/>
        <rFont val="Arial"/>
        <family val="2"/>
      </rPr>
      <t xml:space="preserve">laying </t>
    </r>
    <r>
      <rPr>
        <b/>
        <sz val="14"/>
        <rFont val="Cambria"/>
        <family val="1"/>
      </rPr>
      <t>75 mm</t>
    </r>
    <r>
      <rPr>
        <b/>
        <sz val="14"/>
        <rFont val="Arial"/>
        <family val="2"/>
      </rPr>
      <t xml:space="preserve"> thick in-situ </t>
    </r>
    <r>
      <rPr>
        <b/>
        <sz val="14"/>
        <rFont val="Cambria"/>
        <family val="1"/>
      </rPr>
      <t>M-15</t>
    </r>
    <r>
      <rPr>
        <sz val="14"/>
        <rFont val="Cambria"/>
        <family val="1"/>
      </rPr>
      <t xml:space="preserve"> (</t>
    </r>
    <r>
      <rPr>
        <sz val="14"/>
        <rFont val="Arial"/>
        <family val="2"/>
      </rPr>
      <t xml:space="preserve"> 28 days cube compressive strength not less than 15 N / sqmm ) grade cement concrete with </t>
    </r>
    <r>
      <rPr>
        <b/>
        <sz val="14"/>
        <rFont val="Cambria"/>
        <family val="1"/>
      </rPr>
      <t>20 mm down</t>
    </r>
    <r>
      <rPr>
        <b/>
        <sz val="14"/>
        <rFont val="Arial"/>
        <family val="2"/>
      </rPr>
      <t xml:space="preserve"> size</t>
    </r>
    <r>
      <rPr>
        <sz val="14"/>
        <rFont val="Arial"/>
        <family val="2"/>
      </rPr>
      <t xml:space="preserve"> approved, clean, hard, graded aggregates </t>
    </r>
    <r>
      <rPr>
        <b/>
        <sz val="14"/>
        <rFont val="Cambria"/>
        <family val="1"/>
      </rPr>
      <t>for canal lining</t>
    </r>
    <r>
      <rPr>
        <sz val="14"/>
        <rFont val="Cambria"/>
        <family val="1"/>
      </rPr>
      <t xml:space="preserve"> using vibrating cylinder type mechanical paver </t>
    </r>
    <r>
      <rPr>
        <sz val="14"/>
        <rFont val="Arial"/>
        <family val="2"/>
      </rPr>
      <t xml:space="preserve">including cost of all materials, machinery, labour, cleaning, batching, mixing, placing in position,finishing, forming contraction joints, fixing PVC joint sealing strips, curing, shifting of paver from one side to other side of canal etc., </t>
    </r>
    <r>
      <rPr>
        <b/>
        <sz val="14"/>
        <rFont val="Arial"/>
        <family val="2"/>
      </rPr>
      <t xml:space="preserve">complete </t>
    </r>
    <r>
      <rPr>
        <b/>
        <sz val="14"/>
        <rFont val="Cambria"/>
        <family val="1"/>
      </rPr>
      <t>with initial lead upto 1 km and all lifts. ( 43 Gr Cement content: (300kg /cum) 22.5 kg / sqm for use of super plasticiser(0.4% by wt. of cement),CA : 0.80cum, Blending Ratio of CA--65:35, FA : 0.45 cum, equivalent concrete volume:79.2 cum including the extra quantity of  concrete for curvatures and bends etc.,)</t>
    </r>
  </si>
  <si>
    <r>
      <t xml:space="preserve">Providing and </t>
    </r>
    <r>
      <rPr>
        <b/>
        <sz val="14"/>
        <rFont val="Arial"/>
        <family val="2"/>
      </rPr>
      <t xml:space="preserve">laying </t>
    </r>
    <r>
      <rPr>
        <b/>
        <sz val="14"/>
        <rFont val="Cambria"/>
        <family val="1"/>
      </rPr>
      <t>80 mm</t>
    </r>
    <r>
      <rPr>
        <b/>
        <sz val="14"/>
        <rFont val="Arial"/>
        <family val="2"/>
      </rPr>
      <t xml:space="preserve"> thick in-situ </t>
    </r>
    <r>
      <rPr>
        <b/>
        <sz val="14"/>
        <rFont val="Cambria"/>
        <family val="1"/>
      </rPr>
      <t>M-15</t>
    </r>
    <r>
      <rPr>
        <sz val="14"/>
        <rFont val="Cambria"/>
        <family val="1"/>
      </rPr>
      <t xml:space="preserve"> (</t>
    </r>
    <r>
      <rPr>
        <sz val="14"/>
        <rFont val="Arial"/>
        <family val="2"/>
      </rPr>
      <t xml:space="preserve"> 28 days cube compressive strength not less than 15 N / sqmm ) grade cement concrete with </t>
    </r>
    <r>
      <rPr>
        <b/>
        <sz val="14"/>
        <rFont val="Cambria"/>
        <family val="1"/>
      </rPr>
      <t>20 mm down size</t>
    </r>
    <r>
      <rPr>
        <sz val="14"/>
        <rFont val="Cambria"/>
        <family val="1"/>
      </rPr>
      <t xml:space="preserve"> </t>
    </r>
    <r>
      <rPr>
        <sz val="14"/>
        <rFont val="Arial"/>
        <family val="2"/>
      </rPr>
      <t xml:space="preserve">approved, clean, hard, graded aggregates </t>
    </r>
    <r>
      <rPr>
        <b/>
        <sz val="14"/>
        <rFont val="Cambria"/>
        <family val="1"/>
      </rPr>
      <t>for canal lining</t>
    </r>
    <r>
      <rPr>
        <sz val="14"/>
        <rFont val="Cambria"/>
        <family val="1"/>
      </rPr>
      <t xml:space="preserve"> using vibrating cylinder type mechanical paver </t>
    </r>
    <r>
      <rPr>
        <sz val="14"/>
        <rFont val="Arial"/>
        <family val="2"/>
      </rPr>
      <t xml:space="preserve">including cost of all materials, machinery, labour, cleaning, batching, mixing, placing in position, finishing, forming contraction joints, fixing PVC joint sealing strips, curing, shifting of paver from one side to other side of canal etc., </t>
    </r>
    <r>
      <rPr>
        <b/>
        <sz val="14"/>
        <rFont val="Arial"/>
        <family val="2"/>
      </rPr>
      <t xml:space="preserve">complete </t>
    </r>
    <r>
      <rPr>
        <b/>
        <sz val="14"/>
        <rFont val="Cambria"/>
        <family val="1"/>
      </rPr>
      <t>with initial lead upto 1 km and all lifts. ( 43 Gr Cement content: (300kg /cum) 24 kg / sqm for use of super plasticiser(0.4% by wt. of cement),CA : 0.80cum, Blending Ratio of CA--65:35, FA : 0.45 cum, equivalent concrete volume:84.48 cum including the extra quantity of  concrete for curvatures and bends etc.,)</t>
    </r>
  </si>
  <si>
    <r>
      <t xml:space="preserve">Providing  and </t>
    </r>
    <r>
      <rPr>
        <b/>
        <sz val="14"/>
        <rFont val="Arial"/>
        <family val="2"/>
      </rPr>
      <t>laying</t>
    </r>
    <r>
      <rPr>
        <b/>
        <sz val="14"/>
        <rFont val="Cambria"/>
        <family val="1"/>
      </rPr>
      <t xml:space="preserve"> 100 mm</t>
    </r>
    <r>
      <rPr>
        <b/>
        <sz val="14"/>
        <rFont val="Arial"/>
        <family val="2"/>
      </rPr>
      <t xml:space="preserve"> thick in situ </t>
    </r>
    <r>
      <rPr>
        <b/>
        <sz val="14"/>
        <rFont val="Cambria"/>
        <family val="1"/>
      </rPr>
      <t>M-15</t>
    </r>
    <r>
      <rPr>
        <sz val="14"/>
        <rFont val="Arial"/>
        <family val="2"/>
      </rPr>
      <t xml:space="preserve"> (28 days cube compressive strength not less than  15 N /Sqmm ) grade cement concrete with </t>
    </r>
    <r>
      <rPr>
        <b/>
        <sz val="14"/>
        <rFont val="Cambria"/>
        <family val="1"/>
      </rPr>
      <t>20 mm down size</t>
    </r>
    <r>
      <rPr>
        <sz val="14"/>
        <rFont val="Cambria"/>
        <family val="1"/>
      </rPr>
      <t xml:space="preserve"> </t>
    </r>
    <r>
      <rPr>
        <sz val="14"/>
        <rFont val="Arial"/>
        <family val="2"/>
      </rPr>
      <t xml:space="preserve">approved, clean, hard, graded aggregates </t>
    </r>
    <r>
      <rPr>
        <b/>
        <sz val="14"/>
        <rFont val="Cambria"/>
        <family val="1"/>
      </rPr>
      <t>for canal lining</t>
    </r>
    <r>
      <rPr>
        <sz val="14"/>
        <rFont val="Cambria"/>
        <family val="1"/>
      </rPr>
      <t xml:space="preserve"> using, vibrating, cylinder type mechanical paver </t>
    </r>
    <r>
      <rPr>
        <sz val="14"/>
        <rFont val="Arial"/>
        <family val="2"/>
      </rPr>
      <t xml:space="preserve">including  cost of all  materials, machinery, labour, cleaning, batching, mixing, placing in position, finishing, forming  contraction joints, fixing PVC joint sealing strips, curing, shifting of paver  from one side to othere side of canal etc., </t>
    </r>
    <r>
      <rPr>
        <b/>
        <sz val="14"/>
        <rFont val="Arial"/>
        <family val="2"/>
      </rPr>
      <t xml:space="preserve">complete with </t>
    </r>
    <r>
      <rPr>
        <b/>
        <sz val="14"/>
        <rFont val="Cambria"/>
        <family val="1"/>
      </rPr>
      <t>initial lead upto 1 Km and all lifts. ( 43 Gr Cement content: (300kg /cum) 30 kg / sqm for use of super plasticiser(0.4% by wt. of cement),CA : 0.80cum, Blending Ratio of CA--65:35, FA : 0.45 cum, equivalent concrete volume:88 cum including the extra quantity of  concrete for curvatures and bends etc.,)</t>
    </r>
  </si>
  <si>
    <r>
      <rPr>
        <b/>
        <sz val="14"/>
        <rFont val="Arial"/>
        <family val="2"/>
      </rPr>
      <t xml:space="preserve">Dismantling, </t>
    </r>
    <r>
      <rPr>
        <b/>
        <sz val="14"/>
        <rFont val="Cambria"/>
        <family val="1"/>
      </rPr>
      <t>shifting and re-erecting mechanical concrete paver and DG set</t>
    </r>
    <r>
      <rPr>
        <sz val="14"/>
        <rFont val="Arial"/>
        <family val="2"/>
      </rPr>
      <t xml:space="preserve"> with all accessories </t>
    </r>
    <r>
      <rPr>
        <b/>
        <sz val="14"/>
        <rFont val="Arial"/>
        <family val="2"/>
      </rPr>
      <t>across canal CD work</t>
    </r>
    <r>
      <rPr>
        <sz val="14"/>
        <rFont val="Arial"/>
        <family val="2"/>
      </rPr>
      <t xml:space="preserve"> or other locations wherever shifting and re-erecting is necessary including aligning paver correctly for continuing canal lining work, cost of all materials, machinery, labour etc., </t>
    </r>
    <r>
      <rPr>
        <b/>
        <sz val="14"/>
        <rFont val="Cambria"/>
        <family val="1"/>
      </rPr>
      <t>complete with all leads and lifts.</t>
    </r>
    <r>
      <rPr>
        <sz val="14"/>
        <rFont val="Arial"/>
        <family val="2"/>
      </rPr>
      <t xml:space="preserve">
Note: Local shifting and re-erection of paver for LH and RH side lining included in concrete lining rates under items IRR-CAW-7-7 and IRR-CAW-7-8 and saperate rate for shifting shall not be allowed.</t>
    </r>
  </si>
  <si>
    <r>
      <t xml:space="preserve">Providing and laying </t>
    </r>
    <r>
      <rPr>
        <b/>
        <sz val="14"/>
        <rFont val="Arial"/>
        <family val="2"/>
      </rPr>
      <t xml:space="preserve">insitu vibrated </t>
    </r>
    <r>
      <rPr>
        <b/>
        <sz val="14"/>
        <rFont val="Cambria"/>
        <family val="1"/>
      </rPr>
      <t>M-10</t>
    </r>
    <r>
      <rPr>
        <sz val="14"/>
        <rFont val="Arial"/>
        <family val="2"/>
      </rPr>
      <t xml:space="preserve"> ( 28 days cube compressive strength not less than 10 N /sq mm ) grade cement concrete using </t>
    </r>
    <r>
      <rPr>
        <b/>
        <sz val="14"/>
        <rFont val="Cambria"/>
        <family val="1"/>
      </rPr>
      <t>40 mm down size</t>
    </r>
    <r>
      <rPr>
        <sz val="14"/>
        <rFont val="Cambria"/>
        <family val="1"/>
      </rPr>
      <t xml:space="preserve"> </t>
    </r>
    <r>
      <rPr>
        <sz val="14"/>
        <rFont val="Arial"/>
        <family val="2"/>
      </rPr>
      <t>approved, clean, hard, graded aggregates for</t>
    </r>
    <r>
      <rPr>
        <sz val="14"/>
        <rFont val="Cambria"/>
        <family val="1"/>
      </rPr>
      <t xml:space="preserve"> bed and side lining of canal</t>
    </r>
    <r>
      <rPr>
        <b/>
        <sz val="14"/>
        <rFont val="Cambria"/>
        <family val="1"/>
      </rPr>
      <t>(150mm thick)</t>
    </r>
    <r>
      <rPr>
        <sz val="14"/>
        <rFont val="Cambria"/>
        <family val="1"/>
      </rPr>
      <t xml:space="preserve"> </t>
    </r>
    <r>
      <rPr>
        <sz val="14"/>
        <rFont val="Arial"/>
        <family val="2"/>
      </rPr>
      <t xml:space="preserve">including finishing the junction of bed and  sides to required curveture, cost of all materials, machinery, labour, formwork including supports, cleaning, batching, mixing, placing in position, levelling, vibrating, finishing, curing etc., complete </t>
    </r>
    <r>
      <rPr>
        <b/>
        <sz val="14"/>
        <rFont val="Arial"/>
        <family val="2"/>
      </rPr>
      <t xml:space="preserve">with </t>
    </r>
    <r>
      <rPr>
        <b/>
        <sz val="14"/>
        <rFont val="Cambria"/>
        <family val="1"/>
      </rPr>
      <t>initial lead upto 50 m and all lifts. ( 43 Gr Cement content: 250 kg / cum for use of super plasticiser(0.4% by wt. of cement),CA : 0.90cum, Blending Ratio of CA--50:30:20, FA : 0.40 cum)</t>
    </r>
    <r>
      <rPr>
        <sz val="14"/>
        <rFont val="Arial"/>
        <family val="2"/>
      </rPr>
      <t xml:space="preserve">
</t>
    </r>
    <r>
      <rPr>
        <sz val="14"/>
        <rFont val="Cambria"/>
        <family val="1"/>
      </rPr>
      <t>(Only forManually operated)</t>
    </r>
  </si>
  <si>
    <r>
      <t xml:space="preserve">Providing and </t>
    </r>
    <r>
      <rPr>
        <b/>
        <sz val="14"/>
        <rFont val="Arial"/>
        <family val="2"/>
      </rPr>
      <t xml:space="preserve">laying insitu vibrated </t>
    </r>
    <r>
      <rPr>
        <b/>
        <sz val="14"/>
        <rFont val="Cambria"/>
        <family val="1"/>
      </rPr>
      <t>M-10</t>
    </r>
    <r>
      <rPr>
        <b/>
        <sz val="14"/>
        <rFont val="Arial"/>
        <family val="2"/>
      </rPr>
      <t xml:space="preserve"> </t>
    </r>
    <r>
      <rPr>
        <sz val="14"/>
        <rFont val="Arial"/>
        <family val="2"/>
      </rPr>
      <t xml:space="preserve">(28 days cube compressive strength not less than 10 N/sqm) </t>
    </r>
    <r>
      <rPr>
        <sz val="14"/>
        <rFont val="Cambria"/>
        <family val="1"/>
      </rPr>
      <t xml:space="preserve">grade cement concrete using </t>
    </r>
    <r>
      <rPr>
        <b/>
        <sz val="14"/>
        <rFont val="Cambria"/>
        <family val="1"/>
      </rPr>
      <t xml:space="preserve">40 mm down </t>
    </r>
    <r>
      <rPr>
        <b/>
        <sz val="14"/>
        <rFont val="Arial"/>
        <family val="2"/>
      </rPr>
      <t>size</t>
    </r>
    <r>
      <rPr>
        <sz val="14"/>
        <rFont val="Arial"/>
        <family val="2"/>
      </rPr>
      <t xml:space="preserve"> approved, clean, hard, graded  aggregade  for </t>
    </r>
    <r>
      <rPr>
        <sz val="14"/>
        <rFont val="Cambria"/>
        <family val="1"/>
      </rPr>
      <t>bed  and side lining of canal</t>
    </r>
    <r>
      <rPr>
        <b/>
        <sz val="14"/>
        <rFont val="Cambria"/>
        <family val="1"/>
      </rPr>
      <t>(100 mm thick)</t>
    </r>
    <r>
      <rPr>
        <sz val="14"/>
        <rFont val="Cambria"/>
        <family val="1"/>
      </rPr>
      <t xml:space="preserve"> </t>
    </r>
    <r>
      <rPr>
        <sz val="14"/>
        <rFont val="Arial"/>
        <family val="2"/>
      </rPr>
      <t xml:space="preserve">including, finishing the junction of bed  and sides to required curveture, cost of all materials, machinery, labour, formwork including supports cleaning, batching, mixing, placing in position, levelling, vibrating, finishing, curing etc., complete </t>
    </r>
    <r>
      <rPr>
        <b/>
        <sz val="14"/>
        <rFont val="Cambria"/>
        <family val="1"/>
      </rPr>
      <t>with initial lead up to 50 m and all lifts ( 43 Gr Cement content: 250 kg / cum for use of super plasticiser(0.4% by wt. of cement),CA : 0.90cum, Blending Ratio of CA--50:30:20, FA : 0.40 cum)</t>
    </r>
  </si>
  <si>
    <r>
      <t xml:space="preserve">Providing and </t>
    </r>
    <r>
      <rPr>
        <b/>
        <sz val="14"/>
        <rFont val="Arial"/>
        <family val="2"/>
      </rPr>
      <t xml:space="preserve">laying </t>
    </r>
    <r>
      <rPr>
        <b/>
        <sz val="14"/>
        <rFont val="Cambria"/>
        <family val="1"/>
      </rPr>
      <t>100mm</t>
    </r>
    <r>
      <rPr>
        <b/>
        <sz val="14"/>
        <rFont val="Arial"/>
        <family val="2"/>
      </rPr>
      <t xml:space="preserve"> thick  insitu vibrated </t>
    </r>
    <r>
      <rPr>
        <b/>
        <sz val="14"/>
        <rFont val="Cambria"/>
        <family val="1"/>
      </rPr>
      <t>M-10</t>
    </r>
    <r>
      <rPr>
        <sz val="14"/>
        <rFont val="Arial"/>
        <family val="2"/>
      </rPr>
      <t xml:space="preserve"> (28 days cube compressive strength-not less than 10.00 N / sq mm) grade cement concrete using </t>
    </r>
    <r>
      <rPr>
        <b/>
        <sz val="14"/>
        <rFont val="Cambria"/>
        <family val="1"/>
      </rPr>
      <t>40 mm down size</t>
    </r>
    <r>
      <rPr>
        <sz val="14"/>
        <rFont val="Cambria"/>
        <family val="1"/>
      </rPr>
      <t xml:space="preserve"> </t>
    </r>
    <r>
      <rPr>
        <sz val="14"/>
        <rFont val="Arial"/>
        <family val="2"/>
      </rPr>
      <t xml:space="preserve">approved, clean, hard, graded aggregates </t>
    </r>
    <r>
      <rPr>
        <sz val="14"/>
        <rFont val="Cambria"/>
        <family val="1"/>
      </rPr>
      <t xml:space="preserve">for bed and side lining of canal lining </t>
    </r>
    <r>
      <rPr>
        <b/>
        <sz val="14"/>
        <rFont val="Cambria"/>
        <family val="1"/>
      </rPr>
      <t>using vibrating cylindertype mechanical paver</t>
    </r>
    <r>
      <rPr>
        <sz val="14"/>
        <rFont val="Cambria"/>
        <family val="1"/>
      </rPr>
      <t xml:space="preserve"> </t>
    </r>
    <r>
      <rPr>
        <sz val="14"/>
        <rFont val="Arial"/>
        <family val="2"/>
      </rPr>
      <t>including cost of all materials mechinery labour batching mixing placing in position forming  contraction joints fixing pvc joint seiling strips shifting of paver from one side of canal to other  side etc.</t>
    </r>
    <r>
      <rPr>
        <b/>
        <sz val="14"/>
        <rFont val="Arial"/>
        <family val="2"/>
      </rPr>
      <t xml:space="preserve">complete </t>
    </r>
    <r>
      <rPr>
        <b/>
        <sz val="14"/>
        <rFont val="Cambria"/>
        <family val="1"/>
      </rPr>
      <t>with  all leads &amp; lifts. (Cement content: 250 kg / cum for use of super plasticiser(0.4% by wt. of cement),CA : 0.90cum, Blending Ratio of CA--50:30:20, FA : 0.40 cum)</t>
    </r>
  </si>
  <si>
    <r>
      <t xml:space="preserve">Providing and </t>
    </r>
    <r>
      <rPr>
        <b/>
        <sz val="14"/>
        <rFont val="Arial"/>
        <family val="2"/>
      </rPr>
      <t xml:space="preserve">laying insitu vibrated </t>
    </r>
    <r>
      <rPr>
        <b/>
        <sz val="14"/>
        <rFont val="Cambria"/>
        <family val="1"/>
      </rPr>
      <t>M-10</t>
    </r>
    <r>
      <rPr>
        <sz val="14"/>
        <rFont val="Arial"/>
        <family val="2"/>
      </rPr>
      <t xml:space="preserve"> ( 28 days cube compressive strength not less than 10 N /sq mm ) grade cement concrete using </t>
    </r>
    <r>
      <rPr>
        <b/>
        <sz val="14"/>
        <rFont val="Cambria"/>
        <family val="1"/>
      </rPr>
      <t>20 mm down size</t>
    </r>
    <r>
      <rPr>
        <sz val="14"/>
        <rFont val="Cambria"/>
        <family val="1"/>
      </rPr>
      <t xml:space="preserve"> </t>
    </r>
    <r>
      <rPr>
        <sz val="14"/>
        <rFont val="Arial"/>
        <family val="2"/>
      </rPr>
      <t xml:space="preserve">approved, clean, hard, graded aggregates </t>
    </r>
    <r>
      <rPr>
        <sz val="14"/>
        <rFont val="Cambria"/>
        <family val="1"/>
      </rPr>
      <t xml:space="preserve">for bed and side lining of canal </t>
    </r>
    <r>
      <rPr>
        <sz val="14"/>
        <rFont val="Arial"/>
        <family val="2"/>
      </rPr>
      <t xml:space="preserve">including finishing the junction of bed and sides to required curveture, cost of all materials, machinery, labour, formwork including supports, cleaning, batching, mixing, placing in position, levelling, vibrating, finishing, curing etc., complete </t>
    </r>
    <r>
      <rPr>
        <b/>
        <sz val="14"/>
        <rFont val="Arial"/>
        <family val="2"/>
      </rPr>
      <t xml:space="preserve">with </t>
    </r>
    <r>
      <rPr>
        <b/>
        <sz val="14"/>
        <rFont val="Cambria"/>
        <family val="1"/>
      </rPr>
      <t>initial lead upto 50 m and all lifts. (Cement content: 250 kg / cum for use of super plasticiser(0.4% by wt. of cement),CA : 0.80cum, Blending Ratio of CA--65:35,  FA : 0.45 cum)</t>
    </r>
  </si>
  <si>
    <r>
      <t xml:space="preserve">Providing and </t>
    </r>
    <r>
      <rPr>
        <b/>
        <sz val="14"/>
        <rFont val="Arial"/>
        <family val="2"/>
      </rPr>
      <t xml:space="preserve">laying insitu vibrated </t>
    </r>
    <r>
      <rPr>
        <b/>
        <sz val="14"/>
        <rFont val="Cambria"/>
        <family val="1"/>
      </rPr>
      <t>M-15</t>
    </r>
    <r>
      <rPr>
        <sz val="14"/>
        <rFont val="Arial"/>
        <family val="2"/>
      </rPr>
      <t xml:space="preserve"> ( 28 days cube compressive strength not less than 15 N /sq mm ) grade cement concrete using </t>
    </r>
    <r>
      <rPr>
        <b/>
        <sz val="14"/>
        <rFont val="Cambria"/>
        <family val="1"/>
      </rPr>
      <t xml:space="preserve">40 mm down </t>
    </r>
    <r>
      <rPr>
        <b/>
        <sz val="14"/>
        <rFont val="Arial"/>
        <family val="2"/>
      </rPr>
      <t>size</t>
    </r>
    <r>
      <rPr>
        <sz val="14"/>
        <rFont val="Arial"/>
        <family val="2"/>
      </rPr>
      <t xml:space="preserve"> approved, clean, hard, graded aggregates </t>
    </r>
    <r>
      <rPr>
        <sz val="14"/>
        <rFont val="Cambria"/>
        <family val="1"/>
      </rPr>
      <t>for bed and side lining(</t>
    </r>
    <r>
      <rPr>
        <b/>
        <sz val="14"/>
        <rFont val="Cambria"/>
        <family val="1"/>
      </rPr>
      <t>150 mm thick</t>
    </r>
    <r>
      <rPr>
        <sz val="14"/>
        <rFont val="Cambria"/>
        <family val="1"/>
      </rPr>
      <t xml:space="preserve">) </t>
    </r>
    <r>
      <rPr>
        <sz val="14"/>
        <rFont val="Arial"/>
        <family val="2"/>
      </rPr>
      <t xml:space="preserve">of canal including finishing the junction of bed and sides to required curveture, cost of all materials, machinery, labour, formwork including supports, cleaning, batching, mixing, placing in position, levelling, vibrating, finishing, curing etc., complete </t>
    </r>
    <r>
      <rPr>
        <b/>
        <sz val="14"/>
        <rFont val="Arial"/>
        <family val="2"/>
      </rPr>
      <t xml:space="preserve">with </t>
    </r>
    <r>
      <rPr>
        <b/>
        <sz val="14"/>
        <rFont val="Cambria"/>
        <family val="1"/>
      </rPr>
      <t>initial lead upto 50 m and all lifts. (Cement content: 290 kg / cum for use of super plasticiser(0.4% by wt. of cement),CA : 0.90cum, Blending Ratio of CA--50:30:20,  FA : 0.40 cum)</t>
    </r>
  </si>
  <si>
    <r>
      <t xml:space="preserve">Providing and </t>
    </r>
    <r>
      <rPr>
        <b/>
        <sz val="14"/>
        <rFont val="Arial"/>
        <family val="2"/>
      </rPr>
      <t xml:space="preserve">laying insitu vibrated </t>
    </r>
    <r>
      <rPr>
        <b/>
        <sz val="14"/>
        <rFont val="Cambria"/>
        <family val="1"/>
      </rPr>
      <t xml:space="preserve">M-15 </t>
    </r>
    <r>
      <rPr>
        <sz val="14"/>
        <rFont val="Arial"/>
        <family val="2"/>
      </rPr>
      <t xml:space="preserve">( 28 days cube compressive strength not less than 15 N /sq mm ) grade cement concrete using </t>
    </r>
    <r>
      <rPr>
        <b/>
        <sz val="14"/>
        <rFont val="Cambria"/>
        <family val="1"/>
      </rPr>
      <t>20 mm down size</t>
    </r>
    <r>
      <rPr>
        <sz val="14"/>
        <rFont val="Cambria"/>
        <family val="1"/>
      </rPr>
      <t xml:space="preserve"> </t>
    </r>
    <r>
      <rPr>
        <sz val="14"/>
        <rFont val="Arial"/>
        <family val="2"/>
      </rPr>
      <t xml:space="preserve">approved, clean, hard, graded aggregates </t>
    </r>
    <r>
      <rPr>
        <sz val="14"/>
        <rFont val="Cambria"/>
        <family val="1"/>
      </rPr>
      <t>for bed and side lining(</t>
    </r>
    <r>
      <rPr>
        <b/>
        <sz val="14"/>
        <rFont val="Cambria"/>
        <family val="1"/>
      </rPr>
      <t>of thickness 100 mm</t>
    </r>
    <r>
      <rPr>
        <sz val="14"/>
        <rFont val="Cambria"/>
        <family val="1"/>
      </rPr>
      <t xml:space="preserve">) </t>
    </r>
    <r>
      <rPr>
        <sz val="14"/>
        <rFont val="Arial"/>
        <family val="2"/>
      </rPr>
      <t xml:space="preserve">of canal including finishing the junction of  bed and sides to required curveture, cost of all materials, machinery, labour, formwork including supports, cleaning, batching, mixing, placing in position, levelling, vibrating, finishing, curing etc., complete </t>
    </r>
    <r>
      <rPr>
        <b/>
        <sz val="14"/>
        <rFont val="Cambria"/>
        <family val="1"/>
      </rPr>
      <t>with initial lead upto 50 m and all lifts. (Cement content: 300 kg / cum for use of super plasticiser(0.4% by wt. of cement),CA : 0.80 cum, Blending Ratio of CA--65:35,  FA : 0.45 cum)</t>
    </r>
  </si>
  <si>
    <r>
      <t xml:space="preserve">Providing and </t>
    </r>
    <r>
      <rPr>
        <b/>
        <sz val="14"/>
        <rFont val="Arial"/>
        <family val="2"/>
      </rPr>
      <t xml:space="preserve">laying </t>
    </r>
    <r>
      <rPr>
        <b/>
        <sz val="14"/>
        <rFont val="Cambria"/>
        <family val="1"/>
      </rPr>
      <t>150mm</t>
    </r>
    <r>
      <rPr>
        <b/>
        <sz val="14"/>
        <rFont val="Arial"/>
        <family val="2"/>
      </rPr>
      <t xml:space="preserve"> thick  insitu vibrated </t>
    </r>
    <r>
      <rPr>
        <b/>
        <sz val="14"/>
        <rFont val="Cambria"/>
        <family val="1"/>
      </rPr>
      <t>M-15</t>
    </r>
    <r>
      <rPr>
        <sz val="14"/>
        <rFont val="Arial"/>
        <family val="2"/>
      </rPr>
      <t xml:space="preserve"> (28 days cube compressive strength-not less than 15.00 N / sq mm) grade cement concrete using </t>
    </r>
    <r>
      <rPr>
        <b/>
        <sz val="14"/>
        <rFont val="Cambria"/>
        <family val="1"/>
      </rPr>
      <t xml:space="preserve">20 mm down </t>
    </r>
    <r>
      <rPr>
        <b/>
        <sz val="14"/>
        <rFont val="Arial"/>
        <family val="2"/>
      </rPr>
      <t>size</t>
    </r>
    <r>
      <rPr>
        <sz val="14"/>
        <rFont val="Arial"/>
        <family val="2"/>
      </rPr>
      <t xml:space="preserve"> approved, clean, hard, graded aggregates </t>
    </r>
    <r>
      <rPr>
        <sz val="14"/>
        <rFont val="Cambria"/>
        <family val="1"/>
      </rPr>
      <t xml:space="preserve">for bed and side lining of canal lining using vibrating cylindertype mechanical paver </t>
    </r>
    <r>
      <rPr>
        <sz val="14"/>
        <rFont val="Arial"/>
        <family val="2"/>
      </rPr>
      <t>including cost of all materials mechinery labour batching mixing placing in position forming  contractiom joints fixing pvc joint seiling strips shifting of paver from one side of canal to other  side etc.</t>
    </r>
    <r>
      <rPr>
        <b/>
        <sz val="14"/>
        <rFont val="Arial"/>
        <family val="2"/>
      </rPr>
      <t xml:space="preserve">complete </t>
    </r>
    <r>
      <rPr>
        <b/>
        <sz val="14"/>
        <rFont val="Cambria"/>
        <family val="1"/>
      </rPr>
      <t>with  all leads &amp; lifts. (Cement content: 300 kg / cum for use of super plasticiser(0.4% by wt. of cement),CA : 0.80 cum, Blending Ratio of CA--65:35,  FA : 0.44 cum)</t>
    </r>
    <r>
      <rPr>
        <sz val="14"/>
        <rFont val="Arial"/>
        <family val="2"/>
      </rPr>
      <t xml:space="preserve">
</t>
    </r>
    <r>
      <rPr>
        <b/>
        <sz val="14"/>
        <rFont val="Cambria"/>
        <family val="1"/>
      </rPr>
      <t>(Paver)</t>
    </r>
  </si>
  <si>
    <r>
      <t xml:space="preserve">Providing and </t>
    </r>
    <r>
      <rPr>
        <b/>
        <sz val="14"/>
        <rFont val="Cambria"/>
        <family val="1"/>
      </rPr>
      <t>fixing pre-cast RCC template walls</t>
    </r>
    <r>
      <rPr>
        <sz val="14"/>
        <rFont val="Arial"/>
        <family val="2"/>
      </rPr>
      <t xml:space="preserve"> consisting of 0.05 cum </t>
    </r>
    <r>
      <rPr>
        <b/>
        <sz val="14"/>
        <rFont val="Cambria"/>
        <family val="1"/>
      </rPr>
      <t>M-15</t>
    </r>
    <r>
      <rPr>
        <b/>
        <sz val="14"/>
        <rFont val="Arial"/>
        <family val="2"/>
      </rPr>
      <t xml:space="preserve"> grade</t>
    </r>
    <r>
      <rPr>
        <sz val="14"/>
        <rFont val="Arial"/>
        <family val="2"/>
      </rPr>
      <t xml:space="preserve"> concrete using </t>
    </r>
    <r>
      <rPr>
        <b/>
        <sz val="14"/>
        <rFont val="Cambria"/>
        <family val="1"/>
      </rPr>
      <t xml:space="preserve">20 mm down </t>
    </r>
    <r>
      <rPr>
        <b/>
        <sz val="14"/>
        <rFont val="Arial"/>
        <family val="2"/>
      </rPr>
      <t>size</t>
    </r>
    <r>
      <rPr>
        <sz val="14"/>
        <rFont val="Arial"/>
        <family val="2"/>
      </rPr>
      <t xml:space="preserve"> coarse aggregates and </t>
    </r>
    <r>
      <rPr>
        <sz val="14"/>
        <rFont val="Cambria"/>
        <family val="1"/>
      </rPr>
      <t xml:space="preserve">10 kg reinforcement steel </t>
    </r>
    <r>
      <rPr>
        <sz val="14"/>
        <rFont val="Arial"/>
        <family val="2"/>
      </rPr>
      <t xml:space="preserve">moulded as per specifications and drawing in </t>
    </r>
    <r>
      <rPr>
        <sz val="14"/>
        <rFont val="Cambria"/>
        <family val="1"/>
      </rPr>
      <t xml:space="preserve">CM 1:4 </t>
    </r>
    <r>
      <rPr>
        <sz val="14"/>
        <rFont val="Arial"/>
        <family val="2"/>
      </rPr>
      <t xml:space="preserve">proportion including cost of all materials, machinery, labour, formwork, fabricating and placing reinforcement steel, mixing, laying, conveying and fixing in position including necessary excavation for seating, finishing joints in </t>
    </r>
    <r>
      <rPr>
        <sz val="14"/>
        <rFont val="Cambria"/>
        <family val="1"/>
      </rPr>
      <t>CM 1:4</t>
    </r>
    <r>
      <rPr>
        <sz val="14"/>
        <rFont val="Arial"/>
        <family val="2"/>
      </rPr>
      <t xml:space="preserve">, curing etc., complete </t>
    </r>
    <r>
      <rPr>
        <b/>
        <sz val="14"/>
        <rFont val="Cambria"/>
        <family val="1"/>
      </rPr>
      <t>with initial lead upto 1 km and all lifts</t>
    </r>
    <r>
      <rPr>
        <sz val="14"/>
        <rFont val="Cambria"/>
        <family val="1"/>
      </rPr>
      <t>.</t>
    </r>
  </si>
  <si>
    <r>
      <t xml:space="preserve">Providing and </t>
    </r>
    <r>
      <rPr>
        <b/>
        <sz val="14"/>
        <rFont val="Cambria"/>
        <family val="1"/>
      </rPr>
      <t>fixing 50 mm dia perforated GI pressure relief pipes 12.50 cm long</t>
    </r>
    <r>
      <rPr>
        <sz val="14"/>
        <rFont val="Arial"/>
        <family val="2"/>
      </rPr>
      <t xml:space="preserve"> with one end closed </t>
    </r>
    <r>
      <rPr>
        <sz val="14"/>
        <rFont val="Cambria"/>
        <family val="1"/>
      </rPr>
      <t xml:space="preserve">with perforated GI plate </t>
    </r>
    <r>
      <rPr>
        <sz val="14"/>
        <rFont val="Arial"/>
        <family val="2"/>
      </rPr>
      <t xml:space="preserve">and other end provided with </t>
    </r>
    <r>
      <rPr>
        <sz val="14"/>
        <rFont val="Cambria"/>
        <family val="1"/>
      </rPr>
      <t xml:space="preserve">alluminium lid hinged to pipe </t>
    </r>
    <r>
      <rPr>
        <sz val="14"/>
        <rFont val="Arial"/>
        <family val="2"/>
      </rPr>
      <t xml:space="preserve">including cost of all materials, labour, drilling 8 mm dia holes etc., </t>
    </r>
    <r>
      <rPr>
        <sz val="14"/>
        <rFont val="Cambria"/>
        <family val="1"/>
      </rPr>
      <t xml:space="preserve">complete </t>
    </r>
    <r>
      <rPr>
        <b/>
        <sz val="14"/>
        <rFont val="Cambria"/>
        <family val="1"/>
      </rPr>
      <t>with all leads and lifts.</t>
    </r>
  </si>
  <si>
    <r>
      <t xml:space="preserve">Providing and </t>
    </r>
    <r>
      <rPr>
        <b/>
        <sz val="14"/>
        <rFont val="Cambria"/>
        <family val="1"/>
      </rPr>
      <t>fixing 50 mm dia perforated GI pressure relief pipes 22.50 cm long</t>
    </r>
    <r>
      <rPr>
        <sz val="14"/>
        <rFont val="Arial"/>
        <family val="2"/>
      </rPr>
      <t xml:space="preserve"> with one end closed with </t>
    </r>
    <r>
      <rPr>
        <sz val="14"/>
        <rFont val="Cambria"/>
        <family val="1"/>
      </rPr>
      <t xml:space="preserve">perforated GI plate </t>
    </r>
    <r>
      <rPr>
        <sz val="14"/>
        <rFont val="Arial"/>
        <family val="2"/>
      </rPr>
      <t xml:space="preserve">and other end provided with </t>
    </r>
    <r>
      <rPr>
        <sz val="14"/>
        <rFont val="Cambria"/>
        <family val="1"/>
      </rPr>
      <t xml:space="preserve">alluminium lid hinged to pipe </t>
    </r>
    <r>
      <rPr>
        <sz val="14"/>
        <rFont val="Arial"/>
        <family val="2"/>
      </rPr>
      <t xml:space="preserve">including cost of all materials, labour, drilling 8 mm dia holes etc., </t>
    </r>
    <r>
      <rPr>
        <b/>
        <sz val="14"/>
        <rFont val="Cambria"/>
        <family val="1"/>
      </rPr>
      <t>complete with all leads and lifts.</t>
    </r>
  </si>
  <si>
    <r>
      <t xml:space="preserve">Providing and </t>
    </r>
    <r>
      <rPr>
        <b/>
        <sz val="14"/>
        <rFont val="Arial"/>
        <family val="2"/>
      </rPr>
      <t xml:space="preserve">fixing 50 mm dia perforated GI pressure relief pipes 30 cm long </t>
    </r>
    <r>
      <rPr>
        <sz val="14"/>
        <rFont val="Arial"/>
        <family val="2"/>
      </rPr>
      <t xml:space="preserve">with one end closed with </t>
    </r>
    <r>
      <rPr>
        <sz val="14"/>
        <rFont val="Cambria"/>
        <family val="1"/>
      </rPr>
      <t xml:space="preserve">perforated GI plate and other end provided with alluminium lid hinged to pipe </t>
    </r>
    <r>
      <rPr>
        <sz val="14"/>
        <rFont val="Arial"/>
        <family val="2"/>
      </rPr>
      <t>including cost of all materials, labour, drilling 8 mm dia holes etc.,</t>
    </r>
    <r>
      <rPr>
        <b/>
        <sz val="14"/>
        <rFont val="Arial"/>
        <family val="2"/>
      </rPr>
      <t xml:space="preserve"> </t>
    </r>
    <r>
      <rPr>
        <b/>
        <sz val="14"/>
        <rFont val="Cambria"/>
        <family val="1"/>
      </rPr>
      <t>complete with all leads and lifts.</t>
    </r>
  </si>
  <si>
    <r>
      <t xml:space="preserve">Providing and fixing </t>
    </r>
    <r>
      <rPr>
        <b/>
        <sz val="14"/>
        <rFont val="Arial"/>
        <family val="2"/>
      </rPr>
      <t>50 mm dia perforated GI pressure relief pipes 45 cm long</t>
    </r>
    <r>
      <rPr>
        <sz val="14"/>
        <rFont val="Arial"/>
        <family val="2"/>
      </rPr>
      <t xml:space="preserve"> with one end closed with </t>
    </r>
    <r>
      <rPr>
        <sz val="14"/>
        <rFont val="Cambria"/>
        <family val="1"/>
      </rPr>
      <t xml:space="preserve">perforated GI plate </t>
    </r>
    <r>
      <rPr>
        <sz val="14"/>
        <rFont val="Arial"/>
        <family val="2"/>
      </rPr>
      <t xml:space="preserve">and </t>
    </r>
    <r>
      <rPr>
        <sz val="14"/>
        <rFont val="Cambria"/>
        <family val="1"/>
      </rPr>
      <t xml:space="preserve">other end provided with alluminium lid </t>
    </r>
    <r>
      <rPr>
        <sz val="14"/>
        <rFont val="Arial"/>
        <family val="2"/>
      </rPr>
      <t xml:space="preserve">hinged to pipe including cost of all materials, labour, drilling 8 mm dia holes etc., </t>
    </r>
    <r>
      <rPr>
        <sz val="14"/>
        <rFont val="Cambria"/>
        <family val="1"/>
      </rPr>
      <t xml:space="preserve">complete </t>
    </r>
    <r>
      <rPr>
        <b/>
        <sz val="14"/>
        <rFont val="Cambria"/>
        <family val="1"/>
      </rPr>
      <t>with all leads and lifts.</t>
    </r>
  </si>
  <si>
    <r>
      <t xml:space="preserve">Providing and </t>
    </r>
    <r>
      <rPr>
        <b/>
        <sz val="14"/>
        <rFont val="Arial"/>
        <family val="2"/>
      </rPr>
      <t>fixing 50 mm dia perforated GI pressure relief pipes 75 cm long</t>
    </r>
    <r>
      <rPr>
        <sz val="14"/>
        <rFont val="Arial"/>
        <family val="2"/>
      </rPr>
      <t xml:space="preserve"> with one end closed with </t>
    </r>
    <r>
      <rPr>
        <sz val="14"/>
        <rFont val="Cambria"/>
        <family val="1"/>
      </rPr>
      <t xml:space="preserve">perforated GI plate and other end provided with alluminium lid </t>
    </r>
    <r>
      <rPr>
        <sz val="14"/>
        <rFont val="Arial"/>
        <family val="2"/>
      </rPr>
      <t xml:space="preserve">hinged to pipe including cost of all materials, labour, drilling 8 mm dia holes etc., </t>
    </r>
    <r>
      <rPr>
        <sz val="14"/>
        <rFont val="Cambria"/>
        <family val="1"/>
      </rPr>
      <t xml:space="preserve">complete </t>
    </r>
    <r>
      <rPr>
        <b/>
        <sz val="14"/>
        <rFont val="Cambria"/>
        <family val="1"/>
      </rPr>
      <t>with all leads and lifts.</t>
    </r>
  </si>
  <si>
    <r>
      <t xml:space="preserve">Providing and </t>
    </r>
    <r>
      <rPr>
        <b/>
        <sz val="14"/>
        <rFont val="Arial"/>
        <family val="2"/>
      </rPr>
      <t xml:space="preserve">fixing 100 mm dia </t>
    </r>
    <r>
      <rPr>
        <b/>
        <sz val="14"/>
        <rFont val="Cambria"/>
        <family val="1"/>
      </rPr>
      <t xml:space="preserve">perforated PVC pipes </t>
    </r>
    <r>
      <rPr>
        <b/>
        <sz val="14"/>
        <rFont val="Arial"/>
        <family val="2"/>
      </rPr>
      <t xml:space="preserve">40 cm  long </t>
    </r>
    <r>
      <rPr>
        <b/>
        <sz val="14"/>
        <rFont val="Cambria"/>
        <family val="1"/>
      </rPr>
      <t>for Weep holes</t>
    </r>
    <r>
      <rPr>
        <sz val="14"/>
        <rFont val="Cambria"/>
        <family val="1"/>
      </rPr>
      <t xml:space="preserve">  </t>
    </r>
    <r>
      <rPr>
        <sz val="14"/>
        <rFont val="Arial"/>
        <family val="2"/>
      </rPr>
      <t xml:space="preserve">including cost of all materials, labour, drilling 8 mm dia holes etc. complete </t>
    </r>
    <r>
      <rPr>
        <b/>
        <sz val="14"/>
        <rFont val="Cambria"/>
        <family val="1"/>
      </rPr>
      <t>with all leads and lifts.</t>
    </r>
  </si>
  <si>
    <r>
      <rPr>
        <b/>
        <sz val="14"/>
        <rFont val="Arial"/>
        <family val="2"/>
      </rPr>
      <t>Drilling 32 mm dia pressure relief hole</t>
    </r>
    <r>
      <rPr>
        <sz val="14"/>
        <rFont val="Arial"/>
        <family val="2"/>
      </rPr>
      <t xml:space="preserve"> below pressure relief pipe </t>
    </r>
    <r>
      <rPr>
        <sz val="14"/>
        <rFont val="Cambria"/>
        <family val="1"/>
      </rPr>
      <t xml:space="preserve">for bed and side lining of canal </t>
    </r>
    <r>
      <rPr>
        <sz val="14"/>
        <rFont val="Arial"/>
        <family val="2"/>
      </rPr>
      <t xml:space="preserve">laid on rock including cost of all materials, machinery, labour etc., </t>
    </r>
    <r>
      <rPr>
        <sz val="14"/>
        <rFont val="Cambria"/>
        <family val="1"/>
      </rPr>
      <t xml:space="preserve">complete </t>
    </r>
    <r>
      <rPr>
        <b/>
        <sz val="14"/>
        <rFont val="Cambria"/>
        <family val="1"/>
      </rPr>
      <t>with all leads and lifts.</t>
    </r>
  </si>
  <si>
    <r>
      <t xml:space="preserve">Providing and </t>
    </r>
    <r>
      <rPr>
        <b/>
        <sz val="14"/>
        <rFont val="Cambria"/>
        <family val="1"/>
      </rPr>
      <t>forming 35 x 35 x 40 cm deep filter drain</t>
    </r>
    <r>
      <rPr>
        <sz val="14"/>
        <rFont val="Arial"/>
        <family val="2"/>
      </rPr>
      <t xml:space="preserve"> consisting of 75 mm thick 10 mm down coarse aggregate </t>
    </r>
    <r>
      <rPr>
        <sz val="14"/>
        <rFont val="Cambria"/>
        <family val="1"/>
      </rPr>
      <t xml:space="preserve">around pressure relief pipe </t>
    </r>
    <r>
      <rPr>
        <sz val="14"/>
        <rFont val="Arial"/>
        <family val="2"/>
      </rPr>
      <t xml:space="preserve">and 75 mm thick sand </t>
    </r>
    <r>
      <rPr>
        <sz val="14"/>
        <rFont val="Cambria"/>
        <family val="1"/>
      </rPr>
      <t xml:space="preserve">around coarse aggregate filter </t>
    </r>
    <r>
      <rPr>
        <sz val="14"/>
        <rFont val="Arial"/>
        <family val="2"/>
      </rPr>
      <t xml:space="preserve">including cost of all materials, labour, excavation of pit etc., complete </t>
    </r>
    <r>
      <rPr>
        <b/>
        <sz val="14"/>
        <rFont val="Cambria"/>
        <family val="1"/>
      </rPr>
      <t>with lead upto 50 m and all lifts.</t>
    </r>
  </si>
  <si>
    <r>
      <t xml:space="preserve">Providing and </t>
    </r>
    <r>
      <rPr>
        <b/>
        <sz val="14"/>
        <rFont val="Cambria"/>
        <family val="1"/>
      </rPr>
      <t xml:space="preserve">fixing 25 to 40 mm thick Shahabad / Talikota / other similar stone slabs with pointing </t>
    </r>
    <r>
      <rPr>
        <b/>
        <sz val="14"/>
        <rFont val="Arial"/>
        <family val="2"/>
      </rPr>
      <t>and finishing joints</t>
    </r>
    <r>
      <rPr>
        <sz val="14"/>
        <rFont val="Arial"/>
        <family val="2"/>
      </rPr>
      <t xml:space="preserve"> neatly in </t>
    </r>
    <r>
      <rPr>
        <b/>
        <sz val="14"/>
        <rFont val="Cambria"/>
        <family val="1"/>
      </rPr>
      <t>CM 1:3</t>
    </r>
    <r>
      <rPr>
        <sz val="14"/>
        <rFont val="Cambria"/>
        <family val="1"/>
      </rPr>
      <t xml:space="preserve"> </t>
    </r>
    <r>
      <rPr>
        <sz val="14"/>
        <rFont val="Arial"/>
        <family val="2"/>
      </rPr>
      <t xml:space="preserve">proportion for </t>
    </r>
    <r>
      <rPr>
        <sz val="14"/>
        <rFont val="Cambria"/>
        <family val="1"/>
      </rPr>
      <t xml:space="preserve">canal / field channel lining </t>
    </r>
    <r>
      <rPr>
        <sz val="14"/>
        <rFont val="Arial"/>
        <family val="2"/>
      </rPr>
      <t xml:space="preserve">including cutting slabs to required size, mixing mortar, finishing joints neatly, curing etc., complete </t>
    </r>
    <r>
      <rPr>
        <b/>
        <sz val="14"/>
        <rFont val="Cambria"/>
        <family val="1"/>
      </rPr>
      <t>with lead upto 50 m and all lifts.</t>
    </r>
  </si>
  <si>
    <r>
      <rPr>
        <b/>
        <sz val="14"/>
        <rFont val="Arial"/>
        <family val="2"/>
      </rPr>
      <t>Fixing PCC slabs</t>
    </r>
    <r>
      <rPr>
        <sz val="14"/>
        <rFont val="Arial"/>
        <family val="2"/>
      </rPr>
      <t xml:space="preserve"> of various sizes in </t>
    </r>
    <r>
      <rPr>
        <b/>
        <sz val="14"/>
        <rFont val="Arial"/>
        <family val="2"/>
      </rPr>
      <t>CM 1 : 3</t>
    </r>
    <r>
      <rPr>
        <sz val="14"/>
        <rFont val="Arial"/>
        <family val="2"/>
      </rPr>
      <t xml:space="preserve"> proportion </t>
    </r>
    <r>
      <rPr>
        <b/>
        <sz val="14"/>
        <rFont val="Arial"/>
        <family val="2"/>
      </rPr>
      <t>to the side slopes of canal</t>
    </r>
    <r>
      <rPr>
        <sz val="14"/>
        <rFont val="Arial"/>
        <family val="2"/>
      </rPr>
      <t xml:space="preserve"> including preparing bed, flush pointing joints in </t>
    </r>
    <r>
      <rPr>
        <b/>
        <sz val="14"/>
        <rFont val="Cambria"/>
        <family val="1"/>
      </rPr>
      <t>CM 1 : 3</t>
    </r>
    <r>
      <rPr>
        <sz val="14"/>
        <rFont val="Cambria"/>
        <family val="1"/>
      </rPr>
      <t xml:space="preserve"> </t>
    </r>
    <r>
      <rPr>
        <sz val="14"/>
        <rFont val="Arial"/>
        <family val="2"/>
      </rPr>
      <t xml:space="preserve">propn, cost of all materials ( excluding PCC slabs ), labour, finishing, curing etc., </t>
    </r>
    <r>
      <rPr>
        <sz val="14"/>
        <rFont val="Cambria"/>
        <family val="1"/>
      </rPr>
      <t>complete with</t>
    </r>
    <r>
      <rPr>
        <b/>
        <sz val="14"/>
        <rFont val="Cambria"/>
        <family val="1"/>
      </rPr>
      <t xml:space="preserve"> initial lead upto 50 m and all lifts.</t>
    </r>
  </si>
  <si>
    <r>
      <rPr>
        <b/>
        <sz val="14"/>
        <rFont val="Arial"/>
        <family val="2"/>
      </rPr>
      <t>Fixing PCC lug slabs</t>
    </r>
    <r>
      <rPr>
        <sz val="14"/>
        <rFont val="Arial"/>
        <family val="2"/>
      </rPr>
      <t xml:space="preserve"> of various sizes in </t>
    </r>
    <r>
      <rPr>
        <b/>
        <sz val="14"/>
        <rFont val="Arial"/>
        <family val="2"/>
      </rPr>
      <t>CM 1 : 3</t>
    </r>
    <r>
      <rPr>
        <sz val="14"/>
        <rFont val="Arial"/>
        <family val="2"/>
      </rPr>
      <t xml:space="preserve"> proportion </t>
    </r>
    <r>
      <rPr>
        <b/>
        <sz val="14"/>
        <rFont val="Arial"/>
        <family val="2"/>
      </rPr>
      <t>for supporting PCC slab lining</t>
    </r>
    <r>
      <rPr>
        <sz val="14"/>
        <rFont val="Arial"/>
        <family val="2"/>
      </rPr>
      <t xml:space="preserve"> including necessary excavation, refilling, flush pointing joints in </t>
    </r>
    <r>
      <rPr>
        <sz val="14"/>
        <rFont val="Cambria"/>
        <family val="1"/>
      </rPr>
      <t xml:space="preserve">CM 1 : 3 </t>
    </r>
    <r>
      <rPr>
        <sz val="14"/>
        <rFont val="Arial"/>
        <family val="2"/>
      </rPr>
      <t xml:space="preserve">propn, cost of all materials ( excluding PCC lug slabs ), labour, finishing, curing etc., </t>
    </r>
    <r>
      <rPr>
        <sz val="14"/>
        <rFont val="Cambria"/>
        <family val="1"/>
      </rPr>
      <t xml:space="preserve">complete with </t>
    </r>
    <r>
      <rPr>
        <b/>
        <sz val="14"/>
        <rFont val="Cambria"/>
        <family val="1"/>
      </rPr>
      <t>initial lead upto 50 m and all lifts.</t>
    </r>
  </si>
  <si>
    <r>
      <rPr>
        <b/>
        <sz val="14"/>
        <rFont val="Arial"/>
        <family val="2"/>
      </rPr>
      <t>Fixing 30 cm height pre-cast drops for field channels</t>
    </r>
    <r>
      <rPr>
        <sz val="14"/>
        <rFont val="Arial"/>
        <family val="2"/>
      </rPr>
      <t xml:space="preserve"> as directed including excavation, etc.</t>
    </r>
    <r>
      <rPr>
        <sz val="14"/>
        <rFont val="Cambria"/>
        <family val="1"/>
      </rPr>
      <t xml:space="preserve">, complete </t>
    </r>
    <r>
      <rPr>
        <b/>
        <sz val="14"/>
        <rFont val="Cambria"/>
        <family val="1"/>
      </rPr>
      <t>with all leads and lifts.</t>
    </r>
  </si>
  <si>
    <r>
      <t xml:space="preserve">Providing and </t>
    </r>
    <r>
      <rPr>
        <b/>
        <sz val="14"/>
        <rFont val="Arial"/>
        <family val="2"/>
      </rPr>
      <t xml:space="preserve">fixing </t>
    </r>
    <r>
      <rPr>
        <b/>
        <sz val="14"/>
        <rFont val="Cambria"/>
        <family val="1"/>
      </rPr>
      <t>LDPE sheet for bed and sides</t>
    </r>
    <r>
      <rPr>
        <b/>
        <sz val="14"/>
        <rFont val="Arial"/>
        <family val="2"/>
      </rPr>
      <t xml:space="preserve"> of canal</t>
    </r>
    <r>
      <rPr>
        <sz val="14"/>
        <rFont val="Arial"/>
        <family val="2"/>
      </rPr>
      <t xml:space="preserve"> including cost of all materials, labour, laying, joining etc., </t>
    </r>
    <r>
      <rPr>
        <sz val="14"/>
        <rFont val="Cambria"/>
        <family val="1"/>
      </rPr>
      <t>complete</t>
    </r>
    <r>
      <rPr>
        <b/>
        <sz val="14"/>
        <rFont val="Cambria"/>
        <family val="1"/>
      </rPr>
      <t xml:space="preserve"> with all leads and lifts. </t>
    </r>
    <r>
      <rPr>
        <sz val="14"/>
        <rFont val="Cambria"/>
        <family val="1"/>
      </rPr>
      <t xml:space="preserve">
</t>
    </r>
    <r>
      <rPr>
        <sz val="14"/>
        <rFont val="Arial"/>
        <family val="2"/>
      </rPr>
      <t xml:space="preserve">
</t>
    </r>
    <r>
      <rPr>
        <sz val="14"/>
        <rFont val="Cambria"/>
        <family val="1"/>
      </rPr>
      <t xml:space="preserve">Using </t>
    </r>
    <r>
      <rPr>
        <b/>
        <sz val="14"/>
        <rFont val="Cambria"/>
        <family val="1"/>
      </rPr>
      <t>500 micron</t>
    </r>
    <r>
      <rPr>
        <sz val="14"/>
        <rFont val="Cambria"/>
        <family val="1"/>
      </rPr>
      <t xml:space="preserve"> thick LDPE sheet.</t>
    </r>
  </si>
  <si>
    <r>
      <t xml:space="preserve">If the surface on which the LDPE sheet is </t>
    </r>
    <r>
      <rPr>
        <sz val="14"/>
        <rFont val="Cambria"/>
        <family val="1"/>
      </rPr>
      <t xml:space="preserve">to be laid is too rough and undulating </t>
    </r>
    <r>
      <rPr>
        <sz val="14"/>
        <rFont val="Arial"/>
        <family val="2"/>
      </rPr>
      <t xml:space="preserve">provide </t>
    </r>
    <r>
      <rPr>
        <b/>
        <sz val="14"/>
        <rFont val="Arial"/>
        <family val="2"/>
      </rPr>
      <t>75 mm thick sand backing</t>
    </r>
    <r>
      <rPr>
        <sz val="14"/>
        <rFont val="Arial"/>
        <family val="2"/>
      </rPr>
      <t xml:space="preserve"> to LDPE sheet. For providing 75 mm thick Sand for backing add</t>
    </r>
  </si>
  <si>
    <r>
      <t xml:space="preserve">Providing and </t>
    </r>
    <r>
      <rPr>
        <b/>
        <sz val="14"/>
        <rFont val="Arial"/>
        <family val="2"/>
      </rPr>
      <t xml:space="preserve">fixing </t>
    </r>
    <r>
      <rPr>
        <b/>
        <sz val="14"/>
        <rFont val="Cambria"/>
        <family val="1"/>
      </rPr>
      <t>LDPE sheet for bed and sides</t>
    </r>
    <r>
      <rPr>
        <b/>
        <sz val="14"/>
        <rFont val="Arial"/>
        <family val="2"/>
      </rPr>
      <t xml:space="preserve"> of canal</t>
    </r>
    <r>
      <rPr>
        <sz val="14"/>
        <rFont val="Arial"/>
        <family val="2"/>
      </rPr>
      <t xml:space="preserve"> including cost of all materials, labour, laying, joining etc., complete</t>
    </r>
    <r>
      <rPr>
        <b/>
        <sz val="14"/>
        <rFont val="Arial"/>
        <family val="2"/>
      </rPr>
      <t xml:space="preserve"> </t>
    </r>
    <r>
      <rPr>
        <b/>
        <sz val="14"/>
        <rFont val="Cambria"/>
        <family val="1"/>
      </rPr>
      <t xml:space="preserve">with all leads and lifts. </t>
    </r>
    <r>
      <rPr>
        <sz val="14"/>
        <rFont val="Arial"/>
        <family val="2"/>
      </rPr>
      <t xml:space="preserve">
</t>
    </r>
    <r>
      <rPr>
        <sz val="14"/>
        <rFont val="Cambria"/>
        <family val="1"/>
      </rPr>
      <t xml:space="preserve">Using </t>
    </r>
    <r>
      <rPr>
        <b/>
        <sz val="14"/>
        <rFont val="Cambria"/>
        <family val="1"/>
      </rPr>
      <t>750 micron</t>
    </r>
    <r>
      <rPr>
        <sz val="14"/>
        <rFont val="Cambria"/>
        <family val="1"/>
      </rPr>
      <t xml:space="preserve"> thick LDPE sheet.</t>
    </r>
  </si>
  <si>
    <r>
      <t xml:space="preserve">Providing and </t>
    </r>
    <r>
      <rPr>
        <b/>
        <sz val="14"/>
        <rFont val="Arial"/>
        <family val="2"/>
      </rPr>
      <t xml:space="preserve">fixing </t>
    </r>
    <r>
      <rPr>
        <b/>
        <sz val="14"/>
        <rFont val="Cambria"/>
        <family val="1"/>
      </rPr>
      <t>LDPE sheet for bed and sides</t>
    </r>
    <r>
      <rPr>
        <b/>
        <sz val="14"/>
        <rFont val="Arial"/>
        <family val="2"/>
      </rPr>
      <t xml:space="preserve"> of canal</t>
    </r>
    <r>
      <rPr>
        <sz val="14"/>
        <rFont val="Arial"/>
        <family val="2"/>
      </rPr>
      <t xml:space="preserve"> including cost of all materials, labour, laying, joining etc., complete </t>
    </r>
    <r>
      <rPr>
        <b/>
        <sz val="14"/>
        <rFont val="Cambria"/>
        <family val="1"/>
      </rPr>
      <t>with all leads and lifts.</t>
    </r>
    <r>
      <rPr>
        <sz val="14"/>
        <rFont val="Cambria"/>
        <family val="1"/>
      </rPr>
      <t xml:space="preserve"> 
Using </t>
    </r>
    <r>
      <rPr>
        <b/>
        <sz val="14"/>
        <rFont val="Cambria"/>
        <family val="1"/>
      </rPr>
      <t>1000 micron</t>
    </r>
    <r>
      <rPr>
        <sz val="14"/>
        <rFont val="Cambria"/>
        <family val="1"/>
      </rPr>
      <t xml:space="preserve"> thick LDPE sheet.</t>
    </r>
  </si>
  <si>
    <r>
      <t xml:space="preserve">Providing and </t>
    </r>
    <r>
      <rPr>
        <b/>
        <sz val="14"/>
        <rFont val="Cambria"/>
        <family val="1"/>
      </rPr>
      <t>fixing 12 mm thick 380 mm depth</t>
    </r>
    <r>
      <rPr>
        <b/>
        <sz val="14"/>
        <rFont val="Arial"/>
        <family val="2"/>
      </rPr>
      <t xml:space="preserve"> tarfelt expansion </t>
    </r>
    <r>
      <rPr>
        <b/>
        <sz val="14"/>
        <rFont val="Cambria"/>
        <family val="1"/>
      </rPr>
      <t>joint filler boards</t>
    </r>
    <r>
      <rPr>
        <sz val="14"/>
        <rFont val="Arial"/>
        <family val="2"/>
      </rPr>
      <t xml:space="preserve"> </t>
    </r>
    <r>
      <rPr>
        <b/>
        <sz val="14"/>
        <rFont val="Arial"/>
        <family val="2"/>
      </rPr>
      <t>for stone masonry lining</t>
    </r>
    <r>
      <rPr>
        <sz val="14"/>
        <rFont val="Arial"/>
        <family val="2"/>
      </rPr>
      <t xml:space="preserve"> of canal including cost of all materials, labour etc., </t>
    </r>
    <r>
      <rPr>
        <b/>
        <sz val="14"/>
        <rFont val="Cambria"/>
        <family val="1"/>
      </rPr>
      <t>complete with all leads and lifts.</t>
    </r>
  </si>
  <si>
    <r>
      <t xml:space="preserve">Providing and </t>
    </r>
    <r>
      <rPr>
        <b/>
        <sz val="14"/>
        <rFont val="Cambria"/>
        <family val="1"/>
      </rPr>
      <t>fixing 20 mm thick 100 mm depth</t>
    </r>
    <r>
      <rPr>
        <b/>
        <sz val="14"/>
        <rFont val="Arial"/>
        <family val="2"/>
      </rPr>
      <t xml:space="preserve"> tarfelt expansion</t>
    </r>
    <r>
      <rPr>
        <b/>
        <sz val="14"/>
        <rFont val="Cambria"/>
        <family val="1"/>
      </rPr>
      <t xml:space="preserve"> joint filler boards</t>
    </r>
    <r>
      <rPr>
        <b/>
        <sz val="14"/>
        <rFont val="Arial"/>
        <family val="2"/>
      </rPr>
      <t xml:space="preserve"> for cement concrete lining</t>
    </r>
    <r>
      <rPr>
        <sz val="14"/>
        <rFont val="Arial"/>
        <family val="2"/>
      </rPr>
      <t xml:space="preserve"> of canal including cost of all materials, labour etc., </t>
    </r>
    <r>
      <rPr>
        <b/>
        <sz val="14"/>
        <rFont val="Cambria"/>
        <family val="1"/>
      </rPr>
      <t>complete with all leads and lifts.</t>
    </r>
  </si>
  <si>
    <r>
      <t xml:space="preserve">Providing and </t>
    </r>
    <r>
      <rPr>
        <b/>
        <sz val="14"/>
        <rFont val="Cambria"/>
        <family val="1"/>
      </rPr>
      <t>fixing 20 mm thick 150 mm depth</t>
    </r>
    <r>
      <rPr>
        <b/>
        <sz val="14"/>
        <rFont val="Arial"/>
        <family val="2"/>
      </rPr>
      <t xml:space="preserve"> tarfelt expansion joint filler boards for cement concrete lining</t>
    </r>
    <r>
      <rPr>
        <sz val="14"/>
        <rFont val="Arial"/>
        <family val="2"/>
      </rPr>
      <t xml:space="preserve"> of canal including cost of all materials, labour etc., </t>
    </r>
    <r>
      <rPr>
        <sz val="14"/>
        <rFont val="Cambria"/>
        <family val="1"/>
      </rPr>
      <t xml:space="preserve">complete </t>
    </r>
    <r>
      <rPr>
        <b/>
        <sz val="14"/>
        <rFont val="Cambria"/>
        <family val="1"/>
      </rPr>
      <t>with all leads and lifts.</t>
    </r>
  </si>
  <si>
    <r>
      <t xml:space="preserve">Providing and </t>
    </r>
    <r>
      <rPr>
        <b/>
        <sz val="14"/>
        <rFont val="Cambria"/>
        <family val="1"/>
      </rPr>
      <t>forming</t>
    </r>
    <r>
      <rPr>
        <b/>
        <sz val="14"/>
        <rFont val="Arial"/>
        <family val="2"/>
      </rPr>
      <t xml:space="preserve"> 35 mm wide and 10 mm thick </t>
    </r>
    <r>
      <rPr>
        <b/>
        <sz val="14"/>
        <rFont val="Cambria"/>
        <family val="1"/>
      </rPr>
      <t xml:space="preserve">construction / contraction joints for concrete lining by mastic filler </t>
    </r>
    <r>
      <rPr>
        <sz val="14"/>
        <rFont val="Arial"/>
        <family val="2"/>
      </rPr>
      <t xml:space="preserve">including cost of all materials, labour etc., </t>
    </r>
    <r>
      <rPr>
        <sz val="14"/>
        <rFont val="Cambria"/>
        <family val="1"/>
      </rPr>
      <t xml:space="preserve">complete </t>
    </r>
    <r>
      <rPr>
        <b/>
        <sz val="14"/>
        <rFont val="Cambria"/>
        <family val="1"/>
      </rPr>
      <t>with all leads and lifts.</t>
    </r>
  </si>
  <si>
    <r>
      <rPr>
        <b/>
        <sz val="14"/>
        <rFont val="Arial"/>
        <family val="2"/>
      </rPr>
      <t xml:space="preserve">Manufacturing 550 x 550 x 55 mm size PCC </t>
    </r>
    <r>
      <rPr>
        <b/>
        <sz val="14"/>
        <rFont val="Cambria"/>
        <family val="1"/>
      </rPr>
      <t>lining slabs</t>
    </r>
    <r>
      <rPr>
        <b/>
        <sz val="14"/>
        <rFont val="Arial"/>
        <family val="2"/>
      </rPr>
      <t xml:space="preserve"> in </t>
    </r>
    <r>
      <rPr>
        <b/>
        <sz val="14"/>
        <rFont val="Cambria"/>
        <family val="1"/>
      </rPr>
      <t>M-15 grade</t>
    </r>
    <r>
      <rPr>
        <sz val="14"/>
        <rFont val="Arial"/>
        <family val="2"/>
      </rPr>
      <t xml:space="preserve"> ( 28 days cube compressive strength not less than 15 N /sqmm ) cement concrete using </t>
    </r>
    <r>
      <rPr>
        <b/>
        <sz val="14"/>
        <rFont val="Cambria"/>
        <family val="1"/>
      </rPr>
      <t xml:space="preserve">20 mm down </t>
    </r>
    <r>
      <rPr>
        <b/>
        <sz val="14"/>
        <rFont val="Arial"/>
        <family val="2"/>
      </rPr>
      <t>graded</t>
    </r>
    <r>
      <rPr>
        <sz val="14"/>
        <rFont val="Arial"/>
        <family val="2"/>
      </rPr>
      <t xml:space="preserve"> coarse aggregate including cost of all materials, machinery, labour, batching, mixing, laying, compacting, formwork, finishing, curing </t>
    </r>
    <r>
      <rPr>
        <sz val="14"/>
        <rFont val="Cambria"/>
        <family val="1"/>
      </rPr>
      <t xml:space="preserve">etc.,complete </t>
    </r>
    <r>
      <rPr>
        <b/>
        <sz val="14"/>
        <rFont val="Cambria"/>
        <family val="1"/>
      </rPr>
      <t>with initial lead upto 50 m and all lifts. ( Cement content : 300 kg / cum with super plastcizer (0.4% by wt. of cement), CA : 0.80 cum, Blending Ratio of CA : 65:35, FA : 0.45cum)</t>
    </r>
  </si>
  <si>
    <r>
      <rPr>
        <b/>
        <sz val="14"/>
        <rFont val="Arial"/>
        <family val="2"/>
      </rPr>
      <t xml:space="preserve">Manufacturing 550 x 300 x 55 mm size </t>
    </r>
    <r>
      <rPr>
        <b/>
        <sz val="14"/>
        <rFont val="Cambria"/>
        <family val="1"/>
      </rPr>
      <t xml:space="preserve">PCC lug slabs </t>
    </r>
    <r>
      <rPr>
        <b/>
        <sz val="14"/>
        <rFont val="Arial"/>
        <family val="2"/>
      </rPr>
      <t xml:space="preserve">in </t>
    </r>
    <r>
      <rPr>
        <b/>
        <sz val="14"/>
        <rFont val="Cambria"/>
        <family val="1"/>
      </rPr>
      <t>M-15</t>
    </r>
    <r>
      <rPr>
        <b/>
        <sz val="14"/>
        <rFont val="Arial"/>
        <family val="2"/>
      </rPr>
      <t xml:space="preserve"> grade</t>
    </r>
    <r>
      <rPr>
        <sz val="14"/>
        <rFont val="Arial"/>
        <family val="2"/>
      </rPr>
      <t xml:space="preserve"> ( 28 days cube compressive strength not less than 15 N / sqmm ) cement concrete using </t>
    </r>
    <r>
      <rPr>
        <b/>
        <sz val="14"/>
        <rFont val="Cambria"/>
        <family val="1"/>
      </rPr>
      <t xml:space="preserve">20 mm down </t>
    </r>
    <r>
      <rPr>
        <b/>
        <sz val="14"/>
        <rFont val="Arial"/>
        <family val="2"/>
      </rPr>
      <t>graded</t>
    </r>
    <r>
      <rPr>
        <sz val="14"/>
        <rFont val="Arial"/>
        <family val="2"/>
      </rPr>
      <t xml:space="preserve"> coarse aggregate including cost of all materials, machinery, labour, batching, mixing, laying, compacting, formwork, finishing, curing etc.,complete with </t>
    </r>
    <r>
      <rPr>
        <b/>
        <sz val="14"/>
        <rFont val="Cambria"/>
        <family val="1"/>
      </rPr>
      <t>initial lead upto 50 m and all lifts. ( Cement content : 300 kg / cum with super plastcizer (0.4% by wt. of cement), CA : 0.80 cum,  Blending Ratio of CA : 65:35, FA : 0.45cum)</t>
    </r>
  </si>
  <si>
    <r>
      <rPr>
        <b/>
        <sz val="14"/>
        <rFont val="Arial"/>
        <family val="2"/>
      </rPr>
      <t xml:space="preserve">Manufacturing 450 x 300 x 30 mm size </t>
    </r>
    <r>
      <rPr>
        <b/>
        <sz val="14"/>
        <rFont val="Cambria"/>
        <family val="1"/>
      </rPr>
      <t xml:space="preserve">PCC lining slabs </t>
    </r>
    <r>
      <rPr>
        <b/>
        <sz val="14"/>
        <rFont val="Arial"/>
        <family val="2"/>
      </rPr>
      <t xml:space="preserve">in </t>
    </r>
    <r>
      <rPr>
        <b/>
        <sz val="14"/>
        <rFont val="Cambria"/>
        <family val="1"/>
      </rPr>
      <t>M-15</t>
    </r>
    <r>
      <rPr>
        <b/>
        <sz val="14"/>
        <rFont val="Arial"/>
        <family val="2"/>
      </rPr>
      <t xml:space="preserve"> grade</t>
    </r>
    <r>
      <rPr>
        <sz val="14"/>
        <rFont val="Arial"/>
        <family val="2"/>
      </rPr>
      <t xml:space="preserve"> ( 28 days cube compressive strength not less than 15 N / sqmm ) cement concrete using </t>
    </r>
    <r>
      <rPr>
        <b/>
        <sz val="14"/>
        <rFont val="Cambria"/>
        <family val="1"/>
      </rPr>
      <t xml:space="preserve">10 mm down </t>
    </r>
    <r>
      <rPr>
        <b/>
        <sz val="14"/>
        <rFont val="Arial"/>
        <family val="2"/>
      </rPr>
      <t>graded</t>
    </r>
    <r>
      <rPr>
        <sz val="14"/>
        <rFont val="Arial"/>
        <family val="2"/>
      </rPr>
      <t xml:space="preserve"> coarse aggregate including cost of all materials, machinery, labour, batching, mixing, laying, compacting, formwork, finishing, curing </t>
    </r>
    <r>
      <rPr>
        <sz val="14"/>
        <rFont val="Cambria"/>
        <family val="1"/>
      </rPr>
      <t xml:space="preserve">etc.,complete </t>
    </r>
    <r>
      <rPr>
        <b/>
        <sz val="14"/>
        <rFont val="Cambria"/>
        <family val="1"/>
      </rPr>
      <t>with initial lead upto 50 m and all lifts. ( Cement content : 300 kg / cum with super plastcizer (0.4% by wt. of cement), CA : 0.68 cum,  FA : 0.43cum)</t>
    </r>
  </si>
  <si>
    <r>
      <rPr>
        <b/>
        <sz val="14"/>
        <rFont val="Arial"/>
        <family val="2"/>
      </rPr>
      <t xml:space="preserve">Manucturing 450 x 150 x 30 mm size </t>
    </r>
    <r>
      <rPr>
        <b/>
        <sz val="14"/>
        <rFont val="Cambria"/>
        <family val="1"/>
      </rPr>
      <t xml:space="preserve">PCC lug slabs </t>
    </r>
    <r>
      <rPr>
        <b/>
        <sz val="14"/>
        <rFont val="Arial"/>
        <family val="2"/>
      </rPr>
      <t xml:space="preserve">in </t>
    </r>
    <r>
      <rPr>
        <b/>
        <sz val="14"/>
        <rFont val="Cambria"/>
        <family val="1"/>
      </rPr>
      <t xml:space="preserve">M-15 </t>
    </r>
    <r>
      <rPr>
        <b/>
        <sz val="14"/>
        <rFont val="Arial"/>
        <family val="2"/>
      </rPr>
      <t>grade</t>
    </r>
    <r>
      <rPr>
        <sz val="14"/>
        <rFont val="Arial"/>
        <family val="2"/>
      </rPr>
      <t xml:space="preserve"> ( 28 days cube compressive strength not less than 15 N / sqmm ) cement concrete using </t>
    </r>
    <r>
      <rPr>
        <b/>
        <sz val="14"/>
        <rFont val="Cambria"/>
        <family val="1"/>
      </rPr>
      <t xml:space="preserve">10 mm down </t>
    </r>
    <r>
      <rPr>
        <b/>
        <sz val="14"/>
        <rFont val="Arial"/>
        <family val="2"/>
      </rPr>
      <t>graded</t>
    </r>
    <r>
      <rPr>
        <sz val="14"/>
        <rFont val="Arial"/>
        <family val="2"/>
      </rPr>
      <t xml:space="preserve"> coarse aggregate including cost of all materials, machinery, labour, batching, mixing, laying, compacting, formwork, finishing, curing etc.,complete </t>
    </r>
    <r>
      <rPr>
        <b/>
        <sz val="14"/>
        <rFont val="Cambria"/>
        <family val="1"/>
      </rPr>
      <t xml:space="preserve">with initial lead upto 50 m and all lifts. ( Cement content : 300 kg / cum with super plastcizer (0.4% by wt. of cement),CA : 0.68 cum,  FA : 0.43cum) </t>
    </r>
  </si>
  <si>
    <r>
      <rPr>
        <b/>
        <sz val="14"/>
        <rFont val="Arial"/>
        <family val="2"/>
      </rPr>
      <t>Manufacturing 600 x 300 x 100mm size</t>
    </r>
    <r>
      <rPr>
        <b/>
        <sz val="14"/>
        <rFont val="Cambria"/>
        <family val="1"/>
      </rPr>
      <t xml:space="preserve"> PCC lining slabs</t>
    </r>
    <r>
      <rPr>
        <b/>
        <sz val="14"/>
        <rFont val="Arial"/>
        <family val="2"/>
      </rPr>
      <t xml:space="preserve"> in </t>
    </r>
    <r>
      <rPr>
        <b/>
        <sz val="14"/>
        <rFont val="Cambria"/>
        <family val="1"/>
      </rPr>
      <t>M-15 grade</t>
    </r>
    <r>
      <rPr>
        <sz val="14"/>
        <rFont val="Arial"/>
        <family val="2"/>
      </rPr>
      <t xml:space="preserve">   (28 days cube compressive strength not less  than 15 N/Sqmm) cement concrete </t>
    </r>
    <r>
      <rPr>
        <sz val="14"/>
        <rFont val="Cambria"/>
        <family val="1"/>
      </rPr>
      <t xml:space="preserve">using </t>
    </r>
    <r>
      <rPr>
        <b/>
        <sz val="14"/>
        <rFont val="Cambria"/>
        <family val="1"/>
      </rPr>
      <t xml:space="preserve">20 mm down </t>
    </r>
    <r>
      <rPr>
        <b/>
        <sz val="14"/>
        <rFont val="Arial"/>
        <family val="2"/>
      </rPr>
      <t>grades</t>
    </r>
    <r>
      <rPr>
        <sz val="14"/>
        <rFont val="Arial"/>
        <family val="2"/>
      </rPr>
      <t xml:space="preserve"> coarse aggregate including cost of all materials,  machinery, labour, batching, mixing, laying, compacting, formwork, finishing, curing etc., complete </t>
    </r>
    <r>
      <rPr>
        <b/>
        <sz val="14"/>
        <rFont val="Cambria"/>
        <family val="1"/>
      </rPr>
      <t>with initial lead upto  50 m and all lifts. ( Cement content : 300 kg / cum with super plastcizer (0.4% by wt. of cement),  CA : 0.80 cum, FA : 0.45cum, Blending Ratio of CA--65:35)</t>
    </r>
  </si>
  <si>
    <r>
      <rPr>
        <b/>
        <sz val="14"/>
        <rFont val="Arial"/>
        <family val="2"/>
      </rPr>
      <t xml:space="preserve">Manucturing 400 x 400 x 30 mm size </t>
    </r>
    <r>
      <rPr>
        <b/>
        <sz val="14"/>
        <rFont val="Cambria"/>
        <family val="1"/>
      </rPr>
      <t>PCC lining slabs</t>
    </r>
    <r>
      <rPr>
        <b/>
        <sz val="14"/>
        <rFont val="Arial"/>
        <family val="2"/>
      </rPr>
      <t xml:space="preserve"> in M-15 grade</t>
    </r>
    <r>
      <rPr>
        <sz val="14"/>
        <rFont val="Arial"/>
        <family val="2"/>
      </rPr>
      <t xml:space="preserve"> ( 28 days cube compressive strength not less than 15 N / sqmm )cement concrete using </t>
    </r>
    <r>
      <rPr>
        <b/>
        <sz val="14"/>
        <rFont val="Cambria"/>
        <family val="1"/>
      </rPr>
      <t xml:space="preserve">10 mm down </t>
    </r>
    <r>
      <rPr>
        <b/>
        <sz val="14"/>
        <rFont val="Arial"/>
        <family val="2"/>
      </rPr>
      <t>graded</t>
    </r>
    <r>
      <rPr>
        <sz val="14"/>
        <rFont val="Arial"/>
        <family val="2"/>
      </rPr>
      <t xml:space="preserve"> coarse aggregate including cost of all materials, machinery, labour, batching, mixing, laying, compacting, formwork, finishing, curing etc.,complete </t>
    </r>
    <r>
      <rPr>
        <b/>
        <sz val="14"/>
        <rFont val="Cambria"/>
        <family val="1"/>
      </rPr>
      <t>with initial lead upto 50 m and all lifts. ( Cement content : 300 kg / cum with super plastcizer (0.4% by wt. of cement), CA : 0.68 cum,  FA : 0.43cum)</t>
    </r>
  </si>
  <si>
    <r>
      <rPr>
        <b/>
        <sz val="14"/>
        <rFont val="Arial"/>
        <family val="2"/>
      </rPr>
      <t xml:space="preserve">Manufacturing 400 x 150 x 30 mm size </t>
    </r>
    <r>
      <rPr>
        <b/>
        <sz val="14"/>
        <rFont val="Cambria"/>
        <family val="1"/>
      </rPr>
      <t xml:space="preserve">PCC lug slabs </t>
    </r>
    <r>
      <rPr>
        <b/>
        <sz val="14"/>
        <rFont val="Arial"/>
        <family val="2"/>
      </rPr>
      <t xml:space="preserve">in </t>
    </r>
    <r>
      <rPr>
        <b/>
        <sz val="14"/>
        <rFont val="Cambria"/>
        <family val="1"/>
      </rPr>
      <t>M-15 grade</t>
    </r>
    <r>
      <rPr>
        <sz val="14"/>
        <rFont val="Arial"/>
        <family val="2"/>
      </rPr>
      <t xml:space="preserve"> ( 28 days cube compressive strength not less than 15 N /sqmm ) cement concrete using </t>
    </r>
    <r>
      <rPr>
        <b/>
        <sz val="14"/>
        <rFont val="Cambria"/>
        <family val="1"/>
      </rPr>
      <t xml:space="preserve">10 mm down </t>
    </r>
    <r>
      <rPr>
        <b/>
        <sz val="14"/>
        <rFont val="Arial"/>
        <family val="2"/>
      </rPr>
      <t>graded</t>
    </r>
    <r>
      <rPr>
        <sz val="14"/>
        <rFont val="Arial"/>
        <family val="2"/>
      </rPr>
      <t xml:space="preserve"> coarse aggregate including cost of all materials, machinery, labour, batching, mixing, laying, compacting, formwork, finishing, curing etc.,complete </t>
    </r>
    <r>
      <rPr>
        <b/>
        <sz val="14"/>
        <rFont val="Cambria"/>
        <family val="1"/>
      </rPr>
      <t>with initial lead upto 50 m and all lifts. ( Cement content : 300 kg / cum with super plastcizer (0.4% by wt. of cement),  CA : 0.68 cum, FA : 0.43cum)</t>
    </r>
  </si>
  <si>
    <r>
      <t xml:space="preserve">Providing and </t>
    </r>
    <r>
      <rPr>
        <b/>
        <sz val="14"/>
        <rFont val="Arial"/>
        <family val="2"/>
      </rPr>
      <t xml:space="preserve">laying </t>
    </r>
    <r>
      <rPr>
        <b/>
        <sz val="14"/>
        <rFont val="Cambria"/>
        <family val="1"/>
      </rPr>
      <t>uncoursed rubble stone masonry</t>
    </r>
    <r>
      <rPr>
        <sz val="14"/>
        <rFont val="Cambria"/>
        <family val="1"/>
      </rPr>
      <t xml:space="preserve"> in </t>
    </r>
    <r>
      <rPr>
        <b/>
        <sz val="14"/>
        <rFont val="Cambria"/>
        <family val="1"/>
      </rPr>
      <t>CM 1 : 5</t>
    </r>
    <r>
      <rPr>
        <sz val="14"/>
        <rFont val="Arial"/>
        <family val="2"/>
      </rPr>
      <t xml:space="preserve"> proportion </t>
    </r>
    <r>
      <rPr>
        <b/>
        <sz val="14"/>
        <rFont val="Cambria"/>
        <family val="1"/>
      </rPr>
      <t>for canal side lining</t>
    </r>
    <r>
      <rPr>
        <sz val="14"/>
        <rFont val="Cambria"/>
        <family val="1"/>
      </rPr>
      <t xml:space="preserve"> using stones and chips from </t>
    </r>
    <r>
      <rPr>
        <b/>
        <sz val="14"/>
        <rFont val="Cambria"/>
        <family val="1"/>
      </rPr>
      <t>approved quarry</t>
    </r>
    <r>
      <rPr>
        <sz val="14"/>
        <rFont val="Cambria"/>
        <family val="1"/>
      </rPr>
      <t xml:space="preserve"> </t>
    </r>
    <r>
      <rPr>
        <sz val="14"/>
        <rFont val="Arial"/>
        <family val="2"/>
      </rPr>
      <t xml:space="preserve">including cost of all materials, machinery, labour, forming weep holes at specified intervals, finishing, curing etc., complete </t>
    </r>
    <r>
      <rPr>
        <b/>
        <sz val="14"/>
        <rFont val="Cambria"/>
        <family val="1"/>
      </rPr>
      <t xml:space="preserve">with initial lead upto 50 m and all lifts.(Thickness of the masonry assumed: 0.3 m, rubble stones : 0.96 cum, Stone Chips : 0.15cum,Through Stones 20 x 20 x 30cm : 1/sqm) </t>
    </r>
  </si>
  <si>
    <r>
      <t xml:space="preserve">Providing and </t>
    </r>
    <r>
      <rPr>
        <b/>
        <sz val="14"/>
        <rFont val="Arial"/>
        <family val="2"/>
      </rPr>
      <t xml:space="preserve">laying </t>
    </r>
    <r>
      <rPr>
        <b/>
        <sz val="14"/>
        <rFont val="Cambria"/>
        <family val="1"/>
      </rPr>
      <t>uncoursed rubble stone masonry</t>
    </r>
    <r>
      <rPr>
        <sz val="14"/>
        <rFont val="Cambria"/>
        <family val="1"/>
      </rPr>
      <t xml:space="preserve"> in </t>
    </r>
    <r>
      <rPr>
        <b/>
        <sz val="14"/>
        <rFont val="Cambria"/>
        <family val="1"/>
      </rPr>
      <t>CM 1:5</t>
    </r>
    <r>
      <rPr>
        <sz val="14"/>
        <rFont val="Cambria"/>
        <family val="1"/>
      </rPr>
      <t xml:space="preserve"> proportion </t>
    </r>
    <r>
      <rPr>
        <b/>
        <sz val="14"/>
        <rFont val="Cambria"/>
        <family val="1"/>
      </rPr>
      <t>for canal side lining</t>
    </r>
    <r>
      <rPr>
        <sz val="14"/>
        <rFont val="Cambria"/>
        <family val="1"/>
      </rPr>
      <t xml:space="preserve"> using stones from  </t>
    </r>
    <r>
      <rPr>
        <b/>
        <sz val="14"/>
        <rFont val="Cambria"/>
        <family val="1"/>
      </rPr>
      <t>approved quarry</t>
    </r>
    <r>
      <rPr>
        <sz val="14"/>
        <rFont val="Cambria"/>
        <family val="1"/>
      </rPr>
      <t xml:space="preserve"> </t>
    </r>
    <r>
      <rPr>
        <sz val="14"/>
        <rFont val="Arial"/>
        <family val="2"/>
      </rPr>
      <t xml:space="preserve">including cost of all materials, machinery, labour, forming weep holes at specified intervals, finishing,  curing etc., </t>
    </r>
    <r>
      <rPr>
        <sz val="14"/>
        <rFont val="Cambria"/>
        <family val="1"/>
      </rPr>
      <t xml:space="preserve">complete with </t>
    </r>
    <r>
      <rPr>
        <b/>
        <sz val="14"/>
        <rFont val="Cambria"/>
        <family val="1"/>
      </rPr>
      <t>initial lead upto 50m and all lifts.(with no pin headers)(Thickness of the Masonry assumed:0.3 m,  rubble stones : 1.1 cum</t>
    </r>
    <r>
      <rPr>
        <sz val="14"/>
        <rFont val="Cambria"/>
        <family val="1"/>
      </rPr>
      <t>)</t>
    </r>
  </si>
  <si>
    <r>
      <t xml:space="preserve">Providing and </t>
    </r>
    <r>
      <rPr>
        <b/>
        <sz val="14"/>
        <rFont val="Arial"/>
        <family val="2"/>
      </rPr>
      <t xml:space="preserve">laying </t>
    </r>
    <r>
      <rPr>
        <b/>
        <sz val="14"/>
        <rFont val="Cambria"/>
        <family val="1"/>
      </rPr>
      <t>uncoursed rubble stone masonry</t>
    </r>
    <r>
      <rPr>
        <sz val="14"/>
        <rFont val="Cambria"/>
        <family val="1"/>
      </rPr>
      <t xml:space="preserve"> in </t>
    </r>
    <r>
      <rPr>
        <b/>
        <sz val="14"/>
        <rFont val="Cambria"/>
        <family val="1"/>
      </rPr>
      <t>CM</t>
    </r>
    <r>
      <rPr>
        <sz val="14"/>
        <rFont val="Cambria"/>
        <family val="1"/>
      </rPr>
      <t xml:space="preserve"> </t>
    </r>
    <r>
      <rPr>
        <b/>
        <sz val="14"/>
        <rFont val="Cambria"/>
        <family val="1"/>
      </rPr>
      <t>1 : 5</t>
    </r>
    <r>
      <rPr>
        <sz val="14"/>
        <rFont val="Cambria"/>
        <family val="1"/>
      </rPr>
      <t xml:space="preserve"> proportion </t>
    </r>
    <r>
      <rPr>
        <b/>
        <sz val="14"/>
        <rFont val="Cambria"/>
        <family val="1"/>
      </rPr>
      <t>for canal side lining</t>
    </r>
    <r>
      <rPr>
        <sz val="14"/>
        <rFont val="Cambria"/>
        <family val="1"/>
      </rPr>
      <t xml:space="preserve"> using stones and chips </t>
    </r>
    <r>
      <rPr>
        <b/>
        <sz val="14"/>
        <rFont val="Cambria"/>
        <family val="1"/>
      </rPr>
      <t>from canal excavation</t>
    </r>
    <r>
      <rPr>
        <sz val="14"/>
        <rFont val="Cambria"/>
        <family val="1"/>
      </rPr>
      <t xml:space="preserve"> </t>
    </r>
    <r>
      <rPr>
        <sz val="14"/>
        <rFont val="Arial"/>
        <family val="2"/>
      </rPr>
      <t xml:space="preserve">including cost of all materials, machinery, labour, forming weep holes at specified interval, finishing, curing etc., complete </t>
    </r>
    <r>
      <rPr>
        <b/>
        <sz val="14"/>
        <rFont val="Cambria"/>
        <family val="1"/>
      </rPr>
      <t>with initial lead upto 50 m and all lifts.( rubble stones : 0.96 cum,  Stone Chips : 0.15cum, Through Stones 20 x 20 x 30cm : 1/sqm)</t>
    </r>
  </si>
  <si>
    <r>
      <t xml:space="preserve">Providing and </t>
    </r>
    <r>
      <rPr>
        <b/>
        <sz val="14"/>
        <rFont val="Arial"/>
        <family val="2"/>
      </rPr>
      <t xml:space="preserve">laying </t>
    </r>
    <r>
      <rPr>
        <b/>
        <sz val="14"/>
        <rFont val="Cambria"/>
        <family val="1"/>
      </rPr>
      <t>uncoursed rubble stone masonry</t>
    </r>
    <r>
      <rPr>
        <sz val="14"/>
        <rFont val="Cambria"/>
        <family val="1"/>
      </rPr>
      <t xml:space="preserve"> in </t>
    </r>
    <r>
      <rPr>
        <b/>
        <sz val="14"/>
        <rFont val="Cambria"/>
        <family val="1"/>
      </rPr>
      <t>CM 1:5</t>
    </r>
    <r>
      <rPr>
        <sz val="14"/>
        <rFont val="Cambria"/>
        <family val="1"/>
      </rPr>
      <t xml:space="preserve"> proportion </t>
    </r>
    <r>
      <rPr>
        <b/>
        <sz val="14"/>
        <rFont val="Cambria"/>
        <family val="1"/>
      </rPr>
      <t>for canal side lining</t>
    </r>
    <r>
      <rPr>
        <sz val="14"/>
        <rFont val="Cambria"/>
        <family val="1"/>
      </rPr>
      <t xml:space="preserve"> using stones  </t>
    </r>
    <r>
      <rPr>
        <b/>
        <sz val="14"/>
        <rFont val="Cambria"/>
        <family val="1"/>
      </rPr>
      <t>from  canal excavation</t>
    </r>
    <r>
      <rPr>
        <sz val="14"/>
        <rFont val="Arial"/>
        <family val="2"/>
      </rPr>
      <t xml:space="preserve"> including cost of all materials, machinery, labour, forming weep holes at specified intervals,  finishing, curing etc., complete </t>
    </r>
    <r>
      <rPr>
        <b/>
        <sz val="14"/>
        <rFont val="Cambria"/>
        <family val="1"/>
      </rPr>
      <t>with initial lead upto 50m and all lifts.(with no pin headers)( rubble stones : 1.1cum, cement : 98kg, sand 0.34 cum</t>
    </r>
    <r>
      <rPr>
        <sz val="14"/>
        <rFont val="Cambria"/>
        <family val="1"/>
      </rPr>
      <t>)</t>
    </r>
  </si>
  <si>
    <r>
      <t xml:space="preserve">Providing and </t>
    </r>
    <r>
      <rPr>
        <b/>
        <sz val="14"/>
        <rFont val="Arial"/>
        <family val="2"/>
      </rPr>
      <t xml:space="preserve">constructing </t>
    </r>
    <r>
      <rPr>
        <b/>
        <sz val="14"/>
        <rFont val="Cambria"/>
        <family val="1"/>
      </rPr>
      <t>25 cm thick dry rubble stone pitching with pin headers at 2 per sqm</t>
    </r>
    <r>
      <rPr>
        <sz val="14"/>
        <rFont val="Cambria"/>
        <family val="1"/>
      </rPr>
      <t xml:space="preserve"> </t>
    </r>
    <r>
      <rPr>
        <sz val="14"/>
        <rFont val="Arial"/>
        <family val="2"/>
      </rPr>
      <t xml:space="preserve">including cost of all materials, labour, hand packing, finishing etc., complete </t>
    </r>
    <r>
      <rPr>
        <b/>
        <sz val="14"/>
        <rFont val="Cambria"/>
        <family val="1"/>
      </rPr>
      <t>with initial lead upto 50 m and all lifts.( rubble stones : 0.23 cum/sqm,  Stone Chips : 0.0375cum/sqm, Pin Headers 30cm : 2/sqm)</t>
    </r>
  </si>
  <si>
    <r>
      <t xml:space="preserve">If </t>
    </r>
    <r>
      <rPr>
        <sz val="14"/>
        <rFont val="Cambria"/>
        <family val="1"/>
      </rPr>
      <t xml:space="preserve">15 cm thick murum bed </t>
    </r>
    <r>
      <rPr>
        <sz val="14"/>
        <rFont val="Arial"/>
        <family val="2"/>
      </rPr>
      <t>is to be provided below pitching add</t>
    </r>
  </si>
  <si>
    <r>
      <t xml:space="preserve">Providing and </t>
    </r>
    <r>
      <rPr>
        <b/>
        <sz val="14"/>
        <rFont val="Arial"/>
        <family val="2"/>
      </rPr>
      <t xml:space="preserve">constructing </t>
    </r>
    <r>
      <rPr>
        <b/>
        <sz val="14"/>
        <rFont val="Cambria"/>
        <family val="1"/>
      </rPr>
      <t>22.5 cm thick dry rubble stone pitching with pin headers at 2 per sqm</t>
    </r>
    <r>
      <rPr>
        <sz val="14"/>
        <rFont val="Cambria"/>
        <family val="1"/>
      </rPr>
      <t xml:space="preserve"> </t>
    </r>
    <r>
      <rPr>
        <sz val="14"/>
        <rFont val="Arial"/>
        <family val="2"/>
      </rPr>
      <t xml:space="preserve">including cost of all materials, labour, hand packing, finishing etc., complete </t>
    </r>
    <r>
      <rPr>
        <b/>
        <sz val="14"/>
        <rFont val="Cambria"/>
        <family val="1"/>
      </rPr>
      <t>with initial lead upto 50 m and all lifts.( rubble stones : 0.207 cum/sqm,  Stone Chips : 0.3375cum/sqm, Pin Headers 30cm : 2/sqm) (For Maintenance Works)</t>
    </r>
  </si>
  <si>
    <r>
      <t xml:space="preserve">Providing and </t>
    </r>
    <r>
      <rPr>
        <b/>
        <sz val="14"/>
        <rFont val="Arial"/>
        <family val="2"/>
      </rPr>
      <t xml:space="preserve">constructing </t>
    </r>
    <r>
      <rPr>
        <b/>
        <sz val="14"/>
        <rFont val="Cambria"/>
        <family val="1"/>
      </rPr>
      <t>25 cm thick dry rubble stone pitching</t>
    </r>
    <r>
      <rPr>
        <sz val="14"/>
        <rFont val="Cambria"/>
        <family val="1"/>
      </rPr>
      <t xml:space="preserve"> </t>
    </r>
    <r>
      <rPr>
        <sz val="14"/>
        <rFont val="Arial"/>
        <family val="2"/>
      </rPr>
      <t xml:space="preserve">including cost of all materials, labour, hand packing, finishing etc., complete </t>
    </r>
    <r>
      <rPr>
        <sz val="14"/>
        <rFont val="Cambria"/>
        <family val="1"/>
      </rPr>
      <t xml:space="preserve">with </t>
    </r>
    <r>
      <rPr>
        <b/>
        <sz val="14"/>
        <rFont val="Cambria"/>
        <family val="1"/>
      </rPr>
      <t>initial lead upto 50 m and all lifts.(with no pin headers)( rubble stones : 0.33 cum/sqm)</t>
    </r>
  </si>
  <si>
    <r>
      <t xml:space="preserve">Providing and </t>
    </r>
    <r>
      <rPr>
        <b/>
        <sz val="14"/>
        <rFont val="Arial"/>
        <family val="2"/>
      </rPr>
      <t xml:space="preserve">constructing </t>
    </r>
    <r>
      <rPr>
        <b/>
        <sz val="14"/>
        <rFont val="Cambria"/>
        <family val="1"/>
      </rPr>
      <t>225 mmm thick dry rubble stone pitching</t>
    </r>
    <r>
      <rPr>
        <sz val="14"/>
        <rFont val="Cambria"/>
        <family val="1"/>
      </rPr>
      <t xml:space="preserve"> </t>
    </r>
    <r>
      <rPr>
        <sz val="14"/>
        <rFont val="Arial"/>
        <family val="2"/>
      </rPr>
      <t xml:space="preserve">including cost of all materials, labour, hand packing, finishing etc., complete </t>
    </r>
    <r>
      <rPr>
        <sz val="14"/>
        <rFont val="Cambria"/>
        <family val="1"/>
      </rPr>
      <t xml:space="preserve">with </t>
    </r>
    <r>
      <rPr>
        <b/>
        <sz val="14"/>
        <rFont val="Cambria"/>
        <family val="1"/>
      </rPr>
      <t>initial lead upto 50 m and all lifts.(with no pin headers)( rubble stones : 0.2475 cum/sqm) (For Maintenance Works)</t>
    </r>
  </si>
  <si>
    <r>
      <t xml:space="preserve">Providing and </t>
    </r>
    <r>
      <rPr>
        <b/>
        <sz val="14"/>
        <rFont val="Arial"/>
        <family val="2"/>
      </rPr>
      <t xml:space="preserve">constructing </t>
    </r>
    <r>
      <rPr>
        <b/>
        <sz val="14"/>
        <rFont val="Cambria"/>
        <family val="1"/>
      </rPr>
      <t>30 cm thick dry rubble stone pitching</t>
    </r>
    <r>
      <rPr>
        <sz val="14"/>
        <rFont val="Cambria"/>
        <family val="1"/>
      </rPr>
      <t xml:space="preserve"> </t>
    </r>
    <r>
      <rPr>
        <b/>
        <sz val="14"/>
        <rFont val="Cambria"/>
        <family val="1"/>
      </rPr>
      <t>with pin headers at 2 per sqm</t>
    </r>
    <r>
      <rPr>
        <sz val="14"/>
        <rFont val="Cambria"/>
        <family val="1"/>
      </rPr>
      <t xml:space="preserve"> </t>
    </r>
    <r>
      <rPr>
        <sz val="14"/>
        <rFont val="Arial"/>
        <family val="2"/>
      </rPr>
      <t xml:space="preserve">including cost of all materials, labour, hand packing, finishing etc., complete </t>
    </r>
    <r>
      <rPr>
        <b/>
        <sz val="14"/>
        <rFont val="Cambria"/>
        <family val="1"/>
      </rPr>
      <t>with initial lead upto 50 m and all lifts.( rubble stones : 0.275 cum/sqm,  Stone Chips : 0.045cum/sqm, Pin Headers 30cm : 2/sqm)</t>
    </r>
  </si>
  <si>
    <r>
      <t xml:space="preserve">Providing and </t>
    </r>
    <r>
      <rPr>
        <b/>
        <sz val="14"/>
        <rFont val="Arial"/>
        <family val="2"/>
      </rPr>
      <t xml:space="preserve">constructing </t>
    </r>
    <r>
      <rPr>
        <b/>
        <sz val="14"/>
        <rFont val="Cambria"/>
        <family val="1"/>
      </rPr>
      <t xml:space="preserve">30 cm thick dry rubble stone </t>
    </r>
    <r>
      <rPr>
        <b/>
        <sz val="14"/>
        <rFont val="Arial"/>
        <family val="2"/>
      </rPr>
      <t>pitching</t>
    </r>
    <r>
      <rPr>
        <sz val="14"/>
        <rFont val="Arial"/>
        <family val="2"/>
      </rPr>
      <t xml:space="preserve"> including cost of all materials, labour, hand packing, finishing etc., </t>
    </r>
    <r>
      <rPr>
        <b/>
        <sz val="14"/>
        <rFont val="Arial"/>
        <family val="2"/>
      </rPr>
      <t xml:space="preserve">complete </t>
    </r>
    <r>
      <rPr>
        <b/>
        <sz val="14"/>
        <rFont val="Cambria"/>
        <family val="1"/>
      </rPr>
      <t>with initial lead upto 50 m and all lifts.(with no pin headers)( rubble stones : 0.33 cum/sqm)</t>
    </r>
  </si>
  <si>
    <r>
      <t xml:space="preserve">Providing and </t>
    </r>
    <r>
      <rPr>
        <b/>
        <sz val="14"/>
        <rFont val="Arial"/>
        <family val="2"/>
      </rPr>
      <t xml:space="preserve">constructing </t>
    </r>
    <r>
      <rPr>
        <b/>
        <sz val="14"/>
        <rFont val="Cambria"/>
        <family val="1"/>
      </rPr>
      <t>45 cm thick dry rubble stone pitching with pin headers at 2 per sqm</t>
    </r>
    <r>
      <rPr>
        <sz val="14"/>
        <rFont val="Cambria"/>
        <family val="1"/>
      </rPr>
      <t xml:space="preserve"> </t>
    </r>
    <r>
      <rPr>
        <sz val="14"/>
        <rFont val="Arial"/>
        <family val="2"/>
      </rPr>
      <t xml:space="preserve">including cost of all materials, labour, hand packing, finishing etc., </t>
    </r>
    <r>
      <rPr>
        <sz val="14"/>
        <rFont val="Cambria"/>
        <family val="1"/>
      </rPr>
      <t xml:space="preserve">complete </t>
    </r>
    <r>
      <rPr>
        <b/>
        <sz val="14"/>
        <rFont val="Cambria"/>
        <family val="1"/>
      </rPr>
      <t>with initial lead upto 50 m and all lifts.( rubble stones : 0.40 cum/sqm,  Stone Chips : 0.0675cum/sqm, Pin Headers 45cm : 2/sqm)</t>
    </r>
  </si>
  <si>
    <r>
      <t xml:space="preserve">Providing and </t>
    </r>
    <r>
      <rPr>
        <b/>
        <sz val="14"/>
        <rFont val="Arial"/>
        <family val="2"/>
      </rPr>
      <t xml:space="preserve">constructing </t>
    </r>
    <r>
      <rPr>
        <b/>
        <sz val="14"/>
        <rFont val="Cambria"/>
        <family val="1"/>
      </rPr>
      <t>45 cm thick dry rubble stone pitching</t>
    </r>
    <r>
      <rPr>
        <sz val="14"/>
        <rFont val="Cambria"/>
        <family val="1"/>
      </rPr>
      <t xml:space="preserve"> </t>
    </r>
    <r>
      <rPr>
        <sz val="14"/>
        <rFont val="Arial"/>
        <family val="2"/>
      </rPr>
      <t xml:space="preserve">including cost of all materials, labour, hand packing, finishing etc., complete </t>
    </r>
    <r>
      <rPr>
        <b/>
        <sz val="14"/>
        <rFont val="Arial"/>
        <family val="2"/>
      </rPr>
      <t>with initial lead upto 50 m and all lifts.</t>
    </r>
    <r>
      <rPr>
        <b/>
        <sz val="14"/>
        <rFont val="Cambria"/>
        <family val="1"/>
      </rPr>
      <t>(with no pin headers)( rubble stones : 0.495 cum/sqm)</t>
    </r>
  </si>
  <si>
    <r>
      <t xml:space="preserve">Providing and </t>
    </r>
    <r>
      <rPr>
        <b/>
        <sz val="14"/>
        <rFont val="Arial"/>
        <family val="2"/>
      </rPr>
      <t>constructing</t>
    </r>
    <r>
      <rPr>
        <b/>
        <sz val="14"/>
        <rFont val="Cambria"/>
        <family val="1"/>
      </rPr>
      <t xml:space="preserve"> 30 cm thick rubble stone pitching</t>
    </r>
    <r>
      <rPr>
        <sz val="14"/>
        <rFont val="Cambria"/>
        <family val="1"/>
      </rPr>
      <t xml:space="preserve"> set in </t>
    </r>
    <r>
      <rPr>
        <b/>
        <sz val="14"/>
        <rFont val="Cambria"/>
        <family val="1"/>
      </rPr>
      <t>CM 1: 5</t>
    </r>
    <r>
      <rPr>
        <sz val="14"/>
        <rFont val="Cambria"/>
        <family val="1"/>
      </rPr>
      <t xml:space="preserve"> </t>
    </r>
    <r>
      <rPr>
        <b/>
        <sz val="14"/>
        <rFont val="Cambria"/>
        <family val="1"/>
      </rPr>
      <t>proportion with pin headers at 2 per sqm</t>
    </r>
    <r>
      <rPr>
        <sz val="14"/>
        <rFont val="Cambria"/>
        <family val="1"/>
      </rPr>
      <t xml:space="preserve"> </t>
    </r>
    <r>
      <rPr>
        <sz val="14"/>
        <rFont val="Arial"/>
        <family val="2"/>
      </rPr>
      <t xml:space="preserve">in including cost of all materials, labour, packing chips and mortar, finishing, curing etc., complete </t>
    </r>
    <r>
      <rPr>
        <b/>
        <sz val="14"/>
        <rFont val="Cambria"/>
        <family val="1"/>
      </rPr>
      <t>with initial lead upto 50 m and all lifts.( rubble stones : 0.275 cum/sqm,  Stone Chips : 0.045cum/sqm, Pin Headers 30cm : 2/sqm)</t>
    </r>
  </si>
  <si>
    <r>
      <t xml:space="preserve">Providing and </t>
    </r>
    <r>
      <rPr>
        <b/>
        <sz val="14"/>
        <rFont val="Arial"/>
        <family val="2"/>
      </rPr>
      <t>Constructing 30 cm thick rubble stone pitching</t>
    </r>
    <r>
      <rPr>
        <sz val="14"/>
        <rFont val="Arial"/>
        <family val="2"/>
      </rPr>
      <t xml:space="preserve"> set in </t>
    </r>
    <r>
      <rPr>
        <b/>
        <sz val="14"/>
        <rFont val="Arial"/>
        <family val="2"/>
      </rPr>
      <t>CM 1:5 Proportion</t>
    </r>
    <r>
      <rPr>
        <sz val="14"/>
        <rFont val="Arial"/>
        <family val="2"/>
      </rPr>
      <t xml:space="preserve">   including cost of all materials,labour, packing chips and mortar ,finishing etc.,</t>
    </r>
    <r>
      <rPr>
        <b/>
        <sz val="14"/>
        <rFont val="Arial"/>
        <family val="2"/>
      </rPr>
      <t>complete( rubble stones : 0.33 cum/sqm )</t>
    </r>
  </si>
  <si>
    <r>
      <t xml:space="preserve">Providing and </t>
    </r>
    <r>
      <rPr>
        <b/>
        <sz val="14"/>
        <rFont val="Arial"/>
        <family val="2"/>
      </rPr>
      <t xml:space="preserve">constructing </t>
    </r>
    <r>
      <rPr>
        <b/>
        <sz val="14"/>
        <rFont val="Cambria"/>
        <family val="1"/>
      </rPr>
      <t xml:space="preserve">30 cm thick dry khandki stone pitching </t>
    </r>
    <r>
      <rPr>
        <b/>
        <sz val="14"/>
        <rFont val="Arial"/>
        <family val="2"/>
      </rPr>
      <t xml:space="preserve">using </t>
    </r>
    <r>
      <rPr>
        <b/>
        <sz val="14"/>
        <rFont val="Cambria"/>
        <family val="1"/>
      </rPr>
      <t>20 to 25 cm size khandki stones with pin headers at 2 per sqm</t>
    </r>
    <r>
      <rPr>
        <sz val="14"/>
        <rFont val="Cambria"/>
        <family val="1"/>
      </rPr>
      <t xml:space="preserve"> </t>
    </r>
    <r>
      <rPr>
        <sz val="14"/>
        <rFont val="Arial"/>
        <family val="2"/>
      </rPr>
      <t xml:space="preserve">including cost of all materials, labour, hand packing, finishing etc., complete </t>
    </r>
    <r>
      <rPr>
        <b/>
        <sz val="14"/>
        <rFont val="Cambria"/>
        <family val="1"/>
      </rPr>
      <t>with initial lead upto 50 m and all lifts.( Khandki stones 20- 25 cm height : 1200 Nos/sqm,  Stone Chips : 0.045cum/sqm, Pin Headers 30cm : 2/sqm)</t>
    </r>
  </si>
  <si>
    <r>
      <t xml:space="preserve">Providing and </t>
    </r>
    <r>
      <rPr>
        <b/>
        <sz val="14"/>
        <rFont val="Arial"/>
        <family val="2"/>
      </rPr>
      <t xml:space="preserve">constructing </t>
    </r>
    <r>
      <rPr>
        <b/>
        <sz val="14"/>
        <rFont val="Cambria"/>
        <family val="1"/>
      </rPr>
      <t xml:space="preserve">45 cm thick dry khandki stone pitching </t>
    </r>
    <r>
      <rPr>
        <b/>
        <sz val="14"/>
        <rFont val="Arial"/>
        <family val="2"/>
      </rPr>
      <t xml:space="preserve">using </t>
    </r>
    <r>
      <rPr>
        <b/>
        <sz val="14"/>
        <rFont val="Cambria"/>
        <family val="1"/>
      </rPr>
      <t>25 to 30 cm size khandki stones with pin headers at 2 per sqm</t>
    </r>
    <r>
      <rPr>
        <sz val="14"/>
        <rFont val="Cambria"/>
        <family val="1"/>
      </rPr>
      <t xml:space="preserve"> </t>
    </r>
    <r>
      <rPr>
        <sz val="14"/>
        <rFont val="Arial"/>
        <family val="2"/>
      </rPr>
      <t xml:space="preserve">including cost of all materials, labour, hand packing, finishing etc., complete </t>
    </r>
    <r>
      <rPr>
        <b/>
        <sz val="14"/>
        <rFont val="Cambria"/>
        <family val="1"/>
      </rPr>
      <t>with initial lead upto 50 m and all lifts.( Khandki stones 25- 30 cm height : 1200 Nos/sqm,  Stone Chips : 0.0675cum/sqm, Pin Headers 45cm : 2/sqm)</t>
    </r>
  </si>
  <si>
    <r>
      <t xml:space="preserve">Providing and </t>
    </r>
    <r>
      <rPr>
        <b/>
        <sz val="14"/>
        <rFont val="Arial"/>
        <family val="2"/>
      </rPr>
      <t xml:space="preserve">constructing </t>
    </r>
    <r>
      <rPr>
        <b/>
        <sz val="14"/>
        <rFont val="Cambria"/>
        <family val="1"/>
      </rPr>
      <t>30 cm thick khandki stone pitching using 20 to 25 cm size khandki stones with pin headers at 2 per sqm</t>
    </r>
    <r>
      <rPr>
        <sz val="14"/>
        <rFont val="Cambria"/>
        <family val="1"/>
      </rPr>
      <t xml:space="preserve"> </t>
    </r>
    <r>
      <rPr>
        <sz val="14"/>
        <rFont val="Arial"/>
        <family val="2"/>
      </rPr>
      <t xml:space="preserve">set in </t>
    </r>
    <r>
      <rPr>
        <b/>
        <sz val="14"/>
        <rFont val="Cambria"/>
        <family val="1"/>
      </rPr>
      <t>CM 1 : 5</t>
    </r>
    <r>
      <rPr>
        <sz val="14"/>
        <rFont val="Cambria"/>
        <family val="1"/>
      </rPr>
      <t xml:space="preserve"> </t>
    </r>
    <r>
      <rPr>
        <sz val="14"/>
        <rFont val="Arial"/>
        <family val="2"/>
      </rPr>
      <t xml:space="preserve">proportion </t>
    </r>
    <r>
      <rPr>
        <sz val="14"/>
        <rFont val="Cambria"/>
        <family val="1"/>
      </rPr>
      <t xml:space="preserve">with pointing joints in CM 1:3 </t>
    </r>
    <r>
      <rPr>
        <sz val="14"/>
        <rFont val="Arial"/>
        <family val="2"/>
      </rPr>
      <t xml:space="preserve">proportion including cost of all materials, labour, packing chips and mortar, finishing, curing etc.complete </t>
    </r>
    <r>
      <rPr>
        <b/>
        <sz val="14"/>
        <rFont val="Cambria"/>
        <family val="1"/>
      </rPr>
      <t>with initial lead upto 50 m and all lifts.( Khandki stones 20- 25 cm height : 1200 Nos/sqm,  Stone Chips : 0.045cum/sqm, Pin Headers 30cm : 2/sqm)</t>
    </r>
  </si>
  <si>
    <r>
      <t xml:space="preserve">Providing and </t>
    </r>
    <r>
      <rPr>
        <b/>
        <sz val="14"/>
        <rFont val="Arial"/>
        <family val="2"/>
      </rPr>
      <t xml:space="preserve">constructing </t>
    </r>
    <r>
      <rPr>
        <b/>
        <sz val="14"/>
        <rFont val="Cambria"/>
        <family val="1"/>
      </rPr>
      <t>45 cm thick khandki stone pitching using 25 to 30 cm stones with pin headers at 2 per sqm</t>
    </r>
    <r>
      <rPr>
        <sz val="14"/>
        <rFont val="Cambria"/>
        <family val="1"/>
      </rPr>
      <t xml:space="preserve"> set in </t>
    </r>
    <r>
      <rPr>
        <b/>
        <sz val="14"/>
        <rFont val="Cambria"/>
        <family val="1"/>
      </rPr>
      <t>CM 1 : 5</t>
    </r>
    <r>
      <rPr>
        <sz val="14"/>
        <rFont val="Cambria"/>
        <family val="1"/>
      </rPr>
      <t xml:space="preserve"> proportion with pointing joints in CM 1 : 3 proportion </t>
    </r>
    <r>
      <rPr>
        <sz val="14"/>
        <rFont val="Arial"/>
        <family val="2"/>
      </rPr>
      <t xml:space="preserve">including cost of all materials, labour, packing chips and mortar, finishing, curing etc., complete </t>
    </r>
    <r>
      <rPr>
        <b/>
        <sz val="14"/>
        <rFont val="Arial"/>
        <family val="2"/>
      </rPr>
      <t xml:space="preserve">with </t>
    </r>
    <r>
      <rPr>
        <b/>
        <sz val="14"/>
        <rFont val="Cambria"/>
        <family val="1"/>
      </rPr>
      <t>initial lead upto 50 m and all lifts.( Khandki stones 25- 30 cm height : 730 Nos/sqm,  Stone Chips : 0.0675cum/sqm, Pin Headers 45cm : 2/sqm)</t>
    </r>
  </si>
  <si>
    <r>
      <rPr>
        <b/>
        <sz val="14"/>
        <rFont val="Arial"/>
        <family val="2"/>
      </rPr>
      <t xml:space="preserve">Providing </t>
    </r>
    <r>
      <rPr>
        <b/>
        <sz val="14"/>
        <rFont val="Cambria"/>
        <family val="1"/>
      </rPr>
      <t xml:space="preserve">10 cm thick approved type grass turfing </t>
    </r>
    <r>
      <rPr>
        <b/>
        <sz val="14"/>
        <rFont val="Arial"/>
        <family val="2"/>
      </rPr>
      <t>to the side slopes of canal</t>
    </r>
    <r>
      <rPr>
        <sz val="14"/>
        <rFont val="Arial"/>
        <family val="2"/>
      </rPr>
      <t xml:space="preserve"> icluding cost of all materials, labour, watering for </t>
    </r>
    <r>
      <rPr>
        <sz val="14"/>
        <rFont val="Cambria"/>
        <family val="1"/>
      </rPr>
      <t xml:space="preserve">minimum 15 days </t>
    </r>
    <r>
      <rPr>
        <sz val="14"/>
        <rFont val="Arial"/>
        <family val="2"/>
      </rPr>
      <t xml:space="preserve">etc.,complete </t>
    </r>
    <r>
      <rPr>
        <b/>
        <sz val="14"/>
        <rFont val="Cambria"/>
        <family val="1"/>
      </rPr>
      <t>with lead 50 m and all lifts.(FA : 2 cum/sqm)</t>
    </r>
  </si>
  <si>
    <r>
      <rPr>
        <b/>
        <sz val="14"/>
        <rFont val="Arial"/>
        <family val="2"/>
      </rPr>
      <t xml:space="preserve">Providing </t>
    </r>
    <r>
      <rPr>
        <b/>
        <sz val="14"/>
        <rFont val="Cambria"/>
        <family val="1"/>
      </rPr>
      <t xml:space="preserve">10 cm thick approved type grass turfing </t>
    </r>
    <r>
      <rPr>
        <b/>
        <sz val="14"/>
        <rFont val="Arial"/>
        <family val="2"/>
      </rPr>
      <t>to the side slopes of canal</t>
    </r>
    <r>
      <rPr>
        <sz val="14"/>
        <rFont val="Arial"/>
        <family val="2"/>
      </rPr>
      <t xml:space="preserve"> icluding cost of all materials, labour, watering for</t>
    </r>
    <r>
      <rPr>
        <sz val="14"/>
        <rFont val="Cambria"/>
        <family val="1"/>
      </rPr>
      <t xml:space="preserve"> minimum 15 days </t>
    </r>
    <r>
      <rPr>
        <sz val="14"/>
        <rFont val="Arial"/>
        <family val="2"/>
      </rPr>
      <t>etc.,</t>
    </r>
    <r>
      <rPr>
        <b/>
        <sz val="14"/>
        <rFont val="Cambria"/>
        <family val="1"/>
      </rPr>
      <t>complete with lead 50 m and all lifts.</t>
    </r>
    <r>
      <rPr>
        <sz val="14"/>
        <rFont val="Cambria"/>
        <family val="1"/>
      </rPr>
      <t xml:space="preserve">
</t>
    </r>
    <r>
      <rPr>
        <b/>
        <sz val="14"/>
        <rFont val="Cambria"/>
        <family val="1"/>
      </rPr>
      <t xml:space="preserve">
with no sand</t>
    </r>
  </si>
  <si>
    <r>
      <t xml:space="preserve">(manual means of excavation and conveyance)
</t>
    </r>
    <r>
      <rPr>
        <b/>
        <sz val="14"/>
        <rFont val="Arial"/>
        <family val="2"/>
      </rPr>
      <t xml:space="preserve">Excavation in </t>
    </r>
    <r>
      <rPr>
        <b/>
        <sz val="14"/>
        <rFont val="Cambria"/>
        <family val="1"/>
      </rPr>
      <t>all kinds of soil</t>
    </r>
    <r>
      <rPr>
        <sz val="14"/>
        <rFont val="Cambria"/>
        <family val="1"/>
      </rPr>
      <t xml:space="preserve"> </t>
    </r>
    <r>
      <rPr>
        <sz val="14"/>
        <rFont val="Arial"/>
        <family val="2"/>
      </rPr>
      <t xml:space="preserve">including boulders </t>
    </r>
    <r>
      <rPr>
        <b/>
        <sz val="14"/>
        <rFont val="Cambria"/>
        <family val="1"/>
      </rPr>
      <t>upto 0.30 m dia. for foundations of canal cross drainage</t>
    </r>
    <r>
      <rPr>
        <sz val="14"/>
        <rFont val="Cambria"/>
        <family val="1"/>
      </rPr>
      <t xml:space="preserve"> </t>
    </r>
    <r>
      <rPr>
        <sz val="14"/>
        <rFont val="Arial"/>
        <family val="2"/>
      </rPr>
      <t xml:space="preserve">and other appurtenant structures and placing the excavated stuff neatly in specified dump area or disposing off the same as directed etc., </t>
    </r>
    <r>
      <rPr>
        <b/>
        <sz val="14"/>
        <rFont val="Arial"/>
        <family val="2"/>
      </rPr>
      <t xml:space="preserve">complete with initial </t>
    </r>
    <r>
      <rPr>
        <b/>
        <sz val="14"/>
        <rFont val="Cambria"/>
        <family val="1"/>
      </rPr>
      <t>lead upto 50 m and initial lift upto 3 m.</t>
    </r>
  </si>
  <si>
    <r>
      <t xml:space="preserve">Excavation for Structures- Mechanical Means         ( Data adopted from MORTH)  
</t>
    </r>
    <r>
      <rPr>
        <b/>
        <sz val="14"/>
        <rFont val="Arial"/>
        <family val="2"/>
      </rPr>
      <t>Earth work in excavation in all kinds of soils</t>
    </r>
    <r>
      <rPr>
        <sz val="14"/>
        <rFont val="Arial"/>
        <family val="2"/>
      </rPr>
      <t xml:space="preserve">  of foundation of  structures as per drawing and technical specification,  including setting out, construction of shoring and bracing, removal of stumps and other deleterious matter, dressing of sides and bottom and backfilling with approved material. ( depth  upto 3 meters)</t>
    </r>
  </si>
  <si>
    <r>
      <t xml:space="preserve">(manual means of excavation and conveyance)
</t>
    </r>
    <r>
      <rPr>
        <b/>
        <sz val="14"/>
        <rFont val="Arial"/>
        <family val="2"/>
      </rPr>
      <t xml:space="preserve">Excavation in </t>
    </r>
    <r>
      <rPr>
        <b/>
        <sz val="14"/>
        <rFont val="Cambria"/>
        <family val="1"/>
      </rPr>
      <t xml:space="preserve">ordnary rock </t>
    </r>
    <r>
      <rPr>
        <b/>
        <sz val="14"/>
        <rFont val="Arial"/>
        <family val="2"/>
      </rPr>
      <t xml:space="preserve">(including </t>
    </r>
    <r>
      <rPr>
        <b/>
        <sz val="14"/>
        <rFont val="Cambria"/>
        <family val="1"/>
      </rPr>
      <t>HDR) without blasting</t>
    </r>
    <r>
      <rPr>
        <sz val="14"/>
        <rFont val="Arial"/>
        <family val="2"/>
      </rPr>
      <t xml:space="preserve"> including boulders </t>
    </r>
    <r>
      <rPr>
        <b/>
        <sz val="14"/>
        <rFont val="Arial"/>
        <family val="2"/>
      </rPr>
      <t>above 0.3 m upto 0.60 m dia. for</t>
    </r>
    <r>
      <rPr>
        <b/>
        <sz val="14"/>
        <rFont val="Cambria"/>
        <family val="1"/>
      </rPr>
      <t xml:space="preserve"> </t>
    </r>
    <r>
      <rPr>
        <b/>
        <sz val="14"/>
        <rFont val="Arial"/>
        <family val="2"/>
      </rPr>
      <t>foundations of canal cross drainage</t>
    </r>
    <r>
      <rPr>
        <sz val="14"/>
        <rFont val="Arial"/>
        <family val="2"/>
      </rPr>
      <t xml:space="preserve"> and other appurtenant structures and placing the excavated stuff neatly in specified dump area or disposing off the same as directed etc., complete </t>
    </r>
    <r>
      <rPr>
        <b/>
        <sz val="14"/>
        <rFont val="Arial"/>
        <family val="2"/>
      </rPr>
      <t xml:space="preserve">with </t>
    </r>
    <r>
      <rPr>
        <b/>
        <sz val="14"/>
        <rFont val="Cambria"/>
        <family val="1"/>
      </rPr>
      <t>initial lead upto 50 m and initial lift upto 3 m.</t>
    </r>
  </si>
  <si>
    <r>
      <t xml:space="preserve">( Data adopted from MORTH)   (manual means of excavation and conveyance)
</t>
    </r>
    <r>
      <rPr>
        <b/>
        <sz val="14"/>
        <rFont val="Arial"/>
        <family val="2"/>
      </rPr>
      <t xml:space="preserve">Excavation in </t>
    </r>
    <r>
      <rPr>
        <b/>
        <sz val="14"/>
        <rFont val="Cambria"/>
        <family val="1"/>
      </rPr>
      <t>ordnary rock (</t>
    </r>
    <r>
      <rPr>
        <b/>
        <sz val="14"/>
        <rFont val="Arial"/>
        <family val="2"/>
      </rPr>
      <t xml:space="preserve">including </t>
    </r>
    <r>
      <rPr>
        <b/>
        <sz val="14"/>
        <rFont val="Cambria"/>
        <family val="1"/>
      </rPr>
      <t>HDR) without blasting</t>
    </r>
    <r>
      <rPr>
        <b/>
        <sz val="14"/>
        <rFont val="Arial"/>
        <family val="2"/>
      </rPr>
      <t xml:space="preserve"> </t>
    </r>
    <r>
      <rPr>
        <b/>
        <sz val="14"/>
        <rFont val="Cambria"/>
        <family val="1"/>
      </rPr>
      <t xml:space="preserve">for foundations  </t>
    </r>
    <r>
      <rPr>
        <b/>
        <sz val="14"/>
        <rFont val="Arial"/>
        <family val="2"/>
      </rPr>
      <t>of canal cross  drainage</t>
    </r>
    <r>
      <rPr>
        <sz val="14"/>
        <rFont val="Arial"/>
        <family val="2"/>
      </rPr>
      <t xml:space="preserve"> and other appurtenant structures and placing the excavated stuff neatly in specified dump  area or disposing off the same as directed etc., complete </t>
    </r>
    <r>
      <rPr>
        <b/>
        <sz val="14"/>
        <rFont val="Arial"/>
        <family val="2"/>
      </rPr>
      <t xml:space="preserve">with initial  </t>
    </r>
    <r>
      <rPr>
        <b/>
        <sz val="14"/>
        <rFont val="Cambria"/>
        <family val="1"/>
      </rPr>
      <t>lead upto 50 m and initial lift upto 3 m.</t>
    </r>
  </si>
  <si>
    <r>
      <t xml:space="preserve">(manual means of excavation after blasting and conveyance)
</t>
    </r>
    <r>
      <rPr>
        <b/>
        <sz val="14"/>
        <rFont val="Arial"/>
        <family val="2"/>
      </rPr>
      <t xml:space="preserve">Excavation in </t>
    </r>
    <r>
      <rPr>
        <b/>
        <sz val="14"/>
        <rFont val="Cambria"/>
        <family val="1"/>
      </rPr>
      <t>hard rock requiring blasting</t>
    </r>
    <r>
      <rPr>
        <b/>
        <sz val="14"/>
        <rFont val="Arial"/>
        <family val="2"/>
      </rPr>
      <t xml:space="preserve"> including boulders </t>
    </r>
    <r>
      <rPr>
        <b/>
        <sz val="14"/>
        <rFont val="Cambria"/>
        <family val="1"/>
      </rPr>
      <t>above 0.6 m upto 1.2 m dia</t>
    </r>
    <r>
      <rPr>
        <b/>
        <sz val="14"/>
        <rFont val="Arial"/>
        <family val="2"/>
      </rPr>
      <t xml:space="preserve">. </t>
    </r>
    <r>
      <rPr>
        <b/>
        <sz val="14"/>
        <rFont val="Cambria"/>
        <family val="1"/>
      </rPr>
      <t xml:space="preserve">for foundations </t>
    </r>
    <r>
      <rPr>
        <b/>
        <sz val="14"/>
        <rFont val="Arial"/>
        <family val="2"/>
      </rPr>
      <t>of canal cross drainage</t>
    </r>
    <r>
      <rPr>
        <sz val="14"/>
        <rFont val="Arial"/>
        <family val="2"/>
      </rPr>
      <t xml:space="preserve"> and other appurtenant structures and placing the excavated stuff neatly in specified dump area or disposing off the same as directed etc., complete </t>
    </r>
    <r>
      <rPr>
        <b/>
        <sz val="14"/>
        <rFont val="Arial"/>
        <family val="2"/>
      </rPr>
      <t xml:space="preserve">with </t>
    </r>
    <r>
      <rPr>
        <b/>
        <sz val="14"/>
        <rFont val="Cambria"/>
        <family val="1"/>
      </rPr>
      <t>initial lead upto 50 m and initial lift upto 3 m.</t>
    </r>
  </si>
  <si>
    <r>
      <t xml:space="preserve">(manual means of excavation after blasting and conveyance) 
</t>
    </r>
    <r>
      <rPr>
        <b/>
        <sz val="14"/>
        <rFont val="Arial"/>
        <family val="2"/>
      </rPr>
      <t xml:space="preserve">Excavation in </t>
    </r>
    <r>
      <rPr>
        <b/>
        <sz val="14"/>
        <rFont val="Cambria"/>
        <family val="1"/>
      </rPr>
      <t>hard rock</t>
    </r>
    <r>
      <rPr>
        <b/>
        <sz val="14"/>
        <rFont val="Arial"/>
        <family val="2"/>
      </rPr>
      <t xml:space="preserve"> of all toughness by blasting</t>
    </r>
    <r>
      <rPr>
        <sz val="14"/>
        <rFont val="Arial"/>
        <family val="2"/>
      </rPr>
      <t xml:space="preserve"> including boulders </t>
    </r>
    <r>
      <rPr>
        <b/>
        <sz val="14"/>
        <rFont val="Arial"/>
        <family val="2"/>
      </rPr>
      <t>above 1.2 m dia.</t>
    </r>
    <r>
      <rPr>
        <b/>
        <sz val="14"/>
        <rFont val="Cambria"/>
        <family val="1"/>
      </rPr>
      <t xml:space="preserve"> for foundations </t>
    </r>
    <r>
      <rPr>
        <b/>
        <sz val="14"/>
        <rFont val="Arial"/>
        <family val="2"/>
      </rPr>
      <t>of canal cross drainage</t>
    </r>
    <r>
      <rPr>
        <sz val="14"/>
        <rFont val="Arial"/>
        <family val="2"/>
      </rPr>
      <t xml:space="preserve"> and other appurtenant structures and placing the excavated rock neatly in specified dump area or stack yard as directed etc., complete </t>
    </r>
    <r>
      <rPr>
        <b/>
        <sz val="14"/>
        <rFont val="Arial"/>
        <family val="2"/>
      </rPr>
      <t xml:space="preserve">with initial </t>
    </r>
    <r>
      <rPr>
        <b/>
        <sz val="14"/>
        <rFont val="Cambria"/>
        <family val="1"/>
      </rPr>
      <t>lead upto 50 m and initial lift upto 3 m.</t>
    </r>
  </si>
  <si>
    <r>
      <t xml:space="preserve">(manual means of excavation after controlled  blasting and conveyance)
Hard Rock ( blasting prohibited ) ( Data adopted from MORTH) 
</t>
    </r>
    <r>
      <rPr>
        <b/>
        <sz val="14"/>
        <rFont val="Arial"/>
        <family val="2"/>
      </rPr>
      <t xml:space="preserve">Excavation in </t>
    </r>
    <r>
      <rPr>
        <b/>
        <sz val="14"/>
        <rFont val="Cambria"/>
        <family val="1"/>
      </rPr>
      <t>hard rock</t>
    </r>
    <r>
      <rPr>
        <b/>
        <sz val="14"/>
        <rFont val="Arial"/>
        <family val="2"/>
      </rPr>
      <t xml:space="preserve"> with blasting </t>
    </r>
    <r>
      <rPr>
        <b/>
        <sz val="14"/>
        <rFont val="Cambria"/>
        <family val="1"/>
      </rPr>
      <t>( blasting prohibited )</t>
    </r>
    <r>
      <rPr>
        <b/>
        <sz val="14"/>
        <rFont val="Arial"/>
        <family val="2"/>
      </rPr>
      <t>prohibited</t>
    </r>
    <r>
      <rPr>
        <b/>
        <sz val="14"/>
        <rFont val="Cambria"/>
        <family val="1"/>
      </rPr>
      <t xml:space="preserve"> for foundations </t>
    </r>
    <r>
      <rPr>
        <b/>
        <sz val="14"/>
        <rFont val="Arial"/>
        <family val="2"/>
      </rPr>
      <t>of canal cross drainage</t>
    </r>
    <r>
      <rPr>
        <sz val="14"/>
        <rFont val="Arial"/>
        <family val="2"/>
      </rPr>
      <t xml:space="preserve"> and other appurtenant structures and placing the excavated rock neatly in     or stack yard as directed etc., complete with </t>
    </r>
    <r>
      <rPr>
        <sz val="14"/>
        <rFont val="Cambria"/>
        <family val="1"/>
      </rPr>
      <t xml:space="preserve">specified dump area </t>
    </r>
    <r>
      <rPr>
        <b/>
        <sz val="14"/>
        <rFont val="Cambria"/>
        <family val="1"/>
      </rPr>
      <t>initial lead upto 50 m and initial lift upto 3 m.</t>
    </r>
  </si>
  <si>
    <r>
      <t xml:space="preserve">Providing and </t>
    </r>
    <r>
      <rPr>
        <b/>
        <sz val="14"/>
        <rFont val="Cambria"/>
        <family val="1"/>
      </rPr>
      <t>fixing</t>
    </r>
    <r>
      <rPr>
        <b/>
        <sz val="14"/>
        <rFont val="Arial"/>
        <family val="2"/>
      </rPr>
      <t xml:space="preserve"> 25 mm dia 2.50 m long cold twisted deformed steel </t>
    </r>
    <r>
      <rPr>
        <b/>
        <sz val="14"/>
        <rFont val="Cambria"/>
        <family val="1"/>
      </rPr>
      <t>anchor rods</t>
    </r>
    <r>
      <rPr>
        <sz val="14"/>
        <rFont val="Arial"/>
        <family val="2"/>
      </rPr>
      <t xml:space="preserve"> with 1.25 m length driven into 32 mm dia hole drilled in bed rock and remaining length embedded in concrete / masonry including cost of all materials, machinery, labour, drilling and cleaning hole, driving anchor rod, grouting hole with thick cement slurry etc., complete </t>
    </r>
    <r>
      <rPr>
        <b/>
        <sz val="14"/>
        <rFont val="Arial"/>
        <family val="2"/>
      </rPr>
      <t xml:space="preserve">with initial </t>
    </r>
    <r>
      <rPr>
        <b/>
        <sz val="14"/>
        <rFont val="Cambria"/>
        <family val="1"/>
      </rPr>
      <t>lead upto 50 m and all lifts.</t>
    </r>
  </si>
  <si>
    <r>
      <t xml:space="preserve">Providing, fabricating and </t>
    </r>
    <r>
      <rPr>
        <b/>
        <sz val="14"/>
        <rFont val="Arial"/>
        <family val="2"/>
      </rPr>
      <t xml:space="preserve">placing in position </t>
    </r>
    <r>
      <rPr>
        <b/>
        <sz val="14"/>
        <rFont val="Cambria"/>
        <family val="1"/>
      </rPr>
      <t>reinforcement</t>
    </r>
    <r>
      <rPr>
        <b/>
        <sz val="14"/>
        <rFont val="Arial"/>
        <family val="2"/>
      </rPr>
      <t xml:space="preserve"> steel bars for RCC works</t>
    </r>
    <r>
      <rPr>
        <sz val="14"/>
        <rFont val="Arial"/>
        <family val="2"/>
      </rPr>
      <t xml:space="preserve"> including cleaning, straightening, cutting, bending, hooking, lapping, welding wherever required,tying with 1.25 mm dia soft annealed steel wire, including cost of all materials, machinery, labour etc., complete </t>
    </r>
    <r>
      <rPr>
        <b/>
        <sz val="14"/>
        <rFont val="Cambria"/>
        <family val="1"/>
      </rPr>
      <t>with initial lead upto 50 and all lifts.</t>
    </r>
  </si>
  <si>
    <r>
      <t xml:space="preserve">Providing, fabricating and </t>
    </r>
    <r>
      <rPr>
        <b/>
        <sz val="14"/>
        <rFont val="Arial"/>
        <family val="2"/>
      </rPr>
      <t xml:space="preserve">fixing in position </t>
    </r>
    <r>
      <rPr>
        <b/>
        <sz val="14"/>
        <rFont val="Cambria"/>
        <family val="1"/>
      </rPr>
      <t>structural steel cutting edge</t>
    </r>
    <r>
      <rPr>
        <sz val="14"/>
        <rFont val="Arial"/>
        <family val="2"/>
      </rPr>
      <t xml:space="preserve"> consisting of 100 x 100 x 10 mm angle and 250 x 12 mm plate </t>
    </r>
    <r>
      <rPr>
        <sz val="14"/>
        <rFont val="Cambria"/>
        <family val="1"/>
      </rPr>
      <t>for sinking 4.50 m outer diameter</t>
    </r>
    <r>
      <rPr>
        <sz val="14"/>
        <rFont val="Arial"/>
        <family val="2"/>
      </rPr>
      <t xml:space="preserve">  foundation wells  foundation wells including cost of all materials, machinery, labour, bending,  welding, providing anchors etc., </t>
    </r>
    <r>
      <rPr>
        <sz val="14"/>
        <rFont val="Cambria"/>
        <family val="1"/>
      </rPr>
      <t xml:space="preserve">complete </t>
    </r>
    <r>
      <rPr>
        <b/>
        <sz val="14"/>
        <rFont val="Cambria"/>
        <family val="1"/>
      </rPr>
      <t>with initial lead upto 50 m and all lifts.</t>
    </r>
  </si>
  <si>
    <r>
      <t xml:space="preserve">Providing and </t>
    </r>
    <r>
      <rPr>
        <b/>
        <sz val="14"/>
        <rFont val="Arial"/>
        <family val="2"/>
      </rPr>
      <t xml:space="preserve">laying insitu vibrated </t>
    </r>
    <r>
      <rPr>
        <b/>
        <sz val="14"/>
        <rFont val="Cambria"/>
        <family val="1"/>
      </rPr>
      <t>M-15</t>
    </r>
    <r>
      <rPr>
        <sz val="14"/>
        <rFont val="Arial"/>
        <family val="2"/>
      </rPr>
      <t xml:space="preserve"> ( 28 days cube compressive strength not less than 15 N /sq mm ) grade cement concrete </t>
    </r>
    <r>
      <rPr>
        <sz val="14"/>
        <rFont val="Cambria"/>
        <family val="1"/>
      </rPr>
      <t xml:space="preserve">using </t>
    </r>
    <r>
      <rPr>
        <b/>
        <sz val="14"/>
        <rFont val="Cambria"/>
        <family val="1"/>
      </rPr>
      <t>40 mm down size</t>
    </r>
    <r>
      <rPr>
        <sz val="14"/>
        <rFont val="Cambria"/>
        <family val="1"/>
      </rPr>
      <t xml:space="preserve"> </t>
    </r>
    <r>
      <rPr>
        <sz val="14"/>
        <rFont val="Arial"/>
        <family val="2"/>
      </rPr>
      <t xml:space="preserve">approved, clean, hard, graded aggregates </t>
    </r>
    <r>
      <rPr>
        <sz val="14"/>
        <rFont val="Cambria"/>
        <family val="1"/>
      </rPr>
      <t xml:space="preserve">for foundation filling </t>
    </r>
    <r>
      <rPr>
        <sz val="14"/>
        <rFont val="Arial"/>
        <family val="2"/>
      </rPr>
      <t xml:space="preserve">including cost of all materials, machinery, labour, formwork, cleaning, batching, mixing, placing in position, levelling, vibrating, finishing, curing etc., complete </t>
    </r>
    <r>
      <rPr>
        <b/>
        <sz val="14"/>
        <rFont val="Arial"/>
        <family val="2"/>
      </rPr>
      <t xml:space="preserve">with </t>
    </r>
    <r>
      <rPr>
        <b/>
        <sz val="14"/>
        <rFont val="Cambria"/>
        <family val="1"/>
      </rPr>
      <t>initial lead upto 50 m and all lifts. (Cement content: 260 kg / cum with use of super plasticiser(0.4% by wt. of cement),CA : 0.90cum, Blending Ratio of CA--50:30:20, FA : 0.40 cum)</t>
    </r>
  </si>
  <si>
    <r>
      <t xml:space="preserve">Providing and </t>
    </r>
    <r>
      <rPr>
        <b/>
        <sz val="14"/>
        <rFont val="Arial"/>
        <family val="2"/>
      </rPr>
      <t xml:space="preserve">laying insitu vibrated </t>
    </r>
    <r>
      <rPr>
        <b/>
        <sz val="14"/>
        <rFont val="Cambria"/>
        <family val="1"/>
      </rPr>
      <t>M-15</t>
    </r>
    <r>
      <rPr>
        <sz val="14"/>
        <rFont val="Arial"/>
        <family val="2"/>
      </rPr>
      <t xml:space="preserve"> ( 28 days cube compressive strength not less than 15 N / sq mm ) grade cement concrete using </t>
    </r>
    <r>
      <rPr>
        <b/>
        <sz val="14"/>
        <rFont val="Cambria"/>
        <family val="1"/>
      </rPr>
      <t>80 mm down size</t>
    </r>
    <r>
      <rPr>
        <sz val="14"/>
        <rFont val="Cambria"/>
        <family val="1"/>
      </rPr>
      <t xml:space="preserve"> </t>
    </r>
    <r>
      <rPr>
        <sz val="14"/>
        <rFont val="Arial"/>
        <family val="2"/>
      </rPr>
      <t xml:space="preserve">approved, clean, hard, graded aggregates </t>
    </r>
    <r>
      <rPr>
        <sz val="14"/>
        <rFont val="Cambria"/>
        <family val="1"/>
      </rPr>
      <t xml:space="preserve">for foundation filling </t>
    </r>
    <r>
      <rPr>
        <sz val="14"/>
        <rFont val="Arial"/>
        <family val="2"/>
      </rPr>
      <t xml:space="preserve">including cost of all materials, machinery, labour, formwork, cleaning, batching, mixing, placing in position, levelling, vibrating, finishing, curing etc., complete </t>
    </r>
    <r>
      <rPr>
        <b/>
        <sz val="14"/>
        <rFont val="Arial"/>
        <family val="2"/>
      </rPr>
      <t xml:space="preserve">with </t>
    </r>
    <r>
      <rPr>
        <b/>
        <sz val="14"/>
        <rFont val="Cambria"/>
        <family val="1"/>
      </rPr>
      <t>initial lead upto 50 m and all lifts. (Cement content: 250 kg / cum with use of super plasticiser(0.4% by wt. of cement),CA : 0.98cum, Blending Ratio of CA--35:30:20:15, FA : 0.35 cum)</t>
    </r>
  </si>
  <si>
    <r>
      <t xml:space="preserve">Providing and </t>
    </r>
    <r>
      <rPr>
        <b/>
        <sz val="14"/>
        <rFont val="Arial"/>
        <family val="2"/>
      </rPr>
      <t xml:space="preserve">laying insitu vibrated </t>
    </r>
    <r>
      <rPr>
        <b/>
        <sz val="14"/>
        <rFont val="Cambria"/>
        <family val="1"/>
      </rPr>
      <t>M-10</t>
    </r>
    <r>
      <rPr>
        <sz val="14"/>
        <rFont val="Arial"/>
        <family val="2"/>
      </rPr>
      <t xml:space="preserve"> ( 28 days cube compressive strength not less than 10 N / sq mm ) grade cement concrete </t>
    </r>
    <r>
      <rPr>
        <sz val="14"/>
        <rFont val="Cambria"/>
        <family val="1"/>
      </rPr>
      <t xml:space="preserve">using </t>
    </r>
    <r>
      <rPr>
        <b/>
        <sz val="14"/>
        <rFont val="Cambria"/>
        <family val="1"/>
      </rPr>
      <t>40 mm down size</t>
    </r>
    <r>
      <rPr>
        <sz val="14"/>
        <rFont val="Cambria"/>
        <family val="1"/>
      </rPr>
      <t xml:space="preserve"> </t>
    </r>
    <r>
      <rPr>
        <sz val="14"/>
        <rFont val="Arial"/>
        <family val="2"/>
      </rPr>
      <t xml:space="preserve">approved, clean, hard, graded aggregates </t>
    </r>
    <r>
      <rPr>
        <sz val="14"/>
        <rFont val="Cambria"/>
        <family val="1"/>
      </rPr>
      <t xml:space="preserve">for foundation filling </t>
    </r>
    <r>
      <rPr>
        <sz val="14"/>
        <rFont val="Arial"/>
        <family val="2"/>
      </rPr>
      <t xml:space="preserve">including cost of all materials, machinery, labour, formwork, cleaning, batching, mixing, placing in position, levelling, vibrating, finishing, curing etc., complete </t>
    </r>
    <r>
      <rPr>
        <b/>
        <sz val="14"/>
        <rFont val="Arial"/>
        <family val="2"/>
      </rPr>
      <t xml:space="preserve">with </t>
    </r>
    <r>
      <rPr>
        <b/>
        <sz val="14"/>
        <rFont val="Cambria"/>
        <family val="1"/>
      </rPr>
      <t>initial lead upto 50 m and all lifts. (Cement content: 220 kg / cum with use of super plasticiser(0.4% by wt. of cement),CA : 0.90cum, Blending Ratio of CA--50:30:20, FA : 0.40 cum)</t>
    </r>
  </si>
  <si>
    <r>
      <t xml:space="preserve">Providing and </t>
    </r>
    <r>
      <rPr>
        <b/>
        <sz val="14"/>
        <rFont val="Arial"/>
        <family val="2"/>
      </rPr>
      <t xml:space="preserve">laying insitu vibrated </t>
    </r>
    <r>
      <rPr>
        <b/>
        <sz val="14"/>
        <rFont val="Cambria"/>
        <family val="1"/>
      </rPr>
      <t>M-10</t>
    </r>
    <r>
      <rPr>
        <sz val="14"/>
        <rFont val="Arial"/>
        <family val="2"/>
      </rPr>
      <t xml:space="preserve"> ( 28 days cube compressive strength not less than 10 N / sq mm ) grade cement concrete </t>
    </r>
    <r>
      <rPr>
        <sz val="14"/>
        <rFont val="Cambria"/>
        <family val="1"/>
      </rPr>
      <t xml:space="preserve">using </t>
    </r>
    <r>
      <rPr>
        <b/>
        <sz val="14"/>
        <rFont val="Cambria"/>
        <family val="1"/>
      </rPr>
      <t>80 mm down size</t>
    </r>
    <r>
      <rPr>
        <sz val="14"/>
        <rFont val="Cambria"/>
        <family val="1"/>
      </rPr>
      <t xml:space="preserve"> </t>
    </r>
    <r>
      <rPr>
        <sz val="14"/>
        <rFont val="Arial"/>
        <family val="2"/>
      </rPr>
      <t xml:space="preserve">approved, clean, hard, graded aggregates for foundation filling including cost of all materials, machinery, labour, formwork, cleaning, batching, mixing, placing in position, levelling, vibrating, finishing, curing etc., complete </t>
    </r>
    <r>
      <rPr>
        <b/>
        <sz val="14"/>
        <rFont val="Cambria"/>
        <family val="1"/>
      </rPr>
      <t>with initial lead upto 50 m and all lifts. (Cement content: 220 kg / cum with use of super plasticiser(0.4% by wt. of cement),CA : 0.98cum, Blending Ratio of CA--35:30:20:15, FA : 0.35 cum)</t>
    </r>
  </si>
  <si>
    <r>
      <t xml:space="preserve">Providing and </t>
    </r>
    <r>
      <rPr>
        <b/>
        <sz val="14"/>
        <rFont val="Arial"/>
        <family val="2"/>
      </rPr>
      <t xml:space="preserve">laying insitu vibrated </t>
    </r>
    <r>
      <rPr>
        <b/>
        <sz val="14"/>
        <rFont val="Cambria"/>
        <family val="1"/>
      </rPr>
      <t>M-20</t>
    </r>
    <r>
      <rPr>
        <sz val="14"/>
        <rFont val="Arial"/>
        <family val="2"/>
      </rPr>
      <t xml:space="preserve"> ( 28 days cube compressive strength not less than 20 N / sq mm ) grade cement concrete using </t>
    </r>
    <r>
      <rPr>
        <b/>
        <sz val="14"/>
        <rFont val="Cambria"/>
        <family val="1"/>
      </rPr>
      <t>40 mm down size</t>
    </r>
    <r>
      <rPr>
        <sz val="14"/>
        <rFont val="Cambria"/>
        <family val="1"/>
      </rPr>
      <t xml:space="preserve"> </t>
    </r>
    <r>
      <rPr>
        <sz val="14"/>
        <rFont val="Arial"/>
        <family val="2"/>
      </rPr>
      <t xml:space="preserve">approved, clean, hard, graded aggregates </t>
    </r>
    <r>
      <rPr>
        <b/>
        <sz val="14"/>
        <rFont val="Cambria"/>
        <family val="1"/>
      </rPr>
      <t>for foundation filling</t>
    </r>
    <r>
      <rPr>
        <sz val="14"/>
        <rFont val="Cambria"/>
        <family val="1"/>
      </rPr>
      <t xml:space="preserve"> </t>
    </r>
    <r>
      <rPr>
        <sz val="14"/>
        <rFont val="Arial"/>
        <family val="2"/>
      </rPr>
      <t xml:space="preserve">including cost of all materials, machinery, labour, formwork, cleaning, batching, mixing, placing in position, levelling, vibrating, finishing, curing etc., complete </t>
    </r>
    <r>
      <rPr>
        <b/>
        <sz val="14"/>
        <rFont val="Arial"/>
        <family val="2"/>
      </rPr>
      <t xml:space="preserve">with </t>
    </r>
    <r>
      <rPr>
        <b/>
        <sz val="14"/>
        <rFont val="Cambria"/>
        <family val="1"/>
      </rPr>
      <t>initial lead upto 50 m and all lifts. (Cement content: 310 kg / cum with use of super plasticiser(0.4% by wt. of cement),CA : 0.90cum, Blending Ratio of CA--50:30:20, FA : 0.40 cum)</t>
    </r>
  </si>
  <si>
    <r>
      <t xml:space="preserve">Providing and </t>
    </r>
    <r>
      <rPr>
        <b/>
        <sz val="14"/>
        <rFont val="Arial"/>
        <family val="2"/>
      </rPr>
      <t xml:space="preserve">laying insitu vibrated </t>
    </r>
    <r>
      <rPr>
        <b/>
        <sz val="14"/>
        <rFont val="Cambria"/>
        <family val="1"/>
      </rPr>
      <t>M-20</t>
    </r>
    <r>
      <rPr>
        <sz val="14"/>
        <rFont val="Arial"/>
        <family val="2"/>
      </rPr>
      <t xml:space="preserve"> ( 28 days cube compressive strength not less than 20 N / sq mm ) grade cement concrete </t>
    </r>
    <r>
      <rPr>
        <sz val="14"/>
        <rFont val="Cambria"/>
        <family val="1"/>
      </rPr>
      <t xml:space="preserve">using </t>
    </r>
    <r>
      <rPr>
        <b/>
        <sz val="14"/>
        <rFont val="Cambria"/>
        <family val="1"/>
      </rPr>
      <t>40 mm down size</t>
    </r>
    <r>
      <rPr>
        <sz val="14"/>
        <rFont val="Cambria"/>
        <family val="1"/>
      </rPr>
      <t xml:space="preserve"> </t>
    </r>
    <r>
      <rPr>
        <sz val="14"/>
        <rFont val="Arial"/>
        <family val="2"/>
      </rPr>
      <t xml:space="preserve">approved, clean, hard, graded aggregates </t>
    </r>
    <r>
      <rPr>
        <b/>
        <sz val="14"/>
        <rFont val="Arial"/>
        <family val="2"/>
      </rPr>
      <t xml:space="preserve">for </t>
    </r>
    <r>
      <rPr>
        <b/>
        <sz val="14"/>
        <rFont val="Cambria"/>
        <family val="1"/>
      </rPr>
      <t xml:space="preserve">sub-structure / super- structure </t>
    </r>
    <r>
      <rPr>
        <b/>
        <sz val="14"/>
        <rFont val="Arial"/>
        <family val="2"/>
      </rPr>
      <t>works</t>
    </r>
    <r>
      <rPr>
        <sz val="14"/>
        <rFont val="Arial"/>
        <family val="2"/>
      </rPr>
      <t xml:space="preserve"> including cost of all materials, machinery, labour, formwork, scaffolding, cleaning, batching, mixing, placing in position, levelling, vibrating, finishing, curing etc., complete </t>
    </r>
    <r>
      <rPr>
        <b/>
        <sz val="14"/>
        <rFont val="Arial"/>
        <family val="2"/>
      </rPr>
      <t xml:space="preserve">with </t>
    </r>
    <r>
      <rPr>
        <b/>
        <sz val="14"/>
        <rFont val="Cambria"/>
        <family val="1"/>
      </rPr>
      <t>initial lead upto 50 m and all lifts.(Cement content: 320 kg / cum with use of super plasticiser(0.4% by wt. of cement),CA : 0.90cum, Blending Ratio of CA--50:30:20, FA : 0.40 cum)</t>
    </r>
  </si>
  <si>
    <r>
      <t xml:space="preserve">Providing and </t>
    </r>
    <r>
      <rPr>
        <b/>
        <sz val="14"/>
        <rFont val="Arial"/>
        <family val="2"/>
      </rPr>
      <t xml:space="preserve">laying insitu vibrated </t>
    </r>
    <r>
      <rPr>
        <b/>
        <sz val="14"/>
        <rFont val="Cambria"/>
        <family val="1"/>
      </rPr>
      <t>M-20</t>
    </r>
    <r>
      <rPr>
        <sz val="14"/>
        <rFont val="Cambria"/>
        <family val="1"/>
      </rPr>
      <t xml:space="preserve"> </t>
    </r>
    <r>
      <rPr>
        <sz val="14"/>
        <rFont val="Arial"/>
        <family val="2"/>
      </rPr>
      <t xml:space="preserve">( 28 days cube compressive strength not less than 20 N / sq mm ) grade cement concrete </t>
    </r>
    <r>
      <rPr>
        <sz val="14"/>
        <rFont val="Cambria"/>
        <family val="1"/>
      </rPr>
      <t xml:space="preserve">using </t>
    </r>
    <r>
      <rPr>
        <b/>
        <sz val="14"/>
        <rFont val="Cambria"/>
        <family val="1"/>
      </rPr>
      <t>20 mm down size</t>
    </r>
    <r>
      <rPr>
        <sz val="14"/>
        <rFont val="Cambria"/>
        <family val="1"/>
      </rPr>
      <t xml:space="preserve"> </t>
    </r>
    <r>
      <rPr>
        <sz val="14"/>
        <rFont val="Arial"/>
        <family val="2"/>
      </rPr>
      <t xml:space="preserve">approved, clean, hard, graded aggregates </t>
    </r>
    <r>
      <rPr>
        <b/>
        <sz val="14"/>
        <rFont val="Arial"/>
        <family val="2"/>
      </rPr>
      <t xml:space="preserve">for </t>
    </r>
    <r>
      <rPr>
        <b/>
        <sz val="14"/>
        <rFont val="Cambria"/>
        <family val="1"/>
      </rPr>
      <t>sub-structure / super- structure works</t>
    </r>
    <r>
      <rPr>
        <sz val="14"/>
        <rFont val="Cambria"/>
        <family val="1"/>
      </rPr>
      <t xml:space="preserve"> </t>
    </r>
    <r>
      <rPr>
        <sz val="14"/>
        <rFont val="Arial"/>
        <family val="2"/>
      </rPr>
      <t xml:space="preserve">including cost of all materials, machinery, labour, formwork, scaffolding, cleaning, batching, mixing, placing in position, levelling, vibrating, finishing, curing etc., complete </t>
    </r>
    <r>
      <rPr>
        <b/>
        <sz val="14"/>
        <rFont val="Cambria"/>
        <family val="1"/>
      </rPr>
      <t>with initial lead upto 50 m and all lifts.(Cement content: 330 kg / cum with use of super plasticiser(0.4% by wt. of cement),CA : 0.80cum, Blending Ratio of CA--65:35, FA : 0.45 cum)</t>
    </r>
  </si>
  <si>
    <r>
      <t xml:space="preserve">Providing and </t>
    </r>
    <r>
      <rPr>
        <b/>
        <sz val="14"/>
        <rFont val="Arial"/>
        <family val="2"/>
      </rPr>
      <t xml:space="preserve">laying insitu vibrated </t>
    </r>
    <r>
      <rPr>
        <b/>
        <sz val="14"/>
        <rFont val="Cambria"/>
        <family val="1"/>
      </rPr>
      <t>M-15</t>
    </r>
    <r>
      <rPr>
        <b/>
        <sz val="14"/>
        <rFont val="Arial"/>
        <family val="2"/>
      </rPr>
      <t xml:space="preserve"> </t>
    </r>
    <r>
      <rPr>
        <sz val="14"/>
        <rFont val="Arial"/>
        <family val="2"/>
      </rPr>
      <t xml:space="preserve">( 28 days cube compressive strength not less than 15 N / sq mm ) grade cement concrete using </t>
    </r>
    <r>
      <rPr>
        <b/>
        <sz val="14"/>
        <rFont val="Cambria"/>
        <family val="1"/>
      </rPr>
      <t>20 mm down size</t>
    </r>
    <r>
      <rPr>
        <sz val="14"/>
        <rFont val="Cambria"/>
        <family val="1"/>
      </rPr>
      <t xml:space="preserve"> </t>
    </r>
    <r>
      <rPr>
        <sz val="14"/>
        <rFont val="Arial"/>
        <family val="2"/>
      </rPr>
      <t xml:space="preserve">approved, clean, hard, graded aggregates </t>
    </r>
    <r>
      <rPr>
        <b/>
        <sz val="14"/>
        <rFont val="Arial"/>
        <family val="2"/>
      </rPr>
      <t xml:space="preserve">for </t>
    </r>
    <r>
      <rPr>
        <b/>
        <sz val="14"/>
        <rFont val="Cambria"/>
        <family val="1"/>
      </rPr>
      <t>sub-structure / super- structure works</t>
    </r>
    <r>
      <rPr>
        <sz val="14"/>
        <rFont val="Cambria"/>
        <family val="1"/>
      </rPr>
      <t xml:space="preserve"> </t>
    </r>
    <r>
      <rPr>
        <sz val="14"/>
        <rFont val="Arial"/>
        <family val="2"/>
      </rPr>
      <t xml:space="preserve">including cost of all materials, machinery, labour, formwork, scaffolding, cleaning, batching, mixing, placing in position, levelling, vibrating, finishing, curing etc., </t>
    </r>
    <r>
      <rPr>
        <sz val="14"/>
        <rFont val="Cambria"/>
        <family val="1"/>
      </rPr>
      <t xml:space="preserve">complete </t>
    </r>
    <r>
      <rPr>
        <b/>
        <sz val="14"/>
        <rFont val="Cambria"/>
        <family val="1"/>
      </rPr>
      <t>with initial lead upto 50 m and all lifts.(Cement content: 280 kg / cum with use of super plasticiser(0.4% by wt. of cement),CA : 0.80cum, Blending Ratio of CA--65:35, FA : 0.45 cum)</t>
    </r>
  </si>
  <si>
    <r>
      <t xml:space="preserve">Providing and </t>
    </r>
    <r>
      <rPr>
        <b/>
        <sz val="14"/>
        <rFont val="Arial"/>
        <family val="2"/>
      </rPr>
      <t xml:space="preserve">laying insitu vibrated </t>
    </r>
    <r>
      <rPr>
        <b/>
        <sz val="14"/>
        <rFont val="Cambria"/>
        <family val="1"/>
      </rPr>
      <t>M-10</t>
    </r>
    <r>
      <rPr>
        <sz val="14"/>
        <rFont val="Arial"/>
        <family val="2"/>
      </rPr>
      <t xml:space="preserve"> ( 28 days cube compressive strength not less than 10 N / sq mm ) grade cement concrete using </t>
    </r>
    <r>
      <rPr>
        <b/>
        <sz val="14"/>
        <rFont val="Cambria"/>
        <family val="1"/>
      </rPr>
      <t>20 mm down size</t>
    </r>
    <r>
      <rPr>
        <sz val="14"/>
        <rFont val="Arial"/>
        <family val="2"/>
      </rPr>
      <t xml:space="preserve"> approved, clean, hard, graded aggregates </t>
    </r>
    <r>
      <rPr>
        <b/>
        <sz val="14"/>
        <rFont val="Arial"/>
        <family val="2"/>
      </rPr>
      <t xml:space="preserve">for </t>
    </r>
    <r>
      <rPr>
        <b/>
        <sz val="14"/>
        <rFont val="Cambria"/>
        <family val="1"/>
      </rPr>
      <t>sub-structure / super- structure works</t>
    </r>
    <r>
      <rPr>
        <sz val="14"/>
        <rFont val="Cambria"/>
        <family val="1"/>
      </rPr>
      <t xml:space="preserve"> </t>
    </r>
    <r>
      <rPr>
        <sz val="14"/>
        <rFont val="Arial"/>
        <family val="2"/>
      </rPr>
      <t xml:space="preserve">including cost of all materials, machinery, labour, formwork, scaffolding, cleaning, batching, mixing, placing in position, levelling, vibrating, finishing, curing etc., complete </t>
    </r>
    <r>
      <rPr>
        <b/>
        <sz val="14"/>
        <rFont val="Cambria"/>
        <family val="1"/>
      </rPr>
      <t>with initial lead upto 50 m and all lifts. (Cement content: 220 kg / cum with use of super plasticiser(0.4% by wt. of cement),CA : 0.80cum, Blending Ratio of CA--65:35, FA : 0.45 cum)</t>
    </r>
  </si>
  <si>
    <r>
      <t xml:space="preserve">Providing and </t>
    </r>
    <r>
      <rPr>
        <b/>
        <sz val="14"/>
        <rFont val="Arial"/>
        <family val="2"/>
      </rPr>
      <t xml:space="preserve">laying insitu vibrated </t>
    </r>
    <r>
      <rPr>
        <b/>
        <sz val="14"/>
        <rFont val="Cambria"/>
        <family val="1"/>
      </rPr>
      <t>M-20</t>
    </r>
    <r>
      <rPr>
        <sz val="14"/>
        <rFont val="Arial"/>
        <family val="2"/>
      </rPr>
      <t xml:space="preserve"> ( 28 days cube compressive strength not less than 20 N / sq mm ) grade cement concrete using </t>
    </r>
    <r>
      <rPr>
        <b/>
        <sz val="14"/>
        <rFont val="Arial"/>
        <family val="2"/>
      </rPr>
      <t>20 mm down size</t>
    </r>
    <r>
      <rPr>
        <sz val="14"/>
        <rFont val="Arial"/>
        <family val="2"/>
      </rPr>
      <t xml:space="preserve"> approved, clean, hard, graded aggregates </t>
    </r>
    <r>
      <rPr>
        <b/>
        <sz val="14"/>
        <rFont val="Cambria"/>
        <family val="1"/>
      </rPr>
      <t>for well kerb</t>
    </r>
    <r>
      <rPr>
        <sz val="14"/>
        <rFont val="Cambria"/>
        <family val="1"/>
      </rPr>
      <t xml:space="preserve"> </t>
    </r>
    <r>
      <rPr>
        <sz val="14"/>
        <rFont val="Arial"/>
        <family val="2"/>
      </rPr>
      <t xml:space="preserve">including cost of all materials, machinery, labour, formwork,   scaffolding, cleaning, batching, mixing, placing in position, levelling, vibrating, finishing, curing etc., complete </t>
    </r>
    <r>
      <rPr>
        <b/>
        <sz val="14"/>
        <rFont val="Cambria"/>
        <family val="1"/>
      </rPr>
      <t>with initial lead upto 50 m and all lifts. (Cement content: 350 kg / cum with use of super plasticiser(0.4% by wt. of cement),CA : 0.80cum, Blending Ratio of CA--65:35, FA : 0.45 cum)
If water is to be brought from other place add only lead charges @ 500 ltr / cum.</t>
    </r>
  </si>
  <si>
    <r>
      <t xml:space="preserve">Providing and </t>
    </r>
    <r>
      <rPr>
        <b/>
        <sz val="14"/>
        <rFont val="Arial"/>
        <family val="2"/>
      </rPr>
      <t xml:space="preserve">laying insitu vibrated </t>
    </r>
    <r>
      <rPr>
        <b/>
        <sz val="14"/>
        <rFont val="Cambria"/>
        <family val="1"/>
      </rPr>
      <t>M-20</t>
    </r>
    <r>
      <rPr>
        <sz val="14"/>
        <rFont val="Arial"/>
        <family val="2"/>
      </rPr>
      <t xml:space="preserve"> ( 28 days cube compressive strength not less than 20 N / sq mm ) grade cement concrete using </t>
    </r>
    <r>
      <rPr>
        <b/>
        <sz val="14"/>
        <rFont val="Cambria"/>
        <family val="1"/>
      </rPr>
      <t>40 mm down size</t>
    </r>
    <r>
      <rPr>
        <sz val="14"/>
        <rFont val="Cambria"/>
        <family val="1"/>
      </rPr>
      <t xml:space="preserve"> </t>
    </r>
    <r>
      <rPr>
        <sz val="14"/>
        <rFont val="Arial"/>
        <family val="2"/>
      </rPr>
      <t xml:space="preserve">approved, clean, hard, graded aggregates </t>
    </r>
    <r>
      <rPr>
        <b/>
        <sz val="14"/>
        <rFont val="Arial"/>
        <family val="2"/>
      </rPr>
      <t xml:space="preserve">for </t>
    </r>
    <r>
      <rPr>
        <b/>
        <sz val="14"/>
        <rFont val="Cambria"/>
        <family val="1"/>
      </rPr>
      <t>well steining</t>
    </r>
    <r>
      <rPr>
        <sz val="14"/>
        <rFont val="Cambria"/>
        <family val="1"/>
      </rPr>
      <t xml:space="preserve"> </t>
    </r>
    <r>
      <rPr>
        <sz val="14"/>
        <rFont val="Arial"/>
        <family val="2"/>
      </rPr>
      <t xml:space="preserve">including cost of all materials, machinery, labour, formwork, scaffolding, cleaning, batching, mixing, placing in position, levelling, vibrating, finishing, curing etc., complete </t>
    </r>
    <r>
      <rPr>
        <b/>
        <sz val="14"/>
        <rFont val="Cambria"/>
        <family val="1"/>
      </rPr>
      <t>with initial lead upto 50 m and all lifts. (Cement content: 320 kg / cum with use of super plasticiser(0.4% by wt. of cement),CA : 0.90cum, Blending Ratio of CA--50:30:20, FA : 0.40 cum)
If water is to be brought from other place add only lead charges @ 500 ltr / cum.</t>
    </r>
  </si>
  <si>
    <r>
      <t xml:space="preserve">Providing and </t>
    </r>
    <r>
      <rPr>
        <b/>
        <sz val="14"/>
        <rFont val="Arial"/>
        <family val="2"/>
      </rPr>
      <t xml:space="preserve">laying insitu </t>
    </r>
    <r>
      <rPr>
        <b/>
        <sz val="14"/>
        <rFont val="Cambria"/>
        <family val="1"/>
      </rPr>
      <t>M-15</t>
    </r>
    <r>
      <rPr>
        <sz val="14"/>
        <rFont val="Arial"/>
        <family val="2"/>
      </rPr>
      <t xml:space="preserve"> ( 28 days cube compressive strength not less than 15 N / sq mm ) grade cement concrete </t>
    </r>
    <r>
      <rPr>
        <sz val="14"/>
        <rFont val="Cambria"/>
        <family val="1"/>
      </rPr>
      <t xml:space="preserve">using </t>
    </r>
    <r>
      <rPr>
        <b/>
        <sz val="14"/>
        <rFont val="Cambria"/>
        <family val="1"/>
      </rPr>
      <t>20 mm down size</t>
    </r>
    <r>
      <rPr>
        <sz val="14"/>
        <rFont val="Cambria"/>
        <family val="1"/>
      </rPr>
      <t xml:space="preserve"> </t>
    </r>
    <r>
      <rPr>
        <sz val="14"/>
        <rFont val="Arial"/>
        <family val="2"/>
      </rPr>
      <t xml:space="preserve">approved, clean, hard, graded aggregates </t>
    </r>
    <r>
      <rPr>
        <b/>
        <sz val="14"/>
        <rFont val="Cambria"/>
        <family val="1"/>
      </rPr>
      <t>for well bottom plug</t>
    </r>
    <r>
      <rPr>
        <sz val="14"/>
        <rFont val="Cambria"/>
        <family val="1"/>
      </rPr>
      <t xml:space="preserve"> by tremie or skip box method </t>
    </r>
    <r>
      <rPr>
        <sz val="14"/>
        <rFont val="Arial"/>
        <family val="2"/>
      </rPr>
      <t xml:space="preserve">including cost of all materials, complete </t>
    </r>
    <r>
      <rPr>
        <b/>
        <sz val="14"/>
        <rFont val="Cambria"/>
        <family val="1"/>
      </rPr>
      <t>with initial lead upto 50 m and all lifts.(Cement content: 350 kg / cum with use of super plasticiser(0.4% by wt. of cement),CA : 0.80cum, Blending Ratio of CA--65:35, FA : 0.45 cum)</t>
    </r>
  </si>
  <si>
    <r>
      <t xml:space="preserve">Providing and </t>
    </r>
    <r>
      <rPr>
        <b/>
        <sz val="14"/>
        <rFont val="Arial"/>
        <family val="2"/>
      </rPr>
      <t xml:space="preserve">laying insitu vibrated </t>
    </r>
    <r>
      <rPr>
        <b/>
        <sz val="14"/>
        <rFont val="Cambria"/>
        <family val="1"/>
      </rPr>
      <t>M-15</t>
    </r>
    <r>
      <rPr>
        <b/>
        <sz val="14"/>
        <rFont val="Arial"/>
        <family val="2"/>
      </rPr>
      <t xml:space="preserve"> </t>
    </r>
    <r>
      <rPr>
        <sz val="14"/>
        <rFont val="Arial"/>
        <family val="2"/>
      </rPr>
      <t xml:space="preserve">( 28 days cube compressive strength not less than 15 N / sq mm ) grade cement concrete </t>
    </r>
    <r>
      <rPr>
        <sz val="14"/>
        <rFont val="Cambria"/>
        <family val="1"/>
      </rPr>
      <t xml:space="preserve">using </t>
    </r>
    <r>
      <rPr>
        <b/>
        <sz val="14"/>
        <rFont val="Cambria"/>
        <family val="1"/>
      </rPr>
      <t>40 mm down size</t>
    </r>
    <r>
      <rPr>
        <sz val="14"/>
        <rFont val="Cambria"/>
        <family val="1"/>
      </rPr>
      <t xml:space="preserve"> </t>
    </r>
    <r>
      <rPr>
        <sz val="14"/>
        <rFont val="Arial"/>
        <family val="2"/>
      </rPr>
      <t xml:space="preserve">approved, clean, hard, graded aggregates </t>
    </r>
    <r>
      <rPr>
        <b/>
        <sz val="14"/>
        <rFont val="Cambria"/>
        <family val="1"/>
      </rPr>
      <t>for well top plug</t>
    </r>
    <r>
      <rPr>
        <sz val="14"/>
        <rFont val="Cambria"/>
        <family val="1"/>
      </rPr>
      <t xml:space="preserve"> </t>
    </r>
    <r>
      <rPr>
        <sz val="14"/>
        <rFont val="Arial"/>
        <family val="2"/>
      </rPr>
      <t xml:space="preserve">including cost of all materials, machinery, labour, cleaning, batching, mixing, placing in position, levelling, vibrating, finishing, curing etc., complete </t>
    </r>
    <r>
      <rPr>
        <b/>
        <sz val="14"/>
        <rFont val="Arial"/>
        <family val="2"/>
      </rPr>
      <t xml:space="preserve">with </t>
    </r>
    <r>
      <rPr>
        <b/>
        <sz val="14"/>
        <rFont val="Cambria"/>
        <family val="1"/>
      </rPr>
      <t>initial lead upto 50 m and all lifts. (Cement content: 280 kg / cum with use of super plasticiser(0.4% by wt. of cement),CA : 0.90cum, Blending Ratio of CA--50:30:20, FA : 0.40 cum)
If water is to be brought from other place add only lead charges @ 500 ltrs / cum</t>
    </r>
  </si>
  <si>
    <r>
      <t xml:space="preserve">Providing and </t>
    </r>
    <r>
      <rPr>
        <b/>
        <sz val="14"/>
        <rFont val="Arial"/>
        <family val="2"/>
      </rPr>
      <t xml:space="preserve">laying insitu vibrated </t>
    </r>
    <r>
      <rPr>
        <b/>
        <sz val="14"/>
        <rFont val="Cambria"/>
        <family val="1"/>
      </rPr>
      <t>M-20</t>
    </r>
    <r>
      <rPr>
        <sz val="14"/>
        <rFont val="Cambria"/>
        <family val="1"/>
      </rPr>
      <t xml:space="preserve"> (</t>
    </r>
    <r>
      <rPr>
        <sz val="14"/>
        <rFont val="Arial"/>
        <family val="2"/>
      </rPr>
      <t xml:space="preserve"> 28 days cube compressive strength not less than 20 N / sq mm ) grade cement concrete using</t>
    </r>
    <r>
      <rPr>
        <sz val="14"/>
        <rFont val="Cambria"/>
        <family val="1"/>
      </rPr>
      <t xml:space="preserve"> </t>
    </r>
    <r>
      <rPr>
        <b/>
        <sz val="14"/>
        <rFont val="Cambria"/>
        <family val="1"/>
      </rPr>
      <t>20 mm down size</t>
    </r>
    <r>
      <rPr>
        <sz val="14"/>
        <rFont val="Arial"/>
        <family val="2"/>
      </rPr>
      <t xml:space="preserve"> approved, clean, hard, graded aggregates </t>
    </r>
    <r>
      <rPr>
        <b/>
        <sz val="14"/>
        <rFont val="Cambria"/>
        <family val="1"/>
      </rPr>
      <t>for well cap</t>
    </r>
    <r>
      <rPr>
        <sz val="14"/>
        <rFont val="Cambria"/>
        <family val="1"/>
      </rPr>
      <t xml:space="preserve"> </t>
    </r>
    <r>
      <rPr>
        <sz val="14"/>
        <rFont val="Arial"/>
        <family val="2"/>
      </rPr>
      <t xml:space="preserve">including cost of all materials, machinery, labour, formwork, scaffolding, cleaning, batching, mixing, placing in position, levelling, vibrating, finishing, curing etc., </t>
    </r>
    <r>
      <rPr>
        <sz val="14"/>
        <rFont val="Cambria"/>
        <family val="1"/>
      </rPr>
      <t xml:space="preserve">complete </t>
    </r>
    <r>
      <rPr>
        <b/>
        <sz val="14"/>
        <rFont val="Cambria"/>
        <family val="1"/>
      </rPr>
      <t>with initial lead upto 50 m and all lifts. (Cement content: 330 kg / cum with use of super plasticiser(0.4% by wt. of cement),CA : 0.80cum, Blending Ratio of CA--65:35, FA : 0.45 cum)
If water is to be brought from other place add only lead charges @ 500 ltr / cum.</t>
    </r>
  </si>
  <si>
    <r>
      <t xml:space="preserve">Providing and </t>
    </r>
    <r>
      <rPr>
        <b/>
        <sz val="14"/>
        <rFont val="Arial"/>
        <family val="2"/>
      </rPr>
      <t xml:space="preserve">laying insitu vibrated </t>
    </r>
    <r>
      <rPr>
        <b/>
        <sz val="14"/>
        <rFont val="Cambria"/>
        <family val="1"/>
      </rPr>
      <t>M-15</t>
    </r>
    <r>
      <rPr>
        <sz val="14"/>
        <rFont val="Arial"/>
        <family val="2"/>
      </rPr>
      <t xml:space="preserve"> ( 28 days cube compressive strength not less than 15 N / sq mm ) grade cement concrete using </t>
    </r>
    <r>
      <rPr>
        <b/>
        <sz val="14"/>
        <rFont val="Cambria"/>
        <family val="1"/>
      </rPr>
      <t>80 mm down size</t>
    </r>
    <r>
      <rPr>
        <sz val="14"/>
        <rFont val="Arial"/>
        <family val="2"/>
      </rPr>
      <t xml:space="preserve"> approved, clean, hard, graded aggregates </t>
    </r>
    <r>
      <rPr>
        <b/>
        <sz val="14"/>
        <rFont val="Cambria"/>
        <family val="1"/>
      </rPr>
      <t>for piers and abutments</t>
    </r>
    <r>
      <rPr>
        <sz val="14"/>
        <rFont val="Cambria"/>
        <family val="1"/>
      </rPr>
      <t xml:space="preserve"> </t>
    </r>
    <r>
      <rPr>
        <sz val="14"/>
        <rFont val="Arial"/>
        <family val="2"/>
      </rPr>
      <t xml:space="preserve">including cost of all materials, labour, machinery, formwork, cleaning, batching, mixing, placing in position, levelling, vibrating, finishing, curing etc., complete </t>
    </r>
    <r>
      <rPr>
        <b/>
        <sz val="14"/>
        <rFont val="Cambria"/>
        <family val="1"/>
      </rPr>
      <t xml:space="preserve">with initial lead upto 50 m and all lifts. (Cement content: 250 kg / cum with use of super plasticiser(0.4% by wt. of cement),CA : 0.98cum, Blending Ratio of CA--35:30:20:15, FA : 0.35 cum)
</t>
    </r>
    <r>
      <rPr>
        <b/>
        <sz val="14"/>
        <rFont val="Arial"/>
        <family val="2"/>
      </rPr>
      <t xml:space="preserve">
</t>
    </r>
    <r>
      <rPr>
        <b/>
        <sz val="14"/>
        <rFont val="Cambria"/>
        <family val="1"/>
      </rPr>
      <t>If water is to be brought from other place add only lead charges @ 500 ltr / cum.</t>
    </r>
  </si>
  <si>
    <r>
      <t xml:space="preserve">Providing and </t>
    </r>
    <r>
      <rPr>
        <b/>
        <sz val="14"/>
        <rFont val="Arial"/>
        <family val="2"/>
      </rPr>
      <t xml:space="preserve">laying insitu vibrated </t>
    </r>
    <r>
      <rPr>
        <b/>
        <sz val="14"/>
        <rFont val="Cambria"/>
        <family val="1"/>
      </rPr>
      <t>M-10</t>
    </r>
    <r>
      <rPr>
        <sz val="14"/>
        <rFont val="Arial"/>
        <family val="2"/>
      </rPr>
      <t xml:space="preserve"> ( 28 days cube compressive strength not less than 10 N / sq mm ) grade cement concrete using </t>
    </r>
    <r>
      <rPr>
        <b/>
        <sz val="14"/>
        <rFont val="Cambria"/>
        <family val="1"/>
      </rPr>
      <t>80 mm down size</t>
    </r>
    <r>
      <rPr>
        <sz val="14"/>
        <rFont val="Cambria"/>
        <family val="1"/>
      </rPr>
      <t xml:space="preserve"> </t>
    </r>
    <r>
      <rPr>
        <sz val="14"/>
        <rFont val="Arial"/>
        <family val="2"/>
      </rPr>
      <t xml:space="preserve">approved, clean, hard, graded aggregates </t>
    </r>
    <r>
      <rPr>
        <b/>
        <sz val="14"/>
        <rFont val="Cambria"/>
        <family val="1"/>
      </rPr>
      <t>for piers and abutments</t>
    </r>
    <r>
      <rPr>
        <sz val="14"/>
        <rFont val="Cambria"/>
        <family val="1"/>
      </rPr>
      <t xml:space="preserve"> </t>
    </r>
    <r>
      <rPr>
        <sz val="14"/>
        <rFont val="Arial"/>
        <family val="2"/>
      </rPr>
      <t xml:space="preserve">including cost of all materials, labour, machinery, formwork, cleaning, batching, mixing, placing in position, levelling, vibrating, finishing, curing etc., complete </t>
    </r>
    <r>
      <rPr>
        <b/>
        <sz val="14"/>
        <rFont val="Arial"/>
        <family val="2"/>
      </rPr>
      <t xml:space="preserve">with </t>
    </r>
    <r>
      <rPr>
        <b/>
        <sz val="14"/>
        <rFont val="Cambria"/>
        <family val="1"/>
      </rPr>
      <t>initial lead upto 50 m and all lifts. (Cement content: 220 kg / cum with use of super plasticiser(0.4% by wt. of cement),CA : 0.98cum, Blending Ratio of CA--35:30:20:15, FA : 0.35 cum)
If water is to be brought from other place add only lead charges @ 500 ltr / cum.</t>
    </r>
  </si>
  <si>
    <r>
      <t xml:space="preserve">Providing and </t>
    </r>
    <r>
      <rPr>
        <b/>
        <sz val="14"/>
        <rFont val="Arial"/>
        <family val="2"/>
      </rPr>
      <t xml:space="preserve">laying insitu vibrated </t>
    </r>
    <r>
      <rPr>
        <b/>
        <sz val="14"/>
        <rFont val="Cambria"/>
        <family val="1"/>
      </rPr>
      <t>M-10</t>
    </r>
    <r>
      <rPr>
        <sz val="14"/>
        <rFont val="Arial"/>
        <family val="2"/>
      </rPr>
      <t xml:space="preserve"> ( 28 days cube compressive strength not less than 10 N / sq mm ) grade cement concrete using</t>
    </r>
    <r>
      <rPr>
        <sz val="14"/>
        <rFont val="Cambria"/>
        <family val="1"/>
      </rPr>
      <t xml:space="preserve"> </t>
    </r>
    <r>
      <rPr>
        <b/>
        <sz val="14"/>
        <rFont val="Cambria"/>
        <family val="1"/>
      </rPr>
      <t>40 mm down size</t>
    </r>
    <r>
      <rPr>
        <sz val="14"/>
        <rFont val="Cambria"/>
        <family val="1"/>
      </rPr>
      <t xml:space="preserve"> </t>
    </r>
    <r>
      <rPr>
        <sz val="14"/>
        <rFont val="Arial"/>
        <family val="2"/>
      </rPr>
      <t xml:space="preserve">approved, clean, hard, graded aggregates </t>
    </r>
    <r>
      <rPr>
        <b/>
        <sz val="14"/>
        <rFont val="Cambria"/>
        <family val="1"/>
      </rPr>
      <t>for piers and abutments</t>
    </r>
    <r>
      <rPr>
        <sz val="14"/>
        <rFont val="Cambria"/>
        <family val="1"/>
      </rPr>
      <t xml:space="preserve"> </t>
    </r>
    <r>
      <rPr>
        <sz val="14"/>
        <rFont val="Arial"/>
        <family val="2"/>
      </rPr>
      <t xml:space="preserve">including cost of all materials, labour, machinery, formwork, cleaning, batching, mixing, placing in position, levelling, vibrating, finishing, curing etc., complete </t>
    </r>
    <r>
      <rPr>
        <b/>
        <sz val="14"/>
        <rFont val="Arial"/>
        <family val="2"/>
      </rPr>
      <t xml:space="preserve">with </t>
    </r>
    <r>
      <rPr>
        <b/>
        <sz val="14"/>
        <rFont val="Cambria"/>
        <family val="1"/>
      </rPr>
      <t>initial lead upto 50 m and all lifts. (Cement content: 220 kg / cum with use of super plasticiser(0.4% by wt. of cement),CA : 0.90cum, Blending Ratio of CA--50:30:20, FA : 0.40 cum)</t>
    </r>
    <r>
      <rPr>
        <b/>
        <sz val="14"/>
        <rFont val="Arial"/>
        <family val="2"/>
      </rPr>
      <t xml:space="preserve">
</t>
    </r>
    <r>
      <rPr>
        <b/>
        <sz val="14"/>
        <rFont val="Cambria"/>
        <family val="1"/>
      </rPr>
      <t>If water is to be brought from other place add only lead charges @ 500 ltr / cum.</t>
    </r>
  </si>
  <si>
    <r>
      <t xml:space="preserve">Providing and </t>
    </r>
    <r>
      <rPr>
        <b/>
        <sz val="14"/>
        <rFont val="Arial"/>
        <family val="2"/>
      </rPr>
      <t xml:space="preserve">laying insitu vibrated </t>
    </r>
    <r>
      <rPr>
        <b/>
        <sz val="14"/>
        <rFont val="Cambria"/>
        <family val="1"/>
      </rPr>
      <t>M-20</t>
    </r>
    <r>
      <rPr>
        <sz val="14"/>
        <rFont val="Arial"/>
        <family val="2"/>
      </rPr>
      <t xml:space="preserve"> ( 28 days cube compressive strength not less than 20 N / sq mm ) grade cement concrete using </t>
    </r>
    <r>
      <rPr>
        <b/>
        <sz val="14"/>
        <rFont val="Cambria"/>
        <family val="1"/>
      </rPr>
      <t>40 mm down size</t>
    </r>
    <r>
      <rPr>
        <sz val="14"/>
        <rFont val="Arial"/>
        <family val="2"/>
      </rPr>
      <t xml:space="preserve"> approved, clean, hard, graded aggregates </t>
    </r>
    <r>
      <rPr>
        <b/>
        <sz val="14"/>
        <rFont val="Cambria"/>
        <family val="1"/>
      </rPr>
      <t>for cantiliver / counterfort retaining walls</t>
    </r>
    <r>
      <rPr>
        <sz val="14"/>
        <rFont val="Cambria"/>
        <family val="1"/>
      </rPr>
      <t xml:space="preserve"> </t>
    </r>
    <r>
      <rPr>
        <sz val="14"/>
        <rFont val="Arial"/>
        <family val="2"/>
      </rPr>
      <t xml:space="preserve">including cost of all materials, machinery, labour, formwork, scaffolding, cleaning, batching, mixing, placing in position, levelling, vibrating, finishing, curing etc., complete </t>
    </r>
    <r>
      <rPr>
        <b/>
        <sz val="14"/>
        <rFont val="Arial"/>
        <family val="2"/>
      </rPr>
      <t xml:space="preserve">with initial lead </t>
    </r>
    <r>
      <rPr>
        <b/>
        <sz val="14"/>
        <rFont val="Cambria"/>
        <family val="1"/>
      </rPr>
      <t>upto 50 m and all lifts. (Cement content: 320 kg / cum with use of super plasticiser(0.4% by wt. of cement),CA : 0.90cum, Blending Ratio of CA--50:30:20, FA : 0.40 cum)
If water is to be brought from other place add only lead charges @ 500 ltr / cum.</t>
    </r>
  </si>
  <si>
    <r>
      <t xml:space="preserve">Providing and </t>
    </r>
    <r>
      <rPr>
        <b/>
        <sz val="14"/>
        <rFont val="Arial"/>
        <family val="2"/>
      </rPr>
      <t xml:space="preserve">laying insitu vibrated </t>
    </r>
    <r>
      <rPr>
        <b/>
        <sz val="14"/>
        <rFont val="Cambria"/>
        <family val="1"/>
      </rPr>
      <t>M-15</t>
    </r>
    <r>
      <rPr>
        <sz val="14"/>
        <rFont val="Arial"/>
        <family val="2"/>
      </rPr>
      <t xml:space="preserve"> ( 28 days cube compressive strength not less than 15 N / sq mm ) grade cement concrete using </t>
    </r>
    <r>
      <rPr>
        <b/>
        <sz val="14"/>
        <rFont val="Cambria"/>
        <family val="1"/>
      </rPr>
      <t>40 mm down size</t>
    </r>
    <r>
      <rPr>
        <sz val="14"/>
        <rFont val="Cambria"/>
        <family val="1"/>
      </rPr>
      <t xml:space="preserve"> </t>
    </r>
    <r>
      <rPr>
        <sz val="14"/>
        <rFont val="Arial"/>
        <family val="2"/>
      </rPr>
      <t xml:space="preserve">approved, clean, hard, graded aggregates </t>
    </r>
    <r>
      <rPr>
        <b/>
        <sz val="14"/>
        <rFont val="Cambria"/>
        <family val="1"/>
      </rPr>
      <t xml:space="preserve">with placing and sinking plums of </t>
    </r>
    <r>
      <rPr>
        <b/>
        <sz val="14"/>
        <rFont val="Arial"/>
        <family val="2"/>
      </rPr>
      <t xml:space="preserve">size 150 to 80 mm upto </t>
    </r>
    <r>
      <rPr>
        <b/>
        <sz val="14"/>
        <rFont val="Cambria"/>
        <family val="1"/>
      </rPr>
      <t xml:space="preserve">15 percent for gravity type retaining walls / piers / abutments </t>
    </r>
    <r>
      <rPr>
        <b/>
        <sz val="14"/>
        <rFont val="Arial"/>
        <family val="2"/>
      </rPr>
      <t>etc.</t>
    </r>
    <r>
      <rPr>
        <sz val="14"/>
        <rFont val="Arial"/>
        <family val="2"/>
      </rPr>
      <t xml:space="preserve">, including cost of all materials, machinery, labour, formwork, scaffolding, cleaning, batching, mixing, placing in position, levelling, vibrating, finishing, curing etc.,complete </t>
    </r>
    <r>
      <rPr>
        <b/>
        <sz val="14"/>
        <rFont val="Arial"/>
        <family val="2"/>
      </rPr>
      <t xml:space="preserve">with initial lead upto 50 m and all lifts. (Cement content: 260 kg / cum with use of super plasticiser(0.4% by wt. of cement),CA : 0.765cum, Blending Ratio of CA--50:30:20, FA : 0.34 cum, plums of size 150 to 80 mm : 0.25cum )
</t>
    </r>
    <r>
      <rPr>
        <b/>
        <sz val="14"/>
        <rFont val="Cambria"/>
        <family val="1"/>
      </rPr>
      <t>If water is to be brought from other place add only lead charges @ 500 ltr / cum.</t>
    </r>
  </si>
  <si>
    <r>
      <t xml:space="preserve">Providing and </t>
    </r>
    <r>
      <rPr>
        <b/>
        <sz val="14"/>
        <rFont val="Arial"/>
        <family val="2"/>
      </rPr>
      <t xml:space="preserve">laying insitu vibrated </t>
    </r>
    <r>
      <rPr>
        <b/>
        <sz val="14"/>
        <rFont val="Cambria"/>
        <family val="1"/>
      </rPr>
      <t>M-15</t>
    </r>
    <r>
      <rPr>
        <sz val="14"/>
        <rFont val="Arial"/>
        <family val="2"/>
      </rPr>
      <t xml:space="preserve"> ( 28 days cube compressive strength not less than 15 N / sq mm ) grade cement concrete using </t>
    </r>
    <r>
      <rPr>
        <b/>
        <sz val="14"/>
        <rFont val="Cambria"/>
        <family val="1"/>
      </rPr>
      <t>40 mm down size</t>
    </r>
    <r>
      <rPr>
        <sz val="14"/>
        <rFont val="Cambria"/>
        <family val="1"/>
      </rPr>
      <t xml:space="preserve"> </t>
    </r>
    <r>
      <rPr>
        <sz val="14"/>
        <rFont val="Arial"/>
        <family val="2"/>
      </rPr>
      <t xml:space="preserve">approved, clean, hard,graded aggregates </t>
    </r>
    <r>
      <rPr>
        <b/>
        <sz val="14"/>
        <rFont val="Cambria"/>
        <family val="1"/>
      </rPr>
      <t>for cast in-situ pipes</t>
    </r>
    <r>
      <rPr>
        <sz val="14"/>
        <rFont val="Cambria"/>
        <family val="1"/>
      </rPr>
      <t xml:space="preserve"> </t>
    </r>
    <r>
      <rPr>
        <sz val="14"/>
        <rFont val="Arial"/>
        <family val="2"/>
      </rPr>
      <t xml:space="preserve">including cost of all materials, machinery, labour, cleaning, batching, mixing, placing in position, levelling, vibrating, finishing, curing etc., complete </t>
    </r>
    <r>
      <rPr>
        <b/>
        <sz val="14"/>
        <rFont val="Arial"/>
        <family val="2"/>
      </rPr>
      <t xml:space="preserve">with </t>
    </r>
    <r>
      <rPr>
        <b/>
        <sz val="14"/>
        <rFont val="Cambria"/>
        <family val="1"/>
      </rPr>
      <t>initial lead upto 50 m and all lifts.(Cement content: 260 kg / cum with use of super plasticiser(0.4% by wt. of cement),CA : 0.90cum, Blending Ratio of CA--50:30:20, FA : 0.40 cum)
If water is to be brought from other place add only lead charges @ 500 ltr / cum.</t>
    </r>
  </si>
  <si>
    <r>
      <t xml:space="preserve">Providing and </t>
    </r>
    <r>
      <rPr>
        <b/>
        <sz val="14"/>
        <rFont val="Arial"/>
        <family val="2"/>
      </rPr>
      <t xml:space="preserve">laying insitu vibrated </t>
    </r>
    <r>
      <rPr>
        <b/>
        <sz val="14"/>
        <rFont val="Cambria"/>
        <family val="1"/>
      </rPr>
      <t>M-15</t>
    </r>
    <r>
      <rPr>
        <sz val="14"/>
        <rFont val="Cambria"/>
        <family val="1"/>
      </rPr>
      <t xml:space="preserve"> </t>
    </r>
    <r>
      <rPr>
        <sz val="14"/>
        <rFont val="Arial"/>
        <family val="2"/>
      </rPr>
      <t xml:space="preserve">( 28 days cube compressive strength not less than 15 N / sq mm ) grade cement concrete </t>
    </r>
    <r>
      <rPr>
        <sz val="14"/>
        <rFont val="Cambria"/>
        <family val="1"/>
      </rPr>
      <t xml:space="preserve">using </t>
    </r>
    <r>
      <rPr>
        <b/>
        <sz val="14"/>
        <rFont val="Cambria"/>
        <family val="1"/>
      </rPr>
      <t>80 mm down size</t>
    </r>
    <r>
      <rPr>
        <sz val="14"/>
        <rFont val="Cambria"/>
        <family val="1"/>
      </rPr>
      <t xml:space="preserve"> </t>
    </r>
    <r>
      <rPr>
        <sz val="14"/>
        <rFont val="Arial"/>
        <family val="2"/>
      </rPr>
      <t xml:space="preserve">approved, clean, hard, graded aggregates </t>
    </r>
    <r>
      <rPr>
        <b/>
        <sz val="14"/>
        <rFont val="Cambria"/>
        <family val="1"/>
      </rPr>
      <t>for cast in-situ pipes</t>
    </r>
    <r>
      <rPr>
        <sz val="14"/>
        <rFont val="Cambria"/>
        <family val="1"/>
      </rPr>
      <t xml:space="preserve"> </t>
    </r>
    <r>
      <rPr>
        <sz val="14"/>
        <rFont val="Arial"/>
        <family val="2"/>
      </rPr>
      <t xml:space="preserve">including cost of all materials, labour, machinery, formwork, cleaning, batching, mixing, placing in position, levelling, vibrating, finishing, curing etc., complete </t>
    </r>
    <r>
      <rPr>
        <b/>
        <sz val="14"/>
        <rFont val="Cambria"/>
        <family val="1"/>
      </rPr>
      <t>with initial lead upto 50 m and all lifts. (Cement content: 250 kg / cum with use of super plasticiser(0.4% by wt. of cement),CA : 0.98cum, Blending Ratio of CA--35:30:20:15, FA : 0.35 cum)
If water is to be brought from other place add only lead charges @ 500 ltr / cum.</t>
    </r>
  </si>
  <si>
    <r>
      <t xml:space="preserve">Providing and </t>
    </r>
    <r>
      <rPr>
        <b/>
        <sz val="14"/>
        <rFont val="Arial"/>
        <family val="2"/>
      </rPr>
      <t xml:space="preserve">laying insitu vibrated </t>
    </r>
    <r>
      <rPr>
        <b/>
        <sz val="14"/>
        <rFont val="Cambria"/>
        <family val="1"/>
      </rPr>
      <t>M-20</t>
    </r>
    <r>
      <rPr>
        <sz val="14"/>
        <rFont val="Arial"/>
        <family val="2"/>
      </rPr>
      <t xml:space="preserve"> ( 28 days cube compressive strength not less than 20 N / sq mm ) grade cement concrete using </t>
    </r>
    <r>
      <rPr>
        <b/>
        <sz val="14"/>
        <rFont val="Cambria"/>
        <family val="1"/>
      </rPr>
      <t xml:space="preserve">20 mm down </t>
    </r>
    <r>
      <rPr>
        <b/>
        <sz val="14"/>
        <rFont val="Arial"/>
        <family val="2"/>
      </rPr>
      <t>size</t>
    </r>
    <r>
      <rPr>
        <sz val="14"/>
        <rFont val="Arial"/>
        <family val="2"/>
      </rPr>
      <t xml:space="preserve"> approved, clean, hard, graded aggregates </t>
    </r>
    <r>
      <rPr>
        <b/>
        <sz val="14"/>
        <rFont val="Cambria"/>
        <family val="1"/>
      </rPr>
      <t>for deck slab &amp; kerb</t>
    </r>
    <r>
      <rPr>
        <sz val="14"/>
        <rFont val="Cambria"/>
        <family val="1"/>
      </rPr>
      <t xml:space="preserve"> </t>
    </r>
    <r>
      <rPr>
        <sz val="14"/>
        <rFont val="Arial"/>
        <family val="2"/>
      </rPr>
      <t xml:space="preserve">including cost of all materials,machinery, labour, formwork, scaffolding, cleaning, batching, mixing, placing in position, levelling, vibrating, finishing, curing etc., complete </t>
    </r>
    <r>
      <rPr>
        <b/>
        <sz val="14"/>
        <rFont val="Arial"/>
        <family val="2"/>
      </rPr>
      <t xml:space="preserve">with </t>
    </r>
    <r>
      <rPr>
        <b/>
        <sz val="14"/>
        <rFont val="Cambria"/>
        <family val="1"/>
      </rPr>
      <t>initial lead upto 50 m and all lifts. (Cement content: 330 kg / cum with use of super plasticiser(0.4% by wt. of cement),CA : 0.80cum, Blending Ratio of CA--65:35, FA : 0.45 cum)
If water is to be brought from other place add only lead charges @ 500 ltr / cum.</t>
    </r>
  </si>
  <si>
    <r>
      <t xml:space="preserve">Providing and </t>
    </r>
    <r>
      <rPr>
        <b/>
        <sz val="14"/>
        <rFont val="Arial"/>
        <family val="2"/>
      </rPr>
      <t xml:space="preserve">laying insitu vibrated </t>
    </r>
    <r>
      <rPr>
        <b/>
        <sz val="14"/>
        <rFont val="Cambria"/>
        <family val="1"/>
      </rPr>
      <t>M-20</t>
    </r>
    <r>
      <rPr>
        <sz val="14"/>
        <rFont val="Arial"/>
        <family val="2"/>
      </rPr>
      <t xml:space="preserve"> ( 28 days cube compressive strength not less than 20 N / sq mm ) grade cement concrete using </t>
    </r>
    <r>
      <rPr>
        <b/>
        <sz val="14"/>
        <rFont val="Cambria"/>
        <family val="1"/>
      </rPr>
      <t>20 mm down size</t>
    </r>
    <r>
      <rPr>
        <sz val="14"/>
        <rFont val="Cambria"/>
        <family val="1"/>
      </rPr>
      <t xml:space="preserve"> </t>
    </r>
    <r>
      <rPr>
        <sz val="14"/>
        <rFont val="Arial"/>
        <family val="2"/>
      </rPr>
      <t xml:space="preserve">approved, clean, hard, graded aggregates </t>
    </r>
    <r>
      <rPr>
        <b/>
        <sz val="14"/>
        <rFont val="Cambria"/>
        <family val="1"/>
      </rPr>
      <t>for columns and beams</t>
    </r>
    <r>
      <rPr>
        <sz val="14"/>
        <rFont val="Cambria"/>
        <family val="1"/>
      </rPr>
      <t xml:space="preserve"> </t>
    </r>
    <r>
      <rPr>
        <sz val="14"/>
        <rFont val="Arial"/>
        <family val="2"/>
      </rPr>
      <t xml:space="preserve">including cost of all materials, labour, machinery, formwork, scaffolding, cleaning, batching, mixing, placing in position, levelling, vibrating, finishing, curing etc.,complete </t>
    </r>
    <r>
      <rPr>
        <b/>
        <sz val="14"/>
        <rFont val="Arial"/>
        <family val="2"/>
      </rPr>
      <t xml:space="preserve">with </t>
    </r>
    <r>
      <rPr>
        <b/>
        <sz val="14"/>
        <rFont val="Cambria"/>
        <family val="1"/>
      </rPr>
      <t>initial lead upto 50 m and all lifts. (Cement content: 330 kg / cum with use of super plasticiser(0.4% by wt. of cement),CA : 0.80cum, Blending Ratio of CA--65:35, FA : 0.45 cum)
If water is to be brought from other place add only lead charges @ 500 ltr / cum.</t>
    </r>
  </si>
  <si>
    <r>
      <t xml:space="preserve">Providing and </t>
    </r>
    <r>
      <rPr>
        <b/>
        <sz val="14"/>
        <rFont val="Arial"/>
        <family val="2"/>
      </rPr>
      <t xml:space="preserve">laying insitu </t>
    </r>
    <r>
      <rPr>
        <b/>
        <sz val="14"/>
        <rFont val="Cambria"/>
        <family val="1"/>
      </rPr>
      <t>M- 20</t>
    </r>
    <r>
      <rPr>
        <sz val="14"/>
        <rFont val="Arial"/>
        <family val="2"/>
      </rPr>
      <t xml:space="preserve"> ( 28 days cube compressive strength not less than 20 N / sqmm ) grade cement concrete using </t>
    </r>
    <r>
      <rPr>
        <b/>
        <sz val="14"/>
        <rFont val="Cambria"/>
        <family val="1"/>
      </rPr>
      <t>20 mm down size</t>
    </r>
    <r>
      <rPr>
        <sz val="14"/>
        <rFont val="Cambria"/>
        <family val="1"/>
      </rPr>
      <t xml:space="preserve"> </t>
    </r>
    <r>
      <rPr>
        <sz val="14"/>
        <rFont val="Arial"/>
        <family val="2"/>
      </rPr>
      <t xml:space="preserve">approved, clean, hard, graded aggregates </t>
    </r>
    <r>
      <rPr>
        <b/>
        <sz val="14"/>
        <rFont val="Cambria"/>
        <family val="1"/>
      </rPr>
      <t>for wearing coat</t>
    </r>
    <r>
      <rPr>
        <sz val="14"/>
        <rFont val="Cambria"/>
        <family val="1"/>
      </rPr>
      <t xml:space="preserve"> </t>
    </r>
    <r>
      <rPr>
        <sz val="14"/>
        <rFont val="Arial"/>
        <family val="2"/>
      </rPr>
      <t xml:space="preserve">including cost of all materials, machinery, labour, formwork, cleaning, batching, mixing, placing in position in alternate panels, levelling, compacting, finishing, curing, packing joints with asphalt mortar etc., </t>
    </r>
    <r>
      <rPr>
        <sz val="14"/>
        <rFont val="Cambria"/>
        <family val="1"/>
      </rPr>
      <t xml:space="preserve">complete </t>
    </r>
    <r>
      <rPr>
        <b/>
        <sz val="14"/>
        <rFont val="Cambria"/>
        <family val="1"/>
      </rPr>
      <t>with initial lead upto 50 m and all lifts. (Cement content: 330 kg / cum with use of super plasticiser(0.4% by wt. of cement),CA : 0.80cum, Blending Ratio of CA--65:35, FA : 0.45 cum)
If water is to be brought from other place add only lead charges @ 500 ltr / cum.</t>
    </r>
  </si>
  <si>
    <r>
      <t xml:space="preserve">Providing and </t>
    </r>
    <r>
      <rPr>
        <b/>
        <sz val="14"/>
        <rFont val="Arial"/>
        <family val="2"/>
      </rPr>
      <t xml:space="preserve">laying insitu vibrated </t>
    </r>
    <r>
      <rPr>
        <b/>
        <sz val="14"/>
        <rFont val="Cambria"/>
        <family val="1"/>
      </rPr>
      <t>M-20</t>
    </r>
    <r>
      <rPr>
        <sz val="14"/>
        <rFont val="Cambria"/>
        <family val="1"/>
      </rPr>
      <t xml:space="preserve"> </t>
    </r>
    <r>
      <rPr>
        <sz val="14"/>
        <rFont val="Arial"/>
        <family val="2"/>
      </rPr>
      <t xml:space="preserve">( 28 days cube compressive strength not less than 20 N / sq mm ) grade cement concrete using </t>
    </r>
    <r>
      <rPr>
        <b/>
        <sz val="14"/>
        <rFont val="Cambria"/>
        <family val="1"/>
      </rPr>
      <t>20 mm down size</t>
    </r>
    <r>
      <rPr>
        <sz val="14"/>
        <rFont val="Cambria"/>
        <family val="1"/>
      </rPr>
      <t xml:space="preserve"> </t>
    </r>
    <r>
      <rPr>
        <sz val="14"/>
        <rFont val="Arial"/>
        <family val="2"/>
      </rPr>
      <t xml:space="preserve">approved, clean, hard, graded aggregates </t>
    </r>
    <r>
      <rPr>
        <sz val="14"/>
        <rFont val="Cambria"/>
        <family val="1"/>
      </rPr>
      <t xml:space="preserve">for troughs </t>
    </r>
    <r>
      <rPr>
        <sz val="14"/>
        <rFont val="Arial"/>
        <family val="2"/>
      </rPr>
      <t xml:space="preserve">including cost of all materials, machinery, labour, formwork, scaffolding, cleaning, batching, mixing, placing in position,levelling, vibrating, finishing, curing etc., complete </t>
    </r>
    <r>
      <rPr>
        <b/>
        <sz val="14"/>
        <rFont val="Arial"/>
        <family val="2"/>
      </rPr>
      <t xml:space="preserve">with </t>
    </r>
    <r>
      <rPr>
        <b/>
        <sz val="14"/>
        <rFont val="Cambria"/>
        <family val="1"/>
      </rPr>
      <t>initial lead upto 50 m and all lifts. (Cement content: 330 kg / cum with use of super plasticiser(0.4% by wt. of cement),CA : 0.80cum, Blending Ratio of CA--65:35, FA : 0.45 cum)
If water is to be brought from other place add only lead charges @ 500 ltr / cum.</t>
    </r>
  </si>
  <si>
    <r>
      <rPr>
        <b/>
        <sz val="14"/>
        <rFont val="Arial"/>
        <family val="2"/>
      </rPr>
      <t>Sinking RCC wells vertically for foundation of piers and abutments</t>
    </r>
    <r>
      <rPr>
        <sz val="14"/>
        <rFont val="Arial"/>
        <family val="2"/>
      </rPr>
      <t xml:space="preserve"> in </t>
    </r>
    <r>
      <rPr>
        <b/>
        <sz val="14"/>
        <rFont val="Arial"/>
        <family val="2"/>
      </rPr>
      <t>all kinds of soil, sand and soft rock</t>
    </r>
    <r>
      <rPr>
        <sz val="14"/>
        <rFont val="Arial"/>
        <family val="2"/>
      </rPr>
      <t xml:space="preserve"> by approved well sinking method including cost of all materials, machinery, labour, kent - ledge arrangements, disposal of excavated material as disposal of excavated material as directed etc., complete </t>
    </r>
    <r>
      <rPr>
        <b/>
        <sz val="14"/>
        <rFont val="Arial"/>
        <family val="2"/>
      </rPr>
      <t>with lead upto 50 m for disposal of excavated material.(diameter of well   6.00m)</t>
    </r>
    <r>
      <rPr>
        <sz val="14"/>
        <rFont val="Arial"/>
        <family val="2"/>
      </rPr>
      <t xml:space="preserve"> (Data adopted from </t>
    </r>
    <r>
      <rPr>
        <sz val="14"/>
        <rFont val="Cambria"/>
        <family val="1"/>
      </rPr>
      <t>MORTH</t>
    </r>
    <r>
      <rPr>
        <sz val="14"/>
        <rFont val="Arial"/>
        <family val="2"/>
      </rPr>
      <t>)</t>
    </r>
  </si>
  <si>
    <r>
      <rPr>
        <b/>
        <sz val="14"/>
        <rFont val="Arial"/>
        <family val="2"/>
      </rPr>
      <t>Filling foundation wells with sand</t>
    </r>
    <r>
      <rPr>
        <sz val="14"/>
        <rFont val="Arial"/>
        <family val="2"/>
      </rPr>
      <t xml:space="preserve"> in </t>
    </r>
    <r>
      <rPr>
        <b/>
        <sz val="14"/>
        <rFont val="Arial"/>
        <family val="2"/>
      </rPr>
      <t>layers of 25 to 30 cm</t>
    </r>
    <r>
      <rPr>
        <sz val="14"/>
        <rFont val="Arial"/>
        <family val="2"/>
      </rPr>
      <t xml:space="preserve"> and compacting by watering, ramming as directed including cost of all materials, machinery, labour etc., complete </t>
    </r>
    <r>
      <rPr>
        <b/>
        <sz val="14"/>
        <rFont val="Arial"/>
        <family val="2"/>
      </rPr>
      <t xml:space="preserve">with </t>
    </r>
    <r>
      <rPr>
        <b/>
        <sz val="14"/>
        <rFont val="Cambria"/>
        <family val="1"/>
      </rPr>
      <t>initial lead upto 50 m and all lifts.</t>
    </r>
  </si>
  <si>
    <r>
      <t xml:space="preserve">Providing and </t>
    </r>
    <r>
      <rPr>
        <b/>
        <sz val="14"/>
        <rFont val="Arial"/>
        <family val="2"/>
      </rPr>
      <t xml:space="preserve">constructing </t>
    </r>
    <r>
      <rPr>
        <b/>
        <sz val="14"/>
        <rFont val="Cambria"/>
        <family val="1"/>
      </rPr>
      <t>un-coursed rubble stone masonry</t>
    </r>
    <r>
      <rPr>
        <sz val="14"/>
        <rFont val="Arial"/>
        <family val="2"/>
      </rPr>
      <t xml:space="preserve"> with approved stones in </t>
    </r>
    <r>
      <rPr>
        <b/>
        <sz val="14"/>
        <rFont val="Cambria"/>
        <family val="1"/>
      </rPr>
      <t>CM 1 : 4</t>
    </r>
    <r>
      <rPr>
        <sz val="14"/>
        <rFont val="Cambria"/>
        <family val="1"/>
      </rPr>
      <t xml:space="preserve"> </t>
    </r>
    <r>
      <rPr>
        <sz val="14"/>
        <rFont val="Arial"/>
        <family val="2"/>
      </rPr>
      <t xml:space="preserve">proportion </t>
    </r>
    <r>
      <rPr>
        <b/>
        <sz val="14"/>
        <rFont val="Arial"/>
        <family val="2"/>
      </rPr>
      <t xml:space="preserve">for </t>
    </r>
    <r>
      <rPr>
        <b/>
        <sz val="14"/>
        <rFont val="Cambria"/>
        <family val="1"/>
      </rPr>
      <t xml:space="preserve">sub-structure portions of return walls / abutments </t>
    </r>
    <r>
      <rPr>
        <b/>
        <sz val="14"/>
        <rFont val="Arial"/>
        <family val="2"/>
      </rPr>
      <t>etc.,</t>
    </r>
    <r>
      <rPr>
        <sz val="14"/>
        <rFont val="Arial"/>
        <family val="2"/>
      </rPr>
      <t xml:space="preserve"> including cost of all materials, machinery, labour, scaffolding, cleaning, packing cement mortar, wedging stone chips, curing etc., complete </t>
    </r>
    <r>
      <rPr>
        <b/>
        <sz val="14"/>
        <rFont val="Arial"/>
        <family val="2"/>
      </rPr>
      <t xml:space="preserve">with </t>
    </r>
    <r>
      <rPr>
        <b/>
        <sz val="14"/>
        <rFont val="Cambria"/>
        <family val="1"/>
      </rPr>
      <t>initial lead upto 50 m and all lifts.(Cement content: 143 kg / cum of masonry, rubble stones : 0.85cum, FA : 0.40 cum,Stone Chips : 0.15 cum)</t>
    </r>
  </si>
  <si>
    <r>
      <t xml:space="preserve">Providing and </t>
    </r>
    <r>
      <rPr>
        <b/>
        <sz val="14"/>
        <rFont val="Arial"/>
        <family val="2"/>
      </rPr>
      <t xml:space="preserve">constructing </t>
    </r>
    <r>
      <rPr>
        <b/>
        <sz val="14"/>
        <rFont val="Cambria"/>
        <family val="1"/>
      </rPr>
      <t>un-coursed rubble stone masonry</t>
    </r>
    <r>
      <rPr>
        <sz val="14"/>
        <rFont val="Arial"/>
        <family val="2"/>
      </rPr>
      <t xml:space="preserve"> with approved stones in </t>
    </r>
    <r>
      <rPr>
        <b/>
        <sz val="14"/>
        <rFont val="Cambria"/>
        <family val="1"/>
      </rPr>
      <t>CM 1 : 4</t>
    </r>
    <r>
      <rPr>
        <sz val="14"/>
        <rFont val="Cambria"/>
        <family val="1"/>
      </rPr>
      <t xml:space="preserve"> </t>
    </r>
    <r>
      <rPr>
        <sz val="14"/>
        <rFont val="Arial"/>
        <family val="2"/>
      </rPr>
      <t xml:space="preserve">proportion </t>
    </r>
    <r>
      <rPr>
        <b/>
        <sz val="14"/>
        <rFont val="Arial"/>
        <family val="2"/>
      </rPr>
      <t xml:space="preserve">for </t>
    </r>
    <r>
      <rPr>
        <b/>
        <sz val="14"/>
        <rFont val="Cambria"/>
        <family val="1"/>
      </rPr>
      <t xml:space="preserve">super-structure portions of return walls / abutments </t>
    </r>
    <r>
      <rPr>
        <b/>
        <sz val="14"/>
        <rFont val="Arial"/>
        <family val="2"/>
      </rPr>
      <t>etc.,</t>
    </r>
    <r>
      <rPr>
        <sz val="14"/>
        <rFont val="Arial"/>
        <family val="2"/>
      </rPr>
      <t xml:space="preserve"> including cost of all materials, machinery, labour, scaffolding, cleaning, packing cement mortar, wedging stone chips, curing etc., complete </t>
    </r>
    <r>
      <rPr>
        <b/>
        <sz val="14"/>
        <rFont val="Cambria"/>
        <family val="1"/>
      </rPr>
      <t>with initial lead upto 50 m and all lifts.(Cement content: 143 kg / cum of masonry, rubble stones : 0.85cum, FA : 0.40 cum,Stone Chips : 0.15 cum)</t>
    </r>
  </si>
  <si>
    <r>
      <t xml:space="preserve">Providing and </t>
    </r>
    <r>
      <rPr>
        <b/>
        <sz val="14"/>
        <rFont val="Arial"/>
        <family val="2"/>
      </rPr>
      <t xml:space="preserve">constructing </t>
    </r>
    <r>
      <rPr>
        <b/>
        <sz val="14"/>
        <rFont val="Cambria"/>
        <family val="1"/>
      </rPr>
      <t>coursed rubble masonry second sort</t>
    </r>
    <r>
      <rPr>
        <sz val="14"/>
        <rFont val="Cambria"/>
        <family val="1"/>
      </rPr>
      <t xml:space="preserve"> in </t>
    </r>
    <r>
      <rPr>
        <b/>
        <sz val="14"/>
        <rFont val="Cambria"/>
        <family val="1"/>
      </rPr>
      <t>CM 1:4</t>
    </r>
    <r>
      <rPr>
        <sz val="14"/>
        <rFont val="Cambria"/>
        <family val="1"/>
      </rPr>
      <t xml:space="preserve"> </t>
    </r>
    <r>
      <rPr>
        <sz val="14"/>
        <rFont val="Arial"/>
        <family val="2"/>
      </rPr>
      <t xml:space="preserve">proportion with stones from approved source including cost of all materials, machinery, labour, scaffolding, ramps, cleaning, packing mortar, wedging stone chips, finishing, curing etc., complete </t>
    </r>
    <r>
      <rPr>
        <b/>
        <sz val="14"/>
        <rFont val="Cambria"/>
        <family val="1"/>
      </rPr>
      <t>with initial lead upto 50 m and initial lift upto 3 m.(Cement content: 133 kg / cum of masonry, rubble stones : 0.45cum, FA : 0.35 cum,Stone Chips : 0.15 cum, Khandki stones 25 x 25 x 30 cm : 180 Nos, Header stones 25 x 25x 45 cm : 60 Nos)</t>
    </r>
  </si>
  <si>
    <r>
      <t xml:space="preserve">Providing and </t>
    </r>
    <r>
      <rPr>
        <b/>
        <sz val="14"/>
        <rFont val="Arial"/>
        <family val="2"/>
      </rPr>
      <t>constructing coursed rubble masonry first sort</t>
    </r>
    <r>
      <rPr>
        <sz val="14"/>
        <rFont val="Arial"/>
        <family val="2"/>
      </rPr>
      <t xml:space="preserve"> in </t>
    </r>
    <r>
      <rPr>
        <b/>
        <sz val="14"/>
        <rFont val="Cambria"/>
        <family val="1"/>
      </rPr>
      <t>CM 1:4</t>
    </r>
    <r>
      <rPr>
        <sz val="14"/>
        <rFont val="Cambria"/>
        <family val="1"/>
      </rPr>
      <t xml:space="preserve"> </t>
    </r>
    <r>
      <rPr>
        <sz val="14"/>
        <rFont val="Arial"/>
        <family val="2"/>
      </rPr>
      <t xml:space="preserve">proportion with stones from approved source including cost of all materials, machinery, labour, scaffolding, ramps, cleaning, packing mortar, wedging stone chips, finishing, curing etc., complete </t>
    </r>
    <r>
      <rPr>
        <b/>
        <sz val="14"/>
        <rFont val="Cambria"/>
        <family val="1"/>
      </rPr>
      <t>with initial lead upto 50 m and initial lift upto 3 m.(Cement content: 133 kg / cum of masonry, rubble stones : 0.45cum, FA : 0.35 cum,Stone Chips : 0.15 cum, Khandki stones 25 x 25 x 30 cm : 180 Nos, Header stones 25 x 25x 45 cm : 60 Nos)</t>
    </r>
  </si>
  <si>
    <r>
      <rPr>
        <b/>
        <sz val="14"/>
        <rFont val="Arial"/>
        <family val="2"/>
      </rPr>
      <t xml:space="preserve">Providing </t>
    </r>
    <r>
      <rPr>
        <b/>
        <sz val="14"/>
        <rFont val="Cambria"/>
        <family val="1"/>
      </rPr>
      <t>cement mortar pointing</t>
    </r>
    <r>
      <rPr>
        <b/>
        <sz val="14"/>
        <rFont val="Arial"/>
        <family val="2"/>
      </rPr>
      <t xml:space="preserve"> to coursed rubble face stone masonry</t>
    </r>
    <r>
      <rPr>
        <sz val="14"/>
        <rFont val="Arial"/>
        <family val="2"/>
      </rPr>
      <t xml:space="preserve"> in </t>
    </r>
    <r>
      <rPr>
        <b/>
        <sz val="14"/>
        <rFont val="Cambria"/>
        <family val="1"/>
      </rPr>
      <t>CM 1 : 2</t>
    </r>
    <r>
      <rPr>
        <sz val="14"/>
        <rFont val="Cambria"/>
        <family val="1"/>
      </rPr>
      <t xml:space="preserve"> </t>
    </r>
    <r>
      <rPr>
        <sz val="14"/>
        <rFont val="Arial"/>
        <family val="2"/>
      </rPr>
      <t xml:space="preserve">proportion by volume including raking and cleaning joints for 50 mm depth, pressing cement mortar into joints, cost of all materials, labour, scaffolding, finishing, curing etc., complete </t>
    </r>
    <r>
      <rPr>
        <b/>
        <sz val="14"/>
        <rFont val="Cambria"/>
        <family val="1"/>
      </rPr>
      <t>with initial lead upto 50 m and all lifts.</t>
    </r>
  </si>
  <si>
    <r>
      <rPr>
        <b/>
        <sz val="14"/>
        <rFont val="Arial"/>
        <family val="2"/>
      </rPr>
      <t xml:space="preserve">Providing </t>
    </r>
    <r>
      <rPr>
        <b/>
        <sz val="14"/>
        <rFont val="Cambria"/>
        <family val="1"/>
      </rPr>
      <t xml:space="preserve">cement mortar pointing </t>
    </r>
    <r>
      <rPr>
        <b/>
        <sz val="14"/>
        <rFont val="Arial"/>
        <family val="2"/>
      </rPr>
      <t>to coursed rubble face stone masonry</t>
    </r>
    <r>
      <rPr>
        <sz val="14"/>
        <rFont val="Arial"/>
        <family val="2"/>
      </rPr>
      <t xml:space="preserve"> in </t>
    </r>
    <r>
      <rPr>
        <b/>
        <sz val="14"/>
        <rFont val="Cambria"/>
        <family val="1"/>
      </rPr>
      <t>CM 1 : 3</t>
    </r>
    <r>
      <rPr>
        <sz val="14"/>
        <rFont val="Cambria"/>
        <family val="1"/>
      </rPr>
      <t xml:space="preserve"> </t>
    </r>
    <r>
      <rPr>
        <sz val="14"/>
        <rFont val="Arial"/>
        <family val="2"/>
      </rPr>
      <t xml:space="preserve">proportion by volume including raking and cleaning joints for 50 mm depth, pressing cement mortar into joints, cost of all materials, labour, scaffolding, finishing, curing etc., complete </t>
    </r>
    <r>
      <rPr>
        <b/>
        <sz val="14"/>
        <rFont val="Cambria"/>
        <family val="1"/>
      </rPr>
      <t>with initial lead upto 50 m and all lifts.</t>
    </r>
  </si>
  <si>
    <r>
      <rPr>
        <b/>
        <sz val="14"/>
        <rFont val="Arial"/>
        <family val="2"/>
      </rPr>
      <t xml:space="preserve">Providing </t>
    </r>
    <r>
      <rPr>
        <b/>
        <sz val="14"/>
        <rFont val="Cambria"/>
        <family val="1"/>
      </rPr>
      <t>12 mm thick plastering</t>
    </r>
    <r>
      <rPr>
        <sz val="14"/>
        <rFont val="Cambria"/>
        <family val="1"/>
      </rPr>
      <t xml:space="preserve"> in </t>
    </r>
    <r>
      <rPr>
        <b/>
        <sz val="14"/>
        <rFont val="Cambria"/>
        <family val="1"/>
      </rPr>
      <t>cement mortar 1:3</t>
    </r>
    <r>
      <rPr>
        <sz val="14"/>
        <rFont val="Arial"/>
        <family val="2"/>
      </rPr>
      <t xml:space="preserve"> proportion by volume including cost of all materials, machinery, labour, scaffolding, cleaning joints, smooth finishing, curing etc., complete </t>
    </r>
    <r>
      <rPr>
        <b/>
        <sz val="14"/>
        <rFont val="Arial"/>
        <family val="2"/>
      </rPr>
      <t>with</t>
    </r>
    <r>
      <rPr>
        <b/>
        <sz val="14"/>
        <rFont val="Cambria"/>
        <family val="1"/>
      </rPr>
      <t xml:space="preserve"> initial lead upto 50 m and all lifts.</t>
    </r>
  </si>
  <si>
    <r>
      <rPr>
        <b/>
        <sz val="14"/>
        <rFont val="Arial"/>
        <family val="2"/>
      </rPr>
      <t xml:space="preserve">Providing </t>
    </r>
    <r>
      <rPr>
        <b/>
        <sz val="14"/>
        <rFont val="Cambria"/>
        <family val="1"/>
      </rPr>
      <t>12 mm thick plastering</t>
    </r>
    <r>
      <rPr>
        <sz val="14"/>
        <rFont val="Cambria"/>
        <family val="1"/>
      </rPr>
      <t xml:space="preserve"> in </t>
    </r>
    <r>
      <rPr>
        <b/>
        <sz val="14"/>
        <rFont val="Cambria"/>
        <family val="1"/>
      </rPr>
      <t>cement mortar 1:4</t>
    </r>
    <r>
      <rPr>
        <sz val="14"/>
        <rFont val="Arial"/>
        <family val="2"/>
      </rPr>
      <t xml:space="preserve"> proportion by volume including cost of all materials, machinery, labour, scaffolding, cleaning joints, smooth finishing, curing etc., complete </t>
    </r>
    <r>
      <rPr>
        <b/>
        <sz val="14"/>
        <rFont val="Cambria"/>
        <family val="1"/>
      </rPr>
      <t>with initial lead upto 50 m and all lifts.</t>
    </r>
  </si>
  <si>
    <r>
      <rPr>
        <b/>
        <sz val="14"/>
        <rFont val="Arial"/>
        <family val="2"/>
      </rPr>
      <t xml:space="preserve">Providing </t>
    </r>
    <r>
      <rPr>
        <b/>
        <sz val="14"/>
        <rFont val="Cambria"/>
        <family val="1"/>
      </rPr>
      <t>20 mm thick plastering</t>
    </r>
    <r>
      <rPr>
        <sz val="14"/>
        <rFont val="Cambria"/>
        <family val="1"/>
      </rPr>
      <t xml:space="preserve"> in </t>
    </r>
    <r>
      <rPr>
        <b/>
        <sz val="14"/>
        <rFont val="Cambria"/>
        <family val="1"/>
      </rPr>
      <t>cement mortar 1:3</t>
    </r>
    <r>
      <rPr>
        <sz val="14"/>
        <rFont val="Arial"/>
        <family val="2"/>
      </rPr>
      <t xml:space="preserve"> proportion by volume including cost of all materials, machinery, labour, scaffolding, cleaning joints, smooth finishing, curing etc., complete </t>
    </r>
    <r>
      <rPr>
        <b/>
        <sz val="14"/>
        <rFont val="Cambria"/>
        <family val="1"/>
      </rPr>
      <t>with initial lead upto 50 m and all lifts.</t>
    </r>
  </si>
  <si>
    <r>
      <rPr>
        <b/>
        <sz val="14"/>
        <rFont val="Arial"/>
        <family val="2"/>
      </rPr>
      <t xml:space="preserve">Providing </t>
    </r>
    <r>
      <rPr>
        <b/>
        <sz val="14"/>
        <rFont val="Cambria"/>
        <family val="1"/>
      </rPr>
      <t>20 mm thick plastering</t>
    </r>
    <r>
      <rPr>
        <sz val="14"/>
        <rFont val="Cambria"/>
        <family val="1"/>
      </rPr>
      <t xml:space="preserve"> in </t>
    </r>
    <r>
      <rPr>
        <b/>
        <sz val="14"/>
        <rFont val="Cambria"/>
        <family val="1"/>
      </rPr>
      <t>cement mortar 1:4</t>
    </r>
    <r>
      <rPr>
        <sz val="14"/>
        <rFont val="Arial"/>
        <family val="2"/>
      </rPr>
      <t xml:space="preserve"> proportion by volume including cost of all materials, machinery, labour, scaffolding, cleaning joints, smooth finishing, curing etc., </t>
    </r>
    <r>
      <rPr>
        <sz val="14"/>
        <rFont val="Cambria"/>
        <family val="1"/>
      </rPr>
      <t xml:space="preserve">complete </t>
    </r>
    <r>
      <rPr>
        <b/>
        <sz val="14"/>
        <rFont val="Cambria"/>
        <family val="1"/>
      </rPr>
      <t>with initial lead upto 50 m and all lifts.</t>
    </r>
  </si>
  <si>
    <r>
      <t xml:space="preserve">Providing and </t>
    </r>
    <r>
      <rPr>
        <b/>
        <sz val="14"/>
        <rFont val="Cambria"/>
        <family val="1"/>
      </rPr>
      <t>fixing</t>
    </r>
    <r>
      <rPr>
        <b/>
        <sz val="14"/>
        <rFont val="Arial"/>
        <family val="2"/>
      </rPr>
      <t xml:space="preserve"> 10 cm thick </t>
    </r>
    <r>
      <rPr>
        <b/>
        <sz val="14"/>
        <rFont val="Cambria"/>
        <family val="1"/>
      </rPr>
      <t>roughly dressed burnt stone slabs for coping</t>
    </r>
    <r>
      <rPr>
        <sz val="14"/>
        <rFont val="Arial"/>
        <family val="2"/>
      </rPr>
      <t xml:space="preserve"> set in</t>
    </r>
    <r>
      <rPr>
        <sz val="14"/>
        <rFont val="Cambria"/>
        <family val="1"/>
      </rPr>
      <t xml:space="preserve"> </t>
    </r>
    <r>
      <rPr>
        <b/>
        <sz val="14"/>
        <rFont val="Cambria"/>
        <family val="1"/>
      </rPr>
      <t>CM 1: 6</t>
    </r>
    <r>
      <rPr>
        <sz val="14"/>
        <rFont val="Cambria"/>
        <family val="1"/>
      </rPr>
      <t xml:space="preserve"> </t>
    </r>
    <r>
      <rPr>
        <sz val="14"/>
        <rFont val="Arial"/>
        <family val="2"/>
      </rPr>
      <t xml:space="preserve">proportion by volume with pointing </t>
    </r>
    <r>
      <rPr>
        <b/>
        <sz val="14"/>
        <rFont val="Arial"/>
        <family val="2"/>
      </rPr>
      <t>to joints</t>
    </r>
    <r>
      <rPr>
        <sz val="14"/>
        <rFont val="Arial"/>
        <family val="2"/>
      </rPr>
      <t xml:space="preserve"> in CM 1 : 3 proportion by volume including cost of all materials, machinery, labour, finishing, curing etc., complete </t>
    </r>
    <r>
      <rPr>
        <b/>
        <sz val="14"/>
        <rFont val="Arial"/>
        <family val="2"/>
      </rPr>
      <t xml:space="preserve">with </t>
    </r>
    <r>
      <rPr>
        <b/>
        <sz val="14"/>
        <rFont val="Cambria"/>
        <family val="1"/>
      </rPr>
      <t>initial lead upto 50 m and all lifts.(Cement content: 7.5 kg / sqm, FA : 0.030 cum/sqm, Burnt stone slab 10 cm thick 1.05 sqm/ sqm)</t>
    </r>
  </si>
  <si>
    <r>
      <t xml:space="preserve">Providing and </t>
    </r>
    <r>
      <rPr>
        <b/>
        <sz val="14"/>
        <rFont val="Cambria"/>
        <family val="1"/>
      </rPr>
      <t>fixing</t>
    </r>
    <r>
      <rPr>
        <b/>
        <sz val="14"/>
        <rFont val="Arial"/>
        <family val="2"/>
      </rPr>
      <t xml:space="preserve"> 10 cm thick </t>
    </r>
    <r>
      <rPr>
        <b/>
        <sz val="14"/>
        <rFont val="Cambria"/>
        <family val="1"/>
      </rPr>
      <t>one line dressed burnt stone slabs for coping</t>
    </r>
    <r>
      <rPr>
        <sz val="14"/>
        <rFont val="Arial"/>
        <family val="2"/>
      </rPr>
      <t xml:space="preserve"> set in </t>
    </r>
    <r>
      <rPr>
        <b/>
        <sz val="14"/>
        <rFont val="Cambria"/>
        <family val="1"/>
      </rPr>
      <t>CM 1: 6</t>
    </r>
    <r>
      <rPr>
        <sz val="14"/>
        <rFont val="Arial"/>
        <family val="2"/>
      </rPr>
      <t xml:space="preserve"> proportion by volume with pointing </t>
    </r>
    <r>
      <rPr>
        <b/>
        <sz val="14"/>
        <rFont val="Arial"/>
        <family val="2"/>
      </rPr>
      <t xml:space="preserve">to joints </t>
    </r>
    <r>
      <rPr>
        <sz val="14"/>
        <rFont val="Arial"/>
        <family val="2"/>
      </rPr>
      <t xml:space="preserve">in CM 1 : 3 proportion by volume including cost of all materials, machinery, labour, finishing, curing etc., </t>
    </r>
    <r>
      <rPr>
        <sz val="14"/>
        <rFont val="Cambria"/>
        <family val="1"/>
      </rPr>
      <t xml:space="preserve">complete </t>
    </r>
    <r>
      <rPr>
        <b/>
        <sz val="14"/>
        <rFont val="Cambria"/>
        <family val="1"/>
      </rPr>
      <t>with initial lead upto 50 m and all lifts.(Cement content: 7.5 kg / sqm, FA : 0.030 cum/sqm, Burnt stone slab 10 cm thick 1.05 sqm/ sqm)</t>
    </r>
  </si>
  <si>
    <r>
      <t xml:space="preserve">Providing and </t>
    </r>
    <r>
      <rPr>
        <b/>
        <sz val="14"/>
        <rFont val="Cambria"/>
        <family val="1"/>
      </rPr>
      <t>fixing</t>
    </r>
    <r>
      <rPr>
        <b/>
        <sz val="14"/>
        <rFont val="Arial"/>
        <family val="2"/>
      </rPr>
      <t xml:space="preserve"> 10 cm thick </t>
    </r>
    <r>
      <rPr>
        <b/>
        <sz val="14"/>
        <rFont val="Cambria"/>
        <family val="1"/>
      </rPr>
      <t>two line dressed burnt stone slabs for coping</t>
    </r>
    <r>
      <rPr>
        <sz val="14"/>
        <rFont val="Arial"/>
        <family val="2"/>
      </rPr>
      <t xml:space="preserve"> set in </t>
    </r>
    <r>
      <rPr>
        <b/>
        <sz val="14"/>
        <rFont val="Cambria"/>
        <family val="1"/>
      </rPr>
      <t>CM 1: 6</t>
    </r>
    <r>
      <rPr>
        <sz val="14"/>
        <rFont val="Cambria"/>
        <family val="1"/>
      </rPr>
      <t xml:space="preserve"> </t>
    </r>
    <r>
      <rPr>
        <sz val="14"/>
        <rFont val="Arial"/>
        <family val="2"/>
      </rPr>
      <t xml:space="preserve">proportion by volume with pointing </t>
    </r>
    <r>
      <rPr>
        <b/>
        <sz val="14"/>
        <rFont val="Arial"/>
        <family val="2"/>
      </rPr>
      <t>to joints</t>
    </r>
    <r>
      <rPr>
        <sz val="14"/>
        <rFont val="Arial"/>
        <family val="2"/>
      </rPr>
      <t xml:space="preserve"> in CM 1 : 3 proportion by volume including cost of all materials, machinery, labour, finishing, curing etc., complete</t>
    </r>
    <r>
      <rPr>
        <sz val="14"/>
        <rFont val="Cambria"/>
        <family val="1"/>
      </rPr>
      <t xml:space="preserve"> </t>
    </r>
    <r>
      <rPr>
        <b/>
        <sz val="14"/>
        <rFont val="Cambria"/>
        <family val="1"/>
      </rPr>
      <t>with initial lead upto 50 m and all lifts.(Cement content: 7.5 kg / sqm, FA : 0.030 cum/sqm, Burnt stone slab 10 cm thick 1.05 sqm/ sqm)</t>
    </r>
  </si>
  <si>
    <r>
      <t xml:space="preserve">Providing and </t>
    </r>
    <r>
      <rPr>
        <b/>
        <sz val="14"/>
        <rFont val="Arial"/>
        <family val="2"/>
      </rPr>
      <t xml:space="preserve">laying insitu </t>
    </r>
    <r>
      <rPr>
        <b/>
        <sz val="14"/>
        <rFont val="Cambria"/>
        <family val="1"/>
      </rPr>
      <t>M-15</t>
    </r>
    <r>
      <rPr>
        <sz val="14"/>
        <rFont val="Arial"/>
        <family val="2"/>
      </rPr>
      <t xml:space="preserve"> ( 28 days cube compressive strength not less than 15 N / sqmm ) grade cement concrete using </t>
    </r>
    <r>
      <rPr>
        <b/>
        <sz val="14"/>
        <rFont val="Cambria"/>
        <family val="1"/>
      </rPr>
      <t>20 mm down size</t>
    </r>
    <r>
      <rPr>
        <sz val="14"/>
        <rFont val="Cambria"/>
        <family val="1"/>
      </rPr>
      <t xml:space="preserve"> </t>
    </r>
    <r>
      <rPr>
        <sz val="14"/>
        <rFont val="Arial"/>
        <family val="2"/>
      </rPr>
      <t>approved clean, hard, graded aggregates</t>
    </r>
    <r>
      <rPr>
        <sz val="14"/>
        <rFont val="Cambria"/>
        <family val="1"/>
      </rPr>
      <t xml:space="preserve"> for coping slab</t>
    </r>
    <r>
      <rPr>
        <sz val="14"/>
        <rFont val="Arial"/>
        <family val="2"/>
      </rPr>
      <t xml:space="preserve"> including cost of all materials, machinery, labour, formwork, cleaning surface, batching, mixing, placing in position, levelling, compacting, finishing, curing etc., complete </t>
    </r>
    <r>
      <rPr>
        <b/>
        <sz val="14"/>
        <rFont val="Cambria"/>
        <family val="1"/>
      </rPr>
      <t>with initial lead upto 50 m and initial lift upto 3 m. (Cement content: 300 kg / cum with use of super plasticiser(0.4% by wt. of cement),CA : 0.80cum, Blending Ratio of CA--65:35, FA : 0.45 cum)</t>
    </r>
  </si>
  <si>
    <r>
      <t xml:space="preserve">Providing and </t>
    </r>
    <r>
      <rPr>
        <b/>
        <sz val="14"/>
        <rFont val="Arial"/>
        <family val="2"/>
      </rPr>
      <t>constructing protective railing</t>
    </r>
    <r>
      <rPr>
        <sz val="14"/>
        <rFont val="Arial"/>
        <family val="2"/>
      </rPr>
      <t xml:space="preserve"> consisting of in-situ railing posts of size 15 x 15 cm at bottom, 10 x 10 cm at top and 75 cm height at 2 m centre to centre in </t>
    </r>
    <r>
      <rPr>
        <b/>
        <sz val="14"/>
        <rFont val="Cambria"/>
        <family val="1"/>
      </rPr>
      <t>M-20</t>
    </r>
    <r>
      <rPr>
        <sz val="14"/>
        <rFont val="Cambria"/>
        <family val="1"/>
      </rPr>
      <t xml:space="preserve"> </t>
    </r>
    <r>
      <rPr>
        <sz val="14"/>
        <rFont val="Arial"/>
        <family val="2"/>
      </rPr>
      <t xml:space="preserve">grade </t>
    </r>
    <r>
      <rPr>
        <sz val="14"/>
        <rFont val="Cambria"/>
        <family val="1"/>
      </rPr>
      <t xml:space="preserve">concrete using 20 mm down size graded aggregates and with each post reinforced by 4 Nos. of 8 mm dia main bars embedded in kerb concrete </t>
    </r>
    <r>
      <rPr>
        <sz val="14"/>
        <rFont val="Arial"/>
        <family val="2"/>
      </rPr>
      <t xml:space="preserve">for a depth of 40 cm and 5 Nos. of 6 mm dia. stirrups including fixing 3 rows of 40 mm dia. GI pipes with one coat of red oxide primer and two coats of synthetic enamel paint, cost of all materials, machinery, labour, formwork, finishing, curing etc., </t>
    </r>
    <r>
      <rPr>
        <sz val="14"/>
        <rFont val="Cambria"/>
        <family val="1"/>
      </rPr>
      <t xml:space="preserve">complete </t>
    </r>
    <r>
      <rPr>
        <b/>
        <sz val="14"/>
        <rFont val="Cambria"/>
        <family val="1"/>
      </rPr>
      <t>with lead upto 50 m and all lifts.</t>
    </r>
  </si>
  <si>
    <r>
      <rPr>
        <b/>
        <sz val="14"/>
        <rFont val="Arial"/>
        <family val="2"/>
      </rPr>
      <t xml:space="preserve">Laying and jointing 300 mm dia. NP- 2 class or IRC standard </t>
    </r>
    <r>
      <rPr>
        <b/>
        <sz val="14"/>
        <rFont val="Cambria"/>
        <family val="1"/>
      </rPr>
      <t>hume pipes</t>
    </r>
    <r>
      <rPr>
        <sz val="14"/>
        <rFont val="Cambria"/>
        <family val="1"/>
      </rPr>
      <t xml:space="preserve"> in </t>
    </r>
    <r>
      <rPr>
        <b/>
        <sz val="14"/>
        <rFont val="Cambria"/>
        <family val="1"/>
      </rPr>
      <t>CM 1 : 2</t>
    </r>
    <r>
      <rPr>
        <sz val="14"/>
        <rFont val="Cambria"/>
        <family val="1"/>
      </rPr>
      <t xml:space="preserve"> </t>
    </r>
    <r>
      <rPr>
        <sz val="14"/>
        <rFont val="Arial"/>
        <family val="2"/>
      </rPr>
      <t xml:space="preserve">proportion by volume including cost of all materials ( excluding pipes and collars ), machinery, labour, aligning, packing joints with hemp, finishing, curing etc., complete </t>
    </r>
    <r>
      <rPr>
        <b/>
        <sz val="14"/>
        <rFont val="Arial"/>
        <family val="2"/>
      </rPr>
      <t xml:space="preserve">with </t>
    </r>
    <r>
      <rPr>
        <b/>
        <sz val="14"/>
        <rFont val="Cambria"/>
        <family val="1"/>
      </rPr>
      <t xml:space="preserve">initial lead upto 50 m and all lifts.(Cement content: 9.9 kg / joint, FA : 0.01cum/joint, Hemp Yarn : 0.091kg/joint) </t>
    </r>
  </si>
  <si>
    <r>
      <rPr>
        <b/>
        <sz val="14"/>
        <rFont val="Arial"/>
        <family val="2"/>
      </rPr>
      <t>Laying and jointing 450 mm dia. NP- 2 class or IRC standard</t>
    </r>
    <r>
      <rPr>
        <b/>
        <sz val="14"/>
        <rFont val="Cambria"/>
        <family val="1"/>
      </rPr>
      <t xml:space="preserve"> hume pipes in CM 1 : 2</t>
    </r>
    <r>
      <rPr>
        <sz val="14"/>
        <rFont val="Arial"/>
        <family val="2"/>
      </rPr>
      <t xml:space="preserve"> proportion by volume including cost of all materials ( excluding pipes and collars ), machinery, labour, aligning, packing joints with hemp, finishing, curing etc., complete </t>
    </r>
    <r>
      <rPr>
        <b/>
        <sz val="14"/>
        <rFont val="Arial"/>
        <family val="2"/>
      </rPr>
      <t xml:space="preserve">with </t>
    </r>
    <r>
      <rPr>
        <b/>
        <sz val="14"/>
        <rFont val="Cambria"/>
        <family val="1"/>
      </rPr>
      <t xml:space="preserve">initial lead upto 50 m and all lifts.(Cement content: 17.4 kg / joint, FA : 0.022cum/joint, Hemp Yarn : 0.127kg/joint) </t>
    </r>
  </si>
  <si>
    <r>
      <rPr>
        <b/>
        <sz val="14"/>
        <rFont val="Arial"/>
        <family val="2"/>
      </rPr>
      <t>Laying and jointing 600 mm dia. NP- 2 class or IRC standard</t>
    </r>
    <r>
      <rPr>
        <b/>
        <sz val="14"/>
        <rFont val="Cambria"/>
        <family val="1"/>
      </rPr>
      <t xml:space="preserve"> hume pipes</t>
    </r>
    <r>
      <rPr>
        <sz val="14"/>
        <rFont val="Cambria"/>
        <family val="1"/>
      </rPr>
      <t xml:space="preserve"> in </t>
    </r>
    <r>
      <rPr>
        <b/>
        <sz val="14"/>
        <rFont val="Cambria"/>
        <family val="1"/>
      </rPr>
      <t>CM 1 : 2</t>
    </r>
    <r>
      <rPr>
        <sz val="14"/>
        <rFont val="Cambria"/>
        <family val="1"/>
      </rPr>
      <t xml:space="preserve"> </t>
    </r>
    <r>
      <rPr>
        <sz val="14"/>
        <rFont val="Arial"/>
        <family val="2"/>
      </rPr>
      <t xml:space="preserve">proportion by volume including cost of all materials ( excluding pipes and collars ), machinery, labour, aligning, packing joints with hemp, finishing, curing etc., complete </t>
    </r>
    <r>
      <rPr>
        <b/>
        <sz val="14"/>
        <rFont val="Arial"/>
        <family val="2"/>
      </rPr>
      <t xml:space="preserve">with </t>
    </r>
    <r>
      <rPr>
        <b/>
        <sz val="14"/>
        <rFont val="Cambria"/>
        <family val="1"/>
      </rPr>
      <t xml:space="preserve">initial lead upto 50 m and all lifts.(Cement content: 24.8 kg / joint, FA : 0.025cum/joint, Hemp Yarn : 0.22kg/joint) </t>
    </r>
  </si>
  <si>
    <r>
      <rPr>
        <b/>
        <sz val="14"/>
        <rFont val="Arial"/>
        <family val="2"/>
      </rPr>
      <t>Laying and jointing 700 mm dia. NP- 2 class or IRC standard</t>
    </r>
    <r>
      <rPr>
        <b/>
        <sz val="14"/>
        <rFont val="Cambria"/>
        <family val="1"/>
      </rPr>
      <t xml:space="preserve"> hume pipes</t>
    </r>
    <r>
      <rPr>
        <sz val="14"/>
        <rFont val="Cambria"/>
        <family val="1"/>
      </rPr>
      <t xml:space="preserve"> in </t>
    </r>
    <r>
      <rPr>
        <b/>
        <sz val="14"/>
        <rFont val="Cambria"/>
        <family val="1"/>
      </rPr>
      <t>CM 1 : 2</t>
    </r>
    <r>
      <rPr>
        <sz val="14"/>
        <rFont val="Cambria"/>
        <family val="1"/>
      </rPr>
      <t xml:space="preserve"> </t>
    </r>
    <r>
      <rPr>
        <sz val="14"/>
        <rFont val="Arial"/>
        <family val="2"/>
      </rPr>
      <t xml:space="preserve">proportion by volume including cost of all materials ( excluding pipes and collars ), machinery, labour, aligning, packing joints with hemp, finishing, curing etc., </t>
    </r>
    <r>
      <rPr>
        <sz val="14"/>
        <rFont val="Cambria"/>
        <family val="1"/>
      </rPr>
      <t xml:space="preserve">complete </t>
    </r>
    <r>
      <rPr>
        <b/>
        <sz val="14"/>
        <rFont val="Cambria"/>
        <family val="1"/>
      </rPr>
      <t xml:space="preserve">with initial lead upto 50 m and all lifts.(Cement content: 32.1 kg / joint, FA : 0.031cum/joint, Hemp Yarn : 0.25kg/joint) </t>
    </r>
  </si>
  <si>
    <r>
      <rPr>
        <b/>
        <sz val="14"/>
        <rFont val="Arial"/>
        <family val="2"/>
      </rPr>
      <t>Laying and jointing 800 mm dia. NP- 2 class or IRC standard</t>
    </r>
    <r>
      <rPr>
        <b/>
        <sz val="14"/>
        <rFont val="Cambria"/>
        <family val="1"/>
      </rPr>
      <t xml:space="preserve"> hume pipes</t>
    </r>
    <r>
      <rPr>
        <sz val="14"/>
        <rFont val="Cambria"/>
        <family val="1"/>
      </rPr>
      <t xml:space="preserve"> in </t>
    </r>
    <r>
      <rPr>
        <b/>
        <sz val="14"/>
        <rFont val="Cambria"/>
        <family val="1"/>
      </rPr>
      <t>CM 1 : 2</t>
    </r>
    <r>
      <rPr>
        <sz val="14"/>
        <rFont val="Cambria"/>
        <family val="1"/>
      </rPr>
      <t xml:space="preserve"> </t>
    </r>
    <r>
      <rPr>
        <sz val="14"/>
        <rFont val="Arial"/>
        <family val="2"/>
      </rPr>
      <t xml:space="preserve">proportion by volume including cost of all materials ( excluding pipes and collars ), machinery, labour, aligning, packing joints with hemp, finishing, curing etc., complete </t>
    </r>
    <r>
      <rPr>
        <b/>
        <sz val="14"/>
        <rFont val="Cambria"/>
        <family val="1"/>
      </rPr>
      <t xml:space="preserve">with initial lead upto 50 m and all lifts.(Cement content: 39.6 kg / joint, FA : 0.039cum/joint, Hemp Yarn : 0.31kg/joint) </t>
    </r>
  </si>
  <si>
    <r>
      <rPr>
        <b/>
        <sz val="14"/>
        <rFont val="Arial"/>
        <family val="2"/>
      </rPr>
      <t xml:space="preserve">Laying and jointing 900 mm dia. NP- 2 class or IRC standard </t>
    </r>
    <r>
      <rPr>
        <b/>
        <sz val="14"/>
        <rFont val="Cambria"/>
        <family val="1"/>
      </rPr>
      <t>hume pipes</t>
    </r>
    <r>
      <rPr>
        <sz val="14"/>
        <rFont val="Cambria"/>
        <family val="1"/>
      </rPr>
      <t xml:space="preserve"> in </t>
    </r>
    <r>
      <rPr>
        <b/>
        <sz val="14"/>
        <rFont val="Cambria"/>
        <family val="1"/>
      </rPr>
      <t>CM 1 : 2</t>
    </r>
    <r>
      <rPr>
        <sz val="14"/>
        <rFont val="Cambria"/>
        <family val="1"/>
      </rPr>
      <t xml:space="preserve"> </t>
    </r>
    <r>
      <rPr>
        <sz val="14"/>
        <rFont val="Arial"/>
        <family val="2"/>
      </rPr>
      <t xml:space="preserve">proportion by volume including cost of all materials ( excluding pipes and collars ), machinery, labour, aligning, packing joints with hemp, finishing, curing etc., complete </t>
    </r>
    <r>
      <rPr>
        <b/>
        <sz val="14"/>
        <rFont val="Cambria"/>
        <family val="1"/>
      </rPr>
      <t xml:space="preserve">with initial lead upto 50 m and all lifts.(Cement content: 44.6 kg / joint, FA : 0.045cum/joint, Hemp Yarn : 0.34kg/joint) </t>
    </r>
  </si>
  <si>
    <r>
      <rPr>
        <b/>
        <sz val="14"/>
        <rFont val="Arial"/>
        <family val="2"/>
      </rPr>
      <t>Laying and jointing 1000 mm dia. NP- 2 class or IRC standard</t>
    </r>
    <r>
      <rPr>
        <b/>
        <sz val="14"/>
        <rFont val="Cambria"/>
        <family val="1"/>
      </rPr>
      <t xml:space="preserve"> hume pipes</t>
    </r>
    <r>
      <rPr>
        <sz val="14"/>
        <rFont val="Cambria"/>
        <family val="1"/>
      </rPr>
      <t xml:space="preserve"> in </t>
    </r>
    <r>
      <rPr>
        <b/>
        <sz val="14"/>
        <rFont val="Cambria"/>
        <family val="1"/>
      </rPr>
      <t>CM 1 : 2</t>
    </r>
    <r>
      <rPr>
        <sz val="14"/>
        <rFont val="Cambria"/>
        <family val="1"/>
      </rPr>
      <t xml:space="preserve"> </t>
    </r>
    <r>
      <rPr>
        <sz val="14"/>
        <rFont val="Arial"/>
        <family val="2"/>
      </rPr>
      <t xml:space="preserve">proportion by volume including cost of all materials ( excluding pipes and collars ), machinery, labour, aligning, packing joints with hemp, finishing, curing etc., complete </t>
    </r>
    <r>
      <rPr>
        <b/>
        <sz val="14"/>
        <rFont val="Cambria"/>
        <family val="1"/>
      </rPr>
      <t xml:space="preserve">with initial lead upto 50 m and all lifts.(Cement content: 49.5 kg / joint, FA : 0.05cum/joint, Hemp Yarn : 0.377kg/joint) </t>
    </r>
  </si>
  <si>
    <r>
      <rPr>
        <b/>
        <sz val="14"/>
        <rFont val="Arial"/>
        <family val="2"/>
      </rPr>
      <t>Laying and jointing 1100 mm dia. NP- 2 class or IRC standard</t>
    </r>
    <r>
      <rPr>
        <b/>
        <sz val="14"/>
        <rFont val="Cambria"/>
        <family val="1"/>
      </rPr>
      <t xml:space="preserve"> hume pipes</t>
    </r>
    <r>
      <rPr>
        <sz val="14"/>
        <rFont val="Cambria"/>
        <family val="1"/>
      </rPr>
      <t xml:space="preserve"> in </t>
    </r>
    <r>
      <rPr>
        <b/>
        <sz val="14"/>
        <rFont val="Cambria"/>
        <family val="1"/>
      </rPr>
      <t>CM 1 : 2</t>
    </r>
    <r>
      <rPr>
        <sz val="14"/>
        <rFont val="Cambria"/>
        <family val="1"/>
      </rPr>
      <t xml:space="preserve"> </t>
    </r>
    <r>
      <rPr>
        <sz val="14"/>
        <rFont val="Arial"/>
        <family val="2"/>
      </rPr>
      <t xml:space="preserve">proportion by volume including cost of all materials ( excluding pipes and collars ), machinery, labour, aligning, packing joints with hemp, finishing, curing etc., complete </t>
    </r>
    <r>
      <rPr>
        <b/>
        <sz val="14"/>
        <rFont val="Cambria"/>
        <family val="1"/>
      </rPr>
      <t xml:space="preserve">with initial lead upto 50 m and all lifts.(Cement content: 56.9 kg / joint, FA : 0.058cum/joint, Hemp Yarn : 0.415kg/joint) </t>
    </r>
  </si>
  <si>
    <r>
      <rPr>
        <b/>
        <sz val="14"/>
        <rFont val="Arial"/>
        <family val="2"/>
      </rPr>
      <t>Laying and jointing 1200 mm dia. NP- 2 class or IRC standard</t>
    </r>
    <r>
      <rPr>
        <b/>
        <sz val="14"/>
        <rFont val="Cambria"/>
        <family val="1"/>
      </rPr>
      <t xml:space="preserve"> hume pipes</t>
    </r>
    <r>
      <rPr>
        <sz val="14"/>
        <rFont val="Cambria"/>
        <family val="1"/>
      </rPr>
      <t xml:space="preserve"> in </t>
    </r>
    <r>
      <rPr>
        <b/>
        <sz val="14"/>
        <rFont val="Cambria"/>
        <family val="1"/>
      </rPr>
      <t>CM 1 : 2</t>
    </r>
    <r>
      <rPr>
        <sz val="14"/>
        <rFont val="Cambria"/>
        <family val="1"/>
      </rPr>
      <t xml:space="preserve"> </t>
    </r>
    <r>
      <rPr>
        <sz val="14"/>
        <rFont val="Arial"/>
        <family val="2"/>
      </rPr>
      <t xml:space="preserve">proportion by volume including cost of all materials ( excluding pipes and collars ), machinery, labour, aligning, packing joints with hemp, finishing, curing etc., </t>
    </r>
    <r>
      <rPr>
        <sz val="14"/>
        <rFont val="Cambria"/>
        <family val="1"/>
      </rPr>
      <t xml:space="preserve">complete </t>
    </r>
    <r>
      <rPr>
        <b/>
        <sz val="14"/>
        <rFont val="Cambria"/>
        <family val="1"/>
      </rPr>
      <t xml:space="preserve">with initial lead upto 50 m and all lifts.(Cement content: 66.8 kg / joint, FA : 0.069cum/joint, Hemp Yarn : 0.453kg/joint) </t>
    </r>
  </si>
  <si>
    <r>
      <rPr>
        <b/>
        <sz val="14"/>
        <rFont val="Arial"/>
        <family val="2"/>
      </rPr>
      <t>Providing rubble / boulder and sand filling behind abutment and return walls</t>
    </r>
    <r>
      <rPr>
        <sz val="14"/>
        <rFont val="Arial"/>
        <family val="2"/>
      </rPr>
      <t xml:space="preserve"> in layers including cost of all materials, machinery, labour, watering, ramming etc., complete </t>
    </r>
    <r>
      <rPr>
        <b/>
        <sz val="14"/>
        <rFont val="Arial"/>
        <family val="2"/>
      </rPr>
      <t xml:space="preserve">with </t>
    </r>
    <r>
      <rPr>
        <b/>
        <sz val="14"/>
        <rFont val="Cambria"/>
        <family val="1"/>
      </rPr>
      <t>initial lead upto 50 m and initial lift upto 3 m.</t>
    </r>
  </si>
  <si>
    <r>
      <rPr>
        <b/>
        <sz val="14"/>
        <rFont val="Arial"/>
        <family val="2"/>
      </rPr>
      <t xml:space="preserve">Providing and </t>
    </r>
    <r>
      <rPr>
        <b/>
        <sz val="14"/>
        <rFont val="Cambria"/>
        <family val="1"/>
      </rPr>
      <t xml:space="preserve">filling murrum / gravely soil </t>
    </r>
    <r>
      <rPr>
        <b/>
        <sz val="14"/>
        <rFont val="Arial"/>
        <family val="2"/>
      </rPr>
      <t>( CNS soil ) for foundation or around pipes</t>
    </r>
    <r>
      <rPr>
        <sz val="14"/>
        <rFont val="Arial"/>
        <family val="2"/>
      </rPr>
      <t xml:space="preserve"> including breaking clods, spreading in layers of 10 to 15 cm, watering, </t>
    </r>
    <r>
      <rPr>
        <b/>
        <sz val="14"/>
        <rFont val="Arial"/>
        <family val="2"/>
      </rPr>
      <t>compaction by earth masters</t>
    </r>
    <r>
      <rPr>
        <sz val="14"/>
        <rFont val="Arial"/>
        <family val="2"/>
      </rPr>
      <t xml:space="preserve"> to achieve density control of </t>
    </r>
    <r>
      <rPr>
        <b/>
        <sz val="14"/>
        <rFont val="Cambria"/>
        <family val="1"/>
      </rPr>
      <t xml:space="preserve">not less than 95 percent </t>
    </r>
    <r>
      <rPr>
        <sz val="14"/>
        <rFont val="Arial"/>
        <family val="2"/>
      </rPr>
      <t xml:space="preserve">etc., </t>
    </r>
    <r>
      <rPr>
        <sz val="14"/>
        <rFont val="Cambria"/>
        <family val="1"/>
      </rPr>
      <t xml:space="preserve">complete </t>
    </r>
    <r>
      <rPr>
        <b/>
        <sz val="14"/>
        <rFont val="Cambria"/>
        <family val="1"/>
      </rPr>
      <t>with lead upto 50 m and all lifts.</t>
    </r>
  </si>
  <si>
    <r>
      <rPr>
        <b/>
        <sz val="14"/>
        <rFont val="Arial"/>
        <family val="2"/>
      </rPr>
      <t xml:space="preserve">Providing and </t>
    </r>
    <r>
      <rPr>
        <b/>
        <sz val="14"/>
        <rFont val="Cambria"/>
        <family val="1"/>
      </rPr>
      <t>filling murum / gravely soil</t>
    </r>
    <r>
      <rPr>
        <b/>
        <sz val="14"/>
        <rFont val="Arial"/>
        <family val="2"/>
      </rPr>
      <t xml:space="preserve"> ( CNS soil ) </t>
    </r>
    <r>
      <rPr>
        <b/>
        <sz val="14"/>
        <rFont val="Cambria"/>
        <family val="1"/>
      </rPr>
      <t>for foundation or above pipes</t>
    </r>
    <r>
      <rPr>
        <sz val="14"/>
        <rFont val="Cambria"/>
        <family val="1"/>
      </rPr>
      <t xml:space="preserve"> </t>
    </r>
    <r>
      <rPr>
        <sz val="14"/>
        <rFont val="Arial"/>
        <family val="2"/>
      </rPr>
      <t xml:space="preserve">including breaking clods, spreading in layers of 10 to 15 cm, watering, </t>
    </r>
    <r>
      <rPr>
        <b/>
        <sz val="14"/>
        <rFont val="Arial"/>
        <family val="2"/>
      </rPr>
      <t>compaction by power roller</t>
    </r>
    <r>
      <rPr>
        <sz val="14"/>
        <rFont val="Arial"/>
        <family val="2"/>
      </rPr>
      <t xml:space="preserve"> to achieve density </t>
    </r>
    <r>
      <rPr>
        <b/>
        <sz val="14"/>
        <rFont val="Arial"/>
        <family val="2"/>
      </rPr>
      <t xml:space="preserve">control of </t>
    </r>
    <r>
      <rPr>
        <b/>
        <sz val="14"/>
        <rFont val="Cambria"/>
        <family val="1"/>
      </rPr>
      <t xml:space="preserve">not less than 98 percent </t>
    </r>
    <r>
      <rPr>
        <sz val="14"/>
        <rFont val="Arial"/>
        <family val="2"/>
      </rPr>
      <t xml:space="preserve">etc., complete </t>
    </r>
    <r>
      <rPr>
        <b/>
        <sz val="14"/>
        <rFont val="Cambria"/>
        <family val="1"/>
      </rPr>
      <t>with lead upto 50 m and all lifts.</t>
    </r>
  </si>
  <si>
    <r>
      <t xml:space="preserve">Providing and </t>
    </r>
    <r>
      <rPr>
        <b/>
        <sz val="14"/>
        <rFont val="Arial"/>
        <family val="2"/>
      </rPr>
      <t xml:space="preserve">fixing </t>
    </r>
    <r>
      <rPr>
        <b/>
        <sz val="14"/>
        <rFont val="Cambria"/>
        <family val="1"/>
      </rPr>
      <t>one line dressed</t>
    </r>
    <r>
      <rPr>
        <b/>
        <sz val="14"/>
        <rFont val="Arial"/>
        <family val="2"/>
      </rPr>
      <t xml:space="preserve"> 111x35x25 cm thick </t>
    </r>
    <r>
      <rPr>
        <b/>
        <sz val="14"/>
        <rFont val="Cambria"/>
        <family val="1"/>
      </rPr>
      <t xml:space="preserve">IRC standard kilometre stone </t>
    </r>
    <r>
      <rPr>
        <b/>
        <sz val="14"/>
        <rFont val="Arial"/>
        <family val="2"/>
      </rPr>
      <t xml:space="preserve">in cement concrete </t>
    </r>
    <r>
      <rPr>
        <b/>
        <sz val="14"/>
        <rFont val="Cambria"/>
        <family val="1"/>
      </rPr>
      <t xml:space="preserve">M-10 </t>
    </r>
    <r>
      <rPr>
        <sz val="14"/>
        <rFont val="Arial"/>
        <family val="2"/>
      </rPr>
      <t>grade with</t>
    </r>
    <r>
      <rPr>
        <sz val="14"/>
        <rFont val="Cambria"/>
        <family val="1"/>
      </rPr>
      <t xml:space="preserve"> </t>
    </r>
    <r>
      <rPr>
        <b/>
        <sz val="14"/>
        <rFont val="Cambria"/>
        <family val="1"/>
      </rPr>
      <t>40 mm down size</t>
    </r>
    <r>
      <rPr>
        <sz val="14"/>
        <rFont val="Cambria"/>
        <family val="1"/>
      </rPr>
      <t xml:space="preserve"> </t>
    </r>
    <r>
      <rPr>
        <sz val="14"/>
        <rFont val="Arial"/>
        <family val="2"/>
      </rPr>
      <t xml:space="preserve">aggregates including excavating pit of size 70x45x40 cm, embedding the stone by 30 cm in concrete, providing 2 coats synthetic enamel paint of approved quality and colour to exposed surfaces and lettering as directed, cost of all materials, labour, finishing, curing etc., complete </t>
    </r>
    <r>
      <rPr>
        <b/>
        <sz val="14"/>
        <rFont val="Cambria"/>
        <family val="1"/>
      </rPr>
      <t>with initial lead upto 50 m and all lifts.</t>
    </r>
  </si>
  <si>
    <r>
      <t xml:space="preserve">Providing and </t>
    </r>
    <r>
      <rPr>
        <b/>
        <sz val="14"/>
        <rFont val="Arial"/>
        <family val="2"/>
      </rPr>
      <t xml:space="preserve">fixing </t>
    </r>
    <r>
      <rPr>
        <b/>
        <sz val="14"/>
        <rFont val="Cambria"/>
        <family val="1"/>
      </rPr>
      <t xml:space="preserve">one line dressed </t>
    </r>
    <r>
      <rPr>
        <b/>
        <sz val="14"/>
        <rFont val="Arial"/>
        <family val="2"/>
      </rPr>
      <t xml:space="preserve">65x15x10 cm thick </t>
    </r>
    <r>
      <rPr>
        <b/>
        <sz val="14"/>
        <rFont val="Cambria"/>
        <family val="1"/>
      </rPr>
      <t xml:space="preserve">IRC standard hectometre stone </t>
    </r>
    <r>
      <rPr>
        <b/>
        <sz val="14"/>
        <rFont val="Arial"/>
        <family val="2"/>
      </rPr>
      <t xml:space="preserve">in cement concrete </t>
    </r>
    <r>
      <rPr>
        <b/>
        <sz val="14"/>
        <rFont val="Cambria"/>
        <family val="1"/>
      </rPr>
      <t>M-10</t>
    </r>
    <r>
      <rPr>
        <sz val="14"/>
        <rFont val="Cambria"/>
        <family val="1"/>
      </rPr>
      <t xml:space="preserve"> </t>
    </r>
    <r>
      <rPr>
        <sz val="14"/>
        <rFont val="Arial"/>
        <family val="2"/>
      </rPr>
      <t xml:space="preserve">grade with </t>
    </r>
    <r>
      <rPr>
        <b/>
        <sz val="14"/>
        <rFont val="Cambria"/>
        <family val="1"/>
      </rPr>
      <t>40 mm down size</t>
    </r>
    <r>
      <rPr>
        <sz val="14"/>
        <rFont val="Cambria"/>
        <family val="1"/>
      </rPr>
      <t xml:space="preserve"> </t>
    </r>
    <r>
      <rPr>
        <sz val="14"/>
        <rFont val="Arial"/>
        <family val="2"/>
      </rPr>
      <t xml:space="preserve">aggregates including excavating pit of size 50x45x40 cm, embedding the stone by 30 cm in concrete, providing 2 coats synthetic enamel paint of approved quality and colour to exposed surfaces and lettering as directed, cost of all materials, labour, finishing, curing etc., complete </t>
    </r>
    <r>
      <rPr>
        <b/>
        <sz val="14"/>
        <rFont val="Cambria"/>
        <family val="1"/>
      </rPr>
      <t>with initial lead upto 50 m and all lifts.</t>
    </r>
  </si>
  <si>
    <r>
      <rPr>
        <b/>
        <u/>
        <sz val="14"/>
        <rFont val="Arial"/>
        <family val="2"/>
      </rPr>
      <t xml:space="preserve"> SPILLWAY RADIAL GATES</t>
    </r>
    <r>
      <rPr>
        <sz val="14"/>
        <rFont val="Arial"/>
        <family val="2"/>
      </rPr>
      <t xml:space="preserve">
</t>
    </r>
    <r>
      <rPr>
        <b/>
        <sz val="14"/>
        <rFont val="Arial"/>
        <family val="2"/>
      </rPr>
      <t>E.M Parts and anchorages</t>
    </r>
    <r>
      <rPr>
        <sz val="14"/>
        <rFont val="Arial"/>
        <family val="2"/>
      </rPr>
      <t xml:space="preserve">
 fabrication, supply, erection, testing and </t>
    </r>
    <r>
      <rPr>
        <b/>
        <sz val="14"/>
        <rFont val="Arial"/>
        <family val="2"/>
      </rPr>
      <t>commissioning of embedded parts for radial gate</t>
    </r>
    <r>
      <rPr>
        <sz val="14"/>
        <rFont val="Arial"/>
        <family val="2"/>
      </rPr>
      <t xml:space="preserve"> consists of sill beam, wall plates, anchor girders , yoke girders, tie flats, trunnion supports etc., including cost of all materials, machinery, labour, welding, finishing, </t>
    </r>
    <r>
      <rPr>
        <b/>
        <sz val="14"/>
        <rFont val="Arial"/>
        <family val="2"/>
      </rPr>
      <t xml:space="preserve"> with  </t>
    </r>
    <r>
      <rPr>
        <b/>
        <sz val="14"/>
        <rFont val="Cambria"/>
        <family val="1"/>
      </rPr>
      <t xml:space="preserve">leads and lifts &amp;all accessories </t>
    </r>
    <r>
      <rPr>
        <sz val="14"/>
        <rFont val="Cambria"/>
        <family val="1"/>
      </rPr>
      <t xml:space="preserve">
(without painting on sand-blasted or mechanical cleaning surfaces which are added extra as per scedule of rates under itemsinthis chapter and add as applicable separately)</t>
    </r>
  </si>
  <si>
    <r>
      <rPr>
        <b/>
        <u/>
        <sz val="14"/>
        <rFont val="Arial"/>
        <family val="2"/>
      </rPr>
      <t xml:space="preserve">  RADIAL GATES</t>
    </r>
    <r>
      <rPr>
        <sz val="14"/>
        <rFont val="Arial"/>
        <family val="2"/>
      </rPr>
      <t xml:space="preserve">
 fabrication, supply, erection, testing and </t>
    </r>
    <r>
      <rPr>
        <b/>
        <sz val="14"/>
        <rFont val="Arial"/>
        <family val="2"/>
      </rPr>
      <t xml:space="preserve">commissioning of </t>
    </r>
    <r>
      <rPr>
        <b/>
        <sz val="14"/>
        <rFont val="Cambria"/>
        <family val="1"/>
      </rPr>
      <t>radial gate</t>
    </r>
    <r>
      <rPr>
        <sz val="14"/>
        <rFont val="Arial"/>
        <family val="2"/>
      </rPr>
      <t xml:space="preserve"> consisting of skin plate, stiffeners, horizontal girders, radial arms, trunnion assemblies, tie beam, pulley supports, bracings, rubber seals, clamps etc., with all accessories </t>
    </r>
    <r>
      <rPr>
        <sz val="14"/>
        <rFont val="Cambria"/>
        <family val="1"/>
      </rPr>
      <t xml:space="preserve">for spillway/canals </t>
    </r>
    <r>
      <rPr>
        <sz val="14"/>
        <rFont val="Arial"/>
        <family val="2"/>
      </rPr>
      <t xml:space="preserve">including cost of all materials, machinery, labour,  seal fixing etc., </t>
    </r>
    <r>
      <rPr>
        <b/>
        <sz val="14"/>
        <rFont val="Arial"/>
        <family val="2"/>
      </rPr>
      <t xml:space="preserve">complete as per specifications and approved drawings </t>
    </r>
    <r>
      <rPr>
        <sz val="14"/>
        <rFont val="Arial"/>
        <family val="2"/>
      </rPr>
      <t xml:space="preserve">
</t>
    </r>
    <r>
      <rPr>
        <sz val="14"/>
        <rFont val="Cambria"/>
        <family val="1"/>
      </rPr>
      <t>(without painting on sand-blasted or mechanical cleaning surfaces which are added extra as per scedule of rates under itemsinthis chapter and add as applicable separately)</t>
    </r>
  </si>
  <si>
    <r>
      <rPr>
        <b/>
        <u/>
        <sz val="14"/>
        <rFont val="Arial"/>
        <family val="2"/>
      </rPr>
      <t>RADIAL GATES-ROPE DRUM HOISTS    WITH  HOIST BRIDGES</t>
    </r>
    <r>
      <rPr>
        <sz val="14"/>
        <rFont val="Arial"/>
        <family val="2"/>
      </rPr>
      <t xml:space="preserve">
 fabrication, supply, erection, testing and </t>
    </r>
    <r>
      <rPr>
        <b/>
        <sz val="14"/>
        <rFont val="Arial"/>
        <family val="2"/>
      </rPr>
      <t xml:space="preserve">commissioning of electrically operated </t>
    </r>
    <r>
      <rPr>
        <b/>
        <sz val="14"/>
        <rFont val="Cambria"/>
        <family val="1"/>
      </rPr>
      <t xml:space="preserve">rope drum hoist </t>
    </r>
    <r>
      <rPr>
        <b/>
        <sz val="14"/>
        <rFont val="Arial"/>
        <family val="2"/>
      </rPr>
      <t>of adequate capacity</t>
    </r>
    <r>
      <rPr>
        <sz val="14"/>
        <rFont val="Arial"/>
        <family val="2"/>
      </rPr>
      <t xml:space="preserve"> consisting of base frames, rope drums,connecting shaft, gear system, brake system, electric motor, wire ropes, gate position indicator, manual operation arrangement etc., with all accessories </t>
    </r>
    <r>
      <rPr>
        <sz val="14"/>
        <rFont val="Cambria"/>
        <family val="1"/>
      </rPr>
      <t xml:space="preserve">for spillway radial gate </t>
    </r>
    <r>
      <rPr>
        <sz val="14"/>
        <rFont val="Arial"/>
        <family val="2"/>
      </rPr>
      <t xml:space="preserve">including cost of all materials, machinery, labour,, greasing, providing hand railing and approach staircase with gate to hoist platform, , </t>
    </r>
    <r>
      <rPr>
        <b/>
        <sz val="14"/>
        <rFont val="Arial"/>
        <family val="2"/>
      </rPr>
      <t xml:space="preserve">complete as per specifications and approved drawings  </t>
    </r>
    <r>
      <rPr>
        <sz val="14"/>
        <rFont val="Arial"/>
        <family val="2"/>
      </rPr>
      <t xml:space="preserve">
</t>
    </r>
    <r>
      <rPr>
        <sz val="14"/>
        <rFont val="Cambria"/>
        <family val="1"/>
      </rPr>
      <t>(without painting on sand-blasted or mechanical cleaning surfaces which are added extra as per scedule of rates under itemsinthis chapter and add as applicable separately)</t>
    </r>
  </si>
  <si>
    <r>
      <rPr>
        <b/>
        <u/>
        <sz val="14"/>
        <rFont val="Arial"/>
        <family val="2"/>
      </rPr>
      <t xml:space="preserve">RADIAL GATES </t>
    </r>
    <r>
      <rPr>
        <sz val="14"/>
        <rFont val="Arial"/>
        <family val="2"/>
      </rPr>
      <t xml:space="preserve">
</t>
    </r>
    <r>
      <rPr>
        <b/>
        <sz val="14"/>
        <rFont val="Cambria"/>
        <family val="1"/>
      </rPr>
      <t xml:space="preserve">Walk way(cat walk) </t>
    </r>
    <r>
      <rPr>
        <sz val="14"/>
        <rFont val="Cambria"/>
        <family val="1"/>
      </rPr>
      <t xml:space="preserve">
</t>
    </r>
    <r>
      <rPr>
        <sz val="14"/>
        <rFont val="Arial"/>
        <family val="2"/>
      </rPr>
      <t xml:space="preserve">Design, fabrication, supply, erection and </t>
    </r>
    <r>
      <rPr>
        <b/>
        <sz val="14"/>
        <rFont val="Arial"/>
        <family val="2"/>
      </rPr>
      <t xml:space="preserve">commissioning of </t>
    </r>
    <r>
      <rPr>
        <b/>
        <sz val="14"/>
        <rFont val="Cambria"/>
        <family val="1"/>
      </rPr>
      <t>1 metre wide walkway connecting spillway piers / abutments</t>
    </r>
    <r>
      <rPr>
        <sz val="14"/>
        <rFont val="Cambria"/>
        <family val="1"/>
      </rPr>
      <t xml:space="preserve"> at trunnion platform level</t>
    </r>
    <r>
      <rPr>
        <sz val="14"/>
        <rFont val="Arial"/>
        <family val="2"/>
      </rPr>
      <t xml:space="preserve"> including cost of all materials, machinery, labour, cutting,  etc., complete </t>
    </r>
    <r>
      <rPr>
        <b/>
        <sz val="14"/>
        <rFont val="Arial"/>
        <family val="2"/>
      </rPr>
      <t xml:space="preserve">as per specifications and approved drawings </t>
    </r>
    <r>
      <rPr>
        <sz val="14"/>
        <rFont val="Arial"/>
        <family val="2"/>
      </rPr>
      <t xml:space="preserve"> 
</t>
    </r>
    <r>
      <rPr>
        <sz val="14"/>
        <rFont val="Cambria"/>
        <family val="1"/>
      </rPr>
      <t>(without painting on sand-blasted or mechanical cleaning surfaces which are added extra as per scedule of rates under items in this chapter and add as applicable separately)</t>
    </r>
  </si>
  <si>
    <r>
      <rPr>
        <b/>
        <u/>
        <sz val="14"/>
        <rFont val="Arial"/>
        <family val="2"/>
      </rPr>
      <t>VERTICAL LIFT GATES-EM PARTS</t>
    </r>
    <r>
      <rPr>
        <sz val="14"/>
        <rFont val="Arial"/>
        <family val="2"/>
      </rPr>
      <t xml:space="preserve">
Design, fabrication, supply, erection and </t>
    </r>
    <r>
      <rPr>
        <b/>
        <sz val="14"/>
        <rFont val="Arial"/>
        <family val="2"/>
      </rPr>
      <t xml:space="preserve">commissioning of </t>
    </r>
    <r>
      <rPr>
        <b/>
        <sz val="14"/>
        <rFont val="Cambria"/>
        <family val="1"/>
      </rPr>
      <t>embedded parts</t>
    </r>
    <r>
      <rPr>
        <sz val="14"/>
        <rFont val="Arial"/>
        <family val="2"/>
      </rPr>
      <t xml:space="preserve"> consisting of sill beam, slide tracks, seal seats, guide rails, dogging sets for storage of stoplog elements etc., with all accessories for spillway stop log gates and other vertical lift elements including cost of all materials, machinery, labour, etc., </t>
    </r>
    <r>
      <rPr>
        <b/>
        <sz val="14"/>
        <rFont val="Arial"/>
        <family val="2"/>
      </rPr>
      <t xml:space="preserve">complete as per specifications and approved drawings </t>
    </r>
    <r>
      <rPr>
        <sz val="14"/>
        <rFont val="Arial"/>
        <family val="2"/>
      </rPr>
      <t xml:space="preserve">
</t>
    </r>
    <r>
      <rPr>
        <sz val="14"/>
        <rFont val="Cambria"/>
        <family val="1"/>
      </rPr>
      <t>(without painting on sand-blasted or mechanical cleaning surfaces which are added extra as per scedule of rates under items in this chapter and add as applicable separately)</t>
    </r>
  </si>
  <si>
    <r>
      <rPr>
        <b/>
        <u/>
        <sz val="14"/>
        <rFont val="Arial"/>
        <family val="2"/>
      </rPr>
      <t xml:space="preserve"> vertical lift gates and stop log gate elements   ( SLIDING GATES) </t>
    </r>
    <r>
      <rPr>
        <sz val="14"/>
        <rFont val="Arial"/>
        <family val="2"/>
      </rPr>
      <t xml:space="preserve">
Design, fabrication, supply, erection, testing and </t>
    </r>
    <r>
      <rPr>
        <b/>
        <sz val="14"/>
        <rFont val="Arial"/>
        <family val="2"/>
      </rPr>
      <t xml:space="preserve">commissioning of vertical lift  gates and  </t>
    </r>
    <r>
      <rPr>
        <b/>
        <sz val="14"/>
        <rFont val="Cambria"/>
        <family val="1"/>
      </rPr>
      <t>stoplog gate elements</t>
    </r>
    <r>
      <rPr>
        <sz val="14"/>
        <rFont val="Arial"/>
        <family val="2"/>
      </rPr>
      <t>, consisting of skin plate, horizontal and vertical girders, stiffeners, lifting pins, bronze padded slide blocks/bearings, guide shoes, rubber seals, clamps etc., with all accessories  including cost of all materials, machinery, labour,  seal fixing etc.,</t>
    </r>
    <r>
      <rPr>
        <b/>
        <sz val="14"/>
        <rFont val="Arial"/>
        <family val="2"/>
      </rPr>
      <t xml:space="preserve">complete as per specifications and approved drawings </t>
    </r>
    <r>
      <rPr>
        <sz val="14"/>
        <rFont val="Arial"/>
        <family val="2"/>
      </rPr>
      <t xml:space="preserve"> 
</t>
    </r>
    <r>
      <rPr>
        <sz val="14"/>
        <rFont val="Cambria"/>
        <family val="1"/>
      </rPr>
      <t>(without painting on sand-blasted or mechanical cleaning surfaces which are added extra as perscedule of rates under items in this chapter and add as applicable separately)2</t>
    </r>
  </si>
  <si>
    <r>
      <rPr>
        <b/>
        <u/>
        <sz val="14"/>
        <rFont val="Arial"/>
        <family val="2"/>
      </rPr>
      <t>STOP LOGS-automatic lifting beam</t>
    </r>
    <r>
      <rPr>
        <sz val="14"/>
        <rFont val="Arial"/>
        <family val="2"/>
      </rPr>
      <t xml:space="preserve">
 fabrication, supply, erection, testing and </t>
    </r>
    <r>
      <rPr>
        <b/>
        <sz val="14"/>
        <rFont val="Arial"/>
        <family val="2"/>
      </rPr>
      <t xml:space="preserve">commissioning of </t>
    </r>
    <r>
      <rPr>
        <b/>
        <sz val="14"/>
        <rFont val="Cambria"/>
        <family val="1"/>
      </rPr>
      <t>automatic lifting beam</t>
    </r>
    <r>
      <rPr>
        <sz val="14"/>
        <rFont val="Cambria"/>
        <family val="1"/>
      </rPr>
      <t xml:space="preserve"> </t>
    </r>
    <r>
      <rPr>
        <sz val="14"/>
        <rFont val="Arial"/>
        <family val="2"/>
      </rPr>
      <t xml:space="preserve">with all accessories for handling, lowering and lifting of </t>
    </r>
    <r>
      <rPr>
        <sz val="14"/>
        <rFont val="Cambria"/>
        <family val="1"/>
      </rPr>
      <t xml:space="preserve">spillway stop log gate elements </t>
    </r>
    <r>
      <rPr>
        <sz val="14"/>
        <rFont val="Arial"/>
        <family val="2"/>
      </rPr>
      <t xml:space="preserve">including cost of all materials, machinery, labour, cutting, aligning, welding, finishing, etc., complete </t>
    </r>
    <r>
      <rPr>
        <b/>
        <sz val="14"/>
        <rFont val="Arial"/>
        <family val="2"/>
      </rPr>
      <t xml:space="preserve">as per specifications and drawings </t>
    </r>
    <r>
      <rPr>
        <b/>
        <sz val="14"/>
        <rFont val="Cambria"/>
        <family val="1"/>
      </rPr>
      <t>with all leads and lifts.</t>
    </r>
    <r>
      <rPr>
        <sz val="14"/>
        <rFont val="Cambria"/>
        <family val="1"/>
      </rPr>
      <t xml:space="preserve">
(without painting on sand-blasted or mechanical cleaning surfaces which are added extra as per scedule of rates under items in this chapter and add as applicable separately)</t>
    </r>
  </si>
  <si>
    <r>
      <rPr>
        <b/>
        <u/>
        <sz val="14"/>
        <rFont val="Arial"/>
        <family val="2"/>
      </rPr>
      <t xml:space="preserve"> MOVING GANTRY CRANE-CLASS II</t>
    </r>
    <r>
      <rPr>
        <sz val="14"/>
        <rFont val="Arial"/>
        <family val="2"/>
      </rPr>
      <t xml:space="preserve">
 fabrication, supply, erection, testing and </t>
    </r>
    <r>
      <rPr>
        <b/>
        <sz val="14"/>
        <rFont val="Arial"/>
        <family val="2"/>
      </rPr>
      <t xml:space="preserve">commissioning of adequate capacity </t>
    </r>
    <r>
      <rPr>
        <b/>
        <sz val="14"/>
        <rFont val="Cambria"/>
        <family val="1"/>
      </rPr>
      <t>Class- II type moving gantry crane</t>
    </r>
    <r>
      <rPr>
        <sz val="14"/>
        <rFont val="Cambria"/>
        <family val="1"/>
      </rPr>
      <t xml:space="preserve"> </t>
    </r>
    <r>
      <rPr>
        <sz val="14"/>
        <rFont val="Arial"/>
        <family val="2"/>
      </rPr>
      <t xml:space="preserve">consisting of rail mounted gantry frame, top platform with hand railing, long / cross travel arrangements, rope drums, gear systems, electric motors, electro-magnetic brake system, cabin, control panel, wire rope, ladder, motorised cable reeling drum etc., with all accessories for operating spillway stop log gate elements and river sluice / canal sluice emergency gates including cost of all materials, machinery, labour, etc., </t>
    </r>
    <r>
      <rPr>
        <b/>
        <sz val="14"/>
        <rFont val="Cambria"/>
        <family val="1"/>
      </rPr>
      <t xml:space="preserve">complete with all leads and lifts. </t>
    </r>
    <r>
      <rPr>
        <sz val="14"/>
        <rFont val="Cambria"/>
        <family val="1"/>
      </rPr>
      <t xml:space="preserve">
(without painting on sand-blasted or mechanical cleaning surfaces which are added extra as per scedule of rates under items in this chapter and add as applicable separately)</t>
    </r>
  </si>
  <si>
    <r>
      <rPr>
        <b/>
        <u/>
        <sz val="14"/>
        <rFont val="Arial"/>
        <family val="2"/>
      </rPr>
      <t>RAIL TRACK  FOR GANTRY CRANE</t>
    </r>
    <r>
      <rPr>
        <sz val="14"/>
        <rFont val="Arial"/>
        <family val="2"/>
      </rPr>
      <t xml:space="preserve">
Design, fabrication, supply, erection and </t>
    </r>
    <r>
      <rPr>
        <b/>
        <sz val="14"/>
        <rFont val="Arial"/>
        <family val="2"/>
      </rPr>
      <t xml:space="preserve">commissioning of </t>
    </r>
    <r>
      <rPr>
        <b/>
        <sz val="14"/>
        <rFont val="Cambria"/>
        <family val="1"/>
      </rPr>
      <t xml:space="preserve">rail track </t>
    </r>
    <r>
      <rPr>
        <b/>
        <sz val="14"/>
        <rFont val="Arial"/>
        <family val="2"/>
      </rPr>
      <t>using 45 kg / m standard rails on spillway bridge</t>
    </r>
    <r>
      <rPr>
        <sz val="14"/>
        <rFont val="Arial"/>
        <family val="2"/>
      </rPr>
      <t xml:space="preserve"> </t>
    </r>
    <r>
      <rPr>
        <sz val="14"/>
        <rFont val="Cambria"/>
        <family val="1"/>
      </rPr>
      <t xml:space="preserve">for movement of gantry crane for handling and operating spillway </t>
    </r>
    <r>
      <rPr>
        <sz val="14"/>
        <rFont val="Arial"/>
        <family val="2"/>
      </rPr>
      <t xml:space="preserve">stoplog gate elements / river sluice / canal sluice emergency gate including cost of all materials, machinery, labour,  </t>
    </r>
    <r>
      <rPr>
        <b/>
        <sz val="14"/>
        <rFont val="Arial"/>
        <family val="2"/>
      </rPr>
      <t>complete as per specifications</t>
    </r>
    <r>
      <rPr>
        <sz val="14"/>
        <rFont val="Arial"/>
        <family val="2"/>
      </rPr>
      <t xml:space="preserve">
</t>
    </r>
    <r>
      <rPr>
        <sz val="14"/>
        <rFont val="Cambria"/>
        <family val="1"/>
      </rPr>
      <t xml:space="preserve">(without painting on sand-blasted or mechanical cleaning surfaces which are added extra as per scedule of rates under items in this chapter and add as applicable separately) </t>
    </r>
  </si>
  <si>
    <r>
      <rPr>
        <b/>
        <u/>
        <sz val="14"/>
        <rFont val="Arial"/>
        <family val="2"/>
      </rPr>
      <t>VERTICAL LIFT GATES/STOP LOGS -  ROLLER MOUNTED</t>
    </r>
    <r>
      <rPr>
        <sz val="14"/>
        <rFont val="Arial"/>
        <family val="2"/>
      </rPr>
      <t xml:space="preserve">
Design, fabrication, supply, erection, testing and </t>
    </r>
    <r>
      <rPr>
        <b/>
        <sz val="14"/>
        <rFont val="Arial"/>
        <family val="2"/>
      </rPr>
      <t>commissioning of</t>
    </r>
    <r>
      <rPr>
        <b/>
        <sz val="14"/>
        <rFont val="Cambria"/>
        <family val="1"/>
      </rPr>
      <t xml:space="preserve"> fixed wheel type vertical lift service gate</t>
    </r>
    <r>
      <rPr>
        <sz val="14"/>
        <rFont val="Cambria"/>
        <family val="1"/>
      </rPr>
      <t xml:space="preserve"> </t>
    </r>
    <r>
      <rPr>
        <sz val="14"/>
        <rFont val="Arial"/>
        <family val="2"/>
      </rPr>
      <t xml:space="preserve">consisting of skin plate, vertical and horizontal girders, wheels, stiffeners, lifting brackets, guide rollers, ballast blocks, teflon claded rubber seals etc., with all accessories </t>
    </r>
    <r>
      <rPr>
        <sz val="14"/>
        <rFont val="Cambria"/>
        <family val="1"/>
      </rPr>
      <t>for river sluice / canal sluice vent</t>
    </r>
    <r>
      <rPr>
        <sz val="14"/>
        <rFont val="Arial"/>
        <family val="2"/>
      </rPr>
      <t xml:space="preserve"> including cost of all materials, machinery, labour,welding ,aligning finishing</t>
    </r>
    <r>
      <rPr>
        <sz val="14"/>
        <rFont val="Cambria"/>
        <family val="1"/>
      </rPr>
      <t xml:space="preserve"> seal fixing etc.with all leads and lifts, </t>
    </r>
    <r>
      <rPr>
        <b/>
        <sz val="14"/>
        <rFont val="Arial"/>
        <family val="2"/>
      </rPr>
      <t xml:space="preserve">complete as per specifications and approved drawings </t>
    </r>
    <r>
      <rPr>
        <sz val="14"/>
        <rFont val="Arial"/>
        <family val="2"/>
      </rPr>
      <t xml:space="preserve">
</t>
    </r>
    <r>
      <rPr>
        <sz val="14"/>
        <rFont val="Cambria"/>
        <family val="1"/>
      </rPr>
      <t>(without painting on sand-blasted or mechanical cleaning surfaces which are added extra as per scedule of rates under items in this chapter and add as applicable separately)</t>
    </r>
  </si>
  <si>
    <r>
      <rPr>
        <b/>
        <u/>
        <sz val="14"/>
        <rFont val="Arial"/>
        <family val="2"/>
      </rPr>
      <t>VERTICAL LIFT GATES-ROPE DRUM HOIST UPTO 30 TON  CAP. POWER OPERATED</t>
    </r>
    <r>
      <rPr>
        <sz val="14"/>
        <rFont val="Arial"/>
        <family val="2"/>
      </rPr>
      <t xml:space="preserve">
Design, fabrication, supply, erection, testing and </t>
    </r>
    <r>
      <rPr>
        <b/>
        <sz val="14"/>
        <rFont val="Arial"/>
        <family val="2"/>
      </rPr>
      <t>commissioning of adequate capacity</t>
    </r>
    <r>
      <rPr>
        <b/>
        <sz val="14"/>
        <rFont val="Cambria"/>
        <family val="1"/>
      </rPr>
      <t xml:space="preserve"> rope drum hoist</t>
    </r>
    <r>
      <rPr>
        <sz val="14"/>
        <rFont val="Cambria"/>
        <family val="1"/>
      </rPr>
      <t xml:space="preserve"> </t>
    </r>
    <r>
      <rPr>
        <sz val="14"/>
        <rFont val="Arial"/>
        <family val="2"/>
      </rPr>
      <t xml:space="preserve">consisting of hoist platform, rope drum, gear system, electric motor, electro-magnetic brake system, hand operation assembly, control panel, wire rope, pulleys, ladder etc., with all accessories for operating river sluice / canal sluice service gate including cost of all materials, machinery, labour, , </t>
    </r>
    <r>
      <rPr>
        <b/>
        <sz val="14"/>
        <rFont val="Arial"/>
        <family val="2"/>
      </rPr>
      <t xml:space="preserve">complete as per specifications and drawings </t>
    </r>
    <r>
      <rPr>
        <b/>
        <sz val="14"/>
        <rFont val="Cambria"/>
        <family val="1"/>
      </rPr>
      <t>with all leads and lifts</t>
    </r>
    <r>
      <rPr>
        <sz val="14"/>
        <rFont val="Cambria"/>
        <family val="1"/>
      </rPr>
      <t xml:space="preserve">
(without painting on sand-blasted or mechanical cleaning surfaces which are added extra as per scedule of rates under items in this chapter and add as applicable separately)</t>
    </r>
  </si>
  <si>
    <r>
      <rPr>
        <b/>
        <u/>
        <sz val="14"/>
        <rFont val="Arial"/>
        <family val="2"/>
      </rPr>
      <t>HOIST BRIDGE/ WITH TRESSELS</t>
    </r>
    <r>
      <rPr>
        <sz val="14"/>
        <rFont val="Arial"/>
        <family val="2"/>
      </rPr>
      <t xml:space="preserve">
Design, fabrication, supply, erection and </t>
    </r>
    <r>
      <rPr>
        <b/>
        <sz val="14"/>
        <rFont val="Arial"/>
        <family val="2"/>
      </rPr>
      <t xml:space="preserve">commissioning of </t>
    </r>
    <r>
      <rPr>
        <b/>
        <sz val="14"/>
        <rFont val="Cambria"/>
        <family val="1"/>
      </rPr>
      <t>structural steel hoist bridge</t>
    </r>
    <r>
      <rPr>
        <sz val="14"/>
        <rFont val="Cambria"/>
        <family val="1"/>
      </rPr>
      <t xml:space="preserve"> </t>
    </r>
    <r>
      <rPr>
        <sz val="14"/>
        <rFont val="Arial"/>
        <family val="2"/>
      </rPr>
      <t xml:space="preserve">consisting of columns, beams, bracings, stiffeners, ties, chequered plate covering, hand railing, ladder etc., with all accessories for supporting rope drum hoist for operating barrage gates including cost of all materials, machinery, labour,  welding, finishing,  etc., complete complete as per specifications and drawings </t>
    </r>
    <r>
      <rPr>
        <b/>
        <sz val="14"/>
        <rFont val="Cambria"/>
        <family val="1"/>
      </rPr>
      <t>with all leads and lifts</t>
    </r>
    <r>
      <rPr>
        <sz val="14"/>
        <rFont val="Cambria"/>
        <family val="1"/>
      </rPr>
      <t xml:space="preserve">
(without painting on sand-blasted or mechanical cleaning surfaces which are added extra as per scedule of rates under items in this chapter and add as applicable separately)</t>
    </r>
  </si>
  <si>
    <r>
      <rPr>
        <b/>
        <u/>
        <sz val="14"/>
        <rFont val="Arial"/>
        <family val="2"/>
      </rPr>
      <t>ROPE DRUM HOIST WITHOUT HOIST BRIDGE FOR BARRAGE GATES</t>
    </r>
    <r>
      <rPr>
        <sz val="14"/>
        <rFont val="Arial"/>
        <family val="2"/>
      </rPr>
      <t xml:space="preserve">
Design, fabrication, supply, erection, testing and </t>
    </r>
    <r>
      <rPr>
        <b/>
        <sz val="14"/>
        <rFont val="Arial"/>
        <family val="2"/>
      </rPr>
      <t xml:space="preserve">commissioning of adequate capacity </t>
    </r>
    <r>
      <rPr>
        <b/>
        <sz val="14"/>
        <rFont val="Cambria"/>
        <family val="1"/>
      </rPr>
      <t>rope drum hoist</t>
    </r>
    <r>
      <rPr>
        <sz val="14"/>
        <rFont val="Cambria"/>
        <family val="1"/>
      </rPr>
      <t xml:space="preserve"> </t>
    </r>
    <r>
      <rPr>
        <sz val="14"/>
        <rFont val="Arial"/>
        <family val="2"/>
      </rPr>
      <t xml:space="preserve">consisting of  rope drum, pulleys, gear system, electric motor, electro-magnetic brake system, manual operation assembly, position indicator, control panel, wire rope etc., with all accessories </t>
    </r>
    <r>
      <rPr>
        <sz val="14"/>
        <rFont val="Cambria"/>
        <family val="1"/>
      </rPr>
      <t xml:space="preserve">for operating vertical lift roller gates for barrage </t>
    </r>
    <r>
      <rPr>
        <sz val="14"/>
        <rFont val="Arial"/>
        <family val="2"/>
      </rPr>
      <t xml:space="preserve">including cost of all materials, machinery, labour, cutting, bending, aligning, anchoring, welding, finishing etc., </t>
    </r>
    <r>
      <rPr>
        <b/>
        <sz val="14"/>
        <rFont val="Arial"/>
        <family val="2"/>
      </rPr>
      <t xml:space="preserve">complete </t>
    </r>
    <r>
      <rPr>
        <b/>
        <sz val="14"/>
        <rFont val="Cambria"/>
        <family val="1"/>
      </rPr>
      <t xml:space="preserve">with all leads and lifts. </t>
    </r>
    <r>
      <rPr>
        <sz val="14"/>
        <rFont val="Cambria"/>
        <family val="1"/>
      </rPr>
      <t xml:space="preserve">
(without painting on sand-blasted or mechanical cleaning surfaces which are added extra as per scedule of rates under items in this chapter and add as applicable separately)</t>
    </r>
  </si>
  <si>
    <r>
      <rPr>
        <b/>
        <u/>
        <sz val="14"/>
        <rFont val="Arial"/>
        <family val="2"/>
      </rPr>
      <t>SCREW GEAR HOISTS INCLUDING PLATFORM ( UPTO 10 TON CAP)</t>
    </r>
    <r>
      <rPr>
        <sz val="14"/>
        <rFont val="Arial"/>
        <family val="2"/>
      </rPr>
      <t xml:space="preserve">
Design, fabrication, supply, erection, testing and </t>
    </r>
    <r>
      <rPr>
        <b/>
        <sz val="14"/>
        <rFont val="Arial"/>
        <family val="2"/>
      </rPr>
      <t xml:space="preserve">commissioning of </t>
    </r>
    <r>
      <rPr>
        <b/>
        <sz val="14"/>
        <rFont val="Cambria"/>
        <family val="1"/>
      </rPr>
      <t>adequate capacity screw gear type hoist</t>
    </r>
    <r>
      <rPr>
        <sz val="14"/>
        <rFont val="Cambria"/>
        <family val="1"/>
      </rPr>
      <t xml:space="preserve"> </t>
    </r>
    <r>
      <rPr>
        <sz val="14"/>
        <rFont val="Arial"/>
        <family val="2"/>
      </rPr>
      <t xml:space="preserve">consisting of supporting structure, platform, ladder etc., with all accessories for </t>
    </r>
    <r>
      <rPr>
        <sz val="14"/>
        <rFont val="Cambria"/>
        <family val="1"/>
      </rPr>
      <t xml:space="preserve">operating canal escape / regulator gate </t>
    </r>
    <r>
      <rPr>
        <sz val="14"/>
        <rFont val="Arial"/>
        <family val="2"/>
      </rPr>
      <t>including cost of all materials, machinery, labour,  cutting, bending, aligning, anchoring, welding,finishing etc.,</t>
    </r>
    <r>
      <rPr>
        <b/>
        <sz val="14"/>
        <rFont val="Cambria"/>
        <family val="1"/>
      </rPr>
      <t xml:space="preserve">complete with all leads and lifts. </t>
    </r>
    <r>
      <rPr>
        <sz val="14"/>
        <rFont val="Cambria"/>
        <family val="1"/>
      </rPr>
      <t xml:space="preserve">
(without painting on sand-blasted or mechanical cleaning surfaces which are added extra as per scedule of rates under items in this chapter and add as applicable separately)</t>
    </r>
  </si>
  <si>
    <r>
      <rPr>
        <b/>
        <u/>
        <sz val="14"/>
        <rFont val="Arial"/>
        <family val="2"/>
      </rPr>
      <t xml:space="preserve"> MANUAL OPERATED ROPE DRUM  HOISTS</t>
    </r>
    <r>
      <rPr>
        <sz val="14"/>
        <rFont val="Arial"/>
        <family val="2"/>
      </rPr>
      <t xml:space="preserve">
Design, fabrication, supply, erection, testing and </t>
    </r>
    <r>
      <rPr>
        <b/>
        <sz val="14"/>
        <rFont val="Arial"/>
        <family val="2"/>
      </rPr>
      <t xml:space="preserve">commissioning of adequate capacity manually operated </t>
    </r>
    <r>
      <rPr>
        <b/>
        <sz val="14"/>
        <rFont val="Cambria"/>
        <family val="1"/>
      </rPr>
      <t xml:space="preserve">rope drum </t>
    </r>
    <r>
      <rPr>
        <b/>
        <sz val="14"/>
        <rFont val="Arial"/>
        <family val="2"/>
      </rPr>
      <t>hoist</t>
    </r>
    <r>
      <rPr>
        <sz val="14"/>
        <rFont val="Arial"/>
        <family val="2"/>
      </rPr>
      <t xml:space="preserve"> consisting of hoist platform, rope drum, gear system, brake system, wire rope, ladder etc., with all accessories for </t>
    </r>
    <r>
      <rPr>
        <sz val="14"/>
        <rFont val="Cambria"/>
        <family val="1"/>
      </rPr>
      <t xml:space="preserve">operating canal regulator </t>
    </r>
    <r>
      <rPr>
        <sz val="14"/>
        <rFont val="Arial"/>
        <family val="2"/>
      </rPr>
      <t xml:space="preserve">radial gate including cost of all materials, machinery, labour, welding, finishing, cleaning, ., </t>
    </r>
    <r>
      <rPr>
        <b/>
        <sz val="14"/>
        <rFont val="Arial"/>
        <family val="2"/>
      </rPr>
      <t xml:space="preserve">complete  </t>
    </r>
    <r>
      <rPr>
        <b/>
        <sz val="14"/>
        <rFont val="Cambria"/>
        <family val="1"/>
      </rPr>
      <t>with all leads and lifts</t>
    </r>
    <r>
      <rPr>
        <sz val="14"/>
        <rFont val="Cambria"/>
        <family val="1"/>
      </rPr>
      <t xml:space="preserve">
(without painting on sand-blasted or mechanical cleaning surfaces which are added extra as per scedule of rates under items in this chapter and add as applicable separately)</t>
    </r>
  </si>
  <si>
    <r>
      <rPr>
        <b/>
        <sz val="14"/>
        <rFont val="Arial"/>
        <family val="2"/>
      </rPr>
      <t xml:space="preserve">Cleaning gates / hoists / embedded parts/lifting beams </t>
    </r>
    <r>
      <rPr>
        <sz val="14"/>
        <rFont val="Arial"/>
        <family val="2"/>
      </rPr>
      <t xml:space="preserve">etc, to expose fresh metal surface for painting </t>
    </r>
    <r>
      <rPr>
        <b/>
        <sz val="14"/>
        <rFont val="Arial"/>
        <family val="2"/>
      </rPr>
      <t>by</t>
    </r>
    <r>
      <rPr>
        <b/>
        <sz val="14"/>
        <rFont val="Cambria"/>
        <family val="1"/>
      </rPr>
      <t xml:space="preserve"> sand blasting method</t>
    </r>
    <r>
      <rPr>
        <sz val="14"/>
        <rFont val="Cambria"/>
        <family val="1"/>
      </rPr>
      <t xml:space="preserve"> </t>
    </r>
    <r>
      <rPr>
        <sz val="14"/>
        <rFont val="Arial"/>
        <family val="2"/>
      </rPr>
      <t xml:space="preserve">as per specifications including cost of all materials, labour, machinery, scaffolding,  etc., complete </t>
    </r>
    <r>
      <rPr>
        <b/>
        <sz val="14"/>
        <rFont val="Arial"/>
        <family val="2"/>
      </rPr>
      <t xml:space="preserve">with </t>
    </r>
    <r>
      <rPr>
        <b/>
        <sz val="14"/>
        <rFont val="Cambria"/>
        <family val="1"/>
      </rPr>
      <t>initial lead for sand upto 1 km and all lifts.</t>
    </r>
  </si>
  <si>
    <r>
      <rPr>
        <b/>
        <sz val="14"/>
        <rFont val="Arial"/>
        <family val="2"/>
      </rPr>
      <t xml:space="preserve">Clearing </t>
    </r>
    <r>
      <rPr>
        <b/>
        <sz val="14"/>
        <rFont val="Cambria"/>
        <family val="1"/>
      </rPr>
      <t>thin jungle</t>
    </r>
    <r>
      <rPr>
        <b/>
        <sz val="14"/>
        <rFont val="Arial"/>
        <family val="2"/>
      </rPr>
      <t xml:space="preserve"> growth ( more than 50 percent open space )</t>
    </r>
    <r>
      <rPr>
        <sz val="14"/>
        <rFont val="Arial"/>
        <family val="2"/>
      </rPr>
      <t xml:space="preserve"> </t>
    </r>
    <r>
      <rPr>
        <sz val="14"/>
        <rFont val="Cambria"/>
        <family val="1"/>
      </rPr>
      <t xml:space="preserve">including bushes </t>
    </r>
    <r>
      <rPr>
        <b/>
        <sz val="14"/>
        <rFont val="Arial"/>
        <family val="2"/>
      </rPr>
      <t>upto 30 cm / parthenium and other weeds</t>
    </r>
    <r>
      <rPr>
        <sz val="14"/>
        <rFont val="Arial"/>
        <family val="2"/>
      </rPr>
      <t xml:space="preserve"> including burning or disposing off the same as directed etc., complete.</t>
    </r>
  </si>
  <si>
    <r>
      <rPr>
        <b/>
        <sz val="14"/>
        <rFont val="Arial"/>
        <family val="2"/>
      </rPr>
      <t xml:space="preserve">Clearing </t>
    </r>
    <r>
      <rPr>
        <b/>
        <sz val="14"/>
        <rFont val="Cambria"/>
        <family val="1"/>
      </rPr>
      <t xml:space="preserve">thick jungle </t>
    </r>
    <r>
      <rPr>
        <b/>
        <sz val="14"/>
        <rFont val="Arial"/>
        <family val="2"/>
      </rPr>
      <t>growth ( less than 50 percent open space )</t>
    </r>
    <r>
      <rPr>
        <sz val="14"/>
        <rFont val="Arial"/>
        <family val="2"/>
      </rPr>
      <t xml:space="preserve"> </t>
    </r>
    <r>
      <rPr>
        <sz val="14"/>
        <rFont val="Cambria"/>
        <family val="1"/>
      </rPr>
      <t xml:space="preserve">including bushes </t>
    </r>
    <r>
      <rPr>
        <b/>
        <sz val="14"/>
        <rFont val="Arial"/>
        <family val="2"/>
      </rPr>
      <t>upto 30 cm / parthenium and other weeds</t>
    </r>
    <r>
      <rPr>
        <sz val="14"/>
        <rFont val="Arial"/>
        <family val="2"/>
      </rPr>
      <t xml:space="preserve"> including burning or disposing off the same as directed etc., complete.</t>
    </r>
  </si>
  <si>
    <r>
      <rPr>
        <b/>
        <sz val="14"/>
        <rFont val="Arial"/>
        <family val="2"/>
      </rPr>
      <t xml:space="preserve">Removing </t>
    </r>
    <r>
      <rPr>
        <b/>
        <sz val="14"/>
        <rFont val="Cambria"/>
        <family val="1"/>
      </rPr>
      <t xml:space="preserve">stumps, tree roots, roots of bamboo clusters </t>
    </r>
    <r>
      <rPr>
        <b/>
        <sz val="14"/>
        <rFont val="Arial"/>
        <family val="2"/>
      </rPr>
      <t xml:space="preserve">etc., </t>
    </r>
    <r>
      <rPr>
        <b/>
        <sz val="14"/>
        <rFont val="Cambria"/>
        <family val="1"/>
      </rPr>
      <t>upto 1.50 m</t>
    </r>
    <r>
      <rPr>
        <b/>
        <sz val="14"/>
        <rFont val="Arial"/>
        <family val="2"/>
      </rPr>
      <t xml:space="preserve"> girth</t>
    </r>
    <r>
      <rPr>
        <sz val="14"/>
        <rFont val="Arial"/>
        <family val="2"/>
      </rPr>
      <t xml:space="preserve"> including excavation, stacking the materials neatly and levelling the surface etc., complete </t>
    </r>
    <r>
      <rPr>
        <b/>
        <sz val="14"/>
        <rFont val="Arial"/>
        <family val="2"/>
      </rPr>
      <t xml:space="preserve">with </t>
    </r>
    <r>
      <rPr>
        <b/>
        <sz val="14"/>
        <rFont val="Cambria"/>
        <family val="1"/>
      </rPr>
      <t>initial lead upto 50 m and all lifts.</t>
    </r>
  </si>
  <si>
    <r>
      <rPr>
        <b/>
        <sz val="14"/>
        <rFont val="Arial"/>
        <family val="2"/>
      </rPr>
      <t xml:space="preserve">Removing </t>
    </r>
    <r>
      <rPr>
        <b/>
        <sz val="14"/>
        <rFont val="Cambria"/>
        <family val="1"/>
      </rPr>
      <t xml:space="preserve">stumps, tree roots, roots of bamboo cluster </t>
    </r>
    <r>
      <rPr>
        <b/>
        <sz val="14"/>
        <rFont val="Arial"/>
        <family val="2"/>
      </rPr>
      <t xml:space="preserve">etc., with girth </t>
    </r>
    <r>
      <rPr>
        <b/>
        <sz val="14"/>
        <rFont val="Cambria"/>
        <family val="1"/>
      </rPr>
      <t>above 1.50 m and upto 3.0 m</t>
    </r>
    <r>
      <rPr>
        <sz val="14"/>
        <rFont val="Cambria"/>
        <family val="1"/>
      </rPr>
      <t xml:space="preserve"> </t>
    </r>
    <r>
      <rPr>
        <sz val="14"/>
        <rFont val="Arial"/>
        <family val="2"/>
      </rPr>
      <t xml:space="preserve">including excavation, stacking the materials neatly and levelling the area etc., </t>
    </r>
    <r>
      <rPr>
        <b/>
        <sz val="14"/>
        <rFont val="Arial"/>
        <family val="2"/>
      </rPr>
      <t xml:space="preserve">complete with initial </t>
    </r>
    <r>
      <rPr>
        <b/>
        <sz val="14"/>
        <rFont val="Cambria"/>
        <family val="1"/>
      </rPr>
      <t>lead upto 50 m and all lifts.</t>
    </r>
  </si>
  <si>
    <r>
      <rPr>
        <b/>
        <sz val="14"/>
        <rFont val="Arial"/>
        <family val="2"/>
      </rPr>
      <t xml:space="preserve">Removing </t>
    </r>
    <r>
      <rPr>
        <b/>
        <sz val="14"/>
        <rFont val="Cambria"/>
        <family val="1"/>
      </rPr>
      <t xml:space="preserve">stumps, tree roots, roots of bamboo cluster </t>
    </r>
    <r>
      <rPr>
        <b/>
        <sz val="14"/>
        <rFont val="Arial"/>
        <family val="2"/>
      </rPr>
      <t xml:space="preserve">etc., with girth </t>
    </r>
    <r>
      <rPr>
        <b/>
        <sz val="14"/>
        <rFont val="Cambria"/>
        <family val="1"/>
      </rPr>
      <t>above 3.0 m and upto 5.0 m</t>
    </r>
    <r>
      <rPr>
        <sz val="14"/>
        <rFont val="Cambria"/>
        <family val="1"/>
      </rPr>
      <t xml:space="preserve"> </t>
    </r>
    <r>
      <rPr>
        <sz val="14"/>
        <rFont val="Arial"/>
        <family val="2"/>
      </rPr>
      <t xml:space="preserve">including excavation, stacking the materials neatly and levelling the area etc., complete </t>
    </r>
    <r>
      <rPr>
        <b/>
        <sz val="14"/>
        <rFont val="Arial"/>
        <family val="2"/>
      </rPr>
      <t xml:space="preserve">with </t>
    </r>
    <r>
      <rPr>
        <b/>
        <sz val="14"/>
        <rFont val="Cambria"/>
        <family val="1"/>
      </rPr>
      <t>initial lead upto 50 m and all lifts.</t>
    </r>
  </si>
  <si>
    <r>
      <t xml:space="preserve">Additional rate </t>
    </r>
    <r>
      <rPr>
        <b/>
        <sz val="14"/>
        <rFont val="Arial"/>
        <family val="2"/>
      </rPr>
      <t xml:space="preserve">for </t>
    </r>
    <r>
      <rPr>
        <b/>
        <sz val="14"/>
        <rFont val="Cambria"/>
        <family val="1"/>
      </rPr>
      <t xml:space="preserve">every 0.5 m increase </t>
    </r>
    <r>
      <rPr>
        <b/>
        <sz val="14"/>
        <rFont val="Arial"/>
        <family val="2"/>
      </rPr>
      <t>in girth</t>
    </r>
    <r>
      <rPr>
        <sz val="14"/>
        <rFont val="Arial"/>
        <family val="2"/>
      </rPr>
      <t xml:space="preserve"> of tree stump/stumps of bamboo cluster </t>
    </r>
    <r>
      <rPr>
        <sz val="14"/>
        <rFont val="Cambria"/>
        <family val="1"/>
      </rPr>
      <t>beyond 5 m</t>
    </r>
  </si>
  <si>
    <r>
      <rPr>
        <b/>
        <sz val="14"/>
        <rFont val="Arial"/>
        <family val="2"/>
      </rPr>
      <t>Cutting and stacking bamboos</t>
    </r>
    <r>
      <rPr>
        <sz val="14"/>
        <rFont val="Arial"/>
        <family val="2"/>
      </rPr>
      <t xml:space="preserve"> excluding removing stumps and roots etc., </t>
    </r>
    <r>
      <rPr>
        <b/>
        <sz val="14"/>
        <rFont val="Arial"/>
        <family val="2"/>
      </rPr>
      <t xml:space="preserve">complete with </t>
    </r>
    <r>
      <rPr>
        <b/>
        <sz val="14"/>
        <rFont val="Cambria"/>
        <family val="1"/>
      </rPr>
      <t>initial lead upto 50 m and all lifts.</t>
    </r>
  </si>
  <si>
    <r>
      <rPr>
        <b/>
        <sz val="14"/>
        <rFont val="Arial"/>
        <family val="2"/>
      </rPr>
      <t>Cutting and removing jauliflora bushes upto 1.5 m girth</t>
    </r>
    <r>
      <rPr>
        <sz val="14"/>
        <rFont val="Arial"/>
        <family val="2"/>
      </rPr>
      <t xml:space="preserve"> excluding removal of stumps and including burning or disposing off the materials as directed </t>
    </r>
    <r>
      <rPr>
        <b/>
        <sz val="14"/>
        <rFont val="Arial"/>
        <family val="2"/>
      </rPr>
      <t xml:space="preserve">with initial </t>
    </r>
    <r>
      <rPr>
        <b/>
        <sz val="14"/>
        <rFont val="Cambria"/>
        <family val="1"/>
      </rPr>
      <t>lead upto 50 m and all lifts.</t>
    </r>
  </si>
  <si>
    <r>
      <rPr>
        <b/>
        <sz val="14"/>
        <rFont val="Arial"/>
        <family val="2"/>
      </rPr>
      <t>Cutting and removing jauliflora bushes above 1.5 m upto 3.0 m girth</t>
    </r>
    <r>
      <rPr>
        <sz val="14"/>
        <rFont val="Arial"/>
        <family val="2"/>
      </rPr>
      <t xml:space="preserve"> excluding removal of stumps and including burning or disposing off the materials as directed </t>
    </r>
    <r>
      <rPr>
        <b/>
        <sz val="14"/>
        <rFont val="Arial"/>
        <family val="2"/>
      </rPr>
      <t xml:space="preserve">with </t>
    </r>
    <r>
      <rPr>
        <b/>
        <sz val="14"/>
        <rFont val="Cambria"/>
        <family val="1"/>
      </rPr>
      <t>initial lead upto 50 m and all lifts.</t>
    </r>
  </si>
  <si>
    <r>
      <rPr>
        <b/>
        <sz val="14"/>
        <rFont val="Arial"/>
        <family val="2"/>
      </rPr>
      <t>Cutting trees above 0.3 m and upto 0.6 m girth</t>
    </r>
    <r>
      <rPr>
        <sz val="14"/>
        <rFont val="Arial"/>
        <family val="2"/>
      </rPr>
      <t xml:space="preserve"> excluding removal of stumps and including stacking the materials neatly as directed </t>
    </r>
    <r>
      <rPr>
        <b/>
        <sz val="14"/>
        <rFont val="Cambria"/>
        <family val="1"/>
      </rPr>
      <t>with initial lead upto 50 m and all lifts.</t>
    </r>
  </si>
  <si>
    <r>
      <rPr>
        <b/>
        <sz val="14"/>
        <rFont val="Arial"/>
        <family val="2"/>
      </rPr>
      <t>Cutting trees above 0.6 m and upto 1.2 m girth</t>
    </r>
    <r>
      <rPr>
        <sz val="14"/>
        <rFont val="Arial"/>
        <family val="2"/>
      </rPr>
      <t xml:space="preserve"> excluding removal of stumps and including stacking the materials neatly as directed </t>
    </r>
    <r>
      <rPr>
        <b/>
        <sz val="14"/>
        <rFont val="Arial"/>
        <family val="2"/>
      </rPr>
      <t xml:space="preserve">with </t>
    </r>
    <r>
      <rPr>
        <b/>
        <sz val="14"/>
        <rFont val="Cambria"/>
        <family val="1"/>
      </rPr>
      <t>initial lead upto 50 m and all lifts.</t>
    </r>
  </si>
  <si>
    <r>
      <rPr>
        <b/>
        <sz val="14"/>
        <rFont val="Arial"/>
        <family val="2"/>
      </rPr>
      <t>Cutting trees above 1.2 m and upto 1.8 m girth</t>
    </r>
    <r>
      <rPr>
        <sz val="14"/>
        <rFont val="Arial"/>
        <family val="2"/>
      </rPr>
      <t xml:space="preserve"> excluding removal of stumps and including stacking the materials neatly as directed </t>
    </r>
    <r>
      <rPr>
        <b/>
        <sz val="14"/>
        <rFont val="Cambria"/>
        <family val="1"/>
      </rPr>
      <t>with initial lead upto 50 m and all lifts.</t>
    </r>
  </si>
  <si>
    <r>
      <rPr>
        <b/>
        <sz val="14"/>
        <rFont val="Arial"/>
        <family val="2"/>
      </rPr>
      <t>Cutting trees above 1.8 m and upto 2.4 m girth</t>
    </r>
    <r>
      <rPr>
        <sz val="14"/>
        <rFont val="Arial"/>
        <family val="2"/>
      </rPr>
      <t xml:space="preserve"> excluding removal of stumps and including stacking the materials neatly as directed </t>
    </r>
    <r>
      <rPr>
        <b/>
        <sz val="14"/>
        <rFont val="Arial"/>
        <family val="2"/>
      </rPr>
      <t xml:space="preserve">with </t>
    </r>
    <r>
      <rPr>
        <b/>
        <sz val="14"/>
        <rFont val="Cambria"/>
        <family val="1"/>
      </rPr>
      <t>initial lead upto 50 m and all lifts.</t>
    </r>
  </si>
  <si>
    <r>
      <rPr>
        <b/>
        <sz val="14"/>
        <rFont val="Arial"/>
        <family val="2"/>
      </rPr>
      <t>Cutting trees above 2.4 m and upto 3.0 m girth</t>
    </r>
    <r>
      <rPr>
        <sz val="14"/>
        <rFont val="Arial"/>
        <family val="2"/>
      </rPr>
      <t xml:space="preserve"> excluding removal of stumps and including stacking the materials neatly as directed </t>
    </r>
    <r>
      <rPr>
        <b/>
        <sz val="14"/>
        <rFont val="Arial"/>
        <family val="2"/>
      </rPr>
      <t xml:space="preserve">with </t>
    </r>
    <r>
      <rPr>
        <b/>
        <sz val="14"/>
        <rFont val="Cambria"/>
        <family val="1"/>
      </rPr>
      <t>initial lead upto 50 m and all lifts.</t>
    </r>
  </si>
  <si>
    <r>
      <rPr>
        <b/>
        <sz val="14"/>
        <rFont val="Arial"/>
        <family val="2"/>
      </rPr>
      <t xml:space="preserve">For every 0.5 m increase in girth of tree beyond 3 m </t>
    </r>
    <r>
      <rPr>
        <sz val="14"/>
        <rFont val="Arial"/>
        <family val="2"/>
      </rPr>
      <t>add
Additional rate for cutting tree for every 0.5 m increase in girth of tree beyond 3 m.</t>
    </r>
  </si>
  <si>
    <r>
      <rPr>
        <b/>
        <sz val="14"/>
        <rFont val="Arial"/>
        <family val="2"/>
      </rPr>
      <t>Cutting and burning or disposing off Apu / Jondu from marshy areas</t>
    </r>
    <r>
      <rPr>
        <sz val="14"/>
        <rFont val="Arial"/>
        <family val="2"/>
      </rPr>
      <t xml:space="preserve"> as directed with </t>
    </r>
    <r>
      <rPr>
        <sz val="14"/>
        <rFont val="Cambria"/>
        <family val="1"/>
      </rPr>
      <t>initial lead upto 50 m and all lifts.</t>
    </r>
  </si>
  <si>
    <r>
      <rPr>
        <b/>
        <sz val="14"/>
        <rFont val="Arial"/>
        <family val="2"/>
      </rPr>
      <t xml:space="preserve">Earthwork excavation for </t>
    </r>
    <r>
      <rPr>
        <b/>
        <sz val="14"/>
        <rFont val="Cambria"/>
        <family val="1"/>
      </rPr>
      <t>trial pits / borrow pits</t>
    </r>
    <r>
      <rPr>
        <sz val="14"/>
        <rFont val="Cambria"/>
        <family val="1"/>
      </rPr>
      <t xml:space="preserve"> </t>
    </r>
    <r>
      <rPr>
        <sz val="14"/>
        <rFont val="Arial"/>
        <family val="2"/>
      </rPr>
      <t xml:space="preserve">and other investigation works </t>
    </r>
    <r>
      <rPr>
        <b/>
        <sz val="14"/>
        <rFont val="Arial"/>
        <family val="2"/>
      </rPr>
      <t xml:space="preserve">in </t>
    </r>
    <r>
      <rPr>
        <b/>
        <sz val="14"/>
        <rFont val="Cambria"/>
        <family val="1"/>
      </rPr>
      <t>all kinds of soi</t>
    </r>
    <r>
      <rPr>
        <sz val="14"/>
        <rFont val="Cambria"/>
        <family val="1"/>
      </rPr>
      <t xml:space="preserve">l </t>
    </r>
    <r>
      <rPr>
        <sz val="14"/>
        <rFont val="Arial"/>
        <family val="2"/>
      </rPr>
      <t xml:space="preserve">including </t>
    </r>
    <r>
      <rPr>
        <sz val="14"/>
        <rFont val="Cambria"/>
        <family val="1"/>
      </rPr>
      <t xml:space="preserve">boulders </t>
    </r>
    <r>
      <rPr>
        <b/>
        <sz val="14"/>
        <rFont val="Cambria"/>
        <family val="1"/>
      </rPr>
      <t>upto 30 cm dia</t>
    </r>
    <r>
      <rPr>
        <sz val="14"/>
        <rFont val="Cambria"/>
        <family val="1"/>
      </rPr>
      <t xml:space="preserve"> </t>
    </r>
    <r>
      <rPr>
        <sz val="14"/>
        <rFont val="Arial"/>
        <family val="2"/>
      </rPr>
      <t xml:space="preserve">and disposing off excavated soil as directed </t>
    </r>
    <r>
      <rPr>
        <b/>
        <sz val="14"/>
        <rFont val="Cambria"/>
        <family val="1"/>
      </rPr>
      <t>with lead upto 10 m and lift upto 3 m.</t>
    </r>
  </si>
  <si>
    <r>
      <rPr>
        <b/>
        <sz val="14"/>
        <rFont val="Arial"/>
        <family val="2"/>
      </rPr>
      <t xml:space="preserve">Earthwork excavation for </t>
    </r>
    <r>
      <rPr>
        <b/>
        <sz val="14"/>
        <rFont val="Cambria"/>
        <family val="1"/>
      </rPr>
      <t>trial pits / borrow pits</t>
    </r>
    <r>
      <rPr>
        <sz val="14"/>
        <rFont val="Cambria"/>
        <family val="1"/>
      </rPr>
      <t xml:space="preserve"> </t>
    </r>
    <r>
      <rPr>
        <sz val="14"/>
        <rFont val="Arial"/>
        <family val="2"/>
      </rPr>
      <t xml:space="preserve">and other investigation works </t>
    </r>
    <r>
      <rPr>
        <b/>
        <sz val="14"/>
        <rFont val="Cambria"/>
        <family val="1"/>
      </rPr>
      <t>in soft rock</t>
    </r>
    <r>
      <rPr>
        <sz val="14"/>
        <rFont val="Cambria"/>
        <family val="1"/>
      </rPr>
      <t xml:space="preserve"> </t>
    </r>
    <r>
      <rPr>
        <sz val="14"/>
        <rFont val="Arial"/>
        <family val="2"/>
      </rPr>
      <t xml:space="preserve">including disposing off the excavated rock as directed </t>
    </r>
    <r>
      <rPr>
        <b/>
        <sz val="14"/>
        <rFont val="Arial"/>
        <family val="2"/>
      </rPr>
      <t xml:space="preserve">with lead </t>
    </r>
    <r>
      <rPr>
        <b/>
        <sz val="14"/>
        <rFont val="Cambria"/>
        <family val="1"/>
      </rPr>
      <t>upto 10 m and lift upto 3 m.</t>
    </r>
  </si>
  <si>
    <r>
      <rPr>
        <b/>
        <sz val="14"/>
        <rFont val="Arial"/>
        <family val="2"/>
      </rPr>
      <t>Conducting geophysical investigation studies by electrical resistivity method</t>
    </r>
    <r>
      <rPr>
        <sz val="14"/>
        <rFont val="Arial"/>
        <family val="2"/>
      </rPr>
      <t xml:space="preserve"> in stages of 5m for sub-surface details such as depth of formations, shear zones, classification of strata, depth of water table etc., including cost of all materials, equipments, labour, analysing and reporting the details of field studies conducted etc., </t>
    </r>
    <r>
      <rPr>
        <b/>
        <sz val="14"/>
        <rFont val="Arial"/>
        <family val="2"/>
      </rPr>
      <t>complete excluding cost of transportation arrangements.</t>
    </r>
  </si>
  <si>
    <r>
      <rPr>
        <b/>
        <sz val="14"/>
        <rFont val="Arial"/>
        <family val="2"/>
      </rPr>
      <t>Drilling 80 mm dia hole</t>
    </r>
    <r>
      <rPr>
        <sz val="14"/>
        <rFont val="Arial"/>
        <family val="2"/>
      </rPr>
      <t xml:space="preserve"> through over-burden </t>
    </r>
    <r>
      <rPr>
        <b/>
        <sz val="14"/>
        <rFont val="Arial"/>
        <family val="2"/>
      </rPr>
      <t>using casing shoe bit</t>
    </r>
    <r>
      <rPr>
        <sz val="14"/>
        <rFont val="Arial"/>
        <family val="2"/>
      </rPr>
      <t xml:space="preserve"> vertical or inclined upto 10 degrees to vertical as directed including cost of all materials, machinery, labour, water charges, reaming, collection of wash samples at suitable intervals, logging and lebelling, supplying honne wood core box,</t>
    </r>
    <r>
      <rPr>
        <b/>
        <sz val="14"/>
        <rFont val="Arial"/>
        <family val="2"/>
      </rPr>
      <t xml:space="preserve"> fixing casing pipes ( excluding cost of casing pipes ) etc., complete for </t>
    </r>
    <r>
      <rPr>
        <b/>
        <sz val="14"/>
        <rFont val="Cambria"/>
        <family val="1"/>
      </rPr>
      <t>depth upto 30 m from surface.</t>
    </r>
    <r>
      <rPr>
        <sz val="14"/>
        <rFont val="Cambria"/>
        <family val="1"/>
      </rPr>
      <t xml:space="preserve">
</t>
    </r>
    <r>
      <rPr>
        <sz val="14"/>
        <rFont val="Arial"/>
        <family val="2"/>
      </rPr>
      <t xml:space="preserve">1. For driiling through over-burden </t>
    </r>
    <r>
      <rPr>
        <sz val="14"/>
        <rFont val="Cambria"/>
        <family val="1"/>
      </rPr>
      <t>beyond 30 m</t>
    </r>
    <r>
      <rPr>
        <sz val="14"/>
        <rFont val="Arial"/>
        <family val="2"/>
      </rPr>
      <t xml:space="preserve"> from surface increase the rate per Rm by </t>
    </r>
    <r>
      <rPr>
        <sz val="14"/>
        <rFont val="Cambria"/>
        <family val="1"/>
      </rPr>
      <t xml:space="preserve">10 percent.
</t>
    </r>
    <r>
      <rPr>
        <sz val="14"/>
        <rFont val="Arial"/>
        <family val="2"/>
      </rPr>
      <t>2. For providing HDPE or light black MS casing pipe add the cost of pipe per Rm.</t>
    </r>
  </si>
  <si>
    <r>
      <t xml:space="preserve">Providing and </t>
    </r>
    <r>
      <rPr>
        <b/>
        <sz val="14"/>
        <rFont val="Arial"/>
        <family val="2"/>
      </rPr>
      <t xml:space="preserve">fixing 20 x 20 x 75 cm size roughly dressed </t>
    </r>
    <r>
      <rPr>
        <b/>
        <sz val="14"/>
        <rFont val="Cambria"/>
        <family val="1"/>
      </rPr>
      <t>boundary / demarcation / chainage / arrow stones</t>
    </r>
    <r>
      <rPr>
        <sz val="14"/>
        <rFont val="Cambria"/>
        <family val="1"/>
      </rPr>
      <t xml:space="preserve"> </t>
    </r>
    <r>
      <rPr>
        <sz val="14"/>
        <rFont val="Arial"/>
        <family val="2"/>
      </rPr>
      <t xml:space="preserve">including cost of all materials, labour, engraving marks, fixing in position, murum filling etc., </t>
    </r>
    <r>
      <rPr>
        <b/>
        <sz val="14"/>
        <rFont val="Cambria"/>
        <family val="1"/>
      </rPr>
      <t xml:space="preserve">complete with lead upto 50 m and all </t>
    </r>
    <r>
      <rPr>
        <b/>
        <sz val="14"/>
        <rFont val="Arial"/>
        <family val="2"/>
      </rPr>
      <t>lifts.</t>
    </r>
  </si>
  <si>
    <r>
      <t xml:space="preserve">Providing and </t>
    </r>
    <r>
      <rPr>
        <b/>
        <sz val="14"/>
        <rFont val="Arial"/>
        <family val="2"/>
      </rPr>
      <t xml:space="preserve">fixing 20 x 20 x 75 cm size </t>
    </r>
    <r>
      <rPr>
        <b/>
        <sz val="14"/>
        <rFont val="Cambria"/>
        <family val="1"/>
      </rPr>
      <t>temporary bench mark stone</t>
    </r>
    <r>
      <rPr>
        <sz val="14"/>
        <rFont val="Cambria"/>
        <family val="1"/>
      </rPr>
      <t xml:space="preserve"> in </t>
    </r>
    <r>
      <rPr>
        <b/>
        <sz val="14"/>
        <rFont val="Cambria"/>
        <family val="1"/>
      </rPr>
      <t>CC 1 : 4 : 8</t>
    </r>
    <r>
      <rPr>
        <sz val="14"/>
        <rFont val="Cambria"/>
        <family val="1"/>
      </rPr>
      <t xml:space="preserve"> </t>
    </r>
    <r>
      <rPr>
        <sz val="14"/>
        <rFont val="Arial"/>
        <family val="2"/>
      </rPr>
      <t xml:space="preserve">using </t>
    </r>
    <r>
      <rPr>
        <b/>
        <sz val="14"/>
        <rFont val="Cambria"/>
        <family val="1"/>
      </rPr>
      <t>40 mm down size</t>
    </r>
    <r>
      <rPr>
        <sz val="14"/>
        <rFont val="Cambria"/>
        <family val="1"/>
      </rPr>
      <t xml:space="preserve"> graded coarse aggregate </t>
    </r>
    <r>
      <rPr>
        <sz val="14"/>
        <rFont val="Arial"/>
        <family val="2"/>
      </rPr>
      <t xml:space="preserve">including cost of all materials, labour, dressing top surface, engraving BM data etc.,complete </t>
    </r>
    <r>
      <rPr>
        <b/>
        <sz val="14"/>
        <rFont val="Cambria"/>
        <family val="1"/>
      </rPr>
      <t>with lead upto 50 m and all lifts.</t>
    </r>
  </si>
  <si>
    <r>
      <t xml:space="preserve">Providing and </t>
    </r>
    <r>
      <rPr>
        <b/>
        <sz val="14"/>
        <rFont val="Arial"/>
        <family val="2"/>
      </rPr>
      <t xml:space="preserve">fixing 20 x 20 x 75 cm size </t>
    </r>
    <r>
      <rPr>
        <b/>
        <sz val="14"/>
        <rFont val="Cambria"/>
        <family val="1"/>
      </rPr>
      <t>permanent bench mark stone</t>
    </r>
    <r>
      <rPr>
        <sz val="14"/>
        <rFont val="Cambria"/>
        <family val="1"/>
      </rPr>
      <t xml:space="preserve"> in </t>
    </r>
    <r>
      <rPr>
        <b/>
        <sz val="14"/>
        <rFont val="Cambria"/>
        <family val="1"/>
      </rPr>
      <t>CC 1 :3 : 6</t>
    </r>
    <r>
      <rPr>
        <sz val="14"/>
        <rFont val="Cambria"/>
        <family val="1"/>
      </rPr>
      <t xml:space="preserve"> </t>
    </r>
    <r>
      <rPr>
        <sz val="14"/>
        <rFont val="Arial"/>
        <family val="2"/>
      </rPr>
      <t xml:space="preserve">block of size 90 x 90 x 120 cm using </t>
    </r>
    <r>
      <rPr>
        <b/>
        <sz val="14"/>
        <rFont val="Cambria"/>
        <family val="1"/>
      </rPr>
      <t xml:space="preserve">40 mm down </t>
    </r>
    <r>
      <rPr>
        <b/>
        <sz val="14"/>
        <rFont val="Arial"/>
        <family val="2"/>
      </rPr>
      <t>size</t>
    </r>
    <r>
      <rPr>
        <sz val="14"/>
        <rFont val="Arial"/>
        <family val="2"/>
      </rPr>
      <t xml:space="preserve"> graded coarse aggregate and providing </t>
    </r>
    <r>
      <rPr>
        <sz val="14"/>
        <rFont val="Cambria"/>
        <family val="1"/>
      </rPr>
      <t xml:space="preserve">35 cm thick 30 cm high UCR masonry </t>
    </r>
    <r>
      <rPr>
        <sz val="14"/>
        <rFont val="Arial"/>
        <family val="2"/>
      </rPr>
      <t xml:space="preserve">in </t>
    </r>
    <r>
      <rPr>
        <sz val="14"/>
        <rFont val="Cambria"/>
        <family val="1"/>
      </rPr>
      <t>CM 1 : 5</t>
    </r>
    <r>
      <rPr>
        <sz val="14"/>
        <rFont val="Arial"/>
        <family val="2"/>
      </rPr>
      <t xml:space="preserve"> proportion protective wall alround the BM stone, including cost of all materials, labour, dressing top surface of stone, engraving BM data</t>
    </r>
  </si>
  <si>
    <r>
      <rPr>
        <b/>
        <sz val="14"/>
        <rFont val="Arial"/>
        <family val="2"/>
      </rPr>
      <t>Removing dry stone rock-toe / rivetment and filter layers below rock-toe/ rivetment</t>
    </r>
    <r>
      <rPr>
        <sz val="14"/>
        <rFont val="Arial"/>
        <family val="2"/>
      </rPr>
      <t xml:space="preserve"> including stacking all materials separately as directed</t>
    </r>
    <r>
      <rPr>
        <b/>
        <sz val="14"/>
        <rFont val="Arial"/>
        <family val="2"/>
      </rPr>
      <t xml:space="preserve"> </t>
    </r>
    <r>
      <rPr>
        <b/>
        <sz val="14"/>
        <rFont val="Cambria"/>
        <family val="1"/>
      </rPr>
      <t>with initial lead upto 50 m and all lifts.</t>
    </r>
  </si>
  <si>
    <r>
      <rPr>
        <b/>
        <sz val="14"/>
        <rFont val="Arial"/>
        <family val="2"/>
      </rPr>
      <t>Re-constructing 60 cm thick hand packed rough stone revetment</t>
    </r>
    <r>
      <rPr>
        <sz val="14"/>
        <rFont val="Arial"/>
        <family val="2"/>
      </rPr>
      <t xml:space="preserve"> with through stones at 1.5 m c / c over a backing of </t>
    </r>
    <r>
      <rPr>
        <sz val="14"/>
        <rFont val="Cambria"/>
        <family val="1"/>
      </rPr>
      <t xml:space="preserve">45 cm thick graded filter media </t>
    </r>
    <r>
      <rPr>
        <sz val="14"/>
        <rFont val="Arial"/>
        <family val="2"/>
      </rPr>
      <t xml:space="preserve">consisting of sand, </t>
    </r>
    <r>
      <rPr>
        <sz val="14"/>
        <rFont val="Cambria"/>
        <family val="1"/>
      </rPr>
      <t xml:space="preserve">10 mm and 40 mm size </t>
    </r>
    <r>
      <rPr>
        <sz val="14"/>
        <rFont val="Arial"/>
        <family val="2"/>
      </rPr>
      <t xml:space="preserve">graded aggregates satisfying filter criteria laid in layers of 15 cm thick each using sand from approved quarry and stones and filter aggregates obtained from revetment removed for re-construction including cost of all machinery, labour, laying filter and stones to specified slopes, wedging with chips, finishing etc. complete </t>
    </r>
    <r>
      <rPr>
        <b/>
        <sz val="14"/>
        <rFont val="Arial"/>
        <family val="2"/>
      </rPr>
      <t xml:space="preserve">with </t>
    </r>
    <r>
      <rPr>
        <b/>
        <sz val="14"/>
        <rFont val="Cambria"/>
        <family val="1"/>
      </rPr>
      <t>initial lead upto 50 m and all lifts.</t>
    </r>
  </si>
  <si>
    <r>
      <rPr>
        <b/>
        <sz val="14"/>
        <rFont val="Arial"/>
        <family val="2"/>
      </rPr>
      <t>Re-constructing dry rubble rock-toe and filter media for rock-toe</t>
    </r>
    <r>
      <rPr>
        <sz val="14"/>
        <rFont val="Arial"/>
        <family val="2"/>
      </rPr>
      <t xml:space="preserve"> consisting of sand</t>
    </r>
    <r>
      <rPr>
        <sz val="14"/>
        <rFont val="Cambria"/>
        <family val="1"/>
      </rPr>
      <t xml:space="preserve"> 20 mm and 80 mm </t>
    </r>
    <r>
      <rPr>
        <sz val="14"/>
        <rFont val="Arial"/>
        <family val="2"/>
      </rPr>
      <t xml:space="preserve">size graded aggregates satisfying filter criteria laid in layers of </t>
    </r>
    <r>
      <rPr>
        <sz val="14"/>
        <rFont val="Cambria"/>
        <family val="1"/>
      </rPr>
      <t xml:space="preserve">15 cm thick </t>
    </r>
    <r>
      <rPr>
        <sz val="14"/>
        <rFont val="Arial"/>
        <family val="2"/>
      </rPr>
      <t xml:space="preserve">each using sand from approved quarry and stones and filter aggregates obtained from rock-toe removed for re-construction including cost of all machinery, labour, laying filter and stones to specified slopes, wedging with chips, finishing etc. complete </t>
    </r>
    <r>
      <rPr>
        <b/>
        <sz val="14"/>
        <rFont val="Cambria"/>
        <family val="1"/>
      </rPr>
      <t>with initial lead upto 50 m and all lifts.</t>
    </r>
  </si>
  <si>
    <r>
      <rPr>
        <b/>
        <sz val="14"/>
        <rFont val="Arial"/>
        <family val="2"/>
      </rPr>
      <t>Removing and resetting disturbed Yarguntla / Shahabad / Talikot / PCC / Other types of slab lining</t>
    </r>
    <r>
      <rPr>
        <sz val="14"/>
        <rFont val="Arial"/>
        <family val="2"/>
      </rPr>
      <t xml:space="preserve"> set in </t>
    </r>
    <r>
      <rPr>
        <b/>
        <sz val="14"/>
        <rFont val="Arial"/>
        <family val="2"/>
      </rPr>
      <t xml:space="preserve">CM </t>
    </r>
    <r>
      <rPr>
        <b/>
        <sz val="14"/>
        <rFont val="Cambria"/>
        <family val="1"/>
      </rPr>
      <t>1 : 3</t>
    </r>
    <r>
      <rPr>
        <sz val="14"/>
        <rFont val="Cambria"/>
        <family val="1"/>
      </rPr>
      <t xml:space="preserve"> </t>
    </r>
    <r>
      <rPr>
        <sz val="14"/>
        <rFont val="Arial"/>
        <family val="2"/>
      </rPr>
      <t xml:space="preserve">including flush cement mortar pointing in </t>
    </r>
    <r>
      <rPr>
        <sz val="14"/>
        <rFont val="Cambria"/>
        <family val="1"/>
      </rPr>
      <t xml:space="preserve">CM 1 : 3 </t>
    </r>
    <r>
      <rPr>
        <b/>
        <sz val="14"/>
        <rFont val="Arial"/>
        <family val="2"/>
      </rPr>
      <t xml:space="preserve">with </t>
    </r>
    <r>
      <rPr>
        <b/>
        <sz val="14"/>
        <rFont val="Cambria"/>
        <family val="1"/>
      </rPr>
      <t>lead upto 50 m and all lifts.</t>
    </r>
  </si>
  <si>
    <r>
      <rPr>
        <b/>
        <sz val="14"/>
        <rFont val="Arial"/>
        <family val="2"/>
      </rPr>
      <t xml:space="preserve">Removing and resetting disturbed dry rubble / khandki stone pitching </t>
    </r>
    <r>
      <rPr>
        <b/>
        <sz val="14"/>
        <rFont val="Cambria"/>
        <family val="1"/>
      </rPr>
      <t>25 to 45 cm thick</t>
    </r>
    <r>
      <rPr>
        <sz val="14"/>
        <rFont val="Cambria"/>
        <family val="1"/>
      </rPr>
      <t xml:space="preserve"> </t>
    </r>
    <r>
      <rPr>
        <sz val="14"/>
        <rFont val="Arial"/>
        <family val="2"/>
      </rPr>
      <t>including packing, wedging, finishing etc., complete</t>
    </r>
    <r>
      <rPr>
        <b/>
        <sz val="14"/>
        <rFont val="Arial"/>
        <family val="2"/>
      </rPr>
      <t xml:space="preserve"> with </t>
    </r>
    <r>
      <rPr>
        <b/>
        <sz val="14"/>
        <rFont val="Cambria"/>
        <family val="1"/>
      </rPr>
      <t>all leads and lifts.</t>
    </r>
  </si>
  <si>
    <r>
      <rPr>
        <b/>
        <sz val="14"/>
        <rFont val="Arial"/>
        <family val="2"/>
      </rPr>
      <t>Removing and refixing disturbed chainage / demarcation / hectometre / guard stones</t>
    </r>
    <r>
      <rPr>
        <sz val="14"/>
        <rFont val="Arial"/>
        <family val="2"/>
      </rPr>
      <t xml:space="preserve"> including excavation, back filling etc., complete </t>
    </r>
    <r>
      <rPr>
        <b/>
        <sz val="14"/>
        <rFont val="Cambria"/>
        <family val="1"/>
      </rPr>
      <t>with all leads and lifts.</t>
    </r>
  </si>
  <si>
    <r>
      <rPr>
        <b/>
        <sz val="14"/>
        <rFont val="Arial"/>
        <family val="2"/>
      </rPr>
      <t xml:space="preserve">Removing and </t>
    </r>
    <r>
      <rPr>
        <b/>
        <sz val="14"/>
        <rFont val="Cambria"/>
        <family val="1"/>
      </rPr>
      <t>refixing</t>
    </r>
    <r>
      <rPr>
        <b/>
        <sz val="14"/>
        <rFont val="Arial"/>
        <family val="2"/>
      </rPr>
      <t xml:space="preserve"> disturbed</t>
    </r>
    <r>
      <rPr>
        <b/>
        <sz val="14"/>
        <rFont val="Cambria"/>
        <family val="1"/>
      </rPr>
      <t xml:space="preserve"> km stone / sign board / hecto-metre stone</t>
    </r>
    <r>
      <rPr>
        <b/>
        <sz val="14"/>
        <rFont val="Arial"/>
        <family val="2"/>
      </rPr>
      <t xml:space="preserve"> etc.</t>
    </r>
    <r>
      <rPr>
        <sz val="14"/>
        <rFont val="Arial"/>
        <family val="2"/>
      </rPr>
      <t xml:space="preserve">, including excavation, back filling with available stuff after refixing, forming base platform of size 90 x 90 x 7.5 cm including watering, ramming etc </t>
    </r>
    <r>
      <rPr>
        <sz val="14"/>
        <rFont val="Cambria"/>
        <family val="1"/>
      </rPr>
      <t xml:space="preserve">complete </t>
    </r>
    <r>
      <rPr>
        <b/>
        <sz val="14"/>
        <rFont val="Cambria"/>
        <family val="1"/>
      </rPr>
      <t>with all leads and lifts.</t>
    </r>
  </si>
  <si>
    <r>
      <rPr>
        <b/>
        <sz val="14"/>
        <rFont val="Arial"/>
        <family val="2"/>
      </rPr>
      <t xml:space="preserve">Providing </t>
    </r>
    <r>
      <rPr>
        <b/>
        <sz val="14"/>
        <rFont val="Cambria"/>
        <family val="1"/>
      </rPr>
      <t>impervious hearting for breached / damaged portion of embankment</t>
    </r>
    <r>
      <rPr>
        <sz val="14"/>
        <rFont val="Cambria"/>
        <family val="1"/>
      </rPr>
      <t xml:space="preserve"> </t>
    </r>
    <r>
      <rPr>
        <sz val="14"/>
        <rFont val="Arial"/>
        <family val="2"/>
      </rPr>
      <t xml:space="preserve">with soil </t>
    </r>
    <r>
      <rPr>
        <sz val="14"/>
        <rFont val="Cambria"/>
        <family val="1"/>
      </rPr>
      <t xml:space="preserve">from </t>
    </r>
    <r>
      <rPr>
        <b/>
        <sz val="14"/>
        <rFont val="Cambria"/>
        <family val="1"/>
      </rPr>
      <t>approved borrow areas</t>
    </r>
    <r>
      <rPr>
        <sz val="14"/>
        <rFont val="Cambria"/>
        <family val="1"/>
      </rPr>
      <t xml:space="preserve"> </t>
    </r>
    <r>
      <rPr>
        <sz val="14"/>
        <rFont val="Arial"/>
        <family val="2"/>
      </rPr>
      <t xml:space="preserve">in </t>
    </r>
    <r>
      <rPr>
        <b/>
        <sz val="14"/>
        <rFont val="Arial"/>
        <family val="2"/>
      </rPr>
      <t>layers of 10 to 15 cm</t>
    </r>
    <r>
      <rPr>
        <sz val="14"/>
        <rFont val="Arial"/>
        <family val="2"/>
      </rPr>
      <t xml:space="preserve"> before compaction including cost of all materials, machinery, labour, all operations such as collection of soil, sorting out, spreading soil to specified thickness, breaking clods, sectioning, watering, compacting each layer to density control of </t>
    </r>
    <r>
      <rPr>
        <b/>
        <sz val="14"/>
        <rFont val="Arial"/>
        <family val="2"/>
      </rPr>
      <t xml:space="preserve">not </t>
    </r>
    <r>
      <rPr>
        <b/>
        <sz val="14"/>
        <rFont val="Cambria"/>
        <family val="1"/>
      </rPr>
      <t>less than 98 percent</t>
    </r>
    <r>
      <rPr>
        <sz val="14"/>
        <rFont val="Cambria"/>
        <family val="1"/>
      </rPr>
      <t xml:space="preserve"> </t>
    </r>
    <r>
      <rPr>
        <sz val="14"/>
        <rFont val="Arial"/>
        <family val="2"/>
      </rPr>
      <t xml:space="preserve">or as stipulated by rolling or by </t>
    </r>
    <r>
      <rPr>
        <sz val="14"/>
        <rFont val="Cambria"/>
        <family val="1"/>
      </rPr>
      <t xml:space="preserve">using mechanical tampers </t>
    </r>
    <r>
      <rPr>
        <sz val="14"/>
        <rFont val="Arial"/>
        <family val="2"/>
      </rPr>
      <t>etc.,</t>
    </r>
    <r>
      <rPr>
        <b/>
        <sz val="14"/>
        <rFont val="Arial"/>
        <family val="2"/>
      </rPr>
      <t xml:space="preserve"> complete </t>
    </r>
    <r>
      <rPr>
        <b/>
        <sz val="14"/>
        <rFont val="Cambria"/>
        <family val="1"/>
      </rPr>
      <t>with initial lead upto 1 km and all lifts.</t>
    </r>
  </si>
  <si>
    <r>
      <rPr>
        <b/>
        <sz val="14"/>
        <rFont val="Arial"/>
        <family val="2"/>
      </rPr>
      <t>Providing pervious/semi-pervious casing for breached / damaged portion of embankment</t>
    </r>
    <r>
      <rPr>
        <sz val="14"/>
        <rFont val="Arial"/>
        <family val="2"/>
      </rPr>
      <t xml:space="preserve"> with soil from </t>
    </r>
    <r>
      <rPr>
        <b/>
        <sz val="14"/>
        <rFont val="Cambria"/>
        <family val="1"/>
      </rPr>
      <t>approved borrow areas</t>
    </r>
    <r>
      <rPr>
        <sz val="14"/>
        <rFont val="Cambria"/>
        <family val="1"/>
      </rPr>
      <t xml:space="preserve"> </t>
    </r>
    <r>
      <rPr>
        <sz val="14"/>
        <rFont val="Arial"/>
        <family val="2"/>
      </rPr>
      <t xml:space="preserve">in </t>
    </r>
    <r>
      <rPr>
        <b/>
        <sz val="14"/>
        <rFont val="Arial"/>
        <family val="2"/>
      </rPr>
      <t>layers of 10 to 15 cm</t>
    </r>
    <r>
      <rPr>
        <sz val="14"/>
        <rFont val="Arial"/>
        <family val="2"/>
      </rPr>
      <t xml:space="preserve"> before compaction including cost of all materials, machinery, labour, all operations such as collection of soil, sorting out, spreading soil to specified thickness, breaking clods, sectioning, watering, compacting each layer to density control of </t>
    </r>
    <r>
      <rPr>
        <b/>
        <sz val="14"/>
        <rFont val="Cambria"/>
        <family val="1"/>
      </rPr>
      <t xml:space="preserve">not less than 98 percent </t>
    </r>
    <r>
      <rPr>
        <b/>
        <sz val="14"/>
        <rFont val="Arial"/>
        <family val="2"/>
      </rPr>
      <t xml:space="preserve">or as stipulated by rolling or </t>
    </r>
    <r>
      <rPr>
        <b/>
        <sz val="14"/>
        <rFont val="Cambria"/>
        <family val="1"/>
      </rPr>
      <t xml:space="preserve">by using mechanical tampers </t>
    </r>
    <r>
      <rPr>
        <b/>
        <sz val="14"/>
        <rFont val="Arial"/>
        <family val="2"/>
      </rPr>
      <t xml:space="preserve">etc., </t>
    </r>
    <r>
      <rPr>
        <b/>
        <sz val="14"/>
        <rFont val="Cambria"/>
        <family val="1"/>
      </rPr>
      <t>complete with initial lead upto 1 km and all lifts.</t>
    </r>
  </si>
  <si>
    <r>
      <rPr>
        <b/>
        <sz val="14"/>
        <rFont val="Arial"/>
        <family val="2"/>
      </rPr>
      <t>Providing impervious hearting for breached / damaged portion of embankment</t>
    </r>
    <r>
      <rPr>
        <sz val="14"/>
        <rFont val="Arial"/>
        <family val="2"/>
      </rPr>
      <t xml:space="preserve"> with soil from </t>
    </r>
    <r>
      <rPr>
        <b/>
        <sz val="14"/>
        <rFont val="Cambria"/>
        <family val="1"/>
      </rPr>
      <t>approved dump areas</t>
    </r>
    <r>
      <rPr>
        <sz val="14"/>
        <rFont val="Cambria"/>
        <family val="1"/>
      </rPr>
      <t xml:space="preserve"> </t>
    </r>
    <r>
      <rPr>
        <sz val="14"/>
        <rFont val="Arial"/>
        <family val="2"/>
      </rPr>
      <t xml:space="preserve">in </t>
    </r>
    <r>
      <rPr>
        <b/>
        <sz val="14"/>
        <rFont val="Arial"/>
        <family val="2"/>
      </rPr>
      <t>layers of 10 to 15 cm</t>
    </r>
    <r>
      <rPr>
        <sz val="14"/>
        <rFont val="Arial"/>
        <family val="2"/>
      </rPr>
      <t xml:space="preserve"> before compaction including cost of all materials, machinery, labour, all operations such as collection of soil,sorting out, spreading soil to specified thickness, breaking clods, sectioning, watering, compacting each layer to density control of </t>
    </r>
    <r>
      <rPr>
        <b/>
        <sz val="14"/>
        <rFont val="Cambria"/>
        <family val="1"/>
      </rPr>
      <t>not less than 98 percent</t>
    </r>
    <r>
      <rPr>
        <sz val="14"/>
        <rFont val="Cambria"/>
        <family val="1"/>
      </rPr>
      <t xml:space="preserve"> </t>
    </r>
    <r>
      <rPr>
        <sz val="14"/>
        <rFont val="Arial"/>
        <family val="2"/>
      </rPr>
      <t xml:space="preserve">or as stipulated by rolling or by </t>
    </r>
    <r>
      <rPr>
        <sz val="14"/>
        <rFont val="Cambria"/>
        <family val="1"/>
      </rPr>
      <t xml:space="preserve">using mechanical tampers </t>
    </r>
    <r>
      <rPr>
        <sz val="14"/>
        <rFont val="Arial"/>
        <family val="2"/>
      </rPr>
      <t xml:space="preserve">etc., complete </t>
    </r>
    <r>
      <rPr>
        <b/>
        <sz val="14"/>
        <rFont val="Cambria"/>
        <family val="1"/>
      </rPr>
      <t>with initial lead upto 1 km and all lifts.</t>
    </r>
  </si>
  <si>
    <r>
      <rPr>
        <b/>
        <sz val="14"/>
        <rFont val="Arial"/>
        <family val="2"/>
      </rPr>
      <t xml:space="preserve">Providing </t>
    </r>
    <r>
      <rPr>
        <b/>
        <sz val="14"/>
        <rFont val="Cambria"/>
        <family val="1"/>
      </rPr>
      <t xml:space="preserve">pervious /semi-pervious casing for breached /damaged portion </t>
    </r>
    <r>
      <rPr>
        <b/>
        <sz val="14"/>
        <rFont val="Arial"/>
        <family val="2"/>
      </rPr>
      <t>of embankment</t>
    </r>
    <r>
      <rPr>
        <sz val="14"/>
        <rFont val="Arial"/>
        <family val="2"/>
      </rPr>
      <t xml:space="preserve"> with soil </t>
    </r>
    <r>
      <rPr>
        <sz val="14"/>
        <rFont val="Cambria"/>
        <family val="1"/>
      </rPr>
      <t xml:space="preserve">from </t>
    </r>
    <r>
      <rPr>
        <b/>
        <sz val="14"/>
        <rFont val="Cambria"/>
        <family val="1"/>
      </rPr>
      <t>approved dump areas</t>
    </r>
    <r>
      <rPr>
        <sz val="14"/>
        <rFont val="Cambria"/>
        <family val="1"/>
      </rPr>
      <t xml:space="preserve"> </t>
    </r>
    <r>
      <rPr>
        <sz val="14"/>
        <rFont val="Arial"/>
        <family val="2"/>
      </rPr>
      <t xml:space="preserve">in </t>
    </r>
    <r>
      <rPr>
        <b/>
        <sz val="14"/>
        <rFont val="Arial"/>
        <family val="2"/>
      </rPr>
      <t>layers of 10 to 15 cm</t>
    </r>
    <r>
      <rPr>
        <sz val="14"/>
        <rFont val="Arial"/>
        <family val="2"/>
      </rPr>
      <t xml:space="preserve"> before compaction including cost of all materials, machinery, labour, all operations such as collection of soil, sorting out, spreading soil to specified thickness, breaking clods, sectioning, watering, compacting each layer to density control of </t>
    </r>
    <r>
      <rPr>
        <b/>
        <sz val="14"/>
        <rFont val="Cambria"/>
        <family val="1"/>
      </rPr>
      <t>not less than 98 percent</t>
    </r>
    <r>
      <rPr>
        <sz val="14"/>
        <rFont val="Arial"/>
        <family val="2"/>
      </rPr>
      <t xml:space="preserve"> or as stipulated by </t>
    </r>
    <r>
      <rPr>
        <sz val="14"/>
        <rFont val="Cambria"/>
        <family val="1"/>
      </rPr>
      <t>rolling or by using mechanical tampers</t>
    </r>
    <r>
      <rPr>
        <sz val="14"/>
        <rFont val="Arial"/>
        <family val="2"/>
      </rPr>
      <t xml:space="preserve"> etc., complete </t>
    </r>
    <r>
      <rPr>
        <b/>
        <sz val="14"/>
        <rFont val="Cambria"/>
        <family val="1"/>
      </rPr>
      <t>with initial lead upto 1 km and all lifts.</t>
    </r>
  </si>
  <si>
    <r>
      <rPr>
        <b/>
        <sz val="14"/>
        <rFont val="Arial"/>
        <family val="2"/>
      </rPr>
      <t>Repairing rain cuts / resectioning canal slopes</t>
    </r>
    <r>
      <rPr>
        <sz val="14"/>
        <rFont val="Arial"/>
        <family val="2"/>
      </rPr>
      <t xml:space="preserve"> to required lines and grades as directed using available soil including dressing, clod breaking, packing, tamping etc., complete </t>
    </r>
    <r>
      <rPr>
        <b/>
        <sz val="14"/>
        <rFont val="Cambria"/>
        <family val="1"/>
      </rPr>
      <t>with all leads and lifts.</t>
    </r>
  </si>
  <si>
    <r>
      <rPr>
        <b/>
        <sz val="14"/>
        <rFont val="Arial"/>
        <family val="2"/>
      </rPr>
      <t>Cleaning drainage gallery, adits, instrumentation galleries</t>
    </r>
    <r>
      <rPr>
        <sz val="14"/>
        <rFont val="Arial"/>
        <family val="2"/>
      </rPr>
      <t xml:space="preserve"> etc., by scrubbing / brushing including chiselling and removing leached lime deposit and disposing off all the waste material out side adits in specified location etc., </t>
    </r>
    <r>
      <rPr>
        <b/>
        <sz val="14"/>
        <rFont val="Cambria"/>
        <family val="1"/>
      </rPr>
      <t>complete with all leads and lifts.</t>
    </r>
  </si>
  <si>
    <r>
      <rPr>
        <b/>
        <sz val="14"/>
        <rFont val="Arial"/>
        <family val="2"/>
      </rPr>
      <t>Cleaning dam parapet inner face and top</t>
    </r>
    <r>
      <rPr>
        <sz val="14"/>
        <rFont val="Arial"/>
        <family val="2"/>
      </rPr>
      <t xml:space="preserve"> </t>
    </r>
    <r>
      <rPr>
        <sz val="14"/>
        <rFont val="Cambria"/>
        <family val="1"/>
      </rPr>
      <t xml:space="preserve">using oxalic acid and water </t>
    </r>
    <r>
      <rPr>
        <sz val="14"/>
        <rFont val="Arial"/>
        <family val="2"/>
      </rPr>
      <t xml:space="preserve">by scrubbing / brushing and washing to remove all surface coatings etc., </t>
    </r>
    <r>
      <rPr>
        <b/>
        <sz val="14"/>
        <rFont val="Arial"/>
        <family val="2"/>
      </rPr>
      <t>complete .</t>
    </r>
  </si>
  <si>
    <r>
      <rPr>
        <b/>
        <sz val="14"/>
        <rFont val="Arial"/>
        <family val="2"/>
      </rPr>
      <t xml:space="preserve">Excavation and </t>
    </r>
    <r>
      <rPr>
        <b/>
        <sz val="14"/>
        <rFont val="Cambria"/>
        <family val="1"/>
      </rPr>
      <t>removal of silt</t>
    </r>
    <r>
      <rPr>
        <b/>
        <sz val="14"/>
        <rFont val="Arial"/>
        <family val="2"/>
      </rPr>
      <t xml:space="preserve"> and silt mixed with sand from canal bed </t>
    </r>
    <r>
      <rPr>
        <b/>
        <sz val="14"/>
        <rFont val="Cambria"/>
        <family val="1"/>
      </rPr>
      <t>in dry condition</t>
    </r>
    <r>
      <rPr>
        <sz val="14"/>
        <rFont val="Cambria"/>
        <family val="1"/>
      </rPr>
      <t xml:space="preserve"> </t>
    </r>
    <r>
      <rPr>
        <sz val="14"/>
        <rFont val="Arial"/>
        <family val="2"/>
      </rPr>
      <t xml:space="preserve">including disposing off the same in spoil bank or on the canal embankment in layers as directed etc., complete </t>
    </r>
    <r>
      <rPr>
        <b/>
        <sz val="14"/>
        <rFont val="Arial"/>
        <family val="2"/>
      </rPr>
      <t xml:space="preserve">with </t>
    </r>
    <r>
      <rPr>
        <b/>
        <sz val="14"/>
        <rFont val="Cambria"/>
        <family val="1"/>
      </rPr>
      <t>initial lead upto 50 m and all lifts.</t>
    </r>
  </si>
  <si>
    <r>
      <rPr>
        <b/>
        <sz val="14"/>
        <rFont val="Arial"/>
        <family val="2"/>
      </rPr>
      <t xml:space="preserve">Excavation and </t>
    </r>
    <r>
      <rPr>
        <b/>
        <sz val="14"/>
        <rFont val="Cambria"/>
        <family val="1"/>
      </rPr>
      <t>removal of silt</t>
    </r>
    <r>
      <rPr>
        <b/>
        <sz val="14"/>
        <rFont val="Arial"/>
        <family val="2"/>
      </rPr>
      <t xml:space="preserve"> or silt mixed with sand </t>
    </r>
    <r>
      <rPr>
        <b/>
        <sz val="14"/>
        <rFont val="Cambria"/>
        <family val="1"/>
      </rPr>
      <t>in slussy condition</t>
    </r>
    <r>
      <rPr>
        <b/>
        <sz val="14"/>
        <rFont val="Arial"/>
        <family val="2"/>
      </rPr>
      <t xml:space="preserve"> from canal bed</t>
    </r>
    <r>
      <rPr>
        <sz val="14"/>
        <rFont val="Arial"/>
        <family val="2"/>
      </rPr>
      <t xml:space="preserve"> including disposing off the same in spoil bank or on the canal embankment in layers as directed etc., complete </t>
    </r>
    <r>
      <rPr>
        <sz val="14"/>
        <rFont val="Cambria"/>
        <family val="1"/>
      </rPr>
      <t xml:space="preserve">with </t>
    </r>
    <r>
      <rPr>
        <b/>
        <sz val="14"/>
        <rFont val="Cambria"/>
        <family val="1"/>
      </rPr>
      <t>initial lead upto 50 m and all lifts.</t>
    </r>
  </si>
  <si>
    <r>
      <rPr>
        <b/>
        <sz val="14"/>
        <rFont val="Arial"/>
        <family val="2"/>
      </rPr>
      <t>Providing homogeneous embankment</t>
    </r>
    <r>
      <rPr>
        <sz val="14"/>
        <rFont val="Arial"/>
        <family val="2"/>
      </rPr>
      <t xml:space="preserve"> using soil from </t>
    </r>
    <r>
      <rPr>
        <b/>
        <sz val="14"/>
        <rFont val="Arial"/>
        <family val="2"/>
      </rPr>
      <t>approved borrow area</t>
    </r>
    <r>
      <rPr>
        <sz val="14"/>
        <rFont val="Arial"/>
        <family val="2"/>
      </rPr>
      <t xml:space="preserve"> in </t>
    </r>
    <r>
      <rPr>
        <b/>
        <sz val="14"/>
        <rFont val="Arial"/>
        <family val="2"/>
      </rPr>
      <t>layers of 25 to 30 cm</t>
    </r>
    <r>
      <rPr>
        <sz val="14"/>
        <rFont val="Arial"/>
        <family val="2"/>
      </rPr>
      <t xml:space="preserve"> before compaction including cost of all materials, machinery, labour, all operations such as excavation, sorting out, transportation, spreading soil in layer of specified thickness, breaking clods, sectioning,etc.,complete with </t>
    </r>
    <r>
      <rPr>
        <b/>
        <sz val="14"/>
        <rFont val="Arial"/>
        <family val="2"/>
      </rPr>
      <t>initial lead upto 1 km and all lifts</t>
    </r>
    <r>
      <rPr>
        <sz val="14"/>
        <rFont val="Arial"/>
        <family val="2"/>
      </rPr>
      <t>.</t>
    </r>
  </si>
  <si>
    <r>
      <rPr>
        <b/>
        <sz val="14"/>
        <rFont val="Arial"/>
        <family val="2"/>
      </rPr>
      <t>Providing homogeneous embankment</t>
    </r>
    <r>
      <rPr>
        <sz val="14"/>
        <rFont val="Arial"/>
        <family val="2"/>
      </rPr>
      <t xml:space="preserve"> using soil from </t>
    </r>
    <r>
      <rPr>
        <b/>
        <sz val="14"/>
        <rFont val="Arial"/>
        <family val="2"/>
      </rPr>
      <t>approved borrow area</t>
    </r>
    <r>
      <rPr>
        <sz val="14"/>
        <rFont val="Arial"/>
        <family val="2"/>
      </rPr>
      <t xml:space="preserve"> in </t>
    </r>
    <r>
      <rPr>
        <b/>
        <sz val="14"/>
        <rFont val="Arial"/>
        <family val="2"/>
      </rPr>
      <t>layers of 25 to 30 cm</t>
    </r>
    <r>
      <rPr>
        <sz val="14"/>
        <rFont val="Arial"/>
        <family val="2"/>
      </rPr>
      <t xml:space="preserve"> before compaction including cost of all materials, machinery, labour, all operations such as watering, compactingto density control of </t>
    </r>
    <r>
      <rPr>
        <b/>
        <sz val="14"/>
        <rFont val="Arial"/>
        <family val="2"/>
      </rPr>
      <t>not less than 95 percent</t>
    </r>
    <r>
      <rPr>
        <sz val="14"/>
        <rFont val="Arial"/>
        <family val="2"/>
      </rPr>
      <t xml:space="preserve"> or as stipulated </t>
    </r>
    <r>
      <rPr>
        <b/>
        <sz val="14"/>
        <rFont val="Arial"/>
        <family val="2"/>
      </rPr>
      <t>using 8T roller etc., complete with initial lead upto 1 km and all lifts.</t>
    </r>
  </si>
  <si>
    <r>
      <rPr>
        <b/>
        <sz val="14"/>
        <rFont val="Arial"/>
        <family val="2"/>
      </rPr>
      <t>Providing homogeneous embankment</t>
    </r>
    <r>
      <rPr>
        <sz val="14"/>
        <rFont val="Arial"/>
        <family val="2"/>
      </rPr>
      <t xml:space="preserve"> using soil from </t>
    </r>
    <r>
      <rPr>
        <b/>
        <sz val="14"/>
        <rFont val="Arial"/>
        <family val="2"/>
      </rPr>
      <t>approved borrow area</t>
    </r>
    <r>
      <rPr>
        <sz val="14"/>
        <rFont val="Arial"/>
        <family val="2"/>
      </rPr>
      <t xml:space="preserve"> in </t>
    </r>
    <r>
      <rPr>
        <b/>
        <sz val="14"/>
        <rFont val="Arial"/>
        <family val="2"/>
      </rPr>
      <t>layers of 25 to 30 cm</t>
    </r>
    <r>
      <rPr>
        <sz val="14"/>
        <rFont val="Arial"/>
        <family val="2"/>
      </rPr>
      <t xml:space="preserve"> before compaction including cost of all materials, machinery, labour, all operations such as compactingto density control of </t>
    </r>
    <r>
      <rPr>
        <b/>
        <sz val="14"/>
        <rFont val="Arial"/>
        <family val="2"/>
      </rPr>
      <t>not less than 90 percent or as stipulated using 2T roller</t>
    </r>
    <r>
      <rPr>
        <sz val="14"/>
        <rFont val="Arial"/>
        <family val="2"/>
      </rPr>
      <t xml:space="preserve"> etc., complete </t>
    </r>
    <r>
      <rPr>
        <b/>
        <sz val="14"/>
        <rFont val="Arial"/>
        <family val="2"/>
      </rPr>
      <t>with initial lead upto 1 km and all lifts.</t>
    </r>
  </si>
  <si>
    <r>
      <t>(Manual)</t>
    </r>
    <r>
      <rPr>
        <b/>
        <sz val="14"/>
        <rFont val="Arial"/>
        <family val="2"/>
      </rPr>
      <t xml:space="preserve">Excavation in </t>
    </r>
    <r>
      <rPr>
        <b/>
        <sz val="14"/>
        <rFont val="Cambria"/>
        <family val="1"/>
      </rPr>
      <t>all kinds of soil</t>
    </r>
    <r>
      <rPr>
        <sz val="14"/>
        <rFont val="Arial"/>
        <family val="2"/>
      </rPr>
      <t xml:space="preserve"> including </t>
    </r>
    <r>
      <rPr>
        <sz val="14"/>
        <rFont val="Cambria"/>
        <family val="1"/>
      </rPr>
      <t xml:space="preserve">boulders </t>
    </r>
    <r>
      <rPr>
        <b/>
        <sz val="14"/>
        <rFont val="Cambria"/>
        <family val="1"/>
      </rPr>
      <t>upto 0.30 m dia.</t>
    </r>
    <r>
      <rPr>
        <sz val="14"/>
        <rFont val="Cambria"/>
        <family val="1"/>
      </rPr>
      <t xml:space="preserve"> </t>
    </r>
    <r>
      <rPr>
        <sz val="14"/>
        <rFont val="Arial"/>
        <family val="2"/>
      </rPr>
      <t xml:space="preserve">for foundations of canal cross drainage and other appurtenant structures and placing excavated stuff neatly in specified dump area or disposing off the same as directed etc., </t>
    </r>
    <r>
      <rPr>
        <sz val="14"/>
        <rFont val="Cambria"/>
        <family val="1"/>
      </rPr>
      <t xml:space="preserve">complete </t>
    </r>
    <r>
      <rPr>
        <b/>
        <sz val="14"/>
        <rFont val="Cambria"/>
        <family val="1"/>
      </rPr>
      <t>with initial lead upto 10 m and initial lift upto 1.5 m.  (WIthout involving the contractors for specified works )</t>
    </r>
    <r>
      <rPr>
        <sz val="14"/>
        <rFont val="Cambria"/>
        <family val="1"/>
      </rPr>
      <t xml:space="preserve">
With 3 Cum per day output</t>
    </r>
  </si>
  <si>
    <r>
      <t>(Manual)</t>
    </r>
    <r>
      <rPr>
        <b/>
        <sz val="14"/>
        <rFont val="Arial"/>
        <family val="2"/>
      </rPr>
      <t xml:space="preserve">Excavation in </t>
    </r>
    <r>
      <rPr>
        <b/>
        <sz val="14"/>
        <rFont val="Cambria"/>
        <family val="1"/>
      </rPr>
      <t>all kinds of soil/HDR</t>
    </r>
    <r>
      <rPr>
        <sz val="14"/>
        <rFont val="Cambria"/>
        <family val="1"/>
      </rPr>
      <t xml:space="preserve"> </t>
    </r>
    <r>
      <rPr>
        <sz val="14"/>
        <rFont val="Arial"/>
        <family val="2"/>
      </rPr>
      <t xml:space="preserve">including </t>
    </r>
    <r>
      <rPr>
        <sz val="14"/>
        <rFont val="Cambria"/>
        <family val="1"/>
      </rPr>
      <t xml:space="preserve">boulders </t>
    </r>
    <r>
      <rPr>
        <b/>
        <sz val="14"/>
        <rFont val="Cambria"/>
        <family val="1"/>
      </rPr>
      <t>upto 0.30 m dia.</t>
    </r>
    <r>
      <rPr>
        <sz val="14"/>
        <rFont val="Arial"/>
        <family val="2"/>
      </rPr>
      <t xml:space="preserve"> for foundations of canal cross drainage and other appurtenant structures and placing excavated stuff neatly in specified dump area or disposing off the same as directed etc., </t>
    </r>
    <r>
      <rPr>
        <sz val="14"/>
        <rFont val="Cambria"/>
        <family val="1"/>
      </rPr>
      <t xml:space="preserve">complete </t>
    </r>
    <r>
      <rPr>
        <b/>
        <sz val="14"/>
        <rFont val="Cambria"/>
        <family val="1"/>
      </rPr>
      <t>with initial lead upto 10 m and initial lift upto 1.5 m.  (WIthout involving the contractors for specified works )</t>
    </r>
    <r>
      <rPr>
        <sz val="14"/>
        <rFont val="Cambria"/>
        <family val="1"/>
      </rPr>
      <t xml:space="preserve">
With 2.5 Cum per day output</t>
    </r>
  </si>
  <si>
    <r>
      <t>(Manual)</t>
    </r>
    <r>
      <rPr>
        <b/>
        <sz val="14"/>
        <rFont val="Arial"/>
        <family val="2"/>
      </rPr>
      <t xml:space="preserve">Excavation in </t>
    </r>
    <r>
      <rPr>
        <b/>
        <sz val="14"/>
        <rFont val="Cambria"/>
        <family val="1"/>
      </rPr>
      <t>soft rock (</t>
    </r>
    <r>
      <rPr>
        <b/>
        <sz val="14"/>
        <rFont val="Arial"/>
        <family val="2"/>
      </rPr>
      <t xml:space="preserve">including </t>
    </r>
    <r>
      <rPr>
        <b/>
        <sz val="14"/>
        <rFont val="Cambria"/>
        <family val="1"/>
      </rPr>
      <t>F&amp;F rock)</t>
    </r>
    <r>
      <rPr>
        <b/>
        <sz val="14"/>
        <rFont val="Arial"/>
        <family val="2"/>
      </rPr>
      <t xml:space="preserve"> without blasting</t>
    </r>
    <r>
      <rPr>
        <sz val="14"/>
        <rFont val="Arial"/>
        <family val="2"/>
      </rPr>
      <t xml:space="preserve">, including boulders </t>
    </r>
    <r>
      <rPr>
        <b/>
        <sz val="14"/>
        <rFont val="Cambria"/>
        <family val="1"/>
      </rPr>
      <t>upto 0.30 m</t>
    </r>
    <r>
      <rPr>
        <sz val="14"/>
        <rFont val="Cambria"/>
        <family val="1"/>
      </rPr>
      <t xml:space="preserve"> dia. f</t>
    </r>
    <r>
      <rPr>
        <sz val="14"/>
        <rFont val="Arial"/>
        <family val="2"/>
      </rPr>
      <t xml:space="preserve">or foundations of canal cross drainage and other appurtenant structures and placing excavated stuff neatly in specified dump area or disposing off the same as directed etc., complete </t>
    </r>
    <r>
      <rPr>
        <b/>
        <sz val="14"/>
        <rFont val="Cambria"/>
        <family val="1"/>
      </rPr>
      <t xml:space="preserve">with initial lead upto 10 m and initial lift upto 1.5 m.  (WIthout involving the contractors for specified works ) </t>
    </r>
    <r>
      <rPr>
        <sz val="14"/>
        <rFont val="Cambria"/>
        <family val="1"/>
      </rPr>
      <t xml:space="preserve">
Soft rock 1.33 Cum/Day</t>
    </r>
  </si>
  <si>
    <r>
      <t>(Manual)</t>
    </r>
    <r>
      <rPr>
        <b/>
        <sz val="14"/>
        <rFont val="Arial"/>
        <family val="2"/>
      </rPr>
      <t xml:space="preserve">Excavation in </t>
    </r>
    <r>
      <rPr>
        <b/>
        <sz val="14"/>
        <rFont val="Cambria"/>
        <family val="1"/>
      </rPr>
      <t>hard rock</t>
    </r>
    <r>
      <rPr>
        <sz val="14"/>
        <rFont val="Arial"/>
        <family val="2"/>
      </rPr>
      <t xml:space="preserve">, including </t>
    </r>
    <r>
      <rPr>
        <sz val="14"/>
        <rFont val="Cambria"/>
        <family val="1"/>
      </rPr>
      <t xml:space="preserve">boulders </t>
    </r>
    <r>
      <rPr>
        <b/>
        <sz val="14"/>
        <rFont val="Cambria"/>
        <family val="1"/>
      </rPr>
      <t>upto 0.30 m dia.</t>
    </r>
    <r>
      <rPr>
        <sz val="14"/>
        <rFont val="Cambria"/>
        <family val="1"/>
      </rPr>
      <t xml:space="preserve"> </t>
    </r>
    <r>
      <rPr>
        <sz val="14"/>
        <rFont val="Arial"/>
        <family val="2"/>
      </rPr>
      <t xml:space="preserve">for foundations of canal cross drainage and other appurtenant structures and placing excavated stuff neatly in specified dump area or disposing off the same as directed etc., complete </t>
    </r>
    <r>
      <rPr>
        <b/>
        <sz val="14"/>
        <rFont val="Arial"/>
        <family val="2"/>
      </rPr>
      <t xml:space="preserve">with </t>
    </r>
    <r>
      <rPr>
        <b/>
        <sz val="14"/>
        <rFont val="Cambria"/>
        <family val="1"/>
      </rPr>
      <t>initial lead upto 10 m and initial lift upto 1.5 m.  (WIthout involving the contractors for specified works )</t>
    </r>
    <r>
      <rPr>
        <sz val="14"/>
        <rFont val="Cambria"/>
        <family val="1"/>
      </rPr>
      <t xml:space="preserve">
Hard rock 0.67Cum/ day</t>
    </r>
  </si>
  <si>
    <t>Loading  of Earth, Sand, Moorum, Manure, Flyash</t>
  </si>
  <si>
    <r>
      <t xml:space="preserve">Loading  of Bricks  by </t>
    </r>
    <r>
      <rPr>
        <sz val="14"/>
        <color indexed="20"/>
        <rFont val="Calibri"/>
        <family val="2"/>
      </rPr>
      <t>manual means</t>
    </r>
  </si>
  <si>
    <r>
      <t xml:space="preserve">Loading  of Cement  by </t>
    </r>
    <r>
      <rPr>
        <sz val="14"/>
        <color indexed="20"/>
        <rFont val="Calibri"/>
        <family val="2"/>
      </rPr>
      <t>manual means</t>
    </r>
  </si>
  <si>
    <r>
      <t xml:space="preserve">Loading  of Structural Steel, Steel Bars by </t>
    </r>
    <r>
      <rPr>
        <sz val="14"/>
        <color indexed="20"/>
        <rFont val="Calibri"/>
        <family val="2"/>
      </rPr>
      <t>manual means</t>
    </r>
  </si>
  <si>
    <t>Unloading  of Earth, Sand, Moorum, Manure, Flyash</t>
  </si>
  <si>
    <t>b) contractor's profit and overhead charges</t>
  </si>
  <si>
    <t xml:space="preserve">Loading  of Earth, sand, Moorum, Manure, Flyash,  </t>
  </si>
  <si>
    <r>
      <t xml:space="preserve"> by </t>
    </r>
    <r>
      <rPr>
        <sz val="14"/>
        <color indexed="20"/>
        <rFont val="Calibri"/>
        <family val="2"/>
      </rPr>
      <t xml:space="preserve">mechanical means </t>
    </r>
    <r>
      <rPr>
        <sz val="14"/>
        <rFont val="Arial"/>
        <family val="2"/>
      </rPr>
      <t>including a lead upto 30 m</t>
    </r>
  </si>
  <si>
    <t xml:space="preserve">Unloading  of Earth, sand, Moorum, Manure, Flyash,  </t>
  </si>
  <si>
    <r>
      <t xml:space="preserve">Flyash, Stone for Masonry work  by </t>
    </r>
    <r>
      <rPr>
        <sz val="14"/>
        <color indexed="20"/>
        <rFont val="Calibri"/>
        <family val="2"/>
      </rPr>
      <t xml:space="preserve">mechanical </t>
    </r>
  </si>
  <si>
    <t>means  including a lead upto 30 m</t>
  </si>
  <si>
    <t xml:space="preserve">           2. For total lead exceeding 150 m conveyance charges by mechanical means only shall</t>
  </si>
  <si>
    <r>
      <t xml:space="preserve">Excavation for foundation </t>
    </r>
    <r>
      <rPr>
        <b/>
        <sz val="14"/>
        <rFont val="Arial"/>
        <family val="2"/>
      </rPr>
      <t xml:space="preserve">in </t>
    </r>
    <r>
      <rPr>
        <b/>
        <sz val="14"/>
        <rFont val="Calibri"/>
        <family val="2"/>
      </rPr>
      <t>all kinds of soil</t>
    </r>
    <r>
      <rPr>
        <sz val="14"/>
        <rFont val="Arial"/>
        <family val="2"/>
      </rPr>
      <t xml:space="preserve"> including boulders </t>
    </r>
    <r>
      <rPr>
        <b/>
        <sz val="14"/>
        <rFont val="Calibri"/>
        <family val="2"/>
      </rPr>
      <t xml:space="preserve">upto </t>
    </r>
  </si>
  <si>
    <r>
      <rPr>
        <b/>
        <sz val="14"/>
        <rFont val="Arial"/>
        <family val="2"/>
      </rPr>
      <t>0.30 m</t>
    </r>
    <r>
      <rPr>
        <sz val="14"/>
        <rFont val="Arial"/>
        <family val="2"/>
      </rPr>
      <t xml:space="preserve"> diameter for dam, spillway, intake structure and other appurtenant </t>
    </r>
  </si>
  <si>
    <r>
      <t xml:space="preserve">the same as directed etc., complete </t>
    </r>
    <r>
      <rPr>
        <b/>
        <sz val="14"/>
        <rFont val="Arial"/>
        <family val="2"/>
      </rPr>
      <t xml:space="preserve">with initial lead upto </t>
    </r>
    <r>
      <rPr>
        <b/>
        <sz val="14"/>
        <rFont val="Calibri"/>
        <family val="2"/>
      </rPr>
      <t>1 km</t>
    </r>
  </si>
  <si>
    <r>
      <t xml:space="preserve">D.Add for contractor's profit and overheads on </t>
    </r>
    <r>
      <rPr>
        <sz val="14"/>
        <rFont val="Calibri"/>
        <family val="2"/>
      </rPr>
      <t>(A+B+C)</t>
    </r>
  </si>
  <si>
    <r>
      <t xml:space="preserve">Excavation for foundation in </t>
    </r>
    <r>
      <rPr>
        <b/>
        <sz val="14"/>
        <rFont val="Calibri"/>
        <family val="2"/>
      </rPr>
      <t>ordinary rock (including HDR)</t>
    </r>
    <r>
      <rPr>
        <sz val="14"/>
        <rFont val="Arial"/>
        <family val="2"/>
      </rPr>
      <t xml:space="preserve"> without blasting including </t>
    </r>
  </si>
  <si>
    <r>
      <t xml:space="preserve">boulders above </t>
    </r>
    <r>
      <rPr>
        <b/>
        <sz val="14"/>
        <rFont val="Arial"/>
        <family val="2"/>
      </rPr>
      <t>0.3 m upto 0.6 m</t>
    </r>
    <r>
      <rPr>
        <sz val="14"/>
        <rFont val="Arial"/>
        <family val="2"/>
      </rPr>
      <t xml:space="preserve"> dia for dam, spillway, intake structure and</t>
    </r>
  </si>
  <si>
    <r>
      <t xml:space="preserve"> area or disposing off the same as directed etc., complete </t>
    </r>
    <r>
      <rPr>
        <b/>
        <sz val="14"/>
        <rFont val="Calibri"/>
        <family val="2"/>
      </rPr>
      <t>with initial lead</t>
    </r>
    <r>
      <rPr>
        <sz val="14"/>
        <rFont val="Calibri"/>
        <family val="2"/>
      </rPr>
      <t xml:space="preserve"> </t>
    </r>
  </si>
  <si>
    <r>
      <t xml:space="preserve">Excavation for foundation in </t>
    </r>
    <r>
      <rPr>
        <b/>
        <sz val="14"/>
        <rFont val="Calibri"/>
        <family val="2"/>
      </rPr>
      <t>hard rock (including F&amp;F rock)</t>
    </r>
    <r>
      <rPr>
        <b/>
        <sz val="14"/>
        <rFont val="Arial"/>
        <family val="2"/>
      </rPr>
      <t xml:space="preserve"> </t>
    </r>
    <r>
      <rPr>
        <b/>
        <sz val="14"/>
        <rFont val="Calibri"/>
        <family val="2"/>
      </rPr>
      <t>requiring blasting</t>
    </r>
    <r>
      <rPr>
        <sz val="14"/>
        <rFont val="Arial"/>
        <family val="2"/>
      </rPr>
      <t xml:space="preserve"> including </t>
    </r>
  </si>
  <si>
    <r>
      <t xml:space="preserve">boulders above </t>
    </r>
    <r>
      <rPr>
        <b/>
        <sz val="14"/>
        <rFont val="Arial"/>
        <family val="2"/>
      </rPr>
      <t>0.6 m upto 1.2 m</t>
    </r>
    <r>
      <rPr>
        <sz val="14"/>
        <rFont val="Arial"/>
        <family val="2"/>
      </rPr>
      <t xml:space="preserve"> dia. for dam, spillway, intake structure</t>
    </r>
  </si>
  <si>
    <r>
      <t xml:space="preserve">dump area or disposing off the same as directed etc., complete with </t>
    </r>
    <r>
      <rPr>
        <b/>
        <sz val="14"/>
        <rFont val="Calibri"/>
        <family val="2"/>
      </rPr>
      <t>initial</t>
    </r>
    <r>
      <rPr>
        <sz val="14"/>
        <rFont val="Calibri"/>
        <family val="2"/>
      </rPr>
      <t xml:space="preserve"> </t>
    </r>
  </si>
  <si>
    <r>
      <t>Excavation for foundation in</t>
    </r>
    <r>
      <rPr>
        <b/>
        <sz val="14"/>
        <rFont val="Arial"/>
        <family val="2"/>
      </rPr>
      <t xml:space="preserve"> </t>
    </r>
    <r>
      <rPr>
        <b/>
        <sz val="14"/>
        <rFont val="Calibri"/>
        <family val="2"/>
      </rPr>
      <t>hard rock of all toughness by blasting</t>
    </r>
    <r>
      <rPr>
        <sz val="14"/>
        <rFont val="Arial"/>
        <family val="2"/>
      </rPr>
      <t xml:space="preserve"> </t>
    </r>
  </si>
  <si>
    <r>
      <t xml:space="preserve">including boulders </t>
    </r>
    <r>
      <rPr>
        <b/>
        <sz val="14"/>
        <rFont val="Arial"/>
        <family val="2"/>
      </rPr>
      <t xml:space="preserve">above 1.2 m </t>
    </r>
    <r>
      <rPr>
        <sz val="14"/>
        <rFont val="Arial"/>
        <family val="2"/>
      </rPr>
      <t xml:space="preserve">dia. for dam, spillway, intake structure and </t>
    </r>
  </si>
  <si>
    <r>
      <t xml:space="preserve">Excavation for foundation in </t>
    </r>
    <r>
      <rPr>
        <b/>
        <sz val="14"/>
        <rFont val="Calibri"/>
        <family val="2"/>
      </rPr>
      <t>hard rock of all toughness</t>
    </r>
    <r>
      <rPr>
        <sz val="14"/>
        <rFont val="Arial"/>
        <family val="2"/>
      </rPr>
      <t xml:space="preserve"> including boulders</t>
    </r>
  </si>
  <si>
    <r>
      <t xml:space="preserve"> </t>
    </r>
    <r>
      <rPr>
        <b/>
        <sz val="14"/>
        <rFont val="Arial"/>
        <family val="2"/>
      </rPr>
      <t>above 1.2 m dia.</t>
    </r>
    <r>
      <rPr>
        <sz val="14"/>
        <rFont val="Arial"/>
        <family val="2"/>
      </rPr>
      <t xml:space="preserve"> by controlled blasting method and controlling fly-rock</t>
    </r>
  </si>
  <si>
    <r>
      <t xml:space="preserve">Excavation for foundation in </t>
    </r>
    <r>
      <rPr>
        <b/>
        <sz val="14"/>
        <rFont val="Calibri"/>
        <family val="2"/>
      </rPr>
      <t>hard rock of all toughness</t>
    </r>
    <r>
      <rPr>
        <sz val="14"/>
        <rFont val="Calibri"/>
        <family val="2"/>
      </rPr>
      <t xml:space="preserve"> </t>
    </r>
    <r>
      <rPr>
        <sz val="14"/>
        <rFont val="Arial"/>
        <family val="2"/>
      </rPr>
      <t>including boulders</t>
    </r>
  </si>
  <si>
    <r>
      <rPr>
        <b/>
        <sz val="14"/>
        <rFont val="Arial"/>
        <family val="2"/>
      </rPr>
      <t>above 1.2 m dia. by</t>
    </r>
    <r>
      <rPr>
        <b/>
        <sz val="14"/>
        <rFont val="Calibri"/>
        <family val="2"/>
      </rPr>
      <t xml:space="preserve"> line drilling </t>
    </r>
    <r>
      <rPr>
        <b/>
        <sz val="14"/>
        <rFont val="Arial"/>
        <family val="2"/>
      </rPr>
      <t>and</t>
    </r>
    <r>
      <rPr>
        <b/>
        <sz val="14"/>
        <rFont val="Calibri"/>
        <family val="2"/>
      </rPr>
      <t xml:space="preserve"> smooth blasting</t>
    </r>
    <r>
      <rPr>
        <b/>
        <sz val="14"/>
        <rFont val="Arial"/>
        <family val="2"/>
      </rPr>
      <t xml:space="preserve"> and </t>
    </r>
    <r>
      <rPr>
        <b/>
        <sz val="14"/>
        <rFont val="Calibri"/>
        <family val="2"/>
      </rPr>
      <t>controlling</t>
    </r>
    <r>
      <rPr>
        <sz val="14"/>
        <rFont val="Arial"/>
        <family val="2"/>
      </rPr>
      <t xml:space="preserve"> </t>
    </r>
  </si>
  <si>
    <r>
      <t xml:space="preserve">dump area or other place as directed etc., complete </t>
    </r>
    <r>
      <rPr>
        <b/>
        <sz val="14"/>
        <rFont val="Arial"/>
        <family val="2"/>
      </rPr>
      <t>with lead upto 1 km and</t>
    </r>
  </si>
  <si>
    <r>
      <t xml:space="preserve">Preparing </t>
    </r>
    <r>
      <rPr>
        <b/>
        <sz val="14"/>
        <rFont val="Calibri"/>
        <family val="2"/>
      </rPr>
      <t>foundation bed for masonry or concrete</t>
    </r>
    <r>
      <rPr>
        <sz val="14"/>
        <rFont val="Arial"/>
        <family val="2"/>
      </rPr>
      <t xml:space="preserve"> by benching, </t>
    </r>
  </si>
  <si>
    <r>
      <t>,complete with</t>
    </r>
    <r>
      <rPr>
        <b/>
        <sz val="14"/>
        <rFont val="Arial"/>
        <family val="2"/>
      </rPr>
      <t xml:space="preserve"> </t>
    </r>
    <r>
      <rPr>
        <b/>
        <sz val="14"/>
        <rFont val="Calibri"/>
        <family val="2"/>
      </rPr>
      <t>initial lead upto 50 m and all lifts.</t>
    </r>
  </si>
  <si>
    <r>
      <rPr>
        <b/>
        <sz val="14"/>
        <rFont val="Arial"/>
        <family val="2"/>
      </rPr>
      <t xml:space="preserve">Preparing foundation </t>
    </r>
    <r>
      <rPr>
        <b/>
        <sz val="14"/>
        <rFont val="Calibri"/>
        <family val="2"/>
      </rPr>
      <t>bed for cut-off trench</t>
    </r>
    <r>
      <rPr>
        <b/>
        <sz val="14"/>
        <rFont val="Arial"/>
        <family val="2"/>
      </rPr>
      <t xml:space="preserve"> filling in rock portion</t>
    </r>
    <r>
      <rPr>
        <sz val="14"/>
        <rFont val="Arial"/>
        <family val="2"/>
      </rPr>
      <t xml:space="preserve"> by </t>
    </r>
  </si>
  <si>
    <r>
      <t xml:space="preserve">same as directed etc., complete </t>
    </r>
    <r>
      <rPr>
        <b/>
        <sz val="14"/>
        <rFont val="Arial"/>
        <family val="2"/>
      </rPr>
      <t xml:space="preserve">with </t>
    </r>
    <r>
      <rPr>
        <b/>
        <sz val="14"/>
        <rFont val="Calibri"/>
        <family val="2"/>
      </rPr>
      <t>initial lead upto 50 m and all lifts.</t>
    </r>
  </si>
  <si>
    <r>
      <rPr>
        <b/>
        <sz val="14"/>
        <rFont val="Arial"/>
        <family val="2"/>
      </rPr>
      <t>Drilling 45 to 50 mm dia</t>
    </r>
    <r>
      <rPr>
        <sz val="14"/>
        <rFont val="Arial"/>
        <family val="2"/>
      </rPr>
      <t xml:space="preserve"> holes vertical or inclined upto 10 degrees to </t>
    </r>
  </si>
  <si>
    <r>
      <t xml:space="preserve">vertical </t>
    </r>
    <r>
      <rPr>
        <b/>
        <sz val="14"/>
        <rFont val="Arial"/>
        <family val="2"/>
      </rPr>
      <t xml:space="preserve">in rock /masonry/ concrete </t>
    </r>
    <r>
      <rPr>
        <b/>
        <sz val="14"/>
        <rFont val="Calibri"/>
        <family val="2"/>
      </rPr>
      <t>by percussion drilling</t>
    </r>
    <r>
      <rPr>
        <sz val="14"/>
        <rFont val="Arial"/>
        <family val="2"/>
      </rPr>
      <t xml:space="preserve"> using waggon </t>
    </r>
  </si>
  <si>
    <r>
      <rPr>
        <b/>
        <sz val="14"/>
        <rFont val="Arial"/>
        <family val="2"/>
      </rPr>
      <t>Flushing grout holes of all sizes with water and air jets alternatively</t>
    </r>
    <r>
      <rPr>
        <sz val="14"/>
        <rFont val="Arial"/>
        <family val="2"/>
      </rPr>
      <t xml:space="preserve"> for an </t>
    </r>
  </si>
  <si>
    <r>
      <t>flushing, cost of all materials, machinery, labour etc.,</t>
    </r>
    <r>
      <rPr>
        <b/>
        <sz val="14"/>
        <rFont val="Arial"/>
        <family val="2"/>
      </rPr>
      <t xml:space="preserve"> complete.</t>
    </r>
  </si>
  <si>
    <r>
      <rPr>
        <b/>
        <sz val="14"/>
        <rFont val="Arial"/>
        <family val="2"/>
      </rPr>
      <t>Consolidation grouting with neat cement grout</t>
    </r>
    <r>
      <rPr>
        <sz val="14"/>
        <rFont val="Arial"/>
        <family val="2"/>
      </rPr>
      <t xml:space="preserve"> mix of suitable </t>
    </r>
  </si>
  <si>
    <r>
      <t xml:space="preserve">consistency under specified pressure as directed in drilled holes </t>
    </r>
    <r>
      <rPr>
        <sz val="14"/>
        <rFont val="Calibri"/>
        <family val="2"/>
      </rPr>
      <t xml:space="preserve">by stage </t>
    </r>
  </si>
  <si>
    <r>
      <t xml:space="preserve">redrilling if necessary etc.,complete </t>
    </r>
    <r>
      <rPr>
        <b/>
        <sz val="14"/>
        <rFont val="Arial"/>
        <family val="2"/>
      </rPr>
      <t>with initial lead upto 1 km and all lifts.</t>
    </r>
  </si>
  <si>
    <r>
      <rPr>
        <b/>
        <sz val="14"/>
        <rFont val="Arial"/>
        <family val="2"/>
      </rPr>
      <t xml:space="preserve">Curtain grouting with neat cement grout mix </t>
    </r>
    <r>
      <rPr>
        <sz val="14"/>
        <rFont val="Arial"/>
        <family val="2"/>
      </rPr>
      <t xml:space="preserve">of suitable consistency </t>
    </r>
  </si>
  <si>
    <r>
      <t xml:space="preserve">necessary etc., complete </t>
    </r>
    <r>
      <rPr>
        <b/>
        <sz val="14"/>
        <rFont val="Calibri"/>
        <family val="2"/>
      </rPr>
      <t>with initial lead upto 1 km and all lifts.</t>
    </r>
  </si>
  <si>
    <r>
      <t xml:space="preserve">Providing and </t>
    </r>
    <r>
      <rPr>
        <b/>
        <sz val="14"/>
        <rFont val="Arial"/>
        <family val="2"/>
      </rPr>
      <t xml:space="preserve">fixing </t>
    </r>
    <r>
      <rPr>
        <b/>
        <sz val="14"/>
        <rFont val="Calibri"/>
        <family val="2"/>
      </rPr>
      <t>25 mm dia</t>
    </r>
    <r>
      <rPr>
        <b/>
        <sz val="14"/>
        <rFont val="Arial"/>
        <family val="2"/>
      </rPr>
      <t xml:space="preserve"> 3 m long </t>
    </r>
    <r>
      <rPr>
        <b/>
        <sz val="14"/>
        <rFont val="Calibri"/>
        <family val="2"/>
      </rPr>
      <t xml:space="preserve">cold twisted deformed steel </t>
    </r>
  </si>
  <si>
    <r>
      <rPr>
        <b/>
        <sz val="14"/>
        <rFont val="Arial"/>
        <family val="2"/>
      </rPr>
      <t xml:space="preserve">dowel bars </t>
    </r>
    <r>
      <rPr>
        <sz val="14"/>
        <rFont val="Arial"/>
        <family val="2"/>
      </rPr>
      <t xml:space="preserve">with one end driven into 45 to 50 mm diameter 1.50 m deep </t>
    </r>
  </si>
  <si>
    <r>
      <t>labour etc., complete</t>
    </r>
    <r>
      <rPr>
        <sz val="14"/>
        <rFont val="Calibri"/>
        <family val="2"/>
      </rPr>
      <t xml:space="preserve"> </t>
    </r>
    <r>
      <rPr>
        <b/>
        <sz val="14"/>
        <rFont val="Calibri"/>
        <family val="2"/>
      </rPr>
      <t>with initial lead upto 1 km and all lifts.</t>
    </r>
  </si>
  <si>
    <r>
      <t>Quantity of</t>
    </r>
    <r>
      <rPr>
        <sz val="14"/>
        <rFont val="Calibri"/>
        <family val="2"/>
      </rPr>
      <t xml:space="preserve"> 25 mm</t>
    </r>
    <r>
      <rPr>
        <sz val="14"/>
        <rFont val="Arial"/>
        <family val="2"/>
      </rPr>
      <t xml:space="preserve"> dia rods 3 m long allowing </t>
    </r>
    <r>
      <rPr>
        <sz val="14"/>
        <rFont val="Calibri"/>
        <family val="2"/>
      </rPr>
      <t>5 % wastage</t>
    </r>
  </si>
  <si>
    <r>
      <t xml:space="preserve">Providing and </t>
    </r>
    <r>
      <rPr>
        <b/>
        <sz val="14"/>
        <rFont val="Arial"/>
        <family val="2"/>
      </rPr>
      <t xml:space="preserve">fixing </t>
    </r>
    <r>
      <rPr>
        <b/>
        <sz val="14"/>
        <rFont val="Calibri"/>
        <family val="2"/>
      </rPr>
      <t>25 mm dia. 2.75 m long ribbed steel anchor rods</t>
    </r>
    <r>
      <rPr>
        <sz val="14"/>
        <rFont val="Calibri"/>
        <family val="2"/>
      </rPr>
      <t xml:space="preserve"> </t>
    </r>
  </si>
  <si>
    <r>
      <t xml:space="preserve">etc., complete with </t>
    </r>
    <r>
      <rPr>
        <b/>
        <sz val="14"/>
        <rFont val="Calibri"/>
        <family val="2"/>
      </rPr>
      <t>initial lead upto 1 km and all lifts.</t>
    </r>
  </si>
  <si>
    <r>
      <t xml:space="preserve">Quantity of </t>
    </r>
    <r>
      <rPr>
        <sz val="14"/>
        <rFont val="Calibri"/>
        <family val="2"/>
      </rPr>
      <t>25 mm</t>
    </r>
    <r>
      <rPr>
        <sz val="14"/>
        <rFont val="Arial"/>
        <family val="2"/>
      </rPr>
      <t xml:space="preserve"> </t>
    </r>
    <r>
      <rPr>
        <sz val="14"/>
        <rFont val="Calibri"/>
        <family val="2"/>
      </rPr>
      <t>dia rods</t>
    </r>
    <r>
      <rPr>
        <sz val="14"/>
        <rFont val="Arial"/>
        <family val="2"/>
      </rPr>
      <t xml:space="preserve"> 2.75 m long with </t>
    </r>
    <r>
      <rPr>
        <sz val="14"/>
        <rFont val="Calibri"/>
        <family val="2"/>
      </rPr>
      <t>5 %</t>
    </r>
    <r>
      <rPr>
        <sz val="14"/>
        <rFont val="Arial"/>
        <family val="2"/>
      </rPr>
      <t xml:space="preserve"> </t>
    </r>
    <r>
      <rPr>
        <sz val="14"/>
        <rFont val="Calibri"/>
        <family val="2"/>
      </rPr>
      <t>wastage</t>
    </r>
  </si>
  <si>
    <r>
      <t xml:space="preserve">Providing, fabricating and </t>
    </r>
    <r>
      <rPr>
        <b/>
        <sz val="14"/>
        <rFont val="Arial"/>
        <family val="2"/>
      </rPr>
      <t xml:space="preserve">placing in position </t>
    </r>
    <r>
      <rPr>
        <b/>
        <sz val="14"/>
        <rFont val="Calibri"/>
        <family val="2"/>
      </rPr>
      <t>reinforcement steel for RCC,below 36 dia rods</t>
    </r>
    <r>
      <rPr>
        <sz val="14"/>
        <rFont val="Calibri"/>
        <family val="2"/>
      </rPr>
      <t xml:space="preserve"> </t>
    </r>
  </si>
  <si>
    <r>
      <t xml:space="preserve">complete with </t>
    </r>
    <r>
      <rPr>
        <b/>
        <sz val="14"/>
        <rFont val="Calibri"/>
        <family val="2"/>
      </rPr>
      <t>initial lead upto 1 km and all lifts.</t>
    </r>
  </si>
  <si>
    <r>
      <t xml:space="preserve">Providing, fabricating and </t>
    </r>
    <r>
      <rPr>
        <b/>
        <sz val="14"/>
        <rFont val="Arial"/>
        <family val="2"/>
      </rPr>
      <t xml:space="preserve">placing in position </t>
    </r>
    <r>
      <rPr>
        <b/>
        <sz val="14"/>
        <rFont val="Calibri"/>
        <family val="2"/>
      </rPr>
      <t xml:space="preserve">reinforcement steel for RCC </t>
    </r>
  </si>
  <si>
    <r>
      <t xml:space="preserve"> </t>
    </r>
    <r>
      <rPr>
        <b/>
        <sz val="14"/>
        <rFont val="Arial"/>
        <family val="2"/>
      </rPr>
      <t>above 36 dia with welding</t>
    </r>
    <r>
      <rPr>
        <sz val="14"/>
        <rFont val="Arial"/>
        <family val="2"/>
      </rPr>
      <t xml:space="preserve"> and wastage at 2.5%, tying with 1.25 mm diameter soft </t>
    </r>
  </si>
  <si>
    <r>
      <t xml:space="preserve">Providing and </t>
    </r>
    <r>
      <rPr>
        <b/>
        <sz val="14"/>
        <rFont val="Arial"/>
        <family val="2"/>
      </rPr>
      <t>laying</t>
    </r>
    <r>
      <rPr>
        <b/>
        <sz val="14"/>
        <rFont val="Calibri"/>
        <family val="2"/>
      </rPr>
      <t xml:space="preserve"> insitu vibrated M-15</t>
    </r>
    <r>
      <rPr>
        <sz val="14"/>
        <rFont val="Calibri"/>
        <family val="2"/>
      </rPr>
      <t xml:space="preserve"> </t>
    </r>
    <r>
      <rPr>
        <sz val="14"/>
        <rFont val="Arial"/>
        <family val="2"/>
      </rPr>
      <t xml:space="preserve">( 28 days cube compressive </t>
    </r>
  </si>
  <si>
    <r>
      <t xml:space="preserve">strength not less than 15 N / sq mm ) grade cement concrete using </t>
    </r>
    <r>
      <rPr>
        <b/>
        <sz val="14"/>
        <rFont val="Calibri"/>
        <family val="2"/>
      </rPr>
      <t xml:space="preserve">80 mm </t>
    </r>
  </si>
  <si>
    <r>
      <rPr>
        <b/>
        <sz val="14"/>
        <rFont val="Arial"/>
        <family val="2"/>
      </rPr>
      <t>down size</t>
    </r>
    <r>
      <rPr>
        <sz val="14"/>
        <rFont val="Arial"/>
        <family val="2"/>
      </rPr>
      <t xml:space="preserve"> approved, clean, hard, graded aggregates including cost of all </t>
    </r>
  </si>
  <si>
    <r>
      <t xml:space="preserve">etc.,complete </t>
    </r>
    <r>
      <rPr>
        <b/>
        <sz val="14"/>
        <rFont val="Arial"/>
        <family val="2"/>
      </rPr>
      <t xml:space="preserve">for plain concrete works </t>
    </r>
    <r>
      <rPr>
        <b/>
        <sz val="14"/>
        <rFont val="Calibri"/>
        <family val="2"/>
      </rPr>
      <t>with initial lead upto 1 km</t>
    </r>
    <r>
      <rPr>
        <sz val="14"/>
        <rFont val="Calibri"/>
        <family val="2"/>
      </rPr>
      <t xml:space="preserve"> and </t>
    </r>
  </si>
  <si>
    <r>
      <t>Providing and laying</t>
    </r>
    <r>
      <rPr>
        <sz val="14"/>
        <rFont val="Calibri"/>
        <family val="2"/>
      </rPr>
      <t xml:space="preserve"> </t>
    </r>
    <r>
      <rPr>
        <b/>
        <sz val="14"/>
        <rFont val="Calibri"/>
        <family val="2"/>
      </rPr>
      <t>insitu vibrated M-20</t>
    </r>
    <r>
      <rPr>
        <sz val="14"/>
        <rFont val="Calibri"/>
        <family val="2"/>
      </rPr>
      <t xml:space="preserve"> </t>
    </r>
    <r>
      <rPr>
        <sz val="14"/>
        <rFont val="Arial"/>
        <family val="2"/>
      </rPr>
      <t xml:space="preserve">( 28 days cube compressive </t>
    </r>
  </si>
  <si>
    <r>
      <t xml:space="preserve">strength not less than 20 N / sq mm ) grade cement concrete using </t>
    </r>
    <r>
      <rPr>
        <b/>
        <sz val="14"/>
        <rFont val="Calibri"/>
        <family val="2"/>
      </rPr>
      <t xml:space="preserve">80 mm </t>
    </r>
  </si>
  <si>
    <r>
      <t xml:space="preserve">etc.,complete </t>
    </r>
    <r>
      <rPr>
        <b/>
        <sz val="14"/>
        <rFont val="Arial"/>
        <family val="2"/>
      </rPr>
      <t>for plain concrete works</t>
    </r>
    <r>
      <rPr>
        <sz val="14"/>
        <rFont val="Arial"/>
        <family val="2"/>
      </rPr>
      <t xml:space="preserve"> </t>
    </r>
    <r>
      <rPr>
        <sz val="14"/>
        <rFont val="Calibri"/>
        <family val="2"/>
      </rPr>
      <t xml:space="preserve">with </t>
    </r>
    <r>
      <rPr>
        <b/>
        <sz val="14"/>
        <rFont val="Calibri"/>
        <family val="2"/>
      </rPr>
      <t xml:space="preserve">initial lead upto 1 km and </t>
    </r>
  </si>
  <si>
    <r>
      <t xml:space="preserve">For annexure-A and Annexure -B refer Item </t>
    </r>
    <r>
      <rPr>
        <sz val="14"/>
        <rFont val="Calibri"/>
        <family val="2"/>
      </rPr>
      <t>IRR-DAW-2-2</t>
    </r>
  </si>
  <si>
    <r>
      <t xml:space="preserve">Providing and </t>
    </r>
    <r>
      <rPr>
        <b/>
        <sz val="14"/>
        <rFont val="Arial"/>
        <family val="2"/>
      </rPr>
      <t>laying</t>
    </r>
    <r>
      <rPr>
        <b/>
        <sz val="14"/>
        <rFont val="Calibri"/>
        <family val="2"/>
      </rPr>
      <t xml:space="preserve"> insitu vibrated M-10</t>
    </r>
    <r>
      <rPr>
        <sz val="14"/>
        <rFont val="Arial"/>
        <family val="2"/>
      </rPr>
      <t xml:space="preserve"> ( 28 days cube compressive </t>
    </r>
  </si>
  <si>
    <r>
      <t xml:space="preserve">strength not less than10 N / sq mm ) grade cement concrete using </t>
    </r>
    <r>
      <rPr>
        <b/>
        <sz val="14"/>
        <rFont val="Calibri"/>
        <family val="2"/>
      </rPr>
      <t xml:space="preserve">80 mm </t>
    </r>
  </si>
  <si>
    <r>
      <t xml:space="preserve">etc.,complete </t>
    </r>
    <r>
      <rPr>
        <b/>
        <sz val="14"/>
        <rFont val="Arial"/>
        <family val="2"/>
      </rPr>
      <t xml:space="preserve">for plain concrete works </t>
    </r>
    <r>
      <rPr>
        <b/>
        <sz val="14"/>
        <rFont val="Calibri"/>
        <family val="2"/>
      </rPr>
      <t xml:space="preserve">with initial lead upto 1 km and </t>
    </r>
  </si>
  <si>
    <r>
      <t xml:space="preserve">D.Add for contractor's profit and overheads on </t>
    </r>
    <r>
      <rPr>
        <sz val="14"/>
        <rFont val="Calibri"/>
        <family val="2"/>
      </rPr>
      <t>(A+B+C+other percentages)</t>
    </r>
  </si>
  <si>
    <r>
      <t xml:space="preserve">Providing and </t>
    </r>
    <r>
      <rPr>
        <b/>
        <sz val="14"/>
        <rFont val="Arial"/>
        <family val="2"/>
      </rPr>
      <t xml:space="preserve">laying </t>
    </r>
    <r>
      <rPr>
        <b/>
        <sz val="14"/>
        <rFont val="Calibri"/>
        <family val="2"/>
      </rPr>
      <t>insitu vibrated M-20</t>
    </r>
    <r>
      <rPr>
        <sz val="14"/>
        <rFont val="Calibri"/>
        <family val="2"/>
      </rPr>
      <t xml:space="preserve"> </t>
    </r>
    <r>
      <rPr>
        <sz val="14"/>
        <rFont val="Arial"/>
        <family val="2"/>
      </rPr>
      <t xml:space="preserve">( 28 days cube compressive </t>
    </r>
  </si>
  <si>
    <r>
      <t xml:space="preserve">strength not less than 20 N / sq mm ) grade cement concrete using </t>
    </r>
    <r>
      <rPr>
        <b/>
        <sz val="14"/>
        <rFont val="Calibri"/>
        <family val="2"/>
      </rPr>
      <t xml:space="preserve">40 mm </t>
    </r>
  </si>
  <si>
    <r>
      <t xml:space="preserve">etc.,complete </t>
    </r>
    <r>
      <rPr>
        <b/>
        <sz val="14"/>
        <rFont val="Arial"/>
        <family val="2"/>
      </rPr>
      <t>for RCC works of gallery, sluice, spillway crest, spillway</t>
    </r>
    <r>
      <rPr>
        <sz val="14"/>
        <rFont val="Arial"/>
        <family val="2"/>
      </rPr>
      <t xml:space="preserve"> d / s </t>
    </r>
  </si>
  <si>
    <r>
      <t xml:space="preserve">such other locations with </t>
    </r>
    <r>
      <rPr>
        <b/>
        <sz val="14"/>
        <rFont val="Calibri"/>
        <family val="2"/>
      </rPr>
      <t>initial lead upto 1 km and all lifts.</t>
    </r>
  </si>
  <si>
    <r>
      <t xml:space="preserve">Providing and </t>
    </r>
    <r>
      <rPr>
        <b/>
        <sz val="14"/>
        <rFont val="Arial"/>
        <family val="2"/>
      </rPr>
      <t xml:space="preserve">laying </t>
    </r>
    <r>
      <rPr>
        <b/>
        <sz val="14"/>
        <rFont val="Calibri"/>
        <family val="2"/>
      </rPr>
      <t>insitu vibrated M-25</t>
    </r>
    <r>
      <rPr>
        <sz val="14"/>
        <rFont val="Calibri"/>
        <family val="2"/>
      </rPr>
      <t xml:space="preserve"> </t>
    </r>
    <r>
      <rPr>
        <sz val="14"/>
        <rFont val="Arial"/>
        <family val="2"/>
      </rPr>
      <t xml:space="preserve">( 28 days cube compressive </t>
    </r>
  </si>
  <si>
    <r>
      <t xml:space="preserve">strength not less than 25 N / sq mm ) grade cement concrete using </t>
    </r>
    <r>
      <rPr>
        <b/>
        <sz val="14"/>
        <rFont val="Calibri"/>
        <family val="2"/>
      </rPr>
      <t xml:space="preserve">40 mm </t>
    </r>
  </si>
  <si>
    <r>
      <t xml:space="preserve">etc.,complete for </t>
    </r>
    <r>
      <rPr>
        <b/>
        <sz val="14"/>
        <rFont val="Arial"/>
        <family val="2"/>
      </rPr>
      <t>RCC works of gallery, sluice, spillway crest</t>
    </r>
    <r>
      <rPr>
        <sz val="14"/>
        <rFont val="Arial"/>
        <family val="2"/>
      </rPr>
      <t xml:space="preserve">, spillway d / s </t>
    </r>
  </si>
  <si>
    <r>
      <t xml:space="preserve">such other locations </t>
    </r>
    <r>
      <rPr>
        <b/>
        <sz val="14"/>
        <rFont val="Arial"/>
        <family val="2"/>
      </rPr>
      <t xml:space="preserve">with </t>
    </r>
    <r>
      <rPr>
        <b/>
        <sz val="14"/>
        <rFont val="Calibri"/>
        <family val="2"/>
      </rPr>
      <t>initial lead upto 1 km and all lifts.</t>
    </r>
  </si>
  <si>
    <r>
      <t xml:space="preserve">strength not less than 25 N / sq mm ) grade cement concrete using </t>
    </r>
    <r>
      <rPr>
        <b/>
        <sz val="14"/>
        <rFont val="Arial"/>
        <family val="2"/>
      </rPr>
      <t>2</t>
    </r>
    <r>
      <rPr>
        <b/>
        <sz val="14"/>
        <rFont val="Calibri"/>
        <family val="2"/>
      </rPr>
      <t>0 mm</t>
    </r>
    <r>
      <rPr>
        <sz val="14"/>
        <rFont val="Calibri"/>
        <family val="2"/>
      </rPr>
      <t xml:space="preserve"> </t>
    </r>
  </si>
  <si>
    <r>
      <t xml:space="preserve">etc.,complete for </t>
    </r>
    <r>
      <rPr>
        <b/>
        <sz val="14"/>
        <rFont val="Arial"/>
        <family val="2"/>
      </rPr>
      <t xml:space="preserve">RCC works of gallery, sluice, spillway crest, spillway d / s </t>
    </r>
  </si>
  <si>
    <r>
      <t xml:space="preserve">Providing and </t>
    </r>
    <r>
      <rPr>
        <b/>
        <sz val="14"/>
        <rFont val="Arial"/>
        <family val="2"/>
      </rPr>
      <t xml:space="preserve">laying </t>
    </r>
    <r>
      <rPr>
        <b/>
        <sz val="14"/>
        <rFont val="Calibri"/>
        <family val="2"/>
      </rPr>
      <t>insitu vibrated M-15</t>
    </r>
    <r>
      <rPr>
        <sz val="14"/>
        <rFont val="Arial"/>
        <family val="2"/>
      </rPr>
      <t xml:space="preserve"> ( 28 days cube compressive </t>
    </r>
  </si>
  <si>
    <r>
      <t xml:space="preserve">strength not less than 15 N / sq mm ) grade cement concrete using </t>
    </r>
    <r>
      <rPr>
        <b/>
        <sz val="14"/>
        <rFont val="Calibri"/>
        <family val="2"/>
      </rPr>
      <t>40 mm</t>
    </r>
    <r>
      <rPr>
        <sz val="14"/>
        <rFont val="Calibri"/>
        <family val="2"/>
      </rPr>
      <t xml:space="preserve"> </t>
    </r>
  </si>
  <si>
    <r>
      <t xml:space="preserve">Providing and </t>
    </r>
    <r>
      <rPr>
        <b/>
        <sz val="14"/>
        <rFont val="Arial"/>
        <family val="2"/>
      </rPr>
      <t xml:space="preserve">laying insitu </t>
    </r>
    <r>
      <rPr>
        <b/>
        <sz val="14"/>
        <rFont val="Calibri"/>
        <family val="2"/>
      </rPr>
      <t>vibrated M-15</t>
    </r>
    <r>
      <rPr>
        <sz val="14"/>
        <rFont val="Arial"/>
        <family val="2"/>
      </rPr>
      <t xml:space="preserve"> ( 28 days cube compressive </t>
    </r>
  </si>
  <si>
    <r>
      <t xml:space="preserve">strength not less than 15 N / sq mm ) grade cement concrete using </t>
    </r>
    <r>
      <rPr>
        <b/>
        <sz val="14"/>
        <rFont val="Calibri"/>
        <family val="2"/>
      </rPr>
      <t xml:space="preserve">40 mm </t>
    </r>
  </si>
  <si>
    <r>
      <rPr>
        <b/>
        <sz val="14"/>
        <rFont val="Arial"/>
        <family val="2"/>
      </rPr>
      <t>down size</t>
    </r>
    <r>
      <rPr>
        <sz val="14"/>
        <rFont val="Arial"/>
        <family val="2"/>
      </rPr>
      <t xml:space="preserve"> approved, clean, hard, graded aggregates </t>
    </r>
    <r>
      <rPr>
        <b/>
        <sz val="14"/>
        <rFont val="Arial"/>
        <family val="2"/>
      </rPr>
      <t xml:space="preserve">with </t>
    </r>
    <r>
      <rPr>
        <b/>
        <sz val="14"/>
        <rFont val="Calibri"/>
        <family val="2"/>
      </rPr>
      <t>placing and</t>
    </r>
    <r>
      <rPr>
        <sz val="14"/>
        <rFont val="Calibri"/>
        <family val="2"/>
      </rPr>
      <t xml:space="preserve"> </t>
    </r>
  </si>
  <si>
    <r>
      <rPr>
        <b/>
        <sz val="14"/>
        <rFont val="Arial"/>
        <family val="2"/>
      </rPr>
      <t>structures</t>
    </r>
    <r>
      <rPr>
        <sz val="14"/>
        <rFont val="Arial"/>
        <family val="2"/>
      </rPr>
      <t xml:space="preserve"> including cost of all materials, machinery, labour, formwork, </t>
    </r>
  </si>
  <si>
    <r>
      <t xml:space="preserve">vibrating, finishing, curing etc.,complete </t>
    </r>
    <r>
      <rPr>
        <b/>
        <sz val="14"/>
        <rFont val="Calibri"/>
        <family val="2"/>
      </rPr>
      <t xml:space="preserve">with initial lead upto 1 km and </t>
    </r>
  </si>
  <si>
    <r>
      <t xml:space="preserve">Providing and </t>
    </r>
    <r>
      <rPr>
        <b/>
        <sz val="14"/>
        <rFont val="Arial"/>
        <family val="2"/>
      </rPr>
      <t xml:space="preserve">laying insitu </t>
    </r>
    <r>
      <rPr>
        <b/>
        <sz val="14"/>
        <rFont val="Calibri"/>
        <family val="2"/>
      </rPr>
      <t>vibrated M-10</t>
    </r>
    <r>
      <rPr>
        <sz val="14"/>
        <rFont val="Calibri"/>
        <family val="2"/>
      </rPr>
      <t xml:space="preserve"> </t>
    </r>
    <r>
      <rPr>
        <sz val="14"/>
        <rFont val="Arial"/>
        <family val="2"/>
      </rPr>
      <t xml:space="preserve">( 28 days cube compressive </t>
    </r>
  </si>
  <si>
    <r>
      <t xml:space="preserve">strength not less than 10 N / sq mm ) grade cement concrete using </t>
    </r>
    <r>
      <rPr>
        <b/>
        <sz val="14"/>
        <rFont val="Calibri"/>
        <family val="2"/>
      </rPr>
      <t xml:space="preserve">40 mm </t>
    </r>
  </si>
  <si>
    <r>
      <t xml:space="preserve">etc.,complete </t>
    </r>
    <r>
      <rPr>
        <b/>
        <sz val="14"/>
        <rFont val="Arial"/>
        <family val="2"/>
      </rPr>
      <t xml:space="preserve">for plain concrete works with </t>
    </r>
    <r>
      <rPr>
        <b/>
        <sz val="14"/>
        <rFont val="Calibri"/>
        <family val="2"/>
      </rPr>
      <t xml:space="preserve">initial lead upto 1 km and all </t>
    </r>
  </si>
  <si>
    <r>
      <t xml:space="preserve">Providing and </t>
    </r>
    <r>
      <rPr>
        <b/>
        <sz val="14"/>
        <rFont val="Arial"/>
        <family val="2"/>
      </rPr>
      <t>laying insitu v</t>
    </r>
    <r>
      <rPr>
        <b/>
        <sz val="14"/>
        <rFont val="Calibri"/>
        <family val="2"/>
      </rPr>
      <t>ibrated M-15</t>
    </r>
    <r>
      <rPr>
        <sz val="14"/>
        <rFont val="Calibri"/>
        <family val="2"/>
      </rPr>
      <t xml:space="preserve"> </t>
    </r>
    <r>
      <rPr>
        <sz val="14"/>
        <rFont val="Arial"/>
        <family val="2"/>
      </rPr>
      <t xml:space="preserve">( 28 days cube compressive </t>
    </r>
  </si>
  <si>
    <r>
      <t>strength not less than 15 N / sq mm ) grade cement concrete using</t>
    </r>
    <r>
      <rPr>
        <sz val="14"/>
        <rFont val="Calibri"/>
        <family val="2"/>
      </rPr>
      <t xml:space="preserve"> </t>
    </r>
    <r>
      <rPr>
        <b/>
        <sz val="14"/>
        <rFont val="Calibri"/>
        <family val="2"/>
      </rPr>
      <t>20 mm</t>
    </r>
    <r>
      <rPr>
        <sz val="14"/>
        <rFont val="Calibri"/>
        <family val="2"/>
      </rPr>
      <t xml:space="preserve"> </t>
    </r>
  </si>
  <si>
    <r>
      <t xml:space="preserve">etc.,complete </t>
    </r>
    <r>
      <rPr>
        <b/>
        <sz val="14"/>
        <rFont val="Arial"/>
        <family val="2"/>
      </rPr>
      <t xml:space="preserve">for plain concrete works </t>
    </r>
    <r>
      <rPr>
        <b/>
        <sz val="14"/>
        <rFont val="Calibri"/>
        <family val="2"/>
      </rPr>
      <t xml:space="preserve">with initial lead upto 1 km and all </t>
    </r>
  </si>
  <si>
    <r>
      <t xml:space="preserve">Providing and </t>
    </r>
    <r>
      <rPr>
        <b/>
        <sz val="14"/>
        <rFont val="Arial"/>
        <family val="2"/>
      </rPr>
      <t>laying</t>
    </r>
    <r>
      <rPr>
        <b/>
        <sz val="14"/>
        <rFont val="Calibri"/>
        <family val="2"/>
      </rPr>
      <t xml:space="preserve"> insitu vibrated M-20</t>
    </r>
    <r>
      <rPr>
        <sz val="14"/>
        <rFont val="Arial"/>
        <family val="2"/>
      </rPr>
      <t xml:space="preserve"> ( 28 days cube compressive </t>
    </r>
  </si>
  <si>
    <r>
      <t xml:space="preserve">strength not less than 20 N / sq mm ) grade cement concrete using </t>
    </r>
    <r>
      <rPr>
        <b/>
        <sz val="14"/>
        <rFont val="Calibri"/>
        <family val="2"/>
      </rPr>
      <t xml:space="preserve">20 mm </t>
    </r>
  </si>
  <si>
    <r>
      <t>etc.,complete</t>
    </r>
    <r>
      <rPr>
        <sz val="14"/>
        <rFont val="Calibri"/>
        <family val="2"/>
      </rPr>
      <t xml:space="preserve"> </t>
    </r>
    <r>
      <rPr>
        <b/>
        <sz val="14"/>
        <rFont val="Calibri"/>
        <family val="2"/>
      </rPr>
      <t>for RCC works of spillway bridge, blockouts</t>
    </r>
    <r>
      <rPr>
        <sz val="14"/>
        <rFont val="Calibri"/>
        <family val="2"/>
      </rPr>
      <t xml:space="preserve"> and such </t>
    </r>
  </si>
  <si>
    <r>
      <t xml:space="preserve">other similar structures with conjested reinforcement </t>
    </r>
    <r>
      <rPr>
        <b/>
        <sz val="14"/>
        <rFont val="Arial"/>
        <family val="2"/>
      </rPr>
      <t xml:space="preserve">with initial lead </t>
    </r>
  </si>
  <si>
    <r>
      <t xml:space="preserve">Providing and </t>
    </r>
    <r>
      <rPr>
        <b/>
        <sz val="14"/>
        <rFont val="Arial"/>
        <family val="2"/>
      </rPr>
      <t>forming</t>
    </r>
    <r>
      <rPr>
        <b/>
        <sz val="14"/>
        <rFont val="Calibri"/>
        <family val="2"/>
      </rPr>
      <t xml:space="preserve"> porous concrete body drain </t>
    </r>
    <r>
      <rPr>
        <b/>
        <sz val="14"/>
        <rFont val="Arial"/>
        <family val="2"/>
      </rPr>
      <t xml:space="preserve">of </t>
    </r>
    <r>
      <rPr>
        <b/>
        <sz val="14"/>
        <rFont val="Calibri"/>
        <family val="2"/>
      </rPr>
      <t xml:space="preserve">size 68.5 x 68.5 cm </t>
    </r>
  </si>
  <si>
    <r>
      <t>with 23 cm diameter central hole using cement and</t>
    </r>
    <r>
      <rPr>
        <sz val="14"/>
        <rFont val="Calibri"/>
        <family val="2"/>
      </rPr>
      <t xml:space="preserve"> 20 mm down</t>
    </r>
    <r>
      <rPr>
        <sz val="14"/>
        <rFont val="Arial"/>
        <family val="2"/>
      </rPr>
      <t xml:space="preserve"> </t>
    </r>
  </si>
  <si>
    <r>
      <t xml:space="preserve">approved, clean, hard, graded  coarse aggregates in </t>
    </r>
    <r>
      <rPr>
        <sz val="14"/>
        <rFont val="Calibri"/>
        <family val="2"/>
      </rPr>
      <t xml:space="preserve">1 : 3.50 </t>
    </r>
    <r>
      <rPr>
        <sz val="14"/>
        <rFont val="Arial"/>
        <family val="2"/>
      </rPr>
      <t xml:space="preserve">proportion by </t>
    </r>
  </si>
  <si>
    <r>
      <t>etc., complete</t>
    </r>
    <r>
      <rPr>
        <b/>
        <sz val="14"/>
        <rFont val="Arial"/>
        <family val="2"/>
      </rPr>
      <t xml:space="preserve"> with </t>
    </r>
    <r>
      <rPr>
        <b/>
        <sz val="14"/>
        <rFont val="Calibri"/>
        <family val="2"/>
      </rPr>
      <t>initial lead upto 1 km and all lifts.</t>
    </r>
  </si>
  <si>
    <r>
      <t xml:space="preserve">Providing and </t>
    </r>
    <r>
      <rPr>
        <b/>
        <sz val="14"/>
        <rFont val="Arial"/>
        <family val="2"/>
      </rPr>
      <t>laying</t>
    </r>
    <r>
      <rPr>
        <b/>
        <sz val="14"/>
        <rFont val="Calibri"/>
        <family val="2"/>
      </rPr>
      <t xml:space="preserve"> insitu vibrated M-20 </t>
    </r>
    <r>
      <rPr>
        <sz val="14"/>
        <rFont val="Calibri"/>
        <family val="2"/>
      </rPr>
      <t>(</t>
    </r>
    <r>
      <rPr>
        <sz val="14"/>
        <rFont val="Arial"/>
        <family val="2"/>
      </rPr>
      <t xml:space="preserve"> 28 days cube compressive </t>
    </r>
  </si>
  <si>
    <r>
      <t xml:space="preserve">strength not less than 20 N / sq mm ) grade cement concrete using </t>
    </r>
    <r>
      <rPr>
        <b/>
        <sz val="14"/>
        <rFont val="Calibri"/>
        <family val="2"/>
      </rPr>
      <t>20 mm</t>
    </r>
    <r>
      <rPr>
        <sz val="14"/>
        <rFont val="Calibri"/>
        <family val="2"/>
      </rPr>
      <t xml:space="preserve"> </t>
    </r>
  </si>
  <si>
    <r>
      <rPr>
        <b/>
        <sz val="14"/>
        <rFont val="Arial"/>
        <family val="2"/>
      </rPr>
      <t>down size</t>
    </r>
    <r>
      <rPr>
        <sz val="14"/>
        <rFont val="Arial"/>
        <family val="2"/>
      </rPr>
      <t xml:space="preserve"> approved, clean, hard, graded aggregates including cost of </t>
    </r>
  </si>
  <si>
    <r>
      <t xml:space="preserve">etc.,complete for </t>
    </r>
    <r>
      <rPr>
        <b/>
        <sz val="14"/>
        <rFont val="Calibri"/>
        <family val="2"/>
      </rPr>
      <t xml:space="preserve">RCC solid parapet </t>
    </r>
    <r>
      <rPr>
        <b/>
        <sz val="14"/>
        <rFont val="Arial"/>
        <family val="2"/>
      </rPr>
      <t>consisting of 35 cm x 20 cm kerb</t>
    </r>
    <r>
      <rPr>
        <sz val="14"/>
        <rFont val="Arial"/>
        <family val="2"/>
      </rPr>
      <t xml:space="preserve">, </t>
    </r>
  </si>
  <si>
    <r>
      <t xml:space="preserve">kerb and coping chamferred / rounded as directed etc., </t>
    </r>
    <r>
      <rPr>
        <b/>
        <sz val="14"/>
        <rFont val="Arial"/>
        <family val="2"/>
      </rPr>
      <t xml:space="preserve">complete </t>
    </r>
  </si>
  <si>
    <r>
      <t>( excluding cost of providing and placing reinforcement steel and gate )</t>
    </r>
    <r>
      <rPr>
        <b/>
        <sz val="14"/>
        <rFont val="Calibri"/>
        <family val="2"/>
      </rPr>
      <t xml:space="preserve"> </t>
    </r>
  </si>
  <si>
    <r>
      <t xml:space="preserve">Providing and </t>
    </r>
    <r>
      <rPr>
        <b/>
        <sz val="14"/>
        <rFont val="Arial"/>
        <family val="2"/>
      </rPr>
      <t xml:space="preserve">laying </t>
    </r>
    <r>
      <rPr>
        <b/>
        <sz val="14"/>
        <rFont val="Calibri"/>
        <family val="2"/>
      </rPr>
      <t>insitu vibrated M-20</t>
    </r>
    <r>
      <rPr>
        <sz val="14"/>
        <rFont val="Arial"/>
        <family val="2"/>
      </rPr>
      <t xml:space="preserve"> ( 28 days cube compressive </t>
    </r>
  </si>
  <si>
    <r>
      <t xml:space="preserve">strength not less than 20 N / sq mm ) grade cement concrete </t>
    </r>
    <r>
      <rPr>
        <sz val="14"/>
        <rFont val="Calibri"/>
        <family val="2"/>
      </rPr>
      <t xml:space="preserve">using </t>
    </r>
    <r>
      <rPr>
        <b/>
        <sz val="14"/>
        <rFont val="Calibri"/>
        <family val="2"/>
      </rPr>
      <t xml:space="preserve">20 mm </t>
    </r>
  </si>
  <si>
    <r>
      <t>etc.,complete for</t>
    </r>
    <r>
      <rPr>
        <sz val="14"/>
        <rFont val="Calibri"/>
        <family val="2"/>
      </rPr>
      <t xml:space="preserve"> </t>
    </r>
    <r>
      <rPr>
        <b/>
        <sz val="14"/>
        <rFont val="Calibri"/>
        <family val="2"/>
      </rPr>
      <t xml:space="preserve">RCC ornamental parapet </t>
    </r>
    <r>
      <rPr>
        <b/>
        <sz val="14"/>
        <rFont val="Arial"/>
        <family val="2"/>
      </rPr>
      <t xml:space="preserve">consisting of 35 cm x 20 cm </t>
    </r>
  </si>
  <si>
    <r>
      <rPr>
        <b/>
        <sz val="14"/>
        <rFont val="Arial"/>
        <family val="2"/>
      </rPr>
      <t>kerb</t>
    </r>
    <r>
      <rPr>
        <sz val="14"/>
        <rFont val="Arial"/>
        <family val="2"/>
      </rPr>
      <t xml:space="preserve">, 35 cm x 35 cm x 1 m pillars spaced approximately at 3.5 m apart, </t>
    </r>
  </si>
  <si>
    <r>
      <t xml:space="preserve">kerb and coping chamferred or rounded as directed etc., </t>
    </r>
    <r>
      <rPr>
        <b/>
        <sz val="14"/>
        <rFont val="Arial"/>
        <family val="2"/>
      </rPr>
      <t xml:space="preserve">complete </t>
    </r>
  </si>
  <si>
    <r>
      <t>( excluding cost of providing and placing reinforcement steel and</t>
    </r>
    <r>
      <rPr>
        <b/>
        <sz val="14"/>
        <rFont val="Calibri"/>
        <family val="2"/>
      </rPr>
      <t xml:space="preserve"> </t>
    </r>
    <r>
      <rPr>
        <b/>
        <sz val="14"/>
        <rFont val="Arial"/>
        <family val="2"/>
      </rPr>
      <t xml:space="preserve">gate ) with </t>
    </r>
  </si>
  <si>
    <r>
      <t xml:space="preserve">Providing and </t>
    </r>
    <r>
      <rPr>
        <b/>
        <sz val="14"/>
        <rFont val="Arial"/>
        <family val="2"/>
      </rPr>
      <t xml:space="preserve">laying </t>
    </r>
    <r>
      <rPr>
        <b/>
        <sz val="14"/>
        <rFont val="Calibri"/>
        <family val="2"/>
      </rPr>
      <t>insitu M- 25</t>
    </r>
    <r>
      <rPr>
        <sz val="14"/>
        <rFont val="Calibri"/>
        <family val="2"/>
      </rPr>
      <t xml:space="preserve"> </t>
    </r>
    <r>
      <rPr>
        <sz val="14"/>
        <rFont val="Arial"/>
        <family val="2"/>
      </rPr>
      <t xml:space="preserve">( 28 days cube compressive strength not </t>
    </r>
  </si>
  <si>
    <r>
      <t>less than 25 N / sq mm ) grade cement concrete</t>
    </r>
    <r>
      <rPr>
        <sz val="14"/>
        <rFont val="Calibri"/>
        <family val="2"/>
      </rPr>
      <t xml:space="preserve"> using </t>
    </r>
    <r>
      <rPr>
        <b/>
        <sz val="14"/>
        <rFont val="Calibri"/>
        <family val="2"/>
      </rPr>
      <t xml:space="preserve">20 mm down size </t>
    </r>
  </si>
  <si>
    <r>
      <t>approved, clean, hard, graded aggregates for</t>
    </r>
    <r>
      <rPr>
        <sz val="14"/>
        <rFont val="Calibri"/>
        <family val="2"/>
      </rPr>
      <t xml:space="preserve"> wearing coat</t>
    </r>
    <r>
      <rPr>
        <sz val="14"/>
        <rFont val="Arial"/>
        <family val="2"/>
      </rPr>
      <t xml:space="preserve"> including cost </t>
    </r>
  </si>
  <si>
    <r>
      <t xml:space="preserve">curing, packing joints with asphalt mortar etc., </t>
    </r>
    <r>
      <rPr>
        <b/>
        <sz val="14"/>
        <rFont val="Arial"/>
        <family val="2"/>
      </rPr>
      <t xml:space="preserve">complete </t>
    </r>
  </si>
  <si>
    <r>
      <rPr>
        <b/>
        <sz val="14"/>
        <rFont val="Arial"/>
        <family val="2"/>
      </rPr>
      <t>Pre-cooling to control placement temperature of cement concrete</t>
    </r>
    <r>
      <rPr>
        <sz val="14"/>
        <rFont val="Arial"/>
        <family val="2"/>
      </rPr>
      <t xml:space="preserve"> in the </t>
    </r>
  </si>
  <si>
    <r>
      <t>all materials, machinery, labour etc.,</t>
    </r>
    <r>
      <rPr>
        <b/>
        <sz val="14"/>
        <rFont val="Arial"/>
        <family val="2"/>
      </rPr>
      <t xml:space="preserve"> complete </t>
    </r>
    <r>
      <rPr>
        <b/>
        <sz val="14"/>
        <rFont val="Calibri"/>
        <family val="2"/>
      </rPr>
      <t>with all leads and lifts.</t>
    </r>
  </si>
  <si>
    <r>
      <t xml:space="preserve">Consider </t>
    </r>
    <r>
      <rPr>
        <sz val="14"/>
        <rFont val="Calibri"/>
        <family val="2"/>
      </rPr>
      <t>M-15 grade concrete using 80 mm down</t>
    </r>
    <r>
      <rPr>
        <sz val="14"/>
        <rFont val="Arial"/>
        <family val="2"/>
      </rPr>
      <t xml:space="preserve"> CA and 30-50 mm </t>
    </r>
  </si>
  <si>
    <r>
      <t xml:space="preserve">Conveying and </t>
    </r>
    <r>
      <rPr>
        <b/>
        <sz val="14"/>
        <rFont val="Calibri"/>
        <family val="2"/>
      </rPr>
      <t>fixing elastomeric bearing</t>
    </r>
    <r>
      <rPr>
        <sz val="14"/>
        <rFont val="Arial"/>
        <family val="2"/>
      </rPr>
      <t xml:space="preserve"> </t>
    </r>
    <r>
      <rPr>
        <b/>
        <sz val="14"/>
        <rFont val="Arial"/>
        <family val="2"/>
      </rPr>
      <t>for spillway bridge</t>
    </r>
    <r>
      <rPr>
        <sz val="14"/>
        <rFont val="Arial"/>
        <family val="2"/>
      </rPr>
      <t xml:space="preserve"> including </t>
    </r>
  </si>
  <si>
    <r>
      <t xml:space="preserve">machinery, labour etc., complete </t>
    </r>
    <r>
      <rPr>
        <b/>
        <sz val="14"/>
        <rFont val="Calibri"/>
        <family val="2"/>
      </rPr>
      <t>with all leads and lifts.</t>
    </r>
  </si>
  <si>
    <r>
      <t xml:space="preserve">Providing and </t>
    </r>
    <r>
      <rPr>
        <b/>
        <sz val="14"/>
        <rFont val="Arial"/>
        <family val="2"/>
      </rPr>
      <t xml:space="preserve">constructing 150 mm dia </t>
    </r>
    <r>
      <rPr>
        <b/>
        <sz val="14"/>
        <rFont val="Calibri"/>
        <family val="2"/>
      </rPr>
      <t>hume pipe weep holes</t>
    </r>
    <r>
      <rPr>
        <b/>
        <sz val="14"/>
        <rFont val="Arial"/>
        <family val="2"/>
      </rPr>
      <t xml:space="preserve"> for</t>
    </r>
    <r>
      <rPr>
        <sz val="14"/>
        <rFont val="Arial"/>
        <family val="2"/>
      </rPr>
      <t xml:space="preserve"> </t>
    </r>
  </si>
  <si>
    <r>
      <rPr>
        <b/>
        <sz val="14"/>
        <rFont val="Arial"/>
        <family val="2"/>
      </rPr>
      <t>concrete / masonry walls</t>
    </r>
    <r>
      <rPr>
        <sz val="14"/>
        <rFont val="Arial"/>
        <family val="2"/>
      </rPr>
      <t xml:space="preserve"> including providing 20 x 20 x 20 cm size porous </t>
    </r>
  </si>
  <si>
    <r>
      <t>concrete block made of</t>
    </r>
    <r>
      <rPr>
        <sz val="14"/>
        <rFont val="Calibri"/>
        <family val="2"/>
      </rPr>
      <t xml:space="preserve"> cement and 20 mm down </t>
    </r>
    <r>
      <rPr>
        <sz val="14"/>
        <rFont val="Arial"/>
        <family val="2"/>
      </rPr>
      <t xml:space="preserve">coarse aggregate in </t>
    </r>
  </si>
  <si>
    <r>
      <t xml:space="preserve">and soil back fill, cost of all materials, machinery, labour etc., </t>
    </r>
    <r>
      <rPr>
        <sz val="14"/>
        <rFont val="Calibri"/>
        <family val="2"/>
      </rPr>
      <t xml:space="preserve">complete </t>
    </r>
  </si>
  <si>
    <r>
      <t xml:space="preserve">Providing and </t>
    </r>
    <r>
      <rPr>
        <b/>
        <sz val="14"/>
        <rFont val="Arial"/>
        <family val="2"/>
      </rPr>
      <t xml:space="preserve">forming </t>
    </r>
    <r>
      <rPr>
        <b/>
        <sz val="14"/>
        <rFont val="Calibri"/>
        <family val="2"/>
      </rPr>
      <t xml:space="preserve">expansion joint </t>
    </r>
    <r>
      <rPr>
        <b/>
        <sz val="14"/>
        <rFont val="Arial"/>
        <family val="2"/>
      </rPr>
      <t>for spillway bridge</t>
    </r>
    <r>
      <rPr>
        <sz val="14"/>
        <rFont val="Arial"/>
        <family val="2"/>
      </rPr>
      <t xml:space="preserve"> consisting of </t>
    </r>
  </si>
  <si>
    <r>
      <t xml:space="preserve">wearing coat, painting etc., complete </t>
    </r>
    <r>
      <rPr>
        <b/>
        <sz val="14"/>
        <rFont val="Calibri"/>
        <family val="2"/>
      </rPr>
      <t>with lead upto 1 km and all lifts.</t>
    </r>
  </si>
  <si>
    <r>
      <t xml:space="preserve">Providing and </t>
    </r>
    <r>
      <rPr>
        <b/>
        <sz val="14"/>
        <rFont val="Arial"/>
        <family val="2"/>
      </rPr>
      <t xml:space="preserve">constructing </t>
    </r>
    <r>
      <rPr>
        <b/>
        <sz val="14"/>
        <rFont val="Calibri"/>
        <family val="2"/>
      </rPr>
      <t>un-coursed rubble stone masonry</t>
    </r>
    <r>
      <rPr>
        <sz val="14"/>
        <rFont val="Arial"/>
        <family val="2"/>
      </rPr>
      <t xml:space="preserve"> using </t>
    </r>
  </si>
  <si>
    <r>
      <t xml:space="preserve">approved stones </t>
    </r>
    <r>
      <rPr>
        <b/>
        <sz val="14"/>
        <rFont val="Arial"/>
        <family val="2"/>
      </rPr>
      <t xml:space="preserve">in </t>
    </r>
    <r>
      <rPr>
        <b/>
        <sz val="14"/>
        <rFont val="Calibri"/>
        <family val="2"/>
      </rPr>
      <t>cement mortar 1 : 3</t>
    </r>
    <r>
      <rPr>
        <sz val="14"/>
        <rFont val="Arial"/>
        <family val="2"/>
      </rPr>
      <t xml:space="preserve"> proportion including cost of all </t>
    </r>
  </si>
  <si>
    <r>
      <t xml:space="preserve">stone chips, curing etc., complete </t>
    </r>
    <r>
      <rPr>
        <b/>
        <sz val="14"/>
        <rFont val="Calibri"/>
        <family val="2"/>
      </rPr>
      <t>with initial lead upto 1 km and all lifts.</t>
    </r>
  </si>
  <si>
    <r>
      <t xml:space="preserve">Providing and constructing </t>
    </r>
    <r>
      <rPr>
        <b/>
        <sz val="14"/>
        <rFont val="Calibri"/>
        <family val="2"/>
      </rPr>
      <t>un-coursed rubble stone masonry</t>
    </r>
    <r>
      <rPr>
        <sz val="14"/>
        <rFont val="Calibri"/>
        <family val="2"/>
      </rPr>
      <t xml:space="preserve"> </t>
    </r>
    <r>
      <rPr>
        <sz val="14"/>
        <rFont val="Arial"/>
        <family val="2"/>
      </rPr>
      <t>using approved stones in</t>
    </r>
  </si>
  <si>
    <r>
      <rPr>
        <b/>
        <sz val="14"/>
        <rFont val="Arial"/>
        <family val="2"/>
      </rPr>
      <t>cement mortar 1 : 4</t>
    </r>
    <r>
      <rPr>
        <sz val="14"/>
        <rFont val="Arial"/>
        <family val="2"/>
      </rPr>
      <t xml:space="preserve"> proportion including cost of all materials, machinery, labour, scaffolding,</t>
    </r>
  </si>
  <si>
    <r>
      <t xml:space="preserve">cleaning, packing mortar, wedging stone chips, curing etc., complete </t>
    </r>
    <r>
      <rPr>
        <b/>
        <sz val="14"/>
        <rFont val="Calibri"/>
        <family val="2"/>
      </rPr>
      <t>with initial lead upto</t>
    </r>
  </si>
  <si>
    <r>
      <t xml:space="preserve">Providing and </t>
    </r>
    <r>
      <rPr>
        <b/>
        <sz val="14"/>
        <rFont val="Arial"/>
        <family val="2"/>
      </rPr>
      <t xml:space="preserve">constructing </t>
    </r>
    <r>
      <rPr>
        <b/>
        <sz val="14"/>
        <rFont val="Calibri"/>
        <family val="2"/>
      </rPr>
      <t>coursed rubble face stone masonry</t>
    </r>
    <r>
      <rPr>
        <sz val="14"/>
        <rFont val="Arial"/>
        <family val="2"/>
      </rPr>
      <t xml:space="preserve"> using </t>
    </r>
  </si>
  <si>
    <r>
      <t xml:space="preserve">approved rubble stones </t>
    </r>
    <r>
      <rPr>
        <b/>
        <sz val="14"/>
        <rFont val="Arial"/>
        <family val="2"/>
      </rPr>
      <t xml:space="preserve">in </t>
    </r>
    <r>
      <rPr>
        <b/>
        <sz val="14"/>
        <rFont val="Calibri"/>
        <family val="2"/>
      </rPr>
      <t>cement mortar 1 : 3</t>
    </r>
    <r>
      <rPr>
        <sz val="14"/>
        <rFont val="Arial"/>
        <family val="2"/>
      </rPr>
      <t xml:space="preserve"> proportion including cost </t>
    </r>
  </si>
  <si>
    <r>
      <t>mortar, wedging stone chips, curing etc.,</t>
    </r>
    <r>
      <rPr>
        <sz val="14"/>
        <rFont val="Calibri"/>
        <family val="2"/>
      </rPr>
      <t xml:space="preserve"> </t>
    </r>
    <r>
      <rPr>
        <b/>
        <sz val="14"/>
        <rFont val="Calibri"/>
        <family val="2"/>
      </rPr>
      <t xml:space="preserve">with initial lead upto 1 km </t>
    </r>
  </si>
  <si>
    <r>
      <t xml:space="preserve">approved rubble stones in </t>
    </r>
    <r>
      <rPr>
        <b/>
        <sz val="14"/>
        <rFont val="Arial"/>
        <family val="2"/>
      </rPr>
      <t>cement mortar</t>
    </r>
    <r>
      <rPr>
        <b/>
        <sz val="14"/>
        <rFont val="Calibri"/>
        <family val="2"/>
      </rPr>
      <t xml:space="preserve"> 1 : 4</t>
    </r>
    <r>
      <rPr>
        <sz val="14"/>
        <rFont val="Calibri"/>
        <family val="2"/>
      </rPr>
      <t xml:space="preserve"> </t>
    </r>
    <r>
      <rPr>
        <sz val="14"/>
        <rFont val="Arial"/>
        <family val="2"/>
      </rPr>
      <t xml:space="preserve">proportion including cost of </t>
    </r>
  </si>
  <si>
    <r>
      <t xml:space="preserve">mortar, wedging stone chips, curing etc., </t>
    </r>
    <r>
      <rPr>
        <b/>
        <sz val="14"/>
        <rFont val="Calibri"/>
        <family val="2"/>
      </rPr>
      <t xml:space="preserve">with initial lead upto 1 km and </t>
    </r>
  </si>
  <si>
    <r>
      <t xml:space="preserve">Providing and </t>
    </r>
    <r>
      <rPr>
        <b/>
        <sz val="14"/>
        <rFont val="Arial"/>
        <family val="2"/>
      </rPr>
      <t xml:space="preserve">constructing </t>
    </r>
    <r>
      <rPr>
        <b/>
        <sz val="14"/>
        <rFont val="Calibri"/>
        <family val="2"/>
      </rPr>
      <t xml:space="preserve">chisel drafted and hammer dressed face </t>
    </r>
  </si>
  <si>
    <r>
      <rPr>
        <b/>
        <sz val="14"/>
        <rFont val="Arial"/>
        <family val="2"/>
      </rPr>
      <t>stone masonry</t>
    </r>
    <r>
      <rPr>
        <sz val="14"/>
        <rFont val="Arial"/>
        <family val="2"/>
      </rPr>
      <t xml:space="preserve"> with approved stones in </t>
    </r>
    <r>
      <rPr>
        <b/>
        <sz val="14"/>
        <rFont val="Calibri"/>
        <family val="2"/>
      </rPr>
      <t>cement mortar 1 : 3</t>
    </r>
    <r>
      <rPr>
        <sz val="14"/>
        <rFont val="Arial"/>
        <family val="2"/>
      </rPr>
      <t xml:space="preserve"> proportion </t>
    </r>
  </si>
  <si>
    <r>
      <rPr>
        <b/>
        <sz val="14"/>
        <rFont val="Arial"/>
        <family val="2"/>
      </rPr>
      <t>stone masonry</t>
    </r>
    <r>
      <rPr>
        <sz val="14"/>
        <rFont val="Arial"/>
        <family val="2"/>
      </rPr>
      <t xml:space="preserve"> with approved stones in </t>
    </r>
    <r>
      <rPr>
        <b/>
        <sz val="14"/>
        <rFont val="Calibri"/>
        <family val="2"/>
      </rPr>
      <t>cement mortar 1 : 4</t>
    </r>
    <r>
      <rPr>
        <sz val="14"/>
        <rFont val="Calibri"/>
        <family val="2"/>
      </rPr>
      <t xml:space="preserve"> </t>
    </r>
    <r>
      <rPr>
        <sz val="14"/>
        <rFont val="Arial"/>
        <family val="2"/>
      </rPr>
      <t xml:space="preserve">proportion </t>
    </r>
  </si>
  <si>
    <r>
      <t xml:space="preserve">Providing </t>
    </r>
    <r>
      <rPr>
        <b/>
        <sz val="14"/>
        <rFont val="Calibri"/>
        <family val="2"/>
      </rPr>
      <t>cement mortar pointing</t>
    </r>
    <r>
      <rPr>
        <b/>
        <sz val="14"/>
        <rFont val="Arial"/>
        <family val="2"/>
      </rPr>
      <t xml:space="preserve"> to coursed rubble face stone masonry </t>
    </r>
  </si>
  <si>
    <r>
      <t xml:space="preserve">50 mm deep in </t>
    </r>
    <r>
      <rPr>
        <b/>
        <sz val="14"/>
        <rFont val="Arial"/>
        <family val="2"/>
      </rPr>
      <t>CM 1 : 2</t>
    </r>
    <r>
      <rPr>
        <sz val="14"/>
        <rFont val="Arial"/>
        <family val="2"/>
      </rPr>
      <t xml:space="preserve"> proportion by volume including raking and cleaning</t>
    </r>
  </si>
  <si>
    <r>
      <t xml:space="preserve">finishing, curing etc., complete </t>
    </r>
    <r>
      <rPr>
        <b/>
        <sz val="14"/>
        <rFont val="Calibri"/>
        <family val="2"/>
      </rPr>
      <t>with initial lead upto 1 km and all lifts.</t>
    </r>
  </si>
  <si>
    <r>
      <t xml:space="preserve">50 mm deep in </t>
    </r>
    <r>
      <rPr>
        <b/>
        <sz val="14"/>
        <rFont val="Calibri"/>
        <family val="2"/>
      </rPr>
      <t>CM 1 : 3</t>
    </r>
    <r>
      <rPr>
        <sz val="14"/>
        <rFont val="Arial"/>
        <family val="2"/>
      </rPr>
      <t xml:space="preserve"> proportion by volume including raking and cleaning </t>
    </r>
  </si>
  <si>
    <r>
      <t xml:space="preserve">finishing, curing etc., complete </t>
    </r>
    <r>
      <rPr>
        <b/>
        <sz val="14"/>
        <rFont val="Arial"/>
        <family val="2"/>
      </rPr>
      <t xml:space="preserve">with initial lead upto </t>
    </r>
    <r>
      <rPr>
        <b/>
        <sz val="14"/>
        <rFont val="Calibri"/>
        <family val="2"/>
      </rPr>
      <t>1 km and all lifts.</t>
    </r>
  </si>
  <si>
    <r>
      <t xml:space="preserve">Providing </t>
    </r>
    <r>
      <rPr>
        <b/>
        <sz val="14"/>
        <rFont val="Arial"/>
        <family val="2"/>
      </rPr>
      <t>25 mm thick</t>
    </r>
    <r>
      <rPr>
        <b/>
        <sz val="14"/>
        <rFont val="Calibri"/>
        <family val="2"/>
      </rPr>
      <t xml:space="preserve"> guniting</t>
    </r>
    <r>
      <rPr>
        <b/>
        <sz val="14"/>
        <rFont val="Arial"/>
        <family val="2"/>
      </rPr>
      <t xml:space="preserve"> to rock or masonry surface in </t>
    </r>
    <r>
      <rPr>
        <b/>
        <sz val="14"/>
        <rFont val="Calibri"/>
        <family val="2"/>
      </rPr>
      <t xml:space="preserve">cement </t>
    </r>
  </si>
  <si>
    <r>
      <rPr>
        <b/>
        <sz val="14"/>
        <rFont val="Arial"/>
        <family val="2"/>
      </rPr>
      <t>mortar 1 : 3</t>
    </r>
    <r>
      <rPr>
        <sz val="14"/>
        <rFont val="Arial"/>
        <family val="2"/>
      </rPr>
      <t xml:space="preserve"> proportion by weight including cost of all materials, machinery, </t>
    </r>
  </si>
  <si>
    <r>
      <t>other ancillary operations etc., complete</t>
    </r>
    <r>
      <rPr>
        <sz val="14"/>
        <rFont val="Calibri"/>
        <family val="2"/>
      </rPr>
      <t xml:space="preserve"> </t>
    </r>
    <r>
      <rPr>
        <b/>
        <sz val="14"/>
        <rFont val="Calibri"/>
        <family val="2"/>
      </rPr>
      <t xml:space="preserve">with initial lead upto 1 km and </t>
    </r>
  </si>
  <si>
    <r>
      <t xml:space="preserve">Providing and </t>
    </r>
    <r>
      <rPr>
        <b/>
        <sz val="14"/>
        <rFont val="Arial"/>
        <family val="2"/>
      </rPr>
      <t xml:space="preserve">constructing </t>
    </r>
    <r>
      <rPr>
        <b/>
        <sz val="14"/>
        <rFont val="Calibri"/>
        <family val="2"/>
      </rPr>
      <t>contraction joints</t>
    </r>
    <r>
      <rPr>
        <b/>
        <sz val="14"/>
        <rFont val="Arial"/>
        <family val="2"/>
      </rPr>
      <t xml:space="preserve"> by fixing 16 SWG 60 cm </t>
    </r>
  </si>
  <si>
    <r>
      <rPr>
        <b/>
        <sz val="14"/>
        <rFont val="Arial"/>
        <family val="2"/>
      </rPr>
      <t>wide annealed copper sheets</t>
    </r>
    <r>
      <rPr>
        <sz val="14"/>
        <rFont val="Arial"/>
        <family val="2"/>
      </rPr>
      <t xml:space="preserve"> in two lines with 8 mm dia steel dowel </t>
    </r>
  </si>
  <si>
    <r>
      <t xml:space="preserve">Providing and </t>
    </r>
    <r>
      <rPr>
        <b/>
        <sz val="14"/>
        <rFont val="Arial"/>
        <family val="2"/>
      </rPr>
      <t xml:space="preserve">constructing </t>
    </r>
    <r>
      <rPr>
        <b/>
        <sz val="14"/>
        <rFont val="Calibri"/>
        <family val="2"/>
      </rPr>
      <t>contraction joints</t>
    </r>
    <r>
      <rPr>
        <b/>
        <sz val="14"/>
        <rFont val="Arial"/>
        <family val="2"/>
      </rPr>
      <t xml:space="preserve"> by fixing 310 mm wide </t>
    </r>
  </si>
  <si>
    <r>
      <rPr>
        <b/>
        <sz val="14"/>
        <rFont val="Arial"/>
        <family val="2"/>
      </rPr>
      <t xml:space="preserve">central bulb type approved quality </t>
    </r>
    <r>
      <rPr>
        <b/>
        <sz val="14"/>
        <rFont val="Calibri"/>
        <family val="2"/>
      </rPr>
      <t>PVC water stop</t>
    </r>
    <r>
      <rPr>
        <sz val="14"/>
        <rFont val="Calibri"/>
        <family val="2"/>
      </rPr>
      <t xml:space="preserve"> in two lines</t>
    </r>
    <r>
      <rPr>
        <sz val="14"/>
        <rFont val="Arial"/>
        <family val="2"/>
      </rPr>
      <t xml:space="preserve"> with 8 mm </t>
    </r>
  </si>
  <si>
    <r>
      <t>machinery, labour etc.</t>
    </r>
    <r>
      <rPr>
        <b/>
        <sz val="14"/>
        <rFont val="Arial"/>
        <family val="2"/>
      </rPr>
      <t>, complete with all leads and lifts.</t>
    </r>
  </si>
  <si>
    <r>
      <rPr>
        <b/>
        <sz val="14"/>
        <rFont val="Arial"/>
        <family val="2"/>
      </rPr>
      <t>wide</t>
    </r>
    <r>
      <rPr>
        <b/>
        <sz val="14"/>
        <rFont val="Calibri"/>
        <family val="2"/>
      </rPr>
      <t xml:space="preserve"> annealed copper sheets</t>
    </r>
    <r>
      <rPr>
        <sz val="14"/>
        <rFont val="Calibri"/>
        <family val="2"/>
      </rPr>
      <t xml:space="preserve"> in single line</t>
    </r>
    <r>
      <rPr>
        <sz val="14"/>
        <rFont val="Arial"/>
        <family val="2"/>
      </rPr>
      <t xml:space="preserve"> with 8 mm dia steel dowel </t>
    </r>
  </si>
  <si>
    <r>
      <t xml:space="preserve">machinery, labour etc., </t>
    </r>
    <r>
      <rPr>
        <b/>
        <sz val="14"/>
        <rFont val="Arial"/>
        <family val="2"/>
      </rPr>
      <t>complete with all leads and lifts.</t>
    </r>
  </si>
  <si>
    <r>
      <t xml:space="preserve">Providing and </t>
    </r>
    <r>
      <rPr>
        <b/>
        <sz val="14"/>
        <rFont val="Arial"/>
        <family val="2"/>
      </rPr>
      <t xml:space="preserve">constructing </t>
    </r>
    <r>
      <rPr>
        <b/>
        <sz val="14"/>
        <rFont val="Calibri"/>
        <family val="2"/>
      </rPr>
      <t>contraction joints</t>
    </r>
    <r>
      <rPr>
        <b/>
        <sz val="14"/>
        <rFont val="Arial"/>
        <family val="2"/>
      </rPr>
      <t xml:space="preserve"> by fixing 23 cm wide central </t>
    </r>
  </si>
  <si>
    <r>
      <rPr>
        <b/>
        <sz val="14"/>
        <rFont val="Arial"/>
        <family val="2"/>
      </rPr>
      <t>bulb type PVC water stop in single line</t>
    </r>
    <r>
      <rPr>
        <sz val="14"/>
        <rFont val="Arial"/>
        <family val="2"/>
      </rPr>
      <t xml:space="preserve"> supported by 10 mm dia steel </t>
    </r>
  </si>
  <si>
    <r>
      <t xml:space="preserve">machinery, labour, valcunising joints etc., </t>
    </r>
    <r>
      <rPr>
        <sz val="14"/>
        <rFont val="Calibri"/>
        <family val="2"/>
      </rPr>
      <t>complete</t>
    </r>
    <r>
      <rPr>
        <b/>
        <sz val="14"/>
        <rFont val="Calibri"/>
        <family val="2"/>
      </rPr>
      <t xml:space="preserve"> with all leads and </t>
    </r>
  </si>
  <si>
    <r>
      <t xml:space="preserve">Providing </t>
    </r>
    <r>
      <rPr>
        <b/>
        <sz val="14"/>
        <rFont val="Calibri"/>
        <family val="2"/>
      </rPr>
      <t>hearting</t>
    </r>
    <r>
      <rPr>
        <b/>
        <sz val="14"/>
        <rFont val="Arial"/>
        <family val="2"/>
      </rPr>
      <t xml:space="preserve"> embankment</t>
    </r>
    <r>
      <rPr>
        <sz val="14"/>
        <rFont val="Arial"/>
        <family val="2"/>
      </rPr>
      <t xml:space="preserve"> </t>
    </r>
    <r>
      <rPr>
        <sz val="14"/>
        <rFont val="Calibri"/>
        <family val="2"/>
      </rPr>
      <t xml:space="preserve">using selected </t>
    </r>
    <r>
      <rPr>
        <b/>
        <sz val="14"/>
        <rFont val="Calibri"/>
        <family val="2"/>
      </rPr>
      <t>impervious soil</t>
    </r>
    <r>
      <rPr>
        <sz val="14"/>
        <rFont val="Calibri"/>
        <family val="2"/>
      </rPr>
      <t xml:space="preserve"> from </t>
    </r>
  </si>
  <si>
    <r>
      <rPr>
        <b/>
        <sz val="14"/>
        <rFont val="Arial"/>
        <family val="2"/>
      </rPr>
      <t>approved borrow areas</t>
    </r>
    <r>
      <rPr>
        <sz val="14"/>
        <rFont val="Arial"/>
        <family val="2"/>
      </rPr>
      <t xml:space="preserve"> in </t>
    </r>
    <r>
      <rPr>
        <b/>
        <sz val="14"/>
        <rFont val="Arial"/>
        <family val="2"/>
      </rPr>
      <t>layers of 25 to 30 cm</t>
    </r>
    <r>
      <rPr>
        <sz val="14"/>
        <rFont val="Arial"/>
        <family val="2"/>
      </rPr>
      <t xml:space="preserve"> before compaction </t>
    </r>
  </si>
  <si>
    <r>
      <t xml:space="preserve">thickness, breaking clods, sectioning, </t>
    </r>
    <r>
      <rPr>
        <b/>
        <sz val="14"/>
        <rFont val="Arial"/>
        <family val="2"/>
      </rPr>
      <t>watering</t>
    </r>
    <r>
      <rPr>
        <sz val="14"/>
        <rFont val="Arial"/>
        <family val="2"/>
      </rPr>
      <t xml:space="preserve">, compacting </t>
    </r>
    <r>
      <rPr>
        <sz val="14"/>
        <rFont val="Calibri"/>
        <family val="2"/>
      </rPr>
      <t xml:space="preserve">to density </t>
    </r>
  </si>
  <si>
    <r>
      <rPr>
        <b/>
        <sz val="14"/>
        <rFont val="Arial"/>
        <family val="2"/>
      </rPr>
      <t xml:space="preserve">Providing </t>
    </r>
    <r>
      <rPr>
        <b/>
        <sz val="14"/>
        <rFont val="Calibri"/>
        <family val="2"/>
      </rPr>
      <t>cut-off trench filling</t>
    </r>
    <r>
      <rPr>
        <sz val="14"/>
        <rFont val="Arial"/>
        <family val="2"/>
      </rPr>
      <t xml:space="preserve"> using </t>
    </r>
    <r>
      <rPr>
        <sz val="14"/>
        <rFont val="Calibri"/>
        <family val="2"/>
      </rPr>
      <t xml:space="preserve">selected </t>
    </r>
    <r>
      <rPr>
        <b/>
        <sz val="14"/>
        <rFont val="Calibri"/>
        <family val="2"/>
      </rPr>
      <t>impervious soil</t>
    </r>
    <r>
      <rPr>
        <sz val="14"/>
        <rFont val="Calibri"/>
        <family val="2"/>
      </rPr>
      <t xml:space="preserve"> from </t>
    </r>
  </si>
  <si>
    <r>
      <t xml:space="preserve">breaking clods, sectioning, </t>
    </r>
    <r>
      <rPr>
        <b/>
        <sz val="14"/>
        <rFont val="Arial"/>
        <family val="2"/>
      </rPr>
      <t>watering</t>
    </r>
    <r>
      <rPr>
        <sz val="14"/>
        <rFont val="Arial"/>
        <family val="2"/>
      </rPr>
      <t xml:space="preserve">, compacting to </t>
    </r>
    <r>
      <rPr>
        <sz val="14"/>
        <rFont val="Calibri"/>
        <family val="2"/>
      </rPr>
      <t xml:space="preserve">density control of </t>
    </r>
    <r>
      <rPr>
        <b/>
        <sz val="14"/>
        <rFont val="Calibri"/>
        <family val="2"/>
      </rPr>
      <t>not</t>
    </r>
    <r>
      <rPr>
        <sz val="14"/>
        <rFont val="Calibri"/>
        <family val="2"/>
      </rPr>
      <t xml:space="preserve"> </t>
    </r>
  </si>
  <si>
    <r>
      <t>complete</t>
    </r>
    <r>
      <rPr>
        <b/>
        <sz val="14"/>
        <rFont val="Calibri"/>
        <family val="2"/>
      </rPr>
      <t xml:space="preserve"> with initial lead upto 1 km and all lifts.</t>
    </r>
  </si>
  <si>
    <r>
      <rPr>
        <b/>
        <sz val="14"/>
        <rFont val="Arial"/>
        <family val="2"/>
      </rPr>
      <t xml:space="preserve">Providing </t>
    </r>
    <r>
      <rPr>
        <b/>
        <sz val="14"/>
        <rFont val="Calibri"/>
        <family val="2"/>
      </rPr>
      <t>casing</t>
    </r>
    <r>
      <rPr>
        <b/>
        <sz val="14"/>
        <rFont val="Arial"/>
        <family val="2"/>
      </rPr>
      <t xml:space="preserve"> embankment</t>
    </r>
    <r>
      <rPr>
        <sz val="14"/>
        <rFont val="Arial"/>
        <family val="2"/>
      </rPr>
      <t xml:space="preserve"> </t>
    </r>
    <r>
      <rPr>
        <sz val="14"/>
        <rFont val="Calibri"/>
        <family val="2"/>
      </rPr>
      <t xml:space="preserve">using </t>
    </r>
    <r>
      <rPr>
        <b/>
        <sz val="14"/>
        <rFont val="Calibri"/>
        <family val="2"/>
      </rPr>
      <t>semi-pervious soil</t>
    </r>
    <r>
      <rPr>
        <sz val="14"/>
        <rFont val="Calibri"/>
        <family val="2"/>
      </rPr>
      <t xml:space="preserve"> from </t>
    </r>
    <r>
      <rPr>
        <b/>
        <sz val="14"/>
        <rFont val="Calibri"/>
        <family val="2"/>
      </rPr>
      <t xml:space="preserve">approved </t>
    </r>
  </si>
  <si>
    <r>
      <rPr>
        <b/>
        <sz val="14"/>
        <rFont val="Arial"/>
        <family val="2"/>
      </rPr>
      <t>borrow areas</t>
    </r>
    <r>
      <rPr>
        <sz val="14"/>
        <rFont val="Arial"/>
        <family val="2"/>
      </rPr>
      <t xml:space="preserve"> in </t>
    </r>
    <r>
      <rPr>
        <b/>
        <sz val="14"/>
        <rFont val="Arial"/>
        <family val="2"/>
      </rPr>
      <t>layers of 25 to 30 cm</t>
    </r>
    <r>
      <rPr>
        <sz val="14"/>
        <rFont val="Arial"/>
        <family val="2"/>
      </rPr>
      <t xml:space="preserve"> before compaction including cost of </t>
    </r>
  </si>
  <si>
    <r>
      <t xml:space="preserve">breaking clods, sectioning, </t>
    </r>
    <r>
      <rPr>
        <b/>
        <sz val="14"/>
        <rFont val="Arial"/>
        <family val="2"/>
      </rPr>
      <t>watering</t>
    </r>
    <r>
      <rPr>
        <sz val="14"/>
        <rFont val="Arial"/>
        <family val="2"/>
      </rPr>
      <t xml:space="preserve">, compacting to </t>
    </r>
    <r>
      <rPr>
        <sz val="14"/>
        <rFont val="Calibri"/>
        <family val="2"/>
      </rPr>
      <t xml:space="preserve">density control of </t>
    </r>
    <r>
      <rPr>
        <b/>
        <sz val="14"/>
        <rFont val="Calibri"/>
        <family val="2"/>
      </rPr>
      <t xml:space="preserve">not </t>
    </r>
  </si>
  <si>
    <r>
      <t xml:space="preserve">complete </t>
    </r>
    <r>
      <rPr>
        <b/>
        <sz val="14"/>
        <rFont val="Calibri"/>
        <family val="2"/>
      </rPr>
      <t>with initial lead upto 1 km and all lifts.</t>
    </r>
  </si>
  <si>
    <r>
      <t xml:space="preserve">Providing </t>
    </r>
    <r>
      <rPr>
        <b/>
        <sz val="14"/>
        <rFont val="Calibri"/>
        <family val="2"/>
      </rPr>
      <t>casing</t>
    </r>
    <r>
      <rPr>
        <b/>
        <sz val="14"/>
        <rFont val="Arial"/>
        <family val="2"/>
      </rPr>
      <t xml:space="preserve"> embankment</t>
    </r>
    <r>
      <rPr>
        <sz val="14"/>
        <rFont val="Arial"/>
        <family val="2"/>
      </rPr>
      <t xml:space="preserve"> </t>
    </r>
    <r>
      <rPr>
        <sz val="14"/>
        <rFont val="Calibri"/>
        <family val="2"/>
      </rPr>
      <t xml:space="preserve">using </t>
    </r>
    <r>
      <rPr>
        <b/>
        <sz val="14"/>
        <rFont val="Calibri"/>
        <family val="2"/>
      </rPr>
      <t>semi-pervious soil</t>
    </r>
    <r>
      <rPr>
        <sz val="14"/>
        <rFont val="Calibri"/>
        <family val="2"/>
      </rPr>
      <t xml:space="preserve"> available </t>
    </r>
  </si>
  <si>
    <r>
      <t xml:space="preserve">from excavation in </t>
    </r>
    <r>
      <rPr>
        <b/>
        <sz val="14"/>
        <rFont val="Arial"/>
        <family val="2"/>
      </rPr>
      <t xml:space="preserve">layers of 25 to 30 cm </t>
    </r>
    <r>
      <rPr>
        <sz val="14"/>
        <rFont val="Arial"/>
        <family val="2"/>
      </rPr>
      <t xml:space="preserve">before compaction including cost </t>
    </r>
  </si>
  <si>
    <r>
      <t xml:space="preserve">breaking clods, sectioning, </t>
    </r>
    <r>
      <rPr>
        <b/>
        <sz val="14"/>
        <rFont val="Arial"/>
        <family val="2"/>
      </rPr>
      <t>watering</t>
    </r>
    <r>
      <rPr>
        <sz val="14"/>
        <rFont val="Arial"/>
        <family val="2"/>
      </rPr>
      <t>, compacting to specified</t>
    </r>
    <r>
      <rPr>
        <sz val="14"/>
        <rFont val="Calibri"/>
        <family val="2"/>
      </rPr>
      <t xml:space="preserve"> density </t>
    </r>
  </si>
  <si>
    <r>
      <t xml:space="preserve">stipulated etc.,complete </t>
    </r>
    <r>
      <rPr>
        <b/>
        <sz val="14"/>
        <rFont val="Calibri"/>
        <family val="2"/>
      </rPr>
      <t>with initial lead upto 1 km and all lifts.</t>
    </r>
  </si>
  <si>
    <r>
      <rPr>
        <b/>
        <sz val="14"/>
        <rFont val="Arial"/>
        <family val="2"/>
      </rPr>
      <t xml:space="preserve">Providing </t>
    </r>
    <r>
      <rPr>
        <b/>
        <sz val="14"/>
        <rFont val="Calibri"/>
        <family val="2"/>
      </rPr>
      <t>casing</t>
    </r>
    <r>
      <rPr>
        <b/>
        <sz val="14"/>
        <rFont val="Arial"/>
        <family val="2"/>
      </rPr>
      <t xml:space="preserve"> embankment</t>
    </r>
    <r>
      <rPr>
        <sz val="14"/>
        <rFont val="Arial"/>
        <family val="2"/>
      </rPr>
      <t xml:space="preserve"> </t>
    </r>
    <r>
      <rPr>
        <sz val="14"/>
        <rFont val="Calibri"/>
        <family val="2"/>
      </rPr>
      <t xml:space="preserve">using </t>
    </r>
    <r>
      <rPr>
        <b/>
        <sz val="14"/>
        <rFont val="Calibri"/>
        <family val="2"/>
      </rPr>
      <t>semi-pervious soil</t>
    </r>
    <r>
      <rPr>
        <sz val="14"/>
        <rFont val="Calibri"/>
        <family val="2"/>
      </rPr>
      <t xml:space="preserve"> available </t>
    </r>
  </si>
  <si>
    <r>
      <rPr>
        <b/>
        <sz val="14"/>
        <rFont val="Arial"/>
        <family val="2"/>
      </rPr>
      <t>from excavation in layers of 25 to 30 cm</t>
    </r>
    <r>
      <rPr>
        <sz val="14"/>
        <rFont val="Arial"/>
        <family val="2"/>
      </rPr>
      <t xml:space="preserve"> before compaction including cost </t>
    </r>
  </si>
  <si>
    <r>
      <t xml:space="preserve">control of </t>
    </r>
    <r>
      <rPr>
        <b/>
        <sz val="14"/>
        <rFont val="Arial"/>
        <family val="2"/>
      </rPr>
      <t>not less than 90 percent using</t>
    </r>
    <r>
      <rPr>
        <sz val="14"/>
        <rFont val="Calibri"/>
        <family val="2"/>
      </rPr>
      <t xml:space="preserve"> 2 Tonne Roller</t>
    </r>
    <r>
      <rPr>
        <b/>
        <sz val="14"/>
        <rFont val="Arial"/>
        <family val="2"/>
      </rPr>
      <t xml:space="preserve"> as </t>
    </r>
  </si>
  <si>
    <r>
      <t xml:space="preserve">Providing </t>
    </r>
    <r>
      <rPr>
        <b/>
        <sz val="14"/>
        <rFont val="Calibri"/>
        <family val="2"/>
      </rPr>
      <t>homogeneous</t>
    </r>
    <r>
      <rPr>
        <b/>
        <sz val="14"/>
        <rFont val="Arial"/>
        <family val="2"/>
      </rPr>
      <t xml:space="preserve"> embankment</t>
    </r>
    <r>
      <rPr>
        <sz val="14"/>
        <rFont val="Arial"/>
        <family val="2"/>
      </rPr>
      <t xml:space="preserve"> </t>
    </r>
    <r>
      <rPr>
        <sz val="14"/>
        <rFont val="Calibri"/>
        <family val="2"/>
      </rPr>
      <t xml:space="preserve">using soil from </t>
    </r>
    <r>
      <rPr>
        <b/>
        <sz val="14"/>
        <rFont val="Calibri"/>
        <family val="2"/>
      </rPr>
      <t xml:space="preserve">approved borrow </t>
    </r>
  </si>
  <si>
    <r>
      <rPr>
        <b/>
        <sz val="14"/>
        <rFont val="Arial"/>
        <family val="2"/>
      </rPr>
      <t>area in layers of 25 to 30 cm</t>
    </r>
    <r>
      <rPr>
        <sz val="14"/>
        <rFont val="Arial"/>
        <family val="2"/>
      </rPr>
      <t xml:space="preserve"> before compaction including cost of all </t>
    </r>
  </si>
  <si>
    <r>
      <t xml:space="preserve">sectioning, </t>
    </r>
    <r>
      <rPr>
        <b/>
        <sz val="14"/>
        <rFont val="Arial"/>
        <family val="2"/>
      </rPr>
      <t>watering</t>
    </r>
    <r>
      <rPr>
        <sz val="14"/>
        <rFont val="Arial"/>
        <family val="2"/>
      </rPr>
      <t xml:space="preserve">, compacting </t>
    </r>
    <r>
      <rPr>
        <sz val="14"/>
        <rFont val="Calibri"/>
        <family val="2"/>
      </rPr>
      <t xml:space="preserve">to density control of </t>
    </r>
    <r>
      <rPr>
        <b/>
        <sz val="14"/>
        <rFont val="Calibri"/>
        <family val="2"/>
      </rPr>
      <t xml:space="preserve">not less than </t>
    </r>
  </si>
  <si>
    <r>
      <t xml:space="preserve">Providing </t>
    </r>
    <r>
      <rPr>
        <b/>
        <sz val="14"/>
        <rFont val="Calibri"/>
        <family val="2"/>
      </rPr>
      <t>embankment adjacent to masonry / concrete structures and filling trial pits</t>
    </r>
  </si>
  <si>
    <r>
      <t xml:space="preserve">using </t>
    </r>
    <r>
      <rPr>
        <b/>
        <sz val="14"/>
        <rFont val="Arial"/>
        <family val="2"/>
      </rPr>
      <t>impervious soil</t>
    </r>
    <r>
      <rPr>
        <sz val="14"/>
        <rFont val="Arial"/>
        <family val="2"/>
      </rPr>
      <t xml:space="preserve"> from </t>
    </r>
    <r>
      <rPr>
        <b/>
        <sz val="14"/>
        <rFont val="Arial"/>
        <family val="2"/>
      </rPr>
      <t>approved borrow areas</t>
    </r>
    <r>
      <rPr>
        <sz val="14"/>
        <rFont val="Arial"/>
        <family val="2"/>
      </rPr>
      <t xml:space="preserve"> in </t>
    </r>
    <r>
      <rPr>
        <b/>
        <sz val="14"/>
        <rFont val="Arial"/>
        <family val="2"/>
      </rPr>
      <t>layers of 10 to 15 cm</t>
    </r>
    <r>
      <rPr>
        <sz val="14"/>
        <rFont val="Arial"/>
        <family val="2"/>
      </rPr>
      <t xml:space="preserve"> and compacting</t>
    </r>
  </si>
  <si>
    <r>
      <t xml:space="preserve">each layer to </t>
    </r>
    <r>
      <rPr>
        <sz val="14"/>
        <rFont val="Calibri"/>
        <family val="2"/>
      </rPr>
      <t xml:space="preserve">density control of </t>
    </r>
    <r>
      <rPr>
        <b/>
        <sz val="14"/>
        <rFont val="Calibri"/>
        <family val="2"/>
      </rPr>
      <t>not less than 95 percent</t>
    </r>
    <r>
      <rPr>
        <b/>
        <sz val="14"/>
        <rFont val="Arial"/>
        <family val="2"/>
      </rPr>
      <t xml:space="preserve"> using pneumatic tampers or by</t>
    </r>
  </si>
  <si>
    <r>
      <rPr>
        <b/>
        <sz val="14"/>
        <rFont val="Arial"/>
        <family val="2"/>
      </rPr>
      <t>vibratory earth rammers</t>
    </r>
    <r>
      <rPr>
        <sz val="14"/>
        <rFont val="Arial"/>
        <family val="2"/>
      </rPr>
      <t xml:space="preserve"> including cost of all materials, machinery, labour, picking previous</t>
    </r>
  </si>
  <si>
    <r>
      <t xml:space="preserve">layer, spreading soil in layer, breaking clods, </t>
    </r>
    <r>
      <rPr>
        <b/>
        <sz val="14"/>
        <rFont val="Arial"/>
        <family val="2"/>
      </rPr>
      <t>watering</t>
    </r>
    <r>
      <rPr>
        <sz val="14"/>
        <rFont val="Arial"/>
        <family val="2"/>
      </rPr>
      <t xml:space="preserve"> etc., complete </t>
    </r>
    <r>
      <rPr>
        <b/>
        <sz val="14"/>
        <rFont val="Arial"/>
        <family val="2"/>
      </rPr>
      <t xml:space="preserve">with initial </t>
    </r>
    <r>
      <rPr>
        <b/>
        <sz val="14"/>
        <rFont val="Calibri"/>
        <family val="2"/>
      </rPr>
      <t>lead upto</t>
    </r>
  </si>
  <si>
    <r>
      <t xml:space="preserve">Providing and </t>
    </r>
    <r>
      <rPr>
        <b/>
        <sz val="14"/>
        <rFont val="Arial"/>
        <family val="2"/>
      </rPr>
      <t xml:space="preserve">constructing </t>
    </r>
    <r>
      <rPr>
        <b/>
        <sz val="14"/>
        <rFont val="Calibri"/>
        <family val="2"/>
      </rPr>
      <t>rockfill embankment</t>
    </r>
    <r>
      <rPr>
        <sz val="14"/>
        <rFont val="Calibri"/>
        <family val="2"/>
      </rPr>
      <t xml:space="preserve"> with 300 mm down graded stones</t>
    </r>
    <r>
      <rPr>
        <sz val="14"/>
        <rFont val="Arial"/>
        <family val="2"/>
      </rPr>
      <t xml:space="preserve"> and</t>
    </r>
  </si>
  <si>
    <r>
      <t xml:space="preserve">quarry spalls from </t>
    </r>
    <r>
      <rPr>
        <sz val="14"/>
        <rFont val="Calibri"/>
        <family val="2"/>
      </rPr>
      <t>approved source</t>
    </r>
    <r>
      <rPr>
        <sz val="14"/>
        <rFont val="Arial"/>
        <family val="2"/>
      </rPr>
      <t xml:space="preserve"> including cost of all materials, machinery, labour, spreading</t>
    </r>
  </si>
  <si>
    <r>
      <t>etc., complete</t>
    </r>
    <r>
      <rPr>
        <b/>
        <sz val="14"/>
        <rFont val="Arial"/>
        <family val="2"/>
      </rPr>
      <t xml:space="preserve"> with initial </t>
    </r>
    <r>
      <rPr>
        <b/>
        <sz val="14"/>
        <rFont val="Calibri"/>
        <family val="2"/>
      </rPr>
      <t>lead upto 1 km and all lifts.</t>
    </r>
  </si>
  <si>
    <r>
      <rPr>
        <b/>
        <sz val="14"/>
        <rFont val="Arial"/>
        <family val="2"/>
      </rPr>
      <t xml:space="preserve">Providing and constructing </t>
    </r>
    <r>
      <rPr>
        <b/>
        <sz val="14"/>
        <rFont val="Calibri"/>
        <family val="2"/>
      </rPr>
      <t>dry rubble rock-toe</t>
    </r>
    <r>
      <rPr>
        <sz val="14"/>
        <rFont val="Calibri"/>
        <family val="2"/>
      </rPr>
      <t xml:space="preserve"> using rubble and stone chips from</t>
    </r>
  </si>
  <si>
    <r>
      <t xml:space="preserve">and stone chips, finishing top and sides to required slopes etc., complete </t>
    </r>
    <r>
      <rPr>
        <b/>
        <sz val="14"/>
        <rFont val="Arial"/>
        <family val="2"/>
      </rPr>
      <t xml:space="preserve">with initial </t>
    </r>
    <r>
      <rPr>
        <b/>
        <sz val="14"/>
        <rFont val="Calibri"/>
        <family val="2"/>
      </rPr>
      <t>lead upto</t>
    </r>
  </si>
  <si>
    <r>
      <t xml:space="preserve">Providing and </t>
    </r>
    <r>
      <rPr>
        <b/>
        <sz val="14"/>
        <rFont val="Arial"/>
        <family val="2"/>
      </rPr>
      <t xml:space="preserve">constructing </t>
    </r>
    <r>
      <rPr>
        <b/>
        <sz val="14"/>
        <rFont val="Calibri"/>
        <family val="2"/>
      </rPr>
      <t>dry rubble rock-toe</t>
    </r>
    <r>
      <rPr>
        <sz val="14"/>
        <rFont val="Calibri"/>
        <family val="2"/>
      </rPr>
      <t xml:space="preserve"> with rubble and stone chips from </t>
    </r>
    <r>
      <rPr>
        <b/>
        <sz val="14"/>
        <rFont val="Calibri"/>
        <family val="2"/>
      </rPr>
      <t>dump</t>
    </r>
  </si>
  <si>
    <r>
      <rPr>
        <b/>
        <sz val="14"/>
        <rFont val="Arial"/>
        <family val="2"/>
      </rPr>
      <t xml:space="preserve">yard (Spoil Bank) </t>
    </r>
    <r>
      <rPr>
        <sz val="14"/>
        <rFont val="Arial"/>
        <family val="2"/>
      </rPr>
      <t>including cost of all materials, machinery, labour, hand packing rubble and stone chips,</t>
    </r>
  </si>
  <si>
    <r>
      <t xml:space="preserve">finishing top and sides to required slopes etc., complete </t>
    </r>
    <r>
      <rPr>
        <b/>
        <sz val="14"/>
        <rFont val="Arial"/>
        <family val="2"/>
      </rPr>
      <t>with initial</t>
    </r>
    <r>
      <rPr>
        <b/>
        <sz val="14"/>
        <rFont val="Calibri"/>
        <family val="2"/>
      </rPr>
      <t xml:space="preserve"> lead upto 1 km and all</t>
    </r>
  </si>
  <si>
    <r>
      <t xml:space="preserve">Providing and </t>
    </r>
    <r>
      <rPr>
        <b/>
        <sz val="14"/>
        <rFont val="Arial"/>
        <family val="2"/>
      </rPr>
      <t xml:space="preserve">laying 30 cm diameter </t>
    </r>
    <r>
      <rPr>
        <b/>
        <sz val="14"/>
        <rFont val="Calibri"/>
        <family val="2"/>
      </rPr>
      <t>open jointed hume pipes with collars in rock-toe</t>
    </r>
    <r>
      <rPr>
        <sz val="14"/>
        <rFont val="Arial"/>
        <family val="2"/>
      </rPr>
      <t xml:space="preserve"> for</t>
    </r>
  </si>
  <si>
    <r>
      <t xml:space="preserve">drainage including cost of all materials, machinery, labour etc., complete </t>
    </r>
    <r>
      <rPr>
        <b/>
        <sz val="14"/>
        <rFont val="Arial"/>
        <family val="2"/>
      </rPr>
      <t>with</t>
    </r>
    <r>
      <rPr>
        <b/>
        <sz val="14"/>
        <rFont val="Calibri"/>
        <family val="2"/>
      </rPr>
      <t xml:space="preserve"> lead upto 1 km</t>
    </r>
  </si>
  <si>
    <r>
      <t xml:space="preserve">Providing and </t>
    </r>
    <r>
      <rPr>
        <b/>
        <sz val="14"/>
        <rFont val="Arial"/>
        <family val="2"/>
      </rPr>
      <t xml:space="preserve">constructing 1.20 m internal diameter and average 3 m height </t>
    </r>
    <r>
      <rPr>
        <b/>
        <sz val="14"/>
        <rFont val="Calibri"/>
        <family val="2"/>
      </rPr>
      <t>RCC manhole</t>
    </r>
    <r>
      <rPr>
        <sz val="14"/>
        <rFont val="Arial"/>
        <family val="2"/>
      </rPr>
      <t xml:space="preserve"> with</t>
    </r>
  </si>
  <si>
    <r>
      <t xml:space="preserve">60 cm dia. top cover in </t>
    </r>
    <r>
      <rPr>
        <b/>
        <sz val="14"/>
        <rFont val="Calibri"/>
        <family val="2"/>
      </rPr>
      <t>M-15</t>
    </r>
    <r>
      <rPr>
        <sz val="14"/>
        <rFont val="Arial"/>
        <family val="2"/>
      </rPr>
      <t xml:space="preserve"> grade cement concrete using </t>
    </r>
    <r>
      <rPr>
        <b/>
        <sz val="14"/>
        <rFont val="Arial"/>
        <family val="2"/>
      </rPr>
      <t>20 mm down graded</t>
    </r>
    <r>
      <rPr>
        <sz val="14"/>
        <rFont val="Arial"/>
        <family val="2"/>
      </rPr>
      <t>, clean, hard</t>
    </r>
  </si>
  <si>
    <r>
      <t xml:space="preserve">with </t>
    </r>
    <r>
      <rPr>
        <b/>
        <sz val="14"/>
        <rFont val="Calibri"/>
        <family val="2"/>
      </rPr>
      <t>lead upto 1 km and all lifts.</t>
    </r>
  </si>
  <si>
    <r>
      <t xml:space="preserve">Providing and </t>
    </r>
    <r>
      <rPr>
        <b/>
        <sz val="14"/>
        <rFont val="Arial"/>
        <family val="2"/>
      </rPr>
      <t xml:space="preserve">constructing </t>
    </r>
    <r>
      <rPr>
        <b/>
        <sz val="14"/>
        <rFont val="Calibri"/>
        <family val="2"/>
      </rPr>
      <t>longitudinal and cross graded filter drains</t>
    </r>
    <r>
      <rPr>
        <sz val="14"/>
        <rFont val="Arial"/>
        <family val="2"/>
      </rPr>
      <t xml:space="preserve"> using sand and 80-20</t>
    </r>
  </si>
  <si>
    <r>
      <t xml:space="preserve">compaction etc. complete </t>
    </r>
    <r>
      <rPr>
        <b/>
        <sz val="14"/>
        <rFont val="Arial"/>
        <family val="2"/>
      </rPr>
      <t xml:space="preserve">with </t>
    </r>
    <r>
      <rPr>
        <b/>
        <sz val="14"/>
        <rFont val="Calibri"/>
        <family val="2"/>
      </rPr>
      <t>initial lead upto 50 m and all lifts.</t>
    </r>
  </si>
  <si>
    <r>
      <t xml:space="preserve">Providing and </t>
    </r>
    <r>
      <rPr>
        <b/>
        <sz val="14"/>
        <rFont val="Arial"/>
        <family val="2"/>
      </rPr>
      <t xml:space="preserve">constructing 1.40 m thick </t>
    </r>
    <r>
      <rPr>
        <b/>
        <sz val="14"/>
        <rFont val="Calibri"/>
        <family val="2"/>
      </rPr>
      <t>vertical or inclined graded filter</t>
    </r>
    <r>
      <rPr>
        <b/>
        <sz val="14"/>
        <rFont val="Arial"/>
        <family val="2"/>
      </rPr>
      <t xml:space="preserve"> media</t>
    </r>
    <r>
      <rPr>
        <sz val="14"/>
        <rFont val="Arial"/>
        <family val="2"/>
      </rPr>
      <t xml:space="preserve"> consisting of</t>
    </r>
  </si>
  <si>
    <r>
      <t>compaction etc.,</t>
    </r>
    <r>
      <rPr>
        <b/>
        <sz val="14"/>
        <rFont val="Arial"/>
        <family val="2"/>
      </rPr>
      <t xml:space="preserve"> complete with initial </t>
    </r>
    <r>
      <rPr>
        <b/>
        <sz val="14"/>
        <rFont val="Calibri"/>
        <family val="2"/>
      </rPr>
      <t>lead upto 50 m and all lifts.</t>
    </r>
  </si>
  <si>
    <r>
      <rPr>
        <b/>
        <sz val="14"/>
        <rFont val="Arial"/>
        <family val="2"/>
      </rPr>
      <t xml:space="preserve">Providing and constructing graded </t>
    </r>
    <r>
      <rPr>
        <b/>
        <sz val="14"/>
        <rFont val="Calibri"/>
        <family val="2"/>
      </rPr>
      <t>filter media below and behind rock-toe</t>
    </r>
    <r>
      <rPr>
        <sz val="14"/>
        <rFont val="Arial"/>
        <family val="2"/>
      </rPr>
      <t xml:space="preserve"> consisting of</t>
    </r>
  </si>
  <si>
    <r>
      <t xml:space="preserve">machinery, laying to required slope, compaction etc., complete </t>
    </r>
    <r>
      <rPr>
        <b/>
        <sz val="14"/>
        <rFont val="Arial"/>
        <family val="2"/>
      </rPr>
      <t xml:space="preserve">with initial </t>
    </r>
    <r>
      <rPr>
        <b/>
        <sz val="14"/>
        <rFont val="Calibri"/>
        <family val="2"/>
      </rPr>
      <t>lead upto 50 m</t>
    </r>
    <r>
      <rPr>
        <b/>
        <sz val="14"/>
        <rFont val="Arial"/>
        <family val="2"/>
      </rPr>
      <t xml:space="preserve"> </t>
    </r>
    <r>
      <rPr>
        <b/>
        <sz val="14"/>
        <rFont val="Calibri"/>
        <family val="2"/>
      </rPr>
      <t>and</t>
    </r>
  </si>
  <si>
    <r>
      <t xml:space="preserve">Providing and </t>
    </r>
    <r>
      <rPr>
        <b/>
        <sz val="14"/>
        <rFont val="Arial"/>
        <family val="2"/>
      </rPr>
      <t xml:space="preserve">constructing graded </t>
    </r>
    <r>
      <rPr>
        <b/>
        <sz val="14"/>
        <rFont val="Calibri"/>
        <family val="2"/>
      </rPr>
      <t>filter media below and behind rock-toe</t>
    </r>
    <r>
      <rPr>
        <sz val="14"/>
        <rFont val="Arial"/>
        <family val="2"/>
      </rPr>
      <t xml:space="preserve"> consisting of</t>
    </r>
  </si>
  <si>
    <r>
      <t xml:space="preserve">Providing and </t>
    </r>
    <r>
      <rPr>
        <b/>
        <sz val="14"/>
        <rFont val="Arial"/>
        <family val="2"/>
      </rPr>
      <t xml:space="preserve">laying </t>
    </r>
    <r>
      <rPr>
        <b/>
        <sz val="14"/>
        <rFont val="Calibri"/>
        <family val="2"/>
      </rPr>
      <t>filter media consisting of 2 layers of</t>
    </r>
    <r>
      <rPr>
        <b/>
        <sz val="14"/>
        <rFont val="Arial"/>
        <family val="2"/>
      </rPr>
      <t xml:space="preserve"> 250 gsm poly-propeline</t>
    </r>
    <r>
      <rPr>
        <sz val="14"/>
        <rFont val="Arial"/>
        <family val="2"/>
      </rPr>
      <t xml:space="preserve"> non-woven</t>
    </r>
  </si>
  <si>
    <r>
      <t xml:space="preserve">filter fabric and 400 mm thick </t>
    </r>
    <r>
      <rPr>
        <sz val="14"/>
        <rFont val="Calibri"/>
        <family val="2"/>
      </rPr>
      <t>20 mm down graded coarse aggregate</t>
    </r>
    <r>
      <rPr>
        <sz val="14"/>
        <rFont val="Arial"/>
        <family val="2"/>
      </rPr>
      <t xml:space="preserve"> for vertical / inclined</t>
    </r>
  </si>
  <si>
    <r>
      <t xml:space="preserve">etc., complete </t>
    </r>
    <r>
      <rPr>
        <b/>
        <sz val="14"/>
        <rFont val="Arial"/>
        <family val="2"/>
      </rPr>
      <t xml:space="preserve">with </t>
    </r>
    <r>
      <rPr>
        <b/>
        <sz val="14"/>
        <rFont val="Calibri"/>
        <family val="2"/>
      </rPr>
      <t>lead upto 50 m for aggregate and all leads for fabric and all lifts.</t>
    </r>
  </si>
  <si>
    <r>
      <t xml:space="preserve">Providing and </t>
    </r>
    <r>
      <rPr>
        <b/>
        <sz val="14"/>
        <rFont val="Arial"/>
        <family val="2"/>
      </rPr>
      <t xml:space="preserve">constructing 45 cm thick </t>
    </r>
    <r>
      <rPr>
        <b/>
        <sz val="14"/>
        <rFont val="Calibri"/>
        <family val="2"/>
      </rPr>
      <t>chimney filter</t>
    </r>
    <r>
      <rPr>
        <sz val="14"/>
        <rFont val="Arial"/>
        <family val="2"/>
      </rPr>
      <t xml:space="preserve"> using clean approved sand satisfying</t>
    </r>
  </si>
  <si>
    <r>
      <t xml:space="preserve">Providing and </t>
    </r>
    <r>
      <rPr>
        <b/>
        <sz val="14"/>
        <rFont val="Arial"/>
        <family val="2"/>
      </rPr>
      <t>constructing 90 cm thick transition cum filter media behind rockfill</t>
    </r>
    <r>
      <rPr>
        <sz val="14"/>
        <rFont val="Arial"/>
        <family val="2"/>
      </rPr>
      <t xml:space="preserve"> using</t>
    </r>
  </si>
  <si>
    <r>
      <t xml:space="preserve">Providing and </t>
    </r>
    <r>
      <rPr>
        <b/>
        <sz val="14"/>
        <rFont val="Arial"/>
        <family val="2"/>
      </rPr>
      <t>constructing 60 cm thick hand packed rough stone revetment</t>
    </r>
    <r>
      <rPr>
        <sz val="14"/>
        <rFont val="Arial"/>
        <family val="2"/>
      </rPr>
      <t xml:space="preserve"> with 65 to</t>
    </r>
  </si>
  <si>
    <r>
      <t xml:space="preserve">with chips, finishing etc. complete </t>
    </r>
    <r>
      <rPr>
        <b/>
        <sz val="14"/>
        <rFont val="Arial"/>
        <family val="2"/>
      </rPr>
      <t>with initial lead upto 50 m and all lifts.</t>
    </r>
  </si>
  <si>
    <r>
      <t xml:space="preserve">Providing and </t>
    </r>
    <r>
      <rPr>
        <b/>
        <sz val="14"/>
        <rFont val="Arial"/>
        <family val="2"/>
      </rPr>
      <t>constructing 60 cm thick hand packed rough stone revetment</t>
    </r>
    <r>
      <rPr>
        <sz val="14"/>
        <rFont val="Arial"/>
        <family val="2"/>
      </rPr>
      <t xml:space="preserve"> with 65 to 75</t>
    </r>
  </si>
  <si>
    <r>
      <t xml:space="preserve">Providing and </t>
    </r>
    <r>
      <rPr>
        <b/>
        <sz val="14"/>
        <rFont val="Arial"/>
        <family val="2"/>
      </rPr>
      <t>constructing 60 cm thick hand packed rough stone riprap over a backing of</t>
    </r>
  </si>
  <si>
    <r>
      <rPr>
        <b/>
        <sz val="14"/>
        <rFont val="Arial"/>
        <family val="2"/>
      </rPr>
      <t>45 cm thick graded filter media</t>
    </r>
    <r>
      <rPr>
        <sz val="14"/>
        <rFont val="Arial"/>
        <family val="2"/>
      </rPr>
      <t xml:space="preserve"> consisting of sand, 10 mm and 40 mm size graded approved</t>
    </r>
  </si>
  <si>
    <r>
      <t xml:space="preserve">labour, laying to required slopes, wedging with stone chips etc., complete </t>
    </r>
    <r>
      <rPr>
        <b/>
        <sz val="14"/>
        <rFont val="Arial"/>
        <family val="2"/>
      </rPr>
      <t>with initial lead upto</t>
    </r>
  </si>
  <si>
    <r>
      <t xml:space="preserve">Providing and </t>
    </r>
    <r>
      <rPr>
        <b/>
        <sz val="14"/>
        <rFont val="Arial"/>
        <family val="2"/>
      </rPr>
      <t>constructing 75 cm thick hand packed rough stone riprap</t>
    </r>
    <r>
      <rPr>
        <sz val="14"/>
        <rFont val="Arial"/>
        <family val="2"/>
      </rPr>
      <t xml:space="preserve"> over a backing of</t>
    </r>
  </si>
  <si>
    <r>
      <t xml:space="preserve">laying to required slopes, wedging with stone chips, etc., complete </t>
    </r>
    <r>
      <rPr>
        <b/>
        <sz val="14"/>
        <rFont val="Arial"/>
        <family val="2"/>
      </rPr>
      <t>with initial lead upto 50 m</t>
    </r>
  </si>
  <si>
    <r>
      <t xml:space="preserve">Providing and </t>
    </r>
    <r>
      <rPr>
        <b/>
        <sz val="14"/>
        <rFont val="Arial"/>
        <family val="2"/>
      </rPr>
      <t>constructing 90 cm thick hand packed rough stone riprap</t>
    </r>
    <r>
      <rPr>
        <sz val="14"/>
        <rFont val="Arial"/>
        <family val="2"/>
      </rPr>
      <t xml:space="preserve"> </t>
    </r>
    <r>
      <rPr>
        <b/>
        <sz val="14"/>
        <rFont val="Arial"/>
        <family val="2"/>
      </rPr>
      <t>over a backing of</t>
    </r>
  </si>
  <si>
    <r>
      <t xml:space="preserve">labour, laying to required slopes, wedging with stone chips etc., </t>
    </r>
    <r>
      <rPr>
        <b/>
        <sz val="14"/>
        <rFont val="Arial"/>
        <family val="2"/>
      </rPr>
      <t>complete with initial lead upto</t>
    </r>
  </si>
  <si>
    <r>
      <t xml:space="preserve">Providing and </t>
    </r>
    <r>
      <rPr>
        <b/>
        <sz val="14"/>
        <rFont val="Arial"/>
        <family val="2"/>
      </rPr>
      <t>laying Hariyala or other approved quality turfing sods</t>
    </r>
    <r>
      <rPr>
        <sz val="14"/>
        <rFont val="Arial"/>
        <family val="2"/>
      </rPr>
      <t xml:space="preserve"> for the slopes of earthen</t>
    </r>
  </si>
  <si>
    <t>Synthetic adhesive ( Resin + Hardener)</t>
  </si>
  <si>
    <r>
      <rPr>
        <b/>
        <sz val="14"/>
        <rFont val="Arial"/>
        <family val="2"/>
      </rPr>
      <t>Excavation for adit by tunnelling methods in all types of rock</t>
    </r>
    <r>
      <rPr>
        <sz val="14"/>
        <rFont val="Arial"/>
        <family val="2"/>
      </rPr>
      <t xml:space="preserve"> including cost of all materials,</t>
    </r>
  </si>
  <si>
    <r>
      <t xml:space="preserve">operations etc., complete </t>
    </r>
    <r>
      <rPr>
        <b/>
        <sz val="14"/>
        <rFont val="Arial"/>
        <family val="2"/>
      </rPr>
      <t xml:space="preserve">with initial </t>
    </r>
    <r>
      <rPr>
        <b/>
        <sz val="14"/>
        <rFont val="Calibri"/>
        <family val="2"/>
      </rPr>
      <t>lead upto 1km and all lifts.</t>
    </r>
  </si>
  <si>
    <r>
      <rPr>
        <b/>
        <sz val="14"/>
        <rFont val="Arial"/>
        <family val="2"/>
      </rPr>
      <t xml:space="preserve">Excavation for </t>
    </r>
    <r>
      <rPr>
        <b/>
        <sz val="14"/>
        <rFont val="Calibri"/>
        <family val="2"/>
      </rPr>
      <t>vertical / inclined shaft</t>
    </r>
    <r>
      <rPr>
        <b/>
        <sz val="14"/>
        <rFont val="Arial"/>
        <family val="2"/>
      </rPr>
      <t xml:space="preserve"> in all types of soft / hard rock</t>
    </r>
    <r>
      <rPr>
        <sz val="14"/>
        <rFont val="Arial"/>
        <family val="2"/>
      </rPr>
      <t xml:space="preserve"> including cost of all</t>
    </r>
  </si>
  <si>
    <r>
      <t xml:space="preserve">all other ancillary operations etc., complete </t>
    </r>
    <r>
      <rPr>
        <b/>
        <sz val="14"/>
        <rFont val="Arial"/>
        <family val="2"/>
      </rPr>
      <t xml:space="preserve">with initial </t>
    </r>
    <r>
      <rPr>
        <b/>
        <sz val="14"/>
        <rFont val="Calibri"/>
        <family val="2"/>
      </rPr>
      <t>lead upto 1 km and all lifts.</t>
    </r>
  </si>
  <si>
    <r>
      <rPr>
        <b/>
        <sz val="14"/>
        <rFont val="Arial"/>
        <family val="2"/>
      </rPr>
      <t>Excavation for tunnel by tunnelling methods in rock not requiring supports</t>
    </r>
    <r>
      <rPr>
        <sz val="14"/>
        <rFont val="Arial"/>
        <family val="2"/>
      </rPr>
      <t xml:space="preserve"> including cost</t>
    </r>
  </si>
  <si>
    <r>
      <t xml:space="preserve">dump area and all other ancillary operations etc., complete </t>
    </r>
    <r>
      <rPr>
        <b/>
        <sz val="14"/>
        <rFont val="Arial"/>
        <family val="2"/>
      </rPr>
      <t xml:space="preserve">with initial </t>
    </r>
    <r>
      <rPr>
        <b/>
        <sz val="14"/>
        <rFont val="Calibri"/>
        <family val="2"/>
      </rPr>
      <t>lead upto 1 km and</t>
    </r>
  </si>
  <si>
    <r>
      <rPr>
        <b/>
        <sz val="14"/>
        <rFont val="Arial"/>
        <family val="2"/>
      </rPr>
      <t xml:space="preserve">soil / rock strata </t>
    </r>
    <r>
      <rPr>
        <b/>
        <sz val="14"/>
        <rFont val="Calibri"/>
        <family val="2"/>
      </rPr>
      <t>requiring supports</t>
    </r>
    <r>
      <rPr>
        <b/>
        <sz val="14"/>
        <rFont val="Arial"/>
        <family val="2"/>
      </rPr>
      <t xml:space="preserve"> ( excluding cost of providing supports )</t>
    </r>
    <r>
      <rPr>
        <sz val="14"/>
        <rFont val="Arial"/>
        <family val="2"/>
      </rPr>
      <t xml:space="preserve"> including cost of</t>
    </r>
  </si>
  <si>
    <r>
      <t xml:space="preserve">other ancillary operations etc., complete </t>
    </r>
    <r>
      <rPr>
        <b/>
        <sz val="14"/>
        <rFont val="Arial"/>
        <family val="2"/>
      </rPr>
      <t>with initial</t>
    </r>
    <r>
      <rPr>
        <b/>
        <sz val="14"/>
        <rFont val="Calibri"/>
        <family val="2"/>
      </rPr>
      <t xml:space="preserve"> lead upto 1 km and all lifts.</t>
    </r>
  </si>
  <si>
    <r>
      <t xml:space="preserve">for supports in all types of soil / rock strata </t>
    </r>
    <r>
      <rPr>
        <b/>
        <sz val="14"/>
        <rFont val="Calibri"/>
        <family val="2"/>
      </rPr>
      <t>requiring supports</t>
    </r>
    <r>
      <rPr>
        <b/>
        <sz val="14"/>
        <rFont val="Arial"/>
        <family val="2"/>
      </rPr>
      <t xml:space="preserve"> ( excluding cost of providing</t>
    </r>
  </si>
  <si>
    <r>
      <rPr>
        <b/>
        <sz val="14"/>
        <rFont val="Arial"/>
        <family val="2"/>
      </rPr>
      <t>supports ) for roof</t>
    </r>
    <r>
      <rPr>
        <sz val="14"/>
        <rFont val="Arial"/>
        <family val="2"/>
      </rPr>
      <t xml:space="preserve"> before benching including cost of all other materials, machinery, labour,</t>
    </r>
  </si>
  <si>
    <r>
      <t>initial</t>
    </r>
    <r>
      <rPr>
        <b/>
        <sz val="14"/>
        <rFont val="Calibri"/>
        <family val="2"/>
      </rPr>
      <t xml:space="preserve"> lead upto 1 km and all lifts.</t>
    </r>
  </si>
  <si>
    <r>
      <t xml:space="preserve">increase the basic rates for items IRR-TAW-1-3, IRR-TAW-1-4 &amp; IRR-TAW-1-5 by </t>
    </r>
    <r>
      <rPr>
        <sz val="14"/>
        <rFont val="Calibri"/>
        <family val="2"/>
      </rPr>
      <t>8 percent</t>
    </r>
    <r>
      <rPr>
        <sz val="14"/>
        <rFont val="Arial"/>
        <family val="2"/>
      </rPr>
      <t>.</t>
    </r>
  </si>
  <si>
    <r>
      <rPr>
        <b/>
        <sz val="14"/>
        <rFont val="Arial"/>
        <family val="2"/>
      </rPr>
      <t>Removing and hauling muck</t>
    </r>
    <r>
      <rPr>
        <sz val="14"/>
        <rFont val="Arial"/>
        <family val="2"/>
      </rPr>
      <t xml:space="preserve"> overfallen due to natural causes such as geological faults</t>
    </r>
  </si>
  <si>
    <r>
      <t xml:space="preserve">labour, ventilation, drainage, lighting and all other ancillary operations etc., complete </t>
    </r>
    <r>
      <rPr>
        <b/>
        <sz val="14"/>
        <rFont val="Arial"/>
        <family val="2"/>
      </rPr>
      <t>with</t>
    </r>
  </si>
  <si>
    <r>
      <t xml:space="preserve">initial </t>
    </r>
    <r>
      <rPr>
        <b/>
        <sz val="14"/>
        <rFont val="Calibri"/>
        <family val="2"/>
      </rPr>
      <t>lead upto 1 km and all lifts.</t>
    </r>
  </si>
  <si>
    <r>
      <rPr>
        <b/>
        <sz val="14"/>
        <rFont val="Arial"/>
        <family val="2"/>
      </rPr>
      <t>Dewatering tunnel by pumping out water collected by natural drainage inside tunnel</t>
    </r>
    <r>
      <rPr>
        <sz val="14"/>
        <rFont val="Arial"/>
        <family val="2"/>
      </rPr>
      <t xml:space="preserve"> including</t>
    </r>
  </si>
  <si>
    <r>
      <rPr>
        <b/>
        <sz val="14"/>
        <rFont val="Arial"/>
        <family val="2"/>
      </rPr>
      <t xml:space="preserve">Providing 25 mm thick </t>
    </r>
    <r>
      <rPr>
        <b/>
        <sz val="14"/>
        <rFont val="Calibri"/>
        <family val="2"/>
      </rPr>
      <t>guniting to sides and arch</t>
    </r>
    <r>
      <rPr>
        <sz val="14"/>
        <rFont val="Calibri"/>
        <family val="2"/>
      </rPr>
      <t xml:space="preserve"> of tunnel</t>
    </r>
    <r>
      <rPr>
        <sz val="14"/>
        <rFont val="Arial"/>
        <family val="2"/>
      </rPr>
      <t xml:space="preserve"> in </t>
    </r>
    <r>
      <rPr>
        <b/>
        <sz val="14"/>
        <rFont val="Arial"/>
        <family val="2"/>
      </rPr>
      <t>cement mortar 1 : 3</t>
    </r>
    <r>
      <rPr>
        <sz val="14"/>
        <rFont val="Arial"/>
        <family val="2"/>
      </rPr>
      <t xml:space="preserve"> proportion</t>
    </r>
  </si>
  <si>
    <r>
      <t xml:space="preserve">and all other ancillary operations etc., complete </t>
    </r>
    <r>
      <rPr>
        <b/>
        <sz val="14"/>
        <rFont val="Arial"/>
        <family val="2"/>
      </rPr>
      <t xml:space="preserve">with </t>
    </r>
    <r>
      <rPr>
        <b/>
        <sz val="14"/>
        <rFont val="Calibri"/>
        <family val="2"/>
      </rPr>
      <t>lead upto 1 km and all lifts.</t>
    </r>
  </si>
  <si>
    <r>
      <rPr>
        <b/>
        <sz val="14"/>
        <rFont val="Arial"/>
        <family val="2"/>
      </rPr>
      <t>Shortcreting in two layers (each layer+38 mm thickness) for slabs</t>
    </r>
    <r>
      <rPr>
        <sz val="14"/>
        <rFont val="Arial"/>
        <family val="2"/>
      </rPr>
      <t xml:space="preserve"> duly fixing chain weld wire mesh </t>
    </r>
  </si>
  <si>
    <r>
      <t xml:space="preserve">laying concrete with shortcrete machine etc. complete </t>
    </r>
    <r>
      <rPr>
        <b/>
        <sz val="14"/>
        <rFont val="Arial"/>
        <family val="2"/>
      </rPr>
      <t>as per specification and as</t>
    </r>
  </si>
  <si>
    <r>
      <t xml:space="preserve">Providing and </t>
    </r>
    <r>
      <rPr>
        <b/>
        <sz val="14"/>
        <rFont val="Arial"/>
        <family val="2"/>
      </rPr>
      <t xml:space="preserve">fixing </t>
    </r>
    <r>
      <rPr>
        <b/>
        <sz val="14"/>
        <rFont val="Calibri"/>
        <family val="2"/>
      </rPr>
      <t>25 mm diameter steel rock bolts with mechanical</t>
    </r>
    <r>
      <rPr>
        <b/>
        <sz val="14"/>
        <rFont val="Arial"/>
        <family val="2"/>
      </rPr>
      <t xml:space="preserve"> / wedge type</t>
    </r>
  </si>
  <si>
    <r>
      <rPr>
        <b/>
        <sz val="14"/>
        <rFont val="Arial"/>
        <family val="2"/>
      </rPr>
      <t>anchorage</t>
    </r>
    <r>
      <rPr>
        <sz val="14"/>
        <rFont val="Arial"/>
        <family val="2"/>
      </rPr>
      <t xml:space="preserve"> including drilling 35 mm dia holes, providing 15 cm long 20 mm thick steel tapered</t>
    </r>
  </si>
  <si>
    <r>
      <t xml:space="preserve">etc., complete </t>
    </r>
    <r>
      <rPr>
        <b/>
        <sz val="14"/>
        <rFont val="Arial"/>
        <family val="2"/>
      </rPr>
      <t xml:space="preserve">with </t>
    </r>
    <r>
      <rPr>
        <b/>
        <sz val="14"/>
        <rFont val="Calibri"/>
        <family val="2"/>
      </rPr>
      <t>lead upto 1 km and all lifts.</t>
    </r>
  </si>
  <si>
    <r>
      <t xml:space="preserve">Providing and </t>
    </r>
    <r>
      <rPr>
        <b/>
        <sz val="14"/>
        <rFont val="Arial"/>
        <family val="2"/>
      </rPr>
      <t xml:space="preserve">fixing </t>
    </r>
    <r>
      <rPr>
        <b/>
        <sz val="14"/>
        <rFont val="Calibri"/>
        <family val="2"/>
      </rPr>
      <t>25 mm diameter steel rock bolts with</t>
    </r>
    <r>
      <rPr>
        <b/>
        <sz val="14"/>
        <rFont val="Arial"/>
        <family val="2"/>
      </rPr>
      <t xml:space="preserve"> resin bond </t>
    </r>
    <r>
      <rPr>
        <b/>
        <sz val="14"/>
        <rFont val="Calibri"/>
        <family val="2"/>
      </rPr>
      <t>cement capsule</t>
    </r>
  </si>
  <si>
    <r>
      <rPr>
        <b/>
        <sz val="14"/>
        <rFont val="Arial"/>
        <family val="2"/>
      </rPr>
      <t>anchorage</t>
    </r>
    <r>
      <rPr>
        <sz val="14"/>
        <rFont val="Arial"/>
        <family val="2"/>
      </rPr>
      <t xml:space="preserve"> including drilling 35 mm dia holes, inserting grout capsule, driving bolt,fixing 10 mm</t>
    </r>
  </si>
  <si>
    <r>
      <t xml:space="preserve">ancillary operations etc., </t>
    </r>
    <r>
      <rPr>
        <b/>
        <sz val="14"/>
        <rFont val="Arial"/>
        <family val="2"/>
      </rPr>
      <t xml:space="preserve">complete with </t>
    </r>
    <r>
      <rPr>
        <b/>
        <sz val="14"/>
        <rFont val="Calibri"/>
        <family val="2"/>
      </rPr>
      <t>lead upto 1 km and all lifts.</t>
    </r>
  </si>
  <si>
    <r>
      <t xml:space="preserve">Providing, fabricating and </t>
    </r>
    <r>
      <rPr>
        <b/>
        <sz val="14"/>
        <rFont val="Arial"/>
        <family val="2"/>
      </rPr>
      <t xml:space="preserve">fixing in position </t>
    </r>
    <r>
      <rPr>
        <b/>
        <sz val="14"/>
        <rFont val="Calibri"/>
        <family val="2"/>
      </rPr>
      <t>permanent structural steel supports</t>
    </r>
    <r>
      <rPr>
        <b/>
        <sz val="14"/>
        <rFont val="Arial"/>
        <family val="2"/>
      </rPr>
      <t xml:space="preserve"> as per details</t>
    </r>
  </si>
  <si>
    <r>
      <t xml:space="preserve">ventilation, drainage and all other ancillary operations etc., complete </t>
    </r>
    <r>
      <rPr>
        <b/>
        <sz val="14"/>
        <rFont val="Arial"/>
        <family val="2"/>
      </rPr>
      <t xml:space="preserve">with initial </t>
    </r>
    <r>
      <rPr>
        <b/>
        <sz val="14"/>
        <rFont val="Calibri"/>
        <family val="2"/>
      </rPr>
      <t>lead upto</t>
    </r>
  </si>
  <si>
    <r>
      <t xml:space="preserve">Providing, fabricating and </t>
    </r>
    <r>
      <rPr>
        <b/>
        <sz val="14"/>
        <rFont val="Arial"/>
        <family val="2"/>
      </rPr>
      <t xml:space="preserve">fixing in position </t>
    </r>
    <r>
      <rPr>
        <b/>
        <sz val="14"/>
        <rFont val="Calibri"/>
        <family val="2"/>
      </rPr>
      <t>temperary structural steel supports</t>
    </r>
    <r>
      <rPr>
        <b/>
        <sz val="14"/>
        <rFont val="Arial"/>
        <family val="2"/>
      </rPr>
      <t xml:space="preserve"> as per details</t>
    </r>
  </si>
  <si>
    <r>
      <t>operations etc.,complete</t>
    </r>
    <r>
      <rPr>
        <b/>
        <sz val="14"/>
        <rFont val="Arial"/>
        <family val="2"/>
      </rPr>
      <t xml:space="preserve"> with initial </t>
    </r>
    <r>
      <rPr>
        <b/>
        <sz val="14"/>
        <rFont val="Calibri"/>
        <family val="2"/>
      </rPr>
      <t>lead upto 1 km and all lifts.</t>
    </r>
  </si>
  <si>
    <r>
      <t xml:space="preserve">ventilation, drainage etc complete with </t>
    </r>
    <r>
      <rPr>
        <sz val="14"/>
        <rFont val="Calibri"/>
        <family val="2"/>
      </rPr>
      <t>all leads and lifts.</t>
    </r>
  </si>
  <si>
    <r>
      <t xml:space="preserve">Providing and </t>
    </r>
    <r>
      <rPr>
        <b/>
        <sz val="14"/>
        <rFont val="Arial"/>
        <family val="2"/>
      </rPr>
      <t xml:space="preserve">constructing </t>
    </r>
    <r>
      <rPr>
        <b/>
        <sz val="14"/>
        <rFont val="Calibri"/>
        <family val="2"/>
      </rPr>
      <t>un-coursed rubble stone masonry</t>
    </r>
    <r>
      <rPr>
        <b/>
        <sz val="14"/>
        <rFont val="Arial"/>
        <family val="2"/>
      </rPr>
      <t xml:space="preserve"> with approved stones</t>
    </r>
    <r>
      <rPr>
        <sz val="14"/>
        <rFont val="Arial"/>
        <family val="2"/>
      </rPr>
      <t xml:space="preserve"> from</t>
    </r>
  </si>
  <si>
    <r>
      <rPr>
        <b/>
        <sz val="14"/>
        <rFont val="Arial"/>
        <family val="2"/>
      </rPr>
      <t>tunnel excavated muck</t>
    </r>
    <r>
      <rPr>
        <sz val="14"/>
        <rFont val="Arial"/>
        <family val="2"/>
      </rPr>
      <t xml:space="preserve"> </t>
    </r>
    <r>
      <rPr>
        <sz val="14"/>
        <rFont val="Calibri"/>
        <family val="2"/>
      </rPr>
      <t xml:space="preserve">in </t>
    </r>
    <r>
      <rPr>
        <b/>
        <sz val="14"/>
        <rFont val="Calibri"/>
        <family val="2"/>
      </rPr>
      <t>cement mortar 1 : 6</t>
    </r>
    <r>
      <rPr>
        <sz val="14"/>
        <rFont val="Arial"/>
        <family val="2"/>
      </rPr>
      <t xml:space="preserve"> proportion for backfilling over cuts / slips on</t>
    </r>
  </si>
  <si>
    <r>
      <t xml:space="preserve">complete </t>
    </r>
    <r>
      <rPr>
        <b/>
        <sz val="14"/>
        <rFont val="Arial"/>
        <family val="2"/>
      </rPr>
      <t xml:space="preserve">with </t>
    </r>
    <r>
      <rPr>
        <b/>
        <sz val="14"/>
        <rFont val="Calibri"/>
        <family val="2"/>
      </rPr>
      <t>lead upto 1 km and all lifts.</t>
    </r>
  </si>
  <si>
    <r>
      <t xml:space="preserve">Providing, fabricating and </t>
    </r>
    <r>
      <rPr>
        <b/>
        <sz val="14"/>
        <rFont val="Arial"/>
        <family val="2"/>
      </rPr>
      <t xml:space="preserve">placing in position </t>
    </r>
    <r>
      <rPr>
        <b/>
        <sz val="14"/>
        <rFont val="Calibri"/>
        <family val="2"/>
      </rPr>
      <t>reinforcement steel</t>
    </r>
    <r>
      <rPr>
        <b/>
        <sz val="14"/>
        <rFont val="Arial"/>
        <family val="2"/>
      </rPr>
      <t xml:space="preserve"> for tunnel RCC works</t>
    </r>
  </si>
  <si>
    <r>
      <t xml:space="preserve">machinery, ventilation, lighting, drainage etc.,complete </t>
    </r>
    <r>
      <rPr>
        <b/>
        <sz val="14"/>
        <rFont val="Arial"/>
        <family val="2"/>
      </rPr>
      <t xml:space="preserve">with initial </t>
    </r>
    <r>
      <rPr>
        <b/>
        <sz val="14"/>
        <rFont val="Calibri"/>
        <family val="2"/>
      </rPr>
      <t>lead upto 1 km and all lifts.</t>
    </r>
  </si>
  <si>
    <r>
      <t xml:space="preserve">Providing and laying </t>
    </r>
    <r>
      <rPr>
        <b/>
        <sz val="14"/>
        <rFont val="Arial"/>
        <family val="2"/>
      </rPr>
      <t>insitu vibrated M-10</t>
    </r>
    <r>
      <rPr>
        <sz val="14"/>
        <rFont val="Arial"/>
        <family val="2"/>
      </rPr>
      <t xml:space="preserve"> ( 28 days cube compressive strength not less than</t>
    </r>
  </si>
  <si>
    <r>
      <t xml:space="preserve">10 N / sq mm ) grade cement concrete using </t>
    </r>
    <r>
      <rPr>
        <b/>
        <sz val="14"/>
        <rFont val="Arial"/>
        <family val="2"/>
      </rPr>
      <t>40 mm down size</t>
    </r>
    <r>
      <rPr>
        <sz val="14"/>
        <rFont val="Arial"/>
        <family val="2"/>
      </rPr>
      <t xml:space="preserve"> approved, clean, hard,</t>
    </r>
  </si>
  <si>
    <r>
      <t xml:space="preserve">graded aggregates crushed from tunnel excavated muck </t>
    </r>
    <r>
      <rPr>
        <b/>
        <sz val="14"/>
        <rFont val="Arial"/>
        <family val="2"/>
      </rPr>
      <t>for filling and levelling over-cuts</t>
    </r>
  </si>
  <si>
    <r>
      <rPr>
        <b/>
        <sz val="14"/>
        <rFont val="Arial"/>
        <family val="2"/>
      </rPr>
      <t>in bed due to geological faults etc.,</t>
    </r>
    <r>
      <rPr>
        <sz val="14"/>
        <rFont val="Arial"/>
        <family val="2"/>
      </rPr>
      <t xml:space="preserve"> including cost of all materials, machinery, labour, cleaning</t>
    </r>
  </si>
  <si>
    <r>
      <t xml:space="preserve">ventilation, drainage etc., complete </t>
    </r>
    <r>
      <rPr>
        <b/>
        <sz val="14"/>
        <rFont val="Calibri"/>
        <family val="2"/>
      </rPr>
      <t>with initial lead upto 1 km and all lifts. ( Cement</t>
    </r>
  </si>
  <si>
    <r>
      <t xml:space="preserve">Providing and </t>
    </r>
    <r>
      <rPr>
        <b/>
        <sz val="14"/>
        <rFont val="Arial"/>
        <family val="2"/>
      </rPr>
      <t xml:space="preserve">laying insitu vibrated </t>
    </r>
    <r>
      <rPr>
        <b/>
        <sz val="14"/>
        <rFont val="Calibri"/>
        <family val="2"/>
      </rPr>
      <t>M-20</t>
    </r>
    <r>
      <rPr>
        <sz val="14"/>
        <rFont val="Arial"/>
        <family val="2"/>
      </rPr>
      <t xml:space="preserve"> ( 28 days cube compressive strength not less than</t>
    </r>
  </si>
  <si>
    <r>
      <t xml:space="preserve">20 N / sqmm ) grade </t>
    </r>
    <r>
      <rPr>
        <b/>
        <sz val="14"/>
        <rFont val="Calibri"/>
        <family val="2"/>
      </rPr>
      <t>cement concrete</t>
    </r>
    <r>
      <rPr>
        <b/>
        <sz val="14"/>
        <rFont val="Arial"/>
        <family val="2"/>
      </rPr>
      <t xml:space="preserve"> using </t>
    </r>
    <r>
      <rPr>
        <b/>
        <sz val="14"/>
        <rFont val="Calibri"/>
        <family val="2"/>
      </rPr>
      <t>40 mm</t>
    </r>
    <r>
      <rPr>
        <b/>
        <sz val="14"/>
        <rFont val="Arial"/>
        <family val="2"/>
      </rPr>
      <t xml:space="preserve"> and down size</t>
    </r>
    <r>
      <rPr>
        <sz val="14"/>
        <rFont val="Arial"/>
        <family val="2"/>
      </rPr>
      <t xml:space="preserve"> approved clean, hard,</t>
    </r>
  </si>
  <si>
    <r>
      <t xml:space="preserve">graded </t>
    </r>
    <r>
      <rPr>
        <sz val="14"/>
        <rFont val="Calibri"/>
        <family val="2"/>
      </rPr>
      <t>aggregates</t>
    </r>
    <r>
      <rPr>
        <sz val="14"/>
        <rFont val="Arial"/>
        <family val="2"/>
      </rPr>
      <t xml:space="preserve"> crushed from tunnel muck </t>
    </r>
    <r>
      <rPr>
        <b/>
        <sz val="14"/>
        <rFont val="Calibri"/>
        <family val="2"/>
      </rPr>
      <t>for kerb and bed lining</t>
    </r>
    <r>
      <rPr>
        <sz val="14"/>
        <rFont val="Arial"/>
        <family val="2"/>
      </rPr>
      <t xml:space="preserve"> including cost of all</t>
    </r>
  </si>
  <si>
    <r>
      <t xml:space="preserve">drainage and all other ancillary operations etc., complete </t>
    </r>
    <r>
      <rPr>
        <b/>
        <sz val="14"/>
        <rFont val="Arial"/>
        <family val="2"/>
      </rPr>
      <t xml:space="preserve">with </t>
    </r>
    <r>
      <rPr>
        <b/>
        <sz val="14"/>
        <rFont val="Calibri"/>
        <family val="2"/>
      </rPr>
      <t>lead upto 1 km and all lifts</t>
    </r>
    <r>
      <rPr>
        <b/>
        <sz val="14"/>
        <rFont val="Arial"/>
        <family val="2"/>
      </rPr>
      <t>.</t>
    </r>
  </si>
  <si>
    <r>
      <t xml:space="preserve">Providing and </t>
    </r>
    <r>
      <rPr>
        <b/>
        <sz val="14"/>
        <rFont val="Arial"/>
        <family val="2"/>
      </rPr>
      <t xml:space="preserve">laying insitu vibrated </t>
    </r>
    <r>
      <rPr>
        <b/>
        <sz val="14"/>
        <rFont val="Calibri"/>
        <family val="2"/>
      </rPr>
      <t>M-20</t>
    </r>
    <r>
      <rPr>
        <sz val="14"/>
        <rFont val="Calibri"/>
        <family val="2"/>
      </rPr>
      <t xml:space="preserve"> </t>
    </r>
    <r>
      <rPr>
        <sz val="14"/>
        <rFont val="Arial"/>
        <family val="2"/>
      </rPr>
      <t>( 28 days cube compressive strength not less than</t>
    </r>
  </si>
  <si>
    <r>
      <t xml:space="preserve">20 N / sqmm ) grade </t>
    </r>
    <r>
      <rPr>
        <sz val="14"/>
        <rFont val="Calibri"/>
        <family val="2"/>
      </rPr>
      <t>cement concrete</t>
    </r>
    <r>
      <rPr>
        <sz val="14"/>
        <rFont val="Arial"/>
        <family val="2"/>
      </rPr>
      <t xml:space="preserve"> using </t>
    </r>
    <r>
      <rPr>
        <b/>
        <sz val="14"/>
        <rFont val="Calibri"/>
        <family val="2"/>
      </rPr>
      <t>40 mm</t>
    </r>
    <r>
      <rPr>
        <b/>
        <sz val="14"/>
        <rFont val="Arial"/>
        <family val="2"/>
      </rPr>
      <t xml:space="preserve"> and down size</t>
    </r>
    <r>
      <rPr>
        <sz val="14"/>
        <rFont val="Arial"/>
        <family val="2"/>
      </rPr>
      <t xml:space="preserve"> approved clean, hard,</t>
    </r>
  </si>
  <si>
    <r>
      <t xml:space="preserve">graded </t>
    </r>
    <r>
      <rPr>
        <sz val="14"/>
        <rFont val="Calibri"/>
        <family val="2"/>
      </rPr>
      <t>aggregates</t>
    </r>
    <r>
      <rPr>
        <sz val="14"/>
        <rFont val="Arial"/>
        <family val="2"/>
      </rPr>
      <t xml:space="preserve"> crushed from tunnel muck </t>
    </r>
    <r>
      <rPr>
        <b/>
        <sz val="14"/>
        <rFont val="Calibri"/>
        <family val="2"/>
      </rPr>
      <t>for sides and arch lining</t>
    </r>
    <r>
      <rPr>
        <sz val="14"/>
        <rFont val="Arial"/>
        <family val="2"/>
      </rPr>
      <t xml:space="preserve"> including cost of all</t>
    </r>
  </si>
  <si>
    <r>
      <t xml:space="preserve">drainage and all other ancillary operations etc., complete </t>
    </r>
    <r>
      <rPr>
        <b/>
        <sz val="14"/>
        <rFont val="Arial"/>
        <family val="2"/>
      </rPr>
      <t xml:space="preserve">with </t>
    </r>
    <r>
      <rPr>
        <b/>
        <sz val="14"/>
        <rFont val="Calibri"/>
        <family val="2"/>
      </rPr>
      <t>lead upto 1 km and all lifts.</t>
    </r>
  </si>
  <si>
    <r>
      <rPr>
        <b/>
        <sz val="14"/>
        <rFont val="Arial"/>
        <family val="2"/>
      </rPr>
      <t xml:space="preserve">Drilling 32 mm diameter </t>
    </r>
    <r>
      <rPr>
        <b/>
        <sz val="14"/>
        <rFont val="Calibri"/>
        <family val="2"/>
      </rPr>
      <t>grout holes</t>
    </r>
    <r>
      <rPr>
        <b/>
        <sz val="14"/>
        <rFont val="Arial"/>
        <family val="2"/>
      </rPr>
      <t xml:space="preserve"> in concrete / rock by percussion drilling</t>
    </r>
    <r>
      <rPr>
        <sz val="14"/>
        <rFont val="Arial"/>
        <family val="2"/>
      </rPr>
      <t xml:space="preserve"> using jack</t>
    </r>
  </si>
  <si>
    <r>
      <rPr>
        <b/>
        <sz val="14"/>
        <rFont val="Arial"/>
        <family val="2"/>
      </rPr>
      <t>Grouting cement slurry in grout holes</t>
    </r>
    <r>
      <rPr>
        <sz val="14"/>
        <rFont val="Arial"/>
        <family val="2"/>
      </rPr>
      <t xml:space="preserve"> under specified pressure</t>
    </r>
    <r>
      <rPr>
        <sz val="14"/>
        <rFont val="Calibri"/>
        <family val="2"/>
      </rPr>
      <t xml:space="preserve"> for consolidation / contact</t>
    </r>
  </si>
  <si>
    <r>
      <t xml:space="preserve">ventilation,lighting, drainage and other ancillary operations etc., complete </t>
    </r>
    <r>
      <rPr>
        <b/>
        <sz val="14"/>
        <rFont val="Arial"/>
        <family val="2"/>
      </rPr>
      <t xml:space="preserve">with </t>
    </r>
    <r>
      <rPr>
        <b/>
        <sz val="14"/>
        <rFont val="Calibri"/>
        <family val="2"/>
      </rPr>
      <t>lead upto 1 km</t>
    </r>
  </si>
  <si>
    <r>
      <rPr>
        <b/>
        <sz val="14"/>
        <rFont val="Arial"/>
        <family val="2"/>
      </rPr>
      <t xml:space="preserve">Drilling 75 mm diameter </t>
    </r>
    <r>
      <rPr>
        <b/>
        <sz val="14"/>
        <rFont val="Calibri"/>
        <family val="2"/>
      </rPr>
      <t>drainage holes</t>
    </r>
    <r>
      <rPr>
        <sz val="14"/>
        <rFont val="Arial"/>
        <family val="2"/>
      </rPr>
      <t xml:space="preserve"> vertical or inclined in </t>
    </r>
    <r>
      <rPr>
        <b/>
        <sz val="14"/>
        <rFont val="Arial"/>
        <family val="2"/>
      </rPr>
      <t>rock / concrete</t>
    </r>
    <r>
      <rPr>
        <sz val="14"/>
        <rFont val="Arial"/>
        <family val="2"/>
      </rPr>
      <t xml:space="preserve"> in tunnel by</t>
    </r>
  </si>
  <si>
    <r>
      <t xml:space="preserve">Excavation in </t>
    </r>
    <r>
      <rPr>
        <b/>
        <sz val="14"/>
        <rFont val="Calibri"/>
        <family val="2"/>
      </rPr>
      <t>all kinds of soil</t>
    </r>
    <r>
      <rPr>
        <sz val="14"/>
        <rFont val="Arial"/>
        <family val="2"/>
      </rPr>
      <t xml:space="preserve"> including boulders </t>
    </r>
    <r>
      <rPr>
        <b/>
        <sz val="14"/>
        <rFont val="Calibri"/>
        <family val="2"/>
      </rPr>
      <t>upto 0.3 m</t>
    </r>
    <r>
      <rPr>
        <sz val="14"/>
        <rFont val="Calibri"/>
        <family val="2"/>
      </rPr>
      <t xml:space="preserve"> diameter </t>
    </r>
    <r>
      <rPr>
        <b/>
        <sz val="14"/>
        <rFont val="Calibri"/>
        <family val="2"/>
      </rPr>
      <t>for canal</t>
    </r>
    <r>
      <rPr>
        <sz val="14"/>
        <rFont val="Calibri"/>
        <family val="2"/>
      </rPr>
      <t>,</t>
    </r>
    <r>
      <rPr>
        <sz val="14"/>
        <rFont val="Arial"/>
        <family val="2"/>
      </rPr>
      <t xml:space="preserve"> seating of</t>
    </r>
  </si>
  <si>
    <r>
      <t xml:space="preserve">complete </t>
    </r>
    <r>
      <rPr>
        <b/>
        <sz val="14"/>
        <rFont val="Arial"/>
        <family val="2"/>
      </rPr>
      <t xml:space="preserve">with initial </t>
    </r>
    <r>
      <rPr>
        <b/>
        <sz val="14"/>
        <rFont val="Calibri"/>
        <family val="2"/>
      </rPr>
      <t>lead upto 1 km and all lifts.</t>
    </r>
  </si>
  <si>
    <r>
      <t xml:space="preserve">Excavation in </t>
    </r>
    <r>
      <rPr>
        <b/>
        <sz val="14"/>
        <rFont val="Calibri"/>
        <family val="2"/>
      </rPr>
      <t>all kinds of soil</t>
    </r>
    <r>
      <rPr>
        <sz val="14"/>
        <rFont val="Arial"/>
        <family val="2"/>
      </rPr>
      <t xml:space="preserve"> including boulders </t>
    </r>
    <r>
      <rPr>
        <b/>
        <sz val="14"/>
        <rFont val="Calibri"/>
        <family val="2"/>
      </rPr>
      <t>upto 0.30 m</t>
    </r>
    <r>
      <rPr>
        <sz val="14"/>
        <rFont val="Calibri"/>
        <family val="2"/>
      </rPr>
      <t xml:space="preserve"> dia </t>
    </r>
    <r>
      <rPr>
        <b/>
        <sz val="14"/>
        <rFont val="Calibri"/>
        <family val="2"/>
      </rPr>
      <t>for field channels</t>
    </r>
    <r>
      <rPr>
        <sz val="14"/>
        <rFont val="Arial"/>
        <family val="2"/>
      </rPr>
      <t>, seating</t>
    </r>
  </si>
  <si>
    <r>
      <t xml:space="preserve">road / embankment as directed etc., </t>
    </r>
    <r>
      <rPr>
        <sz val="14"/>
        <rFont val="Calibri"/>
        <family val="2"/>
      </rPr>
      <t xml:space="preserve">complete </t>
    </r>
    <r>
      <rPr>
        <b/>
        <sz val="14"/>
        <rFont val="Calibri"/>
        <family val="2"/>
      </rPr>
      <t>with lead upto 10 m and lift upto 3 m.</t>
    </r>
  </si>
  <si>
    <r>
      <t xml:space="preserve">Excavation in </t>
    </r>
    <r>
      <rPr>
        <b/>
        <sz val="14"/>
        <rFont val="Calibri"/>
        <family val="2"/>
      </rPr>
      <t xml:space="preserve">ordinary rock </t>
    </r>
    <r>
      <rPr>
        <b/>
        <sz val="14"/>
        <rFont val="Arial"/>
        <family val="2"/>
      </rPr>
      <t>(including</t>
    </r>
    <r>
      <rPr>
        <b/>
        <sz val="14"/>
        <rFont val="Calibri"/>
        <family val="2"/>
      </rPr>
      <t xml:space="preserve"> HDR) without blasting</t>
    </r>
    <r>
      <rPr>
        <sz val="14"/>
        <rFont val="Arial"/>
        <family val="2"/>
      </rPr>
      <t xml:space="preserve"> including boulders</t>
    </r>
    <r>
      <rPr>
        <sz val="14"/>
        <rFont val="Calibri"/>
        <family val="2"/>
      </rPr>
      <t xml:space="preserve"> </t>
    </r>
    <r>
      <rPr>
        <b/>
        <sz val="14"/>
        <rFont val="Calibri"/>
        <family val="2"/>
      </rPr>
      <t>above 0.30 m upto 0.6 m dia</t>
    </r>
    <r>
      <rPr>
        <b/>
        <sz val="14"/>
        <rFont val="Arial"/>
        <family val="2"/>
      </rPr>
      <t>.</t>
    </r>
    <r>
      <rPr>
        <sz val="14"/>
        <rFont val="Calibri"/>
        <family val="2"/>
      </rPr>
      <t xml:space="preserve"> for</t>
    </r>
  </si>
  <si>
    <r>
      <t xml:space="preserve">Excavation </t>
    </r>
    <r>
      <rPr>
        <b/>
        <sz val="14"/>
        <rFont val="Arial"/>
        <family val="2"/>
      </rPr>
      <t xml:space="preserve">in </t>
    </r>
    <r>
      <rPr>
        <b/>
        <sz val="14"/>
        <rFont val="Calibri"/>
        <family val="2"/>
      </rPr>
      <t>ordinary rock (</t>
    </r>
    <r>
      <rPr>
        <b/>
        <sz val="14"/>
        <rFont val="Arial"/>
        <family val="2"/>
      </rPr>
      <t>including</t>
    </r>
    <r>
      <rPr>
        <b/>
        <sz val="14"/>
        <rFont val="Calibri"/>
        <family val="2"/>
      </rPr>
      <t xml:space="preserve"> HDR) without blasting</t>
    </r>
    <r>
      <rPr>
        <sz val="14"/>
        <rFont val="Arial"/>
        <family val="2"/>
      </rPr>
      <t xml:space="preserve"> including boulders </t>
    </r>
    <r>
      <rPr>
        <b/>
        <sz val="14"/>
        <rFont val="Calibri"/>
        <family val="2"/>
      </rPr>
      <t>above 0.3 m upto 0.60 m dia.</t>
    </r>
    <r>
      <rPr>
        <sz val="14"/>
        <rFont val="Arial"/>
        <family val="2"/>
      </rPr>
      <t xml:space="preserve"> for</t>
    </r>
  </si>
  <si>
    <r>
      <t xml:space="preserve">field channels, seating of embankment </t>
    </r>
    <r>
      <rPr>
        <b/>
        <sz val="14"/>
        <rFont val="Arial"/>
        <family val="2"/>
      </rPr>
      <t>for field channels</t>
    </r>
    <r>
      <rPr>
        <sz val="14"/>
        <rFont val="Arial"/>
        <family val="2"/>
      </rPr>
      <t xml:space="preserve"> etc., including dressing of bed and</t>
    </r>
  </si>
  <si>
    <r>
      <t xml:space="preserve">for formation of service road as directed etc.,complete </t>
    </r>
    <r>
      <rPr>
        <b/>
        <sz val="14"/>
        <rFont val="Arial"/>
        <family val="2"/>
      </rPr>
      <t xml:space="preserve">with </t>
    </r>
    <r>
      <rPr>
        <b/>
        <sz val="14"/>
        <rFont val="Calibri"/>
        <family val="2"/>
      </rPr>
      <t>lead upto 10 m and lift upto 3 m.</t>
    </r>
  </si>
  <si>
    <r>
      <t xml:space="preserve">Excavation in </t>
    </r>
    <r>
      <rPr>
        <b/>
        <sz val="14"/>
        <rFont val="Calibri"/>
        <family val="2"/>
      </rPr>
      <t>hard rock (</t>
    </r>
    <r>
      <rPr>
        <b/>
        <sz val="14"/>
        <rFont val="Arial"/>
        <family val="2"/>
      </rPr>
      <t xml:space="preserve">including </t>
    </r>
    <r>
      <rPr>
        <b/>
        <sz val="14"/>
        <rFont val="Calibri"/>
        <family val="2"/>
      </rPr>
      <t>F&amp;F rock) requiring blasting</t>
    </r>
    <r>
      <rPr>
        <sz val="14"/>
        <rFont val="Arial"/>
        <family val="2"/>
      </rPr>
      <t xml:space="preserve"> including boulders </t>
    </r>
    <r>
      <rPr>
        <sz val="10"/>
        <color indexed="20"/>
        <rFont val="Calibri"/>
        <family val="2"/>
      </rPr>
      <t/>
    </r>
  </si>
  <si>
    <r>
      <rPr>
        <b/>
        <sz val="14"/>
        <rFont val="Arial"/>
        <family val="2"/>
      </rPr>
      <t>above 0.6 m upto 1.2 m dia.</t>
    </r>
    <r>
      <rPr>
        <sz val="14"/>
        <rFont val="Arial"/>
        <family val="2"/>
      </rPr>
      <t xml:space="preserve"> </t>
    </r>
    <r>
      <rPr>
        <b/>
        <sz val="14"/>
        <rFont val="Arial"/>
        <family val="2"/>
      </rPr>
      <t>for canals</t>
    </r>
    <r>
      <rPr>
        <sz val="14"/>
        <rFont val="Arial"/>
        <family val="2"/>
      </rPr>
      <t xml:space="preserve">, seating of embankment, filter drain / catch water drains </t>
    </r>
  </si>
  <si>
    <r>
      <t>road as directed etc.,</t>
    </r>
    <r>
      <rPr>
        <sz val="14"/>
        <rFont val="Calibri"/>
        <family val="2"/>
      </rPr>
      <t xml:space="preserve"> complete </t>
    </r>
    <r>
      <rPr>
        <b/>
        <sz val="14"/>
        <rFont val="Calibri"/>
        <family val="2"/>
      </rPr>
      <t>with lead upto 1 km and all lifts.</t>
    </r>
  </si>
  <si>
    <r>
      <t xml:space="preserve">Excavation </t>
    </r>
    <r>
      <rPr>
        <b/>
        <sz val="14"/>
        <rFont val="Arial"/>
        <family val="2"/>
      </rPr>
      <t xml:space="preserve">in </t>
    </r>
    <r>
      <rPr>
        <b/>
        <sz val="14"/>
        <rFont val="Calibri"/>
        <family val="2"/>
      </rPr>
      <t>hard rock of all toughness by blasting</t>
    </r>
    <r>
      <rPr>
        <sz val="14"/>
        <rFont val="Calibri"/>
        <family val="2"/>
      </rPr>
      <t xml:space="preserve"> including</t>
    </r>
    <r>
      <rPr>
        <sz val="14"/>
        <rFont val="Arial"/>
        <family val="2"/>
      </rPr>
      <t xml:space="preserve"> boulders </t>
    </r>
    <r>
      <rPr>
        <b/>
        <sz val="14"/>
        <rFont val="Calibri"/>
        <family val="2"/>
      </rPr>
      <t>above 1.2 m dia.</t>
    </r>
    <r>
      <rPr>
        <sz val="14"/>
        <rFont val="Calibri"/>
        <family val="2"/>
      </rPr>
      <t xml:space="preserve"> </t>
    </r>
    <r>
      <rPr>
        <b/>
        <sz val="14"/>
        <rFont val="Calibri"/>
        <family val="2"/>
      </rPr>
      <t>for</t>
    </r>
  </si>
  <si>
    <r>
      <rPr>
        <b/>
        <sz val="14"/>
        <rFont val="Arial"/>
        <family val="2"/>
      </rPr>
      <t>canals</t>
    </r>
    <r>
      <rPr>
        <sz val="14"/>
        <rFont val="Arial"/>
        <family val="2"/>
      </rPr>
      <t>, seating of embankment, filter drain / catch water drains etc., including levelling the bed</t>
    </r>
  </si>
  <si>
    <r>
      <t xml:space="preserve">etc., complete </t>
    </r>
    <r>
      <rPr>
        <b/>
        <sz val="14"/>
        <rFont val="Arial"/>
        <family val="2"/>
      </rPr>
      <t>with initial</t>
    </r>
    <r>
      <rPr>
        <b/>
        <sz val="14"/>
        <rFont val="Calibri"/>
        <family val="2"/>
      </rPr>
      <t xml:space="preserve"> lead upto 1 km and all lifts.</t>
    </r>
  </si>
  <si>
    <r>
      <t xml:space="preserve">Excavation </t>
    </r>
    <r>
      <rPr>
        <b/>
        <sz val="14"/>
        <rFont val="Arial"/>
        <family val="2"/>
      </rPr>
      <t xml:space="preserve">in </t>
    </r>
    <r>
      <rPr>
        <b/>
        <sz val="14"/>
        <rFont val="Calibri"/>
        <family val="2"/>
      </rPr>
      <t>hard rock of all toughness</t>
    </r>
    <r>
      <rPr>
        <sz val="14"/>
        <rFont val="Arial"/>
        <family val="2"/>
      </rPr>
      <t xml:space="preserve"> including boulders </t>
    </r>
    <r>
      <rPr>
        <b/>
        <sz val="14"/>
        <rFont val="Calibri"/>
        <family val="2"/>
      </rPr>
      <t>above 1.2 m dia.</t>
    </r>
    <r>
      <rPr>
        <sz val="14"/>
        <rFont val="Calibri"/>
        <family val="2"/>
      </rPr>
      <t xml:space="preserve"> by approved</t>
    </r>
  </si>
  <si>
    <r>
      <rPr>
        <b/>
        <sz val="14"/>
        <rFont val="Arial"/>
        <family val="2"/>
      </rPr>
      <t>controlled blasting methods for canals</t>
    </r>
    <r>
      <rPr>
        <sz val="14"/>
        <rFont val="Arial"/>
        <family val="2"/>
      </rPr>
      <t>, cut-off trench of embankment, filter / catch-water</t>
    </r>
  </si>
  <si>
    <r>
      <t xml:space="preserve">drains etc., including </t>
    </r>
    <r>
      <rPr>
        <sz val="14"/>
        <rFont val="Calibri"/>
        <family val="2"/>
      </rPr>
      <t>controlling fly-rock by muffling arrangements</t>
    </r>
    <r>
      <rPr>
        <sz val="14"/>
        <rFont val="Arial"/>
        <family val="2"/>
      </rPr>
      <t xml:space="preserve"> such as placing</t>
    </r>
  </si>
  <si>
    <r>
      <t xml:space="preserve">neatly in approved dump area or other place as directed etc., complete </t>
    </r>
    <r>
      <rPr>
        <b/>
        <sz val="14"/>
        <rFont val="Arial"/>
        <family val="2"/>
      </rPr>
      <t>with</t>
    </r>
    <r>
      <rPr>
        <b/>
        <sz val="14"/>
        <rFont val="Calibri"/>
        <family val="2"/>
      </rPr>
      <t xml:space="preserve"> lead upto 1 km</t>
    </r>
  </si>
  <si>
    <r>
      <t xml:space="preserve">Excavation </t>
    </r>
    <r>
      <rPr>
        <b/>
        <sz val="14"/>
        <rFont val="Arial"/>
        <family val="2"/>
      </rPr>
      <t xml:space="preserve">in </t>
    </r>
    <r>
      <rPr>
        <b/>
        <sz val="14"/>
        <rFont val="Calibri"/>
        <family val="2"/>
      </rPr>
      <t>hard rock of all toughness</t>
    </r>
    <r>
      <rPr>
        <sz val="14"/>
        <rFont val="Arial"/>
        <family val="2"/>
      </rPr>
      <t xml:space="preserve"> including boulders </t>
    </r>
    <r>
      <rPr>
        <b/>
        <sz val="14"/>
        <rFont val="Calibri"/>
        <family val="2"/>
      </rPr>
      <t>above 1.2 m dia. for dressing</t>
    </r>
  </si>
  <si>
    <r>
      <rPr>
        <b/>
        <sz val="14"/>
        <rFont val="Arial"/>
        <family val="2"/>
      </rPr>
      <t>canal sides</t>
    </r>
    <r>
      <rPr>
        <sz val="14"/>
        <rFont val="Arial"/>
        <family val="2"/>
      </rPr>
      <t xml:space="preserve"> neatly on either side to required profile </t>
    </r>
    <r>
      <rPr>
        <sz val="14"/>
        <rFont val="Calibri"/>
        <family val="2"/>
      </rPr>
      <t>by line drilling and smooth blasting</t>
    </r>
  </si>
  <si>
    <r>
      <t xml:space="preserve">Excavation </t>
    </r>
    <r>
      <rPr>
        <b/>
        <sz val="14"/>
        <rFont val="Arial"/>
        <family val="2"/>
      </rPr>
      <t xml:space="preserve">in </t>
    </r>
    <r>
      <rPr>
        <b/>
        <sz val="14"/>
        <rFont val="Calibri"/>
        <family val="2"/>
      </rPr>
      <t>hard rock by blasting</t>
    </r>
    <r>
      <rPr>
        <sz val="14"/>
        <rFont val="Arial"/>
        <family val="2"/>
      </rPr>
      <t xml:space="preserve"> including boulders </t>
    </r>
    <r>
      <rPr>
        <b/>
        <sz val="14"/>
        <rFont val="Calibri"/>
        <family val="2"/>
      </rPr>
      <t>above 1.2 m dia. for canals</t>
    </r>
    <r>
      <rPr>
        <sz val="14"/>
        <rFont val="Arial"/>
        <family val="2"/>
      </rPr>
      <t>, seating</t>
    </r>
  </si>
  <si>
    <r>
      <t xml:space="preserve">embankment etc., including levelling bed by removing all projections </t>
    </r>
    <r>
      <rPr>
        <sz val="14"/>
        <rFont val="Calibri"/>
        <family val="2"/>
      </rPr>
      <t>by hammering / chiselling,</t>
    </r>
  </si>
  <si>
    <r>
      <t xml:space="preserve">area and levelling the same as directed etc.,complete with </t>
    </r>
    <r>
      <rPr>
        <b/>
        <sz val="14"/>
        <rFont val="Arial"/>
        <family val="2"/>
      </rPr>
      <t xml:space="preserve">initial </t>
    </r>
    <r>
      <rPr>
        <b/>
        <sz val="14"/>
        <rFont val="Calibri"/>
        <family val="2"/>
      </rPr>
      <t>lead upto 1 km and all lifts.</t>
    </r>
  </si>
  <si>
    <r>
      <rPr>
        <b/>
        <sz val="14"/>
        <rFont val="Arial"/>
        <family val="2"/>
      </rPr>
      <t>controlled blasting methods for canals, cut-off trench of embankment etc.</t>
    </r>
    <r>
      <rPr>
        <sz val="14"/>
        <rFont val="Arial"/>
        <family val="2"/>
      </rPr>
      <t>, including</t>
    </r>
  </si>
  <si>
    <r>
      <t xml:space="preserve">dump area or other place as directed etc., complete </t>
    </r>
    <r>
      <rPr>
        <b/>
        <sz val="14"/>
        <rFont val="Arial"/>
        <family val="2"/>
      </rPr>
      <t xml:space="preserve">with </t>
    </r>
    <r>
      <rPr>
        <b/>
        <sz val="14"/>
        <rFont val="Calibri"/>
        <family val="2"/>
      </rPr>
      <t>lead upto 1 km and all lifts.</t>
    </r>
  </si>
  <si>
    <r>
      <t xml:space="preserve">Excavation </t>
    </r>
    <r>
      <rPr>
        <b/>
        <sz val="14"/>
        <rFont val="Arial"/>
        <family val="2"/>
      </rPr>
      <t xml:space="preserve">in </t>
    </r>
    <r>
      <rPr>
        <b/>
        <sz val="14"/>
        <rFont val="Calibri"/>
        <family val="2"/>
      </rPr>
      <t>hard rock of all toughness</t>
    </r>
    <r>
      <rPr>
        <b/>
        <sz val="14"/>
        <rFont val="Arial"/>
        <family val="2"/>
      </rPr>
      <t xml:space="preserve"> including boulders </t>
    </r>
    <r>
      <rPr>
        <b/>
        <sz val="14"/>
        <rFont val="Calibri"/>
        <family val="2"/>
      </rPr>
      <t>above 1.2 m dia</t>
    </r>
    <r>
      <rPr>
        <b/>
        <sz val="14"/>
        <rFont val="Arial"/>
        <family val="2"/>
      </rPr>
      <t xml:space="preserve">. </t>
    </r>
    <r>
      <rPr>
        <b/>
        <sz val="14"/>
        <rFont val="Calibri"/>
        <family val="2"/>
      </rPr>
      <t>for dressing</t>
    </r>
  </si>
  <si>
    <r>
      <rPr>
        <b/>
        <sz val="14"/>
        <rFont val="Arial"/>
        <family val="2"/>
      </rPr>
      <t>canal sides</t>
    </r>
    <r>
      <rPr>
        <sz val="14"/>
        <rFont val="Arial"/>
        <family val="2"/>
      </rPr>
      <t xml:space="preserve"> neatly on either side to required profile </t>
    </r>
    <r>
      <rPr>
        <b/>
        <sz val="14"/>
        <rFont val="Calibri"/>
        <family val="2"/>
      </rPr>
      <t>by line drilling and smooth blasting</t>
    </r>
  </si>
  <si>
    <r>
      <t>including removing under-cuts by</t>
    </r>
    <r>
      <rPr>
        <sz val="14"/>
        <rFont val="Calibri"/>
        <family val="2"/>
      </rPr>
      <t xml:space="preserve"> chiselling / hammering,</t>
    </r>
    <r>
      <rPr>
        <sz val="14"/>
        <rFont val="Arial"/>
        <family val="2"/>
      </rPr>
      <t xml:space="preserve"> placing the excavated rock neatly in</t>
    </r>
  </si>
  <si>
    <r>
      <rPr>
        <b/>
        <sz val="14"/>
        <rFont val="Arial"/>
        <family val="2"/>
      </rPr>
      <t xml:space="preserve">Providing </t>
    </r>
    <r>
      <rPr>
        <b/>
        <sz val="14"/>
        <rFont val="Calibri"/>
        <family val="2"/>
      </rPr>
      <t>impervious hearting</t>
    </r>
    <r>
      <rPr>
        <b/>
        <sz val="14"/>
        <rFont val="Arial"/>
        <family val="2"/>
      </rPr>
      <t xml:space="preserve"> embankment</t>
    </r>
    <r>
      <rPr>
        <sz val="14"/>
        <rFont val="Arial"/>
        <family val="2"/>
      </rPr>
      <t xml:space="preserve"> with selected soil from </t>
    </r>
    <r>
      <rPr>
        <b/>
        <sz val="14"/>
        <rFont val="Arial"/>
        <family val="2"/>
      </rPr>
      <t>approved borrow areas</t>
    </r>
    <r>
      <rPr>
        <sz val="14"/>
        <rFont val="Arial"/>
        <family val="2"/>
      </rPr>
      <t xml:space="preserve"> in</t>
    </r>
  </si>
  <si>
    <r>
      <rPr>
        <b/>
        <sz val="14"/>
        <rFont val="Arial"/>
        <family val="2"/>
      </rPr>
      <t>layers of 25  cm</t>
    </r>
    <r>
      <rPr>
        <sz val="14"/>
        <rFont val="Arial"/>
        <family val="2"/>
      </rPr>
      <t xml:space="preserve"> before compaction including cost of all materials, machinery, labour,</t>
    </r>
  </si>
  <si>
    <r>
      <t xml:space="preserve">thickness, breaking clods, sectioning, </t>
    </r>
    <r>
      <rPr>
        <b/>
        <sz val="14"/>
        <rFont val="Arial"/>
        <family val="2"/>
      </rPr>
      <t>watering</t>
    </r>
    <r>
      <rPr>
        <sz val="14"/>
        <rFont val="Arial"/>
        <family val="2"/>
      </rPr>
      <t xml:space="preserve">, compacting each layer to </t>
    </r>
    <r>
      <rPr>
        <sz val="14"/>
        <rFont val="Calibri"/>
        <family val="2"/>
      </rPr>
      <t>density control of</t>
    </r>
  </si>
  <si>
    <r>
      <t xml:space="preserve">control of </t>
    </r>
    <r>
      <rPr>
        <sz val="14"/>
        <rFont val="Calibri"/>
        <family val="2"/>
      </rPr>
      <t>98</t>
    </r>
    <r>
      <rPr>
        <sz val="14"/>
        <rFont val="Arial"/>
        <family val="2"/>
      </rPr>
      <t xml:space="preserve"> percent.</t>
    </r>
  </si>
  <si>
    <r>
      <rPr>
        <b/>
        <sz val="14"/>
        <rFont val="Arial"/>
        <family val="2"/>
      </rPr>
      <t>layers of 25 cm</t>
    </r>
    <r>
      <rPr>
        <sz val="14"/>
        <rFont val="Arial"/>
        <family val="2"/>
      </rPr>
      <t xml:space="preserve"> before compaction including cost of all materials, machinery, labour,</t>
    </r>
  </si>
  <si>
    <r>
      <t xml:space="preserve">thickness, breaking clods, sectioning, </t>
    </r>
    <r>
      <rPr>
        <b/>
        <sz val="14"/>
        <rFont val="Arial"/>
        <family val="2"/>
      </rPr>
      <t>watering</t>
    </r>
    <r>
      <rPr>
        <sz val="14"/>
        <rFont val="Arial"/>
        <family val="2"/>
      </rPr>
      <t>, compacting each layer to</t>
    </r>
    <r>
      <rPr>
        <sz val="14"/>
        <rFont val="Calibri"/>
        <family val="2"/>
      </rPr>
      <t xml:space="preserve"> density control of</t>
    </r>
  </si>
  <si>
    <r>
      <rPr>
        <b/>
        <sz val="14"/>
        <rFont val="Arial"/>
        <family val="2"/>
      </rPr>
      <t xml:space="preserve">Providing </t>
    </r>
    <r>
      <rPr>
        <b/>
        <sz val="14"/>
        <rFont val="Calibri"/>
        <family val="2"/>
      </rPr>
      <t>semi-pervious / pervious casing</t>
    </r>
    <r>
      <rPr>
        <b/>
        <sz val="14"/>
        <rFont val="Arial"/>
        <family val="2"/>
      </rPr>
      <t xml:space="preserve"> embankment</t>
    </r>
    <r>
      <rPr>
        <sz val="14"/>
        <rFont val="Arial"/>
        <family val="2"/>
      </rPr>
      <t xml:space="preserve"> using soil from </t>
    </r>
    <r>
      <rPr>
        <b/>
        <sz val="14"/>
        <rFont val="Arial"/>
        <family val="2"/>
      </rPr>
      <t>approved borrow area</t>
    </r>
  </si>
  <si>
    <r>
      <t xml:space="preserve">in </t>
    </r>
    <r>
      <rPr>
        <b/>
        <sz val="14"/>
        <rFont val="Arial"/>
        <family val="2"/>
      </rPr>
      <t>layers of 25 cm</t>
    </r>
    <r>
      <rPr>
        <sz val="14"/>
        <rFont val="Arial"/>
        <family val="2"/>
      </rPr>
      <t xml:space="preserve"> before compaction including cost of all materials, machinery, labour,</t>
    </r>
  </si>
  <si>
    <r>
      <t xml:space="preserve">thickness, breaking clods, sectioning, </t>
    </r>
    <r>
      <rPr>
        <b/>
        <sz val="14"/>
        <rFont val="Arial"/>
        <family val="2"/>
      </rPr>
      <t>watering</t>
    </r>
    <r>
      <rPr>
        <sz val="14"/>
        <rFont val="Arial"/>
        <family val="2"/>
      </rPr>
      <t xml:space="preserve">, compacting to </t>
    </r>
    <r>
      <rPr>
        <sz val="14"/>
        <rFont val="Calibri"/>
        <family val="2"/>
      </rPr>
      <t xml:space="preserve">density control of </t>
    </r>
    <r>
      <rPr>
        <b/>
        <sz val="14"/>
        <rFont val="Calibri"/>
        <family val="2"/>
      </rPr>
      <t>not less</t>
    </r>
  </si>
  <si>
    <r>
      <t xml:space="preserve">in </t>
    </r>
    <r>
      <rPr>
        <b/>
        <sz val="14"/>
        <rFont val="Arial"/>
        <family val="2"/>
      </rPr>
      <t>layers of 25cm</t>
    </r>
    <r>
      <rPr>
        <sz val="14"/>
        <rFont val="Arial"/>
        <family val="2"/>
      </rPr>
      <t xml:space="preserve"> before compaction including cost of all materials, machinery, labour,</t>
    </r>
  </si>
  <si>
    <r>
      <t xml:space="preserve">thickness, breaking clods, sectioning, </t>
    </r>
    <r>
      <rPr>
        <b/>
        <sz val="14"/>
        <rFont val="Calibri"/>
        <family val="2"/>
      </rPr>
      <t>watering</t>
    </r>
    <r>
      <rPr>
        <sz val="14"/>
        <rFont val="Arial"/>
        <family val="2"/>
      </rPr>
      <t xml:space="preserve">, compacting to density control of </t>
    </r>
    <r>
      <rPr>
        <b/>
        <sz val="14"/>
        <rFont val="Arial"/>
        <family val="2"/>
      </rPr>
      <t>not less</t>
    </r>
  </si>
  <si>
    <r>
      <rPr>
        <b/>
        <sz val="14"/>
        <rFont val="Arial"/>
        <family val="2"/>
      </rPr>
      <t>in layers of 25cm</t>
    </r>
    <r>
      <rPr>
        <sz val="14"/>
        <rFont val="Arial"/>
        <family val="2"/>
      </rPr>
      <t xml:space="preserve"> before compaction including cost of all materials, machinery, labour,</t>
    </r>
  </si>
  <si>
    <r>
      <t xml:space="preserve">thickness, breaking clods, sectioning, compacting each layer </t>
    </r>
    <r>
      <rPr>
        <b/>
        <sz val="14"/>
        <rFont val="Calibri"/>
        <family val="2"/>
      </rPr>
      <t>without watering</t>
    </r>
    <r>
      <rPr>
        <sz val="14"/>
        <rFont val="Arial"/>
        <family val="2"/>
      </rPr>
      <t xml:space="preserve"> to density</t>
    </r>
  </si>
  <si>
    <r>
      <rPr>
        <b/>
        <sz val="14"/>
        <rFont val="Arial"/>
        <family val="2"/>
      </rPr>
      <t xml:space="preserve">Providing </t>
    </r>
    <r>
      <rPr>
        <b/>
        <sz val="14"/>
        <rFont val="Calibri"/>
        <family val="2"/>
      </rPr>
      <t>hearting / casing embankment</t>
    </r>
    <r>
      <rPr>
        <b/>
        <sz val="14"/>
        <rFont val="Arial"/>
        <family val="2"/>
      </rPr>
      <t xml:space="preserve"> with </t>
    </r>
    <r>
      <rPr>
        <b/>
        <sz val="14"/>
        <rFont val="Calibri"/>
        <family val="2"/>
      </rPr>
      <t>homogeneous soil</t>
    </r>
    <r>
      <rPr>
        <sz val="14"/>
        <rFont val="Calibri"/>
        <family val="2"/>
      </rPr>
      <t xml:space="preserve"> from </t>
    </r>
    <r>
      <rPr>
        <b/>
        <sz val="14"/>
        <rFont val="Calibri"/>
        <family val="2"/>
      </rPr>
      <t>approved borrow</t>
    </r>
  </si>
  <si>
    <r>
      <t xml:space="preserve">areas </t>
    </r>
    <r>
      <rPr>
        <b/>
        <sz val="14"/>
        <rFont val="Arial"/>
        <family val="2"/>
      </rPr>
      <t>in layers of 25 cm</t>
    </r>
    <r>
      <rPr>
        <sz val="14"/>
        <rFont val="Arial"/>
        <family val="2"/>
      </rPr>
      <t xml:space="preserve"> before compaction including cost of all materials, machinery,</t>
    </r>
  </si>
  <si>
    <r>
      <t xml:space="preserve">specified thickness, breaking clods, sectioning, </t>
    </r>
    <r>
      <rPr>
        <b/>
        <sz val="14"/>
        <rFont val="Calibri"/>
        <family val="2"/>
      </rPr>
      <t>watering</t>
    </r>
    <r>
      <rPr>
        <sz val="14"/>
        <rFont val="Arial"/>
        <family val="2"/>
      </rPr>
      <t xml:space="preserve">, compacting each layer to </t>
    </r>
    <r>
      <rPr>
        <sz val="14"/>
        <rFont val="Calibri"/>
        <family val="2"/>
      </rPr>
      <t>density</t>
    </r>
  </si>
  <si>
    <r>
      <t xml:space="preserve">areas in </t>
    </r>
    <r>
      <rPr>
        <b/>
        <sz val="14"/>
        <rFont val="Arial"/>
        <family val="2"/>
      </rPr>
      <t>layers of 25 cm</t>
    </r>
    <r>
      <rPr>
        <sz val="14"/>
        <rFont val="Arial"/>
        <family val="2"/>
      </rPr>
      <t xml:space="preserve"> before compaction including cost of all materials, machinery,</t>
    </r>
  </si>
  <si>
    <r>
      <rPr>
        <b/>
        <sz val="14"/>
        <rFont val="Arial"/>
        <family val="2"/>
      </rPr>
      <t xml:space="preserve">Providing casing embankment using </t>
    </r>
    <r>
      <rPr>
        <b/>
        <sz val="14"/>
        <rFont val="Calibri"/>
        <family val="2"/>
      </rPr>
      <t>homogeneous soil</t>
    </r>
    <r>
      <rPr>
        <sz val="14"/>
        <rFont val="Calibri"/>
        <family val="2"/>
      </rPr>
      <t xml:space="preserve"> from </t>
    </r>
    <r>
      <rPr>
        <b/>
        <sz val="14"/>
        <rFont val="Calibri"/>
        <family val="2"/>
      </rPr>
      <t>approved borrow area</t>
    </r>
  </si>
  <si>
    <r>
      <t xml:space="preserve">in </t>
    </r>
    <r>
      <rPr>
        <b/>
        <sz val="14"/>
        <rFont val="Arial"/>
        <family val="2"/>
      </rPr>
      <t>layers of 25  cm</t>
    </r>
    <r>
      <rPr>
        <sz val="14"/>
        <rFont val="Arial"/>
        <family val="2"/>
      </rPr>
      <t xml:space="preserve"> before compaction including cost of all materials, machinery, labour,</t>
    </r>
  </si>
  <si>
    <r>
      <t xml:space="preserve">thickness, breaking clods, sectioning, compacting each layer </t>
    </r>
    <r>
      <rPr>
        <b/>
        <sz val="14"/>
        <rFont val="Calibri"/>
        <family val="2"/>
      </rPr>
      <t>without watering</t>
    </r>
    <r>
      <rPr>
        <sz val="14"/>
        <rFont val="Calibri"/>
        <family val="2"/>
      </rPr>
      <t xml:space="preserve"> to density</t>
    </r>
  </si>
  <si>
    <r>
      <rPr>
        <b/>
        <sz val="14"/>
        <rFont val="Arial"/>
        <family val="2"/>
      </rPr>
      <t xml:space="preserve">Providing </t>
    </r>
    <r>
      <rPr>
        <b/>
        <sz val="14"/>
        <rFont val="Calibri"/>
        <family val="2"/>
      </rPr>
      <t>impervious hearting</t>
    </r>
    <r>
      <rPr>
        <b/>
        <sz val="14"/>
        <rFont val="Arial"/>
        <family val="2"/>
      </rPr>
      <t xml:space="preserve"> embankment with soil</t>
    </r>
    <r>
      <rPr>
        <sz val="14"/>
        <rFont val="Arial"/>
        <family val="2"/>
      </rPr>
      <t xml:space="preserve"> from </t>
    </r>
    <r>
      <rPr>
        <b/>
        <sz val="14"/>
        <rFont val="Arial"/>
        <family val="2"/>
      </rPr>
      <t xml:space="preserve">approved </t>
    </r>
    <r>
      <rPr>
        <b/>
        <sz val="14"/>
        <rFont val="Calibri"/>
        <family val="2"/>
      </rPr>
      <t>dump areas</t>
    </r>
    <r>
      <rPr>
        <sz val="14"/>
        <rFont val="Arial"/>
        <family val="2"/>
      </rPr>
      <t xml:space="preserve"> in layers</t>
    </r>
  </si>
  <si>
    <r>
      <rPr>
        <b/>
        <sz val="14"/>
        <rFont val="Arial"/>
        <family val="2"/>
      </rPr>
      <t>of 25  cm</t>
    </r>
    <r>
      <rPr>
        <sz val="14"/>
        <rFont val="Arial"/>
        <family val="2"/>
      </rPr>
      <t xml:space="preserve"> before compaction including cost of all materials, machinery, labour, all</t>
    </r>
  </si>
  <si>
    <r>
      <t xml:space="preserve">thickness, breaking clods, sectioning, </t>
    </r>
    <r>
      <rPr>
        <b/>
        <sz val="14"/>
        <rFont val="Calibri"/>
        <family val="2"/>
      </rPr>
      <t>watering</t>
    </r>
    <r>
      <rPr>
        <sz val="14"/>
        <rFont val="Arial"/>
        <family val="2"/>
      </rPr>
      <t xml:space="preserve">, compacting each layer to achieve </t>
    </r>
    <r>
      <rPr>
        <sz val="14"/>
        <rFont val="Calibri"/>
        <family val="2"/>
      </rPr>
      <t>density</t>
    </r>
  </si>
  <si>
    <r>
      <rPr>
        <b/>
        <sz val="14"/>
        <rFont val="Arial"/>
        <family val="2"/>
      </rPr>
      <t xml:space="preserve">Providing </t>
    </r>
    <r>
      <rPr>
        <b/>
        <sz val="14"/>
        <rFont val="Calibri"/>
        <family val="2"/>
      </rPr>
      <t>impervious hearting</t>
    </r>
    <r>
      <rPr>
        <b/>
        <sz val="14"/>
        <rFont val="Arial"/>
        <family val="2"/>
      </rPr>
      <t xml:space="preserve"> embankment with soil</t>
    </r>
    <r>
      <rPr>
        <sz val="14"/>
        <rFont val="Arial"/>
        <family val="2"/>
      </rPr>
      <t xml:space="preserve"> from </t>
    </r>
    <r>
      <rPr>
        <b/>
        <sz val="14"/>
        <rFont val="Arial"/>
        <family val="2"/>
      </rPr>
      <t xml:space="preserve">approved </t>
    </r>
    <r>
      <rPr>
        <b/>
        <sz val="14"/>
        <rFont val="Calibri"/>
        <family val="2"/>
      </rPr>
      <t>dump areas</t>
    </r>
    <r>
      <rPr>
        <sz val="14"/>
        <rFont val="Arial"/>
        <family val="2"/>
      </rPr>
      <t xml:space="preserve"> in </t>
    </r>
    <r>
      <rPr>
        <b/>
        <sz val="14"/>
        <rFont val="Arial"/>
        <family val="2"/>
      </rPr>
      <t>layers</t>
    </r>
  </si>
  <si>
    <r>
      <t xml:space="preserve">thickness, breaking clods, sectioning, </t>
    </r>
    <r>
      <rPr>
        <b/>
        <sz val="14"/>
        <rFont val="Calibri"/>
        <family val="2"/>
      </rPr>
      <t>watering</t>
    </r>
    <r>
      <rPr>
        <sz val="14"/>
        <rFont val="Arial"/>
        <family val="2"/>
      </rPr>
      <t>, compacting each layer to achieve density</t>
    </r>
  </si>
  <si>
    <r>
      <rPr>
        <b/>
        <sz val="14"/>
        <rFont val="Arial"/>
        <family val="2"/>
      </rPr>
      <t xml:space="preserve">Providing </t>
    </r>
    <r>
      <rPr>
        <b/>
        <sz val="14"/>
        <rFont val="Calibri"/>
        <family val="2"/>
      </rPr>
      <t>semi-pervious / pervious casing</t>
    </r>
    <r>
      <rPr>
        <b/>
        <sz val="14"/>
        <rFont val="Arial"/>
        <family val="2"/>
      </rPr>
      <t xml:space="preserve"> embankment using soil</t>
    </r>
    <r>
      <rPr>
        <sz val="14"/>
        <rFont val="Arial"/>
        <family val="2"/>
      </rPr>
      <t xml:space="preserve"> from </t>
    </r>
    <r>
      <rPr>
        <b/>
        <sz val="14"/>
        <rFont val="Arial"/>
        <family val="2"/>
      </rPr>
      <t xml:space="preserve">approved </t>
    </r>
    <r>
      <rPr>
        <b/>
        <sz val="14"/>
        <rFont val="Calibri"/>
        <family val="2"/>
      </rPr>
      <t>dump area</t>
    </r>
  </si>
  <si>
    <r>
      <t>thickness, breaking clods, sectioning,</t>
    </r>
    <r>
      <rPr>
        <sz val="14"/>
        <rFont val="Calibri"/>
        <family val="2"/>
      </rPr>
      <t xml:space="preserve"> </t>
    </r>
    <r>
      <rPr>
        <b/>
        <sz val="14"/>
        <rFont val="Calibri"/>
        <family val="2"/>
      </rPr>
      <t>watering</t>
    </r>
    <r>
      <rPr>
        <sz val="14"/>
        <rFont val="Arial"/>
        <family val="2"/>
      </rPr>
      <t>, compacting each layer to</t>
    </r>
    <r>
      <rPr>
        <sz val="14"/>
        <rFont val="Calibri"/>
        <family val="2"/>
      </rPr>
      <t xml:space="preserve"> density control</t>
    </r>
    <r>
      <rPr>
        <sz val="14"/>
        <rFont val="Arial"/>
        <family val="2"/>
      </rPr>
      <t xml:space="preserve"> of</t>
    </r>
  </si>
  <si>
    <r>
      <rPr>
        <b/>
        <sz val="14"/>
        <rFont val="Arial"/>
        <family val="2"/>
      </rPr>
      <t xml:space="preserve">Providing </t>
    </r>
    <r>
      <rPr>
        <b/>
        <sz val="14"/>
        <rFont val="Calibri"/>
        <family val="2"/>
      </rPr>
      <t>semi-pervious / pervious casing</t>
    </r>
    <r>
      <rPr>
        <b/>
        <sz val="14"/>
        <rFont val="Arial"/>
        <family val="2"/>
      </rPr>
      <t xml:space="preserve"> embankment</t>
    </r>
    <r>
      <rPr>
        <sz val="14"/>
        <rFont val="Arial"/>
        <family val="2"/>
      </rPr>
      <t xml:space="preserve"> using soil from </t>
    </r>
    <r>
      <rPr>
        <b/>
        <sz val="14"/>
        <rFont val="Arial"/>
        <family val="2"/>
      </rPr>
      <t>approved</t>
    </r>
    <r>
      <rPr>
        <b/>
        <sz val="14"/>
        <rFont val="Calibri"/>
        <family val="2"/>
      </rPr>
      <t xml:space="preserve"> dump area</t>
    </r>
  </si>
  <si>
    <r>
      <t xml:space="preserve">thickness, breaking clods, sectioning, </t>
    </r>
    <r>
      <rPr>
        <b/>
        <sz val="14"/>
        <rFont val="Calibri"/>
        <family val="2"/>
      </rPr>
      <t>watering</t>
    </r>
    <r>
      <rPr>
        <sz val="14"/>
        <rFont val="Arial"/>
        <family val="2"/>
      </rPr>
      <t xml:space="preserve">, compacting each layer to </t>
    </r>
    <r>
      <rPr>
        <sz val="14"/>
        <rFont val="Calibri"/>
        <family val="2"/>
      </rPr>
      <t>density control of</t>
    </r>
  </si>
  <si>
    <r>
      <rPr>
        <b/>
        <sz val="14"/>
        <rFont val="Arial"/>
        <family val="2"/>
      </rPr>
      <t xml:space="preserve">Providing </t>
    </r>
    <r>
      <rPr>
        <b/>
        <sz val="14"/>
        <rFont val="Calibri"/>
        <family val="2"/>
      </rPr>
      <t>semi-pervious / pervious casing</t>
    </r>
    <r>
      <rPr>
        <b/>
        <sz val="14"/>
        <rFont val="Arial"/>
        <family val="2"/>
      </rPr>
      <t xml:space="preserve"> embankment</t>
    </r>
    <r>
      <rPr>
        <sz val="14"/>
        <rFont val="Arial"/>
        <family val="2"/>
      </rPr>
      <t xml:space="preserve"> using soil from </t>
    </r>
    <r>
      <rPr>
        <b/>
        <sz val="14"/>
        <rFont val="Arial"/>
        <family val="2"/>
      </rPr>
      <t>approved dump area</t>
    </r>
  </si>
  <si>
    <r>
      <rPr>
        <b/>
        <sz val="14"/>
        <rFont val="Arial"/>
        <family val="2"/>
      </rPr>
      <t xml:space="preserve">Providing </t>
    </r>
    <r>
      <rPr>
        <b/>
        <sz val="14"/>
        <rFont val="Calibri"/>
        <family val="2"/>
      </rPr>
      <t>impervious hearting</t>
    </r>
    <r>
      <rPr>
        <b/>
        <sz val="14"/>
        <rFont val="Arial"/>
        <family val="2"/>
      </rPr>
      <t xml:space="preserve"> embankment with soil</t>
    </r>
    <r>
      <rPr>
        <sz val="14"/>
        <rFont val="Arial"/>
        <family val="2"/>
      </rPr>
      <t xml:space="preserve"> </t>
    </r>
    <r>
      <rPr>
        <b/>
        <sz val="14"/>
        <rFont val="Arial"/>
        <family val="2"/>
      </rPr>
      <t>collected in embankment area</t>
    </r>
    <r>
      <rPr>
        <sz val="14"/>
        <rFont val="Arial"/>
        <family val="2"/>
      </rPr>
      <t xml:space="preserve"> in</t>
    </r>
  </si>
  <si>
    <r>
      <t xml:space="preserve">labour, all operations such as sortingout, spreading in </t>
    </r>
    <r>
      <rPr>
        <b/>
        <sz val="14"/>
        <rFont val="Arial"/>
        <family val="2"/>
      </rPr>
      <t>layer of 25  cm</t>
    </r>
    <r>
      <rPr>
        <sz val="14"/>
        <rFont val="Arial"/>
        <family val="2"/>
      </rPr>
      <t xml:space="preserve"> before compaction,</t>
    </r>
  </si>
  <si>
    <r>
      <t xml:space="preserve">breaking clods,sectioning, </t>
    </r>
    <r>
      <rPr>
        <b/>
        <sz val="14"/>
        <rFont val="Calibri"/>
        <family val="2"/>
      </rPr>
      <t>watering</t>
    </r>
    <r>
      <rPr>
        <sz val="14"/>
        <rFont val="Arial"/>
        <family val="2"/>
      </rPr>
      <t xml:space="preserve"> and compacting each layer to </t>
    </r>
    <r>
      <rPr>
        <sz val="14"/>
        <rFont val="Calibri"/>
        <family val="2"/>
      </rPr>
      <t xml:space="preserve">density control of </t>
    </r>
    <r>
      <rPr>
        <b/>
        <sz val="14"/>
        <rFont val="Calibri"/>
        <family val="2"/>
      </rPr>
      <t>not less</t>
    </r>
  </si>
  <si>
    <r>
      <rPr>
        <b/>
        <sz val="14"/>
        <rFont val="Arial"/>
        <family val="2"/>
      </rPr>
      <t xml:space="preserve">Providing </t>
    </r>
    <r>
      <rPr>
        <b/>
        <sz val="14"/>
        <rFont val="Calibri"/>
        <family val="2"/>
      </rPr>
      <t>impervious hearting</t>
    </r>
    <r>
      <rPr>
        <b/>
        <sz val="14"/>
        <rFont val="Arial"/>
        <family val="2"/>
      </rPr>
      <t xml:space="preserve"> embankment with </t>
    </r>
    <r>
      <rPr>
        <b/>
        <sz val="14"/>
        <rFont val="Calibri"/>
        <family val="2"/>
      </rPr>
      <t>soil</t>
    </r>
    <r>
      <rPr>
        <sz val="14"/>
        <rFont val="Calibri"/>
        <family val="2"/>
      </rPr>
      <t xml:space="preserve"> </t>
    </r>
    <r>
      <rPr>
        <b/>
        <sz val="14"/>
        <rFont val="Calibri"/>
        <family val="2"/>
      </rPr>
      <t>collected in embankment area</t>
    </r>
    <r>
      <rPr>
        <sz val="14"/>
        <rFont val="Arial"/>
        <family val="2"/>
      </rPr>
      <t xml:space="preserve"> in</t>
    </r>
  </si>
  <si>
    <r>
      <t xml:space="preserve">labour, all operations such as sortingout, spreading in </t>
    </r>
    <r>
      <rPr>
        <b/>
        <sz val="14"/>
        <rFont val="Arial"/>
        <family val="2"/>
      </rPr>
      <t>layer of 25 cm</t>
    </r>
    <r>
      <rPr>
        <sz val="14"/>
        <rFont val="Arial"/>
        <family val="2"/>
      </rPr>
      <t xml:space="preserve"> before compaction,</t>
    </r>
  </si>
  <si>
    <r>
      <t xml:space="preserve">breaking clods,sectioning, </t>
    </r>
    <r>
      <rPr>
        <b/>
        <sz val="14"/>
        <rFont val="Calibri"/>
        <family val="2"/>
      </rPr>
      <t>watering</t>
    </r>
    <r>
      <rPr>
        <sz val="14"/>
        <rFont val="Arial"/>
        <family val="2"/>
      </rPr>
      <t xml:space="preserve"> and compacting each layer to density control of </t>
    </r>
    <r>
      <rPr>
        <b/>
        <sz val="14"/>
        <rFont val="Arial"/>
        <family val="2"/>
      </rPr>
      <t>not less</t>
    </r>
  </si>
  <si>
    <r>
      <t xml:space="preserve">Providing </t>
    </r>
    <r>
      <rPr>
        <b/>
        <sz val="14"/>
        <rFont val="Calibri"/>
        <family val="2"/>
      </rPr>
      <t>semi-pervious / pervious casing</t>
    </r>
    <r>
      <rPr>
        <b/>
        <sz val="14"/>
        <rFont val="Arial"/>
        <family val="2"/>
      </rPr>
      <t xml:space="preserve"> hearting embankment using </t>
    </r>
    <r>
      <rPr>
        <b/>
        <sz val="14"/>
        <rFont val="Calibri"/>
        <family val="2"/>
      </rPr>
      <t>soil collected in</t>
    </r>
  </si>
  <si>
    <r>
      <rPr>
        <b/>
        <sz val="14"/>
        <rFont val="Arial"/>
        <family val="2"/>
      </rPr>
      <t>heaps in embankment area</t>
    </r>
    <r>
      <rPr>
        <sz val="14"/>
        <rFont val="Arial"/>
        <family val="2"/>
      </rPr>
      <t xml:space="preserve"> as part of disposal of excavated soil from canal including cost of</t>
    </r>
  </si>
  <si>
    <r>
      <t xml:space="preserve">all materials, machinery, labour, all operations such as sorting-out, spreading in </t>
    </r>
    <r>
      <rPr>
        <b/>
        <sz val="14"/>
        <rFont val="Arial"/>
        <family val="2"/>
      </rPr>
      <t>layers of 25</t>
    </r>
  </si>
  <si>
    <r>
      <rPr>
        <b/>
        <sz val="14"/>
        <rFont val="Arial"/>
        <family val="2"/>
      </rPr>
      <t xml:space="preserve"> cm</t>
    </r>
    <r>
      <rPr>
        <sz val="14"/>
        <rFont val="Arial"/>
        <family val="2"/>
      </rPr>
      <t xml:space="preserve"> before compaction, breaking clods, sectioning, </t>
    </r>
    <r>
      <rPr>
        <b/>
        <sz val="14"/>
        <rFont val="Calibri"/>
        <family val="2"/>
      </rPr>
      <t>watering</t>
    </r>
    <r>
      <rPr>
        <sz val="14"/>
        <rFont val="Arial"/>
        <family val="2"/>
      </rPr>
      <t xml:space="preserve"> and compacting each layer</t>
    </r>
  </si>
  <si>
    <r>
      <t xml:space="preserve">Providing </t>
    </r>
    <r>
      <rPr>
        <b/>
        <sz val="14"/>
        <rFont val="Calibri"/>
        <family val="2"/>
      </rPr>
      <t>semi-pervious / pervious casing</t>
    </r>
    <r>
      <rPr>
        <b/>
        <sz val="14"/>
        <rFont val="Arial"/>
        <family val="2"/>
      </rPr>
      <t xml:space="preserve"> embankment using </t>
    </r>
    <r>
      <rPr>
        <b/>
        <sz val="14"/>
        <rFont val="Calibri"/>
        <family val="2"/>
      </rPr>
      <t>soil collected in heaps in</t>
    </r>
  </si>
  <si>
    <r>
      <rPr>
        <b/>
        <sz val="14"/>
        <rFont val="Arial"/>
        <family val="2"/>
      </rPr>
      <t>embankment area</t>
    </r>
    <r>
      <rPr>
        <sz val="14"/>
        <rFont val="Arial"/>
        <family val="2"/>
      </rPr>
      <t xml:space="preserve"> as part of disposal of excavated soil from canal including cost of all</t>
    </r>
  </si>
  <si>
    <r>
      <t xml:space="preserve">materials, machinery, labour, all operations such as sorting-out, spreading in </t>
    </r>
    <r>
      <rPr>
        <b/>
        <sz val="14"/>
        <rFont val="Arial"/>
        <family val="2"/>
      </rPr>
      <t>layers of 25</t>
    </r>
  </si>
  <si>
    <r>
      <t xml:space="preserve"> </t>
    </r>
    <r>
      <rPr>
        <b/>
        <sz val="14"/>
        <rFont val="Arial"/>
        <family val="2"/>
      </rPr>
      <t>cm</t>
    </r>
    <r>
      <rPr>
        <sz val="14"/>
        <rFont val="Arial"/>
        <family val="2"/>
      </rPr>
      <t xml:space="preserve"> before compaction, breaking clods, sectioning and compacting each </t>
    </r>
    <r>
      <rPr>
        <sz val="14"/>
        <rFont val="Calibri"/>
        <family val="2"/>
      </rPr>
      <t xml:space="preserve">layer </t>
    </r>
    <r>
      <rPr>
        <b/>
        <sz val="14"/>
        <rFont val="Calibri"/>
        <family val="2"/>
      </rPr>
      <t>without</t>
    </r>
  </si>
  <si>
    <r>
      <rPr>
        <b/>
        <sz val="14"/>
        <rFont val="Arial"/>
        <family val="2"/>
      </rPr>
      <t xml:space="preserve">Providing compacted embankment for </t>
    </r>
    <r>
      <rPr>
        <b/>
        <sz val="14"/>
        <rFont val="Calibri"/>
        <family val="2"/>
      </rPr>
      <t>field irrigation channels</t>
    </r>
    <r>
      <rPr>
        <b/>
        <sz val="14"/>
        <rFont val="Arial"/>
        <family val="2"/>
      </rPr>
      <t xml:space="preserve"> with gravely soil</t>
    </r>
    <r>
      <rPr>
        <sz val="14"/>
        <rFont val="Arial"/>
        <family val="2"/>
      </rPr>
      <t xml:space="preserve"> from</t>
    </r>
  </si>
  <si>
    <r>
      <rPr>
        <b/>
        <sz val="14"/>
        <rFont val="Arial"/>
        <family val="2"/>
      </rPr>
      <t>approved borrow area</t>
    </r>
    <r>
      <rPr>
        <sz val="14"/>
        <rFont val="Arial"/>
        <family val="2"/>
      </rPr>
      <t xml:space="preserve"> including sorting out, spreading in </t>
    </r>
    <r>
      <rPr>
        <b/>
        <sz val="14"/>
        <rFont val="Arial"/>
        <family val="2"/>
      </rPr>
      <t>layers of 15 cm</t>
    </r>
    <r>
      <rPr>
        <sz val="14"/>
        <rFont val="Arial"/>
        <family val="2"/>
      </rPr>
      <t xml:space="preserve"> thickness, breaking</t>
    </r>
  </si>
  <si>
    <r>
      <t xml:space="preserve">clods, </t>
    </r>
    <r>
      <rPr>
        <b/>
        <sz val="14"/>
        <rFont val="Arial"/>
        <family val="2"/>
      </rPr>
      <t>watering</t>
    </r>
    <r>
      <rPr>
        <sz val="14"/>
        <rFont val="Arial"/>
        <family val="2"/>
      </rPr>
      <t xml:space="preserve">, compacting, dressing sides to required slopes etc.,complete </t>
    </r>
    <r>
      <rPr>
        <b/>
        <sz val="14"/>
        <rFont val="Arial"/>
        <family val="2"/>
      </rPr>
      <t>with lead upto</t>
    </r>
  </si>
  <si>
    <r>
      <t xml:space="preserve">Providing </t>
    </r>
    <r>
      <rPr>
        <b/>
        <sz val="14"/>
        <rFont val="Calibri"/>
        <family val="2"/>
      </rPr>
      <t>rubble and sand filling</t>
    </r>
    <r>
      <rPr>
        <b/>
        <sz val="14"/>
        <rFont val="Arial"/>
        <family val="2"/>
      </rPr>
      <t xml:space="preserve"> in layers of 22.5 to 30 cm</t>
    </r>
    <r>
      <rPr>
        <sz val="14"/>
        <rFont val="Arial"/>
        <family val="2"/>
      </rPr>
      <t xml:space="preserve"> including cost of all materials,</t>
    </r>
  </si>
  <si>
    <r>
      <t xml:space="preserve">machinery, labour, watering, ramming etc., complete </t>
    </r>
    <r>
      <rPr>
        <b/>
        <sz val="14"/>
        <rFont val="Arial"/>
        <family val="2"/>
      </rPr>
      <t xml:space="preserve">with initial </t>
    </r>
    <r>
      <rPr>
        <b/>
        <sz val="14"/>
        <rFont val="Calibri"/>
        <family val="2"/>
      </rPr>
      <t>lead upto 50 m and all lifts.</t>
    </r>
  </si>
  <si>
    <r>
      <rPr>
        <b/>
        <sz val="14"/>
        <rFont val="Arial"/>
        <family val="2"/>
      </rPr>
      <t xml:space="preserve">Providing </t>
    </r>
    <r>
      <rPr>
        <b/>
        <sz val="14"/>
        <rFont val="Calibri"/>
        <family val="2"/>
      </rPr>
      <t>rubble and Murum filling</t>
    </r>
    <r>
      <rPr>
        <b/>
        <sz val="14"/>
        <rFont val="Arial"/>
        <family val="2"/>
      </rPr>
      <t xml:space="preserve"> in layers of 22.5 to 30 cm</t>
    </r>
    <r>
      <rPr>
        <sz val="14"/>
        <rFont val="Arial"/>
        <family val="2"/>
      </rPr>
      <t xml:space="preserve"> including cost of all materials,</t>
    </r>
  </si>
  <si>
    <r>
      <t xml:space="preserve">machinery, labour, watering, ramming etc., complete with </t>
    </r>
    <r>
      <rPr>
        <b/>
        <sz val="14"/>
        <rFont val="Arial"/>
        <family val="2"/>
      </rPr>
      <t xml:space="preserve">initial </t>
    </r>
    <r>
      <rPr>
        <b/>
        <sz val="14"/>
        <rFont val="Calibri"/>
        <family val="2"/>
      </rPr>
      <t>lead upto 50 m and all lifts.</t>
    </r>
  </si>
  <si>
    <r>
      <rPr>
        <b/>
        <sz val="14"/>
        <rFont val="Arial"/>
        <family val="2"/>
      </rPr>
      <t xml:space="preserve">Providing and </t>
    </r>
    <r>
      <rPr>
        <b/>
        <sz val="14"/>
        <rFont val="Calibri"/>
        <family val="2"/>
      </rPr>
      <t>laying 25 cm thick sand blanket</t>
    </r>
    <r>
      <rPr>
        <b/>
        <sz val="14"/>
        <rFont val="Arial"/>
        <family val="2"/>
      </rPr>
      <t xml:space="preserve"> below embankment</t>
    </r>
    <r>
      <rPr>
        <sz val="14"/>
        <rFont val="Arial"/>
        <family val="2"/>
      </rPr>
      <t xml:space="preserve"> including cost of all</t>
    </r>
  </si>
  <si>
    <r>
      <t xml:space="preserve">materials, machinery, labour, spreading to specified thickness etc., complete with initial </t>
    </r>
    <r>
      <rPr>
        <sz val="14"/>
        <rFont val="Calibri"/>
        <family val="2"/>
      </rPr>
      <t>lead</t>
    </r>
  </si>
  <si>
    <r>
      <rPr>
        <b/>
        <sz val="14"/>
        <rFont val="Arial"/>
        <family val="2"/>
      </rPr>
      <t>Providing and laying</t>
    </r>
    <r>
      <rPr>
        <b/>
        <sz val="14"/>
        <rFont val="Calibri"/>
        <family val="2"/>
      </rPr>
      <t xml:space="preserve"> sand blanket</t>
    </r>
    <r>
      <rPr>
        <b/>
        <sz val="14"/>
        <rFont val="Arial"/>
        <family val="2"/>
      </rPr>
      <t xml:space="preserve"> below embankment</t>
    </r>
    <r>
      <rPr>
        <sz val="14"/>
        <rFont val="Arial"/>
        <family val="2"/>
      </rPr>
      <t xml:space="preserve"> including cost of all</t>
    </r>
  </si>
  <si>
    <r>
      <t xml:space="preserve">and stone chips, finishing top and sides to required slopes etc., complete with initial </t>
    </r>
    <r>
      <rPr>
        <sz val="14"/>
        <rFont val="Calibri"/>
        <family val="2"/>
      </rPr>
      <t>lead upto</t>
    </r>
  </si>
  <si>
    <r>
      <t xml:space="preserve">Consider </t>
    </r>
    <r>
      <rPr>
        <sz val="14"/>
        <rFont val="Calibri"/>
        <family val="2"/>
      </rPr>
      <t>100 cum</t>
    </r>
    <r>
      <rPr>
        <sz val="14"/>
        <rFont val="Arial"/>
        <family val="2"/>
      </rPr>
      <t xml:space="preserve"> rock toe:</t>
    </r>
  </si>
  <si>
    <r>
      <rPr>
        <b/>
        <sz val="14"/>
        <rFont val="Arial"/>
        <family val="2"/>
      </rPr>
      <t xml:space="preserve">Providing and constructing </t>
    </r>
    <r>
      <rPr>
        <b/>
        <sz val="14"/>
        <rFont val="Calibri"/>
        <family val="2"/>
      </rPr>
      <t>longitudinal and cross graded filter drains</t>
    </r>
    <r>
      <rPr>
        <sz val="14"/>
        <rFont val="Arial"/>
        <family val="2"/>
      </rPr>
      <t xml:space="preserve"> using sand and</t>
    </r>
  </si>
  <si>
    <r>
      <t xml:space="preserve">complete with initial </t>
    </r>
    <r>
      <rPr>
        <b/>
        <sz val="14"/>
        <rFont val="Calibri"/>
        <family val="2"/>
      </rPr>
      <t>lead upto 50 m and all lifts.</t>
    </r>
  </si>
  <si>
    <r>
      <rPr>
        <b/>
        <sz val="14"/>
        <rFont val="Arial"/>
        <family val="2"/>
      </rPr>
      <t xml:space="preserve">Laying </t>
    </r>
    <r>
      <rPr>
        <b/>
        <sz val="14"/>
        <rFont val="Calibri"/>
        <family val="2"/>
      </rPr>
      <t>Longitudinal Drains and Transverse drains</t>
    </r>
    <r>
      <rPr>
        <b/>
        <sz val="14"/>
        <rFont val="Arial"/>
        <family val="2"/>
      </rPr>
      <t xml:space="preserve"> of Size 600 x600 x750 mm in Bed</t>
    </r>
    <r>
      <rPr>
        <sz val="14"/>
        <rFont val="Arial"/>
        <family val="2"/>
      </rPr>
      <t xml:space="preserve"> and</t>
    </r>
  </si>
  <si>
    <r>
      <t xml:space="preserve">Excavation of drains and Cost of procuring of all materials </t>
    </r>
    <r>
      <rPr>
        <b/>
        <sz val="14"/>
        <rFont val="Calibri"/>
        <family val="2"/>
      </rPr>
      <t>including 50 m lead and for all lifts.</t>
    </r>
  </si>
  <si>
    <r>
      <rPr>
        <b/>
        <sz val="14"/>
        <rFont val="Arial"/>
        <family val="2"/>
      </rPr>
      <t xml:space="preserve">Providing and constructing 0.50 m thick </t>
    </r>
    <r>
      <rPr>
        <b/>
        <sz val="14"/>
        <rFont val="Calibri"/>
        <family val="2"/>
      </rPr>
      <t>vertical or inclined graded filter</t>
    </r>
    <r>
      <rPr>
        <b/>
        <sz val="14"/>
        <rFont val="Arial"/>
        <family val="2"/>
      </rPr>
      <t xml:space="preserve"> media</t>
    </r>
    <r>
      <rPr>
        <sz val="14"/>
        <rFont val="Arial"/>
        <family val="2"/>
      </rPr>
      <t xml:space="preserve"> consisting of</t>
    </r>
  </si>
  <si>
    <r>
      <t xml:space="preserve">machinery, labour, laying to required slope, compaction etc., complete with </t>
    </r>
    <r>
      <rPr>
        <sz val="14"/>
        <rFont val="Calibri"/>
        <family val="2"/>
      </rPr>
      <t>initial lead upto</t>
    </r>
  </si>
  <si>
    <r>
      <t xml:space="preserve">laying to required slope, compaction etc., complete </t>
    </r>
    <r>
      <rPr>
        <b/>
        <sz val="14"/>
        <rFont val="Arial"/>
        <family val="2"/>
      </rPr>
      <t xml:space="preserve">with </t>
    </r>
    <r>
      <rPr>
        <b/>
        <sz val="14"/>
        <rFont val="Calibri"/>
        <family val="2"/>
      </rPr>
      <t>initial lead upto 50 m and all lifts.</t>
    </r>
  </si>
  <si>
    <r>
      <rPr>
        <b/>
        <sz val="14"/>
        <rFont val="Arial"/>
        <family val="2"/>
      </rPr>
      <t xml:space="preserve">Providing and laying </t>
    </r>
    <r>
      <rPr>
        <b/>
        <sz val="14"/>
        <rFont val="Calibri"/>
        <family val="2"/>
      </rPr>
      <t>filter media consisting of 2 layers of</t>
    </r>
    <r>
      <rPr>
        <b/>
        <sz val="14"/>
        <rFont val="Arial"/>
        <family val="2"/>
      </rPr>
      <t xml:space="preserve"> poly-propeline</t>
    </r>
    <r>
      <rPr>
        <sz val="14"/>
        <rFont val="Arial"/>
        <family val="2"/>
      </rPr>
      <t xml:space="preserve"> nonwoven </t>
    </r>
    <r>
      <rPr>
        <sz val="14"/>
        <rFont val="Calibri"/>
        <family val="2"/>
      </rPr>
      <t>filter</t>
    </r>
  </si>
  <si>
    <r>
      <t xml:space="preserve">fabric and 200 mm thick </t>
    </r>
    <r>
      <rPr>
        <sz val="14"/>
        <rFont val="Calibri"/>
        <family val="2"/>
      </rPr>
      <t>20 mm down graded coarse aggregate</t>
    </r>
    <r>
      <rPr>
        <sz val="14"/>
        <rFont val="Arial"/>
        <family val="2"/>
      </rPr>
      <t xml:space="preserve"> for embankment including</t>
    </r>
  </si>
  <si>
    <r>
      <t xml:space="preserve">cost of all materials, machinery, labour, forming toe drain etc., </t>
    </r>
    <r>
      <rPr>
        <b/>
        <sz val="14"/>
        <rFont val="Arial"/>
        <family val="2"/>
      </rPr>
      <t xml:space="preserve">complete with </t>
    </r>
    <r>
      <rPr>
        <b/>
        <sz val="14"/>
        <rFont val="Calibri"/>
        <family val="2"/>
      </rPr>
      <t>lead upto 50 m</t>
    </r>
  </si>
  <si>
    <r>
      <rPr>
        <b/>
        <sz val="14"/>
        <rFont val="Arial"/>
        <family val="2"/>
      </rPr>
      <t xml:space="preserve">Providing and </t>
    </r>
    <r>
      <rPr>
        <b/>
        <sz val="14"/>
        <rFont val="Calibri"/>
        <family val="2"/>
      </rPr>
      <t>laying filter media consisting of</t>
    </r>
    <r>
      <rPr>
        <b/>
        <sz val="14"/>
        <rFont val="Arial"/>
        <family val="2"/>
      </rPr>
      <t xml:space="preserve"> 2 layers of poly-propeline</t>
    </r>
    <r>
      <rPr>
        <sz val="14"/>
        <rFont val="Arial"/>
        <family val="2"/>
      </rPr>
      <t xml:space="preserve"> nonwoven </t>
    </r>
    <r>
      <rPr>
        <sz val="14"/>
        <rFont val="Calibri"/>
        <family val="2"/>
      </rPr>
      <t>filter</t>
    </r>
  </si>
  <si>
    <r>
      <t xml:space="preserve">cost of all materials, machinery, labour, forming toe drain etc., complete with </t>
    </r>
    <r>
      <rPr>
        <sz val="14"/>
        <rFont val="Calibri"/>
        <family val="2"/>
      </rPr>
      <t>lead upto 50 m</t>
    </r>
  </si>
  <si>
    <r>
      <t xml:space="preserve">for aggregate and </t>
    </r>
    <r>
      <rPr>
        <b/>
        <sz val="14"/>
        <rFont val="Arial"/>
        <family val="2"/>
      </rPr>
      <t>all leads for fabric and all lifts.</t>
    </r>
  </si>
  <si>
    <r>
      <t xml:space="preserve">Providing and </t>
    </r>
    <r>
      <rPr>
        <b/>
        <sz val="14"/>
        <rFont val="Arial"/>
        <family val="2"/>
      </rPr>
      <t xml:space="preserve">constructing </t>
    </r>
    <r>
      <rPr>
        <b/>
        <sz val="14"/>
        <rFont val="Calibri"/>
        <family val="2"/>
      </rPr>
      <t>rockfill casing</t>
    </r>
    <r>
      <rPr>
        <b/>
        <sz val="14"/>
        <rFont val="Arial"/>
        <family val="2"/>
      </rPr>
      <t xml:space="preserve"> to canal embankment</t>
    </r>
    <r>
      <rPr>
        <sz val="14"/>
        <rFont val="Arial"/>
        <family val="2"/>
      </rPr>
      <t xml:space="preserve"> with graded stones and</t>
    </r>
  </si>
  <si>
    <r>
      <t xml:space="preserve">spalls from </t>
    </r>
    <r>
      <rPr>
        <b/>
        <sz val="14"/>
        <rFont val="Arial"/>
        <family val="2"/>
      </rPr>
      <t>approved quarry</t>
    </r>
    <r>
      <rPr>
        <sz val="14"/>
        <rFont val="Arial"/>
        <family val="2"/>
      </rPr>
      <t xml:space="preserve"> including cost of all materials, machinery, labour, spreading</t>
    </r>
  </si>
  <si>
    <r>
      <t xml:space="preserve">Providing and </t>
    </r>
    <r>
      <rPr>
        <b/>
        <sz val="14"/>
        <rFont val="Arial"/>
        <family val="2"/>
      </rPr>
      <t xml:space="preserve">constructing </t>
    </r>
    <r>
      <rPr>
        <b/>
        <sz val="14"/>
        <rFont val="Calibri"/>
        <family val="2"/>
      </rPr>
      <t>rockfill casing</t>
    </r>
    <r>
      <rPr>
        <b/>
        <sz val="14"/>
        <rFont val="Arial"/>
        <family val="2"/>
      </rPr>
      <t xml:space="preserve"> to canal embankment</t>
    </r>
    <r>
      <rPr>
        <sz val="14"/>
        <rFont val="Arial"/>
        <family val="2"/>
      </rPr>
      <t xml:space="preserve"> with graded </t>
    </r>
    <r>
      <rPr>
        <sz val="14"/>
        <rFont val="Calibri"/>
        <family val="2"/>
      </rPr>
      <t>stones and</t>
    </r>
  </si>
  <si>
    <r>
      <t xml:space="preserve">spalls </t>
    </r>
    <r>
      <rPr>
        <b/>
        <sz val="14"/>
        <rFont val="Arial"/>
        <family val="2"/>
      </rPr>
      <t>available in dump yard (spoil bank)</t>
    </r>
    <r>
      <rPr>
        <sz val="14"/>
        <rFont val="Arial"/>
        <family val="2"/>
      </rPr>
      <t xml:space="preserve"> including cost of all materials, machinery, labour, spreading</t>
    </r>
  </si>
  <si>
    <r>
      <rPr>
        <b/>
        <sz val="14"/>
        <rFont val="Arial"/>
        <family val="2"/>
      </rPr>
      <t xml:space="preserve">Providing </t>
    </r>
    <r>
      <rPr>
        <b/>
        <sz val="14"/>
        <rFont val="Calibri"/>
        <family val="2"/>
      </rPr>
      <t>cohesive non-swelling ( CNS ) soil</t>
    </r>
    <r>
      <rPr>
        <b/>
        <sz val="14"/>
        <rFont val="Arial"/>
        <family val="2"/>
      </rPr>
      <t xml:space="preserve"> lining to canals</t>
    </r>
    <r>
      <rPr>
        <sz val="14"/>
        <rFont val="Arial"/>
        <family val="2"/>
      </rPr>
      <t xml:space="preserve"> using soil from </t>
    </r>
    <r>
      <rPr>
        <b/>
        <sz val="14"/>
        <rFont val="Arial"/>
        <family val="2"/>
      </rPr>
      <t>approved borrow</t>
    </r>
  </si>
  <si>
    <r>
      <rPr>
        <b/>
        <sz val="14"/>
        <rFont val="Arial"/>
        <family val="2"/>
      </rPr>
      <t>area</t>
    </r>
    <r>
      <rPr>
        <sz val="14"/>
        <rFont val="Arial"/>
        <family val="2"/>
      </rPr>
      <t xml:space="preserve"> including spreading soil in </t>
    </r>
    <r>
      <rPr>
        <b/>
        <sz val="14"/>
        <rFont val="Arial"/>
        <family val="2"/>
      </rPr>
      <t>layers of thickness</t>
    </r>
    <r>
      <rPr>
        <sz val="14"/>
        <rFont val="Arial"/>
        <family val="2"/>
      </rPr>
      <t xml:space="preserve"> </t>
    </r>
    <r>
      <rPr>
        <b/>
        <sz val="14"/>
        <rFont val="Arial"/>
        <family val="2"/>
      </rPr>
      <t>not more than 15 cm</t>
    </r>
    <r>
      <rPr>
        <sz val="14"/>
        <rFont val="Arial"/>
        <family val="2"/>
      </rPr>
      <t>, breaking clods,</t>
    </r>
  </si>
  <si>
    <r>
      <t xml:space="preserve">watering, compacting to </t>
    </r>
    <r>
      <rPr>
        <sz val="14"/>
        <rFont val="Calibri"/>
        <family val="2"/>
      </rPr>
      <t xml:space="preserve">density control of </t>
    </r>
    <r>
      <rPr>
        <b/>
        <sz val="14"/>
        <rFont val="Calibri"/>
        <family val="2"/>
      </rPr>
      <t>not less than 98 percent</t>
    </r>
    <r>
      <rPr>
        <sz val="14"/>
        <rFont val="Arial"/>
        <family val="2"/>
      </rPr>
      <t xml:space="preserve"> or as stipulated,</t>
    </r>
  </si>
  <si>
    <r>
      <t>dressing to required profile etc., complete</t>
    </r>
    <r>
      <rPr>
        <b/>
        <sz val="14"/>
        <rFont val="Arial"/>
        <family val="2"/>
      </rPr>
      <t xml:space="preserve"> with initial </t>
    </r>
    <r>
      <rPr>
        <b/>
        <sz val="14"/>
        <rFont val="Calibri"/>
        <family val="2"/>
      </rPr>
      <t>lead upto 1 km and all lifts.</t>
    </r>
  </si>
  <si>
    <r>
      <t>Consider 27 mazdoors for levelling</t>
    </r>
    <r>
      <rPr>
        <sz val="14"/>
        <rFont val="Calibri"/>
        <family val="2"/>
      </rPr>
      <t xml:space="preserve"> 551.6 cum</t>
    </r>
    <r>
      <rPr>
        <sz val="14"/>
        <rFont val="Arial"/>
        <family val="2"/>
      </rPr>
      <t xml:space="preserve"> </t>
    </r>
    <r>
      <rPr>
        <sz val="14"/>
        <rFont val="Calibri"/>
        <family val="2"/>
      </rPr>
      <t>soil including extra soil</t>
    </r>
    <r>
      <rPr>
        <sz val="14"/>
        <rFont val="Arial"/>
        <family val="2"/>
      </rPr>
      <t xml:space="preserve"> to be laid for roller</t>
    </r>
  </si>
  <si>
    <r>
      <rPr>
        <b/>
        <sz val="14"/>
        <rFont val="Arial"/>
        <family val="2"/>
      </rPr>
      <t xml:space="preserve">Providing </t>
    </r>
    <r>
      <rPr>
        <b/>
        <sz val="14"/>
        <rFont val="Calibri"/>
        <family val="2"/>
      </rPr>
      <t>cohesive non-swelling ( CNS )</t>
    </r>
    <r>
      <rPr>
        <b/>
        <sz val="14"/>
        <rFont val="Arial"/>
        <family val="2"/>
      </rPr>
      <t xml:space="preserve"> soil lining to canals</t>
    </r>
    <r>
      <rPr>
        <sz val="14"/>
        <rFont val="Arial"/>
        <family val="2"/>
      </rPr>
      <t xml:space="preserve"> using soil </t>
    </r>
    <r>
      <rPr>
        <sz val="14"/>
        <rFont val="Calibri"/>
        <family val="2"/>
      </rPr>
      <t xml:space="preserve">from </t>
    </r>
    <r>
      <rPr>
        <b/>
        <sz val="14"/>
        <rFont val="Calibri"/>
        <family val="2"/>
      </rPr>
      <t>approved borrow</t>
    </r>
  </si>
  <si>
    <r>
      <rPr>
        <b/>
        <sz val="14"/>
        <rFont val="Arial"/>
        <family val="2"/>
      </rPr>
      <t>area</t>
    </r>
    <r>
      <rPr>
        <sz val="14"/>
        <rFont val="Arial"/>
        <family val="2"/>
      </rPr>
      <t xml:space="preserve"> including spreading soil in layers of thickness </t>
    </r>
    <r>
      <rPr>
        <b/>
        <sz val="14"/>
        <rFont val="Arial"/>
        <family val="2"/>
      </rPr>
      <t>not more than 15 cm</t>
    </r>
    <r>
      <rPr>
        <sz val="14"/>
        <rFont val="Arial"/>
        <family val="2"/>
      </rPr>
      <t>, breaking clods,</t>
    </r>
  </si>
  <si>
    <r>
      <t xml:space="preserve">watering, compacting to </t>
    </r>
    <r>
      <rPr>
        <sz val="14"/>
        <rFont val="Calibri"/>
        <family val="2"/>
      </rPr>
      <t xml:space="preserve">density control of </t>
    </r>
    <r>
      <rPr>
        <b/>
        <sz val="14"/>
        <rFont val="Calibri"/>
        <family val="2"/>
      </rPr>
      <t>not less than 95 percent</t>
    </r>
    <r>
      <rPr>
        <sz val="14"/>
        <rFont val="Arial"/>
        <family val="2"/>
      </rPr>
      <t xml:space="preserve"> or as stipulated,</t>
    </r>
  </si>
  <si>
    <r>
      <t xml:space="preserve">dressing to required profile etc., complete </t>
    </r>
    <r>
      <rPr>
        <b/>
        <sz val="14"/>
        <rFont val="Arial"/>
        <family val="2"/>
      </rPr>
      <t xml:space="preserve">with initial </t>
    </r>
    <r>
      <rPr>
        <b/>
        <sz val="14"/>
        <rFont val="Calibri"/>
        <family val="2"/>
      </rPr>
      <t>lead upto 1 km and all lifts</t>
    </r>
    <r>
      <rPr>
        <b/>
        <sz val="14"/>
        <rFont val="Arial"/>
        <family val="2"/>
      </rPr>
      <t>.</t>
    </r>
  </si>
  <si>
    <r>
      <rPr>
        <b/>
        <sz val="14"/>
        <rFont val="Arial"/>
        <family val="2"/>
      </rPr>
      <t xml:space="preserve">Providing </t>
    </r>
    <r>
      <rPr>
        <b/>
        <sz val="14"/>
        <rFont val="Calibri"/>
        <family val="2"/>
      </rPr>
      <t>cohesive non-swelling ( CNS ) soil</t>
    </r>
    <r>
      <rPr>
        <b/>
        <sz val="14"/>
        <rFont val="Arial"/>
        <family val="2"/>
      </rPr>
      <t xml:space="preserve"> lining to canal</t>
    </r>
    <r>
      <rPr>
        <sz val="14"/>
        <rFont val="Arial"/>
        <family val="2"/>
      </rPr>
      <t xml:space="preserve"> </t>
    </r>
    <r>
      <rPr>
        <sz val="14"/>
        <rFont val="Calibri"/>
        <family val="2"/>
      </rPr>
      <t>using</t>
    </r>
    <r>
      <rPr>
        <sz val="14"/>
        <rFont val="Arial"/>
        <family val="2"/>
      </rPr>
      <t xml:space="preserve"> </t>
    </r>
    <r>
      <rPr>
        <b/>
        <sz val="14"/>
        <rFont val="Arial"/>
        <family val="2"/>
      </rPr>
      <t>soil collected in heaps</t>
    </r>
  </si>
  <si>
    <r>
      <t xml:space="preserve">along the edge of canal requiring CNS soil lining as part of the disposal of excavated </t>
    </r>
    <r>
      <rPr>
        <sz val="14"/>
        <rFont val="Calibri"/>
        <family val="2"/>
      </rPr>
      <t>soil from</t>
    </r>
  </si>
  <si>
    <r>
      <t xml:space="preserve">canal excavation in CNS soil reach including spreading in </t>
    </r>
    <r>
      <rPr>
        <b/>
        <sz val="14"/>
        <rFont val="Arial"/>
        <family val="2"/>
      </rPr>
      <t>layers of thickness not more than</t>
    </r>
  </si>
  <si>
    <r>
      <rPr>
        <b/>
        <sz val="14"/>
        <rFont val="Arial"/>
        <family val="2"/>
      </rPr>
      <t>15 cm</t>
    </r>
    <r>
      <rPr>
        <sz val="14"/>
        <rFont val="Arial"/>
        <family val="2"/>
      </rPr>
      <t xml:space="preserve">, breaking clods, watering, compacting to </t>
    </r>
    <r>
      <rPr>
        <sz val="14"/>
        <rFont val="Calibri"/>
        <family val="2"/>
      </rPr>
      <t xml:space="preserve">density control of </t>
    </r>
    <r>
      <rPr>
        <b/>
        <sz val="14"/>
        <rFont val="Calibri"/>
        <family val="2"/>
      </rPr>
      <t>not less than 95 percent</t>
    </r>
  </si>
  <si>
    <r>
      <t xml:space="preserve">or as stipulated, dressing to required profile etc., complete </t>
    </r>
    <r>
      <rPr>
        <sz val="14"/>
        <rFont val="Calibri"/>
        <family val="2"/>
      </rPr>
      <t xml:space="preserve">with </t>
    </r>
    <r>
      <rPr>
        <b/>
        <sz val="14"/>
        <rFont val="Calibri"/>
        <family val="2"/>
      </rPr>
      <t>lead upto upto 50 m and all</t>
    </r>
  </si>
  <si>
    <r>
      <t>For 394 cum finished lining 551.6 cum</t>
    </r>
    <r>
      <rPr>
        <sz val="14"/>
        <rFont val="Calibri"/>
        <family val="2"/>
      </rPr>
      <t>(40% of 394)</t>
    </r>
    <r>
      <rPr>
        <sz val="14"/>
        <rFont val="Arial"/>
        <family val="2"/>
      </rPr>
      <t xml:space="preserve"> soil is to be rehandled including extra soil to laid for roller</t>
    </r>
  </si>
  <si>
    <r>
      <t xml:space="preserve">Providing and </t>
    </r>
    <r>
      <rPr>
        <b/>
        <sz val="14"/>
        <rFont val="Arial"/>
        <family val="2"/>
      </rPr>
      <t>fixing 20 x 20 x 75 cm size top surface neatly dressed canal bed level</t>
    </r>
  </si>
  <si>
    <r>
      <rPr>
        <b/>
        <sz val="14"/>
        <rFont val="Arial"/>
        <family val="2"/>
      </rPr>
      <t>stones</t>
    </r>
    <r>
      <rPr>
        <sz val="14"/>
        <rFont val="Arial"/>
        <family val="2"/>
      </rPr>
      <t xml:space="preserve"> including cost of all materials, labour, excavation, fixing in position to correct level etc.,</t>
    </r>
  </si>
  <si>
    <r>
      <t>Providing,</t>
    </r>
    <r>
      <rPr>
        <sz val="14"/>
        <rFont val="Calibri"/>
        <family val="2"/>
      </rPr>
      <t xml:space="preserve"> fabricating and </t>
    </r>
    <r>
      <rPr>
        <b/>
        <sz val="14"/>
        <rFont val="Calibri"/>
        <family val="2"/>
      </rPr>
      <t>placing</t>
    </r>
    <r>
      <rPr>
        <b/>
        <sz val="14"/>
        <rFont val="Arial"/>
        <family val="2"/>
      </rPr>
      <t xml:space="preserve"> in position </t>
    </r>
    <r>
      <rPr>
        <b/>
        <sz val="14"/>
        <rFont val="Calibri"/>
        <family val="2"/>
      </rPr>
      <t>reinforcement steel</t>
    </r>
    <r>
      <rPr>
        <b/>
        <sz val="14"/>
        <rFont val="Arial"/>
        <family val="2"/>
      </rPr>
      <t xml:space="preserve"> bars for RCC works</t>
    </r>
  </si>
  <si>
    <r>
      <t xml:space="preserve">labour etc., complete </t>
    </r>
    <r>
      <rPr>
        <b/>
        <sz val="14"/>
        <rFont val="Arial"/>
        <family val="2"/>
      </rPr>
      <t xml:space="preserve">with initial </t>
    </r>
    <r>
      <rPr>
        <b/>
        <sz val="14"/>
        <rFont val="Calibri"/>
        <family val="2"/>
      </rPr>
      <t>lead upto 50 and all lifts.</t>
    </r>
  </si>
  <si>
    <r>
      <t xml:space="preserve">Providing and </t>
    </r>
    <r>
      <rPr>
        <b/>
        <sz val="14"/>
        <rFont val="Arial"/>
        <family val="2"/>
      </rPr>
      <t xml:space="preserve">laying </t>
    </r>
    <r>
      <rPr>
        <b/>
        <sz val="14"/>
        <rFont val="Calibri"/>
        <family val="2"/>
      </rPr>
      <t>75 mm</t>
    </r>
    <r>
      <rPr>
        <b/>
        <sz val="14"/>
        <rFont val="Arial"/>
        <family val="2"/>
      </rPr>
      <t xml:space="preserve"> thick in-situ </t>
    </r>
    <r>
      <rPr>
        <b/>
        <sz val="14"/>
        <rFont val="Calibri"/>
        <family val="2"/>
      </rPr>
      <t>M-15</t>
    </r>
    <r>
      <rPr>
        <sz val="14"/>
        <rFont val="Calibri"/>
        <family val="2"/>
      </rPr>
      <t xml:space="preserve"> (</t>
    </r>
    <r>
      <rPr>
        <sz val="14"/>
        <rFont val="Arial"/>
        <family val="2"/>
      </rPr>
      <t xml:space="preserve"> 28 days cube compressive strength not less</t>
    </r>
  </si>
  <si>
    <r>
      <t xml:space="preserve">than 15 N / sqmm ) grade cement concrete with </t>
    </r>
    <r>
      <rPr>
        <b/>
        <sz val="14"/>
        <rFont val="Calibri"/>
        <family val="2"/>
      </rPr>
      <t>20 mm down size</t>
    </r>
    <r>
      <rPr>
        <sz val="14"/>
        <rFont val="Arial"/>
        <family val="2"/>
      </rPr>
      <t xml:space="preserve"> approved, clean, hard,</t>
    </r>
  </si>
  <si>
    <r>
      <t xml:space="preserve">graded aggregates </t>
    </r>
    <r>
      <rPr>
        <b/>
        <sz val="14"/>
        <rFont val="Calibri"/>
        <family val="2"/>
      </rPr>
      <t>for canal lining</t>
    </r>
    <r>
      <rPr>
        <b/>
        <sz val="14"/>
        <rFont val="Arial"/>
        <family val="2"/>
      </rPr>
      <t xml:space="preserve"> using vibrating cylinder type mechanical paver</t>
    </r>
    <r>
      <rPr>
        <sz val="14"/>
        <rFont val="Arial"/>
        <family val="2"/>
      </rPr>
      <t xml:space="preserve"> including</t>
    </r>
  </si>
  <si>
    <r>
      <t xml:space="preserve">from one side to other side of canal etc., complete </t>
    </r>
    <r>
      <rPr>
        <b/>
        <sz val="14"/>
        <rFont val="Arial"/>
        <family val="2"/>
      </rPr>
      <t xml:space="preserve">with initial </t>
    </r>
    <r>
      <rPr>
        <b/>
        <sz val="14"/>
        <rFont val="Calibri"/>
        <family val="2"/>
      </rPr>
      <t>lead upto 1 km</t>
    </r>
    <r>
      <rPr>
        <b/>
        <sz val="14"/>
        <rFont val="Arial"/>
        <family val="2"/>
      </rPr>
      <t xml:space="preserve"> </t>
    </r>
    <r>
      <rPr>
        <b/>
        <sz val="14"/>
        <rFont val="Calibri"/>
        <family val="2"/>
      </rPr>
      <t>and all lifts</t>
    </r>
    <r>
      <rPr>
        <b/>
        <sz val="14"/>
        <rFont val="Arial"/>
        <family val="2"/>
      </rPr>
      <t>.</t>
    </r>
  </si>
  <si>
    <r>
      <t xml:space="preserve">Batching plant shifting &amp; re-erection considered at </t>
    </r>
    <r>
      <rPr>
        <sz val="14"/>
        <rFont val="Calibri"/>
        <family val="2"/>
      </rPr>
      <t xml:space="preserve">10 km </t>
    </r>
    <r>
      <rPr>
        <sz val="14"/>
        <rFont val="Arial"/>
        <family val="2"/>
      </rPr>
      <t>interval.</t>
    </r>
  </si>
  <si>
    <r>
      <t xml:space="preserve">Deploy </t>
    </r>
    <r>
      <rPr>
        <sz val="14"/>
        <rFont val="Calibri"/>
        <family val="2"/>
      </rPr>
      <t>20 cum</t>
    </r>
    <r>
      <rPr>
        <sz val="14"/>
        <rFont val="Arial"/>
        <family val="2"/>
      </rPr>
      <t xml:space="preserve"> </t>
    </r>
    <r>
      <rPr>
        <sz val="14"/>
        <rFont val="Calibri"/>
        <family val="2"/>
      </rPr>
      <t>per hour</t>
    </r>
    <r>
      <rPr>
        <sz val="14"/>
        <rFont val="Arial"/>
        <family val="2"/>
      </rPr>
      <t xml:space="preserve"> capacity Batching &amp; mixing plant.</t>
    </r>
  </si>
  <si>
    <r>
      <t>Deploy</t>
    </r>
    <r>
      <rPr>
        <sz val="14"/>
        <rFont val="Calibri"/>
        <family val="2"/>
      </rPr>
      <t xml:space="preserve"> 3 </t>
    </r>
    <r>
      <rPr>
        <sz val="14"/>
        <rFont val="Arial"/>
        <family val="2"/>
      </rPr>
      <t xml:space="preserve">Transit mixers of </t>
    </r>
    <r>
      <rPr>
        <sz val="14"/>
        <rFont val="Calibri"/>
        <family val="2"/>
      </rPr>
      <t>4 cum</t>
    </r>
    <r>
      <rPr>
        <sz val="14"/>
        <rFont val="Arial"/>
        <family val="2"/>
      </rPr>
      <t xml:space="preserve"> capacity for conveyance of CC from BP to Paver site.</t>
    </r>
  </si>
  <si>
    <r>
      <t xml:space="preserve">Quantity of 20 to 10 mm CA @ </t>
    </r>
    <r>
      <rPr>
        <sz val="14"/>
        <rFont val="Calibri"/>
        <family val="2"/>
      </rPr>
      <t>0.52</t>
    </r>
    <r>
      <rPr>
        <sz val="14"/>
        <rFont val="Arial"/>
        <family val="2"/>
      </rPr>
      <t xml:space="preserve"> cum / cum of CC</t>
    </r>
  </si>
  <si>
    <r>
      <t>Quantity of 10 to 4.75 mm CA @</t>
    </r>
    <r>
      <rPr>
        <sz val="14"/>
        <rFont val="Calibri"/>
        <family val="2"/>
      </rPr>
      <t xml:space="preserve"> 0.28</t>
    </r>
    <r>
      <rPr>
        <sz val="14"/>
        <rFont val="Arial"/>
        <family val="2"/>
      </rPr>
      <t xml:space="preserve"> cum / cum of CC</t>
    </r>
  </si>
  <si>
    <r>
      <t xml:space="preserve">Quantity of fine aggregate @ </t>
    </r>
    <r>
      <rPr>
        <sz val="14"/>
        <rFont val="Calibri"/>
        <family val="2"/>
      </rPr>
      <t>0.45</t>
    </r>
    <r>
      <rPr>
        <sz val="14"/>
        <rFont val="Arial"/>
        <family val="2"/>
      </rPr>
      <t xml:space="preserve"> cum / cum of CC</t>
    </r>
  </si>
  <si>
    <r>
      <t>Quantity of cement @ 300</t>
    </r>
    <r>
      <rPr>
        <sz val="14"/>
        <rFont val="Calibri"/>
        <family val="2"/>
      </rPr>
      <t xml:space="preserve"> kg / cum</t>
    </r>
    <r>
      <rPr>
        <sz val="14"/>
        <rFont val="Arial"/>
        <family val="2"/>
      </rPr>
      <t xml:space="preserve"> of CC</t>
    </r>
  </si>
  <si>
    <r>
      <t xml:space="preserve">Providing and </t>
    </r>
    <r>
      <rPr>
        <b/>
        <sz val="14"/>
        <rFont val="Arial"/>
        <family val="2"/>
      </rPr>
      <t xml:space="preserve">laying </t>
    </r>
    <r>
      <rPr>
        <b/>
        <sz val="14"/>
        <rFont val="Calibri"/>
        <family val="2"/>
      </rPr>
      <t>80 mm</t>
    </r>
    <r>
      <rPr>
        <b/>
        <sz val="14"/>
        <rFont val="Arial"/>
        <family val="2"/>
      </rPr>
      <t xml:space="preserve"> thick in-situ </t>
    </r>
    <r>
      <rPr>
        <b/>
        <sz val="14"/>
        <rFont val="Calibri"/>
        <family val="2"/>
      </rPr>
      <t>M-15</t>
    </r>
    <r>
      <rPr>
        <sz val="14"/>
        <rFont val="Calibri"/>
        <family val="2"/>
      </rPr>
      <t xml:space="preserve"> (</t>
    </r>
    <r>
      <rPr>
        <sz val="14"/>
        <rFont val="Arial"/>
        <family val="2"/>
      </rPr>
      <t xml:space="preserve"> 28 days cube compressive strength not less</t>
    </r>
  </si>
  <si>
    <r>
      <t>Quantity of 20 to 10 mm CA @</t>
    </r>
    <r>
      <rPr>
        <sz val="14"/>
        <rFont val="Calibri"/>
        <family val="2"/>
      </rPr>
      <t xml:space="preserve"> 0.28</t>
    </r>
    <r>
      <rPr>
        <sz val="14"/>
        <rFont val="Arial"/>
        <family val="2"/>
      </rPr>
      <t xml:space="preserve"> cum / cum of CC</t>
    </r>
  </si>
  <si>
    <r>
      <t xml:space="preserve">Providing  and </t>
    </r>
    <r>
      <rPr>
        <b/>
        <sz val="14"/>
        <rFont val="Arial"/>
        <family val="2"/>
      </rPr>
      <t>laying</t>
    </r>
    <r>
      <rPr>
        <b/>
        <sz val="14"/>
        <rFont val="Calibri"/>
        <family val="2"/>
      </rPr>
      <t xml:space="preserve"> 100 mm</t>
    </r>
    <r>
      <rPr>
        <b/>
        <sz val="14"/>
        <rFont val="Arial"/>
        <family val="2"/>
      </rPr>
      <t xml:space="preserve"> thick in situ </t>
    </r>
    <r>
      <rPr>
        <b/>
        <sz val="14"/>
        <rFont val="Calibri"/>
        <family val="2"/>
      </rPr>
      <t>M-15</t>
    </r>
    <r>
      <rPr>
        <sz val="14"/>
        <rFont val="Arial"/>
        <family val="2"/>
      </rPr>
      <t xml:space="preserve"> (28 days cube compressive strength not less than </t>
    </r>
  </si>
  <si>
    <r>
      <t xml:space="preserve">15 N /Sqmm ) grade cement concrete with </t>
    </r>
    <r>
      <rPr>
        <b/>
        <sz val="14"/>
        <rFont val="Calibri"/>
        <family val="2"/>
      </rPr>
      <t>20 mm</t>
    </r>
    <r>
      <rPr>
        <b/>
        <sz val="14"/>
        <rFont val="Arial"/>
        <family val="2"/>
      </rPr>
      <t xml:space="preserve"> down size</t>
    </r>
    <r>
      <rPr>
        <sz val="14"/>
        <rFont val="Arial"/>
        <family val="2"/>
      </rPr>
      <t xml:space="preserve"> approved, clean, hard, graded</t>
    </r>
  </si>
  <si>
    <r>
      <t xml:space="preserve">aggregates </t>
    </r>
    <r>
      <rPr>
        <b/>
        <sz val="14"/>
        <rFont val="Arial"/>
        <family val="2"/>
      </rPr>
      <t xml:space="preserve">for </t>
    </r>
    <r>
      <rPr>
        <b/>
        <sz val="14"/>
        <rFont val="Calibri"/>
        <family val="2"/>
      </rPr>
      <t>canal lining</t>
    </r>
    <r>
      <rPr>
        <b/>
        <sz val="14"/>
        <rFont val="Arial"/>
        <family val="2"/>
      </rPr>
      <t xml:space="preserve"> using, vibrating, cylinder type mechanical paver</t>
    </r>
    <r>
      <rPr>
        <sz val="14"/>
        <rFont val="Arial"/>
        <family val="2"/>
      </rPr>
      <t xml:space="preserve"> including  cost of all </t>
    </r>
  </si>
  <si>
    <r>
      <t xml:space="preserve">side of canal etc., complete </t>
    </r>
    <r>
      <rPr>
        <b/>
        <sz val="14"/>
        <rFont val="Arial"/>
        <family val="2"/>
      </rPr>
      <t xml:space="preserve">with </t>
    </r>
    <r>
      <rPr>
        <b/>
        <sz val="14"/>
        <rFont val="Calibri"/>
        <family val="2"/>
      </rPr>
      <t>initial lead upto 1 Km and all lifts.</t>
    </r>
  </si>
  <si>
    <r>
      <t xml:space="preserve">Batchning plant shifting &amp; re-erection considered at </t>
    </r>
    <r>
      <rPr>
        <sz val="14"/>
        <rFont val="Calibri"/>
        <family val="2"/>
      </rPr>
      <t>10 Km</t>
    </r>
    <r>
      <rPr>
        <sz val="14"/>
        <rFont val="Arial"/>
        <family val="2"/>
      </rPr>
      <t xml:space="preserve"> interval.</t>
    </r>
  </si>
  <si>
    <r>
      <t xml:space="preserve">Deploy </t>
    </r>
    <r>
      <rPr>
        <sz val="14"/>
        <rFont val="Calibri"/>
        <family val="2"/>
      </rPr>
      <t>20 cum per hour</t>
    </r>
    <r>
      <rPr>
        <sz val="14"/>
        <rFont val="Arial"/>
        <family val="2"/>
      </rPr>
      <t xml:space="preserve"> capacity Batching &amp; mixing plant</t>
    </r>
  </si>
  <si>
    <r>
      <t xml:space="preserve">Deploy </t>
    </r>
    <r>
      <rPr>
        <sz val="14"/>
        <rFont val="Calibri"/>
        <family val="2"/>
      </rPr>
      <t>3</t>
    </r>
    <r>
      <rPr>
        <sz val="14"/>
        <rFont val="Arial"/>
        <family val="2"/>
      </rPr>
      <t xml:space="preserve"> Transit mixers of </t>
    </r>
    <r>
      <rPr>
        <sz val="14"/>
        <rFont val="Calibri"/>
        <family val="2"/>
      </rPr>
      <t>4 cum</t>
    </r>
    <r>
      <rPr>
        <sz val="14"/>
        <rFont val="Arial"/>
        <family val="2"/>
      </rPr>
      <t xml:space="preserve"> capacity for conveyance of CC from BP to Paver  site</t>
    </r>
  </si>
  <si>
    <r>
      <t xml:space="preserve">Quantity of 10 to 4.75 mm CA @ </t>
    </r>
    <r>
      <rPr>
        <sz val="14"/>
        <rFont val="Calibri"/>
        <family val="2"/>
      </rPr>
      <t>0.28</t>
    </r>
    <r>
      <rPr>
        <sz val="14"/>
        <rFont val="Arial"/>
        <family val="2"/>
      </rPr>
      <t xml:space="preserve"> cum / cum of CC</t>
    </r>
  </si>
  <si>
    <r>
      <t xml:space="preserve">Quantity of fine aggregate @ </t>
    </r>
    <r>
      <rPr>
        <sz val="14"/>
        <rFont val="Calibri"/>
        <family val="2"/>
      </rPr>
      <t>0.45</t>
    </r>
    <r>
      <rPr>
        <sz val="14"/>
        <rFont val="Arial"/>
        <family val="2"/>
      </rPr>
      <t xml:space="preserve"> cum/ cum of CC</t>
    </r>
  </si>
  <si>
    <r>
      <rPr>
        <b/>
        <sz val="14"/>
        <rFont val="Arial"/>
        <family val="2"/>
      </rPr>
      <t xml:space="preserve">Dismantling, </t>
    </r>
    <r>
      <rPr>
        <b/>
        <sz val="14"/>
        <rFont val="Calibri"/>
        <family val="2"/>
      </rPr>
      <t>shifting and re-erecting mechanical concrete paver and DG set</t>
    </r>
    <r>
      <rPr>
        <sz val="14"/>
        <rFont val="Arial"/>
        <family val="2"/>
      </rPr>
      <t xml:space="preserve"> with all</t>
    </r>
  </si>
  <si>
    <r>
      <t xml:space="preserve">materials, machinery, labour etc., complete </t>
    </r>
    <r>
      <rPr>
        <b/>
        <sz val="14"/>
        <rFont val="Calibri"/>
        <family val="2"/>
      </rPr>
      <t>with all leads and lifts.</t>
    </r>
  </si>
  <si>
    <r>
      <t xml:space="preserve">Providing and </t>
    </r>
    <r>
      <rPr>
        <b/>
        <sz val="14"/>
        <rFont val="Arial"/>
        <family val="2"/>
      </rPr>
      <t xml:space="preserve">laying insitu vibrated </t>
    </r>
    <r>
      <rPr>
        <b/>
        <sz val="14"/>
        <rFont val="Calibri"/>
        <family val="2"/>
      </rPr>
      <t>M-10</t>
    </r>
    <r>
      <rPr>
        <sz val="14"/>
        <rFont val="Arial"/>
        <family val="2"/>
      </rPr>
      <t xml:space="preserve"> ( 28 days cube compressive strength not less than</t>
    </r>
  </si>
  <si>
    <r>
      <t xml:space="preserve">10 N /sq mm ) grade </t>
    </r>
    <r>
      <rPr>
        <sz val="14"/>
        <rFont val="Calibri"/>
        <family val="2"/>
      </rPr>
      <t>cement concrete</t>
    </r>
    <r>
      <rPr>
        <sz val="14"/>
        <rFont val="Arial"/>
        <family val="2"/>
      </rPr>
      <t xml:space="preserve"> using </t>
    </r>
    <r>
      <rPr>
        <b/>
        <sz val="14"/>
        <rFont val="Calibri"/>
        <family val="2"/>
      </rPr>
      <t>40 mm</t>
    </r>
    <r>
      <rPr>
        <b/>
        <sz val="14"/>
        <rFont val="Arial"/>
        <family val="2"/>
      </rPr>
      <t xml:space="preserve"> down size</t>
    </r>
    <r>
      <rPr>
        <sz val="14"/>
        <rFont val="Arial"/>
        <family val="2"/>
      </rPr>
      <t xml:space="preserve"> approved, clean, hard, graded</t>
    </r>
  </si>
  <si>
    <r>
      <t xml:space="preserve">aggregates </t>
    </r>
    <r>
      <rPr>
        <b/>
        <sz val="14"/>
        <rFont val="Arial"/>
        <family val="2"/>
      </rPr>
      <t xml:space="preserve">for bed and side lining of canal(150mm thick) </t>
    </r>
    <r>
      <rPr>
        <sz val="14"/>
        <rFont val="Arial"/>
        <family val="2"/>
      </rPr>
      <t>including finishing the junction of bed and sides</t>
    </r>
  </si>
  <si>
    <r>
      <t xml:space="preserve">complete </t>
    </r>
    <r>
      <rPr>
        <b/>
        <sz val="14"/>
        <rFont val="Arial"/>
        <family val="2"/>
      </rPr>
      <t xml:space="preserve">with </t>
    </r>
    <r>
      <rPr>
        <b/>
        <sz val="14"/>
        <rFont val="Calibri"/>
        <family val="2"/>
      </rPr>
      <t>initial lead upto 50 m and all lifts.</t>
    </r>
    <r>
      <rPr>
        <b/>
        <sz val="14"/>
        <rFont val="Arial"/>
        <family val="2"/>
      </rPr>
      <t xml:space="preserve"> ( Cement content : 250 kg / cum )</t>
    </r>
  </si>
  <si>
    <r>
      <t>For</t>
    </r>
    <r>
      <rPr>
        <sz val="14"/>
        <rFont val="Calibri"/>
        <family val="2"/>
      </rPr>
      <t xml:space="preserve"> 40 mm</t>
    </r>
    <r>
      <rPr>
        <sz val="14"/>
        <rFont val="Arial"/>
        <family val="2"/>
      </rPr>
      <t xml:space="preserve"> down size coarse aggregate </t>
    </r>
    <r>
      <rPr>
        <sz val="14"/>
        <rFont val="Calibri"/>
        <family val="2"/>
      </rPr>
      <t>150 mm thick lining</t>
    </r>
    <r>
      <rPr>
        <sz val="14"/>
        <rFont val="Arial"/>
        <family val="2"/>
      </rPr>
      <t xml:space="preserve"> assumed.</t>
    </r>
  </si>
  <si>
    <r>
      <t xml:space="preserve">Providing and </t>
    </r>
    <r>
      <rPr>
        <b/>
        <sz val="14"/>
        <rFont val="Arial"/>
        <family val="2"/>
      </rPr>
      <t>laying insitu vibrated</t>
    </r>
    <r>
      <rPr>
        <b/>
        <sz val="14"/>
        <rFont val="Calibri"/>
        <family val="2"/>
      </rPr>
      <t xml:space="preserve"> M-10</t>
    </r>
    <r>
      <rPr>
        <sz val="14"/>
        <rFont val="Arial"/>
        <family val="2"/>
      </rPr>
      <t xml:space="preserve"> (28 days cube compressive strength not less than</t>
    </r>
  </si>
  <si>
    <r>
      <t xml:space="preserve">10 N/sqm) grade cement concrete using </t>
    </r>
    <r>
      <rPr>
        <b/>
        <sz val="14"/>
        <rFont val="Calibri"/>
        <family val="2"/>
      </rPr>
      <t>40 mm</t>
    </r>
    <r>
      <rPr>
        <b/>
        <sz val="14"/>
        <rFont val="Arial"/>
        <family val="2"/>
      </rPr>
      <t xml:space="preserve"> down size</t>
    </r>
    <r>
      <rPr>
        <sz val="14"/>
        <rFont val="Arial"/>
        <family val="2"/>
      </rPr>
      <t xml:space="preserve"> approved, clean, hard, graded </t>
    </r>
  </si>
  <si>
    <r>
      <t xml:space="preserve">aggregade  </t>
    </r>
    <r>
      <rPr>
        <b/>
        <sz val="14"/>
        <rFont val="Arial"/>
        <family val="2"/>
      </rPr>
      <t>for bed  and side lining of cana</t>
    </r>
    <r>
      <rPr>
        <b/>
        <sz val="14"/>
        <rFont val="Calibri"/>
        <family val="2"/>
      </rPr>
      <t>l(100 mm thick)</t>
    </r>
    <r>
      <rPr>
        <sz val="14"/>
        <rFont val="Arial"/>
        <family val="2"/>
      </rPr>
      <t xml:space="preserve"> including, finishing the junction of bed and sides</t>
    </r>
  </si>
  <si>
    <r>
      <t xml:space="preserve">complete </t>
    </r>
    <r>
      <rPr>
        <b/>
        <sz val="14"/>
        <rFont val="Arial"/>
        <family val="2"/>
      </rPr>
      <t>with initial lead up to 50 m and all lifts (Cement content: 250 kg/cum)</t>
    </r>
  </si>
  <si>
    <r>
      <t xml:space="preserve">For 40 mm down size coarse aggregate </t>
    </r>
    <r>
      <rPr>
        <sz val="14"/>
        <rFont val="Calibri"/>
        <family val="2"/>
      </rPr>
      <t>100 mm thick</t>
    </r>
    <r>
      <rPr>
        <sz val="14"/>
        <rFont val="Arial"/>
        <family val="2"/>
      </rPr>
      <t xml:space="preserve"> lining assumed.</t>
    </r>
  </si>
  <si>
    <r>
      <t xml:space="preserve">Providing and </t>
    </r>
    <r>
      <rPr>
        <b/>
        <sz val="14"/>
        <rFont val="Arial"/>
        <family val="2"/>
      </rPr>
      <t>laying</t>
    </r>
    <r>
      <rPr>
        <b/>
        <sz val="14"/>
        <rFont val="Calibri"/>
        <family val="2"/>
      </rPr>
      <t>100mm</t>
    </r>
    <r>
      <rPr>
        <b/>
        <sz val="14"/>
        <rFont val="Arial"/>
        <family val="2"/>
      </rPr>
      <t xml:space="preserve"> thick  insitu vibrated </t>
    </r>
    <r>
      <rPr>
        <b/>
        <sz val="14"/>
        <rFont val="Calibri"/>
        <family val="2"/>
      </rPr>
      <t>M-10</t>
    </r>
    <r>
      <rPr>
        <sz val="14"/>
        <rFont val="Arial"/>
        <family val="2"/>
      </rPr>
      <t xml:space="preserve"> (28 days cube compressive strength-not less than</t>
    </r>
  </si>
  <si>
    <r>
      <t xml:space="preserve">10.00 N / sq mm) grade cement concrete using </t>
    </r>
    <r>
      <rPr>
        <b/>
        <sz val="14"/>
        <rFont val="Calibri"/>
        <family val="2"/>
      </rPr>
      <t xml:space="preserve">40 mm </t>
    </r>
    <r>
      <rPr>
        <b/>
        <sz val="14"/>
        <rFont val="Arial"/>
        <family val="2"/>
      </rPr>
      <t>down size</t>
    </r>
    <r>
      <rPr>
        <sz val="14"/>
        <rFont val="Arial"/>
        <family val="2"/>
      </rPr>
      <t xml:space="preserve"> approved, clean, hard, graded</t>
    </r>
  </si>
  <si>
    <r>
      <t xml:space="preserve">aggregates </t>
    </r>
    <r>
      <rPr>
        <b/>
        <sz val="14"/>
        <rFont val="Arial"/>
        <family val="2"/>
      </rPr>
      <t xml:space="preserve">for bed and side lining </t>
    </r>
    <r>
      <rPr>
        <b/>
        <sz val="14"/>
        <rFont val="Calibri"/>
        <family val="2"/>
      </rPr>
      <t>of canal lining</t>
    </r>
    <r>
      <rPr>
        <b/>
        <sz val="14"/>
        <rFont val="Arial"/>
        <family val="2"/>
      </rPr>
      <t xml:space="preserve"> using </t>
    </r>
    <r>
      <rPr>
        <b/>
        <sz val="14"/>
        <rFont val="Calibri"/>
        <family val="2"/>
      </rPr>
      <t>vibrating cylindertype mechanical paver</t>
    </r>
  </si>
  <si>
    <r>
      <t>side etc.</t>
    </r>
    <r>
      <rPr>
        <sz val="14"/>
        <rFont val="Calibri"/>
        <family val="2"/>
      </rPr>
      <t xml:space="preserve">complete </t>
    </r>
    <r>
      <rPr>
        <b/>
        <sz val="14"/>
        <rFont val="Calibri"/>
        <family val="2"/>
      </rPr>
      <t>with  1 km lead &amp; all lifts.</t>
    </r>
    <r>
      <rPr>
        <b/>
        <sz val="14"/>
        <rFont val="Arial"/>
        <family val="2"/>
      </rPr>
      <t xml:space="preserve"> </t>
    </r>
  </si>
  <si>
    <r>
      <t xml:space="preserve">Deploy </t>
    </r>
    <r>
      <rPr>
        <sz val="14"/>
        <rFont val="Calibri"/>
        <family val="2"/>
      </rPr>
      <t>3</t>
    </r>
    <r>
      <rPr>
        <sz val="14"/>
        <rFont val="Arial"/>
        <family val="2"/>
      </rPr>
      <t xml:space="preserve"> Transit mixers for conveyance of CC from BP to Paver  site</t>
    </r>
  </si>
  <si>
    <r>
      <t xml:space="preserve">10 N /sq mm ) grade </t>
    </r>
    <r>
      <rPr>
        <sz val="14"/>
        <rFont val="Calibri"/>
        <family val="2"/>
      </rPr>
      <t>cement concrete</t>
    </r>
    <r>
      <rPr>
        <sz val="14"/>
        <rFont val="Arial"/>
        <family val="2"/>
      </rPr>
      <t xml:space="preserve"> using </t>
    </r>
    <r>
      <rPr>
        <b/>
        <sz val="14"/>
        <rFont val="Calibri"/>
        <family val="2"/>
      </rPr>
      <t>20 mm</t>
    </r>
    <r>
      <rPr>
        <b/>
        <sz val="14"/>
        <rFont val="Arial"/>
        <family val="2"/>
      </rPr>
      <t xml:space="preserve"> down size</t>
    </r>
    <r>
      <rPr>
        <sz val="14"/>
        <rFont val="Arial"/>
        <family val="2"/>
      </rPr>
      <t xml:space="preserve"> approved, clean, hard, graded</t>
    </r>
  </si>
  <si>
    <r>
      <t xml:space="preserve">aggregates </t>
    </r>
    <r>
      <rPr>
        <b/>
        <sz val="14"/>
        <rFont val="Arial"/>
        <family val="2"/>
      </rPr>
      <t>for bed and side lining of canal</t>
    </r>
    <r>
      <rPr>
        <sz val="14"/>
        <rFont val="Arial"/>
        <family val="2"/>
      </rPr>
      <t xml:space="preserve"> including finishing the junction of bed and sides</t>
    </r>
  </si>
  <si>
    <r>
      <t xml:space="preserve">complete </t>
    </r>
    <r>
      <rPr>
        <b/>
        <sz val="14"/>
        <rFont val="Arial"/>
        <family val="2"/>
      </rPr>
      <t xml:space="preserve">with </t>
    </r>
    <r>
      <rPr>
        <b/>
        <sz val="14"/>
        <rFont val="Calibri"/>
        <family val="2"/>
      </rPr>
      <t>initial lead upto 50 m and all lifts.</t>
    </r>
    <r>
      <rPr>
        <b/>
        <sz val="14"/>
        <rFont val="Arial"/>
        <family val="2"/>
      </rPr>
      <t xml:space="preserve"> ( Cement content : </t>
    </r>
    <r>
      <rPr>
        <b/>
        <sz val="14"/>
        <rFont val="Calibri"/>
        <family val="2"/>
      </rPr>
      <t>250 kg / cum</t>
    </r>
    <r>
      <rPr>
        <b/>
        <sz val="14"/>
        <rFont val="Arial"/>
        <family val="2"/>
      </rPr>
      <t xml:space="preserve"> )</t>
    </r>
  </si>
  <si>
    <r>
      <t xml:space="preserve">For </t>
    </r>
    <r>
      <rPr>
        <sz val="14"/>
        <rFont val="Calibri"/>
        <family val="2"/>
      </rPr>
      <t>20 mm</t>
    </r>
    <r>
      <rPr>
        <sz val="14"/>
        <rFont val="Arial"/>
        <family val="2"/>
      </rPr>
      <t xml:space="preserve"> down size coarse aggregate </t>
    </r>
    <r>
      <rPr>
        <sz val="14"/>
        <rFont val="Calibri"/>
        <family val="2"/>
      </rPr>
      <t>100 mm thick lining</t>
    </r>
    <r>
      <rPr>
        <sz val="14"/>
        <rFont val="Arial"/>
        <family val="2"/>
      </rPr>
      <t xml:space="preserve"> assumed.</t>
    </r>
  </si>
  <si>
    <r>
      <t xml:space="preserve">Providing and </t>
    </r>
    <r>
      <rPr>
        <b/>
        <sz val="14"/>
        <rFont val="Arial"/>
        <family val="2"/>
      </rPr>
      <t xml:space="preserve">laying insitu vibrated </t>
    </r>
    <r>
      <rPr>
        <b/>
        <sz val="14"/>
        <rFont val="Calibri"/>
        <family val="2"/>
      </rPr>
      <t>M-15</t>
    </r>
    <r>
      <rPr>
        <sz val="14"/>
        <rFont val="Arial"/>
        <family val="2"/>
      </rPr>
      <t xml:space="preserve"> ( 28 days cube compressive strength not less than</t>
    </r>
  </si>
  <si>
    <r>
      <t xml:space="preserve">15 N /sq mm ) grade cement concrete using </t>
    </r>
    <r>
      <rPr>
        <b/>
        <sz val="14"/>
        <rFont val="Calibri"/>
        <family val="2"/>
      </rPr>
      <t>40 mm</t>
    </r>
    <r>
      <rPr>
        <b/>
        <sz val="14"/>
        <rFont val="Arial"/>
        <family val="2"/>
      </rPr>
      <t xml:space="preserve"> down size</t>
    </r>
    <r>
      <rPr>
        <sz val="14"/>
        <rFont val="Arial"/>
        <family val="2"/>
      </rPr>
      <t xml:space="preserve"> approved, clean, hard, graded</t>
    </r>
  </si>
  <si>
    <r>
      <t xml:space="preserve">aggregates </t>
    </r>
    <r>
      <rPr>
        <b/>
        <sz val="14"/>
        <rFont val="Arial"/>
        <family val="2"/>
      </rPr>
      <t>for bed and side lining of canal(150 mm thick)</t>
    </r>
    <r>
      <rPr>
        <sz val="14"/>
        <rFont val="Arial"/>
        <family val="2"/>
      </rPr>
      <t xml:space="preserve"> including finishing the junction of bed and sides</t>
    </r>
  </si>
  <si>
    <r>
      <t xml:space="preserve">complete with </t>
    </r>
    <r>
      <rPr>
        <b/>
        <sz val="14"/>
        <rFont val="Calibri"/>
        <family val="2"/>
      </rPr>
      <t xml:space="preserve">initial lead upto 50 m and all lifts. </t>
    </r>
  </si>
  <si>
    <r>
      <t xml:space="preserve">Average output of 600/400 ltr mixer per day : 100 x 5 x 8 / </t>
    </r>
    <r>
      <rPr>
        <sz val="14"/>
        <rFont val="Calibri"/>
        <family val="2"/>
      </rPr>
      <t>290</t>
    </r>
  </si>
  <si>
    <r>
      <t xml:space="preserve">For 40 mm down size coarse aggregate </t>
    </r>
    <r>
      <rPr>
        <sz val="14"/>
        <rFont val="Calibri"/>
        <family val="2"/>
      </rPr>
      <t>150 mm thick</t>
    </r>
    <r>
      <rPr>
        <sz val="14"/>
        <rFont val="Arial"/>
        <family val="2"/>
      </rPr>
      <t xml:space="preserve"> lining assumed.</t>
    </r>
  </si>
  <si>
    <r>
      <t xml:space="preserve">Providing and </t>
    </r>
    <r>
      <rPr>
        <b/>
        <sz val="14"/>
        <rFont val="Arial"/>
        <family val="2"/>
      </rPr>
      <t xml:space="preserve">laying insitu vibrated </t>
    </r>
    <r>
      <rPr>
        <b/>
        <sz val="14"/>
        <rFont val="Calibri"/>
        <family val="2"/>
      </rPr>
      <t>M-15</t>
    </r>
    <r>
      <rPr>
        <sz val="14"/>
        <rFont val="Calibri"/>
        <family val="2"/>
      </rPr>
      <t xml:space="preserve"> </t>
    </r>
    <r>
      <rPr>
        <sz val="14"/>
        <rFont val="Arial"/>
        <family val="2"/>
      </rPr>
      <t>( 28 days cube compressive strength not less than</t>
    </r>
  </si>
  <si>
    <r>
      <t xml:space="preserve">15 N /sq mm ) grade </t>
    </r>
    <r>
      <rPr>
        <sz val="14"/>
        <rFont val="Calibri"/>
        <family val="2"/>
      </rPr>
      <t>cement concrete</t>
    </r>
    <r>
      <rPr>
        <sz val="14"/>
        <rFont val="Arial"/>
        <family val="2"/>
      </rPr>
      <t xml:space="preserve"> using </t>
    </r>
    <r>
      <rPr>
        <b/>
        <sz val="14"/>
        <rFont val="Calibri"/>
        <family val="2"/>
      </rPr>
      <t>20 mm</t>
    </r>
    <r>
      <rPr>
        <b/>
        <sz val="14"/>
        <rFont val="Arial"/>
        <family val="2"/>
      </rPr>
      <t xml:space="preserve"> down size</t>
    </r>
    <r>
      <rPr>
        <sz val="14"/>
        <rFont val="Arial"/>
        <family val="2"/>
      </rPr>
      <t xml:space="preserve"> approved, clean, hard, graded</t>
    </r>
  </si>
  <si>
    <r>
      <t xml:space="preserve">aggregates </t>
    </r>
    <r>
      <rPr>
        <b/>
        <sz val="14"/>
        <rFont val="Arial"/>
        <family val="2"/>
      </rPr>
      <t>for bed and side lining of canal(100 mm thick)</t>
    </r>
    <r>
      <rPr>
        <sz val="14"/>
        <rFont val="Arial"/>
        <family val="2"/>
      </rPr>
      <t xml:space="preserve"> including finishing the junction of bed and sides</t>
    </r>
  </si>
  <si>
    <r>
      <t xml:space="preserve">complete </t>
    </r>
    <r>
      <rPr>
        <b/>
        <sz val="14"/>
        <rFont val="Arial"/>
        <family val="2"/>
      </rPr>
      <t>with</t>
    </r>
    <r>
      <rPr>
        <b/>
        <sz val="14"/>
        <rFont val="Calibri"/>
        <family val="2"/>
      </rPr>
      <t xml:space="preserve"> initial lead upto 50 m and all lifts.</t>
    </r>
    <r>
      <rPr>
        <b/>
        <sz val="14"/>
        <rFont val="Arial"/>
        <family val="2"/>
      </rPr>
      <t xml:space="preserve"> </t>
    </r>
  </si>
  <si>
    <r>
      <t>For 20 mm down size coarse aggregate</t>
    </r>
    <r>
      <rPr>
        <sz val="14"/>
        <rFont val="Calibri"/>
        <family val="2"/>
      </rPr>
      <t xml:space="preserve"> 100 mm</t>
    </r>
    <r>
      <rPr>
        <sz val="14"/>
        <rFont val="Arial"/>
        <family val="2"/>
      </rPr>
      <t xml:space="preserve"> thick lining assumed.</t>
    </r>
  </si>
  <si>
    <r>
      <t xml:space="preserve">Providing and </t>
    </r>
    <r>
      <rPr>
        <b/>
        <sz val="14"/>
        <rFont val="Arial"/>
        <family val="2"/>
      </rPr>
      <t>laying</t>
    </r>
    <r>
      <rPr>
        <b/>
        <sz val="14"/>
        <rFont val="Calibri"/>
        <family val="2"/>
      </rPr>
      <t>150mm</t>
    </r>
    <r>
      <rPr>
        <b/>
        <sz val="14"/>
        <rFont val="Arial"/>
        <family val="2"/>
      </rPr>
      <t xml:space="preserve"> thick  insitu vibrated </t>
    </r>
    <r>
      <rPr>
        <b/>
        <sz val="14"/>
        <rFont val="Calibri"/>
        <family val="2"/>
      </rPr>
      <t>M-15</t>
    </r>
    <r>
      <rPr>
        <sz val="14"/>
        <rFont val="Arial"/>
        <family val="2"/>
      </rPr>
      <t xml:space="preserve"> (28 days cube compressive strength-not less than</t>
    </r>
  </si>
  <si>
    <r>
      <t xml:space="preserve">15.00 N / sq mm) grade cement concrete using </t>
    </r>
    <r>
      <rPr>
        <b/>
        <sz val="14"/>
        <rFont val="Calibri"/>
        <family val="2"/>
      </rPr>
      <t>20 mm</t>
    </r>
    <r>
      <rPr>
        <b/>
        <sz val="14"/>
        <rFont val="Arial"/>
        <family val="2"/>
      </rPr>
      <t xml:space="preserve"> down size</t>
    </r>
    <r>
      <rPr>
        <sz val="14"/>
        <rFont val="Arial"/>
        <family val="2"/>
      </rPr>
      <t xml:space="preserve"> approved, clean, hard, graded</t>
    </r>
  </si>
  <si>
    <r>
      <t xml:space="preserve">aggregates </t>
    </r>
    <r>
      <rPr>
        <b/>
        <sz val="14"/>
        <rFont val="Arial"/>
        <family val="2"/>
      </rPr>
      <t xml:space="preserve">for </t>
    </r>
    <r>
      <rPr>
        <b/>
        <sz val="14"/>
        <rFont val="Calibri"/>
        <family val="2"/>
      </rPr>
      <t>bed and side lining</t>
    </r>
    <r>
      <rPr>
        <b/>
        <sz val="14"/>
        <rFont val="Arial"/>
        <family val="2"/>
      </rPr>
      <t xml:space="preserve"> of canal lining using vibrating cylindertype mechanical paver</t>
    </r>
  </si>
  <si>
    <r>
      <t xml:space="preserve">side etc.complete </t>
    </r>
    <r>
      <rPr>
        <b/>
        <sz val="14"/>
        <rFont val="Arial"/>
        <family val="2"/>
      </rPr>
      <t>with  1km lead &amp; all lifts</t>
    </r>
    <r>
      <rPr>
        <sz val="14"/>
        <rFont val="Arial"/>
        <family val="2"/>
      </rPr>
      <t>.</t>
    </r>
  </si>
  <si>
    <r>
      <t xml:space="preserve">Deploy </t>
    </r>
    <r>
      <rPr>
        <sz val="14"/>
        <rFont val="Calibri"/>
        <family val="2"/>
      </rPr>
      <t>30 cum per hour</t>
    </r>
    <r>
      <rPr>
        <sz val="14"/>
        <rFont val="Arial"/>
        <family val="2"/>
      </rPr>
      <t xml:space="preserve"> capacity Batching &amp; mixing plant</t>
    </r>
  </si>
  <si>
    <r>
      <t xml:space="preserve">Providing and </t>
    </r>
    <r>
      <rPr>
        <b/>
        <sz val="14"/>
        <rFont val="Calibri"/>
        <family val="2"/>
      </rPr>
      <t>fixing pre-cast RCC template walls</t>
    </r>
    <r>
      <rPr>
        <sz val="14"/>
        <rFont val="Arial"/>
        <family val="2"/>
      </rPr>
      <t xml:space="preserve"> consisting of 0.05 cum </t>
    </r>
    <r>
      <rPr>
        <b/>
        <sz val="14"/>
        <rFont val="Calibri"/>
        <family val="2"/>
      </rPr>
      <t>M-15</t>
    </r>
    <r>
      <rPr>
        <b/>
        <sz val="14"/>
        <rFont val="Arial"/>
        <family val="2"/>
      </rPr>
      <t xml:space="preserve"> </t>
    </r>
    <r>
      <rPr>
        <sz val="14"/>
        <rFont val="Arial"/>
        <family val="2"/>
      </rPr>
      <t>grade</t>
    </r>
  </si>
  <si>
    <r>
      <t xml:space="preserve">concrete using </t>
    </r>
    <r>
      <rPr>
        <b/>
        <sz val="14"/>
        <rFont val="Calibri"/>
        <family val="2"/>
      </rPr>
      <t xml:space="preserve">20 mm </t>
    </r>
    <r>
      <rPr>
        <b/>
        <sz val="14"/>
        <rFont val="Arial"/>
        <family val="2"/>
      </rPr>
      <t>down size</t>
    </r>
    <r>
      <rPr>
        <sz val="14"/>
        <rFont val="Arial"/>
        <family val="2"/>
      </rPr>
      <t xml:space="preserve"> coarse aggregates and </t>
    </r>
    <r>
      <rPr>
        <sz val="14"/>
        <rFont val="Calibri"/>
        <family val="2"/>
      </rPr>
      <t>10 kg reinforcement steel</t>
    </r>
    <r>
      <rPr>
        <sz val="14"/>
        <rFont val="Arial"/>
        <family val="2"/>
      </rPr>
      <t xml:space="preserve"> moulded</t>
    </r>
  </si>
  <si>
    <r>
      <t xml:space="preserve">as per specifications and drawing in </t>
    </r>
    <r>
      <rPr>
        <sz val="14"/>
        <rFont val="Calibri"/>
        <family val="2"/>
      </rPr>
      <t>CM 1:4</t>
    </r>
    <r>
      <rPr>
        <sz val="14"/>
        <rFont val="Arial"/>
        <family val="2"/>
      </rPr>
      <t xml:space="preserve"> proportion including cost of all materials,</t>
    </r>
  </si>
  <si>
    <r>
      <t xml:space="preserve">CM 1:4, curing etc., complete </t>
    </r>
    <r>
      <rPr>
        <b/>
        <sz val="14"/>
        <rFont val="Arial"/>
        <family val="2"/>
      </rPr>
      <t xml:space="preserve">with initial </t>
    </r>
    <r>
      <rPr>
        <b/>
        <sz val="14"/>
        <rFont val="Calibri"/>
        <family val="2"/>
      </rPr>
      <t>lead upto 1 km and all lifts.</t>
    </r>
  </si>
  <si>
    <r>
      <t xml:space="preserve">Providing and </t>
    </r>
    <r>
      <rPr>
        <b/>
        <sz val="14"/>
        <rFont val="Calibri"/>
        <family val="2"/>
      </rPr>
      <t>fixing 50 mm dia perforated GI pressure relief pipes 12.50 cm long</t>
    </r>
    <r>
      <rPr>
        <sz val="14"/>
        <rFont val="Arial"/>
        <family val="2"/>
      </rPr>
      <t xml:space="preserve"> with</t>
    </r>
  </si>
  <si>
    <r>
      <t xml:space="preserve">to pipe including cost of all materials, labour, drilling 8 mm dia holes etc., </t>
    </r>
    <r>
      <rPr>
        <b/>
        <sz val="14"/>
        <rFont val="Arial"/>
        <family val="2"/>
      </rPr>
      <t xml:space="preserve">complete with </t>
    </r>
    <r>
      <rPr>
        <b/>
        <sz val="14"/>
        <rFont val="Calibri"/>
        <family val="2"/>
      </rPr>
      <t>all</t>
    </r>
  </si>
  <si>
    <r>
      <t xml:space="preserve">Providing and </t>
    </r>
    <r>
      <rPr>
        <b/>
        <sz val="14"/>
        <rFont val="Calibri"/>
        <family val="2"/>
      </rPr>
      <t>fixing 50 mm dia perforated GI pressure relief pipes 22.50 cm long</t>
    </r>
    <r>
      <rPr>
        <sz val="14"/>
        <rFont val="Arial"/>
        <family val="2"/>
      </rPr>
      <t xml:space="preserve"> with</t>
    </r>
  </si>
  <si>
    <r>
      <t xml:space="preserve">to pipe including cost of all materials, labour, drilling 8 mm dia holes etc., complete with </t>
    </r>
    <r>
      <rPr>
        <sz val="14"/>
        <rFont val="Calibri"/>
        <family val="2"/>
      </rPr>
      <t>all</t>
    </r>
  </si>
  <si>
    <r>
      <t xml:space="preserve">Providing and </t>
    </r>
    <r>
      <rPr>
        <b/>
        <sz val="14"/>
        <rFont val="Arial"/>
        <family val="2"/>
      </rPr>
      <t>fixing 50 mm dia perforated GI pressure relief pipes 30 cm long</t>
    </r>
    <r>
      <rPr>
        <sz val="14"/>
        <rFont val="Arial"/>
        <family val="2"/>
      </rPr>
      <t xml:space="preserve"> with</t>
    </r>
  </si>
  <si>
    <r>
      <t xml:space="preserve">Providing and </t>
    </r>
    <r>
      <rPr>
        <b/>
        <sz val="14"/>
        <rFont val="Arial"/>
        <family val="2"/>
      </rPr>
      <t>fixing 50 mm dia perforated GI pressure relief pipes 45 cm long</t>
    </r>
    <r>
      <rPr>
        <sz val="14"/>
        <rFont val="Arial"/>
        <family val="2"/>
      </rPr>
      <t xml:space="preserve"> with</t>
    </r>
  </si>
  <si>
    <r>
      <t xml:space="preserve">Providing and </t>
    </r>
    <r>
      <rPr>
        <b/>
        <sz val="14"/>
        <rFont val="Arial"/>
        <family val="2"/>
      </rPr>
      <t>fixing 50 mm dia perforated GI pressure relief pipes 75 cm long</t>
    </r>
    <r>
      <rPr>
        <sz val="14"/>
        <rFont val="Arial"/>
        <family val="2"/>
      </rPr>
      <t xml:space="preserve"> with</t>
    </r>
  </si>
  <si>
    <r>
      <t xml:space="preserve">Providing and </t>
    </r>
    <r>
      <rPr>
        <b/>
        <sz val="14"/>
        <rFont val="Arial"/>
        <family val="2"/>
      </rPr>
      <t>fixing 100 mm dia perforated PVC pipes 40 cm  long for Weep holes</t>
    </r>
  </si>
  <si>
    <r>
      <rPr>
        <b/>
        <sz val="14"/>
        <rFont val="Arial"/>
        <family val="2"/>
      </rPr>
      <t>Drilling 32 mm dia pressure relief hole below pressure relief pipe</t>
    </r>
    <r>
      <rPr>
        <sz val="14"/>
        <rFont val="Arial"/>
        <family val="2"/>
      </rPr>
      <t xml:space="preserve"> for bed and side lining of</t>
    </r>
  </si>
  <si>
    <r>
      <t xml:space="preserve">canal laid on rock including cost of all materials, machinery, labour etc., complete with </t>
    </r>
    <r>
      <rPr>
        <sz val="14"/>
        <rFont val="Calibri"/>
        <family val="2"/>
      </rPr>
      <t>all</t>
    </r>
  </si>
  <si>
    <r>
      <t xml:space="preserve">Providing and </t>
    </r>
    <r>
      <rPr>
        <b/>
        <sz val="14"/>
        <rFont val="Calibri"/>
        <family val="2"/>
      </rPr>
      <t>forming 35 x 35 x 40 cm deep filter drain</t>
    </r>
    <r>
      <rPr>
        <sz val="14"/>
        <rFont val="Arial"/>
        <family val="2"/>
      </rPr>
      <t xml:space="preserve"> consisting of 75 mm thick 10 mm</t>
    </r>
  </si>
  <si>
    <r>
      <t xml:space="preserve">Providing and </t>
    </r>
    <r>
      <rPr>
        <b/>
        <sz val="14"/>
        <rFont val="Calibri"/>
        <family val="2"/>
      </rPr>
      <t>fixing 25 to 40 mm thick Shahabad / Talikota / other similar stone slabs</t>
    </r>
  </si>
  <si>
    <r>
      <rPr>
        <b/>
        <sz val="14"/>
        <rFont val="Arial"/>
        <family val="2"/>
      </rPr>
      <t>with pointing and finishing joints</t>
    </r>
    <r>
      <rPr>
        <sz val="14"/>
        <rFont val="Arial"/>
        <family val="2"/>
      </rPr>
      <t xml:space="preserve"> neatly in </t>
    </r>
    <r>
      <rPr>
        <b/>
        <sz val="14"/>
        <rFont val="Arial"/>
        <family val="2"/>
      </rPr>
      <t>CM 1:3</t>
    </r>
    <r>
      <rPr>
        <sz val="14"/>
        <rFont val="Arial"/>
        <family val="2"/>
      </rPr>
      <t xml:space="preserve"> proportion for canal / field channel lining</t>
    </r>
  </si>
  <si>
    <r>
      <t>complete with</t>
    </r>
    <r>
      <rPr>
        <b/>
        <sz val="14"/>
        <rFont val="Calibri"/>
        <family val="2"/>
      </rPr>
      <t xml:space="preserve"> lead upto 50 m and all lifts.</t>
    </r>
  </si>
  <si>
    <r>
      <rPr>
        <b/>
        <sz val="14"/>
        <rFont val="Arial"/>
        <family val="2"/>
      </rPr>
      <t>Fixing PCC slabs</t>
    </r>
    <r>
      <rPr>
        <sz val="14"/>
        <rFont val="Arial"/>
        <family val="2"/>
      </rPr>
      <t xml:space="preserve"> of various sizes in </t>
    </r>
    <r>
      <rPr>
        <b/>
        <sz val="14"/>
        <rFont val="Arial"/>
        <family val="2"/>
      </rPr>
      <t>CM 1 : 3</t>
    </r>
    <r>
      <rPr>
        <sz val="14"/>
        <rFont val="Arial"/>
        <family val="2"/>
      </rPr>
      <t xml:space="preserve"> proportion to the side slopes of canal</t>
    </r>
  </si>
  <si>
    <r>
      <t xml:space="preserve">PCC slabs ), labour, finishing, curing etc., complete </t>
    </r>
    <r>
      <rPr>
        <b/>
        <sz val="14"/>
        <rFont val="Arial"/>
        <family val="2"/>
      </rPr>
      <t xml:space="preserve">with initial </t>
    </r>
    <r>
      <rPr>
        <b/>
        <sz val="14"/>
        <rFont val="Calibri"/>
        <family val="2"/>
      </rPr>
      <t>lead upto 50 m and all lifts.</t>
    </r>
  </si>
  <si>
    <r>
      <rPr>
        <b/>
        <sz val="14"/>
        <rFont val="Arial"/>
        <family val="2"/>
      </rPr>
      <t>Fixing PCC lug slabs</t>
    </r>
    <r>
      <rPr>
        <sz val="14"/>
        <rFont val="Arial"/>
        <family val="2"/>
      </rPr>
      <t xml:space="preserve"> of various sizes in </t>
    </r>
    <r>
      <rPr>
        <b/>
        <sz val="14"/>
        <rFont val="Arial"/>
        <family val="2"/>
      </rPr>
      <t>CM 1 : 3</t>
    </r>
    <r>
      <rPr>
        <sz val="14"/>
        <rFont val="Arial"/>
        <family val="2"/>
      </rPr>
      <t xml:space="preserve"> proportion for supporting PCC slab lining</t>
    </r>
  </si>
  <si>
    <r>
      <t xml:space="preserve">materials ( excluding PCC lug slabs ), labour, finishing, curing etc., complete with initial </t>
    </r>
    <r>
      <rPr>
        <sz val="14"/>
        <rFont val="Calibri"/>
        <family val="2"/>
      </rPr>
      <t>lead</t>
    </r>
  </si>
  <si>
    <r>
      <rPr>
        <b/>
        <sz val="14"/>
        <rFont val="Arial"/>
        <family val="2"/>
      </rPr>
      <t>Fixing 30 cm height pre-cast drops for field channels</t>
    </r>
    <r>
      <rPr>
        <sz val="14"/>
        <rFont val="Arial"/>
        <family val="2"/>
      </rPr>
      <t xml:space="preserve"> as directed including excavation, etc.</t>
    </r>
    <r>
      <rPr>
        <sz val="14"/>
        <rFont val="Calibri"/>
        <family val="2"/>
      </rPr>
      <t>,</t>
    </r>
  </si>
  <si>
    <r>
      <t xml:space="preserve">Providing and </t>
    </r>
    <r>
      <rPr>
        <b/>
        <sz val="14"/>
        <rFont val="Arial"/>
        <family val="2"/>
      </rPr>
      <t xml:space="preserve">fixing </t>
    </r>
    <r>
      <rPr>
        <b/>
        <sz val="14"/>
        <rFont val="Calibri"/>
        <family val="2"/>
      </rPr>
      <t>LDPE sheet for bed and sides</t>
    </r>
    <r>
      <rPr>
        <b/>
        <sz val="14"/>
        <rFont val="Arial"/>
        <family val="2"/>
      </rPr>
      <t xml:space="preserve"> of canal</t>
    </r>
    <r>
      <rPr>
        <sz val="14"/>
        <rFont val="Arial"/>
        <family val="2"/>
      </rPr>
      <t xml:space="preserve"> including cost of all materials,</t>
    </r>
  </si>
  <si>
    <r>
      <t xml:space="preserve">labour, laying, joining etc., complete </t>
    </r>
    <r>
      <rPr>
        <b/>
        <sz val="14"/>
        <rFont val="Arial"/>
        <family val="2"/>
      </rPr>
      <t xml:space="preserve">with </t>
    </r>
    <r>
      <rPr>
        <b/>
        <sz val="14"/>
        <rFont val="Calibri"/>
        <family val="2"/>
      </rPr>
      <t>all leads and lifts.</t>
    </r>
  </si>
  <si>
    <r>
      <t xml:space="preserve">Providing and </t>
    </r>
    <r>
      <rPr>
        <b/>
        <sz val="14"/>
        <rFont val="Calibri"/>
        <family val="2"/>
      </rPr>
      <t>fixing 12 mm thick 380 mm depth</t>
    </r>
    <r>
      <rPr>
        <b/>
        <sz val="14"/>
        <rFont val="Arial"/>
        <family val="2"/>
      </rPr>
      <t xml:space="preserve"> tarfelt expansion </t>
    </r>
    <r>
      <rPr>
        <b/>
        <sz val="14"/>
        <rFont val="Calibri"/>
        <family val="2"/>
      </rPr>
      <t>joint filler boards</t>
    </r>
    <r>
      <rPr>
        <b/>
        <sz val="14"/>
        <rFont val="Arial"/>
        <family val="2"/>
      </rPr>
      <t xml:space="preserve"> for</t>
    </r>
  </si>
  <si>
    <r>
      <rPr>
        <b/>
        <sz val="14"/>
        <rFont val="Arial"/>
        <family val="2"/>
      </rPr>
      <t>stone masonry lining of canal</t>
    </r>
    <r>
      <rPr>
        <sz val="14"/>
        <rFont val="Arial"/>
        <family val="2"/>
      </rPr>
      <t xml:space="preserve"> including cost of all materials, labour etc., complete with all</t>
    </r>
  </si>
  <si>
    <r>
      <t xml:space="preserve">Providing and </t>
    </r>
    <r>
      <rPr>
        <b/>
        <sz val="14"/>
        <rFont val="Calibri"/>
        <family val="2"/>
      </rPr>
      <t>fixing 20 mm thick 100 mm depth</t>
    </r>
    <r>
      <rPr>
        <b/>
        <sz val="14"/>
        <rFont val="Arial"/>
        <family val="2"/>
      </rPr>
      <t xml:space="preserve"> tarfelt expansion</t>
    </r>
    <r>
      <rPr>
        <b/>
        <sz val="14"/>
        <rFont val="Calibri"/>
        <family val="2"/>
      </rPr>
      <t xml:space="preserve"> joint filler boards</t>
    </r>
    <r>
      <rPr>
        <b/>
        <sz val="14"/>
        <rFont val="Arial"/>
        <family val="2"/>
      </rPr>
      <t xml:space="preserve"> for</t>
    </r>
  </si>
  <si>
    <r>
      <rPr>
        <b/>
        <sz val="14"/>
        <rFont val="Arial"/>
        <family val="2"/>
      </rPr>
      <t>cement concrete lining of canal</t>
    </r>
    <r>
      <rPr>
        <sz val="14"/>
        <rFont val="Arial"/>
        <family val="2"/>
      </rPr>
      <t xml:space="preserve"> including cost of all materials, labour etc., complete with </t>
    </r>
    <r>
      <rPr>
        <sz val="14"/>
        <rFont val="Calibri"/>
        <family val="2"/>
      </rPr>
      <t>all</t>
    </r>
  </si>
  <si>
    <r>
      <t xml:space="preserve">Providing and </t>
    </r>
    <r>
      <rPr>
        <b/>
        <sz val="14"/>
        <rFont val="Calibri"/>
        <family val="2"/>
      </rPr>
      <t>fixing 20 mm thick 150 mm depth</t>
    </r>
    <r>
      <rPr>
        <b/>
        <sz val="14"/>
        <rFont val="Arial"/>
        <family val="2"/>
      </rPr>
      <t xml:space="preserve"> tarfelt expansion joint filler boards for</t>
    </r>
  </si>
  <si>
    <r>
      <t xml:space="preserve">Providing and </t>
    </r>
    <r>
      <rPr>
        <b/>
        <sz val="14"/>
        <rFont val="Calibri"/>
        <family val="2"/>
      </rPr>
      <t>forming</t>
    </r>
    <r>
      <rPr>
        <b/>
        <sz val="14"/>
        <rFont val="Arial"/>
        <family val="2"/>
      </rPr>
      <t xml:space="preserve"> 35 mm wide and 10 mm thick </t>
    </r>
    <r>
      <rPr>
        <b/>
        <sz val="14"/>
        <rFont val="Calibri"/>
        <family val="2"/>
      </rPr>
      <t>construction / contraction joints</t>
    </r>
  </si>
  <si>
    <r>
      <rPr>
        <b/>
        <sz val="14"/>
        <rFont val="Arial"/>
        <family val="2"/>
      </rPr>
      <t xml:space="preserve">for concrete lining </t>
    </r>
    <r>
      <rPr>
        <b/>
        <sz val="14"/>
        <rFont val="Calibri"/>
        <family val="2"/>
      </rPr>
      <t>by mastic filler</t>
    </r>
    <r>
      <rPr>
        <sz val="14"/>
        <rFont val="Arial"/>
        <family val="2"/>
      </rPr>
      <t xml:space="preserve"> including cost of all materials, labour etc., complete with</t>
    </r>
  </si>
  <si>
    <r>
      <rPr>
        <b/>
        <sz val="14"/>
        <rFont val="Arial"/>
        <family val="2"/>
      </rPr>
      <t xml:space="preserve">Manufacturing 550 x 550 x 55 mm size PCC lining slabs in </t>
    </r>
    <r>
      <rPr>
        <b/>
        <sz val="14"/>
        <rFont val="Calibri"/>
        <family val="2"/>
      </rPr>
      <t>M-15</t>
    </r>
    <r>
      <rPr>
        <sz val="14"/>
        <rFont val="Calibri"/>
        <family val="2"/>
      </rPr>
      <t xml:space="preserve"> grade</t>
    </r>
    <r>
      <rPr>
        <sz val="14"/>
        <rFont val="Arial"/>
        <family val="2"/>
      </rPr>
      <t xml:space="preserve"> ( 28 days cube</t>
    </r>
  </si>
  <si>
    <r>
      <t xml:space="preserve">compressive strength not less than 15 N /sqmm ) cement concrete using </t>
    </r>
    <r>
      <rPr>
        <b/>
        <sz val="14"/>
        <rFont val="Calibri"/>
        <family val="2"/>
      </rPr>
      <t xml:space="preserve">20 mm </t>
    </r>
    <r>
      <rPr>
        <b/>
        <sz val="14"/>
        <rFont val="Arial"/>
        <family val="2"/>
      </rPr>
      <t>down graded</t>
    </r>
  </si>
  <si>
    <r>
      <t xml:space="preserve">compacting, formwork, finishing, curing etc.,complete </t>
    </r>
    <r>
      <rPr>
        <b/>
        <sz val="14"/>
        <rFont val="Arial"/>
        <family val="2"/>
      </rPr>
      <t xml:space="preserve">with initial </t>
    </r>
    <r>
      <rPr>
        <b/>
        <sz val="14"/>
        <rFont val="Calibri"/>
        <family val="2"/>
      </rPr>
      <t>lead upto 50 m and all lifts.</t>
    </r>
  </si>
  <si>
    <r>
      <rPr>
        <b/>
        <sz val="14"/>
        <rFont val="Arial"/>
        <family val="2"/>
      </rPr>
      <t xml:space="preserve">Manufacturing 550 x 300 x 55 mm size PCC lug slabs in </t>
    </r>
    <r>
      <rPr>
        <b/>
        <sz val="14"/>
        <rFont val="Calibri"/>
        <family val="2"/>
      </rPr>
      <t>M-15</t>
    </r>
    <r>
      <rPr>
        <b/>
        <sz val="14"/>
        <rFont val="Arial"/>
        <family val="2"/>
      </rPr>
      <t xml:space="preserve"> grade</t>
    </r>
    <r>
      <rPr>
        <sz val="14"/>
        <rFont val="Arial"/>
        <family val="2"/>
      </rPr>
      <t xml:space="preserve"> ( 28 days cube</t>
    </r>
  </si>
  <si>
    <r>
      <t xml:space="preserve">compressive strength not less than 15 N / sqmm ) cement concrete using </t>
    </r>
    <r>
      <rPr>
        <b/>
        <sz val="14"/>
        <rFont val="Calibri"/>
        <family val="2"/>
      </rPr>
      <t>20 mm</t>
    </r>
    <r>
      <rPr>
        <b/>
        <sz val="14"/>
        <rFont val="Arial"/>
        <family val="2"/>
      </rPr>
      <t xml:space="preserve"> down graded</t>
    </r>
  </si>
  <si>
    <r>
      <rPr>
        <b/>
        <sz val="14"/>
        <rFont val="Arial"/>
        <family val="2"/>
      </rPr>
      <t xml:space="preserve">Manufacturing 450 x 300 x 30 mm size PCC lining slabs in </t>
    </r>
    <r>
      <rPr>
        <b/>
        <sz val="14"/>
        <rFont val="Calibri"/>
        <family val="2"/>
      </rPr>
      <t>M-15</t>
    </r>
    <r>
      <rPr>
        <sz val="14"/>
        <rFont val="Arial"/>
        <family val="2"/>
      </rPr>
      <t xml:space="preserve"> grade ( 28 days cube</t>
    </r>
  </si>
  <si>
    <r>
      <t xml:space="preserve">compressive strength not less than 15 N / sqmm ) cement concrete using </t>
    </r>
    <r>
      <rPr>
        <b/>
        <sz val="14"/>
        <rFont val="Calibri"/>
        <family val="2"/>
      </rPr>
      <t xml:space="preserve">10 mm </t>
    </r>
    <r>
      <rPr>
        <b/>
        <sz val="14"/>
        <rFont val="Arial"/>
        <family val="2"/>
      </rPr>
      <t>down graded</t>
    </r>
  </si>
  <si>
    <r>
      <rPr>
        <b/>
        <sz val="14"/>
        <rFont val="Arial"/>
        <family val="2"/>
      </rPr>
      <t xml:space="preserve">Manucturing 450 x 150 x 30 mm size PCC lug slabs in </t>
    </r>
    <r>
      <rPr>
        <b/>
        <sz val="14"/>
        <rFont val="Calibri"/>
        <family val="2"/>
      </rPr>
      <t>M-15</t>
    </r>
    <r>
      <rPr>
        <sz val="14"/>
        <rFont val="Calibri"/>
        <family val="2"/>
      </rPr>
      <t xml:space="preserve"> </t>
    </r>
    <r>
      <rPr>
        <sz val="14"/>
        <rFont val="Arial"/>
        <family val="2"/>
      </rPr>
      <t>grade ( 28 days cube</t>
    </r>
  </si>
  <si>
    <r>
      <t xml:space="preserve">compressive strength not less than 15 N / sqmm ) cement concrete using </t>
    </r>
    <r>
      <rPr>
        <b/>
        <sz val="14"/>
        <rFont val="Calibri"/>
        <family val="2"/>
      </rPr>
      <t>10 mm</t>
    </r>
    <r>
      <rPr>
        <b/>
        <sz val="14"/>
        <rFont val="Arial"/>
        <family val="2"/>
      </rPr>
      <t xml:space="preserve"> down graded</t>
    </r>
  </si>
  <si>
    <r>
      <rPr>
        <b/>
        <sz val="14"/>
        <rFont val="Arial"/>
        <family val="2"/>
      </rPr>
      <t>Manufacturing 600 x 300 x 100mm size</t>
    </r>
    <r>
      <rPr>
        <b/>
        <sz val="14"/>
        <rFont val="Calibri"/>
        <family val="2"/>
      </rPr>
      <t xml:space="preserve"> PCC lining slabs</t>
    </r>
    <r>
      <rPr>
        <b/>
        <sz val="14"/>
        <rFont val="Arial"/>
        <family val="2"/>
      </rPr>
      <t xml:space="preserve"> in </t>
    </r>
    <r>
      <rPr>
        <b/>
        <sz val="14"/>
        <rFont val="Calibri"/>
        <family val="2"/>
      </rPr>
      <t>M-15</t>
    </r>
    <r>
      <rPr>
        <sz val="14"/>
        <rFont val="Calibri"/>
        <family val="2"/>
      </rPr>
      <t xml:space="preserve"> grade</t>
    </r>
    <r>
      <rPr>
        <sz val="14"/>
        <rFont val="Arial"/>
        <family val="2"/>
      </rPr>
      <t xml:space="preserve">   (28 days cube </t>
    </r>
  </si>
  <si>
    <r>
      <t xml:space="preserve">compressive strength not less  than 15 N/Sqmm) cement concrete using </t>
    </r>
    <r>
      <rPr>
        <b/>
        <sz val="14"/>
        <rFont val="Arial"/>
        <family val="2"/>
      </rPr>
      <t>2</t>
    </r>
    <r>
      <rPr>
        <b/>
        <sz val="14"/>
        <rFont val="Calibri"/>
        <family val="2"/>
      </rPr>
      <t xml:space="preserve">0mm down </t>
    </r>
  </si>
  <si>
    <r>
      <rPr>
        <b/>
        <sz val="14"/>
        <rFont val="Arial"/>
        <family val="2"/>
      </rPr>
      <t>grades</t>
    </r>
    <r>
      <rPr>
        <sz val="14"/>
        <rFont val="Arial"/>
        <family val="2"/>
      </rPr>
      <t xml:space="preserve"> coarse aggregate including cost of all materials, machinery, labour, batching, </t>
    </r>
  </si>
  <si>
    <r>
      <t>mixing, laying, compacting, formwork, finishing, curing etc., complete with</t>
    </r>
    <r>
      <rPr>
        <b/>
        <sz val="14"/>
        <rFont val="Arial"/>
        <family val="2"/>
      </rPr>
      <t xml:space="preserve"> initial lead upto  50 m </t>
    </r>
  </si>
  <si>
    <r>
      <rPr>
        <b/>
        <sz val="14"/>
        <rFont val="Arial"/>
        <family val="2"/>
      </rPr>
      <t>Manucturing 400 x 400 x 30 mm size PCC lining slabs in M-15</t>
    </r>
    <r>
      <rPr>
        <sz val="14"/>
        <rFont val="Arial"/>
        <family val="2"/>
      </rPr>
      <t xml:space="preserve"> grade ( 28 days cube</t>
    </r>
  </si>
  <si>
    <r>
      <t xml:space="preserve">compressive strength not less than 15 N / sqmm )cement concrete using </t>
    </r>
    <r>
      <rPr>
        <b/>
        <sz val="14"/>
        <rFont val="Arial"/>
        <family val="2"/>
      </rPr>
      <t>10 mm down graded</t>
    </r>
  </si>
  <si>
    <r>
      <rPr>
        <b/>
        <sz val="14"/>
        <rFont val="Arial"/>
        <family val="2"/>
      </rPr>
      <t xml:space="preserve">Manufacturing 400 x 150 x 30 mm size PCC lug slabs in </t>
    </r>
    <r>
      <rPr>
        <b/>
        <sz val="14"/>
        <rFont val="Calibri"/>
        <family val="2"/>
      </rPr>
      <t>M-15</t>
    </r>
    <r>
      <rPr>
        <sz val="14"/>
        <rFont val="Calibri"/>
        <family val="2"/>
      </rPr>
      <t xml:space="preserve"> grade</t>
    </r>
    <r>
      <rPr>
        <sz val="14"/>
        <rFont val="Arial"/>
        <family val="2"/>
      </rPr>
      <t xml:space="preserve"> ( 28 days cube</t>
    </r>
  </si>
  <si>
    <r>
      <t xml:space="preserve">compressive strength not less than 15 N /sqmm ) cement concrete using </t>
    </r>
    <r>
      <rPr>
        <b/>
        <sz val="14"/>
        <rFont val="Calibri"/>
        <family val="2"/>
      </rPr>
      <t>10 mm</t>
    </r>
    <r>
      <rPr>
        <b/>
        <sz val="14"/>
        <rFont val="Arial"/>
        <family val="2"/>
      </rPr>
      <t xml:space="preserve"> down graded</t>
    </r>
  </si>
  <si>
    <r>
      <t>compacting, formwork, finishing, curing etc.,complete</t>
    </r>
    <r>
      <rPr>
        <b/>
        <sz val="14"/>
        <rFont val="Arial"/>
        <family val="2"/>
      </rPr>
      <t xml:space="preserve"> with initial </t>
    </r>
    <r>
      <rPr>
        <b/>
        <sz val="14"/>
        <rFont val="Calibri"/>
        <family val="2"/>
      </rPr>
      <t>lead upto 50 m and all lifts</t>
    </r>
    <r>
      <rPr>
        <b/>
        <sz val="14"/>
        <rFont val="Arial"/>
        <family val="2"/>
      </rPr>
      <t>.</t>
    </r>
  </si>
  <si>
    <r>
      <t xml:space="preserve">Providing and </t>
    </r>
    <r>
      <rPr>
        <b/>
        <sz val="14"/>
        <rFont val="Arial"/>
        <family val="2"/>
      </rPr>
      <t xml:space="preserve">laying </t>
    </r>
    <r>
      <rPr>
        <b/>
        <sz val="14"/>
        <rFont val="Calibri"/>
        <family val="2"/>
      </rPr>
      <t>uncoursed rubble stone masonry</t>
    </r>
    <r>
      <rPr>
        <sz val="14"/>
        <rFont val="Calibri"/>
        <family val="2"/>
      </rPr>
      <t xml:space="preserve"> in </t>
    </r>
    <r>
      <rPr>
        <b/>
        <sz val="14"/>
        <rFont val="Calibri"/>
        <family val="2"/>
      </rPr>
      <t>CM 1 : 5</t>
    </r>
    <r>
      <rPr>
        <sz val="14"/>
        <rFont val="Arial"/>
        <family val="2"/>
      </rPr>
      <t xml:space="preserve"> proportion </t>
    </r>
    <r>
      <rPr>
        <b/>
        <sz val="14"/>
        <rFont val="Arial"/>
        <family val="2"/>
      </rPr>
      <t>for canal side</t>
    </r>
  </si>
  <si>
    <r>
      <t xml:space="preserve">lining </t>
    </r>
    <r>
      <rPr>
        <sz val="14"/>
        <rFont val="Calibri"/>
        <family val="2"/>
      </rPr>
      <t xml:space="preserve">using stones and chips from </t>
    </r>
    <r>
      <rPr>
        <b/>
        <sz val="14"/>
        <rFont val="Calibri"/>
        <family val="2"/>
      </rPr>
      <t>approved quarry</t>
    </r>
    <r>
      <rPr>
        <sz val="14"/>
        <rFont val="Arial"/>
        <family val="2"/>
      </rPr>
      <t xml:space="preserve"> including cost of all materials,</t>
    </r>
  </si>
  <si>
    <r>
      <t xml:space="preserve">with initial </t>
    </r>
    <r>
      <rPr>
        <b/>
        <sz val="14"/>
        <rFont val="Calibri"/>
        <family val="2"/>
      </rPr>
      <t>lead upto 50 m and all lifts.</t>
    </r>
  </si>
  <si>
    <r>
      <t xml:space="preserve">Providing and </t>
    </r>
    <r>
      <rPr>
        <b/>
        <sz val="14"/>
        <rFont val="Arial"/>
        <family val="2"/>
      </rPr>
      <t>laying uncoursed rubble stone masonry</t>
    </r>
    <r>
      <rPr>
        <sz val="14"/>
        <rFont val="Arial"/>
        <family val="2"/>
      </rPr>
      <t xml:space="preserve"> in </t>
    </r>
    <r>
      <rPr>
        <b/>
        <sz val="14"/>
        <rFont val="Arial"/>
        <family val="2"/>
      </rPr>
      <t>CM 1:5</t>
    </r>
    <r>
      <rPr>
        <sz val="14"/>
        <rFont val="Arial"/>
        <family val="2"/>
      </rPr>
      <t xml:space="preserve"> proportion </t>
    </r>
    <r>
      <rPr>
        <b/>
        <sz val="14"/>
        <rFont val="Arial"/>
        <family val="2"/>
      </rPr>
      <t>for canal side</t>
    </r>
  </si>
  <si>
    <r>
      <rPr>
        <b/>
        <sz val="14"/>
        <rFont val="Arial"/>
        <family val="2"/>
      </rPr>
      <t>lining using stones</t>
    </r>
    <r>
      <rPr>
        <sz val="14"/>
        <rFont val="Arial"/>
        <family val="2"/>
      </rPr>
      <t xml:space="preserve"> from approved quarry including cost of all materials, machinery, </t>
    </r>
  </si>
  <si>
    <r>
      <t xml:space="preserve">Providing and </t>
    </r>
    <r>
      <rPr>
        <b/>
        <sz val="14"/>
        <rFont val="Arial"/>
        <family val="2"/>
      </rPr>
      <t>laying uncoursed rubble stone masonry</t>
    </r>
    <r>
      <rPr>
        <sz val="14"/>
        <rFont val="Arial"/>
        <family val="2"/>
      </rPr>
      <t xml:space="preserve"> in </t>
    </r>
    <r>
      <rPr>
        <b/>
        <sz val="14"/>
        <rFont val="Arial"/>
        <family val="2"/>
      </rPr>
      <t>CM 1 : 5</t>
    </r>
    <r>
      <rPr>
        <sz val="14"/>
        <rFont val="Arial"/>
        <family val="2"/>
      </rPr>
      <t xml:space="preserve"> proportion </t>
    </r>
    <r>
      <rPr>
        <b/>
        <sz val="14"/>
        <rFont val="Arial"/>
        <family val="2"/>
      </rPr>
      <t>for canal side</t>
    </r>
  </si>
  <si>
    <r>
      <rPr>
        <b/>
        <sz val="14"/>
        <rFont val="Arial"/>
        <family val="2"/>
      </rPr>
      <t>lining using stones</t>
    </r>
    <r>
      <rPr>
        <sz val="14"/>
        <rFont val="Arial"/>
        <family val="2"/>
      </rPr>
      <t xml:space="preserve"> and chips from canal excavation including cost of all materials,</t>
    </r>
  </si>
  <si>
    <r>
      <t xml:space="preserve"> specified intervals, finishing,  curing etc., complete </t>
    </r>
    <r>
      <rPr>
        <b/>
        <sz val="14"/>
        <rFont val="Arial"/>
        <family val="2"/>
      </rPr>
      <t>with initial lead upto 50m and all lifts.</t>
    </r>
  </si>
  <si>
    <r>
      <t xml:space="preserve">Providing and </t>
    </r>
    <r>
      <rPr>
        <b/>
        <sz val="14"/>
        <rFont val="Arial"/>
        <family val="2"/>
      </rPr>
      <t>constructing 25 cm thick dry rubble stone pitching with pin headers at 2 per</t>
    </r>
  </si>
  <si>
    <r>
      <rPr>
        <b/>
        <sz val="14"/>
        <rFont val="Arial"/>
        <family val="2"/>
      </rPr>
      <t>sqm</t>
    </r>
    <r>
      <rPr>
        <sz val="14"/>
        <rFont val="Arial"/>
        <family val="2"/>
      </rPr>
      <t xml:space="preserve"> including cost of all materials, labour, hand packing, finishing etc., complete with initial</t>
    </r>
  </si>
  <si>
    <r>
      <t xml:space="preserve">Providing and </t>
    </r>
    <r>
      <rPr>
        <b/>
        <sz val="14"/>
        <rFont val="Arial"/>
        <family val="2"/>
      </rPr>
      <t>constructing 22.5 cm thick dry rubble stone pitching with pin headers at 2 per</t>
    </r>
  </si>
  <si>
    <r>
      <t xml:space="preserve">Providing and </t>
    </r>
    <r>
      <rPr>
        <b/>
        <sz val="14"/>
        <rFont val="Arial"/>
        <family val="2"/>
      </rPr>
      <t>constructing 25 cm thick dry rubble stone pitching</t>
    </r>
    <r>
      <rPr>
        <sz val="14"/>
        <rFont val="Arial"/>
        <family val="2"/>
      </rPr>
      <t xml:space="preserve">  including cost of all materials, labour, </t>
    </r>
  </si>
  <si>
    <r>
      <t xml:space="preserve">Providing and </t>
    </r>
    <r>
      <rPr>
        <b/>
        <sz val="14"/>
        <rFont val="Arial"/>
        <family val="2"/>
      </rPr>
      <t>constructing 225 mm thick dry rubble stone pitching</t>
    </r>
    <r>
      <rPr>
        <sz val="14"/>
        <rFont val="Arial"/>
        <family val="2"/>
      </rPr>
      <t xml:space="preserve">  including cost of all materials, labour, </t>
    </r>
  </si>
  <si>
    <r>
      <t xml:space="preserve">Providing and </t>
    </r>
    <r>
      <rPr>
        <b/>
        <sz val="14"/>
        <rFont val="Arial"/>
        <family val="2"/>
      </rPr>
      <t>constructing 30 cm thick dry rubble stone pitching with pin headers at 2 per</t>
    </r>
  </si>
  <si>
    <r>
      <t xml:space="preserve">Providing and </t>
    </r>
    <r>
      <rPr>
        <b/>
        <sz val="14"/>
        <rFont val="Arial"/>
        <family val="2"/>
      </rPr>
      <t xml:space="preserve">Constructing </t>
    </r>
    <r>
      <rPr>
        <b/>
        <sz val="14"/>
        <rFont val="Calibri"/>
        <family val="2"/>
      </rPr>
      <t>30 cm thick dry rubble stone pitching</t>
    </r>
    <r>
      <rPr>
        <b/>
        <sz val="14"/>
        <rFont val="Arial"/>
        <family val="2"/>
      </rPr>
      <t xml:space="preserve"> </t>
    </r>
  </si>
  <si>
    <r>
      <t xml:space="preserve">Providing and </t>
    </r>
    <r>
      <rPr>
        <b/>
        <sz val="14"/>
        <rFont val="Arial"/>
        <family val="2"/>
      </rPr>
      <t>constructing 45 cm thick dry rubble stone pitching with pin headers at 2 per</t>
    </r>
  </si>
  <si>
    <r>
      <t xml:space="preserve">Providing and </t>
    </r>
    <r>
      <rPr>
        <b/>
        <sz val="14"/>
        <rFont val="Arial"/>
        <family val="2"/>
      </rPr>
      <t xml:space="preserve">Constructing </t>
    </r>
    <r>
      <rPr>
        <b/>
        <sz val="14"/>
        <rFont val="Calibri"/>
        <family val="2"/>
      </rPr>
      <t>45 cm thick dry rubble stone pitching</t>
    </r>
    <r>
      <rPr>
        <b/>
        <sz val="14"/>
        <rFont val="Arial"/>
        <family val="2"/>
      </rPr>
      <t xml:space="preserve"> </t>
    </r>
  </si>
  <si>
    <r>
      <t xml:space="preserve">Providing and </t>
    </r>
    <r>
      <rPr>
        <b/>
        <sz val="14"/>
        <rFont val="Arial"/>
        <family val="2"/>
      </rPr>
      <t>constructing 30 cm thick rubble stone pitching</t>
    </r>
    <r>
      <rPr>
        <sz val="14"/>
        <rFont val="Arial"/>
        <family val="2"/>
      </rPr>
      <t xml:space="preserve"> set in </t>
    </r>
    <r>
      <rPr>
        <b/>
        <sz val="14"/>
        <rFont val="Arial"/>
        <family val="2"/>
      </rPr>
      <t>CM 1: 5</t>
    </r>
    <r>
      <rPr>
        <sz val="14"/>
        <rFont val="Arial"/>
        <family val="2"/>
      </rPr>
      <t xml:space="preserve"> proportion with</t>
    </r>
  </si>
  <si>
    <r>
      <rPr>
        <b/>
        <sz val="14"/>
        <rFont val="Arial"/>
        <family val="2"/>
      </rPr>
      <t>pin headers at 2 per sqm</t>
    </r>
    <r>
      <rPr>
        <sz val="14"/>
        <rFont val="Arial"/>
        <family val="2"/>
      </rPr>
      <t xml:space="preserve"> in including cost of all materials, labour, packing chips and mortar,</t>
    </r>
  </si>
  <si>
    <r>
      <t xml:space="preserve">finishing, curing etc., complete </t>
    </r>
    <r>
      <rPr>
        <b/>
        <sz val="14"/>
        <rFont val="Calibri"/>
        <family val="2"/>
      </rPr>
      <t>with initial lead upto 50 m and all lifts.</t>
    </r>
  </si>
  <si>
    <r>
      <t xml:space="preserve">Providing and </t>
    </r>
    <r>
      <rPr>
        <b/>
        <sz val="14"/>
        <rFont val="Arial"/>
        <family val="2"/>
      </rPr>
      <t xml:space="preserve">Constructing </t>
    </r>
    <r>
      <rPr>
        <b/>
        <sz val="14"/>
        <rFont val="Calibri"/>
        <family val="2"/>
      </rPr>
      <t>30 cm thick rubble stone pitching</t>
    </r>
    <r>
      <rPr>
        <sz val="14"/>
        <rFont val="Arial"/>
        <family val="2"/>
      </rPr>
      <t xml:space="preserve"> set in </t>
    </r>
    <r>
      <rPr>
        <b/>
        <sz val="14"/>
        <rFont val="Arial"/>
        <family val="2"/>
      </rPr>
      <t>CM 1:5</t>
    </r>
    <r>
      <rPr>
        <sz val="14"/>
        <rFont val="Arial"/>
        <family val="2"/>
      </rPr>
      <t xml:space="preserve"> Proportion  </t>
    </r>
  </si>
  <si>
    <r>
      <t xml:space="preserve">Providing and </t>
    </r>
    <r>
      <rPr>
        <b/>
        <sz val="14"/>
        <rFont val="Arial"/>
        <family val="2"/>
      </rPr>
      <t>constructing 30 cm thick dry khandki stone pitching</t>
    </r>
    <r>
      <rPr>
        <sz val="14"/>
        <rFont val="Arial"/>
        <family val="2"/>
      </rPr>
      <t xml:space="preserve"> </t>
    </r>
    <r>
      <rPr>
        <b/>
        <sz val="14"/>
        <rFont val="Arial"/>
        <family val="2"/>
      </rPr>
      <t>using 20 to 25 cm size</t>
    </r>
  </si>
  <si>
    <r>
      <rPr>
        <b/>
        <sz val="14"/>
        <rFont val="Arial"/>
        <family val="2"/>
      </rPr>
      <t>khandki stones with pin headers at 2 per sqm</t>
    </r>
    <r>
      <rPr>
        <sz val="14"/>
        <rFont val="Arial"/>
        <family val="2"/>
      </rPr>
      <t xml:space="preserve"> including cost of all materials, labour, hand</t>
    </r>
  </si>
  <si>
    <r>
      <t xml:space="preserve">packing, finishing etc., complete </t>
    </r>
    <r>
      <rPr>
        <b/>
        <sz val="14"/>
        <rFont val="Arial"/>
        <family val="2"/>
      </rPr>
      <t>with initial lead upto 50 m and all lifts.</t>
    </r>
  </si>
  <si>
    <r>
      <t xml:space="preserve">Providing and </t>
    </r>
    <r>
      <rPr>
        <b/>
        <sz val="14"/>
        <rFont val="Arial"/>
        <family val="2"/>
      </rPr>
      <t>constructing 45 cm thick dry khandki stone pitching using 25 to 30 cm size</t>
    </r>
  </si>
  <si>
    <r>
      <t xml:space="preserve">Providing and </t>
    </r>
    <r>
      <rPr>
        <b/>
        <sz val="14"/>
        <rFont val="Arial"/>
        <family val="2"/>
      </rPr>
      <t>constructing 30 cm thick khandki stone pitching using 20 to 25 cm size</t>
    </r>
  </si>
  <si>
    <r>
      <rPr>
        <b/>
        <sz val="14"/>
        <rFont val="Arial"/>
        <family val="2"/>
      </rPr>
      <t>khandki stones with pin headers at 2 per sqm</t>
    </r>
    <r>
      <rPr>
        <sz val="14"/>
        <rFont val="Arial"/>
        <family val="2"/>
      </rPr>
      <t xml:space="preserve"> set in </t>
    </r>
    <r>
      <rPr>
        <b/>
        <sz val="14"/>
        <rFont val="Arial"/>
        <family val="2"/>
      </rPr>
      <t>CM 1 : 5</t>
    </r>
    <r>
      <rPr>
        <sz val="14"/>
        <rFont val="Arial"/>
        <family val="2"/>
      </rPr>
      <t xml:space="preserve"> proportion with pointing joints in</t>
    </r>
  </si>
  <si>
    <r>
      <t xml:space="preserve">curing etc.complete with </t>
    </r>
    <r>
      <rPr>
        <b/>
        <sz val="14"/>
        <rFont val="Arial"/>
        <family val="2"/>
      </rPr>
      <t>initial lead upto 50 m and all lifts.</t>
    </r>
  </si>
  <si>
    <r>
      <t xml:space="preserve">Providing and </t>
    </r>
    <r>
      <rPr>
        <b/>
        <sz val="14"/>
        <rFont val="Arial"/>
        <family val="2"/>
      </rPr>
      <t>constructing 45 cm thick khandki stone pitching using 25 to 30 cm stones</t>
    </r>
  </si>
  <si>
    <r>
      <rPr>
        <b/>
        <sz val="14"/>
        <rFont val="Arial"/>
        <family val="2"/>
      </rPr>
      <t>with pin headers at 2 per sqm</t>
    </r>
    <r>
      <rPr>
        <sz val="14"/>
        <rFont val="Arial"/>
        <family val="2"/>
      </rPr>
      <t xml:space="preserve"> set in </t>
    </r>
    <r>
      <rPr>
        <b/>
        <sz val="14"/>
        <rFont val="Arial"/>
        <family val="2"/>
      </rPr>
      <t>CM 1 : 5</t>
    </r>
    <r>
      <rPr>
        <sz val="14"/>
        <rFont val="Arial"/>
        <family val="2"/>
      </rPr>
      <t xml:space="preserve"> proportion with pointing joints in CM 1 : 3</t>
    </r>
  </si>
  <si>
    <r>
      <t>etc., complete</t>
    </r>
    <r>
      <rPr>
        <b/>
        <sz val="14"/>
        <rFont val="Arial"/>
        <family val="2"/>
      </rPr>
      <t xml:space="preserve"> with initial lead upto 50 m and all lifts.</t>
    </r>
  </si>
  <si>
    <r>
      <rPr>
        <b/>
        <sz val="14"/>
        <rFont val="Arial"/>
        <family val="2"/>
      </rPr>
      <t xml:space="preserve">Providing 10 cm thick approved type grass turfing </t>
    </r>
    <r>
      <rPr>
        <sz val="14"/>
        <rFont val="Arial"/>
        <family val="2"/>
      </rPr>
      <t>to the side slopes of canal including cost of</t>
    </r>
  </si>
  <si>
    <r>
      <t xml:space="preserve">all materials, labour, watering for minimum 15 days etc.,complete </t>
    </r>
    <r>
      <rPr>
        <b/>
        <sz val="14"/>
        <rFont val="Arial"/>
        <family val="2"/>
      </rPr>
      <t>with lead 50 m and all lifts.</t>
    </r>
  </si>
  <si>
    <r>
      <rPr>
        <b/>
        <sz val="14"/>
        <rFont val="Arial"/>
        <family val="2"/>
      </rPr>
      <t>Providing 10 cm Thick approved type gross turfing</t>
    </r>
    <r>
      <rPr>
        <sz val="14"/>
        <rFont val="Arial"/>
        <family val="2"/>
      </rPr>
      <t xml:space="preserve"> to the side slopes of canal including cost of   </t>
    </r>
  </si>
  <si>
    <r>
      <t xml:space="preserve"> </t>
    </r>
    <r>
      <rPr>
        <b/>
        <sz val="14"/>
        <rFont val="Arial"/>
        <family val="2"/>
      </rPr>
      <t>with initial lead upto 50 m and all lifts ( WITHOUT USING SAND)</t>
    </r>
  </si>
  <si>
    <r>
      <t xml:space="preserve">Providing and </t>
    </r>
    <r>
      <rPr>
        <b/>
        <sz val="14"/>
        <rFont val="Arial"/>
        <family val="2"/>
      </rPr>
      <t>laying uncoursed rubble stone masonry</t>
    </r>
    <r>
      <rPr>
        <sz val="14"/>
        <rFont val="Arial"/>
        <family val="2"/>
      </rPr>
      <t xml:space="preserve"> in </t>
    </r>
    <r>
      <rPr>
        <b/>
        <sz val="14"/>
        <rFont val="Arial"/>
        <family val="2"/>
      </rPr>
      <t>CM 1:5</t>
    </r>
    <r>
      <rPr>
        <sz val="14"/>
        <rFont val="Arial"/>
        <family val="2"/>
      </rPr>
      <t xml:space="preserve"> proportion </t>
    </r>
    <r>
      <rPr>
        <b/>
        <sz val="14"/>
        <rFont val="Arial"/>
        <family val="2"/>
      </rPr>
      <t>for canal side lining</t>
    </r>
    <r>
      <rPr>
        <sz val="14"/>
        <rFont val="Arial"/>
        <family val="2"/>
      </rPr>
      <t xml:space="preserve"> </t>
    </r>
  </si>
  <si>
    <t>using stones  from  canal excavation including cost of all materials, machinery, labour, forming weep holes at</t>
  </si>
  <si>
    <r>
      <t xml:space="preserve">Excavation </t>
    </r>
    <r>
      <rPr>
        <b/>
        <sz val="14"/>
        <rFont val="Arial"/>
        <family val="2"/>
      </rPr>
      <t xml:space="preserve">in </t>
    </r>
    <r>
      <rPr>
        <b/>
        <sz val="14"/>
        <rFont val="Calibri"/>
        <family val="2"/>
      </rPr>
      <t>all kinds of soil</t>
    </r>
    <r>
      <rPr>
        <sz val="14"/>
        <rFont val="Arial"/>
        <family val="2"/>
      </rPr>
      <t xml:space="preserve"> including boulders </t>
    </r>
    <r>
      <rPr>
        <b/>
        <sz val="14"/>
        <rFont val="Arial"/>
        <family val="2"/>
      </rPr>
      <t>upto 0.30 m dia.</t>
    </r>
    <r>
      <rPr>
        <sz val="14"/>
        <rFont val="Arial"/>
        <family val="2"/>
      </rPr>
      <t xml:space="preserve"> </t>
    </r>
    <r>
      <rPr>
        <sz val="14"/>
        <rFont val="Calibri"/>
        <family val="2"/>
      </rPr>
      <t>for</t>
    </r>
    <r>
      <rPr>
        <sz val="14"/>
        <rFont val="Arial"/>
        <family val="2"/>
      </rPr>
      <t xml:space="preserve"> foundations of </t>
    </r>
    <r>
      <rPr>
        <sz val="14"/>
        <rFont val="Calibri"/>
        <family val="2"/>
      </rPr>
      <t>canal</t>
    </r>
  </si>
  <si>
    <r>
      <t xml:space="preserve">specified dump area or disposing off the same as directed etc., complete with initial </t>
    </r>
    <r>
      <rPr>
        <sz val="14"/>
        <rFont val="Calibri"/>
        <family val="2"/>
      </rPr>
      <t>lead upto</t>
    </r>
  </si>
  <si>
    <r>
      <t xml:space="preserve">Excavation in </t>
    </r>
    <r>
      <rPr>
        <b/>
        <sz val="14"/>
        <rFont val="Calibri"/>
        <family val="2"/>
      </rPr>
      <t>ordnary rock (</t>
    </r>
    <r>
      <rPr>
        <b/>
        <sz val="14"/>
        <rFont val="Arial"/>
        <family val="2"/>
      </rPr>
      <t>including</t>
    </r>
    <r>
      <rPr>
        <b/>
        <sz val="14"/>
        <rFont val="Calibri"/>
        <family val="2"/>
      </rPr>
      <t xml:space="preserve"> HDR) without blasting</t>
    </r>
    <r>
      <rPr>
        <sz val="14"/>
        <rFont val="Arial"/>
        <family val="2"/>
      </rPr>
      <t xml:space="preserve"> including boulders </t>
    </r>
    <r>
      <rPr>
        <b/>
        <sz val="14"/>
        <rFont val="Arial"/>
        <family val="2"/>
      </rPr>
      <t>above 0.3 m upto 0.60 m dia</t>
    </r>
    <r>
      <rPr>
        <sz val="14"/>
        <rFont val="Arial"/>
        <family val="2"/>
      </rPr>
      <t>.</t>
    </r>
  </si>
  <si>
    <r>
      <t xml:space="preserve">complete with initial </t>
    </r>
    <r>
      <rPr>
        <b/>
        <sz val="14"/>
        <rFont val="Calibri"/>
        <family val="2"/>
      </rPr>
      <t>lead upto 50 m and initial lift upto 3 m.</t>
    </r>
  </si>
  <si>
    <r>
      <t xml:space="preserve">Excavation in </t>
    </r>
    <r>
      <rPr>
        <b/>
        <sz val="14"/>
        <rFont val="Calibri"/>
        <family val="2"/>
      </rPr>
      <t>ordnary rock without blasting</t>
    </r>
    <r>
      <rPr>
        <sz val="14"/>
        <rFont val="Arial"/>
        <family val="2"/>
      </rPr>
      <t xml:space="preserve"> </t>
    </r>
    <r>
      <rPr>
        <sz val="14"/>
        <rFont val="Calibri"/>
        <family val="2"/>
      </rPr>
      <t xml:space="preserve">for foundations  </t>
    </r>
    <r>
      <rPr>
        <sz val="14"/>
        <rFont val="Arial"/>
        <family val="2"/>
      </rPr>
      <t>of canal cross  drainage</t>
    </r>
  </si>
  <si>
    <r>
      <t xml:space="preserve"> </t>
    </r>
    <r>
      <rPr>
        <b/>
        <sz val="14"/>
        <rFont val="Calibri"/>
        <family val="2"/>
      </rPr>
      <t>lead upto 50 m and initial lift upto 3 m.</t>
    </r>
  </si>
  <si>
    <r>
      <t xml:space="preserve">Excavation </t>
    </r>
    <r>
      <rPr>
        <b/>
        <sz val="14"/>
        <rFont val="Arial"/>
        <family val="2"/>
      </rPr>
      <t xml:space="preserve">in </t>
    </r>
    <r>
      <rPr>
        <b/>
        <sz val="14"/>
        <rFont val="Calibri"/>
        <family val="2"/>
      </rPr>
      <t>hard rock requiring blasting</t>
    </r>
    <r>
      <rPr>
        <sz val="14"/>
        <rFont val="Arial"/>
        <family val="2"/>
      </rPr>
      <t xml:space="preserve"> including boulders </t>
    </r>
    <r>
      <rPr>
        <b/>
        <sz val="14"/>
        <rFont val="Calibri"/>
        <family val="2"/>
      </rPr>
      <t>above 0.6 m upto 1.2 m dia</t>
    </r>
    <r>
      <rPr>
        <b/>
        <sz val="14"/>
        <rFont val="Arial"/>
        <family val="2"/>
      </rPr>
      <t>.</t>
    </r>
    <r>
      <rPr>
        <sz val="14"/>
        <rFont val="Arial"/>
        <family val="2"/>
      </rPr>
      <t xml:space="preserve"> </t>
    </r>
    <r>
      <rPr>
        <sz val="14"/>
        <rFont val="Calibri"/>
        <family val="2"/>
      </rPr>
      <t>for</t>
    </r>
  </si>
  <si>
    <r>
      <t xml:space="preserve">complete </t>
    </r>
    <r>
      <rPr>
        <b/>
        <sz val="14"/>
        <rFont val="Arial"/>
        <family val="2"/>
      </rPr>
      <t xml:space="preserve">with initial </t>
    </r>
    <r>
      <rPr>
        <b/>
        <sz val="14"/>
        <rFont val="Calibri"/>
        <family val="2"/>
      </rPr>
      <t>lead upto 50 m and initial lift upto 3 m.</t>
    </r>
  </si>
  <si>
    <r>
      <t xml:space="preserve">Excavation </t>
    </r>
    <r>
      <rPr>
        <b/>
        <sz val="14"/>
        <rFont val="Arial"/>
        <family val="2"/>
      </rPr>
      <t xml:space="preserve">in </t>
    </r>
    <r>
      <rPr>
        <b/>
        <sz val="14"/>
        <rFont val="Calibri"/>
        <family val="2"/>
      </rPr>
      <t>hard rock</t>
    </r>
    <r>
      <rPr>
        <b/>
        <sz val="14"/>
        <rFont val="Arial"/>
        <family val="2"/>
      </rPr>
      <t xml:space="preserve"> of all toughness by blasting</t>
    </r>
    <r>
      <rPr>
        <sz val="14"/>
        <rFont val="Arial"/>
        <family val="2"/>
      </rPr>
      <t xml:space="preserve"> including boulders </t>
    </r>
    <r>
      <rPr>
        <b/>
        <sz val="14"/>
        <rFont val="Arial"/>
        <family val="2"/>
      </rPr>
      <t>above 1.2 m dia.</t>
    </r>
    <r>
      <rPr>
        <sz val="14"/>
        <rFont val="Calibri"/>
        <family val="2"/>
      </rPr>
      <t xml:space="preserve"> for</t>
    </r>
  </si>
  <si>
    <r>
      <t xml:space="preserve">initial </t>
    </r>
    <r>
      <rPr>
        <b/>
        <sz val="14"/>
        <rFont val="Calibri"/>
        <family val="2"/>
      </rPr>
      <t>lead upto 50 m and initial lift upto 3 m.</t>
    </r>
  </si>
  <si>
    <r>
      <t xml:space="preserve">Excavation </t>
    </r>
    <r>
      <rPr>
        <b/>
        <sz val="14"/>
        <rFont val="Arial"/>
        <family val="2"/>
      </rPr>
      <t xml:space="preserve">in </t>
    </r>
    <r>
      <rPr>
        <b/>
        <sz val="14"/>
        <rFont val="Calibri"/>
        <family val="2"/>
      </rPr>
      <t>hard rock</t>
    </r>
    <r>
      <rPr>
        <b/>
        <sz val="14"/>
        <rFont val="Arial"/>
        <family val="2"/>
      </rPr>
      <t xml:space="preserve"> with blasting prohibited</t>
    </r>
    <r>
      <rPr>
        <sz val="14"/>
        <rFont val="Calibri"/>
        <family val="2"/>
      </rPr>
      <t xml:space="preserve"> for foundations </t>
    </r>
    <r>
      <rPr>
        <sz val="14"/>
        <rFont val="Arial"/>
        <family val="2"/>
      </rPr>
      <t xml:space="preserve">of canal cross drainage </t>
    </r>
  </si>
  <si>
    <r>
      <t xml:space="preserve"> or stack yard as directed etc., complete with specified dump area</t>
    </r>
    <r>
      <rPr>
        <b/>
        <sz val="14"/>
        <rFont val="Arial"/>
        <family val="2"/>
      </rPr>
      <t xml:space="preserve"> </t>
    </r>
    <r>
      <rPr>
        <b/>
        <sz val="14"/>
        <rFont val="Calibri"/>
        <family val="2"/>
      </rPr>
      <t xml:space="preserve">initial lead upto 50 m and </t>
    </r>
  </si>
  <si>
    <r>
      <t xml:space="preserve">Providing and </t>
    </r>
    <r>
      <rPr>
        <b/>
        <sz val="14"/>
        <rFont val="Calibri"/>
        <family val="2"/>
      </rPr>
      <t>fixing</t>
    </r>
    <r>
      <rPr>
        <b/>
        <sz val="14"/>
        <rFont val="Arial"/>
        <family val="2"/>
      </rPr>
      <t xml:space="preserve"> 25 mm dia 2.50 m long cold twisted deformed steel </t>
    </r>
    <r>
      <rPr>
        <b/>
        <sz val="14"/>
        <rFont val="Calibri"/>
        <family val="2"/>
      </rPr>
      <t>anchor rods</t>
    </r>
    <r>
      <rPr>
        <sz val="14"/>
        <rFont val="Arial"/>
        <family val="2"/>
      </rPr>
      <t xml:space="preserve"> with</t>
    </r>
  </si>
  <si>
    <r>
      <t xml:space="preserve">hole, driving anchor rod, grouting hole with thick cement slurry etc., complete with initial </t>
    </r>
    <r>
      <rPr>
        <sz val="14"/>
        <rFont val="Calibri"/>
        <family val="2"/>
      </rPr>
      <t>lead</t>
    </r>
  </si>
  <si>
    <r>
      <t xml:space="preserve">Providing, fabricating and </t>
    </r>
    <r>
      <rPr>
        <b/>
        <sz val="14"/>
        <rFont val="Arial"/>
        <family val="2"/>
      </rPr>
      <t xml:space="preserve">placing in position </t>
    </r>
    <r>
      <rPr>
        <b/>
        <sz val="14"/>
        <rFont val="Calibri"/>
        <family val="2"/>
      </rPr>
      <t>reinforcement</t>
    </r>
    <r>
      <rPr>
        <b/>
        <sz val="14"/>
        <rFont val="Arial"/>
        <family val="2"/>
      </rPr>
      <t xml:space="preserve"> steel bars for RCC works</t>
    </r>
    <r>
      <rPr>
        <sz val="14"/>
        <rFont val="Arial"/>
        <family val="2"/>
      </rPr>
      <t xml:space="preserve"> including</t>
    </r>
  </si>
  <si>
    <r>
      <t xml:space="preserve">complete with initial </t>
    </r>
    <r>
      <rPr>
        <b/>
        <sz val="14"/>
        <rFont val="Calibri"/>
        <family val="2"/>
      </rPr>
      <t>lead upto 50 and all lifts</t>
    </r>
    <r>
      <rPr>
        <b/>
        <sz val="14"/>
        <rFont val="Arial"/>
        <family val="2"/>
      </rPr>
      <t>.</t>
    </r>
  </si>
  <si>
    <r>
      <t xml:space="preserve">Providing, fabricating and </t>
    </r>
    <r>
      <rPr>
        <b/>
        <sz val="14"/>
        <rFont val="Arial"/>
        <family val="2"/>
      </rPr>
      <t xml:space="preserve">fixing in position </t>
    </r>
    <r>
      <rPr>
        <b/>
        <sz val="14"/>
        <rFont val="Calibri"/>
        <family val="2"/>
      </rPr>
      <t>structural steel cutting edge</t>
    </r>
    <r>
      <rPr>
        <sz val="14"/>
        <rFont val="Arial"/>
        <family val="2"/>
      </rPr>
      <t xml:space="preserve"> consisting of 100 x</t>
    </r>
  </si>
  <si>
    <r>
      <t xml:space="preserve">welding, providing anchors etc., complete </t>
    </r>
    <r>
      <rPr>
        <b/>
        <sz val="14"/>
        <rFont val="Arial"/>
        <family val="2"/>
      </rPr>
      <t>with initial lead upto 50 m and all lifts.</t>
    </r>
  </si>
  <si>
    <r>
      <t xml:space="preserve">15 N /sq mm ) grade </t>
    </r>
    <r>
      <rPr>
        <sz val="14"/>
        <rFont val="Calibri"/>
        <family val="2"/>
      </rPr>
      <t>cement concrete</t>
    </r>
    <r>
      <rPr>
        <sz val="14"/>
        <rFont val="Arial"/>
        <family val="2"/>
      </rPr>
      <t xml:space="preserve"> using </t>
    </r>
    <r>
      <rPr>
        <b/>
        <sz val="14"/>
        <rFont val="Calibri"/>
        <family val="2"/>
      </rPr>
      <t>40 mm</t>
    </r>
    <r>
      <rPr>
        <b/>
        <sz val="14"/>
        <rFont val="Arial"/>
        <family val="2"/>
      </rPr>
      <t xml:space="preserve"> down size</t>
    </r>
    <r>
      <rPr>
        <sz val="14"/>
        <rFont val="Arial"/>
        <family val="2"/>
      </rPr>
      <t xml:space="preserve"> approved, clean, hard, graded</t>
    </r>
  </si>
  <si>
    <r>
      <t xml:space="preserve">complete with initial </t>
    </r>
    <r>
      <rPr>
        <b/>
        <sz val="14"/>
        <rFont val="Calibri"/>
        <family val="2"/>
      </rPr>
      <t>lead upto 50 m and all lifts.</t>
    </r>
    <r>
      <rPr>
        <b/>
        <sz val="14"/>
        <rFont val="Arial"/>
        <family val="2"/>
      </rPr>
      <t xml:space="preserve"> </t>
    </r>
  </si>
  <si>
    <r>
      <t xml:space="preserve">15 N / sq mm ) grade </t>
    </r>
    <r>
      <rPr>
        <sz val="14"/>
        <rFont val="Calibri"/>
        <family val="2"/>
      </rPr>
      <t>cement concrete</t>
    </r>
    <r>
      <rPr>
        <sz val="14"/>
        <rFont val="Arial"/>
        <family val="2"/>
      </rPr>
      <t xml:space="preserve"> using </t>
    </r>
    <r>
      <rPr>
        <b/>
        <sz val="14"/>
        <rFont val="Calibri"/>
        <family val="2"/>
      </rPr>
      <t>80 mm</t>
    </r>
    <r>
      <rPr>
        <b/>
        <sz val="14"/>
        <rFont val="Arial"/>
        <family val="2"/>
      </rPr>
      <t xml:space="preserve"> down size</t>
    </r>
    <r>
      <rPr>
        <sz val="14"/>
        <rFont val="Arial"/>
        <family val="2"/>
      </rPr>
      <t xml:space="preserve"> approved, clean, hard, graded</t>
    </r>
  </si>
  <si>
    <r>
      <t xml:space="preserve">10 N / sq mm ) grade </t>
    </r>
    <r>
      <rPr>
        <sz val="14"/>
        <rFont val="Calibri"/>
        <family val="2"/>
      </rPr>
      <t>cement concrete</t>
    </r>
    <r>
      <rPr>
        <sz val="14"/>
        <rFont val="Arial"/>
        <family val="2"/>
      </rPr>
      <t xml:space="preserve"> using </t>
    </r>
    <r>
      <rPr>
        <b/>
        <sz val="14"/>
        <rFont val="Calibri"/>
        <family val="2"/>
      </rPr>
      <t>40 mm</t>
    </r>
    <r>
      <rPr>
        <b/>
        <sz val="14"/>
        <rFont val="Arial"/>
        <family val="2"/>
      </rPr>
      <t xml:space="preserve"> down size</t>
    </r>
    <r>
      <rPr>
        <sz val="14"/>
        <rFont val="Arial"/>
        <family val="2"/>
      </rPr>
      <t xml:space="preserve"> approved, clean, hard, graded</t>
    </r>
  </si>
  <si>
    <r>
      <t xml:space="preserve">complete with initial </t>
    </r>
    <r>
      <rPr>
        <b/>
        <sz val="14"/>
        <rFont val="Calibri"/>
        <family val="2"/>
      </rPr>
      <t>lead upto 50 m and all lifts</t>
    </r>
    <r>
      <rPr>
        <b/>
        <sz val="14"/>
        <rFont val="Arial"/>
        <family val="2"/>
      </rPr>
      <t xml:space="preserve">. </t>
    </r>
  </si>
  <si>
    <r>
      <t xml:space="preserve">Providing and laying </t>
    </r>
    <r>
      <rPr>
        <b/>
        <sz val="14"/>
        <rFont val="Arial"/>
        <family val="2"/>
      </rPr>
      <t xml:space="preserve">insitu vibrated </t>
    </r>
    <r>
      <rPr>
        <b/>
        <sz val="14"/>
        <rFont val="Calibri"/>
        <family val="2"/>
      </rPr>
      <t>M-10</t>
    </r>
    <r>
      <rPr>
        <sz val="14"/>
        <rFont val="Arial"/>
        <family val="2"/>
      </rPr>
      <t xml:space="preserve"> ( 28 days cube compressive strength not less than</t>
    </r>
  </si>
  <si>
    <r>
      <t xml:space="preserve">10 N / sq mm ) grade </t>
    </r>
    <r>
      <rPr>
        <sz val="14"/>
        <rFont val="Calibri"/>
        <family val="2"/>
      </rPr>
      <t>cement concrete</t>
    </r>
    <r>
      <rPr>
        <sz val="14"/>
        <rFont val="Arial"/>
        <family val="2"/>
      </rPr>
      <t xml:space="preserve"> using </t>
    </r>
    <r>
      <rPr>
        <b/>
        <sz val="14"/>
        <rFont val="Calibri"/>
        <family val="2"/>
      </rPr>
      <t>80 mm</t>
    </r>
    <r>
      <rPr>
        <b/>
        <sz val="14"/>
        <rFont val="Arial"/>
        <family val="2"/>
      </rPr>
      <t xml:space="preserve"> down size</t>
    </r>
    <r>
      <rPr>
        <sz val="14"/>
        <rFont val="Arial"/>
        <family val="2"/>
      </rPr>
      <t xml:space="preserve"> approved, clean, hard, graded</t>
    </r>
  </si>
  <si>
    <r>
      <t xml:space="preserve">20 N / sq mm ) grade </t>
    </r>
    <r>
      <rPr>
        <sz val="14"/>
        <rFont val="Calibri"/>
        <family val="2"/>
      </rPr>
      <t>cement concrete</t>
    </r>
    <r>
      <rPr>
        <sz val="14"/>
        <rFont val="Arial"/>
        <family val="2"/>
      </rPr>
      <t xml:space="preserve"> using </t>
    </r>
    <r>
      <rPr>
        <b/>
        <sz val="14"/>
        <rFont val="Calibri"/>
        <family val="2"/>
      </rPr>
      <t>40 mm</t>
    </r>
    <r>
      <rPr>
        <b/>
        <sz val="14"/>
        <rFont val="Arial"/>
        <family val="2"/>
      </rPr>
      <t xml:space="preserve"> down size</t>
    </r>
    <r>
      <rPr>
        <sz val="14"/>
        <rFont val="Arial"/>
        <family val="2"/>
      </rPr>
      <t xml:space="preserve"> approved, clean, hard, graded</t>
    </r>
  </si>
  <si>
    <r>
      <t xml:space="preserve">complete </t>
    </r>
    <r>
      <rPr>
        <b/>
        <sz val="14"/>
        <rFont val="Arial"/>
        <family val="2"/>
      </rPr>
      <t xml:space="preserve">with initial </t>
    </r>
    <r>
      <rPr>
        <b/>
        <sz val="14"/>
        <rFont val="Calibri"/>
        <family val="2"/>
      </rPr>
      <t>lead upto 50 m and all lifts.</t>
    </r>
    <r>
      <rPr>
        <b/>
        <sz val="14"/>
        <rFont val="Arial"/>
        <family val="2"/>
      </rPr>
      <t xml:space="preserve"> ( Cement content : 220 kg / cum )</t>
    </r>
  </si>
  <si>
    <r>
      <t xml:space="preserve">aggregates </t>
    </r>
    <r>
      <rPr>
        <b/>
        <sz val="14"/>
        <rFont val="Arial"/>
        <family val="2"/>
      </rPr>
      <t>for sub-structure / super- structure works</t>
    </r>
    <r>
      <rPr>
        <sz val="14"/>
        <rFont val="Arial"/>
        <family val="2"/>
      </rPr>
      <t xml:space="preserve"> including cost of all materials,</t>
    </r>
  </si>
  <si>
    <r>
      <t xml:space="preserve">levelling, vibrating, finishing, curing etc., complete </t>
    </r>
    <r>
      <rPr>
        <b/>
        <sz val="14"/>
        <rFont val="Arial"/>
        <family val="2"/>
      </rPr>
      <t xml:space="preserve">with initial </t>
    </r>
    <r>
      <rPr>
        <b/>
        <sz val="14"/>
        <rFont val="Calibri"/>
        <family val="2"/>
      </rPr>
      <t>lead upto 50 m and all lifts.</t>
    </r>
  </si>
  <si>
    <r>
      <t xml:space="preserve">20 N / sq mm ) grade </t>
    </r>
    <r>
      <rPr>
        <sz val="14"/>
        <rFont val="Calibri"/>
        <family val="2"/>
      </rPr>
      <t>cement concrete</t>
    </r>
    <r>
      <rPr>
        <sz val="14"/>
        <rFont val="Arial"/>
        <family val="2"/>
      </rPr>
      <t xml:space="preserve"> using </t>
    </r>
    <r>
      <rPr>
        <b/>
        <sz val="14"/>
        <rFont val="Calibri"/>
        <family val="2"/>
      </rPr>
      <t>20 mm</t>
    </r>
    <r>
      <rPr>
        <b/>
        <sz val="14"/>
        <rFont val="Arial"/>
        <family val="2"/>
      </rPr>
      <t xml:space="preserve"> down size</t>
    </r>
    <r>
      <rPr>
        <sz val="14"/>
        <rFont val="Arial"/>
        <family val="2"/>
      </rPr>
      <t xml:space="preserve"> approved, clean, hard, graded</t>
    </r>
  </si>
  <si>
    <r>
      <t xml:space="preserve">15 N / sq mm ) grade </t>
    </r>
    <r>
      <rPr>
        <sz val="14"/>
        <rFont val="Calibri"/>
        <family val="2"/>
      </rPr>
      <t>cement concrete</t>
    </r>
    <r>
      <rPr>
        <sz val="14"/>
        <rFont val="Arial"/>
        <family val="2"/>
      </rPr>
      <t xml:space="preserve"> using </t>
    </r>
    <r>
      <rPr>
        <b/>
        <sz val="14"/>
        <rFont val="Calibri"/>
        <family val="2"/>
      </rPr>
      <t>20 mm</t>
    </r>
    <r>
      <rPr>
        <b/>
        <sz val="14"/>
        <rFont val="Arial"/>
        <family val="2"/>
      </rPr>
      <t xml:space="preserve"> down size</t>
    </r>
    <r>
      <rPr>
        <sz val="14"/>
        <rFont val="Arial"/>
        <family val="2"/>
      </rPr>
      <t xml:space="preserve"> approved, clean, hard, graded</t>
    </r>
  </si>
  <si>
    <r>
      <t xml:space="preserve">10 N / sq mm ) grade </t>
    </r>
    <r>
      <rPr>
        <sz val="14"/>
        <rFont val="Calibri"/>
        <family val="2"/>
      </rPr>
      <t>cement concrete</t>
    </r>
    <r>
      <rPr>
        <sz val="14"/>
        <rFont val="Arial"/>
        <family val="2"/>
      </rPr>
      <t xml:space="preserve"> using </t>
    </r>
    <r>
      <rPr>
        <b/>
        <sz val="14"/>
        <rFont val="Calibri"/>
        <family val="2"/>
      </rPr>
      <t>20 mm</t>
    </r>
    <r>
      <rPr>
        <b/>
        <sz val="14"/>
        <rFont val="Arial"/>
        <family val="2"/>
      </rPr>
      <t xml:space="preserve"> down size</t>
    </r>
    <r>
      <rPr>
        <sz val="14"/>
        <rFont val="Arial"/>
        <family val="2"/>
      </rPr>
      <t xml:space="preserve"> approved, clean, hard, graded</t>
    </r>
  </si>
  <si>
    <r>
      <t xml:space="preserve">levelling, vibrating, finishing, curing etc., complete </t>
    </r>
    <r>
      <rPr>
        <b/>
        <sz val="14"/>
        <rFont val="Arial"/>
        <family val="2"/>
      </rPr>
      <t>with initial</t>
    </r>
    <r>
      <rPr>
        <b/>
        <sz val="14"/>
        <rFont val="Calibri"/>
        <family val="2"/>
      </rPr>
      <t xml:space="preserve"> lead upto 50 m and all lifts.</t>
    </r>
  </si>
  <si>
    <r>
      <t xml:space="preserve">aggregates </t>
    </r>
    <r>
      <rPr>
        <b/>
        <sz val="14"/>
        <rFont val="Arial"/>
        <family val="2"/>
      </rPr>
      <t>for well kerb</t>
    </r>
    <r>
      <rPr>
        <sz val="14"/>
        <rFont val="Arial"/>
        <family val="2"/>
      </rPr>
      <t xml:space="preserve"> including cost of all materials, machinery, labour, formwork,</t>
    </r>
  </si>
  <si>
    <r>
      <t xml:space="preserve">etc., complete with initial </t>
    </r>
    <r>
      <rPr>
        <b/>
        <sz val="14"/>
        <rFont val="Calibri"/>
        <family val="2"/>
      </rPr>
      <t>lead upto 50 m and all lifts</t>
    </r>
    <r>
      <rPr>
        <b/>
        <sz val="14"/>
        <rFont val="Arial"/>
        <family val="2"/>
      </rPr>
      <t xml:space="preserve">. </t>
    </r>
  </si>
  <si>
    <r>
      <t xml:space="preserve">Shuttering at </t>
    </r>
    <r>
      <rPr>
        <sz val="14"/>
        <rFont val="Calibri"/>
        <family val="2"/>
      </rPr>
      <t>5.5 sqm / cum</t>
    </r>
    <r>
      <rPr>
        <sz val="14"/>
        <rFont val="Arial"/>
        <family val="2"/>
      </rPr>
      <t xml:space="preserve"> of concrete considered for well kerb works.</t>
    </r>
  </si>
  <si>
    <r>
      <t xml:space="preserve">aggregates </t>
    </r>
    <r>
      <rPr>
        <b/>
        <sz val="14"/>
        <rFont val="Arial"/>
        <family val="2"/>
      </rPr>
      <t>for well steining</t>
    </r>
    <r>
      <rPr>
        <sz val="14"/>
        <rFont val="Arial"/>
        <family val="2"/>
      </rPr>
      <t xml:space="preserve"> including cost of all materials, machinery, labour, formwork,</t>
    </r>
  </si>
  <si>
    <r>
      <t xml:space="preserve">etc., complete with initial </t>
    </r>
    <r>
      <rPr>
        <b/>
        <sz val="14"/>
        <rFont val="Calibri"/>
        <family val="2"/>
      </rPr>
      <t>lead upto 50 m and all lifts</t>
    </r>
    <r>
      <rPr>
        <b/>
        <sz val="14"/>
        <rFont val="Arial"/>
        <family val="2"/>
      </rPr>
      <t>.</t>
    </r>
  </si>
  <si>
    <r>
      <t xml:space="preserve">Shuttering at </t>
    </r>
    <r>
      <rPr>
        <sz val="14"/>
        <rFont val="Calibri"/>
        <family val="2"/>
      </rPr>
      <t>4 sqm / cum</t>
    </r>
    <r>
      <rPr>
        <sz val="14"/>
        <rFont val="Arial"/>
        <family val="2"/>
      </rPr>
      <t xml:space="preserve"> of concrete considered for well steining work.</t>
    </r>
  </si>
  <si>
    <r>
      <t xml:space="preserve">Providing and </t>
    </r>
    <r>
      <rPr>
        <b/>
        <sz val="14"/>
        <rFont val="Arial"/>
        <family val="2"/>
      </rPr>
      <t xml:space="preserve">laying insitu </t>
    </r>
    <r>
      <rPr>
        <b/>
        <sz val="14"/>
        <rFont val="Calibri"/>
        <family val="2"/>
      </rPr>
      <t>M-15</t>
    </r>
    <r>
      <rPr>
        <sz val="14"/>
        <rFont val="Arial"/>
        <family val="2"/>
      </rPr>
      <t xml:space="preserve"> ( 28 days cube compressive strength not less than 15 N / sq</t>
    </r>
  </si>
  <si>
    <r>
      <t xml:space="preserve">mm ) grade </t>
    </r>
    <r>
      <rPr>
        <sz val="14"/>
        <rFont val="Calibri"/>
        <family val="2"/>
      </rPr>
      <t>cement concrete</t>
    </r>
    <r>
      <rPr>
        <sz val="14"/>
        <rFont val="Arial"/>
        <family val="2"/>
      </rPr>
      <t xml:space="preserve"> using </t>
    </r>
    <r>
      <rPr>
        <b/>
        <sz val="14"/>
        <rFont val="Calibri"/>
        <family val="2"/>
      </rPr>
      <t>20 mm</t>
    </r>
    <r>
      <rPr>
        <b/>
        <sz val="14"/>
        <rFont val="Arial"/>
        <family val="2"/>
      </rPr>
      <t xml:space="preserve"> down size</t>
    </r>
    <r>
      <rPr>
        <sz val="14"/>
        <rFont val="Arial"/>
        <family val="2"/>
      </rPr>
      <t xml:space="preserve"> approved, clean, hard, graded</t>
    </r>
  </si>
  <si>
    <r>
      <t xml:space="preserve">aggregates </t>
    </r>
    <r>
      <rPr>
        <b/>
        <sz val="14"/>
        <rFont val="Arial"/>
        <family val="2"/>
      </rPr>
      <t>for well bottom plug by tremie or skip box method</t>
    </r>
    <r>
      <rPr>
        <sz val="14"/>
        <rFont val="Arial"/>
        <family val="2"/>
      </rPr>
      <t xml:space="preserve"> including cost of all materials,</t>
    </r>
  </si>
  <si>
    <r>
      <t xml:space="preserve">complete with initial </t>
    </r>
    <r>
      <rPr>
        <b/>
        <sz val="14"/>
        <rFont val="Calibri"/>
        <family val="2"/>
      </rPr>
      <t>lead upto 50 m and all lifts</t>
    </r>
    <r>
      <rPr>
        <b/>
        <sz val="14"/>
        <rFont val="Arial"/>
        <family val="2"/>
      </rPr>
      <t>. ( Cement content : 350 kg / cum )</t>
    </r>
  </si>
  <si>
    <r>
      <t xml:space="preserve">15 N / sq mm ) grade </t>
    </r>
    <r>
      <rPr>
        <sz val="14"/>
        <rFont val="Calibri"/>
        <family val="2"/>
      </rPr>
      <t>cement concrete</t>
    </r>
    <r>
      <rPr>
        <sz val="14"/>
        <rFont val="Arial"/>
        <family val="2"/>
      </rPr>
      <t xml:space="preserve"> using </t>
    </r>
    <r>
      <rPr>
        <b/>
        <sz val="14"/>
        <rFont val="Calibri"/>
        <family val="2"/>
      </rPr>
      <t xml:space="preserve">40 mm </t>
    </r>
    <r>
      <rPr>
        <b/>
        <sz val="14"/>
        <rFont val="Arial"/>
        <family val="2"/>
      </rPr>
      <t>down size</t>
    </r>
    <r>
      <rPr>
        <sz val="14"/>
        <rFont val="Arial"/>
        <family val="2"/>
      </rPr>
      <t xml:space="preserve"> approved, clean, hard, graded</t>
    </r>
  </si>
  <si>
    <r>
      <t xml:space="preserve">aggregates </t>
    </r>
    <r>
      <rPr>
        <b/>
        <sz val="14"/>
        <rFont val="Arial"/>
        <family val="2"/>
      </rPr>
      <t>for well top plug</t>
    </r>
    <r>
      <rPr>
        <sz val="14"/>
        <rFont val="Arial"/>
        <family val="2"/>
      </rPr>
      <t xml:space="preserve"> including cost of all materials, machinery, labour, cleaning,</t>
    </r>
  </si>
  <si>
    <r>
      <t xml:space="preserve">initial </t>
    </r>
    <r>
      <rPr>
        <b/>
        <sz val="14"/>
        <rFont val="Calibri"/>
        <family val="2"/>
      </rPr>
      <t>lead upto 50 m and all lifts</t>
    </r>
    <r>
      <rPr>
        <b/>
        <sz val="14"/>
        <rFont val="Arial"/>
        <family val="2"/>
      </rPr>
      <t>.</t>
    </r>
  </si>
  <si>
    <r>
      <t xml:space="preserve">Providing and </t>
    </r>
    <r>
      <rPr>
        <b/>
        <sz val="14"/>
        <rFont val="Arial"/>
        <family val="2"/>
      </rPr>
      <t xml:space="preserve">laying insitu vibrated </t>
    </r>
    <r>
      <rPr>
        <b/>
        <sz val="14"/>
        <rFont val="Calibri"/>
        <family val="2"/>
      </rPr>
      <t>M-20</t>
    </r>
    <r>
      <rPr>
        <sz val="14"/>
        <rFont val="Calibri"/>
        <family val="2"/>
      </rPr>
      <t xml:space="preserve"> (</t>
    </r>
    <r>
      <rPr>
        <sz val="14"/>
        <rFont val="Arial"/>
        <family val="2"/>
      </rPr>
      <t xml:space="preserve"> 28 days cube compressive strength not less than</t>
    </r>
  </si>
  <si>
    <r>
      <t xml:space="preserve">20 N / sq mm ) grade </t>
    </r>
    <r>
      <rPr>
        <sz val="14"/>
        <rFont val="Calibri"/>
        <family val="2"/>
      </rPr>
      <t xml:space="preserve">cement concrete </t>
    </r>
    <r>
      <rPr>
        <sz val="14"/>
        <rFont val="Arial"/>
        <family val="2"/>
      </rPr>
      <t xml:space="preserve">using </t>
    </r>
    <r>
      <rPr>
        <b/>
        <sz val="14"/>
        <rFont val="Calibri"/>
        <family val="2"/>
      </rPr>
      <t>20 mm</t>
    </r>
    <r>
      <rPr>
        <b/>
        <sz val="14"/>
        <rFont val="Arial"/>
        <family val="2"/>
      </rPr>
      <t xml:space="preserve"> down size</t>
    </r>
    <r>
      <rPr>
        <sz val="14"/>
        <rFont val="Arial"/>
        <family val="2"/>
      </rPr>
      <t xml:space="preserve"> approved, clean, hard, graded</t>
    </r>
  </si>
  <si>
    <r>
      <t xml:space="preserve">aggregates </t>
    </r>
    <r>
      <rPr>
        <b/>
        <sz val="14"/>
        <rFont val="Arial"/>
        <family val="2"/>
      </rPr>
      <t>for well cap</t>
    </r>
    <r>
      <rPr>
        <sz val="14"/>
        <rFont val="Arial"/>
        <family val="2"/>
      </rPr>
      <t xml:space="preserve"> including cost of all materials, machinery, labour, formwork,</t>
    </r>
  </si>
  <si>
    <r>
      <t xml:space="preserve">aggregates </t>
    </r>
    <r>
      <rPr>
        <b/>
        <sz val="14"/>
        <rFont val="Arial"/>
        <family val="2"/>
      </rPr>
      <t>for piers and abutments</t>
    </r>
    <r>
      <rPr>
        <sz val="14"/>
        <rFont val="Arial"/>
        <family val="2"/>
      </rPr>
      <t xml:space="preserve"> including cost of all materials, labour, machinery,</t>
    </r>
  </si>
  <si>
    <r>
      <t xml:space="preserve">etc., complete </t>
    </r>
    <r>
      <rPr>
        <b/>
        <sz val="14"/>
        <rFont val="Arial"/>
        <family val="2"/>
      </rPr>
      <t xml:space="preserve">with initial lead upto 50 m and all lifts. </t>
    </r>
  </si>
  <si>
    <r>
      <t xml:space="preserve">10 N / sq mm ) grade </t>
    </r>
    <r>
      <rPr>
        <sz val="14"/>
        <rFont val="Calibri"/>
        <family val="2"/>
      </rPr>
      <t xml:space="preserve">cement concrete </t>
    </r>
    <r>
      <rPr>
        <sz val="14"/>
        <rFont val="Arial"/>
        <family val="2"/>
      </rPr>
      <t xml:space="preserve">using </t>
    </r>
    <r>
      <rPr>
        <b/>
        <sz val="14"/>
        <rFont val="Calibri"/>
        <family val="2"/>
      </rPr>
      <t xml:space="preserve">80 mm </t>
    </r>
    <r>
      <rPr>
        <b/>
        <sz val="14"/>
        <rFont val="Arial"/>
        <family val="2"/>
      </rPr>
      <t>down size</t>
    </r>
    <r>
      <rPr>
        <sz val="14"/>
        <rFont val="Arial"/>
        <family val="2"/>
      </rPr>
      <t xml:space="preserve"> approved, clean, hard, graded</t>
    </r>
  </si>
  <si>
    <r>
      <t xml:space="preserve">etc., complete with initial </t>
    </r>
    <r>
      <rPr>
        <b/>
        <sz val="14"/>
        <rFont val="Calibri"/>
        <family val="2"/>
      </rPr>
      <t>lead upto 50 m and all lifts.</t>
    </r>
  </si>
  <si>
    <r>
      <t xml:space="preserve">aggregates </t>
    </r>
    <r>
      <rPr>
        <b/>
        <sz val="14"/>
        <rFont val="Arial"/>
        <family val="2"/>
      </rPr>
      <t>for cantiliver / counterfort retaining walls</t>
    </r>
    <r>
      <rPr>
        <sz val="14"/>
        <rFont val="Arial"/>
        <family val="2"/>
      </rPr>
      <t xml:space="preserve"> including cost of all materials,</t>
    </r>
  </si>
  <si>
    <r>
      <t xml:space="preserve">levelling, vibrating, finishing, curing etc., complete </t>
    </r>
    <r>
      <rPr>
        <b/>
        <sz val="14"/>
        <rFont val="Arial"/>
        <family val="2"/>
      </rPr>
      <t xml:space="preserve">with initial </t>
    </r>
    <r>
      <rPr>
        <b/>
        <sz val="14"/>
        <rFont val="Calibri"/>
        <family val="2"/>
      </rPr>
      <t>lead upto 50 m</t>
    </r>
    <r>
      <rPr>
        <b/>
        <sz val="14"/>
        <rFont val="Arial"/>
        <family val="2"/>
      </rPr>
      <t xml:space="preserve"> and all lifts.</t>
    </r>
  </si>
  <si>
    <r>
      <t xml:space="preserve">15 N / sq mm ) grade cement concrete using </t>
    </r>
    <r>
      <rPr>
        <b/>
        <sz val="14"/>
        <rFont val="Calibri"/>
        <family val="2"/>
      </rPr>
      <t>40 mm</t>
    </r>
    <r>
      <rPr>
        <b/>
        <sz val="14"/>
        <rFont val="Arial"/>
        <family val="2"/>
      </rPr>
      <t xml:space="preserve"> down size</t>
    </r>
    <r>
      <rPr>
        <sz val="14"/>
        <rFont val="Arial"/>
        <family val="2"/>
      </rPr>
      <t xml:space="preserve"> approved, clean, hard, graded</t>
    </r>
  </si>
  <si>
    <r>
      <t xml:space="preserve">aggregates </t>
    </r>
    <r>
      <rPr>
        <b/>
        <sz val="14"/>
        <rFont val="Arial"/>
        <family val="2"/>
      </rPr>
      <t>with placing and sinking plums of size 150 to 80 mm upto 15 percent</t>
    </r>
    <r>
      <rPr>
        <b/>
        <sz val="14"/>
        <rFont val="Calibri"/>
        <family val="2"/>
      </rPr>
      <t xml:space="preserve"> for gravity</t>
    </r>
  </si>
  <si>
    <r>
      <rPr>
        <b/>
        <sz val="14"/>
        <rFont val="Arial"/>
        <family val="2"/>
      </rPr>
      <t>type retaining walls / piers / abutments</t>
    </r>
    <r>
      <rPr>
        <sz val="14"/>
        <rFont val="Arial"/>
        <family val="2"/>
      </rPr>
      <t xml:space="preserve"> etc., including cost of all materials, machinery,</t>
    </r>
  </si>
  <si>
    <r>
      <t xml:space="preserve">finishing, curing etc.,complete </t>
    </r>
    <r>
      <rPr>
        <b/>
        <sz val="14"/>
        <rFont val="Arial"/>
        <family val="2"/>
      </rPr>
      <t xml:space="preserve">with initial </t>
    </r>
    <r>
      <rPr>
        <b/>
        <sz val="14"/>
        <rFont val="Calibri"/>
        <family val="2"/>
      </rPr>
      <t>lead upto 50 m and all lifts.</t>
    </r>
    <r>
      <rPr>
        <b/>
        <sz val="14"/>
        <rFont val="Arial"/>
        <family val="2"/>
      </rPr>
      <t xml:space="preserve"> </t>
    </r>
  </si>
  <si>
    <r>
      <t xml:space="preserve">15 N / sq mm ) grade </t>
    </r>
    <r>
      <rPr>
        <sz val="14"/>
        <rFont val="Calibri"/>
        <family val="2"/>
      </rPr>
      <t>cement concrete</t>
    </r>
    <r>
      <rPr>
        <sz val="14"/>
        <rFont val="Arial"/>
        <family val="2"/>
      </rPr>
      <t xml:space="preserve"> using </t>
    </r>
    <r>
      <rPr>
        <b/>
        <sz val="14"/>
        <rFont val="Calibri"/>
        <family val="2"/>
      </rPr>
      <t>40 mm</t>
    </r>
    <r>
      <rPr>
        <b/>
        <sz val="14"/>
        <rFont val="Arial"/>
        <family val="2"/>
      </rPr>
      <t xml:space="preserve"> down size</t>
    </r>
    <r>
      <rPr>
        <sz val="14"/>
        <rFont val="Arial"/>
        <family val="2"/>
      </rPr>
      <t xml:space="preserve"> approved, clean, hard,graded</t>
    </r>
  </si>
  <si>
    <r>
      <t xml:space="preserve">aggregates </t>
    </r>
    <r>
      <rPr>
        <b/>
        <sz val="14"/>
        <rFont val="Arial"/>
        <family val="2"/>
      </rPr>
      <t>for cast in-situ pipes</t>
    </r>
    <r>
      <rPr>
        <sz val="14"/>
        <rFont val="Arial"/>
        <family val="2"/>
      </rPr>
      <t xml:space="preserve"> including cost of all materials, machinery, labour, cleaning,</t>
    </r>
  </si>
  <si>
    <r>
      <t xml:space="preserve">initial </t>
    </r>
    <r>
      <rPr>
        <b/>
        <sz val="14"/>
        <rFont val="Calibri"/>
        <family val="2"/>
      </rPr>
      <t>lead upto 50 m and all lifts.</t>
    </r>
  </si>
  <si>
    <r>
      <t xml:space="preserve">aggregates </t>
    </r>
    <r>
      <rPr>
        <b/>
        <sz val="14"/>
        <rFont val="Arial"/>
        <family val="2"/>
      </rPr>
      <t>for cast in-situ pipes</t>
    </r>
    <r>
      <rPr>
        <sz val="14"/>
        <rFont val="Arial"/>
        <family val="2"/>
      </rPr>
      <t xml:space="preserve"> including cost of all materials, labour, machinery, formwork</t>
    </r>
    <r>
      <rPr>
        <sz val="14"/>
        <rFont val="Calibri"/>
        <family val="2"/>
      </rPr>
      <t>,</t>
    </r>
  </si>
  <si>
    <r>
      <t xml:space="preserve">aggregates </t>
    </r>
    <r>
      <rPr>
        <b/>
        <sz val="14"/>
        <rFont val="Arial"/>
        <family val="2"/>
      </rPr>
      <t>for deck slab &amp; kerb</t>
    </r>
    <r>
      <rPr>
        <sz val="14"/>
        <rFont val="Arial"/>
        <family val="2"/>
      </rPr>
      <t xml:space="preserve"> including cost of all materials,machinery, labour, formwork,</t>
    </r>
  </si>
  <si>
    <r>
      <t xml:space="preserve">20 N / sq mm ) grade </t>
    </r>
    <r>
      <rPr>
        <sz val="14"/>
        <rFont val="Calibri"/>
        <family val="2"/>
      </rPr>
      <t>cement concrete</t>
    </r>
    <r>
      <rPr>
        <sz val="14"/>
        <rFont val="Arial"/>
        <family val="2"/>
      </rPr>
      <t xml:space="preserve"> using </t>
    </r>
    <r>
      <rPr>
        <b/>
        <sz val="14"/>
        <rFont val="Calibri"/>
        <family val="2"/>
      </rPr>
      <t xml:space="preserve">20 mm </t>
    </r>
    <r>
      <rPr>
        <b/>
        <sz val="14"/>
        <rFont val="Arial"/>
        <family val="2"/>
      </rPr>
      <t>down size</t>
    </r>
    <r>
      <rPr>
        <sz val="14"/>
        <rFont val="Arial"/>
        <family val="2"/>
      </rPr>
      <t xml:space="preserve"> approved, clean, hard, graded</t>
    </r>
  </si>
  <si>
    <r>
      <t xml:space="preserve">aggregates </t>
    </r>
    <r>
      <rPr>
        <b/>
        <sz val="14"/>
        <rFont val="Arial"/>
        <family val="2"/>
      </rPr>
      <t>for columns and beams</t>
    </r>
    <r>
      <rPr>
        <sz val="14"/>
        <rFont val="Arial"/>
        <family val="2"/>
      </rPr>
      <t xml:space="preserve"> including cost of all materials, labour, machinery,</t>
    </r>
  </si>
  <si>
    <r>
      <t xml:space="preserve">finishing, curing etc.,complete with </t>
    </r>
    <r>
      <rPr>
        <b/>
        <sz val="14"/>
        <rFont val="Calibri"/>
        <family val="2"/>
      </rPr>
      <t>initial lead upto 50 m and all lifts</t>
    </r>
    <r>
      <rPr>
        <b/>
        <sz val="14"/>
        <rFont val="Arial"/>
        <family val="2"/>
      </rPr>
      <t>.</t>
    </r>
  </si>
  <si>
    <r>
      <t xml:space="preserve">Providing and </t>
    </r>
    <r>
      <rPr>
        <b/>
        <sz val="14"/>
        <rFont val="Arial"/>
        <family val="2"/>
      </rPr>
      <t xml:space="preserve">laying insitu </t>
    </r>
    <r>
      <rPr>
        <b/>
        <sz val="14"/>
        <rFont val="Calibri"/>
        <family val="2"/>
      </rPr>
      <t>M- 20</t>
    </r>
    <r>
      <rPr>
        <sz val="14"/>
        <rFont val="Arial"/>
        <family val="2"/>
      </rPr>
      <t xml:space="preserve"> ( 28 days cube compressive strength not less than 20 N /</t>
    </r>
  </si>
  <si>
    <r>
      <t xml:space="preserve">sqmm ) grade </t>
    </r>
    <r>
      <rPr>
        <sz val="14"/>
        <rFont val="Calibri"/>
        <family val="2"/>
      </rPr>
      <t>cement concrete</t>
    </r>
    <r>
      <rPr>
        <sz val="14"/>
        <rFont val="Arial"/>
        <family val="2"/>
      </rPr>
      <t xml:space="preserve"> using </t>
    </r>
    <r>
      <rPr>
        <b/>
        <sz val="14"/>
        <rFont val="Calibri"/>
        <family val="2"/>
      </rPr>
      <t>20 mm</t>
    </r>
    <r>
      <rPr>
        <b/>
        <sz val="14"/>
        <rFont val="Arial"/>
        <family val="2"/>
      </rPr>
      <t xml:space="preserve"> down size</t>
    </r>
    <r>
      <rPr>
        <sz val="14"/>
        <rFont val="Arial"/>
        <family val="2"/>
      </rPr>
      <t xml:space="preserve"> approved, clean, hard, graded</t>
    </r>
  </si>
  <si>
    <r>
      <t xml:space="preserve">aggregates </t>
    </r>
    <r>
      <rPr>
        <b/>
        <sz val="14"/>
        <rFont val="Arial"/>
        <family val="2"/>
      </rPr>
      <t>for wearing coat</t>
    </r>
    <r>
      <rPr>
        <sz val="14"/>
        <rFont val="Arial"/>
        <family val="2"/>
      </rPr>
      <t xml:space="preserve"> including cost of all materials, machinery, labour, formwork,</t>
    </r>
  </si>
  <si>
    <r>
      <t xml:space="preserve">finishing, curing, packing joints with asphalt mortar etc., complete </t>
    </r>
    <r>
      <rPr>
        <b/>
        <sz val="14"/>
        <rFont val="Arial"/>
        <family val="2"/>
      </rPr>
      <t xml:space="preserve">with initial </t>
    </r>
    <r>
      <rPr>
        <b/>
        <sz val="14"/>
        <rFont val="Calibri"/>
        <family val="2"/>
      </rPr>
      <t>lead upto 50 m</t>
    </r>
  </si>
  <si>
    <r>
      <t xml:space="preserve">Providing and </t>
    </r>
    <r>
      <rPr>
        <b/>
        <sz val="14"/>
        <rFont val="Arial"/>
        <family val="2"/>
      </rPr>
      <t>laying insitu vibrated M-20</t>
    </r>
    <r>
      <rPr>
        <sz val="14"/>
        <rFont val="Arial"/>
        <family val="2"/>
      </rPr>
      <t xml:space="preserve"> ( 28 days cube compressive strength not less than</t>
    </r>
  </si>
  <si>
    <r>
      <t xml:space="preserve">aggregates </t>
    </r>
    <r>
      <rPr>
        <b/>
        <sz val="14"/>
        <rFont val="Arial"/>
        <family val="2"/>
      </rPr>
      <t>for troughs</t>
    </r>
    <r>
      <rPr>
        <sz val="14"/>
        <rFont val="Arial"/>
        <family val="2"/>
      </rPr>
      <t xml:space="preserve"> including cost of all materials, machinery, labour, formwork,</t>
    </r>
  </si>
  <si>
    <r>
      <rPr>
        <b/>
        <sz val="14"/>
        <rFont val="Arial"/>
        <family val="2"/>
      </rPr>
      <t>Sinking RCC wells vertically for foundation of piers and abutments in all kinds of soil, sand and soft rock</t>
    </r>
    <r>
      <rPr>
        <sz val="14"/>
        <rFont val="Arial"/>
        <family val="2"/>
      </rPr>
      <t xml:space="preserve"> by approved well sinking method including cost of all materials, machinery, labour, kent - ledge arrangements, disposal of excavated material as directed etc., complete </t>
    </r>
    <r>
      <rPr>
        <b/>
        <sz val="14"/>
        <rFont val="Arial"/>
        <family val="2"/>
      </rPr>
      <t>with lead upto 50 m for disposal of excavated material.(diameter of well  6.00m)</t>
    </r>
  </si>
  <si>
    <r>
      <rPr>
        <b/>
        <sz val="14"/>
        <rFont val="Arial"/>
        <family val="2"/>
      </rPr>
      <t>Filling foundation wells with sand in layers of 25 to 30 cm</t>
    </r>
    <r>
      <rPr>
        <sz val="14"/>
        <rFont val="Arial"/>
        <family val="2"/>
      </rPr>
      <t xml:space="preserve"> and compacting by watering,</t>
    </r>
  </si>
  <si>
    <r>
      <t xml:space="preserve">Providing and </t>
    </r>
    <r>
      <rPr>
        <b/>
        <sz val="14"/>
        <rFont val="Arial"/>
        <family val="2"/>
      </rPr>
      <t xml:space="preserve">constructing </t>
    </r>
    <r>
      <rPr>
        <b/>
        <sz val="14"/>
        <rFont val="Calibri"/>
        <family val="2"/>
      </rPr>
      <t>un-coursed rubble stone masonry</t>
    </r>
    <r>
      <rPr>
        <sz val="14"/>
        <rFont val="Arial"/>
        <family val="2"/>
      </rPr>
      <t xml:space="preserve"> with approved stones in</t>
    </r>
  </si>
  <si>
    <r>
      <rPr>
        <b/>
        <sz val="14"/>
        <rFont val="Arial"/>
        <family val="2"/>
      </rPr>
      <t>CM 1 : 4</t>
    </r>
    <r>
      <rPr>
        <sz val="14"/>
        <rFont val="Arial"/>
        <family val="2"/>
      </rPr>
      <t xml:space="preserve"> proportion </t>
    </r>
    <r>
      <rPr>
        <b/>
        <sz val="14"/>
        <rFont val="Calibri"/>
        <family val="2"/>
      </rPr>
      <t>for sub-structure portions of return walls / abutments</t>
    </r>
    <r>
      <rPr>
        <sz val="14"/>
        <rFont val="Arial"/>
        <family val="2"/>
      </rPr>
      <t xml:space="preserve"> etc., including</t>
    </r>
  </si>
  <si>
    <r>
      <t xml:space="preserve">stone chips, curing etc., complete </t>
    </r>
    <r>
      <rPr>
        <b/>
        <sz val="14"/>
        <rFont val="Arial"/>
        <family val="2"/>
      </rPr>
      <t xml:space="preserve">with initial </t>
    </r>
    <r>
      <rPr>
        <b/>
        <sz val="14"/>
        <rFont val="Calibri"/>
        <family val="2"/>
      </rPr>
      <t>lead upto 50 m and all lifts.</t>
    </r>
  </si>
  <si>
    <r>
      <rPr>
        <b/>
        <sz val="14"/>
        <rFont val="Arial"/>
        <family val="2"/>
      </rPr>
      <t>CM 1 : 4</t>
    </r>
    <r>
      <rPr>
        <sz val="14"/>
        <rFont val="Arial"/>
        <family val="2"/>
      </rPr>
      <t xml:space="preserve"> proportion </t>
    </r>
    <r>
      <rPr>
        <b/>
        <sz val="14"/>
        <rFont val="Calibri"/>
        <family val="2"/>
      </rPr>
      <t>for super-structure portions of return walls / abutments</t>
    </r>
    <r>
      <rPr>
        <sz val="14"/>
        <rFont val="Arial"/>
        <family val="2"/>
      </rPr>
      <t xml:space="preserve"> etc., including</t>
    </r>
  </si>
  <si>
    <r>
      <t xml:space="preserve">Providing and </t>
    </r>
    <r>
      <rPr>
        <b/>
        <sz val="14"/>
        <rFont val="Arial"/>
        <family val="2"/>
      </rPr>
      <t xml:space="preserve">constructing </t>
    </r>
    <r>
      <rPr>
        <b/>
        <sz val="14"/>
        <rFont val="Calibri"/>
        <family val="2"/>
      </rPr>
      <t>coursed rubble masonry second sort</t>
    </r>
    <r>
      <rPr>
        <sz val="14"/>
        <rFont val="Calibri"/>
        <family val="2"/>
      </rPr>
      <t xml:space="preserve"> in </t>
    </r>
    <r>
      <rPr>
        <b/>
        <sz val="14"/>
        <rFont val="Calibri"/>
        <family val="2"/>
      </rPr>
      <t>CM 1:4</t>
    </r>
    <r>
      <rPr>
        <sz val="14"/>
        <rFont val="Calibri"/>
        <family val="2"/>
      </rPr>
      <t xml:space="preserve"> </t>
    </r>
    <r>
      <rPr>
        <sz val="14"/>
        <rFont val="Arial"/>
        <family val="2"/>
      </rPr>
      <t>proportion with</t>
    </r>
  </si>
  <si>
    <r>
      <t xml:space="preserve">initial </t>
    </r>
    <r>
      <rPr>
        <b/>
        <sz val="14"/>
        <rFont val="Calibri"/>
        <family val="2"/>
      </rPr>
      <t>lead upto 50 m and initial lift upto 3m.</t>
    </r>
  </si>
  <si>
    <r>
      <t xml:space="preserve">Providing and </t>
    </r>
    <r>
      <rPr>
        <b/>
        <sz val="14"/>
        <rFont val="Arial"/>
        <family val="2"/>
      </rPr>
      <t>constructing coursed rubble masonry first sort</t>
    </r>
    <r>
      <rPr>
        <sz val="14"/>
        <rFont val="Arial"/>
        <family val="2"/>
      </rPr>
      <t xml:space="preserve"> in </t>
    </r>
    <r>
      <rPr>
        <b/>
        <sz val="14"/>
        <rFont val="Arial"/>
        <family val="2"/>
      </rPr>
      <t>CM 1:4</t>
    </r>
    <r>
      <rPr>
        <sz val="14"/>
        <rFont val="Arial"/>
        <family val="2"/>
      </rPr>
      <t xml:space="preserve"> proportion with</t>
    </r>
  </si>
  <si>
    <r>
      <t xml:space="preserve">Providing </t>
    </r>
    <r>
      <rPr>
        <b/>
        <sz val="14"/>
        <rFont val="Calibri"/>
        <family val="2"/>
      </rPr>
      <t>cement mortar pointing</t>
    </r>
    <r>
      <rPr>
        <b/>
        <sz val="14"/>
        <rFont val="Arial"/>
        <family val="2"/>
      </rPr>
      <t xml:space="preserve"> to coursed rubble face stone masonry in </t>
    </r>
    <r>
      <rPr>
        <b/>
        <sz val="14"/>
        <rFont val="Calibri"/>
        <family val="2"/>
      </rPr>
      <t>CM 1 : 2</t>
    </r>
  </si>
  <si>
    <r>
      <t xml:space="preserve">Providing </t>
    </r>
    <r>
      <rPr>
        <b/>
        <sz val="14"/>
        <rFont val="Calibri"/>
        <family val="2"/>
      </rPr>
      <t xml:space="preserve">cement mortar pointing </t>
    </r>
    <r>
      <rPr>
        <b/>
        <sz val="14"/>
        <rFont val="Arial"/>
        <family val="2"/>
      </rPr>
      <t xml:space="preserve">to coursed rubble face stone masonry in </t>
    </r>
    <r>
      <rPr>
        <b/>
        <sz val="14"/>
        <rFont val="Calibri"/>
        <family val="2"/>
      </rPr>
      <t>CM 1 : 3</t>
    </r>
  </si>
  <si>
    <r>
      <rPr>
        <b/>
        <sz val="14"/>
        <rFont val="Arial"/>
        <family val="2"/>
      </rPr>
      <t xml:space="preserve">Providing </t>
    </r>
    <r>
      <rPr>
        <b/>
        <sz val="14"/>
        <rFont val="Calibri"/>
        <family val="2"/>
      </rPr>
      <t>12 mm thick plastering</t>
    </r>
    <r>
      <rPr>
        <sz val="14"/>
        <rFont val="Calibri"/>
        <family val="2"/>
      </rPr>
      <t xml:space="preserve"> in </t>
    </r>
    <r>
      <rPr>
        <b/>
        <sz val="14"/>
        <rFont val="Calibri"/>
        <family val="2"/>
      </rPr>
      <t>cement mortar 1:3</t>
    </r>
    <r>
      <rPr>
        <sz val="14"/>
        <rFont val="Arial"/>
        <family val="2"/>
      </rPr>
      <t xml:space="preserve"> proportion by volume including cost</t>
    </r>
  </si>
  <si>
    <r>
      <rPr>
        <b/>
        <sz val="14"/>
        <rFont val="Arial"/>
        <family val="2"/>
      </rPr>
      <t xml:space="preserve">Providing </t>
    </r>
    <r>
      <rPr>
        <b/>
        <sz val="14"/>
        <rFont val="Calibri"/>
        <family val="2"/>
      </rPr>
      <t>12 mm thick plastering</t>
    </r>
    <r>
      <rPr>
        <sz val="14"/>
        <rFont val="Calibri"/>
        <family val="2"/>
      </rPr>
      <t xml:space="preserve"> in </t>
    </r>
    <r>
      <rPr>
        <b/>
        <sz val="14"/>
        <rFont val="Calibri"/>
        <family val="2"/>
      </rPr>
      <t>cement mortar 1:4</t>
    </r>
    <r>
      <rPr>
        <sz val="14"/>
        <rFont val="Arial"/>
        <family val="2"/>
      </rPr>
      <t xml:space="preserve"> proportion by volume including cost</t>
    </r>
  </si>
  <si>
    <r>
      <rPr>
        <b/>
        <sz val="14"/>
        <rFont val="Arial"/>
        <family val="2"/>
      </rPr>
      <t xml:space="preserve">Providing </t>
    </r>
    <r>
      <rPr>
        <b/>
        <sz val="14"/>
        <rFont val="Calibri"/>
        <family val="2"/>
      </rPr>
      <t>20 mm thick plastering</t>
    </r>
    <r>
      <rPr>
        <sz val="14"/>
        <rFont val="Calibri"/>
        <family val="2"/>
      </rPr>
      <t xml:space="preserve"> in </t>
    </r>
    <r>
      <rPr>
        <b/>
        <sz val="14"/>
        <rFont val="Calibri"/>
        <family val="2"/>
      </rPr>
      <t>cement mortar 1:3</t>
    </r>
    <r>
      <rPr>
        <sz val="14"/>
        <rFont val="Arial"/>
        <family val="2"/>
      </rPr>
      <t xml:space="preserve"> proportion by volume including cost</t>
    </r>
  </si>
  <si>
    <r>
      <rPr>
        <b/>
        <sz val="14"/>
        <rFont val="Arial"/>
        <family val="2"/>
      </rPr>
      <t xml:space="preserve">Providing </t>
    </r>
    <r>
      <rPr>
        <b/>
        <sz val="14"/>
        <rFont val="Calibri"/>
        <family val="2"/>
      </rPr>
      <t>20 mm thick plastering in cement mortar 1:4</t>
    </r>
    <r>
      <rPr>
        <sz val="14"/>
        <rFont val="Arial"/>
        <family val="2"/>
      </rPr>
      <t xml:space="preserve"> proportion by volume including cost</t>
    </r>
  </si>
  <si>
    <r>
      <t xml:space="preserve">Providing and </t>
    </r>
    <r>
      <rPr>
        <b/>
        <sz val="14"/>
        <rFont val="Calibri"/>
        <family val="2"/>
      </rPr>
      <t>fixing</t>
    </r>
    <r>
      <rPr>
        <b/>
        <sz val="14"/>
        <rFont val="Arial"/>
        <family val="2"/>
      </rPr>
      <t xml:space="preserve"> 10 cm thick </t>
    </r>
    <r>
      <rPr>
        <b/>
        <sz val="14"/>
        <rFont val="Calibri"/>
        <family val="2"/>
      </rPr>
      <t>roughly dressed burnt stone slabs for coping</t>
    </r>
    <r>
      <rPr>
        <sz val="14"/>
        <rFont val="Arial"/>
        <family val="2"/>
      </rPr>
      <t xml:space="preserve"> set in</t>
    </r>
  </si>
  <si>
    <r>
      <rPr>
        <b/>
        <sz val="14"/>
        <rFont val="Arial"/>
        <family val="2"/>
      </rPr>
      <t>CM 1: 6</t>
    </r>
    <r>
      <rPr>
        <sz val="14"/>
        <rFont val="Arial"/>
        <family val="2"/>
      </rPr>
      <t xml:space="preserve"> proportion by volume with pointing to joints in CM 1 : 3 proportion by volume including</t>
    </r>
  </si>
  <si>
    <r>
      <t xml:space="preserve">cost of all materials, machinery, labour, finishing, curing etc., complete with initial </t>
    </r>
    <r>
      <rPr>
        <sz val="14"/>
        <rFont val="Calibri"/>
        <family val="2"/>
      </rPr>
      <t>lead upto</t>
    </r>
  </si>
  <si>
    <r>
      <t xml:space="preserve">Providing and </t>
    </r>
    <r>
      <rPr>
        <b/>
        <sz val="14"/>
        <rFont val="Calibri"/>
        <family val="2"/>
      </rPr>
      <t>fixing</t>
    </r>
    <r>
      <rPr>
        <b/>
        <sz val="14"/>
        <rFont val="Arial"/>
        <family val="2"/>
      </rPr>
      <t xml:space="preserve"> 10 cm thick </t>
    </r>
    <r>
      <rPr>
        <b/>
        <sz val="14"/>
        <rFont val="Calibri"/>
        <family val="2"/>
      </rPr>
      <t>one line dressed burnt stone slabs for coping</t>
    </r>
    <r>
      <rPr>
        <sz val="14"/>
        <rFont val="Arial"/>
        <family val="2"/>
      </rPr>
      <t xml:space="preserve"> set in</t>
    </r>
  </si>
  <si>
    <r>
      <t xml:space="preserve">Providing and </t>
    </r>
    <r>
      <rPr>
        <b/>
        <sz val="14"/>
        <rFont val="Calibri"/>
        <family val="2"/>
      </rPr>
      <t>fixing</t>
    </r>
    <r>
      <rPr>
        <b/>
        <sz val="14"/>
        <rFont val="Arial"/>
        <family val="2"/>
      </rPr>
      <t xml:space="preserve"> 10 cm thick </t>
    </r>
    <r>
      <rPr>
        <b/>
        <sz val="14"/>
        <rFont val="Calibri"/>
        <family val="2"/>
      </rPr>
      <t>two line dressed burnt stone slabs for coping</t>
    </r>
    <r>
      <rPr>
        <sz val="14"/>
        <rFont val="Arial"/>
        <family val="2"/>
      </rPr>
      <t xml:space="preserve"> set in</t>
    </r>
  </si>
  <si>
    <r>
      <t xml:space="preserve">Providing and </t>
    </r>
    <r>
      <rPr>
        <b/>
        <sz val="14"/>
        <rFont val="Arial"/>
        <family val="2"/>
      </rPr>
      <t xml:space="preserve">laying insitu </t>
    </r>
    <r>
      <rPr>
        <b/>
        <sz val="14"/>
        <rFont val="Calibri"/>
        <family val="2"/>
      </rPr>
      <t>M-15</t>
    </r>
    <r>
      <rPr>
        <b/>
        <sz val="14"/>
        <rFont val="Arial"/>
        <family val="2"/>
      </rPr>
      <t xml:space="preserve"> </t>
    </r>
    <r>
      <rPr>
        <sz val="14"/>
        <rFont val="Arial"/>
        <family val="2"/>
      </rPr>
      <t>( 28 days cube compressive strength not less than 15 N /</t>
    </r>
  </si>
  <si>
    <r>
      <t xml:space="preserve">sqmm ) grade </t>
    </r>
    <r>
      <rPr>
        <sz val="14"/>
        <rFont val="Calibri"/>
        <family val="2"/>
      </rPr>
      <t>cement concrete</t>
    </r>
    <r>
      <rPr>
        <sz val="14"/>
        <rFont val="Arial"/>
        <family val="2"/>
      </rPr>
      <t xml:space="preserve"> using </t>
    </r>
    <r>
      <rPr>
        <b/>
        <sz val="14"/>
        <rFont val="Calibri"/>
        <family val="2"/>
      </rPr>
      <t>20 mm</t>
    </r>
    <r>
      <rPr>
        <b/>
        <sz val="14"/>
        <rFont val="Arial"/>
        <family val="2"/>
      </rPr>
      <t xml:space="preserve"> down size</t>
    </r>
    <r>
      <rPr>
        <sz val="14"/>
        <rFont val="Arial"/>
        <family val="2"/>
      </rPr>
      <t xml:space="preserve"> approved clean, hard, graded</t>
    </r>
  </si>
  <si>
    <r>
      <t xml:space="preserve">etc., complete with initial </t>
    </r>
    <r>
      <rPr>
        <b/>
        <sz val="14"/>
        <rFont val="Calibri"/>
        <family val="2"/>
      </rPr>
      <t>lead upto 50 m and initial lift upto 3 m.</t>
    </r>
    <r>
      <rPr>
        <b/>
        <sz val="14"/>
        <rFont val="Arial"/>
        <family val="2"/>
      </rPr>
      <t xml:space="preserve"> </t>
    </r>
  </si>
  <si>
    <r>
      <t xml:space="preserve">Providing and </t>
    </r>
    <r>
      <rPr>
        <b/>
        <sz val="14"/>
        <rFont val="Arial"/>
        <family val="2"/>
      </rPr>
      <t>constructing protective railing</t>
    </r>
    <r>
      <rPr>
        <sz val="14"/>
        <rFont val="Arial"/>
        <family val="2"/>
      </rPr>
      <t xml:space="preserve"> consisting of in-situ railing posts of size 15 x</t>
    </r>
  </si>
  <si>
    <r>
      <t xml:space="preserve">15 cm at bottom, 10 x 10 cm at top and 75 cm height at 2 m centre to centre in </t>
    </r>
    <r>
      <rPr>
        <b/>
        <sz val="14"/>
        <rFont val="Calibri"/>
        <family val="2"/>
      </rPr>
      <t>M-20</t>
    </r>
    <r>
      <rPr>
        <sz val="14"/>
        <rFont val="Calibri"/>
        <family val="2"/>
      </rPr>
      <t xml:space="preserve"> grade</t>
    </r>
  </si>
  <si>
    <r>
      <t xml:space="preserve">concrete using </t>
    </r>
    <r>
      <rPr>
        <b/>
        <sz val="14"/>
        <rFont val="Arial"/>
        <family val="2"/>
      </rPr>
      <t>20 mm down size</t>
    </r>
    <r>
      <rPr>
        <sz val="14"/>
        <rFont val="Arial"/>
        <family val="2"/>
      </rPr>
      <t xml:space="preserve"> graded aggregates and with each post reinforced by 4 Nos.</t>
    </r>
  </si>
  <si>
    <r>
      <t xml:space="preserve">finishing, curing etc., complete </t>
    </r>
    <r>
      <rPr>
        <b/>
        <sz val="14"/>
        <rFont val="Arial"/>
        <family val="2"/>
      </rPr>
      <t>with lead upto 50 m and all lifts.</t>
    </r>
  </si>
  <si>
    <r>
      <t xml:space="preserve">Laying and </t>
    </r>
    <r>
      <rPr>
        <b/>
        <sz val="14"/>
        <rFont val="Arial"/>
        <family val="2"/>
      </rPr>
      <t xml:space="preserve">jointing 300 mm dia. NP- 2 class or IRC standard </t>
    </r>
    <r>
      <rPr>
        <b/>
        <sz val="14"/>
        <rFont val="Calibri"/>
        <family val="2"/>
      </rPr>
      <t>hume pipes</t>
    </r>
    <r>
      <rPr>
        <sz val="14"/>
        <rFont val="Calibri"/>
        <family val="2"/>
      </rPr>
      <t xml:space="preserve"> in </t>
    </r>
    <r>
      <rPr>
        <b/>
        <sz val="14"/>
        <rFont val="Calibri"/>
        <family val="2"/>
      </rPr>
      <t>CM 1 : 2</t>
    </r>
  </si>
  <si>
    <r>
      <t xml:space="preserve">labour, aligning, packing joints with hemp, finishing, curing etc., complete with initial </t>
    </r>
    <r>
      <rPr>
        <sz val="14"/>
        <rFont val="Calibri"/>
        <family val="2"/>
      </rPr>
      <t>lead upto</t>
    </r>
  </si>
  <si>
    <r>
      <t xml:space="preserve">(1) For NP3 Class - </t>
    </r>
    <r>
      <rPr>
        <sz val="14"/>
        <rFont val="Calibri"/>
        <family val="2"/>
      </rPr>
      <t>10%</t>
    </r>
    <r>
      <rPr>
        <sz val="14"/>
        <rFont val="Arial"/>
        <family val="2"/>
      </rPr>
      <t xml:space="preserve"> extra over the rates of NP2 Class</t>
    </r>
  </si>
  <si>
    <r>
      <t xml:space="preserve">(2) For NP4 Class - </t>
    </r>
    <r>
      <rPr>
        <sz val="14"/>
        <rFont val="Calibri"/>
        <family val="2"/>
      </rPr>
      <t xml:space="preserve">20% </t>
    </r>
    <r>
      <rPr>
        <sz val="14"/>
        <rFont val="Arial"/>
        <family val="2"/>
      </rPr>
      <t>extra over the rates of NP2 Class</t>
    </r>
  </si>
  <si>
    <r>
      <t xml:space="preserve">Laying and </t>
    </r>
    <r>
      <rPr>
        <b/>
        <sz val="14"/>
        <rFont val="Arial"/>
        <family val="2"/>
      </rPr>
      <t>jointing 450 mm dia. NP- 2 class or IRC standard</t>
    </r>
    <r>
      <rPr>
        <b/>
        <sz val="14"/>
        <rFont val="Calibri"/>
        <family val="2"/>
      </rPr>
      <t xml:space="preserve"> hume pipes</t>
    </r>
    <r>
      <rPr>
        <sz val="14"/>
        <rFont val="Calibri"/>
        <family val="2"/>
      </rPr>
      <t xml:space="preserve"> in </t>
    </r>
    <r>
      <rPr>
        <b/>
        <sz val="14"/>
        <rFont val="Calibri"/>
        <family val="2"/>
      </rPr>
      <t>CM 1 : 2</t>
    </r>
  </si>
  <si>
    <r>
      <t xml:space="preserve">Laying and </t>
    </r>
    <r>
      <rPr>
        <b/>
        <sz val="14"/>
        <rFont val="Arial"/>
        <family val="2"/>
      </rPr>
      <t>jointing 600 mm dia. NP- 2 class or IRC standard</t>
    </r>
    <r>
      <rPr>
        <b/>
        <sz val="14"/>
        <rFont val="Calibri"/>
        <family val="2"/>
      </rPr>
      <t xml:space="preserve"> hume pipes in CM 1 : 2</t>
    </r>
  </si>
  <si>
    <r>
      <t>labour, aligning, packing joints with hemp, finishing, curing etc., complete</t>
    </r>
    <r>
      <rPr>
        <b/>
        <sz val="14"/>
        <rFont val="Arial"/>
        <family val="2"/>
      </rPr>
      <t xml:space="preserve"> with initial </t>
    </r>
    <r>
      <rPr>
        <b/>
        <sz val="14"/>
        <rFont val="Calibri"/>
        <family val="2"/>
      </rPr>
      <t>lead upto</t>
    </r>
  </si>
  <si>
    <r>
      <t xml:space="preserve">Laying and </t>
    </r>
    <r>
      <rPr>
        <b/>
        <sz val="14"/>
        <rFont val="Arial"/>
        <family val="2"/>
      </rPr>
      <t>jointing 700 mm dia. NP- 2 class or IRC standard</t>
    </r>
    <r>
      <rPr>
        <b/>
        <sz val="14"/>
        <rFont val="Calibri"/>
        <family val="2"/>
      </rPr>
      <t xml:space="preserve"> hume pipes in CM 1 : 2</t>
    </r>
  </si>
  <si>
    <r>
      <t xml:space="preserve">Laying and </t>
    </r>
    <r>
      <rPr>
        <b/>
        <sz val="14"/>
        <rFont val="Arial"/>
        <family val="2"/>
      </rPr>
      <t>jointing 800 mm dia. NP- 2 class or IRC standard</t>
    </r>
    <r>
      <rPr>
        <b/>
        <sz val="14"/>
        <rFont val="Calibri"/>
        <family val="2"/>
      </rPr>
      <t xml:space="preserve"> hume pipes in CM 1 : 2</t>
    </r>
  </si>
  <si>
    <r>
      <t xml:space="preserve">Laying and </t>
    </r>
    <r>
      <rPr>
        <b/>
        <sz val="14"/>
        <rFont val="Arial"/>
        <family val="2"/>
      </rPr>
      <t xml:space="preserve">jointing 900 mm dia. NP- 2 class or IRC standard </t>
    </r>
    <r>
      <rPr>
        <b/>
        <sz val="14"/>
        <rFont val="Calibri"/>
        <family val="2"/>
      </rPr>
      <t>hume pipes in CM 1 : 2</t>
    </r>
  </si>
  <si>
    <r>
      <t>labour, aligning, packing joints with hemp, finishing, curing etc., complete with initial</t>
    </r>
    <r>
      <rPr>
        <sz val="14"/>
        <rFont val="Calibri"/>
        <family val="2"/>
      </rPr>
      <t xml:space="preserve"> lead upto</t>
    </r>
  </si>
  <si>
    <r>
      <t xml:space="preserve">Laying and </t>
    </r>
    <r>
      <rPr>
        <b/>
        <sz val="14"/>
        <rFont val="Arial"/>
        <family val="2"/>
      </rPr>
      <t>jointing 1000 mm dia. NP- 2 class or IRC standard</t>
    </r>
    <r>
      <rPr>
        <b/>
        <sz val="14"/>
        <rFont val="Calibri"/>
        <family val="2"/>
      </rPr>
      <t xml:space="preserve"> hume pipes in CM 1 : 2</t>
    </r>
  </si>
  <si>
    <r>
      <t xml:space="preserve">Laying and </t>
    </r>
    <r>
      <rPr>
        <b/>
        <sz val="14"/>
        <rFont val="Arial"/>
        <family val="2"/>
      </rPr>
      <t>jointing 1100 mm dia. NP- 2 class or IRC standard</t>
    </r>
    <r>
      <rPr>
        <b/>
        <sz val="14"/>
        <rFont val="Calibri"/>
        <family val="2"/>
      </rPr>
      <t xml:space="preserve"> hume pipes in CM 1 : 2</t>
    </r>
  </si>
  <si>
    <r>
      <t xml:space="preserve">Laying and </t>
    </r>
    <r>
      <rPr>
        <b/>
        <sz val="14"/>
        <rFont val="Arial"/>
        <family val="2"/>
      </rPr>
      <t>jointing 1200 mm dia. NP- 2 class or IRC standard</t>
    </r>
    <r>
      <rPr>
        <b/>
        <sz val="14"/>
        <rFont val="Calibri"/>
        <family val="2"/>
      </rPr>
      <t xml:space="preserve"> hume pipes in CM 1 : 2</t>
    </r>
  </si>
  <si>
    <r>
      <rPr>
        <b/>
        <sz val="14"/>
        <rFont val="Arial"/>
        <family val="2"/>
      </rPr>
      <t>Providing rubble / boulder and sand filling behind abutment and return walls</t>
    </r>
    <r>
      <rPr>
        <sz val="14"/>
        <rFont val="Arial"/>
        <family val="2"/>
      </rPr>
      <t xml:space="preserve"> in layers</t>
    </r>
  </si>
  <si>
    <r>
      <t xml:space="preserve">Providing and </t>
    </r>
    <r>
      <rPr>
        <b/>
        <sz val="14"/>
        <rFont val="Calibri"/>
        <family val="2"/>
      </rPr>
      <t xml:space="preserve">filling murrum / gravely soil </t>
    </r>
    <r>
      <rPr>
        <b/>
        <sz val="14"/>
        <rFont val="Arial"/>
        <family val="2"/>
      </rPr>
      <t>( CNS soil ) for foundation or around pipes</t>
    </r>
  </si>
  <si>
    <r>
      <t xml:space="preserve">including breaking clods, spreading </t>
    </r>
    <r>
      <rPr>
        <b/>
        <sz val="14"/>
        <rFont val="Arial"/>
        <family val="2"/>
      </rPr>
      <t>in layers of 10 to 15 cm</t>
    </r>
    <r>
      <rPr>
        <sz val="14"/>
        <rFont val="Arial"/>
        <family val="2"/>
      </rPr>
      <t>, watering, compaction by earth</t>
    </r>
  </si>
  <si>
    <r>
      <t xml:space="preserve">masters to achieve </t>
    </r>
    <r>
      <rPr>
        <sz val="14"/>
        <rFont val="Calibri"/>
        <family val="2"/>
      </rPr>
      <t xml:space="preserve">density control of </t>
    </r>
    <r>
      <rPr>
        <b/>
        <sz val="14"/>
        <rFont val="Calibri"/>
        <family val="2"/>
      </rPr>
      <t>not less than 95 percent</t>
    </r>
    <r>
      <rPr>
        <sz val="14"/>
        <rFont val="Arial"/>
        <family val="2"/>
      </rPr>
      <t xml:space="preserve"> etc., complete with </t>
    </r>
    <r>
      <rPr>
        <sz val="14"/>
        <rFont val="Calibri"/>
        <family val="2"/>
      </rPr>
      <t>lead</t>
    </r>
  </si>
  <si>
    <r>
      <t xml:space="preserve">Providing and </t>
    </r>
    <r>
      <rPr>
        <b/>
        <sz val="14"/>
        <rFont val="Calibri"/>
        <family val="2"/>
      </rPr>
      <t>filling murum / gravely soil</t>
    </r>
    <r>
      <rPr>
        <b/>
        <sz val="14"/>
        <rFont val="Arial"/>
        <family val="2"/>
      </rPr>
      <t xml:space="preserve"> ( CNS soil ) </t>
    </r>
    <r>
      <rPr>
        <b/>
        <sz val="14"/>
        <rFont val="Calibri"/>
        <family val="2"/>
      </rPr>
      <t>for foundation or above pipes</t>
    </r>
  </si>
  <si>
    <r>
      <t xml:space="preserve">including breaking clods, spreading in </t>
    </r>
    <r>
      <rPr>
        <b/>
        <sz val="14"/>
        <rFont val="Arial"/>
        <family val="2"/>
      </rPr>
      <t>layers of 10 to 15 cm</t>
    </r>
    <r>
      <rPr>
        <sz val="14"/>
        <rFont val="Arial"/>
        <family val="2"/>
      </rPr>
      <t>, watering, compaction by power</t>
    </r>
  </si>
  <si>
    <r>
      <t xml:space="preserve">roller to achieve </t>
    </r>
    <r>
      <rPr>
        <sz val="14"/>
        <rFont val="Calibri"/>
        <family val="2"/>
      </rPr>
      <t xml:space="preserve">density control of </t>
    </r>
    <r>
      <rPr>
        <b/>
        <sz val="14"/>
        <rFont val="Calibri"/>
        <family val="2"/>
      </rPr>
      <t>not less than 98 percent</t>
    </r>
    <r>
      <rPr>
        <sz val="14"/>
        <rFont val="Arial"/>
        <family val="2"/>
      </rPr>
      <t xml:space="preserve"> etc., complete with </t>
    </r>
    <r>
      <rPr>
        <sz val="14"/>
        <rFont val="Calibri"/>
        <family val="2"/>
      </rPr>
      <t>lead upto</t>
    </r>
  </si>
  <si>
    <r>
      <t xml:space="preserve">Providing and </t>
    </r>
    <r>
      <rPr>
        <b/>
        <sz val="14"/>
        <rFont val="Arial"/>
        <family val="2"/>
      </rPr>
      <t xml:space="preserve">fixing </t>
    </r>
    <r>
      <rPr>
        <b/>
        <sz val="14"/>
        <rFont val="Calibri"/>
        <family val="2"/>
      </rPr>
      <t>one line dressed</t>
    </r>
    <r>
      <rPr>
        <b/>
        <sz val="14"/>
        <rFont val="Arial"/>
        <family val="2"/>
      </rPr>
      <t xml:space="preserve"> 111x35x25 cm thick </t>
    </r>
    <r>
      <rPr>
        <b/>
        <sz val="14"/>
        <rFont val="Calibri"/>
        <family val="2"/>
      </rPr>
      <t>IRC standard kilometre stone</t>
    </r>
    <r>
      <rPr>
        <sz val="14"/>
        <rFont val="Calibri"/>
        <family val="2"/>
      </rPr>
      <t xml:space="preserve"> in</t>
    </r>
  </si>
  <si>
    <r>
      <rPr>
        <b/>
        <sz val="14"/>
        <rFont val="Arial"/>
        <family val="2"/>
      </rPr>
      <t>cement concrete M-10</t>
    </r>
    <r>
      <rPr>
        <sz val="14"/>
        <rFont val="Arial"/>
        <family val="2"/>
      </rPr>
      <t xml:space="preserve"> grade with </t>
    </r>
    <r>
      <rPr>
        <b/>
        <sz val="14"/>
        <rFont val="Calibri"/>
        <family val="2"/>
      </rPr>
      <t>40 mm</t>
    </r>
    <r>
      <rPr>
        <b/>
        <sz val="14"/>
        <rFont val="Arial"/>
        <family val="2"/>
      </rPr>
      <t xml:space="preserve"> down size</t>
    </r>
    <r>
      <rPr>
        <sz val="14"/>
        <rFont val="Arial"/>
        <family val="2"/>
      </rPr>
      <t xml:space="preserve"> aggregates including excavating pit of</t>
    </r>
  </si>
  <si>
    <r>
      <t xml:space="preserve">of all materials, labour, finishing, curing etc., complete </t>
    </r>
    <r>
      <rPr>
        <b/>
        <sz val="14"/>
        <rFont val="Arial"/>
        <family val="2"/>
      </rPr>
      <t xml:space="preserve">with initial </t>
    </r>
    <r>
      <rPr>
        <b/>
        <sz val="14"/>
        <rFont val="Calibri"/>
        <family val="2"/>
      </rPr>
      <t>lead upto 50 m and all lifts.</t>
    </r>
  </si>
  <si>
    <r>
      <t xml:space="preserve">Providing and </t>
    </r>
    <r>
      <rPr>
        <b/>
        <sz val="14"/>
        <rFont val="Arial"/>
        <family val="2"/>
      </rPr>
      <t xml:space="preserve">fixing </t>
    </r>
    <r>
      <rPr>
        <b/>
        <sz val="14"/>
        <rFont val="Calibri"/>
        <family val="2"/>
      </rPr>
      <t xml:space="preserve">one line dressed </t>
    </r>
    <r>
      <rPr>
        <b/>
        <sz val="14"/>
        <rFont val="Arial"/>
        <family val="2"/>
      </rPr>
      <t xml:space="preserve">65x15x10 cm thick </t>
    </r>
    <r>
      <rPr>
        <b/>
        <sz val="14"/>
        <rFont val="Calibri"/>
        <family val="2"/>
      </rPr>
      <t>IRC standard hectometre stone</t>
    </r>
    <r>
      <rPr>
        <sz val="14"/>
        <rFont val="Calibri"/>
        <family val="2"/>
      </rPr>
      <t xml:space="preserve"> in</t>
    </r>
  </si>
  <si>
    <r>
      <t xml:space="preserve">of all materials, labour, finishing, curing etc., complete </t>
    </r>
    <r>
      <rPr>
        <b/>
        <sz val="14"/>
        <rFont val="Arial"/>
        <family val="2"/>
      </rPr>
      <t>with initial</t>
    </r>
    <r>
      <rPr>
        <b/>
        <sz val="14"/>
        <rFont val="Calibri"/>
        <family val="2"/>
      </rPr>
      <t xml:space="preserve"> lead upto 50 m and all lifts.</t>
    </r>
  </si>
  <si>
    <r>
      <t xml:space="preserve">Earth work in excavation </t>
    </r>
    <r>
      <rPr>
        <b/>
        <sz val="14"/>
        <rFont val="Arial"/>
        <family val="2"/>
      </rPr>
      <t>in all kinds of soils</t>
    </r>
    <r>
      <rPr>
        <sz val="14"/>
        <rFont val="Arial"/>
        <family val="2"/>
      </rPr>
      <t xml:space="preserve">  of foundation of  structures as per drawing and </t>
    </r>
  </si>
  <si>
    <t xml:space="preserve">technical specification, including setting out, construction of shoring and bracing, removal of stumps </t>
  </si>
  <si>
    <t>and other deleterious matter, dressing  of sides and bottom and backfilling with approved material.</t>
  </si>
  <si>
    <r>
      <t>The basic rates are</t>
    </r>
    <r>
      <rPr>
        <sz val="14"/>
        <rFont val="Calibri"/>
        <family val="2"/>
      </rPr>
      <t xml:space="preserve"> not i</t>
    </r>
    <r>
      <rPr>
        <sz val="14"/>
        <rFont val="Arial"/>
        <family val="2"/>
      </rPr>
      <t xml:space="preserve">nclusive of painting with or without sand blasting,and are to be added to the rate as </t>
    </r>
  </si>
  <si>
    <r>
      <t xml:space="preserve"> fabrication, supply, erection, testing and </t>
    </r>
    <r>
      <rPr>
        <b/>
        <sz val="14"/>
        <rFont val="Arial"/>
        <family val="2"/>
      </rPr>
      <t xml:space="preserve">commissioning of </t>
    </r>
  </si>
  <si>
    <r>
      <rPr>
        <b/>
        <sz val="14"/>
        <rFont val="Arial"/>
        <family val="2"/>
      </rPr>
      <t>Embedded parts for radial gate</t>
    </r>
    <r>
      <rPr>
        <sz val="14"/>
        <rFont val="Arial"/>
        <family val="2"/>
      </rPr>
      <t xml:space="preserve"> consists of sill beam, wall plates, anchor girders , yoke girders ,</t>
    </r>
  </si>
  <si>
    <r>
      <t xml:space="preserve"> fabrication, supply, erection, testing and </t>
    </r>
    <r>
      <rPr>
        <b/>
        <sz val="14"/>
        <rFont val="Arial"/>
        <family val="2"/>
      </rPr>
      <t>commissioning of</t>
    </r>
    <r>
      <rPr>
        <b/>
        <sz val="14"/>
        <rFont val="Calibri"/>
        <family val="2"/>
      </rPr>
      <t xml:space="preserve"> radial gate</t>
    </r>
    <r>
      <rPr>
        <sz val="14"/>
        <rFont val="Calibri"/>
        <family val="2"/>
      </rPr>
      <t xml:space="preserve"> </t>
    </r>
    <r>
      <rPr>
        <sz val="14"/>
        <rFont val="Arial"/>
        <family val="2"/>
      </rPr>
      <t>consisting</t>
    </r>
  </si>
  <si>
    <r>
      <t xml:space="preserve">supports, bracings, rubber seals, clamps etc., with all accessories </t>
    </r>
    <r>
      <rPr>
        <b/>
        <sz val="14"/>
        <rFont val="Calibri"/>
        <family val="2"/>
      </rPr>
      <t>for spillway/canals</t>
    </r>
    <r>
      <rPr>
        <sz val="14"/>
        <rFont val="Arial"/>
        <family val="2"/>
      </rPr>
      <t xml:space="preserve"> including cost</t>
    </r>
  </si>
  <si>
    <r>
      <t xml:space="preserve"> fabrication, supply, erection, testing and </t>
    </r>
    <r>
      <rPr>
        <b/>
        <sz val="14"/>
        <rFont val="Arial"/>
        <family val="2"/>
      </rPr>
      <t xml:space="preserve">commissioning of electrically operated </t>
    </r>
    <r>
      <rPr>
        <b/>
        <sz val="14"/>
        <rFont val="Calibri"/>
        <family val="2"/>
      </rPr>
      <t>rope</t>
    </r>
  </si>
  <si>
    <r>
      <rPr>
        <b/>
        <sz val="14"/>
        <rFont val="Arial"/>
        <family val="2"/>
      </rPr>
      <t>drum hoist of adequate capacity</t>
    </r>
    <r>
      <rPr>
        <sz val="14"/>
        <rFont val="Arial"/>
        <family val="2"/>
      </rPr>
      <t xml:space="preserve"> consisting of base frames, rope drums,connecting shaft, gear</t>
    </r>
  </si>
  <si>
    <r>
      <t xml:space="preserve">arrangement etc., with all accessories </t>
    </r>
    <r>
      <rPr>
        <sz val="14"/>
        <rFont val="Calibri"/>
        <family val="2"/>
      </rPr>
      <t>for spillway radial gate</t>
    </r>
    <r>
      <rPr>
        <sz val="14"/>
        <rFont val="Arial"/>
        <family val="2"/>
      </rPr>
      <t xml:space="preserve"> including cost of all materials,</t>
    </r>
  </si>
  <si>
    <r>
      <t xml:space="preserve"> fabrication, supply, erection and </t>
    </r>
    <r>
      <rPr>
        <b/>
        <sz val="14"/>
        <rFont val="Arial"/>
        <family val="2"/>
      </rPr>
      <t>commissioning of 1 metre wide walkway connecting</t>
    </r>
  </si>
  <si>
    <r>
      <rPr>
        <b/>
        <sz val="14"/>
        <rFont val="Arial"/>
        <family val="2"/>
      </rPr>
      <t>spillway piers / abutments</t>
    </r>
    <r>
      <rPr>
        <sz val="14"/>
        <rFont val="Arial"/>
        <family val="2"/>
      </rPr>
      <t xml:space="preserve"> at trunnion platform level including cost of all materials,</t>
    </r>
  </si>
  <si>
    <r>
      <t xml:space="preserve">Design, fabrication, supply, erection and </t>
    </r>
    <r>
      <rPr>
        <b/>
        <sz val="14"/>
        <rFont val="Arial"/>
        <family val="2"/>
      </rPr>
      <t xml:space="preserve">commissioning of </t>
    </r>
    <r>
      <rPr>
        <b/>
        <sz val="14"/>
        <rFont val="Calibri"/>
        <family val="2"/>
      </rPr>
      <t>embedded parts</t>
    </r>
    <r>
      <rPr>
        <sz val="14"/>
        <rFont val="Arial"/>
        <family val="2"/>
      </rPr>
      <t xml:space="preserve"> consisting of</t>
    </r>
  </si>
  <si>
    <r>
      <t xml:space="preserve">etc., with all accessories for </t>
    </r>
    <r>
      <rPr>
        <sz val="14"/>
        <rFont val="Calibri"/>
        <family val="2"/>
      </rPr>
      <t>spillway stop log gates</t>
    </r>
    <r>
      <rPr>
        <sz val="14"/>
        <rFont val="Arial"/>
        <family val="2"/>
      </rPr>
      <t xml:space="preserve"> and other vertical lift elements including cost of all materials,</t>
    </r>
  </si>
  <si>
    <r>
      <t xml:space="preserve">Design, fabrication, supply, erection, testing and </t>
    </r>
    <r>
      <rPr>
        <b/>
        <sz val="14"/>
        <rFont val="Arial"/>
        <family val="2"/>
      </rPr>
      <t>commissioning of vertical lift  gates and</t>
    </r>
  </si>
  <si>
    <r>
      <rPr>
        <b/>
        <sz val="14"/>
        <rFont val="Arial"/>
        <family val="2"/>
      </rPr>
      <t xml:space="preserve"> </t>
    </r>
    <r>
      <rPr>
        <b/>
        <sz val="14"/>
        <rFont val="Calibri"/>
        <family val="2"/>
      </rPr>
      <t>stoplog gate elements</t>
    </r>
    <r>
      <rPr>
        <sz val="14"/>
        <rFont val="Calibri"/>
        <family val="2"/>
      </rPr>
      <t>,</t>
    </r>
    <r>
      <rPr>
        <sz val="14"/>
        <rFont val="Arial"/>
        <family val="2"/>
      </rPr>
      <t xml:space="preserve"> consisting of skin plate,</t>
    </r>
  </si>
  <si>
    <r>
      <t xml:space="preserve"> fabrication, supply, erection, testing and </t>
    </r>
    <r>
      <rPr>
        <b/>
        <sz val="14"/>
        <rFont val="Arial"/>
        <family val="2"/>
      </rPr>
      <t xml:space="preserve">commissioning of </t>
    </r>
    <r>
      <rPr>
        <b/>
        <sz val="14"/>
        <rFont val="Calibri"/>
        <family val="2"/>
      </rPr>
      <t>automatic lifting beam</t>
    </r>
  </si>
  <si>
    <r>
      <rPr>
        <b/>
        <sz val="14"/>
        <rFont val="Arial"/>
        <family val="2"/>
      </rPr>
      <t>with all accessories for handling</t>
    </r>
    <r>
      <rPr>
        <sz val="14"/>
        <rFont val="Arial"/>
        <family val="2"/>
      </rPr>
      <t xml:space="preserve">, lowering and lifting of </t>
    </r>
    <r>
      <rPr>
        <sz val="14"/>
        <rFont val="Calibri"/>
        <family val="2"/>
      </rPr>
      <t>spillway stop log gate elements</t>
    </r>
  </si>
  <si>
    <r>
      <t>etc., complete as per specifications and drawings with</t>
    </r>
    <r>
      <rPr>
        <sz val="14"/>
        <rFont val="Calibri"/>
        <family val="2"/>
      </rPr>
      <t xml:space="preserve"> all leads and lifts.</t>
    </r>
  </si>
  <si>
    <r>
      <t xml:space="preserve"> fabrication, supply, erection, testing and </t>
    </r>
    <r>
      <rPr>
        <b/>
        <sz val="14"/>
        <rFont val="Arial"/>
        <family val="2"/>
      </rPr>
      <t>commissioning of adequate capacity Class- II</t>
    </r>
  </si>
  <si>
    <r>
      <rPr>
        <b/>
        <sz val="14"/>
        <rFont val="Arial"/>
        <family val="2"/>
      </rPr>
      <t>type moving gantry crane</t>
    </r>
    <r>
      <rPr>
        <sz val="14"/>
        <rFont val="Arial"/>
        <family val="2"/>
      </rPr>
      <t xml:space="preserve"> consisting of rail mounted gantry frame, top platform with hand</t>
    </r>
  </si>
  <si>
    <r>
      <t xml:space="preserve">etc., complete </t>
    </r>
    <r>
      <rPr>
        <b/>
        <sz val="14"/>
        <rFont val="Arial"/>
        <family val="2"/>
      </rPr>
      <t xml:space="preserve">with all leads and lifts. </t>
    </r>
  </si>
  <si>
    <r>
      <t xml:space="preserve">Design, fabrication, supply, erection and </t>
    </r>
    <r>
      <rPr>
        <b/>
        <sz val="14"/>
        <rFont val="Arial"/>
        <family val="2"/>
      </rPr>
      <t xml:space="preserve">commissioning of </t>
    </r>
    <r>
      <rPr>
        <b/>
        <sz val="14"/>
        <rFont val="Calibri"/>
        <family val="2"/>
      </rPr>
      <t>rail track</t>
    </r>
    <r>
      <rPr>
        <b/>
        <sz val="14"/>
        <rFont val="Arial"/>
        <family val="2"/>
      </rPr>
      <t xml:space="preserve"> using 45 kg / m standard</t>
    </r>
  </si>
  <si>
    <r>
      <rPr>
        <b/>
        <sz val="14"/>
        <rFont val="Arial"/>
        <family val="2"/>
      </rPr>
      <t xml:space="preserve">rails on spillway bridge </t>
    </r>
    <r>
      <rPr>
        <b/>
        <sz val="14"/>
        <rFont val="Calibri"/>
        <family val="2"/>
      </rPr>
      <t>for movement of gantry crane</t>
    </r>
    <r>
      <rPr>
        <sz val="14"/>
        <rFont val="Arial"/>
        <family val="2"/>
      </rPr>
      <t xml:space="preserve"> for handling and operating spillway</t>
    </r>
  </si>
  <si>
    <r>
      <t xml:space="preserve">Design, fabrication, supply, erection, testing and </t>
    </r>
    <r>
      <rPr>
        <b/>
        <sz val="14"/>
        <rFont val="Arial"/>
        <family val="2"/>
      </rPr>
      <t>commissioning of fixed wheel type vertical</t>
    </r>
  </si>
  <si>
    <r>
      <rPr>
        <b/>
        <sz val="14"/>
        <rFont val="Arial"/>
        <family val="2"/>
      </rPr>
      <t xml:space="preserve">lift </t>
    </r>
    <r>
      <rPr>
        <b/>
        <sz val="14"/>
        <rFont val="Calibri"/>
        <family val="2"/>
      </rPr>
      <t>service gate</t>
    </r>
    <r>
      <rPr>
        <b/>
        <sz val="14"/>
        <rFont val="Arial"/>
        <family val="2"/>
      </rPr>
      <t xml:space="preserve"> </t>
    </r>
    <r>
      <rPr>
        <sz val="14"/>
        <rFont val="Arial"/>
        <family val="2"/>
      </rPr>
      <t>consisting of skin plate, vertical and horizontal girders, wheels, stiffeners, lifting</t>
    </r>
  </si>
  <si>
    <r>
      <t>brackets, guide rollers, ballast blocks, teflon claded rubber seals etc., with all accessories</t>
    </r>
    <r>
      <rPr>
        <sz val="14"/>
        <rFont val="Calibri"/>
        <family val="2"/>
      </rPr>
      <t xml:space="preserve"> for</t>
    </r>
  </si>
  <si>
    <r>
      <t xml:space="preserve">Design, fabrication, supply, erection, testing and </t>
    </r>
    <r>
      <rPr>
        <b/>
        <sz val="14"/>
        <rFont val="Arial"/>
        <family val="2"/>
      </rPr>
      <t>commissioning of adequate capacity</t>
    </r>
    <r>
      <rPr>
        <b/>
        <sz val="14"/>
        <rFont val="Calibri"/>
        <family val="2"/>
      </rPr>
      <t xml:space="preserve"> rope</t>
    </r>
  </si>
  <si>
    <r>
      <rPr>
        <b/>
        <sz val="14"/>
        <rFont val="Arial"/>
        <family val="2"/>
      </rPr>
      <t xml:space="preserve">drum hoist </t>
    </r>
    <r>
      <rPr>
        <sz val="14"/>
        <rFont val="Arial"/>
        <family val="2"/>
      </rPr>
      <t>consisting of hoist platform, rope drum, gear system, electric motor, electro-</t>
    </r>
  </si>
  <si>
    <r>
      <t xml:space="preserve">Design, fabrication, supply, erection and </t>
    </r>
    <r>
      <rPr>
        <b/>
        <sz val="14"/>
        <rFont val="Arial"/>
        <family val="2"/>
      </rPr>
      <t>commissioning of structural steel hoist bridge</t>
    </r>
  </si>
  <si>
    <r>
      <t xml:space="preserve">complete as per specifications and drawings </t>
    </r>
    <r>
      <rPr>
        <b/>
        <sz val="14"/>
        <rFont val="Arial"/>
        <family val="2"/>
      </rPr>
      <t>with all leads and lifts</t>
    </r>
  </si>
  <si>
    <r>
      <t xml:space="preserve">Design, fabrication, supply, erection, testing and </t>
    </r>
    <r>
      <rPr>
        <b/>
        <sz val="14"/>
        <rFont val="Arial"/>
        <family val="2"/>
      </rPr>
      <t xml:space="preserve">commissioning of adequate capacity </t>
    </r>
    <r>
      <rPr>
        <b/>
        <sz val="14"/>
        <rFont val="Calibri"/>
        <family val="2"/>
      </rPr>
      <t>rope</t>
    </r>
  </si>
  <si>
    <r>
      <rPr>
        <b/>
        <sz val="14"/>
        <rFont val="Arial"/>
        <family val="2"/>
      </rPr>
      <t>drum hoist consisting of  rope drum</t>
    </r>
    <r>
      <rPr>
        <sz val="14"/>
        <rFont val="Arial"/>
        <family val="2"/>
      </rPr>
      <t>, pulleys, gear system, electri c motor,</t>
    </r>
  </si>
  <si>
    <r>
      <t xml:space="preserve">wire rope etc., with all accessories </t>
    </r>
    <r>
      <rPr>
        <sz val="14"/>
        <rFont val="Calibri"/>
        <family val="2"/>
      </rPr>
      <t>for operating vertical lift roller gates for barrage</t>
    </r>
  </si>
  <si>
    <r>
      <t xml:space="preserve">finishing etc., </t>
    </r>
    <r>
      <rPr>
        <b/>
        <sz val="14"/>
        <rFont val="Arial"/>
        <family val="2"/>
      </rPr>
      <t xml:space="preserve">complete with all leads and lifts. </t>
    </r>
  </si>
  <si>
    <r>
      <t xml:space="preserve">Design, fabrication, supply, erection, testing and </t>
    </r>
    <r>
      <rPr>
        <b/>
        <sz val="14"/>
        <rFont val="Arial"/>
        <family val="2"/>
      </rPr>
      <t>commissioning of adequate capacity screw gear</t>
    </r>
  </si>
  <si>
    <r>
      <rPr>
        <b/>
        <sz val="14"/>
        <rFont val="Arial"/>
        <family val="2"/>
      </rPr>
      <t>type hoist</t>
    </r>
    <r>
      <rPr>
        <sz val="14"/>
        <rFont val="Arial"/>
        <family val="2"/>
      </rPr>
      <t xml:space="preserve"> consisting of supporting structure, platform, ladder etc., with all accessories for</t>
    </r>
  </si>
  <si>
    <r>
      <t xml:space="preserve">Design, fabrication, supply, erection, testing and </t>
    </r>
    <r>
      <rPr>
        <b/>
        <sz val="14"/>
        <rFont val="Arial"/>
        <family val="2"/>
      </rPr>
      <t>commissioning of adequate capacity</t>
    </r>
  </si>
  <si>
    <r>
      <rPr>
        <b/>
        <sz val="14"/>
        <rFont val="Arial"/>
        <family val="2"/>
      </rPr>
      <t xml:space="preserve">manually operated </t>
    </r>
    <r>
      <rPr>
        <b/>
        <sz val="14"/>
        <rFont val="Calibri"/>
        <family val="2"/>
      </rPr>
      <t>rope drum</t>
    </r>
    <r>
      <rPr>
        <b/>
        <sz val="14"/>
        <rFont val="Arial"/>
        <family val="2"/>
      </rPr>
      <t xml:space="preserve"> hoist</t>
    </r>
    <r>
      <rPr>
        <sz val="14"/>
        <rFont val="Arial"/>
        <family val="2"/>
      </rPr>
      <t xml:space="preserve"> consisting of hoist platform, rope drum, gear system,</t>
    </r>
  </si>
  <si>
    <r>
      <t xml:space="preserve">., complete  </t>
    </r>
    <r>
      <rPr>
        <b/>
        <sz val="14"/>
        <rFont val="Arial"/>
        <family val="2"/>
      </rPr>
      <t>with all leads and lifts</t>
    </r>
  </si>
  <si>
    <r>
      <rPr>
        <b/>
        <sz val="14"/>
        <rFont val="Arial"/>
        <family val="2"/>
      </rPr>
      <t xml:space="preserve">Cleaning gates / hoists / embedded parts/lifting beams </t>
    </r>
    <r>
      <rPr>
        <sz val="14"/>
        <rFont val="Arial"/>
        <family val="2"/>
      </rPr>
      <t xml:space="preserve">etc, to expose fresh metal surface </t>
    </r>
  </si>
  <si>
    <r>
      <t xml:space="preserve">for painting </t>
    </r>
    <r>
      <rPr>
        <b/>
        <sz val="14"/>
        <rFont val="Arial"/>
        <family val="2"/>
      </rPr>
      <t>by sand blasting method</t>
    </r>
    <r>
      <rPr>
        <sz val="14"/>
        <rFont val="Arial"/>
        <family val="2"/>
      </rPr>
      <t xml:space="preserve"> as per specifications including cost of all materials, l</t>
    </r>
  </si>
  <si>
    <r>
      <t xml:space="preserve">abour, machinery, scaffolding,  etc., complete </t>
    </r>
    <r>
      <rPr>
        <b/>
        <sz val="14"/>
        <rFont val="Arial"/>
        <family val="2"/>
      </rPr>
      <t>with initial lead for sand upto 1 km and all lifts.</t>
    </r>
  </si>
  <si>
    <r>
      <rPr>
        <b/>
        <sz val="14"/>
        <rFont val="Arial"/>
        <family val="2"/>
      </rPr>
      <t>painting of embedded metal parts</t>
    </r>
    <r>
      <rPr>
        <sz val="14"/>
        <rFont val="Arial"/>
        <family val="2"/>
      </rPr>
      <t xml:space="preserve"> and all types of gates, stoplogs,etc, on sand blasted</t>
    </r>
  </si>
  <si>
    <r>
      <t xml:space="preserve">cost of all materials, labour, scaffolding etc., complete </t>
    </r>
    <r>
      <rPr>
        <b/>
        <sz val="14"/>
        <rFont val="Arial"/>
        <family val="2"/>
      </rPr>
      <t>with all leads and</t>
    </r>
  </si>
  <si>
    <r>
      <rPr>
        <b/>
        <sz val="14"/>
        <rFont val="Arial"/>
        <family val="2"/>
      </rPr>
      <t xml:space="preserve"> painting of Lifting beams,cat walks and other similar  structures</t>
    </r>
    <r>
      <rPr>
        <sz val="14"/>
        <rFont val="Arial"/>
        <family val="2"/>
      </rPr>
      <t xml:space="preserve">-painting hoist machinery, </t>
    </r>
  </si>
  <si>
    <r>
      <rPr>
        <b/>
        <sz val="14"/>
        <rFont val="Arial"/>
        <family val="2"/>
      </rPr>
      <t xml:space="preserve"> HOISTS:machineryCOMPONENTS--painting hoist machinery, on sand blasted surfaces</t>
    </r>
    <r>
      <rPr>
        <sz val="14"/>
        <rFont val="Arial"/>
        <family val="2"/>
      </rPr>
      <t xml:space="preserve"> with</t>
    </r>
  </si>
  <si>
    <r>
      <rPr>
        <b/>
        <sz val="14"/>
        <rFont val="Arial"/>
        <family val="2"/>
      </rPr>
      <t>Surface cleaning of metal surfaces by chemical cleaners</t>
    </r>
    <r>
      <rPr>
        <sz val="14"/>
        <rFont val="Arial"/>
        <family val="2"/>
      </rPr>
      <t xml:space="preserve"> and then by hand and power tool cleaners and removing</t>
    </r>
  </si>
  <si>
    <r>
      <t xml:space="preserve">4 coats  with coal tar epoxy with material, labour,and all accessories </t>
    </r>
    <r>
      <rPr>
        <b/>
        <sz val="14"/>
        <rFont val="Arial"/>
        <family val="2"/>
      </rPr>
      <t xml:space="preserve">with all leads and lifts  </t>
    </r>
  </si>
  <si>
    <r>
      <t xml:space="preserve">  </t>
    </r>
    <r>
      <rPr>
        <b/>
        <sz val="14"/>
        <rFont val="Calibri"/>
        <family val="2"/>
      </rPr>
      <t xml:space="preserve"> A. MATERIALS:</t>
    </r>
  </si>
  <si>
    <r>
      <rPr>
        <b/>
        <sz val="14"/>
        <rFont val="Arial"/>
        <family val="2"/>
      </rPr>
      <t xml:space="preserve">Surface cleaning of metal surfaces by chemical cleaners </t>
    </r>
    <r>
      <rPr>
        <sz val="14"/>
        <rFont val="Arial"/>
        <family val="2"/>
      </rPr>
      <t xml:space="preserve">and then by hand and power tool cleaners </t>
    </r>
  </si>
  <si>
    <t>and removing dust. After cleaning,applying primary coat with two coats of Zinc chromite red oxide primer ,</t>
  </si>
  <si>
    <t xml:space="preserve">followed by finishing coats 3 coats  with synthetic enamel paint with material, labour,and all accessories </t>
  </si>
  <si>
    <t xml:space="preserve">with all leads and lifts   where surface cleaning by sand blasting is not feasible and based on specific </t>
  </si>
  <si>
    <r>
      <rPr>
        <b/>
        <sz val="14"/>
        <rFont val="Arial"/>
        <family val="2"/>
      </rPr>
      <t>Surface cleaning of metal surfaces by chemical cleaners</t>
    </r>
    <r>
      <rPr>
        <sz val="14"/>
        <rFont val="Arial"/>
        <family val="2"/>
      </rPr>
      <t xml:space="preserve"> and then by hand and power tool cleaners </t>
    </r>
  </si>
  <si>
    <t xml:space="preserve">and removing dust. After cleaning,applying primary coat with one coat of Zinc rich epoxy primer to </t>
  </si>
  <si>
    <t>a thickness of 40 microns ,followed by  finishing  coats 2 coats  with coal tar epoxy with material, labour,</t>
  </si>
  <si>
    <r>
      <t xml:space="preserve">and all accessories </t>
    </r>
    <r>
      <rPr>
        <b/>
        <sz val="14"/>
        <rFont val="Arial"/>
        <family val="2"/>
      </rPr>
      <t xml:space="preserve">with all leads and lifts  </t>
    </r>
  </si>
  <si>
    <r>
      <rPr>
        <b/>
        <sz val="14"/>
        <rFont val="Arial"/>
        <family val="2"/>
      </rPr>
      <t>Surface cleaning of metal surfaces by chemical cleaners</t>
    </r>
    <r>
      <rPr>
        <sz val="14"/>
        <rFont val="Arial"/>
        <family val="2"/>
      </rPr>
      <t xml:space="preserve"> and then by hand and power tool </t>
    </r>
  </si>
  <si>
    <t xml:space="preserve">cleaners and removing dust. After cleaning,applying primary coat with one coat of Zinc rich epoxy </t>
  </si>
  <si>
    <t>primer to a thickness of 40 microns ,followed  by finishing  coats 3 coats  with coal tar epoxy with material, labour,</t>
  </si>
  <si>
    <r>
      <rPr>
        <b/>
        <sz val="14"/>
        <rFont val="Arial"/>
        <family val="2"/>
      </rPr>
      <t>upto 30 cm / parthenium and other weeds</t>
    </r>
    <r>
      <rPr>
        <sz val="14"/>
        <rFont val="Arial"/>
        <family val="2"/>
      </rPr>
      <t xml:space="preserve"> including burning or disposing off the same as</t>
    </r>
  </si>
  <si>
    <r>
      <rPr>
        <b/>
        <sz val="14"/>
        <rFont val="Arial"/>
        <family val="2"/>
      </rPr>
      <t>Additional rate for every 0.5 m increase in girth</t>
    </r>
    <r>
      <rPr>
        <sz val="14"/>
        <rFont val="Arial"/>
        <family val="2"/>
      </rPr>
      <t xml:space="preserve"> of tree stump / stumps of bamboo cluster</t>
    </r>
  </si>
  <si>
    <r>
      <rPr>
        <b/>
        <sz val="14"/>
        <rFont val="Arial"/>
        <family val="2"/>
      </rPr>
      <t>Cutting and stacking bamboos</t>
    </r>
    <r>
      <rPr>
        <sz val="14"/>
        <rFont val="Arial"/>
        <family val="2"/>
      </rPr>
      <t xml:space="preserve"> excluding removing stumps and roots etc., complete with</t>
    </r>
  </si>
  <si>
    <r>
      <rPr>
        <b/>
        <sz val="14"/>
        <rFont val="Arial"/>
        <family val="2"/>
      </rPr>
      <t>Cutting and removing jauliflora bushes upto 1.5 m girth</t>
    </r>
    <r>
      <rPr>
        <sz val="14"/>
        <rFont val="Arial"/>
        <family val="2"/>
      </rPr>
      <t xml:space="preserve"> excluding removal of stumps and</t>
    </r>
  </si>
  <si>
    <r>
      <t xml:space="preserve">including burning or disposing off the materials as directed </t>
    </r>
    <r>
      <rPr>
        <b/>
        <sz val="14"/>
        <rFont val="Arial"/>
        <family val="2"/>
      </rPr>
      <t>with initial lead upto 50 m and all</t>
    </r>
  </si>
  <si>
    <r>
      <rPr>
        <b/>
        <sz val="14"/>
        <rFont val="Arial"/>
        <family val="2"/>
      </rPr>
      <t>Cutting trees above 0.3 m and upto 0.6 m girth</t>
    </r>
    <r>
      <rPr>
        <sz val="14"/>
        <rFont val="Arial"/>
        <family val="2"/>
      </rPr>
      <t xml:space="preserve"> excluding removal of stumps and including</t>
    </r>
  </si>
  <si>
    <r>
      <t xml:space="preserve">stacking the materials neatly as directed </t>
    </r>
    <r>
      <rPr>
        <b/>
        <sz val="14"/>
        <rFont val="Arial"/>
        <family val="2"/>
      </rPr>
      <t>with initial lead upto 50 m and all lifts.</t>
    </r>
  </si>
  <si>
    <r>
      <rPr>
        <b/>
        <sz val="14"/>
        <rFont val="Arial"/>
        <family val="2"/>
      </rPr>
      <t>Cutting trees above 0.6 m and upto 1.2 m girth</t>
    </r>
    <r>
      <rPr>
        <sz val="14"/>
        <rFont val="Arial"/>
        <family val="2"/>
      </rPr>
      <t xml:space="preserve"> excluding removal of stumps and including</t>
    </r>
  </si>
  <si>
    <r>
      <rPr>
        <b/>
        <sz val="14"/>
        <rFont val="Arial"/>
        <family val="2"/>
      </rPr>
      <t>Cutting trees above 1.2 m and upto 1.8 m girth</t>
    </r>
    <r>
      <rPr>
        <sz val="14"/>
        <rFont val="Arial"/>
        <family val="2"/>
      </rPr>
      <t xml:space="preserve"> excluding removal of stumps and including</t>
    </r>
  </si>
  <si>
    <r>
      <rPr>
        <b/>
        <sz val="14"/>
        <rFont val="Arial"/>
        <family val="2"/>
      </rPr>
      <t>Cutting trees above 1.8 m and upto 2.4 m girth</t>
    </r>
    <r>
      <rPr>
        <sz val="14"/>
        <rFont val="Arial"/>
        <family val="2"/>
      </rPr>
      <t xml:space="preserve"> excluding removal of stumps and including</t>
    </r>
  </si>
  <si>
    <r>
      <rPr>
        <b/>
        <sz val="14"/>
        <rFont val="Arial"/>
        <family val="2"/>
      </rPr>
      <t>Cutting trees above 2.4 m and upto 3.0 m girth</t>
    </r>
    <r>
      <rPr>
        <sz val="14"/>
        <rFont val="Arial"/>
        <family val="2"/>
      </rPr>
      <t xml:space="preserve"> excluding removal of stumps and including</t>
    </r>
  </si>
  <si>
    <r>
      <t>stacking the materials neatly as directed</t>
    </r>
    <r>
      <rPr>
        <b/>
        <sz val="14"/>
        <rFont val="Arial"/>
        <family val="2"/>
      </rPr>
      <t xml:space="preserve"> with initial lead upto 50 m and all lifts.</t>
    </r>
  </si>
  <si>
    <r>
      <rPr>
        <b/>
        <sz val="14"/>
        <rFont val="Arial"/>
        <family val="2"/>
      </rPr>
      <t>Additional rate for cutting tree for every 0.5 m increase in girth</t>
    </r>
    <r>
      <rPr>
        <sz val="14"/>
        <rFont val="Arial"/>
        <family val="2"/>
      </rPr>
      <t xml:space="preserve"> of tree beyond 3 m.</t>
    </r>
  </si>
  <si>
    <r>
      <rPr>
        <b/>
        <sz val="14"/>
        <rFont val="Arial"/>
        <family val="2"/>
      </rPr>
      <t>Cutting and burning or disposing off Apu / Jondu from marshy areas</t>
    </r>
    <r>
      <rPr>
        <sz val="14"/>
        <rFont val="Arial"/>
        <family val="2"/>
      </rPr>
      <t xml:space="preserve"> as directed with</t>
    </r>
  </si>
  <si>
    <r>
      <t xml:space="preserve">initial </t>
    </r>
    <r>
      <rPr>
        <sz val="14"/>
        <rFont val="Calibri"/>
        <family val="2"/>
      </rPr>
      <t xml:space="preserve">lead </t>
    </r>
    <r>
      <rPr>
        <b/>
        <sz val="14"/>
        <rFont val="Calibri"/>
        <family val="2"/>
      </rPr>
      <t>upto 50 m and all lifts.</t>
    </r>
  </si>
  <si>
    <r>
      <rPr>
        <b/>
        <sz val="14"/>
        <rFont val="Arial"/>
        <family val="2"/>
      </rPr>
      <t>Earthwork excavation for trial pits / borrow pits</t>
    </r>
    <r>
      <rPr>
        <sz val="14"/>
        <rFont val="Arial"/>
        <family val="2"/>
      </rPr>
      <t xml:space="preserve"> and other investigation works in all kinds of</t>
    </r>
  </si>
  <si>
    <r>
      <t xml:space="preserve">soil including boulders </t>
    </r>
    <r>
      <rPr>
        <b/>
        <sz val="14"/>
        <rFont val="Arial"/>
        <family val="2"/>
      </rPr>
      <t>upto 30 cm dia</t>
    </r>
    <r>
      <rPr>
        <sz val="14"/>
        <rFont val="Arial"/>
        <family val="2"/>
      </rPr>
      <t xml:space="preserve"> and disposing off excavated soil as directed with lead</t>
    </r>
  </si>
  <si>
    <r>
      <t xml:space="preserve">upto </t>
    </r>
    <r>
      <rPr>
        <b/>
        <sz val="14"/>
        <rFont val="Calibri"/>
        <family val="2"/>
      </rPr>
      <t>10 m and lift upto 3 m.</t>
    </r>
  </si>
  <si>
    <r>
      <rPr>
        <b/>
        <sz val="14"/>
        <rFont val="Arial"/>
        <family val="2"/>
      </rPr>
      <t>Earthwork excavation for trial pits / borrow pits</t>
    </r>
    <r>
      <rPr>
        <sz val="14"/>
        <rFont val="Arial"/>
        <family val="2"/>
      </rPr>
      <t xml:space="preserve"> and other investigation works in </t>
    </r>
    <r>
      <rPr>
        <b/>
        <sz val="14"/>
        <rFont val="Arial"/>
        <family val="2"/>
      </rPr>
      <t>soft</t>
    </r>
  </si>
  <si>
    <r>
      <rPr>
        <b/>
        <sz val="14"/>
        <rFont val="Arial"/>
        <family val="2"/>
      </rPr>
      <t>rock</t>
    </r>
    <r>
      <rPr>
        <sz val="14"/>
        <rFont val="Arial"/>
        <family val="2"/>
      </rPr>
      <t xml:space="preserve"> including disposing off the excavated rock as directed with </t>
    </r>
    <r>
      <rPr>
        <b/>
        <sz val="14"/>
        <rFont val="Arial"/>
        <family val="2"/>
      </rPr>
      <t xml:space="preserve">lead upto </t>
    </r>
    <r>
      <rPr>
        <b/>
        <sz val="14"/>
        <rFont val="Calibri"/>
        <family val="2"/>
      </rPr>
      <t>10 m and lift</t>
    </r>
  </si>
  <si>
    <r>
      <t xml:space="preserve">complete for </t>
    </r>
    <r>
      <rPr>
        <b/>
        <sz val="14"/>
        <rFont val="Calibri"/>
        <family val="2"/>
      </rPr>
      <t>depth upto 30 m from surface.</t>
    </r>
  </si>
  <si>
    <r>
      <rPr>
        <b/>
        <sz val="14"/>
        <rFont val="Arial"/>
        <family val="2"/>
      </rPr>
      <t>Drilling 76 mm dia ( NX ) core hole in hard rock using diamond core bit</t>
    </r>
    <r>
      <rPr>
        <sz val="14"/>
        <rFont val="Arial"/>
        <family val="2"/>
      </rPr>
      <t xml:space="preserve"> vertical / inclined</t>
    </r>
  </si>
  <si>
    <r>
      <t xml:space="preserve">Providing and </t>
    </r>
    <r>
      <rPr>
        <b/>
        <sz val="14"/>
        <rFont val="Arial"/>
        <family val="2"/>
      </rPr>
      <t>fixing 20 x 20 x 75 cm size roughly dressed boundary / demarcation /</t>
    </r>
  </si>
  <si>
    <r>
      <rPr>
        <b/>
        <sz val="14"/>
        <rFont val="Arial"/>
        <family val="2"/>
      </rPr>
      <t>chainage / arrow stones</t>
    </r>
    <r>
      <rPr>
        <sz val="14"/>
        <rFont val="Arial"/>
        <family val="2"/>
      </rPr>
      <t xml:space="preserve"> including cost of all materials, labour, engraving marks, fixing in</t>
    </r>
  </si>
  <si>
    <r>
      <t xml:space="preserve">position, murum filling etc., complete </t>
    </r>
    <r>
      <rPr>
        <b/>
        <sz val="14"/>
        <rFont val="Arial"/>
        <family val="2"/>
      </rPr>
      <t>with lead upto 50 m and all lifts.</t>
    </r>
  </si>
  <si>
    <r>
      <t xml:space="preserve">Providing and </t>
    </r>
    <r>
      <rPr>
        <b/>
        <sz val="14"/>
        <rFont val="Arial"/>
        <family val="2"/>
      </rPr>
      <t>fixing 20 x 20 x 75 cm size temporary bench mark stone in CC 1 : 4 : 8</t>
    </r>
  </si>
  <si>
    <r>
      <t xml:space="preserve">using </t>
    </r>
    <r>
      <rPr>
        <b/>
        <sz val="14"/>
        <rFont val="Arial"/>
        <family val="2"/>
      </rPr>
      <t>40 mm down size</t>
    </r>
    <r>
      <rPr>
        <sz val="14"/>
        <rFont val="Arial"/>
        <family val="2"/>
      </rPr>
      <t xml:space="preserve"> graded coarse aggregate including cost of all materials, labour,</t>
    </r>
  </si>
  <si>
    <r>
      <t xml:space="preserve">dressing top surface, engraving BM data etc.,complete </t>
    </r>
    <r>
      <rPr>
        <b/>
        <sz val="14"/>
        <rFont val="Arial"/>
        <family val="2"/>
      </rPr>
      <t>with lead upto 50 m and all lifts.</t>
    </r>
  </si>
  <si>
    <r>
      <t xml:space="preserve">Providing and </t>
    </r>
    <r>
      <rPr>
        <b/>
        <sz val="14"/>
        <rFont val="Arial"/>
        <family val="2"/>
      </rPr>
      <t>fixing 20 x 20 x 75 cm size permanent bench mark stone in CC 1 :3 : 6</t>
    </r>
  </si>
  <si>
    <r>
      <t xml:space="preserve">block of size 90 x 90 x 120 cm using </t>
    </r>
    <r>
      <rPr>
        <b/>
        <sz val="14"/>
        <rFont val="Arial"/>
        <family val="2"/>
      </rPr>
      <t>40 mm down size</t>
    </r>
    <r>
      <rPr>
        <sz val="14"/>
        <rFont val="Arial"/>
        <family val="2"/>
      </rPr>
      <t xml:space="preserve"> graded coarse aggregate and providing</t>
    </r>
  </si>
  <si>
    <r>
      <t xml:space="preserve">on top surface, excavation, finishing, curing etc., complete </t>
    </r>
    <r>
      <rPr>
        <b/>
        <sz val="14"/>
        <rFont val="Arial"/>
        <family val="2"/>
      </rPr>
      <t>with lead upto 50 m and all lifts.</t>
    </r>
  </si>
  <si>
    <r>
      <t xml:space="preserve">including excavation, back filling etc., complete </t>
    </r>
    <r>
      <rPr>
        <b/>
        <sz val="14"/>
        <rFont val="Arial"/>
        <family val="2"/>
      </rPr>
      <t>with all leads and lifts.</t>
    </r>
  </si>
  <si>
    <r>
      <rPr>
        <b/>
        <sz val="14"/>
        <rFont val="Arial"/>
        <family val="2"/>
      </rPr>
      <t xml:space="preserve">Removing and </t>
    </r>
    <r>
      <rPr>
        <b/>
        <sz val="14"/>
        <rFont val="Calibri"/>
        <family val="2"/>
      </rPr>
      <t>refixing</t>
    </r>
    <r>
      <rPr>
        <b/>
        <sz val="14"/>
        <rFont val="Arial"/>
        <family val="2"/>
      </rPr>
      <t xml:space="preserve"> disturbed</t>
    </r>
    <r>
      <rPr>
        <b/>
        <sz val="14"/>
        <rFont val="Calibri"/>
        <family val="2"/>
      </rPr>
      <t xml:space="preserve"> km stone / sign board / hecto-metre stone</t>
    </r>
    <r>
      <rPr>
        <b/>
        <sz val="14"/>
        <rFont val="Arial"/>
        <family val="2"/>
      </rPr>
      <t xml:space="preserve"> etc.</t>
    </r>
    <r>
      <rPr>
        <sz val="14"/>
        <rFont val="Arial"/>
        <family val="2"/>
      </rPr>
      <t>, including</t>
    </r>
  </si>
  <si>
    <r>
      <t xml:space="preserve">7.5 cm including watering, ramming etc complete </t>
    </r>
    <r>
      <rPr>
        <b/>
        <sz val="14"/>
        <rFont val="Arial"/>
        <family val="2"/>
      </rPr>
      <t xml:space="preserve">with </t>
    </r>
    <r>
      <rPr>
        <b/>
        <sz val="14"/>
        <rFont val="Calibri"/>
        <family val="2"/>
      </rPr>
      <t>all leads and lifts</t>
    </r>
    <r>
      <rPr>
        <b/>
        <sz val="14"/>
        <rFont val="Arial"/>
        <family val="2"/>
      </rPr>
      <t>.</t>
    </r>
  </si>
  <si>
    <r>
      <t xml:space="preserve">Providing </t>
    </r>
    <r>
      <rPr>
        <b/>
        <sz val="14"/>
        <rFont val="Calibri"/>
        <family val="2"/>
      </rPr>
      <t>pervious /semi-pervious casing for breached /damaged portio</t>
    </r>
    <r>
      <rPr>
        <b/>
        <sz val="14"/>
        <rFont val="Arial"/>
        <family val="2"/>
      </rPr>
      <t>n of embankment</t>
    </r>
  </si>
  <si>
    <r>
      <t xml:space="preserve">with soil from </t>
    </r>
    <r>
      <rPr>
        <b/>
        <sz val="14"/>
        <rFont val="Arial"/>
        <family val="2"/>
      </rPr>
      <t>approved dump areas</t>
    </r>
    <r>
      <rPr>
        <sz val="14"/>
        <rFont val="Arial"/>
        <family val="2"/>
      </rPr>
      <t xml:space="preserve"> in </t>
    </r>
    <r>
      <rPr>
        <b/>
        <sz val="14"/>
        <rFont val="Arial"/>
        <family val="2"/>
      </rPr>
      <t>layers of 10 to 15 cm</t>
    </r>
    <r>
      <rPr>
        <sz val="14"/>
        <rFont val="Arial"/>
        <family val="2"/>
      </rPr>
      <t xml:space="preserve"> before compaction including</t>
    </r>
  </si>
  <si>
    <r>
      <t xml:space="preserve">layer to density control of </t>
    </r>
    <r>
      <rPr>
        <b/>
        <sz val="14"/>
        <rFont val="Arial"/>
        <family val="2"/>
      </rPr>
      <t>not less than 98 percent</t>
    </r>
    <r>
      <rPr>
        <sz val="14"/>
        <rFont val="Arial"/>
        <family val="2"/>
      </rPr>
      <t xml:space="preserve"> or as stipulated </t>
    </r>
    <r>
      <rPr>
        <b/>
        <sz val="14"/>
        <rFont val="Arial"/>
        <family val="2"/>
      </rPr>
      <t>by rolling or by using</t>
    </r>
  </si>
  <si>
    <r>
      <t xml:space="preserve">mechanical tampers etc., complete with initial </t>
    </r>
    <r>
      <rPr>
        <b/>
        <sz val="14"/>
        <rFont val="Calibri"/>
        <family val="2"/>
      </rPr>
      <t>lead upto 1 km and all lifts.</t>
    </r>
  </si>
  <si>
    <r>
      <t>out side adits in specified location etc.,</t>
    </r>
    <r>
      <rPr>
        <b/>
        <sz val="14"/>
        <rFont val="Arial"/>
        <family val="2"/>
      </rPr>
      <t xml:space="preserve"> complete with </t>
    </r>
    <r>
      <rPr>
        <b/>
        <sz val="14"/>
        <rFont val="Calibri"/>
        <family val="2"/>
      </rPr>
      <t>all leads and lifts</t>
    </r>
    <r>
      <rPr>
        <b/>
        <sz val="14"/>
        <rFont val="Arial"/>
        <family val="2"/>
      </rPr>
      <t>.</t>
    </r>
  </si>
  <si>
    <r>
      <rPr>
        <b/>
        <sz val="14"/>
        <rFont val="Arial"/>
        <family val="2"/>
      </rPr>
      <t xml:space="preserve">Providing two coats of painting to </t>
    </r>
    <r>
      <rPr>
        <b/>
        <sz val="14"/>
        <rFont val="Calibri"/>
        <family val="2"/>
      </rPr>
      <t>hoist</t>
    </r>
    <r>
      <rPr>
        <sz val="14"/>
        <rFont val="Calibri"/>
        <family val="2"/>
      </rPr>
      <t xml:space="preserve"> supporting structures / hoists / moving gantry</t>
    </r>
  </si>
  <si>
    <r>
      <t>complete with</t>
    </r>
    <r>
      <rPr>
        <b/>
        <sz val="14"/>
        <rFont val="Calibri"/>
        <family val="2"/>
      </rPr>
      <t xml:space="preserve"> all leads and all lifts.</t>
    </r>
  </si>
  <si>
    <r>
      <t xml:space="preserve">Providing </t>
    </r>
    <r>
      <rPr>
        <b/>
        <sz val="14"/>
        <rFont val="Calibri"/>
        <family val="2"/>
      </rPr>
      <t>two coats of painting</t>
    </r>
    <r>
      <rPr>
        <b/>
        <sz val="14"/>
        <rFont val="Arial"/>
        <family val="2"/>
      </rPr>
      <t xml:space="preserve"> 100 micron dry film thickness each coat </t>
    </r>
    <r>
      <rPr>
        <b/>
        <sz val="14"/>
        <rFont val="Calibri"/>
        <family val="2"/>
      </rPr>
      <t>to embedded parts</t>
    </r>
  </si>
  <si>
    <r>
      <t xml:space="preserve">/ gates with cold applied </t>
    </r>
    <r>
      <rPr>
        <sz val="14"/>
        <rFont val="Calibri"/>
        <family val="2"/>
      </rPr>
      <t>coal tar epoxy paint</t>
    </r>
    <r>
      <rPr>
        <sz val="14"/>
        <rFont val="Arial"/>
        <family val="2"/>
      </rPr>
      <t xml:space="preserve"> of approved quality including removing rust,</t>
    </r>
  </si>
  <si>
    <r>
      <t>cleaning surface, cost of all materials, labour, scaffolding etc., complete with</t>
    </r>
    <r>
      <rPr>
        <sz val="14"/>
        <rFont val="Calibri"/>
        <family val="2"/>
      </rPr>
      <t xml:space="preserve"> all leads and</t>
    </r>
  </si>
  <si>
    <r>
      <t xml:space="preserve">Providing two coats of painting to </t>
    </r>
    <r>
      <rPr>
        <b/>
        <sz val="14"/>
        <rFont val="Calibri"/>
        <family val="2"/>
      </rPr>
      <t>hoist supporting structures / hoists / moving gantry</t>
    </r>
  </si>
  <si>
    <r>
      <t xml:space="preserve">Excavation and </t>
    </r>
    <r>
      <rPr>
        <b/>
        <sz val="14"/>
        <rFont val="Calibri"/>
        <family val="2"/>
      </rPr>
      <t>removal of silt</t>
    </r>
    <r>
      <rPr>
        <b/>
        <sz val="14"/>
        <rFont val="Arial"/>
        <family val="2"/>
      </rPr>
      <t xml:space="preserve"> and silt mixed with sand from canal bed </t>
    </r>
    <r>
      <rPr>
        <b/>
        <sz val="14"/>
        <rFont val="Calibri"/>
        <family val="2"/>
      </rPr>
      <t>in dry condition</t>
    </r>
  </si>
  <si>
    <r>
      <t xml:space="preserve">directed etc., complete </t>
    </r>
    <r>
      <rPr>
        <b/>
        <sz val="14"/>
        <rFont val="Arial"/>
        <family val="2"/>
      </rPr>
      <t xml:space="preserve">with initial </t>
    </r>
    <r>
      <rPr>
        <b/>
        <sz val="14"/>
        <rFont val="Calibri"/>
        <family val="2"/>
      </rPr>
      <t>lead upto 50 m and all lifts</t>
    </r>
    <r>
      <rPr>
        <b/>
        <sz val="14"/>
        <rFont val="Arial"/>
        <family val="2"/>
      </rPr>
      <t>.</t>
    </r>
  </si>
  <si>
    <r>
      <t xml:space="preserve">Excavation and </t>
    </r>
    <r>
      <rPr>
        <b/>
        <sz val="14"/>
        <rFont val="Calibri"/>
        <family val="2"/>
      </rPr>
      <t>removal of silt</t>
    </r>
    <r>
      <rPr>
        <b/>
        <sz val="14"/>
        <rFont val="Arial"/>
        <family val="2"/>
      </rPr>
      <t xml:space="preserve"> or silt mixed with sand </t>
    </r>
    <r>
      <rPr>
        <b/>
        <sz val="14"/>
        <rFont val="Calibri"/>
        <family val="2"/>
      </rPr>
      <t>in slussy condition</t>
    </r>
    <r>
      <rPr>
        <b/>
        <sz val="14"/>
        <rFont val="Arial"/>
        <family val="2"/>
      </rPr>
      <t xml:space="preserve"> from canal bed</t>
    </r>
  </si>
  <si>
    <r>
      <t xml:space="preserve">directed etc., complete </t>
    </r>
    <r>
      <rPr>
        <b/>
        <sz val="14"/>
        <rFont val="Arial"/>
        <family val="2"/>
      </rPr>
      <t xml:space="preserve">with initial </t>
    </r>
    <r>
      <rPr>
        <b/>
        <sz val="14"/>
        <rFont val="Calibri"/>
        <family val="2"/>
      </rPr>
      <t>lead upto 50 m and all lifts.</t>
    </r>
  </si>
  <si>
    <r>
      <rPr>
        <b/>
        <sz val="14"/>
        <rFont val="Arial"/>
        <family val="2"/>
      </rPr>
      <t xml:space="preserve">Providing </t>
    </r>
    <r>
      <rPr>
        <b/>
        <sz val="14"/>
        <rFont val="Calibri"/>
        <family val="2"/>
      </rPr>
      <t>homogeneous</t>
    </r>
    <r>
      <rPr>
        <b/>
        <sz val="14"/>
        <rFont val="Arial"/>
        <family val="2"/>
      </rPr>
      <t xml:space="preserve"> embankment</t>
    </r>
    <r>
      <rPr>
        <sz val="14"/>
        <rFont val="Arial"/>
        <family val="2"/>
      </rPr>
      <t xml:space="preserve"> </t>
    </r>
    <r>
      <rPr>
        <sz val="14"/>
        <rFont val="Calibri"/>
        <family val="2"/>
      </rPr>
      <t xml:space="preserve">using soil from </t>
    </r>
    <r>
      <rPr>
        <b/>
        <sz val="14"/>
        <rFont val="Calibri"/>
        <family val="2"/>
      </rPr>
      <t xml:space="preserve">approved borrow </t>
    </r>
  </si>
  <si>
    <r>
      <rPr>
        <b/>
        <sz val="14"/>
        <rFont val="Arial"/>
        <family val="2"/>
      </rPr>
      <t>area</t>
    </r>
    <r>
      <rPr>
        <sz val="14"/>
        <rFont val="Arial"/>
        <family val="2"/>
      </rPr>
      <t xml:space="preserve"> in </t>
    </r>
    <r>
      <rPr>
        <b/>
        <sz val="14"/>
        <rFont val="Arial"/>
        <family val="2"/>
      </rPr>
      <t>layers of 25 to 30 cm</t>
    </r>
    <r>
      <rPr>
        <sz val="14"/>
        <rFont val="Arial"/>
        <family val="2"/>
      </rPr>
      <t xml:space="preserve"> before compaction including cost of all </t>
    </r>
  </si>
  <si>
    <r>
      <t xml:space="preserve">to density control of </t>
    </r>
    <r>
      <rPr>
        <b/>
        <sz val="14"/>
        <rFont val="Arial"/>
        <family val="2"/>
      </rPr>
      <t>not less than 95 percent</t>
    </r>
    <r>
      <rPr>
        <sz val="14"/>
        <rFont val="Arial"/>
        <family val="2"/>
      </rPr>
      <t xml:space="preserve"> or as stipulated using</t>
    </r>
  </si>
  <si>
    <r>
      <t xml:space="preserve">to density control of </t>
    </r>
    <r>
      <rPr>
        <b/>
        <sz val="14"/>
        <rFont val="Arial"/>
        <family val="2"/>
      </rPr>
      <t>not less than 90 percent</t>
    </r>
    <r>
      <rPr>
        <sz val="14"/>
        <rFont val="Arial"/>
        <family val="2"/>
      </rPr>
      <t xml:space="preserve"> or as stipulated using</t>
    </r>
  </si>
  <si>
    <r>
      <t xml:space="preserve"> </t>
    </r>
    <r>
      <rPr>
        <b/>
        <sz val="14"/>
        <rFont val="Calibri"/>
        <family val="2"/>
      </rPr>
      <t>2T</t>
    </r>
    <r>
      <rPr>
        <b/>
        <sz val="14"/>
        <rFont val="Arial"/>
        <family val="2"/>
      </rPr>
      <t xml:space="preserve"> roller etc., complete with initial lead upto 1 km and all lifts.</t>
    </r>
  </si>
  <si>
    <t xml:space="preserve">Removing stumps, tree roots, roots of bamboo cluster etc., with girth </t>
  </si>
  <si>
    <t xml:space="preserve">Clearing thin jungle growth ( more than 50 percent open space ) including bushes </t>
  </si>
  <si>
    <r>
      <t xml:space="preserve">upto </t>
    </r>
    <r>
      <rPr>
        <b/>
        <sz val="14"/>
        <rFont val="Arial"/>
        <family val="2"/>
      </rPr>
      <t>30 cm / parthenium and other weeds</t>
    </r>
    <r>
      <rPr>
        <sz val="14"/>
        <rFont val="Arial"/>
        <family val="2"/>
      </rPr>
      <t xml:space="preserve"> including burning or disposing off the same </t>
    </r>
  </si>
  <si>
    <t>as directed etc., complete.</t>
  </si>
  <si>
    <t>Removing stumps, tree roots, roots of bamboo clusters etc., upto 1.50 m girth</t>
  </si>
  <si>
    <t xml:space="preserve">including excavation, stacking the materials neatly and levelling the surface etc., complete with </t>
  </si>
  <si>
    <r>
      <rPr>
        <b/>
        <sz val="14"/>
        <rFont val="Arial"/>
        <family val="2"/>
      </rPr>
      <t>Removing stumps, tree roots, roots of bamboo cluster etc., with girth above 1.50 m</t>
    </r>
    <r>
      <rPr>
        <sz val="14"/>
        <rFont val="Arial"/>
        <family val="2"/>
      </rPr>
      <t xml:space="preserve"> </t>
    </r>
  </si>
  <si>
    <r>
      <t xml:space="preserve">and </t>
    </r>
    <r>
      <rPr>
        <b/>
        <sz val="14"/>
        <rFont val="Arial"/>
        <family val="2"/>
      </rPr>
      <t>upto 3.0 m</t>
    </r>
    <r>
      <rPr>
        <sz val="14"/>
        <rFont val="Arial"/>
        <family val="2"/>
      </rPr>
      <t xml:space="preserve"> including excavation, stacking the materials neatly and levelling the area etc.,</t>
    </r>
  </si>
  <si>
    <r>
      <t xml:space="preserve">above </t>
    </r>
    <r>
      <rPr>
        <b/>
        <sz val="14"/>
        <rFont val="Arial"/>
        <family val="2"/>
      </rPr>
      <t>3.0 m</t>
    </r>
    <r>
      <rPr>
        <sz val="14"/>
        <rFont val="Arial"/>
        <family val="2"/>
      </rPr>
      <t xml:space="preserve"> and upto </t>
    </r>
    <r>
      <rPr>
        <b/>
        <sz val="14"/>
        <rFont val="Arial"/>
        <family val="2"/>
      </rPr>
      <t>5.0 m</t>
    </r>
    <r>
      <rPr>
        <sz val="14"/>
        <rFont val="Arial"/>
        <family val="2"/>
      </rPr>
      <t xml:space="preserve"> including excavation, stacking the materials neatly and levelling </t>
    </r>
  </si>
  <si>
    <r>
      <rPr>
        <sz val="14"/>
        <rFont val="Arial"/>
        <family val="2"/>
      </rPr>
      <t xml:space="preserve">the area etc., complete </t>
    </r>
    <r>
      <rPr>
        <b/>
        <sz val="14"/>
        <rFont val="Arial"/>
        <family val="2"/>
      </rPr>
      <t>with initial lead upto 50 m and all lifts.</t>
    </r>
  </si>
  <si>
    <r>
      <rPr>
        <b/>
        <sz val="14"/>
        <rFont val="Arial"/>
        <family val="2"/>
      </rPr>
      <t>Cutting and removing jauliflora bushes above 1.5 m upto 3.0 m girth</t>
    </r>
    <r>
      <rPr>
        <sz val="14"/>
        <rFont val="Arial"/>
        <family val="2"/>
      </rPr>
      <t xml:space="preserve"> excluding </t>
    </r>
  </si>
  <si>
    <t xml:space="preserve">removal of stumps and including burning or disposing off the materials as directed </t>
  </si>
  <si>
    <r>
      <rPr>
        <b/>
        <sz val="14"/>
        <rFont val="Arial"/>
        <family val="2"/>
      </rPr>
      <t>Conducting geophysical investigation studies by electrical resistivity method</t>
    </r>
    <r>
      <rPr>
        <sz val="14"/>
        <rFont val="Arial"/>
        <family val="2"/>
      </rPr>
      <t xml:space="preserve"> in </t>
    </r>
  </si>
  <si>
    <t xml:space="preserve">stages of 5m for sub-surface details such as depth of formations, shear zones, classification </t>
  </si>
  <si>
    <t xml:space="preserve">of strata, depth of water table etc., including cost of all materials, equipments, labour, </t>
  </si>
  <si>
    <t xml:space="preserve">analysing and reporting the details of field studies conducted etc., complete excluding cost of </t>
  </si>
  <si>
    <t>transportation arrangements.</t>
  </si>
  <si>
    <r>
      <rPr>
        <b/>
        <sz val="14"/>
        <rFont val="Arial"/>
        <family val="2"/>
      </rPr>
      <t>Drilling 80 mm dia hole through over-burden using casing shoe bit</t>
    </r>
    <r>
      <rPr>
        <sz val="14"/>
        <rFont val="Arial"/>
        <family val="2"/>
      </rPr>
      <t xml:space="preserve"> vertical or inclined </t>
    </r>
  </si>
  <si>
    <t>upto 10 degrees to vertical as directed including cost of all materials, machinery, labour, water</t>
  </si>
  <si>
    <r>
      <t xml:space="preserve">1. For drilling in hard rock </t>
    </r>
    <r>
      <rPr>
        <sz val="14"/>
        <rFont val="Calibri"/>
        <family val="2"/>
      </rPr>
      <t>beyond 30 m upto 60 m</t>
    </r>
    <r>
      <rPr>
        <sz val="14"/>
        <rFont val="Arial"/>
        <family val="2"/>
      </rPr>
      <t xml:space="preserve"> from surface increase the basic </t>
    </r>
  </si>
  <si>
    <t>rate per Rm by 25 percent.</t>
  </si>
  <si>
    <t>2. For drilling in hard rock beyond 60 m upto 90 m from surface increase the basic</t>
  </si>
  <si>
    <t xml:space="preserve"> rate per Rm by 40 percent.</t>
  </si>
  <si>
    <r>
      <rPr>
        <b/>
        <sz val="14"/>
        <rFont val="Arial"/>
        <family val="2"/>
      </rPr>
      <t>Drilling 47 mm (BX )dia core hole in hard rock using diamond core bit</t>
    </r>
    <r>
      <rPr>
        <sz val="14"/>
        <rFont val="Arial"/>
        <family val="2"/>
      </rPr>
      <t xml:space="preserve"> vertical / inclined</t>
    </r>
  </si>
  <si>
    <t xml:space="preserve"> upto 10 degree to vertical as directed including cost of all materials, machinery, labour, water</t>
  </si>
  <si>
    <t xml:space="preserve">charges,collection of core samples,logging, lebelling, supplying honne wood core box </t>
  </si>
  <si>
    <t>depending on depth of drilling. For drilling upto 30 m from surface the rate of drilling</t>
  </si>
  <si>
    <t xml:space="preserve"> is assumed at 3 m per day for analysis.</t>
  </si>
  <si>
    <r>
      <t xml:space="preserve">1. For </t>
    </r>
    <r>
      <rPr>
        <sz val="14"/>
        <rFont val="Calibri"/>
        <family val="2"/>
      </rPr>
      <t>drilling</t>
    </r>
    <r>
      <rPr>
        <sz val="14"/>
        <rFont val="Arial"/>
        <family val="2"/>
      </rPr>
      <t xml:space="preserve"> in hard rock </t>
    </r>
    <r>
      <rPr>
        <sz val="14"/>
        <rFont val="Calibri"/>
        <family val="2"/>
      </rPr>
      <t>beyond 30 m upto 60 m</t>
    </r>
    <r>
      <rPr>
        <sz val="14"/>
        <rFont val="Arial"/>
        <family val="2"/>
      </rPr>
      <t xml:space="preserve"> from surface</t>
    </r>
    <r>
      <rPr>
        <sz val="14"/>
        <rFont val="Calibri"/>
        <family val="2"/>
      </rPr>
      <t xml:space="preserve"> increase</t>
    </r>
    <r>
      <rPr>
        <sz val="14"/>
        <rFont val="Arial"/>
        <family val="2"/>
      </rPr>
      <t xml:space="preserve"> the </t>
    </r>
  </si>
  <si>
    <r>
      <t xml:space="preserve">basic rate for drilling upto 30 m from surface by </t>
    </r>
    <r>
      <rPr>
        <sz val="14"/>
        <rFont val="Calibri"/>
        <family val="2"/>
      </rPr>
      <t>25 percent per Rm</t>
    </r>
    <r>
      <rPr>
        <sz val="14"/>
        <rFont val="Arial"/>
        <family val="2"/>
      </rPr>
      <t>.</t>
    </r>
  </si>
  <si>
    <r>
      <t xml:space="preserve">2. For </t>
    </r>
    <r>
      <rPr>
        <sz val="14"/>
        <rFont val="Calibri"/>
        <family val="2"/>
      </rPr>
      <t>drilling</t>
    </r>
    <r>
      <rPr>
        <sz val="14"/>
        <rFont val="Arial"/>
        <family val="2"/>
      </rPr>
      <t xml:space="preserve"> in hard rock</t>
    </r>
    <r>
      <rPr>
        <sz val="14"/>
        <rFont val="Calibri"/>
        <family val="2"/>
      </rPr>
      <t xml:space="preserve"> beyond 60 m upto 90 m</t>
    </r>
    <r>
      <rPr>
        <sz val="14"/>
        <rFont val="Arial"/>
        <family val="2"/>
      </rPr>
      <t xml:space="preserve"> from surface </t>
    </r>
    <r>
      <rPr>
        <sz val="14"/>
        <rFont val="Calibri"/>
        <family val="2"/>
      </rPr>
      <t>increase</t>
    </r>
    <r>
      <rPr>
        <sz val="14"/>
        <rFont val="Arial"/>
        <family val="2"/>
      </rPr>
      <t xml:space="preserve"> the basic </t>
    </r>
  </si>
  <si>
    <r>
      <t xml:space="preserve">rate for drilling upto 30 m from surface by </t>
    </r>
    <r>
      <rPr>
        <sz val="14"/>
        <rFont val="Calibri"/>
        <family val="2"/>
      </rPr>
      <t>40 percent per Rm</t>
    </r>
    <r>
      <rPr>
        <sz val="14"/>
        <rFont val="Arial"/>
        <family val="2"/>
      </rPr>
      <t>.</t>
    </r>
  </si>
  <si>
    <t xml:space="preserve">For providing 30 cm thick compacted murum bed in B.C soil area including </t>
  </si>
  <si>
    <t xml:space="preserve">additional excavation for thickness of murum bedding add per  </t>
  </si>
  <si>
    <r>
      <rPr>
        <b/>
        <sz val="14"/>
        <rFont val="Arial"/>
        <family val="2"/>
      </rPr>
      <t>Removing dry stone rock-toe / rivetment and filter layers below rock-toe/ rivetment</t>
    </r>
    <r>
      <rPr>
        <sz val="14"/>
        <rFont val="Arial"/>
        <family val="2"/>
      </rPr>
      <t xml:space="preserve"> </t>
    </r>
  </si>
  <si>
    <r>
      <t xml:space="preserve">including stacking all materials separately as directed </t>
    </r>
    <r>
      <rPr>
        <b/>
        <sz val="14"/>
        <rFont val="Arial"/>
        <family val="2"/>
      </rPr>
      <t>with initial lead upto 50 m and all lifts.</t>
    </r>
  </si>
  <si>
    <t xml:space="preserve">Re-constructing 60 cm thick hand packed rough stone revetment with through </t>
  </si>
  <si>
    <t xml:space="preserve">stones at 1.5 m c / c over a backing of 45 cm thick graded filter media consisting of sand, </t>
  </si>
  <si>
    <t xml:space="preserve">10 mm and 40 mm size graded aggregates satisfying filter criteria laid in layers of 15 cm thick </t>
  </si>
  <si>
    <t xml:space="preserve">each using sand from approved quarry and stones and filter aggregates obtained from </t>
  </si>
  <si>
    <t>revetment removed for re-construction including cost of all machinery, labour, laying filter and</t>
  </si>
  <si>
    <r>
      <t xml:space="preserve"> stones to specified slopes, wedging with chips, finishing etc. complete </t>
    </r>
    <r>
      <rPr>
        <b/>
        <sz val="14"/>
        <rFont val="Arial"/>
        <family val="2"/>
      </rPr>
      <t xml:space="preserve">with initial </t>
    </r>
  </si>
  <si>
    <r>
      <rPr>
        <b/>
        <sz val="14"/>
        <rFont val="Arial"/>
        <family val="2"/>
      </rPr>
      <t>Re-constructing dry rubble rock-toe and filter media for rock-toe</t>
    </r>
    <r>
      <rPr>
        <sz val="14"/>
        <rFont val="Arial"/>
        <family val="2"/>
      </rPr>
      <t xml:space="preserve"> consisting of </t>
    </r>
  </si>
  <si>
    <r>
      <t xml:space="preserve">sand 20 mm and </t>
    </r>
    <r>
      <rPr>
        <sz val="14"/>
        <rFont val="Calibri"/>
        <family val="2"/>
      </rPr>
      <t>80 mm</t>
    </r>
    <r>
      <rPr>
        <sz val="14"/>
        <rFont val="Arial"/>
        <family val="2"/>
      </rPr>
      <t xml:space="preserve"> size graded aggregates satisfying filter criteria laid in layers of 15 cm</t>
    </r>
  </si>
  <si>
    <t xml:space="preserve"> thick each using sand from approved quarry and stones and filter aggregates obtained from</t>
  </si>
  <si>
    <t xml:space="preserve">Removing and resetting disturbed Yarguntla / Shahabad / Talikot / PCC / Other types </t>
  </si>
  <si>
    <r>
      <rPr>
        <b/>
        <sz val="14"/>
        <rFont val="Arial"/>
        <family val="2"/>
      </rPr>
      <t xml:space="preserve">of slab </t>
    </r>
    <r>
      <rPr>
        <sz val="14"/>
        <rFont val="Arial"/>
        <family val="2"/>
      </rPr>
      <t xml:space="preserve">lining set in </t>
    </r>
    <r>
      <rPr>
        <b/>
        <sz val="14"/>
        <rFont val="Arial"/>
        <family val="2"/>
      </rPr>
      <t>CM 1 : 3</t>
    </r>
    <r>
      <rPr>
        <sz val="14"/>
        <rFont val="Arial"/>
        <family val="2"/>
      </rPr>
      <t xml:space="preserve"> including flush cement mortar pointing in CM 1 : 3 </t>
    </r>
    <r>
      <rPr>
        <b/>
        <sz val="14"/>
        <rFont val="Arial"/>
        <family val="2"/>
      </rPr>
      <t xml:space="preserve">with </t>
    </r>
  </si>
  <si>
    <t xml:space="preserve">Removing and resetting disturbed dry rubble / khandki stone pitching 25 to 45 cm </t>
  </si>
  <si>
    <r>
      <t xml:space="preserve">thick including packing, wedging, finishing etc., complete </t>
    </r>
    <r>
      <rPr>
        <b/>
        <sz val="14"/>
        <rFont val="Arial"/>
        <family val="2"/>
      </rPr>
      <t>with all leads and lifts.</t>
    </r>
  </si>
  <si>
    <r>
      <rPr>
        <b/>
        <sz val="14"/>
        <rFont val="Arial"/>
        <family val="2"/>
      </rPr>
      <t>Providing impervious hearting for breached / damaged portion of embankment</t>
    </r>
    <r>
      <rPr>
        <sz val="14"/>
        <rFont val="Arial"/>
        <family val="2"/>
      </rPr>
      <t xml:space="preserve"> </t>
    </r>
  </si>
  <si>
    <r>
      <t xml:space="preserve">with soil from </t>
    </r>
    <r>
      <rPr>
        <b/>
        <sz val="14"/>
        <rFont val="Arial"/>
        <family val="2"/>
      </rPr>
      <t>approved borrow areas</t>
    </r>
    <r>
      <rPr>
        <sz val="14"/>
        <rFont val="Arial"/>
        <family val="2"/>
      </rPr>
      <t xml:space="preserve"> in </t>
    </r>
    <r>
      <rPr>
        <b/>
        <sz val="14"/>
        <rFont val="Arial"/>
        <family val="2"/>
      </rPr>
      <t>layers of 10 to 15 cm</t>
    </r>
    <r>
      <rPr>
        <sz val="14"/>
        <rFont val="Arial"/>
        <family val="2"/>
      </rPr>
      <t xml:space="preserve"> before compaction including</t>
    </r>
  </si>
  <si>
    <t xml:space="preserve"> cost of all materials, machinery, labour, all operations such as collection of soil, sorting out, </t>
  </si>
  <si>
    <t xml:space="preserve">spreading soil to specified thickness, breaking clods, sectioning, watering, compacting each </t>
  </si>
  <si>
    <r>
      <t xml:space="preserve">layer to density control of </t>
    </r>
    <r>
      <rPr>
        <b/>
        <sz val="14"/>
        <rFont val="Arial"/>
        <family val="2"/>
      </rPr>
      <t>not less than 98 percent</t>
    </r>
    <r>
      <rPr>
        <sz val="14"/>
        <rFont val="Arial"/>
        <family val="2"/>
      </rPr>
      <t xml:space="preserve"> or as stipulated </t>
    </r>
    <r>
      <rPr>
        <b/>
        <sz val="14"/>
        <rFont val="Arial"/>
        <family val="2"/>
      </rPr>
      <t>by rolling or</t>
    </r>
  </si>
  <si>
    <t xml:space="preserve"> by using mechanical tampers etc., complete with initial lead upto 1 km and all lifts.</t>
  </si>
  <si>
    <t xml:space="preserve">Generally 10 to 12 passes of vibratory pad foot roller is adequate for achieving specified </t>
  </si>
  <si>
    <t>density control of 98 percent.</t>
  </si>
  <si>
    <t xml:space="preserve">Providing pervious/semi-pervious casing for breached / damaged portion of </t>
  </si>
  <si>
    <r>
      <rPr>
        <b/>
        <sz val="14"/>
        <rFont val="Arial"/>
        <family val="2"/>
      </rPr>
      <t>embankment</t>
    </r>
    <r>
      <rPr>
        <sz val="14"/>
        <rFont val="Arial"/>
        <family val="2"/>
      </rPr>
      <t xml:space="preserve"> with soil from </t>
    </r>
    <r>
      <rPr>
        <b/>
        <sz val="14"/>
        <rFont val="Arial"/>
        <family val="2"/>
      </rPr>
      <t>approved borrow areas</t>
    </r>
    <r>
      <rPr>
        <sz val="14"/>
        <rFont val="Arial"/>
        <family val="2"/>
      </rPr>
      <t xml:space="preserve"> in layers of </t>
    </r>
    <r>
      <rPr>
        <b/>
        <sz val="14"/>
        <rFont val="Arial"/>
        <family val="2"/>
      </rPr>
      <t>10 to 15 cm</t>
    </r>
    <r>
      <rPr>
        <sz val="14"/>
        <rFont val="Arial"/>
        <family val="2"/>
      </rPr>
      <t xml:space="preserve"> before </t>
    </r>
  </si>
  <si>
    <t xml:space="preserve">compaction including cost of all materials, machinery, labour, all operations such as collection </t>
  </si>
  <si>
    <t>of soil, sorting out, spreading soil to specified thickness, breaking clods, sectioning, watering,</t>
  </si>
  <si>
    <t xml:space="preserve"> compacting each layer to density control of not less than 98 percent or as stipulated by rolling</t>
  </si>
  <si>
    <r>
      <t xml:space="preserve"> or by using mechanical tampers etc., complete </t>
    </r>
    <r>
      <rPr>
        <b/>
        <sz val="14"/>
        <rFont val="Arial"/>
        <family val="2"/>
      </rPr>
      <t>with initial lead upto 1 km and all lifts.</t>
    </r>
  </si>
  <si>
    <r>
      <rPr>
        <b/>
        <sz val="14"/>
        <rFont val="Arial"/>
        <family val="2"/>
      </rPr>
      <t>Providing impervious hearting for breached / damaged portion of embankment</t>
    </r>
    <r>
      <rPr>
        <sz val="14"/>
        <rFont val="Arial"/>
        <family val="2"/>
      </rPr>
      <t xml:space="preserve"> with </t>
    </r>
  </si>
  <si>
    <r>
      <t xml:space="preserve">soil from </t>
    </r>
    <r>
      <rPr>
        <b/>
        <sz val="14"/>
        <rFont val="Arial"/>
        <family val="2"/>
      </rPr>
      <t>approved dump areas</t>
    </r>
    <r>
      <rPr>
        <sz val="14"/>
        <rFont val="Arial"/>
        <family val="2"/>
      </rPr>
      <t xml:space="preserve"> in </t>
    </r>
    <r>
      <rPr>
        <b/>
        <sz val="14"/>
        <rFont val="Arial"/>
        <family val="2"/>
      </rPr>
      <t>layers of 10 to 15 cm</t>
    </r>
    <r>
      <rPr>
        <sz val="14"/>
        <rFont val="Arial"/>
        <family val="2"/>
      </rPr>
      <t xml:space="preserve"> before compaction including cost </t>
    </r>
  </si>
  <si>
    <t xml:space="preserve">of all materials, machinery, labour, all operations such as collection of soil,sorting out, </t>
  </si>
  <si>
    <r>
      <t xml:space="preserve">layer to density control of </t>
    </r>
    <r>
      <rPr>
        <b/>
        <sz val="14"/>
        <rFont val="Arial"/>
        <family val="2"/>
      </rPr>
      <t>not less than 98 percent</t>
    </r>
    <r>
      <rPr>
        <sz val="14"/>
        <rFont val="Arial"/>
        <family val="2"/>
      </rPr>
      <t xml:space="preserve"> or as stipulated by </t>
    </r>
    <r>
      <rPr>
        <b/>
        <sz val="14"/>
        <rFont val="Arial"/>
        <family val="2"/>
      </rPr>
      <t xml:space="preserve">rolling or by using </t>
    </r>
  </si>
  <si>
    <t>mechanical tampers etc., complete with initial lead upto 1 km and all lifts.</t>
  </si>
  <si>
    <r>
      <rPr>
        <b/>
        <sz val="14"/>
        <rFont val="Arial"/>
        <family val="2"/>
      </rPr>
      <t>Repairing rain cuts / resectioning canal slopes to required lines and grades</t>
    </r>
    <r>
      <rPr>
        <sz val="14"/>
        <rFont val="Arial"/>
        <family val="2"/>
      </rPr>
      <t xml:space="preserve"> as directed </t>
    </r>
  </si>
  <si>
    <r>
      <t xml:space="preserve">using available soil including dressing, clod breaking, packing, tamping etc., </t>
    </r>
    <r>
      <rPr>
        <b/>
        <sz val="14"/>
        <rFont val="Arial"/>
        <family val="2"/>
      </rPr>
      <t xml:space="preserve">complete with </t>
    </r>
  </si>
  <si>
    <t xml:space="preserve">Cleaning dam parapet inner face and top using oxalic acid and water by scrubbing / </t>
  </si>
  <si>
    <r>
      <rPr>
        <b/>
        <sz val="14"/>
        <rFont val="Arial"/>
        <family val="2"/>
      </rPr>
      <t xml:space="preserve">brushing </t>
    </r>
    <r>
      <rPr>
        <sz val="14"/>
        <rFont val="Arial"/>
        <family val="2"/>
      </rPr>
      <t>and washing to remove all surface coatings etc., complete .</t>
    </r>
  </si>
  <si>
    <t>Cleaning gates / hoists / embedded parts for re-painting by removing rust, old paint,</t>
  </si>
  <si>
    <r>
      <rPr>
        <b/>
        <sz val="14"/>
        <rFont val="Arial"/>
        <family val="2"/>
      </rPr>
      <t xml:space="preserve"> grease </t>
    </r>
    <r>
      <rPr>
        <sz val="14"/>
        <rFont val="Arial"/>
        <family val="2"/>
      </rPr>
      <t xml:space="preserve">etc., </t>
    </r>
    <r>
      <rPr>
        <sz val="14"/>
        <rFont val="Calibri"/>
        <family val="2"/>
      </rPr>
      <t>by using wire brush</t>
    </r>
    <r>
      <rPr>
        <sz val="14"/>
        <rFont val="Arial"/>
        <family val="2"/>
      </rPr>
      <t>, scrubber, rust remover and applying a coat of rust inhibitive</t>
    </r>
  </si>
  <si>
    <t xml:space="preserve">Cleaning gates / hoists / embedded parts to expose fresh metal surface for repainting </t>
  </si>
  <si>
    <r>
      <rPr>
        <b/>
        <sz val="14"/>
        <rFont val="Arial"/>
        <family val="2"/>
      </rPr>
      <t>by sand blasting method</t>
    </r>
    <r>
      <rPr>
        <sz val="14"/>
        <rFont val="Arial"/>
        <family val="2"/>
      </rPr>
      <t xml:space="preserve"> as per specifications including cost of all materials, labour, </t>
    </r>
  </si>
  <si>
    <r>
      <t xml:space="preserve">machinery,scaffolding, applying a coat of rust inhibitive etc., complete with initial </t>
    </r>
    <r>
      <rPr>
        <sz val="14"/>
        <rFont val="Calibri"/>
        <family val="2"/>
      </rPr>
      <t>lead for sand upto</t>
    </r>
  </si>
  <si>
    <t>Data:</t>
  </si>
  <si>
    <r>
      <t>(</t>
    </r>
    <r>
      <rPr>
        <b/>
        <sz val="14"/>
        <rFont val="Arial"/>
        <family val="2"/>
      </rPr>
      <t>Manual</t>
    </r>
    <r>
      <rPr>
        <sz val="14"/>
        <rFont val="Arial"/>
        <family val="2"/>
      </rPr>
      <t xml:space="preserve">)Excavation </t>
    </r>
    <r>
      <rPr>
        <b/>
        <sz val="14"/>
        <rFont val="Arial"/>
        <family val="2"/>
      </rPr>
      <t>in all kinds of soil</t>
    </r>
    <r>
      <rPr>
        <sz val="14"/>
        <rFont val="Arial"/>
        <family val="2"/>
      </rPr>
      <t xml:space="preserve"> including boulders </t>
    </r>
    <r>
      <rPr>
        <b/>
        <sz val="14"/>
        <rFont val="Arial"/>
        <family val="2"/>
      </rPr>
      <t>upto 0.30 m dia.</t>
    </r>
    <r>
      <rPr>
        <sz val="14"/>
        <rFont val="Arial"/>
        <family val="2"/>
      </rPr>
      <t xml:space="preserve"> for</t>
    </r>
  </si>
  <si>
    <r>
      <t xml:space="preserve">off the same as directed etc., complete </t>
    </r>
    <r>
      <rPr>
        <b/>
        <sz val="14"/>
        <rFont val="Arial"/>
        <family val="2"/>
      </rPr>
      <t>with initial lead upto 10 m and</t>
    </r>
  </si>
  <si>
    <r>
      <t>(</t>
    </r>
    <r>
      <rPr>
        <b/>
        <sz val="14"/>
        <rFont val="Arial"/>
        <family val="2"/>
      </rPr>
      <t>Manual</t>
    </r>
    <r>
      <rPr>
        <sz val="14"/>
        <rFont val="Arial"/>
        <family val="2"/>
      </rPr>
      <t xml:space="preserve">)Excavation </t>
    </r>
    <r>
      <rPr>
        <b/>
        <sz val="14"/>
        <rFont val="Arial"/>
        <family val="2"/>
      </rPr>
      <t xml:space="preserve">in all kinds of soil/ </t>
    </r>
    <r>
      <rPr>
        <b/>
        <sz val="14"/>
        <color indexed="20"/>
        <rFont val="Calibri"/>
        <family val="2"/>
      </rPr>
      <t>HDR</t>
    </r>
    <r>
      <rPr>
        <sz val="14"/>
        <rFont val="Arial"/>
        <family val="2"/>
      </rPr>
      <t xml:space="preserve"> including boulders </t>
    </r>
    <r>
      <rPr>
        <b/>
        <sz val="14"/>
        <rFont val="Arial"/>
        <family val="2"/>
      </rPr>
      <t>upto 0.30 m dia.</t>
    </r>
    <r>
      <rPr>
        <sz val="14"/>
        <rFont val="Arial"/>
        <family val="2"/>
      </rPr>
      <t xml:space="preserve"> for</t>
    </r>
  </si>
  <si>
    <r>
      <t xml:space="preserve">off the same as directed etc., complete with </t>
    </r>
    <r>
      <rPr>
        <b/>
        <sz val="14"/>
        <rFont val="Arial"/>
        <family val="2"/>
      </rPr>
      <t>initial lead upto 10 m and</t>
    </r>
  </si>
  <si>
    <r>
      <t>(</t>
    </r>
    <r>
      <rPr>
        <b/>
        <sz val="14"/>
        <rFont val="Arial"/>
        <family val="2"/>
      </rPr>
      <t>Manua</t>
    </r>
    <r>
      <rPr>
        <sz val="14"/>
        <rFont val="Arial"/>
        <family val="2"/>
      </rPr>
      <t xml:space="preserve">l)Excavation in </t>
    </r>
    <r>
      <rPr>
        <b/>
        <sz val="14"/>
        <rFont val="Arial"/>
        <family val="2"/>
      </rPr>
      <t xml:space="preserve">soft rock (including </t>
    </r>
    <r>
      <rPr>
        <b/>
        <sz val="14"/>
        <color indexed="20"/>
        <rFont val="Calibri"/>
        <family val="2"/>
      </rPr>
      <t>F&amp;F)</t>
    </r>
    <r>
      <rPr>
        <b/>
        <sz val="14"/>
        <rFont val="Arial"/>
        <family val="2"/>
      </rPr>
      <t xml:space="preserve"> without blasting</t>
    </r>
    <r>
      <rPr>
        <sz val="14"/>
        <rFont val="Arial"/>
        <family val="2"/>
      </rPr>
      <t xml:space="preserve">, including boulders </t>
    </r>
    <r>
      <rPr>
        <b/>
        <sz val="14"/>
        <rFont val="Arial"/>
        <family val="2"/>
      </rPr>
      <t>upto 0.30 m dia.</t>
    </r>
    <r>
      <rPr>
        <sz val="14"/>
        <rFont val="Arial"/>
        <family val="2"/>
      </rPr>
      <t xml:space="preserve"> for</t>
    </r>
  </si>
  <si>
    <r>
      <t xml:space="preserve">off the same as directed etc., complete with initial </t>
    </r>
    <r>
      <rPr>
        <b/>
        <sz val="14"/>
        <rFont val="Arial"/>
        <family val="2"/>
      </rPr>
      <t>lead upto 10 m and</t>
    </r>
  </si>
  <si>
    <r>
      <t>(</t>
    </r>
    <r>
      <rPr>
        <b/>
        <sz val="14"/>
        <rFont val="Arial"/>
        <family val="2"/>
      </rPr>
      <t>Manual</t>
    </r>
    <r>
      <rPr>
        <sz val="14"/>
        <rFont val="Arial"/>
        <family val="2"/>
      </rPr>
      <t xml:space="preserve">)Excavation </t>
    </r>
    <r>
      <rPr>
        <b/>
        <sz val="14"/>
        <rFont val="Arial"/>
        <family val="2"/>
      </rPr>
      <t>in hard rock</t>
    </r>
    <r>
      <rPr>
        <sz val="14"/>
        <rFont val="Arial"/>
        <family val="2"/>
      </rPr>
      <t xml:space="preserve">, including boulders </t>
    </r>
    <r>
      <rPr>
        <b/>
        <sz val="14"/>
        <rFont val="Arial"/>
        <family val="2"/>
      </rPr>
      <t>upto 0.30 m dia</t>
    </r>
    <r>
      <rPr>
        <sz val="14"/>
        <rFont val="Arial"/>
        <family val="2"/>
      </rPr>
      <t>. for</t>
    </r>
  </si>
  <si>
    <t xml:space="preserve"> etc., complete with initial lead upto 1 km and all lifts.</t>
  </si>
  <si>
    <t>etc., complete with initial lead upto 1 km and all lifts.</t>
  </si>
  <si>
    <r>
      <rPr>
        <b/>
        <sz val="14"/>
        <rFont val="Arial"/>
        <family val="2"/>
      </rPr>
      <t>not less than 95 percent</t>
    </r>
    <r>
      <rPr>
        <sz val="14"/>
        <rFont val="Arial"/>
        <family val="2"/>
      </rPr>
      <t xml:space="preserve"> or as stipulated by </t>
    </r>
    <r>
      <rPr>
        <b/>
        <sz val="14"/>
        <rFont val="Arial"/>
        <family val="2"/>
      </rPr>
      <t xml:space="preserve">Sheep foot roller / Vibratory roller/ </t>
    </r>
  </si>
  <si>
    <t>8 to 10 tonne power roller    etc., complete with initial lead upto 1 km and all lifts.</t>
  </si>
  <si>
    <r>
      <rPr>
        <b/>
        <sz val="14"/>
        <rFont val="Arial"/>
        <family val="2"/>
      </rPr>
      <t>than 98 percent</t>
    </r>
    <r>
      <rPr>
        <sz val="14"/>
        <rFont val="Arial"/>
        <family val="2"/>
      </rPr>
      <t xml:space="preserve"> or as stipulated by </t>
    </r>
    <r>
      <rPr>
        <b/>
        <sz val="14"/>
        <rFont val="Arial"/>
        <family val="2"/>
      </rPr>
      <t>Sheep foot roller / Vibratory roller/ 8 to 10 tonne power roller</t>
    </r>
    <r>
      <rPr>
        <sz val="14"/>
        <rFont val="Arial"/>
        <family val="2"/>
      </rPr>
      <t xml:space="preserve">   </t>
    </r>
  </si>
  <si>
    <r>
      <rPr>
        <b/>
        <sz val="14"/>
        <rFont val="Arial"/>
        <family val="2"/>
      </rPr>
      <t>than 95 percent</t>
    </r>
    <r>
      <rPr>
        <sz val="14"/>
        <rFont val="Arial"/>
        <family val="2"/>
      </rPr>
      <t xml:space="preserve"> or as stipulated by </t>
    </r>
    <r>
      <rPr>
        <b/>
        <sz val="14"/>
        <rFont val="Arial"/>
        <family val="2"/>
      </rPr>
      <t xml:space="preserve">Sheep foot roller / Vibratory roller/ 8 to 10 tonne power roller </t>
    </r>
    <r>
      <rPr>
        <sz val="14"/>
        <rFont val="Arial"/>
        <family val="2"/>
      </rPr>
      <t xml:space="preserve"> </t>
    </r>
  </si>
  <si>
    <r>
      <t xml:space="preserve">control of </t>
    </r>
    <r>
      <rPr>
        <b/>
        <sz val="14"/>
        <rFont val="Arial"/>
        <family val="2"/>
      </rPr>
      <t>not less than 95 percent</t>
    </r>
    <r>
      <rPr>
        <sz val="14"/>
        <rFont val="Arial"/>
        <family val="2"/>
      </rPr>
      <t xml:space="preserve"> or as stipulated by </t>
    </r>
    <r>
      <rPr>
        <b/>
        <sz val="14"/>
        <rFont val="Arial"/>
        <family val="2"/>
      </rPr>
      <t>Sheep foot roller / Vibratory roller/</t>
    </r>
  </si>
  <si>
    <r>
      <t xml:space="preserve"> 8 to 10 tonne power roller   etc., complete with initial</t>
    </r>
    <r>
      <rPr>
        <b/>
        <sz val="14"/>
        <rFont val="Calibri"/>
        <family val="2"/>
      </rPr>
      <t xml:space="preserve"> lead upto 1 km and all lifts.</t>
    </r>
  </si>
  <si>
    <r>
      <t xml:space="preserve">control of </t>
    </r>
    <r>
      <rPr>
        <b/>
        <sz val="14"/>
        <rFont val="Arial"/>
        <family val="2"/>
      </rPr>
      <t>not less than 98 percent</t>
    </r>
    <r>
      <rPr>
        <sz val="14"/>
        <rFont val="Arial"/>
        <family val="2"/>
      </rPr>
      <t xml:space="preserve"> or as stipulated by </t>
    </r>
    <r>
      <rPr>
        <b/>
        <sz val="14"/>
        <rFont val="Arial"/>
        <family val="2"/>
      </rPr>
      <t xml:space="preserve">Sheep foot roller / Vibratory roller/ </t>
    </r>
  </si>
  <si>
    <r>
      <t xml:space="preserve">8 to 10 tonne power roller   etc., complete with initial </t>
    </r>
    <r>
      <rPr>
        <b/>
        <sz val="14"/>
        <rFont val="Calibri"/>
        <family val="2"/>
      </rPr>
      <t>lead upto 1 km and all lifts.</t>
    </r>
  </si>
  <si>
    <r>
      <t>control of</t>
    </r>
    <r>
      <rPr>
        <b/>
        <sz val="14"/>
        <rFont val="Arial"/>
        <family val="2"/>
      </rPr>
      <t xml:space="preserve"> not less than 95 percent</t>
    </r>
    <r>
      <rPr>
        <sz val="14"/>
        <rFont val="Arial"/>
        <family val="2"/>
      </rPr>
      <t xml:space="preserve"> or as stipulated by </t>
    </r>
    <r>
      <rPr>
        <b/>
        <sz val="14"/>
        <rFont val="Arial"/>
        <family val="2"/>
      </rPr>
      <t xml:space="preserve">Sheep foot roller / Vibratory roller/ </t>
    </r>
  </si>
  <si>
    <r>
      <t xml:space="preserve"> 8 to 10 tonne power roller   etc., complete </t>
    </r>
    <r>
      <rPr>
        <b/>
        <sz val="14"/>
        <rFont val="Arial"/>
        <family val="2"/>
      </rPr>
      <t>with initial l</t>
    </r>
    <r>
      <rPr>
        <b/>
        <sz val="14"/>
        <rFont val="Calibri"/>
        <family val="2"/>
      </rPr>
      <t>ead upto 1 km and all lifts.</t>
    </r>
  </si>
  <si>
    <r>
      <t xml:space="preserve">8 to 10 tonne power roller   etc.,complete with initial </t>
    </r>
    <r>
      <rPr>
        <b/>
        <sz val="14"/>
        <rFont val="Calibri"/>
        <family val="2"/>
      </rPr>
      <t>lead upto 1 km and all lifts.</t>
    </r>
  </si>
  <si>
    <r>
      <t xml:space="preserve">control of </t>
    </r>
    <r>
      <rPr>
        <b/>
        <sz val="14"/>
        <rFont val="Arial"/>
        <family val="2"/>
      </rPr>
      <t>not less than 95 percent</t>
    </r>
    <r>
      <rPr>
        <sz val="14"/>
        <rFont val="Arial"/>
        <family val="2"/>
      </rPr>
      <t xml:space="preserve"> or as stipulated by </t>
    </r>
    <r>
      <rPr>
        <b/>
        <sz val="14"/>
        <rFont val="Arial"/>
        <family val="2"/>
      </rPr>
      <t xml:space="preserve">Sheep foot roller / Vibratory roller/ </t>
    </r>
  </si>
  <si>
    <t>8 to 10 tonne power roller   etc.,complete with initial lead upto 1 km and all lifts.</t>
  </si>
  <si>
    <r>
      <rPr>
        <b/>
        <sz val="14"/>
        <rFont val="Arial"/>
        <family val="2"/>
      </rPr>
      <t>not less than 98 percent</t>
    </r>
    <r>
      <rPr>
        <sz val="14"/>
        <rFont val="Arial"/>
        <family val="2"/>
      </rPr>
      <t xml:space="preserve"> or as stipulated by </t>
    </r>
    <r>
      <rPr>
        <b/>
        <sz val="14"/>
        <rFont val="Arial"/>
        <family val="2"/>
      </rPr>
      <t xml:space="preserve">Sheep foot roller / Vibratory roller/ </t>
    </r>
  </si>
  <si>
    <t>8 to 10 tonne power roller   etc., complete with initial lead upto 1 km and all lifts.</t>
  </si>
  <si>
    <r>
      <rPr>
        <b/>
        <sz val="14"/>
        <rFont val="Arial"/>
        <family val="2"/>
      </rPr>
      <t>than 98 percent</t>
    </r>
    <r>
      <rPr>
        <sz val="14"/>
        <rFont val="Arial"/>
        <family val="2"/>
      </rPr>
      <t xml:space="preserve"> or as stipulated by </t>
    </r>
    <r>
      <rPr>
        <b/>
        <sz val="14"/>
        <rFont val="Arial"/>
        <family val="2"/>
      </rPr>
      <t xml:space="preserve">Sheep foot roller / Vibratory roller/ </t>
    </r>
  </si>
  <si>
    <t>8 to 10 tonne power roller   etc., complete with lead upto 1 km for water.</t>
  </si>
  <si>
    <r>
      <rPr>
        <b/>
        <sz val="14"/>
        <rFont val="Arial"/>
        <family val="2"/>
      </rPr>
      <t>than 95 percent</t>
    </r>
    <r>
      <rPr>
        <sz val="14"/>
        <rFont val="Arial"/>
        <family val="2"/>
      </rPr>
      <t xml:space="preserve"> or as stipulated by </t>
    </r>
    <r>
      <rPr>
        <b/>
        <sz val="14"/>
        <rFont val="Arial"/>
        <family val="2"/>
      </rPr>
      <t xml:space="preserve">Sheep foot roller / Vibratory roller/ </t>
    </r>
  </si>
  <si>
    <r>
      <t xml:space="preserve">to density control of </t>
    </r>
    <r>
      <rPr>
        <b/>
        <sz val="14"/>
        <rFont val="Arial"/>
        <family val="2"/>
      </rPr>
      <t>not less than 98 percent</t>
    </r>
    <r>
      <rPr>
        <sz val="14"/>
        <rFont val="Arial"/>
        <family val="2"/>
      </rPr>
      <t xml:space="preserve"> or as stipulated by </t>
    </r>
    <r>
      <rPr>
        <b/>
        <sz val="14"/>
        <rFont val="Arial"/>
        <family val="2"/>
      </rPr>
      <t xml:space="preserve">Sheep foot roller / Vibratory roller/ </t>
    </r>
  </si>
  <si>
    <r>
      <t>8 to 10 tonne power roller   etc., complete with</t>
    </r>
    <r>
      <rPr>
        <b/>
        <sz val="14"/>
        <rFont val="Calibri"/>
        <family val="2"/>
      </rPr>
      <t xml:space="preserve"> lead upto 1 km for water.</t>
    </r>
  </si>
  <si>
    <r>
      <t xml:space="preserve">to density control of </t>
    </r>
    <r>
      <rPr>
        <b/>
        <sz val="14"/>
        <rFont val="Arial"/>
        <family val="2"/>
      </rPr>
      <t>not less than 95 percent</t>
    </r>
    <r>
      <rPr>
        <sz val="14"/>
        <rFont val="Arial"/>
        <family val="2"/>
      </rPr>
      <t xml:space="preserve"> or as stipulated by </t>
    </r>
    <r>
      <rPr>
        <b/>
        <sz val="14"/>
        <rFont val="Arial"/>
        <family val="2"/>
      </rPr>
      <t xml:space="preserve">Sheep foot roller / Vibratory roller/ </t>
    </r>
  </si>
  <si>
    <r>
      <t xml:space="preserve">8 to 10 tonne power roller  etc., complete with </t>
    </r>
    <r>
      <rPr>
        <b/>
        <sz val="14"/>
        <rFont val="Calibri"/>
        <family val="2"/>
      </rPr>
      <t>lead upto 1 km for water.</t>
    </r>
  </si>
  <si>
    <r>
      <t xml:space="preserve">watering to density control of </t>
    </r>
    <r>
      <rPr>
        <b/>
        <sz val="14"/>
        <rFont val="Arial"/>
        <family val="2"/>
      </rPr>
      <t>not less than 95 percent</t>
    </r>
    <r>
      <rPr>
        <sz val="14"/>
        <rFont val="Arial"/>
        <family val="2"/>
      </rPr>
      <t xml:space="preserve"> or as stipulated by </t>
    </r>
    <r>
      <rPr>
        <b/>
        <sz val="14"/>
        <rFont val="Arial"/>
        <family val="2"/>
      </rPr>
      <t xml:space="preserve">Sheep foot roller / </t>
    </r>
  </si>
  <si>
    <t>Vibratory roller/ 8 to 10 tonne power roller   etc., complete.</t>
  </si>
  <si>
    <t>8 to 10 tonne power roller  etc., complete with initial lead upto 1 km and all lifts.</t>
  </si>
  <si>
    <t>Generally 10 to 12 passes of Vibratory Roller is adequate for achieving specified density</t>
  </si>
  <si>
    <t>Vibratory Roller 8 tonne</t>
  </si>
  <si>
    <t>Generally about 8 to 10 passes of Vibratory Roller is adequate for achieving required</t>
  </si>
  <si>
    <t>Generally 8 to 10 passes of Vibratory Roller is adequate for achieving specified density</t>
  </si>
  <si>
    <r>
      <t xml:space="preserve">control of </t>
    </r>
    <r>
      <rPr>
        <b/>
        <sz val="14"/>
        <rFont val="Arial"/>
        <family val="2"/>
      </rPr>
      <t>not less than 95 percent</t>
    </r>
    <r>
      <rPr>
        <sz val="14"/>
        <rFont val="Arial"/>
        <family val="2"/>
      </rPr>
      <t xml:space="preserve"> or as stipulated using </t>
    </r>
    <r>
      <rPr>
        <b/>
        <sz val="14"/>
        <rFont val="Arial"/>
        <family val="2"/>
      </rPr>
      <t xml:space="preserve">Sheep foot roller / </t>
    </r>
  </si>
  <si>
    <r>
      <t xml:space="preserve">Vibratory roller/ 8 to 10 tonne power roller  etc., complete </t>
    </r>
    <r>
      <rPr>
        <b/>
        <sz val="14"/>
        <rFont val="Calibri"/>
        <family val="2"/>
      </rPr>
      <t>with initial lead upto 1 km and all lifts.</t>
    </r>
  </si>
  <si>
    <r>
      <rPr>
        <b/>
        <sz val="14"/>
        <rFont val="Arial"/>
        <family val="2"/>
      </rPr>
      <t>less than 95 percent</t>
    </r>
    <r>
      <rPr>
        <sz val="14"/>
        <rFont val="Arial"/>
        <family val="2"/>
      </rPr>
      <t xml:space="preserve"> using </t>
    </r>
    <r>
      <rPr>
        <b/>
        <sz val="14"/>
        <rFont val="Arial"/>
        <family val="2"/>
      </rPr>
      <t>Sheep foot roller / Vibratory roller/ 8 to 10 tonne power roller</t>
    </r>
    <r>
      <rPr>
        <sz val="14"/>
        <rFont val="Arial"/>
        <family val="2"/>
      </rPr>
      <t xml:space="preserve">   as stipulated etc., </t>
    </r>
  </si>
  <si>
    <r>
      <t xml:space="preserve">control of </t>
    </r>
    <r>
      <rPr>
        <b/>
        <sz val="14"/>
        <rFont val="Arial"/>
        <family val="2"/>
      </rPr>
      <t>not less than 95 percent</t>
    </r>
    <r>
      <rPr>
        <sz val="14"/>
        <rFont val="Arial"/>
        <family val="2"/>
      </rPr>
      <t xml:space="preserve"> using </t>
    </r>
    <r>
      <rPr>
        <b/>
        <sz val="14"/>
        <rFont val="Arial"/>
        <family val="2"/>
      </rPr>
      <t>Sheep foot roller / Vibratory roller/ 8 to 10 tonne power roller</t>
    </r>
    <r>
      <rPr>
        <sz val="14"/>
        <rFont val="Arial"/>
        <family val="2"/>
      </rPr>
      <t xml:space="preserve">   as </t>
    </r>
  </si>
  <si>
    <r>
      <rPr>
        <b/>
        <sz val="14"/>
        <rFont val="Arial"/>
        <family val="2"/>
      </rPr>
      <t>95 percent</t>
    </r>
    <r>
      <rPr>
        <sz val="14"/>
        <rFont val="Arial"/>
        <family val="2"/>
      </rPr>
      <t xml:space="preserve"> or as stipulated using </t>
    </r>
    <r>
      <rPr>
        <b/>
        <sz val="14"/>
        <rFont val="Arial"/>
        <family val="2"/>
      </rPr>
      <t>Sheep foot roller / Vibratory roller/ 8 to 10 tonne power roller</t>
    </r>
    <r>
      <rPr>
        <sz val="14"/>
        <rFont val="Arial"/>
        <family val="2"/>
      </rPr>
      <t xml:space="preserve">  etc., complete </t>
    </r>
  </si>
  <si>
    <t xml:space="preserve">Generally 8 to 10 passes of Vibratory Roller may be necessary to </t>
  </si>
  <si>
    <r>
      <rPr>
        <b/>
        <sz val="14"/>
        <rFont val="Arial"/>
        <family val="2"/>
      </rPr>
      <t xml:space="preserve">Providing </t>
    </r>
    <r>
      <rPr>
        <b/>
        <sz val="14"/>
        <rFont val="Cambria"/>
        <family val="1"/>
      </rPr>
      <t>hearting</t>
    </r>
    <r>
      <rPr>
        <b/>
        <sz val="14"/>
        <rFont val="Arial"/>
        <family val="2"/>
      </rPr>
      <t xml:space="preserve"> embankment</t>
    </r>
    <r>
      <rPr>
        <sz val="14"/>
        <rFont val="Arial"/>
        <family val="2"/>
      </rPr>
      <t xml:space="preserve"> using selected impervious soil from </t>
    </r>
    <r>
      <rPr>
        <b/>
        <sz val="14"/>
        <rFont val="Cambria"/>
        <family val="1"/>
      </rPr>
      <t>approved borrow areas</t>
    </r>
    <r>
      <rPr>
        <sz val="14"/>
        <rFont val="Cambria"/>
        <family val="1"/>
      </rPr>
      <t xml:space="preserve"> </t>
    </r>
    <r>
      <rPr>
        <sz val="14"/>
        <rFont val="Arial"/>
        <family val="2"/>
      </rPr>
      <t xml:space="preserve">in layers of </t>
    </r>
    <r>
      <rPr>
        <b/>
        <sz val="14"/>
        <rFont val="Cambria"/>
        <family val="1"/>
      </rPr>
      <t>25 to 30 cm</t>
    </r>
    <r>
      <rPr>
        <sz val="14"/>
        <rFont val="Arial"/>
        <family val="2"/>
      </rPr>
      <t xml:space="preserve"> before compaction including cost of all materials, machinery, labour, all operations such as excavation, sorting out, transportation, spreading soil in layer of specified thickness, breaking clods, sectioning, watering, compacting to density control of </t>
    </r>
    <r>
      <rPr>
        <sz val="14"/>
        <rFont val="Cambria"/>
        <family val="1"/>
      </rPr>
      <t xml:space="preserve">not </t>
    </r>
    <r>
      <rPr>
        <b/>
        <sz val="14"/>
        <rFont val="Cambria"/>
        <family val="1"/>
      </rPr>
      <t xml:space="preserve">less than 95 percent </t>
    </r>
    <r>
      <rPr>
        <sz val="14"/>
        <rFont val="Arial"/>
        <family val="2"/>
      </rPr>
      <t xml:space="preserve">or as stipulated using </t>
    </r>
    <r>
      <rPr>
        <b/>
        <sz val="14"/>
        <rFont val="Cambria"/>
        <family val="1"/>
      </rPr>
      <t xml:space="preserve">Sheep foot roller / Vibratory roller/ 8 to 10 tonne power roller  </t>
    </r>
    <r>
      <rPr>
        <sz val="14"/>
        <rFont val="Cambria"/>
        <family val="1"/>
      </rPr>
      <t xml:space="preserve"> </t>
    </r>
    <r>
      <rPr>
        <sz val="14"/>
        <rFont val="Arial"/>
        <family val="2"/>
      </rPr>
      <t>etc.,</t>
    </r>
    <r>
      <rPr>
        <b/>
        <sz val="14"/>
        <rFont val="Arial"/>
        <family val="2"/>
      </rPr>
      <t xml:space="preserve"> </t>
    </r>
    <r>
      <rPr>
        <b/>
        <sz val="14"/>
        <rFont val="Cambria"/>
        <family val="1"/>
      </rPr>
      <t>complete with</t>
    </r>
    <r>
      <rPr>
        <b/>
        <sz val="14"/>
        <rFont val="Arial"/>
        <family val="2"/>
      </rPr>
      <t xml:space="preserve"> </t>
    </r>
    <r>
      <rPr>
        <b/>
        <sz val="14"/>
        <rFont val="Cambria"/>
        <family val="1"/>
      </rPr>
      <t>initial lead upto 1 km and all lifts.</t>
    </r>
  </si>
  <si>
    <r>
      <t xml:space="preserve">Providing </t>
    </r>
    <r>
      <rPr>
        <b/>
        <sz val="14"/>
        <rFont val="Cambria"/>
        <family val="1"/>
      </rPr>
      <t>cut-off trench filling</t>
    </r>
    <r>
      <rPr>
        <sz val="14"/>
        <rFont val="Arial"/>
        <family val="2"/>
      </rPr>
      <t xml:space="preserve"> using </t>
    </r>
    <r>
      <rPr>
        <b/>
        <sz val="14"/>
        <rFont val="Arial"/>
        <family val="2"/>
      </rPr>
      <t>selected impervious soil</t>
    </r>
    <r>
      <rPr>
        <sz val="14"/>
        <rFont val="Arial"/>
        <family val="2"/>
      </rPr>
      <t xml:space="preserve"> from </t>
    </r>
    <r>
      <rPr>
        <b/>
        <sz val="14"/>
        <rFont val="Cambria"/>
        <family val="1"/>
      </rPr>
      <t>approved borrow  areas</t>
    </r>
    <r>
      <rPr>
        <sz val="14"/>
        <rFont val="Cambria"/>
        <family val="1"/>
      </rPr>
      <t xml:space="preserve"> </t>
    </r>
    <r>
      <rPr>
        <sz val="14"/>
        <rFont val="Arial"/>
        <family val="2"/>
      </rPr>
      <t xml:space="preserve">in layers of </t>
    </r>
    <r>
      <rPr>
        <b/>
        <sz val="14"/>
        <rFont val="Cambria"/>
        <family val="1"/>
      </rPr>
      <t>25 to 30 cm</t>
    </r>
    <r>
      <rPr>
        <sz val="14"/>
        <rFont val="Cambria"/>
        <family val="1"/>
      </rPr>
      <t xml:space="preserve"> </t>
    </r>
    <r>
      <rPr>
        <sz val="14"/>
        <rFont val="Arial"/>
        <family val="2"/>
      </rPr>
      <t xml:space="preserve">before compaction including cost of all materials, machinery, labour, all operations such as excavation, sorting out, transportation, spreading soil to specified thickness, breaking clods, sectioning, watering, compacting to density control of </t>
    </r>
    <r>
      <rPr>
        <b/>
        <sz val="14"/>
        <rFont val="Cambria"/>
        <family val="1"/>
      </rPr>
      <t>not</t>
    </r>
    <r>
      <rPr>
        <sz val="14"/>
        <rFont val="Cambria"/>
        <family val="1"/>
      </rPr>
      <t xml:space="preserve"> </t>
    </r>
    <r>
      <rPr>
        <b/>
        <sz val="14"/>
        <rFont val="Cambria"/>
        <family val="1"/>
      </rPr>
      <t>less than 95 percent</t>
    </r>
    <r>
      <rPr>
        <sz val="14"/>
        <rFont val="Cambria"/>
        <family val="1"/>
      </rPr>
      <t xml:space="preserve"> </t>
    </r>
    <r>
      <rPr>
        <sz val="14"/>
        <rFont val="Arial"/>
        <family val="2"/>
      </rPr>
      <t xml:space="preserve">using </t>
    </r>
    <r>
      <rPr>
        <b/>
        <sz val="14"/>
        <rFont val="Cambria"/>
        <family val="1"/>
      </rPr>
      <t xml:space="preserve">Sheep foot roller / Vibratory roller/ 8 to 10 tonne power roller   </t>
    </r>
    <r>
      <rPr>
        <sz val="14"/>
        <rFont val="Arial"/>
        <family val="2"/>
      </rPr>
      <t xml:space="preserve">as stipulated etc., complete </t>
    </r>
    <r>
      <rPr>
        <sz val="14"/>
        <rFont val="Cambria"/>
        <family val="1"/>
      </rPr>
      <t xml:space="preserve">with </t>
    </r>
    <r>
      <rPr>
        <b/>
        <sz val="14"/>
        <rFont val="Cambria"/>
        <family val="1"/>
      </rPr>
      <t>initial lead upto 1 km and all lifts.</t>
    </r>
  </si>
  <si>
    <r>
      <t xml:space="preserve">Providing </t>
    </r>
    <r>
      <rPr>
        <b/>
        <sz val="14"/>
        <rFont val="Cambria"/>
        <family val="1"/>
      </rPr>
      <t>casing</t>
    </r>
    <r>
      <rPr>
        <b/>
        <sz val="14"/>
        <rFont val="Arial"/>
        <family val="2"/>
      </rPr>
      <t xml:space="preserve"> embankment</t>
    </r>
    <r>
      <rPr>
        <sz val="14"/>
        <rFont val="Arial"/>
        <family val="2"/>
      </rPr>
      <t xml:space="preserve"> </t>
    </r>
    <r>
      <rPr>
        <sz val="14"/>
        <rFont val="Cambria"/>
        <family val="1"/>
      </rPr>
      <t xml:space="preserve">using </t>
    </r>
    <r>
      <rPr>
        <b/>
        <sz val="14"/>
        <rFont val="Cambria"/>
        <family val="1"/>
      </rPr>
      <t>semi-pervious soil</t>
    </r>
    <r>
      <rPr>
        <sz val="14"/>
        <rFont val="Cambria"/>
        <family val="1"/>
      </rPr>
      <t xml:space="preserve"> from </t>
    </r>
    <r>
      <rPr>
        <b/>
        <sz val="14"/>
        <rFont val="Cambria"/>
        <family val="1"/>
      </rPr>
      <t>approved borrow areas</t>
    </r>
    <r>
      <rPr>
        <sz val="14"/>
        <rFont val="Arial"/>
        <family val="2"/>
      </rPr>
      <t xml:space="preserve"> in layers of </t>
    </r>
    <r>
      <rPr>
        <b/>
        <sz val="14"/>
        <rFont val="Cambria"/>
        <family val="1"/>
      </rPr>
      <t>25 to 30 cm</t>
    </r>
    <r>
      <rPr>
        <sz val="14"/>
        <rFont val="Cambria"/>
        <family val="1"/>
      </rPr>
      <t xml:space="preserve"> </t>
    </r>
    <r>
      <rPr>
        <sz val="14"/>
        <rFont val="Arial"/>
        <family val="2"/>
      </rPr>
      <t xml:space="preserve">before compaction including cost of all materials, machinery, labour, all other operations such as excavation, sorting out, transportation, spreading soil in layers of specified thickness, breaking clods, sectioning, watering, compacting to density control of </t>
    </r>
    <r>
      <rPr>
        <b/>
        <sz val="14"/>
        <rFont val="Arial"/>
        <family val="2"/>
      </rPr>
      <t xml:space="preserve">not less than </t>
    </r>
    <r>
      <rPr>
        <b/>
        <sz val="14"/>
        <rFont val="Cambria"/>
        <family val="1"/>
      </rPr>
      <t>95 percent</t>
    </r>
    <r>
      <rPr>
        <sz val="14"/>
        <rFont val="Cambria"/>
        <family val="1"/>
      </rPr>
      <t xml:space="preserve"> </t>
    </r>
    <r>
      <rPr>
        <sz val="14"/>
        <rFont val="Arial"/>
        <family val="2"/>
      </rPr>
      <t xml:space="preserve">using </t>
    </r>
    <r>
      <rPr>
        <b/>
        <sz val="14"/>
        <rFont val="Cambria"/>
        <family val="1"/>
      </rPr>
      <t xml:space="preserve">Sheep foot roller / Vibratory roller/ 8 to 10 tonne power roller  </t>
    </r>
    <r>
      <rPr>
        <sz val="14"/>
        <rFont val="Cambria"/>
        <family val="1"/>
      </rPr>
      <t xml:space="preserve"> </t>
    </r>
    <r>
      <rPr>
        <sz val="14"/>
        <rFont val="Arial"/>
        <family val="2"/>
      </rPr>
      <t xml:space="preserve">as stipulated etc., complete with </t>
    </r>
    <r>
      <rPr>
        <b/>
        <sz val="14"/>
        <rFont val="Cambria"/>
        <family val="1"/>
      </rPr>
      <t>initial lead upto 1 km and all lifts.</t>
    </r>
  </si>
  <si>
    <r>
      <t xml:space="preserve">Providing </t>
    </r>
    <r>
      <rPr>
        <b/>
        <sz val="14"/>
        <rFont val="Cambria"/>
        <family val="1"/>
      </rPr>
      <t>casing</t>
    </r>
    <r>
      <rPr>
        <b/>
        <sz val="14"/>
        <rFont val="Arial"/>
        <family val="2"/>
      </rPr>
      <t xml:space="preserve"> embankment</t>
    </r>
    <r>
      <rPr>
        <sz val="14"/>
        <rFont val="Arial"/>
        <family val="2"/>
      </rPr>
      <t xml:space="preserve"> </t>
    </r>
    <r>
      <rPr>
        <sz val="14"/>
        <rFont val="Cambria"/>
        <family val="1"/>
      </rPr>
      <t xml:space="preserve">using </t>
    </r>
    <r>
      <rPr>
        <b/>
        <sz val="14"/>
        <rFont val="Cambria"/>
        <family val="1"/>
      </rPr>
      <t>semi-pervious soil</t>
    </r>
    <r>
      <rPr>
        <sz val="14"/>
        <rFont val="Cambria"/>
        <family val="1"/>
      </rPr>
      <t xml:space="preserve"> </t>
    </r>
    <r>
      <rPr>
        <b/>
        <sz val="14"/>
        <rFont val="Cambria"/>
        <family val="1"/>
      </rPr>
      <t>available from excavation</t>
    </r>
    <r>
      <rPr>
        <sz val="14"/>
        <rFont val="Arial"/>
        <family val="2"/>
      </rPr>
      <t xml:space="preserve"> in layers of</t>
    </r>
    <r>
      <rPr>
        <sz val="14"/>
        <rFont val="Cambria"/>
        <family val="1"/>
      </rPr>
      <t xml:space="preserve"> </t>
    </r>
    <r>
      <rPr>
        <b/>
        <sz val="14"/>
        <rFont val="Cambria"/>
        <family val="1"/>
      </rPr>
      <t>25 to 30 cm</t>
    </r>
    <r>
      <rPr>
        <sz val="14"/>
        <rFont val="Cambria"/>
        <family val="1"/>
      </rPr>
      <t xml:space="preserve"> </t>
    </r>
    <r>
      <rPr>
        <sz val="14"/>
        <rFont val="Arial"/>
        <family val="2"/>
      </rPr>
      <t xml:space="preserve">before compaction including cost of all materials, machinery, labour, all other operations such as re-excavation, sorting out, transportation, spreading in layers of specified thickness, breaking clods, sectioning, watering, compacting to specified density control of </t>
    </r>
    <r>
      <rPr>
        <b/>
        <sz val="14"/>
        <rFont val="Cambria"/>
        <family val="1"/>
      </rPr>
      <t>not less than 95 percent</t>
    </r>
    <r>
      <rPr>
        <sz val="14"/>
        <rFont val="Cambria"/>
        <family val="1"/>
      </rPr>
      <t xml:space="preserve"> </t>
    </r>
    <r>
      <rPr>
        <sz val="14"/>
        <rFont val="Arial"/>
        <family val="2"/>
      </rPr>
      <t xml:space="preserve">using </t>
    </r>
    <r>
      <rPr>
        <b/>
        <sz val="14"/>
        <rFont val="Cambria"/>
        <family val="1"/>
      </rPr>
      <t xml:space="preserve">Sheep foot roller / Vibratory roller/ 8 to 10 tonne power roller   </t>
    </r>
    <r>
      <rPr>
        <b/>
        <sz val="14"/>
        <rFont val="Arial"/>
        <family val="2"/>
      </rPr>
      <t xml:space="preserve">as stipulated etc., complete </t>
    </r>
    <r>
      <rPr>
        <b/>
        <sz val="14"/>
        <rFont val="Cambria"/>
        <family val="1"/>
      </rPr>
      <t>with initial lead upto 1 km and all lifts.</t>
    </r>
  </si>
  <si>
    <r>
      <t xml:space="preserve">Providing </t>
    </r>
    <r>
      <rPr>
        <b/>
        <sz val="14"/>
        <rFont val="Cambria"/>
        <family val="1"/>
      </rPr>
      <t>homogeneous</t>
    </r>
    <r>
      <rPr>
        <b/>
        <sz val="14"/>
        <rFont val="Arial"/>
        <family val="2"/>
      </rPr>
      <t xml:space="preserve"> embankment</t>
    </r>
    <r>
      <rPr>
        <sz val="14"/>
        <rFont val="Arial"/>
        <family val="2"/>
      </rPr>
      <t xml:space="preserve"> </t>
    </r>
    <r>
      <rPr>
        <sz val="14"/>
        <rFont val="Cambria"/>
        <family val="1"/>
      </rPr>
      <t xml:space="preserve">using soil </t>
    </r>
    <r>
      <rPr>
        <b/>
        <sz val="14"/>
        <rFont val="Cambria"/>
        <family val="1"/>
      </rPr>
      <t>from approved borrow area</t>
    </r>
    <r>
      <rPr>
        <sz val="14"/>
        <rFont val="Cambria"/>
        <family val="1"/>
      </rPr>
      <t xml:space="preserve"> </t>
    </r>
    <r>
      <rPr>
        <sz val="14"/>
        <rFont val="Arial"/>
        <family val="2"/>
      </rPr>
      <t xml:space="preserve">in layers of </t>
    </r>
    <r>
      <rPr>
        <b/>
        <sz val="14"/>
        <rFont val="Cambria"/>
        <family val="1"/>
      </rPr>
      <t>25 to 30 cm</t>
    </r>
    <r>
      <rPr>
        <sz val="14"/>
        <rFont val="Cambria"/>
        <family val="1"/>
      </rPr>
      <t xml:space="preserve"> </t>
    </r>
    <r>
      <rPr>
        <sz val="14"/>
        <rFont val="Arial"/>
        <family val="2"/>
      </rPr>
      <t xml:space="preserve">before compaction including cost of all materials, machinery, labour, all operations such as excavation, sorting out, transportation, spreading soil in layer of specified thickness, breaking clods, sectioning, watering, compacting to density control of </t>
    </r>
    <r>
      <rPr>
        <b/>
        <sz val="14"/>
        <rFont val="Arial"/>
        <family val="2"/>
      </rPr>
      <t xml:space="preserve">not less than </t>
    </r>
    <r>
      <rPr>
        <b/>
        <sz val="14"/>
        <rFont val="Cambria"/>
        <family val="1"/>
      </rPr>
      <t>95 percent</t>
    </r>
    <r>
      <rPr>
        <sz val="14"/>
        <rFont val="Cambria"/>
        <family val="1"/>
      </rPr>
      <t xml:space="preserve"> </t>
    </r>
    <r>
      <rPr>
        <sz val="14"/>
        <rFont val="Arial"/>
        <family val="2"/>
      </rPr>
      <t xml:space="preserve">or as stipulated using </t>
    </r>
    <r>
      <rPr>
        <b/>
        <sz val="14"/>
        <rFont val="Cambria"/>
        <family val="1"/>
      </rPr>
      <t xml:space="preserve">Sheep foot roller / Vibratory roller/ 8 to 10 tonne power roller  </t>
    </r>
    <r>
      <rPr>
        <sz val="14"/>
        <rFont val="Cambria"/>
        <family val="1"/>
      </rPr>
      <t xml:space="preserve"> </t>
    </r>
    <r>
      <rPr>
        <sz val="14"/>
        <rFont val="Arial"/>
        <family val="2"/>
      </rPr>
      <t xml:space="preserve">etc., </t>
    </r>
    <r>
      <rPr>
        <b/>
        <sz val="14"/>
        <rFont val="Arial"/>
        <family val="2"/>
      </rPr>
      <t xml:space="preserve">complete with </t>
    </r>
    <r>
      <rPr>
        <b/>
        <sz val="14"/>
        <rFont val="Cambria"/>
        <family val="1"/>
      </rPr>
      <t>initial lead upto 1 km and all lifts.</t>
    </r>
  </si>
  <si>
    <r>
      <t xml:space="preserve">Providing </t>
    </r>
    <r>
      <rPr>
        <b/>
        <sz val="14"/>
        <rFont val="Cambria"/>
        <family val="1"/>
      </rPr>
      <t>impervious hearting</t>
    </r>
    <r>
      <rPr>
        <b/>
        <sz val="14"/>
        <rFont val="Arial"/>
        <family val="2"/>
      </rPr>
      <t xml:space="preserve"> embankment</t>
    </r>
    <r>
      <rPr>
        <sz val="14"/>
        <rFont val="Arial"/>
        <family val="2"/>
      </rPr>
      <t xml:space="preserve"> with selected soil from </t>
    </r>
    <r>
      <rPr>
        <b/>
        <sz val="14"/>
        <rFont val="Cambria"/>
        <family val="1"/>
      </rPr>
      <t>approved borrow areas</t>
    </r>
    <r>
      <rPr>
        <sz val="14"/>
        <rFont val="Cambria"/>
        <family val="1"/>
      </rPr>
      <t xml:space="preserve"> in </t>
    </r>
    <r>
      <rPr>
        <b/>
        <sz val="14"/>
        <rFont val="Cambria"/>
        <family val="1"/>
      </rPr>
      <t>layers of 25  cm</t>
    </r>
    <r>
      <rPr>
        <sz val="14"/>
        <rFont val="Cambria"/>
        <family val="1"/>
      </rPr>
      <t xml:space="preserve"> </t>
    </r>
    <r>
      <rPr>
        <sz val="14"/>
        <rFont val="Arial"/>
        <family val="2"/>
      </rPr>
      <t xml:space="preserve">before compaction including cost of all materials, machinery, labour, all operations such as excavation, sorting out, transporting, spreading in layer of specified thickness, breaking clods, sectioning, </t>
    </r>
    <r>
      <rPr>
        <b/>
        <sz val="14"/>
        <rFont val="Arial"/>
        <family val="2"/>
      </rPr>
      <t>watering</t>
    </r>
    <r>
      <rPr>
        <sz val="14"/>
        <rFont val="Arial"/>
        <family val="2"/>
      </rPr>
      <t xml:space="preserve">, compacting each layer to density control of </t>
    </r>
    <r>
      <rPr>
        <b/>
        <sz val="14"/>
        <rFont val="Arial"/>
        <family val="2"/>
      </rPr>
      <t xml:space="preserve">not less than </t>
    </r>
    <r>
      <rPr>
        <b/>
        <sz val="14"/>
        <rFont val="Cambria"/>
        <family val="1"/>
      </rPr>
      <t>98 percent</t>
    </r>
    <r>
      <rPr>
        <sz val="14"/>
        <rFont val="Cambria"/>
        <family val="1"/>
      </rPr>
      <t xml:space="preserve"> </t>
    </r>
    <r>
      <rPr>
        <sz val="14"/>
        <rFont val="Arial"/>
        <family val="2"/>
      </rPr>
      <t xml:space="preserve">or as stipulated by </t>
    </r>
    <r>
      <rPr>
        <b/>
        <sz val="14"/>
        <rFont val="Cambria"/>
        <family val="1"/>
      </rPr>
      <t xml:space="preserve">Sheep foot roller / Vibratory roller/ 8 to 10 tonne power roller  </t>
    </r>
    <r>
      <rPr>
        <sz val="14"/>
        <rFont val="Arial"/>
        <family val="2"/>
      </rPr>
      <t xml:space="preserve"> etc., complete </t>
    </r>
    <r>
      <rPr>
        <b/>
        <sz val="14"/>
        <rFont val="Cambria"/>
        <family val="1"/>
      </rPr>
      <t>with initial lead upto 1 km and all lifts.</t>
    </r>
  </si>
  <si>
    <r>
      <t xml:space="preserve">Providing </t>
    </r>
    <r>
      <rPr>
        <b/>
        <sz val="14"/>
        <rFont val="Cambria"/>
        <family val="1"/>
      </rPr>
      <t>impervious hearting</t>
    </r>
    <r>
      <rPr>
        <b/>
        <sz val="14"/>
        <rFont val="Arial"/>
        <family val="2"/>
      </rPr>
      <t xml:space="preserve"> embankment</t>
    </r>
    <r>
      <rPr>
        <sz val="14"/>
        <rFont val="Arial"/>
        <family val="2"/>
      </rPr>
      <t xml:space="preserve"> with selected soil from </t>
    </r>
    <r>
      <rPr>
        <b/>
        <sz val="14"/>
        <rFont val="Arial"/>
        <family val="2"/>
      </rPr>
      <t>approved borrow areas</t>
    </r>
    <r>
      <rPr>
        <sz val="14"/>
        <rFont val="Arial"/>
        <family val="2"/>
      </rPr>
      <t xml:space="preserve"> in </t>
    </r>
    <r>
      <rPr>
        <b/>
        <sz val="14"/>
        <rFont val="Arial"/>
        <family val="2"/>
      </rPr>
      <t>layers of</t>
    </r>
    <r>
      <rPr>
        <b/>
        <sz val="14"/>
        <rFont val="Cambria"/>
        <family val="1"/>
      </rPr>
      <t xml:space="preserve"> 25 cm</t>
    </r>
    <r>
      <rPr>
        <sz val="14"/>
        <rFont val="Cambria"/>
        <family val="1"/>
      </rPr>
      <t xml:space="preserve"> </t>
    </r>
    <r>
      <rPr>
        <sz val="14"/>
        <rFont val="Arial"/>
        <family val="2"/>
      </rPr>
      <t xml:space="preserve">before compaction including cost of all materials, machinery, labour, all operations such as excavation, sorting out, transporting, spreading in layer of specified thickness, breaking clods, sectioning, </t>
    </r>
    <r>
      <rPr>
        <b/>
        <sz val="14"/>
        <rFont val="Arial"/>
        <family val="2"/>
      </rPr>
      <t>watering</t>
    </r>
    <r>
      <rPr>
        <sz val="14"/>
        <rFont val="Arial"/>
        <family val="2"/>
      </rPr>
      <t xml:space="preserve">, compacting each layer to density control of </t>
    </r>
    <r>
      <rPr>
        <b/>
        <sz val="14"/>
        <rFont val="Cambria"/>
        <family val="1"/>
      </rPr>
      <t>not less than 95 percent</t>
    </r>
    <r>
      <rPr>
        <sz val="14"/>
        <rFont val="Cambria"/>
        <family val="1"/>
      </rPr>
      <t xml:space="preserve"> </t>
    </r>
    <r>
      <rPr>
        <sz val="14"/>
        <rFont val="Arial"/>
        <family val="2"/>
      </rPr>
      <t xml:space="preserve">or as stipulated by </t>
    </r>
    <r>
      <rPr>
        <b/>
        <sz val="14"/>
        <rFont val="Cambria"/>
        <family val="1"/>
      </rPr>
      <t xml:space="preserve">Sheep foot roller / Vibratory roller/ 8 to 10 tonne power roller  </t>
    </r>
    <r>
      <rPr>
        <sz val="14"/>
        <rFont val="Cambria"/>
        <family val="1"/>
      </rPr>
      <t xml:space="preserve"> </t>
    </r>
    <r>
      <rPr>
        <sz val="14"/>
        <rFont val="Arial"/>
        <family val="2"/>
      </rPr>
      <t xml:space="preserve">etc., complete </t>
    </r>
    <r>
      <rPr>
        <b/>
        <sz val="14"/>
        <rFont val="Cambria"/>
        <family val="1"/>
      </rPr>
      <t>with initial lead upto 1 km and all lifts.</t>
    </r>
  </si>
  <si>
    <r>
      <t xml:space="preserve">Providing </t>
    </r>
    <r>
      <rPr>
        <b/>
        <sz val="14"/>
        <rFont val="Cambria"/>
        <family val="1"/>
      </rPr>
      <t>semi-pervious / pervious casing</t>
    </r>
    <r>
      <rPr>
        <b/>
        <sz val="14"/>
        <rFont val="Arial"/>
        <family val="2"/>
      </rPr>
      <t xml:space="preserve"> embankment</t>
    </r>
    <r>
      <rPr>
        <sz val="14"/>
        <rFont val="Arial"/>
        <family val="2"/>
      </rPr>
      <t xml:space="preserve"> using soil from </t>
    </r>
    <r>
      <rPr>
        <b/>
        <sz val="14"/>
        <rFont val="Arial"/>
        <family val="2"/>
      </rPr>
      <t>approved borrow area</t>
    </r>
    <r>
      <rPr>
        <sz val="14"/>
        <rFont val="Arial"/>
        <family val="2"/>
      </rPr>
      <t xml:space="preserve"> in </t>
    </r>
    <r>
      <rPr>
        <b/>
        <sz val="14"/>
        <rFont val="Arial"/>
        <family val="2"/>
      </rPr>
      <t xml:space="preserve">layers of </t>
    </r>
    <r>
      <rPr>
        <b/>
        <sz val="14"/>
        <rFont val="Cambria"/>
        <family val="1"/>
      </rPr>
      <t>25 cm</t>
    </r>
    <r>
      <rPr>
        <sz val="14"/>
        <rFont val="Cambria"/>
        <family val="1"/>
      </rPr>
      <t xml:space="preserve"> </t>
    </r>
    <r>
      <rPr>
        <sz val="14"/>
        <rFont val="Arial"/>
        <family val="2"/>
      </rPr>
      <t xml:space="preserve">before compaction including cost of all materials, machinery, labour, all operations such as excavation, sortingout, transporting, spreading in layer of specified thickness, breaking clods, sectioning, </t>
    </r>
    <r>
      <rPr>
        <b/>
        <sz val="14"/>
        <rFont val="Arial"/>
        <family val="2"/>
      </rPr>
      <t>watering</t>
    </r>
    <r>
      <rPr>
        <sz val="14"/>
        <rFont val="Arial"/>
        <family val="2"/>
      </rPr>
      <t xml:space="preserve">, compacting to density control of </t>
    </r>
    <r>
      <rPr>
        <b/>
        <sz val="14"/>
        <rFont val="Cambria"/>
        <family val="1"/>
      </rPr>
      <t>not less than 98 percent</t>
    </r>
    <r>
      <rPr>
        <sz val="14"/>
        <rFont val="Cambria"/>
        <family val="1"/>
      </rPr>
      <t xml:space="preserve"> </t>
    </r>
    <r>
      <rPr>
        <sz val="14"/>
        <rFont val="Arial"/>
        <family val="2"/>
      </rPr>
      <t xml:space="preserve">or as stipulated by </t>
    </r>
    <r>
      <rPr>
        <b/>
        <sz val="14"/>
        <rFont val="Cambria"/>
        <family val="1"/>
      </rPr>
      <t xml:space="preserve">Sheep foot roller / Vibratory roller/ 8 to 10 tonne power roller  </t>
    </r>
    <r>
      <rPr>
        <sz val="14"/>
        <rFont val="Cambria"/>
        <family val="1"/>
      </rPr>
      <t xml:space="preserve"> </t>
    </r>
    <r>
      <rPr>
        <sz val="14"/>
        <rFont val="Arial"/>
        <family val="2"/>
      </rPr>
      <t xml:space="preserve">etc., complete </t>
    </r>
    <r>
      <rPr>
        <b/>
        <sz val="14"/>
        <rFont val="Arial"/>
        <family val="2"/>
      </rPr>
      <t xml:space="preserve">with </t>
    </r>
    <r>
      <rPr>
        <b/>
        <sz val="14"/>
        <rFont val="Cambria"/>
        <family val="1"/>
      </rPr>
      <t>initial lead upto 1 km and all lifts.</t>
    </r>
  </si>
  <si>
    <r>
      <t xml:space="preserve">Providing </t>
    </r>
    <r>
      <rPr>
        <b/>
        <sz val="14"/>
        <rFont val="Cambria"/>
        <family val="1"/>
      </rPr>
      <t>semi-pervious / pervious casing</t>
    </r>
    <r>
      <rPr>
        <b/>
        <sz val="14"/>
        <rFont val="Arial"/>
        <family val="2"/>
      </rPr>
      <t xml:space="preserve"> embankment</t>
    </r>
    <r>
      <rPr>
        <sz val="14"/>
        <rFont val="Arial"/>
        <family val="2"/>
      </rPr>
      <t xml:space="preserve"> using soil from </t>
    </r>
    <r>
      <rPr>
        <b/>
        <sz val="14"/>
        <rFont val="Arial"/>
        <family val="2"/>
      </rPr>
      <t>approved borrow area</t>
    </r>
    <r>
      <rPr>
        <sz val="14"/>
        <rFont val="Arial"/>
        <family val="2"/>
      </rPr>
      <t xml:space="preserve"> in </t>
    </r>
    <r>
      <rPr>
        <b/>
        <sz val="14"/>
        <rFont val="Arial"/>
        <family val="2"/>
      </rPr>
      <t xml:space="preserve">layers of </t>
    </r>
    <r>
      <rPr>
        <b/>
        <sz val="14"/>
        <rFont val="Cambria"/>
        <family val="1"/>
      </rPr>
      <t>25cm</t>
    </r>
    <r>
      <rPr>
        <sz val="14"/>
        <rFont val="Cambria"/>
        <family val="1"/>
      </rPr>
      <t xml:space="preserve"> </t>
    </r>
    <r>
      <rPr>
        <sz val="14"/>
        <rFont val="Arial"/>
        <family val="2"/>
      </rPr>
      <t xml:space="preserve">before compaction including cost of all materials, machinery, labour, all operations such as excavation, sortingout, transporting, spreading in layer of specified thickness, breaking clods, sectioning, </t>
    </r>
    <r>
      <rPr>
        <b/>
        <sz val="14"/>
        <rFont val="Arial"/>
        <family val="2"/>
      </rPr>
      <t>watering</t>
    </r>
    <r>
      <rPr>
        <sz val="14"/>
        <rFont val="Arial"/>
        <family val="2"/>
      </rPr>
      <t xml:space="preserve">, compacting to density control of </t>
    </r>
    <r>
      <rPr>
        <b/>
        <sz val="14"/>
        <rFont val="Cambria"/>
        <family val="1"/>
      </rPr>
      <t>not less than 95 percent</t>
    </r>
    <r>
      <rPr>
        <sz val="14"/>
        <rFont val="Cambria"/>
        <family val="1"/>
      </rPr>
      <t xml:space="preserve"> </t>
    </r>
    <r>
      <rPr>
        <sz val="14"/>
        <rFont val="Arial"/>
        <family val="2"/>
      </rPr>
      <t xml:space="preserve">or as stipulated by </t>
    </r>
    <r>
      <rPr>
        <b/>
        <sz val="14"/>
        <rFont val="Cambria"/>
        <family val="1"/>
      </rPr>
      <t xml:space="preserve">Sheep foot roller / Vibratory roller/ 8 to 10 tonne power roller  </t>
    </r>
    <r>
      <rPr>
        <sz val="14"/>
        <rFont val="Cambria"/>
        <family val="1"/>
      </rPr>
      <t xml:space="preserve"> </t>
    </r>
    <r>
      <rPr>
        <sz val="14"/>
        <rFont val="Arial"/>
        <family val="2"/>
      </rPr>
      <t xml:space="preserve">etc., complete </t>
    </r>
    <r>
      <rPr>
        <b/>
        <sz val="14"/>
        <rFont val="Arial"/>
        <family val="2"/>
      </rPr>
      <t xml:space="preserve">with </t>
    </r>
    <r>
      <rPr>
        <b/>
        <sz val="14"/>
        <rFont val="Cambria"/>
        <family val="1"/>
      </rPr>
      <t>initial lead upto 1 km and all lifts.</t>
    </r>
  </si>
  <si>
    <r>
      <t xml:space="preserve">Providing </t>
    </r>
    <r>
      <rPr>
        <b/>
        <sz val="14"/>
        <rFont val="Cambria"/>
        <family val="1"/>
      </rPr>
      <t>semi-pervious / pervious casing</t>
    </r>
    <r>
      <rPr>
        <b/>
        <sz val="14"/>
        <rFont val="Arial"/>
        <family val="2"/>
      </rPr>
      <t xml:space="preserve"> embankment</t>
    </r>
    <r>
      <rPr>
        <sz val="14"/>
        <rFont val="Arial"/>
        <family val="2"/>
      </rPr>
      <t xml:space="preserve"> using soil from </t>
    </r>
    <r>
      <rPr>
        <b/>
        <sz val="14"/>
        <rFont val="Arial"/>
        <family val="2"/>
      </rPr>
      <t>approved borrow area</t>
    </r>
    <r>
      <rPr>
        <sz val="14"/>
        <rFont val="Arial"/>
        <family val="2"/>
      </rPr>
      <t xml:space="preserve"> in </t>
    </r>
    <r>
      <rPr>
        <b/>
        <sz val="14"/>
        <rFont val="Arial"/>
        <family val="2"/>
      </rPr>
      <t xml:space="preserve">layers of </t>
    </r>
    <r>
      <rPr>
        <b/>
        <sz val="14"/>
        <rFont val="Cambria"/>
        <family val="1"/>
      </rPr>
      <t>25cm</t>
    </r>
    <r>
      <rPr>
        <sz val="14"/>
        <rFont val="Cambria"/>
        <family val="1"/>
      </rPr>
      <t xml:space="preserve"> </t>
    </r>
    <r>
      <rPr>
        <sz val="14"/>
        <rFont val="Arial"/>
        <family val="2"/>
      </rPr>
      <t xml:space="preserve">before compaction including cost of all materials, machinery, labour, all operations such as excavation, sortingout, transporting, spreading in layer of specified thickness, breaking clods, sectioning, compacting each layer </t>
    </r>
    <r>
      <rPr>
        <b/>
        <sz val="14"/>
        <rFont val="Cambria"/>
        <family val="1"/>
      </rPr>
      <t>without watering</t>
    </r>
    <r>
      <rPr>
        <sz val="14"/>
        <rFont val="Arial"/>
        <family val="2"/>
      </rPr>
      <t xml:space="preserve"> to density control of </t>
    </r>
    <r>
      <rPr>
        <b/>
        <sz val="14"/>
        <rFont val="Cambria"/>
        <family val="1"/>
      </rPr>
      <t>not less than 95 percent</t>
    </r>
    <r>
      <rPr>
        <sz val="14"/>
        <rFont val="Cambria"/>
        <family val="1"/>
      </rPr>
      <t xml:space="preserve"> </t>
    </r>
    <r>
      <rPr>
        <sz val="14"/>
        <rFont val="Arial"/>
        <family val="2"/>
      </rPr>
      <t xml:space="preserve">or as stipulated by </t>
    </r>
    <r>
      <rPr>
        <b/>
        <sz val="14"/>
        <rFont val="Cambria"/>
        <family val="1"/>
      </rPr>
      <t xml:space="preserve">Sheep foot roller / Vibratory roller/ 8 to 10 tonne power roller  </t>
    </r>
    <r>
      <rPr>
        <sz val="14"/>
        <rFont val="Cambria"/>
        <family val="1"/>
      </rPr>
      <t xml:space="preserve"> </t>
    </r>
    <r>
      <rPr>
        <sz val="14"/>
        <rFont val="Arial"/>
        <family val="2"/>
      </rPr>
      <t xml:space="preserve">etc., complete </t>
    </r>
    <r>
      <rPr>
        <b/>
        <sz val="14"/>
        <rFont val="Arial"/>
        <family val="2"/>
      </rPr>
      <t xml:space="preserve">with </t>
    </r>
    <r>
      <rPr>
        <b/>
        <sz val="14"/>
        <rFont val="Cambria"/>
        <family val="1"/>
      </rPr>
      <t>initial lead upto 1 km and all lifts.</t>
    </r>
  </si>
  <si>
    <r>
      <t xml:space="preserve">Providing </t>
    </r>
    <r>
      <rPr>
        <b/>
        <sz val="14"/>
        <rFont val="Cambria"/>
        <family val="1"/>
      </rPr>
      <t>hearting / casing embankment</t>
    </r>
    <r>
      <rPr>
        <b/>
        <sz val="14"/>
        <rFont val="Arial"/>
        <family val="2"/>
      </rPr>
      <t xml:space="preserve"> with </t>
    </r>
    <r>
      <rPr>
        <b/>
        <sz val="14"/>
        <rFont val="Cambria"/>
        <family val="1"/>
      </rPr>
      <t>homogeneous soil</t>
    </r>
    <r>
      <rPr>
        <sz val="14"/>
        <rFont val="Cambria"/>
        <family val="1"/>
      </rPr>
      <t xml:space="preserve"> </t>
    </r>
    <r>
      <rPr>
        <sz val="14"/>
        <rFont val="Arial"/>
        <family val="2"/>
      </rPr>
      <t xml:space="preserve">from </t>
    </r>
    <r>
      <rPr>
        <b/>
        <sz val="14"/>
        <rFont val="Cambria"/>
        <family val="1"/>
      </rPr>
      <t>approved borrow areas</t>
    </r>
    <r>
      <rPr>
        <sz val="14"/>
        <rFont val="Cambria"/>
        <family val="1"/>
      </rPr>
      <t xml:space="preserve"> </t>
    </r>
    <r>
      <rPr>
        <sz val="14"/>
        <rFont val="Arial"/>
        <family val="2"/>
      </rPr>
      <t xml:space="preserve">in </t>
    </r>
    <r>
      <rPr>
        <b/>
        <sz val="14"/>
        <rFont val="Arial"/>
        <family val="2"/>
      </rPr>
      <t xml:space="preserve">layers of </t>
    </r>
    <r>
      <rPr>
        <b/>
        <sz val="14"/>
        <rFont val="Cambria"/>
        <family val="1"/>
      </rPr>
      <t>25 cm</t>
    </r>
    <r>
      <rPr>
        <sz val="14"/>
        <rFont val="Cambria"/>
        <family val="1"/>
      </rPr>
      <t xml:space="preserve"> </t>
    </r>
    <r>
      <rPr>
        <sz val="14"/>
        <rFont val="Arial"/>
        <family val="2"/>
      </rPr>
      <t xml:space="preserve">before compaction including cost of all materials, machinery, labour, all operations such as excavation, sorting out, transporting, spreading in layer of specified thickness, breaking clods, sectioning, </t>
    </r>
    <r>
      <rPr>
        <b/>
        <sz val="14"/>
        <rFont val="Arial"/>
        <family val="2"/>
      </rPr>
      <t>watering</t>
    </r>
    <r>
      <rPr>
        <sz val="14"/>
        <rFont val="Arial"/>
        <family val="2"/>
      </rPr>
      <t xml:space="preserve">, compacting each layer to density control of </t>
    </r>
    <r>
      <rPr>
        <b/>
        <sz val="14"/>
        <rFont val="Cambria"/>
        <family val="1"/>
      </rPr>
      <t>not less than 98 percent</t>
    </r>
    <r>
      <rPr>
        <sz val="14"/>
        <rFont val="Cambria"/>
        <family val="1"/>
      </rPr>
      <t xml:space="preserve"> </t>
    </r>
    <r>
      <rPr>
        <sz val="14"/>
        <rFont val="Arial"/>
        <family val="2"/>
      </rPr>
      <t xml:space="preserve">or as stipulated by </t>
    </r>
    <r>
      <rPr>
        <b/>
        <sz val="14"/>
        <rFont val="Cambria"/>
        <family val="1"/>
      </rPr>
      <t xml:space="preserve">Sheep foot roller / Vibratory roller/ 8 to 10 tonne power roller  </t>
    </r>
    <r>
      <rPr>
        <sz val="14"/>
        <rFont val="Cambria"/>
        <family val="1"/>
      </rPr>
      <t xml:space="preserve"> etc., complete </t>
    </r>
    <r>
      <rPr>
        <b/>
        <sz val="14"/>
        <rFont val="Cambria"/>
        <family val="1"/>
      </rPr>
      <t>with initial lead upto 1 km and all lifts.</t>
    </r>
  </si>
  <si>
    <r>
      <t xml:space="preserve">Providing </t>
    </r>
    <r>
      <rPr>
        <b/>
        <sz val="14"/>
        <rFont val="Cambria"/>
        <family val="1"/>
      </rPr>
      <t>hearting / casing embankment</t>
    </r>
    <r>
      <rPr>
        <b/>
        <sz val="14"/>
        <rFont val="Arial"/>
        <family val="2"/>
      </rPr>
      <t xml:space="preserve"> with </t>
    </r>
    <r>
      <rPr>
        <b/>
        <sz val="14"/>
        <rFont val="Cambria"/>
        <family val="1"/>
      </rPr>
      <t>homogeneous soil</t>
    </r>
    <r>
      <rPr>
        <sz val="14"/>
        <rFont val="Cambria"/>
        <family val="1"/>
      </rPr>
      <t xml:space="preserve"> </t>
    </r>
    <r>
      <rPr>
        <sz val="14"/>
        <rFont val="Arial"/>
        <family val="2"/>
      </rPr>
      <t xml:space="preserve">from </t>
    </r>
    <r>
      <rPr>
        <b/>
        <sz val="14"/>
        <rFont val="Cambria"/>
        <family val="1"/>
      </rPr>
      <t>approved borrow areas</t>
    </r>
    <r>
      <rPr>
        <sz val="14"/>
        <rFont val="Cambria"/>
        <family val="1"/>
      </rPr>
      <t xml:space="preserve"> in </t>
    </r>
    <r>
      <rPr>
        <b/>
        <sz val="14"/>
        <rFont val="Cambria"/>
        <family val="1"/>
      </rPr>
      <t>layers of 25 cm</t>
    </r>
    <r>
      <rPr>
        <sz val="14"/>
        <rFont val="Cambria"/>
        <family val="1"/>
      </rPr>
      <t xml:space="preserve"> </t>
    </r>
    <r>
      <rPr>
        <sz val="14"/>
        <rFont val="Arial"/>
        <family val="2"/>
      </rPr>
      <t xml:space="preserve">before compaction including cost of all materials, machinery, labour, all operations such as excavation, sorting out, transporting, spreading in layer of specified thickness, breaking clods, sectioning, </t>
    </r>
    <r>
      <rPr>
        <b/>
        <sz val="14"/>
        <rFont val="Arial"/>
        <family val="2"/>
      </rPr>
      <t>watering</t>
    </r>
    <r>
      <rPr>
        <sz val="14"/>
        <rFont val="Arial"/>
        <family val="2"/>
      </rPr>
      <t xml:space="preserve">, compacting each layer to density control of </t>
    </r>
    <r>
      <rPr>
        <b/>
        <sz val="14"/>
        <rFont val="Cambria"/>
        <family val="1"/>
      </rPr>
      <t>not less than 95 percent</t>
    </r>
    <r>
      <rPr>
        <sz val="14"/>
        <rFont val="Cambria"/>
        <family val="1"/>
      </rPr>
      <t xml:space="preserve"> </t>
    </r>
    <r>
      <rPr>
        <sz val="14"/>
        <rFont val="Arial"/>
        <family val="2"/>
      </rPr>
      <t xml:space="preserve">or as stipulated by </t>
    </r>
    <r>
      <rPr>
        <b/>
        <sz val="14"/>
        <rFont val="Cambria"/>
        <family val="1"/>
      </rPr>
      <t xml:space="preserve">Sheep foot roller / Vibratory roller/ 8 to 10 tonne power roller  </t>
    </r>
    <r>
      <rPr>
        <sz val="14"/>
        <rFont val="Cambria"/>
        <family val="1"/>
      </rPr>
      <t xml:space="preserve"> etc., complete </t>
    </r>
    <r>
      <rPr>
        <b/>
        <sz val="14"/>
        <rFont val="Cambria"/>
        <family val="1"/>
      </rPr>
      <t>with initial lead upto 1 km and all lifts.</t>
    </r>
  </si>
  <si>
    <r>
      <t xml:space="preserve">Providing </t>
    </r>
    <r>
      <rPr>
        <b/>
        <sz val="14"/>
        <rFont val="Arial"/>
        <family val="2"/>
      </rPr>
      <t xml:space="preserve">casing embankment using </t>
    </r>
    <r>
      <rPr>
        <b/>
        <sz val="14"/>
        <rFont val="Cambria"/>
        <family val="1"/>
      </rPr>
      <t>homogeneous soil</t>
    </r>
    <r>
      <rPr>
        <sz val="14"/>
        <rFont val="Cambria"/>
        <family val="1"/>
      </rPr>
      <t xml:space="preserve"> from </t>
    </r>
    <r>
      <rPr>
        <b/>
        <sz val="14"/>
        <rFont val="Cambria"/>
        <family val="1"/>
      </rPr>
      <t>approved borrow area</t>
    </r>
    <r>
      <rPr>
        <sz val="14"/>
        <rFont val="Cambria"/>
        <family val="1"/>
      </rPr>
      <t xml:space="preserve"> in </t>
    </r>
    <r>
      <rPr>
        <b/>
        <sz val="14"/>
        <rFont val="Cambria"/>
        <family val="1"/>
      </rPr>
      <t>layers of 25  cm</t>
    </r>
    <r>
      <rPr>
        <sz val="14"/>
        <rFont val="Cambria"/>
        <family val="1"/>
      </rPr>
      <t xml:space="preserve"> before compaction </t>
    </r>
    <r>
      <rPr>
        <sz val="14"/>
        <rFont val="Arial"/>
        <family val="2"/>
      </rPr>
      <t xml:space="preserve">including cost of all materials, machinery, labour, all operations such as excavation, sortingout, transporting, spreading in layer of specified thickness, breaking clods, sectioning, compacting each layer </t>
    </r>
    <r>
      <rPr>
        <b/>
        <sz val="14"/>
        <rFont val="Cambria"/>
        <family val="1"/>
      </rPr>
      <t>without watering</t>
    </r>
    <r>
      <rPr>
        <sz val="14"/>
        <rFont val="Cambria"/>
        <family val="1"/>
      </rPr>
      <t xml:space="preserve"> </t>
    </r>
    <r>
      <rPr>
        <sz val="14"/>
        <rFont val="Arial"/>
        <family val="2"/>
      </rPr>
      <t xml:space="preserve">to density control of </t>
    </r>
    <r>
      <rPr>
        <b/>
        <sz val="14"/>
        <rFont val="Cambria"/>
        <family val="1"/>
      </rPr>
      <t>not less than 95 percent</t>
    </r>
    <r>
      <rPr>
        <sz val="14"/>
        <rFont val="Cambria"/>
        <family val="1"/>
      </rPr>
      <t xml:space="preserve"> or as stipulated by </t>
    </r>
    <r>
      <rPr>
        <b/>
        <sz val="14"/>
        <rFont val="Cambria"/>
        <family val="1"/>
      </rPr>
      <t xml:space="preserve">Sheep foot roller / Vibratory roller/ 8 to 10 tonne power roller  </t>
    </r>
    <r>
      <rPr>
        <sz val="14"/>
        <rFont val="Cambria"/>
        <family val="1"/>
      </rPr>
      <t xml:space="preserve"> etc., complete </t>
    </r>
    <r>
      <rPr>
        <b/>
        <sz val="14"/>
        <rFont val="Cambria"/>
        <family val="1"/>
      </rPr>
      <t>with initial lead upto 1 km and all lifts.</t>
    </r>
  </si>
  <si>
    <r>
      <t xml:space="preserve">Providing </t>
    </r>
    <r>
      <rPr>
        <b/>
        <sz val="14"/>
        <rFont val="Cambria"/>
        <family val="1"/>
      </rPr>
      <t>impervious hearting</t>
    </r>
    <r>
      <rPr>
        <b/>
        <sz val="14"/>
        <rFont val="Arial"/>
        <family val="2"/>
      </rPr>
      <t xml:space="preserve"> embankment</t>
    </r>
    <r>
      <rPr>
        <sz val="14"/>
        <rFont val="Arial"/>
        <family val="2"/>
      </rPr>
      <t xml:space="preserve"> with soil from </t>
    </r>
    <r>
      <rPr>
        <b/>
        <sz val="14"/>
        <rFont val="Arial"/>
        <family val="2"/>
      </rPr>
      <t xml:space="preserve">approved </t>
    </r>
    <r>
      <rPr>
        <b/>
        <sz val="14"/>
        <rFont val="Cambria"/>
        <family val="1"/>
      </rPr>
      <t>dump areas</t>
    </r>
    <r>
      <rPr>
        <sz val="14"/>
        <rFont val="Arial"/>
        <family val="2"/>
      </rPr>
      <t xml:space="preserve"> in </t>
    </r>
    <r>
      <rPr>
        <b/>
        <sz val="14"/>
        <rFont val="Arial"/>
        <family val="2"/>
      </rPr>
      <t xml:space="preserve">layers of 25  cm </t>
    </r>
    <r>
      <rPr>
        <sz val="14"/>
        <rFont val="Arial"/>
        <family val="2"/>
      </rPr>
      <t xml:space="preserve">before compaction including cost of all materials, machinery, labour, all operations such as re-excavation, sorting out, transporting, spreading in layer of specified thickness, breaking clods, sectioning, </t>
    </r>
    <r>
      <rPr>
        <b/>
        <sz val="14"/>
        <rFont val="Arial"/>
        <family val="2"/>
      </rPr>
      <t>watering</t>
    </r>
    <r>
      <rPr>
        <sz val="14"/>
        <rFont val="Arial"/>
        <family val="2"/>
      </rPr>
      <t xml:space="preserve">, compacting each layer to achieve density control of </t>
    </r>
    <r>
      <rPr>
        <b/>
        <sz val="14"/>
        <rFont val="Arial"/>
        <family val="2"/>
      </rPr>
      <t>not less than 98 percent</t>
    </r>
    <r>
      <rPr>
        <sz val="14"/>
        <rFont val="Arial"/>
        <family val="2"/>
      </rPr>
      <t xml:space="preserve"> or as stipulated by </t>
    </r>
    <r>
      <rPr>
        <b/>
        <sz val="14"/>
        <rFont val="Arial"/>
        <family val="2"/>
      </rPr>
      <t xml:space="preserve">Sheep foot roller / Vibratory roller/ 8 to 10 tonne power roller  </t>
    </r>
    <r>
      <rPr>
        <sz val="14"/>
        <rFont val="Arial"/>
        <family val="2"/>
      </rPr>
      <t xml:space="preserve"> etc.,complete </t>
    </r>
    <r>
      <rPr>
        <b/>
        <sz val="14"/>
        <rFont val="Arial"/>
        <family val="2"/>
      </rPr>
      <t>with initial lead upto 1 km and all lifts.</t>
    </r>
  </si>
  <si>
    <r>
      <t xml:space="preserve">Providing </t>
    </r>
    <r>
      <rPr>
        <b/>
        <sz val="14"/>
        <rFont val="Cambria"/>
        <family val="1"/>
      </rPr>
      <t>impervious hearting</t>
    </r>
    <r>
      <rPr>
        <b/>
        <sz val="14"/>
        <rFont val="Arial"/>
        <family val="2"/>
      </rPr>
      <t xml:space="preserve"> embankment</t>
    </r>
    <r>
      <rPr>
        <sz val="14"/>
        <rFont val="Arial"/>
        <family val="2"/>
      </rPr>
      <t xml:space="preserve"> with soil from </t>
    </r>
    <r>
      <rPr>
        <b/>
        <sz val="14"/>
        <rFont val="Arial"/>
        <family val="2"/>
      </rPr>
      <t xml:space="preserve">approved </t>
    </r>
    <r>
      <rPr>
        <b/>
        <sz val="14"/>
        <rFont val="Cambria"/>
        <family val="1"/>
      </rPr>
      <t>dump areas</t>
    </r>
    <r>
      <rPr>
        <sz val="14"/>
        <rFont val="Arial"/>
        <family val="2"/>
      </rPr>
      <t xml:space="preserve"> in </t>
    </r>
    <r>
      <rPr>
        <b/>
        <sz val="14"/>
        <rFont val="Arial"/>
        <family val="2"/>
      </rPr>
      <t>layers of 25  cm</t>
    </r>
    <r>
      <rPr>
        <sz val="14"/>
        <rFont val="Arial"/>
        <family val="2"/>
      </rPr>
      <t xml:space="preserve"> before compaction including cost of all materials, machinery, labour, all operations such as re-excavation, sorting out, transporting, spreading in layer of specified thickness, breaking clods, sectioning, </t>
    </r>
    <r>
      <rPr>
        <b/>
        <sz val="14"/>
        <rFont val="Arial"/>
        <family val="2"/>
      </rPr>
      <t>watering</t>
    </r>
    <r>
      <rPr>
        <sz val="14"/>
        <rFont val="Arial"/>
        <family val="2"/>
      </rPr>
      <t xml:space="preserve">, compacting each layer to achieve density control of </t>
    </r>
    <r>
      <rPr>
        <b/>
        <sz val="14"/>
        <rFont val="Arial"/>
        <family val="2"/>
      </rPr>
      <t>not less than 95 percent</t>
    </r>
    <r>
      <rPr>
        <sz val="14"/>
        <rFont val="Arial"/>
        <family val="2"/>
      </rPr>
      <t xml:space="preserve"> or as stipulated by </t>
    </r>
    <r>
      <rPr>
        <b/>
        <sz val="14"/>
        <rFont val="Arial"/>
        <family val="2"/>
      </rPr>
      <t xml:space="preserve">Sheep foot roller / Vibratory roller/ 8 to 10 tonne power roller  </t>
    </r>
    <r>
      <rPr>
        <sz val="14"/>
        <rFont val="Arial"/>
        <family val="2"/>
      </rPr>
      <t xml:space="preserve"> etc.,complete </t>
    </r>
    <r>
      <rPr>
        <b/>
        <sz val="14"/>
        <rFont val="Cambria"/>
        <family val="1"/>
      </rPr>
      <t>with initial lead upto 1 km and all lifts.</t>
    </r>
  </si>
  <si>
    <r>
      <t xml:space="preserve">Providing </t>
    </r>
    <r>
      <rPr>
        <b/>
        <sz val="14"/>
        <rFont val="Cambria"/>
        <family val="1"/>
      </rPr>
      <t>semi-pervious / pervious casing</t>
    </r>
    <r>
      <rPr>
        <b/>
        <sz val="14"/>
        <rFont val="Arial"/>
        <family val="2"/>
      </rPr>
      <t xml:space="preserve"> embankment</t>
    </r>
    <r>
      <rPr>
        <sz val="14"/>
        <rFont val="Arial"/>
        <family val="2"/>
      </rPr>
      <t xml:space="preserve"> using soil from </t>
    </r>
    <r>
      <rPr>
        <b/>
        <sz val="14"/>
        <rFont val="Arial"/>
        <family val="2"/>
      </rPr>
      <t xml:space="preserve">approved </t>
    </r>
    <r>
      <rPr>
        <b/>
        <sz val="14"/>
        <rFont val="Cambria"/>
        <family val="1"/>
      </rPr>
      <t>dump area</t>
    </r>
    <r>
      <rPr>
        <sz val="14"/>
        <rFont val="Cambria"/>
        <family val="1"/>
      </rPr>
      <t xml:space="preserve"> in </t>
    </r>
    <r>
      <rPr>
        <b/>
        <sz val="14"/>
        <rFont val="Cambria"/>
        <family val="1"/>
      </rPr>
      <t>layers of 25  cm</t>
    </r>
    <r>
      <rPr>
        <sz val="14"/>
        <rFont val="Cambria"/>
        <family val="1"/>
      </rPr>
      <t xml:space="preserve"> before compaction </t>
    </r>
    <r>
      <rPr>
        <sz val="14"/>
        <rFont val="Arial"/>
        <family val="2"/>
      </rPr>
      <t xml:space="preserve">including cost of all materials, machinery, labour, all operations such as re-excavation, sorting out, transporting, spreading in layer of specified thickness, breaking clods, sectioning, </t>
    </r>
    <r>
      <rPr>
        <b/>
        <sz val="14"/>
        <rFont val="Arial"/>
        <family val="2"/>
      </rPr>
      <t>watering</t>
    </r>
    <r>
      <rPr>
        <sz val="14"/>
        <rFont val="Arial"/>
        <family val="2"/>
      </rPr>
      <t xml:space="preserve">, compacting each layer to density control of </t>
    </r>
    <r>
      <rPr>
        <b/>
        <sz val="14"/>
        <rFont val="Cambria"/>
        <family val="1"/>
      </rPr>
      <t>not less than 98 percent</t>
    </r>
    <r>
      <rPr>
        <sz val="14"/>
        <rFont val="Cambria"/>
        <family val="1"/>
      </rPr>
      <t xml:space="preserve"> or as stipulated by </t>
    </r>
    <r>
      <rPr>
        <b/>
        <sz val="14"/>
        <rFont val="Cambria"/>
        <family val="1"/>
      </rPr>
      <t xml:space="preserve">Sheep foot roller / Vibratory roller/ 8 to 10 tonne power roller  </t>
    </r>
    <r>
      <rPr>
        <sz val="14"/>
        <rFont val="Cambria"/>
        <family val="1"/>
      </rPr>
      <t xml:space="preserve"> etc., complete </t>
    </r>
    <r>
      <rPr>
        <b/>
        <sz val="14"/>
        <rFont val="Cambria"/>
        <family val="1"/>
      </rPr>
      <t>with initial lead upto 1 km and all lifts.</t>
    </r>
  </si>
  <si>
    <r>
      <t xml:space="preserve">Providing </t>
    </r>
    <r>
      <rPr>
        <b/>
        <sz val="14"/>
        <rFont val="Cambria"/>
        <family val="1"/>
      </rPr>
      <t>semi-pervious / pervious casing</t>
    </r>
    <r>
      <rPr>
        <b/>
        <sz val="14"/>
        <rFont val="Arial"/>
        <family val="2"/>
      </rPr>
      <t xml:space="preserve"> embankment</t>
    </r>
    <r>
      <rPr>
        <sz val="14"/>
        <rFont val="Arial"/>
        <family val="2"/>
      </rPr>
      <t xml:space="preserve"> using soil from </t>
    </r>
    <r>
      <rPr>
        <b/>
        <sz val="14"/>
        <rFont val="Arial"/>
        <family val="2"/>
      </rPr>
      <t>approved</t>
    </r>
    <r>
      <rPr>
        <b/>
        <sz val="14"/>
        <rFont val="Cambria"/>
        <family val="1"/>
      </rPr>
      <t xml:space="preserve"> dump area</t>
    </r>
    <r>
      <rPr>
        <sz val="14"/>
        <rFont val="Cambria"/>
        <family val="1"/>
      </rPr>
      <t xml:space="preserve"> in </t>
    </r>
    <r>
      <rPr>
        <b/>
        <sz val="14"/>
        <rFont val="Cambria"/>
        <family val="1"/>
      </rPr>
      <t>layers of 25  cm</t>
    </r>
    <r>
      <rPr>
        <sz val="14"/>
        <rFont val="Cambria"/>
        <family val="1"/>
      </rPr>
      <t xml:space="preserve"> before compaction </t>
    </r>
    <r>
      <rPr>
        <sz val="14"/>
        <rFont val="Arial"/>
        <family val="2"/>
      </rPr>
      <t xml:space="preserve">including cost of all materials, machinery, labour, all operations such as re-excavation, sorting out, transporting, spreading in layer of specified thickness, breaking clods, sectioning, </t>
    </r>
    <r>
      <rPr>
        <b/>
        <sz val="14"/>
        <rFont val="Arial"/>
        <family val="2"/>
      </rPr>
      <t>watering</t>
    </r>
    <r>
      <rPr>
        <sz val="14"/>
        <rFont val="Arial"/>
        <family val="2"/>
      </rPr>
      <t xml:space="preserve">, compacting each layer to density control of </t>
    </r>
    <r>
      <rPr>
        <b/>
        <sz val="14"/>
        <rFont val="Cambria"/>
        <family val="1"/>
      </rPr>
      <t>not less than 95 percent</t>
    </r>
    <r>
      <rPr>
        <sz val="14"/>
        <rFont val="Cambria"/>
        <family val="1"/>
      </rPr>
      <t xml:space="preserve"> or as stipulated by </t>
    </r>
    <r>
      <rPr>
        <b/>
        <sz val="14"/>
        <rFont val="Cambria"/>
        <family val="1"/>
      </rPr>
      <t xml:space="preserve">Sheep foot roller / Vibratory roller/ 8 to 10 tonne power roller  </t>
    </r>
    <r>
      <rPr>
        <sz val="14"/>
        <rFont val="Cambria"/>
        <family val="1"/>
      </rPr>
      <t xml:space="preserve"> etc., complete </t>
    </r>
    <r>
      <rPr>
        <b/>
        <sz val="14"/>
        <rFont val="Cambria"/>
        <family val="1"/>
      </rPr>
      <t>with initial lead upto 1 km and all lifts.</t>
    </r>
  </si>
  <si>
    <r>
      <t xml:space="preserve">Providing </t>
    </r>
    <r>
      <rPr>
        <b/>
        <sz val="14"/>
        <rFont val="Cambria"/>
        <family val="1"/>
      </rPr>
      <t>semi-pervious / pervious casing</t>
    </r>
    <r>
      <rPr>
        <b/>
        <sz val="14"/>
        <rFont val="Arial"/>
        <family val="2"/>
      </rPr>
      <t xml:space="preserve"> embankment</t>
    </r>
    <r>
      <rPr>
        <sz val="14"/>
        <rFont val="Arial"/>
        <family val="2"/>
      </rPr>
      <t xml:space="preserve"> using soil from </t>
    </r>
    <r>
      <rPr>
        <b/>
        <sz val="14"/>
        <rFont val="Arial"/>
        <family val="2"/>
      </rPr>
      <t>approved dump area</t>
    </r>
    <r>
      <rPr>
        <sz val="14"/>
        <rFont val="Arial"/>
        <family val="2"/>
      </rPr>
      <t xml:space="preserve"> in </t>
    </r>
    <r>
      <rPr>
        <b/>
        <sz val="14"/>
        <rFont val="Arial"/>
        <family val="2"/>
      </rPr>
      <t>layers of 25  cm</t>
    </r>
    <r>
      <rPr>
        <sz val="14"/>
        <rFont val="Arial"/>
        <family val="2"/>
      </rPr>
      <t xml:space="preserve"> before compaction including cost of all materials, machinery, labour, all operations such as re-excavation, sorting out, transporting, spreading in layer of specified thickness, breaking clods, sectioning, compacting each layer </t>
    </r>
    <r>
      <rPr>
        <b/>
        <sz val="14"/>
        <rFont val="Cambria"/>
        <family val="1"/>
      </rPr>
      <t>without watering</t>
    </r>
    <r>
      <rPr>
        <sz val="14"/>
        <rFont val="Arial"/>
        <family val="2"/>
      </rPr>
      <t xml:space="preserve"> to density control of </t>
    </r>
    <r>
      <rPr>
        <b/>
        <sz val="14"/>
        <rFont val="Arial"/>
        <family val="2"/>
      </rPr>
      <t>not less than 95 percent</t>
    </r>
    <r>
      <rPr>
        <sz val="14"/>
        <rFont val="Arial"/>
        <family val="2"/>
      </rPr>
      <t xml:space="preserve"> or as stipulated by </t>
    </r>
    <r>
      <rPr>
        <b/>
        <sz val="14"/>
        <rFont val="Arial"/>
        <family val="2"/>
      </rPr>
      <t xml:space="preserve">Sheep foot roller / Vibratory roller/ 8 to 10 tonne power roller  </t>
    </r>
    <r>
      <rPr>
        <sz val="14"/>
        <rFont val="Arial"/>
        <family val="2"/>
      </rPr>
      <t xml:space="preserve"> etc., complete </t>
    </r>
    <r>
      <rPr>
        <b/>
        <sz val="14"/>
        <rFont val="Arial"/>
        <family val="2"/>
      </rPr>
      <t>with initial lead upto 1 km and all lifts.</t>
    </r>
  </si>
  <si>
    <r>
      <t xml:space="preserve">Providing </t>
    </r>
    <r>
      <rPr>
        <b/>
        <sz val="14"/>
        <rFont val="Cambria"/>
        <family val="1"/>
      </rPr>
      <t>impervious hearting</t>
    </r>
    <r>
      <rPr>
        <b/>
        <sz val="14"/>
        <rFont val="Arial"/>
        <family val="2"/>
      </rPr>
      <t xml:space="preserve"> embankment</t>
    </r>
    <r>
      <rPr>
        <sz val="14"/>
        <rFont val="Arial"/>
        <family val="2"/>
      </rPr>
      <t xml:space="preserve"> with soil </t>
    </r>
    <r>
      <rPr>
        <b/>
        <sz val="14"/>
        <rFont val="Arial"/>
        <family val="2"/>
      </rPr>
      <t>collected in embankment area</t>
    </r>
    <r>
      <rPr>
        <sz val="14"/>
        <rFont val="Arial"/>
        <family val="2"/>
      </rPr>
      <t xml:space="preserve"> in heaps as part of disposal of excavated soil from canal including cost of all materials,machinery, labour, all operations such as sortingout, spreading in </t>
    </r>
    <r>
      <rPr>
        <b/>
        <sz val="14"/>
        <rFont val="Arial"/>
        <family val="2"/>
      </rPr>
      <t>layer of 25  cm</t>
    </r>
    <r>
      <rPr>
        <sz val="14"/>
        <rFont val="Arial"/>
        <family val="2"/>
      </rPr>
      <t xml:space="preserve"> before compaction, breaking clods,sectioning, </t>
    </r>
    <r>
      <rPr>
        <b/>
        <sz val="14"/>
        <rFont val="Arial"/>
        <family val="2"/>
      </rPr>
      <t>watering</t>
    </r>
    <r>
      <rPr>
        <sz val="14"/>
        <rFont val="Arial"/>
        <family val="2"/>
      </rPr>
      <t xml:space="preserve"> and compacting each layer to density control of </t>
    </r>
    <r>
      <rPr>
        <b/>
        <sz val="14"/>
        <rFont val="Arial"/>
        <family val="2"/>
      </rPr>
      <t>not less than 98 percent</t>
    </r>
    <r>
      <rPr>
        <sz val="14"/>
        <rFont val="Arial"/>
        <family val="2"/>
      </rPr>
      <t xml:space="preserve"> or as stipulated by </t>
    </r>
    <r>
      <rPr>
        <b/>
        <sz val="14"/>
        <rFont val="Arial"/>
        <family val="2"/>
      </rPr>
      <t xml:space="preserve">Sheep foot roller / Vibratory roller/ 8 to 10 tonne power roller  </t>
    </r>
    <r>
      <rPr>
        <sz val="14"/>
        <rFont val="Arial"/>
        <family val="2"/>
      </rPr>
      <t xml:space="preserve"> etc., complete </t>
    </r>
    <r>
      <rPr>
        <b/>
        <sz val="14"/>
        <rFont val="Arial"/>
        <family val="2"/>
      </rPr>
      <t>with lead upto 1 km for water.</t>
    </r>
  </si>
  <si>
    <r>
      <t xml:space="preserve">Providing </t>
    </r>
    <r>
      <rPr>
        <b/>
        <sz val="14"/>
        <rFont val="Cambria"/>
        <family val="1"/>
      </rPr>
      <t>impervious hearting</t>
    </r>
    <r>
      <rPr>
        <b/>
        <sz val="14"/>
        <rFont val="Arial"/>
        <family val="2"/>
      </rPr>
      <t xml:space="preserve"> embankment</t>
    </r>
    <r>
      <rPr>
        <sz val="14"/>
        <rFont val="Arial"/>
        <family val="2"/>
      </rPr>
      <t xml:space="preserve"> with </t>
    </r>
    <r>
      <rPr>
        <sz val="14"/>
        <rFont val="Cambria"/>
        <family val="1"/>
      </rPr>
      <t xml:space="preserve">soil </t>
    </r>
    <r>
      <rPr>
        <b/>
        <sz val="14"/>
        <rFont val="Cambria"/>
        <family val="1"/>
      </rPr>
      <t>collected in embankment area</t>
    </r>
    <r>
      <rPr>
        <sz val="14"/>
        <rFont val="Arial"/>
        <family val="2"/>
      </rPr>
      <t xml:space="preserve"> in heaps as part of disposal of excavated soil from canal including cost of all materials,machinery, labour, all operations such as sortingout, spreading in </t>
    </r>
    <r>
      <rPr>
        <b/>
        <sz val="14"/>
        <rFont val="Arial"/>
        <family val="2"/>
      </rPr>
      <t>layer of 25 cm</t>
    </r>
    <r>
      <rPr>
        <sz val="14"/>
        <rFont val="Arial"/>
        <family val="2"/>
      </rPr>
      <t xml:space="preserve"> before compaction, breaking clods,sectioning, </t>
    </r>
    <r>
      <rPr>
        <b/>
        <sz val="14"/>
        <rFont val="Arial"/>
        <family val="2"/>
      </rPr>
      <t>watering</t>
    </r>
    <r>
      <rPr>
        <sz val="14"/>
        <rFont val="Arial"/>
        <family val="2"/>
      </rPr>
      <t xml:space="preserve"> and compacting each layer to density control of </t>
    </r>
    <r>
      <rPr>
        <b/>
        <sz val="14"/>
        <rFont val="Arial"/>
        <family val="2"/>
      </rPr>
      <t>not less than 95 percent</t>
    </r>
    <r>
      <rPr>
        <sz val="14"/>
        <rFont val="Arial"/>
        <family val="2"/>
      </rPr>
      <t xml:space="preserve"> or as stipulated by </t>
    </r>
    <r>
      <rPr>
        <b/>
        <sz val="14"/>
        <rFont val="Arial"/>
        <family val="2"/>
      </rPr>
      <t xml:space="preserve">Sheep foot roller / Vibratory roller/ 8 to 10 tonne power roller  </t>
    </r>
    <r>
      <rPr>
        <sz val="14"/>
        <rFont val="Arial"/>
        <family val="2"/>
      </rPr>
      <t xml:space="preserve"> etc., complete </t>
    </r>
    <r>
      <rPr>
        <b/>
        <sz val="14"/>
        <rFont val="Arial"/>
        <family val="2"/>
      </rPr>
      <t>with lead upto 1 km for water.</t>
    </r>
  </si>
  <si>
    <r>
      <t xml:space="preserve">Providing </t>
    </r>
    <r>
      <rPr>
        <b/>
        <sz val="14"/>
        <rFont val="Cambria"/>
        <family val="1"/>
      </rPr>
      <t>semi-pervious / pervious casing</t>
    </r>
    <r>
      <rPr>
        <b/>
        <sz val="14"/>
        <rFont val="Arial"/>
        <family val="2"/>
      </rPr>
      <t xml:space="preserve"> hearting embankment</t>
    </r>
    <r>
      <rPr>
        <sz val="14"/>
        <rFont val="Arial"/>
        <family val="2"/>
      </rPr>
      <t xml:space="preserve"> using </t>
    </r>
    <r>
      <rPr>
        <sz val="14"/>
        <rFont val="Cambria"/>
        <family val="1"/>
      </rPr>
      <t xml:space="preserve">soil </t>
    </r>
    <r>
      <rPr>
        <b/>
        <sz val="14"/>
        <rFont val="Cambria"/>
        <family val="1"/>
      </rPr>
      <t>collected in heaps in embankment area</t>
    </r>
    <r>
      <rPr>
        <sz val="14"/>
        <rFont val="Cambria"/>
        <family val="1"/>
      </rPr>
      <t xml:space="preserve"> as part of disposal of excavated soil from canal </t>
    </r>
    <r>
      <rPr>
        <sz val="14"/>
        <rFont val="Arial"/>
        <family val="2"/>
      </rPr>
      <t xml:space="preserve">including cost of all materials, machinery, labour, all operations such as sorting-out, spreading in </t>
    </r>
    <r>
      <rPr>
        <b/>
        <sz val="14"/>
        <rFont val="Arial"/>
        <family val="2"/>
      </rPr>
      <t>layers</t>
    </r>
    <r>
      <rPr>
        <b/>
        <sz val="14"/>
        <rFont val="Cambria"/>
        <family val="1"/>
      </rPr>
      <t xml:space="preserve"> of 25  cm</t>
    </r>
    <r>
      <rPr>
        <sz val="14"/>
        <rFont val="Cambria"/>
        <family val="1"/>
      </rPr>
      <t xml:space="preserve"> </t>
    </r>
    <r>
      <rPr>
        <sz val="14"/>
        <rFont val="Arial"/>
        <family val="2"/>
      </rPr>
      <t xml:space="preserve">before compaction, breaking clods, sectioning, </t>
    </r>
    <r>
      <rPr>
        <b/>
        <sz val="14"/>
        <rFont val="Arial"/>
        <family val="2"/>
      </rPr>
      <t>watering</t>
    </r>
    <r>
      <rPr>
        <sz val="14"/>
        <rFont val="Arial"/>
        <family val="2"/>
      </rPr>
      <t xml:space="preserve"> and compacting each layer to density control of</t>
    </r>
    <r>
      <rPr>
        <sz val="14"/>
        <rFont val="Cambria"/>
        <family val="1"/>
      </rPr>
      <t xml:space="preserve"> </t>
    </r>
    <r>
      <rPr>
        <b/>
        <sz val="14"/>
        <rFont val="Cambria"/>
        <family val="1"/>
      </rPr>
      <t>not less than 98 percent</t>
    </r>
    <r>
      <rPr>
        <sz val="14"/>
        <rFont val="Cambria"/>
        <family val="1"/>
      </rPr>
      <t xml:space="preserve"> or as stipulated by </t>
    </r>
    <r>
      <rPr>
        <b/>
        <sz val="14"/>
        <rFont val="Cambria"/>
        <family val="1"/>
      </rPr>
      <t xml:space="preserve">Sheep foot roller / Vibratory roller/ 8 to 10 tonne power roller  </t>
    </r>
    <r>
      <rPr>
        <sz val="14"/>
        <rFont val="Cambria"/>
        <family val="1"/>
      </rPr>
      <t xml:space="preserve"> etc., complete </t>
    </r>
    <r>
      <rPr>
        <b/>
        <sz val="14"/>
        <rFont val="Cambria"/>
        <family val="1"/>
      </rPr>
      <t>with lead upto 1 km for water.</t>
    </r>
  </si>
  <si>
    <r>
      <t xml:space="preserve">Providing </t>
    </r>
    <r>
      <rPr>
        <b/>
        <sz val="14"/>
        <rFont val="Cambria"/>
        <family val="1"/>
      </rPr>
      <t>semi-pervious / pervious casing</t>
    </r>
    <r>
      <rPr>
        <b/>
        <sz val="14"/>
        <rFont val="Arial"/>
        <family val="2"/>
      </rPr>
      <t xml:space="preserve"> embankment</t>
    </r>
    <r>
      <rPr>
        <sz val="14"/>
        <rFont val="Arial"/>
        <family val="2"/>
      </rPr>
      <t xml:space="preserve"> using </t>
    </r>
    <r>
      <rPr>
        <sz val="14"/>
        <rFont val="Cambria"/>
        <family val="1"/>
      </rPr>
      <t xml:space="preserve">soil </t>
    </r>
    <r>
      <rPr>
        <b/>
        <sz val="14"/>
        <rFont val="Cambria"/>
        <family val="1"/>
      </rPr>
      <t>collected in heaps in embankment area</t>
    </r>
    <r>
      <rPr>
        <sz val="14"/>
        <rFont val="Cambria"/>
        <family val="1"/>
      </rPr>
      <t xml:space="preserve"> as part of disposal of excavated soil from canal</t>
    </r>
    <r>
      <rPr>
        <sz val="14"/>
        <rFont val="Arial"/>
        <family val="2"/>
      </rPr>
      <t xml:space="preserve"> including cost of all materials, machinery, labour, all operations such as sorting-out, spreading in </t>
    </r>
    <r>
      <rPr>
        <b/>
        <sz val="14"/>
        <rFont val="Arial"/>
        <family val="2"/>
      </rPr>
      <t xml:space="preserve">layers of </t>
    </r>
    <r>
      <rPr>
        <b/>
        <sz val="14"/>
        <rFont val="Cambria"/>
        <family val="1"/>
      </rPr>
      <t>25  cm</t>
    </r>
    <r>
      <rPr>
        <sz val="14"/>
        <rFont val="Cambria"/>
        <family val="1"/>
      </rPr>
      <t xml:space="preserve"> </t>
    </r>
    <r>
      <rPr>
        <sz val="14"/>
        <rFont val="Arial"/>
        <family val="2"/>
      </rPr>
      <t xml:space="preserve">before compaction, breaking clods, sectioning, </t>
    </r>
    <r>
      <rPr>
        <b/>
        <sz val="14"/>
        <rFont val="Arial"/>
        <family val="2"/>
      </rPr>
      <t>watering</t>
    </r>
    <r>
      <rPr>
        <sz val="14"/>
        <rFont val="Arial"/>
        <family val="2"/>
      </rPr>
      <t xml:space="preserve"> and compacting each layer to density control</t>
    </r>
    <r>
      <rPr>
        <sz val="14"/>
        <rFont val="Cambria"/>
        <family val="1"/>
      </rPr>
      <t xml:space="preserve"> of </t>
    </r>
    <r>
      <rPr>
        <b/>
        <sz val="14"/>
        <rFont val="Cambria"/>
        <family val="1"/>
      </rPr>
      <t>not less than 95 percent</t>
    </r>
    <r>
      <rPr>
        <sz val="14"/>
        <rFont val="Cambria"/>
        <family val="1"/>
      </rPr>
      <t xml:space="preserve"> or as stipulated by </t>
    </r>
    <r>
      <rPr>
        <b/>
        <sz val="14"/>
        <rFont val="Cambria"/>
        <family val="1"/>
      </rPr>
      <t xml:space="preserve">Sheep foot roller / Vibratory roller/ 8 to 10 tonne power roller  </t>
    </r>
    <r>
      <rPr>
        <sz val="14"/>
        <rFont val="Cambria"/>
        <family val="1"/>
      </rPr>
      <t xml:space="preserve"> etc., </t>
    </r>
    <r>
      <rPr>
        <b/>
        <sz val="14"/>
        <rFont val="Cambria"/>
        <family val="1"/>
      </rPr>
      <t>complete with lead upto 1 km for water.</t>
    </r>
  </si>
  <si>
    <r>
      <t xml:space="preserve">Providing </t>
    </r>
    <r>
      <rPr>
        <b/>
        <sz val="14"/>
        <rFont val="Cambria"/>
        <family val="1"/>
      </rPr>
      <t>semi-pervious / pervious casing</t>
    </r>
    <r>
      <rPr>
        <b/>
        <sz val="14"/>
        <rFont val="Arial"/>
        <family val="2"/>
      </rPr>
      <t xml:space="preserve"> embankment</t>
    </r>
    <r>
      <rPr>
        <sz val="14"/>
        <rFont val="Arial"/>
        <family val="2"/>
      </rPr>
      <t xml:space="preserve"> using </t>
    </r>
    <r>
      <rPr>
        <sz val="14"/>
        <rFont val="Cambria"/>
        <family val="1"/>
      </rPr>
      <t xml:space="preserve">soil </t>
    </r>
    <r>
      <rPr>
        <b/>
        <sz val="14"/>
        <rFont val="Cambria"/>
        <family val="1"/>
      </rPr>
      <t>collected in heaps in embankment area</t>
    </r>
    <r>
      <rPr>
        <sz val="14"/>
        <rFont val="Cambria"/>
        <family val="1"/>
      </rPr>
      <t xml:space="preserve"> </t>
    </r>
    <r>
      <rPr>
        <sz val="14"/>
        <rFont val="Arial"/>
        <family val="2"/>
      </rPr>
      <t xml:space="preserve">as part of disposal of excavated soil from canal including cost of all materials, machinery, labour, all operations such as sorting-out, spreading in </t>
    </r>
    <r>
      <rPr>
        <b/>
        <sz val="14"/>
        <rFont val="Arial"/>
        <family val="2"/>
      </rPr>
      <t xml:space="preserve">layers of </t>
    </r>
    <r>
      <rPr>
        <b/>
        <sz val="14"/>
        <rFont val="Cambria"/>
        <family val="1"/>
      </rPr>
      <t>25  cm</t>
    </r>
    <r>
      <rPr>
        <sz val="14"/>
        <rFont val="Cambria"/>
        <family val="1"/>
      </rPr>
      <t xml:space="preserve"> </t>
    </r>
    <r>
      <rPr>
        <sz val="14"/>
        <rFont val="Arial"/>
        <family val="2"/>
      </rPr>
      <t>before compaction, breaking clods, sectioning and compacting each layer</t>
    </r>
    <r>
      <rPr>
        <sz val="14"/>
        <rFont val="Cambria"/>
        <family val="1"/>
      </rPr>
      <t xml:space="preserve"> without watering </t>
    </r>
    <r>
      <rPr>
        <sz val="14"/>
        <rFont val="Arial"/>
        <family val="2"/>
      </rPr>
      <t>to density control of</t>
    </r>
    <r>
      <rPr>
        <sz val="14"/>
        <rFont val="Cambria"/>
        <family val="1"/>
      </rPr>
      <t xml:space="preserve"> </t>
    </r>
    <r>
      <rPr>
        <b/>
        <sz val="14"/>
        <rFont val="Cambria"/>
        <family val="1"/>
      </rPr>
      <t>not less than 95 percent</t>
    </r>
    <r>
      <rPr>
        <sz val="14"/>
        <rFont val="Cambria"/>
        <family val="1"/>
      </rPr>
      <t xml:space="preserve"> or as stipulated by </t>
    </r>
    <r>
      <rPr>
        <b/>
        <sz val="14"/>
        <rFont val="Cambria"/>
        <family val="1"/>
      </rPr>
      <t xml:space="preserve">Sheep foot roller / Vibratory roller/ 8 to 10 tonne power roller  </t>
    </r>
    <r>
      <rPr>
        <sz val="14"/>
        <rFont val="Arial"/>
        <family val="2"/>
      </rPr>
      <t xml:space="preserve"> etc., complete.</t>
    </r>
  </si>
  <si>
    <t>IRR-DAW-5-9-A</t>
  </si>
  <si>
    <r>
      <t xml:space="preserve">Providing and </t>
    </r>
    <r>
      <rPr>
        <b/>
        <sz val="11"/>
        <rFont val="Tahoma"/>
        <family val="2"/>
      </rPr>
      <t>constructing Dry rock Pitching for Groynes</t>
    </r>
    <r>
      <rPr>
        <sz val="11"/>
        <rFont val="Tahoma"/>
        <family val="2"/>
      </rPr>
      <t xml:space="preserve"> using </t>
    </r>
    <r>
      <rPr>
        <b/>
        <sz val="11"/>
        <rFont val="Tahoma"/>
        <family val="2"/>
      </rPr>
      <t>Un-Coursed rubble stone of size 300 mm thick</t>
    </r>
    <r>
      <rPr>
        <sz val="11"/>
        <rFont val="Tahoma"/>
        <family val="2"/>
      </rPr>
      <t xml:space="preserve"> </t>
    </r>
  </si>
  <si>
    <r>
      <t xml:space="preserve">hand packing Un-Course rubble stone &amp;chips to the designed profile </t>
    </r>
    <r>
      <rPr>
        <b/>
        <sz val="14"/>
        <rFont val="Arial"/>
        <family val="2"/>
      </rPr>
      <t>with all leads and lifts etc</t>
    </r>
  </si>
  <si>
    <r>
      <t xml:space="preserve">and Un-Coursed rubble stone chips </t>
    </r>
    <r>
      <rPr>
        <b/>
        <sz val="14"/>
        <rFont val="Arial"/>
        <family val="2"/>
      </rPr>
      <t xml:space="preserve">from Quarry to site of work </t>
    </r>
    <r>
      <rPr>
        <sz val="14"/>
        <rFont val="Arial"/>
        <family val="2"/>
      </rPr>
      <t xml:space="preserve">including cost of all materials, Machinery, Labour charge </t>
    </r>
  </si>
  <si>
    <t>Un Coursed Rubble Stones at quarry</t>
  </si>
  <si>
    <t>Shovel 0.85 cum for loading tipper at the worksite </t>
  </si>
  <si>
    <r>
      <t xml:space="preserve">Providing and </t>
    </r>
    <r>
      <rPr>
        <b/>
        <sz val="14"/>
        <rFont val="Arial"/>
        <family val="2"/>
      </rPr>
      <t>constructing Dry rock Pitching for Groynes</t>
    </r>
    <r>
      <rPr>
        <sz val="14"/>
        <rFont val="Arial"/>
        <family val="2"/>
      </rPr>
      <t xml:space="preserve"> using </t>
    </r>
    <r>
      <rPr>
        <b/>
        <sz val="14"/>
        <rFont val="Arial"/>
        <family val="2"/>
      </rPr>
      <t xml:space="preserve">Un-Coursed rubble stone of size 300 mm thick </t>
    </r>
    <r>
      <rPr>
        <sz val="14"/>
        <rFont val="Arial"/>
        <family val="2"/>
      </rPr>
      <t xml:space="preserve">and Un-Coursed rubble stone chips from Quarry to site of work including cost of all materials, Machinery, Labour charge hand packing Un-Course rubble stone &amp;chips to the designed profile </t>
    </r>
    <r>
      <rPr>
        <b/>
        <sz val="14"/>
        <rFont val="Arial"/>
        <family val="2"/>
      </rPr>
      <t>with all leads and lifts etc</t>
    </r>
  </si>
  <si>
    <t xml:space="preserve"> New extra items-- common item for all earth works  using only manual labour for all other works  </t>
  </si>
  <si>
    <t>Sq.m</t>
  </si>
  <si>
    <t>(Murum : 0.18 cum/sqm)</t>
  </si>
  <si>
    <t xml:space="preserve">Blaster </t>
  </si>
  <si>
    <t>Heavy Duty Airless Spray Painting Equipment</t>
  </si>
  <si>
    <t>rates  for preceding lift,lead and  hire charges</t>
  </si>
  <si>
    <t>yard and other places are cumulative&amp; includes previous km upto 5 kms</t>
  </si>
  <si>
    <t>Maistry / Work Inspector with Non-technical Qualification SSLC/SSC/HSC</t>
  </si>
  <si>
    <t>Operator Vibratory plain / pad foot roller</t>
  </si>
  <si>
    <t>Crowbarman / Jumper man</t>
  </si>
  <si>
    <t>Gang man / Head / Survey mazdoor</t>
  </si>
  <si>
    <t>Helper Fitter / Fabrication/Electrician</t>
  </si>
  <si>
    <t>Helper Vibratory plain/ pad foot roller</t>
  </si>
  <si>
    <t>Mason Cl- ll  / Brick layer Cl-II</t>
  </si>
  <si>
    <t>Valve man / Canal sluice operator</t>
  </si>
  <si>
    <t>Man mazdoor</t>
  </si>
  <si>
    <t>Woman  mazdoor</t>
  </si>
  <si>
    <t>Care-taker / conductor / Lift Attender</t>
  </si>
  <si>
    <t>Cook / Mess man</t>
  </si>
  <si>
    <t>Typist / Job Typist</t>
  </si>
  <si>
    <t>CAD operator with Diploma in Engineering/General degree with CAD certificate</t>
  </si>
  <si>
    <t>Asphalt 80/100 Grade</t>
  </si>
  <si>
    <t>Coarse aggregate 10-4.75 mm(excluding Seigniorage charges)</t>
  </si>
  <si>
    <t>Coarse aggregate 20-10 mm(excluding Seigniorage charges)</t>
  </si>
  <si>
    <t>Coarse aggregate 40-20 mm(excluding Seigniorage charges)</t>
  </si>
  <si>
    <t>Coarse aggregate 80-40 mm(excluding Seigniorage charges)</t>
  </si>
  <si>
    <t>Ltr</t>
  </si>
  <si>
    <t>D – cord</t>
  </si>
  <si>
    <r>
      <t xml:space="preserve">Fine aggregate/ sand(un-  screened) for Concrete  &amp; Filtering items) </t>
    </r>
    <r>
      <rPr>
        <b/>
        <sz val="12"/>
        <color indexed="8"/>
        <rFont val="Times New Roman"/>
        <family val="1"/>
      </rPr>
      <t>(</t>
    </r>
    <r>
      <rPr>
        <sz val="12"/>
        <color indexed="8"/>
        <rFont val="Times New Roman"/>
        <family val="1"/>
      </rPr>
      <t>excluding Seigniorage charges)</t>
    </r>
  </si>
  <si>
    <r>
      <t>Fineaggregate/Sand(unscreened)for filling</t>
    </r>
    <r>
      <rPr>
        <b/>
        <sz val="12"/>
        <color indexed="8"/>
        <rFont val="Times New Roman"/>
        <family val="1"/>
      </rPr>
      <t>(</t>
    </r>
    <r>
      <rPr>
        <sz val="12"/>
        <color indexed="8"/>
        <rFont val="Times New Roman"/>
        <family val="1"/>
      </rPr>
      <t>excluding Seigniorage charges</t>
    </r>
    <r>
      <rPr>
        <b/>
        <sz val="12"/>
        <color indexed="8"/>
        <rFont val="Times New Roman"/>
        <family val="1"/>
      </rPr>
      <t>)</t>
    </r>
  </si>
  <si>
    <r>
      <t xml:space="preserve">Murum(including loading charges </t>
    </r>
    <r>
      <rPr>
        <b/>
        <sz val="12"/>
        <color indexed="8"/>
        <rFont val="Times New Roman"/>
        <family val="1"/>
      </rPr>
      <t>but excluding</t>
    </r>
    <r>
      <rPr>
        <sz val="12"/>
        <color indexed="8"/>
        <rFont val="Times New Roman"/>
        <family val="1"/>
      </rPr>
      <t xml:space="preserve">  Seigniorage charges )</t>
    </r>
  </si>
  <si>
    <t>Super Plasticizer (Conplast RP-264 or equivalent )</t>
  </si>
  <si>
    <t>Tar felt joint filler board 12 mm thick</t>
  </si>
  <si>
    <t>Tar felt joint filler board 20 mm thick</t>
  </si>
  <si>
    <t>solvent less coal tar epoxy paint</t>
  </si>
  <si>
    <t>Bronze/Aluminum alloy(IS:305)bearings/bushes</t>
  </si>
  <si>
    <t>Wire rope 6x37 constn ( IS : 2266 ) </t>
  </si>
  <si>
    <t>Zinc rich ( zinc content : 90 % ) epoxy primer </t>
  </si>
  <si>
    <t>tyres and tubes 6 sets</t>
  </si>
  <si>
    <t>Concrete mixer 300/200 ltr ( electric )</t>
  </si>
  <si>
    <t>Concrete mixer 600/400 ltr ( electric )</t>
  </si>
  <si>
    <t>Concrete paver 100 Sqm / hr</t>
  </si>
  <si>
    <t xml:space="preserve"> tyres and tubes 6 sets</t>
  </si>
  <si>
    <t>Plate shearing machine up to 12 mm</t>
  </si>
  <si>
    <t>Stationery derrick crane 5 t</t>
  </si>
  <si>
    <t>Truck mounted derrick crane 5 t ( excluding tyres )</t>
  </si>
  <si>
    <t xml:space="preserve">Water tanker 8000 ltr (excluding tyres) </t>
  </si>
  <si>
    <t>Hydraulic Truck Crane 16T</t>
  </si>
  <si>
    <t>Hydraulic Truck Crane 30T</t>
  </si>
  <si>
    <t>Nozzle for Guniting / sand blasting gun</t>
  </si>
  <si>
    <t>T.C. Cross bit 50 mm dia</t>
  </si>
  <si>
    <t>T.C. Cross bit 75 mm dia</t>
  </si>
  <si>
    <t>T.C. Cross bit 100 mm dia</t>
  </si>
  <si>
    <t>Sundries ( Lump sum for un quantified inputs )</t>
  </si>
  <si>
    <t>Civil works for foundations / pedestals / duct etc</t>
  </si>
  <si>
    <t>Gas cutting set ( 2 No’s 15 m hose and nozzle unit )</t>
  </si>
  <si>
    <t>Electric motor 20 hp(Double Shaft)</t>
  </si>
  <si>
    <t>Electric motor 17.5 hp(Double Shaft)</t>
  </si>
  <si>
    <t>Electric motor 12.5 hp(Double Shaft)</t>
  </si>
  <si>
    <t>Electric motor 5 hp(Double Shaft)</t>
  </si>
  <si>
    <t>Electric motor 3 hp (Double Shaft)</t>
  </si>
  <si>
    <t>Electric motor 2 hp (Double Shaft)</t>
  </si>
  <si>
    <r>
      <t xml:space="preserve"> Coarse sand for filling (</t>
    </r>
    <r>
      <rPr>
        <b/>
        <sz val="12"/>
        <color indexed="8"/>
        <rFont val="Times New Roman"/>
        <family val="1"/>
      </rPr>
      <t>Excluding Seigniorage charges)</t>
    </r>
  </si>
  <si>
    <r>
      <t>Coarse sand for mortar(</t>
    </r>
    <r>
      <rPr>
        <b/>
        <sz val="12"/>
        <color indexed="8"/>
        <rFont val="Times New Roman"/>
        <family val="1"/>
      </rPr>
      <t>Excluding Seigniorage charges)</t>
    </r>
  </si>
  <si>
    <r>
      <t xml:space="preserve">Fine Sand </t>
    </r>
    <r>
      <rPr>
        <b/>
        <sz val="12"/>
        <color indexed="8"/>
        <rFont val="Times New Roman"/>
        <family val="1"/>
      </rPr>
      <t>(Excluding Seigniorage charges)</t>
    </r>
  </si>
  <si>
    <r>
      <t>Murum (</t>
    </r>
    <r>
      <rPr>
        <b/>
        <sz val="12"/>
        <color indexed="8"/>
        <rFont val="Times New Roman"/>
        <family val="1"/>
      </rPr>
      <t>Excluding Seigniorage charges</t>
    </r>
    <r>
      <rPr>
        <sz val="12"/>
        <color indexed="8"/>
        <rFont val="Times New Roman"/>
        <family val="1"/>
      </rPr>
      <t>)</t>
    </r>
  </si>
  <si>
    <t>cum </t>
  </si>
  <si>
    <t>Metre</t>
  </si>
  <si>
    <t>Litre</t>
  </si>
  <si>
    <t>Aluminum alloy/Galvanized steel</t>
  </si>
  <si>
    <t>No’s</t>
  </si>
  <si>
    <r>
      <t>Cm</t>
    </r>
    <r>
      <rPr>
        <vertAlign val="superscript"/>
        <sz val="12"/>
        <color indexed="8"/>
        <rFont val="Times New Roman"/>
        <family val="1"/>
      </rPr>
      <t>3</t>
    </r>
  </si>
  <si>
    <t>As per Market Competitive rates.</t>
  </si>
  <si>
    <t>Bearing (Pot type bearing assembly consisting of a metal piston supported by a disc, PTFE pads providing sliding surfaces against stainless steel mating together with cast steel assemblies/fabricated structural steel assemblies  duly painted with all components</t>
  </si>
  <si>
    <t>Bentonite</t>
  </si>
  <si>
    <t>Bitumen (modified graded)</t>
  </si>
  <si>
    <t>Curing compound</t>
  </si>
  <si>
    <t>Delineators from ISI certified firm as per the standard drawing given in IRC - 79</t>
  </si>
  <si>
    <r>
      <t xml:space="preserve"> Earth Cost  or  compensation for earth taken from private land</t>
    </r>
    <r>
      <rPr>
        <b/>
        <sz val="12"/>
        <color indexed="8"/>
        <rFont val="Times New Roman"/>
        <family val="1"/>
      </rPr>
      <t>(Excluding Seigniorage Charges</t>
    </r>
    <r>
      <rPr>
        <sz val="12"/>
        <color indexed="8"/>
        <rFont val="Times New Roman"/>
        <family val="1"/>
      </rPr>
      <t>)</t>
    </r>
  </si>
  <si>
    <t>100 no’s</t>
  </si>
  <si>
    <t>Epoxy primer</t>
  </si>
  <si>
    <t>Flowering Plants</t>
  </si>
  <si>
    <t xml:space="preserve">Gelatin 80%    </t>
  </si>
  <si>
    <t>Hedge plants</t>
  </si>
  <si>
    <t>HTS strand</t>
  </si>
  <si>
    <t>Tonne</t>
  </si>
  <si>
    <t xml:space="preserve">Nuts and bolts   </t>
  </si>
  <si>
    <t>Perforated geo synthetic pipe 150 mm dia</t>
  </si>
  <si>
    <t>Plastic tubes 50 cm dia , 1.2 m high</t>
  </si>
  <si>
    <t>RCC Pipe NP 4 heavy duty non pressure pipe 1000 mm dia</t>
  </si>
  <si>
    <t>RCC Pipe NP 4 heavy duty non pressure pipe 1200 mm dia</t>
  </si>
  <si>
    <t>Reinforcement strips 60 mm wide 5 mm thick as per clause 3102. (Aluminum strips)</t>
  </si>
  <si>
    <t>Sapling 2 m high 25 mm dia</t>
  </si>
  <si>
    <t>Cost of Selected earth (Excluding Seignorage Charges)</t>
  </si>
  <si>
    <t>Steel circular hollow pole of standard specification for street lighting to mount light at 5 m height above deck level</t>
  </si>
  <si>
    <t>Steel circular hollow pole of standard specification for street lighting to mount light at 9 m height above road level</t>
  </si>
  <si>
    <t>Steel wire rope 20 mm</t>
  </si>
  <si>
    <t>Super plasticizer admixture IS marked as per 9103-1999</t>
  </si>
  <si>
    <t>Tie rods 20mm diameter</t>
  </si>
  <si>
    <t>Welded steel wire fabric</t>
  </si>
  <si>
    <t>Painting angle iron post Two Coats</t>
  </si>
  <si>
    <t>Rough stone for revetment 225mm thick ( including Loading charges but excluding Seigniorage charges)</t>
  </si>
  <si>
    <t>Protective Mastic</t>
  </si>
  <si>
    <t>Solventless coal tar epoxy (brown)</t>
  </si>
  <si>
    <t>89 (a)</t>
  </si>
  <si>
    <t>89 (b)</t>
  </si>
  <si>
    <t xml:space="preserve"> A. SPILLWAY RADIAL GATES</t>
  </si>
  <si>
    <r>
      <t xml:space="preserve"> fabrication, supply, erection, testing and </t>
    </r>
    <r>
      <rPr>
        <b/>
        <sz val="14"/>
        <rFont val="Arial"/>
        <family val="2"/>
      </rPr>
      <t xml:space="preserve">commissioning of Embedded parts for radial gate </t>
    </r>
  </si>
  <si>
    <t xml:space="preserve">consists of sill beam, wall plates, anchor girders , yoke girders, tie flats, trunnion supports etc., including </t>
  </si>
  <si>
    <t xml:space="preserve">cost of all materials, machinery, labour, welding, finishing,  with  leads and lifts &amp;all accessories </t>
  </si>
  <si>
    <t>Fuller’s Earth/Bentonite</t>
  </si>
  <si>
    <t>17. Granite Useful for Cutting:</t>
  </si>
  <si>
    <t>Item</t>
  </si>
  <si>
    <t>(a) Black Granite Galaxy Variety</t>
  </si>
  <si>
    <t>(b) Black Granite other than Galaxy Variety</t>
  </si>
  <si>
    <t>(c ) Colour Granite Sikakulam Blue, Indian aurora of Nizamabad Dist., Leptinies of Coastal Dists., Black peral of Prakasam and Guntur Dists.</t>
  </si>
  <si>
    <t>(d) Colour Granite of other varieties</t>
  </si>
  <si>
    <t>SCHEDULE - II</t>
  </si>
  <si>
    <t>Rate of Dead Rent</t>
  </si>
  <si>
    <t>(Per Hectare per Annum)</t>
  </si>
  <si>
    <t>Name of the Minor Mineral</t>
  </si>
  <si>
    <t>01</t>
  </si>
  <si>
    <t>02</t>
  </si>
  <si>
    <t>03</t>
  </si>
  <si>
    <t>04</t>
  </si>
  <si>
    <t>Black Granite</t>
  </si>
  <si>
    <t>Colour Granite</t>
  </si>
  <si>
    <t>Drawing no. MD/CDO/VRSP/90-92/85-86 (Vengalaraya Sagar - Gomukhi Project)</t>
  </si>
  <si>
    <t>Vent Size:</t>
  </si>
  <si>
    <t>12.00 X 6.6 Mtrs</t>
  </si>
  <si>
    <t>Mobile crane 16 Tonnes</t>
  </si>
  <si>
    <t>Crew for Mobile crane 16 T</t>
  </si>
  <si>
    <t>Add towards highly skilled labour charges @ 30% on total cost of labour</t>
  </si>
  <si>
    <t>Drawing no. MD/CDO/VRSP/170-172/85-86(Vengalaraya Sagar - Gomukhi Project)</t>
  </si>
  <si>
    <t>Vent Size: 12 X 6.6 Mtr</t>
  </si>
  <si>
    <t>Zinc/Babbit Metal</t>
  </si>
  <si>
    <t>Mobile Crane 30 T</t>
  </si>
  <si>
    <t>Crew for Mobile crane 30T</t>
  </si>
  <si>
    <t>Mobile CRANE 16T</t>
  </si>
  <si>
    <t>Bending Machine</t>
  </si>
  <si>
    <t>Crew for Mobile crane 16T</t>
  </si>
  <si>
    <t>Drawing No. MD/CDO/GNCP/HR/1759,1760/94 (GNSS Project)</t>
  </si>
  <si>
    <t>3.6 X 6.1 Mtr</t>
  </si>
  <si>
    <t>Mobile Crane 16 T</t>
  </si>
  <si>
    <t>Drawing NO. CE/CDO/CL3/MRP/783/2002 (Spillway Stop log gate Elements of Madduvalasa Project)</t>
  </si>
  <si>
    <t>12.624 X 0.50 M 16 Elements</t>
  </si>
  <si>
    <t>Mobile crane 16 T</t>
  </si>
  <si>
    <t>Drawing No. CE/CDO/DEE/DEE4/GNC/HR/2150/96,2137/98 (GNSS Project)</t>
  </si>
  <si>
    <t>Gate Size: 3.66 X 6.1 Mtr</t>
  </si>
  <si>
    <t xml:space="preserve">Bearings </t>
  </si>
  <si>
    <t>Beams/Channels</t>
  </si>
  <si>
    <t>Drawing No. CE/CDO/VRSP/215,216/86-87 (Vengalaraya Sagar - Gomukhi Project)</t>
  </si>
  <si>
    <t>Mobile crane 30 T</t>
  </si>
  <si>
    <t>Crew for Mobile crane 30 T</t>
  </si>
  <si>
    <t>Tower Crane</t>
  </si>
  <si>
    <t>Crew for Tower Crane</t>
  </si>
  <si>
    <t>Theoretical spreading rate per one Coat of Paint</t>
  </si>
  <si>
    <t>Assume Losses at 30% of the spreading area (as per field obserations)</t>
  </si>
  <si>
    <t>Sqm/Hr</t>
  </si>
  <si>
    <t>Actual Spreading Area</t>
  </si>
  <si>
    <t>Total time required for 100 Sqm Area</t>
  </si>
  <si>
    <t>Hr</t>
  </si>
  <si>
    <t>Say</t>
  </si>
  <si>
    <t>Thinner @ 10%</t>
  </si>
  <si>
    <t>Hire Charges of Airless Spray Gun</t>
  </si>
  <si>
    <t>Fuel Charges of Air Compressor</t>
  </si>
  <si>
    <t>Crew Charges of Air Compressor</t>
  </si>
  <si>
    <t>Painter Class-I</t>
  </si>
  <si>
    <t>Thinner@10%</t>
  </si>
  <si>
    <t>Hire Charges of Air Compressor-7 Cmm (diesel)</t>
  </si>
  <si>
    <t>Surface cleaning of metal surfaces by chemical cleaners and then by hand and power tool cleaners and removing</t>
  </si>
  <si>
    <r>
      <t xml:space="preserve"> dust. After cleaning,applying primary coat with </t>
    </r>
    <r>
      <rPr>
        <b/>
        <sz val="14"/>
        <rFont val="Arial"/>
        <family val="2"/>
      </rPr>
      <t>one</t>
    </r>
    <r>
      <rPr>
        <sz val="14"/>
        <rFont val="Arial"/>
        <family val="2"/>
      </rPr>
      <t xml:space="preserve"> coat of </t>
    </r>
    <r>
      <rPr>
        <b/>
        <sz val="14"/>
        <rFont val="Arial"/>
        <family val="2"/>
      </rPr>
      <t xml:space="preserve">Protective Mastic </t>
    </r>
    <r>
      <rPr>
        <sz val="14"/>
        <rFont val="Arial"/>
        <family val="2"/>
      </rPr>
      <t>to athickness of 70</t>
    </r>
    <r>
      <rPr>
        <u/>
        <sz val="14"/>
        <rFont val="Arial"/>
        <family val="2"/>
      </rPr>
      <t>+</t>
    </r>
    <r>
      <rPr>
        <sz val="14"/>
        <rFont val="Arial"/>
        <family val="2"/>
      </rPr>
      <t xml:space="preserve">5 microns </t>
    </r>
  </si>
  <si>
    <t>and total DFT of all coats including Primary coat should not be less than 350 microns with material, labour and all</t>
  </si>
  <si>
    <t>accessories with all leads and lifts</t>
  </si>
  <si>
    <r>
      <t>(</t>
    </r>
    <r>
      <rPr>
        <b/>
        <sz val="14"/>
        <rFont val="Arial"/>
        <family val="2"/>
      </rPr>
      <t>in respect of Heavily rusted (30 to 40% rusted) surfaces)</t>
    </r>
  </si>
  <si>
    <r>
      <t xml:space="preserve">and removing dust. After cleaning,applying primary coat with </t>
    </r>
    <r>
      <rPr>
        <b/>
        <sz val="14"/>
        <rFont val="Arial"/>
        <family val="2"/>
      </rPr>
      <t>two</t>
    </r>
    <r>
      <rPr>
        <sz val="14"/>
        <rFont val="Arial"/>
        <family val="2"/>
      </rPr>
      <t xml:space="preserve"> coats of Zinc chromite red oxide primer ,</t>
    </r>
  </si>
  <si>
    <r>
      <t xml:space="preserve">followed by finishing coats </t>
    </r>
    <r>
      <rPr>
        <b/>
        <sz val="14"/>
        <rFont val="Arial"/>
        <family val="2"/>
      </rPr>
      <t>3 coats</t>
    </r>
    <r>
      <rPr>
        <sz val="14"/>
        <rFont val="Arial"/>
        <family val="2"/>
      </rPr>
      <t xml:space="preserve">  with synthetic enamel paint with material, labour,and all accessories </t>
    </r>
  </si>
  <si>
    <t>Zinc Chromite Red Oxide Primer</t>
  </si>
  <si>
    <t>Synthetic enamel Paint</t>
  </si>
  <si>
    <r>
      <t xml:space="preserve">and removing dust. After cleaning,applying primary coat with </t>
    </r>
    <r>
      <rPr>
        <b/>
        <sz val="14"/>
        <rFont val="Arial"/>
        <family val="2"/>
      </rPr>
      <t>one</t>
    </r>
    <r>
      <rPr>
        <sz val="14"/>
        <rFont val="Arial"/>
        <family val="2"/>
      </rPr>
      <t xml:space="preserve"> coat of Zinc rich epoxy primer to </t>
    </r>
  </si>
  <si>
    <t>(Upstream surface of gates portion may be painted with solventless coaltar epoxy brown paint</t>
  </si>
  <si>
    <t xml:space="preserve"> instead of solventless  coaltar black. The rate for coaltar epoxy brown shall be adopted in data </t>
  </si>
  <si>
    <t>for Upstream side painting)</t>
  </si>
  <si>
    <t>PAINTING OF SLUICES FOR MAINTENANCE WORKS</t>
  </si>
  <si>
    <t xml:space="preserve">Surface cleaning of metal surfaces by chemical cleaners and then by hand and power tool cleaners </t>
  </si>
  <si>
    <t>Coal tar epoxy with material, labour, and all accessories with all leads and lifts.</t>
  </si>
  <si>
    <r>
      <t xml:space="preserve">and removing dust. After cleaniong, applying primary coat with </t>
    </r>
    <r>
      <rPr>
        <b/>
        <sz val="14"/>
        <rFont val="Arial"/>
        <family val="2"/>
      </rPr>
      <t>one coat</t>
    </r>
    <r>
      <rPr>
        <sz val="14"/>
        <rFont val="Arial"/>
        <family val="2"/>
      </rPr>
      <t xml:space="preserve"> of Zinc rich </t>
    </r>
  </si>
  <si>
    <r>
      <t xml:space="preserve">epoxy primer to a thickness of 100 microns, followed by finishing coats </t>
    </r>
    <r>
      <rPr>
        <b/>
        <sz val="14"/>
        <rFont val="Arial"/>
        <family val="2"/>
      </rPr>
      <t>2 coats</t>
    </r>
    <r>
      <rPr>
        <sz val="14"/>
        <rFont val="Arial"/>
        <family val="2"/>
      </rPr>
      <t xml:space="preserve"> with </t>
    </r>
  </si>
  <si>
    <t>A. Materials</t>
  </si>
  <si>
    <t>Rust Cleaner/ Inhibitor</t>
  </si>
  <si>
    <t>Coal Tar epoxy paint</t>
  </si>
  <si>
    <t>Wire Brush</t>
  </si>
  <si>
    <t>Sundries (brushes, Ladders, platforms)</t>
  </si>
  <si>
    <t>B. Machinery</t>
  </si>
  <si>
    <t>Total Cost of Machinery</t>
  </si>
  <si>
    <t>C. Labour</t>
  </si>
  <si>
    <t>Labour Component/ Unit Qty.</t>
  </si>
  <si>
    <t>Sq. m.</t>
  </si>
  <si>
    <t>Add Contractor's Profit and and Overhead Charges @</t>
  </si>
  <si>
    <t>Labour Component/ Unit Qty (including contractor' profit)</t>
  </si>
  <si>
    <t>A. Cost of Materials:</t>
  </si>
  <si>
    <t>D. Add for Excise Duty on 75% cost excluding cost of materials)</t>
  </si>
  <si>
    <t>E. Add for transportation Charges upto worksite @ 3%</t>
  </si>
  <si>
    <t>F. Add for Contractor's Profit and Overhead Charges @ 14%</t>
  </si>
  <si>
    <t>Total Cost per</t>
  </si>
  <si>
    <t>New Item 2013-14</t>
  </si>
  <si>
    <t>OT SLUICE SHUTTERS Screw Gear Hoist Including Platform for below 5 Tons Capacity (Small Gates)</t>
  </si>
  <si>
    <t xml:space="preserve">As per Guidelines of Chief Engineer, Central Designs Organization, Hyderabad Specification drawing for </t>
  </si>
  <si>
    <t>Krishna Delta System</t>
  </si>
  <si>
    <t>Fabrication, supply, erection, testing and commissioning of Embedded parts consisting of supporting structure,</t>
  </si>
  <si>
    <t xml:space="preserve"> platform etc. with all accessories for operating canal escape/ regulator gate with all accessories including cost of all</t>
  </si>
  <si>
    <t xml:space="preserve">materials, machinery, labour, cutting, bending, aligning, anchoring, welding, finishing etc. complete </t>
  </si>
  <si>
    <t>as per Specification and approved drawings</t>
  </si>
  <si>
    <t xml:space="preserve">(without painting on mechanical cleaning surfaces which are added extra as per schedule of rates </t>
  </si>
  <si>
    <t>under items in this chapter and add as applicable separately)</t>
  </si>
  <si>
    <t>Cast iron Components</t>
  </si>
  <si>
    <t>Hoist Body/lock nut/Main Nut etc.</t>
  </si>
  <si>
    <t>Bronze Alloy Steel Components</t>
  </si>
  <si>
    <t>Thrust Bearings</t>
  </si>
  <si>
    <t>MS Bolt/Nut/ Washer</t>
  </si>
  <si>
    <t>Welding electrodes (LH)</t>
  </si>
  <si>
    <t>Lathe machine (Screw Rod M/C)</t>
  </si>
  <si>
    <t xml:space="preserve">Fabrication, supply, erection, testing and commissioning of Embedded parts consisting of sil beam, slide tracks, </t>
  </si>
  <si>
    <t xml:space="preserve">seal seats, Guide plates etc. with all accessories including cost of all materials, machinery, labour, etc. </t>
  </si>
  <si>
    <t>complete as per specifications and approved drawings.</t>
  </si>
  <si>
    <t>Height of EM parts: 5.4 M</t>
  </si>
  <si>
    <t>Gate Size:</t>
  </si>
  <si>
    <t>0.99 X 0.875 M</t>
  </si>
  <si>
    <t>Stainless Steel Flats</t>
  </si>
  <si>
    <t>Welding electrodes (Stainless Steel)</t>
  </si>
  <si>
    <t xml:space="preserve">OT SLUICE SHUTTERS EM parts for Below 5 Tons capacity (small gates) </t>
  </si>
  <si>
    <t xml:space="preserve">OT SLUICE SHUTTERS for Below 5 Tons capacity (small gates) </t>
  </si>
  <si>
    <t xml:space="preserve">Fabrication, supply, erection, testing and commissioning of Sluice Shutters consisting of skin plate, horizontal </t>
  </si>
  <si>
    <t xml:space="preserve">and vertical angles, stiffeners, rubber seals, clamps with all accessories for sluice shutters including cost </t>
  </si>
  <si>
    <t>of all materials, machinery, labour, seal fixing etc., complete as per specifications and approved drawings</t>
  </si>
  <si>
    <t>Gate Size: 0.99 X 0.875 M</t>
  </si>
  <si>
    <t>GI Bolts/Nut/Washer</t>
  </si>
  <si>
    <t>Rubber Seals</t>
  </si>
  <si>
    <t>Bottom Seal</t>
  </si>
  <si>
    <r>
      <t xml:space="preserve">Excavation for foundation in </t>
    </r>
    <r>
      <rPr>
        <b/>
        <sz val="14"/>
        <rFont val="Calibri"/>
        <family val="2"/>
      </rPr>
      <t>hard rock (including F&amp;F rock)</t>
    </r>
    <r>
      <rPr>
        <b/>
        <sz val="14"/>
        <rFont val="Arial"/>
        <family val="2"/>
      </rPr>
      <t xml:space="preserve"> </t>
    </r>
    <r>
      <rPr>
        <sz val="14"/>
        <rFont val="Arial"/>
        <family val="2"/>
      </rPr>
      <t xml:space="preserve">including </t>
    </r>
  </si>
  <si>
    <r>
      <t xml:space="preserve">boulders above </t>
    </r>
    <r>
      <rPr>
        <b/>
        <sz val="14"/>
        <rFont val="Arial"/>
        <family val="2"/>
      </rPr>
      <t>0.6 m upto 1.2 m</t>
    </r>
    <r>
      <rPr>
        <sz val="14"/>
        <rFont val="Arial"/>
        <family val="2"/>
      </rPr>
      <t xml:space="preserve"> dia. </t>
    </r>
    <r>
      <rPr>
        <b/>
        <sz val="14"/>
        <rFont val="Arial"/>
        <family val="2"/>
      </rPr>
      <t xml:space="preserve">by controlled blasting and controlling fly rock by muffling arrangements </t>
    </r>
  </si>
  <si>
    <t xml:space="preserve">for dam, spillway, intake structure and other appurtenant works and other open foundation works and placing the excavated </t>
  </si>
  <si>
    <r>
      <t xml:space="preserve">material neatly in dump area or disposing off the same as directed etc., complete with </t>
    </r>
    <r>
      <rPr>
        <b/>
        <sz val="14"/>
        <rFont val="Arial"/>
        <family val="2"/>
      </rPr>
      <t>initial lead upto 1 km and all leads</t>
    </r>
  </si>
  <si>
    <t xml:space="preserve">Further, assuming disposal of 95% rock by shovel and dumper combination and 5% rock mainly for trimming/cleaning by manual labour </t>
  </si>
  <si>
    <t>and tipper, output of 0.5 crowbarman, 0.5 stone breaker, 2 mazdoors assumed at 5.0 cum per day.</t>
  </si>
  <si>
    <t xml:space="preserve">For controlling flying of rock fragments during blasting consider covering the blasting area with 20 gauge 50 X 50 mm opening chain </t>
  </si>
  <si>
    <t>link mesh and bags.</t>
  </si>
  <si>
    <t>Area of chain link mesh for 416 Sq m</t>
  </si>
  <si>
    <t>Add for overlaps @ 10%</t>
  </si>
  <si>
    <t>Add requirement for smooth blast hole area (20+21)*1.1</t>
  </si>
  <si>
    <t>or</t>
  </si>
  <si>
    <t>Add requirement for smooth blast holes and secondary blast holes say</t>
  </si>
  <si>
    <t>Deploy additional 8 mazdoors for spreading and removing wire mesh, sand bags etc.</t>
  </si>
  <si>
    <t>Sq m</t>
  </si>
  <si>
    <t>Use rate of Sand Bags</t>
  </si>
  <si>
    <r>
      <t xml:space="preserve">and redrilling in case of collapse of sides etc., </t>
    </r>
    <r>
      <rPr>
        <b/>
        <sz val="14"/>
        <rFont val="Arial"/>
        <family val="2"/>
      </rPr>
      <t>complete for depth upto 30 m from surface.</t>
    </r>
  </si>
  <si>
    <r>
      <t>and  redrilling in case of collapse of sides etc.,</t>
    </r>
    <r>
      <rPr>
        <b/>
        <sz val="14"/>
        <rFont val="Arial"/>
        <family val="2"/>
      </rPr>
      <t xml:space="preserve">  complete for depth upto 30 m from surface.</t>
    </r>
  </si>
  <si>
    <t>IRR-PMW-2-5-A</t>
  </si>
  <si>
    <t>Life of diamond core bit in all types of rock (other than hard rock)</t>
  </si>
  <si>
    <t xml:space="preserve">Drilling 76 mm dia ( NX ) core hole in all types of rocks (other than Hard Rock) including </t>
  </si>
  <si>
    <r>
      <rPr>
        <b/>
        <sz val="14"/>
        <rFont val="Arial"/>
        <family val="2"/>
      </rPr>
      <t>Masonry/CC  where  drilling is not possible by casing shoe</t>
    </r>
    <r>
      <rPr>
        <sz val="14"/>
        <rFont val="Arial"/>
        <family val="2"/>
      </rPr>
      <t xml:space="preserve"> using diamond core bit vertical /  </t>
    </r>
  </si>
  <si>
    <t xml:space="preserve">inclined upto 10 degree to vertical as directed including cost of all materials, machinery, labour,  </t>
  </si>
  <si>
    <r>
      <t xml:space="preserve">water charges, and  redrilling in case of collapse of sides etc., complete for </t>
    </r>
    <r>
      <rPr>
        <b/>
        <sz val="14"/>
        <rFont val="Arial"/>
        <family val="2"/>
      </rPr>
      <t>depth upto 30 m from</t>
    </r>
    <r>
      <rPr>
        <sz val="14"/>
        <rFont val="Arial"/>
        <family val="2"/>
      </rPr>
      <t xml:space="preserve"> </t>
    </r>
  </si>
  <si>
    <t>surface for Primary and Secondary Holes</t>
  </si>
  <si>
    <t>Life of reamer shell in all types of rock (other than hard rock)</t>
  </si>
  <si>
    <t>IRR-PMW-2-5-B</t>
  </si>
  <si>
    <t>For drilling upto 30 m from surface the rate of drilling is assumed at 3 m per day for analysis.</t>
  </si>
  <si>
    <r>
      <t xml:space="preserve">water charges, collection of core samples, logging and lebelling, supplying honne wood core box </t>
    </r>
    <r>
      <rPr>
        <sz val="14"/>
        <rFont val="Arial"/>
        <family val="2"/>
      </rPr>
      <t xml:space="preserve"> </t>
    </r>
  </si>
  <si>
    <r>
      <rPr>
        <sz val="14"/>
        <rFont val="Arial"/>
        <family val="2"/>
      </rPr>
      <t>and  redrilling in case of collapse of sides etc.,</t>
    </r>
    <r>
      <rPr>
        <b/>
        <sz val="14"/>
        <rFont val="Arial"/>
        <family val="2"/>
      </rPr>
      <t xml:space="preserve"> complete for depth upto 30 m from surface </t>
    </r>
  </si>
  <si>
    <t>for Test Holes</t>
  </si>
  <si>
    <t>upto 60 m from surface increase the basic rate per Rm by 25 percent.</t>
  </si>
  <si>
    <r>
      <t xml:space="preserve">1. For drilling in all types of rocks (other than hard rock) including masonry/CC  </t>
    </r>
    <r>
      <rPr>
        <sz val="14"/>
        <rFont val="Calibri"/>
        <family val="2"/>
      </rPr>
      <t xml:space="preserve">beyond 30 m </t>
    </r>
    <r>
      <rPr>
        <sz val="14"/>
        <rFont val="Arial"/>
        <family val="2"/>
      </rPr>
      <t xml:space="preserve"> </t>
    </r>
  </si>
  <si>
    <t xml:space="preserve">2. For drilling in all types of rocks (other than hard rock) including masonry/CC  m from </t>
  </si>
  <si>
    <t>surface increase the basic beyond 60 m upto 90 rate per Rm by 40 percent.</t>
  </si>
  <si>
    <t>IRR-PMW-2-6-A</t>
  </si>
  <si>
    <t xml:space="preserve">Drilling 47 mm (BX )dia core hole in all types of rocks (other than Hard Rock) including </t>
  </si>
  <si>
    <r>
      <t xml:space="preserve">water charges, and  redrilling in case of collapse of sides etc., complete for </t>
    </r>
    <r>
      <rPr>
        <b/>
        <sz val="14"/>
        <rFont val="Arial"/>
        <family val="2"/>
      </rPr>
      <t xml:space="preserve">depth upto 30 m </t>
    </r>
  </si>
  <si>
    <t>adopted - Guidance may be taken from Mechanical workshop in this regard</t>
  </si>
  <si>
    <t>Drilling 76 mm dia ( NX ) core hole in all types of rocks (other than Hard Rock) including  Masonry/CC  where  drilling is not possible by casing shoe using diamond core bit vertical /   inclined upto 10 degree to vertical as directed including cost of all materials, machinery, labour,   water charges, and  redrilling in case of collapse of sides etc., complete for depth upto 30 m from  surface for Primary and Secondary Holes</t>
  </si>
  <si>
    <r>
      <rPr>
        <b/>
        <sz val="14"/>
        <rFont val="Arial"/>
        <family val="2"/>
      </rPr>
      <t>Masonry/CC  (where  drilling is not possible by casing shoe)</t>
    </r>
    <r>
      <rPr>
        <sz val="14"/>
        <rFont val="Arial"/>
        <family val="2"/>
      </rPr>
      <t xml:space="preserve"> using diamond core bit vertical /  </t>
    </r>
  </si>
  <si>
    <r>
      <rPr>
        <b/>
        <sz val="14"/>
        <rFont val="Arial"/>
        <family val="2"/>
      </rPr>
      <t>Drilling 76 mm dia ( NX )</t>
    </r>
    <r>
      <rPr>
        <sz val="14"/>
        <rFont val="Arial"/>
        <family val="2"/>
      </rPr>
      <t xml:space="preserve"> core hole </t>
    </r>
    <r>
      <rPr>
        <b/>
        <sz val="14"/>
        <rFont val="Arial"/>
        <family val="2"/>
      </rPr>
      <t>in all types of rocks (other than Hard Rock) including  Masonry/CC</t>
    </r>
    <r>
      <rPr>
        <sz val="14"/>
        <rFont val="Arial"/>
        <family val="2"/>
      </rPr>
      <t xml:space="preserve">  (where  </t>
    </r>
    <r>
      <rPr>
        <b/>
        <sz val="14"/>
        <rFont val="Arial"/>
        <family val="2"/>
      </rPr>
      <t>drilling is not possible by casing shoe)</t>
    </r>
    <r>
      <rPr>
        <sz val="14"/>
        <rFont val="Arial"/>
        <family val="2"/>
      </rPr>
      <t xml:space="preserve"> using diamond core bit vertical /   inclined upto 10 degree to vertical as directed including cost of all materials, machinery, labour,   water charges, and  redrilling in case of collapse of sides etc., complete for depth upto 30 m from  surface </t>
    </r>
    <r>
      <rPr>
        <b/>
        <sz val="14"/>
        <rFont val="Arial"/>
        <family val="2"/>
      </rPr>
      <t xml:space="preserve">for Primary and Secondary Holes
</t>
    </r>
    <r>
      <rPr>
        <sz val="14"/>
        <rFont val="Arial"/>
        <family val="2"/>
      </rPr>
      <t xml:space="preserve">
1. For drilling in all types of rocks (other than hard rock) including masonry/CC  beyond 30 m upto 60 m from surface increase the rate per Rm by 25 percent.
2. For drilling in all types of rocks (other than hard rock) including masonry/CC  beyond 60 m upto 90 m from surface increase the rate per Rm by 40 percent.</t>
    </r>
  </si>
  <si>
    <r>
      <rPr>
        <b/>
        <sz val="14"/>
        <rFont val="Arial"/>
        <family val="2"/>
      </rPr>
      <t>Drilling 76 mm dia ( NX )</t>
    </r>
    <r>
      <rPr>
        <sz val="14"/>
        <rFont val="Arial"/>
        <family val="2"/>
      </rPr>
      <t xml:space="preserve"> core hole </t>
    </r>
    <r>
      <rPr>
        <b/>
        <sz val="14"/>
        <rFont val="Arial"/>
        <family val="2"/>
      </rPr>
      <t>in all types of rocks (other than Hard Rock) including  Masonry/CC</t>
    </r>
    <r>
      <rPr>
        <sz val="14"/>
        <rFont val="Arial"/>
        <family val="2"/>
      </rPr>
      <t xml:space="preserve">  (where  </t>
    </r>
    <r>
      <rPr>
        <b/>
        <sz val="14"/>
        <rFont val="Arial"/>
        <family val="2"/>
      </rPr>
      <t>drilling is not possible by casing shoe)</t>
    </r>
    <r>
      <rPr>
        <sz val="14"/>
        <rFont val="Arial"/>
        <family val="2"/>
      </rPr>
      <t xml:space="preserve"> using diamond core bit vertical /   inclined upto 10 degree to vertical as directed including cost of all materials, machinery, labour,   water charges, collection of core samples, logging and lebelling, supplying honne wood core box and  redrilling in case of collapse of sides etc., complete for depth upto 30 m from  surface </t>
    </r>
    <r>
      <rPr>
        <b/>
        <sz val="14"/>
        <rFont val="Arial"/>
        <family val="2"/>
      </rPr>
      <t xml:space="preserve">for Test Holes
</t>
    </r>
    <r>
      <rPr>
        <sz val="14"/>
        <rFont val="Arial"/>
        <family val="2"/>
      </rPr>
      <t xml:space="preserve">
1. For drilling in all types of rocks (other than hard rock) including masonry/CC  beyond 30 m upto 60 m from surface increase the rate per Rm by 25 percent.
2. For drilling in all types of rocks (other than hard rock) including masonry/CC  beyond 60 m upto 90 m from surface increase the rate per Rm by 40 percent.</t>
    </r>
  </si>
  <si>
    <r>
      <rPr>
        <b/>
        <sz val="14"/>
        <rFont val="Arial"/>
        <family val="2"/>
      </rPr>
      <t xml:space="preserve">Drilling 47 mm (BX )dia core hole in all types of rocks (other than Hard Rock) including  Masonry/CC </t>
    </r>
    <r>
      <rPr>
        <sz val="14"/>
        <rFont val="Arial"/>
        <family val="2"/>
      </rPr>
      <t xml:space="preserve"> (where  drilling is not possible by casing shoe) using diamond core bit vertical /   inclined upto 10 degree to vertical as directed including cost of all materials, machinery, labour,   water charges, and  redrilling in case of collapse of sides etc.,</t>
    </r>
    <r>
      <rPr>
        <b/>
        <sz val="14"/>
        <rFont val="Arial"/>
        <family val="2"/>
      </rPr>
      <t xml:space="preserve"> complete for depth upto 30 m </t>
    </r>
    <r>
      <rPr>
        <sz val="14"/>
        <rFont val="Arial"/>
        <family val="2"/>
      </rPr>
      <t xml:space="preserve">
1. For drilling in all types of rocks (other than hard rock) including masonry/CC  beyond 30 m upto 60 m from surface increase the rate per Rm by 25 percent.
2. For drilling in all types of rocks (other than hard rock) including masonry/CC  beyond 60 m upto 90 m from surface increase the rate per Rm by 40 percent.</t>
    </r>
  </si>
  <si>
    <r>
      <rPr>
        <u/>
        <sz val="14"/>
        <rFont val="Arial"/>
        <family val="2"/>
      </rPr>
      <t>PAINTING OF SLUICES FOR MAINTENANCE WORKS</t>
    </r>
    <r>
      <rPr>
        <sz val="14"/>
        <rFont val="Arial"/>
        <family val="2"/>
      </rPr>
      <t xml:space="preserve">
Surface cleaning of metal surfaces by chemical cleaners and then by hand and power tool cleaners  and removing dust. After cleaniong, applying primary coat with one coat of Zinc rich  epoxy primer to a thickness of 100 microns, followed by finishing coats 2 coats with  Coal tar epoxy with material, labour, and all accessories with all leads and lifts.</t>
    </r>
  </si>
  <si>
    <t>IRR-PMW-3-22 (new Item5 2010-11) (for Minor Works)</t>
  </si>
  <si>
    <t>IRR-PMW-3-23 (new Item6 2010-11)  (for Minor Works)</t>
  </si>
  <si>
    <t>(For Minor Works)</t>
  </si>
  <si>
    <r>
      <rPr>
        <b/>
        <sz val="14"/>
        <rFont val="Arial"/>
        <family val="2"/>
      </rPr>
      <t xml:space="preserve">OT SLUICE SHUTTERS Screw Gear Hoist Including Platform for below 5 Tons Capacity (Small Gates)
</t>
    </r>
    <r>
      <rPr>
        <sz val="14"/>
        <rFont val="Arial"/>
        <family val="2"/>
      </rPr>
      <t xml:space="preserve"> </t>
    </r>
    <r>
      <rPr>
        <u/>
        <sz val="14"/>
        <rFont val="Arial"/>
        <family val="2"/>
      </rPr>
      <t>As per Guidelines of Chief Engineer, Central Designs Organization, Hyderabad Specification drawing for  Krishna Delta System</t>
    </r>
    <r>
      <rPr>
        <sz val="14"/>
        <rFont val="Arial"/>
        <family val="2"/>
      </rPr>
      <t xml:space="preserve"> 
Fabrication, supply, erection, testing and commissioning of Embedded parts consisting of supporting structure,  platform etc. with all accessories for operating canal escape/ regulator gate with all accessories including cost of all materials, machinery, labour, cutting, bending, aligning, anchoring, welding, finishing etc. complete  as per Specification and approved drawings (without painting on mechanical cleaning surfaces which are added extra as per schedule of rates  under items in this chapter and add as applicable separately)</t>
    </r>
  </si>
  <si>
    <r>
      <rPr>
        <b/>
        <sz val="14"/>
        <rFont val="Arial"/>
        <family val="2"/>
      </rPr>
      <t>OT SLUICE SHUTTERS EM parts for Below 5 Tons capacity (small gates)</t>
    </r>
    <r>
      <rPr>
        <sz val="14"/>
        <rFont val="Arial"/>
        <family val="2"/>
      </rPr>
      <t xml:space="preserve"> 
</t>
    </r>
    <r>
      <rPr>
        <u/>
        <sz val="14"/>
        <rFont val="Arial"/>
        <family val="2"/>
      </rPr>
      <t>As per Guidelines of Chief Engineer, Central Designs Organization, Hyderabad Specification drawing for  Krishna Delta System</t>
    </r>
    <r>
      <rPr>
        <sz val="14"/>
        <rFont val="Arial"/>
        <family val="2"/>
      </rPr>
      <t xml:space="preserve"> 
Fabrication, supply, erection, testing and commissioning of Embedded parts consisting of sil beam, slide tracks,  seal seats, Guide plates etc. with all accessories including cost of all materials, machinery, labour, etc.  complete as per specifications and approved drawings. (without painting on mechanical cleaning surfaces which are added extra as per schedule of rates  under items in this chapter and add as applicable separately)</t>
    </r>
  </si>
  <si>
    <r>
      <rPr>
        <b/>
        <sz val="14"/>
        <rFont val="Arial"/>
        <family val="2"/>
      </rPr>
      <t>OT SLUICE SHUTTERS for Below 5 Tons capacity (small gates)</t>
    </r>
    <r>
      <rPr>
        <sz val="14"/>
        <rFont val="Arial"/>
        <family val="2"/>
      </rPr>
      <t xml:space="preserve">  
</t>
    </r>
    <r>
      <rPr>
        <u/>
        <sz val="14"/>
        <rFont val="Arial"/>
        <family val="2"/>
      </rPr>
      <t>As per Guidelines of Chief Engineer, Central Designs Organization, Hyderabad Specification drawing for  Krishna Delta System</t>
    </r>
    <r>
      <rPr>
        <sz val="14"/>
        <rFont val="Arial"/>
        <family val="2"/>
      </rPr>
      <t xml:space="preserve"> 
Fabrication, supply, erection, testing and commissioning of Sluice Shutters consisting of skin plate, horizontal  and vertical angles, stiffeners, rubber seals, clamps with all accessories for sluice shutters including cost  of all materials, machinery, labour, seal fixing etc., complete as per specifications and approved drawings (without painting on mechanical cleaning surfaces which are added extra as per schedule of rates  under items in this chapter and add as applicable separately)</t>
    </r>
  </si>
  <si>
    <r>
      <rPr>
        <b/>
        <sz val="14"/>
        <rFont val="Arial"/>
        <family val="2"/>
      </rPr>
      <t>painting of embedded metal parts and all types of gates</t>
    </r>
    <r>
      <rPr>
        <sz val="14"/>
        <rFont val="Arial"/>
        <family val="2"/>
      </rPr>
      <t xml:space="preserve">, stoplogs,etc, on sand blasted   surfaces with </t>
    </r>
    <r>
      <rPr>
        <b/>
        <sz val="14"/>
        <rFont val="Arial"/>
        <family val="2"/>
      </rPr>
      <t>one coat</t>
    </r>
    <r>
      <rPr>
        <sz val="14"/>
        <rFont val="Arial"/>
        <family val="2"/>
      </rPr>
      <t xml:space="preserve"> of inorganic zinc silicate (airless spray preferred)70+/- 5 and  </t>
    </r>
    <r>
      <rPr>
        <b/>
        <sz val="14"/>
        <rFont val="Arial"/>
        <family val="2"/>
      </rPr>
      <t>two super coats</t>
    </r>
    <r>
      <rPr>
        <sz val="14"/>
        <rFont val="Arial"/>
        <family val="2"/>
      </rPr>
      <t xml:space="preserve"> with a total thickness of 300 microns  (each 150+/- 5) of solventless  coaltar epoxy paint each coat 150 microns ( total  300 microns) cost of all materials, labour, scaffolding etc., complete with all leads and all lifts  
</t>
    </r>
    <r>
      <rPr>
        <b/>
        <sz val="14"/>
        <rFont val="Arial"/>
        <family val="2"/>
      </rPr>
      <t>(Upstream surface of gates portion may be painted with solventless coaltar epoxy brown paint  instead of solventless  coaltar black. The rate for coaltar epoxy brown shall be adopted in data  for Upstream side painting)</t>
    </r>
  </si>
  <si>
    <r>
      <rPr>
        <b/>
        <sz val="14"/>
        <rFont val="Arial"/>
        <family val="2"/>
      </rPr>
      <t>painting of Lifting beams,cat walks and other similar  structures</t>
    </r>
    <r>
      <rPr>
        <sz val="14"/>
        <rFont val="Arial"/>
        <family val="2"/>
      </rPr>
      <t xml:space="preserve">-painting hoist machinery,  on sand blasted  surfaces with </t>
    </r>
    <r>
      <rPr>
        <b/>
        <sz val="14"/>
        <rFont val="Arial"/>
        <family val="2"/>
      </rPr>
      <t>two coats</t>
    </r>
    <r>
      <rPr>
        <sz val="14"/>
        <rFont val="Arial"/>
        <family val="2"/>
      </rPr>
      <t xml:space="preserve"> of zinc phosphate primer (airless spray preferred)  40microns/coat and   </t>
    </r>
    <r>
      <rPr>
        <b/>
        <sz val="14"/>
        <rFont val="Arial"/>
        <family val="2"/>
      </rPr>
      <t>twocoats</t>
    </r>
    <r>
      <rPr>
        <sz val="14"/>
        <rFont val="Arial"/>
        <family val="2"/>
      </rPr>
      <t xml:space="preserve"> of alkyd based micaccous iron oxide paint , 65 microns/coat cost of all materials, labour, scaffolding etc., complete with all leads and all lifts</t>
    </r>
  </si>
  <si>
    <t>40microns/coat and   twocoats of alkyd based micaccous iron oxide paint , 65 microns/coat</t>
  </si>
  <si>
    <r>
      <rPr>
        <b/>
        <sz val="14"/>
        <rFont val="Arial"/>
        <family val="2"/>
      </rPr>
      <t>HOISTS:STRUCTURAL COMPONENTS</t>
    </r>
    <r>
      <rPr>
        <sz val="14"/>
        <rFont val="Arial"/>
        <family val="2"/>
      </rPr>
      <t xml:space="preserve">--
</t>
    </r>
    <r>
      <rPr>
        <b/>
        <sz val="14"/>
        <rFont val="Arial"/>
        <family val="2"/>
      </rPr>
      <t>painting structurals on sand blasted surfaces</t>
    </r>
    <r>
      <rPr>
        <sz val="14"/>
        <rFont val="Arial"/>
        <family val="2"/>
      </rPr>
      <t xml:space="preserve"> with </t>
    </r>
    <r>
      <rPr>
        <b/>
        <sz val="14"/>
        <rFont val="Arial"/>
        <family val="2"/>
      </rPr>
      <t>two coats</t>
    </r>
    <r>
      <rPr>
        <sz val="14"/>
        <rFont val="Arial"/>
        <family val="2"/>
      </rPr>
      <t xml:space="preserve"> of zinc phosphate primer (airless spray preferred) 40microns/coat and  </t>
    </r>
    <r>
      <rPr>
        <b/>
        <sz val="14"/>
        <rFont val="Arial"/>
        <family val="2"/>
      </rPr>
      <t>one coat</t>
    </r>
    <r>
      <rPr>
        <sz val="14"/>
        <rFont val="Arial"/>
        <family val="2"/>
      </rPr>
      <t xml:space="preserve">  65+/-5 of alkyd based micaccous iron oxide paint  followed by  </t>
    </r>
    <r>
      <rPr>
        <b/>
        <sz val="14"/>
        <rFont val="Arial"/>
        <family val="2"/>
      </rPr>
      <t>two coats</t>
    </r>
    <r>
      <rPr>
        <sz val="14"/>
        <rFont val="Arial"/>
        <family val="2"/>
      </rPr>
      <t xml:space="preserve"> of synthetic enamel paint 25 microns/coat   cost of all materials, labour, scaffolding etc., complete with all leads and all lifts</t>
    </r>
  </si>
  <si>
    <r>
      <rPr>
        <b/>
        <sz val="14"/>
        <rFont val="Arial"/>
        <family val="2"/>
      </rPr>
      <t>HOISTS:machineryCOMPONENTS</t>
    </r>
    <r>
      <rPr>
        <sz val="14"/>
        <rFont val="Arial"/>
        <family val="2"/>
      </rPr>
      <t xml:space="preserve">--
</t>
    </r>
    <r>
      <rPr>
        <b/>
        <sz val="14"/>
        <rFont val="Arial"/>
        <family val="2"/>
      </rPr>
      <t>painting hoist machinery, on sand blasted surfaces</t>
    </r>
    <r>
      <rPr>
        <sz val="14"/>
        <rFont val="Arial"/>
        <family val="2"/>
      </rPr>
      <t xml:space="preserve"> with </t>
    </r>
    <r>
      <rPr>
        <b/>
        <sz val="14"/>
        <rFont val="Arial"/>
        <family val="2"/>
      </rPr>
      <t>one coats</t>
    </r>
    <r>
      <rPr>
        <sz val="14"/>
        <rFont val="Arial"/>
        <family val="2"/>
      </rPr>
      <t xml:space="preserve"> of zinc phosphate primer (airless spray preferred) 50microns/coat and   </t>
    </r>
    <r>
      <rPr>
        <b/>
        <sz val="14"/>
        <rFont val="Arial"/>
        <family val="2"/>
      </rPr>
      <t>three coats</t>
    </r>
    <r>
      <rPr>
        <sz val="14"/>
        <rFont val="Arial"/>
        <family val="2"/>
      </rPr>
      <t xml:space="preserve"> of aluminium paint or synthetic enamel , 25 microns/coat cost of all materials, labour, scaffolding etc., complete with all leads and all lifts</t>
    </r>
  </si>
  <si>
    <r>
      <rPr>
        <b/>
        <sz val="14"/>
        <rFont val="Arial"/>
        <family val="2"/>
      </rPr>
      <t>E.M Parts  OF ALL TYPES OF GATES</t>
    </r>
    <r>
      <rPr>
        <sz val="14"/>
        <rFont val="Arial"/>
        <family val="2"/>
      </rPr>
      <t xml:space="preserve"> 
Surface cleaning of metal surfaces by chemical cleaners and then by hand and power tool cleaners and removing  dust. After cleaning,applying primary coat with </t>
    </r>
    <r>
      <rPr>
        <b/>
        <sz val="14"/>
        <rFont val="Arial"/>
        <family val="2"/>
      </rPr>
      <t>one coat of Protective Mastic</t>
    </r>
    <r>
      <rPr>
        <sz val="14"/>
        <rFont val="Arial"/>
        <family val="2"/>
      </rPr>
      <t xml:space="preserve"> to athickness of 70+5 microns  ,followed by finishing coats </t>
    </r>
    <r>
      <rPr>
        <b/>
        <sz val="14"/>
        <rFont val="Arial"/>
        <family val="2"/>
      </rPr>
      <t>2 coats</t>
    </r>
    <r>
      <rPr>
        <sz val="14"/>
        <rFont val="Arial"/>
        <family val="2"/>
      </rPr>
      <t xml:space="preserve"> with coal tar epoxy each coat with a DFT of 150+5 microns and total DFT of all coats including Primary coat should not be less than 350 microns with material, labour and all accessories with all leads and lifts 
</t>
    </r>
    <r>
      <rPr>
        <b/>
        <sz val="14"/>
        <rFont val="Arial"/>
        <family val="2"/>
      </rPr>
      <t>(in respect of Heavily rusted (30 to 40% rusted) surfaces)</t>
    </r>
  </si>
  <si>
    <r>
      <rPr>
        <b/>
        <sz val="14"/>
        <rFont val="Arial"/>
        <family val="2"/>
      </rPr>
      <t>HOIST BRIDGES ,HOISTING EQUIPMENT AND CRANES,Etc,</t>
    </r>
    <r>
      <rPr>
        <sz val="14"/>
        <rFont val="Arial"/>
        <family val="2"/>
      </rPr>
      <t xml:space="preserve"> 
Surface cleaning of metal surfaces by chemical cleaners and then by hand and power tool cleaners  and removing dust. After cleaning,applying primary coat with </t>
    </r>
    <r>
      <rPr>
        <b/>
        <sz val="14"/>
        <rFont val="Arial"/>
        <family val="2"/>
      </rPr>
      <t>two coats of Zinc chromite red oxide primer</t>
    </r>
    <r>
      <rPr>
        <sz val="14"/>
        <rFont val="Arial"/>
        <family val="2"/>
      </rPr>
      <t xml:space="preserve"> , followed by finishing coats </t>
    </r>
    <r>
      <rPr>
        <b/>
        <sz val="14"/>
        <rFont val="Arial"/>
        <family val="2"/>
      </rPr>
      <t>3 coats  with synthetic enamel paint</t>
    </r>
    <r>
      <rPr>
        <sz val="14"/>
        <rFont val="Arial"/>
        <family val="2"/>
      </rPr>
      <t xml:space="preserve"> with material, labour,and all accessories  with all leads and lifts   
where surface cleaning by sand blasting is not feasible and based on specific  recommendations of designers, it is to adopt  surface preperation  done manually  by hand and power tool   after cleaning by chemical treatment to remove grease, rust, scaling etc., and to form phasphate coating  to prevent further rusting, before applying primer painting.</t>
    </r>
  </si>
  <si>
    <r>
      <t xml:space="preserve"> </t>
    </r>
    <r>
      <rPr>
        <b/>
        <sz val="14"/>
        <rFont val="Arial"/>
        <family val="2"/>
      </rPr>
      <t>WALK WAYS( CAT WALKS), LIFTING BEAMS,</t>
    </r>
    <r>
      <rPr>
        <sz val="14"/>
        <rFont val="Arial"/>
        <family val="2"/>
      </rPr>
      <t xml:space="preserve">etc, 
Surface cleaning of metal surfaces by chemical cleaners and then by hand and power tool cleaners  and removing dust. After cleaning,applying primary coat with </t>
    </r>
    <r>
      <rPr>
        <b/>
        <sz val="14"/>
        <rFont val="Arial"/>
        <family val="2"/>
      </rPr>
      <t>one coat of Zinc rich epoxy primer</t>
    </r>
    <r>
      <rPr>
        <sz val="14"/>
        <rFont val="Arial"/>
        <family val="2"/>
      </rPr>
      <t xml:space="preserve"> to  a thickness of 40 microns ,followed by  finishing  coats </t>
    </r>
    <r>
      <rPr>
        <b/>
        <sz val="14"/>
        <rFont val="Arial"/>
        <family val="2"/>
      </rPr>
      <t>2 coats  with coal tar epoxy</t>
    </r>
    <r>
      <rPr>
        <sz val="14"/>
        <rFont val="Arial"/>
        <family val="2"/>
      </rPr>
      <t xml:space="preserve"> with material, labour, and all accessories with all leads and lifts  </t>
    </r>
  </si>
  <si>
    <t>Rs/Tonne</t>
  </si>
  <si>
    <t>Lead Charges for 1 Km for CA</t>
  </si>
  <si>
    <t xml:space="preserve">Lead Charges for 1 Km for FA </t>
  </si>
  <si>
    <t>cum @</t>
  </si>
  <si>
    <t>tonne @</t>
  </si>
  <si>
    <t>Lead Charges for 1 Km for CA and Plums</t>
  </si>
  <si>
    <t xml:space="preserve">Lead Charges for 1 Km for CA </t>
  </si>
  <si>
    <t>Lead Charges for 1 Km for Stones/Stone Chips</t>
  </si>
  <si>
    <t>Lead Charges for 1 Km for Stones and Stone Chips</t>
  </si>
  <si>
    <t>Painting of Hoast Gates is to be done as per IS 14177:1994</t>
  </si>
  <si>
    <r>
      <t xml:space="preserve">,followed by finishing coats </t>
    </r>
    <r>
      <rPr>
        <b/>
        <sz val="14"/>
        <rFont val="Arial"/>
        <family val="2"/>
      </rPr>
      <t xml:space="preserve">2 coats </t>
    </r>
    <r>
      <rPr>
        <sz val="14"/>
        <rFont val="Arial"/>
        <family val="2"/>
      </rPr>
      <t>with Solventless Coal tar epoxy each coat with a DFT of 150</t>
    </r>
    <r>
      <rPr>
        <u/>
        <sz val="14"/>
        <rFont val="Arial"/>
        <family val="2"/>
      </rPr>
      <t>+</t>
    </r>
    <r>
      <rPr>
        <sz val="14"/>
        <rFont val="Arial"/>
        <family val="2"/>
      </rPr>
      <t>5 microns</t>
    </r>
  </si>
  <si>
    <t>Solventless Coal tar epoxy paint</t>
  </si>
  <si>
    <r>
      <t xml:space="preserve">a thickness of 40 microns ,followed by  finishing  coats </t>
    </r>
    <r>
      <rPr>
        <b/>
        <sz val="14"/>
        <rFont val="Arial"/>
        <family val="2"/>
      </rPr>
      <t>2 coats</t>
    </r>
    <r>
      <rPr>
        <sz val="14"/>
        <rFont val="Arial"/>
        <family val="2"/>
      </rPr>
      <t xml:space="preserve">  with Solventless Coal tar epoxy with material, </t>
    </r>
  </si>
  <si>
    <r>
      <t xml:space="preserve">labour and all accessories </t>
    </r>
    <r>
      <rPr>
        <b/>
        <sz val="14"/>
        <rFont val="Arial"/>
        <family val="2"/>
      </rPr>
      <t xml:space="preserve">with all leads and lifts  </t>
    </r>
  </si>
  <si>
    <t>Solvetnless Coal tar epoxy paint</t>
  </si>
  <si>
    <t>Seigniorage Charges:</t>
  </si>
  <si>
    <r>
      <t xml:space="preserve">1. The unit rate for work item in the Standard Data is </t>
    </r>
    <r>
      <rPr>
        <b/>
        <sz val="14"/>
        <rFont val="Arial"/>
        <family val="2"/>
      </rPr>
      <t xml:space="preserve">exclusive of Seigniorage Charges </t>
    </r>
    <r>
      <rPr>
        <sz val="14"/>
        <rFont val="Arial"/>
        <family val="2"/>
      </rPr>
      <t>wherever applicable.</t>
    </r>
  </si>
  <si>
    <t>2. The appropriate Seigniorage Charges for relevant materials are to be added to the Unit rate of work item while preparing the estimate. (i.e., to the data itself)</t>
  </si>
  <si>
    <r>
      <t xml:space="preserve">3. The Provision towards Contractor's Profit and Overhead charges </t>
    </r>
    <r>
      <rPr>
        <b/>
        <sz val="14"/>
        <rFont val="Arial"/>
        <family val="2"/>
      </rPr>
      <t xml:space="preserve">should not be operated on </t>
    </r>
    <r>
      <rPr>
        <sz val="14"/>
        <rFont val="Arial"/>
        <family val="2"/>
      </rPr>
      <t xml:space="preserve">the Seigniorage Charges while adding Seigniorage Charges   </t>
    </r>
  </si>
  <si>
    <t>to the data in the estimate</t>
  </si>
  <si>
    <t>Additional Lead and Lift Charges:</t>
  </si>
  <si>
    <t>1. Unless otherwise specified the basic rates are inclusive of all lifts.</t>
  </si>
  <si>
    <t>Lead Charges for 1Km for Cement 1.05 Tonne @ (including Loading and Unloading Charges)</t>
  </si>
  <si>
    <t>Lead Charges for 1Km for Steel (including Loading and Unloading Charges)</t>
  </si>
  <si>
    <t xml:space="preserve">labour charges, all heads, lifts, centering, scaffolding, machine mixing, </t>
  </si>
  <si>
    <t>Painting Charges added extra to the data items as per applicability wherver necessary</t>
  </si>
  <si>
    <t>A.Cost of Materials</t>
  </si>
  <si>
    <r>
      <t xml:space="preserve">The rates for materials shall be </t>
    </r>
    <r>
      <rPr>
        <b/>
        <sz val="10"/>
        <rFont val="Arial"/>
        <family val="2"/>
      </rPr>
      <t>exclusive</t>
    </r>
    <r>
      <rPr>
        <sz val="10"/>
        <rFont val="Arial"/>
        <family val="2"/>
      </rPr>
      <t xml:space="preserve"> of seigniorage charges wherever applicable.</t>
    </r>
  </si>
  <si>
    <r>
      <rPr>
        <b/>
        <sz val="14"/>
        <rFont val="Arial"/>
        <family val="2"/>
      </rPr>
      <t>Shortcreting in two layers (each layer+38 mm thickness) for slabs</t>
    </r>
    <r>
      <rPr>
        <sz val="14"/>
        <rFont val="Arial"/>
        <family val="2"/>
      </rPr>
      <t xml:space="preserve"> duly fixing chain weld wire mesh 100 x 100x5 mm in between the two layers including cost and conveyance of all materials, labour charges, all heads, lifts, centering, scaffolding, machine mixing, laying concrete with shortcrete machine etc. complete as per specification and as directed by Engineer-in-Charge</t>
    </r>
  </si>
  <si>
    <t>included in basic rate shall be deducted from total lead charges. No loading and unloading charges shall be allowed for any item.</t>
  </si>
  <si>
    <t>Example:</t>
  </si>
  <si>
    <t xml:space="preserve">Total lead for sand from approved sand quarry : </t>
  </si>
  <si>
    <t>Km</t>
  </si>
  <si>
    <t xml:space="preserve">Initial lead included in the basic rate in the SR : </t>
  </si>
  <si>
    <t xml:space="preserve">Additional lead charges : </t>
  </si>
  <si>
    <t xml:space="preserve">Lead charges for 5 km </t>
  </si>
  <si>
    <t xml:space="preserve">Lead charges for next 10 km </t>
  </si>
  <si>
    <t xml:space="preserve">Total lead charges for 15 km /cum </t>
  </si>
  <si>
    <t>Less 1 km initial lead charges /cum</t>
  </si>
  <si>
    <t xml:space="preserve">Net additional lead charges / cum </t>
  </si>
  <si>
    <t>(-)</t>
  </si>
  <si>
    <t>In case of Cement and Steel, Loading and unloading charges are already added in the work item while arriving the unit rate and hence should not be added again</t>
  </si>
  <si>
    <t xml:space="preserve">Additional lead charges for Earth, Murrum etc., shall be worked out for total lead involved and 1 km lead charges included in basic rate shall be deducted from total </t>
  </si>
  <si>
    <t xml:space="preserve">Total lead for earth from approved borrow area : </t>
  </si>
  <si>
    <r>
      <t>lead charges. No loading and unloading charges shall be allowed for any item. (</t>
    </r>
    <r>
      <rPr>
        <b/>
        <sz val="14"/>
        <rFont val="Arial"/>
        <family val="2"/>
      </rPr>
      <t>same as above</t>
    </r>
    <r>
      <rPr>
        <sz val="14"/>
        <rFont val="Arial"/>
        <family val="2"/>
      </rPr>
      <t>)</t>
    </r>
  </si>
  <si>
    <t>Directions to add Seigniorage Charges and Additional Lead Charges</t>
  </si>
  <si>
    <t xml:space="preserve">2. The appropriate Seigniorage Charges for relevant materials are to be added to the Unit rate of work item while preparing the estimate. </t>
  </si>
  <si>
    <t>(i.e., to the data itself)</t>
  </si>
  <si>
    <r>
      <t xml:space="preserve">3. The Provision towards Contractor's Profit and Overhead charges </t>
    </r>
    <r>
      <rPr>
        <b/>
        <sz val="14"/>
        <rFont val="Arial"/>
        <family val="2"/>
      </rPr>
      <t xml:space="preserve">should not be operated on </t>
    </r>
    <r>
      <rPr>
        <sz val="14"/>
        <rFont val="Arial"/>
        <family val="2"/>
      </rPr>
      <t xml:space="preserve">the Seigniorage Charges </t>
    </r>
  </si>
  <si>
    <t>while adding Seigniorage Charges to the data in the estimate</t>
  </si>
  <si>
    <t xml:space="preserve">and 1 km lead charges included in basic rate shall be deducted from total lead charges. No loading and unloading charges shall be </t>
  </si>
  <si>
    <t>allowed for any item.</t>
  </si>
  <si>
    <t xml:space="preserve">In case of Cement and Steel, Loading and unloading charges are already added in the work item while arriving the unit rate and </t>
  </si>
  <si>
    <t>hence should not be added again</t>
  </si>
  <si>
    <t xml:space="preserve">Additional lead charges for Earth, Murrum etc., shall be worked out for total lead involved and 1 km lead charges included in basic </t>
  </si>
  <si>
    <t>rate shall be deducted from total lead charges. No loading and unloading charges shall be allowed for any item. (same as above)</t>
  </si>
  <si>
    <t xml:space="preserve">Additional lead charges for Earth, Murrum etc., shall be worked out for total lead involved and 1 km lead charges included </t>
  </si>
  <si>
    <t xml:space="preserve"> lead involved  and 1 km lead charges included in basic rate shall be deducted from total lead charges. No loading and </t>
  </si>
  <si>
    <t>unloading charges shall be  allowed for any item.</t>
  </si>
  <si>
    <t xml:space="preserve">In case of Cement and Steel, Loading and unloading charges are already added in the work item while arriving the unit rate </t>
  </si>
  <si>
    <t xml:space="preserve"> and hence should not be added again</t>
  </si>
  <si>
    <t xml:space="preserve"> in basic rate shall be deducted from total lead charges. No loading and unloading charges shall be allowed for any item. </t>
  </si>
  <si>
    <t>(same as above)</t>
  </si>
  <si>
    <t>2. The appropriate Seigniorage Charges for relevant materials are to be added to the Unit rate of work item while preparing</t>
  </si>
  <si>
    <t xml:space="preserve"> the estimate.  (i.e., to the data itself)</t>
  </si>
  <si>
    <t>CAW-Work Items</t>
  </si>
  <si>
    <t>CCDW - Work Items</t>
  </si>
  <si>
    <t>PMW - Work Items</t>
  </si>
  <si>
    <t>GAW - Work Items</t>
  </si>
  <si>
    <t>TAW -Work Items</t>
  </si>
  <si>
    <t>DAW - Work Items</t>
  </si>
  <si>
    <r>
      <t xml:space="preserve">2. For concrete, masonry and reinforcement items </t>
    </r>
    <r>
      <rPr>
        <b/>
        <sz val="14"/>
        <rFont val="Arial"/>
        <family val="2"/>
      </rPr>
      <t>wherever</t>
    </r>
    <r>
      <rPr>
        <sz val="14"/>
        <rFont val="Arial"/>
        <family val="2"/>
      </rPr>
      <t xml:space="preserve"> initial lead of 1km is considered in the basic rate, the additional lead charges are to be added </t>
    </r>
  </si>
  <si>
    <t>as follows:</t>
  </si>
  <si>
    <r>
      <t xml:space="preserve">2. For concrete, masonry and reinforcement items </t>
    </r>
    <r>
      <rPr>
        <b/>
        <sz val="14"/>
        <rFont val="Arial"/>
        <family val="2"/>
      </rPr>
      <t>wherever</t>
    </r>
    <r>
      <rPr>
        <sz val="14"/>
        <rFont val="Arial"/>
        <family val="2"/>
      </rPr>
      <t xml:space="preserve"> initial lead of 1km is considered in the basic rate, the additional lead </t>
    </r>
  </si>
  <si>
    <t>charges are to be added as follows:</t>
  </si>
  <si>
    <r>
      <t xml:space="preserve">2. For concrete, masonry and reinforcement items </t>
    </r>
    <r>
      <rPr>
        <b/>
        <sz val="14"/>
        <rFont val="Arial"/>
        <family val="2"/>
      </rPr>
      <t>wherever</t>
    </r>
    <r>
      <rPr>
        <sz val="14"/>
        <rFont val="Arial"/>
        <family val="2"/>
      </rPr>
      <t xml:space="preserve"> initial lead of 1km is considered in the basic rate, </t>
    </r>
  </si>
  <si>
    <t>the additional lead as follows:</t>
  </si>
  <si>
    <t xml:space="preserve"> added as follows:</t>
  </si>
  <si>
    <r>
      <t xml:space="preserve">*** </t>
    </r>
    <r>
      <rPr>
        <b/>
        <sz val="14"/>
        <rFont val="Arial"/>
        <family val="2"/>
      </rPr>
      <t>Unit Rates arrived without Seigniorage Charges</t>
    </r>
  </si>
  <si>
    <r>
      <t xml:space="preserve">4. For earth/rockfill embankments </t>
    </r>
    <r>
      <rPr>
        <b/>
        <sz val="14"/>
        <rFont val="Arial"/>
        <family val="2"/>
      </rPr>
      <t>wherever</t>
    </r>
    <r>
      <rPr>
        <sz val="14"/>
        <rFont val="Arial"/>
        <family val="2"/>
      </rPr>
      <t xml:space="preserve"> initial lead of 1km is considered in the basic rate, the additional lead charges are to be added as follows:</t>
    </r>
  </si>
  <si>
    <r>
      <t xml:space="preserve">4. For earth/rockfill embankments </t>
    </r>
    <r>
      <rPr>
        <b/>
        <sz val="14"/>
        <rFont val="Arial"/>
        <family val="2"/>
      </rPr>
      <t>wherever</t>
    </r>
    <r>
      <rPr>
        <sz val="14"/>
        <rFont val="Arial"/>
        <family val="2"/>
      </rPr>
      <t xml:space="preserve"> initial lead of 1km is considered in the basic rate, the additional lead charges are to be added </t>
    </r>
  </si>
  <si>
    <r>
      <t xml:space="preserve">4. For earth/rockfill embankments </t>
    </r>
    <r>
      <rPr>
        <b/>
        <sz val="14"/>
        <rFont val="Arial"/>
        <family val="2"/>
      </rPr>
      <t>wherever</t>
    </r>
    <r>
      <rPr>
        <sz val="14"/>
        <rFont val="Arial"/>
        <family val="2"/>
      </rPr>
      <t xml:space="preserve"> initial lead of 1km is considered in the basic rate, the additional lead </t>
    </r>
  </si>
  <si>
    <r>
      <t xml:space="preserve">4. For earth/rockfill embankments </t>
    </r>
    <r>
      <rPr>
        <b/>
        <sz val="14"/>
        <rFont val="Arial"/>
        <family val="2"/>
      </rPr>
      <t>wherever</t>
    </r>
    <r>
      <rPr>
        <sz val="14"/>
        <rFont val="Arial"/>
        <family val="2"/>
      </rPr>
      <t xml:space="preserve"> initial lead of 1km is considered in the basic rate, the additional lead charges are to be</t>
    </r>
  </si>
  <si>
    <t xml:space="preserve">Side Seal/ Top Seal </t>
  </si>
  <si>
    <t>IRR-DAW-5-9-A 
(New Item4-2012-13)</t>
  </si>
  <si>
    <t>Labour Component (including contractor's profit and Overheads)</t>
  </si>
  <si>
    <t>E. Add for transportation Charges upto worksite @</t>
  </si>
  <si>
    <t>IRR-PMW-3-25(f)
(new Item 2012-13-6)</t>
  </si>
  <si>
    <r>
      <t xml:space="preserve">Excavation for foundation in </t>
    </r>
    <r>
      <rPr>
        <b/>
        <sz val="14"/>
        <rFont val="Arial"/>
        <family val="2"/>
      </rPr>
      <t>hard rock (including F&amp;F rock) including  boulders above 0.6 m upto 1.2 m dia. by controlled blasting</t>
    </r>
    <r>
      <rPr>
        <sz val="14"/>
        <rFont val="Arial"/>
        <family val="2"/>
      </rPr>
      <t xml:space="preserve"> and controlling fly rock by muffling arrangements  for dam, spillway, intake structure and other appurtenant works and other open foundation works and placing the excavated  material neatly in dump area or disposing off the same as directed etc., </t>
    </r>
    <r>
      <rPr>
        <b/>
        <sz val="14"/>
        <rFont val="Arial"/>
        <family val="2"/>
      </rPr>
      <t>complete with initial lead upto 1 km and all leads</t>
    </r>
  </si>
  <si>
    <t>IRR-PMW-3-25( c)</t>
  </si>
  <si>
    <t>(New Item 2012-13-3)</t>
  </si>
  <si>
    <t>(New Item 4 -2012-13)</t>
  </si>
  <si>
    <r>
      <rPr>
        <b/>
        <sz val="14"/>
        <rFont val="Arial"/>
        <family val="2"/>
      </rPr>
      <t xml:space="preserve">Drilling </t>
    </r>
    <r>
      <rPr>
        <b/>
        <sz val="14"/>
        <rFont val="Cambria"/>
        <family val="1"/>
      </rPr>
      <t xml:space="preserve">76 mm dia </t>
    </r>
    <r>
      <rPr>
        <b/>
        <sz val="14"/>
        <rFont val="Arial"/>
        <family val="2"/>
      </rPr>
      <t>( NX ) core hole in hard rock</t>
    </r>
    <r>
      <rPr>
        <sz val="14"/>
        <rFont val="Arial"/>
        <family val="2"/>
      </rPr>
      <t xml:space="preserve"> </t>
    </r>
    <r>
      <rPr>
        <sz val="14"/>
        <rFont val="Cambria"/>
        <family val="1"/>
      </rPr>
      <t xml:space="preserve">using </t>
    </r>
    <r>
      <rPr>
        <b/>
        <sz val="14"/>
        <rFont val="Cambria"/>
        <family val="1"/>
      </rPr>
      <t>diamond core bit</t>
    </r>
    <r>
      <rPr>
        <sz val="14"/>
        <rFont val="Cambria"/>
        <family val="1"/>
      </rPr>
      <t xml:space="preserve"> vertical / inclined </t>
    </r>
    <r>
      <rPr>
        <sz val="14"/>
        <rFont val="Arial"/>
        <family val="2"/>
      </rPr>
      <t xml:space="preserve">upto 10 degree to vertical as directed including cost of all materials, machinery, labour, water charges, collection of core samples, logging and lebelling, supplying honne wood core box </t>
    </r>
    <r>
      <rPr>
        <sz val="14"/>
        <rFont val="Arial"/>
        <family val="2"/>
      </rPr>
      <t xml:space="preserve">and redrilling in case of collapse of sides etc., </t>
    </r>
    <r>
      <rPr>
        <b/>
        <sz val="14"/>
        <rFont val="Arial"/>
        <family val="2"/>
      </rPr>
      <t xml:space="preserve">complete </t>
    </r>
    <r>
      <rPr>
        <b/>
        <sz val="14"/>
        <rFont val="Cambria"/>
        <family val="1"/>
      </rPr>
      <t xml:space="preserve">for depth upto 30 m </t>
    </r>
    <r>
      <rPr>
        <b/>
        <sz val="14"/>
        <rFont val="Arial"/>
        <family val="2"/>
      </rPr>
      <t>from surface.</t>
    </r>
    <r>
      <rPr>
        <sz val="14"/>
        <rFont val="Arial"/>
        <family val="2"/>
      </rPr>
      <t xml:space="preserve">
1. For driiling in hard rock beyond </t>
    </r>
    <r>
      <rPr>
        <sz val="14"/>
        <rFont val="Cambria"/>
        <family val="1"/>
      </rPr>
      <t xml:space="preserve">30 m upto 60 m </t>
    </r>
    <r>
      <rPr>
        <sz val="14"/>
        <rFont val="Arial"/>
        <family val="2"/>
      </rPr>
      <t xml:space="preserve">from surface increase the rate per Rm by </t>
    </r>
    <r>
      <rPr>
        <sz val="14"/>
        <rFont val="Cambria"/>
        <family val="1"/>
      </rPr>
      <t xml:space="preserve">25 percent.
</t>
    </r>
    <r>
      <rPr>
        <sz val="14"/>
        <rFont val="Arial"/>
        <family val="2"/>
      </rPr>
      <t>2. For driiling in hard rock beyond 6</t>
    </r>
    <r>
      <rPr>
        <sz val="14"/>
        <rFont val="Cambria"/>
        <family val="1"/>
      </rPr>
      <t xml:space="preserve">0 m upto 90 m </t>
    </r>
    <r>
      <rPr>
        <sz val="14"/>
        <rFont val="Arial"/>
        <family val="2"/>
      </rPr>
      <t xml:space="preserve">from surface increase the rate per Rm by </t>
    </r>
    <r>
      <rPr>
        <sz val="14"/>
        <rFont val="Cambria"/>
        <family val="1"/>
      </rPr>
      <t>40 percent.</t>
    </r>
  </si>
  <si>
    <r>
      <rPr>
        <b/>
        <sz val="14"/>
        <rFont val="Arial"/>
        <family val="2"/>
      </rPr>
      <t xml:space="preserve">Drilling 47 mm (BX )dia core hole in </t>
    </r>
    <r>
      <rPr>
        <b/>
        <sz val="14"/>
        <rFont val="Cambria"/>
        <family val="1"/>
      </rPr>
      <t>hard rock</t>
    </r>
    <r>
      <rPr>
        <sz val="14"/>
        <rFont val="Cambria"/>
        <family val="1"/>
      </rPr>
      <t xml:space="preserve"> using </t>
    </r>
    <r>
      <rPr>
        <b/>
        <sz val="14"/>
        <rFont val="Cambria"/>
        <family val="1"/>
      </rPr>
      <t>diamond core bit</t>
    </r>
    <r>
      <rPr>
        <sz val="14"/>
        <rFont val="Cambria"/>
        <family val="1"/>
      </rPr>
      <t xml:space="preserve"> vertical / inclined </t>
    </r>
    <r>
      <rPr>
        <sz val="14"/>
        <rFont val="Arial"/>
        <family val="2"/>
      </rPr>
      <t xml:space="preserve">upto 10 degree to vertical as directed including cost of all materials, machinery, labour, water charges,collection of core samples,logging, lebelling, supplying honne wood core box and redrilling in case of collapse of sides etc., </t>
    </r>
    <r>
      <rPr>
        <b/>
        <sz val="14"/>
        <rFont val="Arial"/>
        <family val="2"/>
      </rPr>
      <t xml:space="preserve">complete for depth </t>
    </r>
    <r>
      <rPr>
        <b/>
        <sz val="14"/>
        <rFont val="Cambria"/>
        <family val="1"/>
      </rPr>
      <t xml:space="preserve">upto 30 m </t>
    </r>
    <r>
      <rPr>
        <b/>
        <sz val="14"/>
        <rFont val="Arial"/>
        <family val="2"/>
      </rPr>
      <t>from surface.</t>
    </r>
    <r>
      <rPr>
        <sz val="14"/>
        <rFont val="Arial"/>
        <family val="2"/>
      </rPr>
      <t xml:space="preserve">
1. For drilling in hard rock beyond </t>
    </r>
    <r>
      <rPr>
        <sz val="14"/>
        <rFont val="Cambria"/>
        <family val="1"/>
      </rPr>
      <t xml:space="preserve">30 m upto 60 m </t>
    </r>
    <r>
      <rPr>
        <sz val="14"/>
        <rFont val="Arial"/>
        <family val="2"/>
      </rPr>
      <t xml:space="preserve">from surface increase the rate per Rm by </t>
    </r>
    <r>
      <rPr>
        <sz val="14"/>
        <rFont val="Cambria"/>
        <family val="1"/>
      </rPr>
      <t xml:space="preserve">25 percent.
</t>
    </r>
    <r>
      <rPr>
        <sz val="14"/>
        <rFont val="Arial"/>
        <family val="2"/>
      </rPr>
      <t>2. For drilling in hard rock beyond 6</t>
    </r>
    <r>
      <rPr>
        <sz val="14"/>
        <rFont val="Cambria"/>
        <family val="1"/>
      </rPr>
      <t xml:space="preserve">0 m upto 90 m </t>
    </r>
    <r>
      <rPr>
        <sz val="14"/>
        <rFont val="Arial"/>
        <family val="2"/>
      </rPr>
      <t xml:space="preserve">from surface increase the rate per Rm by </t>
    </r>
    <r>
      <rPr>
        <sz val="14"/>
        <rFont val="Cambria"/>
        <family val="1"/>
      </rPr>
      <t>40 percent.</t>
    </r>
  </si>
  <si>
    <t xml:space="preserve">5. The initial lead up to 50 m as mentioned in some standard data items is meant for manual lead within the working area. For conveyance of materials, the </t>
  </si>
  <si>
    <t>lead required from quarry/Borrow area/ Dump Area to worksite shall be added to the data without deducting the 50 m initial lead charges</t>
  </si>
  <si>
    <t xml:space="preserve">5. The initial lead up to 50 m as mentioned in some standard data items is meant for manual lead within the working area. For  </t>
  </si>
  <si>
    <t xml:space="preserve">conveyance of materials, the lead required from quarry/Borrow area/ Dump Area to worksite shall be added to the data without </t>
  </si>
  <si>
    <t>deducting the 50 m initial lead charges</t>
  </si>
  <si>
    <t xml:space="preserve">5. The initial lead up to 50 m as mentioned in some standard data items is meant for manual lead within the working area. </t>
  </si>
  <si>
    <t xml:space="preserve"> For  conveyance of materials, the lead required from quarry/Borrow area/ Dump Area to worksite shall be added to the</t>
  </si>
  <si>
    <t xml:space="preserve"> data without deducting the 50 m initial lead charges</t>
  </si>
  <si>
    <t xml:space="preserve">Rate per  </t>
  </si>
  <si>
    <t>Total Cost for removal weed in the extent of</t>
  </si>
  <si>
    <t>FOR THE YEAR: 2014-15</t>
  </si>
  <si>
    <r>
      <t>Cement 43 Gr/53 Gr 
*(</t>
    </r>
    <r>
      <rPr>
        <b/>
        <sz val="12"/>
        <color indexed="8"/>
        <rFont val="Times New Roman"/>
        <family val="1"/>
      </rPr>
      <t>Note: As per Monthly rate fixed by Sub-Committee.)</t>
    </r>
  </si>
  <si>
    <r>
      <t>Structural steel angle / channel / beam / bars
*(</t>
    </r>
    <r>
      <rPr>
        <b/>
        <sz val="12"/>
        <color indexed="8"/>
        <rFont val="Times New Roman"/>
        <family val="1"/>
      </rPr>
      <t>Note: As per Monthly rate fixed by Sub-Committee</t>
    </r>
    <r>
      <rPr>
        <sz val="12"/>
        <color indexed="8"/>
        <rFont val="Times New Roman"/>
        <family val="1"/>
      </rPr>
      <t>)</t>
    </r>
  </si>
  <si>
    <t>These items are no where being used in the Standard Data. Hence this may be deleted from SoR</t>
  </si>
  <si>
    <t>Rate as per Item No. M-092</t>
  </si>
  <si>
    <t>M-189 (a)</t>
  </si>
  <si>
    <t>Water charges (Urban)</t>
  </si>
  <si>
    <t>Water charges (Rural)</t>
  </si>
  <si>
    <t>Imp Note: (a)</t>
  </si>
  <si>
    <t>Taking this point into consideration, the BoCE in its meeting 24-05-2014, has recommended to display Lead and Lift charges with and without Contractor's Profit and Overhead charges so as to enable the field staff to adopt the rates accordingly</t>
  </si>
  <si>
    <t>(c)</t>
  </si>
  <si>
    <t>In some of the estimates, finished unit item rate is being arrived by adding lead and lift charges directly to the basic rates of materials 
whereas, 
in some of the estimates, finished unit item rate is being arrived by adding lead and lift charges after arriving the unit rate using basic rates of materials.</t>
  </si>
  <si>
    <t>For example, those who want to add the Lead and Lift charge directly to the basic material rates, can use the lead and lift charges without Contractor's profit and Overhead charges for arriving the finished item rate.
Whereas
those who want to add the lead and lift charges to the unit rate arrived by considering only basic rates of materials,  can adopt the lead and lift charges with contractor's profit and overhead charges</t>
  </si>
  <si>
    <t>A.  (Lead) Conveyance Charges for materials by head load (with Contractor's Profit and Overhead Charges)</t>
  </si>
  <si>
    <r>
      <t xml:space="preserve">12. The lead &amp; lift charges are displayed </t>
    </r>
    <r>
      <rPr>
        <b/>
        <sz val="14"/>
        <rFont val="Arial"/>
        <family val="2"/>
      </rPr>
      <t>with and without</t>
    </r>
    <r>
      <rPr>
        <sz val="14"/>
        <rFont val="Arial"/>
        <family val="2"/>
      </rPr>
      <t xml:space="preserve"> contractor's profit and overhead charges of</t>
    </r>
  </si>
  <si>
    <t>A.  (Lead) Conveyance Charges for materials by head load (with out Contractor's Profit and Overhead Charges)</t>
  </si>
  <si>
    <t>3.The Lead &amp; Lift Charges are exclusive of 14% Contractor's Profit and Over Head Charges</t>
  </si>
  <si>
    <t>by tippers and trucks excluding loading, unloading and idle hire charges of machinery (with Contractor's Profit and Overhead Charges)</t>
  </si>
  <si>
    <t>by tippers and trucks excluding loading, unloading and idle hire charges of machinery (without Contractor's Profit and Overhead Charges)</t>
  </si>
  <si>
    <t>Note:The Lead &amp; Lift Charges are exclusive of 14% Contractor's Profit and Over Head Charges</t>
  </si>
  <si>
    <t>(with Contractor's Profit and Overhead Charges)</t>
  </si>
  <si>
    <t>(without Contractor's Profit and Overhead Charges)</t>
  </si>
  <si>
    <t>Note:The Loading &amp; Unloading Charges are exclusive of 14% Contractor's Profit and Over Head Charges</t>
  </si>
  <si>
    <t>Note:The Loading &amp; Unloading Charges are inclusive of 14% Contractor's Profit and Over Head Charges</t>
  </si>
  <si>
    <t xml:space="preserve"> For total lead upto 150 m ( including initial lead ) lead charges by head load only shall be adopted irrespective of </t>
  </si>
  <si>
    <t>mode of conveyance.</t>
  </si>
  <si>
    <t xml:space="preserve">For total lead exceeding 150 m conveyance by mechanical means only shall be adopted irrespective of </t>
  </si>
  <si>
    <t xml:space="preserve">The rates for loading at quarry including idle hire charges of trucks and hire charges  per for  each kilometer  and </t>
  </si>
  <si>
    <t xml:space="preserve">upto 5 km  are cumulative and inclusive of total charges for preceding lead.  </t>
  </si>
  <si>
    <t>Unless otherwise specified lead charges for Earth / Sand / Gravel / Aggregates and Stones are for loose volume and</t>
  </si>
  <si>
    <t xml:space="preserve"> not for compacted or in-situ volume.</t>
  </si>
  <si>
    <t>The rates for lift charges,lead charges hire cahrges are cumulative are cumulative and inclusive of  rates  for preceding</t>
  </si>
  <si>
    <t xml:space="preserve"> lift,load and  hire charges </t>
  </si>
  <si>
    <t>Lift charges are not payable where conveyance of materials is by mechanical means to final placing point.</t>
  </si>
  <si>
    <t>Loading and unloading charges are not payable for conveyance by head load.</t>
  </si>
  <si>
    <t xml:space="preserve">Loading charges are not payable for conveyance by mechanical means for disposal of excavated materials beyond </t>
  </si>
  <si>
    <t>initial lead of 50 m wherever specified.</t>
  </si>
  <si>
    <t xml:space="preserve">Loading and unloading charges are not payable for conveyance by mechanical means for disposal of excavated </t>
  </si>
  <si>
    <t>materials beyond initial lead of 1 km wherever specified.</t>
  </si>
  <si>
    <t xml:space="preserve">The rates for unloading of materials except earth, sand, gravel, coarse aggregate, rubble, size stone and cut stone </t>
  </si>
  <si>
    <t>are inclusive of stacking.</t>
  </si>
  <si>
    <t xml:space="preserve">Hire charges are per 1KM  for tippers and trucks for tranport of materials from work site </t>
  </si>
  <si>
    <t xml:space="preserve">A.  (Lead) Conveyance Charges for materials by head load </t>
  </si>
  <si>
    <t>by tippers and trucks excluding loading, unloading and idle hire charges of machinery</t>
  </si>
  <si>
    <t xml:space="preserve">Charges are being added directly to the material basic rates for arriving the finished item rate. In view </t>
  </si>
  <si>
    <t xml:space="preserve">of that, the BoCE has instructed to see that while arriving the finished item rate, the lead </t>
  </si>
  <si>
    <t xml:space="preserve">charges are to be added to the material basic rates only after  deducting the provision of </t>
  </si>
  <si>
    <t>"Contractor's Profit and Overhead charges"</t>
  </si>
  <si>
    <t xml:space="preserve">During the BoCE meeting held on 24-05-2014, it is observed that in some of the estimates, Lead </t>
  </si>
  <si>
    <t>b) light black MS casing pipe   100mm dia (4mm thick)</t>
  </si>
  <si>
    <t>a) Cost of hdpe (90mm  dia)</t>
  </si>
  <si>
    <t>Demand charges and electric power charges shall be as per prevailing APEPDCL tariff.</t>
  </si>
  <si>
    <t xml:space="preserve">2)  25% extra  over the corresponding labour rates in respect of the work to be done during night time subject to issue of certificate accordingly by the concerned estimate sanctioning authority for providing in the data and by concerned Executive Engineer in charge of the work for payment. The night time allowance is applicable only to the works done under Greater Visakhapatnam Municipal Corporation and Vijayawada Municipal Corporation  limits only. </t>
  </si>
  <si>
    <r>
      <t xml:space="preserve">Note: </t>
    </r>
    <r>
      <rPr>
        <sz val="10"/>
        <rFont val="Calibri"/>
        <family val="2"/>
      </rPr>
      <t xml:space="preserve">- 1)The wage should not be less than the minimum wages of schedule of employment, subject to out turn. </t>
    </r>
  </si>
  <si>
    <t>Gear Oil</t>
  </si>
  <si>
    <t>Concrete Placer Pump 25 Cum/Hr</t>
  </si>
  <si>
    <t>Concrete Placer Pump 25Cum/Hr (electric)</t>
  </si>
  <si>
    <t>IRR-PMW-2-5-A
New Item 2015-16-5</t>
  </si>
  <si>
    <t>IRR-PMW-2-5-B
New Item 2015-16-6</t>
  </si>
  <si>
    <t>IRR-PMW-2-6-A
New Item 2015-16-7</t>
  </si>
  <si>
    <t>IRR-PMW-3-26
New Item 2015-16-8</t>
  </si>
  <si>
    <t>IRR-GAW-2-12
New Item 2015-16-2</t>
  </si>
  <si>
    <t>IRR-GAW-2-13
New Item 2015-16-3</t>
  </si>
  <si>
    <t>IRR-GAW-2-14
New Item 2015-16 -4</t>
  </si>
  <si>
    <t>The lead &amp; lift charges are inclusive of  contractor's profit and overhead charges of 13.615%</t>
  </si>
  <si>
    <t>3.The Lead &amp; Lift Charges are inclusive of 13.615% Contractor's Profit and Over Head Charges</t>
  </si>
  <si>
    <t>Note:The Lead &amp; Lift Charges are inclusive of 13.615% Contractor's Profit and Over Head Charges</t>
  </si>
  <si>
    <t>Note:The Loading &amp; Unloading Charges are inclusive of 13.615% Contractor's Profit and Over Head Charges</t>
  </si>
  <si>
    <t>IRR-DAW-1-3-A
New Item2015-16-1</t>
  </si>
  <si>
    <t>IRR-GAW-2-12
New Item2015-16-2</t>
  </si>
  <si>
    <t>IRR-GAW-2-13
New Item2015-16-3</t>
  </si>
  <si>
    <t>IRR-GAW-2-14
New Item2015-16-4</t>
  </si>
  <si>
    <t>Deleted from the year2015-16 onwards</t>
  </si>
  <si>
    <t>IRR-PMW-2-5-A
(New Item2015-16)-5</t>
  </si>
  <si>
    <t>IRR-PMW-2-5-B
(New Item2015-16)-6</t>
  </si>
  <si>
    <t>IRR-PMW-2-6-A
(New Item2015-16)-7</t>
  </si>
  <si>
    <t>IRR-PMW-3-26
New Item2015-16-8</t>
  </si>
  <si>
    <t>IRR-DAW-1-3A
New Item 2015-16-1</t>
  </si>
  <si>
    <r>
      <t>Structural steel plate / flats 
*(</t>
    </r>
    <r>
      <rPr>
        <b/>
        <sz val="12"/>
        <color indexed="8"/>
        <rFont val="Times New Roman"/>
        <family val="1"/>
      </rPr>
      <t>Note: As per Monthly rate fixed by Sub-Committee</t>
    </r>
    <r>
      <rPr>
        <sz val="12"/>
        <color indexed="8"/>
        <rFont val="Times New Roman"/>
        <family val="1"/>
      </rPr>
      <t>)</t>
    </r>
  </si>
  <si>
    <t>Rubber bottom seal ( IS : 11855 )(100mm X14 mm)</t>
  </si>
  <si>
    <t>Rubber side seal ( music note type Teflon claded )  ( IS : 11855 )(36 dia x113 mm x14 mm)</t>
  </si>
  <si>
    <t>Rubber side seal ( music note type uncladed )                         ( IS : 11855 )(36 dia x113 mm x14 mm)</t>
  </si>
  <si>
    <t>Rubber side seal Z-type ( IS : 11855 )
(36 dia x120mm x19 mm)</t>
  </si>
  <si>
    <t>Rubber corner seal ( Teflon claded )                                         ( IS : 11855 )( 36 dia)</t>
  </si>
  <si>
    <t>Rubber corner seal ( un claded ) ( IS : 11855 )(36 dia)</t>
  </si>
  <si>
    <t>Batching plant 0.5 cum with accessories( 6Cum/hr)</t>
  </si>
  <si>
    <t>Batching plant 2 x 1.00 cum with accessories
( 15 Cum/hr)</t>
  </si>
  <si>
    <t>Batching plant 2 x 1.50 cum with accessories
  ( 50 Cum/hr)</t>
  </si>
  <si>
    <t xml:space="preserve">Excavation of drain with  Excavator </t>
  </si>
  <si>
    <t>Rate as per item no.27(b) of material of WRD</t>
  </si>
  <si>
    <t>Rate as per item no.27(a) of material of WRD</t>
  </si>
  <si>
    <t>Rate as per item no.28 of material of WRD</t>
  </si>
  <si>
    <t>Rate as per item no.56 of Material rates of WRD.</t>
  </si>
  <si>
    <t>Rate as per item no.9 of Material rates of WRD.</t>
  </si>
  <si>
    <t>Rate as per item no.10 of Material rates of WRD.</t>
  </si>
  <si>
    <t>Rate as per item no.7 of Material rates of WRD.</t>
  </si>
  <si>
    <t>Rate as per item no.8 of Material rates of WRD.</t>
  </si>
  <si>
    <t>Rate as per item no.3 of Material rates of WRD.</t>
  </si>
  <si>
    <t>Rate as per item no.5 of Material rates of WRD.</t>
  </si>
  <si>
    <t>Rate as per item no.62 of Material rates of WRD</t>
  </si>
  <si>
    <t>Rate as per item No. 21 of WRD</t>
  </si>
  <si>
    <t>Rate as per item No. 52 of WRD</t>
  </si>
  <si>
    <t>Rate as per item No. 53 of WRD</t>
  </si>
  <si>
    <t>Rate as per item No. 54 of WRD</t>
  </si>
  <si>
    <t>Rate as per item No. 29 of WRD</t>
  </si>
  <si>
    <t>Rate as per item No. 30 of WRD</t>
  </si>
  <si>
    <t>Rate as per item No. 31 of WRD</t>
  </si>
  <si>
    <t>Rate as per item no.70 of Material rates of WRD</t>
  </si>
  <si>
    <t>Rate as per item no.75 of Material rates of WRD.</t>
  </si>
  <si>
    <t>Rate as per item no.76 of Material rates of WRD.</t>
  </si>
  <si>
    <t>Rate as per item no.77 of Material rates of WRD.</t>
  </si>
  <si>
    <t>Gravel/Quarry spall(Excluding Seignorage Charges)</t>
  </si>
  <si>
    <t>Granular Material or hard murum for GSB works (Excluding Seignorage Charges)</t>
  </si>
  <si>
    <t>Close graded Granular sub-base Material  53 mm to 9.5 mm (excluding Seignorage Charges)</t>
  </si>
  <si>
    <t xml:space="preserve">Close graded Granular sub-base Material  37.5 mm to 9.5 mm (excluding Seignorage Charges)  </t>
  </si>
  <si>
    <t xml:space="preserve">Close graded Granular sub-base Material  26.5 mm to 9.5 mm (excluding Seignorage Charges)  </t>
  </si>
  <si>
    <t>Close graded Granular sub-base Material  9.5 mm to 4.75 mm (excluding Seignorage Charges)</t>
  </si>
  <si>
    <t>Close graded Granular sub-base Material  9.5 mm to 2.36 mm  (excluding Seignorage Charges)</t>
  </si>
  <si>
    <t>Close graded Granular sub-base Material  4.75mm to 2.36 mm (excluding Seignorage Charges)</t>
  </si>
  <si>
    <t xml:space="preserve">Close graded Granular sub-base Material  4.75mm to 75 micron mm((excluding Seignorage Charges) </t>
  </si>
  <si>
    <t>Close graded Granular sub-base Material  2.36 mm (excluding Seignorage Charges)</t>
  </si>
  <si>
    <t xml:space="preserve">Coarse graded Granular sub-base Material  2.36 mm &amp; below (excluding Seignorage Charges) </t>
  </si>
  <si>
    <t>Coarse graded Granular sub-base Material  4.75mm to 75 micron mm (excluding Seignorage Charges)</t>
  </si>
  <si>
    <t>Coarse graded Granular sub-base Material  4.75 mm to 2.36 mm (excluding Seignorage Charges)</t>
  </si>
  <si>
    <t xml:space="preserve">Coarse graded Granular sub-base Material  9.5 mm to 4.75 mm (excluding Seignorage Charges) </t>
  </si>
  <si>
    <t>Coarse graded Granular sub-base Material  26.5 mm to 4.75 mm (excluding Seignorage Charges)</t>
  </si>
  <si>
    <t xml:space="preserve">Coarse graded Granular sub-base Material  26.5 mm to 9.5 mm (excluding Seignorage Charges) </t>
  </si>
  <si>
    <t>Coarse graded Granular sub-base Material  37.5 mm to 9.5 mm (excluding Seignorage Charges)</t>
  </si>
  <si>
    <t>Coarse graded Granular sub-base Material  53 mm to 26 .5mm  (excluding Seignorage Charges)</t>
  </si>
  <si>
    <t>Filter media/Filter Material as per Table 300-3 (MoRT&amp;H Specification) (excluding SeignorageCharges)</t>
  </si>
  <si>
    <t>Aggregates  below  5.6 mm(excluding SeignorageCharges)</t>
  </si>
  <si>
    <t>Aggregates  22.4 mm to 2.36 mm (excluding SeignorageCharges)</t>
  </si>
  <si>
    <t>Aggregates  22.4 mm to 5.6 mm (excluding SeignorageCharges)</t>
  </si>
  <si>
    <t>Aggregates  45 mm to 2.8 mm (excluding SeignorageCharges)</t>
  </si>
  <si>
    <t>Aggregates  45 mm to 22.4 mm (excluding SeignorageCharges)</t>
  </si>
  <si>
    <t>Aggregates  53 mm to 2.8 mm (excluding SeignorageCharges)</t>
  </si>
  <si>
    <t>Aggregates  53 mm to 22.4 mm (excluding SeignorageCharges)</t>
  </si>
  <si>
    <t>Aggregates  63 mm to 2.8 mm (excluding SeignorageCharges)</t>
  </si>
  <si>
    <t>Aggregates  63 mm to 45 mm (excluding SeignorageCharges)</t>
  </si>
  <si>
    <t>Aggregates  90 mm to 45 mm (excluding SeignorageCharges)</t>
  </si>
  <si>
    <t>Aggregates  10 mm to 5 mm (excluding SeignorageCharges)</t>
  </si>
  <si>
    <t>Aggregates  11.2 mm to 0.09 mm (excluding SeignorageCharges)</t>
  </si>
  <si>
    <t>Aggregates  13.2 mm to 0.09 mm(excluding SeignorageCharges)</t>
  </si>
  <si>
    <t>Aggregates  13.2 mm to 5.6 mm (excluding SeignorageCharges)</t>
  </si>
  <si>
    <t>Aggregates  13.2 mm to 10 mm(excluding SeignorageCharges)</t>
  </si>
  <si>
    <t>Aggregates  20 mm to 10 mm (excluding SeignorageCharges)</t>
  </si>
  <si>
    <t>Aggregates  25 mm to 10 mm (excluding SeignorageCharges)</t>
  </si>
  <si>
    <t>Aggregates  19 mm to 6 mm (excluding SeignorageCharges)</t>
  </si>
  <si>
    <t>Aggregates  37.5 mm to 19 mm(excluding SeignorageCharges)</t>
  </si>
  <si>
    <t>Aggregates  37.5 mm to 25 mm(excluding SeignorageCharges)</t>
  </si>
  <si>
    <t>Aggregates  6 mm nominal size(excluding SeignorageCharges)</t>
  </si>
  <si>
    <t>Aggregates  10 mm nominal size(excluding SeignorageCharges)</t>
  </si>
  <si>
    <t>Aggregates  13.2/12.5 mm nominal size(excluding SeignorageCharges)</t>
  </si>
  <si>
    <t>Aggregates  20 mm nominal size(excluding SeignorageCharges)</t>
  </si>
  <si>
    <t>Aggregates  25 mm nominal size(excluding SeignorageCharges)</t>
  </si>
  <si>
    <t>Aggregates  40 mm nominal size(excluding SeignorageCharges)</t>
  </si>
  <si>
    <t>Rate covered in item no. 36  in hire charges of machinery of Water Resources work items</t>
  </si>
  <si>
    <t>Calculation  details for arriving the Screening charges for Fine Aggregate/Sand(Screened)</t>
  </si>
  <si>
    <r>
      <t xml:space="preserve">Consider 100 Cum </t>
    </r>
    <r>
      <rPr>
        <b/>
        <sz val="11"/>
        <rFont val="Tahoma"/>
        <family val="2"/>
      </rPr>
      <t>screened</t>
    </r>
    <r>
      <rPr>
        <sz val="11"/>
        <rFont val="Tahoma"/>
        <family val="2"/>
      </rPr>
      <t xml:space="preserve"> sand for analysis </t>
    </r>
  </si>
  <si>
    <t xml:space="preserve">Output of  1 mazdoor per day for screening </t>
  </si>
  <si>
    <t>5.00 cum</t>
  </si>
  <si>
    <r>
      <t>A.MATERIALS</t>
    </r>
    <r>
      <rPr>
        <b/>
        <sz val="11"/>
        <rFont val="Tahoma"/>
        <family val="2"/>
      </rPr>
      <t xml:space="preserve">                                                              Unit :100.00 Cum</t>
    </r>
  </si>
  <si>
    <t>Sieve</t>
  </si>
  <si>
    <t>C.LABOUR</t>
  </si>
  <si>
    <t>Maistry</t>
  </si>
  <si>
    <t xml:space="preserve">Day </t>
  </si>
  <si>
    <t>Mazdoor for Screening sand</t>
  </si>
  <si>
    <t>Mazdoor for heaping  Screened sand/waste sand</t>
  </si>
  <si>
    <t>Total cost of labour</t>
  </si>
  <si>
    <t>A.</t>
  </si>
  <si>
    <t xml:space="preserve">Cost of materials                                                                </t>
  </si>
  <si>
    <t>B.</t>
  </si>
  <si>
    <t>Hire charges of Machinery</t>
  </si>
  <si>
    <t>C.</t>
  </si>
  <si>
    <t>Cost of Labour</t>
  </si>
  <si>
    <t>RS.</t>
  </si>
  <si>
    <t>Total cost for                                   100 Cum</t>
  </si>
  <si>
    <t xml:space="preserve">                                                     Rate per Cum</t>
  </si>
  <si>
    <t>Deleted from the year2013-14 onwards</t>
  </si>
  <si>
    <r>
      <t xml:space="preserve">           3. </t>
    </r>
    <r>
      <rPr>
        <b/>
        <sz val="14"/>
        <rFont val="Calibri"/>
        <family val="2"/>
      </rPr>
      <t>The Lead Charges are inclusive of 13.615% Contractor Profit and Overhead charges</t>
    </r>
  </si>
  <si>
    <t>Note:   The Lead Charges are inclusive of 13.615% Contractor Profit and Overhead charges</t>
  </si>
  <si>
    <t xml:space="preserve">Additional lead charges for  Steel, sand, coarse aggregate, stones and stone chips shall be worked out for total lead involved and 1 km lead charges </t>
  </si>
  <si>
    <t>3. The Leads for Steel shall be from the nearest market place to the Project area</t>
  </si>
  <si>
    <t xml:space="preserve">Additional lead charges for  Steel, sand, coarse aggregate, stones and stone chips shall be worked out for total lead involved </t>
  </si>
  <si>
    <t>Additional lead charges for  Steel, sand, coarse aggregate, stones and stone chips shall be worked out for total</t>
  </si>
  <si>
    <t>Cement/Reinforce-ment steel Str steel      Rs / tonne</t>
  </si>
  <si>
    <t>Cement/
Reinforce-
ment steel
Str steel
Rs / tonne</t>
  </si>
  <si>
    <t>During the BoCE meeting held on  10.06.2015,the BoCEs has recommended to withdraw lead charges,loading and unloading charges for Cement as per the Sub-Committee minutes of meeting   for the month of June -2015 dt:29.06.2015.(The conveyance charges ,loading &amp; unloading charges for cement are displayed for information purpose only).</t>
  </si>
  <si>
    <r>
      <t>Fine aggregate /Sand (Screened) for Mortar ,Plastering items and Sand blasting items(excluding Seigniorage charges</t>
    </r>
    <r>
      <rPr>
        <b/>
        <sz val="12"/>
        <color indexed="8"/>
        <rFont val="Times New Roman"/>
        <family val="1"/>
      </rPr>
      <t>)(Rs.70  is added towards Screening charges)</t>
    </r>
  </si>
  <si>
    <t>May 2016 rate</t>
  </si>
  <si>
    <t>May 2016 month rate</t>
  </si>
  <si>
    <t xml:space="preserve">FOR THE YEAR :    2016-17          </t>
  </si>
  <si>
    <t>FOR THE YEAR : 2016-17</t>
  </si>
  <si>
    <t>(May 2016 rates)</t>
  </si>
  <si>
    <t>Electric power (HT-I(A):General -11 KV) Category) including tax</t>
  </si>
  <si>
    <r>
      <t xml:space="preserve">Demand charges (HT-I </t>
    </r>
    <r>
      <rPr>
        <b/>
        <sz val="11"/>
        <color indexed="8"/>
        <rFont val="Tahoma"/>
        <family val="2"/>
      </rPr>
      <t>:</t>
    </r>
    <r>
      <rPr>
        <sz val="12"/>
        <color indexed="8"/>
        <rFont val="Times New Roman"/>
        <family val="1"/>
      </rPr>
      <t xml:space="preserve"> General-11 KV category) on power supply</t>
    </r>
  </si>
  <si>
    <t>As per RTA</t>
  </si>
  <si>
    <t>FOR THE YEAR :  2016-17</t>
  </si>
  <si>
    <t>Rate as per Item no.2 of miscellaneous items</t>
  </si>
  <si>
    <t>Cardium compound</t>
  </si>
  <si>
    <t>Rs 6000 (Rupees Six thousand )per kiln per annum for Bricks &amp; Tiles</t>
  </si>
  <si>
    <t xml:space="preserve">           FOR THE YEAR -2016-17</t>
  </si>
  <si>
    <t>FOR THE YEAR: 2016-17</t>
  </si>
  <si>
    <t>FOR THE YEAR :2016-17</t>
  </si>
  <si>
    <t xml:space="preserve">FOR THE YEAR :    2016-17      </t>
  </si>
  <si>
    <t>For the Year:2016-17</t>
  </si>
  <si>
    <t>FOR THE YEAR :    2016-17</t>
  </si>
  <si>
    <t xml:space="preserve">Seigniorage charges of Stone from quarry/ dump yards if not included in the material rate  </t>
  </si>
  <si>
    <t>(specific gravity of Stone is assumed as 1.50 MT/M3)</t>
  </si>
  <si>
    <t>The rates provided for useful rubble / Stone chips from excavation shall be at dump yard.</t>
  </si>
  <si>
    <t>Burnt Stone slab 10 cm thick</t>
  </si>
  <si>
    <t>The aggregate rates mentioned above (from Sl.No.7 to Sl.No.10) are exclusive of Seigniorage charges but including blasting charges of Rs.70/cum and 25% machine crushing charges. However, if the metal is obtained from hand broken, the blasting and crushing charges shall be deducted. The aggregate shall be HB Stone of Granite, Dolamite, Dolerite and Trap. (Quartzite and Basalt with aggregate impact of less than 20)</t>
  </si>
  <si>
    <t>Coursed rubble Stone 30 x 30 x 45 cm(excluding Seigniorage charges)</t>
  </si>
  <si>
    <t>Coursed rubble Stone 30 x 30 x 60 cm(excluding Seigniorage charges)</t>
  </si>
  <si>
    <t>Hectometer Stone one line dressed</t>
  </si>
  <si>
    <t>Khandki Stone 15 to 20 cm height</t>
  </si>
  <si>
    <t>Khandki Stone 20 to 25 cm height</t>
  </si>
  <si>
    <t>Khandki Stone 25 to 30 cm height</t>
  </si>
  <si>
    <t>Kilometer Stone one line dressed</t>
  </si>
  <si>
    <t>Rough Stone 20 x 20 x 75 cm ( Including Loading charges but  excluding Seigniorage Charges)</t>
  </si>
  <si>
    <t>Shahabad Stone slab (including loading charges but excluding Seigniorage charges)</t>
  </si>
  <si>
    <t>Stone chips (at dump yard/Spoil)(including loading charges but excluding Seigniorage charges)</t>
  </si>
  <si>
    <t>Stone chips ( at quarry )(including loading charges but excluding Seigniorage charges)</t>
  </si>
  <si>
    <t>Through Stones 20 x 20 x 30 to 45 cm (including loading charges but excluding Seigniorage charges)</t>
  </si>
  <si>
    <t>Through Stones 25 x 25 x 45 to 60 cm long (including loading charges but excluding Seigniorage charges)</t>
  </si>
  <si>
    <t>Through Stones 30 x 30 x 65 to 75 cm long (including loading charges but excluding Seigniorage charges)</t>
  </si>
  <si>
    <t>Un-coursed rubble Stones ( at dump yard /Spoil) (including loading charges but excluding Seigniorage charges)</t>
  </si>
  <si>
    <t>Un-coursed rubble Stones ( at quarry )( including loading charges but excluding Seigniorage charges)</t>
  </si>
  <si>
    <t>Building Stone</t>
  </si>
  <si>
    <t>Rough Stone/Boulders</t>
  </si>
  <si>
    <t>Dimensional Stone used for Kerbs &amp; Cubes</t>
  </si>
  <si>
    <t>Limekankar/LimeStone</t>
  </si>
  <si>
    <t>LimeStone Slabs</t>
  </si>
  <si>
    <t>LimeStone other than classified as Major Minerals used for Lime burning for building construction purposes, Marble, Boulders, Building Stone Including Stone used for Road Metal, Ballast Concrete and other Construction purposes, Shale, Slate and Phyllites, Mosaic Chips, Fuller's Earth/ Bentonite &amp; Dimensional Stones used for cubes &amp; kerbs</t>
  </si>
  <si>
    <t>Gravel, Morrum, Shingle, LimeStone Slabs used for Flooring purposes Limekankar, Chalcedeny pebbles used in the building purposes Limeshell for burning used for building purposes and Rehmatti</t>
  </si>
  <si>
    <t>Stone chiseller CI- I / Stone cutter Cl- l</t>
  </si>
  <si>
    <t>Stone Chiseller Cl- II</t>
  </si>
  <si>
    <t>Stone breaker / Hammer man</t>
  </si>
  <si>
    <t>Quarried Stone 150 - 200 mm size for Hand Broken (Excluding Seigniorage charges)</t>
  </si>
  <si>
    <t>For item No.M-012 to M-055 the note shall be as follows
1) The rates mentioned are exclusive of Seigniorage charges  but inclusive of blasting charges of Rs.70/cum and 25% machine crushing charges. However, if the metal is obtained by hand broken, machine crushing charges shall be deducted.
2) If the material is obtained by hand broken from surface boulders/canal spoil, the blasting and crushing charges shall be deducted.
3)The material shall be HB Stone of Granite, Dolamite, Dolerite and Trap.(Quartzite and Basalt with aggregate impact of less than 20)</t>
  </si>
  <si>
    <t>Stone crusher dust finer than 3mm with not more than 10% passing 0.075 sieve. (excluding Seignorage Charges)</t>
  </si>
  <si>
    <t>Pre-coated Stone chips of 13.2 mm nominal size</t>
  </si>
  <si>
    <t>Random Rubble Stone(Including Loading Charges but excluding Seignorage Charges)</t>
  </si>
  <si>
    <t>Square Rubble  Coursed Stone(Including Loading Charges but excluding Seigniorage charges)</t>
  </si>
  <si>
    <t>Through and bond Stone
(a) 20X20x30 to 45 cm long</t>
  </si>
  <si>
    <t>Through and bond Stone
(b) 25X25x45 to 60 cm long</t>
  </si>
  <si>
    <t>Through and bond Stone
(c) 30X30x65 to 75 cm long</t>
  </si>
  <si>
    <t>Mosaic Chips</t>
  </si>
  <si>
    <t>Morrum/Gravel&amp;Ordinary earth</t>
  </si>
  <si>
    <t>Ordinary Sand</t>
  </si>
  <si>
    <t>M3/MT</t>
  </si>
  <si>
    <t>Chalacedony Pebbles</t>
  </si>
  <si>
    <t>Sq.Mt/MT</t>
  </si>
  <si>
    <t>M3</t>
  </si>
  <si>
    <t>Rate of Dead Rent per hectare per Annum in Rs.</t>
  </si>
  <si>
    <t>Super Gang Saw above 300 CMX 180 CM. Size in Rs.</t>
  </si>
  <si>
    <t>Mini Gang Saw above 270 Cm X 150 Cm. in Rs.</t>
  </si>
  <si>
    <t xml:space="preserve"> 270 Cm. X 150 Cm.  And below size in Rs.</t>
  </si>
  <si>
    <t>Below 75 Cm. Size in Rs.</t>
  </si>
  <si>
    <t>2) The above rates are liable to be revised and amended from time to time by the State Government by notification in the Andhra Pradesh Gazette</t>
  </si>
  <si>
    <t>3) In case of revision, the revised rates as fixed by Mines and Geology Department have to be adopted</t>
  </si>
  <si>
    <t>1) This rate shall come into force w.e.f 01.11.2015</t>
  </si>
  <si>
    <t xml:space="preserve">                                  FOR THE YEAR : 2016-17</t>
  </si>
  <si>
    <t xml:space="preserve">                                                        FOR THE YEAR : 2016-17</t>
  </si>
  <si>
    <t xml:space="preserve">                                                                FOR THE YEAR : 2016-17</t>
  </si>
  <si>
    <t>Say Rs.70</t>
  </si>
  <si>
    <t xml:space="preserve">FOR THE YEAR :  2016-17        </t>
  </si>
  <si>
    <t>SealantPrimer</t>
  </si>
  <si>
    <t>F. Add for Contractor's Profit and Overhead Charges @13.615%</t>
  </si>
  <si>
    <t xml:space="preserve">May 2016 rate(avg rate of 13 dists) </t>
  </si>
  <si>
    <r>
      <t>Reinforcement steel (HYSD/TMT )(Fe-415)
*(</t>
    </r>
    <r>
      <rPr>
        <b/>
        <sz val="12"/>
        <color indexed="8"/>
        <rFont val="Times New Roman"/>
        <family val="1"/>
      </rPr>
      <t>Note: As per Monthly rate fixed by Sub-Committee</t>
    </r>
    <r>
      <rPr>
        <sz val="12"/>
        <color indexed="8"/>
        <rFont val="Times New Roman"/>
        <family val="1"/>
      </rPr>
      <t>)</t>
    </r>
  </si>
</sst>
</file>

<file path=xl/styles.xml><?xml version="1.0" encoding="utf-8"?>
<styleSheet xmlns="http://schemas.openxmlformats.org/spreadsheetml/2006/main">
  <numFmts count="8">
    <numFmt numFmtId="164" formatCode="_-* #,##0.00_-;\-* #,##0.00_-;_-* &quot;-&quot;??_-;_-@_-"/>
    <numFmt numFmtId="165" formatCode="0.0"/>
    <numFmt numFmtId="166" formatCode="0.000"/>
    <numFmt numFmtId="167" formatCode="0.0%"/>
    <numFmt numFmtId="168" formatCode="0.000%"/>
    <numFmt numFmtId="169" formatCode="0.00;[Red]0.00"/>
    <numFmt numFmtId="170" formatCode="0.00_);\(0.00\)"/>
    <numFmt numFmtId="171" formatCode="0.000_);\(0.000\)"/>
  </numFmts>
  <fonts count="41">
    <font>
      <sz val="10"/>
      <name val="Arial"/>
    </font>
    <font>
      <sz val="10"/>
      <name val="Arial"/>
      <family val="2"/>
    </font>
    <font>
      <sz val="10"/>
      <name val="Arial"/>
      <family val="2"/>
    </font>
    <font>
      <sz val="10"/>
      <color indexed="20"/>
      <name val="Calibri"/>
      <family val="2"/>
    </font>
    <font>
      <sz val="10"/>
      <color indexed="52"/>
      <name val="Calibri"/>
      <family val="2"/>
    </font>
    <font>
      <sz val="10"/>
      <color indexed="62"/>
      <name val="Calibri"/>
      <family val="2"/>
    </font>
    <font>
      <sz val="10"/>
      <color indexed="63"/>
      <name val="Calibri"/>
      <family val="2"/>
    </font>
    <font>
      <sz val="12"/>
      <name val="Arial"/>
      <family val="2"/>
    </font>
    <font>
      <sz val="14"/>
      <name val="Arial"/>
      <family val="2"/>
    </font>
    <font>
      <b/>
      <sz val="14"/>
      <name val="Arial"/>
      <family val="2"/>
    </font>
    <font>
      <b/>
      <sz val="14"/>
      <name val="Cambria"/>
      <family val="1"/>
    </font>
    <font>
      <sz val="14"/>
      <name val="Cambria"/>
      <family val="1"/>
    </font>
    <font>
      <b/>
      <sz val="14"/>
      <name val="Calibri"/>
      <family val="2"/>
    </font>
    <font>
      <sz val="14"/>
      <name val="Calibri"/>
      <family val="2"/>
    </font>
    <font>
      <b/>
      <u/>
      <sz val="14"/>
      <name val="Arial"/>
      <family val="2"/>
    </font>
    <font>
      <sz val="14"/>
      <color indexed="20"/>
      <name val="Calibri"/>
      <family val="2"/>
    </font>
    <font>
      <b/>
      <sz val="14"/>
      <color indexed="20"/>
      <name val="Calibri"/>
      <family val="2"/>
    </font>
    <font>
      <sz val="11"/>
      <name val="Tahoma"/>
      <family val="2"/>
    </font>
    <font>
      <b/>
      <sz val="11"/>
      <name val="Tahoma"/>
      <family val="2"/>
    </font>
    <font>
      <b/>
      <sz val="12"/>
      <color indexed="8"/>
      <name val="Times New Roman"/>
      <family val="1"/>
    </font>
    <font>
      <sz val="12"/>
      <color indexed="8"/>
      <name val="Times New Roman"/>
      <family val="1"/>
    </font>
    <font>
      <b/>
      <sz val="11"/>
      <color indexed="8"/>
      <name val="Tahoma"/>
      <family val="2"/>
    </font>
    <font>
      <b/>
      <sz val="10"/>
      <name val="Arial"/>
      <family val="2"/>
    </font>
    <font>
      <vertAlign val="superscript"/>
      <sz val="12"/>
      <color indexed="8"/>
      <name val="Times New Roman"/>
      <family val="1"/>
    </font>
    <font>
      <sz val="12"/>
      <name val="Times New Roman"/>
      <family val="1"/>
    </font>
    <font>
      <u/>
      <sz val="14"/>
      <name val="Arial"/>
      <family val="2"/>
    </font>
    <font>
      <u/>
      <sz val="12"/>
      <name val="Arial"/>
      <family val="2"/>
    </font>
    <font>
      <b/>
      <sz val="18"/>
      <name val="Arial"/>
      <family val="2"/>
    </font>
    <font>
      <b/>
      <sz val="15"/>
      <name val="Arial"/>
      <family val="2"/>
    </font>
    <font>
      <sz val="10"/>
      <name val="Calibri"/>
      <family val="2"/>
    </font>
    <font>
      <b/>
      <u/>
      <sz val="11"/>
      <name val="Tahoma"/>
      <family val="2"/>
    </font>
    <font>
      <b/>
      <sz val="12"/>
      <name val="Arial"/>
      <family val="2"/>
    </font>
    <font>
      <sz val="11"/>
      <name val="Calibri"/>
      <family val="2"/>
    </font>
    <font>
      <sz val="10"/>
      <color rgb="FF7F7F7F"/>
      <name val="Calibri"/>
      <family val="2"/>
      <scheme val="minor"/>
    </font>
    <font>
      <sz val="12"/>
      <color theme="1"/>
      <name val="Times New Roman"/>
      <family val="1"/>
    </font>
    <font>
      <b/>
      <sz val="12"/>
      <color theme="1"/>
      <name val="Times New Roman"/>
      <family val="1"/>
    </font>
    <font>
      <sz val="11"/>
      <color rgb="FF000000"/>
      <name val="Leelawadee"/>
      <family val="2"/>
    </font>
    <font>
      <sz val="11"/>
      <name val="Leelawadee"/>
      <family val="2"/>
    </font>
    <font>
      <sz val="12"/>
      <color rgb="FF000000"/>
      <name val="Times New Roman"/>
      <family val="1"/>
    </font>
    <font>
      <sz val="12"/>
      <color rgb="FF002060"/>
      <name val="Times New Roman"/>
      <family val="1"/>
    </font>
    <font>
      <b/>
      <sz val="12"/>
      <name val="Times New Roman"/>
      <family val="1"/>
    </font>
  </fonts>
  <fills count="3">
    <fill>
      <patternFill patternType="none"/>
    </fill>
    <fill>
      <patternFill patternType="gray125"/>
    </fill>
    <fill>
      <patternFill patternType="solid">
        <fgColor indexed="2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3">
    <xf numFmtId="0" fontId="0" fillId="0" borderId="0"/>
    <xf numFmtId="0" fontId="1" fillId="0" borderId="0"/>
    <xf numFmtId="0" fontId="33" fillId="0" borderId="0"/>
  </cellStyleXfs>
  <cellXfs count="1337">
    <xf numFmtId="0" fontId="0" fillId="0" borderId="0" xfId="0"/>
    <xf numFmtId="0" fontId="0" fillId="0" borderId="0" xfId="0" applyFill="1" applyProtection="1">
      <protection hidden="1"/>
    </xf>
    <xf numFmtId="0" fontId="0" fillId="0" borderId="0" xfId="0" applyFont="1" applyFill="1" applyAlignment="1" applyProtection="1">
      <alignment horizontal="center"/>
      <protection hidden="1"/>
    </xf>
    <xf numFmtId="0" fontId="0" fillId="0" borderId="1" xfId="0" applyFill="1" applyBorder="1" applyProtection="1">
      <protection hidden="1"/>
    </xf>
    <xf numFmtId="0" fontId="0" fillId="0" borderId="1" xfId="0" applyFont="1" applyFill="1" applyBorder="1" applyProtection="1">
      <protection hidden="1"/>
    </xf>
    <xf numFmtId="0" fontId="0" fillId="0" borderId="1"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center" vertical="top" wrapText="1"/>
      <protection hidden="1"/>
    </xf>
    <xf numFmtId="0" fontId="0" fillId="0" borderId="0" xfId="0" applyFont="1" applyFill="1" applyProtection="1">
      <protection hidden="1"/>
    </xf>
    <xf numFmtId="0" fontId="0" fillId="0" borderId="1" xfId="0" applyFont="1" applyFill="1" applyBorder="1" applyAlignment="1" applyProtection="1">
      <alignment horizontal="center"/>
      <protection hidden="1"/>
    </xf>
    <xf numFmtId="0" fontId="0" fillId="0" borderId="0" xfId="0" applyFont="1" applyFill="1" applyAlignment="1" applyProtection="1">
      <alignment horizontal="right"/>
      <protection hidden="1"/>
    </xf>
    <xf numFmtId="0" fontId="0" fillId="0" borderId="0" xfId="0" applyFont="1" applyFill="1" applyAlignment="1" applyProtection="1">
      <protection hidden="1"/>
    </xf>
    <xf numFmtId="0" fontId="0" fillId="0" borderId="0" xfId="0" applyFont="1" applyFill="1" applyAlignment="1" applyProtection="1">
      <alignment horizontal="left"/>
      <protection hidden="1"/>
    </xf>
    <xf numFmtId="0" fontId="0" fillId="0" borderId="0" xfId="0" applyFont="1" applyFill="1" applyBorder="1" applyAlignment="1" applyProtection="1">
      <alignment horizontal="center" vertical="center" wrapText="1"/>
      <protection hidden="1"/>
    </xf>
    <xf numFmtId="0" fontId="0" fillId="0" borderId="0" xfId="0" applyFont="1" applyFill="1" applyBorder="1" applyAlignment="1" applyProtection="1">
      <alignment horizontal="center" vertical="top" wrapText="1"/>
      <protection hidden="1"/>
    </xf>
    <xf numFmtId="0" fontId="0" fillId="0" borderId="0" xfId="0" applyFill="1" applyAlignment="1" applyProtection="1">
      <protection hidden="1"/>
    </xf>
    <xf numFmtId="0" fontId="0" fillId="0" borderId="0" xfId="0" applyFill="1" applyAlignment="1" applyProtection="1">
      <alignment horizontal="center"/>
      <protection hidden="1"/>
    </xf>
    <xf numFmtId="0" fontId="0" fillId="0" borderId="0" xfId="0" applyFill="1" applyBorder="1" applyAlignment="1" applyProtection="1">
      <alignment horizontal="center"/>
      <protection hidden="1"/>
    </xf>
    <xf numFmtId="0" fontId="0" fillId="0" borderId="2" xfId="0" applyFont="1" applyFill="1" applyBorder="1" applyAlignment="1" applyProtection="1">
      <alignment vertical="center" wrapText="1"/>
      <protection hidden="1"/>
    </xf>
    <xf numFmtId="0" fontId="0" fillId="0" borderId="0" xfId="0" applyFont="1" applyFill="1" applyBorder="1" applyAlignment="1" applyProtection="1">
      <alignment horizontal="left" vertical="center" wrapText="1"/>
      <protection hidden="1"/>
    </xf>
    <xf numFmtId="0" fontId="0" fillId="0" borderId="0" xfId="0" applyFill="1" applyAlignment="1" applyProtection="1">
      <alignment horizontal="left"/>
      <protection hidden="1"/>
    </xf>
    <xf numFmtId="0" fontId="0" fillId="0" borderId="1" xfId="0" applyFill="1" applyBorder="1" applyAlignment="1" applyProtection="1">
      <alignment horizontal="center"/>
      <protection hidden="1"/>
    </xf>
    <xf numFmtId="2" fontId="0" fillId="0" borderId="0" xfId="0" applyNumberFormat="1" applyFont="1" applyFill="1" applyBorder="1" applyAlignment="1" applyProtection="1">
      <alignment horizontal="center" vertical="center" wrapText="1"/>
      <protection hidden="1"/>
    </xf>
    <xf numFmtId="0" fontId="0" fillId="0" borderId="3" xfId="0" applyFont="1" applyFill="1" applyBorder="1" applyAlignment="1" applyProtection="1">
      <alignment horizontal="center" vertical="center" wrapText="1"/>
      <protection hidden="1"/>
    </xf>
    <xf numFmtId="0" fontId="0" fillId="0" borderId="4" xfId="0" applyFont="1" applyFill="1" applyBorder="1" applyAlignment="1" applyProtection="1">
      <alignment vertical="center" wrapText="1" readingOrder="1"/>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8" fillId="0" borderId="0" xfId="0" applyFont="1" applyProtection="1">
      <protection hidden="1"/>
    </xf>
    <xf numFmtId="0" fontId="8" fillId="0" borderId="0" xfId="0" applyFont="1" applyAlignment="1" applyProtection="1">
      <alignment horizontal="left"/>
      <protection hidden="1"/>
    </xf>
    <xf numFmtId="0" fontId="9" fillId="0" borderId="0" xfId="0" applyFont="1" applyBorder="1" applyAlignment="1" applyProtection="1">
      <alignment horizontal="center"/>
      <protection hidden="1"/>
    </xf>
    <xf numFmtId="0" fontId="8" fillId="0" borderId="0" xfId="0" applyFont="1" applyBorder="1" applyAlignment="1" applyProtection="1">
      <alignment horizontal="center" vertical="center"/>
      <protection hidden="1"/>
    </xf>
    <xf numFmtId="0" fontId="8" fillId="0" borderId="0" xfId="0" applyFont="1" applyBorder="1" applyAlignment="1" applyProtection="1">
      <protection hidden="1"/>
    </xf>
    <xf numFmtId="0" fontId="8" fillId="0" borderId="0" xfId="0" applyFont="1" applyBorder="1" applyProtection="1">
      <protection hidden="1"/>
    </xf>
    <xf numFmtId="0" fontId="9" fillId="0" borderId="0" xfId="0" applyFont="1" applyBorder="1" applyAlignment="1" applyProtection="1">
      <protection hidden="1"/>
    </xf>
    <xf numFmtId="0" fontId="8" fillId="0" borderId="0" xfId="0" applyFont="1" applyBorder="1" applyAlignment="1" applyProtection="1">
      <alignment horizontal="center"/>
      <protection hidden="1"/>
    </xf>
    <xf numFmtId="0" fontId="8" fillId="0" borderId="1" xfId="0" applyFont="1" applyBorder="1" applyAlignment="1" applyProtection="1">
      <alignment horizontal="center" vertical="center" wrapText="1"/>
      <protection hidden="1"/>
    </xf>
    <xf numFmtId="0" fontId="8" fillId="0" borderId="1" xfId="0" applyFont="1" applyBorder="1" applyAlignment="1" applyProtection="1">
      <alignment horizontal="center" vertical="center"/>
      <protection hidden="1"/>
    </xf>
    <xf numFmtId="0" fontId="8" fillId="0" borderId="1" xfId="0" applyFont="1" applyBorder="1" applyAlignment="1" applyProtection="1">
      <alignment horizontal="center"/>
      <protection hidden="1"/>
    </xf>
    <xf numFmtId="0" fontId="9" fillId="0" borderId="1" xfId="0" applyFont="1" applyBorder="1" applyAlignment="1" applyProtection="1">
      <alignment horizontal="center" vertical="center" wrapText="1"/>
      <protection hidden="1"/>
    </xf>
    <xf numFmtId="0" fontId="8" fillId="0" borderId="1" xfId="0" applyFont="1" applyBorder="1" applyProtection="1">
      <protection hidden="1"/>
    </xf>
    <xf numFmtId="0" fontId="8" fillId="0" borderId="1" xfId="0" applyFont="1" applyBorder="1" applyAlignment="1" applyProtection="1">
      <alignment horizontal="left"/>
      <protection hidden="1"/>
    </xf>
    <xf numFmtId="0" fontId="9" fillId="0" borderId="1" xfId="0" applyFont="1" applyBorder="1" applyProtection="1">
      <protection hidden="1"/>
    </xf>
    <xf numFmtId="2" fontId="8" fillId="0" borderId="1" xfId="0" applyNumberFormat="1" applyFont="1" applyBorder="1" applyAlignment="1" applyProtection="1">
      <alignment horizontal="center" vertical="center"/>
      <protection hidden="1"/>
    </xf>
    <xf numFmtId="0" fontId="8" fillId="0" borderId="1" xfId="0" applyFont="1" applyBorder="1" applyAlignment="1" applyProtection="1">
      <alignment wrapText="1"/>
      <protection hidden="1"/>
    </xf>
    <xf numFmtId="0" fontId="8" fillId="0" borderId="0" xfId="0" applyFont="1" applyAlignment="1" applyProtection="1">
      <alignment horizontal="left" wrapText="1"/>
      <protection hidden="1"/>
    </xf>
    <xf numFmtId="0" fontId="9" fillId="0" borderId="1" xfId="0" applyFont="1" applyBorder="1" applyAlignment="1" applyProtection="1">
      <alignment horizontal="left"/>
      <protection hidden="1"/>
    </xf>
    <xf numFmtId="0" fontId="8" fillId="0" borderId="1" xfId="0" applyFont="1" applyBorder="1" applyAlignment="1" applyProtection="1">
      <protection hidden="1"/>
    </xf>
    <xf numFmtId="0" fontId="8" fillId="0" borderId="1" xfId="0" applyFont="1" applyFill="1" applyBorder="1" applyAlignment="1" applyProtection="1">
      <alignment wrapText="1"/>
      <protection hidden="1"/>
    </xf>
    <xf numFmtId="0" fontId="8" fillId="0" borderId="0" xfId="0" applyFont="1" applyAlignment="1" applyProtection="1">
      <protection hidden="1"/>
    </xf>
    <xf numFmtId="0" fontId="8" fillId="0" borderId="0" xfId="0" applyFont="1" applyAlignment="1" applyProtection="1">
      <alignment wrapText="1"/>
      <protection hidden="1"/>
    </xf>
    <xf numFmtId="0" fontId="8" fillId="0" borderId="0" xfId="0" applyFont="1" applyFill="1" applyAlignment="1" applyProtection="1">
      <alignment wrapText="1"/>
      <protection hidden="1"/>
    </xf>
    <xf numFmtId="0" fontId="8" fillId="0" borderId="1" xfId="0" applyFont="1" applyFill="1" applyBorder="1" applyProtection="1">
      <protection hidden="1"/>
    </xf>
    <xf numFmtId="0" fontId="8" fillId="0" borderId="1" xfId="0" applyFont="1" applyFill="1" applyBorder="1" applyAlignment="1" applyProtection="1">
      <alignment horizontal="justify" vertical="top" wrapText="1"/>
      <protection hidden="1"/>
    </xf>
    <xf numFmtId="2" fontId="8" fillId="0" borderId="1" xfId="0" applyNumberFormat="1"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vertical="center" wrapText="1"/>
      <protection hidden="1"/>
    </xf>
    <xf numFmtId="170" fontId="8" fillId="0" borderId="0" xfId="0" applyNumberFormat="1" applyFont="1" applyFill="1" applyBorder="1" applyAlignment="1" applyProtection="1">
      <alignment horizontal="right" vertical="top"/>
      <protection hidden="1"/>
    </xf>
    <xf numFmtId="170" fontId="8" fillId="0" borderId="0" xfId="0" applyNumberFormat="1" applyFont="1" applyFill="1" applyBorder="1" applyAlignment="1" applyProtection="1">
      <alignment horizontal="center" vertical="top" wrapText="1"/>
      <protection hidden="1"/>
    </xf>
    <xf numFmtId="0" fontId="8" fillId="0" borderId="0" xfId="0" applyFont="1" applyFill="1" applyBorder="1" applyAlignment="1" applyProtection="1">
      <alignment vertical="top"/>
      <protection hidden="1"/>
    </xf>
    <xf numFmtId="0" fontId="8" fillId="0" borderId="0" xfId="0" applyFont="1" applyFill="1" applyAlignment="1" applyProtection="1">
      <alignment vertical="top"/>
      <protection hidden="1"/>
    </xf>
    <xf numFmtId="0" fontId="8" fillId="0" borderId="1" xfId="0" applyFont="1" applyFill="1" applyBorder="1" applyAlignment="1" applyProtection="1">
      <alignment horizontal="center" vertical="top" wrapText="1"/>
      <protection hidden="1"/>
    </xf>
    <xf numFmtId="170" fontId="8" fillId="0" borderId="1" xfId="0" applyNumberFormat="1" applyFont="1" applyFill="1" applyBorder="1" applyAlignment="1" applyProtection="1">
      <alignment horizontal="right" vertical="top"/>
      <protection hidden="1"/>
    </xf>
    <xf numFmtId="0" fontId="8" fillId="0" borderId="0" xfId="0" applyFont="1" applyFill="1" applyBorder="1" applyProtection="1">
      <protection hidden="1"/>
    </xf>
    <xf numFmtId="0" fontId="8" fillId="0" borderId="0" xfId="0" applyFont="1" applyFill="1" applyProtection="1">
      <protection hidden="1"/>
    </xf>
    <xf numFmtId="0" fontId="8" fillId="0" borderId="0" xfId="0" applyFont="1" applyFill="1" applyAlignment="1" applyProtection="1">
      <alignment horizontal="center"/>
      <protection hidden="1"/>
    </xf>
    <xf numFmtId="0" fontId="8" fillId="0" borderId="1" xfId="0" applyFont="1" applyBorder="1" applyAlignment="1" applyProtection="1">
      <alignment horizontal="left" wrapText="1"/>
      <protection hidden="1"/>
    </xf>
    <xf numFmtId="2" fontId="8" fillId="0" borderId="1" xfId="0" applyNumberFormat="1" applyFont="1" applyBorder="1" applyAlignment="1" applyProtection="1">
      <alignment horizontal="center" vertical="center" wrapText="1"/>
      <protection hidden="1"/>
    </xf>
    <xf numFmtId="0" fontId="8" fillId="0" borderId="1" xfId="0" applyFont="1" applyBorder="1" applyAlignment="1" applyProtection="1">
      <alignment horizontal="center" wrapText="1"/>
      <protection hidden="1"/>
    </xf>
    <xf numFmtId="0" fontId="8" fillId="0" borderId="1" xfId="0" applyFont="1" applyFill="1" applyBorder="1" applyAlignment="1" applyProtection="1">
      <alignment horizontal="center" vertical="center"/>
      <protection hidden="1"/>
    </xf>
    <xf numFmtId="2" fontId="8" fillId="0" borderId="1" xfId="0" applyNumberFormat="1" applyFont="1" applyBorder="1" applyProtection="1">
      <protection hidden="1"/>
    </xf>
    <xf numFmtId="2" fontId="8" fillId="0" borderId="0" xfId="0" applyNumberFormat="1" applyFont="1" applyProtection="1">
      <protection hidden="1"/>
    </xf>
    <xf numFmtId="0" fontId="8" fillId="0" borderId="1" xfId="0" applyFont="1" applyFill="1" applyBorder="1" applyAlignment="1" applyProtection="1">
      <alignment horizontal="center"/>
      <protection hidden="1"/>
    </xf>
    <xf numFmtId="2" fontId="8" fillId="0" borderId="1" xfId="0" applyNumberFormat="1" applyFont="1" applyFill="1" applyBorder="1" applyAlignment="1" applyProtection="1">
      <alignment horizontal="center"/>
      <protection hidden="1"/>
    </xf>
    <xf numFmtId="0" fontId="8" fillId="0" borderId="3" xfId="0" applyFont="1" applyBorder="1" applyAlignment="1" applyProtection="1">
      <alignment horizontal="left" vertical="center" wrapText="1"/>
      <protection hidden="1"/>
    </xf>
    <xf numFmtId="0" fontId="8" fillId="0" borderId="4" xfId="0" applyFont="1" applyBorder="1" applyAlignment="1" applyProtection="1">
      <alignment horizontal="left" vertical="center" wrapText="1"/>
      <protection hidden="1"/>
    </xf>
    <xf numFmtId="0" fontId="8" fillId="0" borderId="0" xfId="0" applyFont="1" applyBorder="1" applyAlignment="1" applyProtection="1">
      <alignment horizontal="left" vertical="center" wrapText="1"/>
      <protection hidden="1"/>
    </xf>
    <xf numFmtId="0" fontId="8" fillId="0" borderId="0" xfId="0" applyFont="1" applyBorder="1" applyAlignment="1" applyProtection="1">
      <alignment horizontal="center" vertical="center" wrapText="1"/>
      <protection hidden="1"/>
    </xf>
    <xf numFmtId="2" fontId="8" fillId="0" borderId="0" xfId="0" applyNumberFormat="1" applyFont="1" applyBorder="1" applyProtection="1">
      <protection hidden="1"/>
    </xf>
    <xf numFmtId="0" fontId="8" fillId="0" borderId="0" xfId="0" applyFont="1" applyBorder="1" applyAlignment="1" applyProtection="1">
      <alignment horizontal="left"/>
      <protection hidden="1"/>
    </xf>
    <xf numFmtId="0" fontId="8" fillId="2" borderId="0" xfId="0" applyFont="1" applyFill="1" applyAlignment="1" applyProtection="1">
      <alignment horizontal="left"/>
      <protection hidden="1"/>
    </xf>
    <xf numFmtId="0" fontId="8" fillId="0" borderId="0" xfId="0" applyFont="1" applyAlignment="1" applyProtection="1">
      <alignment horizontal="center"/>
      <protection hidden="1"/>
    </xf>
    <xf numFmtId="0" fontId="9" fillId="0" borderId="0" xfId="0" applyFont="1" applyAlignment="1" applyProtection="1">
      <alignment horizontal="left"/>
      <protection hidden="1"/>
    </xf>
    <xf numFmtId="9" fontId="8" fillId="0" borderId="0" xfId="0" applyNumberFormat="1" applyFont="1" applyAlignment="1" applyProtection="1">
      <alignment horizontal="left"/>
      <protection hidden="1"/>
    </xf>
    <xf numFmtId="0" fontId="8" fillId="0" borderId="5" xfId="0" applyFont="1" applyBorder="1" applyAlignment="1" applyProtection="1">
      <alignment horizontal="center" vertical="center" wrapText="1"/>
      <protection hidden="1"/>
    </xf>
    <xf numFmtId="2" fontId="8" fillId="0" borderId="1" xfId="0" applyNumberFormat="1" applyFont="1" applyBorder="1" applyAlignment="1" applyProtection="1">
      <alignment horizontal="center"/>
      <protection hidden="1"/>
    </xf>
    <xf numFmtId="2" fontId="8" fillId="0" borderId="1" xfId="0" applyNumberFormat="1" applyFont="1" applyBorder="1" applyAlignment="1" applyProtection="1">
      <alignment horizontal="center" wrapText="1"/>
      <protection hidden="1"/>
    </xf>
    <xf numFmtId="2" fontId="8" fillId="0" borderId="1" xfId="0" applyNumberFormat="1" applyFont="1" applyBorder="1" applyAlignment="1" applyProtection="1">
      <alignment horizontal="left"/>
      <protection hidden="1"/>
    </xf>
    <xf numFmtId="2" fontId="8" fillId="0" borderId="0" xfId="0" applyNumberFormat="1" applyFont="1" applyBorder="1" applyAlignment="1" applyProtection="1">
      <alignment horizontal="left"/>
      <protection hidden="1"/>
    </xf>
    <xf numFmtId="0" fontId="8" fillId="0" borderId="0" xfId="0" applyFont="1" applyBorder="1" applyAlignment="1" applyProtection="1">
      <alignment horizontal="left" wrapText="1"/>
      <protection hidden="1"/>
    </xf>
    <xf numFmtId="0" fontId="9" fillId="0" borderId="0" xfId="0" applyFont="1" applyBorder="1" applyAlignment="1" applyProtection="1">
      <alignment horizontal="left"/>
      <protection hidden="1"/>
    </xf>
    <xf numFmtId="0" fontId="9" fillId="0" borderId="6" xfId="0" applyFont="1" applyBorder="1" applyAlignment="1" applyProtection="1">
      <alignment horizontal="left"/>
      <protection hidden="1"/>
    </xf>
    <xf numFmtId="0" fontId="8" fillId="0" borderId="6" xfId="0" applyFont="1" applyBorder="1" applyAlignment="1" applyProtection="1">
      <alignment horizontal="left"/>
      <protection hidden="1"/>
    </xf>
    <xf numFmtId="0" fontId="8" fillId="0" borderId="7" xfId="0" applyFont="1" applyBorder="1" applyAlignment="1" applyProtection="1">
      <alignment horizontal="center" vertical="center" wrapText="1"/>
      <protection hidden="1"/>
    </xf>
    <xf numFmtId="0" fontId="8" fillId="0" borderId="4" xfId="0" applyFont="1" applyBorder="1" applyAlignment="1" applyProtection="1">
      <alignment horizontal="left" wrapText="1"/>
      <protection hidden="1"/>
    </xf>
    <xf numFmtId="0" fontId="8" fillId="0" borderId="3" xfId="0" applyFont="1" applyBorder="1" applyAlignment="1" applyProtection="1">
      <alignment horizontal="center"/>
      <protection hidden="1"/>
    </xf>
    <xf numFmtId="0" fontId="8" fillId="0" borderId="4" xfId="0" applyFont="1" applyBorder="1" applyAlignment="1" applyProtection="1">
      <alignment horizontal="center"/>
      <protection hidden="1"/>
    </xf>
    <xf numFmtId="2" fontId="8" fillId="0" borderId="4" xfId="0" applyNumberFormat="1"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8" xfId="0" applyFont="1" applyBorder="1" applyAlignment="1" applyProtection="1">
      <alignment horizontal="center" wrapText="1"/>
      <protection hidden="1"/>
    </xf>
    <xf numFmtId="0" fontId="8" fillId="0" borderId="9" xfId="0" applyFont="1" applyBorder="1" applyAlignment="1" applyProtection="1">
      <alignment horizontal="center"/>
      <protection hidden="1"/>
    </xf>
    <xf numFmtId="2" fontId="8" fillId="0" borderId="10" xfId="0" applyNumberFormat="1" applyFont="1" applyBorder="1" applyAlignment="1" applyProtection="1">
      <alignment horizontal="center"/>
      <protection hidden="1"/>
    </xf>
    <xf numFmtId="9" fontId="8" fillId="0" borderId="0" xfId="0" applyNumberFormat="1" applyFont="1" applyBorder="1" applyAlignment="1" applyProtection="1">
      <alignment horizontal="left"/>
      <protection hidden="1"/>
    </xf>
    <xf numFmtId="9" fontId="8" fillId="0" borderId="0" xfId="0" applyNumberFormat="1" applyFont="1" applyBorder="1" applyAlignment="1" applyProtection="1">
      <alignment horizontal="left" wrapText="1"/>
      <protection hidden="1"/>
    </xf>
    <xf numFmtId="0" fontId="8" fillId="0" borderId="0" xfId="0" applyFont="1" applyFill="1" applyBorder="1" applyAlignment="1" applyProtection="1">
      <alignment horizontal="left"/>
      <protection hidden="1"/>
    </xf>
    <xf numFmtId="2" fontId="8" fillId="0" borderId="0" xfId="0" applyNumberFormat="1" applyFont="1" applyFill="1" applyBorder="1" applyAlignment="1" applyProtection="1">
      <alignment horizontal="left"/>
      <protection hidden="1"/>
    </xf>
    <xf numFmtId="0" fontId="8" fillId="0" borderId="0" xfId="0" applyFont="1" applyBorder="1" applyAlignment="1" applyProtection="1">
      <alignment horizontal="center" wrapText="1"/>
      <protection hidden="1"/>
    </xf>
    <xf numFmtId="2" fontId="8" fillId="0" borderId="0" xfId="0" applyNumberFormat="1" applyFont="1" applyBorder="1" applyAlignment="1" applyProtection="1">
      <alignment horizontal="center"/>
      <protection hidden="1"/>
    </xf>
    <xf numFmtId="0" fontId="8" fillId="0" borderId="11" xfId="0" applyFont="1" applyBorder="1" applyAlignment="1" applyProtection="1">
      <alignment horizontal="center"/>
      <protection hidden="1"/>
    </xf>
    <xf numFmtId="2" fontId="8" fillId="0" borderId="3" xfId="0" applyNumberFormat="1" applyFont="1" applyBorder="1" applyProtection="1">
      <protection hidden="1"/>
    </xf>
    <xf numFmtId="0" fontId="8" fillId="0" borderId="8" xfId="0" applyFont="1" applyBorder="1" applyProtection="1">
      <protection hidden="1"/>
    </xf>
    <xf numFmtId="0" fontId="8" fillId="2" borderId="0" xfId="0" applyFont="1" applyFill="1" applyAlignment="1" applyProtection="1">
      <alignment horizontal="right"/>
      <protection hidden="1"/>
    </xf>
    <xf numFmtId="0" fontId="8" fillId="2" borderId="0" xfId="0" applyFont="1" applyFill="1" applyAlignment="1" applyProtection="1">
      <alignment horizontal="center"/>
      <protection hidden="1"/>
    </xf>
    <xf numFmtId="0" fontId="8" fillId="0" borderId="12" xfId="0" applyFont="1" applyBorder="1" applyAlignment="1" applyProtection="1">
      <alignment horizontal="left" wrapText="1"/>
      <protection hidden="1"/>
    </xf>
    <xf numFmtId="2" fontId="8" fillId="0" borderId="8" xfId="0" applyNumberFormat="1" applyFont="1" applyBorder="1" applyAlignment="1" applyProtection="1">
      <alignment horizontal="center"/>
      <protection hidden="1"/>
    </xf>
    <xf numFmtId="2" fontId="8" fillId="0" borderId="9" xfId="0" applyNumberFormat="1" applyFont="1" applyBorder="1" applyAlignment="1" applyProtection="1">
      <alignment horizontal="center"/>
      <protection hidden="1"/>
    </xf>
    <xf numFmtId="0" fontId="8" fillId="0" borderId="5" xfId="0" applyFont="1" applyBorder="1" applyAlignment="1" applyProtection="1">
      <alignment horizontal="left" wrapText="1"/>
      <protection hidden="1"/>
    </xf>
    <xf numFmtId="0" fontId="8" fillId="0" borderId="5"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5" xfId="0" applyFont="1" applyBorder="1" applyAlignment="1" applyProtection="1">
      <alignment horizontal="left"/>
      <protection hidden="1"/>
    </xf>
    <xf numFmtId="2" fontId="8" fillId="0" borderId="0" xfId="0" applyNumberFormat="1" applyFont="1" applyAlignment="1" applyProtection="1">
      <alignment horizontal="left"/>
      <protection hidden="1"/>
    </xf>
    <xf numFmtId="9" fontId="8" fillId="0" borderId="1" xfId="0" applyNumberFormat="1" applyFont="1" applyBorder="1" applyAlignment="1" applyProtection="1">
      <alignment horizontal="left"/>
      <protection hidden="1"/>
    </xf>
    <xf numFmtId="0" fontId="8" fillId="0" borderId="6" xfId="0" applyFont="1" applyBorder="1" applyAlignment="1" applyProtection="1">
      <alignment horizontal="left" wrapText="1"/>
      <protection hidden="1"/>
    </xf>
    <xf numFmtId="2" fontId="8" fillId="0" borderId="6" xfId="0" applyNumberFormat="1" applyFont="1" applyBorder="1" applyAlignment="1" applyProtection="1">
      <alignment horizontal="left"/>
      <protection hidden="1"/>
    </xf>
    <xf numFmtId="2" fontId="8" fillId="0" borderId="1" xfId="0" applyNumberFormat="1" applyFont="1" applyBorder="1" applyAlignment="1" applyProtection="1">
      <alignment horizontal="left" wrapText="1"/>
      <protection hidden="1"/>
    </xf>
    <xf numFmtId="0" fontId="8" fillId="0" borderId="3" xfId="0" applyFont="1" applyBorder="1" applyAlignment="1" applyProtection="1">
      <alignment horizontal="left" wrapText="1"/>
      <protection hidden="1"/>
    </xf>
    <xf numFmtId="0" fontId="8" fillId="0" borderId="14" xfId="0" applyFont="1" applyBorder="1" applyAlignment="1" applyProtection="1">
      <alignment horizontal="left"/>
      <protection hidden="1"/>
    </xf>
    <xf numFmtId="2" fontId="8" fillId="0" borderId="1" xfId="0" applyNumberFormat="1" applyFont="1" applyBorder="1" applyAlignment="1" applyProtection="1">
      <alignment horizontal="left" indent="3"/>
      <protection hidden="1"/>
    </xf>
    <xf numFmtId="0" fontId="8" fillId="0" borderId="0" xfId="0" applyFont="1" applyFill="1" applyAlignment="1" applyProtection="1">
      <alignment horizontal="left"/>
      <protection hidden="1"/>
    </xf>
    <xf numFmtId="2" fontId="8" fillId="0" borderId="0" xfId="0" applyNumberFormat="1" applyFont="1" applyFill="1" applyAlignment="1" applyProtection="1">
      <alignment horizontal="left"/>
      <protection hidden="1"/>
    </xf>
    <xf numFmtId="0" fontId="8" fillId="0" borderId="1" xfId="0" applyFont="1" applyFill="1" applyBorder="1" applyAlignment="1" applyProtection="1">
      <alignment horizontal="left"/>
      <protection hidden="1"/>
    </xf>
    <xf numFmtId="0" fontId="9" fillId="0" borderId="15" xfId="0" applyFont="1" applyBorder="1" applyAlignment="1" applyProtection="1">
      <alignment horizontal="left"/>
      <protection hidden="1"/>
    </xf>
    <xf numFmtId="0" fontId="8" fillId="0" borderId="3" xfId="0" applyFont="1" applyBorder="1" applyAlignment="1" applyProtection="1">
      <alignment horizontal="left"/>
      <protection hidden="1"/>
    </xf>
    <xf numFmtId="2" fontId="8" fillId="0" borderId="16" xfId="0" applyNumberFormat="1" applyFont="1" applyBorder="1" applyAlignment="1" applyProtection="1">
      <alignment horizontal="left"/>
      <protection hidden="1"/>
    </xf>
    <xf numFmtId="0" fontId="8" fillId="0" borderId="17" xfId="0" applyFont="1" applyBorder="1" applyAlignment="1" applyProtection="1">
      <alignment horizontal="left"/>
      <protection hidden="1"/>
    </xf>
    <xf numFmtId="2" fontId="8" fillId="0" borderId="9" xfId="0" applyNumberFormat="1" applyFont="1" applyBorder="1" applyAlignment="1" applyProtection="1">
      <alignment horizontal="left"/>
      <protection hidden="1"/>
    </xf>
    <xf numFmtId="0" fontId="8" fillId="0" borderId="11" xfId="0" applyFont="1" applyBorder="1" applyAlignment="1" applyProtection="1">
      <alignment horizontal="center" wrapText="1"/>
      <protection hidden="1"/>
    </xf>
    <xf numFmtId="2" fontId="8" fillId="0" borderId="11" xfId="0" applyNumberFormat="1" applyFont="1" applyBorder="1" applyAlignment="1" applyProtection="1">
      <alignment horizontal="center"/>
      <protection hidden="1"/>
    </xf>
    <xf numFmtId="0" fontId="8" fillId="0" borderId="4" xfId="0" applyFont="1" applyBorder="1" applyAlignment="1" applyProtection="1">
      <alignment horizontal="left"/>
      <protection hidden="1"/>
    </xf>
    <xf numFmtId="2" fontId="8" fillId="0" borderId="14" xfId="0" applyNumberFormat="1" applyFont="1" applyBorder="1" applyAlignment="1" applyProtection="1">
      <alignment horizontal="left"/>
      <protection hidden="1"/>
    </xf>
    <xf numFmtId="0" fontId="8" fillId="0" borderId="11" xfId="0" applyFont="1" applyBorder="1" applyAlignment="1" applyProtection="1">
      <alignment horizontal="left" wrapText="1"/>
      <protection hidden="1"/>
    </xf>
    <xf numFmtId="2" fontId="8" fillId="0" borderId="11" xfId="0" applyNumberFormat="1" applyFont="1" applyBorder="1" applyAlignment="1" applyProtection="1">
      <alignment horizontal="left"/>
      <protection hidden="1"/>
    </xf>
    <xf numFmtId="0" fontId="8" fillId="0" borderId="7" xfId="0" applyFont="1" applyBorder="1" applyAlignment="1" applyProtection="1">
      <alignment horizontal="left"/>
      <protection hidden="1"/>
    </xf>
    <xf numFmtId="2" fontId="8" fillId="0" borderId="13" xfId="0" applyNumberFormat="1" applyFont="1" applyBorder="1" applyAlignment="1" applyProtection="1">
      <alignment horizontal="left"/>
      <protection hidden="1"/>
    </xf>
    <xf numFmtId="2" fontId="8" fillId="0" borderId="12" xfId="0" applyNumberFormat="1" applyFont="1" applyBorder="1" applyAlignment="1" applyProtection="1">
      <alignment horizontal="left"/>
      <protection hidden="1"/>
    </xf>
    <xf numFmtId="0" fontId="8" fillId="0" borderId="16" xfId="0" applyFont="1" applyBorder="1" applyAlignment="1" applyProtection="1">
      <alignment horizontal="left" wrapText="1"/>
      <protection hidden="1"/>
    </xf>
    <xf numFmtId="2" fontId="8" fillId="0" borderId="10" xfId="0" applyNumberFormat="1" applyFont="1" applyBorder="1" applyAlignment="1" applyProtection="1">
      <alignment horizontal="left"/>
      <protection hidden="1"/>
    </xf>
    <xf numFmtId="2" fontId="8" fillId="0" borderId="5" xfId="0" applyNumberFormat="1" applyFont="1" applyBorder="1" applyAlignment="1" applyProtection="1">
      <alignment horizontal="left"/>
      <protection hidden="1"/>
    </xf>
    <xf numFmtId="2" fontId="8" fillId="0" borderId="5" xfId="0" applyNumberFormat="1" applyFont="1" applyBorder="1" applyAlignment="1" applyProtection="1">
      <alignment horizontal="left" wrapText="1"/>
      <protection hidden="1"/>
    </xf>
    <xf numFmtId="0" fontId="8" fillId="0" borderId="17" xfId="0" applyFont="1" applyBorder="1" applyProtection="1">
      <protection hidden="1"/>
    </xf>
    <xf numFmtId="0" fontId="8" fillId="0" borderId="4" xfId="0" applyFont="1" applyBorder="1" applyProtection="1">
      <protection hidden="1"/>
    </xf>
    <xf numFmtId="0" fontId="8" fillId="0" borderId="12" xfId="0" applyFont="1" applyBorder="1" applyAlignment="1" applyProtection="1">
      <alignment horizontal="left"/>
      <protection hidden="1"/>
    </xf>
    <xf numFmtId="0" fontId="8" fillId="0" borderId="9" xfId="0" applyFont="1" applyBorder="1" applyAlignment="1" applyProtection="1">
      <alignment horizontal="left"/>
      <protection hidden="1"/>
    </xf>
    <xf numFmtId="0" fontId="8" fillId="0" borderId="13" xfId="0" applyFont="1" applyBorder="1" applyAlignment="1" applyProtection="1">
      <alignment horizontal="left"/>
      <protection hidden="1"/>
    </xf>
    <xf numFmtId="0" fontId="8" fillId="0" borderId="16"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8" xfId="0" applyFont="1" applyBorder="1" applyAlignment="1" applyProtection="1">
      <alignment horizontal="left"/>
      <protection hidden="1"/>
    </xf>
    <xf numFmtId="0" fontId="8" fillId="0" borderId="7" xfId="0" applyFont="1" applyBorder="1" applyProtection="1">
      <protection hidden="1"/>
    </xf>
    <xf numFmtId="2" fontId="8" fillId="0" borderId="8" xfId="0" applyNumberFormat="1" applyFont="1" applyBorder="1" applyAlignment="1" applyProtection="1">
      <alignment horizontal="left"/>
      <protection hidden="1"/>
    </xf>
    <xf numFmtId="2" fontId="8" fillId="0" borderId="3" xfId="0" applyNumberFormat="1" applyFont="1" applyBorder="1" applyAlignment="1" applyProtection="1">
      <alignment horizontal="left"/>
      <protection hidden="1"/>
    </xf>
    <xf numFmtId="0" fontId="8" fillId="0" borderId="17" xfId="0" applyFont="1" applyBorder="1" applyAlignment="1" applyProtection="1">
      <alignment horizontal="center"/>
      <protection hidden="1"/>
    </xf>
    <xf numFmtId="0" fontId="8" fillId="0" borderId="16" xfId="0" applyFont="1" applyBorder="1" applyAlignment="1" applyProtection="1">
      <alignment horizontal="center"/>
      <protection hidden="1"/>
    </xf>
    <xf numFmtId="0" fontId="8" fillId="0" borderId="16" xfId="0" applyFont="1" applyBorder="1" applyProtection="1">
      <protection hidden="1"/>
    </xf>
    <xf numFmtId="0" fontId="8" fillId="0" borderId="10" xfId="0" applyFont="1" applyBorder="1" applyAlignment="1" applyProtection="1">
      <alignment horizontal="left"/>
      <protection hidden="1"/>
    </xf>
    <xf numFmtId="0" fontId="9" fillId="0" borderId="0" xfId="0" applyFont="1" applyAlignment="1" applyProtection="1">
      <alignment wrapText="1"/>
      <protection hidden="1"/>
    </xf>
    <xf numFmtId="0" fontId="9" fillId="0" borderId="0" xfId="0" applyFont="1" applyAlignment="1" applyProtection="1">
      <protection hidden="1"/>
    </xf>
    <xf numFmtId="0" fontId="8" fillId="2" borderId="0" xfId="0" applyFont="1" applyFill="1" applyBorder="1" applyProtection="1">
      <protection hidden="1"/>
    </xf>
    <xf numFmtId="0" fontId="8" fillId="2" borderId="0" xfId="0" applyFont="1" applyFill="1" applyBorder="1" applyAlignment="1" applyProtection="1">
      <alignment horizontal="center"/>
      <protection hidden="1"/>
    </xf>
    <xf numFmtId="0" fontId="8" fillId="2" borderId="0" xfId="0" applyFont="1" applyFill="1" applyProtection="1">
      <protection hidden="1"/>
    </xf>
    <xf numFmtId="0" fontId="8" fillId="2" borderId="0" xfId="0" applyFont="1" applyFill="1" applyBorder="1" applyAlignment="1" applyProtection="1">
      <protection hidden="1"/>
    </xf>
    <xf numFmtId="0" fontId="8" fillId="2" borderId="0" xfId="0" applyFont="1" applyFill="1" applyBorder="1" applyAlignment="1" applyProtection="1">
      <alignment horizontal="left"/>
      <protection hidden="1"/>
    </xf>
    <xf numFmtId="0" fontId="8" fillId="0" borderId="0" xfId="0" applyFont="1" applyFill="1" applyBorder="1" applyAlignment="1" applyProtection="1">
      <alignment horizontal="center"/>
      <protection hidden="1"/>
    </xf>
    <xf numFmtId="0" fontId="9" fillId="0" borderId="18" xfId="0" applyFont="1" applyBorder="1" applyProtection="1">
      <protection hidden="1"/>
    </xf>
    <xf numFmtId="0" fontId="9" fillId="0" borderId="0" xfId="0" applyFont="1" applyProtection="1">
      <protection hidden="1"/>
    </xf>
    <xf numFmtId="0" fontId="8" fillId="0" borderId="0" xfId="0" applyFont="1" applyAlignment="1" applyProtection="1">
      <alignment horizontal="right"/>
      <protection hidden="1"/>
    </xf>
    <xf numFmtId="0" fontId="8" fillId="0" borderId="6" xfId="0" applyFont="1" applyBorder="1" applyAlignment="1" applyProtection="1">
      <alignment horizontal="right"/>
      <protection hidden="1"/>
    </xf>
    <xf numFmtId="2" fontId="8" fillId="0" borderId="6" xfId="0" applyNumberFormat="1" applyFont="1" applyBorder="1" applyProtection="1">
      <protection hidden="1"/>
    </xf>
    <xf numFmtId="0" fontId="8" fillId="0" borderId="6" xfId="0" applyFont="1" applyBorder="1" applyProtection="1">
      <protection hidden="1"/>
    </xf>
    <xf numFmtId="0" fontId="8" fillId="0" borderId="12" xfId="0" applyFont="1" applyBorder="1" applyAlignment="1" applyProtection="1">
      <alignment horizontal="center"/>
      <protection hidden="1"/>
    </xf>
    <xf numFmtId="0" fontId="8" fillId="0" borderId="7" xfId="0" applyFont="1" applyBorder="1" applyAlignment="1" applyProtection="1">
      <alignment horizontal="center"/>
      <protection hidden="1"/>
    </xf>
    <xf numFmtId="0" fontId="8" fillId="0" borderId="6" xfId="0" applyFont="1" applyBorder="1" applyAlignment="1" applyProtection="1">
      <protection hidden="1"/>
    </xf>
    <xf numFmtId="2" fontId="8" fillId="0" borderId="9" xfId="0" applyNumberFormat="1" applyFont="1" applyBorder="1" applyProtection="1">
      <protection hidden="1"/>
    </xf>
    <xf numFmtId="2" fontId="8" fillId="0" borderId="8" xfId="0" applyNumberFormat="1" applyFont="1" applyBorder="1" applyProtection="1">
      <protection hidden="1"/>
    </xf>
    <xf numFmtId="2" fontId="8" fillId="0" borderId="17" xfId="0" applyNumberFormat="1" applyFont="1" applyBorder="1" applyProtection="1">
      <protection hidden="1"/>
    </xf>
    <xf numFmtId="2" fontId="8" fillId="0" borderId="13" xfId="0" applyNumberFormat="1" applyFont="1" applyBorder="1" applyProtection="1">
      <protection hidden="1"/>
    </xf>
    <xf numFmtId="2" fontId="8" fillId="0" borderId="5" xfId="0" applyNumberFormat="1" applyFont="1" applyBorder="1" applyProtection="1">
      <protection hidden="1"/>
    </xf>
    <xf numFmtId="2" fontId="8" fillId="0" borderId="7" xfId="0" applyNumberFormat="1" applyFont="1" applyBorder="1" applyProtection="1">
      <protection hidden="1"/>
    </xf>
    <xf numFmtId="0" fontId="8" fillId="0" borderId="3" xfId="0" applyFont="1" applyBorder="1" applyProtection="1">
      <protection hidden="1"/>
    </xf>
    <xf numFmtId="2" fontId="9" fillId="0" borderId="5" xfId="0" applyNumberFormat="1" applyFont="1" applyBorder="1" applyAlignment="1" applyProtection="1">
      <alignment horizontal="left"/>
      <protection hidden="1"/>
    </xf>
    <xf numFmtId="2" fontId="8" fillId="0" borderId="0" xfId="0" applyNumberFormat="1" applyFont="1" applyAlignment="1" applyProtection="1">
      <alignment horizontal="center"/>
      <protection hidden="1"/>
    </xf>
    <xf numFmtId="0" fontId="8" fillId="0" borderId="12" xfId="0" applyFont="1" applyBorder="1" applyProtection="1">
      <protection hidden="1"/>
    </xf>
    <xf numFmtId="0" fontId="8" fillId="0" borderId="6" xfId="0" applyFont="1" applyBorder="1" applyAlignment="1" applyProtection="1">
      <alignment horizontal="center"/>
      <protection hidden="1"/>
    </xf>
    <xf numFmtId="0" fontId="8" fillId="0" borderId="14" xfId="0" applyFont="1" applyBorder="1" applyProtection="1">
      <protection hidden="1"/>
    </xf>
    <xf numFmtId="2" fontId="8" fillId="0" borderId="11" xfId="0" applyNumberFormat="1" applyFont="1" applyBorder="1" applyProtection="1">
      <protection hidden="1"/>
    </xf>
    <xf numFmtId="0" fontId="8" fillId="0" borderId="5" xfId="0" applyFont="1" applyBorder="1" applyProtection="1">
      <protection hidden="1"/>
    </xf>
    <xf numFmtId="0" fontId="8" fillId="0" borderId="13" xfId="0" applyFont="1" applyBorder="1" applyProtection="1">
      <protection hidden="1"/>
    </xf>
    <xf numFmtId="0" fontId="8" fillId="0" borderId="16" xfId="0" applyFont="1" applyBorder="1" applyAlignment="1" applyProtection="1">
      <alignment horizontal="right"/>
      <protection hidden="1"/>
    </xf>
    <xf numFmtId="2" fontId="9" fillId="0" borderId="1" xfId="0" applyNumberFormat="1" applyFont="1" applyBorder="1" applyAlignment="1" applyProtection="1">
      <alignment horizontal="left"/>
      <protection hidden="1"/>
    </xf>
    <xf numFmtId="0" fontId="8" fillId="0" borderId="9" xfId="0" applyFont="1" applyBorder="1" applyProtection="1">
      <protection hidden="1"/>
    </xf>
    <xf numFmtId="169" fontId="8" fillId="0" borderId="8" xfId="0" applyNumberFormat="1" applyFont="1" applyBorder="1" applyProtection="1">
      <protection hidden="1"/>
    </xf>
    <xf numFmtId="169" fontId="8" fillId="0" borderId="11" xfId="0" applyNumberFormat="1" applyFont="1" applyBorder="1" applyProtection="1">
      <protection hidden="1"/>
    </xf>
    <xf numFmtId="9" fontId="8" fillId="0" borderId="0" xfId="0" applyNumberFormat="1" applyFont="1" applyBorder="1" applyProtection="1">
      <protection hidden="1"/>
    </xf>
    <xf numFmtId="2" fontId="9" fillId="0" borderId="16" xfId="0" applyNumberFormat="1" applyFont="1" applyBorder="1" applyAlignment="1" applyProtection="1">
      <alignment horizontal="left"/>
      <protection hidden="1"/>
    </xf>
    <xf numFmtId="0" fontId="8" fillId="0" borderId="0" xfId="0" applyFont="1" applyBorder="1" applyAlignment="1" applyProtection="1">
      <alignment horizontal="right"/>
      <protection hidden="1"/>
    </xf>
    <xf numFmtId="9" fontId="8" fillId="0" borderId="0" xfId="0" applyNumberFormat="1" applyFont="1" applyProtection="1">
      <protection hidden="1"/>
    </xf>
    <xf numFmtId="2" fontId="8" fillId="0" borderId="0" xfId="0" applyNumberFormat="1" applyFont="1" applyAlignment="1" applyProtection="1">
      <protection hidden="1"/>
    </xf>
    <xf numFmtId="0" fontId="9" fillId="0" borderId="0" xfId="0" applyFont="1" applyAlignment="1" applyProtection="1">
      <alignment horizontal="right"/>
      <protection hidden="1"/>
    </xf>
    <xf numFmtId="2" fontId="9" fillId="0" borderId="0" xfId="0" applyNumberFormat="1" applyFont="1" applyAlignment="1" applyProtection="1">
      <alignment horizontal="left"/>
      <protection hidden="1"/>
    </xf>
    <xf numFmtId="2" fontId="8" fillId="0" borderId="16" xfId="0" applyNumberFormat="1" applyFont="1" applyBorder="1" applyProtection="1">
      <protection hidden="1"/>
    </xf>
    <xf numFmtId="0" fontId="8" fillId="0" borderId="10" xfId="0" applyFont="1" applyBorder="1" applyAlignment="1" applyProtection="1">
      <alignment horizontal="center"/>
      <protection hidden="1"/>
    </xf>
    <xf numFmtId="2" fontId="8" fillId="0" borderId="14" xfId="0" applyNumberFormat="1" applyFont="1" applyBorder="1" applyProtection="1">
      <protection hidden="1"/>
    </xf>
    <xf numFmtId="0" fontId="8" fillId="0" borderId="10" xfId="0" applyFont="1" applyBorder="1" applyAlignment="1" applyProtection="1">
      <alignment horizontal="right"/>
      <protection hidden="1"/>
    </xf>
    <xf numFmtId="2" fontId="9" fillId="0" borderId="10" xfId="0" applyNumberFormat="1" applyFont="1" applyBorder="1" applyAlignment="1" applyProtection="1">
      <alignment horizontal="left"/>
      <protection hidden="1"/>
    </xf>
    <xf numFmtId="0" fontId="8" fillId="0" borderId="11" xfId="0" applyFont="1" applyBorder="1" applyProtection="1">
      <protection hidden="1"/>
    </xf>
    <xf numFmtId="2" fontId="9" fillId="0" borderId="0" xfId="0" applyNumberFormat="1" applyFont="1" applyProtection="1">
      <protection hidden="1"/>
    </xf>
    <xf numFmtId="2" fontId="8" fillId="0" borderId="8" xfId="0" applyNumberFormat="1" applyFont="1" applyBorder="1" applyAlignment="1" applyProtection="1">
      <alignment horizontal="right"/>
      <protection hidden="1"/>
    </xf>
    <xf numFmtId="9" fontId="8" fillId="0" borderId="11" xfId="0" applyNumberFormat="1" applyFont="1" applyBorder="1" applyProtection="1">
      <protection hidden="1"/>
    </xf>
    <xf numFmtId="2" fontId="8" fillId="0" borderId="11" xfId="0" applyNumberFormat="1" applyFont="1" applyBorder="1" applyAlignment="1" applyProtection="1">
      <alignment horizontal="right"/>
      <protection hidden="1"/>
    </xf>
    <xf numFmtId="2" fontId="8" fillId="0" borderId="5" xfId="0" applyNumberFormat="1" applyFont="1" applyBorder="1" applyAlignment="1" applyProtection="1">
      <alignment horizontal="right"/>
      <protection hidden="1"/>
    </xf>
    <xf numFmtId="2" fontId="8" fillId="0" borderId="10" xfId="0" applyNumberFormat="1" applyFont="1" applyBorder="1" applyAlignment="1" applyProtection="1">
      <alignment horizontal="right"/>
      <protection hidden="1"/>
    </xf>
    <xf numFmtId="2" fontId="8" fillId="0" borderId="0" xfId="0" applyNumberFormat="1" applyFont="1" applyAlignment="1" applyProtection="1">
      <alignment horizontal="right"/>
      <protection hidden="1"/>
    </xf>
    <xf numFmtId="2" fontId="8" fillId="0" borderId="9" xfId="0" applyNumberFormat="1" applyFont="1" applyBorder="1" applyAlignment="1" applyProtection="1">
      <alignment horizontal="right"/>
      <protection hidden="1"/>
    </xf>
    <xf numFmtId="9" fontId="8" fillId="0" borderId="14" xfId="0" applyNumberFormat="1" applyFont="1" applyBorder="1" applyProtection="1">
      <protection hidden="1"/>
    </xf>
    <xf numFmtId="2" fontId="8" fillId="0" borderId="14" xfId="0" applyNumberFormat="1" applyFont="1" applyBorder="1" applyAlignment="1" applyProtection="1">
      <alignment horizontal="right"/>
      <protection hidden="1"/>
    </xf>
    <xf numFmtId="2" fontId="8" fillId="0" borderId="4" xfId="0" applyNumberFormat="1" applyFont="1" applyBorder="1" applyProtection="1">
      <protection hidden="1"/>
    </xf>
    <xf numFmtId="0" fontId="8" fillId="0" borderId="0" xfId="0" applyFont="1" applyFill="1" applyAlignment="1" applyProtection="1">
      <alignment horizontal="right"/>
      <protection hidden="1"/>
    </xf>
    <xf numFmtId="2" fontId="8" fillId="0" borderId="0" xfId="0" applyNumberFormat="1" applyFont="1" applyFill="1" applyProtection="1">
      <protection hidden="1"/>
    </xf>
    <xf numFmtId="9" fontId="8" fillId="0" borderId="11" xfId="0" applyNumberFormat="1" applyFont="1" applyBorder="1" applyAlignment="1" applyProtection="1">
      <alignment horizontal="center"/>
      <protection hidden="1"/>
    </xf>
    <xf numFmtId="0" fontId="8" fillId="0" borderId="8" xfId="0" applyFont="1" applyBorder="1" applyAlignment="1" applyProtection="1">
      <protection hidden="1"/>
    </xf>
    <xf numFmtId="0" fontId="8" fillId="0" borderId="5" xfId="0" applyFont="1" applyBorder="1" applyAlignment="1" applyProtection="1">
      <protection hidden="1"/>
    </xf>
    <xf numFmtId="0" fontId="8" fillId="0" borderId="12" xfId="0" applyFont="1" applyBorder="1" applyAlignment="1" applyProtection="1">
      <protection hidden="1"/>
    </xf>
    <xf numFmtId="0" fontId="8" fillId="0" borderId="9" xfId="0" applyFont="1" applyBorder="1" applyAlignment="1" applyProtection="1">
      <protection hidden="1"/>
    </xf>
    <xf numFmtId="0" fontId="8" fillId="0" borderId="13" xfId="0" applyFont="1" applyBorder="1" applyAlignment="1" applyProtection="1">
      <protection hidden="1"/>
    </xf>
    <xf numFmtId="0" fontId="8" fillId="0" borderId="14" xfId="0" applyFont="1" applyBorder="1" applyAlignment="1" applyProtection="1">
      <alignment horizontal="right"/>
      <protection hidden="1"/>
    </xf>
    <xf numFmtId="0" fontId="8" fillId="0" borderId="3" xfId="0" applyFont="1" applyBorder="1" applyAlignment="1" applyProtection="1">
      <protection hidden="1"/>
    </xf>
    <xf numFmtId="0" fontId="8" fillId="0" borderId="17" xfId="0" applyFont="1" applyBorder="1" applyAlignment="1" applyProtection="1">
      <protection hidden="1"/>
    </xf>
    <xf numFmtId="0" fontId="8" fillId="0" borderId="4" xfId="0" applyFont="1" applyBorder="1" applyAlignment="1" applyProtection="1">
      <protection hidden="1"/>
    </xf>
    <xf numFmtId="0" fontId="8" fillId="0" borderId="7" xfId="0" applyFont="1" applyBorder="1" applyAlignment="1" applyProtection="1">
      <protection hidden="1"/>
    </xf>
    <xf numFmtId="2" fontId="8" fillId="0" borderId="1" xfId="0" applyNumberFormat="1" applyFont="1" applyBorder="1" applyAlignment="1" applyProtection="1">
      <alignment horizontal="right"/>
      <protection hidden="1"/>
    </xf>
    <xf numFmtId="0" fontId="8" fillId="0" borderId="1" xfId="0" applyFont="1" applyBorder="1" applyAlignment="1" applyProtection="1">
      <alignment horizontal="right"/>
      <protection hidden="1"/>
    </xf>
    <xf numFmtId="0" fontId="8" fillId="0" borderId="5" xfId="0" applyFont="1" applyFill="1" applyBorder="1" applyAlignment="1" applyProtection="1">
      <alignment horizontal="center"/>
      <protection hidden="1"/>
    </xf>
    <xf numFmtId="0" fontId="8" fillId="0" borderId="10" xfId="0" applyFont="1" applyBorder="1" applyProtection="1">
      <protection hidden="1"/>
    </xf>
    <xf numFmtId="0" fontId="9" fillId="0" borderId="6" xfId="0" applyFont="1" applyBorder="1" applyProtection="1">
      <protection hidden="1"/>
    </xf>
    <xf numFmtId="0" fontId="8" fillId="0" borderId="11" xfId="0" applyFont="1" applyFill="1" applyBorder="1" applyAlignment="1" applyProtection="1">
      <alignment horizontal="center"/>
      <protection hidden="1"/>
    </xf>
    <xf numFmtId="0" fontId="8" fillId="0" borderId="6" xfId="0" applyFont="1" applyFill="1" applyBorder="1" applyProtection="1">
      <protection hidden="1"/>
    </xf>
    <xf numFmtId="0" fontId="8" fillId="0" borderId="13" xfId="0" applyFont="1" applyFill="1" applyBorder="1" applyProtection="1">
      <protection hidden="1"/>
    </xf>
    <xf numFmtId="2" fontId="8" fillId="0" borderId="1" xfId="0" applyNumberFormat="1" applyFont="1" applyFill="1" applyBorder="1" applyAlignment="1" applyProtection="1">
      <alignment horizontal="right"/>
      <protection hidden="1"/>
    </xf>
    <xf numFmtId="2" fontId="8" fillId="0" borderId="8" xfId="0" applyNumberFormat="1" applyFont="1" applyFill="1" applyBorder="1" applyAlignment="1" applyProtection="1">
      <alignment horizontal="left"/>
      <protection hidden="1"/>
    </xf>
    <xf numFmtId="0" fontId="8" fillId="0" borderId="13" xfId="0" applyFont="1" applyBorder="1" applyAlignment="1" applyProtection="1">
      <alignment horizontal="right"/>
      <protection hidden="1"/>
    </xf>
    <xf numFmtId="2" fontId="9" fillId="0" borderId="0" xfId="0" applyNumberFormat="1" applyFont="1" applyAlignment="1" applyProtection="1">
      <alignment horizontal="right"/>
      <protection hidden="1"/>
    </xf>
    <xf numFmtId="166" fontId="8" fillId="0" borderId="8" xfId="0" applyNumberFormat="1" applyFont="1" applyBorder="1" applyProtection="1">
      <protection hidden="1"/>
    </xf>
    <xf numFmtId="0" fontId="9" fillId="0" borderId="0" xfId="0" applyFont="1" applyFill="1" applyProtection="1">
      <protection hidden="1"/>
    </xf>
    <xf numFmtId="10" fontId="8" fillId="0" borderId="0" xfId="0" applyNumberFormat="1" applyFont="1" applyProtection="1">
      <protection hidden="1"/>
    </xf>
    <xf numFmtId="9" fontId="8" fillId="0" borderId="0" xfId="0" applyNumberFormat="1" applyFont="1" applyAlignment="1" applyProtection="1">
      <alignment horizontal="right"/>
      <protection hidden="1"/>
    </xf>
    <xf numFmtId="2" fontId="8" fillId="0" borderId="0" xfId="0" applyNumberFormat="1" applyFont="1" applyFill="1" applyAlignment="1" applyProtection="1">
      <alignment horizontal="right"/>
      <protection hidden="1"/>
    </xf>
    <xf numFmtId="2" fontId="8" fillId="0" borderId="16" xfId="0" applyNumberFormat="1" applyFont="1" applyBorder="1" applyAlignment="1" applyProtection="1">
      <alignment horizontal="right"/>
      <protection hidden="1"/>
    </xf>
    <xf numFmtId="0" fontId="8" fillId="0" borderId="14" xfId="0" applyFont="1" applyFill="1" applyBorder="1" applyProtection="1">
      <protection hidden="1"/>
    </xf>
    <xf numFmtId="0" fontId="8" fillId="0" borderId="11" xfId="0" applyFont="1" applyFill="1" applyBorder="1" applyProtection="1">
      <protection hidden="1"/>
    </xf>
    <xf numFmtId="2" fontId="8" fillId="0" borderId="11" xfId="0" applyNumberFormat="1" applyFont="1" applyFill="1" applyBorder="1" applyProtection="1">
      <protection hidden="1"/>
    </xf>
    <xf numFmtId="2" fontId="8" fillId="0" borderId="14" xfId="0" applyNumberFormat="1" applyFont="1" applyFill="1" applyBorder="1" applyAlignment="1" applyProtection="1">
      <alignment horizontal="right"/>
      <protection hidden="1"/>
    </xf>
    <xf numFmtId="2" fontId="8" fillId="0" borderId="13" xfId="0" applyNumberFormat="1" applyFont="1" applyBorder="1" applyAlignment="1" applyProtection="1">
      <alignment horizontal="right"/>
      <protection hidden="1"/>
    </xf>
    <xf numFmtId="2" fontId="8" fillId="0" borderId="13" xfId="0" applyNumberFormat="1" applyFont="1" applyFill="1" applyBorder="1" applyAlignment="1" applyProtection="1">
      <alignment horizontal="right"/>
      <protection hidden="1"/>
    </xf>
    <xf numFmtId="2" fontId="8" fillId="0" borderId="1" xfId="0" applyNumberFormat="1" applyFont="1" applyFill="1" applyBorder="1" applyAlignment="1" applyProtection="1">
      <alignment horizontal="left"/>
      <protection hidden="1"/>
    </xf>
    <xf numFmtId="2" fontId="8" fillId="0" borderId="13" xfId="0" applyNumberFormat="1" applyFont="1" applyFill="1" applyBorder="1" applyAlignment="1" applyProtection="1">
      <alignment horizontal="left"/>
      <protection hidden="1"/>
    </xf>
    <xf numFmtId="10" fontId="8" fillId="0" borderId="0" xfId="0" applyNumberFormat="1" applyFont="1" applyAlignment="1" applyProtection="1">
      <alignment horizontal="right"/>
      <protection hidden="1"/>
    </xf>
    <xf numFmtId="167" fontId="8" fillId="0" borderId="0" xfId="0" applyNumberFormat="1" applyFont="1" applyAlignment="1" applyProtection="1">
      <alignment horizontal="right"/>
      <protection hidden="1"/>
    </xf>
    <xf numFmtId="0" fontId="8" fillId="0" borderId="7" xfId="0" applyFont="1" applyFill="1" applyBorder="1" applyAlignment="1" applyProtection="1">
      <alignment horizontal="center"/>
      <protection hidden="1"/>
    </xf>
    <xf numFmtId="2" fontId="8" fillId="0" borderId="1" xfId="0" applyNumberFormat="1" applyFont="1" applyFill="1" applyBorder="1" applyProtection="1">
      <protection hidden="1"/>
    </xf>
    <xf numFmtId="46" fontId="8" fillId="0" borderId="0" xfId="0" applyNumberFormat="1" applyFont="1" applyProtection="1">
      <protection hidden="1"/>
    </xf>
    <xf numFmtId="2" fontId="8" fillId="0" borderId="11" xfId="0" applyNumberFormat="1" applyFont="1" applyFill="1" applyBorder="1" applyAlignment="1" applyProtection="1">
      <alignment horizontal="right"/>
      <protection hidden="1"/>
    </xf>
    <xf numFmtId="2" fontId="8" fillId="0" borderId="4" xfId="0" applyNumberFormat="1" applyFont="1" applyFill="1" applyBorder="1" applyProtection="1">
      <protection hidden="1"/>
    </xf>
    <xf numFmtId="9" fontId="8" fillId="0" borderId="5" xfId="0" applyNumberFormat="1" applyFont="1" applyBorder="1" applyProtection="1">
      <protection hidden="1"/>
    </xf>
    <xf numFmtId="2" fontId="9" fillId="0" borderId="13" xfId="0" applyNumberFormat="1" applyFont="1" applyBorder="1" applyAlignment="1" applyProtection="1">
      <alignment horizontal="left"/>
      <protection hidden="1"/>
    </xf>
    <xf numFmtId="49" fontId="8" fillId="0" borderId="0" xfId="0" applyNumberFormat="1" applyFont="1" applyAlignment="1" applyProtection="1">
      <alignment horizontal="right"/>
      <protection hidden="1"/>
    </xf>
    <xf numFmtId="165" fontId="8" fillId="0" borderId="8" xfId="0" applyNumberFormat="1" applyFont="1" applyBorder="1" applyProtection="1">
      <protection hidden="1"/>
    </xf>
    <xf numFmtId="165" fontId="8" fillId="0" borderId="11" xfId="0" applyNumberFormat="1" applyFont="1" applyBorder="1" applyProtection="1">
      <protection hidden="1"/>
    </xf>
    <xf numFmtId="165" fontId="8" fillId="0" borderId="5" xfId="0" applyNumberFormat="1" applyFont="1" applyBorder="1" applyProtection="1">
      <protection hidden="1"/>
    </xf>
    <xf numFmtId="9" fontId="8" fillId="0" borderId="13" xfId="0" applyNumberFormat="1" applyFont="1" applyBorder="1" applyProtection="1">
      <protection hidden="1"/>
    </xf>
    <xf numFmtId="0" fontId="8" fillId="0" borderId="5" xfId="0" applyFont="1" applyBorder="1" applyAlignment="1" applyProtection="1">
      <alignment horizontal="right"/>
      <protection hidden="1"/>
    </xf>
    <xf numFmtId="0" fontId="8" fillId="0" borderId="14" xfId="0" applyFont="1" applyBorder="1" applyAlignment="1" applyProtection="1">
      <alignment horizontal="center"/>
      <protection hidden="1"/>
    </xf>
    <xf numFmtId="0" fontId="8" fillId="0" borderId="5" xfId="0" applyFont="1" applyFill="1" applyBorder="1" applyProtection="1">
      <protection hidden="1"/>
    </xf>
    <xf numFmtId="166" fontId="8" fillId="0" borderId="0" xfId="0" applyNumberFormat="1" applyFont="1" applyProtection="1">
      <protection hidden="1"/>
    </xf>
    <xf numFmtId="2" fontId="8" fillId="0" borderId="9" xfId="0" applyNumberFormat="1" applyFont="1" applyFill="1" applyBorder="1" applyAlignment="1" applyProtection="1">
      <alignment horizontal="left"/>
      <protection hidden="1"/>
    </xf>
    <xf numFmtId="0" fontId="8" fillId="0" borderId="11" xfId="0" applyFont="1" applyBorder="1" applyAlignment="1" applyProtection="1">
      <alignment horizontal="right"/>
      <protection hidden="1"/>
    </xf>
    <xf numFmtId="2" fontId="8" fillId="0" borderId="8" xfId="0" applyNumberFormat="1" applyFont="1" applyFill="1" applyBorder="1" applyProtection="1">
      <protection hidden="1"/>
    </xf>
    <xf numFmtId="2" fontId="9" fillId="0" borderId="10" xfId="0" applyNumberFormat="1" applyFont="1" applyBorder="1" applyProtection="1">
      <protection hidden="1"/>
    </xf>
    <xf numFmtId="2" fontId="8" fillId="0" borderId="7" xfId="0" applyNumberFormat="1" applyFont="1" applyFill="1" applyBorder="1" applyProtection="1">
      <protection hidden="1"/>
    </xf>
    <xf numFmtId="2" fontId="8" fillId="0" borderId="5" xfId="0" applyNumberFormat="1" applyFont="1" applyFill="1" applyBorder="1" applyAlignment="1" applyProtection="1">
      <alignment horizontal="right"/>
      <protection hidden="1"/>
    </xf>
    <xf numFmtId="0" fontId="8" fillId="0" borderId="7" xfId="0" applyFont="1" applyFill="1" applyBorder="1" applyProtection="1">
      <protection hidden="1"/>
    </xf>
    <xf numFmtId="2" fontId="8" fillId="0" borderId="12" xfId="0" applyNumberFormat="1" applyFont="1" applyBorder="1" applyAlignment="1" applyProtection="1">
      <alignment horizontal="right"/>
      <protection hidden="1"/>
    </xf>
    <xf numFmtId="2" fontId="8" fillId="0" borderId="6" xfId="0" applyNumberFormat="1" applyFont="1" applyFill="1" applyBorder="1" applyAlignment="1" applyProtection="1">
      <alignment horizontal="right"/>
      <protection hidden="1"/>
    </xf>
    <xf numFmtId="2" fontId="8" fillId="0" borderId="11" xfId="0" applyNumberFormat="1" applyFont="1" applyFill="1" applyBorder="1" applyAlignment="1" applyProtection="1">
      <alignment horizontal="left"/>
      <protection hidden="1"/>
    </xf>
    <xf numFmtId="2" fontId="8" fillId="0" borderId="5" xfId="0" applyNumberFormat="1" applyFont="1" applyFill="1" applyBorder="1" applyProtection="1">
      <protection hidden="1"/>
    </xf>
    <xf numFmtId="9" fontId="8" fillId="0" borderId="0" xfId="0" applyNumberFormat="1" applyFont="1" applyFill="1" applyProtection="1">
      <protection hidden="1"/>
    </xf>
    <xf numFmtId="10" fontId="8" fillId="0" borderId="0" xfId="0" applyNumberFormat="1" applyFont="1" applyFill="1" applyProtection="1">
      <protection hidden="1"/>
    </xf>
    <xf numFmtId="2" fontId="8" fillId="0" borderId="12" xfId="0" applyNumberFormat="1" applyFont="1" applyBorder="1" applyProtection="1">
      <protection hidden="1"/>
    </xf>
    <xf numFmtId="9" fontId="8" fillId="0" borderId="16" xfId="0" applyNumberFormat="1" applyFont="1" applyBorder="1" applyAlignment="1" applyProtection="1">
      <alignment horizontal="left"/>
      <protection hidden="1"/>
    </xf>
    <xf numFmtId="2" fontId="8" fillId="0" borderId="0" xfId="0" applyNumberFormat="1" applyFont="1" applyBorder="1" applyAlignment="1" applyProtection="1">
      <alignment horizontal="right"/>
      <protection hidden="1"/>
    </xf>
    <xf numFmtId="0" fontId="8" fillId="0" borderId="8" xfId="0" applyFont="1" applyFill="1" applyBorder="1" applyAlignment="1" applyProtection="1">
      <alignment horizontal="center"/>
      <protection hidden="1"/>
    </xf>
    <xf numFmtId="0" fontId="8" fillId="0" borderId="12" xfId="0" applyFont="1" applyFill="1" applyBorder="1" applyProtection="1">
      <protection hidden="1"/>
    </xf>
    <xf numFmtId="0" fontId="8" fillId="0" borderId="8" xfId="0" applyFont="1" applyFill="1" applyBorder="1" applyProtection="1">
      <protection hidden="1"/>
    </xf>
    <xf numFmtId="2" fontId="8" fillId="0" borderId="8" xfId="0" applyNumberFormat="1" applyFont="1" applyFill="1" applyBorder="1" applyAlignment="1" applyProtection="1">
      <alignment horizontal="right"/>
      <protection hidden="1"/>
    </xf>
    <xf numFmtId="0" fontId="8" fillId="0" borderId="0" xfId="0" applyFont="1" applyProtection="1">
      <protection locked="0" hidden="1"/>
    </xf>
    <xf numFmtId="9" fontId="8" fillId="0" borderId="16" xfId="0" applyNumberFormat="1" applyFont="1" applyBorder="1" applyAlignment="1" applyProtection="1">
      <alignment horizontal="right"/>
      <protection hidden="1"/>
    </xf>
    <xf numFmtId="9" fontId="8" fillId="0" borderId="0" xfId="0" applyNumberFormat="1" applyFont="1" applyBorder="1" applyAlignment="1" applyProtection="1">
      <alignment horizontal="right"/>
      <protection hidden="1"/>
    </xf>
    <xf numFmtId="0" fontId="8" fillId="0" borderId="8"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protection hidden="1"/>
    </xf>
    <xf numFmtId="0" fontId="8" fillId="0" borderId="11" xfId="0" applyFont="1" applyBorder="1" applyAlignment="1" applyProtection="1">
      <alignment horizontal="center" vertical="center"/>
      <protection hidden="1"/>
    </xf>
    <xf numFmtId="0" fontId="8" fillId="0" borderId="7" xfId="0" applyFont="1" applyFill="1" applyBorder="1" applyAlignment="1" applyProtection="1">
      <alignment horizontal="left"/>
      <protection hidden="1"/>
    </xf>
    <xf numFmtId="0" fontId="8" fillId="0" borderId="6" xfId="0" applyFont="1" applyFill="1" applyBorder="1" applyAlignment="1" applyProtection="1">
      <alignment horizontal="left"/>
      <protection hidden="1"/>
    </xf>
    <xf numFmtId="0" fontId="8" fillId="0" borderId="17" xfId="0" applyFont="1" applyFill="1" applyBorder="1" applyAlignment="1" applyProtection="1">
      <alignment horizontal="center"/>
      <protection hidden="1"/>
    </xf>
    <xf numFmtId="0" fontId="8" fillId="0" borderId="6" xfId="0" applyFont="1" applyFill="1" applyBorder="1" applyAlignment="1" applyProtection="1">
      <alignment horizontal="center"/>
      <protection hidden="1"/>
    </xf>
    <xf numFmtId="2" fontId="8" fillId="0" borderId="0" xfId="0" applyNumberFormat="1" applyFont="1" applyAlignment="1" applyProtection="1">
      <alignment horizontal="center" wrapText="1"/>
      <protection hidden="1"/>
    </xf>
    <xf numFmtId="0" fontId="8" fillId="0" borderId="3" xfId="0" applyFont="1" applyFill="1" applyBorder="1" applyAlignment="1" applyProtection="1">
      <alignment horizontal="center"/>
      <protection hidden="1"/>
    </xf>
    <xf numFmtId="0" fontId="8" fillId="0" borderId="16" xfId="0" applyFont="1" applyFill="1" applyBorder="1" applyAlignment="1" applyProtection="1">
      <alignment horizontal="center"/>
      <protection hidden="1"/>
    </xf>
    <xf numFmtId="0" fontId="8" fillId="0" borderId="0" xfId="0" applyFont="1"/>
    <xf numFmtId="0" fontId="9" fillId="0" borderId="0" xfId="0" applyFont="1" applyBorder="1" applyProtection="1">
      <protection hidden="1"/>
    </xf>
    <xf numFmtId="0" fontId="8" fillId="0" borderId="0" xfId="0" applyFont="1" applyAlignment="1" applyProtection="1">
      <alignment horizontal="left" indent="3"/>
      <protection hidden="1"/>
    </xf>
    <xf numFmtId="1" fontId="8" fillId="0" borderId="0" xfId="0" applyNumberFormat="1" applyFont="1" applyProtection="1">
      <protection hidden="1"/>
    </xf>
    <xf numFmtId="0" fontId="8" fillId="0" borderId="11" xfId="0" applyFont="1" applyBorder="1" applyAlignment="1" applyProtection="1">
      <alignment horizontal="left" indent="3"/>
      <protection hidden="1"/>
    </xf>
    <xf numFmtId="2" fontId="9" fillId="0" borderId="1" xfId="0" applyNumberFormat="1" applyFont="1" applyBorder="1" applyProtection="1">
      <protection hidden="1"/>
    </xf>
    <xf numFmtId="0" fontId="8" fillId="0" borderId="11" xfId="0" applyFont="1" applyBorder="1" applyAlignment="1" applyProtection="1">
      <alignment horizontal="left" indent="2"/>
      <protection hidden="1"/>
    </xf>
    <xf numFmtId="10" fontId="8" fillId="0" borderId="0" xfId="0" applyNumberFormat="1" applyFont="1" applyFill="1" applyAlignment="1" applyProtection="1">
      <alignment horizontal="right"/>
      <protection hidden="1"/>
    </xf>
    <xf numFmtId="2" fontId="8" fillId="0" borderId="0" xfId="0" applyNumberFormat="1" applyFont="1" applyFill="1" applyBorder="1" applyProtection="1">
      <protection hidden="1"/>
    </xf>
    <xf numFmtId="0" fontId="8" fillId="0" borderId="0" xfId="0" applyFont="1" applyAlignment="1" applyProtection="1">
      <alignment horizontal="left" indent="4"/>
      <protection hidden="1"/>
    </xf>
    <xf numFmtId="9" fontId="8" fillId="0" borderId="0" xfId="0" applyNumberFormat="1" applyFont="1" applyAlignment="1" applyProtection="1">
      <protection hidden="1"/>
    </xf>
    <xf numFmtId="0" fontId="8" fillId="0" borderId="0" xfId="0" applyFont="1" applyAlignment="1" applyProtection="1">
      <alignment horizontal="left" indent="2"/>
      <protection hidden="1"/>
    </xf>
    <xf numFmtId="0" fontId="9" fillId="0" borderId="0" xfId="0" applyFont="1" applyAlignment="1" applyProtection="1">
      <alignment horizontal="center"/>
      <protection hidden="1"/>
    </xf>
    <xf numFmtId="0" fontId="8" fillId="0" borderId="4" xfId="0" applyFont="1" applyFill="1" applyBorder="1" applyAlignment="1" applyProtection="1">
      <alignment horizontal="left"/>
      <protection hidden="1"/>
    </xf>
    <xf numFmtId="0" fontId="8" fillId="0" borderId="4" xfId="0" applyFont="1" applyBorder="1" applyAlignment="1" applyProtection="1">
      <alignment horizontal="right"/>
      <protection hidden="1"/>
    </xf>
    <xf numFmtId="0" fontId="8" fillId="0" borderId="0" xfId="0" applyNumberFormat="1" applyFont="1" applyProtection="1">
      <protection hidden="1"/>
    </xf>
    <xf numFmtId="2" fontId="8" fillId="0" borderId="6" xfId="0" applyNumberFormat="1" applyFont="1" applyBorder="1" applyAlignment="1" applyProtection="1">
      <alignment horizontal="right"/>
      <protection hidden="1"/>
    </xf>
    <xf numFmtId="0" fontId="8" fillId="0" borderId="16" xfId="0" applyFont="1" applyBorder="1" applyAlignment="1" applyProtection="1">
      <protection hidden="1"/>
    </xf>
    <xf numFmtId="0" fontId="8" fillId="0" borderId="12" xfId="0" applyFont="1" applyBorder="1" applyAlignment="1" applyProtection="1">
      <alignment horizontal="right"/>
      <protection hidden="1"/>
    </xf>
    <xf numFmtId="0" fontId="8" fillId="0" borderId="17" xfId="0" applyFont="1" applyBorder="1" applyAlignment="1" applyProtection="1">
      <alignment horizontal="right"/>
      <protection hidden="1"/>
    </xf>
    <xf numFmtId="167" fontId="8" fillId="0" borderId="0" xfId="0" applyNumberFormat="1" applyFont="1" applyBorder="1" applyProtection="1">
      <protection hidden="1"/>
    </xf>
    <xf numFmtId="0" fontId="8" fillId="0" borderId="9" xfId="0" applyFont="1" applyBorder="1" applyAlignment="1" applyProtection="1">
      <alignment horizontal="right"/>
      <protection hidden="1"/>
    </xf>
    <xf numFmtId="167" fontId="8" fillId="0" borderId="13" xfId="0" applyNumberFormat="1" applyFont="1" applyFill="1" applyBorder="1" applyProtection="1">
      <protection hidden="1"/>
    </xf>
    <xf numFmtId="0" fontId="8" fillId="0" borderId="14" xfId="0" applyFont="1" applyFill="1" applyBorder="1" applyAlignment="1" applyProtection="1">
      <alignment horizontal="right"/>
      <protection hidden="1"/>
    </xf>
    <xf numFmtId="2" fontId="8" fillId="0" borderId="0" xfId="0" applyNumberFormat="1" applyFont="1" applyFill="1" applyAlignment="1" applyProtection="1">
      <alignment horizontal="center"/>
      <protection hidden="1"/>
    </xf>
    <xf numFmtId="0" fontId="8" fillId="0" borderId="0" xfId="0" applyFont="1" applyAlignment="1" applyProtection="1">
      <alignment horizontal="left" indent="1"/>
      <protection hidden="1"/>
    </xf>
    <xf numFmtId="0" fontId="8" fillId="0" borderId="8" xfId="0" applyFont="1" applyBorder="1" applyAlignment="1" applyProtection="1">
      <alignment horizontal="left" indent="1"/>
      <protection hidden="1"/>
    </xf>
    <xf numFmtId="0" fontId="8" fillId="0" borderId="11" xfId="0" applyFont="1" applyBorder="1" applyAlignment="1" applyProtection="1">
      <alignment horizontal="left" indent="1"/>
      <protection hidden="1"/>
    </xf>
    <xf numFmtId="0" fontId="8" fillId="0" borderId="11" xfId="0" applyFont="1" applyFill="1" applyBorder="1" applyAlignment="1" applyProtection="1">
      <alignment horizontal="left" indent="1"/>
      <protection hidden="1"/>
    </xf>
    <xf numFmtId="46" fontId="8" fillId="0" borderId="0" xfId="0" applyNumberFormat="1" applyFont="1" applyAlignment="1" applyProtection="1">
      <protection hidden="1"/>
    </xf>
    <xf numFmtId="9" fontId="8" fillId="0" borderId="11" xfId="0" applyNumberFormat="1" applyFont="1" applyBorder="1" applyAlignment="1" applyProtection="1">
      <protection hidden="1"/>
    </xf>
    <xf numFmtId="0" fontId="8" fillId="0" borderId="8" xfId="0" applyFont="1" applyBorder="1" applyAlignment="1" applyProtection="1">
      <alignment horizontal="right"/>
      <protection hidden="1"/>
    </xf>
    <xf numFmtId="0" fontId="8" fillId="0" borderId="12" xfId="0" applyFont="1" applyFill="1" applyBorder="1" applyAlignment="1" applyProtection="1">
      <alignment horizontal="left"/>
      <protection hidden="1"/>
    </xf>
    <xf numFmtId="0" fontId="8" fillId="2" borderId="0" xfId="0" applyFont="1" applyFill="1" applyAlignment="1" applyProtection="1">
      <alignment horizontal="center" wrapText="1"/>
      <protection hidden="1"/>
    </xf>
    <xf numFmtId="0" fontId="8" fillId="2" borderId="0" xfId="0" applyFont="1" applyFill="1" applyAlignment="1" applyProtection="1">
      <protection hidden="1"/>
    </xf>
    <xf numFmtId="0" fontId="8" fillId="0" borderId="0" xfId="0" applyFont="1" applyFill="1" applyAlignment="1" applyProtection="1">
      <alignment horizontal="center" wrapText="1"/>
      <protection hidden="1"/>
    </xf>
    <xf numFmtId="0" fontId="9" fillId="0" borderId="0" xfId="0" applyFont="1" applyAlignment="1" applyProtection="1">
      <alignment horizontal="right" wrapText="1"/>
      <protection hidden="1"/>
    </xf>
    <xf numFmtId="0" fontId="8" fillId="0" borderId="17" xfId="0" applyFont="1" applyBorder="1" applyAlignment="1" applyProtection="1">
      <alignment horizontal="center" wrapText="1"/>
      <protection hidden="1"/>
    </xf>
    <xf numFmtId="0" fontId="8" fillId="0" borderId="7" xfId="0" applyFont="1" applyBorder="1" applyAlignment="1" applyProtection="1">
      <alignment wrapText="1"/>
      <protection hidden="1"/>
    </xf>
    <xf numFmtId="0" fontId="8" fillId="0" borderId="4" xfId="0" applyFont="1" applyBorder="1" applyAlignment="1" applyProtection="1">
      <alignment horizontal="center" wrapText="1"/>
      <protection hidden="1"/>
    </xf>
    <xf numFmtId="0" fontId="8" fillId="0" borderId="16" xfId="0" applyFont="1" applyBorder="1" applyAlignment="1" applyProtection="1">
      <alignment horizontal="right" wrapText="1"/>
      <protection hidden="1"/>
    </xf>
    <xf numFmtId="2" fontId="9" fillId="0" borderId="1" xfId="0" applyNumberFormat="1" applyFont="1" applyBorder="1" applyAlignment="1" applyProtection="1">
      <alignment horizontal="right"/>
      <protection hidden="1"/>
    </xf>
    <xf numFmtId="0" fontId="8" fillId="0" borderId="0" xfId="0" applyFont="1" applyBorder="1" applyAlignment="1" applyProtection="1">
      <alignment wrapText="1"/>
      <protection hidden="1"/>
    </xf>
    <xf numFmtId="0" fontId="9" fillId="0" borderId="0" xfId="0" applyFont="1" applyAlignment="1" applyProtection="1">
      <alignment horizontal="left" wrapText="1"/>
      <protection hidden="1"/>
    </xf>
    <xf numFmtId="0" fontId="8" fillId="0" borderId="6" xfId="0" applyFont="1" applyBorder="1" applyAlignment="1" applyProtection="1">
      <alignment horizontal="right" wrapText="1"/>
      <protection hidden="1"/>
    </xf>
    <xf numFmtId="1" fontId="8" fillId="0" borderId="0" xfId="0" applyNumberFormat="1" applyFont="1" applyAlignment="1" applyProtection="1">
      <protection hidden="1"/>
    </xf>
    <xf numFmtId="0" fontId="8" fillId="0" borderId="0" xfId="0" applyFont="1" applyFill="1" applyBorder="1" applyAlignment="1" applyProtection="1">
      <protection hidden="1"/>
    </xf>
    <xf numFmtId="1" fontId="8" fillId="0" borderId="0" xfId="0" applyNumberFormat="1" applyFont="1" applyFill="1" applyBorder="1" applyAlignment="1" applyProtection="1">
      <protection hidden="1"/>
    </xf>
    <xf numFmtId="0" fontId="8" fillId="0" borderId="0" xfId="0" applyFont="1" applyFill="1" applyBorder="1" applyAlignment="1" applyProtection="1">
      <alignment horizontal="right"/>
      <protection hidden="1"/>
    </xf>
    <xf numFmtId="2" fontId="8" fillId="0" borderId="0" xfId="0" applyNumberFormat="1" applyFont="1" applyAlignment="1" applyProtection="1">
      <alignment wrapText="1"/>
      <protection hidden="1"/>
    </xf>
    <xf numFmtId="0" fontId="8" fillId="0" borderId="0" xfId="0" applyFont="1" applyAlignment="1" applyProtection="1">
      <alignment horizontal="right" wrapText="1"/>
      <protection hidden="1"/>
    </xf>
    <xf numFmtId="169" fontId="8" fillId="0" borderId="4" xfId="0" applyNumberFormat="1" applyFont="1" applyBorder="1" applyAlignment="1" applyProtection="1">
      <alignment horizontal="right"/>
      <protection hidden="1"/>
    </xf>
    <xf numFmtId="0" fontId="8" fillId="0" borderId="5" xfId="0" applyFont="1" applyBorder="1" applyAlignment="1" applyProtection="1">
      <alignment horizontal="left" indent="3"/>
      <protection hidden="1"/>
    </xf>
    <xf numFmtId="2" fontId="8" fillId="0" borderId="6" xfId="0" applyNumberFormat="1" applyFont="1" applyBorder="1" applyAlignment="1" applyProtection="1">
      <protection hidden="1"/>
    </xf>
    <xf numFmtId="169" fontId="8" fillId="0" borderId="0" xfId="0" applyNumberFormat="1" applyFont="1" applyBorder="1" applyAlignment="1" applyProtection="1">
      <alignment horizontal="right"/>
      <protection hidden="1"/>
    </xf>
    <xf numFmtId="9" fontId="8" fillId="0" borderId="0" xfId="0" applyNumberFormat="1" applyFont="1" applyAlignment="1" applyProtection="1">
      <alignment wrapText="1"/>
      <protection hidden="1"/>
    </xf>
    <xf numFmtId="2" fontId="8" fillId="0" borderId="10" xfId="0" applyNumberFormat="1" applyFont="1" applyBorder="1" applyProtection="1">
      <protection hidden="1"/>
    </xf>
    <xf numFmtId="0" fontId="9" fillId="0" borderId="0" xfId="0" applyFont="1" applyAlignment="1" applyProtection="1">
      <alignment horizontal="center" wrapText="1"/>
      <protection hidden="1"/>
    </xf>
    <xf numFmtId="0" fontId="8" fillId="0" borderId="0" xfId="0" applyFont="1" applyBorder="1" applyAlignment="1" applyProtection="1">
      <alignment vertical="top" wrapText="1"/>
      <protection hidden="1"/>
    </xf>
    <xf numFmtId="2" fontId="8" fillId="0" borderId="0" xfId="0" applyNumberFormat="1" applyFont="1" applyBorder="1" applyAlignment="1" applyProtection="1">
      <alignment vertical="top" wrapText="1"/>
      <protection hidden="1"/>
    </xf>
    <xf numFmtId="2" fontId="8" fillId="0" borderId="0" xfId="0" applyNumberFormat="1" applyFont="1" applyBorder="1" applyAlignment="1" applyProtection="1">
      <alignment horizontal="right" wrapText="1"/>
      <protection hidden="1"/>
    </xf>
    <xf numFmtId="1" fontId="8" fillId="0" borderId="0" xfId="0" applyNumberFormat="1" applyFont="1" applyBorder="1" applyAlignment="1" applyProtection="1">
      <protection hidden="1"/>
    </xf>
    <xf numFmtId="2" fontId="8" fillId="0" borderId="0" xfId="0" applyNumberFormat="1" applyFont="1" applyBorder="1" applyAlignment="1" applyProtection="1">
      <protection hidden="1"/>
    </xf>
    <xf numFmtId="2" fontId="8" fillId="0" borderId="0" xfId="0" applyNumberFormat="1" applyFont="1" applyAlignment="1" applyProtection="1">
      <alignment horizontal="right" wrapText="1"/>
      <protection hidden="1"/>
    </xf>
    <xf numFmtId="0" fontId="8" fillId="0" borderId="0" xfId="0" applyFont="1" applyAlignment="1" applyProtection="1">
      <alignment vertical="top" wrapText="1"/>
      <protection hidden="1"/>
    </xf>
    <xf numFmtId="2" fontId="8" fillId="0" borderId="0" xfId="0" applyNumberFormat="1" applyFont="1" applyAlignment="1" applyProtection="1">
      <alignment vertical="top" wrapText="1"/>
      <protection hidden="1"/>
    </xf>
    <xf numFmtId="2" fontId="8" fillId="0" borderId="0" xfId="0" applyNumberFormat="1" applyFont="1" applyAlignment="1" applyProtection="1">
      <alignment horizontal="right" vertical="center" wrapText="1"/>
      <protection hidden="1"/>
    </xf>
    <xf numFmtId="1" fontId="8" fillId="0" borderId="0" xfId="0" applyNumberFormat="1" applyFont="1" applyAlignment="1" applyProtection="1">
      <alignment horizontal="right" vertical="center" wrapText="1"/>
      <protection hidden="1"/>
    </xf>
    <xf numFmtId="2" fontId="8" fillId="0" borderId="16" xfId="0" applyNumberFormat="1" applyFont="1" applyFill="1" applyBorder="1" applyProtection="1">
      <protection hidden="1"/>
    </xf>
    <xf numFmtId="0" fontId="8" fillId="0" borderId="0" xfId="0" applyFont="1" applyFill="1" applyAlignment="1" applyProtection="1">
      <protection hidden="1"/>
    </xf>
    <xf numFmtId="165" fontId="8" fillId="0" borderId="0" xfId="0" applyNumberFormat="1" applyFont="1" applyProtection="1">
      <protection hidden="1"/>
    </xf>
    <xf numFmtId="2" fontId="8" fillId="0" borderId="10" xfId="0" applyNumberFormat="1" applyFont="1" applyFill="1" applyBorder="1" applyProtection="1">
      <protection hidden="1"/>
    </xf>
    <xf numFmtId="0" fontId="8" fillId="0" borderId="0" xfId="0" applyFont="1" applyFill="1" applyAlignment="1" applyProtection="1">
      <alignment horizontal="left" wrapText="1"/>
      <protection hidden="1"/>
    </xf>
    <xf numFmtId="0" fontId="8" fillId="0" borderId="1" xfId="0" applyFont="1" applyBorder="1" applyAlignment="1" applyProtection="1">
      <alignment horizontal="right" wrapText="1"/>
      <protection hidden="1"/>
    </xf>
    <xf numFmtId="0" fontId="8" fillId="0" borderId="16" xfId="0" applyFont="1" applyFill="1" applyBorder="1" applyAlignment="1" applyProtection="1">
      <alignment horizontal="right" wrapText="1"/>
      <protection hidden="1"/>
    </xf>
    <xf numFmtId="0" fontId="8" fillId="0" borderId="16" xfId="0" applyFont="1" applyFill="1" applyBorder="1" applyProtection="1">
      <protection hidden="1"/>
    </xf>
    <xf numFmtId="0" fontId="8" fillId="0" borderId="10" xfId="0" applyFont="1" applyFill="1" applyBorder="1" applyProtection="1">
      <protection hidden="1"/>
    </xf>
    <xf numFmtId="0" fontId="8" fillId="0" borderId="1" xfId="0" applyFont="1" applyFill="1" applyBorder="1" applyAlignment="1" applyProtection="1">
      <alignment horizontal="right"/>
      <protection hidden="1"/>
    </xf>
    <xf numFmtId="2" fontId="9" fillId="0" borderId="1" xfId="0" applyNumberFormat="1" applyFont="1" applyFill="1" applyBorder="1" applyProtection="1">
      <protection hidden="1"/>
    </xf>
    <xf numFmtId="0" fontId="8" fillId="0" borderId="0" xfId="0" applyFont="1" applyFill="1" applyBorder="1" applyAlignment="1" applyProtection="1">
      <alignment horizontal="left" wrapText="1"/>
      <protection hidden="1"/>
    </xf>
    <xf numFmtId="2" fontId="8" fillId="0" borderId="14" xfId="0" applyNumberFormat="1" applyFont="1" applyFill="1" applyBorder="1" applyProtection="1">
      <protection hidden="1"/>
    </xf>
    <xf numFmtId="0" fontId="8" fillId="0" borderId="3" xfId="0" applyFont="1" applyBorder="1" applyAlignment="1" applyProtection="1">
      <alignment horizontal="right"/>
      <protection hidden="1"/>
    </xf>
    <xf numFmtId="0" fontId="8" fillId="0" borderId="7" xfId="0" applyFont="1" applyBorder="1" applyAlignment="1" applyProtection="1">
      <alignment horizontal="right"/>
      <protection hidden="1"/>
    </xf>
    <xf numFmtId="0" fontId="8" fillId="0" borderId="4" xfId="0" applyFont="1" applyFill="1" applyBorder="1" applyAlignment="1" applyProtection="1">
      <alignment horizontal="left" wrapText="1"/>
      <protection hidden="1"/>
    </xf>
    <xf numFmtId="2" fontId="9" fillId="0" borderId="5" xfId="0" applyNumberFormat="1" applyFont="1" applyBorder="1" applyAlignment="1" applyProtection="1">
      <alignment horizontal="right"/>
      <protection hidden="1"/>
    </xf>
    <xf numFmtId="2" fontId="8" fillId="0" borderId="1" xfId="0" quotePrefix="1" applyNumberFormat="1" applyFont="1" applyBorder="1" applyProtection="1">
      <protection hidden="1"/>
    </xf>
    <xf numFmtId="0" fontId="8" fillId="0" borderId="17" xfId="0" applyFont="1" applyBorder="1" applyAlignment="1" applyProtection="1">
      <alignment wrapText="1"/>
      <protection hidden="1"/>
    </xf>
    <xf numFmtId="166" fontId="8" fillId="0" borderId="1" xfId="0" applyNumberFormat="1" applyFont="1" applyFill="1" applyBorder="1" applyProtection="1">
      <protection hidden="1"/>
    </xf>
    <xf numFmtId="0" fontId="8" fillId="0" borderId="6" xfId="0" applyFont="1" applyBorder="1" applyAlignment="1" applyProtection="1">
      <alignment wrapText="1"/>
      <protection hidden="1"/>
    </xf>
    <xf numFmtId="0" fontId="8" fillId="0" borderId="16" xfId="0" applyFont="1" applyBorder="1" applyAlignment="1" applyProtection="1">
      <alignment horizontal="center" wrapText="1"/>
      <protection hidden="1"/>
    </xf>
    <xf numFmtId="166" fontId="8" fillId="0" borderId="1" xfId="0" applyNumberFormat="1" applyFont="1" applyBorder="1" applyProtection="1">
      <protection hidden="1"/>
    </xf>
    <xf numFmtId="2" fontId="9" fillId="0" borderId="0" xfId="0" applyNumberFormat="1" applyFont="1" applyAlignment="1" applyProtection="1">
      <alignment horizontal="left" wrapText="1"/>
      <protection hidden="1"/>
    </xf>
    <xf numFmtId="0" fontId="8" fillId="0" borderId="0" xfId="0" applyFont="1" applyBorder="1" applyAlignment="1" applyProtection="1">
      <alignment horizontal="left" indent="3"/>
      <protection hidden="1"/>
    </xf>
    <xf numFmtId="0" fontId="8" fillId="0" borderId="16" xfId="0" applyFont="1" applyBorder="1" applyAlignment="1" applyProtection="1">
      <alignment wrapText="1"/>
      <protection hidden="1"/>
    </xf>
    <xf numFmtId="2" fontId="9" fillId="0" borderId="16" xfId="0" applyNumberFormat="1" applyFont="1" applyBorder="1" applyProtection="1">
      <protection hidden="1"/>
    </xf>
    <xf numFmtId="2" fontId="9" fillId="0" borderId="12" xfId="0" applyNumberFormat="1" applyFont="1" applyBorder="1" applyAlignment="1" applyProtection="1">
      <alignment horizontal="left"/>
      <protection hidden="1"/>
    </xf>
    <xf numFmtId="1" fontId="9" fillId="0" borderId="0" xfId="0" applyNumberFormat="1" applyFont="1" applyAlignment="1" applyProtection="1">
      <alignment horizontal="right"/>
      <protection hidden="1"/>
    </xf>
    <xf numFmtId="0" fontId="9" fillId="0" borderId="0" xfId="0" applyFont="1" applyFill="1" applyAlignment="1" applyProtection="1">
      <alignment horizontal="left"/>
      <protection hidden="1"/>
    </xf>
    <xf numFmtId="0" fontId="8" fillId="0" borderId="17" xfId="0" applyFont="1" applyFill="1" applyBorder="1" applyAlignment="1" applyProtection="1">
      <alignment horizontal="center" wrapText="1"/>
      <protection hidden="1"/>
    </xf>
    <xf numFmtId="0" fontId="8" fillId="0" borderId="7" xfId="0" applyFont="1" applyFill="1" applyBorder="1" applyAlignment="1" applyProtection="1">
      <alignment wrapText="1"/>
      <protection hidden="1"/>
    </xf>
    <xf numFmtId="0" fontId="8" fillId="0" borderId="0" xfId="0" applyFont="1" applyFill="1" applyBorder="1" applyAlignment="1" applyProtection="1">
      <alignment wrapText="1"/>
      <protection hidden="1"/>
    </xf>
    <xf numFmtId="0" fontId="8" fillId="0" borderId="5" xfId="0" applyFont="1" applyBorder="1" applyAlignment="1" applyProtection="1">
      <alignment wrapText="1"/>
      <protection hidden="1"/>
    </xf>
    <xf numFmtId="0" fontId="9" fillId="0" borderId="8" xfId="0" applyFont="1" applyBorder="1" applyAlignment="1" applyProtection="1">
      <alignment horizontal="center"/>
      <protection hidden="1"/>
    </xf>
    <xf numFmtId="0" fontId="8" fillId="0" borderId="6" xfId="0" applyFont="1" applyFill="1" applyBorder="1" applyAlignment="1" applyProtection="1">
      <alignment horizontal="left" wrapText="1"/>
      <protection hidden="1"/>
    </xf>
    <xf numFmtId="0" fontId="8" fillId="0" borderId="8" xfId="0" applyFont="1" applyBorder="1" applyAlignment="1" applyProtection="1">
      <alignment horizontal="left" indent="3"/>
      <protection hidden="1"/>
    </xf>
    <xf numFmtId="0" fontId="8" fillId="0" borderId="8" xfId="0" applyFont="1" applyBorder="1" applyAlignment="1" applyProtection="1">
      <alignment horizontal="left" wrapText="1"/>
      <protection hidden="1"/>
    </xf>
    <xf numFmtId="2" fontId="8" fillId="0" borderId="11" xfId="0" applyNumberFormat="1" applyFont="1" applyBorder="1" applyAlignment="1" applyProtection="1">
      <protection hidden="1"/>
    </xf>
    <xf numFmtId="0" fontId="8" fillId="0" borderId="11" xfId="0" applyFont="1" applyFill="1" applyBorder="1" applyAlignment="1" applyProtection="1">
      <alignment horizontal="left" wrapText="1"/>
      <protection hidden="1"/>
    </xf>
    <xf numFmtId="2" fontId="8" fillId="0" borderId="11" xfId="0" applyNumberFormat="1" applyFont="1" applyFill="1" applyBorder="1" applyAlignment="1" applyProtection="1">
      <protection hidden="1"/>
    </xf>
    <xf numFmtId="0" fontId="8" fillId="0" borderId="11" xfId="0" applyFont="1" applyBorder="1" applyAlignment="1" applyProtection="1">
      <alignment wrapText="1"/>
      <protection hidden="1"/>
    </xf>
    <xf numFmtId="167" fontId="8" fillId="0" borderId="0" xfId="0" applyNumberFormat="1" applyFont="1" applyFill="1" applyProtection="1">
      <protection hidden="1"/>
    </xf>
    <xf numFmtId="0" fontId="9" fillId="0" borderId="0" xfId="0" applyFont="1" applyFill="1" applyAlignment="1" applyProtection="1">
      <alignment horizontal="center" wrapText="1"/>
      <protection hidden="1"/>
    </xf>
    <xf numFmtId="0" fontId="9" fillId="0" borderId="1" xfId="0" applyFont="1" applyFill="1" applyBorder="1" applyProtection="1">
      <protection hidden="1"/>
    </xf>
    <xf numFmtId="0" fontId="8" fillId="0" borderId="11" xfId="0" applyFont="1" applyBorder="1" applyAlignment="1" applyProtection="1">
      <protection hidden="1"/>
    </xf>
    <xf numFmtId="2" fontId="8" fillId="0" borderId="8" xfId="0" applyNumberFormat="1" applyFont="1" applyBorder="1" applyAlignment="1" applyProtection="1">
      <protection hidden="1"/>
    </xf>
    <xf numFmtId="0" fontId="8" fillId="0" borderId="11" xfId="0" applyFont="1" applyFill="1" applyBorder="1" applyAlignment="1" applyProtection="1">
      <alignment wrapText="1"/>
      <protection hidden="1"/>
    </xf>
    <xf numFmtId="0" fontId="8" fillId="0" borderId="11" xfId="0" applyFont="1" applyFill="1" applyBorder="1" applyAlignment="1" applyProtection="1">
      <protection hidden="1"/>
    </xf>
    <xf numFmtId="2" fontId="8" fillId="0" borderId="4" xfId="0" applyNumberFormat="1" applyFont="1" applyBorder="1" applyAlignment="1" applyProtection="1">
      <alignment horizontal="right"/>
      <protection hidden="1"/>
    </xf>
    <xf numFmtId="0" fontId="8" fillId="0" borderId="5" xfId="0" applyFont="1" applyFill="1" applyBorder="1" applyAlignment="1" applyProtection="1">
      <alignment wrapText="1"/>
      <protection hidden="1"/>
    </xf>
    <xf numFmtId="0" fontId="8" fillId="0" borderId="12" xfId="0" applyFont="1" applyBorder="1" applyAlignment="1" applyProtection="1">
      <alignment wrapText="1"/>
      <protection hidden="1"/>
    </xf>
    <xf numFmtId="0" fontId="8" fillId="0" borderId="13" xfId="0" applyFont="1" applyBorder="1" applyAlignment="1" applyProtection="1">
      <alignment horizontal="center" wrapText="1"/>
      <protection hidden="1"/>
    </xf>
    <xf numFmtId="2" fontId="9" fillId="0" borderId="5" xfId="0" applyNumberFormat="1" applyFont="1" applyBorder="1" applyProtection="1">
      <protection hidden="1"/>
    </xf>
    <xf numFmtId="2" fontId="8" fillId="0" borderId="0" xfId="0" applyNumberFormat="1" applyFont="1" applyFill="1" applyAlignment="1" applyProtection="1">
      <alignment wrapText="1"/>
      <protection hidden="1"/>
    </xf>
    <xf numFmtId="0" fontId="8" fillId="0" borderId="1" xfId="0" applyFont="1" applyFill="1" applyBorder="1" applyAlignment="1" applyProtection="1">
      <alignment horizontal="center" wrapText="1"/>
      <protection hidden="1"/>
    </xf>
    <xf numFmtId="2" fontId="8" fillId="0" borderId="4" xfId="0" applyNumberFormat="1" applyFont="1" applyFill="1" applyBorder="1" applyAlignment="1" applyProtection="1">
      <alignment horizontal="right"/>
      <protection hidden="1"/>
    </xf>
    <xf numFmtId="0" fontId="8" fillId="0" borderId="10" xfId="0" applyFont="1" applyBorder="1" applyAlignment="1" applyProtection="1">
      <alignment wrapText="1"/>
      <protection hidden="1"/>
    </xf>
    <xf numFmtId="2" fontId="8" fillId="0" borderId="0" xfId="0" applyNumberFormat="1" applyFont="1" applyFill="1" applyBorder="1" applyAlignment="1" applyProtection="1">
      <alignment horizontal="right"/>
      <protection hidden="1"/>
    </xf>
    <xf numFmtId="0" fontId="8" fillId="0" borderId="9" xfId="0" applyFont="1" applyFill="1" applyBorder="1" applyAlignment="1" applyProtection="1">
      <alignment horizontal="center" wrapText="1"/>
      <protection hidden="1"/>
    </xf>
    <xf numFmtId="0" fontId="8" fillId="0" borderId="8" xfId="0" applyFont="1" applyFill="1" applyBorder="1" applyAlignment="1" applyProtection="1">
      <alignment wrapText="1"/>
      <protection hidden="1"/>
    </xf>
    <xf numFmtId="2" fontId="9" fillId="0" borderId="5" xfId="0" applyNumberFormat="1" applyFont="1" applyFill="1" applyBorder="1" applyProtection="1">
      <protection hidden="1"/>
    </xf>
    <xf numFmtId="0" fontId="8" fillId="0" borderId="8" xfId="0" applyFont="1" applyFill="1" applyBorder="1" applyAlignment="1" applyProtection="1">
      <alignment horizontal="center" wrapText="1"/>
      <protection hidden="1"/>
    </xf>
    <xf numFmtId="0" fontId="8" fillId="0" borderId="4" xfId="0" applyFont="1" applyFill="1" applyBorder="1" applyAlignment="1" applyProtection="1">
      <alignment horizontal="center"/>
      <protection hidden="1"/>
    </xf>
    <xf numFmtId="0" fontId="8" fillId="0" borderId="16" xfId="0" applyFont="1" applyFill="1" applyBorder="1" applyAlignment="1" applyProtection="1">
      <alignment wrapText="1"/>
      <protection hidden="1"/>
    </xf>
    <xf numFmtId="0" fontId="8" fillId="0" borderId="8" xfId="0" applyFont="1" applyBorder="1" applyAlignment="1" applyProtection="1">
      <alignment wrapText="1"/>
      <protection hidden="1"/>
    </xf>
    <xf numFmtId="0" fontId="8" fillId="0" borderId="4" xfId="0" applyFont="1" applyBorder="1" applyAlignment="1" applyProtection="1">
      <alignment wrapText="1"/>
      <protection hidden="1"/>
    </xf>
    <xf numFmtId="0" fontId="8" fillId="0" borderId="6" xfId="0" applyFont="1" applyFill="1" applyBorder="1" applyAlignment="1" applyProtection="1">
      <alignment wrapText="1"/>
      <protection hidden="1"/>
    </xf>
    <xf numFmtId="2" fontId="8" fillId="0" borderId="14" xfId="0" applyNumberFormat="1" applyFont="1" applyBorder="1" applyAlignment="1" applyProtection="1">
      <alignment horizontal="right" vertical="top" wrapText="1"/>
      <protection hidden="1"/>
    </xf>
    <xf numFmtId="2" fontId="8" fillId="0" borderId="14" xfId="0" applyNumberFormat="1" applyFont="1" applyFill="1" applyBorder="1" applyAlignment="1" applyProtection="1">
      <alignment horizontal="right" vertical="top" wrapText="1"/>
      <protection hidden="1"/>
    </xf>
    <xf numFmtId="0" fontId="8" fillId="0" borderId="8" xfId="0" applyFont="1" applyBorder="1" applyAlignment="1" applyProtection="1">
      <alignment horizontal="left" indent="2"/>
      <protection hidden="1"/>
    </xf>
    <xf numFmtId="0" fontId="8" fillId="0" borderId="11" xfId="0" applyFont="1" applyFill="1" applyBorder="1" applyAlignment="1" applyProtection="1">
      <alignment horizontal="left" indent="2"/>
      <protection hidden="1"/>
    </xf>
    <xf numFmtId="0" fontId="8" fillId="0" borderId="19" xfId="0" applyFont="1" applyBorder="1" applyAlignment="1" applyProtection="1">
      <alignment horizontal="center"/>
      <protection hidden="1"/>
    </xf>
    <xf numFmtId="0" fontId="8" fillId="0" borderId="20" xfId="0" applyFont="1" applyBorder="1" applyAlignment="1" applyProtection="1">
      <alignment horizontal="left" wrapText="1"/>
      <protection hidden="1"/>
    </xf>
    <xf numFmtId="0" fontId="8" fillId="0" borderId="21" xfId="0" applyFont="1" applyBorder="1" applyAlignment="1" applyProtection="1">
      <alignment horizontal="left" indent="2"/>
      <protection hidden="1"/>
    </xf>
    <xf numFmtId="2" fontId="8" fillId="0" borderId="22" xfId="0" applyNumberFormat="1" applyFont="1" applyBorder="1" applyAlignment="1" applyProtection="1">
      <alignment horizontal="right"/>
      <protection hidden="1"/>
    </xf>
    <xf numFmtId="2" fontId="8" fillId="0" borderId="21" xfId="0" applyNumberFormat="1" applyFont="1" applyFill="1" applyBorder="1" applyAlignment="1" applyProtection="1">
      <alignment horizontal="right"/>
      <protection hidden="1"/>
    </xf>
    <xf numFmtId="2" fontId="8" fillId="0" borderId="23" xfId="0" applyNumberFormat="1" applyFont="1" applyBorder="1" applyAlignment="1" applyProtection="1">
      <alignment horizontal="right" vertical="top" wrapText="1"/>
      <protection hidden="1"/>
    </xf>
    <xf numFmtId="0" fontId="8" fillId="0" borderId="24" xfId="0" applyFont="1" applyBorder="1" applyAlignment="1" applyProtection="1">
      <alignment horizontal="center"/>
      <protection hidden="1"/>
    </xf>
    <xf numFmtId="0" fontId="8" fillId="0" borderId="25" xfId="0" applyFont="1" applyBorder="1" applyAlignment="1" applyProtection="1">
      <alignment horizontal="left" wrapText="1"/>
      <protection hidden="1"/>
    </xf>
    <xf numFmtId="0" fontId="8" fillId="0" borderId="26" xfId="0" applyFont="1" applyBorder="1" applyAlignment="1" applyProtection="1">
      <alignment horizontal="left" indent="2"/>
      <protection hidden="1"/>
    </xf>
    <xf numFmtId="2" fontId="8" fillId="0" borderId="27" xfId="0" applyNumberFormat="1" applyFont="1" applyBorder="1" applyAlignment="1" applyProtection="1">
      <alignment horizontal="right"/>
      <protection hidden="1"/>
    </xf>
    <xf numFmtId="2" fontId="8" fillId="0" borderId="26" xfId="0" applyNumberFormat="1" applyFont="1" applyBorder="1" applyAlignment="1" applyProtection="1">
      <alignment horizontal="right"/>
      <protection hidden="1"/>
    </xf>
    <xf numFmtId="2" fontId="8" fillId="0" borderId="28" xfId="0" applyNumberFormat="1" applyFont="1" applyBorder="1" applyAlignment="1" applyProtection="1">
      <alignment horizontal="right" vertical="top" wrapText="1"/>
      <protection hidden="1"/>
    </xf>
    <xf numFmtId="2" fontId="8" fillId="0" borderId="29" xfId="0" applyNumberFormat="1" applyFont="1" applyBorder="1" applyAlignment="1" applyProtection="1">
      <alignment horizontal="right"/>
      <protection hidden="1"/>
    </xf>
    <xf numFmtId="9" fontId="8" fillId="0" borderId="10" xfId="0" applyNumberFormat="1" applyFont="1" applyBorder="1" applyProtection="1">
      <protection hidden="1"/>
    </xf>
    <xf numFmtId="0" fontId="8" fillId="0" borderId="5" xfId="0" applyFont="1" applyBorder="1" applyAlignment="1" applyProtection="1">
      <alignment horizontal="left" indent="2"/>
      <protection hidden="1"/>
    </xf>
    <xf numFmtId="9" fontId="8" fillId="0" borderId="13" xfId="0" applyNumberFormat="1" applyFont="1" applyFill="1" applyBorder="1" applyProtection="1">
      <protection hidden="1"/>
    </xf>
    <xf numFmtId="9" fontId="8" fillId="0" borderId="10" xfId="0" applyNumberFormat="1" applyFont="1" applyFill="1" applyBorder="1" applyProtection="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8" fillId="0" borderId="0" xfId="0" applyFont="1" applyAlignment="1" applyProtection="1">
      <alignment horizontal="right" vertical="top" wrapText="1"/>
      <protection hidden="1"/>
    </xf>
    <xf numFmtId="0" fontId="8" fillId="0" borderId="0" xfId="0" applyFont="1" applyAlignment="1" applyProtection="1">
      <alignment horizontal="left" vertical="top" wrapText="1"/>
      <protection hidden="1"/>
    </xf>
    <xf numFmtId="2" fontId="8" fillId="0" borderId="0" xfId="0" applyNumberFormat="1" applyFont="1" applyAlignment="1" applyProtection="1">
      <alignment horizontal="right" vertical="top" wrapText="1"/>
      <protection hidden="1"/>
    </xf>
    <xf numFmtId="0" fontId="8" fillId="0" borderId="6" xfId="0" applyFont="1" applyBorder="1" applyAlignment="1" applyProtection="1">
      <alignment horizontal="right" vertical="top" wrapText="1"/>
      <protection hidden="1"/>
    </xf>
    <xf numFmtId="0" fontId="8" fillId="0" borderId="12" xfId="0" applyFont="1" applyBorder="1" applyAlignment="1" applyProtection="1">
      <alignment horizontal="right" vertical="top" wrapText="1"/>
      <protection hidden="1"/>
    </xf>
    <xf numFmtId="0" fontId="9" fillId="0" borderId="0" xfId="0" applyFont="1" applyAlignment="1" applyProtection="1">
      <alignment horizontal="justify"/>
      <protection hidden="1"/>
    </xf>
    <xf numFmtId="0" fontId="8" fillId="0" borderId="9" xfId="0" applyFont="1" applyBorder="1" applyAlignment="1" applyProtection="1">
      <alignment horizontal="center" vertical="top" wrapText="1"/>
      <protection hidden="1"/>
    </xf>
    <xf numFmtId="0" fontId="8" fillId="0" borderId="13" xfId="0" applyFont="1" applyBorder="1" applyAlignment="1" applyProtection="1">
      <alignment horizontal="center" vertical="top" wrapText="1"/>
      <protection hidden="1"/>
    </xf>
    <xf numFmtId="0" fontId="8" fillId="0" borderId="14" xfId="0" applyFont="1" applyBorder="1" applyAlignment="1" applyProtection="1">
      <alignment horizontal="center" vertical="top" wrapText="1"/>
      <protection hidden="1"/>
    </xf>
    <xf numFmtId="0" fontId="8" fillId="0" borderId="14" xfId="0" applyFont="1" applyBorder="1" applyAlignment="1" applyProtection="1">
      <alignment horizontal="right" vertical="top" wrapText="1"/>
      <protection hidden="1"/>
    </xf>
    <xf numFmtId="0" fontId="8" fillId="0" borderId="14" xfId="0" applyFont="1" applyFill="1" applyBorder="1" applyAlignment="1" applyProtection="1">
      <alignment horizontal="center" vertical="top" wrapText="1"/>
      <protection hidden="1"/>
    </xf>
    <xf numFmtId="0" fontId="8" fillId="0" borderId="13" xfId="0" applyFont="1" applyBorder="1" applyAlignment="1" applyProtection="1">
      <alignment horizontal="right" vertical="top" wrapText="1"/>
      <protection hidden="1"/>
    </xf>
    <xf numFmtId="2" fontId="9" fillId="0" borderId="13" xfId="0" applyNumberFormat="1" applyFont="1" applyBorder="1" applyAlignment="1" applyProtection="1">
      <alignment horizontal="right" vertical="top" wrapText="1"/>
      <protection hidden="1"/>
    </xf>
    <xf numFmtId="2" fontId="8" fillId="0" borderId="13" xfId="0" applyNumberFormat="1" applyFont="1" applyBorder="1" applyAlignment="1" applyProtection="1">
      <alignment horizontal="right" vertical="top" wrapText="1"/>
      <protection hidden="1"/>
    </xf>
    <xf numFmtId="0" fontId="8" fillId="0" borderId="16" xfId="0" applyFont="1" applyBorder="1" applyAlignment="1" applyProtection="1">
      <alignment vertical="top" wrapText="1"/>
      <protection hidden="1"/>
    </xf>
    <xf numFmtId="9" fontId="8" fillId="0" borderId="16" xfId="0" applyNumberFormat="1" applyFont="1" applyBorder="1" applyAlignment="1" applyProtection="1">
      <alignment vertical="top" wrapText="1"/>
      <protection hidden="1"/>
    </xf>
    <xf numFmtId="0" fontId="8" fillId="0" borderId="10" xfId="0" applyFont="1" applyBorder="1" applyAlignment="1" applyProtection="1">
      <alignment vertical="top" wrapText="1"/>
      <protection hidden="1"/>
    </xf>
    <xf numFmtId="0" fontId="8" fillId="0" borderId="0" xfId="0" applyFont="1" applyBorder="1" applyAlignment="1" applyProtection="1">
      <alignment horizontal="right" vertical="top" wrapText="1"/>
      <protection hidden="1"/>
    </xf>
    <xf numFmtId="2" fontId="8" fillId="0" borderId="11" xfId="0" applyNumberFormat="1" applyFont="1" applyBorder="1" applyAlignment="1" applyProtection="1">
      <alignment horizontal="right" vertical="top" wrapText="1"/>
      <protection hidden="1"/>
    </xf>
    <xf numFmtId="2" fontId="8" fillId="0" borderId="0" xfId="0" applyNumberFormat="1" applyFont="1" applyBorder="1" applyAlignment="1" applyProtection="1">
      <alignment horizontal="right" vertical="top" wrapText="1"/>
      <protection hidden="1"/>
    </xf>
    <xf numFmtId="2" fontId="8" fillId="0" borderId="5" xfId="0" applyNumberFormat="1" applyFont="1" applyBorder="1" applyAlignment="1" applyProtection="1">
      <alignment horizontal="right" vertical="top" wrapText="1"/>
      <protection hidden="1"/>
    </xf>
    <xf numFmtId="0" fontId="8" fillId="0" borderId="0" xfId="0" applyFont="1" applyAlignment="1" applyProtection="1">
      <alignment horizontal="justify" vertical="top"/>
      <protection hidden="1"/>
    </xf>
    <xf numFmtId="0" fontId="8" fillId="0" borderId="0" xfId="0" applyFont="1" applyAlignment="1" applyProtection="1">
      <alignment horizontal="left" vertical="top"/>
      <protection hidden="1"/>
    </xf>
    <xf numFmtId="0" fontId="8" fillId="0" borderId="0" xfId="0"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right" vertical="center" wrapText="1"/>
      <protection hidden="1"/>
    </xf>
    <xf numFmtId="0" fontId="8" fillId="0" borderId="0" xfId="0" applyFont="1" applyFill="1" applyBorder="1" applyAlignment="1" applyProtection="1">
      <alignment horizontal="right" vertical="center" wrapText="1"/>
      <protection hidden="1"/>
    </xf>
    <xf numFmtId="0" fontId="8" fillId="0" borderId="0" xfId="0" applyFont="1" applyFill="1" applyAlignment="1" applyProtection="1">
      <alignment horizontal="justify" vertical="top" wrapText="1"/>
      <protection hidden="1"/>
    </xf>
    <xf numFmtId="0" fontId="8" fillId="0" borderId="0" xfId="0" applyFont="1" applyFill="1" applyAlignment="1" applyProtection="1">
      <alignment horizontal="justify"/>
      <protection hidden="1"/>
    </xf>
    <xf numFmtId="0" fontId="8" fillId="0" borderId="0" xfId="0" applyFont="1" applyFill="1" applyAlignment="1" applyProtection="1">
      <alignment horizontal="justify" wrapText="1"/>
      <protection hidden="1"/>
    </xf>
    <xf numFmtId="0" fontId="9" fillId="0" borderId="0" xfId="0" applyFont="1" applyFill="1" applyAlignment="1" applyProtection="1">
      <alignment horizontal="justify"/>
      <protection hidden="1"/>
    </xf>
    <xf numFmtId="0" fontId="8" fillId="0" borderId="8" xfId="0" applyFont="1" applyFill="1" applyBorder="1" applyAlignment="1" applyProtection="1">
      <alignment horizontal="center" vertical="top" wrapText="1"/>
      <protection hidden="1"/>
    </xf>
    <xf numFmtId="0" fontId="8" fillId="0" borderId="9" xfId="0" applyFont="1" applyFill="1" applyBorder="1" applyAlignment="1" applyProtection="1">
      <alignment horizontal="center" vertical="top" wrapText="1"/>
      <protection hidden="1"/>
    </xf>
    <xf numFmtId="0" fontId="8" fillId="0" borderId="5" xfId="0" applyFont="1" applyFill="1" applyBorder="1" applyAlignment="1" applyProtection="1">
      <alignment horizontal="center" vertical="top" wrapText="1"/>
      <protection hidden="1"/>
    </xf>
    <xf numFmtId="0" fontId="8" fillId="0" borderId="13" xfId="0" applyFont="1" applyFill="1" applyBorder="1" applyAlignment="1" applyProtection="1">
      <alignment horizontal="center" vertical="top" wrapText="1"/>
      <protection hidden="1"/>
    </xf>
    <xf numFmtId="0" fontId="8" fillId="0" borderId="14" xfId="0" applyFont="1" applyFill="1" applyBorder="1" applyAlignment="1" applyProtection="1">
      <alignment horizontal="justify" vertical="top" wrapText="1"/>
      <protection hidden="1"/>
    </xf>
    <xf numFmtId="0" fontId="8" fillId="0" borderId="14" xfId="0" applyFont="1" applyFill="1" applyBorder="1" applyAlignment="1" applyProtection="1">
      <alignment horizontal="right" vertical="top" wrapText="1"/>
      <protection hidden="1"/>
    </xf>
    <xf numFmtId="0" fontId="8" fillId="0" borderId="13" xfId="0" applyFont="1" applyFill="1" applyBorder="1" applyAlignment="1" applyProtection="1">
      <alignment horizontal="justify" vertical="top" wrapText="1"/>
      <protection hidden="1"/>
    </xf>
    <xf numFmtId="0" fontId="8" fillId="0" borderId="13" xfId="0" applyFont="1" applyFill="1" applyBorder="1" applyAlignment="1" applyProtection="1">
      <alignment horizontal="right" vertical="top" wrapText="1"/>
      <protection hidden="1"/>
    </xf>
    <xf numFmtId="0" fontId="8" fillId="0" borderId="16" xfId="0" applyFont="1" applyFill="1" applyBorder="1" applyAlignment="1" applyProtection="1">
      <alignment horizontal="center" vertical="top" wrapText="1"/>
      <protection hidden="1"/>
    </xf>
    <xf numFmtId="0" fontId="9" fillId="0" borderId="13" xfId="0" applyFont="1" applyFill="1" applyBorder="1" applyAlignment="1" applyProtection="1">
      <alignment horizontal="right" vertical="top" wrapText="1"/>
      <protection hidden="1"/>
    </xf>
    <xf numFmtId="0" fontId="8" fillId="0" borderId="14" xfId="0" applyFont="1" applyFill="1" applyBorder="1" applyAlignment="1" applyProtection="1">
      <alignment horizontal="left" vertical="top" wrapText="1"/>
      <protection hidden="1"/>
    </xf>
    <xf numFmtId="2" fontId="9" fillId="0" borderId="13" xfId="0" applyNumberFormat="1" applyFont="1" applyFill="1" applyBorder="1" applyAlignment="1" applyProtection="1">
      <alignment horizontal="right" vertical="top" wrapText="1"/>
      <protection hidden="1"/>
    </xf>
    <xf numFmtId="2" fontId="9" fillId="0" borderId="1" xfId="0" applyNumberFormat="1" applyFont="1" applyFill="1" applyBorder="1" applyAlignment="1" applyProtection="1">
      <alignment horizontal="right" vertical="top" wrapText="1"/>
      <protection hidden="1"/>
    </xf>
    <xf numFmtId="0" fontId="8" fillId="0" borderId="0" xfId="0" applyFont="1" applyFill="1" applyAlignment="1" applyProtection="1">
      <alignment horizontal="right" vertical="top" wrapText="1"/>
      <protection hidden="1"/>
    </xf>
    <xf numFmtId="0" fontId="8" fillId="0" borderId="0" xfId="0" applyFont="1" applyFill="1" applyAlignment="1" applyProtection="1">
      <alignment vertical="top" wrapText="1"/>
      <protection hidden="1"/>
    </xf>
    <xf numFmtId="2" fontId="8" fillId="0" borderId="0" xfId="0" applyNumberFormat="1" applyFont="1" applyFill="1" applyBorder="1" applyAlignment="1" applyProtection="1">
      <alignment horizontal="right" vertical="top" wrapText="1"/>
      <protection hidden="1"/>
    </xf>
    <xf numFmtId="0" fontId="9" fillId="0" borderId="0" xfId="0" applyFont="1" applyFill="1" applyAlignment="1" applyProtection="1">
      <alignment horizontal="right" wrapText="1"/>
      <protection hidden="1"/>
    </xf>
    <xf numFmtId="2" fontId="9" fillId="0" borderId="0" xfId="0" applyNumberFormat="1" applyFont="1" applyFill="1" applyAlignment="1" applyProtection="1">
      <alignment horizontal="right"/>
      <protection hidden="1"/>
    </xf>
    <xf numFmtId="0" fontId="8" fillId="0" borderId="8" xfId="0" applyFont="1" applyFill="1" applyBorder="1" applyAlignment="1" applyProtection="1">
      <alignment horizontal="left" indent="2"/>
      <protection hidden="1"/>
    </xf>
    <xf numFmtId="0" fontId="8" fillId="0" borderId="5" xfId="0" applyFont="1" applyFill="1" applyBorder="1" applyAlignment="1" applyProtection="1">
      <alignment horizontal="left" indent="2"/>
      <protection hidden="1"/>
    </xf>
    <xf numFmtId="9" fontId="8" fillId="0" borderId="0" xfId="0" applyNumberFormat="1" applyFont="1" applyFill="1" applyBorder="1" applyProtection="1">
      <protection hidden="1"/>
    </xf>
    <xf numFmtId="0" fontId="8" fillId="0" borderId="11" xfId="0" applyFont="1" applyFill="1" applyBorder="1" applyAlignment="1" applyProtection="1">
      <alignment horizontal="right"/>
      <protection hidden="1"/>
    </xf>
    <xf numFmtId="0" fontId="8" fillId="0" borderId="0" xfId="0" applyFont="1" applyFill="1" applyBorder="1" applyAlignment="1" applyProtection="1">
      <alignment horizontal="center" wrapText="1"/>
      <protection hidden="1"/>
    </xf>
    <xf numFmtId="0" fontId="8" fillId="0" borderId="6" xfId="0" applyFont="1" applyFill="1" applyBorder="1" applyAlignment="1" applyProtection="1">
      <alignment horizontal="right" wrapText="1"/>
      <protection hidden="1"/>
    </xf>
    <xf numFmtId="2" fontId="8" fillId="0" borderId="0" xfId="0" applyNumberFormat="1" applyFont="1" applyBorder="1" applyAlignment="1" applyProtection="1">
      <alignment horizontal="right" vertical="center" wrapText="1"/>
      <protection hidden="1"/>
    </xf>
    <xf numFmtId="0" fontId="8" fillId="0" borderId="0" xfId="0" applyFont="1" applyBorder="1" applyAlignment="1" applyProtection="1">
      <alignment horizontal="right" vertical="center" wrapText="1"/>
      <protection hidden="1"/>
    </xf>
    <xf numFmtId="166" fontId="8" fillId="0" borderId="0" xfId="0" applyNumberFormat="1" applyFont="1" applyFill="1" applyProtection="1">
      <protection hidden="1"/>
    </xf>
    <xf numFmtId="2" fontId="8" fillId="0" borderId="1" xfId="0" applyNumberFormat="1" applyFont="1" applyBorder="1" applyAlignment="1" applyProtection="1">
      <alignment horizontal="right" vertical="top" wrapText="1"/>
      <protection hidden="1"/>
    </xf>
    <xf numFmtId="0" fontId="8" fillId="0" borderId="1" xfId="0" applyFont="1" applyFill="1" applyBorder="1" applyAlignment="1" applyProtection="1">
      <alignment horizontal="left" wrapText="1"/>
      <protection hidden="1"/>
    </xf>
    <xf numFmtId="0" fontId="8" fillId="0" borderId="1" xfId="0" applyFont="1" applyFill="1" applyBorder="1" applyAlignment="1" applyProtection="1">
      <alignment horizontal="left" indent="2"/>
      <protection hidden="1"/>
    </xf>
    <xf numFmtId="166" fontId="8" fillId="0" borderId="1" xfId="0" applyNumberFormat="1" applyFont="1" applyFill="1" applyBorder="1" applyAlignment="1" applyProtection="1">
      <alignment horizontal="right"/>
      <protection hidden="1"/>
    </xf>
    <xf numFmtId="0" fontId="8" fillId="0" borderId="0" xfId="0" applyFont="1" applyFill="1" applyAlignment="1" applyProtection="1">
      <alignment horizontal="left" vertical="top"/>
      <protection hidden="1"/>
    </xf>
    <xf numFmtId="2" fontId="8" fillId="0" borderId="1" xfId="0" applyNumberFormat="1" applyFont="1" applyFill="1" applyBorder="1" applyAlignment="1" applyProtection="1">
      <alignment horizontal="right" vertical="top" wrapText="1"/>
      <protection hidden="1"/>
    </xf>
    <xf numFmtId="0" fontId="9" fillId="0" borderId="0" xfId="0" applyFont="1" applyFill="1" applyAlignment="1" applyProtection="1">
      <alignment wrapText="1"/>
      <protection hidden="1"/>
    </xf>
    <xf numFmtId="2" fontId="9" fillId="0" borderId="0" xfId="0" applyNumberFormat="1" applyFont="1" applyFill="1" applyProtection="1">
      <protection hidden="1"/>
    </xf>
    <xf numFmtId="0" fontId="8" fillId="0" borderId="17" xfId="0" applyFont="1" applyFill="1" applyBorder="1" applyAlignment="1" applyProtection="1">
      <alignment horizontal="center" vertical="center" wrapText="1"/>
      <protection hidden="1"/>
    </xf>
    <xf numFmtId="0" fontId="8" fillId="0" borderId="7" xfId="0" applyFont="1" applyFill="1" applyBorder="1" applyAlignment="1" applyProtection="1">
      <alignment horizontal="center" vertical="center" wrapText="1"/>
      <protection hidden="1"/>
    </xf>
    <xf numFmtId="0" fontId="8" fillId="0" borderId="8" xfId="0" applyFont="1" applyFill="1" applyBorder="1" applyAlignment="1" applyProtection="1">
      <alignment horizontal="center" vertical="center" wrapText="1"/>
      <protection hidden="1"/>
    </xf>
    <xf numFmtId="0" fontId="8" fillId="0" borderId="17" xfId="0" applyFont="1" applyFill="1" applyBorder="1" applyAlignment="1" applyProtection="1">
      <alignment horizontal="left" vertical="center" wrapText="1"/>
      <protection hidden="1"/>
    </xf>
    <xf numFmtId="2" fontId="8" fillId="0" borderId="8" xfId="0" applyNumberFormat="1" applyFont="1" applyFill="1" applyBorder="1" applyAlignment="1" applyProtection="1">
      <alignment horizontal="right" vertical="center" wrapText="1"/>
      <protection hidden="1"/>
    </xf>
    <xf numFmtId="0" fontId="8" fillId="0" borderId="7" xfId="0" applyFont="1" applyFill="1" applyBorder="1" applyAlignment="1" applyProtection="1">
      <alignment horizontal="left" vertical="center" wrapText="1"/>
      <protection hidden="1"/>
    </xf>
    <xf numFmtId="0" fontId="8" fillId="0" borderId="5" xfId="0" applyFont="1" applyFill="1" applyBorder="1" applyAlignment="1" applyProtection="1">
      <alignment horizontal="center" vertical="center" wrapText="1"/>
      <protection hidden="1"/>
    </xf>
    <xf numFmtId="2" fontId="8" fillId="0" borderId="5" xfId="0" applyNumberFormat="1" applyFont="1" applyFill="1" applyBorder="1" applyAlignment="1" applyProtection="1">
      <alignment horizontal="right" vertical="center" wrapText="1"/>
      <protection hidden="1"/>
    </xf>
    <xf numFmtId="0" fontId="8" fillId="0" borderId="9" xfId="0" applyFont="1" applyFill="1" applyBorder="1" applyProtection="1">
      <protection hidden="1"/>
    </xf>
    <xf numFmtId="2" fontId="8" fillId="0" borderId="11" xfId="0" applyNumberFormat="1" applyFont="1" applyFill="1" applyBorder="1" applyAlignment="1" applyProtection="1">
      <alignment horizontal="right" vertical="center" wrapText="1"/>
      <protection hidden="1"/>
    </xf>
    <xf numFmtId="0" fontId="8" fillId="0" borderId="11" xfId="0" applyFont="1" applyFill="1" applyBorder="1" applyAlignment="1" applyProtection="1">
      <alignment horizontal="right" vertical="center" wrapText="1"/>
      <protection hidden="1"/>
    </xf>
    <xf numFmtId="2" fontId="9" fillId="0" borderId="1" xfId="0" applyNumberFormat="1" applyFont="1" applyFill="1" applyBorder="1" applyAlignment="1" applyProtection="1">
      <alignment horizontal="right" vertical="center" wrapText="1"/>
      <protection hidden="1"/>
    </xf>
    <xf numFmtId="0" fontId="8" fillId="0" borderId="4" xfId="0" applyFont="1" applyFill="1" applyBorder="1" applyAlignment="1" applyProtection="1">
      <alignment horizontal="left" vertical="center" wrapText="1"/>
      <protection hidden="1"/>
    </xf>
    <xf numFmtId="0" fontId="8" fillId="0" borderId="11" xfId="0" applyFont="1" applyFill="1" applyBorder="1" applyAlignment="1" applyProtection="1">
      <alignment horizontal="center" vertical="center" wrapText="1"/>
      <protection hidden="1"/>
    </xf>
    <xf numFmtId="0" fontId="8" fillId="0" borderId="10" xfId="0" applyFont="1" applyFill="1" applyBorder="1" applyAlignment="1" applyProtection="1">
      <alignment wrapText="1"/>
      <protection hidden="1"/>
    </xf>
    <xf numFmtId="2" fontId="8" fillId="0" borderId="14" xfId="0" applyNumberFormat="1" applyFont="1" applyFill="1" applyBorder="1" applyAlignment="1" applyProtection="1">
      <alignment horizontal="right" vertical="center" wrapText="1"/>
      <protection hidden="1"/>
    </xf>
    <xf numFmtId="0" fontId="8" fillId="0" borderId="5" xfId="0" applyFont="1" applyFill="1" applyBorder="1" applyAlignment="1" applyProtection="1">
      <alignment horizontal="center" wrapText="1"/>
      <protection hidden="1"/>
    </xf>
    <xf numFmtId="0" fontId="8" fillId="0" borderId="3" xfId="0" applyFont="1" applyFill="1" applyBorder="1" applyAlignment="1" applyProtection="1">
      <alignment horizontal="left" vertical="center" wrapText="1"/>
      <protection hidden="1"/>
    </xf>
    <xf numFmtId="0" fontId="8" fillId="0" borderId="5" xfId="0" applyFont="1" applyFill="1" applyBorder="1" applyAlignment="1" applyProtection="1">
      <alignment horizontal="left" wrapText="1"/>
      <protection hidden="1"/>
    </xf>
    <xf numFmtId="14" fontId="8" fillId="0" borderId="0" xfId="0" applyNumberFormat="1" applyFont="1" applyFill="1" applyAlignment="1" applyProtection="1">
      <alignment horizontal="right"/>
      <protection hidden="1"/>
    </xf>
    <xf numFmtId="1" fontId="8" fillId="0" borderId="0" xfId="0" applyNumberFormat="1" applyFont="1" applyFill="1" applyAlignment="1" applyProtection="1">
      <alignment horizontal="left"/>
      <protection hidden="1"/>
    </xf>
    <xf numFmtId="2" fontId="8" fillId="0" borderId="8" xfId="0" applyNumberFormat="1" applyFont="1" applyFill="1" applyBorder="1" applyAlignment="1" applyProtection="1">
      <alignment horizontal="right" vertical="top" wrapText="1"/>
      <protection hidden="1"/>
    </xf>
    <xf numFmtId="2" fontId="8" fillId="0" borderId="11" xfId="0" applyNumberFormat="1" applyFont="1" applyFill="1" applyBorder="1" applyAlignment="1" applyProtection="1">
      <alignment horizontal="right" vertical="top" wrapText="1"/>
      <protection hidden="1"/>
    </xf>
    <xf numFmtId="2" fontId="8" fillId="0" borderId="5" xfId="0" applyNumberFormat="1" applyFont="1" applyFill="1" applyBorder="1" applyAlignment="1" applyProtection="1">
      <alignment horizontal="right" vertical="top" wrapText="1"/>
      <protection hidden="1"/>
    </xf>
    <xf numFmtId="0" fontId="8" fillId="0" borderId="30" xfId="0" applyFont="1" applyFill="1" applyBorder="1" applyAlignment="1" applyProtection="1">
      <alignment horizontal="center" vertical="center" wrapText="1"/>
      <protection hidden="1"/>
    </xf>
    <xf numFmtId="0" fontId="8" fillId="0" borderId="29" xfId="0" applyFont="1" applyFill="1" applyBorder="1" applyAlignment="1" applyProtection="1">
      <alignment horizontal="center" vertical="center" wrapText="1"/>
      <protection hidden="1"/>
    </xf>
    <xf numFmtId="0" fontId="8" fillId="0" borderId="10" xfId="0" applyFont="1" applyFill="1" applyBorder="1" applyAlignment="1" applyProtection="1">
      <alignment horizontal="center" vertical="center" wrapText="1"/>
      <protection hidden="1"/>
    </xf>
    <xf numFmtId="2" fontId="8" fillId="0" borderId="17" xfId="0" applyNumberFormat="1" applyFont="1" applyFill="1" applyBorder="1" applyAlignment="1" applyProtection="1">
      <alignment horizontal="right" vertical="center" wrapText="1"/>
      <protection hidden="1"/>
    </xf>
    <xf numFmtId="2" fontId="8" fillId="0" borderId="4" xfId="0" applyNumberFormat="1" applyFont="1" applyFill="1" applyBorder="1" applyAlignment="1" applyProtection="1">
      <alignment horizontal="right" vertical="center" wrapText="1"/>
      <protection hidden="1"/>
    </xf>
    <xf numFmtId="2" fontId="8" fillId="0" borderId="7" xfId="0" applyNumberFormat="1" applyFont="1" applyFill="1" applyBorder="1" applyAlignment="1" applyProtection="1">
      <alignment horizontal="right" vertical="center" wrapText="1"/>
      <protection hidden="1"/>
    </xf>
    <xf numFmtId="2" fontId="9" fillId="0" borderId="5" xfId="0" applyNumberFormat="1" applyFont="1" applyFill="1" applyBorder="1" applyAlignment="1" applyProtection="1">
      <alignment horizontal="right" vertical="center" wrapText="1"/>
      <protection hidden="1"/>
    </xf>
    <xf numFmtId="0" fontId="8" fillId="0" borderId="12" xfId="0" applyFont="1" applyFill="1" applyBorder="1" applyAlignment="1" applyProtection="1">
      <alignment horizontal="center" vertical="center" wrapText="1"/>
      <protection hidden="1"/>
    </xf>
    <xf numFmtId="0" fontId="8" fillId="0" borderId="31" xfId="0" applyFont="1" applyFill="1" applyBorder="1" applyAlignment="1" applyProtection="1">
      <alignment horizontal="center" vertical="center" wrapText="1"/>
      <protection hidden="1"/>
    </xf>
    <xf numFmtId="2" fontId="9" fillId="0" borderId="18" xfId="0" applyNumberFormat="1" applyFont="1" applyFill="1" applyBorder="1" applyAlignment="1" applyProtection="1">
      <alignment horizontal="right" vertical="center" wrapText="1"/>
      <protection hidden="1"/>
    </xf>
    <xf numFmtId="0" fontId="8" fillId="0" borderId="23" xfId="0" applyFont="1" applyBorder="1" applyAlignment="1" applyProtection="1">
      <alignment horizontal="left" wrapText="1"/>
      <protection hidden="1"/>
    </xf>
    <xf numFmtId="0" fontId="8" fillId="0" borderId="19" xfId="0" applyFont="1" applyBorder="1" applyAlignment="1" applyProtection="1">
      <alignment horizontal="left" indent="2"/>
      <protection hidden="1"/>
    </xf>
    <xf numFmtId="0" fontId="8" fillId="0" borderId="28" xfId="0" applyFont="1" applyBorder="1" applyAlignment="1" applyProtection="1">
      <alignment horizontal="left" wrapText="1"/>
      <protection hidden="1"/>
    </xf>
    <xf numFmtId="0" fontId="8" fillId="0" borderId="24" xfId="0" applyFont="1" applyBorder="1" applyAlignment="1" applyProtection="1">
      <alignment horizontal="left" indent="2"/>
      <protection hidden="1"/>
    </xf>
    <xf numFmtId="2" fontId="8" fillId="0" borderId="26" xfId="0" applyNumberFormat="1" applyFont="1" applyBorder="1" applyProtection="1">
      <protection hidden="1"/>
    </xf>
    <xf numFmtId="1" fontId="8" fillId="0" borderId="0" xfId="0" applyNumberFormat="1" applyFont="1" applyAlignment="1" applyProtection="1">
      <alignment horizontal="left"/>
      <protection hidden="1"/>
    </xf>
    <xf numFmtId="0" fontId="8" fillId="0" borderId="17"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hidden="1"/>
    </xf>
    <xf numFmtId="2" fontId="8" fillId="0" borderId="1" xfId="0" applyNumberFormat="1" applyFont="1" applyBorder="1" applyAlignment="1" applyProtection="1">
      <alignment horizontal="right" vertical="center" wrapText="1"/>
      <protection hidden="1"/>
    </xf>
    <xf numFmtId="2" fontId="9" fillId="0" borderId="3" xfId="0" applyNumberFormat="1" applyFont="1" applyBorder="1" applyAlignment="1" applyProtection="1">
      <alignment horizontal="right" vertical="center" wrapText="1"/>
      <protection hidden="1"/>
    </xf>
    <xf numFmtId="2" fontId="8" fillId="0" borderId="8" xfId="0" applyNumberFormat="1" applyFont="1" applyBorder="1" applyAlignment="1" applyProtection="1">
      <alignment horizontal="right" vertical="center" wrapText="1"/>
      <protection hidden="1"/>
    </xf>
    <xf numFmtId="0" fontId="8" fillId="0" borderId="7" xfId="0" applyFont="1" applyBorder="1" applyAlignment="1" applyProtection="1">
      <alignment horizontal="left" vertical="center" wrapText="1"/>
      <protection hidden="1"/>
    </xf>
    <xf numFmtId="2" fontId="8" fillId="0" borderId="11" xfId="0" applyNumberFormat="1" applyFont="1" applyBorder="1" applyAlignment="1" applyProtection="1">
      <alignment horizontal="right" vertical="center" wrapText="1"/>
      <protection hidden="1"/>
    </xf>
    <xf numFmtId="2" fontId="9" fillId="0" borderId="1" xfId="0" applyNumberFormat="1" applyFont="1" applyBorder="1" applyAlignment="1" applyProtection="1">
      <alignment horizontal="right" vertical="center" wrapText="1"/>
      <protection hidden="1"/>
    </xf>
    <xf numFmtId="0" fontId="8" fillId="0" borderId="17" xfId="0" applyFont="1" applyBorder="1" applyAlignment="1" applyProtection="1">
      <alignment horizontal="left" vertical="center" wrapText="1"/>
      <protection hidden="1"/>
    </xf>
    <xf numFmtId="0" fontId="8" fillId="0" borderId="14" xfId="0" applyFont="1" applyBorder="1" applyAlignment="1" applyProtection="1">
      <alignment horizontal="center" vertical="center" wrapText="1"/>
      <protection hidden="1"/>
    </xf>
    <xf numFmtId="0" fontId="8" fillId="0" borderId="0" xfId="0" quotePrefix="1" applyFont="1" applyAlignment="1" applyProtection="1">
      <protection hidden="1"/>
    </xf>
    <xf numFmtId="0" fontId="9" fillId="0" borderId="0" xfId="0" applyFont="1" applyFill="1" applyAlignment="1" applyProtection="1">
      <protection hidden="1"/>
    </xf>
    <xf numFmtId="0" fontId="8" fillId="0" borderId="5" xfId="0" applyFont="1" applyFill="1" applyBorder="1" applyAlignment="1" applyProtection="1">
      <alignment horizontal="left"/>
      <protection hidden="1"/>
    </xf>
    <xf numFmtId="0" fontId="9" fillId="0" borderId="1" xfId="0" applyFont="1" applyFill="1" applyBorder="1" applyAlignment="1" applyProtection="1">
      <protection hidden="1"/>
    </xf>
    <xf numFmtId="0" fontId="8" fillId="0" borderId="1" xfId="0" applyFont="1" applyFill="1" applyBorder="1" applyAlignment="1" applyProtection="1">
      <protection hidden="1"/>
    </xf>
    <xf numFmtId="0" fontId="9" fillId="0" borderId="8" xfId="0" applyFont="1" applyBorder="1" applyAlignment="1" applyProtection="1">
      <alignment horizontal="left"/>
      <protection hidden="1"/>
    </xf>
    <xf numFmtId="0" fontId="8" fillId="0" borderId="5" xfId="0" applyFont="1" applyFill="1" applyBorder="1" applyAlignment="1" applyProtection="1">
      <protection hidden="1"/>
    </xf>
    <xf numFmtId="0" fontId="8" fillId="0" borderId="4" xfId="0" applyFont="1" applyFill="1" applyBorder="1" applyAlignment="1" applyProtection="1">
      <protection hidden="1"/>
    </xf>
    <xf numFmtId="0" fontId="8" fillId="0" borderId="7" xfId="0" applyFont="1" applyFill="1" applyBorder="1" applyAlignment="1" applyProtection="1">
      <protection hidden="1"/>
    </xf>
    <xf numFmtId="0" fontId="8" fillId="0" borderId="3" xfId="0" applyFont="1" applyFill="1" applyBorder="1" applyAlignment="1" applyProtection="1">
      <protection hidden="1"/>
    </xf>
    <xf numFmtId="0" fontId="8" fillId="0" borderId="5" xfId="0" applyFont="1" applyBorder="1" applyAlignment="1" applyProtection="1">
      <alignment horizontal="center" vertical="top"/>
      <protection hidden="1"/>
    </xf>
    <xf numFmtId="0" fontId="8" fillId="0" borderId="11" xfId="0" applyFont="1" applyBorder="1" applyAlignment="1" applyProtection="1">
      <alignment horizontal="center" vertical="top"/>
      <protection hidden="1"/>
    </xf>
    <xf numFmtId="0" fontId="8" fillId="0" borderId="11" xfId="0" applyFont="1" applyFill="1" applyBorder="1" applyAlignment="1" applyProtection="1">
      <alignment horizontal="center" vertical="top"/>
      <protection hidden="1"/>
    </xf>
    <xf numFmtId="0" fontId="8" fillId="0" borderId="7" xfId="0" applyFont="1" applyBorder="1" applyAlignment="1" applyProtection="1">
      <alignment horizontal="justify" vertical="top"/>
      <protection hidden="1"/>
    </xf>
    <xf numFmtId="0" fontId="8" fillId="0" borderId="11" xfId="0" applyFont="1" applyBorder="1" applyAlignment="1" applyProtection="1">
      <alignment horizontal="justify" vertical="top"/>
      <protection hidden="1"/>
    </xf>
    <xf numFmtId="0" fontId="8" fillId="0" borderId="5" xfId="0" applyFont="1" applyBorder="1" applyAlignment="1" applyProtection="1">
      <alignment vertical="top"/>
      <protection hidden="1"/>
    </xf>
    <xf numFmtId="0" fontId="8" fillId="0" borderId="0" xfId="0" applyFont="1" applyAlignment="1" applyProtection="1">
      <alignment vertical="top"/>
      <protection hidden="1"/>
    </xf>
    <xf numFmtId="0" fontId="8" fillId="0" borderId="8" xfId="0" applyFont="1" applyFill="1" applyBorder="1" applyAlignment="1" applyProtection="1">
      <alignment horizontal="center" vertical="top"/>
      <protection hidden="1"/>
    </xf>
    <xf numFmtId="0" fontId="8" fillId="0" borderId="5" xfId="0" applyFont="1" applyFill="1" applyBorder="1" applyAlignment="1" applyProtection="1">
      <alignment horizontal="center" vertical="top"/>
      <protection hidden="1"/>
    </xf>
    <xf numFmtId="0" fontId="8" fillId="0" borderId="7" xfId="0" applyFont="1" applyFill="1" applyBorder="1" applyAlignment="1" applyProtection="1">
      <alignment horizontal="justify" vertical="top"/>
      <protection hidden="1"/>
    </xf>
    <xf numFmtId="0" fontId="8" fillId="0" borderId="1" xfId="0" applyFont="1" applyFill="1" applyBorder="1" applyAlignment="1" applyProtection="1">
      <alignment horizontal="center" vertical="top"/>
      <protection hidden="1"/>
    </xf>
    <xf numFmtId="0" fontId="8" fillId="0" borderId="8" xfId="0" applyFont="1" applyFill="1" applyBorder="1" applyAlignment="1" applyProtection="1">
      <alignment horizontal="center" vertical="center"/>
      <protection hidden="1"/>
    </xf>
    <xf numFmtId="0" fontId="8" fillId="0" borderId="5" xfId="0" applyFont="1" applyFill="1" applyBorder="1" applyAlignment="1" applyProtection="1">
      <alignment horizontal="right" vertical="center"/>
      <protection hidden="1"/>
    </xf>
    <xf numFmtId="0" fontId="8" fillId="0" borderId="11" xfId="0" applyFont="1" applyFill="1" applyBorder="1" applyAlignment="1" applyProtection="1">
      <alignment horizontal="right" vertical="center"/>
      <protection hidden="1"/>
    </xf>
    <xf numFmtId="0" fontId="8" fillId="0" borderId="11"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30" xfId="0" applyFont="1" applyFill="1" applyBorder="1" applyAlignment="1" applyProtection="1">
      <alignment horizontal="center" vertical="center"/>
      <protection hidden="1"/>
    </xf>
    <xf numFmtId="0" fontId="8" fillId="0" borderId="5" xfId="0" applyFont="1" applyFill="1" applyBorder="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8" fillId="0" borderId="11" xfId="0" applyFont="1" applyBorder="1" applyAlignment="1" applyProtection="1">
      <alignment horizontal="right" vertical="center"/>
      <protection hidden="1"/>
    </xf>
    <xf numFmtId="0" fontId="8" fillId="0" borderId="0" xfId="0" applyFont="1" applyFill="1" applyAlignment="1" applyProtection="1">
      <alignment horizontal="left" indent="13"/>
      <protection hidden="1"/>
    </xf>
    <xf numFmtId="0" fontId="8" fillId="0" borderId="18" xfId="0" applyFont="1" applyBorder="1" applyAlignment="1" applyProtection="1">
      <alignment horizontal="left"/>
      <protection hidden="1"/>
    </xf>
    <xf numFmtId="170" fontId="8" fillId="0" borderId="0" xfId="0" applyNumberFormat="1" applyFont="1" applyProtection="1">
      <protection hidden="1"/>
    </xf>
    <xf numFmtId="0" fontId="9" fillId="0" borderId="0" xfId="0" applyFont="1" applyFill="1" applyBorder="1" applyAlignment="1" applyProtection="1">
      <alignment horizontal="left" vertical="top"/>
      <protection hidden="1"/>
    </xf>
    <xf numFmtId="0" fontId="9" fillId="0" borderId="0" xfId="0" applyFont="1" applyFill="1" applyBorder="1" applyAlignment="1" applyProtection="1">
      <alignment vertical="top"/>
      <protection hidden="1"/>
    </xf>
    <xf numFmtId="0" fontId="8" fillId="0" borderId="0" xfId="0" applyFont="1" applyFill="1" applyBorder="1" applyAlignment="1" applyProtection="1">
      <alignment horizontal="justify" vertical="top" wrapText="1"/>
      <protection hidden="1"/>
    </xf>
    <xf numFmtId="0" fontId="8" fillId="0" borderId="0" xfId="0" applyFont="1" applyFill="1" applyBorder="1" applyAlignment="1" applyProtection="1">
      <alignment horizontal="left" vertical="top" wrapText="1"/>
      <protection hidden="1"/>
    </xf>
    <xf numFmtId="0" fontId="8"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horizontal="justify" vertical="top" wrapText="1"/>
      <protection hidden="1"/>
    </xf>
    <xf numFmtId="0" fontId="9" fillId="0" borderId="0" xfId="0" applyFont="1" applyFill="1" applyBorder="1" applyAlignment="1" applyProtection="1">
      <alignment horizontal="center" vertical="top" wrapText="1"/>
      <protection hidden="1"/>
    </xf>
    <xf numFmtId="170" fontId="9" fillId="0" borderId="0" xfId="0" applyNumberFormat="1" applyFont="1" applyFill="1" applyBorder="1" applyAlignment="1" applyProtection="1">
      <alignment horizontal="right" vertical="top"/>
      <protection hidden="1"/>
    </xf>
    <xf numFmtId="0" fontId="9" fillId="0" borderId="0" xfId="0" applyNumberFormat="1" applyFont="1" applyFill="1" applyBorder="1" applyAlignment="1" applyProtection="1">
      <alignment horizontal="center" vertical="top" wrapText="1"/>
      <protection hidden="1"/>
    </xf>
    <xf numFmtId="0" fontId="8" fillId="0" borderId="0" xfId="0" applyFont="1" applyFill="1" applyBorder="1" applyAlignment="1" applyProtection="1">
      <alignment horizontal="left" vertical="top" wrapText="1" indent="2"/>
      <protection hidden="1"/>
    </xf>
    <xf numFmtId="0" fontId="8" fillId="0" borderId="5" xfId="0" applyNumberFormat="1" applyFont="1" applyFill="1" applyBorder="1" applyAlignment="1" applyProtection="1">
      <alignment horizontal="center" vertical="top" wrapText="1"/>
      <protection hidden="1"/>
    </xf>
    <xf numFmtId="0" fontId="8" fillId="0" borderId="5" xfId="0" applyFont="1" applyFill="1" applyBorder="1" applyAlignment="1" applyProtection="1">
      <alignment horizontal="left" vertical="top" wrapText="1" indent="2"/>
      <protection hidden="1"/>
    </xf>
    <xf numFmtId="170" fontId="8" fillId="0" borderId="5" xfId="0" applyNumberFormat="1" applyFont="1" applyFill="1" applyBorder="1" applyAlignment="1" applyProtection="1">
      <alignment horizontal="right" vertical="top"/>
      <protection hidden="1"/>
    </xf>
    <xf numFmtId="170" fontId="9" fillId="0" borderId="7" xfId="0" applyNumberFormat="1" applyFont="1" applyFill="1" applyBorder="1" applyAlignment="1" applyProtection="1">
      <alignment horizontal="right" vertical="top"/>
      <protection hidden="1"/>
    </xf>
    <xf numFmtId="0" fontId="8" fillId="0" borderId="0" xfId="0" applyNumberFormat="1" applyFont="1" applyFill="1" applyBorder="1" applyAlignment="1" applyProtection="1">
      <alignment horizontal="center" vertical="top" wrapText="1"/>
      <protection hidden="1"/>
    </xf>
    <xf numFmtId="0" fontId="9" fillId="0" borderId="6" xfId="0" applyNumberFormat="1" applyFont="1" applyFill="1" applyBorder="1" applyAlignment="1" applyProtection="1">
      <alignment horizontal="left" vertical="top"/>
      <protection hidden="1"/>
    </xf>
    <xf numFmtId="0" fontId="8" fillId="0" borderId="6" xfId="0" applyFont="1" applyFill="1" applyBorder="1" applyAlignment="1" applyProtection="1">
      <alignment vertical="top"/>
      <protection hidden="1"/>
    </xf>
    <xf numFmtId="0" fontId="8" fillId="0" borderId="6" xfId="0" applyFont="1" applyFill="1" applyBorder="1" applyAlignment="1" applyProtection="1">
      <alignment horizontal="center" vertical="top" wrapText="1"/>
      <protection hidden="1"/>
    </xf>
    <xf numFmtId="170" fontId="8" fillId="0" borderId="6" xfId="0" applyNumberFormat="1" applyFont="1" applyFill="1" applyBorder="1" applyAlignment="1" applyProtection="1">
      <alignment horizontal="right" vertical="top"/>
      <protection hidden="1"/>
    </xf>
    <xf numFmtId="0" fontId="8" fillId="0" borderId="1" xfId="0" applyNumberFormat="1" applyFont="1" applyFill="1" applyBorder="1" applyAlignment="1" applyProtection="1">
      <alignment horizontal="center" vertical="top" wrapText="1"/>
      <protection hidden="1"/>
    </xf>
    <xf numFmtId="0" fontId="8" fillId="0" borderId="1" xfId="0" applyFont="1" applyFill="1" applyBorder="1" applyAlignment="1" applyProtection="1">
      <alignment horizontal="left" vertical="top" wrapText="1" indent="2"/>
      <protection hidden="1"/>
    </xf>
    <xf numFmtId="170" fontId="8" fillId="0" borderId="3" xfId="0" applyNumberFormat="1" applyFont="1" applyFill="1" applyBorder="1" applyAlignment="1" applyProtection="1">
      <alignment horizontal="right" vertical="top"/>
      <protection hidden="1"/>
    </xf>
    <xf numFmtId="170" fontId="8" fillId="0" borderId="4" xfId="0" applyNumberFormat="1" applyFont="1" applyFill="1" applyBorder="1" applyAlignment="1" applyProtection="1">
      <alignment horizontal="center" vertical="top" wrapText="1"/>
      <protection hidden="1"/>
    </xf>
    <xf numFmtId="165" fontId="8" fillId="0" borderId="1" xfId="0" applyNumberFormat="1" applyFont="1" applyFill="1" applyBorder="1" applyAlignment="1" applyProtection="1">
      <alignment horizontal="center" vertical="top" wrapText="1"/>
      <protection hidden="1"/>
    </xf>
    <xf numFmtId="0" fontId="8" fillId="0" borderId="3" xfId="0" applyFont="1" applyFill="1" applyBorder="1" applyAlignment="1" applyProtection="1">
      <alignment horizontal="left" vertical="top" wrapText="1" indent="2"/>
      <protection hidden="1"/>
    </xf>
    <xf numFmtId="170" fontId="8" fillId="0" borderId="16" xfId="0" applyNumberFormat="1" applyFont="1" applyFill="1" applyBorder="1" applyAlignment="1" applyProtection="1">
      <alignment horizontal="right" vertical="top"/>
      <protection hidden="1"/>
    </xf>
    <xf numFmtId="170" fontId="8" fillId="0" borderId="10" xfId="0" applyNumberFormat="1" applyFont="1" applyFill="1" applyBorder="1" applyAlignment="1" applyProtection="1">
      <alignment horizontal="right" vertical="top"/>
      <protection hidden="1"/>
    </xf>
    <xf numFmtId="170" fontId="9" fillId="0" borderId="3" xfId="0" applyNumberFormat="1" applyFont="1" applyFill="1" applyBorder="1" applyAlignment="1" applyProtection="1">
      <alignment horizontal="right" vertical="top"/>
      <protection hidden="1"/>
    </xf>
    <xf numFmtId="165" fontId="8" fillId="0" borderId="0" xfId="0" applyNumberFormat="1" applyFont="1" applyFill="1" applyBorder="1" applyAlignment="1" applyProtection="1">
      <alignment horizontal="center" vertical="top" wrapText="1"/>
      <protection hidden="1"/>
    </xf>
    <xf numFmtId="0" fontId="9" fillId="0" borderId="6" xfId="0" applyFont="1" applyFill="1" applyBorder="1" applyAlignment="1" applyProtection="1">
      <alignment horizontal="left" vertical="top"/>
      <protection hidden="1"/>
    </xf>
    <xf numFmtId="170" fontId="9" fillId="0" borderId="1" xfId="0" applyNumberFormat="1" applyFont="1" applyFill="1" applyBorder="1" applyAlignment="1" applyProtection="1">
      <alignment horizontal="right" vertical="top"/>
      <protection hidden="1"/>
    </xf>
    <xf numFmtId="0" fontId="9" fillId="0" borderId="0" xfId="0" applyFont="1" applyFill="1" applyBorder="1" applyAlignment="1" applyProtection="1">
      <alignment vertical="top" wrapText="1"/>
      <protection hidden="1"/>
    </xf>
    <xf numFmtId="0" fontId="8" fillId="0" borderId="0" xfId="0" applyFont="1" applyFill="1" applyBorder="1" applyAlignment="1" applyProtection="1">
      <alignment vertical="top" wrapText="1"/>
      <protection hidden="1"/>
    </xf>
    <xf numFmtId="9" fontId="8" fillId="0" borderId="0" xfId="0" applyNumberFormat="1" applyFont="1" applyFill="1" applyBorder="1" applyAlignment="1" applyProtection="1">
      <alignment horizontal="center" vertical="top" wrapText="1"/>
      <protection hidden="1"/>
    </xf>
    <xf numFmtId="0" fontId="8" fillId="0" borderId="0" xfId="0" applyFont="1" applyFill="1" applyBorder="1" applyAlignment="1" applyProtection="1">
      <alignment horizontal="left" vertical="top"/>
      <protection hidden="1"/>
    </xf>
    <xf numFmtId="0" fontId="9" fillId="0" borderId="0" xfId="0" applyFont="1" applyFill="1" applyBorder="1" applyAlignment="1" applyProtection="1">
      <alignment horizontal="center" vertical="top"/>
      <protection hidden="1"/>
    </xf>
    <xf numFmtId="165" fontId="8" fillId="0" borderId="0" xfId="0" applyNumberFormat="1"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165" fontId="8" fillId="0" borderId="5" xfId="0" applyNumberFormat="1" applyFont="1" applyFill="1" applyBorder="1" applyAlignment="1" applyProtection="1">
      <alignment horizontal="center" vertical="top" wrapText="1"/>
      <protection hidden="1"/>
    </xf>
    <xf numFmtId="0" fontId="8" fillId="0" borderId="5" xfId="0" applyFont="1" applyFill="1" applyBorder="1" applyAlignment="1" applyProtection="1">
      <alignment vertical="top" wrapText="1"/>
      <protection hidden="1"/>
    </xf>
    <xf numFmtId="170" fontId="9" fillId="0" borderId="5" xfId="0" applyNumberFormat="1" applyFont="1" applyFill="1" applyBorder="1" applyAlignment="1" applyProtection="1">
      <alignment horizontal="right" vertical="top"/>
      <protection hidden="1"/>
    </xf>
    <xf numFmtId="0" fontId="8" fillId="0" borderId="1" xfId="0" applyFont="1" applyFill="1" applyBorder="1" applyAlignment="1" applyProtection="1">
      <alignment vertical="top" wrapText="1"/>
      <protection hidden="1"/>
    </xf>
    <xf numFmtId="165" fontId="9" fillId="0" borderId="0" xfId="0" applyNumberFormat="1" applyFont="1" applyFill="1" applyBorder="1" applyAlignment="1" applyProtection="1">
      <alignment horizontal="left" vertical="top"/>
      <protection hidden="1"/>
    </xf>
    <xf numFmtId="0" fontId="8" fillId="0" borderId="1"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indent="2"/>
      <protection hidden="1"/>
    </xf>
    <xf numFmtId="0" fontId="8" fillId="0" borderId="0" xfId="0" applyFont="1" applyAlignment="1">
      <alignment horizontal="left"/>
    </xf>
    <xf numFmtId="165" fontId="8" fillId="0" borderId="1" xfId="0" applyNumberFormat="1" applyFont="1" applyFill="1" applyBorder="1" applyAlignment="1" applyProtection="1">
      <alignment horizontal="left" vertical="top"/>
      <protection hidden="1"/>
    </xf>
    <xf numFmtId="165" fontId="8" fillId="0" borderId="0" xfId="0" applyNumberFormat="1" applyFont="1" applyFill="1" applyBorder="1" applyAlignment="1" applyProtection="1">
      <alignment horizontal="left" vertical="top"/>
      <protection hidden="1"/>
    </xf>
    <xf numFmtId="0" fontId="8" fillId="0" borderId="0" xfId="0" applyFont="1" applyFill="1" applyBorder="1" applyAlignment="1" applyProtection="1">
      <alignment horizontal="center" vertical="top"/>
      <protection hidden="1"/>
    </xf>
    <xf numFmtId="170" fontId="8" fillId="0" borderId="0" xfId="0" applyNumberFormat="1" applyFont="1" applyFill="1" applyBorder="1" applyAlignment="1" applyProtection="1">
      <alignment horizontal="center" vertical="top"/>
      <protection hidden="1"/>
    </xf>
    <xf numFmtId="170" fontId="8" fillId="0" borderId="8" xfId="0" applyNumberFormat="1" applyFont="1" applyFill="1" applyBorder="1" applyAlignment="1" applyProtection="1">
      <alignment horizontal="right" vertical="top"/>
      <protection hidden="1"/>
    </xf>
    <xf numFmtId="170" fontId="9" fillId="0" borderId="8" xfId="0" applyNumberFormat="1" applyFont="1" applyFill="1" applyBorder="1" applyAlignment="1" applyProtection="1">
      <alignment horizontal="right" vertical="top"/>
      <protection hidden="1"/>
    </xf>
    <xf numFmtId="0" fontId="8" fillId="0" borderId="12" xfId="0" applyFont="1" applyFill="1" applyBorder="1" applyAlignment="1" applyProtection="1">
      <alignment horizontal="center" vertical="top" wrapText="1"/>
      <protection hidden="1"/>
    </xf>
    <xf numFmtId="170" fontId="8" fillId="0" borderId="12" xfId="0" applyNumberFormat="1" applyFont="1" applyFill="1" applyBorder="1" applyAlignment="1" applyProtection="1">
      <alignment horizontal="right" vertical="top"/>
      <protection hidden="1"/>
    </xf>
    <xf numFmtId="170" fontId="9" fillId="0" borderId="12" xfId="0" applyNumberFormat="1" applyFont="1" applyFill="1" applyBorder="1" applyAlignment="1" applyProtection="1">
      <alignment horizontal="right" vertical="top"/>
      <protection hidden="1"/>
    </xf>
    <xf numFmtId="171" fontId="8" fillId="0" borderId="0" xfId="0" applyNumberFormat="1" applyFont="1" applyFill="1" applyBorder="1" applyAlignment="1" applyProtection="1">
      <alignment horizontal="right" vertical="top"/>
      <protection hidden="1"/>
    </xf>
    <xf numFmtId="0" fontId="8" fillId="0" borderId="4" xfId="0" applyFont="1" applyFill="1" applyBorder="1" applyAlignment="1" applyProtection="1">
      <alignment horizontal="right"/>
      <protection hidden="1"/>
    </xf>
    <xf numFmtId="0" fontId="8" fillId="0" borderId="15" xfId="0" applyFont="1" applyBorder="1" applyAlignment="1" applyProtection="1">
      <alignment horizontal="center"/>
      <protection hidden="1"/>
    </xf>
    <xf numFmtId="0" fontId="8" fillId="0" borderId="32" xfId="0" applyFont="1" applyBorder="1" applyAlignment="1" applyProtection="1">
      <alignment horizontal="center"/>
      <protection hidden="1"/>
    </xf>
    <xf numFmtId="9" fontId="8" fillId="0" borderId="5" xfId="0" applyNumberFormat="1" applyFont="1" applyBorder="1" applyAlignment="1" applyProtection="1">
      <alignment horizontal="center"/>
      <protection hidden="1"/>
    </xf>
    <xf numFmtId="0" fontId="8" fillId="0" borderId="0" xfId="0" quotePrefix="1" applyFont="1" applyFill="1" applyProtection="1">
      <protection hidden="1"/>
    </xf>
    <xf numFmtId="2" fontId="9" fillId="0" borderId="16" xfId="0" applyNumberFormat="1" applyFont="1" applyFill="1" applyBorder="1" applyProtection="1">
      <protection hidden="1"/>
    </xf>
    <xf numFmtId="2" fontId="8" fillId="0" borderId="0" xfId="0" quotePrefix="1" applyNumberFormat="1" applyFont="1" applyFill="1" applyProtection="1">
      <protection hidden="1"/>
    </xf>
    <xf numFmtId="167" fontId="8" fillId="0" borderId="0" xfId="0" applyNumberFormat="1" applyFont="1" applyFill="1" applyBorder="1" applyProtection="1">
      <protection hidden="1"/>
    </xf>
    <xf numFmtId="167" fontId="8" fillId="0" borderId="0" xfId="0" applyNumberFormat="1" applyFont="1" applyBorder="1" applyAlignment="1" applyProtection="1">
      <protection hidden="1"/>
    </xf>
    <xf numFmtId="0" fontId="8" fillId="0" borderId="0" xfId="0" applyNumberFormat="1" applyFont="1" applyBorder="1" applyAlignment="1" applyProtection="1">
      <alignment horizontal="left"/>
      <protection hidden="1"/>
    </xf>
    <xf numFmtId="0" fontId="8" fillId="0" borderId="33" xfId="0" applyFont="1" applyBorder="1" applyAlignment="1" applyProtection="1">
      <protection hidden="1"/>
    </xf>
    <xf numFmtId="0" fontId="8" fillId="0" borderId="34" xfId="0" applyFont="1" applyBorder="1" applyAlignment="1" applyProtection="1">
      <protection hidden="1"/>
    </xf>
    <xf numFmtId="0" fontId="8" fillId="0" borderId="35" xfId="0" applyFont="1" applyBorder="1" applyAlignment="1" applyProtection="1">
      <protection hidden="1"/>
    </xf>
    <xf numFmtId="0" fontId="8" fillId="0" borderId="0" xfId="0" applyFont="1" applyBorder="1" applyAlignment="1" applyProtection="1">
      <alignment horizontal="left" indent="4"/>
      <protection hidden="1"/>
    </xf>
    <xf numFmtId="166" fontId="9" fillId="0" borderId="0" xfId="0" applyNumberFormat="1" applyFont="1" applyAlignment="1" applyProtection="1">
      <alignment horizontal="right"/>
      <protection hidden="1"/>
    </xf>
    <xf numFmtId="10" fontId="8" fillId="0" borderId="0" xfId="0" applyNumberFormat="1" applyFont="1" applyAlignment="1" applyProtection="1">
      <protection hidden="1"/>
    </xf>
    <xf numFmtId="0" fontId="9" fillId="0" borderId="33" xfId="0" applyFont="1" applyBorder="1" applyAlignment="1" applyProtection="1">
      <alignment horizontal="right"/>
      <protection hidden="1"/>
    </xf>
    <xf numFmtId="0" fontId="9" fillId="0" borderId="34" xfId="0" applyFont="1" applyBorder="1" applyProtection="1">
      <protection hidden="1"/>
    </xf>
    <xf numFmtId="0" fontId="8" fillId="0" borderId="34" xfId="0" applyFont="1" applyBorder="1" applyAlignment="1" applyProtection="1">
      <alignment horizontal="right"/>
      <protection hidden="1"/>
    </xf>
    <xf numFmtId="2" fontId="9" fillId="0" borderId="28" xfId="0" applyNumberFormat="1" applyFont="1" applyBorder="1" applyProtection="1">
      <protection hidden="1"/>
    </xf>
    <xf numFmtId="165" fontId="8" fillId="0" borderId="6" xfId="0" applyNumberFormat="1" applyFont="1" applyBorder="1" applyProtection="1">
      <protection hidden="1"/>
    </xf>
    <xf numFmtId="0" fontId="8" fillId="0" borderId="25" xfId="0" applyFont="1" applyBorder="1" applyProtection="1">
      <protection hidden="1"/>
    </xf>
    <xf numFmtId="0" fontId="8" fillId="0" borderId="25" xfId="0" applyFont="1" applyBorder="1" applyAlignment="1" applyProtection="1">
      <alignment horizontal="left" indent="4"/>
      <protection hidden="1"/>
    </xf>
    <xf numFmtId="0" fontId="8" fillId="0" borderId="22" xfId="0" applyFont="1" applyBorder="1" applyProtection="1">
      <protection hidden="1"/>
    </xf>
    <xf numFmtId="0" fontId="8" fillId="0" borderId="25" xfId="0" applyFont="1" applyBorder="1" applyAlignment="1" applyProtection="1">
      <alignment horizontal="center"/>
      <protection hidden="1"/>
    </xf>
    <xf numFmtId="0" fontId="8" fillId="0" borderId="27" xfId="0" applyFont="1" applyBorder="1" applyProtection="1">
      <protection hidden="1"/>
    </xf>
    <xf numFmtId="0" fontId="8" fillId="0" borderId="21" xfId="0" applyFont="1" applyBorder="1" applyProtection="1">
      <protection hidden="1"/>
    </xf>
    <xf numFmtId="0" fontId="8" fillId="0" borderId="22" xfId="0" applyFont="1" applyBorder="1" applyAlignment="1" applyProtection="1">
      <alignment horizontal="center"/>
      <protection hidden="1"/>
    </xf>
    <xf numFmtId="0" fontId="8" fillId="0" borderId="21" xfId="0" applyFont="1" applyBorder="1" applyAlignment="1" applyProtection="1">
      <alignment horizontal="center"/>
      <protection hidden="1"/>
    </xf>
    <xf numFmtId="0" fontId="8" fillId="0" borderId="36" xfId="0" applyFont="1" applyBorder="1" applyAlignment="1" applyProtection="1">
      <alignment horizontal="center"/>
      <protection hidden="1"/>
    </xf>
    <xf numFmtId="0" fontId="8" fillId="0" borderId="37" xfId="0" applyFont="1" applyBorder="1" applyAlignment="1" applyProtection="1">
      <alignment horizontal="center"/>
      <protection hidden="1"/>
    </xf>
    <xf numFmtId="0" fontId="8" fillId="0" borderId="31" xfId="0" applyFont="1" applyBorder="1" applyAlignment="1" applyProtection="1">
      <alignment horizontal="center"/>
      <protection hidden="1"/>
    </xf>
    <xf numFmtId="0" fontId="8" fillId="0" borderId="38" xfId="0" applyFont="1" applyBorder="1" applyAlignment="1" applyProtection="1">
      <alignment horizontal="center"/>
      <protection hidden="1"/>
    </xf>
    <xf numFmtId="0" fontId="8" fillId="0" borderId="39" xfId="0" applyFont="1" applyBorder="1" applyAlignment="1" applyProtection="1">
      <alignment horizontal="center"/>
      <protection hidden="1"/>
    </xf>
    <xf numFmtId="0" fontId="8" fillId="0" borderId="34" xfId="0" applyFont="1" applyBorder="1" applyAlignment="1" applyProtection="1">
      <alignment horizontal="center"/>
      <protection hidden="1"/>
    </xf>
    <xf numFmtId="0" fontId="8" fillId="0" borderId="33" xfId="0" applyFont="1" applyBorder="1" applyProtection="1">
      <protection hidden="1"/>
    </xf>
    <xf numFmtId="0" fontId="9" fillId="0" borderId="34" xfId="0" applyFont="1" applyBorder="1" applyAlignment="1" applyProtection="1">
      <alignment horizontal="center"/>
      <protection hidden="1"/>
    </xf>
    <xf numFmtId="2" fontId="9" fillId="0" borderId="35" xfId="0" applyNumberFormat="1" applyFont="1" applyBorder="1" applyProtection="1">
      <protection hidden="1"/>
    </xf>
    <xf numFmtId="2" fontId="9" fillId="0" borderId="35" xfId="0" applyNumberFormat="1" applyFont="1" applyBorder="1" applyAlignment="1" applyProtection="1">
      <alignment horizontal="right"/>
      <protection hidden="1"/>
    </xf>
    <xf numFmtId="2" fontId="9" fillId="0" borderId="34" xfId="0" applyNumberFormat="1" applyFont="1" applyBorder="1" applyProtection="1">
      <protection hidden="1"/>
    </xf>
    <xf numFmtId="1" fontId="9" fillId="0" borderId="0" xfId="0" applyNumberFormat="1" applyFont="1" applyProtection="1">
      <protection hidden="1"/>
    </xf>
    <xf numFmtId="0" fontId="9" fillId="0" borderId="33" xfId="0" applyFont="1" applyBorder="1" applyProtection="1">
      <protection hidden="1"/>
    </xf>
    <xf numFmtId="2" fontId="9" fillId="0" borderId="37" xfId="0" applyNumberFormat="1" applyFont="1" applyBorder="1" applyProtection="1">
      <protection hidden="1"/>
    </xf>
    <xf numFmtId="0" fontId="9" fillId="0" borderId="34" xfId="0" applyFont="1" applyBorder="1" applyAlignment="1" applyProtection="1">
      <alignment horizontal="right"/>
      <protection hidden="1"/>
    </xf>
    <xf numFmtId="2" fontId="8" fillId="0" borderId="11" xfId="0" quotePrefix="1" applyNumberFormat="1" applyFont="1" applyBorder="1" applyAlignment="1" applyProtection="1">
      <alignment horizontal="right"/>
      <protection hidden="1"/>
    </xf>
    <xf numFmtId="0" fontId="9" fillId="0" borderId="33" xfId="0" applyFont="1" applyFill="1" applyBorder="1" applyProtection="1">
      <protection hidden="1"/>
    </xf>
    <xf numFmtId="0" fontId="8" fillId="0" borderId="34" xfId="0" applyFont="1" applyFill="1" applyBorder="1" applyAlignment="1" applyProtection="1">
      <alignment horizontal="center"/>
      <protection hidden="1"/>
    </xf>
    <xf numFmtId="0" fontId="8" fillId="0" borderId="35" xfId="0" applyFont="1" applyFill="1" applyBorder="1" applyProtection="1">
      <protection hidden="1"/>
    </xf>
    <xf numFmtId="0" fontId="8" fillId="0" borderId="0" xfId="0" applyFont="1" applyFill="1" applyAlignment="1" applyProtection="1">
      <alignment horizontal="left" indent="4"/>
      <protection hidden="1"/>
    </xf>
    <xf numFmtId="0" fontId="8" fillId="0" borderId="0" xfId="0" applyFont="1" applyFill="1" applyAlignment="1" applyProtection="1">
      <alignment horizontal="left" indent="2"/>
      <protection hidden="1"/>
    </xf>
    <xf numFmtId="0" fontId="9" fillId="0" borderId="33" xfId="0" applyFont="1" applyBorder="1" applyAlignment="1" applyProtection="1">
      <protection hidden="1"/>
    </xf>
    <xf numFmtId="0" fontId="8" fillId="0" borderId="35" xfId="0" applyFont="1" applyBorder="1" applyProtection="1">
      <protection hidden="1"/>
    </xf>
    <xf numFmtId="0" fontId="8" fillId="0" borderId="4" xfId="0" applyFont="1" applyBorder="1" applyAlignment="1" applyProtection="1">
      <alignment horizontal="left" indent="3"/>
      <protection hidden="1"/>
    </xf>
    <xf numFmtId="0" fontId="8" fillId="0" borderId="0" xfId="0" applyFont="1" applyBorder="1" applyAlignment="1" applyProtection="1">
      <alignment horizontal="left" indent="2"/>
      <protection hidden="1"/>
    </xf>
    <xf numFmtId="1" fontId="8" fillId="0" borderId="0" xfId="0" applyNumberFormat="1" applyFont="1" applyBorder="1" applyProtection="1">
      <protection hidden="1"/>
    </xf>
    <xf numFmtId="0" fontId="9" fillId="0" borderId="0" xfId="0" applyFont="1" applyBorder="1" applyAlignment="1" applyProtection="1">
      <alignment horizontal="right"/>
      <protection hidden="1"/>
    </xf>
    <xf numFmtId="166" fontId="9" fillId="0" borderId="0" xfId="0" applyNumberFormat="1" applyFont="1" applyBorder="1" applyAlignment="1" applyProtection="1">
      <alignment horizontal="center"/>
      <protection hidden="1"/>
    </xf>
    <xf numFmtId="2" fontId="9" fillId="0" borderId="0" xfId="0" applyNumberFormat="1" applyFont="1" applyBorder="1" applyAlignment="1" applyProtection="1">
      <alignment horizontal="center"/>
      <protection hidden="1"/>
    </xf>
    <xf numFmtId="0" fontId="8" fillId="0" borderId="1" xfId="0" applyFont="1" applyBorder="1" applyAlignment="1" applyProtection="1">
      <alignment horizontal="left" indent="2"/>
      <protection hidden="1"/>
    </xf>
    <xf numFmtId="2" fontId="9" fillId="0" borderId="1" xfId="0" applyNumberFormat="1" applyFont="1" applyBorder="1" applyAlignment="1" applyProtection="1">
      <alignment horizontal="center"/>
      <protection hidden="1"/>
    </xf>
    <xf numFmtId="2" fontId="8" fillId="0" borderId="1" xfId="0" applyNumberFormat="1" applyFont="1" applyBorder="1" applyAlignment="1" applyProtection="1">
      <protection hidden="1"/>
    </xf>
    <xf numFmtId="2" fontId="9" fillId="0" borderId="0" xfId="0" applyNumberFormat="1" applyFont="1" applyBorder="1" applyAlignment="1" applyProtection="1">
      <alignment horizontal="left"/>
      <protection hidden="1"/>
    </xf>
    <xf numFmtId="0" fontId="9" fillId="0" borderId="0" xfId="0" applyFont="1" applyBorder="1" applyAlignment="1" applyProtection="1">
      <alignment horizontal="left" indent="4"/>
      <protection hidden="1"/>
    </xf>
    <xf numFmtId="0" fontId="8" fillId="0" borderId="30" xfId="0" applyFont="1" applyBorder="1" applyAlignment="1" applyProtection="1">
      <alignment horizontal="center"/>
      <protection hidden="1"/>
    </xf>
    <xf numFmtId="0" fontId="8" fillId="0" borderId="40" xfId="0" applyFont="1" applyBorder="1" applyAlignment="1" applyProtection="1">
      <alignment horizontal="left"/>
      <protection hidden="1"/>
    </xf>
    <xf numFmtId="2" fontId="8" fillId="0" borderId="31" xfId="0" applyNumberFormat="1" applyFont="1" applyBorder="1" applyProtection="1">
      <protection hidden="1"/>
    </xf>
    <xf numFmtId="0" fontId="8" fillId="0" borderId="33" xfId="0" applyFont="1" applyBorder="1" applyAlignment="1" applyProtection="1">
      <alignment horizontal="right"/>
      <protection hidden="1"/>
    </xf>
    <xf numFmtId="0" fontId="8" fillId="0" borderId="34" xfId="0" applyFont="1" applyBorder="1" applyAlignment="1" applyProtection="1">
      <alignment horizontal="left"/>
      <protection hidden="1"/>
    </xf>
    <xf numFmtId="0" fontId="8" fillId="0" borderId="34" xfId="0" applyFont="1" applyBorder="1" applyProtection="1">
      <protection hidden="1"/>
    </xf>
    <xf numFmtId="2" fontId="8" fillId="0" borderId="35" xfId="0" applyNumberFormat="1" applyFont="1" applyBorder="1" applyProtection="1">
      <protection hidden="1"/>
    </xf>
    <xf numFmtId="0" fontId="8" fillId="0" borderId="20" xfId="0" applyFont="1" applyBorder="1" applyAlignment="1" applyProtection="1">
      <alignment horizontal="left"/>
      <protection hidden="1"/>
    </xf>
    <xf numFmtId="2" fontId="8" fillId="0" borderId="22" xfId="0" applyNumberFormat="1" applyFont="1" applyBorder="1" applyProtection="1">
      <protection hidden="1"/>
    </xf>
    <xf numFmtId="2" fontId="8" fillId="0" borderId="41" xfId="0" applyNumberFormat="1" applyFont="1" applyBorder="1" applyProtection="1">
      <protection hidden="1"/>
    </xf>
    <xf numFmtId="0" fontId="8" fillId="0" borderId="25" xfId="0" applyFont="1" applyBorder="1" applyAlignment="1" applyProtection="1">
      <alignment horizontal="left"/>
      <protection hidden="1"/>
    </xf>
    <xf numFmtId="0" fontId="8" fillId="0" borderId="26" xfId="0" applyFont="1" applyBorder="1" applyAlignment="1" applyProtection="1">
      <alignment horizontal="center"/>
      <protection hidden="1"/>
    </xf>
    <xf numFmtId="2" fontId="8" fillId="0" borderId="27" xfId="0" applyNumberFormat="1" applyFont="1" applyBorder="1" applyProtection="1">
      <protection hidden="1"/>
    </xf>
    <xf numFmtId="2" fontId="8" fillId="0" borderId="42" xfId="0" applyNumberFormat="1" applyFont="1" applyBorder="1" applyProtection="1">
      <protection hidden="1"/>
    </xf>
    <xf numFmtId="0" fontId="8" fillId="0" borderId="15" xfId="0" applyFont="1" applyBorder="1" applyProtection="1">
      <protection hidden="1"/>
    </xf>
    <xf numFmtId="0" fontId="8" fillId="0" borderId="43" xfId="0" applyFont="1" applyBorder="1" applyAlignment="1" applyProtection="1">
      <alignment horizontal="left"/>
      <protection hidden="1"/>
    </xf>
    <xf numFmtId="0" fontId="8" fillId="0" borderId="32" xfId="0" applyFont="1" applyBorder="1" applyAlignment="1" applyProtection="1">
      <alignment horizontal="left"/>
      <protection hidden="1"/>
    </xf>
    <xf numFmtId="9" fontId="8" fillId="0" borderId="14" xfId="0" applyNumberFormat="1" applyFont="1" applyBorder="1" applyAlignment="1" applyProtection="1">
      <alignment horizontal="center"/>
      <protection hidden="1"/>
    </xf>
    <xf numFmtId="2" fontId="8" fillId="0" borderId="19" xfId="0" applyNumberFormat="1" applyFont="1" applyBorder="1" applyProtection="1">
      <protection hidden="1"/>
    </xf>
    <xf numFmtId="2" fontId="8" fillId="0" borderId="21" xfId="0" applyNumberFormat="1" applyFont="1" applyBorder="1" applyProtection="1">
      <protection hidden="1"/>
    </xf>
    <xf numFmtId="0" fontId="8" fillId="0" borderId="32" xfId="0" applyFont="1" applyBorder="1" applyProtection="1">
      <protection hidden="1"/>
    </xf>
    <xf numFmtId="0" fontId="8" fillId="0" borderId="44" xfId="0" applyFont="1" applyBorder="1" applyProtection="1">
      <protection hidden="1"/>
    </xf>
    <xf numFmtId="0" fontId="8" fillId="0" borderId="28" xfId="0" applyFont="1" applyBorder="1" applyProtection="1">
      <protection hidden="1"/>
    </xf>
    <xf numFmtId="9" fontId="8" fillId="0" borderId="16" xfId="0" applyNumberFormat="1" applyFont="1" applyBorder="1" applyProtection="1">
      <protection hidden="1"/>
    </xf>
    <xf numFmtId="2" fontId="9" fillId="0" borderId="13" xfId="0" applyNumberFormat="1" applyFont="1" applyBorder="1" applyProtection="1">
      <protection hidden="1"/>
    </xf>
    <xf numFmtId="2" fontId="9" fillId="0" borderId="0" xfId="0" applyNumberFormat="1" applyFont="1" applyBorder="1" applyProtection="1">
      <protection hidden="1"/>
    </xf>
    <xf numFmtId="10" fontId="8" fillId="0" borderId="0" xfId="0" applyNumberFormat="1" applyFont="1" applyBorder="1" applyAlignment="1" applyProtection="1">
      <protection hidden="1"/>
    </xf>
    <xf numFmtId="166" fontId="8" fillId="0" borderId="0" xfId="0" applyNumberFormat="1" applyFont="1" applyBorder="1" applyProtection="1">
      <protection hidden="1"/>
    </xf>
    <xf numFmtId="166" fontId="8" fillId="0" borderId="0" xfId="0" applyNumberFormat="1" applyFont="1" applyBorder="1" applyAlignment="1" applyProtection="1">
      <alignment horizontal="right"/>
      <protection hidden="1"/>
    </xf>
    <xf numFmtId="10" fontId="8" fillId="0" borderId="0" xfId="0" applyNumberFormat="1" applyFont="1" applyBorder="1" applyAlignment="1" applyProtection="1">
      <alignment horizontal="center"/>
      <protection hidden="1"/>
    </xf>
    <xf numFmtId="165" fontId="8" fillId="0" borderId="0" xfId="0" applyNumberFormat="1" applyFont="1" applyBorder="1" applyProtection="1">
      <protection hidden="1"/>
    </xf>
    <xf numFmtId="165" fontId="8" fillId="0" borderId="0" xfId="0" applyNumberFormat="1" applyFont="1" applyBorder="1" applyAlignment="1" applyProtection="1">
      <alignment horizontal="center"/>
      <protection hidden="1"/>
    </xf>
    <xf numFmtId="165" fontId="8" fillId="0" borderId="0" xfId="0" applyNumberFormat="1" applyFont="1" applyBorder="1" applyAlignment="1" applyProtection="1">
      <alignment horizontal="right"/>
      <protection hidden="1"/>
    </xf>
    <xf numFmtId="164" fontId="8" fillId="0" borderId="0" xfId="0" applyNumberFormat="1" applyFont="1" applyBorder="1" applyProtection="1">
      <protection hidden="1"/>
    </xf>
    <xf numFmtId="0" fontId="8" fillId="0" borderId="18" xfId="0" applyFont="1" applyBorder="1" applyProtection="1">
      <protection hidden="1"/>
    </xf>
    <xf numFmtId="2" fontId="9" fillId="0" borderId="0" xfId="0" applyNumberFormat="1" applyFont="1" applyAlignment="1" applyProtection="1">
      <protection hidden="1"/>
    </xf>
    <xf numFmtId="9" fontId="8" fillId="0" borderId="6" xfId="0" applyNumberFormat="1" applyFont="1" applyBorder="1" applyProtection="1">
      <protection hidden="1"/>
    </xf>
    <xf numFmtId="2" fontId="9" fillId="0" borderId="6" xfId="0" applyNumberFormat="1" applyFont="1" applyBorder="1" applyAlignment="1" applyProtection="1">
      <alignment horizontal="left"/>
      <protection hidden="1"/>
    </xf>
    <xf numFmtId="2" fontId="8" fillId="0" borderId="0" xfId="0" applyNumberFormat="1" applyFont="1" applyAlignment="1" applyProtection="1">
      <alignment horizontal="left" wrapText="1"/>
      <protection hidden="1"/>
    </xf>
    <xf numFmtId="2" fontId="8" fillId="0" borderId="16" xfId="0" applyNumberFormat="1" applyFont="1" applyBorder="1" applyAlignment="1" applyProtection="1">
      <alignment horizontal="left" wrapText="1"/>
      <protection hidden="1"/>
    </xf>
    <xf numFmtId="2" fontId="9" fillId="0" borderId="16" xfId="0" applyNumberFormat="1" applyFont="1" applyBorder="1" applyAlignment="1" applyProtection="1">
      <alignment horizontal="left" wrapText="1"/>
      <protection hidden="1"/>
    </xf>
    <xf numFmtId="0" fontId="8" fillId="0" borderId="16" xfId="0" applyFont="1" applyFill="1" applyBorder="1" applyAlignment="1" applyProtection="1">
      <protection hidden="1"/>
    </xf>
    <xf numFmtId="2" fontId="8" fillId="0" borderId="17" xfId="0" applyNumberFormat="1" applyFont="1" applyBorder="1" applyAlignment="1" applyProtection="1">
      <alignment horizontal="left"/>
      <protection hidden="1"/>
    </xf>
    <xf numFmtId="0" fontId="7" fillId="0" borderId="0" xfId="0" applyFont="1" applyBorder="1" applyAlignment="1" applyProtection="1">
      <alignment wrapText="1"/>
      <protection hidden="1"/>
    </xf>
    <xf numFmtId="0" fontId="7" fillId="0" borderId="0" xfId="0" applyFont="1" applyAlignment="1" applyProtection="1">
      <alignment horizontal="left"/>
      <protection hidden="1"/>
    </xf>
    <xf numFmtId="0" fontId="8" fillId="0" borderId="6" xfId="0" applyFont="1" applyFill="1" applyBorder="1" applyAlignment="1" applyProtection="1">
      <alignment horizontal="left" vertical="top"/>
      <protection hidden="1"/>
    </xf>
    <xf numFmtId="0" fontId="8" fillId="0" borderId="5" xfId="0" applyFont="1" applyFill="1" applyBorder="1" applyAlignment="1" applyProtection="1">
      <alignment horizontal="left" vertical="top" wrapText="1"/>
      <protection hidden="1"/>
    </xf>
    <xf numFmtId="0" fontId="9" fillId="0" borderId="0" xfId="0" applyNumberFormat="1" applyFont="1" applyFill="1" applyBorder="1" applyAlignment="1" applyProtection="1">
      <alignment horizontal="left" vertical="top"/>
      <protection hidden="1"/>
    </xf>
    <xf numFmtId="0" fontId="8" fillId="0" borderId="5" xfId="0" applyNumberFormat="1" applyFont="1" applyFill="1" applyBorder="1" applyAlignment="1" applyProtection="1">
      <alignment horizontal="left" vertical="top"/>
      <protection hidden="1"/>
    </xf>
    <xf numFmtId="0" fontId="8" fillId="0" borderId="0" xfId="0" applyNumberFormat="1" applyFont="1" applyFill="1" applyBorder="1" applyAlignment="1" applyProtection="1">
      <alignment horizontal="left" vertical="top"/>
      <protection hidden="1"/>
    </xf>
    <xf numFmtId="0" fontId="8" fillId="0" borderId="1" xfId="0" applyNumberFormat="1" applyFont="1" applyFill="1" applyBorder="1" applyAlignment="1" applyProtection="1">
      <alignment horizontal="left" vertical="top"/>
      <protection hidden="1"/>
    </xf>
    <xf numFmtId="165" fontId="8" fillId="0" borderId="5" xfId="0" applyNumberFormat="1" applyFont="1" applyFill="1" applyBorder="1" applyAlignment="1" applyProtection="1">
      <alignment horizontal="left" vertical="top"/>
      <protection hidden="1"/>
    </xf>
    <xf numFmtId="0" fontId="8" fillId="0" borderId="0" xfId="0" applyFont="1" applyFill="1" applyBorder="1" applyAlignment="1" applyProtection="1">
      <alignment horizontal="left" vertical="top" indent="2"/>
      <protection hidden="1"/>
    </xf>
    <xf numFmtId="0" fontId="9" fillId="0" borderId="0" xfId="0" applyFont="1" applyFill="1" applyBorder="1" applyAlignment="1" applyProtection="1">
      <alignment horizontal="left" vertical="top" indent="2"/>
      <protection hidden="1"/>
    </xf>
    <xf numFmtId="0" fontId="0" fillId="0" borderId="0" xfId="0" applyFont="1" applyFill="1" applyBorder="1" applyAlignment="1" applyProtection="1">
      <alignment wrapText="1"/>
      <protection hidden="1"/>
    </xf>
    <xf numFmtId="0" fontId="1" fillId="0" borderId="1" xfId="0" applyFont="1" applyFill="1" applyBorder="1" applyAlignment="1" applyProtection="1">
      <alignment wrapText="1"/>
      <protection hidden="1"/>
    </xf>
    <xf numFmtId="0" fontId="1" fillId="0" borderId="0" xfId="0" applyFont="1" applyFill="1" applyBorder="1" applyAlignment="1" applyProtection="1">
      <protection hidden="1"/>
    </xf>
    <xf numFmtId="9" fontId="8" fillId="0" borderId="1" xfId="0" applyNumberFormat="1" applyFont="1" applyBorder="1" applyAlignment="1" applyProtection="1">
      <alignment horizontal="center"/>
      <protection hidden="1"/>
    </xf>
    <xf numFmtId="2" fontId="8" fillId="0" borderId="5" xfId="0" applyNumberFormat="1" applyFont="1" applyBorder="1" applyAlignment="1" applyProtection="1">
      <alignment horizontal="center"/>
      <protection hidden="1"/>
    </xf>
    <xf numFmtId="2" fontId="9" fillId="0" borderId="5" xfId="0" applyNumberFormat="1" applyFont="1" applyBorder="1" applyAlignment="1" applyProtection="1">
      <alignment horizontal="center"/>
      <protection hidden="1"/>
    </xf>
    <xf numFmtId="2" fontId="9" fillId="0" borderId="10" xfId="0" applyNumberFormat="1" applyFont="1" applyBorder="1" applyAlignment="1" applyProtection="1">
      <alignment horizontal="center"/>
      <protection hidden="1"/>
    </xf>
    <xf numFmtId="2" fontId="9" fillId="0" borderId="13" xfId="0" applyNumberFormat="1" applyFont="1" applyBorder="1" applyAlignment="1" applyProtection="1">
      <alignment horizontal="center"/>
      <protection hidden="1"/>
    </xf>
    <xf numFmtId="1" fontId="8" fillId="0" borderId="11" xfId="0" applyNumberFormat="1" applyFont="1" applyBorder="1" applyAlignment="1" applyProtection="1">
      <alignment horizontal="center"/>
      <protection hidden="1"/>
    </xf>
    <xf numFmtId="0" fontId="26" fillId="0" borderId="0" xfId="0" applyFont="1" applyAlignment="1" applyProtection="1">
      <alignment horizontal="left"/>
      <protection hidden="1"/>
    </xf>
    <xf numFmtId="0" fontId="9" fillId="0" borderId="1" xfId="0" applyFont="1" applyBorder="1" applyAlignment="1" applyProtection="1">
      <alignment horizontal="center"/>
      <protection hidden="1"/>
    </xf>
    <xf numFmtId="0" fontId="14" fillId="0" borderId="0" xfId="0" applyFont="1" applyProtection="1">
      <protection hidden="1"/>
    </xf>
    <xf numFmtId="2" fontId="8" fillId="0" borderId="11" xfId="0" quotePrefix="1" applyNumberFormat="1" applyFont="1" applyFill="1" applyBorder="1" applyAlignment="1" applyProtection="1">
      <alignment horizontal="right"/>
      <protection hidden="1"/>
    </xf>
    <xf numFmtId="0" fontId="17" fillId="0" borderId="0" xfId="0" applyFont="1" applyProtection="1">
      <protection hidden="1"/>
    </xf>
    <xf numFmtId="0" fontId="0" fillId="0" borderId="0" xfId="0" applyFill="1" applyProtection="1"/>
    <xf numFmtId="0" fontId="1" fillId="0" borderId="0" xfId="0" applyFont="1" applyFill="1" applyProtection="1"/>
    <xf numFmtId="0" fontId="0" fillId="0" borderId="1" xfId="0" applyFill="1" applyBorder="1" applyProtection="1"/>
    <xf numFmtId="0" fontId="0" fillId="0" borderId="1" xfId="0" applyFont="1" applyFill="1" applyBorder="1" applyProtection="1"/>
    <xf numFmtId="0" fontId="0" fillId="0" borderId="0" xfId="0" applyFont="1" applyFill="1" applyBorder="1" applyAlignment="1" applyProtection="1">
      <alignment horizontal="center" vertical="top" wrapText="1"/>
    </xf>
    <xf numFmtId="0" fontId="0" fillId="0" borderId="1" xfId="0" applyFont="1" applyFill="1" applyBorder="1" applyAlignment="1" applyProtection="1">
      <alignment wrapText="1"/>
    </xf>
    <xf numFmtId="0" fontId="0" fillId="0" borderId="1" xfId="0" applyFont="1" applyFill="1" applyBorder="1" applyAlignment="1" applyProtection="1"/>
    <xf numFmtId="0" fontId="0" fillId="0" borderId="1" xfId="0" applyFont="1" applyFill="1" applyBorder="1" applyAlignment="1" applyProtection="1">
      <alignment horizontal="left"/>
    </xf>
    <xf numFmtId="0" fontId="0" fillId="0" borderId="1" xfId="0" applyFont="1" applyFill="1" applyBorder="1" applyAlignment="1" applyProtection="1">
      <alignment horizontal="left" wrapText="1"/>
    </xf>
    <xf numFmtId="0" fontId="0" fillId="0" borderId="1" xfId="0" applyFill="1" applyBorder="1" applyAlignment="1" applyProtection="1">
      <alignment horizontal="left"/>
    </xf>
    <xf numFmtId="0" fontId="1" fillId="0" borderId="1" xfId="0" applyFont="1" applyFill="1" applyBorder="1" applyAlignment="1" applyProtection="1">
      <alignment wrapText="1"/>
    </xf>
    <xf numFmtId="0" fontId="0" fillId="0" borderId="1" xfId="0" applyFill="1" applyBorder="1" applyAlignment="1" applyProtection="1">
      <alignment wrapText="1"/>
    </xf>
    <xf numFmtId="0" fontId="22" fillId="0" borderId="1" xfId="0" applyFont="1" applyFill="1" applyBorder="1" applyAlignment="1" applyProtection="1">
      <alignment horizontal="left" vertical="center" wrapText="1"/>
    </xf>
    <xf numFmtId="0" fontId="8" fillId="0" borderId="0" xfId="0" applyFont="1" applyProtection="1"/>
    <xf numFmtId="0" fontId="8" fillId="0" borderId="0" xfId="0" applyFont="1" applyAlignment="1" applyProtection="1">
      <alignment horizontal="left"/>
    </xf>
    <xf numFmtId="0" fontId="8" fillId="0" borderId="0" xfId="0" applyFont="1" applyBorder="1" applyAlignment="1" applyProtection="1"/>
    <xf numFmtId="0" fontId="8" fillId="0" borderId="0" xfId="0" applyFont="1" applyBorder="1" applyProtection="1"/>
    <xf numFmtId="0" fontId="9" fillId="0" borderId="0" xfId="0" applyFont="1" applyBorder="1" applyAlignment="1" applyProtection="1"/>
    <xf numFmtId="0" fontId="8" fillId="0" borderId="0" xfId="0" applyFont="1" applyBorder="1" applyAlignment="1" applyProtection="1">
      <alignment horizontal="center"/>
    </xf>
    <xf numFmtId="0" fontId="8" fillId="0" borderId="0" xfId="0" applyFont="1" applyAlignment="1" applyProtection="1">
      <alignment horizontal="left" vertical="center"/>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1" xfId="0" applyFont="1" applyBorder="1" applyAlignment="1" applyProtection="1">
      <alignment horizontal="center"/>
    </xf>
    <xf numFmtId="0" fontId="9" fillId="0" borderId="1" xfId="0" applyFont="1" applyBorder="1" applyAlignment="1" applyProtection="1">
      <alignment horizontal="center" vertical="center" wrapText="1"/>
    </xf>
    <xf numFmtId="0" fontId="8" fillId="0" borderId="1" xfId="0" applyFont="1" applyBorder="1" applyProtection="1"/>
    <xf numFmtId="0" fontId="8" fillId="0" borderId="1" xfId="0" applyFont="1" applyBorder="1" applyAlignment="1" applyProtection="1">
      <alignment horizontal="left"/>
    </xf>
    <xf numFmtId="0" fontId="9" fillId="0" borderId="0" xfId="0" applyFont="1" applyAlignment="1" applyProtection="1">
      <alignment horizontal="center" vertical="center" wrapText="1"/>
    </xf>
    <xf numFmtId="0" fontId="9" fillId="0" borderId="1" xfId="0" applyFont="1" applyBorder="1" applyAlignment="1" applyProtection="1">
      <alignment horizontal="left" vertical="center" wrapText="1"/>
    </xf>
    <xf numFmtId="0" fontId="9" fillId="0" borderId="1" xfId="0" applyFont="1" applyBorder="1" applyProtection="1"/>
    <xf numFmtId="0" fontId="8" fillId="0" borderId="1" xfId="0" applyFont="1" applyBorder="1" applyAlignment="1" applyProtection="1">
      <alignment horizontal="left" vertical="center" wrapText="1"/>
    </xf>
    <xf numFmtId="0" fontId="8" fillId="0" borderId="1" xfId="0" applyFont="1" applyBorder="1" applyAlignment="1" applyProtection="1">
      <alignment wrapText="1"/>
    </xf>
    <xf numFmtId="0" fontId="8" fillId="0" borderId="1" xfId="0" applyNumberFormat="1" applyFont="1" applyBorder="1" applyAlignment="1" applyProtection="1">
      <alignment wrapText="1"/>
    </xf>
    <xf numFmtId="0" fontId="8" fillId="0" borderId="0" xfId="0" applyFont="1" applyAlignment="1" applyProtection="1">
      <alignment horizontal="left" wrapText="1"/>
    </xf>
    <xf numFmtId="0" fontId="9" fillId="0" borderId="1" xfId="0" applyFont="1" applyBorder="1" applyAlignment="1" applyProtection="1">
      <alignment horizontal="left"/>
    </xf>
    <xf numFmtId="0" fontId="8" fillId="0" borderId="1" xfId="0" applyFont="1" applyBorder="1" applyAlignment="1" applyProtection="1"/>
    <xf numFmtId="0" fontId="8" fillId="0" borderId="1" xfId="0" applyFont="1" applyFill="1" applyBorder="1" applyAlignment="1" applyProtection="1">
      <alignment horizontal="left" vertical="center" wrapText="1"/>
    </xf>
    <xf numFmtId="0" fontId="8" fillId="0" borderId="1" xfId="0" applyFont="1" applyFill="1" applyBorder="1" applyAlignment="1" applyProtection="1">
      <alignment wrapText="1"/>
    </xf>
    <xf numFmtId="0" fontId="8" fillId="0" borderId="0" xfId="0" applyFont="1" applyAlignment="1" applyProtection="1"/>
    <xf numFmtId="0" fontId="8" fillId="0" borderId="0" xfId="0" applyFont="1" applyAlignment="1" applyProtection="1">
      <alignment wrapText="1"/>
    </xf>
    <xf numFmtId="0" fontId="8" fillId="0" borderId="0" xfId="0" applyFont="1" applyFill="1" applyAlignment="1" applyProtection="1">
      <alignment wrapText="1"/>
    </xf>
    <xf numFmtId="0" fontId="8" fillId="0" borderId="1" xfId="0" applyFont="1" applyFill="1" applyBorder="1" applyProtection="1"/>
    <xf numFmtId="0" fontId="8" fillId="0" borderId="1" xfId="0" applyFont="1" applyFill="1" applyBorder="1" applyAlignment="1" applyProtection="1">
      <alignment horizontal="justify" vertical="top" wrapText="1"/>
    </xf>
    <xf numFmtId="0" fontId="8"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center" vertical="top" wrapText="1"/>
    </xf>
    <xf numFmtId="0" fontId="8" fillId="0" borderId="0" xfId="0" applyFont="1" applyFill="1" applyProtection="1"/>
    <xf numFmtId="165" fontId="8" fillId="0" borderId="1" xfId="0" applyNumberFormat="1"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1" xfId="0" applyFont="1" applyBorder="1" applyAlignment="1" applyProtection="1">
      <alignment horizontal="left" vertical="top" wrapText="1"/>
    </xf>
    <xf numFmtId="0" fontId="9" fillId="0" borderId="1" xfId="0" applyFont="1" applyBorder="1" applyAlignment="1" applyProtection="1">
      <alignment horizontal="left" vertical="center"/>
    </xf>
    <xf numFmtId="0" fontId="9" fillId="0" borderId="1" xfId="0" applyFont="1" applyBorder="1" applyAlignment="1" applyProtection="1">
      <alignment horizontal="center" vertical="center"/>
    </xf>
    <xf numFmtId="0" fontId="8" fillId="0" borderId="0" xfId="0" applyFont="1" applyBorder="1" applyAlignment="1" applyProtection="1">
      <alignment horizontal="left"/>
    </xf>
    <xf numFmtId="0" fontId="8" fillId="2" borderId="0" xfId="0" applyFont="1" applyFill="1" applyBorder="1" applyProtection="1"/>
    <xf numFmtId="0" fontId="8" fillId="2" borderId="0" xfId="0" applyFont="1" applyFill="1" applyBorder="1" applyAlignment="1" applyProtection="1">
      <alignment horizontal="center"/>
    </xf>
    <xf numFmtId="0" fontId="8" fillId="2" borderId="0" xfId="0" applyFont="1" applyFill="1" applyProtection="1"/>
    <xf numFmtId="0" fontId="8" fillId="2" borderId="0" xfId="0" applyFont="1" applyFill="1" applyAlignment="1" applyProtection="1">
      <alignment horizontal="center"/>
    </xf>
    <xf numFmtId="0" fontId="8" fillId="0" borderId="0" xfId="0" applyFont="1" applyFill="1" applyAlignment="1" applyProtection="1">
      <alignment horizontal="left"/>
    </xf>
    <xf numFmtId="0" fontId="8" fillId="0" borderId="0" xfId="0" applyFont="1" applyAlignment="1" applyProtection="1">
      <alignment horizontal="center"/>
    </xf>
    <xf numFmtId="0" fontId="9" fillId="0" borderId="18" xfId="0" applyFont="1" applyBorder="1" applyProtection="1"/>
    <xf numFmtId="0" fontId="9" fillId="0" borderId="0" xfId="0" applyFont="1" applyAlignment="1" applyProtection="1">
      <alignment horizontal="left"/>
    </xf>
    <xf numFmtId="0" fontId="27" fillId="0" borderId="0" xfId="0" applyFont="1" applyProtection="1"/>
    <xf numFmtId="0" fontId="9" fillId="0" borderId="0" xfId="0" applyFont="1" applyProtection="1"/>
    <xf numFmtId="0" fontId="8" fillId="0" borderId="0" xfId="0" applyFont="1" applyAlignment="1" applyProtection="1">
      <alignment horizontal="right"/>
    </xf>
    <xf numFmtId="0" fontId="8" fillId="0" borderId="4" xfId="0" applyFont="1" applyBorder="1" applyAlignment="1" applyProtection="1">
      <alignment horizontal="center"/>
    </xf>
    <xf numFmtId="0" fontId="7" fillId="0" borderId="0" xfId="0" applyFont="1" applyFill="1" applyProtection="1"/>
    <xf numFmtId="0" fontId="7" fillId="0" borderId="0" xfId="0" applyFont="1" applyProtection="1"/>
    <xf numFmtId="0" fontId="7" fillId="0" borderId="0" xfId="0" applyFont="1" applyAlignment="1" applyProtection="1">
      <alignment wrapText="1"/>
    </xf>
    <xf numFmtId="0" fontId="8" fillId="0" borderId="5"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9" fillId="0" borderId="0" xfId="0" applyFont="1" applyBorder="1" applyAlignment="1" applyProtection="1">
      <alignment horizontal="left"/>
    </xf>
    <xf numFmtId="166" fontId="8" fillId="0" borderId="0" xfId="0" applyNumberFormat="1" applyFont="1" applyBorder="1" applyAlignment="1" applyProtection="1">
      <alignment horizontal="left"/>
      <protection hidden="1"/>
    </xf>
    <xf numFmtId="0" fontId="8" fillId="0" borderId="0" xfId="0" applyFont="1" applyBorder="1" applyAlignment="1" applyProtection="1">
      <alignment wrapText="1"/>
    </xf>
    <xf numFmtId="0" fontId="8" fillId="0" borderId="0" xfId="0" applyFont="1" applyAlignment="1" applyProtection="1">
      <alignment horizontal="left" indent="3"/>
    </xf>
    <xf numFmtId="0" fontId="8" fillId="0" borderId="4" xfId="0" applyFont="1" applyBorder="1" applyAlignment="1" applyProtection="1">
      <alignment horizontal="left" indent="3"/>
    </xf>
    <xf numFmtId="0" fontId="8" fillId="0" borderId="4" xfId="0" applyFont="1" applyBorder="1" applyAlignment="1" applyProtection="1"/>
    <xf numFmtId="0" fontId="8" fillId="0" borderId="18" xfId="0" applyFont="1" applyBorder="1" applyProtection="1"/>
    <xf numFmtId="0" fontId="7" fillId="0" borderId="0" xfId="0" applyFont="1" applyBorder="1" applyAlignment="1" applyProtection="1">
      <alignment wrapText="1"/>
    </xf>
    <xf numFmtId="0" fontId="7" fillId="0" borderId="0" xfId="0" applyFont="1" applyAlignment="1" applyProtection="1">
      <alignment horizontal="left"/>
    </xf>
    <xf numFmtId="0" fontId="8" fillId="2" borderId="0" xfId="0" applyFont="1" applyFill="1" applyAlignment="1" applyProtection="1">
      <alignment horizontal="center" wrapText="1"/>
    </xf>
    <xf numFmtId="0" fontId="8" fillId="2" borderId="0" xfId="0" applyFont="1" applyFill="1" applyAlignment="1" applyProtection="1">
      <alignment wrapText="1"/>
    </xf>
    <xf numFmtId="0" fontId="9" fillId="0" borderId="18" xfId="0" applyFont="1" applyBorder="1" applyAlignment="1" applyProtection="1">
      <alignment wrapText="1"/>
    </xf>
    <xf numFmtId="0" fontId="8" fillId="0" borderId="0" xfId="0" applyFont="1" applyAlignment="1" applyProtection="1">
      <alignment horizontal="center" wrapText="1"/>
    </xf>
    <xf numFmtId="0" fontId="9" fillId="0" borderId="0" xfId="0" applyFont="1" applyAlignment="1" applyProtection="1">
      <alignment horizontal="center" wrapText="1"/>
    </xf>
    <xf numFmtId="0" fontId="8" fillId="0" borderId="0" xfId="0" applyFont="1" applyFill="1" applyAlignment="1" applyProtection="1">
      <alignment horizontal="center" wrapText="1"/>
    </xf>
    <xf numFmtId="0" fontId="8" fillId="0" borderId="0" xfId="0" applyFont="1" applyFill="1" applyAlignment="1" applyProtection="1">
      <alignment horizontal="left" wrapText="1"/>
    </xf>
    <xf numFmtId="0" fontId="8" fillId="0" borderId="0" xfId="0" applyFont="1" applyFill="1" applyBorder="1" applyAlignment="1" applyProtection="1">
      <alignment horizontal="left" wrapText="1"/>
    </xf>
    <xf numFmtId="0" fontId="7" fillId="0" borderId="0" xfId="0" applyFont="1" applyAlignment="1" applyProtection="1">
      <alignment horizontal="center" wrapText="1"/>
    </xf>
    <xf numFmtId="0" fontId="8" fillId="0" borderId="0" xfId="0" applyFont="1" applyAlignment="1" applyProtection="1">
      <alignment horizontal="right" wrapText="1"/>
    </xf>
    <xf numFmtId="0" fontId="8" fillId="0" borderId="0" xfId="0" applyFont="1" applyFill="1" applyBorder="1" applyAlignment="1" applyProtection="1">
      <alignment wrapText="1"/>
    </xf>
    <xf numFmtId="0" fontId="8" fillId="0" borderId="0" xfId="0" applyFont="1" applyAlignment="1" applyProtection="1">
      <alignment horizontal="justify" vertical="top" wrapText="1"/>
    </xf>
    <xf numFmtId="0" fontId="8" fillId="0" borderId="0" xfId="0" applyFont="1" applyFill="1" applyAlignment="1" applyProtection="1">
      <alignment horizontal="justify" vertical="top" wrapText="1"/>
    </xf>
    <xf numFmtId="0" fontId="8" fillId="0" borderId="0" xfId="0" applyFont="1" applyFill="1" applyAlignment="1" applyProtection="1">
      <alignment horizontal="justify" wrapText="1"/>
    </xf>
    <xf numFmtId="0" fontId="8" fillId="0" borderId="0" xfId="0" applyFont="1" applyFill="1" applyAlignment="1" applyProtection="1">
      <alignment horizontal="right" wrapText="1"/>
    </xf>
    <xf numFmtId="0" fontId="7" fillId="0" borderId="0" xfId="0" applyFont="1" applyFill="1" applyAlignment="1" applyProtection="1">
      <alignment horizontal="center" wrapText="1"/>
    </xf>
    <xf numFmtId="0" fontId="7" fillId="0" borderId="0" xfId="0" applyFont="1" applyFill="1" applyAlignment="1" applyProtection="1">
      <alignment horizontal="justify" vertical="top" wrapText="1"/>
    </xf>
    <xf numFmtId="0" fontId="8" fillId="2" borderId="0" xfId="0" applyFont="1" applyFill="1" applyAlignment="1" applyProtection="1">
      <alignment horizontal="left"/>
    </xf>
    <xf numFmtId="0" fontId="8" fillId="0" borderId="18" xfId="0" applyFont="1" applyBorder="1" applyAlignment="1" applyProtection="1">
      <alignment horizontal="left"/>
    </xf>
    <xf numFmtId="0" fontId="8" fillId="0" borderId="0" xfId="0" applyFont="1" applyFill="1" applyAlignment="1" applyProtection="1">
      <alignment horizontal="left" vertical="top"/>
    </xf>
    <xf numFmtId="0" fontId="8" fillId="0" borderId="0" xfId="0" applyFont="1" applyFill="1" applyBorder="1" applyAlignment="1" applyProtection="1">
      <alignment horizontal="left" vertical="top"/>
    </xf>
    <xf numFmtId="0" fontId="8" fillId="0" borderId="0" xfId="0" applyFont="1" applyFill="1" applyBorder="1" applyAlignment="1" applyProtection="1">
      <alignment horizontal="left" vertical="top" wrapText="1"/>
    </xf>
    <xf numFmtId="165" fontId="8" fillId="0" borderId="0" xfId="0" applyNumberFormat="1" applyFont="1" applyFill="1" applyBorder="1" applyAlignment="1" applyProtection="1">
      <alignment horizontal="left" vertical="top" wrapText="1"/>
    </xf>
    <xf numFmtId="0" fontId="9" fillId="0" borderId="0" xfId="0" applyFont="1" applyAlignment="1" applyProtection="1">
      <alignment horizontal="center"/>
    </xf>
    <xf numFmtId="0" fontId="8" fillId="0" borderId="14" xfId="0" applyFont="1" applyBorder="1" applyAlignment="1" applyProtection="1">
      <alignment horizontal="left"/>
    </xf>
    <xf numFmtId="2" fontId="9" fillId="0" borderId="0" xfId="0" applyNumberFormat="1" applyFont="1" applyFill="1" applyBorder="1" applyProtection="1">
      <protection hidden="1"/>
    </xf>
    <xf numFmtId="2" fontId="9" fillId="0" borderId="0" xfId="0" applyNumberFormat="1" applyFont="1" applyAlignment="1" applyProtection="1">
      <alignment wrapText="1"/>
      <protection hidden="1"/>
    </xf>
    <xf numFmtId="0" fontId="1" fillId="0" borderId="3" xfId="0" applyFont="1" applyFill="1" applyBorder="1" applyAlignment="1" applyProtection="1">
      <alignment horizontal="center" vertical="center" wrapText="1"/>
      <protection hidden="1"/>
    </xf>
    <xf numFmtId="0" fontId="9" fillId="0" borderId="0" xfId="0" applyFont="1" applyAlignment="1" applyProtection="1">
      <alignment horizontal="left" wrapText="1"/>
    </xf>
    <xf numFmtId="0" fontId="9" fillId="0" borderId="0" xfId="0" applyFont="1" applyAlignment="1" applyProtection="1">
      <alignment horizontal="left" vertical="top"/>
      <protection hidden="1"/>
    </xf>
    <xf numFmtId="0" fontId="9" fillId="0" borderId="0" xfId="0" applyFont="1" applyAlignment="1" applyProtection="1">
      <alignment horizontal="right" vertical="top"/>
      <protection hidden="1"/>
    </xf>
    <xf numFmtId="0" fontId="28" fillId="0" borderId="0" xfId="0" applyFont="1" applyAlignment="1" applyProtection="1">
      <alignment horizontal="left"/>
    </xf>
    <xf numFmtId="0" fontId="28" fillId="0" borderId="0" xfId="0" applyNumberFormat="1" applyFont="1" applyAlignment="1" applyProtection="1">
      <alignment horizontal="left"/>
    </xf>
    <xf numFmtId="0" fontId="28" fillId="0" borderId="0" xfId="0" applyFont="1" applyAlignment="1" applyProtection="1">
      <alignment horizontal="left"/>
      <protection hidden="1"/>
    </xf>
    <xf numFmtId="0" fontId="1" fillId="0" borderId="0" xfId="0" applyFont="1" applyFill="1" applyProtection="1">
      <protection hidden="1"/>
    </xf>
    <xf numFmtId="0" fontId="8" fillId="0" borderId="0" xfId="0" applyFont="1" applyFill="1" applyBorder="1" applyProtection="1"/>
    <xf numFmtId="168" fontId="8" fillId="0" borderId="0" xfId="0" applyNumberFormat="1" applyFont="1" applyBorder="1" applyProtection="1">
      <protection hidden="1"/>
    </xf>
    <xf numFmtId="2" fontId="0" fillId="0" borderId="0" xfId="0" applyNumberFormat="1" applyFont="1" applyFill="1" applyAlignment="1" applyProtection="1">
      <alignment horizontal="center"/>
      <protection hidden="1"/>
    </xf>
    <xf numFmtId="2" fontId="0" fillId="0" borderId="0" xfId="0" applyNumberFormat="1" applyFill="1" applyBorder="1" applyAlignment="1" applyProtection="1">
      <alignment horizontal="center"/>
      <protection hidden="1"/>
    </xf>
    <xf numFmtId="2" fontId="0" fillId="0" borderId="0" xfId="0" applyNumberFormat="1" applyFill="1" applyProtection="1">
      <protection hidden="1"/>
    </xf>
    <xf numFmtId="0" fontId="34" fillId="0" borderId="1" xfId="0" applyFont="1" applyFill="1" applyBorder="1" applyAlignment="1" applyProtection="1">
      <alignment wrapText="1"/>
    </xf>
    <xf numFmtId="2" fontId="0" fillId="0" borderId="3" xfId="0" applyNumberFormat="1" applyFont="1" applyFill="1" applyBorder="1" applyAlignment="1" applyProtection="1">
      <alignment horizontal="center"/>
      <protection hidden="1"/>
    </xf>
    <xf numFmtId="0" fontId="0" fillId="0" borderId="4" xfId="0" applyFont="1" applyFill="1" applyBorder="1" applyAlignment="1" applyProtection="1">
      <alignment vertical="center" wrapText="1"/>
      <protection hidden="1"/>
    </xf>
    <xf numFmtId="0" fontId="0" fillId="0" borderId="0" xfId="0" applyFont="1" applyFill="1" applyBorder="1" applyAlignment="1" applyProtection="1">
      <alignment vertical="center" wrapText="1"/>
      <protection hidden="1"/>
    </xf>
    <xf numFmtId="49" fontId="0" fillId="0" borderId="0" xfId="0" applyNumberFormat="1" applyFont="1" applyFill="1" applyBorder="1" applyAlignment="1" applyProtection="1">
      <alignment horizontal="center" vertical="center" wrapText="1"/>
      <protection hidden="1"/>
    </xf>
    <xf numFmtId="2" fontId="0" fillId="0" borderId="0" xfId="0" applyNumberFormat="1" applyFont="1" applyFill="1" applyProtection="1">
      <protection hidden="1"/>
    </xf>
    <xf numFmtId="0" fontId="34" fillId="0" borderId="1" xfId="0" applyFont="1" applyFill="1" applyBorder="1" applyAlignment="1" applyProtection="1">
      <alignment horizontal="left" wrapText="1"/>
    </xf>
    <xf numFmtId="0" fontId="34" fillId="0" borderId="1" xfId="0" applyFont="1" applyFill="1" applyBorder="1" applyAlignment="1" applyProtection="1">
      <alignment horizontal="center" wrapText="1"/>
      <protection hidden="1"/>
    </xf>
    <xf numFmtId="3" fontId="0" fillId="0" borderId="0" xfId="0" applyNumberFormat="1" applyFont="1" applyFill="1" applyBorder="1" applyAlignment="1" applyProtection="1">
      <alignment horizontal="center" vertical="center" wrapText="1"/>
      <protection hidden="1"/>
    </xf>
    <xf numFmtId="49" fontId="0" fillId="0" borderId="0" xfId="0" applyNumberFormat="1" applyFont="1" applyFill="1" applyBorder="1" applyAlignment="1" applyProtection="1">
      <alignment vertical="center" wrapText="1"/>
      <protection hidden="1"/>
    </xf>
    <xf numFmtId="0" fontId="34" fillId="0" borderId="1" xfId="0" applyFont="1" applyFill="1" applyBorder="1" applyAlignment="1" applyProtection="1">
      <alignment horizontal="justify" wrapText="1"/>
    </xf>
    <xf numFmtId="3" fontId="34" fillId="0" borderId="1" xfId="0" applyNumberFormat="1" applyFont="1" applyFill="1" applyBorder="1" applyAlignment="1" applyProtection="1">
      <alignment horizontal="center" wrapText="1"/>
      <protection hidden="1"/>
    </xf>
    <xf numFmtId="0" fontId="1" fillId="0" borderId="1" xfId="0" applyFont="1" applyFill="1" applyBorder="1" applyAlignment="1" applyProtection="1">
      <alignment horizontal="center"/>
      <protection hidden="1"/>
    </xf>
    <xf numFmtId="0" fontId="34" fillId="0" borderId="1" xfId="0" applyFont="1" applyFill="1" applyBorder="1" applyAlignment="1" applyProtection="1">
      <alignment wrapText="1"/>
      <protection hidden="1"/>
    </xf>
    <xf numFmtId="0" fontId="0" fillId="0" borderId="0" xfId="0" applyFont="1" applyFill="1" applyBorder="1" applyAlignment="1" applyProtection="1">
      <alignment horizontal="center"/>
      <protection hidden="1"/>
    </xf>
    <xf numFmtId="0" fontId="34" fillId="0" borderId="0" xfId="0" applyFont="1" applyFill="1" applyBorder="1" applyAlignment="1" applyProtection="1">
      <alignment wrapText="1"/>
      <protection hidden="1"/>
    </xf>
    <xf numFmtId="0" fontId="34" fillId="0" borderId="0" xfId="0" applyFont="1" applyFill="1" applyBorder="1" applyAlignment="1" applyProtection="1">
      <alignment horizontal="center" wrapText="1"/>
      <protection hidden="1"/>
    </xf>
    <xf numFmtId="0" fontId="0" fillId="0" borderId="0" xfId="0" applyFont="1" applyFill="1" applyBorder="1" applyAlignment="1" applyProtection="1">
      <alignment horizontal="center" vertical="center"/>
      <protection hidden="1"/>
    </xf>
    <xf numFmtId="2" fontId="0" fillId="0" borderId="1" xfId="0" applyNumberFormat="1" applyFill="1" applyBorder="1" applyAlignment="1" applyProtection="1">
      <alignment horizontal="left"/>
      <protection hidden="1"/>
    </xf>
    <xf numFmtId="0" fontId="0" fillId="0" borderId="1" xfId="0" applyFill="1" applyBorder="1" applyAlignment="1" applyProtection="1">
      <alignment horizontal="left"/>
      <protection hidden="1"/>
    </xf>
    <xf numFmtId="0" fontId="0" fillId="0" borderId="0" xfId="0" applyFill="1" applyBorder="1" applyAlignment="1" applyProtection="1">
      <alignment horizontal="left"/>
      <protection hidden="1"/>
    </xf>
    <xf numFmtId="1" fontId="0" fillId="0" borderId="1" xfId="0" applyNumberFormat="1" applyFill="1" applyBorder="1" applyAlignment="1" applyProtection="1">
      <alignment horizontal="left"/>
      <protection hidden="1"/>
    </xf>
    <xf numFmtId="2" fontId="0" fillId="0" borderId="1" xfId="0" applyNumberFormat="1" applyFill="1" applyBorder="1" applyAlignment="1" applyProtection="1">
      <alignment horizontal="center"/>
      <protection hidden="1"/>
    </xf>
    <xf numFmtId="2" fontId="0" fillId="0" borderId="1" xfId="0" applyNumberFormat="1" applyFont="1" applyFill="1" applyBorder="1" applyAlignment="1" applyProtection="1">
      <alignment horizontal="left"/>
      <protection hidden="1"/>
    </xf>
    <xf numFmtId="2" fontId="0" fillId="0" borderId="0" xfId="0" applyNumberFormat="1" applyFont="1" applyFill="1" applyBorder="1" applyAlignment="1" applyProtection="1">
      <alignment horizontal="left"/>
      <protection hidden="1"/>
    </xf>
    <xf numFmtId="2" fontId="0" fillId="0" borderId="1" xfId="0" applyNumberFormat="1" applyFill="1" applyBorder="1" applyProtection="1">
      <protection hidden="1"/>
    </xf>
    <xf numFmtId="0" fontId="34" fillId="0" borderId="1" xfId="0" applyFont="1" applyFill="1" applyBorder="1" applyAlignment="1" applyProtection="1">
      <alignment horizontal="center"/>
      <protection hidden="1"/>
    </xf>
    <xf numFmtId="0" fontId="0" fillId="0" borderId="0" xfId="0" applyFont="1" applyFill="1" applyBorder="1" applyAlignment="1" applyProtection="1">
      <alignment vertical="center" wrapText="1" readingOrder="1"/>
      <protection hidden="1"/>
    </xf>
    <xf numFmtId="0" fontId="0" fillId="0" borderId="0" xfId="0" applyFill="1" applyBorder="1" applyProtection="1">
      <protection hidden="1"/>
    </xf>
    <xf numFmtId="0" fontId="34" fillId="0" borderId="1" xfId="0" applyFont="1" applyFill="1" applyBorder="1" applyAlignment="1" applyProtection="1">
      <alignment horizontal="left"/>
    </xf>
    <xf numFmtId="0" fontId="34" fillId="0" borderId="1" xfId="0" applyFont="1" applyFill="1" applyBorder="1" applyProtection="1"/>
    <xf numFmtId="1" fontId="0"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10" fontId="0" fillId="0" borderId="0" xfId="0" applyNumberFormat="1" applyFont="1" applyFill="1" applyBorder="1" applyAlignment="1" applyProtection="1">
      <alignment vertical="center" wrapText="1"/>
      <protection hidden="1"/>
    </xf>
    <xf numFmtId="1" fontId="0" fillId="0" borderId="0" xfId="0" applyNumberFormat="1" applyFont="1" applyFill="1" applyBorder="1" applyAlignment="1" applyProtection="1">
      <alignment horizontal="left" vertical="center" wrapText="1"/>
      <protection hidden="1"/>
    </xf>
    <xf numFmtId="2" fontId="0" fillId="0" borderId="0" xfId="0" applyNumberFormat="1" applyFill="1" applyBorder="1" applyProtection="1">
      <protection hidden="1"/>
    </xf>
    <xf numFmtId="2" fontId="0" fillId="0" borderId="0" xfId="0" applyNumberFormat="1" applyFont="1" applyFill="1" applyBorder="1" applyAlignment="1" applyProtection="1">
      <alignment horizontal="center"/>
      <protection hidden="1"/>
    </xf>
    <xf numFmtId="49" fontId="0" fillId="0" borderId="4" xfId="0" applyNumberFormat="1" applyFont="1" applyFill="1" applyBorder="1" applyAlignment="1" applyProtection="1">
      <alignment vertical="center" wrapText="1"/>
      <protection hidden="1"/>
    </xf>
    <xf numFmtId="9" fontId="34" fillId="0" borderId="1" xfId="0" applyNumberFormat="1" applyFont="1" applyFill="1" applyBorder="1" applyAlignment="1" applyProtection="1">
      <alignment horizontal="center" wrapText="1"/>
      <protection hidden="1"/>
    </xf>
    <xf numFmtId="9" fontId="0" fillId="0" borderId="0" xfId="0" applyNumberFormat="1" applyFont="1" applyFill="1" applyBorder="1" applyAlignment="1" applyProtection="1">
      <alignment horizontal="center" vertical="center" wrapText="1"/>
      <protection hidden="1"/>
    </xf>
    <xf numFmtId="10" fontId="34" fillId="0" borderId="1" xfId="0" applyNumberFormat="1" applyFont="1" applyFill="1" applyBorder="1" applyAlignment="1" applyProtection="1">
      <alignment horizontal="center" wrapText="1"/>
      <protection hidden="1"/>
    </xf>
    <xf numFmtId="3" fontId="0" fillId="0" borderId="0" xfId="0" applyNumberFormat="1" applyFont="1" applyFill="1" applyBorder="1" applyAlignment="1" applyProtection="1">
      <alignment horizontal="center" vertical="center"/>
      <protection hidden="1"/>
    </xf>
    <xf numFmtId="2" fontId="0" fillId="0" borderId="0" xfId="0" applyNumberFormat="1" applyFont="1" applyFill="1" applyBorder="1" applyProtection="1">
      <protection hidden="1"/>
    </xf>
    <xf numFmtId="2" fontId="0" fillId="0" borderId="0" xfId="0" applyNumberFormat="1" applyFill="1" applyAlignment="1" applyProtection="1">
      <alignment horizontal="center" wrapText="1"/>
      <protection hidden="1"/>
    </xf>
    <xf numFmtId="2" fontId="0" fillId="0" borderId="1" xfId="0" applyNumberFormat="1" applyFont="1" applyFill="1" applyBorder="1" applyAlignment="1" applyProtection="1">
      <alignment horizontal="center" wrapText="1"/>
      <protection hidden="1"/>
    </xf>
    <xf numFmtId="0" fontId="0" fillId="0" borderId="3" xfId="0" applyFont="1" applyFill="1" applyBorder="1" applyAlignment="1" applyProtection="1">
      <alignment horizontal="center" wrapText="1"/>
      <protection hidden="1"/>
    </xf>
    <xf numFmtId="0" fontId="0" fillId="0" borderId="4" xfId="0" applyFont="1" applyFill="1" applyBorder="1" applyAlignment="1" applyProtection="1">
      <alignment horizontal="center" vertical="top" wrapText="1"/>
      <protection hidden="1"/>
    </xf>
    <xf numFmtId="0" fontId="0" fillId="0" borderId="3" xfId="0" applyFont="1" applyFill="1" applyBorder="1" applyAlignment="1" applyProtection="1">
      <alignment horizontal="center" vertical="top" wrapText="1"/>
      <protection hidden="1"/>
    </xf>
    <xf numFmtId="0" fontId="0" fillId="0" borderId="1" xfId="0" applyFont="1" applyFill="1" applyBorder="1" applyAlignment="1" applyProtection="1">
      <alignment horizontal="justify" vertical="top" wrapText="1"/>
      <protection hidden="1"/>
    </xf>
    <xf numFmtId="0" fontId="0" fillId="0" borderId="1" xfId="0" applyFont="1" applyFill="1" applyBorder="1" applyAlignment="1" applyProtection="1">
      <alignment horizontal="center" wrapText="1"/>
      <protection hidden="1"/>
    </xf>
    <xf numFmtId="2" fontId="0" fillId="0" borderId="3" xfId="0" applyNumberFormat="1" applyFont="1" applyFill="1" applyBorder="1" applyAlignment="1" applyProtection="1">
      <alignment horizontal="center" wrapText="1"/>
      <protection hidden="1"/>
    </xf>
    <xf numFmtId="0" fontId="0" fillId="0" borderId="4" xfId="0" applyFont="1" applyFill="1" applyBorder="1" applyAlignment="1" applyProtection="1">
      <alignment horizontal="left" wrapText="1"/>
      <protection hidden="1"/>
    </xf>
    <xf numFmtId="0" fontId="0" fillId="0" borderId="0" xfId="0" applyFont="1" applyFill="1" applyBorder="1" applyAlignment="1" applyProtection="1">
      <alignment horizontal="left" wrapText="1"/>
      <protection hidden="1"/>
    </xf>
    <xf numFmtId="0" fontId="0" fillId="0" borderId="1" xfId="0" applyFont="1" applyFill="1" applyBorder="1" applyAlignment="1" applyProtection="1">
      <alignment horizontal="left" wrapText="1"/>
      <protection hidden="1"/>
    </xf>
    <xf numFmtId="0" fontId="0" fillId="0" borderId="4" xfId="0" applyFont="1" applyFill="1" applyBorder="1" applyAlignment="1" applyProtection="1">
      <alignment horizontal="center" wrapText="1"/>
      <protection hidden="1"/>
    </xf>
    <xf numFmtId="0" fontId="0" fillId="0" borderId="0" xfId="0" applyFont="1" applyFill="1" applyBorder="1" applyAlignment="1" applyProtection="1">
      <alignment horizontal="center" wrapText="1"/>
      <protection hidden="1"/>
    </xf>
    <xf numFmtId="0" fontId="0" fillId="0" borderId="1" xfId="0" applyFont="1" applyFill="1" applyBorder="1" applyAlignment="1" applyProtection="1">
      <alignment horizontal="left" vertical="top" wrapText="1"/>
      <protection hidden="1"/>
    </xf>
    <xf numFmtId="0" fontId="0" fillId="0" borderId="4" xfId="0" applyFont="1" applyFill="1" applyBorder="1" applyProtection="1">
      <protection hidden="1"/>
    </xf>
    <xf numFmtId="0" fontId="0" fillId="0" borderId="0" xfId="0" applyFont="1" applyFill="1" applyBorder="1" applyProtection="1">
      <protection hidden="1"/>
    </xf>
    <xf numFmtId="0" fontId="0" fillId="0" borderId="4" xfId="0" applyFont="1" applyFill="1" applyBorder="1" applyAlignment="1" applyProtection="1">
      <alignment horizontal="center"/>
      <protection hidden="1"/>
    </xf>
    <xf numFmtId="2" fontId="0" fillId="0" borderId="3" xfId="0" applyNumberFormat="1" applyFill="1" applyBorder="1" applyAlignment="1" applyProtection="1">
      <alignment horizontal="center"/>
      <protection hidden="1"/>
    </xf>
    <xf numFmtId="0" fontId="0" fillId="0" borderId="4" xfId="0" applyFont="1" applyFill="1" applyBorder="1" applyAlignment="1" applyProtection="1">
      <alignment horizontal="left"/>
      <protection hidden="1"/>
    </xf>
    <xf numFmtId="0" fontId="0" fillId="0" borderId="0" xfId="0" applyFont="1" applyFill="1" applyBorder="1" applyAlignment="1" applyProtection="1">
      <alignment horizontal="left"/>
      <protection hidden="1"/>
    </xf>
    <xf numFmtId="0" fontId="0" fillId="0" borderId="1" xfId="0" applyFont="1" applyFill="1" applyBorder="1" applyAlignment="1" applyProtection="1">
      <alignment horizontal="left"/>
      <protection hidden="1"/>
    </xf>
    <xf numFmtId="0" fontId="0" fillId="0" borderId="1" xfId="0" applyFont="1" applyFill="1" applyBorder="1" applyAlignment="1" applyProtection="1">
      <alignment wrapText="1"/>
      <protection hidden="1"/>
    </xf>
    <xf numFmtId="2" fontId="0" fillId="0" borderId="1" xfId="0" applyNumberFormat="1" applyFill="1" applyBorder="1" applyAlignment="1" applyProtection="1">
      <alignment horizontal="center" wrapText="1"/>
      <protection hidden="1"/>
    </xf>
    <xf numFmtId="0" fontId="22" fillId="0" borderId="0" xfId="0" applyFont="1" applyFill="1" applyBorder="1" applyAlignment="1" applyProtection="1">
      <alignment horizontal="left" vertical="top"/>
      <protection hidden="1"/>
    </xf>
    <xf numFmtId="2" fontId="0" fillId="0" borderId="0" xfId="0" applyNumberFormat="1" applyFont="1" applyFill="1" applyBorder="1" applyAlignment="1" applyProtection="1">
      <alignment horizontal="center" wrapText="1"/>
      <protection hidden="1"/>
    </xf>
    <xf numFmtId="0" fontId="0" fillId="0" borderId="0"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wrapText="1"/>
      <protection hidden="1"/>
    </xf>
    <xf numFmtId="2" fontId="1" fillId="0" borderId="1" xfId="0" applyNumberFormat="1" applyFont="1" applyFill="1" applyBorder="1" applyAlignment="1" applyProtection="1">
      <alignment horizontal="center" wrapText="1"/>
      <protection hidden="1"/>
    </xf>
    <xf numFmtId="0" fontId="1" fillId="0" borderId="1" xfId="0" applyFont="1" applyFill="1" applyBorder="1" applyAlignment="1" applyProtection="1">
      <alignment horizontal="left" wrapText="1"/>
      <protection hidden="1"/>
    </xf>
    <xf numFmtId="0" fontId="1" fillId="0" borderId="1" xfId="0" applyFont="1" applyFill="1" applyBorder="1" applyAlignment="1" applyProtection="1">
      <alignment horizontal="left" vertical="top" wrapText="1"/>
    </xf>
    <xf numFmtId="0" fontId="22" fillId="0" borderId="0" xfId="0" applyFont="1" applyFill="1" applyBorder="1" applyAlignment="1" applyProtection="1">
      <alignment horizontal="center" wrapText="1"/>
      <protection hidden="1"/>
    </xf>
    <xf numFmtId="0" fontId="1" fillId="0" borderId="0" xfId="0" applyFont="1" applyFill="1" applyBorder="1" applyAlignment="1" applyProtection="1">
      <alignment horizontal="center" wrapText="1"/>
      <protection hidden="1"/>
    </xf>
    <xf numFmtId="0" fontId="1" fillId="0" borderId="1" xfId="0" applyFont="1" applyFill="1" applyBorder="1" applyAlignment="1" applyProtection="1">
      <alignment horizontal="left" vertical="top" wrapText="1"/>
      <protection hidden="1"/>
    </xf>
    <xf numFmtId="49" fontId="1" fillId="0" borderId="1" xfId="0" applyNumberFormat="1" applyFont="1" applyFill="1" applyBorder="1" applyAlignment="1" applyProtection="1">
      <alignment horizontal="left" vertical="top" wrapText="1"/>
      <protection hidden="1"/>
    </xf>
    <xf numFmtId="0" fontId="22" fillId="0" borderId="0" xfId="0" applyFont="1" applyFill="1" applyBorder="1" applyAlignment="1" applyProtection="1">
      <alignment horizontal="left" vertical="top" wrapText="1"/>
      <protection hidden="1"/>
    </xf>
    <xf numFmtId="0" fontId="0" fillId="0" borderId="0" xfId="0" applyFill="1" applyAlignment="1" applyProtection="1">
      <alignment horizontal="right"/>
      <protection hidden="1"/>
    </xf>
    <xf numFmtId="2" fontId="0" fillId="0" borderId="0" xfId="0" applyNumberFormat="1" applyFont="1" applyFill="1" applyAlignment="1" applyProtection="1">
      <alignment horizontal="left"/>
      <protection hidden="1"/>
    </xf>
    <xf numFmtId="0" fontId="35" fillId="0" borderId="1" xfId="0" applyFont="1" applyFill="1" applyBorder="1" applyAlignment="1" applyProtection="1">
      <alignment wrapText="1"/>
    </xf>
    <xf numFmtId="0" fontId="0" fillId="0" borderId="1" xfId="0" applyFill="1" applyBorder="1" applyAlignment="1" applyProtection="1">
      <alignment horizontal="right"/>
      <protection hidden="1"/>
    </xf>
    <xf numFmtId="2" fontId="0" fillId="0" borderId="0" xfId="0" applyNumberFormat="1" applyFont="1" applyFill="1" applyBorder="1" applyAlignment="1" applyProtection="1">
      <alignment horizontal="center" vertical="center"/>
      <protection hidden="1"/>
    </xf>
    <xf numFmtId="0" fontId="34" fillId="0" borderId="1" xfId="0" applyFont="1" applyFill="1" applyBorder="1" applyAlignment="1" applyProtection="1">
      <alignment horizontal="center" vertical="top"/>
      <protection hidden="1"/>
    </xf>
    <xf numFmtId="0" fontId="0" fillId="0" borderId="1" xfId="0" applyFont="1" applyFill="1" applyBorder="1" applyAlignment="1" applyProtection="1">
      <alignment horizontal="right" vertical="center" wrapText="1"/>
      <protection hidden="1"/>
    </xf>
    <xf numFmtId="10" fontId="0" fillId="0" borderId="0" xfId="0" applyNumberFormat="1" applyFont="1" applyFill="1" applyBorder="1" applyAlignment="1" applyProtection="1">
      <alignment horizontal="center" vertical="center"/>
      <protection hidden="1"/>
    </xf>
    <xf numFmtId="2"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pplyProtection="1">
      <alignment vertical="top" wrapText="1"/>
      <protection hidden="1"/>
    </xf>
    <xf numFmtId="168" fontId="0" fillId="0" borderId="1" xfId="0" applyNumberFormat="1" applyFill="1" applyBorder="1" applyAlignment="1" applyProtection="1">
      <alignment horizontal="center"/>
      <protection hidden="1"/>
    </xf>
    <xf numFmtId="10" fontId="0" fillId="0" borderId="1" xfId="0" applyNumberFormat="1" applyFill="1" applyBorder="1" applyAlignment="1" applyProtection="1">
      <alignment horizontal="center"/>
      <protection hidden="1"/>
    </xf>
    <xf numFmtId="9" fontId="0" fillId="0" borderId="1" xfId="0" applyNumberFormat="1" applyFill="1" applyBorder="1" applyAlignment="1" applyProtection="1">
      <alignment horizontal="center"/>
      <protection hidden="1"/>
    </xf>
    <xf numFmtId="9" fontId="0" fillId="0" borderId="0" xfId="0" applyNumberFormat="1" applyFill="1" applyAlignment="1" applyProtection="1">
      <alignment horizontal="left"/>
      <protection hidden="1"/>
    </xf>
    <xf numFmtId="0" fontId="34" fillId="0" borderId="8" xfId="0" applyFont="1" applyFill="1" applyBorder="1" applyAlignment="1" applyProtection="1">
      <alignment wrapText="1"/>
    </xf>
    <xf numFmtId="0" fontId="34" fillId="0" borderId="8" xfId="0" applyFont="1" applyFill="1" applyBorder="1" applyAlignment="1" applyProtection="1">
      <alignment horizontal="center" wrapText="1"/>
      <protection hidden="1"/>
    </xf>
    <xf numFmtId="0" fontId="24" fillId="0" borderId="1" xfId="0" applyFont="1" applyFill="1" applyBorder="1" applyAlignment="1" applyProtection="1">
      <alignment wrapText="1"/>
    </xf>
    <xf numFmtId="0" fontId="24" fillId="0" borderId="1" xfId="0" applyFont="1" applyFill="1" applyBorder="1" applyAlignment="1" applyProtection="1">
      <alignment horizontal="center" wrapText="1"/>
      <protection hidden="1"/>
    </xf>
    <xf numFmtId="0" fontId="24" fillId="0" borderId="8" xfId="0" applyFont="1" applyFill="1" applyBorder="1" applyAlignment="1" applyProtection="1">
      <alignment wrapText="1"/>
    </xf>
    <xf numFmtId="0" fontId="24" fillId="0" borderId="8" xfId="0" applyFont="1" applyFill="1" applyBorder="1" applyAlignment="1" applyProtection="1">
      <alignment horizontal="center" wrapText="1"/>
      <protection hidden="1"/>
    </xf>
    <xf numFmtId="3" fontId="34" fillId="0" borderId="8" xfId="0" applyNumberFormat="1" applyFont="1" applyFill="1" applyBorder="1" applyAlignment="1" applyProtection="1">
      <alignment horizontal="center" wrapText="1"/>
      <protection hidden="1"/>
    </xf>
    <xf numFmtId="0" fontId="34" fillId="0" borderId="3" xfId="0" applyFont="1" applyFill="1" applyBorder="1" applyAlignment="1" applyProtection="1">
      <alignment horizontal="center" wrapText="1"/>
      <protection hidden="1"/>
    </xf>
    <xf numFmtId="0" fontId="34" fillId="0" borderId="17" xfId="0" applyFont="1" applyFill="1" applyBorder="1" applyAlignment="1" applyProtection="1">
      <alignment horizontal="center" wrapText="1"/>
      <protection hidden="1"/>
    </xf>
    <xf numFmtId="168" fontId="8" fillId="0" borderId="0" xfId="0" applyNumberFormat="1" applyFont="1" applyAlignment="1" applyProtection="1">
      <alignment horizontal="left"/>
      <protection hidden="1"/>
    </xf>
    <xf numFmtId="0" fontId="0" fillId="0" borderId="45" xfId="0" applyFont="1" applyFill="1" applyBorder="1" applyAlignment="1" applyProtection="1">
      <alignment horizontal="center"/>
      <protection hidden="1"/>
    </xf>
    <xf numFmtId="0" fontId="0" fillId="0" borderId="46" xfId="0" applyFont="1" applyFill="1" applyBorder="1" applyAlignment="1" applyProtection="1">
      <alignment horizontal="center"/>
      <protection hidden="1"/>
    </xf>
    <xf numFmtId="0" fontId="0" fillId="0" borderId="47" xfId="0" applyFont="1" applyFill="1" applyBorder="1" applyAlignment="1" applyProtection="1">
      <alignment horizontal="center"/>
      <protection hidden="1"/>
    </xf>
    <xf numFmtId="0" fontId="0" fillId="0" borderId="5" xfId="0" applyFill="1" applyBorder="1" applyAlignment="1" applyProtection="1">
      <alignment horizontal="center"/>
      <protection hidden="1"/>
    </xf>
    <xf numFmtId="0" fontId="0" fillId="0" borderId="5" xfId="0" applyFill="1" applyBorder="1" applyProtection="1">
      <protection hidden="1"/>
    </xf>
    <xf numFmtId="2" fontId="0" fillId="0" borderId="5" xfId="0" applyNumberFormat="1" applyFill="1" applyBorder="1" applyAlignment="1" applyProtection="1">
      <alignment horizontal="center"/>
      <protection hidden="1"/>
    </xf>
    <xf numFmtId="0" fontId="1" fillId="0" borderId="1" xfId="0" applyFont="1" applyFill="1" applyBorder="1" applyProtection="1">
      <protection hidden="1"/>
    </xf>
    <xf numFmtId="10" fontId="0" fillId="0" borderId="0" xfId="0" applyNumberFormat="1" applyFill="1" applyAlignment="1" applyProtection="1">
      <alignment horizontal="left"/>
      <protection hidden="1"/>
    </xf>
    <xf numFmtId="2" fontId="0" fillId="0" borderId="0" xfId="0" applyNumberFormat="1" applyFill="1" applyAlignment="1" applyProtection="1">
      <alignment horizontal="left"/>
      <protection hidden="1"/>
    </xf>
    <xf numFmtId="0" fontId="0" fillId="0" borderId="5" xfId="0" applyFont="1" applyFill="1" applyBorder="1" applyAlignment="1" applyProtection="1">
      <alignment horizontal="center" vertical="top" wrapText="1"/>
      <protection hidden="1"/>
    </xf>
    <xf numFmtId="2" fontId="0" fillId="0" borderId="1" xfId="0" applyNumberFormat="1" applyFill="1" applyBorder="1" applyAlignment="1" applyProtection="1">
      <alignment horizontal="center" vertical="top" wrapText="1"/>
      <protection hidden="1"/>
    </xf>
    <xf numFmtId="1" fontId="0" fillId="0" borderId="1" xfId="0" applyNumberFormat="1" applyFill="1" applyBorder="1" applyAlignment="1" applyProtection="1">
      <alignment horizontal="right"/>
      <protection hidden="1"/>
    </xf>
    <xf numFmtId="9" fontId="0" fillId="0" borderId="0" xfId="0" applyNumberFormat="1" applyFill="1" applyProtection="1">
      <protection hidden="1"/>
    </xf>
    <xf numFmtId="2" fontId="0" fillId="0" borderId="1" xfId="0" applyNumberFormat="1" applyFill="1" applyBorder="1" applyAlignment="1" applyProtection="1">
      <alignment horizontal="right"/>
      <protection hidden="1"/>
    </xf>
    <xf numFmtId="2" fontId="0" fillId="0" borderId="0" xfId="0" applyNumberFormat="1" applyFill="1" applyBorder="1" applyAlignment="1" applyProtection="1">
      <alignment horizontal="right"/>
      <protection hidden="1"/>
    </xf>
    <xf numFmtId="0" fontId="0" fillId="0" borderId="8" xfId="0" applyFill="1" applyBorder="1" applyAlignment="1" applyProtection="1">
      <alignment horizontal="center"/>
      <protection hidden="1"/>
    </xf>
    <xf numFmtId="0" fontId="0" fillId="0" borderId="8" xfId="0" applyFill="1" applyBorder="1" applyProtection="1">
      <protection hidden="1"/>
    </xf>
    <xf numFmtId="2" fontId="0" fillId="0" borderId="8" xfId="0" applyNumberFormat="1" applyFill="1" applyBorder="1" applyProtection="1">
      <protection hidden="1"/>
    </xf>
    <xf numFmtId="0" fontId="0" fillId="0" borderId="6" xfId="0" applyFill="1" applyBorder="1" applyAlignment="1" applyProtection="1">
      <alignment horizontal="center"/>
      <protection hidden="1"/>
    </xf>
    <xf numFmtId="0" fontId="0" fillId="0" borderId="6" xfId="0" applyFill="1" applyBorder="1" applyProtection="1">
      <protection hidden="1"/>
    </xf>
    <xf numFmtId="2" fontId="0" fillId="0" borderId="6" xfId="0" applyNumberFormat="1" applyFill="1" applyBorder="1" applyProtection="1">
      <protection hidden="1"/>
    </xf>
    <xf numFmtId="1" fontId="0" fillId="0" borderId="0" xfId="0" applyNumberFormat="1" applyFill="1" applyProtection="1">
      <protection hidden="1"/>
    </xf>
    <xf numFmtId="1" fontId="0" fillId="0" borderId="1" xfId="0" applyNumberFormat="1" applyFill="1" applyBorder="1" applyProtection="1">
      <protection hidden="1"/>
    </xf>
    <xf numFmtId="0" fontId="34" fillId="0" borderId="1" xfId="0" applyFont="1" applyFill="1" applyBorder="1" applyAlignment="1" applyProtection="1">
      <alignment horizontal="center" wrapText="1"/>
      <protection hidden="1"/>
    </xf>
    <xf numFmtId="0" fontId="34" fillId="0" borderId="1" xfId="0" applyFont="1" applyFill="1" applyBorder="1" applyAlignment="1" applyProtection="1">
      <alignment horizontal="center" wrapText="1"/>
      <protection locked="0"/>
    </xf>
    <xf numFmtId="0" fontId="34" fillId="0" borderId="1" xfId="0" applyFont="1" applyFill="1" applyBorder="1" applyAlignment="1" applyProtection="1">
      <alignment horizontal="left" vertical="top" wrapText="1"/>
    </xf>
    <xf numFmtId="0" fontId="1" fillId="0" borderId="0" xfId="1"/>
    <xf numFmtId="0" fontId="18" fillId="0" borderId="0" xfId="1" applyFont="1"/>
    <xf numFmtId="0" fontId="18" fillId="0" borderId="0" xfId="1" applyFont="1" applyBorder="1" applyAlignment="1">
      <alignment horizontal="center" vertical="top" wrapText="1"/>
    </xf>
    <xf numFmtId="0" fontId="17" fillId="0" borderId="0" xfId="1" applyFont="1" applyBorder="1" applyAlignment="1">
      <alignment vertical="top" wrapText="1"/>
    </xf>
    <xf numFmtId="0" fontId="17" fillId="0" borderId="0" xfId="1" applyFont="1" applyBorder="1" applyAlignment="1">
      <alignment horizontal="center" vertical="top" wrapText="1"/>
    </xf>
    <xf numFmtId="0" fontId="30" fillId="0" borderId="0" xfId="1" applyFont="1" applyAlignment="1">
      <alignment horizontal="center"/>
    </xf>
    <xf numFmtId="0" fontId="30" fillId="0" borderId="0" xfId="1" applyFont="1"/>
    <xf numFmtId="0" fontId="18" fillId="0" borderId="1" xfId="1" applyFont="1" applyBorder="1" applyAlignment="1">
      <alignment horizontal="center" vertical="top" wrapText="1"/>
    </xf>
    <xf numFmtId="0" fontId="17" fillId="0" borderId="1" xfId="1" applyFont="1" applyBorder="1" applyAlignment="1">
      <alignment horizontal="center" vertical="top" wrapText="1"/>
    </xf>
    <xf numFmtId="0" fontId="17" fillId="0" borderId="1" xfId="1" applyFont="1" applyBorder="1" applyAlignment="1">
      <alignment vertical="top" wrapText="1"/>
    </xf>
    <xf numFmtId="0" fontId="17" fillId="0" borderId="1" xfId="1" applyFont="1" applyBorder="1" applyAlignment="1">
      <alignment horizontal="right" vertical="top" wrapText="1"/>
    </xf>
    <xf numFmtId="0" fontId="7" fillId="0" borderId="1" xfId="1" applyFont="1" applyBorder="1" applyAlignment="1">
      <alignment horizontal="left"/>
    </xf>
    <xf numFmtId="0" fontId="31" fillId="0" borderId="1" xfId="1" applyFont="1" applyBorder="1" applyAlignment="1">
      <alignment horizontal="left"/>
    </xf>
    <xf numFmtId="0" fontId="32" fillId="0" borderId="1" xfId="1" applyFont="1" applyBorder="1" applyAlignment="1">
      <alignment vertical="top" wrapText="1"/>
    </xf>
    <xf numFmtId="0" fontId="31" fillId="0" borderId="1" xfId="1" applyFont="1" applyBorder="1"/>
    <xf numFmtId="0" fontId="17" fillId="0" borderId="0" xfId="1" applyFont="1" applyAlignment="1">
      <alignment vertical="top" wrapText="1"/>
    </xf>
    <xf numFmtId="0" fontId="32" fillId="0" borderId="0" xfId="1" applyFont="1" applyAlignment="1">
      <alignment vertical="top" wrapText="1"/>
    </xf>
    <xf numFmtId="0" fontId="18" fillId="0" borderId="0" xfId="1" applyFont="1" applyAlignment="1">
      <alignment horizontal="center"/>
    </xf>
    <xf numFmtId="0" fontId="17" fillId="0" borderId="0" xfId="1" applyFont="1"/>
    <xf numFmtId="3" fontId="34" fillId="0" borderId="1" xfId="0" applyNumberFormat="1" applyFont="1" applyFill="1" applyBorder="1" applyAlignment="1" applyProtection="1">
      <alignment horizontal="center" wrapText="1"/>
      <protection locked="0"/>
    </xf>
    <xf numFmtId="0" fontId="8" fillId="0" borderId="1" xfId="0" applyFont="1" applyBorder="1" applyAlignment="1" applyProtection="1">
      <alignment horizontal="center" vertical="center" wrapText="1"/>
    </xf>
    <xf numFmtId="0" fontId="9" fillId="0" borderId="0" xfId="0" applyFont="1" applyAlignment="1" applyProtection="1">
      <alignment horizontal="left"/>
      <protection hidden="1"/>
    </xf>
    <xf numFmtId="0" fontId="8" fillId="0" borderId="0" xfId="0" applyFont="1" applyAlignment="1" applyProtection="1">
      <alignment horizontal="left"/>
      <protection hidden="1"/>
    </xf>
    <xf numFmtId="0" fontId="8" fillId="0" borderId="0" xfId="0" applyFont="1" applyAlignment="1" applyProtection="1">
      <alignment horizontal="right" vertical="top"/>
      <protection hidden="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left" vertical="center" wrapText="1"/>
      <protection hidden="1"/>
    </xf>
    <xf numFmtId="0" fontId="8" fillId="0" borderId="0" xfId="0" applyFont="1" applyAlignment="1" applyProtection="1">
      <alignment horizontal="center"/>
      <protection hidden="1"/>
    </xf>
    <xf numFmtId="0" fontId="9" fillId="0" borderId="0" xfId="0" applyFont="1" applyBorder="1" applyAlignment="1" applyProtection="1">
      <alignment horizontal="left"/>
      <protection hidden="1"/>
    </xf>
    <xf numFmtId="0" fontId="34" fillId="0" borderId="1" xfId="0" applyFont="1" applyFill="1" applyBorder="1" applyAlignment="1" applyProtection="1">
      <alignment horizontal="center" wrapText="1"/>
      <protection hidden="1"/>
    </xf>
    <xf numFmtId="0" fontId="8" fillId="0" borderId="0" xfId="0" applyFont="1" applyAlignment="1" applyProtection="1">
      <alignment horizontal="left"/>
      <protection hidden="1"/>
    </xf>
    <xf numFmtId="0" fontId="8" fillId="0" borderId="0" xfId="0" applyFont="1" applyBorder="1" applyAlignment="1" applyProtection="1">
      <alignment horizontal="left" wrapText="1"/>
      <protection hidden="1"/>
    </xf>
    <xf numFmtId="0" fontId="8" fillId="0" borderId="0" xfId="0" applyFont="1" applyBorder="1" applyAlignment="1" applyProtection="1">
      <alignment horizontal="center"/>
      <protection hidden="1"/>
    </xf>
    <xf numFmtId="0" fontId="8" fillId="0" borderId="0" xfId="0" applyFont="1" applyBorder="1" applyAlignment="1" applyProtection="1">
      <alignment horizontal="left"/>
      <protection hidden="1"/>
    </xf>
    <xf numFmtId="0" fontId="17" fillId="0" borderId="1" xfId="1" applyFont="1" applyBorder="1" applyAlignment="1">
      <alignment horizontal="center" vertical="top" wrapText="1"/>
    </xf>
    <xf numFmtId="0" fontId="36" fillId="0" borderId="51" xfId="0" applyFont="1" applyBorder="1" applyAlignment="1">
      <alignment horizontal="center" vertical="top" wrapText="1"/>
    </xf>
    <xf numFmtId="0" fontId="36" fillId="0" borderId="52" xfId="0" applyFont="1" applyBorder="1" applyAlignment="1">
      <alignment horizontal="center" vertical="top" wrapText="1"/>
    </xf>
    <xf numFmtId="2" fontId="1" fillId="0" borderId="4" xfId="0" applyNumberFormat="1" applyFont="1" applyFill="1" applyBorder="1" applyAlignment="1" applyProtection="1">
      <alignment horizontal="right"/>
      <protection hidden="1"/>
    </xf>
    <xf numFmtId="0" fontId="36" fillId="0" borderId="52" xfId="0" applyFont="1" applyBorder="1" applyAlignment="1">
      <alignment horizontal="center" wrapText="1"/>
    </xf>
    <xf numFmtId="0" fontId="36" fillId="0" borderId="51" xfId="0" applyFont="1" applyBorder="1" applyAlignment="1">
      <alignment horizontal="center" wrapText="1"/>
    </xf>
    <xf numFmtId="0" fontId="1" fillId="0" borderId="0" xfId="0" applyFont="1" applyFill="1" applyAlignment="1" applyProtection="1">
      <alignment horizontal="center"/>
      <protection hidden="1"/>
    </xf>
    <xf numFmtId="49" fontId="1" fillId="0" borderId="4" xfId="0" applyNumberFormat="1" applyFont="1" applyFill="1" applyBorder="1" applyAlignment="1" applyProtection="1">
      <alignment vertical="center" wrapText="1"/>
      <protection hidden="1"/>
    </xf>
    <xf numFmtId="2" fontId="24" fillId="0" borderId="0" xfId="0" applyNumberFormat="1" applyFont="1" applyFill="1" applyAlignment="1" applyProtection="1">
      <alignment horizontal="center"/>
      <protection hidden="1"/>
    </xf>
    <xf numFmtId="2" fontId="24" fillId="0" borderId="0" xfId="0" applyNumberFormat="1" applyFont="1" applyFill="1" applyBorder="1" applyAlignment="1" applyProtection="1">
      <alignment horizontal="center"/>
      <protection hidden="1"/>
    </xf>
    <xf numFmtId="2" fontId="24" fillId="0" borderId="0" xfId="0" applyNumberFormat="1" applyFont="1" applyFill="1" applyAlignment="1" applyProtection="1">
      <protection hidden="1"/>
    </xf>
    <xf numFmtId="2" fontId="24" fillId="0" borderId="0" xfId="0" applyNumberFormat="1" applyFont="1" applyFill="1" applyProtection="1">
      <protection hidden="1"/>
    </xf>
    <xf numFmtId="2" fontId="24" fillId="0" borderId="1" xfId="0" applyNumberFormat="1" applyFont="1" applyFill="1" applyBorder="1" applyAlignment="1" applyProtection="1">
      <alignment horizontal="center"/>
      <protection hidden="1"/>
    </xf>
    <xf numFmtId="0" fontId="38" fillId="0" borderId="51" xfId="0" applyFont="1" applyBorder="1" applyAlignment="1">
      <alignment horizontal="center" vertical="top" wrapText="1"/>
    </xf>
    <xf numFmtId="0" fontId="38" fillId="0" borderId="52" xfId="0" applyFont="1" applyBorder="1" applyAlignment="1">
      <alignment horizontal="center" vertical="top" wrapText="1"/>
    </xf>
    <xf numFmtId="2" fontId="24" fillId="0" borderId="3" xfId="0" applyNumberFormat="1" applyFont="1" applyFill="1" applyBorder="1" applyAlignment="1" applyProtection="1">
      <alignment horizontal="center"/>
      <protection locked="0"/>
    </xf>
    <xf numFmtId="0" fontId="38" fillId="0" borderId="52" xfId="0" applyFont="1" applyBorder="1" applyAlignment="1">
      <alignment horizontal="center" wrapText="1"/>
    </xf>
    <xf numFmtId="0" fontId="38" fillId="0" borderId="51" xfId="0" applyFont="1" applyBorder="1" applyAlignment="1">
      <alignment horizontal="center" wrapText="1"/>
    </xf>
    <xf numFmtId="0" fontId="24" fillId="0" borderId="0" xfId="0" applyFont="1" applyFill="1" applyProtection="1">
      <protection hidden="1"/>
    </xf>
    <xf numFmtId="2" fontId="24" fillId="0" borderId="1" xfId="0" applyNumberFormat="1" applyFont="1" applyFill="1" applyBorder="1" applyAlignment="1" applyProtection="1">
      <alignment horizontal="left"/>
      <protection hidden="1"/>
    </xf>
    <xf numFmtId="2" fontId="24" fillId="0" borderId="1" xfId="0" applyNumberFormat="1" applyFont="1" applyFill="1" applyBorder="1" applyProtection="1">
      <protection hidden="1"/>
    </xf>
    <xf numFmtId="0" fontId="39" fillId="0" borderId="52" xfId="0" applyFont="1" applyBorder="1" applyAlignment="1">
      <alignment horizontal="center" vertical="top" wrapText="1"/>
    </xf>
    <xf numFmtId="0" fontId="39" fillId="0" borderId="51" xfId="0" applyFont="1" applyBorder="1" applyAlignment="1">
      <alignment horizontal="center" vertical="top" wrapText="1"/>
    </xf>
    <xf numFmtId="2" fontId="24" fillId="0" borderId="1" xfId="0" applyNumberFormat="1" applyFont="1" applyFill="1" applyBorder="1" applyAlignment="1" applyProtection="1">
      <alignment horizontal="center" wrapText="1"/>
      <protection hidden="1"/>
    </xf>
    <xf numFmtId="0" fontId="24" fillId="0" borderId="3" xfId="0" applyFont="1" applyFill="1" applyBorder="1" applyAlignment="1" applyProtection="1">
      <alignment horizontal="center" vertical="top" wrapText="1"/>
      <protection hidden="1"/>
    </xf>
    <xf numFmtId="2" fontId="24" fillId="0" borderId="0" xfId="0" applyNumberFormat="1" applyFont="1" applyFill="1" applyBorder="1" applyAlignment="1" applyProtection="1">
      <alignment horizontal="center" wrapText="1"/>
      <protection hidden="1"/>
    </xf>
    <xf numFmtId="2" fontId="24" fillId="0" borderId="3" xfId="0" applyNumberFormat="1" applyFont="1" applyFill="1" applyBorder="1" applyAlignment="1" applyProtection="1">
      <alignment horizontal="center" wrapText="1"/>
      <protection hidden="1"/>
    </xf>
    <xf numFmtId="0" fontId="24" fillId="0" borderId="1" xfId="0" applyFont="1" applyFill="1" applyBorder="1" applyAlignment="1" applyProtection="1">
      <alignment horizontal="center"/>
      <protection hidden="1"/>
    </xf>
    <xf numFmtId="2" fontId="24" fillId="0" borderId="0" xfId="0" applyNumberFormat="1" applyFont="1" applyFill="1" applyBorder="1" applyAlignment="1" applyProtection="1">
      <alignment horizontal="center" vertical="top" wrapText="1"/>
      <protection hidden="1"/>
    </xf>
    <xf numFmtId="2" fontId="24" fillId="0" borderId="0" xfId="0" applyNumberFormat="1" applyFont="1" applyFill="1" applyBorder="1" applyAlignment="1" applyProtection="1">
      <alignment horizontal="left" vertical="center" wrapText="1"/>
      <protection hidden="1"/>
    </xf>
    <xf numFmtId="2" fontId="24" fillId="0" borderId="0" xfId="0" applyNumberFormat="1" applyFont="1" applyFill="1" applyBorder="1" applyProtection="1">
      <protection hidden="1"/>
    </xf>
    <xf numFmtId="2" fontId="24" fillId="0" borderId="0" xfId="0" applyNumberFormat="1" applyFont="1" applyFill="1" applyBorder="1" applyAlignment="1" applyProtection="1">
      <alignment horizontal="center" vertical="center" wrapText="1"/>
      <protection hidden="1"/>
    </xf>
    <xf numFmtId="2" fontId="24" fillId="0" borderId="0" xfId="0" applyNumberFormat="1" applyFont="1" applyFill="1" applyBorder="1" applyAlignment="1" applyProtection="1">
      <alignment vertical="center"/>
      <protection hidden="1"/>
    </xf>
    <xf numFmtId="2" fontId="24" fillId="0" borderId="4" xfId="0" applyNumberFormat="1" applyFont="1" applyFill="1" applyBorder="1" applyAlignment="1" applyProtection="1">
      <alignment vertical="top" wrapText="1"/>
      <protection hidden="1"/>
    </xf>
    <xf numFmtId="2" fontId="24" fillId="0" borderId="1" xfId="0" applyNumberFormat="1" applyFont="1" applyFill="1" applyBorder="1" applyAlignment="1" applyProtection="1">
      <alignment horizontal="center" vertical="center" wrapText="1"/>
      <protection hidden="1"/>
    </xf>
    <xf numFmtId="2" fontId="24" fillId="0" borderId="1" xfId="0" applyNumberFormat="1" applyFont="1" applyFill="1" applyBorder="1" applyAlignment="1" applyProtection="1">
      <alignment horizontal="center" wrapText="1"/>
      <protection hidden="1"/>
    </xf>
    <xf numFmtId="2" fontId="24" fillId="0" borderId="5" xfId="0" applyNumberFormat="1" applyFont="1" applyFill="1" applyBorder="1" applyAlignment="1" applyProtection="1">
      <alignment horizontal="center" vertical="center" wrapText="1"/>
      <protection hidden="1"/>
    </xf>
    <xf numFmtId="2" fontId="24" fillId="0" borderId="8" xfId="0" applyNumberFormat="1" applyFont="1" applyFill="1" applyBorder="1" applyAlignment="1" applyProtection="1">
      <alignment vertical="center" wrapText="1"/>
      <protection hidden="1"/>
    </xf>
    <xf numFmtId="1" fontId="24" fillId="0" borderId="1" xfId="0" applyNumberFormat="1" applyFont="1" applyFill="1" applyBorder="1" applyAlignment="1" applyProtection="1">
      <alignment horizontal="center" vertical="center" wrapText="1"/>
      <protection hidden="1"/>
    </xf>
    <xf numFmtId="0" fontId="1" fillId="0" borderId="1" xfId="0" applyFont="1" applyFill="1" applyBorder="1" applyAlignment="1" applyProtection="1">
      <alignment horizontal="center" vertical="center" wrapText="1"/>
      <protection hidden="1"/>
    </xf>
    <xf numFmtId="2" fontId="40" fillId="0" borderId="1" xfId="0" applyNumberFormat="1" applyFont="1" applyFill="1" applyBorder="1" applyAlignment="1" applyProtection="1">
      <alignment horizontal="center" vertical="center" wrapText="1"/>
      <protection hidden="1"/>
    </xf>
    <xf numFmtId="0" fontId="0" fillId="0" borderId="8" xfId="0" applyFont="1" applyFill="1" applyBorder="1" applyAlignment="1" applyProtection="1">
      <alignment horizontal="center" vertical="center" wrapText="1"/>
      <protection hidden="1"/>
    </xf>
    <xf numFmtId="2" fontId="24" fillId="0" borderId="8" xfId="0" applyNumberFormat="1" applyFont="1" applyFill="1" applyBorder="1" applyAlignment="1" applyProtection="1">
      <alignment horizontal="center" wrapText="1"/>
      <protection hidden="1"/>
    </xf>
    <xf numFmtId="0" fontId="37" fillId="0" borderId="1" xfId="0" applyFont="1" applyBorder="1" applyAlignment="1">
      <alignment horizontal="justify" vertical="top" wrapText="1"/>
    </xf>
    <xf numFmtId="0" fontId="37" fillId="0" borderId="1" xfId="0" applyFont="1" applyBorder="1" applyAlignment="1">
      <alignment horizontal="center" vertical="top" wrapText="1"/>
    </xf>
    <xf numFmtId="0" fontId="8" fillId="0" borderId="0" xfId="0" applyFont="1" applyBorder="1" applyAlignment="1" applyProtection="1">
      <alignment horizontal="right" wrapText="1"/>
      <protection hidden="1"/>
    </xf>
    <xf numFmtId="2" fontId="9" fillId="0" borderId="0" xfId="0" applyNumberFormat="1" applyFont="1" applyBorder="1" applyAlignment="1" applyProtection="1">
      <alignment horizontal="right"/>
      <protection hidden="1"/>
    </xf>
    <xf numFmtId="0" fontId="9" fillId="0" borderId="0" xfId="0" applyFont="1" applyBorder="1" applyAlignment="1" applyProtection="1">
      <alignment horizontal="left" wrapText="1"/>
      <protection hidden="1"/>
    </xf>
    <xf numFmtId="0" fontId="9" fillId="0" borderId="0" xfId="0" applyFont="1" applyBorder="1" applyAlignment="1" applyProtection="1">
      <alignment horizontal="right" wrapText="1"/>
      <protection hidden="1"/>
    </xf>
    <xf numFmtId="0" fontId="0" fillId="0" borderId="0" xfId="0" applyFill="1" applyBorder="1" applyAlignment="1" applyProtection="1">
      <alignment horizontal="center" vertical="top" wrapText="1"/>
    </xf>
    <xf numFmtId="0" fontId="0" fillId="0" borderId="1" xfId="0" applyFill="1" applyBorder="1" applyAlignment="1" applyProtection="1">
      <alignment horizontal="left" wrapText="1"/>
    </xf>
    <xf numFmtId="0" fontId="0" fillId="0" borderId="1" xfId="0" applyFill="1" applyBorder="1" applyAlignment="1" applyProtection="1">
      <alignment horizontal="center" wrapText="1"/>
      <protection hidden="1"/>
    </xf>
    <xf numFmtId="3" fontId="0" fillId="0" borderId="1" xfId="0" applyNumberFormat="1" applyFont="1" applyFill="1" applyBorder="1" applyAlignment="1" applyProtection="1">
      <alignment horizontal="center" wrapText="1"/>
      <protection hidden="1"/>
    </xf>
    <xf numFmtId="0" fontId="18" fillId="0" borderId="0" xfId="0" applyFont="1"/>
    <xf numFmtId="0" fontId="18" fillId="0" borderId="0" xfId="0" applyFont="1" applyBorder="1" applyAlignment="1">
      <alignment horizontal="center" vertical="top" wrapText="1"/>
    </xf>
    <xf numFmtId="0" fontId="17" fillId="0" borderId="0" xfId="0" applyFont="1" applyBorder="1" applyAlignment="1">
      <alignment vertical="top" wrapText="1"/>
    </xf>
    <xf numFmtId="0" fontId="17" fillId="0" borderId="0" xfId="0" applyFont="1" applyBorder="1" applyAlignment="1">
      <alignment horizontal="center" vertical="top" wrapText="1"/>
    </xf>
    <xf numFmtId="0" fontId="30" fillId="0" borderId="0" xfId="0" applyFont="1" applyAlignment="1">
      <alignment horizontal="center"/>
    </xf>
    <xf numFmtId="0" fontId="30" fillId="0" borderId="0" xfId="0" applyFont="1"/>
    <xf numFmtId="0" fontId="17" fillId="0" borderId="1" xfId="0" applyFont="1" applyBorder="1" applyAlignment="1">
      <alignment horizontal="center" vertical="top" wrapText="1"/>
    </xf>
    <xf numFmtId="0" fontId="18" fillId="0" borderId="1" xfId="0" applyFont="1" applyBorder="1" applyAlignment="1">
      <alignment horizontal="center" vertical="top" wrapText="1"/>
    </xf>
    <xf numFmtId="0" fontId="17" fillId="0" borderId="1" xfId="0" applyFont="1" applyBorder="1" applyAlignment="1">
      <alignment vertical="top" wrapText="1"/>
    </xf>
    <xf numFmtId="0" fontId="17" fillId="0" borderId="1" xfId="0" applyFont="1" applyBorder="1" applyAlignment="1">
      <alignment horizontal="right" vertical="top" wrapText="1"/>
    </xf>
    <xf numFmtId="0" fontId="7" fillId="0" borderId="1" xfId="0" applyFont="1" applyBorder="1" applyAlignment="1">
      <alignment horizontal="left"/>
    </xf>
    <xf numFmtId="0" fontId="31" fillId="0" borderId="1" xfId="0" applyFont="1" applyBorder="1" applyAlignment="1">
      <alignment horizontal="left"/>
    </xf>
    <xf numFmtId="0" fontId="32" fillId="0" borderId="1" xfId="0" applyFont="1" applyBorder="1" applyAlignment="1">
      <alignment vertical="top" wrapText="1"/>
    </xf>
    <xf numFmtId="0" fontId="31" fillId="0" borderId="1" xfId="0" applyFont="1" applyBorder="1"/>
    <xf numFmtId="0" fontId="17" fillId="0" borderId="0" xfId="0" applyFont="1" applyAlignment="1">
      <alignment vertical="top" wrapText="1"/>
    </xf>
    <xf numFmtId="0" fontId="32" fillId="0" borderId="0" xfId="0" applyFont="1" applyAlignment="1">
      <alignment vertical="top" wrapText="1"/>
    </xf>
    <xf numFmtId="0" fontId="18" fillId="0" borderId="0" xfId="0" applyFont="1" applyAlignment="1">
      <alignment horizontal="center"/>
    </xf>
    <xf numFmtId="0" fontId="17" fillId="0" borderId="0" xfId="0" applyFont="1"/>
    <xf numFmtId="2" fontId="24" fillId="0" borderId="1" xfId="0" applyNumberFormat="1" applyFont="1" applyFill="1" applyBorder="1" applyAlignment="1" applyProtection="1">
      <alignment vertical="center" wrapText="1"/>
      <protection hidden="1"/>
    </xf>
    <xf numFmtId="0" fontId="8" fillId="0" borderId="1" xfId="0" applyFont="1" applyBorder="1" applyAlignment="1" applyProtection="1">
      <alignment horizontal="center"/>
      <protection hidden="1"/>
    </xf>
    <xf numFmtId="0" fontId="8" fillId="0" borderId="0" xfId="0" applyFont="1" applyAlignment="1" applyProtection="1">
      <alignment horizontal="center"/>
      <protection hidden="1"/>
    </xf>
    <xf numFmtId="0" fontId="9" fillId="0" borderId="0" xfId="0" applyFont="1" applyAlignment="1" applyProtection="1">
      <alignment horizontal="left"/>
      <protection hidden="1"/>
    </xf>
    <xf numFmtId="0" fontId="9" fillId="0" borderId="12" xfId="0" applyFont="1" applyBorder="1" applyAlignment="1" applyProtection="1">
      <alignment horizontal="left"/>
      <protection hidden="1"/>
    </xf>
    <xf numFmtId="0" fontId="9" fillId="0" borderId="0" xfId="0" applyFont="1" applyBorder="1" applyAlignment="1" applyProtection="1">
      <alignment horizontal="left"/>
      <protection hidden="1"/>
    </xf>
    <xf numFmtId="0" fontId="8" fillId="0" borderId="8"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wrapText="1"/>
      <protection hidden="1"/>
    </xf>
    <xf numFmtId="0" fontId="8" fillId="0" borderId="1" xfId="0" applyFont="1" applyBorder="1" applyAlignment="1" applyProtection="1">
      <alignment horizontal="center" vertical="center" wrapText="1"/>
    </xf>
    <xf numFmtId="0" fontId="9" fillId="0" borderId="0" xfId="0" applyFont="1" applyAlignment="1" applyProtection="1">
      <alignment horizontal="left" wrapText="1"/>
    </xf>
    <xf numFmtId="0" fontId="8" fillId="0" borderId="0" xfId="0" applyFont="1" applyAlignment="1" applyProtection="1">
      <alignment horizontal="left"/>
    </xf>
    <xf numFmtId="0" fontId="8" fillId="0" borderId="0" xfId="0" applyFont="1" applyAlignment="1" applyProtection="1">
      <alignment horizontal="left" wrapText="1"/>
    </xf>
    <xf numFmtId="0" fontId="9" fillId="0" borderId="0" xfId="0" applyFont="1" applyAlignment="1" applyProtection="1">
      <alignment horizontal="left" vertical="top" wrapText="1"/>
    </xf>
    <xf numFmtId="0" fontId="17" fillId="0" borderId="1" xfId="1" applyFont="1" applyBorder="1" applyAlignment="1">
      <alignment horizontal="center" vertical="top" wrapText="1"/>
    </xf>
    <xf numFmtId="0" fontId="30" fillId="0" borderId="0" xfId="1" applyFont="1" applyAlignment="1">
      <alignment horizontal="center" wrapText="1"/>
    </xf>
    <xf numFmtId="0" fontId="17" fillId="0" borderId="0" xfId="1" applyFont="1" applyBorder="1" applyAlignment="1">
      <alignment horizontal="left" vertical="top" wrapText="1"/>
    </xf>
    <xf numFmtId="0" fontId="18" fillId="0" borderId="1" xfId="1" applyFont="1" applyBorder="1" applyAlignment="1">
      <alignment horizontal="center" vertical="top" wrapText="1"/>
    </xf>
    <xf numFmtId="0" fontId="34" fillId="0" borderId="8" xfId="0" applyFont="1" applyFill="1" applyBorder="1" applyAlignment="1" applyProtection="1">
      <alignment horizontal="left" vertical="center" wrapText="1"/>
      <protection hidden="1"/>
    </xf>
    <xf numFmtId="0" fontId="34" fillId="0" borderId="11" xfId="0" applyFont="1" applyFill="1" applyBorder="1" applyAlignment="1" applyProtection="1">
      <alignment horizontal="left" vertical="center" wrapText="1"/>
      <protection hidden="1"/>
    </xf>
    <xf numFmtId="0" fontId="34" fillId="0" borderId="5" xfId="0" applyFont="1" applyFill="1" applyBorder="1" applyAlignment="1" applyProtection="1">
      <alignment horizontal="left" vertical="center" wrapText="1"/>
      <protection hidden="1"/>
    </xf>
    <xf numFmtId="0" fontId="34" fillId="0" borderId="8" xfId="0" applyFont="1" applyFill="1" applyBorder="1" applyAlignment="1" applyProtection="1">
      <alignment horizontal="center" vertical="center" wrapText="1"/>
      <protection hidden="1"/>
    </xf>
    <xf numFmtId="0" fontId="34" fillId="0" borderId="11" xfId="0" applyFont="1" applyFill="1" applyBorder="1" applyAlignment="1" applyProtection="1">
      <alignment horizontal="center" vertical="center" wrapText="1"/>
      <protection hidden="1"/>
    </xf>
    <xf numFmtId="0" fontId="34" fillId="0" borderId="5" xfId="0" applyFont="1" applyFill="1" applyBorder="1" applyAlignment="1" applyProtection="1">
      <alignment horizontal="center" vertical="center" wrapText="1"/>
      <protection hidden="1"/>
    </xf>
    <xf numFmtId="0" fontId="1" fillId="0" borderId="7" xfId="0" applyFont="1" applyFill="1" applyBorder="1" applyAlignment="1" applyProtection="1">
      <alignment horizontal="left" wrapText="1"/>
    </xf>
    <xf numFmtId="0" fontId="0" fillId="0" borderId="6" xfId="0" applyFill="1" applyBorder="1" applyAlignment="1" applyProtection="1">
      <alignment horizontal="left" wrapText="1"/>
    </xf>
    <xf numFmtId="0" fontId="0" fillId="0" borderId="13" xfId="0" applyFill="1" applyBorder="1" applyAlignment="1" applyProtection="1">
      <alignment horizontal="left" wrapText="1"/>
    </xf>
    <xf numFmtId="2" fontId="24" fillId="0" borderId="1" xfId="0" applyNumberFormat="1" applyFont="1" applyFill="1" applyBorder="1" applyAlignment="1" applyProtection="1">
      <alignment horizontal="center" vertical="center" wrapText="1"/>
      <protection hidden="1"/>
    </xf>
    <xf numFmtId="2" fontId="24" fillId="0" borderId="8" xfId="0" applyNumberFormat="1" applyFont="1" applyFill="1" applyBorder="1" applyAlignment="1" applyProtection="1">
      <alignment horizontal="center" vertical="center" wrapText="1"/>
      <protection hidden="1"/>
    </xf>
    <xf numFmtId="2" fontId="24" fillId="0" borderId="1" xfId="0" applyNumberFormat="1" applyFont="1" applyFill="1" applyBorder="1" applyAlignment="1" applyProtection="1">
      <alignment horizontal="center" wrapText="1"/>
      <protection hidden="1"/>
    </xf>
    <xf numFmtId="2" fontId="24" fillId="0" borderId="10" xfId="0" applyNumberFormat="1" applyFont="1" applyFill="1" applyBorder="1" applyAlignment="1" applyProtection="1">
      <alignment horizontal="center" wrapText="1"/>
      <protection hidden="1"/>
    </xf>
    <xf numFmtId="2" fontId="24" fillId="0" borderId="48" xfId="0" applyNumberFormat="1" applyFont="1" applyFill="1" applyBorder="1" applyAlignment="1" applyProtection="1">
      <alignment horizontal="center" wrapText="1"/>
      <protection hidden="1"/>
    </xf>
    <xf numFmtId="2" fontId="24" fillId="0" borderId="49" xfId="0" applyNumberFormat="1" applyFont="1" applyFill="1" applyBorder="1" applyAlignment="1" applyProtection="1">
      <alignment horizontal="center" wrapText="1"/>
      <protection hidden="1"/>
    </xf>
    <xf numFmtId="0" fontId="1" fillId="0" borderId="3" xfId="0" applyNumberFormat="1" applyFont="1" applyFill="1" applyBorder="1" applyAlignment="1" applyProtection="1">
      <alignment horizontal="left" vertical="center" wrapText="1"/>
    </xf>
    <xf numFmtId="0" fontId="1" fillId="0" borderId="10" xfId="0" applyNumberFormat="1" applyFont="1" applyFill="1" applyBorder="1" applyAlignment="1" applyProtection="1">
      <alignment horizontal="left" vertical="center" wrapText="1"/>
    </xf>
    <xf numFmtId="0" fontId="34" fillId="0" borderId="1" xfId="0" applyFont="1" applyFill="1" applyBorder="1" applyAlignment="1" applyProtection="1">
      <alignment horizontal="center" wrapText="1"/>
      <protection hidden="1"/>
    </xf>
    <xf numFmtId="2" fontId="24" fillId="0" borderId="11" xfId="0" applyNumberFormat="1" applyFont="1" applyFill="1" applyBorder="1" applyAlignment="1" applyProtection="1">
      <alignment horizontal="center" vertical="center" wrapText="1"/>
      <protection hidden="1"/>
    </xf>
    <xf numFmtId="0" fontId="1" fillId="0" borderId="0" xfId="0" applyFont="1" applyFill="1" applyAlignment="1" applyProtection="1">
      <alignment horizontal="center"/>
      <protection hidden="1"/>
    </xf>
    <xf numFmtId="0" fontId="0" fillId="0" borderId="0" xfId="0" applyFont="1" applyFill="1" applyAlignment="1" applyProtection="1">
      <alignment horizontal="center"/>
      <protection hidden="1"/>
    </xf>
    <xf numFmtId="0" fontId="0" fillId="0" borderId="1" xfId="0" applyFont="1" applyFill="1" applyBorder="1" applyAlignment="1" applyProtection="1">
      <alignment horizontal="center" vertical="center" wrapText="1"/>
      <protection hidden="1"/>
    </xf>
    <xf numFmtId="0" fontId="0" fillId="0" borderId="3" xfId="0" applyNumberFormat="1" applyFill="1" applyBorder="1" applyAlignment="1" applyProtection="1">
      <alignment horizontal="left" vertical="center" wrapText="1"/>
    </xf>
    <xf numFmtId="0" fontId="0" fillId="0" borderId="10" xfId="0" applyNumberFormat="1" applyFont="1" applyFill="1" applyBorder="1" applyAlignment="1" applyProtection="1">
      <alignment horizontal="left" vertical="center" wrapText="1"/>
    </xf>
    <xf numFmtId="0" fontId="34" fillId="0" borderId="0" xfId="0" applyFont="1" applyFill="1" applyBorder="1" applyAlignment="1" applyProtection="1">
      <alignment horizontal="left" wrapText="1"/>
    </xf>
    <xf numFmtId="1" fontId="0" fillId="0" borderId="4" xfId="0" applyNumberFormat="1" applyFont="1" applyFill="1" applyBorder="1" applyAlignment="1" applyProtection="1">
      <alignment horizontal="left" vertical="center" wrapText="1"/>
      <protection hidden="1"/>
    </xf>
    <xf numFmtId="1" fontId="0" fillId="0" borderId="0" xfId="0" applyNumberFormat="1" applyFont="1" applyFill="1" applyBorder="1" applyAlignment="1" applyProtection="1">
      <alignment horizontal="left" vertical="center" wrapText="1"/>
      <protection hidden="1"/>
    </xf>
    <xf numFmtId="0" fontId="0" fillId="0" borderId="0" xfId="0" applyFill="1" applyAlignment="1" applyProtection="1">
      <alignment horizontal="center"/>
      <protection hidden="1"/>
    </xf>
    <xf numFmtId="2" fontId="24" fillId="0" borderId="3" xfId="0" applyNumberFormat="1" applyFont="1" applyFill="1" applyBorder="1" applyAlignment="1" applyProtection="1">
      <alignment horizontal="center" wrapText="1"/>
      <protection hidden="1"/>
    </xf>
    <xf numFmtId="0" fontId="28" fillId="0" borderId="0" xfId="0" applyFont="1" applyAlignment="1" applyProtection="1">
      <alignment horizontal="left" wrapText="1"/>
    </xf>
    <xf numFmtId="0" fontId="8" fillId="0" borderId="0" xfId="0" applyFont="1" applyAlignment="1" applyProtection="1">
      <alignment horizontal="left"/>
      <protection hidden="1"/>
    </xf>
    <xf numFmtId="0" fontId="8" fillId="0" borderId="0" xfId="0" applyFont="1" applyAlignment="1" applyProtection="1">
      <alignment horizontal="left" wrapText="1"/>
      <protection hidden="1"/>
    </xf>
    <xf numFmtId="0" fontId="8" fillId="0" borderId="3" xfId="0" applyFont="1" applyBorder="1" applyAlignment="1" applyProtection="1">
      <alignment horizontal="center"/>
      <protection hidden="1"/>
    </xf>
    <xf numFmtId="0" fontId="8" fillId="0" borderId="16" xfId="0" applyFont="1" applyBorder="1" applyAlignment="1" applyProtection="1">
      <alignment horizontal="center"/>
      <protection hidden="1"/>
    </xf>
    <xf numFmtId="0" fontId="9" fillId="0" borderId="0" xfId="0" applyFont="1" applyAlignment="1" applyProtection="1">
      <alignment horizontal="left" wrapText="1"/>
      <protection hidden="1"/>
    </xf>
    <xf numFmtId="0" fontId="8" fillId="0" borderId="17" xfId="0" applyFont="1" applyBorder="1" applyAlignment="1" applyProtection="1">
      <alignment horizontal="left" wrapText="1"/>
      <protection hidden="1"/>
    </xf>
    <xf numFmtId="0" fontId="8" fillId="0" borderId="12"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4" xfId="0" applyFont="1" applyBorder="1" applyAlignment="1" applyProtection="1">
      <alignment horizontal="left" wrapText="1"/>
      <protection hidden="1"/>
    </xf>
    <xf numFmtId="0" fontId="8" fillId="0" borderId="0"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8" fillId="0" borderId="7" xfId="0" applyFont="1" applyBorder="1" applyAlignment="1" applyProtection="1">
      <alignment horizontal="left" wrapText="1"/>
      <protection hidden="1"/>
    </xf>
    <xf numFmtId="0" fontId="8" fillId="0" borderId="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7"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8" fillId="0" borderId="9" xfId="0" applyFont="1" applyBorder="1" applyAlignment="1" applyProtection="1">
      <alignment horizontal="left"/>
      <protection hidden="1"/>
    </xf>
    <xf numFmtId="0" fontId="8" fillId="0" borderId="17" xfId="0" applyFont="1" applyBorder="1" applyAlignment="1" applyProtection="1">
      <alignment horizontal="center"/>
      <protection hidden="1"/>
    </xf>
    <xf numFmtId="0" fontId="8" fillId="0" borderId="12" xfId="0" applyFont="1" applyBorder="1" applyAlignment="1" applyProtection="1">
      <alignment horizontal="center"/>
      <protection hidden="1"/>
    </xf>
    <xf numFmtId="0" fontId="8" fillId="0" borderId="10"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7" xfId="0" applyFont="1" applyBorder="1" applyAlignment="1" applyProtection="1">
      <alignment horizontal="center"/>
      <protection hidden="1"/>
    </xf>
    <xf numFmtId="0" fontId="8" fillId="0" borderId="6" xfId="0"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wrapText="1"/>
      <protection hidden="1"/>
    </xf>
    <xf numFmtId="0" fontId="8" fillId="0" borderId="16" xfId="0" applyFont="1" applyFill="1" applyBorder="1" applyAlignment="1" applyProtection="1">
      <alignment horizontal="center" vertical="top" wrapText="1"/>
      <protection hidden="1"/>
    </xf>
    <xf numFmtId="0" fontId="8" fillId="0" borderId="10" xfId="0" applyFont="1" applyFill="1" applyBorder="1" applyAlignment="1" applyProtection="1">
      <alignment horizontal="center" vertical="top" wrapText="1"/>
      <protection hidden="1"/>
    </xf>
    <xf numFmtId="0" fontId="8" fillId="0" borderId="0" xfId="0" applyFont="1" applyFill="1" applyAlignment="1" applyProtection="1">
      <alignment horizontal="left"/>
      <protection hidden="1"/>
    </xf>
    <xf numFmtId="0" fontId="8" fillId="0" borderId="8" xfId="0" applyFont="1" applyFill="1" applyBorder="1" applyAlignment="1" applyProtection="1">
      <alignment horizontal="center" vertical="top"/>
      <protection hidden="1"/>
    </xf>
    <xf numFmtId="0" fontId="8" fillId="0" borderId="5" xfId="0" applyFont="1" applyFill="1" applyBorder="1" applyAlignment="1" applyProtection="1">
      <alignment horizontal="center" vertical="top"/>
      <protection hidden="1"/>
    </xf>
    <xf numFmtId="0" fontId="8" fillId="0" borderId="8" xfId="0" applyFont="1" applyFill="1" applyBorder="1" applyAlignment="1" applyProtection="1">
      <alignment horizontal="center" vertical="top" wrapText="1"/>
      <protection hidden="1"/>
    </xf>
    <xf numFmtId="0" fontId="8" fillId="0" borderId="5" xfId="0" applyFont="1" applyFill="1" applyBorder="1" applyAlignment="1" applyProtection="1">
      <alignment horizontal="center" vertical="top" wrapText="1"/>
      <protection hidden="1"/>
    </xf>
    <xf numFmtId="0" fontId="8" fillId="0" borderId="11" xfId="0" applyFont="1" applyFill="1" applyBorder="1" applyAlignment="1" applyProtection="1">
      <alignment horizontal="center" vertical="top" wrapText="1"/>
      <protection hidden="1"/>
    </xf>
    <xf numFmtId="0" fontId="8" fillId="0" borderId="0" xfId="0" applyFont="1" applyFill="1" applyAlignment="1" applyProtection="1">
      <alignment horizontal="center" vertical="top" wrapText="1"/>
      <protection hidden="1"/>
    </xf>
    <xf numFmtId="0" fontId="8" fillId="0" borderId="0" xfId="0" applyFont="1" applyFill="1" applyAlignment="1" applyProtection="1">
      <alignment horizontal="left" vertical="top"/>
      <protection hidden="1"/>
    </xf>
    <xf numFmtId="0" fontId="8" fillId="0" borderId="0" xfId="0" applyFont="1" applyFill="1" applyAlignment="1" applyProtection="1">
      <alignment horizontal="left" vertical="top" wrapText="1"/>
      <protection hidden="1"/>
    </xf>
    <xf numFmtId="0" fontId="8" fillId="0" borderId="0" xfId="0" applyFont="1" applyFill="1" applyAlignment="1" applyProtection="1">
      <alignment horizontal="center"/>
      <protection hidden="1"/>
    </xf>
    <xf numFmtId="0" fontId="8" fillId="0" borderId="16" xfId="0" applyFont="1" applyBorder="1" applyAlignment="1" applyProtection="1">
      <alignment horizontal="center" vertical="top" wrapText="1"/>
      <protection hidden="1"/>
    </xf>
    <xf numFmtId="0" fontId="8" fillId="0" borderId="10" xfId="0" applyFont="1" applyBorder="1" applyAlignment="1" applyProtection="1">
      <alignment horizontal="center" vertical="top" wrapText="1"/>
      <protection hidden="1"/>
    </xf>
    <xf numFmtId="0" fontId="8" fillId="0" borderId="0" xfId="0" applyFont="1" applyAlignment="1" applyProtection="1">
      <alignment horizontal="left" vertical="top"/>
      <protection hidden="1"/>
    </xf>
    <xf numFmtId="0" fontId="8" fillId="0" borderId="8" xfId="0" applyFont="1" applyBorder="1" applyAlignment="1" applyProtection="1">
      <alignment horizontal="center" vertical="top"/>
      <protection hidden="1"/>
    </xf>
    <xf numFmtId="0" fontId="8" fillId="0" borderId="5" xfId="0" applyFont="1" applyBorder="1" applyAlignment="1" applyProtection="1">
      <alignment horizontal="center" vertical="top"/>
      <protection hidden="1"/>
    </xf>
    <xf numFmtId="0" fontId="8" fillId="0" borderId="8" xfId="0" applyFont="1" applyBorder="1" applyAlignment="1" applyProtection="1">
      <alignment horizontal="center" vertical="top" wrapText="1"/>
      <protection hidden="1"/>
    </xf>
    <xf numFmtId="0" fontId="8" fillId="0" borderId="5" xfId="0" applyFont="1" applyBorder="1" applyAlignment="1" applyProtection="1">
      <alignment horizontal="center" vertical="top" wrapText="1"/>
      <protection hidden="1"/>
    </xf>
    <xf numFmtId="0" fontId="8" fillId="0" borderId="11" xfId="0" applyFont="1" applyBorder="1" applyAlignment="1" applyProtection="1">
      <alignment horizontal="center" vertical="top" wrapText="1"/>
      <protection hidden="1"/>
    </xf>
    <xf numFmtId="0" fontId="8" fillId="0" borderId="0" xfId="0" applyFont="1" applyAlignment="1" applyProtection="1">
      <alignment horizontal="right" vertical="top" wrapText="1"/>
      <protection hidden="1"/>
    </xf>
    <xf numFmtId="0" fontId="8" fillId="0" borderId="0" xfId="0" applyFont="1" applyAlignment="1" applyProtection="1">
      <alignment horizontal="center" vertical="top" wrapText="1"/>
      <protection hidden="1"/>
    </xf>
    <xf numFmtId="0" fontId="8" fillId="2" borderId="0" xfId="0" applyFont="1" applyFill="1" applyAlignment="1" applyProtection="1">
      <alignment horizontal="center"/>
      <protection hidden="1"/>
    </xf>
    <xf numFmtId="0" fontId="9" fillId="0" borderId="0" xfId="0" applyFont="1" applyAlignment="1" applyProtection="1">
      <alignment horizontal="center"/>
      <protection hidden="1"/>
    </xf>
    <xf numFmtId="0" fontId="8" fillId="0" borderId="0" xfId="0" applyFont="1" applyBorder="1" applyAlignment="1" applyProtection="1">
      <alignment horizontal="center"/>
      <protection hidden="1"/>
    </xf>
    <xf numFmtId="0" fontId="9" fillId="0" borderId="0" xfId="0" applyFont="1" applyFill="1" applyBorder="1" applyAlignment="1" applyProtection="1">
      <alignment horizontal="left" vertical="top"/>
      <protection hidden="1"/>
    </xf>
    <xf numFmtId="0" fontId="8" fillId="0" borderId="0"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0" xfId="0" applyFont="1" applyFill="1" applyAlignment="1" applyProtection="1">
      <alignment horizontal="center"/>
      <protection hidden="1"/>
    </xf>
    <xf numFmtId="0" fontId="8" fillId="0" borderId="17" xfId="0" applyFont="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 xfId="0" applyFont="1" applyBorder="1" applyAlignment="1" applyProtection="1">
      <alignment horizontal="center" vertical="center"/>
      <protection hidden="1"/>
    </xf>
    <xf numFmtId="0" fontId="8" fillId="0" borderId="1" xfId="0" applyFont="1" applyBorder="1" applyAlignment="1" applyProtection="1">
      <alignment horizontal="center" vertical="center" wrapText="1"/>
      <protection hidden="1"/>
    </xf>
    <xf numFmtId="0" fontId="8" fillId="0" borderId="1" xfId="0" applyFont="1" applyBorder="1" applyAlignment="1" applyProtection="1">
      <alignment horizontal="center"/>
      <protection hidden="1"/>
    </xf>
    <xf numFmtId="0" fontId="8" fillId="0" borderId="1" xfId="0" applyFont="1" applyFill="1" applyBorder="1" applyAlignment="1" applyProtection="1">
      <alignment horizontal="center" vertical="center"/>
      <protection hidden="1"/>
    </xf>
    <xf numFmtId="0" fontId="8" fillId="0" borderId="0" xfId="0" applyFont="1" applyAlignment="1" applyProtection="1">
      <alignment horizontal="right"/>
      <protection hidden="1"/>
    </xf>
    <xf numFmtId="0" fontId="9" fillId="0" borderId="6" xfId="0" applyFont="1" applyBorder="1" applyAlignment="1" applyProtection="1">
      <alignment horizontal="left"/>
      <protection hidden="1"/>
    </xf>
    <xf numFmtId="0" fontId="8" fillId="0" borderId="0" xfId="0" applyFont="1" applyAlignment="1" applyProtection="1">
      <alignment horizontal="center" wrapText="1"/>
      <protection hidden="1"/>
    </xf>
    <xf numFmtId="0" fontId="8" fillId="0" borderId="3" xfId="0" applyFont="1" applyBorder="1" applyAlignment="1" applyProtection="1">
      <alignment horizontal="left" wrapText="1"/>
      <protection hidden="1"/>
    </xf>
    <xf numFmtId="0" fontId="8" fillId="0" borderId="10" xfId="0" applyFont="1" applyBorder="1" applyAlignment="1" applyProtection="1">
      <alignment horizontal="left" wrapText="1"/>
      <protection hidden="1"/>
    </xf>
    <xf numFmtId="0" fontId="9" fillId="0" borderId="12" xfId="0" applyFont="1" applyBorder="1" applyAlignment="1" applyProtection="1">
      <alignment horizontal="left" wrapText="1"/>
      <protection hidden="1"/>
    </xf>
    <xf numFmtId="0" fontId="8" fillId="0" borderId="3" xfId="0" applyFont="1" applyBorder="1" applyAlignment="1" applyProtection="1">
      <alignment horizontal="center" wrapText="1"/>
      <protection hidden="1"/>
    </xf>
    <xf numFmtId="0" fontId="8" fillId="0" borderId="10" xfId="0" applyFont="1" applyBorder="1" applyAlignment="1" applyProtection="1">
      <alignment horizontal="center" wrapText="1"/>
      <protection hidden="1"/>
    </xf>
    <xf numFmtId="0" fontId="8" fillId="0" borderId="1" xfId="0" applyFont="1" applyBorder="1" applyAlignment="1" applyProtection="1">
      <alignment horizontal="left" vertical="center" wrapText="1"/>
      <protection hidden="1"/>
    </xf>
    <xf numFmtId="0" fontId="8" fillId="0" borderId="8" xfId="0" applyFont="1" applyBorder="1" applyAlignment="1" applyProtection="1">
      <alignment horizontal="center" vertical="center"/>
      <protection hidden="1"/>
    </xf>
    <xf numFmtId="0" fontId="8" fillId="0" borderId="11"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8" fillId="0" borderId="0" xfId="0" applyFont="1" applyFill="1" applyAlignment="1" applyProtection="1">
      <alignment horizontal="center"/>
    </xf>
    <xf numFmtId="0" fontId="9" fillId="0" borderId="1" xfId="0" applyFont="1" applyFill="1" applyBorder="1" applyAlignment="1" applyProtection="1">
      <alignment vertical="top" wrapText="1"/>
      <protection hidden="1"/>
    </xf>
    <xf numFmtId="0" fontId="9" fillId="0" borderId="8" xfId="0" applyFont="1" applyFill="1" applyBorder="1" applyAlignment="1" applyProtection="1">
      <alignment horizontal="center" wrapText="1"/>
      <protection hidden="1"/>
    </xf>
    <xf numFmtId="0" fontId="9" fillId="0" borderId="5" xfId="0" applyFont="1" applyFill="1" applyBorder="1" applyAlignment="1" applyProtection="1">
      <alignment horizontal="center" wrapText="1"/>
      <protection hidden="1"/>
    </xf>
    <xf numFmtId="0" fontId="9" fillId="0" borderId="8" xfId="0" applyFont="1" applyFill="1" applyBorder="1" applyAlignment="1" applyProtection="1">
      <alignment horizontal="center" vertical="top" wrapText="1"/>
      <protection hidden="1"/>
    </xf>
    <xf numFmtId="0" fontId="9" fillId="0" borderId="5" xfId="0" applyFont="1" applyFill="1" applyBorder="1" applyAlignment="1" applyProtection="1">
      <alignment horizontal="center" vertical="top" wrapText="1"/>
      <protection hidden="1"/>
    </xf>
    <xf numFmtId="0" fontId="0" fillId="0" borderId="8" xfId="0" applyFont="1" applyFill="1" applyBorder="1" applyAlignment="1" applyProtection="1">
      <alignment horizontal="center" vertical="top" wrapText="1"/>
      <protection hidden="1"/>
    </xf>
    <xf numFmtId="0" fontId="0" fillId="0" borderId="5" xfId="0" applyFont="1" applyFill="1" applyBorder="1" applyAlignment="1" applyProtection="1">
      <alignment horizontal="center" vertical="top" wrapText="1"/>
      <protection hidden="1"/>
    </xf>
    <xf numFmtId="0" fontId="0" fillId="0" borderId="15" xfId="0" applyFont="1" applyFill="1" applyBorder="1" applyAlignment="1" applyProtection="1">
      <alignment horizontal="center" vertical="center" wrapText="1"/>
      <protection hidden="1"/>
    </xf>
    <xf numFmtId="0" fontId="0" fillId="0" borderId="43" xfId="0" applyFont="1" applyFill="1" applyBorder="1" applyAlignment="1" applyProtection="1">
      <alignment horizontal="center" vertical="center" wrapText="1"/>
      <protection hidden="1"/>
    </xf>
    <xf numFmtId="0" fontId="0" fillId="0" borderId="32" xfId="0" applyFont="1" applyFill="1" applyBorder="1" applyAlignment="1" applyProtection="1">
      <alignment horizontal="center" vertical="center" wrapText="1"/>
      <protection hidden="1"/>
    </xf>
    <xf numFmtId="0" fontId="0" fillId="0" borderId="15" xfId="0" applyFont="1" applyFill="1" applyBorder="1" applyAlignment="1" applyProtection="1">
      <alignment horizontal="center" vertical="top" wrapText="1"/>
      <protection hidden="1"/>
    </xf>
    <xf numFmtId="0" fontId="0" fillId="0" borderId="43" xfId="0" applyFont="1" applyFill="1" applyBorder="1" applyAlignment="1" applyProtection="1">
      <alignment horizontal="center" vertical="top" wrapText="1"/>
      <protection hidden="1"/>
    </xf>
    <xf numFmtId="0" fontId="0" fillId="0" borderId="32" xfId="0" applyFont="1" applyFill="1" applyBorder="1" applyAlignment="1" applyProtection="1">
      <alignment horizontal="center" vertical="top" wrapText="1"/>
      <protection hidden="1"/>
    </xf>
    <xf numFmtId="0" fontId="0" fillId="0" borderId="41" xfId="0" applyFont="1" applyFill="1" applyBorder="1" applyAlignment="1" applyProtection="1">
      <alignment horizontal="center" vertical="center" wrapText="1"/>
      <protection hidden="1"/>
    </xf>
    <xf numFmtId="0" fontId="0" fillId="0" borderId="50" xfId="0" applyFont="1" applyFill="1" applyBorder="1" applyAlignment="1" applyProtection="1">
      <alignment horizontal="center" vertical="center" wrapText="1"/>
      <protection hidden="1"/>
    </xf>
    <xf numFmtId="0" fontId="0" fillId="0" borderId="22" xfId="0" applyFont="1" applyFill="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21" xfId="0" applyFont="1" applyFill="1" applyBorder="1" applyAlignment="1" applyProtection="1">
      <alignment horizontal="center" vertical="center" wrapText="1"/>
      <protection hidden="1"/>
    </xf>
    <xf numFmtId="0" fontId="0" fillId="0" borderId="5" xfId="0" applyFont="1" applyFill="1" applyBorder="1" applyAlignment="1" applyProtection="1">
      <alignment horizontal="center" vertical="center" wrapText="1"/>
      <protection hidden="1"/>
    </xf>
    <xf numFmtId="0" fontId="0" fillId="0" borderId="8" xfId="0" applyFont="1" applyFill="1" applyBorder="1" applyAlignment="1" applyProtection="1">
      <alignment vertical="top" wrapText="1"/>
      <protection hidden="1"/>
    </xf>
    <xf numFmtId="0" fontId="0" fillId="0" borderId="11" xfId="0" applyFill="1" applyBorder="1" applyAlignment="1" applyProtection="1">
      <alignment vertical="top" wrapText="1"/>
      <protection hidden="1"/>
    </xf>
    <xf numFmtId="0" fontId="0" fillId="0" borderId="5" xfId="0" applyFill="1" applyBorder="1" applyAlignment="1" applyProtection="1">
      <alignment vertical="top" wrapText="1"/>
      <protection hidden="1"/>
    </xf>
    <xf numFmtId="0" fontId="0" fillId="0" borderId="8" xfId="0" applyFill="1" applyBorder="1" applyAlignment="1" applyProtection="1">
      <alignment vertical="top" wrapText="1"/>
      <protection hidden="1"/>
    </xf>
    <xf numFmtId="0" fontId="0" fillId="0" borderId="8" xfId="0" applyFont="1" applyFill="1" applyBorder="1" applyAlignment="1" applyProtection="1">
      <alignment wrapText="1"/>
      <protection hidden="1"/>
    </xf>
    <xf numFmtId="0" fontId="0" fillId="0" borderId="11" xfId="0" applyFont="1" applyFill="1" applyBorder="1" applyAlignment="1" applyProtection="1">
      <alignment wrapText="1"/>
      <protection hidden="1"/>
    </xf>
    <xf numFmtId="0" fontId="0" fillId="0" borderId="5" xfId="0" applyFont="1" applyFill="1" applyBorder="1" applyAlignment="1" applyProtection="1">
      <alignment wrapText="1"/>
      <protection hidden="1"/>
    </xf>
    <xf numFmtId="0" fontId="1" fillId="0" borderId="8" xfId="0" applyFont="1" applyFill="1" applyBorder="1" applyAlignment="1" applyProtection="1">
      <alignment vertical="top" wrapText="1"/>
      <protection hidden="1"/>
    </xf>
    <xf numFmtId="0" fontId="0" fillId="0" borderId="1" xfId="0" applyFont="1" applyFill="1" applyBorder="1" applyAlignment="1" applyProtection="1">
      <alignment wrapText="1"/>
      <protection hidden="1"/>
    </xf>
    <xf numFmtId="0" fontId="0" fillId="0" borderId="5" xfId="0" applyFill="1" applyBorder="1" applyAlignment="1" applyProtection="1">
      <alignment wrapText="1"/>
      <protection hidden="1"/>
    </xf>
    <xf numFmtId="0" fontId="0" fillId="0" borderId="11" xfId="0" applyFont="1" applyFill="1" applyBorder="1" applyAlignment="1" applyProtection="1">
      <alignment horizontal="center" vertical="top" wrapText="1"/>
      <protection hidden="1"/>
    </xf>
    <xf numFmtId="0" fontId="0" fillId="0" borderId="5" xfId="0" applyFill="1" applyBorder="1" applyAlignment="1" applyProtection="1">
      <alignment horizontal="center" vertical="top" wrapText="1"/>
      <protection hidden="1"/>
    </xf>
    <xf numFmtId="0" fontId="0" fillId="0" borderId="17" xfId="0" applyFont="1" applyFill="1" applyBorder="1" applyAlignment="1" applyProtection="1">
      <alignment horizontal="center"/>
      <protection hidden="1"/>
    </xf>
    <xf numFmtId="0" fontId="0" fillId="0" borderId="9" xfId="0" applyFont="1" applyFill="1" applyBorder="1" applyAlignment="1" applyProtection="1">
      <alignment horizontal="center"/>
      <protection hidden="1"/>
    </xf>
    <xf numFmtId="0" fontId="0" fillId="0" borderId="1" xfId="0" applyFont="1" applyFill="1" applyBorder="1" applyAlignment="1" applyProtection="1">
      <alignment horizontal="center"/>
      <protection hidden="1"/>
    </xf>
    <xf numFmtId="0" fontId="0" fillId="0" borderId="1" xfId="0" applyFont="1" applyFill="1" applyBorder="1" applyAlignment="1" applyProtection="1">
      <alignment vertical="top" wrapText="1"/>
      <protection hidden="1"/>
    </xf>
    <xf numFmtId="0" fontId="0" fillId="0" borderId="1" xfId="0" applyFill="1" applyBorder="1" applyAlignment="1" applyProtection="1">
      <alignment vertical="top" wrapText="1"/>
      <protection hidden="1"/>
    </xf>
    <xf numFmtId="0" fontId="8" fillId="0" borderId="7" xfId="0" applyFont="1" applyBorder="1" applyAlignment="1" applyProtection="1">
      <alignment horizontal="right"/>
      <protection hidden="1"/>
    </xf>
    <xf numFmtId="0" fontId="8" fillId="0" borderId="6" xfId="0" applyFont="1" applyBorder="1" applyAlignment="1" applyProtection="1">
      <alignment horizontal="right"/>
      <protection hidden="1"/>
    </xf>
    <xf numFmtId="0" fontId="8" fillId="0" borderId="13" xfId="0" applyFont="1" applyBorder="1" applyAlignment="1" applyProtection="1">
      <alignment horizontal="right"/>
      <protection hidden="1"/>
    </xf>
    <xf numFmtId="0" fontId="8" fillId="0" borderId="17" xfId="0" applyFont="1" applyBorder="1" applyAlignment="1" applyProtection="1">
      <alignment horizontal="right"/>
      <protection hidden="1"/>
    </xf>
    <xf numFmtId="0" fontId="8" fillId="0" borderId="12" xfId="0" applyFont="1" applyBorder="1" applyAlignment="1" applyProtection="1">
      <alignment horizontal="right"/>
      <protection hidden="1"/>
    </xf>
    <xf numFmtId="0" fontId="8" fillId="0" borderId="9" xfId="0" applyFont="1" applyBorder="1" applyAlignment="1" applyProtection="1">
      <alignment horizontal="right"/>
      <protection hidden="1"/>
    </xf>
    <xf numFmtId="0" fontId="8" fillId="0" borderId="7" xfId="0" applyFont="1" applyBorder="1" applyAlignment="1" applyProtection="1">
      <alignment horizontal="left"/>
      <protection hidden="1"/>
    </xf>
    <xf numFmtId="0" fontId="8" fillId="0" borderId="6" xfId="0" applyFont="1" applyBorder="1" applyAlignment="1" applyProtection="1">
      <alignment horizontal="left"/>
      <protection hidden="1"/>
    </xf>
    <xf numFmtId="0" fontId="8" fillId="0" borderId="13" xfId="0" applyFont="1" applyBorder="1" applyAlignment="1" applyProtection="1">
      <alignment horizontal="left"/>
      <protection hidden="1"/>
    </xf>
    <xf numFmtId="0" fontId="8" fillId="0" borderId="1" xfId="0" applyFont="1" applyBorder="1" applyAlignment="1" applyProtection="1">
      <alignment horizontal="left"/>
      <protection hidden="1"/>
    </xf>
    <xf numFmtId="0" fontId="8" fillId="0" borderId="0" xfId="0" applyFont="1" applyBorder="1" applyAlignment="1" applyProtection="1">
      <alignment horizontal="left"/>
      <protection hidden="1"/>
    </xf>
    <xf numFmtId="0" fontId="8" fillId="0" borderId="5" xfId="0" applyFont="1" applyBorder="1" applyAlignment="1" applyProtection="1">
      <alignment horizontal="left"/>
      <protection hidden="1"/>
    </xf>
    <xf numFmtId="0" fontId="8" fillId="0" borderId="3" xfId="0" applyFont="1" applyFill="1" applyBorder="1" applyAlignment="1" applyProtection="1">
      <alignment horizontal="center" wrapText="1"/>
      <protection hidden="1"/>
    </xf>
    <xf numFmtId="0" fontId="8" fillId="0" borderId="16" xfId="0" applyFont="1" applyFill="1" applyBorder="1" applyAlignment="1" applyProtection="1">
      <alignment horizontal="center" wrapText="1"/>
      <protection hidden="1"/>
    </xf>
    <xf numFmtId="0" fontId="17" fillId="0" borderId="1" xfId="0" applyFont="1" applyBorder="1" applyAlignment="1">
      <alignment horizontal="center" vertical="top" wrapText="1"/>
    </xf>
    <xf numFmtId="0" fontId="30" fillId="0" borderId="0" xfId="0" applyFont="1" applyAlignment="1">
      <alignment horizontal="center" wrapText="1"/>
    </xf>
    <xf numFmtId="0" fontId="17" fillId="0" borderId="0" xfId="0" applyFont="1" applyBorder="1" applyAlignment="1">
      <alignment horizontal="left" vertical="top" wrapText="1"/>
    </xf>
    <xf numFmtId="0" fontId="18" fillId="0" borderId="1" xfId="0" applyFont="1" applyBorder="1" applyAlignment="1">
      <alignment horizontal="center" vertical="top" wrapText="1"/>
    </xf>
  </cellXfs>
  <cellStyles count="3">
    <cellStyle name="Normal" xfId="0" builtinId="0"/>
    <cellStyle name="Normal 17" xfId="1"/>
    <cellStyle name="Normal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0</xdr:col>
      <xdr:colOff>542925</xdr:colOff>
      <xdr:row>12</xdr:row>
      <xdr:rowOff>0</xdr:rowOff>
    </xdr:from>
    <xdr:to>
      <xdr:col>1</xdr:col>
      <xdr:colOff>9525</xdr:colOff>
      <xdr:row>12</xdr:row>
      <xdr:rowOff>0</xdr:rowOff>
    </xdr:to>
    <xdr:sp macro="" textlink="">
      <xdr:nvSpPr>
        <xdr:cNvPr id="75845" name="AutoShape 4"/>
        <xdr:cNvSpPr>
          <a:spLocks/>
        </xdr:cNvSpPr>
      </xdr:nvSpPr>
      <xdr:spPr bwMode="auto">
        <a:xfrm>
          <a:off x="533400" y="1943100"/>
          <a:ext cx="9525" cy="0"/>
        </a:xfrm>
        <a:prstGeom prst="leftBracket">
          <a:avLst>
            <a:gd name="adj" fmla="val -2147483648"/>
          </a:avLst>
        </a:prstGeom>
        <a:noFill/>
        <a:ln w="9525">
          <a:solidFill>
            <a:srgbClr val="000000"/>
          </a:solidFill>
          <a:round/>
          <a:headEnd/>
          <a:tailEnd/>
        </a:ln>
      </xdr:spPr>
    </xdr:sp>
    <xdr:clientData/>
  </xdr:twoCellAnchor>
  <xdr:twoCellAnchor>
    <xdr:from>
      <xdr:col>0</xdr:col>
      <xdr:colOff>542925</xdr:colOff>
      <xdr:row>12</xdr:row>
      <xdr:rowOff>0</xdr:rowOff>
    </xdr:from>
    <xdr:to>
      <xdr:col>1</xdr:col>
      <xdr:colOff>9525</xdr:colOff>
      <xdr:row>12</xdr:row>
      <xdr:rowOff>0</xdr:rowOff>
    </xdr:to>
    <xdr:sp macro="" textlink="">
      <xdr:nvSpPr>
        <xdr:cNvPr id="75846" name="AutoShape 4"/>
        <xdr:cNvSpPr>
          <a:spLocks/>
        </xdr:cNvSpPr>
      </xdr:nvSpPr>
      <xdr:spPr bwMode="auto">
        <a:xfrm>
          <a:off x="533400" y="1943100"/>
          <a:ext cx="9525" cy="0"/>
        </a:xfrm>
        <a:prstGeom prst="leftBracket">
          <a:avLst>
            <a:gd name="adj" fmla="val -2147483648"/>
          </a:avLst>
        </a:prstGeom>
        <a:noFill/>
        <a:ln w="9525">
          <a:solidFill>
            <a:srgbClr val="000000"/>
          </a:solidFill>
          <a:round/>
          <a:headEnd/>
          <a:tailEnd/>
        </a:ln>
      </xdr:spPr>
    </xdr:sp>
    <xdr:clientData/>
  </xdr:twoCellAnchor>
  <xdr:twoCellAnchor>
    <xdr:from>
      <xdr:col>1</xdr:col>
      <xdr:colOff>2314575</xdr:colOff>
      <xdr:row>812</xdr:row>
      <xdr:rowOff>228600</xdr:rowOff>
    </xdr:from>
    <xdr:to>
      <xdr:col>1</xdr:col>
      <xdr:colOff>2543175</xdr:colOff>
      <xdr:row>812</xdr:row>
      <xdr:rowOff>228600</xdr:rowOff>
    </xdr:to>
    <xdr:sp macro="" textlink="">
      <xdr:nvSpPr>
        <xdr:cNvPr id="75847" name="AutoShape 11"/>
        <xdr:cNvSpPr>
          <a:spLocks/>
        </xdr:cNvSpPr>
      </xdr:nvSpPr>
      <xdr:spPr bwMode="auto">
        <a:xfrm>
          <a:off x="2847975" y="204568425"/>
          <a:ext cx="228600" cy="0"/>
        </a:xfrm>
        <a:prstGeom prst="rightBrace">
          <a:avLst>
            <a:gd name="adj1" fmla="val -2147483648"/>
            <a:gd name="adj2" fmla="val 50000"/>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1323975</xdr:colOff>
      <xdr:row>3008</xdr:row>
      <xdr:rowOff>57150</xdr:rowOff>
    </xdr:from>
    <xdr:to>
      <xdr:col>5</xdr:col>
      <xdr:colOff>647700</xdr:colOff>
      <xdr:row>3014</xdr:row>
      <xdr:rowOff>47625</xdr:rowOff>
    </xdr:to>
    <xdr:pic>
      <xdr:nvPicPr>
        <xdr:cNvPr id="76892" name="Picture 56"/>
        <xdr:cNvPicPr>
          <a:picLocks noChangeAspect="1" noChangeArrowheads="1"/>
        </xdr:cNvPicPr>
      </xdr:nvPicPr>
      <xdr:blipFill>
        <a:blip xmlns:r="http://schemas.openxmlformats.org/officeDocument/2006/relationships" r:embed="rId1" cstate="print"/>
        <a:srcRect/>
        <a:stretch>
          <a:fillRect/>
        </a:stretch>
      </xdr:blipFill>
      <xdr:spPr bwMode="auto">
        <a:xfrm>
          <a:off x="1323975" y="451046850"/>
          <a:ext cx="5229225" cy="1362075"/>
        </a:xfrm>
        <a:prstGeom prst="rect">
          <a:avLst/>
        </a:prstGeom>
        <a:noFill/>
        <a:ln w="1">
          <a:noFill/>
          <a:miter lim="800000"/>
          <a:headEnd/>
          <a:tailEnd/>
        </a:ln>
      </xdr:spPr>
    </xdr:pic>
    <xdr:clientData/>
  </xdr:twoCellAnchor>
  <xdr:twoCellAnchor editAs="oneCell">
    <xdr:from>
      <xdr:col>0</xdr:col>
      <xdr:colOff>1362075</xdr:colOff>
      <xdr:row>3143</xdr:row>
      <xdr:rowOff>85725</xdr:rowOff>
    </xdr:from>
    <xdr:to>
      <xdr:col>5</xdr:col>
      <xdr:colOff>790575</xdr:colOff>
      <xdr:row>3149</xdr:row>
      <xdr:rowOff>104775</xdr:rowOff>
    </xdr:to>
    <xdr:pic>
      <xdr:nvPicPr>
        <xdr:cNvPr id="76893" name="Picture 55"/>
        <xdr:cNvPicPr>
          <a:picLocks noChangeAspect="1" noChangeArrowheads="1"/>
        </xdr:cNvPicPr>
      </xdr:nvPicPr>
      <xdr:blipFill>
        <a:blip xmlns:r="http://schemas.openxmlformats.org/officeDocument/2006/relationships" r:embed="rId2" cstate="print"/>
        <a:srcRect/>
        <a:stretch>
          <a:fillRect/>
        </a:stretch>
      </xdr:blipFill>
      <xdr:spPr bwMode="auto">
        <a:xfrm rot="10800000" flipH="1" flipV="1">
          <a:off x="1362075" y="471925650"/>
          <a:ext cx="5334000" cy="1390650"/>
        </a:xfrm>
        <a:prstGeom prst="rect">
          <a:avLst/>
        </a:prstGeom>
        <a:noFill/>
        <a:ln w="1">
          <a:noFill/>
          <a:miter lim="800000"/>
          <a:headEnd/>
          <a:tailEnd/>
        </a:ln>
      </xdr:spPr>
    </xdr:pic>
    <xdr:clientData/>
  </xdr:twoCellAnchor>
  <xdr:twoCellAnchor editAs="oneCell">
    <xdr:from>
      <xdr:col>1</xdr:col>
      <xdr:colOff>381000</xdr:colOff>
      <xdr:row>5717</xdr:row>
      <xdr:rowOff>200025</xdr:rowOff>
    </xdr:from>
    <xdr:to>
      <xdr:col>6</xdr:col>
      <xdr:colOff>342900</xdr:colOff>
      <xdr:row>5726</xdr:row>
      <xdr:rowOff>95250</xdr:rowOff>
    </xdr:to>
    <xdr:pic>
      <xdr:nvPicPr>
        <xdr:cNvPr id="76894" name="Picture 57"/>
        <xdr:cNvPicPr>
          <a:picLocks noChangeAspect="1" noChangeArrowheads="1"/>
        </xdr:cNvPicPr>
      </xdr:nvPicPr>
      <xdr:blipFill>
        <a:blip xmlns:r="http://schemas.openxmlformats.org/officeDocument/2006/relationships" r:embed="rId3" cstate="print"/>
        <a:srcRect/>
        <a:stretch>
          <a:fillRect/>
        </a:stretch>
      </xdr:blipFill>
      <xdr:spPr bwMode="auto">
        <a:xfrm>
          <a:off x="2190750" y="876099975"/>
          <a:ext cx="4905375" cy="1952625"/>
        </a:xfrm>
        <a:prstGeom prst="rect">
          <a:avLst/>
        </a:prstGeom>
        <a:noFill/>
        <a:ln w="1">
          <a:noFill/>
          <a:miter lim="800000"/>
          <a:headEnd/>
          <a:tailEnd/>
        </a:ln>
      </xdr:spPr>
    </xdr:pic>
    <xdr:clientData/>
  </xdr:twoCellAnchor>
  <xdr:twoCellAnchor editAs="oneCell">
    <xdr:from>
      <xdr:col>2</xdr:col>
      <xdr:colOff>342900</xdr:colOff>
      <xdr:row>6097</xdr:row>
      <xdr:rowOff>0</xdr:rowOff>
    </xdr:from>
    <xdr:to>
      <xdr:col>6</xdr:col>
      <xdr:colOff>76200</xdr:colOff>
      <xdr:row>6106</xdr:row>
      <xdr:rowOff>28575</xdr:rowOff>
    </xdr:to>
    <xdr:pic>
      <xdr:nvPicPr>
        <xdr:cNvPr id="76895" name="Picture 58"/>
        <xdr:cNvPicPr>
          <a:picLocks noChangeAspect="1" noChangeArrowheads="1"/>
        </xdr:cNvPicPr>
      </xdr:nvPicPr>
      <xdr:blipFill>
        <a:blip xmlns:r="http://schemas.openxmlformats.org/officeDocument/2006/relationships" r:embed="rId4" cstate="print"/>
        <a:srcRect/>
        <a:stretch>
          <a:fillRect/>
        </a:stretch>
      </xdr:blipFill>
      <xdr:spPr bwMode="auto">
        <a:xfrm>
          <a:off x="2762250" y="935774100"/>
          <a:ext cx="4067175" cy="2085975"/>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828675</xdr:colOff>
      <xdr:row>70</xdr:row>
      <xdr:rowOff>104775</xdr:rowOff>
    </xdr:from>
    <xdr:to>
      <xdr:col>3</xdr:col>
      <xdr:colOff>771525</xdr:colOff>
      <xdr:row>75</xdr:row>
      <xdr:rowOff>152400</xdr:rowOff>
    </xdr:to>
    <xdr:pic>
      <xdr:nvPicPr>
        <xdr:cNvPr id="7796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752725" y="14601825"/>
          <a:ext cx="2990850" cy="1190625"/>
        </a:xfrm>
        <a:prstGeom prst="rect">
          <a:avLst/>
        </a:prstGeom>
        <a:noFill/>
        <a:ln w="1">
          <a:noFill/>
          <a:miter lim="800000"/>
          <a:headEnd/>
          <a:tailEnd/>
        </a:ln>
      </xdr:spPr>
    </xdr:pic>
    <xdr:clientData/>
  </xdr:twoCellAnchor>
  <xdr:twoCellAnchor editAs="oneCell">
    <xdr:from>
      <xdr:col>2</xdr:col>
      <xdr:colOff>1066800</xdr:colOff>
      <xdr:row>80</xdr:row>
      <xdr:rowOff>9525</xdr:rowOff>
    </xdr:from>
    <xdr:to>
      <xdr:col>4</xdr:col>
      <xdr:colOff>247650</xdr:colOff>
      <xdr:row>100</xdr:row>
      <xdr:rowOff>161925</xdr:rowOff>
    </xdr:to>
    <xdr:pic>
      <xdr:nvPicPr>
        <xdr:cNvPr id="77963" name="Picture 7"/>
        <xdr:cNvPicPr>
          <a:picLocks noChangeAspect="1"/>
        </xdr:cNvPicPr>
      </xdr:nvPicPr>
      <xdr:blipFill>
        <a:blip xmlns:r="http://schemas.openxmlformats.org/officeDocument/2006/relationships" r:embed="rId2" cstate="print"/>
        <a:srcRect l="25481" t="30199" r="15063" b="31339"/>
        <a:stretch>
          <a:fillRect/>
        </a:stretch>
      </xdr:blipFill>
      <xdr:spPr bwMode="auto">
        <a:xfrm>
          <a:off x="2990850" y="16792575"/>
          <a:ext cx="3486150" cy="1295400"/>
        </a:xfrm>
        <a:prstGeom prst="rect">
          <a:avLst/>
        </a:prstGeom>
        <a:noFill/>
        <a:ln w="9525">
          <a:noFill/>
          <a:miter lim="800000"/>
          <a:headEnd/>
          <a:tailEnd/>
        </a:ln>
      </xdr:spPr>
    </xdr:pic>
    <xdr:clientData/>
  </xdr:twoCellAnchor>
  <xdr:twoCellAnchor editAs="oneCell">
    <xdr:from>
      <xdr:col>2</xdr:col>
      <xdr:colOff>942975</xdr:colOff>
      <xdr:row>449</xdr:row>
      <xdr:rowOff>171450</xdr:rowOff>
    </xdr:from>
    <xdr:to>
      <xdr:col>3</xdr:col>
      <xdr:colOff>438150</xdr:colOff>
      <xdr:row>453</xdr:row>
      <xdr:rowOff>209550</xdr:rowOff>
    </xdr:to>
    <xdr:pic>
      <xdr:nvPicPr>
        <xdr:cNvPr id="77964"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2867025" y="61312425"/>
          <a:ext cx="2543175" cy="952500"/>
        </a:xfrm>
        <a:prstGeom prst="rect">
          <a:avLst/>
        </a:prstGeom>
        <a:noFill/>
        <a:ln w="1">
          <a:noFill/>
          <a:miter lim="800000"/>
          <a:headEnd/>
          <a:tailEnd/>
        </a:ln>
      </xdr:spPr>
    </xdr:pic>
    <xdr:clientData/>
  </xdr:twoCellAnchor>
  <xdr:twoCellAnchor editAs="oneCell">
    <xdr:from>
      <xdr:col>2</xdr:col>
      <xdr:colOff>28575</xdr:colOff>
      <xdr:row>809</xdr:row>
      <xdr:rowOff>114300</xdr:rowOff>
    </xdr:from>
    <xdr:to>
      <xdr:col>3</xdr:col>
      <xdr:colOff>695325</xdr:colOff>
      <xdr:row>814</xdr:row>
      <xdr:rowOff>171450</xdr:rowOff>
    </xdr:to>
    <xdr:pic>
      <xdr:nvPicPr>
        <xdr:cNvPr id="77965"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1952625" y="103660575"/>
          <a:ext cx="3714750" cy="1200150"/>
        </a:xfrm>
        <a:prstGeom prst="rect">
          <a:avLst/>
        </a:prstGeom>
        <a:noFill/>
        <a:ln w="1">
          <a:noFill/>
          <a:miter lim="800000"/>
          <a:headEnd/>
          <a:tailEnd/>
        </a:ln>
      </xdr:spPr>
    </xdr:pic>
    <xdr:clientData/>
  </xdr:twoCellAnchor>
  <xdr:twoCellAnchor editAs="oneCell">
    <xdr:from>
      <xdr:col>2</xdr:col>
      <xdr:colOff>1295400</xdr:colOff>
      <xdr:row>1564</xdr:row>
      <xdr:rowOff>57150</xdr:rowOff>
    </xdr:from>
    <xdr:to>
      <xdr:col>3</xdr:col>
      <xdr:colOff>1047750</xdr:colOff>
      <xdr:row>1570</xdr:row>
      <xdr:rowOff>9525</xdr:rowOff>
    </xdr:to>
    <xdr:pic>
      <xdr:nvPicPr>
        <xdr:cNvPr id="77966"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3219450" y="217989150"/>
          <a:ext cx="2800350" cy="1323975"/>
        </a:xfrm>
        <a:prstGeom prst="rect">
          <a:avLst/>
        </a:prstGeom>
        <a:noFill/>
        <a:ln w="1">
          <a:noFill/>
          <a:miter lim="800000"/>
          <a:headEnd/>
          <a:tailEnd/>
        </a:ln>
      </xdr:spPr>
    </xdr:pic>
    <xdr:clientData/>
  </xdr:twoCellAnchor>
  <xdr:twoCellAnchor editAs="oneCell">
    <xdr:from>
      <xdr:col>2</xdr:col>
      <xdr:colOff>1485900</xdr:colOff>
      <xdr:row>2280</xdr:row>
      <xdr:rowOff>180975</xdr:rowOff>
    </xdr:from>
    <xdr:to>
      <xdr:col>3</xdr:col>
      <xdr:colOff>866775</xdr:colOff>
      <xdr:row>2285</xdr:row>
      <xdr:rowOff>219075</xdr:rowOff>
    </xdr:to>
    <xdr:pic>
      <xdr:nvPicPr>
        <xdr:cNvPr id="77967"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3409950" y="337794600"/>
          <a:ext cx="2428875" cy="1181100"/>
        </a:xfrm>
        <a:prstGeom prst="rect">
          <a:avLst/>
        </a:prstGeom>
        <a:noFill/>
        <a:ln w="1">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923925</xdr:colOff>
      <xdr:row>471</xdr:row>
      <xdr:rowOff>219075</xdr:rowOff>
    </xdr:from>
    <xdr:to>
      <xdr:col>5</xdr:col>
      <xdr:colOff>76200</xdr:colOff>
      <xdr:row>494</xdr:row>
      <xdr:rowOff>66675</xdr:rowOff>
    </xdr:to>
    <xdr:pic>
      <xdr:nvPicPr>
        <xdr:cNvPr id="79101" name="Picture 26"/>
        <xdr:cNvPicPr>
          <a:picLocks noChangeAspect="1" noChangeArrowheads="1"/>
        </xdr:cNvPicPr>
      </xdr:nvPicPr>
      <xdr:blipFill>
        <a:blip xmlns:r="http://schemas.openxmlformats.org/officeDocument/2006/relationships" r:embed="rId1" cstate="print"/>
        <a:srcRect/>
        <a:stretch>
          <a:fillRect/>
        </a:stretch>
      </xdr:blipFill>
      <xdr:spPr bwMode="auto">
        <a:xfrm>
          <a:off x="2219325" y="73904475"/>
          <a:ext cx="4762500" cy="5105400"/>
        </a:xfrm>
        <a:prstGeom prst="rect">
          <a:avLst/>
        </a:prstGeom>
        <a:noFill/>
        <a:ln w="1">
          <a:noFill/>
          <a:miter lim="800000"/>
          <a:headEnd/>
          <a:tailEnd/>
        </a:ln>
      </xdr:spPr>
    </xdr:pic>
    <xdr:clientData/>
  </xdr:twoCellAnchor>
  <xdr:twoCellAnchor editAs="oneCell">
    <xdr:from>
      <xdr:col>2</xdr:col>
      <xdr:colOff>0</xdr:colOff>
      <xdr:row>682</xdr:row>
      <xdr:rowOff>95250</xdr:rowOff>
    </xdr:from>
    <xdr:to>
      <xdr:col>5</xdr:col>
      <xdr:colOff>28575</xdr:colOff>
      <xdr:row>705</xdr:row>
      <xdr:rowOff>95250</xdr:rowOff>
    </xdr:to>
    <xdr:pic>
      <xdr:nvPicPr>
        <xdr:cNvPr id="79102" name="Picture 27"/>
        <xdr:cNvPicPr>
          <a:picLocks noChangeAspect="1" noChangeArrowheads="1"/>
        </xdr:cNvPicPr>
      </xdr:nvPicPr>
      <xdr:blipFill>
        <a:blip xmlns:r="http://schemas.openxmlformats.org/officeDocument/2006/relationships" r:embed="rId2" cstate="print"/>
        <a:srcRect/>
        <a:stretch>
          <a:fillRect/>
        </a:stretch>
      </xdr:blipFill>
      <xdr:spPr bwMode="auto">
        <a:xfrm>
          <a:off x="2381250" y="98726625"/>
          <a:ext cx="4552950" cy="5257800"/>
        </a:xfrm>
        <a:prstGeom prst="rect">
          <a:avLst/>
        </a:prstGeom>
        <a:noFill/>
        <a:ln w="1">
          <a:noFill/>
          <a:miter lim="800000"/>
          <a:headEnd/>
          <a:tailEnd/>
        </a:ln>
      </xdr:spPr>
    </xdr:pic>
    <xdr:clientData/>
  </xdr:twoCellAnchor>
  <xdr:twoCellAnchor editAs="oneCell">
    <xdr:from>
      <xdr:col>1</xdr:col>
      <xdr:colOff>904875</xdr:colOff>
      <xdr:row>915</xdr:row>
      <xdr:rowOff>19050</xdr:rowOff>
    </xdr:from>
    <xdr:to>
      <xdr:col>4</xdr:col>
      <xdr:colOff>590550</xdr:colOff>
      <xdr:row>923</xdr:row>
      <xdr:rowOff>38100</xdr:rowOff>
    </xdr:to>
    <xdr:pic>
      <xdr:nvPicPr>
        <xdr:cNvPr id="79103" name="Picture 28"/>
        <xdr:cNvPicPr>
          <a:picLocks noChangeAspect="1" noChangeArrowheads="1"/>
        </xdr:cNvPicPr>
      </xdr:nvPicPr>
      <xdr:blipFill>
        <a:blip xmlns:r="http://schemas.openxmlformats.org/officeDocument/2006/relationships" r:embed="rId3" cstate="print"/>
        <a:srcRect/>
        <a:stretch>
          <a:fillRect/>
        </a:stretch>
      </xdr:blipFill>
      <xdr:spPr bwMode="auto">
        <a:xfrm>
          <a:off x="2200275" y="124282200"/>
          <a:ext cx="4448175" cy="1847850"/>
        </a:xfrm>
        <a:prstGeom prst="rect">
          <a:avLst/>
        </a:prstGeom>
        <a:noFill/>
        <a:ln w="1">
          <a:noFill/>
          <a:miter lim="800000"/>
          <a:headEnd/>
          <a:tailEnd/>
        </a:ln>
      </xdr:spPr>
    </xdr:pic>
    <xdr:clientData/>
  </xdr:twoCellAnchor>
  <xdr:twoCellAnchor editAs="oneCell">
    <xdr:from>
      <xdr:col>1</xdr:col>
      <xdr:colOff>876300</xdr:colOff>
      <xdr:row>1055</xdr:row>
      <xdr:rowOff>76200</xdr:rowOff>
    </xdr:from>
    <xdr:to>
      <xdr:col>4</xdr:col>
      <xdr:colOff>628650</xdr:colOff>
      <xdr:row>1078</xdr:row>
      <xdr:rowOff>95250</xdr:rowOff>
    </xdr:to>
    <xdr:pic>
      <xdr:nvPicPr>
        <xdr:cNvPr id="79104" name="Picture 29"/>
        <xdr:cNvPicPr>
          <a:picLocks noChangeAspect="1" noChangeArrowheads="1"/>
        </xdr:cNvPicPr>
      </xdr:nvPicPr>
      <xdr:blipFill>
        <a:blip xmlns:r="http://schemas.openxmlformats.org/officeDocument/2006/relationships" r:embed="rId4" cstate="print"/>
        <a:srcRect/>
        <a:stretch>
          <a:fillRect/>
        </a:stretch>
      </xdr:blipFill>
      <xdr:spPr bwMode="auto">
        <a:xfrm>
          <a:off x="2171700" y="143341725"/>
          <a:ext cx="4514850" cy="5276850"/>
        </a:xfrm>
        <a:prstGeom prst="rect">
          <a:avLst/>
        </a:prstGeom>
        <a:noFill/>
        <a:ln w="1">
          <a:noFill/>
          <a:miter lim="800000"/>
          <a:headEnd/>
          <a:tailEnd/>
        </a:ln>
      </xdr:spPr>
    </xdr:pic>
    <xdr:clientData/>
  </xdr:twoCellAnchor>
  <xdr:twoCellAnchor editAs="oneCell">
    <xdr:from>
      <xdr:col>1</xdr:col>
      <xdr:colOff>923925</xdr:colOff>
      <xdr:row>1276</xdr:row>
      <xdr:rowOff>219075</xdr:rowOff>
    </xdr:from>
    <xdr:to>
      <xdr:col>4</xdr:col>
      <xdr:colOff>476250</xdr:colOff>
      <xdr:row>1292</xdr:row>
      <xdr:rowOff>47625</xdr:rowOff>
    </xdr:to>
    <xdr:pic>
      <xdr:nvPicPr>
        <xdr:cNvPr id="79105" name="Picture 30"/>
        <xdr:cNvPicPr>
          <a:picLocks noChangeAspect="1" noChangeArrowheads="1"/>
        </xdr:cNvPicPr>
      </xdr:nvPicPr>
      <xdr:blipFill>
        <a:blip xmlns:r="http://schemas.openxmlformats.org/officeDocument/2006/relationships" r:embed="rId5" cstate="print"/>
        <a:srcRect/>
        <a:stretch>
          <a:fillRect/>
        </a:stretch>
      </xdr:blipFill>
      <xdr:spPr bwMode="auto">
        <a:xfrm>
          <a:off x="2219325" y="170278425"/>
          <a:ext cx="4314825" cy="3486150"/>
        </a:xfrm>
        <a:prstGeom prst="rect">
          <a:avLst/>
        </a:prstGeom>
        <a:noFill/>
        <a:ln w="1">
          <a:noFill/>
          <a:miter lim="800000"/>
          <a:headEnd/>
          <a:tailEnd/>
        </a:ln>
      </xdr:spPr>
    </xdr:pic>
    <xdr:clientData/>
  </xdr:twoCellAnchor>
  <xdr:twoCellAnchor editAs="oneCell">
    <xdr:from>
      <xdr:col>2</xdr:col>
      <xdr:colOff>114300</xdr:colOff>
      <xdr:row>1529</xdr:row>
      <xdr:rowOff>85725</xdr:rowOff>
    </xdr:from>
    <xdr:to>
      <xdr:col>5</xdr:col>
      <xdr:colOff>19050</xdr:colOff>
      <xdr:row>1537</xdr:row>
      <xdr:rowOff>85725</xdr:rowOff>
    </xdr:to>
    <xdr:pic>
      <xdr:nvPicPr>
        <xdr:cNvPr id="79106" name="Picture 32"/>
        <xdr:cNvPicPr>
          <a:picLocks noChangeAspect="1" noChangeArrowheads="1"/>
        </xdr:cNvPicPr>
      </xdr:nvPicPr>
      <xdr:blipFill>
        <a:blip xmlns:r="http://schemas.openxmlformats.org/officeDocument/2006/relationships" r:embed="rId6" cstate="print"/>
        <a:srcRect/>
        <a:stretch>
          <a:fillRect/>
        </a:stretch>
      </xdr:blipFill>
      <xdr:spPr bwMode="auto">
        <a:xfrm>
          <a:off x="2495550" y="200586975"/>
          <a:ext cx="4429125" cy="1828800"/>
        </a:xfrm>
        <a:prstGeom prst="rect">
          <a:avLst/>
        </a:prstGeom>
        <a:noFill/>
        <a:ln w="1">
          <a:noFill/>
          <a:miter lim="800000"/>
          <a:headEnd/>
          <a:tailEnd/>
        </a:ln>
      </xdr:spPr>
    </xdr:pic>
    <xdr:clientData/>
  </xdr:twoCellAnchor>
  <xdr:twoCellAnchor editAs="oneCell">
    <xdr:from>
      <xdr:col>2</xdr:col>
      <xdr:colOff>95250</xdr:colOff>
      <xdr:row>1293</xdr:row>
      <xdr:rowOff>219075</xdr:rowOff>
    </xdr:from>
    <xdr:to>
      <xdr:col>4</xdr:col>
      <xdr:colOff>371475</xdr:colOff>
      <xdr:row>1303</xdr:row>
      <xdr:rowOff>76200</xdr:rowOff>
    </xdr:to>
    <xdr:pic>
      <xdr:nvPicPr>
        <xdr:cNvPr id="79107" name="Picture 31"/>
        <xdr:cNvPicPr>
          <a:picLocks noChangeAspect="1" noChangeArrowheads="1"/>
        </xdr:cNvPicPr>
      </xdr:nvPicPr>
      <xdr:blipFill>
        <a:blip xmlns:r="http://schemas.openxmlformats.org/officeDocument/2006/relationships" r:embed="rId7" cstate="print"/>
        <a:srcRect/>
        <a:stretch>
          <a:fillRect/>
        </a:stretch>
      </xdr:blipFill>
      <xdr:spPr bwMode="auto">
        <a:xfrm>
          <a:off x="2476500" y="174164625"/>
          <a:ext cx="3952875" cy="2143125"/>
        </a:xfrm>
        <a:prstGeom prst="rect">
          <a:avLst/>
        </a:prstGeom>
        <a:noFill/>
        <a:ln w="1">
          <a:noFill/>
          <a:miter lim="800000"/>
          <a:headEnd/>
          <a:tailEnd/>
        </a:ln>
      </xdr:spPr>
    </xdr:pic>
    <xdr:clientData/>
  </xdr:twoCellAnchor>
  <xdr:twoCellAnchor editAs="oneCell">
    <xdr:from>
      <xdr:col>1</xdr:col>
      <xdr:colOff>923925</xdr:colOff>
      <xdr:row>3961</xdr:row>
      <xdr:rowOff>47625</xdr:rowOff>
    </xdr:from>
    <xdr:to>
      <xdr:col>3</xdr:col>
      <xdr:colOff>352425</xdr:colOff>
      <xdr:row>3966</xdr:row>
      <xdr:rowOff>171450</xdr:rowOff>
    </xdr:to>
    <xdr:pic>
      <xdr:nvPicPr>
        <xdr:cNvPr id="79108" name="Picture 33"/>
        <xdr:cNvPicPr>
          <a:picLocks noChangeAspect="1" noChangeArrowheads="1"/>
        </xdr:cNvPicPr>
      </xdr:nvPicPr>
      <xdr:blipFill>
        <a:blip xmlns:r="http://schemas.openxmlformats.org/officeDocument/2006/relationships" r:embed="rId8" cstate="print"/>
        <a:srcRect/>
        <a:stretch>
          <a:fillRect/>
        </a:stretch>
      </xdr:blipFill>
      <xdr:spPr bwMode="auto">
        <a:xfrm>
          <a:off x="2219325" y="571042800"/>
          <a:ext cx="3371850" cy="1266825"/>
        </a:xfrm>
        <a:prstGeom prst="rect">
          <a:avLst/>
        </a:prstGeom>
        <a:noFill/>
        <a:ln w="1">
          <a:noFill/>
          <a:miter lim="800000"/>
          <a:headEnd/>
          <a:tailEnd/>
        </a:ln>
      </xdr:spPr>
    </xdr:pic>
    <xdr:clientData/>
  </xdr:twoCellAnchor>
  <xdr:twoCellAnchor editAs="oneCell">
    <xdr:from>
      <xdr:col>2</xdr:col>
      <xdr:colOff>438150</xdr:colOff>
      <xdr:row>5022</xdr:row>
      <xdr:rowOff>190500</xdr:rowOff>
    </xdr:from>
    <xdr:to>
      <xdr:col>4</xdr:col>
      <xdr:colOff>161925</xdr:colOff>
      <xdr:row>5031</xdr:row>
      <xdr:rowOff>19050</xdr:rowOff>
    </xdr:to>
    <xdr:pic>
      <xdr:nvPicPr>
        <xdr:cNvPr id="79109" name="Picture 34"/>
        <xdr:cNvPicPr>
          <a:picLocks noChangeAspect="1" noChangeArrowheads="1"/>
        </xdr:cNvPicPr>
      </xdr:nvPicPr>
      <xdr:blipFill>
        <a:blip xmlns:r="http://schemas.openxmlformats.org/officeDocument/2006/relationships" r:embed="rId9" cstate="print"/>
        <a:srcRect/>
        <a:stretch>
          <a:fillRect/>
        </a:stretch>
      </xdr:blipFill>
      <xdr:spPr bwMode="auto">
        <a:xfrm>
          <a:off x="2819400" y="744578775"/>
          <a:ext cx="3400425" cy="1885950"/>
        </a:xfrm>
        <a:prstGeom prst="rect">
          <a:avLst/>
        </a:prstGeom>
        <a:noFill/>
        <a:ln w="1">
          <a:noFill/>
          <a:miter lim="800000"/>
          <a:headEnd/>
          <a:tailEnd/>
        </a:ln>
      </xdr:spPr>
    </xdr:pic>
    <xdr:clientData/>
  </xdr:twoCellAnchor>
  <xdr:twoCellAnchor editAs="oneCell">
    <xdr:from>
      <xdr:col>1</xdr:col>
      <xdr:colOff>238125</xdr:colOff>
      <xdr:row>5790</xdr:row>
      <xdr:rowOff>95250</xdr:rowOff>
    </xdr:from>
    <xdr:to>
      <xdr:col>3</xdr:col>
      <xdr:colOff>314325</xdr:colOff>
      <xdr:row>5794</xdr:row>
      <xdr:rowOff>142875</xdr:rowOff>
    </xdr:to>
    <xdr:pic>
      <xdr:nvPicPr>
        <xdr:cNvPr id="79110" name="Picture 35"/>
        <xdr:cNvPicPr>
          <a:picLocks noChangeAspect="1" noChangeArrowheads="1"/>
        </xdr:cNvPicPr>
      </xdr:nvPicPr>
      <xdr:blipFill>
        <a:blip xmlns:r="http://schemas.openxmlformats.org/officeDocument/2006/relationships" r:embed="rId10" cstate="print"/>
        <a:srcRect/>
        <a:stretch>
          <a:fillRect/>
        </a:stretch>
      </xdr:blipFill>
      <xdr:spPr bwMode="auto">
        <a:xfrm>
          <a:off x="1533525" y="869737275"/>
          <a:ext cx="4019550" cy="962025"/>
        </a:xfrm>
        <a:prstGeom prst="rect">
          <a:avLst/>
        </a:prstGeom>
        <a:noFill/>
        <a:ln w="1">
          <a:noFill/>
          <a:miter lim="800000"/>
          <a:headEnd/>
          <a:tailEnd/>
        </a:ln>
      </xdr:spPr>
    </xdr:pic>
    <xdr:clientData/>
  </xdr:twoCellAnchor>
  <xdr:twoCellAnchor editAs="oneCell">
    <xdr:from>
      <xdr:col>2</xdr:col>
      <xdr:colOff>76200</xdr:colOff>
      <xdr:row>6461</xdr:row>
      <xdr:rowOff>142875</xdr:rowOff>
    </xdr:from>
    <xdr:to>
      <xdr:col>4</xdr:col>
      <xdr:colOff>495300</xdr:colOff>
      <xdr:row>6472</xdr:row>
      <xdr:rowOff>19050</xdr:rowOff>
    </xdr:to>
    <xdr:pic>
      <xdr:nvPicPr>
        <xdr:cNvPr id="79111" name="Picture 36"/>
        <xdr:cNvPicPr>
          <a:picLocks noChangeAspect="1" noChangeArrowheads="1"/>
        </xdr:cNvPicPr>
      </xdr:nvPicPr>
      <xdr:blipFill>
        <a:blip xmlns:r="http://schemas.openxmlformats.org/officeDocument/2006/relationships" r:embed="rId11" cstate="print"/>
        <a:srcRect/>
        <a:stretch>
          <a:fillRect/>
        </a:stretch>
      </xdr:blipFill>
      <xdr:spPr bwMode="auto">
        <a:xfrm>
          <a:off x="2457450" y="1007649750"/>
          <a:ext cx="4095750" cy="2390775"/>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171450</xdr:colOff>
      <xdr:row>565</xdr:row>
      <xdr:rowOff>19050</xdr:rowOff>
    </xdr:from>
    <xdr:to>
      <xdr:col>2</xdr:col>
      <xdr:colOff>3286125</xdr:colOff>
      <xdr:row>569</xdr:row>
      <xdr:rowOff>209550</xdr:rowOff>
    </xdr:to>
    <xdr:pic>
      <xdr:nvPicPr>
        <xdr:cNvPr id="4557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1581150" y="110451900"/>
          <a:ext cx="3933825" cy="1104900"/>
        </a:xfrm>
        <a:prstGeom prst="rect">
          <a:avLst/>
        </a:prstGeom>
        <a:noFill/>
        <a:ln w="1">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638175</xdr:colOff>
      <xdr:row>307</xdr:row>
      <xdr:rowOff>133350</xdr:rowOff>
    </xdr:from>
    <xdr:to>
      <xdr:col>2</xdr:col>
      <xdr:colOff>1495425</xdr:colOff>
      <xdr:row>311</xdr:row>
      <xdr:rowOff>123825</xdr:rowOff>
    </xdr:to>
    <xdr:pic>
      <xdr:nvPicPr>
        <xdr:cNvPr id="4460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638175" y="71799450"/>
          <a:ext cx="3276600" cy="904875"/>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Thinner@10%25" TargetMode="External"/><Relationship Id="rId13" Type="http://schemas.openxmlformats.org/officeDocument/2006/relationships/hyperlink" Target="mailto:Thinner@10%25" TargetMode="External"/><Relationship Id="rId3" Type="http://schemas.openxmlformats.org/officeDocument/2006/relationships/hyperlink" Target="mailto:Thinner@10%25" TargetMode="External"/><Relationship Id="rId7" Type="http://schemas.openxmlformats.org/officeDocument/2006/relationships/hyperlink" Target="mailto:Thinner@10%25" TargetMode="External"/><Relationship Id="rId12" Type="http://schemas.openxmlformats.org/officeDocument/2006/relationships/hyperlink" Target="mailto:Thinner@10%25" TargetMode="External"/><Relationship Id="rId2" Type="http://schemas.openxmlformats.org/officeDocument/2006/relationships/hyperlink" Target="mailto:Thinner@10%25" TargetMode="External"/><Relationship Id="rId1" Type="http://schemas.openxmlformats.org/officeDocument/2006/relationships/hyperlink" Target="mailto:Thinner@10%25" TargetMode="External"/><Relationship Id="rId6" Type="http://schemas.openxmlformats.org/officeDocument/2006/relationships/hyperlink" Target="mailto:Thinner@10%25" TargetMode="External"/><Relationship Id="rId11" Type="http://schemas.openxmlformats.org/officeDocument/2006/relationships/hyperlink" Target="mailto:Thinner@10%25" TargetMode="External"/><Relationship Id="rId5" Type="http://schemas.openxmlformats.org/officeDocument/2006/relationships/hyperlink" Target="mailto:Thinner@10%25" TargetMode="External"/><Relationship Id="rId10" Type="http://schemas.openxmlformats.org/officeDocument/2006/relationships/hyperlink" Target="mailto:Thinner@10%25" TargetMode="External"/><Relationship Id="rId4" Type="http://schemas.openxmlformats.org/officeDocument/2006/relationships/hyperlink" Target="mailto:Thinner@10%25" TargetMode="External"/><Relationship Id="rId9" Type="http://schemas.openxmlformats.org/officeDocument/2006/relationships/hyperlink" Target="mailto:Thinner@10%25" TargetMode="External"/><Relationship Id="rId1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4"/>
  <dimension ref="A1:J5265"/>
  <sheetViews>
    <sheetView showGridLines="0" view="pageBreakPreview" topLeftCell="A22" zoomScale="60" zoomScaleNormal="60" workbookViewId="0">
      <selection activeCell="E44" sqref="E44"/>
    </sheetView>
  </sheetViews>
  <sheetFormatPr defaultColWidth="0" defaultRowHeight="18" customHeight="1" zeroHeight="1"/>
  <cols>
    <col min="1" max="1" width="18.85546875" style="27" customWidth="1"/>
    <col min="2" max="2" width="12.5703125" style="27" customWidth="1"/>
    <col min="3" max="3" width="26" style="27" customWidth="1"/>
    <col min="4" max="4" width="20" style="27" customWidth="1"/>
    <col min="5" max="5" width="20.28515625" style="27" customWidth="1"/>
    <col min="6" max="6" width="17" style="27" customWidth="1"/>
    <col min="7" max="7" width="19.5703125" style="27" customWidth="1"/>
    <col min="8" max="8" width="19" style="27" bestFit="1" customWidth="1"/>
    <col min="9" max="10" width="9.140625" style="27" customWidth="1"/>
    <col min="11" max="16384" width="0" style="27" hidden="1"/>
  </cols>
  <sheetData>
    <row r="1" spans="1:9">
      <c r="A1" s="77" t="s">
        <v>6019</v>
      </c>
      <c r="B1" s="1160" t="s">
        <v>2987</v>
      </c>
      <c r="C1" s="1160"/>
      <c r="D1" s="1160"/>
      <c r="E1" s="1160"/>
      <c r="F1" s="1160"/>
      <c r="G1" s="1160"/>
      <c r="H1" s="1160"/>
      <c r="I1" s="47"/>
    </row>
    <row r="2" spans="1:9">
      <c r="D2" s="79" t="s">
        <v>6018</v>
      </c>
    </row>
    <row r="3" spans="1:9">
      <c r="E3" s="27" t="s">
        <v>9692</v>
      </c>
    </row>
    <row r="4" spans="1:9"/>
    <row r="5" spans="1:9">
      <c r="A5" s="27" t="s">
        <v>6019</v>
      </c>
      <c r="B5" s="823" t="s">
        <v>421</v>
      </c>
      <c r="C5" s="823"/>
      <c r="D5" s="823"/>
      <c r="E5" s="823"/>
    </row>
    <row r="6" spans="1:9">
      <c r="B6" s="823" t="s">
        <v>345</v>
      </c>
      <c r="C6" s="823"/>
      <c r="D6" s="823"/>
      <c r="E6" s="823"/>
    </row>
    <row r="7" spans="1:9">
      <c r="B7" s="823" t="s">
        <v>346</v>
      </c>
      <c r="C7" s="823"/>
      <c r="D7" s="823"/>
      <c r="E7" s="823"/>
    </row>
    <row r="8" spans="1:9">
      <c r="B8" s="823" t="s">
        <v>347</v>
      </c>
      <c r="C8" s="823"/>
      <c r="D8" s="823"/>
      <c r="E8" s="823"/>
    </row>
    <row r="9" spans="1:9">
      <c r="B9" s="823" t="s">
        <v>54</v>
      </c>
      <c r="C9" s="823"/>
      <c r="D9" s="823"/>
      <c r="E9" s="823"/>
    </row>
    <row r="10" spans="1:9">
      <c r="B10" s="823" t="s">
        <v>2589</v>
      </c>
      <c r="C10" s="823"/>
      <c r="D10" s="823"/>
      <c r="E10" s="823"/>
    </row>
    <row r="11" spans="1:9">
      <c r="B11" s="823" t="s">
        <v>2590</v>
      </c>
      <c r="C11" s="823"/>
      <c r="D11" s="823"/>
      <c r="E11" s="823"/>
    </row>
    <row r="12" spans="1:9">
      <c r="B12" s="823" t="s">
        <v>350</v>
      </c>
      <c r="C12" s="823"/>
      <c r="D12" s="823"/>
      <c r="E12" s="823"/>
    </row>
    <row r="13" spans="1:9">
      <c r="B13" s="823" t="s">
        <v>1506</v>
      </c>
      <c r="C13" s="823"/>
      <c r="D13" s="823"/>
      <c r="E13" s="823"/>
    </row>
    <row r="14" spans="1:9">
      <c r="B14" s="1169" t="s">
        <v>7856</v>
      </c>
      <c r="C14" s="1169"/>
      <c r="D14" s="1169"/>
      <c r="E14" s="1169"/>
    </row>
    <row r="15" spans="1:9">
      <c r="B15" s="823" t="s">
        <v>2591</v>
      </c>
      <c r="C15" s="823"/>
      <c r="D15" s="823"/>
      <c r="E15" s="823"/>
    </row>
    <row r="16" spans="1:9">
      <c r="B16" s="823" t="s">
        <v>1507</v>
      </c>
      <c r="C16" s="823"/>
      <c r="D16" s="823"/>
      <c r="E16" s="823"/>
    </row>
    <row r="17" spans="1:10">
      <c r="B17" s="823" t="s">
        <v>1508</v>
      </c>
      <c r="C17" s="823"/>
      <c r="D17" s="823"/>
      <c r="E17" s="823"/>
    </row>
    <row r="18" spans="1:10">
      <c r="B18" s="823" t="s">
        <v>1509</v>
      </c>
      <c r="C18" s="823"/>
      <c r="D18" s="823"/>
      <c r="E18" s="823"/>
    </row>
    <row r="19" spans="1:10">
      <c r="B19" s="823" t="s">
        <v>861</v>
      </c>
      <c r="C19" s="823"/>
      <c r="D19" s="823"/>
      <c r="E19" s="823"/>
    </row>
    <row r="20" spans="1:10">
      <c r="B20" s="823" t="s">
        <v>862</v>
      </c>
      <c r="C20" s="823"/>
      <c r="D20" s="823"/>
      <c r="E20" s="823"/>
    </row>
    <row r="21" spans="1:10">
      <c r="B21" s="823" t="s">
        <v>1957</v>
      </c>
      <c r="C21" s="823"/>
      <c r="D21" s="823"/>
      <c r="E21" s="823"/>
    </row>
    <row r="22" spans="1:10">
      <c r="B22" s="823" t="s">
        <v>1958</v>
      </c>
      <c r="C22" s="823"/>
      <c r="D22" s="823"/>
      <c r="E22" s="823"/>
    </row>
    <row r="23" spans="1:10">
      <c r="B23" s="823" t="s">
        <v>338</v>
      </c>
      <c r="C23" s="823"/>
      <c r="D23" s="823"/>
      <c r="E23" s="823"/>
    </row>
    <row r="24" spans="1:10">
      <c r="B24" s="823" t="s">
        <v>339</v>
      </c>
      <c r="C24" s="823"/>
      <c r="D24" s="823"/>
      <c r="E24" s="823"/>
    </row>
    <row r="25" spans="1:10">
      <c r="B25" s="823" t="s">
        <v>2592</v>
      </c>
      <c r="C25" s="823"/>
      <c r="D25" s="823"/>
      <c r="E25" s="823"/>
    </row>
    <row r="26" spans="1:10">
      <c r="B26" s="823" t="s">
        <v>2593</v>
      </c>
      <c r="C26" s="823"/>
      <c r="D26" s="823"/>
      <c r="E26" s="823"/>
    </row>
    <row r="27" spans="1:10" ht="36.75" customHeight="1">
      <c r="B27" s="1170" t="s">
        <v>9706</v>
      </c>
      <c r="C27" s="1170"/>
      <c r="D27" s="1170"/>
      <c r="E27" s="1170"/>
      <c r="F27" s="80">
        <f>'BASIC DATA'!C577</f>
        <v>0.13614999999999999</v>
      </c>
    </row>
    <row r="28" spans="1:10" ht="36.75" customHeight="1">
      <c r="B28" s="914"/>
      <c r="C28" s="914"/>
      <c r="D28" s="914"/>
      <c r="E28" s="914"/>
      <c r="F28" s="80"/>
    </row>
    <row r="29" spans="1:10" ht="92.25" customHeight="1">
      <c r="A29" s="915" t="s">
        <v>9700</v>
      </c>
      <c r="B29" s="1171" t="s">
        <v>9703</v>
      </c>
      <c r="C29" s="1171"/>
      <c r="D29" s="1171"/>
      <c r="E29" s="1171"/>
      <c r="F29" s="1171"/>
      <c r="G29" s="1171"/>
      <c r="H29" s="1171"/>
      <c r="I29" s="1171"/>
      <c r="J29" s="1171"/>
    </row>
    <row r="30" spans="1:10" ht="60" customHeight="1">
      <c r="A30" s="916" t="s">
        <v>2047</v>
      </c>
      <c r="B30" s="1171" t="s">
        <v>9701</v>
      </c>
      <c r="C30" s="1171"/>
      <c r="D30" s="1171"/>
      <c r="E30" s="1171"/>
      <c r="F30" s="1171"/>
      <c r="G30" s="1171"/>
      <c r="H30" s="1171"/>
      <c r="I30" s="1171"/>
      <c r="J30" s="1171"/>
    </row>
    <row r="31" spans="1:10" ht="91.5" customHeight="1">
      <c r="A31" s="916" t="s">
        <v>9702</v>
      </c>
      <c r="B31" s="1171" t="s">
        <v>9704</v>
      </c>
      <c r="C31" s="1171"/>
      <c r="D31" s="1171"/>
      <c r="E31" s="1171"/>
      <c r="F31" s="1171"/>
      <c r="G31" s="1171"/>
      <c r="H31" s="1171"/>
      <c r="I31" s="1171"/>
      <c r="J31" s="1171"/>
    </row>
    <row r="32" spans="1:10">
      <c r="E32" s="80"/>
    </row>
    <row r="33" spans="1:6">
      <c r="A33" s="27" t="s">
        <v>6021</v>
      </c>
      <c r="B33" s="867" t="s">
        <v>9705</v>
      </c>
    </row>
    <row r="34" spans="1:6">
      <c r="C34" s="27" t="s">
        <v>9692</v>
      </c>
    </row>
    <row r="35" spans="1:6">
      <c r="A35" s="27" t="s">
        <v>5066</v>
      </c>
    </row>
    <row r="36" spans="1:6">
      <c r="B36" s="1164" t="s">
        <v>3473</v>
      </c>
      <c r="C36" s="1167" t="s">
        <v>4506</v>
      </c>
      <c r="D36" s="1167" t="s">
        <v>6414</v>
      </c>
      <c r="E36" s="1167" t="s">
        <v>3250</v>
      </c>
      <c r="F36" s="1167" t="s">
        <v>3251</v>
      </c>
    </row>
    <row r="37" spans="1:6">
      <c r="B37" s="1165"/>
      <c r="C37" s="1167"/>
      <c r="D37" s="1167"/>
      <c r="E37" s="1167"/>
      <c r="F37" s="1167"/>
    </row>
    <row r="38" spans="1:6">
      <c r="B38" s="1165"/>
      <c r="C38" s="1167"/>
      <c r="D38" s="1167"/>
      <c r="E38" s="1167"/>
      <c r="F38" s="1167"/>
    </row>
    <row r="39" spans="1:6">
      <c r="B39" s="1165"/>
      <c r="C39" s="1167"/>
      <c r="D39" s="1167"/>
      <c r="E39" s="1167"/>
      <c r="F39" s="1167"/>
    </row>
    <row r="40" spans="1:6">
      <c r="B40" s="1165"/>
      <c r="C40" s="1167"/>
      <c r="D40" s="1167"/>
      <c r="E40" s="1167"/>
      <c r="F40" s="1167"/>
    </row>
    <row r="41" spans="1:6">
      <c r="B41" s="1165"/>
      <c r="C41" s="1167"/>
      <c r="D41" s="1167"/>
      <c r="E41" s="1167"/>
      <c r="F41" s="1167"/>
    </row>
    <row r="42" spans="1:6">
      <c r="B42" s="1166"/>
      <c r="C42" s="1167"/>
      <c r="D42" s="1167"/>
      <c r="E42" s="1167"/>
      <c r="F42" s="1167"/>
    </row>
    <row r="43" spans="1:6" s="78" customFormat="1">
      <c r="B43" s="36">
        <v>1</v>
      </c>
      <c r="C43" s="36">
        <v>2</v>
      </c>
      <c r="D43" s="36">
        <v>3</v>
      </c>
      <c r="E43" s="36">
        <v>4</v>
      </c>
      <c r="F43" s="36">
        <v>5</v>
      </c>
    </row>
    <row r="44" spans="1:6" ht="54">
      <c r="B44" s="36">
        <v>1</v>
      </c>
      <c r="C44" s="65" t="s">
        <v>3252</v>
      </c>
      <c r="D44" s="36" t="s">
        <v>3253</v>
      </c>
      <c r="E44" s="36" t="s">
        <v>3253</v>
      </c>
      <c r="F44" s="36" t="s">
        <v>3253</v>
      </c>
    </row>
    <row r="45" spans="1:6">
      <c r="B45" s="36">
        <v>2</v>
      </c>
      <c r="C45" s="36" t="s">
        <v>3254</v>
      </c>
      <c r="D45" s="82">
        <f>leadcharges!$G$156</f>
        <v>56.8</v>
      </c>
      <c r="E45" s="82">
        <f>leadcharges!$G$188</f>
        <v>33.1</v>
      </c>
      <c r="F45" s="82">
        <f>leadcharges!$G$222</f>
        <v>72.3</v>
      </c>
    </row>
    <row r="46" spans="1:6">
      <c r="B46" s="36">
        <v>3</v>
      </c>
      <c r="C46" s="36" t="s">
        <v>3255</v>
      </c>
      <c r="D46" s="82">
        <f>leadcharges!$G$167</f>
        <v>113.6</v>
      </c>
      <c r="E46" s="82">
        <f>leadcharges!$F$199</f>
        <v>66.3</v>
      </c>
      <c r="F46" s="82">
        <f>leadcharges!$G$233</f>
        <v>144.6</v>
      </c>
    </row>
    <row r="47" spans="1:6"/>
    <row r="48" spans="1:6">
      <c r="B48" s="27" t="s">
        <v>3256</v>
      </c>
    </row>
    <row r="49" spans="1:7">
      <c r="B49" s="27" t="s">
        <v>880</v>
      </c>
    </row>
    <row r="50" spans="1:7">
      <c r="B50" s="27" t="s">
        <v>8035</v>
      </c>
    </row>
    <row r="51" spans="1:7">
      <c r="B51" s="1161" t="s">
        <v>7854</v>
      </c>
      <c r="C51" s="1161"/>
      <c r="D51" s="1161"/>
      <c r="E51" s="1161"/>
      <c r="F51" s="1161"/>
      <c r="G51" s="1161"/>
    </row>
    <row r="52" spans="1:7"/>
    <row r="53" spans="1:7">
      <c r="A53" s="27" t="s">
        <v>6021</v>
      </c>
      <c r="B53" s="867" t="s">
        <v>9707</v>
      </c>
    </row>
    <row r="54" spans="1:7">
      <c r="A54" s="27" t="s">
        <v>5639</v>
      </c>
    </row>
    <row r="55" spans="1:7">
      <c r="B55" s="1164" t="s">
        <v>3473</v>
      </c>
      <c r="C55" s="1167" t="s">
        <v>4506</v>
      </c>
      <c r="D55" s="1167" t="s">
        <v>6414</v>
      </c>
      <c r="E55" s="1167" t="s">
        <v>3250</v>
      </c>
      <c r="F55" s="1167" t="s">
        <v>3251</v>
      </c>
    </row>
    <row r="56" spans="1:7">
      <c r="B56" s="1165"/>
      <c r="C56" s="1167"/>
      <c r="D56" s="1167"/>
      <c r="E56" s="1167"/>
      <c r="F56" s="1167"/>
    </row>
    <row r="57" spans="1:7">
      <c r="B57" s="1165"/>
      <c r="C57" s="1167"/>
      <c r="D57" s="1167"/>
      <c r="E57" s="1167"/>
      <c r="F57" s="1167"/>
    </row>
    <row r="58" spans="1:7">
      <c r="B58" s="1165"/>
      <c r="C58" s="1167"/>
      <c r="D58" s="1167"/>
      <c r="E58" s="1167"/>
      <c r="F58" s="1167"/>
    </row>
    <row r="59" spans="1:7">
      <c r="B59" s="1165"/>
      <c r="C59" s="1167"/>
      <c r="D59" s="1167"/>
      <c r="E59" s="1167"/>
      <c r="F59" s="1167"/>
    </row>
    <row r="60" spans="1:7">
      <c r="B60" s="1165"/>
      <c r="C60" s="1167"/>
      <c r="D60" s="1167"/>
      <c r="E60" s="1167"/>
      <c r="F60" s="1167"/>
    </row>
    <row r="61" spans="1:7">
      <c r="B61" s="1166"/>
      <c r="C61" s="1167"/>
      <c r="D61" s="1167"/>
      <c r="E61" s="1167"/>
      <c r="F61" s="1167"/>
    </row>
    <row r="62" spans="1:7">
      <c r="B62" s="36">
        <v>1</v>
      </c>
      <c r="C62" s="36">
        <v>2</v>
      </c>
      <c r="D62" s="36">
        <v>3</v>
      </c>
      <c r="E62" s="36">
        <v>4</v>
      </c>
      <c r="F62" s="36">
        <v>5</v>
      </c>
    </row>
    <row r="63" spans="1:7" ht="54">
      <c r="B63" s="36">
        <v>1</v>
      </c>
      <c r="C63" s="65" t="s">
        <v>3252</v>
      </c>
      <c r="D63" s="36" t="s">
        <v>3253</v>
      </c>
      <c r="E63" s="36" t="s">
        <v>3253</v>
      </c>
      <c r="F63" s="36" t="s">
        <v>3253</v>
      </c>
    </row>
    <row r="64" spans="1:7">
      <c r="B64" s="36">
        <v>2</v>
      </c>
      <c r="C64" s="36" t="s">
        <v>3254</v>
      </c>
      <c r="D64" s="82">
        <f>leadcharges!$G$156/1.14</f>
        <v>49.824561403508774</v>
      </c>
      <c r="E64" s="82">
        <f>leadcharges!$G$188/1.14</f>
        <v>29.03508771929825</v>
      </c>
      <c r="F64" s="82">
        <f>leadcharges!$G$222/1.14</f>
        <v>63.421052631578952</v>
      </c>
    </row>
    <row r="65" spans="1:9">
      <c r="B65" s="36">
        <v>3</v>
      </c>
      <c r="C65" s="36" t="s">
        <v>3255</v>
      </c>
      <c r="D65" s="82">
        <f>leadcharges!$G$167/1.14</f>
        <v>99.649122807017548</v>
      </c>
      <c r="E65" s="82">
        <f>leadcharges!$F$199/1.14</f>
        <v>58.15789473684211</v>
      </c>
      <c r="F65" s="82">
        <f>leadcharges!$G$233/1.14</f>
        <v>126.8421052631579</v>
      </c>
    </row>
    <row r="66" spans="1:9"/>
    <row r="67" spans="1:9">
      <c r="B67" s="27" t="s">
        <v>3256</v>
      </c>
    </row>
    <row r="68" spans="1:9">
      <c r="B68" s="27" t="s">
        <v>880</v>
      </c>
    </row>
    <row r="69" spans="1:9">
      <c r="B69" s="27" t="s">
        <v>8035</v>
      </c>
    </row>
    <row r="70" spans="1:9">
      <c r="B70" s="1161" t="s">
        <v>9708</v>
      </c>
      <c r="C70" s="1161"/>
      <c r="D70" s="1161"/>
      <c r="E70" s="1161"/>
      <c r="F70" s="1161"/>
      <c r="G70" s="1161"/>
    </row>
    <row r="71" spans="1:9"/>
    <row r="72" spans="1:9"/>
    <row r="73" spans="1:9">
      <c r="A73" s="27" t="s">
        <v>6022</v>
      </c>
      <c r="B73" s="867" t="s">
        <v>892</v>
      </c>
      <c r="C73" s="823"/>
      <c r="D73" s="823"/>
      <c r="E73" s="823"/>
      <c r="F73" s="823"/>
      <c r="G73" s="823"/>
    </row>
    <row r="74" spans="1:9" ht="39.75" customHeight="1">
      <c r="B74" s="1168" t="s">
        <v>9709</v>
      </c>
      <c r="C74" s="1168"/>
      <c r="D74" s="1168"/>
      <c r="E74" s="1168"/>
      <c r="F74" s="1168"/>
      <c r="G74" s="1168"/>
    </row>
    <row r="75" spans="1:9">
      <c r="A75" s="27" t="s">
        <v>5066</v>
      </c>
    </row>
    <row r="76" spans="1:9">
      <c r="C76" s="27" t="s">
        <v>4263</v>
      </c>
    </row>
    <row r="77" spans="1:9"/>
    <row r="78" spans="1:9" ht="198">
      <c r="B78" s="35" t="s">
        <v>3473</v>
      </c>
      <c r="C78" s="35" t="s">
        <v>4264</v>
      </c>
      <c r="D78" s="829" t="s">
        <v>4265</v>
      </c>
      <c r="E78" s="829" t="s">
        <v>4266</v>
      </c>
      <c r="F78" s="829" t="s">
        <v>4267</v>
      </c>
      <c r="G78" s="829" t="s">
        <v>4268</v>
      </c>
      <c r="H78" s="829" t="s">
        <v>4269</v>
      </c>
      <c r="I78" s="829" t="s">
        <v>7929</v>
      </c>
    </row>
    <row r="79" spans="1:9" s="78" customFormat="1">
      <c r="B79" s="36">
        <v>1</v>
      </c>
      <c r="C79" s="36">
        <v>2</v>
      </c>
      <c r="D79" s="36">
        <v>3</v>
      </c>
      <c r="E79" s="36">
        <v>4</v>
      </c>
      <c r="F79" s="36">
        <v>5</v>
      </c>
      <c r="G79" s="36">
        <v>6</v>
      </c>
      <c r="H79" s="36">
        <v>7</v>
      </c>
      <c r="I79" s="105">
        <v>8</v>
      </c>
    </row>
    <row r="80" spans="1:9">
      <c r="B80" s="36">
        <v>1</v>
      </c>
      <c r="C80" s="36" t="s">
        <v>4270</v>
      </c>
      <c r="D80" s="83">
        <f>leadcharges!$G$249</f>
        <v>31.5</v>
      </c>
      <c r="E80" s="83">
        <f>leadcharges!$G$321</f>
        <v>30.4</v>
      </c>
      <c r="F80" s="83">
        <f>leadcharges!$G$393</f>
        <v>19</v>
      </c>
      <c r="G80" s="83">
        <f>leadcharges!$G$465</f>
        <v>44.7</v>
      </c>
      <c r="H80" s="83">
        <f>leadcharges!$G$537</f>
        <v>18.7</v>
      </c>
      <c r="I80" s="84">
        <f>leadcharges!$G$609</f>
        <v>50.7</v>
      </c>
    </row>
    <row r="81" spans="1:9">
      <c r="B81" s="36">
        <v>2</v>
      </c>
      <c r="C81" s="36" t="s">
        <v>4271</v>
      </c>
      <c r="D81" s="82">
        <f>leadcharges!$G$259</f>
        <v>44.1</v>
      </c>
      <c r="E81" s="82">
        <f>leadcharges!$G$331</f>
        <v>42.5</v>
      </c>
      <c r="F81" s="82">
        <f>leadcharges!$G$403</f>
        <v>26.6</v>
      </c>
      <c r="G81" s="82">
        <f>leadcharges!$G$475</f>
        <v>62.6</v>
      </c>
      <c r="H81" s="83">
        <f>leadcharges!$G$547</f>
        <v>26.2</v>
      </c>
      <c r="I81" s="84">
        <f>leadcharges!$G$619</f>
        <v>70.900000000000006</v>
      </c>
    </row>
    <row r="82" spans="1:9">
      <c r="B82" s="36">
        <v>3</v>
      </c>
      <c r="C82" s="36" t="s">
        <v>4272</v>
      </c>
      <c r="D82" s="82">
        <f>leadcharges!$G$269</f>
        <v>58.8</v>
      </c>
      <c r="E82" s="82">
        <f>leadcharges!$G$341</f>
        <v>58.8</v>
      </c>
      <c r="F82" s="82">
        <f>leadcharges!$G$413</f>
        <v>36.700000000000003</v>
      </c>
      <c r="G82" s="82">
        <f>leadcharges!$G$485</f>
        <v>86.5</v>
      </c>
      <c r="H82" s="83">
        <f>leadcharges!$G$557</f>
        <v>35</v>
      </c>
      <c r="I82" s="84">
        <f>leadcharges!$G$629</f>
        <v>94.5</v>
      </c>
    </row>
    <row r="83" spans="1:9">
      <c r="B83" s="36">
        <v>4</v>
      </c>
      <c r="C83" s="36" t="s">
        <v>4273</v>
      </c>
      <c r="D83" s="82">
        <f>leadcharges!$G$279</f>
        <v>71.400000000000006</v>
      </c>
      <c r="E83" s="82">
        <f>leadcharges!$G$351</f>
        <v>71.400000000000006</v>
      </c>
      <c r="F83" s="82">
        <f>leadcharges!$G$423</f>
        <v>44.6</v>
      </c>
      <c r="G83" s="82">
        <f>leadcharges!$G$495</f>
        <v>105</v>
      </c>
      <c r="H83" s="83">
        <f>leadcharges!$G$567</f>
        <v>42.5</v>
      </c>
      <c r="I83" s="84">
        <f>leadcharges!$G$639</f>
        <v>114.8</v>
      </c>
    </row>
    <row r="84" spans="1:9">
      <c r="B84" s="36">
        <v>5</v>
      </c>
      <c r="C84" s="36" t="s">
        <v>4274</v>
      </c>
      <c r="D84" s="82">
        <f>leadcharges!$G$289</f>
        <v>84</v>
      </c>
      <c r="E84" s="82">
        <f>leadcharges!$G$361</f>
        <v>84</v>
      </c>
      <c r="F84" s="82">
        <f>leadcharges!$G$433</f>
        <v>52.5</v>
      </c>
      <c r="G84" s="82">
        <f>leadcharges!$G$505</f>
        <v>123.5</v>
      </c>
      <c r="H84" s="83">
        <f>leadcharges!$G$577</f>
        <v>50</v>
      </c>
      <c r="I84" s="84">
        <f>leadcharges!$G$649</f>
        <v>135.1</v>
      </c>
    </row>
    <row r="85" spans="1:9" ht="54">
      <c r="B85" s="36">
        <v>6</v>
      </c>
      <c r="C85" s="65" t="s">
        <v>4275</v>
      </c>
      <c r="D85" s="82">
        <f>leadcharges!$G$299</f>
        <v>12.6</v>
      </c>
      <c r="E85" s="82">
        <f>leadcharges!$G$371</f>
        <v>12.6</v>
      </c>
      <c r="F85" s="82">
        <f>leadcharges!$G$443</f>
        <v>7.9</v>
      </c>
      <c r="G85" s="82">
        <f>leadcharges!$G$515</f>
        <v>18.5</v>
      </c>
      <c r="H85" s="83">
        <f>leadcharges!$G$587</f>
        <v>7.5</v>
      </c>
      <c r="I85" s="84">
        <f>leadcharges!$G$659</f>
        <v>20.3</v>
      </c>
    </row>
    <row r="86" spans="1:9" ht="36">
      <c r="B86" s="36">
        <v>7</v>
      </c>
      <c r="C86" s="65" t="s">
        <v>4276</v>
      </c>
      <c r="D86" s="82">
        <f>leadcharges!$G$309</f>
        <v>10.5</v>
      </c>
      <c r="E86" s="82">
        <f>leadcharges!$G$381</f>
        <v>10.5</v>
      </c>
      <c r="F86" s="82">
        <f>leadcharges!$G$453</f>
        <v>6.6</v>
      </c>
      <c r="G86" s="82">
        <f>leadcharges!$G$525</f>
        <v>15.4</v>
      </c>
      <c r="H86" s="83">
        <f>leadcharges!$G$597</f>
        <v>6.3</v>
      </c>
      <c r="I86" s="84">
        <f>leadcharges!$G$669</f>
        <v>16.899999999999999</v>
      </c>
    </row>
    <row r="87" spans="1:9">
      <c r="B87" s="1162" t="s">
        <v>7855</v>
      </c>
      <c r="C87" s="1162"/>
      <c r="D87" s="1162"/>
      <c r="E87" s="1162"/>
      <c r="F87" s="1162"/>
      <c r="G87" s="1162"/>
      <c r="H87" s="1162"/>
    </row>
    <row r="88" spans="1:9">
      <c r="B88" s="76"/>
      <c r="C88" s="76"/>
      <c r="D88" s="85"/>
      <c r="E88" s="86"/>
      <c r="F88" s="86"/>
      <c r="G88" s="86"/>
      <c r="H88" s="85"/>
    </row>
    <row r="89" spans="1:9">
      <c r="A89" s="27" t="s">
        <v>6022</v>
      </c>
      <c r="B89" s="867" t="s">
        <v>892</v>
      </c>
      <c r="C89" s="823"/>
      <c r="D89" s="823"/>
      <c r="E89" s="823"/>
      <c r="F89" s="823"/>
      <c r="G89" s="823"/>
    </row>
    <row r="90" spans="1:9" ht="38.25" customHeight="1">
      <c r="B90" s="1168" t="s">
        <v>9710</v>
      </c>
      <c r="C90" s="1168"/>
      <c r="D90" s="1168"/>
      <c r="E90" s="1168"/>
      <c r="F90" s="1168"/>
      <c r="G90" s="1168"/>
    </row>
    <row r="91" spans="1:9">
      <c r="A91" s="27" t="s">
        <v>5639</v>
      </c>
    </row>
    <row r="92" spans="1:9">
      <c r="C92" s="27" t="s">
        <v>4263</v>
      </c>
    </row>
    <row r="93" spans="1:9"/>
    <row r="94" spans="1:9" ht="198">
      <c r="B94" s="35" t="s">
        <v>3473</v>
      </c>
      <c r="C94" s="35" t="s">
        <v>4264</v>
      </c>
      <c r="D94" s="829" t="s">
        <v>4265</v>
      </c>
      <c r="E94" s="829" t="s">
        <v>4266</v>
      </c>
      <c r="F94" s="829" t="s">
        <v>4267</v>
      </c>
      <c r="G94" s="829" t="s">
        <v>4268</v>
      </c>
      <c r="H94" s="829" t="s">
        <v>4269</v>
      </c>
      <c r="I94" s="829" t="s">
        <v>7929</v>
      </c>
    </row>
    <row r="95" spans="1:9">
      <c r="A95" s="78"/>
      <c r="B95" s="36">
        <v>1</v>
      </c>
      <c r="C95" s="36">
        <v>2</v>
      </c>
      <c r="D95" s="36">
        <v>3</v>
      </c>
      <c r="E95" s="36">
        <v>4</v>
      </c>
      <c r="F95" s="36">
        <v>5</v>
      </c>
      <c r="G95" s="36">
        <v>6</v>
      </c>
      <c r="H95" s="36">
        <v>7</v>
      </c>
      <c r="I95" s="105">
        <v>8</v>
      </c>
    </row>
    <row r="96" spans="1:9">
      <c r="B96" s="36">
        <v>1</v>
      </c>
      <c r="C96" s="36" t="s">
        <v>4270</v>
      </c>
      <c r="D96" s="83">
        <f>leadcharges!$G$249/1.14</f>
        <v>27.631578947368425</v>
      </c>
      <c r="E96" s="83">
        <f>leadcharges!$G$321/1.14</f>
        <v>26.666666666666668</v>
      </c>
      <c r="F96" s="83">
        <f>leadcharges!$G$393/1.14</f>
        <v>16.666666666666668</v>
      </c>
      <c r="G96" s="83">
        <f>leadcharges!$G$465/1.14</f>
        <v>39.21052631578948</v>
      </c>
      <c r="H96" s="83">
        <f>leadcharges!$G$537/1.14</f>
        <v>16.403508771929825</v>
      </c>
      <c r="I96" s="84">
        <f>leadcharges!$G$609/1.14</f>
        <v>44.473684210526322</v>
      </c>
    </row>
    <row r="97" spans="1:9">
      <c r="B97" s="36">
        <v>2</v>
      </c>
      <c r="C97" s="36" t="s">
        <v>4271</v>
      </c>
      <c r="D97" s="82">
        <f>leadcharges!$G$259/1.14</f>
        <v>38.684210526315795</v>
      </c>
      <c r="E97" s="82">
        <f>leadcharges!$G$331/1.14</f>
        <v>37.280701754385966</v>
      </c>
      <c r="F97" s="82">
        <f>leadcharges!$G$403/1.14</f>
        <v>23.333333333333336</v>
      </c>
      <c r="G97" s="82">
        <f>leadcharges!$G$475/1.14</f>
        <v>54.912280701754391</v>
      </c>
      <c r="H97" s="83">
        <f>leadcharges!$G$547/1.14</f>
        <v>22.98245614035088</v>
      </c>
      <c r="I97" s="84">
        <f>leadcharges!$G$619/1.14</f>
        <v>62.192982456140363</v>
      </c>
    </row>
    <row r="98" spans="1:9">
      <c r="B98" s="36">
        <v>3</v>
      </c>
      <c r="C98" s="36" t="s">
        <v>4272</v>
      </c>
      <c r="D98" s="82">
        <f>leadcharges!$G$269/1.14</f>
        <v>51.578947368421055</v>
      </c>
      <c r="E98" s="82">
        <f>leadcharges!$G$341/1.14</f>
        <v>51.578947368421055</v>
      </c>
      <c r="F98" s="82">
        <f>leadcharges!$G$413/1.14</f>
        <v>32.192982456140356</v>
      </c>
      <c r="G98" s="82">
        <f>leadcharges!$G$485/1.14</f>
        <v>75.877192982456151</v>
      </c>
      <c r="H98" s="83">
        <f>leadcharges!$G$557/1.14</f>
        <v>30.701754385964914</v>
      </c>
      <c r="I98" s="84">
        <f>leadcharges!$G$629/1.14</f>
        <v>82.894736842105274</v>
      </c>
    </row>
    <row r="99" spans="1:9">
      <c r="B99" s="36">
        <v>4</v>
      </c>
      <c r="C99" s="36" t="s">
        <v>4273</v>
      </c>
      <c r="D99" s="82">
        <f>leadcharges!$G$279/1.14</f>
        <v>62.631578947368432</v>
      </c>
      <c r="E99" s="82">
        <f>leadcharges!$G$351/1.14</f>
        <v>62.631578947368432</v>
      </c>
      <c r="F99" s="82">
        <f>leadcharges!$G$423/1.14</f>
        <v>39.122807017543863</v>
      </c>
      <c r="G99" s="82">
        <f>leadcharges!$G$495/1.14</f>
        <v>92.10526315789474</v>
      </c>
      <c r="H99" s="83">
        <f>leadcharges!$G$567/1.14</f>
        <v>37.280701754385966</v>
      </c>
      <c r="I99" s="84">
        <f>leadcharges!$G$639/1.14</f>
        <v>100.70175438596492</v>
      </c>
    </row>
    <row r="100" spans="1:9">
      <c r="B100" s="36">
        <v>5</v>
      </c>
      <c r="C100" s="36" t="s">
        <v>4274</v>
      </c>
      <c r="D100" s="82">
        <f>leadcharges!$G$289/1.14</f>
        <v>73.684210526315795</v>
      </c>
      <c r="E100" s="82">
        <f>leadcharges!$G$361/1.14</f>
        <v>73.684210526315795</v>
      </c>
      <c r="F100" s="82">
        <f>leadcharges!$G$433/1.14</f>
        <v>46.05263157894737</v>
      </c>
      <c r="G100" s="82">
        <f>leadcharges!$G$505/1.14</f>
        <v>108.33333333333334</v>
      </c>
      <c r="H100" s="83">
        <f>leadcharges!$G$577/1.14</f>
        <v>43.859649122807021</v>
      </c>
      <c r="I100" s="84">
        <f>leadcharges!$G$649/1.14</f>
        <v>118.50877192982456</v>
      </c>
    </row>
    <row r="101" spans="1:9" ht="54">
      <c r="B101" s="36">
        <v>6</v>
      </c>
      <c r="C101" s="65" t="s">
        <v>4275</v>
      </c>
      <c r="D101" s="82">
        <f>leadcharges!$G$299/1.14</f>
        <v>11.05263157894737</v>
      </c>
      <c r="E101" s="82">
        <f>leadcharges!$G$371/1.14</f>
        <v>11.05263157894737</v>
      </c>
      <c r="F101" s="82">
        <f>leadcharges!$G$443/1.14</f>
        <v>6.9298245614035094</v>
      </c>
      <c r="G101" s="82">
        <f>leadcharges!$G$515/1.14</f>
        <v>16.228070175438599</v>
      </c>
      <c r="H101" s="83">
        <f>leadcharges!$G$587/1.14</f>
        <v>6.5789473684210531</v>
      </c>
      <c r="I101" s="84">
        <f>leadcharges!$G$659/1.14</f>
        <v>17.807017543859651</v>
      </c>
    </row>
    <row r="102" spans="1:9" ht="36">
      <c r="B102" s="36">
        <v>7</v>
      </c>
      <c r="C102" s="65" t="s">
        <v>4276</v>
      </c>
      <c r="D102" s="82">
        <f>leadcharges!$G$309/1.14</f>
        <v>9.2105263157894743</v>
      </c>
      <c r="E102" s="82">
        <f>leadcharges!$G$381/1.14</f>
        <v>9.2105263157894743</v>
      </c>
      <c r="F102" s="82">
        <f>leadcharges!$G$453/1.14</f>
        <v>5.7894736842105265</v>
      </c>
      <c r="G102" s="82">
        <f>leadcharges!$G$525/1.14</f>
        <v>13.508771929824563</v>
      </c>
      <c r="H102" s="83">
        <f>leadcharges!$G$597/1.14</f>
        <v>5.526315789473685</v>
      </c>
      <c r="I102" s="84">
        <f>leadcharges!$G$669/1.14</f>
        <v>14.824561403508772</v>
      </c>
    </row>
    <row r="103" spans="1:9">
      <c r="B103" s="1162" t="s">
        <v>9711</v>
      </c>
      <c r="C103" s="1162"/>
      <c r="D103" s="1162"/>
      <c r="E103" s="1162"/>
      <c r="F103" s="1162"/>
      <c r="G103" s="1162"/>
      <c r="H103" s="1162"/>
    </row>
    <row r="104" spans="1:9">
      <c r="B104" s="76"/>
      <c r="C104" s="76"/>
      <c r="D104" s="85"/>
      <c r="E104" s="86"/>
      <c r="F104" s="86"/>
      <c r="G104" s="86"/>
      <c r="H104" s="85"/>
    </row>
    <row r="105" spans="1:9">
      <c r="B105" s="76"/>
      <c r="C105" s="76"/>
      <c r="D105" s="85"/>
      <c r="E105" s="86"/>
      <c r="F105" s="86"/>
      <c r="G105" s="86"/>
      <c r="H105" s="85"/>
    </row>
    <row r="106" spans="1:9">
      <c r="A106" s="27" t="s">
        <v>6023</v>
      </c>
      <c r="B106" s="877" t="s">
        <v>4277</v>
      </c>
      <c r="D106" s="85"/>
      <c r="E106" s="86"/>
      <c r="F106" s="86"/>
      <c r="G106" s="86"/>
      <c r="H106" s="85"/>
    </row>
    <row r="107" spans="1:9">
      <c r="B107" s="877" t="s">
        <v>9712</v>
      </c>
      <c r="D107" s="85"/>
      <c r="E107" s="86"/>
      <c r="F107" s="86"/>
      <c r="G107" s="86"/>
      <c r="H107" s="85"/>
    </row>
    <row r="108" spans="1:9" ht="108">
      <c r="A108" s="27" t="s">
        <v>5066</v>
      </c>
      <c r="B108" s="35" t="s">
        <v>3473</v>
      </c>
      <c r="C108" s="34" t="s">
        <v>4278</v>
      </c>
      <c r="D108" s="829" t="s">
        <v>4279</v>
      </c>
      <c r="E108" s="829" t="s">
        <v>1636</v>
      </c>
      <c r="F108" s="829" t="s">
        <v>1637</v>
      </c>
      <c r="G108" s="829" t="s">
        <v>1638</v>
      </c>
      <c r="H108" s="829" t="s">
        <v>1639</v>
      </c>
    </row>
    <row r="109" spans="1:9" s="78" customFormat="1">
      <c r="B109" s="36">
        <v>1</v>
      </c>
      <c r="C109" s="36">
        <v>2</v>
      </c>
      <c r="D109" s="36">
        <v>3</v>
      </c>
      <c r="E109" s="36">
        <v>4</v>
      </c>
      <c r="F109" s="36">
        <v>5</v>
      </c>
      <c r="G109" s="36">
        <v>6</v>
      </c>
      <c r="H109" s="36">
        <v>7</v>
      </c>
    </row>
    <row r="110" spans="1:9">
      <c r="B110" s="36">
        <v>1</v>
      </c>
      <c r="C110" s="36" t="s">
        <v>1640</v>
      </c>
      <c r="D110" s="82">
        <f>leadcharges!$H$698</f>
        <v>17.3</v>
      </c>
      <c r="E110" s="82">
        <f>leadcharges!$H$685</f>
        <v>37.799999999999997</v>
      </c>
      <c r="F110" s="82">
        <f>leadcharges!$H$724</f>
        <v>62.4</v>
      </c>
      <c r="G110" s="82">
        <f>leadcharges!$H$737</f>
        <v>74.8</v>
      </c>
      <c r="H110" s="82">
        <f>leadcharges!$H$711</f>
        <v>52</v>
      </c>
    </row>
    <row r="111" spans="1:9">
      <c r="B111" s="36">
        <v>2</v>
      </c>
      <c r="C111" s="36" t="s">
        <v>1641</v>
      </c>
      <c r="D111" s="82">
        <f>leadcharges!$D$700</f>
        <v>8.65</v>
      </c>
      <c r="E111" s="82">
        <f>leadcharges!$D$687</f>
        <v>18.899999999999999</v>
      </c>
      <c r="F111" s="82">
        <f>leadcharges!$D$726</f>
        <v>62.4</v>
      </c>
      <c r="G111" s="82">
        <f>leadcharges!$D$739</f>
        <v>74.8</v>
      </c>
      <c r="H111" s="82">
        <f>leadcharges!$D$713</f>
        <v>52</v>
      </c>
    </row>
    <row r="112" spans="1:9">
      <c r="B112" s="1162" t="s">
        <v>7855</v>
      </c>
      <c r="C112" s="1162"/>
      <c r="D112" s="1162"/>
      <c r="E112" s="1162"/>
      <c r="F112" s="1162"/>
      <c r="G112" s="1162"/>
      <c r="H112" s="1162"/>
    </row>
    <row r="113" spans="1:9">
      <c r="B113" s="76"/>
      <c r="D113" s="85"/>
      <c r="E113" s="86"/>
      <c r="F113" s="86"/>
      <c r="G113" s="86"/>
      <c r="H113" s="85"/>
    </row>
    <row r="114" spans="1:9">
      <c r="B114" s="76"/>
      <c r="D114" s="85"/>
      <c r="E114" s="86"/>
      <c r="F114" s="86"/>
      <c r="G114" s="86"/>
      <c r="H114" s="85"/>
    </row>
    <row r="115" spans="1:9">
      <c r="A115" s="27" t="s">
        <v>6023</v>
      </c>
      <c r="B115" s="877" t="s">
        <v>4277</v>
      </c>
      <c r="D115" s="85"/>
      <c r="E115" s="86"/>
      <c r="F115" s="86"/>
      <c r="G115" s="86"/>
      <c r="H115" s="85"/>
    </row>
    <row r="116" spans="1:9">
      <c r="B116" s="877" t="s">
        <v>9713</v>
      </c>
      <c r="D116" s="85"/>
      <c r="E116" s="86"/>
      <c r="F116" s="86"/>
      <c r="G116" s="86"/>
      <c r="H116" s="85"/>
    </row>
    <row r="117" spans="1:9" ht="108">
      <c r="A117" s="27" t="s">
        <v>5639</v>
      </c>
      <c r="B117" s="35" t="s">
        <v>3473</v>
      </c>
      <c r="C117" s="34" t="s">
        <v>4278</v>
      </c>
      <c r="D117" s="829" t="s">
        <v>4279</v>
      </c>
      <c r="E117" s="829" t="s">
        <v>1636</v>
      </c>
      <c r="F117" s="829" t="s">
        <v>1637</v>
      </c>
      <c r="G117" s="829" t="s">
        <v>1638</v>
      </c>
      <c r="H117" s="829" t="s">
        <v>1639</v>
      </c>
    </row>
    <row r="118" spans="1:9">
      <c r="A118" s="78"/>
      <c r="B118" s="36">
        <v>1</v>
      </c>
      <c r="C118" s="36">
        <v>2</v>
      </c>
      <c r="D118" s="36">
        <v>3</v>
      </c>
      <c r="E118" s="36">
        <v>4</v>
      </c>
      <c r="F118" s="36">
        <v>5</v>
      </c>
      <c r="G118" s="36">
        <v>6</v>
      </c>
      <c r="H118" s="36">
        <v>7</v>
      </c>
      <c r="I118" s="78"/>
    </row>
    <row r="119" spans="1:9">
      <c r="B119" s="36">
        <v>1</v>
      </c>
      <c r="C119" s="36" t="s">
        <v>1640</v>
      </c>
      <c r="D119" s="82">
        <f>leadcharges!$H$698/1.14</f>
        <v>15.17543859649123</v>
      </c>
      <c r="E119" s="82">
        <f>leadcharges!$H$685/1.14</f>
        <v>33.157894736842103</v>
      </c>
      <c r="F119" s="82">
        <f>leadcharges!$H$724/1.14</f>
        <v>54.736842105263165</v>
      </c>
      <c r="G119" s="82">
        <f>leadcharges!$H$737/1.14</f>
        <v>65.614035087719301</v>
      </c>
      <c r="H119" s="82">
        <f>leadcharges!$H$711/1.14</f>
        <v>45.614035087719301</v>
      </c>
    </row>
    <row r="120" spans="1:9">
      <c r="B120" s="36">
        <v>2</v>
      </c>
      <c r="C120" s="36" t="s">
        <v>1641</v>
      </c>
      <c r="D120" s="82">
        <f>leadcharges!$D$700/1.14</f>
        <v>7.5877192982456148</v>
      </c>
      <c r="E120" s="82">
        <f>leadcharges!$D$687/1.14</f>
        <v>16.578947368421051</v>
      </c>
      <c r="F120" s="82">
        <f>leadcharges!$D$726/1.14</f>
        <v>54.736842105263165</v>
      </c>
      <c r="G120" s="82">
        <f>leadcharges!$D$739/1.14</f>
        <v>65.614035087719301</v>
      </c>
      <c r="H120" s="82">
        <f>leadcharges!$D$713/1.14</f>
        <v>45.614035087719301</v>
      </c>
    </row>
    <row r="121" spans="1:9">
      <c r="B121" s="1162" t="s">
        <v>9711</v>
      </c>
      <c r="C121" s="1162"/>
      <c r="D121" s="1162"/>
      <c r="E121" s="1162"/>
      <c r="F121" s="1162"/>
      <c r="G121" s="1162"/>
      <c r="H121" s="1162"/>
    </row>
    <row r="122" spans="1:9">
      <c r="B122" s="76"/>
      <c r="D122" s="85"/>
      <c r="E122" s="86"/>
      <c r="F122" s="86"/>
      <c r="G122" s="86"/>
      <c r="H122" s="85"/>
    </row>
    <row r="123" spans="1:9">
      <c r="B123" s="76"/>
      <c r="D123" s="85"/>
      <c r="E123" s="86"/>
      <c r="F123" s="86"/>
      <c r="G123" s="86"/>
      <c r="H123" s="85"/>
    </row>
    <row r="124" spans="1:9">
      <c r="A124" s="27" t="s">
        <v>6024</v>
      </c>
      <c r="B124" s="877" t="s">
        <v>1299</v>
      </c>
      <c r="D124" s="85"/>
      <c r="E124" s="86"/>
      <c r="F124" s="86"/>
      <c r="G124" s="86"/>
      <c r="H124" s="85"/>
    </row>
    <row r="125" spans="1:9">
      <c r="A125" s="27" t="s">
        <v>5066</v>
      </c>
      <c r="B125" s="877" t="s">
        <v>9712</v>
      </c>
      <c r="D125" s="85"/>
      <c r="E125" s="86"/>
      <c r="F125" s="86"/>
      <c r="G125" s="86"/>
      <c r="H125" s="85"/>
    </row>
    <row r="126" spans="1:9" ht="108">
      <c r="B126" s="35" t="s">
        <v>3473</v>
      </c>
      <c r="C126" s="34" t="s">
        <v>4278</v>
      </c>
      <c r="D126" s="829" t="s">
        <v>4279</v>
      </c>
      <c r="E126" s="829" t="s">
        <v>1636</v>
      </c>
      <c r="F126" s="829" t="s">
        <v>1637</v>
      </c>
      <c r="G126" s="829" t="s">
        <v>1638</v>
      </c>
      <c r="H126" s="829" t="s">
        <v>1639</v>
      </c>
    </row>
    <row r="127" spans="1:9" s="78" customFormat="1">
      <c r="B127" s="36">
        <v>1</v>
      </c>
      <c r="C127" s="36">
        <v>2</v>
      </c>
      <c r="D127" s="36">
        <v>3</v>
      </c>
      <c r="E127" s="36">
        <v>4</v>
      </c>
      <c r="F127" s="36">
        <v>5</v>
      </c>
      <c r="G127" s="36">
        <v>6</v>
      </c>
      <c r="H127" s="36">
        <v>7</v>
      </c>
    </row>
    <row r="128" spans="1:9">
      <c r="B128" s="36">
        <v>1</v>
      </c>
      <c r="C128" s="36" t="s">
        <v>1640</v>
      </c>
      <c r="D128" s="82">
        <f>leadcharges!$H$785</f>
        <v>111</v>
      </c>
      <c r="E128" s="82">
        <f>leadcharges!$H$769</f>
        <v>129.9</v>
      </c>
      <c r="F128" s="82">
        <f>leadcharges!$H$827</f>
        <v>163.69999999999999</v>
      </c>
      <c r="G128" s="82">
        <f>leadcharges!$H$842</f>
        <v>176</v>
      </c>
      <c r="H128" s="82">
        <f>leadcharges!$H$812</f>
        <v>219.1</v>
      </c>
    </row>
    <row r="129" spans="1:9">
      <c r="B129" s="36">
        <v>2</v>
      </c>
      <c r="C129" s="36" t="s">
        <v>1641</v>
      </c>
      <c r="D129" s="82">
        <f>leadcharges!$H$798</f>
        <v>40</v>
      </c>
      <c r="E129" s="82">
        <f>leadcharges!$E$771</f>
        <v>64.95</v>
      </c>
      <c r="F129" s="82">
        <f>leadcharges!$D$829</f>
        <v>163.69999999999999</v>
      </c>
      <c r="G129" s="82">
        <f>leadcharges!$D$844</f>
        <v>176</v>
      </c>
      <c r="H129" s="82">
        <f>leadcharges!$D$814</f>
        <v>219.1</v>
      </c>
    </row>
    <row r="130" spans="1:9">
      <c r="B130" s="1162" t="s">
        <v>9715</v>
      </c>
      <c r="C130" s="1162"/>
      <c r="D130" s="1162"/>
      <c r="E130" s="1162"/>
      <c r="F130" s="1162"/>
      <c r="G130" s="1162"/>
      <c r="H130" s="1162"/>
    </row>
    <row r="131" spans="1:9">
      <c r="B131" s="76"/>
      <c r="C131" s="76"/>
      <c r="D131" s="85"/>
      <c r="E131" s="85"/>
      <c r="F131" s="85"/>
      <c r="G131" s="76"/>
      <c r="H131" s="85"/>
    </row>
    <row r="132" spans="1:9">
      <c r="A132" s="27" t="s">
        <v>6024</v>
      </c>
      <c r="B132" s="877" t="s">
        <v>1299</v>
      </c>
      <c r="D132" s="85"/>
      <c r="E132" s="86"/>
      <c r="F132" s="86"/>
      <c r="G132" s="86"/>
      <c r="H132" s="85"/>
    </row>
    <row r="133" spans="1:9">
      <c r="A133" s="27" t="s">
        <v>5639</v>
      </c>
      <c r="B133" s="877" t="s">
        <v>9713</v>
      </c>
      <c r="D133" s="85"/>
      <c r="E133" s="86"/>
      <c r="F133" s="86"/>
      <c r="G133" s="86"/>
      <c r="H133" s="85"/>
    </row>
    <row r="134" spans="1:9" ht="108">
      <c r="B134" s="35" t="s">
        <v>3473</v>
      </c>
      <c r="C134" s="34" t="s">
        <v>4278</v>
      </c>
      <c r="D134" s="829" t="s">
        <v>4279</v>
      </c>
      <c r="E134" s="829" t="s">
        <v>1636</v>
      </c>
      <c r="F134" s="829" t="s">
        <v>1637</v>
      </c>
      <c r="G134" s="829" t="s">
        <v>1638</v>
      </c>
      <c r="H134" s="829" t="s">
        <v>1639</v>
      </c>
    </row>
    <row r="135" spans="1:9">
      <c r="A135" s="78"/>
      <c r="B135" s="36">
        <v>1</v>
      </c>
      <c r="C135" s="36">
        <v>2</v>
      </c>
      <c r="D135" s="36">
        <v>3</v>
      </c>
      <c r="E135" s="36">
        <v>4</v>
      </c>
      <c r="F135" s="36">
        <v>5</v>
      </c>
      <c r="G135" s="36">
        <v>6</v>
      </c>
      <c r="H135" s="36">
        <v>7</v>
      </c>
      <c r="I135" s="78"/>
    </row>
    <row r="136" spans="1:9">
      <c r="B136" s="36">
        <v>1</v>
      </c>
      <c r="C136" s="36" t="s">
        <v>1640</v>
      </c>
      <c r="D136" s="82">
        <f>leadcharges!$H$785/1.14</f>
        <v>97.368421052631589</v>
      </c>
      <c r="E136" s="82">
        <f>leadcharges!$H$769/1.14</f>
        <v>113.94736842105264</v>
      </c>
      <c r="F136" s="82">
        <f>leadcharges!$H$827/1.14</f>
        <v>143.59649122807016</v>
      </c>
      <c r="G136" s="82">
        <f>leadcharges!$H$842/1.14</f>
        <v>154.38596491228071</v>
      </c>
      <c r="H136" s="82">
        <f>leadcharges!$H$812/1.14</f>
        <v>192.19298245614036</v>
      </c>
    </row>
    <row r="137" spans="1:9">
      <c r="B137" s="36">
        <v>2</v>
      </c>
      <c r="C137" s="36" t="s">
        <v>1641</v>
      </c>
      <c r="D137" s="82">
        <f>leadcharges!$H$798/1.14</f>
        <v>35.087719298245617</v>
      </c>
      <c r="E137" s="82">
        <f>leadcharges!$E$771/1.14</f>
        <v>56.973684210526322</v>
      </c>
      <c r="F137" s="82">
        <f>leadcharges!$D$829/1.14</f>
        <v>143.59649122807016</v>
      </c>
      <c r="G137" s="82">
        <f>leadcharges!$D$844/1.14</f>
        <v>154.38596491228071</v>
      </c>
      <c r="H137" s="82">
        <f>leadcharges!$D$814/1.14</f>
        <v>192.19298245614036</v>
      </c>
    </row>
    <row r="138" spans="1:9">
      <c r="B138" s="1162" t="s">
        <v>9714</v>
      </c>
      <c r="C138" s="1162"/>
      <c r="D138" s="1162"/>
      <c r="E138" s="1162"/>
      <c r="F138" s="1162"/>
      <c r="G138" s="1162"/>
      <c r="H138" s="1162"/>
    </row>
    <row r="139" spans="1:9">
      <c r="B139" s="76"/>
      <c r="C139" s="76"/>
      <c r="D139" s="85"/>
      <c r="E139" s="86"/>
      <c r="F139" s="86"/>
      <c r="G139" s="86"/>
      <c r="H139" s="85"/>
    </row>
    <row r="140" spans="1:9">
      <c r="B140" s="76"/>
      <c r="C140" s="76"/>
      <c r="D140" s="85"/>
      <c r="E140" s="86"/>
      <c r="F140" s="86"/>
      <c r="G140" s="86"/>
      <c r="H140" s="85"/>
    </row>
    <row r="141" spans="1:9">
      <c r="A141" s="27" t="s">
        <v>6025</v>
      </c>
      <c r="B141" s="877" t="s">
        <v>1300</v>
      </c>
      <c r="C141" s="76"/>
      <c r="D141" s="76"/>
      <c r="E141" s="76"/>
      <c r="F141" s="76"/>
      <c r="G141" s="76"/>
      <c r="H141" s="76"/>
    </row>
    <row r="142" spans="1:9">
      <c r="B142" s="877" t="s">
        <v>9712</v>
      </c>
      <c r="C142" s="89"/>
      <c r="D142" s="89"/>
      <c r="E142" s="89"/>
      <c r="F142" s="76"/>
      <c r="G142" s="76"/>
      <c r="H142" s="76"/>
    </row>
    <row r="143" spans="1:9" ht="108">
      <c r="A143" s="27" t="s">
        <v>5066</v>
      </c>
      <c r="B143" s="35" t="s">
        <v>3473</v>
      </c>
      <c r="C143" s="81" t="s">
        <v>4278</v>
      </c>
      <c r="D143" s="875" t="s">
        <v>4279</v>
      </c>
      <c r="E143" s="876" t="s">
        <v>1636</v>
      </c>
      <c r="F143" s="91"/>
      <c r="G143" s="86"/>
      <c r="H143" s="86"/>
    </row>
    <row r="144" spans="1:9" s="78" customFormat="1">
      <c r="B144" s="36">
        <v>1</v>
      </c>
      <c r="C144" s="36">
        <v>2</v>
      </c>
      <c r="D144" s="36">
        <v>3</v>
      </c>
      <c r="E144" s="92">
        <v>4</v>
      </c>
      <c r="F144" s="93"/>
      <c r="G144" s="33"/>
      <c r="H144" s="33"/>
    </row>
    <row r="145" spans="1:9">
      <c r="B145" s="36">
        <v>1</v>
      </c>
      <c r="C145" s="36" t="s">
        <v>1640</v>
      </c>
      <c r="D145" s="82">
        <f>leadcharges!$H$894</f>
        <v>52</v>
      </c>
      <c r="E145" s="82">
        <f>leadcharges!$H$870</f>
        <v>103.9</v>
      </c>
      <c r="F145" s="94"/>
      <c r="G145" s="85"/>
      <c r="H145" s="85"/>
    </row>
    <row r="146" spans="1:9">
      <c r="B146" s="36">
        <v>2</v>
      </c>
      <c r="C146" s="36" t="s">
        <v>1641</v>
      </c>
      <c r="D146" s="82">
        <f>leadcharges!$H$914</f>
        <v>15.9</v>
      </c>
      <c r="E146" s="82">
        <f>leadcharges!$H$914</f>
        <v>15.9</v>
      </c>
      <c r="F146" s="94"/>
      <c r="G146" s="76"/>
      <c r="H146" s="85"/>
    </row>
    <row r="147" spans="1:9">
      <c r="B147" s="1163" t="s">
        <v>9715</v>
      </c>
      <c r="C147" s="1163"/>
      <c r="D147" s="1163"/>
      <c r="E147" s="1163"/>
      <c r="F147" s="1163"/>
      <c r="G147" s="1163"/>
      <c r="H147" s="1163"/>
    </row>
    <row r="148" spans="1:9"/>
    <row r="149" spans="1:9">
      <c r="A149" s="27" t="s">
        <v>6025</v>
      </c>
      <c r="B149" s="877" t="s">
        <v>1300</v>
      </c>
      <c r="C149" s="76"/>
      <c r="D149" s="76"/>
      <c r="E149" s="76"/>
      <c r="F149" s="76"/>
      <c r="G149" s="76"/>
      <c r="H149" s="76"/>
    </row>
    <row r="150" spans="1:9">
      <c r="B150" s="877" t="s">
        <v>9712</v>
      </c>
      <c r="C150" s="89"/>
      <c r="D150" s="89"/>
      <c r="E150" s="89"/>
      <c r="F150" s="76"/>
      <c r="G150" s="76"/>
      <c r="H150" s="76"/>
    </row>
    <row r="151" spans="1:9" ht="108">
      <c r="A151" s="27" t="s">
        <v>5639</v>
      </c>
      <c r="B151" s="35" t="s">
        <v>3473</v>
      </c>
      <c r="C151" s="81" t="s">
        <v>4278</v>
      </c>
      <c r="D151" s="875" t="s">
        <v>4279</v>
      </c>
      <c r="E151" s="876" t="s">
        <v>1636</v>
      </c>
      <c r="F151" s="91"/>
      <c r="G151" s="86"/>
      <c r="H151" s="86"/>
    </row>
    <row r="152" spans="1:9">
      <c r="A152" s="78"/>
      <c r="B152" s="36">
        <v>1</v>
      </c>
      <c r="C152" s="36">
        <v>2</v>
      </c>
      <c r="D152" s="36">
        <v>3</v>
      </c>
      <c r="E152" s="92">
        <v>4</v>
      </c>
      <c r="F152" s="93"/>
      <c r="G152" s="33"/>
      <c r="H152" s="33"/>
      <c r="I152" s="78"/>
    </row>
    <row r="153" spans="1:9">
      <c r="B153" s="36">
        <v>1</v>
      </c>
      <c r="C153" s="36" t="s">
        <v>1640</v>
      </c>
      <c r="D153" s="82">
        <f>leadcharges!$H$894/1.14</f>
        <v>45.614035087719301</v>
      </c>
      <c r="E153" s="82">
        <f>leadcharges!$H$870/1.14</f>
        <v>91.140350877193001</v>
      </c>
      <c r="F153" s="94"/>
      <c r="G153" s="85"/>
      <c r="H153" s="85"/>
    </row>
    <row r="154" spans="1:9">
      <c r="B154" s="36">
        <v>2</v>
      </c>
      <c r="C154" s="36" t="s">
        <v>1641</v>
      </c>
      <c r="D154" s="82">
        <f>leadcharges!$H$914/1.14</f>
        <v>13.947368421052634</v>
      </c>
      <c r="E154" s="82">
        <f>leadcharges!$H$914/1.14</f>
        <v>13.947368421052634</v>
      </c>
      <c r="F154" s="94"/>
      <c r="G154" s="76"/>
      <c r="H154" s="85"/>
    </row>
    <row r="155" spans="1:9">
      <c r="B155" s="1163" t="s">
        <v>9714</v>
      </c>
      <c r="C155" s="1163"/>
      <c r="D155" s="1163"/>
      <c r="E155" s="1163"/>
      <c r="F155" s="1163"/>
      <c r="G155" s="1163"/>
      <c r="H155" s="1163"/>
    </row>
    <row r="156" spans="1:9"/>
    <row r="157" spans="1:9">
      <c r="A157" s="27" t="s">
        <v>6026</v>
      </c>
      <c r="B157" s="867" t="s">
        <v>1301</v>
      </c>
    </row>
    <row r="158" spans="1:9">
      <c r="B158" s="877" t="s">
        <v>9712</v>
      </c>
    </row>
    <row r="159" spans="1:9" ht="180">
      <c r="A159" s="27" t="s">
        <v>5066</v>
      </c>
      <c r="B159" s="35" t="s">
        <v>3473</v>
      </c>
      <c r="C159" s="34" t="s">
        <v>1302</v>
      </c>
      <c r="D159" s="829" t="s">
        <v>1483</v>
      </c>
      <c r="E159" s="829" t="s">
        <v>1484</v>
      </c>
      <c r="F159" s="829" t="s">
        <v>1485</v>
      </c>
    </row>
    <row r="160" spans="1:9" s="78" customFormat="1">
      <c r="B160" s="36">
        <v>1</v>
      </c>
      <c r="C160" s="36">
        <v>2</v>
      </c>
      <c r="D160" s="36">
        <v>3</v>
      </c>
      <c r="E160" s="36">
        <v>4</v>
      </c>
      <c r="F160" s="36">
        <v>5</v>
      </c>
    </row>
    <row r="161" spans="1:8" ht="54">
      <c r="B161" s="95">
        <v>1</v>
      </c>
      <c r="C161" s="96" t="s">
        <v>549</v>
      </c>
      <c r="D161" s="95" t="s">
        <v>550</v>
      </c>
      <c r="E161" s="95" t="s">
        <v>550</v>
      </c>
      <c r="F161" s="97" t="s">
        <v>550</v>
      </c>
    </row>
    <row r="162" spans="1:8" ht="54">
      <c r="B162" s="36">
        <v>2</v>
      </c>
      <c r="C162" s="65" t="s">
        <v>433</v>
      </c>
      <c r="D162" s="82">
        <f>leadcharges!$G$942</f>
        <v>6.6</v>
      </c>
      <c r="E162" s="82">
        <f>leadcharges!$G$965</f>
        <v>4.8</v>
      </c>
      <c r="F162" s="98">
        <f>leadcharges!$G$989</f>
        <v>8.8000000000000007</v>
      </c>
    </row>
    <row r="163" spans="1:8" s="47" customFormat="1">
      <c r="A163" s="1160"/>
      <c r="B163" s="1161" t="s">
        <v>7855</v>
      </c>
      <c r="C163" s="1161"/>
      <c r="D163" s="1161"/>
      <c r="E163" s="1161"/>
      <c r="F163" s="1161"/>
      <c r="G163" s="1161"/>
      <c r="H163" s="1161"/>
    </row>
    <row r="164" spans="1:8" s="47" customFormat="1">
      <c r="A164" s="1160"/>
      <c r="B164" s="1161"/>
      <c r="C164" s="1161"/>
      <c r="D164" s="1161"/>
      <c r="E164" s="1161"/>
      <c r="F164" s="1161"/>
      <c r="G164" s="1161"/>
      <c r="H164" s="1161"/>
    </row>
    <row r="165" spans="1:8" s="76" customFormat="1" hidden="1"/>
    <row r="166" spans="1:8" s="76" customFormat="1" hidden="1"/>
    <row r="167" spans="1:8" s="76" customFormat="1" hidden="1"/>
    <row r="168" spans="1:8" s="76" customFormat="1" hidden="1"/>
    <row r="169" spans="1:8" s="76" customFormat="1" hidden="1"/>
    <row r="170" spans="1:8" s="76" customFormat="1" hidden="1">
      <c r="D170" s="85"/>
    </row>
    <row r="171" spans="1:8" s="76" customFormat="1" hidden="1">
      <c r="D171" s="85"/>
    </row>
    <row r="172" spans="1:8" s="76" customFormat="1" hidden="1">
      <c r="D172" s="85"/>
    </row>
    <row r="173" spans="1:8" s="76" customFormat="1" hidden="1">
      <c r="D173" s="85"/>
    </row>
    <row r="174" spans="1:8" s="76" customFormat="1" hidden="1"/>
    <row r="175" spans="1:8" s="76" customFormat="1" hidden="1"/>
    <row r="176" spans="1:8" s="76" customFormat="1" hidden="1"/>
    <row r="177" s="76" customFormat="1" hidden="1"/>
    <row r="178" s="76" customFormat="1" hidden="1"/>
    <row r="179" s="76" customFormat="1" hidden="1"/>
    <row r="180" s="76" customFormat="1" hidden="1"/>
    <row r="181" s="76" customFormat="1" hidden="1"/>
    <row r="182" s="76" customFormat="1" hidden="1"/>
    <row r="183" s="76" customFormat="1" hidden="1"/>
    <row r="184" s="76" customFormat="1" hidden="1"/>
    <row r="185" s="76" customFormat="1" hidden="1"/>
    <row r="186" s="76" customFormat="1" hidden="1"/>
    <row r="187" s="76" customFormat="1" hidden="1"/>
    <row r="188" s="76" customFormat="1" hidden="1"/>
    <row r="189" s="76" customFormat="1" hidden="1"/>
    <row r="190" s="76" customFormat="1" hidden="1"/>
    <row r="191" s="76" customFormat="1" hidden="1"/>
    <row r="192" s="76" customFormat="1" hidden="1"/>
    <row r="193" s="76" customFormat="1" hidden="1"/>
    <row r="194" s="76" customFormat="1" hidden="1"/>
    <row r="195" s="76" customFormat="1" hidden="1"/>
    <row r="196" s="76" customFormat="1" hidden="1"/>
    <row r="197" s="76" customFormat="1" hidden="1"/>
    <row r="198" s="76" customFormat="1" hidden="1"/>
    <row r="199" s="76" customFormat="1" hidden="1"/>
    <row r="200" s="76" customFormat="1" hidden="1"/>
    <row r="201" s="76" customFormat="1" hidden="1"/>
    <row r="202" s="76" customFormat="1" hidden="1"/>
    <row r="203" s="76" customFormat="1" hidden="1"/>
    <row r="204" s="76" customFormat="1" hidden="1"/>
    <row r="205" s="76" customFormat="1" hidden="1"/>
    <row r="206" s="76" customFormat="1" hidden="1"/>
    <row r="207" s="76" customFormat="1" hidden="1"/>
    <row r="208" s="76" customFormat="1" hidden="1"/>
    <row r="209" spans="2:7" s="76" customFormat="1" hidden="1">
      <c r="D209" s="85"/>
    </row>
    <row r="210" spans="2:7" s="76" customFormat="1" hidden="1"/>
    <row r="211" spans="2:7" s="76" customFormat="1" hidden="1"/>
    <row r="212" spans="2:7" s="76" customFormat="1" hidden="1">
      <c r="D212" s="85"/>
    </row>
    <row r="213" spans="2:7" s="76" customFormat="1" hidden="1">
      <c r="C213" s="86"/>
      <c r="F213" s="86"/>
      <c r="G213" s="86"/>
    </row>
    <row r="214" spans="2:7" s="76" customFormat="1" hidden="1">
      <c r="C214" s="85"/>
      <c r="D214" s="85"/>
    </row>
    <row r="215" spans="2:7" s="76" customFormat="1" hidden="1">
      <c r="B215" s="86"/>
      <c r="C215" s="86"/>
      <c r="D215" s="85"/>
    </row>
    <row r="216" spans="2:7" s="76" customFormat="1" hidden="1">
      <c r="C216" s="86"/>
      <c r="D216" s="99"/>
    </row>
    <row r="217" spans="2:7" s="76" customFormat="1" hidden="1"/>
    <row r="218" spans="2:7" s="76" customFormat="1" hidden="1"/>
    <row r="219" spans="2:7" s="76" customFormat="1" hidden="1"/>
    <row r="220" spans="2:7" s="76" customFormat="1" hidden="1">
      <c r="C220" s="85"/>
    </row>
    <row r="221" spans="2:7" s="76" customFormat="1" hidden="1">
      <c r="C221" s="86"/>
      <c r="D221" s="86"/>
    </row>
    <row r="222" spans="2:7" s="76" customFormat="1" hidden="1">
      <c r="C222" s="85"/>
      <c r="D222" s="85"/>
      <c r="E222" s="85"/>
    </row>
    <row r="223" spans="2:7" s="76" customFormat="1" hidden="1">
      <c r="B223" s="86"/>
      <c r="C223" s="86"/>
      <c r="D223" s="85"/>
      <c r="E223" s="86"/>
    </row>
    <row r="224" spans="2:7" s="76" customFormat="1" hidden="1">
      <c r="C224" s="86"/>
      <c r="F224" s="86"/>
      <c r="G224" s="86"/>
    </row>
    <row r="225" spans="2:4" s="76" customFormat="1" hidden="1">
      <c r="C225" s="85"/>
      <c r="D225" s="85"/>
    </row>
    <row r="226" spans="2:4" s="76" customFormat="1" hidden="1">
      <c r="B226" s="86"/>
      <c r="C226" s="86"/>
      <c r="D226" s="85"/>
    </row>
    <row r="227" spans="2:4" s="76" customFormat="1" hidden="1">
      <c r="C227" s="86"/>
      <c r="D227" s="99"/>
    </row>
    <row r="228" spans="2:4" s="76" customFormat="1" hidden="1"/>
    <row r="229" spans="2:4" s="76" customFormat="1" hidden="1"/>
    <row r="230" spans="2:4" s="76" customFormat="1" hidden="1"/>
    <row r="231" spans="2:4" s="76" customFormat="1" hidden="1"/>
    <row r="232" spans="2:4" s="76" customFormat="1" hidden="1"/>
    <row r="233" spans="2:4" s="76" customFormat="1" hidden="1"/>
    <row r="234" spans="2:4" s="76" customFormat="1" hidden="1"/>
    <row r="235" spans="2:4" s="76" customFormat="1" hidden="1"/>
    <row r="236" spans="2:4" s="76" customFormat="1" hidden="1"/>
    <row r="237" spans="2:4" s="76" customFormat="1" hidden="1"/>
    <row r="238" spans="2:4" s="76" customFormat="1" hidden="1"/>
    <row r="239" spans="2:4" s="76" customFormat="1" hidden="1"/>
    <row r="240" spans="2:4" s="76" customFormat="1" hidden="1"/>
    <row r="241" spans="3:7" s="76" customFormat="1" hidden="1">
      <c r="C241" s="85"/>
    </row>
    <row r="242" spans="3:7" s="76" customFormat="1" hidden="1"/>
    <row r="243" spans="3:7" s="76" customFormat="1" hidden="1"/>
    <row r="244" spans="3:7" s="76" customFormat="1" hidden="1"/>
    <row r="245" spans="3:7" s="76" customFormat="1" hidden="1">
      <c r="G245" s="86"/>
    </row>
    <row r="246" spans="3:7" s="76" customFormat="1" hidden="1">
      <c r="C246" s="85"/>
    </row>
    <row r="247" spans="3:7" s="76" customFormat="1" hidden="1">
      <c r="C247" s="86"/>
      <c r="D247" s="86"/>
    </row>
    <row r="248" spans="3:7" s="76" customFormat="1" hidden="1">
      <c r="C248" s="86"/>
      <c r="D248" s="100"/>
    </row>
    <row r="249" spans="3:7" s="76" customFormat="1" hidden="1">
      <c r="D249" s="85"/>
      <c r="E249" s="99"/>
    </row>
    <row r="250" spans="3:7" s="76" customFormat="1" hidden="1">
      <c r="D250" s="85"/>
      <c r="E250" s="99"/>
    </row>
    <row r="251" spans="3:7" s="76" customFormat="1" hidden="1">
      <c r="D251" s="85"/>
    </row>
    <row r="252" spans="3:7" s="76" customFormat="1" hidden="1">
      <c r="D252" s="85"/>
    </row>
    <row r="253" spans="3:7" s="76" customFormat="1" hidden="1"/>
    <row r="254" spans="3:7" s="76" customFormat="1" hidden="1"/>
    <row r="255" spans="3:7" s="76" customFormat="1" hidden="1"/>
    <row r="256" spans="3:7" s="76" customFormat="1" hidden="1">
      <c r="G256" s="86"/>
    </row>
    <row r="257" spans="3:5" s="76" customFormat="1" hidden="1">
      <c r="C257" s="85"/>
    </row>
    <row r="258" spans="3:5" s="76" customFormat="1" hidden="1">
      <c r="C258" s="86"/>
      <c r="D258" s="86"/>
    </row>
    <row r="259" spans="3:5" s="76" customFormat="1" hidden="1">
      <c r="C259" s="86"/>
      <c r="D259" s="100"/>
    </row>
    <row r="260" spans="3:5" s="76" customFormat="1" hidden="1">
      <c r="D260" s="85"/>
      <c r="E260" s="99"/>
    </row>
    <row r="261" spans="3:5" s="76" customFormat="1" hidden="1">
      <c r="D261" s="85"/>
      <c r="E261" s="99"/>
    </row>
    <row r="262" spans="3:5" s="76" customFormat="1" hidden="1">
      <c r="D262" s="85"/>
    </row>
    <row r="263" spans="3:5" s="76" customFormat="1" hidden="1">
      <c r="D263" s="85"/>
    </row>
    <row r="264" spans="3:5" s="76" customFormat="1" hidden="1"/>
    <row r="265" spans="3:5" s="76" customFormat="1" hidden="1"/>
    <row r="266" spans="3:5" s="76" customFormat="1" hidden="1"/>
    <row r="267" spans="3:5" s="76" customFormat="1" hidden="1"/>
    <row r="268" spans="3:5" s="76" customFormat="1" hidden="1"/>
    <row r="269" spans="3:5" s="76" customFormat="1" hidden="1"/>
    <row r="270" spans="3:5" s="76" customFormat="1" hidden="1"/>
    <row r="271" spans="3:5" s="76" customFormat="1" hidden="1"/>
    <row r="272" spans="3:5" s="76" customFormat="1" hidden="1"/>
    <row r="273" spans="3:7" s="76" customFormat="1" hidden="1"/>
    <row r="274" spans="3:7" s="76" customFormat="1" hidden="1"/>
    <row r="275" spans="3:7" s="76" customFormat="1" hidden="1"/>
    <row r="276" spans="3:7" s="76" customFormat="1" hidden="1"/>
    <row r="277" spans="3:7" s="76" customFormat="1" hidden="1"/>
    <row r="278" spans="3:7" s="76" customFormat="1" hidden="1"/>
    <row r="279" spans="3:7" s="76" customFormat="1" hidden="1">
      <c r="F279" s="86"/>
      <c r="G279" s="86"/>
    </row>
    <row r="280" spans="3:7" s="76" customFormat="1" hidden="1"/>
    <row r="281" spans="3:7" s="76" customFormat="1" hidden="1"/>
    <row r="282" spans="3:7" s="76" customFormat="1" hidden="1">
      <c r="C282" s="86"/>
      <c r="D282" s="100"/>
    </row>
    <row r="283" spans="3:7" s="76" customFormat="1" hidden="1"/>
    <row r="284" spans="3:7" s="76" customFormat="1" hidden="1"/>
    <row r="285" spans="3:7" s="76" customFormat="1" hidden="1"/>
    <row r="286" spans="3:7" s="76" customFormat="1" hidden="1"/>
    <row r="287" spans="3:7" s="76" customFormat="1" hidden="1"/>
    <row r="288" spans="3:7" s="76" customFormat="1" hidden="1"/>
    <row r="289" spans="3:9" s="76" customFormat="1" hidden="1"/>
    <row r="290" spans="3:9" s="76" customFormat="1" hidden="1">
      <c r="G290" s="86"/>
    </row>
    <row r="291" spans="3:9" s="76" customFormat="1" hidden="1"/>
    <row r="292" spans="3:9" s="76" customFormat="1" hidden="1"/>
    <row r="293" spans="3:9" s="76" customFormat="1" hidden="1">
      <c r="C293" s="86"/>
      <c r="D293" s="100"/>
    </row>
    <row r="294" spans="3:9" s="76" customFormat="1" hidden="1"/>
    <row r="295" spans="3:9" s="76" customFormat="1" hidden="1"/>
    <row r="296" spans="3:9" s="76" customFormat="1" hidden="1">
      <c r="H296" s="85"/>
    </row>
    <row r="297" spans="3:9" s="101" customFormat="1" hidden="1">
      <c r="H297" s="102"/>
    </row>
    <row r="298" spans="3:9" s="76" customFormat="1" hidden="1"/>
    <row r="299" spans="3:9" s="76" customFormat="1" hidden="1"/>
    <row r="300" spans="3:9" s="76" customFormat="1" hidden="1"/>
    <row r="301" spans="3:9" s="76" customFormat="1" hidden="1"/>
    <row r="302" spans="3:9" s="76" customFormat="1" hidden="1"/>
    <row r="303" spans="3:9" s="76" customFormat="1" hidden="1">
      <c r="F303" s="101"/>
      <c r="I303" s="101"/>
    </row>
    <row r="304" spans="3:9" s="76" customFormat="1" hidden="1">
      <c r="G304" s="86"/>
    </row>
    <row r="305" spans="4:7" s="76" customFormat="1" hidden="1">
      <c r="F305" s="85"/>
    </row>
    <row r="306" spans="4:7" s="76" customFormat="1" hidden="1">
      <c r="F306" s="85"/>
    </row>
    <row r="307" spans="4:7" s="76" customFormat="1" hidden="1">
      <c r="F307" s="85"/>
    </row>
    <row r="308" spans="4:7" s="76" customFormat="1" hidden="1"/>
    <row r="309" spans="4:7" s="76" customFormat="1" hidden="1">
      <c r="D309" s="99"/>
    </row>
    <row r="310" spans="4:7" s="76" customFormat="1" hidden="1"/>
    <row r="311" spans="4:7" s="76" customFormat="1" hidden="1"/>
    <row r="312" spans="4:7" s="76" customFormat="1" hidden="1"/>
    <row r="313" spans="4:7" s="76" customFormat="1" hidden="1">
      <c r="F313" s="101"/>
    </row>
    <row r="314" spans="4:7" s="76" customFormat="1" hidden="1">
      <c r="G314" s="86"/>
    </row>
    <row r="315" spans="4:7" s="76" customFormat="1" hidden="1">
      <c r="F315" s="85"/>
    </row>
    <row r="316" spans="4:7" s="76" customFormat="1" hidden="1">
      <c r="F316" s="85"/>
    </row>
    <row r="317" spans="4:7" s="76" customFormat="1" hidden="1">
      <c r="F317" s="85"/>
    </row>
    <row r="318" spans="4:7" s="76" customFormat="1" hidden="1"/>
    <row r="319" spans="4:7" s="76" customFormat="1" hidden="1">
      <c r="D319" s="99"/>
    </row>
    <row r="320" spans="4:7" s="76" customFormat="1" hidden="1"/>
    <row r="321" spans="4:7" s="76" customFormat="1" hidden="1"/>
    <row r="322" spans="4:7" s="76" customFormat="1" hidden="1"/>
    <row r="323" spans="4:7" s="76" customFormat="1" hidden="1"/>
    <row r="324" spans="4:7" s="76" customFormat="1" hidden="1">
      <c r="G324" s="86"/>
    </row>
    <row r="325" spans="4:7" s="76" customFormat="1" hidden="1">
      <c r="F325" s="85"/>
    </row>
    <row r="326" spans="4:7" s="76" customFormat="1" hidden="1">
      <c r="F326" s="85"/>
    </row>
    <row r="327" spans="4:7" s="76" customFormat="1" hidden="1">
      <c r="F327" s="85"/>
    </row>
    <row r="328" spans="4:7" s="76" customFormat="1" hidden="1"/>
    <row r="329" spans="4:7" s="76" customFormat="1" hidden="1">
      <c r="D329" s="99"/>
    </row>
    <row r="330" spans="4:7" s="76" customFormat="1" hidden="1"/>
    <row r="331" spans="4:7" s="76" customFormat="1" hidden="1"/>
    <row r="332" spans="4:7" s="76" customFormat="1" hidden="1"/>
    <row r="333" spans="4:7" s="76" customFormat="1" hidden="1"/>
    <row r="334" spans="4:7" s="76" customFormat="1" hidden="1">
      <c r="F334" s="86"/>
      <c r="G334" s="86"/>
    </row>
    <row r="335" spans="4:7" s="76" customFormat="1" hidden="1">
      <c r="F335" s="85"/>
    </row>
    <row r="336" spans="4:7" s="76" customFormat="1" hidden="1">
      <c r="F336" s="85"/>
    </row>
    <row r="337" spans="4:7" s="76" customFormat="1" hidden="1">
      <c r="F337" s="85"/>
    </row>
    <row r="338" spans="4:7" s="76" customFormat="1" hidden="1"/>
    <row r="339" spans="4:7" s="76" customFormat="1" hidden="1">
      <c r="D339" s="99"/>
    </row>
    <row r="340" spans="4:7" s="76" customFormat="1" hidden="1"/>
    <row r="341" spans="4:7" s="76" customFormat="1" hidden="1"/>
    <row r="342" spans="4:7" s="76" customFormat="1" hidden="1"/>
    <row r="343" spans="4:7" s="76" customFormat="1" hidden="1"/>
    <row r="344" spans="4:7" s="76" customFormat="1" hidden="1">
      <c r="F344" s="86"/>
      <c r="G344" s="86"/>
    </row>
    <row r="345" spans="4:7" s="76" customFormat="1" hidden="1">
      <c r="F345" s="85"/>
    </row>
    <row r="346" spans="4:7" s="76" customFormat="1" hidden="1">
      <c r="F346" s="85"/>
    </row>
    <row r="347" spans="4:7" s="76" customFormat="1" hidden="1">
      <c r="F347" s="85"/>
    </row>
    <row r="348" spans="4:7" s="76" customFormat="1" hidden="1"/>
    <row r="349" spans="4:7" s="76" customFormat="1" hidden="1">
      <c r="D349" s="99"/>
    </row>
    <row r="350" spans="4:7" s="76" customFormat="1" hidden="1"/>
    <row r="351" spans="4:7" s="76" customFormat="1" hidden="1"/>
    <row r="352" spans="4:7" s="76" customFormat="1" hidden="1"/>
    <row r="353" spans="4:7" s="76" customFormat="1" hidden="1"/>
    <row r="354" spans="4:7" s="76" customFormat="1" hidden="1">
      <c r="F354" s="86"/>
      <c r="G354" s="86"/>
    </row>
    <row r="355" spans="4:7" s="76" customFormat="1" hidden="1">
      <c r="F355" s="85"/>
    </row>
    <row r="356" spans="4:7" s="76" customFormat="1" hidden="1">
      <c r="F356" s="85"/>
    </row>
    <row r="357" spans="4:7" s="76" customFormat="1" hidden="1">
      <c r="F357" s="85"/>
    </row>
    <row r="358" spans="4:7" s="76" customFormat="1" hidden="1"/>
    <row r="359" spans="4:7" s="76" customFormat="1" hidden="1">
      <c r="D359" s="99"/>
    </row>
    <row r="360" spans="4:7" s="76" customFormat="1" hidden="1"/>
    <row r="361" spans="4:7" s="76" customFormat="1" hidden="1"/>
    <row r="362" spans="4:7" s="76" customFormat="1" hidden="1"/>
    <row r="363" spans="4:7" s="76" customFormat="1" hidden="1"/>
    <row r="364" spans="4:7" s="76" customFormat="1" hidden="1">
      <c r="F364" s="86"/>
      <c r="G364" s="86"/>
    </row>
    <row r="365" spans="4:7" s="76" customFormat="1" hidden="1">
      <c r="F365" s="85"/>
    </row>
    <row r="366" spans="4:7" s="76" customFormat="1" hidden="1">
      <c r="F366" s="85"/>
    </row>
    <row r="367" spans="4:7" s="76" customFormat="1" hidden="1">
      <c r="F367" s="85"/>
    </row>
    <row r="368" spans="4:7" s="76" customFormat="1" hidden="1"/>
    <row r="369" spans="4:7" s="76" customFormat="1" hidden="1">
      <c r="D369" s="99"/>
    </row>
    <row r="370" spans="4:7" s="76" customFormat="1" hidden="1"/>
    <row r="371" spans="4:7" s="76" customFormat="1" hidden="1"/>
    <row r="372" spans="4:7" s="76" customFormat="1" hidden="1"/>
    <row r="373" spans="4:7" s="76" customFormat="1" hidden="1"/>
    <row r="374" spans="4:7" s="76" customFormat="1" hidden="1"/>
    <row r="375" spans="4:7" s="76" customFormat="1" hidden="1">
      <c r="F375" s="101"/>
    </row>
    <row r="376" spans="4:7" s="76" customFormat="1" hidden="1">
      <c r="F376" s="86"/>
      <c r="G376" s="86"/>
    </row>
    <row r="377" spans="4:7" s="76" customFormat="1" hidden="1">
      <c r="F377" s="85"/>
    </row>
    <row r="378" spans="4:7" s="76" customFormat="1" hidden="1">
      <c r="F378" s="85"/>
    </row>
    <row r="379" spans="4:7" s="76" customFormat="1" hidden="1">
      <c r="F379" s="85"/>
    </row>
    <row r="380" spans="4:7" s="76" customFormat="1" hidden="1"/>
    <row r="381" spans="4:7" s="76" customFormat="1" hidden="1">
      <c r="D381" s="99"/>
    </row>
    <row r="382" spans="4:7" s="76" customFormat="1" hidden="1"/>
    <row r="383" spans="4:7" s="76" customFormat="1" hidden="1"/>
    <row r="384" spans="4:7" s="76" customFormat="1" hidden="1"/>
    <row r="385" spans="4:7" s="76" customFormat="1" hidden="1"/>
    <row r="386" spans="4:7" s="76" customFormat="1" hidden="1">
      <c r="F386" s="86"/>
      <c r="G386" s="86"/>
    </row>
    <row r="387" spans="4:7" s="76" customFormat="1" hidden="1">
      <c r="F387" s="85"/>
    </row>
    <row r="388" spans="4:7" s="76" customFormat="1" hidden="1">
      <c r="F388" s="85"/>
    </row>
    <row r="389" spans="4:7" s="76" customFormat="1" hidden="1">
      <c r="F389" s="85"/>
    </row>
    <row r="390" spans="4:7" s="76" customFormat="1" hidden="1"/>
    <row r="391" spans="4:7" s="76" customFormat="1" hidden="1">
      <c r="D391" s="99"/>
    </row>
    <row r="392" spans="4:7" s="76" customFormat="1" hidden="1"/>
    <row r="393" spans="4:7" s="76" customFormat="1" hidden="1"/>
    <row r="394" spans="4:7" s="76" customFormat="1" hidden="1"/>
    <row r="395" spans="4:7" s="76" customFormat="1" hidden="1"/>
    <row r="396" spans="4:7" s="76" customFormat="1" hidden="1">
      <c r="F396" s="86"/>
      <c r="G396" s="86"/>
    </row>
    <row r="397" spans="4:7" s="76" customFormat="1" hidden="1">
      <c r="F397" s="85"/>
    </row>
    <row r="398" spans="4:7" s="76" customFormat="1" hidden="1">
      <c r="F398" s="85"/>
    </row>
    <row r="399" spans="4:7" s="76" customFormat="1" hidden="1">
      <c r="F399" s="85"/>
    </row>
    <row r="400" spans="4:7" s="76" customFormat="1" hidden="1"/>
    <row r="401" spans="4:7" s="76" customFormat="1" hidden="1">
      <c r="D401" s="99"/>
    </row>
    <row r="402" spans="4:7" s="76" customFormat="1" hidden="1"/>
    <row r="403" spans="4:7" s="76" customFormat="1" hidden="1"/>
    <row r="404" spans="4:7" s="76" customFormat="1" hidden="1"/>
    <row r="405" spans="4:7" s="76" customFormat="1" hidden="1"/>
    <row r="406" spans="4:7" s="76" customFormat="1" hidden="1">
      <c r="F406" s="86"/>
      <c r="G406" s="86"/>
    </row>
    <row r="407" spans="4:7" s="76" customFormat="1" hidden="1">
      <c r="F407" s="85"/>
    </row>
    <row r="408" spans="4:7" s="76" customFormat="1" hidden="1">
      <c r="F408" s="85"/>
    </row>
    <row r="409" spans="4:7" s="76" customFormat="1" hidden="1">
      <c r="F409" s="85"/>
    </row>
    <row r="410" spans="4:7" s="76" customFormat="1" hidden="1"/>
    <row r="411" spans="4:7" s="76" customFormat="1" hidden="1">
      <c r="D411" s="99"/>
    </row>
    <row r="412" spans="4:7" s="76" customFormat="1" hidden="1"/>
    <row r="413" spans="4:7" s="76" customFormat="1" hidden="1"/>
    <row r="414" spans="4:7" s="76" customFormat="1" hidden="1"/>
    <row r="415" spans="4:7" s="76" customFormat="1" hidden="1"/>
    <row r="416" spans="4:7" s="76" customFormat="1" hidden="1">
      <c r="F416" s="86"/>
      <c r="G416" s="86"/>
    </row>
    <row r="417" spans="4:7" s="76" customFormat="1" hidden="1">
      <c r="F417" s="85"/>
    </row>
    <row r="418" spans="4:7" s="76" customFormat="1" hidden="1">
      <c r="F418" s="85"/>
    </row>
    <row r="419" spans="4:7" s="76" customFormat="1" hidden="1">
      <c r="F419" s="85"/>
    </row>
    <row r="420" spans="4:7" s="76" customFormat="1" hidden="1">
      <c r="F420" s="85"/>
    </row>
    <row r="421" spans="4:7" s="76" customFormat="1" hidden="1">
      <c r="D421" s="99"/>
    </row>
    <row r="422" spans="4:7" s="76" customFormat="1" hidden="1"/>
    <row r="423" spans="4:7" s="76" customFormat="1" hidden="1"/>
    <row r="424" spans="4:7" s="76" customFormat="1" hidden="1"/>
    <row r="425" spans="4:7" s="76" customFormat="1" hidden="1"/>
    <row r="426" spans="4:7" s="76" customFormat="1" hidden="1">
      <c r="F426" s="86"/>
      <c r="G426" s="86"/>
    </row>
    <row r="427" spans="4:7" s="76" customFormat="1" hidden="1">
      <c r="F427" s="85"/>
    </row>
    <row r="428" spans="4:7" s="76" customFormat="1" hidden="1">
      <c r="F428" s="85"/>
    </row>
    <row r="429" spans="4:7" s="76" customFormat="1" hidden="1">
      <c r="F429" s="85"/>
    </row>
    <row r="430" spans="4:7" s="76" customFormat="1" hidden="1"/>
    <row r="431" spans="4:7" s="76" customFormat="1" hidden="1">
      <c r="D431" s="99"/>
    </row>
    <row r="432" spans="4:7" s="76" customFormat="1" hidden="1"/>
    <row r="433" spans="4:7" s="76" customFormat="1" hidden="1"/>
    <row r="434" spans="4:7" s="76" customFormat="1" hidden="1"/>
    <row r="435" spans="4:7" s="76" customFormat="1" hidden="1"/>
    <row r="436" spans="4:7" s="76" customFormat="1" hidden="1">
      <c r="F436" s="86"/>
      <c r="G436" s="86"/>
    </row>
    <row r="437" spans="4:7" s="76" customFormat="1" hidden="1">
      <c r="F437" s="85"/>
    </row>
    <row r="438" spans="4:7" s="76" customFormat="1" hidden="1">
      <c r="F438" s="85"/>
    </row>
    <row r="439" spans="4:7" s="76" customFormat="1" hidden="1">
      <c r="F439" s="85"/>
    </row>
    <row r="440" spans="4:7" s="76" customFormat="1" hidden="1"/>
    <row r="441" spans="4:7" s="76" customFormat="1" hidden="1">
      <c r="D441" s="99"/>
    </row>
    <row r="442" spans="4:7" s="76" customFormat="1" hidden="1"/>
    <row r="443" spans="4:7" s="76" customFormat="1" hidden="1"/>
    <row r="444" spans="4:7" s="76" customFormat="1" hidden="1"/>
    <row r="445" spans="4:7" s="76" customFormat="1" hidden="1"/>
    <row r="446" spans="4:7" s="76" customFormat="1" hidden="1"/>
    <row r="447" spans="4:7" s="76" customFormat="1" hidden="1">
      <c r="F447" s="101"/>
    </row>
    <row r="448" spans="4:7" s="76" customFormat="1" hidden="1">
      <c r="F448" s="86"/>
      <c r="G448" s="86"/>
    </row>
    <row r="449" spans="4:7" s="76" customFormat="1" hidden="1">
      <c r="F449" s="85"/>
    </row>
    <row r="450" spans="4:7" s="76" customFormat="1" hidden="1">
      <c r="F450" s="85"/>
    </row>
    <row r="451" spans="4:7" s="76" customFormat="1" hidden="1">
      <c r="F451" s="85"/>
    </row>
    <row r="452" spans="4:7" s="76" customFormat="1" hidden="1"/>
    <row r="453" spans="4:7" s="76" customFormat="1" hidden="1">
      <c r="D453" s="99"/>
    </row>
    <row r="454" spans="4:7" s="76" customFormat="1" hidden="1"/>
    <row r="455" spans="4:7" s="76" customFormat="1" hidden="1"/>
    <row r="456" spans="4:7" s="76" customFormat="1" hidden="1"/>
    <row r="457" spans="4:7" s="76" customFormat="1" hidden="1">
      <c r="F457" s="101"/>
      <c r="G457" s="101"/>
    </row>
    <row r="458" spans="4:7" s="76" customFormat="1" hidden="1">
      <c r="F458" s="86"/>
      <c r="G458" s="86"/>
    </row>
    <row r="459" spans="4:7" s="76" customFormat="1" hidden="1">
      <c r="F459" s="85"/>
    </row>
    <row r="460" spans="4:7" s="76" customFormat="1" hidden="1">
      <c r="F460" s="85"/>
    </row>
    <row r="461" spans="4:7" s="76" customFormat="1" hidden="1">
      <c r="F461" s="85"/>
    </row>
    <row r="462" spans="4:7" s="76" customFormat="1" hidden="1"/>
    <row r="463" spans="4:7" s="76" customFormat="1" hidden="1">
      <c r="D463" s="99"/>
    </row>
    <row r="464" spans="4:7" s="76" customFormat="1" hidden="1"/>
    <row r="465" spans="4:7" s="76" customFormat="1" hidden="1"/>
    <row r="466" spans="4:7" s="76" customFormat="1" hidden="1"/>
    <row r="467" spans="4:7" s="76" customFormat="1" hidden="1">
      <c r="F467" s="101"/>
      <c r="G467" s="101"/>
    </row>
    <row r="468" spans="4:7" s="76" customFormat="1" hidden="1">
      <c r="F468" s="86"/>
      <c r="G468" s="86"/>
    </row>
    <row r="469" spans="4:7" s="76" customFormat="1" hidden="1">
      <c r="F469" s="85"/>
    </row>
    <row r="470" spans="4:7" s="76" customFormat="1" hidden="1">
      <c r="F470" s="85"/>
    </row>
    <row r="471" spans="4:7" s="76" customFormat="1" hidden="1">
      <c r="F471" s="85"/>
    </row>
    <row r="472" spans="4:7" s="76" customFormat="1" hidden="1"/>
    <row r="473" spans="4:7" s="76" customFormat="1" hidden="1">
      <c r="D473" s="99"/>
    </row>
    <row r="474" spans="4:7" s="76" customFormat="1" hidden="1"/>
    <row r="475" spans="4:7" s="76" customFormat="1" hidden="1"/>
    <row r="476" spans="4:7" s="76" customFormat="1" hidden="1"/>
    <row r="477" spans="4:7" s="76" customFormat="1" hidden="1">
      <c r="F477" s="101"/>
      <c r="G477" s="101"/>
    </row>
    <row r="478" spans="4:7" s="76" customFormat="1" hidden="1">
      <c r="F478" s="86"/>
      <c r="G478" s="86"/>
    </row>
    <row r="479" spans="4:7" s="76" customFormat="1" hidden="1">
      <c r="F479" s="85"/>
    </row>
    <row r="480" spans="4:7" s="76" customFormat="1" hidden="1">
      <c r="F480" s="85"/>
    </row>
    <row r="481" spans="4:7" s="76" customFormat="1" hidden="1">
      <c r="F481" s="85"/>
    </row>
    <row r="482" spans="4:7" s="76" customFormat="1" hidden="1"/>
    <row r="483" spans="4:7" s="76" customFormat="1" hidden="1">
      <c r="D483" s="99"/>
    </row>
    <row r="484" spans="4:7" s="76" customFormat="1" hidden="1"/>
    <row r="485" spans="4:7" s="76" customFormat="1" hidden="1"/>
    <row r="486" spans="4:7" s="76" customFormat="1" hidden="1"/>
    <row r="487" spans="4:7" s="76" customFormat="1" hidden="1">
      <c r="F487" s="101"/>
      <c r="G487" s="101"/>
    </row>
    <row r="488" spans="4:7" s="76" customFormat="1" hidden="1">
      <c r="F488" s="86"/>
      <c r="G488" s="86"/>
    </row>
    <row r="489" spans="4:7" s="76" customFormat="1" hidden="1">
      <c r="F489" s="85"/>
    </row>
    <row r="490" spans="4:7" s="76" customFormat="1" hidden="1">
      <c r="F490" s="85"/>
    </row>
    <row r="491" spans="4:7" s="76" customFormat="1" hidden="1">
      <c r="F491" s="85"/>
    </row>
    <row r="492" spans="4:7" s="76" customFormat="1" hidden="1"/>
    <row r="493" spans="4:7" s="76" customFormat="1" hidden="1">
      <c r="D493" s="99"/>
    </row>
    <row r="494" spans="4:7" s="76" customFormat="1" hidden="1"/>
    <row r="495" spans="4:7" s="76" customFormat="1" hidden="1"/>
    <row r="496" spans="4:7" s="76" customFormat="1" hidden="1"/>
    <row r="497" spans="4:7" s="76" customFormat="1" hidden="1">
      <c r="F497" s="101"/>
      <c r="G497" s="101"/>
    </row>
    <row r="498" spans="4:7" s="76" customFormat="1" hidden="1">
      <c r="F498" s="86"/>
      <c r="G498" s="86"/>
    </row>
    <row r="499" spans="4:7" s="76" customFormat="1" hidden="1">
      <c r="F499" s="85"/>
    </row>
    <row r="500" spans="4:7" s="76" customFormat="1" hidden="1">
      <c r="F500" s="85"/>
    </row>
    <row r="501" spans="4:7" s="76" customFormat="1" hidden="1">
      <c r="F501" s="85"/>
    </row>
    <row r="502" spans="4:7" s="76" customFormat="1" hidden="1"/>
    <row r="503" spans="4:7" s="76" customFormat="1" hidden="1">
      <c r="D503" s="99"/>
    </row>
    <row r="504" spans="4:7" s="76" customFormat="1" hidden="1"/>
    <row r="505" spans="4:7" s="76" customFormat="1" hidden="1"/>
    <row r="506" spans="4:7" s="76" customFormat="1" hidden="1"/>
    <row r="507" spans="4:7" s="76" customFormat="1" hidden="1">
      <c r="F507" s="101"/>
      <c r="G507" s="101"/>
    </row>
    <row r="508" spans="4:7" s="76" customFormat="1" hidden="1">
      <c r="F508" s="86"/>
      <c r="G508" s="86"/>
    </row>
    <row r="509" spans="4:7" s="76" customFormat="1" hidden="1">
      <c r="F509" s="85"/>
    </row>
    <row r="510" spans="4:7" s="76" customFormat="1" hidden="1">
      <c r="F510" s="85"/>
    </row>
    <row r="511" spans="4:7" s="76" customFormat="1" hidden="1">
      <c r="F511" s="85"/>
    </row>
    <row r="512" spans="4:7" s="76" customFormat="1" hidden="1"/>
    <row r="513" spans="4:7" s="76" customFormat="1" hidden="1">
      <c r="D513" s="99"/>
    </row>
    <row r="514" spans="4:7" s="76" customFormat="1" hidden="1"/>
    <row r="515" spans="4:7" s="76" customFormat="1" hidden="1"/>
    <row r="516" spans="4:7" s="76" customFormat="1" hidden="1"/>
    <row r="517" spans="4:7" s="76" customFormat="1" hidden="1"/>
    <row r="518" spans="4:7" s="76" customFormat="1" hidden="1"/>
    <row r="519" spans="4:7" s="76" customFormat="1" hidden="1">
      <c r="F519" s="101"/>
    </row>
    <row r="520" spans="4:7" s="76" customFormat="1" hidden="1">
      <c r="F520" s="86"/>
      <c r="G520" s="86"/>
    </row>
    <row r="521" spans="4:7" s="76" customFormat="1" hidden="1">
      <c r="F521" s="85"/>
    </row>
    <row r="522" spans="4:7" s="76" customFormat="1" hidden="1">
      <c r="F522" s="85"/>
    </row>
    <row r="523" spans="4:7" s="76" customFormat="1" hidden="1">
      <c r="F523" s="85"/>
    </row>
    <row r="524" spans="4:7" s="76" customFormat="1" hidden="1"/>
    <row r="525" spans="4:7" s="76" customFormat="1" hidden="1">
      <c r="D525" s="99"/>
    </row>
    <row r="526" spans="4:7" s="76" customFormat="1" hidden="1">
      <c r="D526" s="101"/>
    </row>
    <row r="527" spans="4:7" s="76" customFormat="1" hidden="1"/>
    <row r="528" spans="4:7" s="76" customFormat="1" hidden="1"/>
    <row r="529" spans="4:7" s="76" customFormat="1" hidden="1">
      <c r="F529" s="101"/>
    </row>
    <row r="530" spans="4:7" s="76" customFormat="1" hidden="1">
      <c r="F530" s="86"/>
      <c r="G530" s="86"/>
    </row>
    <row r="531" spans="4:7" s="76" customFormat="1" hidden="1">
      <c r="F531" s="85"/>
    </row>
    <row r="532" spans="4:7" s="76" customFormat="1" hidden="1">
      <c r="F532" s="85"/>
    </row>
    <row r="533" spans="4:7" s="76" customFormat="1" hidden="1">
      <c r="F533" s="85"/>
    </row>
    <row r="534" spans="4:7" s="76" customFormat="1" hidden="1"/>
    <row r="535" spans="4:7" s="76" customFormat="1" hidden="1">
      <c r="D535" s="99"/>
    </row>
    <row r="536" spans="4:7" s="76" customFormat="1" hidden="1">
      <c r="D536" s="101"/>
    </row>
    <row r="537" spans="4:7" s="76" customFormat="1" hidden="1"/>
    <row r="538" spans="4:7" s="76" customFormat="1" hidden="1"/>
    <row r="539" spans="4:7" s="76" customFormat="1" hidden="1">
      <c r="F539" s="101"/>
    </row>
    <row r="540" spans="4:7" s="76" customFormat="1" hidden="1">
      <c r="F540" s="86"/>
      <c r="G540" s="86"/>
    </row>
    <row r="541" spans="4:7" s="76" customFormat="1" hidden="1">
      <c r="F541" s="85"/>
    </row>
    <row r="542" spans="4:7" s="76" customFormat="1" hidden="1">
      <c r="F542" s="85"/>
    </row>
    <row r="543" spans="4:7" s="76" customFormat="1" hidden="1">
      <c r="F543" s="85"/>
    </row>
    <row r="544" spans="4:7" s="76" customFormat="1" hidden="1"/>
    <row r="545" spans="4:7" s="76" customFormat="1" hidden="1">
      <c r="D545" s="99"/>
    </row>
    <row r="546" spans="4:7" s="76" customFormat="1" hidden="1">
      <c r="D546" s="101"/>
    </row>
    <row r="547" spans="4:7" s="76" customFormat="1" hidden="1"/>
    <row r="548" spans="4:7" s="76" customFormat="1" hidden="1"/>
    <row r="549" spans="4:7" s="76" customFormat="1" hidden="1">
      <c r="F549" s="101"/>
    </row>
    <row r="550" spans="4:7" s="76" customFormat="1" hidden="1">
      <c r="F550" s="86"/>
      <c r="G550" s="86"/>
    </row>
    <row r="551" spans="4:7" s="76" customFormat="1" hidden="1">
      <c r="F551" s="85"/>
    </row>
    <row r="552" spans="4:7" s="76" customFormat="1" hidden="1">
      <c r="F552" s="85"/>
    </row>
    <row r="553" spans="4:7" s="76" customFormat="1" hidden="1">
      <c r="F553" s="85"/>
    </row>
    <row r="554" spans="4:7" s="76" customFormat="1" hidden="1"/>
    <row r="555" spans="4:7" s="76" customFormat="1" hidden="1">
      <c r="D555" s="99"/>
    </row>
    <row r="556" spans="4:7" s="76" customFormat="1" hidden="1">
      <c r="D556" s="101"/>
    </row>
    <row r="557" spans="4:7" s="76" customFormat="1" hidden="1"/>
    <row r="558" spans="4:7" s="76" customFormat="1" hidden="1"/>
    <row r="559" spans="4:7" s="76" customFormat="1" hidden="1">
      <c r="F559" s="101"/>
    </row>
    <row r="560" spans="4:7" s="76" customFormat="1" hidden="1">
      <c r="F560" s="86"/>
      <c r="G560" s="86"/>
    </row>
    <row r="561" spans="4:7" s="76" customFormat="1" hidden="1">
      <c r="F561" s="85"/>
    </row>
    <row r="562" spans="4:7" s="76" customFormat="1" hidden="1">
      <c r="F562" s="85"/>
    </row>
    <row r="563" spans="4:7" s="76" customFormat="1" hidden="1">
      <c r="F563" s="85"/>
    </row>
    <row r="564" spans="4:7" s="76" customFormat="1" hidden="1"/>
    <row r="565" spans="4:7" s="76" customFormat="1" hidden="1">
      <c r="D565" s="99"/>
    </row>
    <row r="566" spans="4:7" s="76" customFormat="1" hidden="1">
      <c r="D566" s="101"/>
    </row>
    <row r="567" spans="4:7" s="76" customFormat="1" hidden="1"/>
    <row r="568" spans="4:7" s="76" customFormat="1" hidden="1"/>
    <row r="569" spans="4:7" s="76" customFormat="1" hidden="1">
      <c r="F569" s="101"/>
    </row>
    <row r="570" spans="4:7" s="76" customFormat="1" hidden="1">
      <c r="F570" s="86"/>
      <c r="G570" s="86"/>
    </row>
    <row r="571" spans="4:7" s="76" customFormat="1" hidden="1">
      <c r="F571" s="85"/>
    </row>
    <row r="572" spans="4:7" s="76" customFormat="1" hidden="1">
      <c r="F572" s="85"/>
    </row>
    <row r="573" spans="4:7" s="76" customFormat="1" hidden="1">
      <c r="F573" s="85"/>
    </row>
    <row r="574" spans="4:7" s="76" customFormat="1" hidden="1"/>
    <row r="575" spans="4:7" s="76" customFormat="1" hidden="1">
      <c r="D575" s="99"/>
    </row>
    <row r="576" spans="4:7" s="76" customFormat="1" hidden="1">
      <c r="D576" s="101"/>
    </row>
    <row r="577" spans="4:7" s="76" customFormat="1" hidden="1"/>
    <row r="578" spans="4:7" s="76" customFormat="1" hidden="1"/>
    <row r="579" spans="4:7" s="76" customFormat="1" hidden="1">
      <c r="F579" s="101"/>
    </row>
    <row r="580" spans="4:7" s="76" customFormat="1" hidden="1">
      <c r="F580" s="86"/>
      <c r="G580" s="86"/>
    </row>
    <row r="581" spans="4:7" s="76" customFormat="1" hidden="1">
      <c r="F581" s="85"/>
    </row>
    <row r="582" spans="4:7" s="76" customFormat="1" hidden="1">
      <c r="F582" s="85"/>
    </row>
    <row r="583" spans="4:7" s="76" customFormat="1" hidden="1">
      <c r="F583" s="85"/>
    </row>
    <row r="584" spans="4:7" s="76" customFormat="1" hidden="1"/>
    <row r="585" spans="4:7" s="76" customFormat="1" hidden="1">
      <c r="D585" s="99"/>
    </row>
    <row r="586" spans="4:7" s="76" customFormat="1" hidden="1">
      <c r="D586" s="101"/>
    </row>
    <row r="587" spans="4:7" s="76" customFormat="1" hidden="1"/>
    <row r="588" spans="4:7" s="76" customFormat="1" hidden="1"/>
    <row r="589" spans="4:7" s="76" customFormat="1" hidden="1"/>
    <row r="590" spans="4:7" s="76" customFormat="1" hidden="1"/>
    <row r="591" spans="4:7" s="76" customFormat="1" hidden="1">
      <c r="F591" s="101"/>
    </row>
    <row r="592" spans="4:7" s="76" customFormat="1" hidden="1">
      <c r="F592" s="86"/>
      <c r="G592" s="86"/>
    </row>
    <row r="593" spans="4:7" s="76" customFormat="1" hidden="1"/>
    <row r="594" spans="4:7" s="76" customFormat="1" hidden="1"/>
    <row r="595" spans="4:7" s="76" customFormat="1" hidden="1"/>
    <row r="596" spans="4:7" s="76" customFormat="1" hidden="1"/>
    <row r="597" spans="4:7" s="76" customFormat="1" hidden="1">
      <c r="D597" s="99"/>
    </row>
    <row r="598" spans="4:7" s="76" customFormat="1" hidden="1">
      <c r="D598" s="101"/>
    </row>
    <row r="599" spans="4:7" s="76" customFormat="1" hidden="1"/>
    <row r="600" spans="4:7" s="76" customFormat="1" hidden="1"/>
    <row r="601" spans="4:7" s="76" customFormat="1" hidden="1">
      <c r="F601" s="101"/>
    </row>
    <row r="602" spans="4:7" s="76" customFormat="1" hidden="1">
      <c r="F602" s="86"/>
      <c r="G602" s="86"/>
    </row>
    <row r="603" spans="4:7" s="76" customFormat="1" hidden="1"/>
    <row r="604" spans="4:7" s="76" customFormat="1" hidden="1"/>
    <row r="605" spans="4:7" s="76" customFormat="1" hidden="1"/>
    <row r="606" spans="4:7" s="76" customFormat="1" hidden="1"/>
    <row r="607" spans="4:7" s="76" customFormat="1" hidden="1">
      <c r="D607" s="99"/>
    </row>
    <row r="608" spans="4:7" s="76" customFormat="1" hidden="1">
      <c r="D608" s="101"/>
    </row>
    <row r="609" spans="4:7" s="76" customFormat="1" hidden="1"/>
    <row r="610" spans="4:7" s="76" customFormat="1" hidden="1"/>
    <row r="611" spans="4:7" s="76" customFormat="1" hidden="1">
      <c r="F611" s="101"/>
    </row>
    <row r="612" spans="4:7" s="76" customFormat="1" hidden="1">
      <c r="F612" s="86"/>
      <c r="G612" s="86"/>
    </row>
    <row r="613" spans="4:7" s="76" customFormat="1" hidden="1"/>
    <row r="614" spans="4:7" s="76" customFormat="1" hidden="1"/>
    <row r="615" spans="4:7" s="76" customFormat="1" hidden="1"/>
    <row r="616" spans="4:7" s="76" customFormat="1" hidden="1"/>
    <row r="617" spans="4:7" s="76" customFormat="1" hidden="1">
      <c r="D617" s="99"/>
    </row>
    <row r="618" spans="4:7" s="76" customFormat="1" hidden="1">
      <c r="D618" s="101"/>
    </row>
    <row r="619" spans="4:7" s="76" customFormat="1" hidden="1"/>
    <row r="620" spans="4:7" s="76" customFormat="1" hidden="1"/>
    <row r="621" spans="4:7" s="76" customFormat="1" hidden="1">
      <c r="F621" s="101"/>
    </row>
    <row r="622" spans="4:7" s="76" customFormat="1" hidden="1">
      <c r="F622" s="86"/>
      <c r="G622" s="86"/>
    </row>
    <row r="623" spans="4:7" s="76" customFormat="1" hidden="1"/>
    <row r="624" spans="4:7" s="76" customFormat="1" hidden="1"/>
    <row r="625" spans="4:7" s="76" customFormat="1" hidden="1"/>
    <row r="626" spans="4:7" s="76" customFormat="1" hidden="1"/>
    <row r="627" spans="4:7" s="76" customFormat="1" hidden="1">
      <c r="D627" s="99"/>
    </row>
    <row r="628" spans="4:7" s="76" customFormat="1" hidden="1">
      <c r="D628" s="101"/>
    </row>
    <row r="629" spans="4:7" s="76" customFormat="1" hidden="1"/>
    <row r="630" spans="4:7" s="76" customFormat="1" hidden="1"/>
    <row r="631" spans="4:7" s="76" customFormat="1" hidden="1">
      <c r="F631" s="101"/>
    </row>
    <row r="632" spans="4:7" s="76" customFormat="1" hidden="1">
      <c r="F632" s="86"/>
      <c r="G632" s="86"/>
    </row>
    <row r="633" spans="4:7" s="76" customFormat="1" hidden="1"/>
    <row r="634" spans="4:7" s="76" customFormat="1" hidden="1"/>
    <row r="635" spans="4:7" s="76" customFormat="1" hidden="1"/>
    <row r="636" spans="4:7" s="76" customFormat="1" hidden="1"/>
    <row r="637" spans="4:7" s="76" customFormat="1" hidden="1">
      <c r="D637" s="99"/>
    </row>
    <row r="638" spans="4:7" s="76" customFormat="1" hidden="1">
      <c r="D638" s="101"/>
    </row>
    <row r="639" spans="4:7" s="76" customFormat="1" hidden="1"/>
    <row r="640" spans="4:7" s="76" customFormat="1" hidden="1"/>
    <row r="641" spans="4:7" s="76" customFormat="1" hidden="1">
      <c r="F641" s="101"/>
    </row>
    <row r="642" spans="4:7" s="76" customFormat="1" hidden="1">
      <c r="F642" s="86"/>
      <c r="G642" s="86"/>
    </row>
    <row r="643" spans="4:7" s="76" customFormat="1" hidden="1"/>
    <row r="644" spans="4:7" s="76" customFormat="1" hidden="1"/>
    <row r="645" spans="4:7" s="76" customFormat="1" hidden="1"/>
    <row r="646" spans="4:7" s="76" customFormat="1" hidden="1"/>
    <row r="647" spans="4:7" s="76" customFormat="1" hidden="1">
      <c r="D647" s="99"/>
    </row>
    <row r="648" spans="4:7" s="76" customFormat="1" hidden="1">
      <c r="D648" s="101"/>
    </row>
    <row r="649" spans="4:7" s="76" customFormat="1" hidden="1"/>
    <row r="650" spans="4:7" s="76" customFormat="1" hidden="1"/>
    <row r="651" spans="4:7" s="76" customFormat="1" hidden="1">
      <c r="F651" s="101"/>
    </row>
    <row r="652" spans="4:7" s="76" customFormat="1" hidden="1">
      <c r="F652" s="86"/>
      <c r="G652" s="86"/>
    </row>
    <row r="653" spans="4:7" s="76" customFormat="1" hidden="1"/>
    <row r="654" spans="4:7" s="76" customFormat="1" hidden="1"/>
    <row r="655" spans="4:7" s="76" customFormat="1" hidden="1"/>
    <row r="656" spans="4:7" s="76" customFormat="1" hidden="1"/>
    <row r="657" spans="2:8" s="76" customFormat="1" hidden="1">
      <c r="D657" s="99"/>
    </row>
    <row r="658" spans="2:8" s="76" customFormat="1" hidden="1">
      <c r="D658" s="101"/>
    </row>
    <row r="659" spans="2:8" s="76" customFormat="1" hidden="1"/>
    <row r="660" spans="2:8" s="76" customFormat="1" hidden="1"/>
    <row r="661" spans="2:8" s="76" customFormat="1" hidden="1"/>
    <row r="662" spans="2:8" s="76" customFormat="1" hidden="1">
      <c r="D662" s="85"/>
      <c r="E662" s="86"/>
      <c r="F662" s="86"/>
      <c r="G662" s="86"/>
      <c r="H662" s="85"/>
    </row>
    <row r="663" spans="2:8" s="76" customFormat="1" hidden="1">
      <c r="D663" s="85"/>
      <c r="E663" s="86"/>
      <c r="F663" s="86"/>
      <c r="G663" s="86"/>
      <c r="H663" s="85"/>
    </row>
    <row r="664" spans="2:8" s="76" customFormat="1" hidden="1">
      <c r="B664" s="33"/>
      <c r="D664" s="85"/>
    </row>
    <row r="665" spans="2:8" s="76" customFormat="1" hidden="1">
      <c r="D665" s="85"/>
      <c r="E665" s="103"/>
      <c r="F665" s="103"/>
      <c r="G665" s="103"/>
      <c r="H665" s="104"/>
    </row>
    <row r="666" spans="2:8" s="76" customFormat="1" hidden="1">
      <c r="D666" s="85"/>
      <c r="E666" s="86"/>
      <c r="F666" s="86"/>
      <c r="G666" s="86"/>
      <c r="H666" s="85"/>
    </row>
    <row r="667" spans="2:8" s="76" customFormat="1" hidden="1">
      <c r="D667" s="85"/>
      <c r="E667" s="86"/>
      <c r="F667" s="86"/>
      <c r="G667" s="86"/>
      <c r="H667" s="85"/>
    </row>
    <row r="668" spans="2:8" s="76" customFormat="1" hidden="1">
      <c r="D668" s="85"/>
      <c r="E668" s="86"/>
      <c r="F668" s="86"/>
      <c r="G668" s="86"/>
      <c r="H668" s="85"/>
    </row>
    <row r="669" spans="2:8" s="76" customFormat="1" hidden="1">
      <c r="D669" s="85"/>
      <c r="E669" s="86"/>
      <c r="F669" s="86"/>
      <c r="G669" s="86"/>
      <c r="H669" s="85"/>
    </row>
    <row r="670" spans="2:8" s="76" customFormat="1" hidden="1">
      <c r="D670" s="85"/>
      <c r="E670" s="86"/>
      <c r="F670" s="86"/>
      <c r="G670" s="86"/>
      <c r="H670" s="85"/>
    </row>
    <row r="671" spans="2:8" s="76" customFormat="1" hidden="1">
      <c r="D671" s="85"/>
      <c r="E671" s="86"/>
      <c r="F671" s="86"/>
      <c r="G671" s="86"/>
      <c r="H671" s="85"/>
    </row>
    <row r="672" spans="2:8" s="76" customFormat="1" hidden="1">
      <c r="D672" s="85"/>
      <c r="E672" s="86"/>
      <c r="F672" s="86"/>
      <c r="G672" s="86"/>
      <c r="H672" s="85"/>
    </row>
    <row r="673" spans="2:8" s="76" customFormat="1" hidden="1">
      <c r="D673" s="85"/>
      <c r="E673" s="86"/>
      <c r="F673" s="86"/>
      <c r="G673" s="86"/>
      <c r="H673" s="85"/>
    </row>
    <row r="674" spans="2:8" s="76" customFormat="1" hidden="1">
      <c r="C674" s="86"/>
      <c r="D674" s="99"/>
      <c r="E674" s="86"/>
      <c r="F674" s="86"/>
      <c r="G674" s="86"/>
      <c r="H674" s="85"/>
    </row>
    <row r="675" spans="2:8" s="76" customFormat="1" hidden="1">
      <c r="D675" s="85"/>
      <c r="E675" s="86"/>
      <c r="F675" s="86"/>
      <c r="G675" s="86"/>
      <c r="H675" s="85"/>
    </row>
    <row r="676" spans="2:8" s="76" customFormat="1" hidden="1">
      <c r="D676" s="85"/>
      <c r="E676" s="86"/>
      <c r="F676" s="86"/>
      <c r="G676" s="86"/>
      <c r="H676" s="85"/>
    </row>
    <row r="677" spans="2:8" s="76" customFormat="1" hidden="1">
      <c r="D677" s="85"/>
      <c r="E677" s="86"/>
      <c r="F677" s="86"/>
      <c r="G677" s="86"/>
      <c r="H677" s="85"/>
    </row>
    <row r="678" spans="2:8" s="76" customFormat="1" hidden="1">
      <c r="D678" s="85"/>
      <c r="E678" s="86"/>
      <c r="F678" s="86"/>
      <c r="G678" s="86"/>
      <c r="H678" s="85"/>
    </row>
    <row r="679" spans="2:8" s="76" customFormat="1" hidden="1">
      <c r="B679" s="33"/>
      <c r="C679" s="31"/>
      <c r="D679" s="85"/>
      <c r="E679" s="103"/>
      <c r="F679" s="103"/>
      <c r="G679" s="103"/>
      <c r="H679" s="103"/>
    </row>
    <row r="680" spans="2:8" s="76" customFormat="1" hidden="1">
      <c r="C680" s="31"/>
      <c r="D680" s="85"/>
      <c r="E680" s="86"/>
      <c r="F680" s="86"/>
      <c r="G680" s="86"/>
      <c r="H680" s="86"/>
    </row>
    <row r="681" spans="2:8" s="76" customFormat="1" hidden="1">
      <c r="D681" s="85"/>
      <c r="E681" s="86"/>
      <c r="F681" s="86"/>
      <c r="G681" s="86"/>
      <c r="H681" s="85"/>
    </row>
    <row r="682" spans="2:8" s="76" customFormat="1" hidden="1">
      <c r="D682" s="85"/>
      <c r="E682" s="86"/>
      <c r="F682" s="86"/>
      <c r="G682" s="86"/>
      <c r="H682" s="85"/>
    </row>
    <row r="683" spans="2:8" s="76" customFormat="1" hidden="1">
      <c r="D683" s="85"/>
      <c r="E683" s="86"/>
      <c r="F683" s="86"/>
      <c r="G683" s="86"/>
      <c r="H683" s="85"/>
    </row>
    <row r="684" spans="2:8" s="76" customFormat="1" hidden="1">
      <c r="D684" s="85"/>
      <c r="E684" s="86"/>
      <c r="F684" s="86"/>
      <c r="G684" s="86"/>
      <c r="H684" s="85"/>
    </row>
    <row r="685" spans="2:8" s="76" customFormat="1" hidden="1">
      <c r="D685" s="85"/>
      <c r="E685" s="86"/>
      <c r="F685" s="86"/>
      <c r="G685" s="86"/>
      <c r="H685" s="85"/>
    </row>
    <row r="686" spans="2:8" s="76" customFormat="1" hidden="1">
      <c r="D686" s="85"/>
      <c r="E686" s="86"/>
      <c r="F686" s="86"/>
      <c r="G686" s="86"/>
      <c r="H686" s="85"/>
    </row>
    <row r="687" spans="2:8" s="76" customFormat="1" hidden="1">
      <c r="C687" s="86"/>
      <c r="D687" s="99"/>
      <c r="E687" s="86"/>
      <c r="F687" s="86"/>
      <c r="G687" s="86"/>
      <c r="H687" s="85"/>
    </row>
    <row r="688" spans="2:8" s="76" customFormat="1" hidden="1">
      <c r="D688" s="85"/>
      <c r="E688" s="86"/>
      <c r="F688" s="86"/>
      <c r="G688" s="86"/>
      <c r="H688" s="85"/>
    </row>
    <row r="689" spans="3:8" s="76" customFormat="1" hidden="1">
      <c r="D689" s="85"/>
      <c r="E689" s="86"/>
      <c r="F689" s="86"/>
      <c r="G689" s="86"/>
      <c r="H689" s="85"/>
    </row>
    <row r="690" spans="3:8" s="76" customFormat="1" hidden="1">
      <c r="D690" s="85"/>
      <c r="E690" s="86"/>
      <c r="F690" s="86"/>
      <c r="G690" s="86"/>
      <c r="H690" s="85"/>
    </row>
    <row r="691" spans="3:8" s="76" customFormat="1" hidden="1">
      <c r="D691" s="85"/>
      <c r="E691" s="86"/>
      <c r="F691" s="86"/>
      <c r="G691" s="86"/>
      <c r="H691" s="85"/>
    </row>
    <row r="692" spans="3:8" s="76" customFormat="1" hidden="1">
      <c r="E692" s="33"/>
      <c r="F692" s="33"/>
      <c r="G692" s="33"/>
      <c r="H692" s="33"/>
    </row>
    <row r="693" spans="3:8" s="76" customFormat="1" hidden="1"/>
    <row r="694" spans="3:8" s="76" customFormat="1" hidden="1">
      <c r="D694" s="85"/>
      <c r="H694" s="85"/>
    </row>
    <row r="695" spans="3:8" s="76" customFormat="1" hidden="1">
      <c r="H695" s="85"/>
    </row>
    <row r="696" spans="3:8" s="76" customFormat="1" hidden="1"/>
    <row r="697" spans="3:8" s="76" customFormat="1" hidden="1">
      <c r="H697" s="85"/>
    </row>
    <row r="698" spans="3:8" s="76" customFormat="1" hidden="1">
      <c r="H698" s="85"/>
    </row>
    <row r="699" spans="3:8" s="76" customFormat="1" hidden="1">
      <c r="H699" s="85"/>
    </row>
    <row r="700" spans="3:8" s="76" customFormat="1" hidden="1">
      <c r="C700" s="86"/>
      <c r="D700" s="99"/>
      <c r="H700" s="85"/>
    </row>
    <row r="701" spans="3:8" s="76" customFormat="1" hidden="1">
      <c r="H701" s="85"/>
    </row>
    <row r="702" spans="3:8" s="76" customFormat="1" hidden="1">
      <c r="D702" s="85"/>
      <c r="E702" s="86"/>
      <c r="F702" s="86"/>
      <c r="G702" s="86"/>
      <c r="H702" s="85"/>
    </row>
    <row r="703" spans="3:8" s="76" customFormat="1" hidden="1">
      <c r="C703" s="86"/>
      <c r="D703" s="85"/>
      <c r="G703" s="85"/>
    </row>
    <row r="704" spans="3:8" s="76" customFormat="1" hidden="1">
      <c r="D704" s="85"/>
      <c r="E704" s="86"/>
      <c r="F704" s="86"/>
      <c r="G704" s="86"/>
      <c r="H704" s="85"/>
    </row>
    <row r="705" spans="2:8" s="76" customFormat="1" hidden="1">
      <c r="B705" s="33"/>
      <c r="E705" s="33"/>
      <c r="F705" s="33"/>
      <c r="G705" s="33"/>
      <c r="H705" s="33"/>
    </row>
    <row r="706" spans="2:8" s="76" customFormat="1" hidden="1"/>
    <row r="707" spans="2:8" s="76" customFormat="1" hidden="1">
      <c r="D707" s="85"/>
      <c r="H707" s="85"/>
    </row>
    <row r="708" spans="2:8" s="76" customFormat="1" hidden="1">
      <c r="H708" s="85"/>
    </row>
    <row r="709" spans="2:8" s="76" customFormat="1" hidden="1"/>
    <row r="710" spans="2:8" s="76" customFormat="1" hidden="1">
      <c r="H710" s="85"/>
    </row>
    <row r="711" spans="2:8" s="76" customFormat="1" hidden="1">
      <c r="H711" s="85"/>
    </row>
    <row r="712" spans="2:8" s="76" customFormat="1" hidden="1">
      <c r="H712" s="85"/>
    </row>
    <row r="713" spans="2:8" s="76" customFormat="1" hidden="1">
      <c r="C713" s="86"/>
      <c r="D713" s="99"/>
      <c r="H713" s="85"/>
    </row>
    <row r="714" spans="2:8" s="76" customFormat="1" hidden="1">
      <c r="H714" s="85"/>
    </row>
    <row r="715" spans="2:8" s="76" customFormat="1" hidden="1">
      <c r="D715" s="85"/>
      <c r="E715" s="86"/>
      <c r="F715" s="86"/>
      <c r="G715" s="86"/>
      <c r="H715" s="85"/>
    </row>
    <row r="716" spans="2:8" s="76" customFormat="1" hidden="1">
      <c r="D716" s="85"/>
      <c r="G716" s="85"/>
    </row>
    <row r="717" spans="2:8" s="76" customFormat="1" hidden="1">
      <c r="D717" s="85"/>
      <c r="E717" s="86"/>
      <c r="F717" s="86"/>
      <c r="G717" s="86"/>
      <c r="H717" s="85"/>
    </row>
    <row r="718" spans="2:8" s="76" customFormat="1" hidden="1">
      <c r="B718" s="33"/>
      <c r="E718" s="33"/>
      <c r="F718" s="33"/>
      <c r="G718" s="33"/>
      <c r="H718" s="33"/>
    </row>
    <row r="719" spans="2:8" s="76" customFormat="1" hidden="1"/>
    <row r="720" spans="2:8" s="76" customFormat="1" hidden="1">
      <c r="D720" s="85"/>
      <c r="H720" s="85"/>
    </row>
    <row r="721" spans="2:8" s="76" customFormat="1" hidden="1">
      <c r="H721" s="85"/>
    </row>
    <row r="722" spans="2:8" s="76" customFormat="1" hidden="1"/>
    <row r="723" spans="2:8" s="76" customFormat="1" hidden="1"/>
    <row r="724" spans="2:8" s="76" customFormat="1" hidden="1">
      <c r="H724" s="85"/>
    </row>
    <row r="725" spans="2:8" s="76" customFormat="1" hidden="1">
      <c r="H725" s="85"/>
    </row>
    <row r="726" spans="2:8" s="76" customFormat="1" hidden="1">
      <c r="C726" s="86"/>
      <c r="D726" s="99"/>
      <c r="H726" s="85"/>
    </row>
    <row r="727" spans="2:8" s="76" customFormat="1" hidden="1">
      <c r="H727" s="85"/>
    </row>
    <row r="728" spans="2:8" s="76" customFormat="1" hidden="1">
      <c r="H728" s="85"/>
    </row>
    <row r="729" spans="2:8" s="76" customFormat="1" hidden="1">
      <c r="D729" s="85"/>
      <c r="G729" s="85"/>
    </row>
    <row r="730" spans="2:8" s="76" customFormat="1" hidden="1">
      <c r="D730" s="85"/>
      <c r="E730" s="86"/>
      <c r="F730" s="86"/>
      <c r="G730" s="86"/>
      <c r="H730" s="85"/>
    </row>
    <row r="731" spans="2:8" s="76" customFormat="1" hidden="1">
      <c r="D731" s="85"/>
      <c r="E731" s="86"/>
      <c r="F731" s="86"/>
      <c r="G731" s="86"/>
      <c r="H731" s="85"/>
    </row>
    <row r="732" spans="2:8" s="76" customFormat="1" hidden="1">
      <c r="D732" s="85"/>
      <c r="E732" s="86"/>
      <c r="F732" s="86"/>
      <c r="G732" s="86"/>
      <c r="H732" s="85"/>
    </row>
    <row r="733" spans="2:8" s="76" customFormat="1" hidden="1">
      <c r="D733" s="85"/>
      <c r="E733" s="86"/>
      <c r="F733" s="86"/>
      <c r="G733" s="86"/>
      <c r="H733" s="85"/>
    </row>
    <row r="734" spans="2:8" s="76" customFormat="1" hidden="1">
      <c r="B734" s="33"/>
      <c r="D734" s="85"/>
    </row>
    <row r="735" spans="2:8" s="76" customFormat="1" hidden="1">
      <c r="D735" s="85"/>
    </row>
    <row r="736" spans="2:8" s="76" customFormat="1" hidden="1">
      <c r="D736" s="85"/>
      <c r="E736" s="33"/>
      <c r="F736" s="33"/>
      <c r="G736" s="33"/>
      <c r="H736" s="33"/>
    </row>
    <row r="737" spans="2:8" s="76" customFormat="1" hidden="1">
      <c r="D737" s="85"/>
      <c r="E737" s="86"/>
      <c r="F737" s="86"/>
      <c r="G737" s="86"/>
      <c r="H737" s="86"/>
    </row>
    <row r="738" spans="2:8" s="76" customFormat="1" hidden="1">
      <c r="D738" s="85"/>
      <c r="H738" s="85"/>
    </row>
    <row r="739" spans="2:8" s="76" customFormat="1" hidden="1">
      <c r="H739" s="85"/>
    </row>
    <row r="740" spans="2:8" s="76" customFormat="1" hidden="1">
      <c r="D740" s="85"/>
      <c r="E740" s="86"/>
      <c r="F740" s="86"/>
      <c r="G740" s="86"/>
      <c r="H740" s="85"/>
    </row>
    <row r="741" spans="2:8" s="76" customFormat="1" hidden="1">
      <c r="D741" s="85"/>
      <c r="E741" s="86"/>
      <c r="F741" s="86"/>
      <c r="G741" s="86"/>
      <c r="H741" s="85"/>
    </row>
    <row r="742" spans="2:8" s="76" customFormat="1" hidden="1">
      <c r="D742" s="85"/>
      <c r="E742" s="86"/>
      <c r="F742" s="86"/>
      <c r="G742" s="86"/>
      <c r="H742" s="85"/>
    </row>
    <row r="743" spans="2:8" s="76" customFormat="1" hidden="1">
      <c r="D743" s="85"/>
      <c r="H743" s="85"/>
    </row>
    <row r="744" spans="2:8" s="76" customFormat="1" hidden="1">
      <c r="G744" s="85"/>
      <c r="H744" s="85"/>
    </row>
    <row r="745" spans="2:8" s="76" customFormat="1" hidden="1">
      <c r="H745" s="85"/>
    </row>
    <row r="746" spans="2:8" s="76" customFormat="1" hidden="1">
      <c r="C746" s="86"/>
      <c r="D746" s="99"/>
      <c r="H746" s="85"/>
    </row>
    <row r="747" spans="2:8" s="76" customFormat="1" hidden="1">
      <c r="D747" s="85"/>
      <c r="H747" s="85"/>
    </row>
    <row r="748" spans="2:8" s="76" customFormat="1" hidden="1"/>
    <row r="749" spans="2:8" s="76" customFormat="1" hidden="1">
      <c r="D749" s="85"/>
      <c r="E749" s="86"/>
      <c r="F749" s="86"/>
      <c r="G749" s="86"/>
      <c r="H749" s="85"/>
    </row>
    <row r="750" spans="2:8" s="76" customFormat="1" hidden="1">
      <c r="G750" s="85"/>
    </row>
    <row r="751" spans="2:8" s="76" customFormat="1" hidden="1">
      <c r="G751" s="85"/>
    </row>
    <row r="752" spans="2:8" s="76" customFormat="1" hidden="1">
      <c r="B752" s="33"/>
      <c r="C752" s="31"/>
      <c r="D752" s="85"/>
      <c r="E752" s="33"/>
      <c r="F752" s="33"/>
      <c r="G752" s="33"/>
      <c r="H752" s="33"/>
    </row>
    <row r="753" spans="3:8" s="76" customFormat="1" hidden="1">
      <c r="C753" s="31"/>
      <c r="D753" s="85"/>
    </row>
    <row r="754" spans="3:8" s="76" customFormat="1" hidden="1">
      <c r="D754" s="85"/>
      <c r="H754" s="85"/>
    </row>
    <row r="755" spans="3:8" s="76" customFormat="1" hidden="1">
      <c r="H755" s="85"/>
    </row>
    <row r="756" spans="3:8" s="76" customFormat="1" hidden="1">
      <c r="D756" s="85"/>
      <c r="E756" s="86"/>
      <c r="F756" s="86"/>
      <c r="G756" s="86"/>
      <c r="H756" s="85"/>
    </row>
    <row r="757" spans="3:8" s="76" customFormat="1" hidden="1">
      <c r="D757" s="85"/>
      <c r="E757" s="86"/>
      <c r="F757" s="86"/>
      <c r="G757" s="86"/>
      <c r="H757" s="85"/>
    </row>
    <row r="758" spans="3:8" s="76" customFormat="1" hidden="1">
      <c r="D758" s="85"/>
      <c r="E758" s="86"/>
      <c r="F758" s="86"/>
      <c r="G758" s="86"/>
      <c r="H758" s="85"/>
    </row>
    <row r="759" spans="3:8" s="76" customFormat="1" hidden="1">
      <c r="D759" s="85"/>
      <c r="H759" s="85"/>
    </row>
    <row r="760" spans="3:8" s="76" customFormat="1" hidden="1">
      <c r="G760" s="85"/>
      <c r="H760" s="85"/>
    </row>
    <row r="761" spans="3:8" s="76" customFormat="1" hidden="1">
      <c r="H761" s="85"/>
    </row>
    <row r="762" spans="3:8" s="76" customFormat="1" hidden="1">
      <c r="C762" s="86"/>
      <c r="D762" s="99"/>
      <c r="H762" s="85"/>
    </row>
    <row r="763" spans="3:8" s="76" customFormat="1" hidden="1">
      <c r="D763" s="85"/>
      <c r="H763" s="85"/>
    </row>
    <row r="764" spans="3:8" s="76" customFormat="1" hidden="1">
      <c r="D764" s="85"/>
      <c r="E764" s="86"/>
      <c r="F764" s="86"/>
      <c r="G764" s="86"/>
      <c r="H764" s="85"/>
    </row>
    <row r="765" spans="3:8" s="76" customFormat="1" hidden="1">
      <c r="E765" s="33"/>
      <c r="F765" s="33"/>
      <c r="G765" s="33"/>
      <c r="H765" s="33"/>
    </row>
    <row r="766" spans="3:8" s="76" customFormat="1" hidden="1"/>
    <row r="767" spans="3:8" s="76" customFormat="1" hidden="1">
      <c r="D767" s="85"/>
      <c r="H767" s="85"/>
    </row>
    <row r="768" spans="3:8" s="76" customFormat="1" hidden="1">
      <c r="H768" s="85"/>
    </row>
    <row r="769" spans="2:8" s="76" customFormat="1" hidden="1"/>
    <row r="770" spans="2:8" s="76" customFormat="1" hidden="1">
      <c r="H770" s="85"/>
    </row>
    <row r="771" spans="2:8" s="76" customFormat="1" hidden="1">
      <c r="H771" s="85"/>
    </row>
    <row r="772" spans="2:8" s="76" customFormat="1" hidden="1">
      <c r="D772" s="85"/>
      <c r="H772" s="85"/>
    </row>
    <row r="773" spans="2:8" s="76" customFormat="1" hidden="1">
      <c r="G773" s="85"/>
      <c r="H773" s="85"/>
    </row>
    <row r="774" spans="2:8" s="76" customFormat="1" hidden="1">
      <c r="H774" s="85"/>
    </row>
    <row r="775" spans="2:8" s="76" customFormat="1" hidden="1">
      <c r="C775" s="86"/>
      <c r="D775" s="99"/>
      <c r="H775" s="85"/>
    </row>
    <row r="776" spans="2:8" s="76" customFormat="1" hidden="1">
      <c r="D776" s="85"/>
      <c r="H776" s="85"/>
    </row>
    <row r="777" spans="2:8" s="76" customFormat="1" hidden="1">
      <c r="G777" s="85"/>
    </row>
    <row r="778" spans="2:8" s="76" customFormat="1" hidden="1"/>
    <row r="779" spans="2:8" s="76" customFormat="1" hidden="1">
      <c r="B779" s="33"/>
      <c r="E779" s="33"/>
      <c r="F779" s="33"/>
      <c r="G779" s="33"/>
      <c r="H779" s="33"/>
    </row>
    <row r="780" spans="2:8" s="76" customFormat="1" hidden="1">
      <c r="B780" s="33"/>
    </row>
    <row r="781" spans="2:8" s="76" customFormat="1" hidden="1">
      <c r="D781" s="85"/>
      <c r="H781" s="85"/>
    </row>
    <row r="782" spans="2:8" s="76" customFormat="1" hidden="1">
      <c r="H782" s="85"/>
    </row>
    <row r="783" spans="2:8" s="76" customFormat="1" hidden="1"/>
    <row r="784" spans="2:8" s="76" customFormat="1" hidden="1">
      <c r="G784" s="85"/>
      <c r="H784" s="85"/>
    </row>
    <row r="785" spans="2:8" s="76" customFormat="1" hidden="1">
      <c r="H785" s="85"/>
    </row>
    <row r="786" spans="2:8" s="76" customFormat="1" hidden="1">
      <c r="D786" s="85"/>
      <c r="H786" s="85"/>
    </row>
    <row r="787" spans="2:8" s="76" customFormat="1" hidden="1">
      <c r="G787" s="85"/>
      <c r="H787" s="85"/>
    </row>
    <row r="788" spans="2:8" s="76" customFormat="1" hidden="1">
      <c r="H788" s="85"/>
    </row>
    <row r="789" spans="2:8" s="76" customFormat="1" hidden="1">
      <c r="C789" s="86"/>
      <c r="D789" s="99"/>
      <c r="H789" s="85"/>
    </row>
    <row r="790" spans="2:8" s="76" customFormat="1" hidden="1">
      <c r="D790" s="85"/>
      <c r="H790" s="85"/>
    </row>
    <row r="791" spans="2:8" s="76" customFormat="1" hidden="1">
      <c r="D791" s="85"/>
      <c r="H791" s="85"/>
    </row>
    <row r="792" spans="2:8" s="76" customFormat="1" hidden="1">
      <c r="G792" s="85"/>
    </row>
    <row r="793" spans="2:8" s="76" customFormat="1" hidden="1">
      <c r="G793" s="85"/>
    </row>
    <row r="794" spans="2:8" s="76" customFormat="1" hidden="1">
      <c r="B794" s="33"/>
      <c r="E794" s="33"/>
      <c r="F794" s="33"/>
      <c r="G794" s="33"/>
      <c r="H794" s="33"/>
    </row>
    <row r="795" spans="2:8" s="76" customFormat="1" hidden="1"/>
    <row r="796" spans="2:8" s="76" customFormat="1" hidden="1">
      <c r="D796" s="85"/>
      <c r="H796" s="85"/>
    </row>
    <row r="797" spans="2:8" s="76" customFormat="1" hidden="1">
      <c r="H797" s="85"/>
    </row>
    <row r="798" spans="2:8" s="76" customFormat="1" hidden="1"/>
    <row r="799" spans="2:8" s="76" customFormat="1" hidden="1">
      <c r="H799" s="85"/>
    </row>
    <row r="800" spans="2:8" s="76" customFormat="1" hidden="1">
      <c r="H800" s="85"/>
    </row>
    <row r="801" spans="2:8" s="76" customFormat="1" hidden="1">
      <c r="D801" s="85"/>
      <c r="H801" s="85"/>
    </row>
    <row r="802" spans="2:8" s="76" customFormat="1" hidden="1">
      <c r="G802" s="85"/>
      <c r="H802" s="85"/>
    </row>
    <row r="803" spans="2:8" s="76" customFormat="1" hidden="1">
      <c r="H803" s="85"/>
    </row>
    <row r="804" spans="2:8" s="76" customFormat="1" hidden="1">
      <c r="D804" s="99"/>
      <c r="H804" s="85"/>
    </row>
    <row r="805" spans="2:8" s="76" customFormat="1" hidden="1">
      <c r="D805" s="85"/>
      <c r="H805" s="85"/>
    </row>
    <row r="806" spans="2:8" s="76" customFormat="1" hidden="1">
      <c r="D806" s="85"/>
      <c r="H806" s="85"/>
    </row>
    <row r="807" spans="2:8" s="76" customFormat="1" hidden="1">
      <c r="G807" s="85"/>
    </row>
    <row r="808" spans="2:8" s="76" customFormat="1" hidden="1">
      <c r="D808" s="85"/>
      <c r="G808" s="85"/>
    </row>
    <row r="809" spans="2:8" s="76" customFormat="1" hidden="1">
      <c r="B809" s="33"/>
      <c r="E809" s="33"/>
      <c r="F809" s="33"/>
      <c r="G809" s="33"/>
      <c r="H809" s="33"/>
    </row>
    <row r="810" spans="2:8" s="76" customFormat="1" hidden="1"/>
    <row r="811" spans="2:8" s="76" customFormat="1" hidden="1">
      <c r="D811" s="85"/>
      <c r="H811" s="85"/>
    </row>
    <row r="812" spans="2:8" s="76" customFormat="1" hidden="1">
      <c r="H812" s="85"/>
    </row>
    <row r="813" spans="2:8" s="76" customFormat="1" hidden="1"/>
    <row r="814" spans="2:8" s="76" customFormat="1" hidden="1">
      <c r="H814" s="85"/>
    </row>
    <row r="815" spans="2:8" s="76" customFormat="1" hidden="1">
      <c r="H815" s="85"/>
    </row>
    <row r="816" spans="2:8" s="76" customFormat="1" hidden="1">
      <c r="D816" s="85"/>
      <c r="H816" s="85"/>
    </row>
    <row r="817" spans="2:8" s="76" customFormat="1" hidden="1">
      <c r="G817" s="85"/>
      <c r="H817" s="85"/>
    </row>
    <row r="818" spans="2:8" s="76" customFormat="1" hidden="1">
      <c r="H818" s="85"/>
    </row>
    <row r="819" spans="2:8" s="76" customFormat="1" hidden="1">
      <c r="C819" s="86"/>
      <c r="D819" s="99"/>
      <c r="H819" s="85"/>
    </row>
    <row r="820" spans="2:8" s="76" customFormat="1" hidden="1">
      <c r="D820" s="85"/>
      <c r="H820" s="85"/>
    </row>
    <row r="821" spans="2:8" s="76" customFormat="1" hidden="1">
      <c r="D821" s="85"/>
      <c r="H821" s="85"/>
    </row>
    <row r="822" spans="2:8" s="76" customFormat="1" hidden="1">
      <c r="G822" s="85"/>
    </row>
    <row r="823" spans="2:8" s="76" customFormat="1" hidden="1">
      <c r="G823" s="85"/>
    </row>
    <row r="824" spans="2:8" s="76" customFormat="1" hidden="1">
      <c r="G824" s="85"/>
    </row>
    <row r="825" spans="2:8" s="76" customFormat="1" hidden="1"/>
    <row r="826" spans="2:8" s="76" customFormat="1" hidden="1"/>
    <row r="827" spans="2:8" s="76" customFormat="1" hidden="1">
      <c r="B827" s="33"/>
    </row>
    <row r="828" spans="2:8" s="76" customFormat="1" hidden="1"/>
    <row r="829" spans="2:8" s="76" customFormat="1" hidden="1"/>
    <row r="830" spans="2:8" s="76" customFormat="1" hidden="1">
      <c r="E830" s="33"/>
      <c r="F830" s="33"/>
      <c r="G830" s="33"/>
      <c r="H830" s="33"/>
    </row>
    <row r="831" spans="2:8" s="76" customFormat="1" hidden="1"/>
    <row r="832" spans="2:8" s="76" customFormat="1" hidden="1"/>
    <row r="833" spans="3:7" s="76" customFormat="1" hidden="1"/>
    <row r="834" spans="3:7" s="76" customFormat="1" hidden="1"/>
    <row r="835" spans="3:7" s="76" customFormat="1" hidden="1"/>
    <row r="836" spans="3:7" s="76" customFormat="1" hidden="1"/>
    <row r="837" spans="3:7" s="76" customFormat="1" hidden="1"/>
    <row r="838" spans="3:7" s="76" customFormat="1" hidden="1"/>
    <row r="839" spans="3:7" s="76" customFormat="1" hidden="1"/>
    <row r="840" spans="3:7" s="76" customFormat="1" hidden="1"/>
    <row r="841" spans="3:7" s="76" customFormat="1" hidden="1"/>
    <row r="842" spans="3:7" s="76" customFormat="1" hidden="1"/>
    <row r="843" spans="3:7" s="76" customFormat="1" hidden="1"/>
    <row r="844" spans="3:7" s="76" customFormat="1" hidden="1">
      <c r="G844" s="85"/>
    </row>
    <row r="845" spans="3:7" s="76" customFormat="1" hidden="1">
      <c r="G845" s="85"/>
    </row>
    <row r="846" spans="3:7" s="76" customFormat="1" hidden="1"/>
    <row r="847" spans="3:7" s="76" customFormat="1" hidden="1"/>
    <row r="848" spans="3:7" s="76" customFormat="1" hidden="1">
      <c r="C848" s="86"/>
      <c r="D848" s="99"/>
    </row>
    <row r="849" spans="2:8" s="76" customFormat="1" hidden="1"/>
    <row r="850" spans="2:8" s="76" customFormat="1" hidden="1"/>
    <row r="851" spans="2:8" s="76" customFormat="1" hidden="1"/>
    <row r="852" spans="2:8" s="76" customFormat="1" hidden="1"/>
    <row r="853" spans="2:8" s="76" customFormat="1" hidden="1">
      <c r="B853" s="33"/>
      <c r="C853" s="31"/>
    </row>
    <row r="854" spans="2:8" s="76" customFormat="1" hidden="1">
      <c r="C854" s="31"/>
    </row>
    <row r="855" spans="2:8" s="76" customFormat="1" hidden="1">
      <c r="C855" s="31"/>
    </row>
    <row r="856" spans="2:8" s="76" customFormat="1" hidden="1">
      <c r="C856" s="31"/>
      <c r="E856" s="33"/>
      <c r="F856" s="33"/>
      <c r="G856" s="33"/>
      <c r="H856" s="33"/>
    </row>
    <row r="857" spans="2:8" s="76" customFormat="1" hidden="1"/>
    <row r="858" spans="2:8" s="76" customFormat="1" hidden="1"/>
    <row r="859" spans="2:8" s="76" customFormat="1" hidden="1">
      <c r="D859" s="85"/>
      <c r="H859" s="85"/>
    </row>
    <row r="860" spans="2:8" s="76" customFormat="1" hidden="1">
      <c r="H860" s="85"/>
    </row>
    <row r="861" spans="2:8" s="76" customFormat="1" hidden="1"/>
    <row r="862" spans="2:8" s="76" customFormat="1" hidden="1">
      <c r="F862" s="33"/>
    </row>
    <row r="863" spans="2:8" s="76" customFormat="1" hidden="1">
      <c r="F863" s="33"/>
    </row>
    <row r="864" spans="2:8" s="76" customFormat="1" hidden="1">
      <c r="F864" s="33"/>
    </row>
    <row r="865" spans="2:8" s="76" customFormat="1" hidden="1">
      <c r="F865" s="33"/>
    </row>
    <row r="866" spans="2:8" s="76" customFormat="1" hidden="1"/>
    <row r="867" spans="2:8" s="76" customFormat="1" hidden="1"/>
    <row r="868" spans="2:8" s="76" customFormat="1" hidden="1">
      <c r="F868" s="31"/>
      <c r="G868" s="75"/>
    </row>
    <row r="869" spans="2:8" s="76" customFormat="1" hidden="1">
      <c r="F869" s="31"/>
      <c r="G869" s="75"/>
    </row>
    <row r="870" spans="2:8" s="76" customFormat="1" hidden="1"/>
    <row r="871" spans="2:8" s="76" customFormat="1" hidden="1"/>
    <row r="872" spans="2:8" s="76" customFormat="1" hidden="1">
      <c r="C872" s="86"/>
      <c r="D872" s="99"/>
    </row>
    <row r="873" spans="2:8" s="76" customFormat="1" hidden="1"/>
    <row r="874" spans="2:8" s="76" customFormat="1" hidden="1"/>
    <row r="875" spans="2:8" s="76" customFormat="1" hidden="1">
      <c r="C875" s="31"/>
    </row>
    <row r="876" spans="2:8" s="76" customFormat="1" hidden="1">
      <c r="C876" s="31"/>
    </row>
    <row r="877" spans="2:8" s="76" customFormat="1" hidden="1">
      <c r="B877" s="33"/>
      <c r="C877" s="31"/>
      <c r="E877" s="33"/>
      <c r="F877" s="33"/>
      <c r="G877" s="33"/>
      <c r="H877" s="33"/>
    </row>
    <row r="878" spans="2:8" s="76" customFormat="1" hidden="1">
      <c r="C878" s="31"/>
    </row>
    <row r="879" spans="2:8" s="76" customFormat="1" hidden="1">
      <c r="C879" s="31"/>
    </row>
    <row r="880" spans="2:8" s="76" customFormat="1" hidden="1">
      <c r="C880" s="31"/>
    </row>
    <row r="881" spans="3:8" s="76" customFormat="1" hidden="1">
      <c r="C881" s="31"/>
    </row>
    <row r="882" spans="3:8" s="76" customFormat="1" hidden="1">
      <c r="D882" s="85"/>
      <c r="H882" s="85"/>
    </row>
    <row r="883" spans="3:8" s="76" customFormat="1" hidden="1">
      <c r="H883" s="85"/>
    </row>
    <row r="884" spans="3:8" s="76" customFormat="1" hidden="1">
      <c r="E884" s="31"/>
      <c r="F884" s="31"/>
    </row>
    <row r="885" spans="3:8" s="76" customFormat="1" hidden="1">
      <c r="E885" s="31"/>
      <c r="F885" s="31"/>
    </row>
    <row r="886" spans="3:8" s="76" customFormat="1" hidden="1">
      <c r="E886" s="31"/>
      <c r="F886" s="31"/>
    </row>
    <row r="887" spans="3:8" s="76" customFormat="1" hidden="1">
      <c r="E887" s="31"/>
      <c r="F887" s="31"/>
    </row>
    <row r="888" spans="3:8" s="76" customFormat="1" hidden="1">
      <c r="E888" s="31"/>
      <c r="F888" s="31"/>
    </row>
    <row r="889" spans="3:8" s="76" customFormat="1" hidden="1">
      <c r="E889" s="31"/>
      <c r="F889" s="31"/>
    </row>
    <row r="890" spans="3:8" s="76" customFormat="1" hidden="1">
      <c r="E890" s="31"/>
      <c r="F890" s="31"/>
      <c r="G890" s="75"/>
    </row>
    <row r="891" spans="3:8" s="76" customFormat="1" hidden="1"/>
    <row r="892" spans="3:8" s="76" customFormat="1" hidden="1">
      <c r="C892" s="86"/>
      <c r="D892" s="99"/>
    </row>
    <row r="893" spans="3:8" s="76" customFormat="1" hidden="1"/>
    <row r="894" spans="3:8" s="76" customFormat="1" hidden="1"/>
    <row r="895" spans="3:8" s="76" customFormat="1" hidden="1"/>
    <row r="896" spans="3:8" s="76" customFormat="1" hidden="1"/>
    <row r="897" s="76" customFormat="1" hidden="1"/>
    <row r="898" s="76" customFormat="1" hidden="1"/>
    <row r="899" s="76" customFormat="1" hidden="1"/>
    <row r="900" s="76" customFormat="1" hidden="1"/>
    <row r="901" s="76" customFormat="1" hidden="1"/>
    <row r="902" s="76" customFormat="1" hidden="1"/>
    <row r="903" s="76" customFormat="1" hidden="1"/>
    <row r="904" s="76" customFormat="1" hidden="1"/>
    <row r="905" s="76" customFormat="1" hidden="1"/>
    <row r="906" s="76" customFormat="1" hidden="1"/>
    <row r="907" s="76" customFormat="1" hidden="1"/>
    <row r="908" s="76" customFormat="1" hidden="1"/>
    <row r="909" s="76" customFormat="1" hidden="1"/>
    <row r="910" s="76" customFormat="1" hidden="1"/>
    <row r="911" s="76" customFormat="1" hidden="1"/>
    <row r="912" s="76" customFormat="1" hidden="1"/>
    <row r="913" spans="2:7" s="76" customFormat="1" hidden="1"/>
    <row r="914" spans="2:7" s="76" customFormat="1" hidden="1"/>
    <row r="915" spans="2:7" s="76" customFormat="1" hidden="1"/>
    <row r="916" spans="2:7" s="76" customFormat="1" hidden="1"/>
    <row r="917" spans="2:7" s="76" customFormat="1" hidden="1">
      <c r="F917" s="101"/>
    </row>
    <row r="918" spans="2:7" s="76" customFormat="1" hidden="1">
      <c r="B918" s="33"/>
      <c r="C918" s="33"/>
      <c r="D918" s="33"/>
      <c r="E918" s="33"/>
      <c r="F918" s="103"/>
      <c r="G918" s="103"/>
    </row>
    <row r="919" spans="2:7" s="76" customFormat="1" hidden="1">
      <c r="B919" s="33"/>
      <c r="C919" s="33"/>
      <c r="D919" s="33"/>
      <c r="E919" s="33"/>
      <c r="F919" s="33"/>
      <c r="G919" s="33"/>
    </row>
    <row r="920" spans="2:7" s="76" customFormat="1" hidden="1">
      <c r="E920" s="85"/>
      <c r="F920" s="85"/>
      <c r="G920" s="85"/>
    </row>
    <row r="921" spans="2:7" s="76" customFormat="1" hidden="1">
      <c r="C921" s="86"/>
      <c r="D921" s="99"/>
      <c r="E921" s="86"/>
      <c r="G921" s="85"/>
    </row>
    <row r="922" spans="2:7" s="76" customFormat="1" hidden="1">
      <c r="D922" s="86"/>
      <c r="E922" s="99"/>
      <c r="G922" s="85"/>
    </row>
    <row r="923" spans="2:7" s="76" customFormat="1" hidden="1">
      <c r="E923" s="99"/>
      <c r="G923" s="85"/>
    </row>
    <row r="924" spans="2:7" s="76" customFormat="1" hidden="1"/>
    <row r="925" spans="2:7" s="76" customFormat="1" hidden="1"/>
    <row r="926" spans="2:7" s="76" customFormat="1" hidden="1"/>
    <row r="927" spans="2:7" s="76" customFormat="1" hidden="1"/>
    <row r="928" spans="2:7" s="76" customFormat="1" hidden="1"/>
    <row r="929" spans="2:7" s="76" customFormat="1" hidden="1"/>
    <row r="930" spans="2:7" s="76" customFormat="1" hidden="1"/>
    <row r="931" spans="2:7" s="76" customFormat="1" hidden="1"/>
    <row r="932" spans="2:7" s="76" customFormat="1" hidden="1"/>
    <row r="933" spans="2:7" s="76" customFormat="1" hidden="1"/>
    <row r="934" spans="2:7" s="76" customFormat="1" hidden="1"/>
    <row r="935" spans="2:7" s="76" customFormat="1" hidden="1"/>
    <row r="936" spans="2:7" s="76" customFormat="1" hidden="1"/>
    <row r="937" spans="2:7" s="76" customFormat="1" hidden="1"/>
    <row r="938" spans="2:7" s="76" customFormat="1" hidden="1"/>
    <row r="939" spans="2:7" s="76" customFormat="1" hidden="1"/>
    <row r="940" spans="2:7" s="76" customFormat="1" hidden="1"/>
    <row r="941" spans="2:7" s="76" customFormat="1" hidden="1"/>
    <row r="942" spans="2:7" s="76" customFormat="1" hidden="1"/>
    <row r="943" spans="2:7" s="76" customFormat="1" hidden="1">
      <c r="F943" s="101"/>
    </row>
    <row r="944" spans="2:7" s="76" customFormat="1" hidden="1">
      <c r="B944" s="33"/>
      <c r="C944" s="33"/>
      <c r="D944" s="33"/>
      <c r="E944" s="33"/>
      <c r="F944" s="103"/>
      <c r="G944" s="103"/>
    </row>
    <row r="945" spans="2:7" s="76" customFormat="1" hidden="1">
      <c r="B945" s="33"/>
      <c r="C945" s="33"/>
      <c r="D945" s="33"/>
      <c r="E945" s="33"/>
      <c r="F945" s="33"/>
      <c r="G945" s="33"/>
    </row>
    <row r="946" spans="2:7" s="76" customFormat="1" hidden="1">
      <c r="E946" s="85"/>
      <c r="F946" s="85"/>
      <c r="G946" s="85"/>
    </row>
    <row r="947" spans="2:7" s="76" customFormat="1" hidden="1">
      <c r="C947" s="86"/>
      <c r="D947" s="99"/>
      <c r="E947" s="86"/>
      <c r="G947" s="85"/>
    </row>
    <row r="948" spans="2:7" s="76" customFormat="1" hidden="1">
      <c r="D948" s="86"/>
      <c r="E948" s="99"/>
      <c r="G948" s="85"/>
    </row>
    <row r="949" spans="2:7" s="76" customFormat="1" hidden="1">
      <c r="E949" s="99"/>
      <c r="G949" s="85"/>
    </row>
    <row r="950" spans="2:7" s="76" customFormat="1" hidden="1"/>
    <row r="951" spans="2:7" s="76" customFormat="1" hidden="1"/>
    <row r="952" spans="2:7" s="76" customFormat="1" hidden="1"/>
    <row r="953" spans="2:7" s="76" customFormat="1" hidden="1"/>
    <row r="954" spans="2:7" s="76" customFormat="1" hidden="1"/>
    <row r="955" spans="2:7" s="76" customFormat="1" hidden="1"/>
    <row r="956" spans="2:7" s="76" customFormat="1" hidden="1"/>
    <row r="957" spans="2:7" s="76" customFormat="1" hidden="1"/>
    <row r="958" spans="2:7" s="76" customFormat="1" hidden="1"/>
    <row r="959" spans="2:7" s="76" customFormat="1" hidden="1"/>
    <row r="960" spans="2:7" s="76" customFormat="1" hidden="1"/>
    <row r="961" spans="2:7" s="76" customFormat="1" hidden="1"/>
    <row r="962" spans="2:7" s="76" customFormat="1" hidden="1"/>
    <row r="963" spans="2:7" s="76" customFormat="1" hidden="1"/>
    <row r="964" spans="2:7" s="76" customFormat="1" hidden="1"/>
    <row r="965" spans="2:7" s="76" customFormat="1" hidden="1"/>
    <row r="966" spans="2:7" s="76" customFormat="1" hidden="1"/>
    <row r="967" spans="2:7" s="76" customFormat="1" hidden="1"/>
    <row r="968" spans="2:7" s="76" customFormat="1" hidden="1"/>
    <row r="969" spans="2:7" s="76" customFormat="1" hidden="1">
      <c r="F969" s="101"/>
    </row>
    <row r="970" spans="2:7" s="33" customFormat="1" hidden="1">
      <c r="F970" s="103"/>
      <c r="G970" s="103"/>
    </row>
    <row r="971" spans="2:7" s="76" customFormat="1" hidden="1">
      <c r="B971" s="33"/>
      <c r="C971" s="33"/>
      <c r="D971" s="33"/>
      <c r="E971" s="33"/>
      <c r="F971" s="33"/>
      <c r="G971" s="33"/>
    </row>
    <row r="972" spans="2:7" s="76" customFormat="1" hidden="1">
      <c r="E972" s="85"/>
      <c r="F972" s="85"/>
      <c r="G972" s="85"/>
    </row>
    <row r="973" spans="2:7" s="76" customFormat="1" hidden="1">
      <c r="C973" s="86"/>
      <c r="D973" s="99"/>
      <c r="E973" s="86"/>
      <c r="G973" s="85"/>
    </row>
    <row r="974" spans="2:7" s="76" customFormat="1" hidden="1">
      <c r="D974" s="86"/>
      <c r="E974" s="99"/>
      <c r="G974" s="85"/>
    </row>
    <row r="975" spans="2:7" s="76" customFormat="1" hidden="1">
      <c r="E975" s="99"/>
      <c r="G975" s="85"/>
    </row>
    <row r="976" spans="2:7" s="76" customFormat="1" hidden="1"/>
    <row r="977" s="76" customFormat="1" hidden="1"/>
    <row r="978" s="76" customFormat="1" hidden="1"/>
    <row r="979" s="76" customFormat="1" hidden="1"/>
    <row r="980" s="76" customFormat="1" hidden="1"/>
    <row r="981" s="76" customFormat="1" hidden="1"/>
    <row r="982" s="76" customFormat="1" hidden="1"/>
    <row r="983" s="76" customFormat="1" hidden="1"/>
    <row r="984" s="76" customFormat="1" hidden="1"/>
    <row r="985" s="76" customFormat="1" hidden="1"/>
    <row r="986" s="76" customFormat="1" hidden="1"/>
    <row r="987" s="76" customFormat="1" hidden="1"/>
    <row r="988" s="76" customFormat="1" hidden="1"/>
    <row r="989" s="76" customFormat="1" hidden="1"/>
    <row r="990" s="76" customFormat="1" hidden="1"/>
    <row r="991" s="76" customFormat="1" hidden="1"/>
    <row r="992" s="76" customFormat="1" hidden="1"/>
    <row r="993" s="76" customFormat="1" hidden="1"/>
    <row r="994" s="76" customFormat="1" hidden="1"/>
    <row r="995" s="76" customFormat="1" hidden="1"/>
    <row r="996" s="76" customFormat="1" hidden="1"/>
    <row r="997" s="76" customFormat="1" hidden="1"/>
    <row r="998" s="76" customFormat="1" hidden="1"/>
    <row r="999" s="76" customFormat="1" hidden="1"/>
    <row r="1000" s="76" customFormat="1" hidden="1"/>
    <row r="1001" s="76" customFormat="1" hidden="1"/>
    <row r="1002" s="76" customFormat="1" hidden="1"/>
    <row r="1003" s="76" customFormat="1" hidden="1"/>
    <row r="1004" s="76" customFormat="1" hidden="1"/>
    <row r="1005" s="76" customFormat="1" hidden="1"/>
    <row r="1006" s="76" customFormat="1" hidden="1"/>
    <row r="1007" s="76" customFormat="1" hidden="1"/>
    <row r="1008" s="76" customFormat="1" hidden="1"/>
    <row r="1009" s="76" customFormat="1" hidden="1"/>
    <row r="1010" s="76" customFormat="1" hidden="1"/>
    <row r="1011" s="76" customFormat="1" hidden="1"/>
    <row r="1012" s="76" customFormat="1" hidden="1"/>
    <row r="1013" s="76" customFormat="1" hidden="1"/>
    <row r="1014" s="76" customFormat="1" hidden="1"/>
    <row r="1015" s="76" customFormat="1" hidden="1"/>
    <row r="1016" s="76" customFormat="1" hidden="1"/>
    <row r="1017" s="76" customFormat="1" hidden="1"/>
    <row r="1018" s="76" customFormat="1" hidden="1"/>
    <row r="1019" s="76" customFormat="1" hidden="1"/>
    <row r="1020" s="76" customFormat="1" hidden="1"/>
    <row r="1021" s="76" customFormat="1" hidden="1"/>
    <row r="1022" s="76" customFormat="1" hidden="1"/>
    <row r="1023" s="76" customFormat="1" hidden="1"/>
    <row r="1024" s="76" customFormat="1" hidden="1"/>
    <row r="1025" s="76" customFormat="1" hidden="1"/>
    <row r="1026" s="76" customFormat="1" hidden="1"/>
    <row r="1027" s="76" customFormat="1" hidden="1"/>
    <row r="1028" s="76" customFormat="1" hidden="1"/>
    <row r="1029" s="76" customFormat="1" hidden="1"/>
    <row r="1030" s="76" customFormat="1" hidden="1"/>
    <row r="1031" s="76" customFormat="1" hidden="1"/>
    <row r="1032" s="76" customFormat="1" hidden="1"/>
    <row r="1033" s="76" customFormat="1" hidden="1"/>
    <row r="1034" s="76" customFormat="1" hidden="1"/>
    <row r="1035" s="76" customFormat="1" hidden="1"/>
    <row r="1036" s="76" customFormat="1" hidden="1"/>
    <row r="1037" s="76" customFormat="1" hidden="1"/>
    <row r="1038" s="76" customFormat="1" hidden="1"/>
    <row r="1039" s="76" customFormat="1" hidden="1"/>
    <row r="1040" s="76" customFormat="1" hidden="1"/>
    <row r="1041" s="76" customFormat="1" hidden="1"/>
    <row r="1042" s="76" customFormat="1" hidden="1"/>
    <row r="1043" s="76" customFormat="1" hidden="1"/>
    <row r="1044" s="76" customFormat="1" hidden="1"/>
    <row r="1045" s="76" customFormat="1" hidden="1"/>
    <row r="1046" s="76" customFormat="1" hidden="1"/>
    <row r="1047" s="76" customFormat="1" hidden="1"/>
    <row r="1048" s="76" customFormat="1" hidden="1"/>
    <row r="1049" s="76" customFormat="1" hidden="1"/>
    <row r="1050" s="76" customFormat="1" hidden="1"/>
    <row r="1051" s="76" customFormat="1" hidden="1"/>
    <row r="1052" s="76" customFormat="1" hidden="1"/>
    <row r="1053" s="76" customFormat="1" hidden="1"/>
    <row r="1054" s="76" customFormat="1" hidden="1"/>
    <row r="1055" s="76" customFormat="1" hidden="1"/>
    <row r="1056" s="76" customFormat="1" hidden="1"/>
    <row r="1057" s="76" customFormat="1" hidden="1"/>
    <row r="1058" s="76" customFormat="1" hidden="1"/>
    <row r="1059" s="76" customFormat="1" hidden="1"/>
    <row r="1060" s="76" customFormat="1" hidden="1"/>
    <row r="1061" s="76" customFormat="1" hidden="1"/>
    <row r="1062" s="76" customFormat="1" hidden="1"/>
    <row r="1063" s="76" customFormat="1" hidden="1"/>
    <row r="1064" s="76" customFormat="1" hidden="1"/>
    <row r="1065" s="76" customFormat="1" hidden="1"/>
    <row r="1066" s="76" customFormat="1" hidden="1"/>
    <row r="1067" s="76" customFormat="1" hidden="1"/>
    <row r="1068" s="76" customFormat="1" hidden="1"/>
    <row r="1069" s="76" customFormat="1" hidden="1"/>
    <row r="1070" s="76" customFormat="1" hidden="1"/>
    <row r="1071" s="76" customFormat="1" hidden="1"/>
    <row r="1072" s="76" customFormat="1" hidden="1"/>
    <row r="1073" s="76" customFormat="1" hidden="1"/>
    <row r="1074" s="76" customFormat="1" hidden="1"/>
    <row r="1075" s="76" customFormat="1" hidden="1"/>
    <row r="1076" s="76" customFormat="1" hidden="1"/>
    <row r="1077" s="76" customFormat="1" hidden="1"/>
    <row r="1078" s="76" customFormat="1" hidden="1"/>
    <row r="1079" s="76" customFormat="1" hidden="1"/>
    <row r="1080" s="76" customFormat="1" hidden="1"/>
    <row r="1081" s="76" customFormat="1" hidden="1"/>
    <row r="1082" s="76" customFormat="1" hidden="1"/>
    <row r="1083" s="76" customFormat="1" hidden="1"/>
    <row r="1084" s="76" customFormat="1" hidden="1"/>
    <row r="1085" s="76" customFormat="1" hidden="1"/>
    <row r="1086" s="76" customFormat="1" hidden="1"/>
    <row r="1087" s="76" customFormat="1" hidden="1"/>
    <row r="1088" s="76" customFormat="1" hidden="1"/>
    <row r="1089" s="76" customFormat="1" hidden="1"/>
    <row r="1090" s="76" customFormat="1" hidden="1"/>
    <row r="1091" s="76" customFormat="1" hidden="1"/>
    <row r="1092" s="76" customFormat="1" hidden="1"/>
    <row r="1093" s="76" customFormat="1" hidden="1"/>
    <row r="1094" s="76" customFormat="1" hidden="1"/>
    <row r="1095" s="76" customFormat="1" hidden="1"/>
    <row r="1096" s="76" customFormat="1" hidden="1"/>
    <row r="1097" s="76" customFormat="1" hidden="1"/>
    <row r="1098" s="76" customFormat="1" hidden="1"/>
    <row r="1099" s="76" customFormat="1" hidden="1"/>
    <row r="1100" s="76" customFormat="1" hidden="1"/>
    <row r="1101" s="76" customFormat="1" hidden="1"/>
    <row r="1102" s="76" customFormat="1" hidden="1"/>
    <row r="1103" s="76" customFormat="1" hidden="1"/>
    <row r="1104" s="76" customFormat="1" hidden="1"/>
    <row r="1105" s="76" customFormat="1" hidden="1"/>
    <row r="1106" s="76" customFormat="1" hidden="1"/>
    <row r="1107" s="76" customFormat="1" hidden="1"/>
    <row r="1108" s="76" customFormat="1" hidden="1"/>
    <row r="1109" s="76" customFormat="1" hidden="1"/>
    <row r="1110" s="76" customFormat="1" hidden="1"/>
    <row r="1111" s="76" customFormat="1" hidden="1"/>
    <row r="1112" s="76" customFormat="1" hidden="1"/>
    <row r="1113" s="76" customFormat="1" hidden="1"/>
    <row r="1114" s="76" customFormat="1" hidden="1"/>
    <row r="1115" s="76" customFormat="1" hidden="1"/>
    <row r="1116" s="76" customFormat="1" hidden="1"/>
    <row r="1117" s="76" customFormat="1" hidden="1"/>
    <row r="1118" s="76" customFormat="1" hidden="1"/>
    <row r="1119" s="76" customFormat="1" hidden="1"/>
    <row r="1120" s="76" customFormat="1" hidden="1"/>
    <row r="1121" s="76" customFormat="1" hidden="1"/>
    <row r="1122" s="76" customFormat="1" hidden="1"/>
    <row r="1123" s="76" customFormat="1" hidden="1"/>
    <row r="1124" s="76" customFormat="1" hidden="1"/>
    <row r="1125" s="76" customFormat="1" hidden="1"/>
    <row r="1126" s="76" customFormat="1" hidden="1"/>
    <row r="1127" s="76" customFormat="1" hidden="1"/>
    <row r="1128" s="76" customFormat="1" hidden="1"/>
    <row r="1129" s="76" customFormat="1" hidden="1"/>
    <row r="1130" s="76" customFormat="1" hidden="1"/>
    <row r="1131" s="76" customFormat="1" hidden="1"/>
    <row r="1132" s="76" customFormat="1" hidden="1"/>
    <row r="1133" s="76" customFormat="1" hidden="1"/>
    <row r="1134" s="76" customFormat="1" hidden="1"/>
    <row r="1135" s="76" customFormat="1" hidden="1"/>
    <row r="1136" s="76" customFormat="1" hidden="1"/>
    <row r="1137" spans="1:8" s="76" customFormat="1" hidden="1"/>
    <row r="1138" spans="1:8" s="76" customFormat="1" hidden="1"/>
    <row r="1139" spans="1:8" s="76" customFormat="1" hidden="1"/>
    <row r="1140" spans="1:8" s="76" customFormat="1" hidden="1"/>
    <row r="1141" spans="1:8" s="76" customFormat="1" hidden="1"/>
    <row r="1142" spans="1:8" s="76" customFormat="1" hidden="1"/>
    <row r="1143" spans="1:8"/>
    <row r="1144" spans="1:8"/>
    <row r="1145" spans="1:8">
      <c r="A1145" s="27" t="s">
        <v>6026</v>
      </c>
      <c r="B1145" s="867" t="s">
        <v>1301</v>
      </c>
    </row>
    <row r="1146" spans="1:8">
      <c r="B1146" s="877" t="s">
        <v>9713</v>
      </c>
    </row>
    <row r="1147" spans="1:8" ht="180">
      <c r="A1147" s="27" t="s">
        <v>5639</v>
      </c>
      <c r="B1147" s="35" t="s">
        <v>3473</v>
      </c>
      <c r="C1147" s="34" t="s">
        <v>1302</v>
      </c>
      <c r="D1147" s="829" t="s">
        <v>1483</v>
      </c>
      <c r="E1147" s="829" t="s">
        <v>1484</v>
      </c>
      <c r="F1147" s="829" t="s">
        <v>1485</v>
      </c>
    </row>
    <row r="1148" spans="1:8">
      <c r="A1148" s="78"/>
      <c r="B1148" s="36">
        <v>1</v>
      </c>
      <c r="C1148" s="36">
        <v>2</v>
      </c>
      <c r="D1148" s="36">
        <v>3</v>
      </c>
      <c r="E1148" s="36">
        <v>4</v>
      </c>
      <c r="F1148" s="36">
        <v>5</v>
      </c>
      <c r="G1148" s="78"/>
      <c r="H1148" s="78"/>
    </row>
    <row r="1149" spans="1:8" ht="54">
      <c r="B1149" s="95">
        <v>1</v>
      </c>
      <c r="C1149" s="96" t="s">
        <v>549</v>
      </c>
      <c r="D1149" s="95" t="s">
        <v>550</v>
      </c>
      <c r="E1149" s="95" t="s">
        <v>550</v>
      </c>
      <c r="F1149" s="97" t="s">
        <v>550</v>
      </c>
    </row>
    <row r="1150" spans="1:8" ht="54">
      <c r="B1150" s="36">
        <v>2</v>
      </c>
      <c r="C1150" s="65" t="s">
        <v>433</v>
      </c>
      <c r="D1150" s="82">
        <f>leadcharges!$G$942/1.14</f>
        <v>5.7894736842105265</v>
      </c>
      <c r="E1150" s="82">
        <f>leadcharges!$G$965/1.14</f>
        <v>4.2105263157894735</v>
      </c>
      <c r="F1150" s="98">
        <f>leadcharges!$G$989/1.14</f>
        <v>7.719298245614036</v>
      </c>
    </row>
    <row r="1151" spans="1:8">
      <c r="A1151" s="1160"/>
      <c r="B1151" s="1161" t="s">
        <v>9711</v>
      </c>
      <c r="C1151" s="1161"/>
      <c r="D1151" s="1161"/>
      <c r="E1151" s="1161"/>
      <c r="F1151" s="1161"/>
      <c r="G1151" s="1161"/>
      <c r="H1151" s="1161"/>
    </row>
    <row r="1152" spans="1:8">
      <c r="A1152" s="1160"/>
      <c r="B1152" s="1161"/>
      <c r="C1152" s="1161"/>
      <c r="D1152" s="1161"/>
      <c r="E1152" s="1161"/>
      <c r="F1152" s="1161"/>
      <c r="G1152" s="1161"/>
      <c r="H1152" s="1161"/>
    </row>
    <row r="1153"/>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sheetData>
  <mergeCells count="32">
    <mergeCell ref="B51:G51"/>
    <mergeCell ref="B1:H1"/>
    <mergeCell ref="B14:E14"/>
    <mergeCell ref="B27:E27"/>
    <mergeCell ref="B29:J29"/>
    <mergeCell ref="B30:J30"/>
    <mergeCell ref="B31:J31"/>
    <mergeCell ref="B36:B42"/>
    <mergeCell ref="C36:C42"/>
    <mergeCell ref="D36:D42"/>
    <mergeCell ref="E36:E42"/>
    <mergeCell ref="F36:F42"/>
    <mergeCell ref="B121:H121"/>
    <mergeCell ref="B55:B61"/>
    <mergeCell ref="C55:C61"/>
    <mergeCell ref="D55:D61"/>
    <mergeCell ref="E55:E61"/>
    <mergeCell ref="F55:F61"/>
    <mergeCell ref="B70:G70"/>
    <mergeCell ref="B74:G74"/>
    <mergeCell ref="B87:H87"/>
    <mergeCell ref="B90:G90"/>
    <mergeCell ref="B103:H103"/>
    <mergeCell ref="B112:H112"/>
    <mergeCell ref="A1151:A1152"/>
    <mergeCell ref="B1151:H1152"/>
    <mergeCell ref="B130:H130"/>
    <mergeCell ref="B138:H138"/>
    <mergeCell ref="B147:H147"/>
    <mergeCell ref="B155:H155"/>
    <mergeCell ref="A163:A164"/>
    <mergeCell ref="B163:H164"/>
  </mergeCells>
  <printOptions horizontalCentered="1"/>
  <pageMargins left="0.24" right="0.24" top="0.65" bottom="0.48" header="0.25" footer="0.44"/>
  <pageSetup paperSize="9" scale="57" firstPageNumber="46" orientation="portrait" useFirstPageNumber="1" r:id="rId1"/>
  <headerFooter alignWithMargins="0">
    <oddHeader xml:space="preserve">&amp;RAbstract of leads and lifts - for the year 2014-15
</oddHeader>
    <oddFooter>&amp;R&amp;18&amp;P</oddFooter>
  </headerFooter>
  <rowBreaks count="3" manualBreakCount="3">
    <brk id="52" max="9" man="1"/>
    <brk id="88" max="9" man="1"/>
    <brk id="130" max="9" man="1"/>
  </rowBreaks>
</worksheet>
</file>

<file path=xl/worksheets/sheet10.xml><?xml version="1.0" encoding="utf-8"?>
<worksheet xmlns="http://schemas.openxmlformats.org/spreadsheetml/2006/main" xmlns:r="http://schemas.openxmlformats.org/officeDocument/2006/relationships">
  <sheetPr codeName="Sheet12"/>
  <dimension ref="A1:IU10978"/>
  <sheetViews>
    <sheetView showGridLines="0" zoomScale="60" zoomScaleNormal="80" workbookViewId="0">
      <selection activeCell="H5" sqref="H5"/>
    </sheetView>
  </sheetViews>
  <sheetFormatPr defaultColWidth="0" defaultRowHeight="18" customHeight="1" zeroHeight="1"/>
  <cols>
    <col min="1" max="1" width="17.7109375" style="865" customWidth="1"/>
    <col min="2" max="2" width="13.7109375" style="78" customWidth="1"/>
    <col min="3" max="3" width="43" style="26" customWidth="1"/>
    <col min="4" max="4" width="14.140625" style="26" customWidth="1"/>
    <col min="5" max="5" width="14.5703125" style="26" customWidth="1"/>
    <col min="6" max="6" width="18" style="26" customWidth="1"/>
    <col min="7" max="7" width="19.7109375" style="26" customWidth="1"/>
    <col min="8" max="8" width="13.28515625" style="26" customWidth="1"/>
    <col min="9" max="9" width="9.140625" style="26" hidden="1" customWidth="1"/>
    <col min="10" max="10" width="12.28515625" style="26" hidden="1" customWidth="1"/>
    <col min="11" max="32" width="9.140625" style="26" hidden="1" customWidth="1"/>
    <col min="33" max="33" width="12.7109375" style="26" hidden="1" customWidth="1"/>
    <col min="34" max="255" width="9.140625" style="26" hidden="1" customWidth="1"/>
    <col min="256" max="16384" width="0" style="26" hidden="1"/>
  </cols>
  <sheetData>
    <row r="1" spans="1:8">
      <c r="A1" s="863"/>
      <c r="B1" s="109"/>
      <c r="C1" s="108" t="s">
        <v>6601</v>
      </c>
      <c r="D1" s="109"/>
      <c r="E1" s="109"/>
      <c r="F1" s="109"/>
      <c r="G1" s="165"/>
      <c r="H1" s="165"/>
    </row>
    <row r="2" spans="1:8">
      <c r="A2" s="863"/>
      <c r="B2" s="165"/>
      <c r="C2" s="1253" t="s">
        <v>8005</v>
      </c>
      <c r="D2" s="1253"/>
      <c r="E2" s="1253"/>
      <c r="F2" s="347"/>
      <c r="G2" s="165"/>
      <c r="H2" s="165"/>
    </row>
    <row r="3" spans="1:8">
      <c r="A3" s="863"/>
      <c r="B3" s="165"/>
      <c r="C3" s="109"/>
      <c r="D3" s="109"/>
      <c r="E3" s="109"/>
      <c r="F3" s="347"/>
      <c r="G3" s="165"/>
      <c r="H3" s="165"/>
    </row>
    <row r="4" spans="1:8" s="61" customFormat="1">
      <c r="A4" s="855"/>
      <c r="C4" s="62"/>
      <c r="D4" s="62"/>
      <c r="E4" s="62"/>
      <c r="F4" s="382"/>
    </row>
    <row r="5" spans="1:8" s="61" customFormat="1">
      <c r="A5" s="855"/>
      <c r="C5" s="26" t="s">
        <v>1959</v>
      </c>
      <c r="D5" s="62"/>
      <c r="E5" s="62"/>
      <c r="F5" s="382"/>
    </row>
    <row r="6" spans="1:8" s="61" customFormat="1">
      <c r="A6" s="855"/>
      <c r="C6" s="26"/>
      <c r="D6" s="62"/>
      <c r="E6" s="62"/>
      <c r="F6" s="382"/>
    </row>
    <row r="7" spans="1:8" s="61" customFormat="1">
      <c r="A7" s="855"/>
      <c r="C7" s="1242" t="s">
        <v>9896</v>
      </c>
      <c r="D7" s="1242"/>
      <c r="E7" s="1242"/>
      <c r="F7" s="382"/>
    </row>
    <row r="8" spans="1:8" s="61" customFormat="1">
      <c r="A8" s="855"/>
      <c r="C8" s="62"/>
      <c r="D8" s="62"/>
      <c r="E8" s="62"/>
      <c r="F8" s="382"/>
    </row>
    <row r="9" spans="1:8" s="61" customFormat="1">
      <c r="A9" s="853" t="s">
        <v>7159</v>
      </c>
      <c r="C9" s="1259" t="s">
        <v>334</v>
      </c>
      <c r="D9" s="1259"/>
      <c r="E9" s="1259"/>
      <c r="F9" s="1259"/>
    </row>
    <row r="10" spans="1:8" s="61" customFormat="1">
      <c r="A10" s="855"/>
      <c r="B10" s="62"/>
      <c r="C10" s="62"/>
    </row>
    <row r="11" spans="1:8" s="61" customFormat="1">
      <c r="A11" s="855">
        <v>1</v>
      </c>
      <c r="B11" s="61" t="s">
        <v>5060</v>
      </c>
    </row>
    <row r="12" spans="1:8" s="61" customFormat="1">
      <c r="A12" s="855"/>
      <c r="B12" s="61" t="s">
        <v>4102</v>
      </c>
    </row>
    <row r="13" spans="1:8" s="61" customFormat="1">
      <c r="A13" s="855"/>
    </row>
    <row r="14" spans="1:8" s="61" customFormat="1">
      <c r="A14" s="855">
        <v>2</v>
      </c>
      <c r="B14" s="61" t="s">
        <v>4154</v>
      </c>
    </row>
    <row r="15" spans="1:8" s="61" customFormat="1">
      <c r="A15" s="855"/>
      <c r="B15" s="61" t="s">
        <v>4103</v>
      </c>
    </row>
    <row r="16" spans="1:8" s="61" customFormat="1">
      <c r="A16" s="855"/>
      <c r="B16" s="61" t="s">
        <v>7666</v>
      </c>
    </row>
    <row r="17" spans="1:2" s="61" customFormat="1">
      <c r="A17" s="855"/>
    </row>
    <row r="18" spans="1:2" s="61" customFormat="1">
      <c r="A18" s="855">
        <v>3</v>
      </c>
      <c r="B18" s="61" t="s">
        <v>4652</v>
      </c>
    </row>
    <row r="19" spans="1:2" s="61" customFormat="1">
      <c r="A19" s="855"/>
      <c r="B19" s="61" t="s">
        <v>6277</v>
      </c>
    </row>
    <row r="20" spans="1:2" s="61" customFormat="1">
      <c r="A20" s="855"/>
      <c r="B20" s="61" t="s">
        <v>6278</v>
      </c>
    </row>
    <row r="21" spans="1:2" s="61" customFormat="1">
      <c r="A21" s="855"/>
    </row>
    <row r="22" spans="1:2" s="61" customFormat="1">
      <c r="A22" s="855">
        <v>4</v>
      </c>
      <c r="B22" s="61" t="s">
        <v>6441</v>
      </c>
    </row>
    <row r="23" spans="1:2" s="61" customFormat="1">
      <c r="A23" s="855"/>
      <c r="B23" s="61" t="s">
        <v>4223</v>
      </c>
    </row>
    <row r="24" spans="1:2" s="61" customFormat="1">
      <c r="A24" s="855"/>
      <c r="B24" s="61" t="s">
        <v>6442</v>
      </c>
    </row>
    <row r="25" spans="1:2" s="61" customFormat="1">
      <c r="A25" s="855"/>
    </row>
    <row r="26" spans="1:2" s="61" customFormat="1">
      <c r="A26" s="855">
        <v>5</v>
      </c>
      <c r="B26" s="61" t="s">
        <v>5409</v>
      </c>
    </row>
    <row r="27" spans="1:2" s="61" customFormat="1">
      <c r="A27" s="855"/>
      <c r="B27" s="61" t="s">
        <v>2103</v>
      </c>
    </row>
    <row r="28" spans="1:2" s="61" customFormat="1">
      <c r="A28" s="855"/>
      <c r="B28" s="61" t="s">
        <v>6770</v>
      </c>
    </row>
    <row r="29" spans="1:2" s="61" customFormat="1">
      <c r="A29" s="855"/>
    </row>
    <row r="30" spans="1:2" s="61" customFormat="1">
      <c r="A30" s="855">
        <v>6</v>
      </c>
      <c r="B30" s="61" t="s">
        <v>6771</v>
      </c>
    </row>
    <row r="31" spans="1:2" s="61" customFormat="1">
      <c r="A31" s="855"/>
    </row>
    <row r="32" spans="1:2" s="61" customFormat="1">
      <c r="A32" s="855">
        <v>7</v>
      </c>
      <c r="B32" s="61" t="s">
        <v>5410</v>
      </c>
    </row>
    <row r="33" spans="1:2" s="61" customFormat="1">
      <c r="A33" s="855"/>
    </row>
    <row r="34" spans="1:2" s="61" customFormat="1">
      <c r="A34" s="855">
        <v>8</v>
      </c>
      <c r="B34" s="61" t="s">
        <v>6772</v>
      </c>
    </row>
    <row r="35" spans="1:2" s="61" customFormat="1">
      <c r="A35" s="855"/>
      <c r="B35" s="61" t="s">
        <v>2828</v>
      </c>
    </row>
    <row r="36" spans="1:2" s="61" customFormat="1">
      <c r="A36" s="855"/>
    </row>
    <row r="37" spans="1:2" s="61" customFormat="1" ht="18.75">
      <c r="A37" s="855">
        <v>9</v>
      </c>
      <c r="B37" s="61" t="s">
        <v>9025</v>
      </c>
    </row>
    <row r="38" spans="1:2" s="61" customFormat="1">
      <c r="A38" s="855"/>
      <c r="B38" s="61" t="s">
        <v>5956</v>
      </c>
    </row>
    <row r="39" spans="1:2" s="61" customFormat="1">
      <c r="A39" s="855"/>
    </row>
    <row r="40" spans="1:2" s="61" customFormat="1">
      <c r="A40" s="855">
        <v>10</v>
      </c>
      <c r="B40" s="61" t="s">
        <v>5957</v>
      </c>
    </row>
    <row r="41" spans="1:2" s="61" customFormat="1">
      <c r="A41" s="855"/>
      <c r="B41" s="61" t="s">
        <v>5958</v>
      </c>
    </row>
    <row r="42" spans="1:2" s="61" customFormat="1">
      <c r="A42" s="855"/>
    </row>
    <row r="43" spans="1:2" s="61" customFormat="1">
      <c r="A43" s="855">
        <v>11</v>
      </c>
      <c r="B43" s="61" t="s">
        <v>1092</v>
      </c>
    </row>
    <row r="44" spans="1:2" s="61" customFormat="1">
      <c r="A44" s="855"/>
      <c r="B44" s="61" t="s">
        <v>1093</v>
      </c>
    </row>
    <row r="45" spans="1:2" s="61" customFormat="1">
      <c r="A45" s="855"/>
    </row>
    <row r="46" spans="1:2" s="61" customFormat="1">
      <c r="A46" s="855">
        <v>12</v>
      </c>
      <c r="B46" s="61" t="s">
        <v>6070</v>
      </c>
    </row>
    <row r="47" spans="1:2" s="61" customFormat="1">
      <c r="A47" s="855"/>
    </row>
    <row r="48" spans="1:2" s="61" customFormat="1">
      <c r="A48" s="855">
        <v>13</v>
      </c>
      <c r="B48" s="61" t="s">
        <v>2017</v>
      </c>
    </row>
    <row r="49" spans="1:9" s="61" customFormat="1">
      <c r="A49" s="855"/>
    </row>
    <row r="50" spans="1:9" s="61" customFormat="1">
      <c r="A50" s="855">
        <v>14</v>
      </c>
      <c r="B50" s="61" t="s">
        <v>9613</v>
      </c>
    </row>
    <row r="51" spans="1:9" s="61" customFormat="1">
      <c r="A51" s="855"/>
    </row>
    <row r="52" spans="1:9" s="61" customFormat="1">
      <c r="A52" s="855">
        <v>15</v>
      </c>
      <c r="B52" s="60" t="s">
        <v>5990</v>
      </c>
      <c r="D52" s="60"/>
      <c r="E52" s="60"/>
      <c r="F52" s="60"/>
      <c r="G52" s="60"/>
      <c r="H52" s="60"/>
      <c r="I52" s="60"/>
    </row>
    <row r="53" spans="1:9" s="61" customFormat="1">
      <c r="A53" s="855"/>
      <c r="B53" s="60" t="s">
        <v>9567</v>
      </c>
      <c r="D53" s="60"/>
      <c r="E53" s="60"/>
      <c r="F53" s="60"/>
      <c r="G53" s="60"/>
      <c r="H53" s="60"/>
      <c r="I53" s="60"/>
    </row>
    <row r="54" spans="1:9" s="61" customFormat="1">
      <c r="A54" s="855"/>
      <c r="B54" s="60" t="s">
        <v>6649</v>
      </c>
      <c r="D54" s="60"/>
      <c r="E54" s="60"/>
      <c r="F54" s="60"/>
      <c r="G54" s="60"/>
      <c r="H54" s="60"/>
      <c r="I54" s="60"/>
    </row>
    <row r="55" spans="1:9" s="61" customFormat="1">
      <c r="A55" s="855"/>
      <c r="B55" s="60" t="s">
        <v>6650</v>
      </c>
      <c r="D55" s="60"/>
      <c r="E55" s="60"/>
      <c r="F55" s="60"/>
      <c r="G55" s="60"/>
      <c r="H55" s="60"/>
      <c r="I55" s="60"/>
    </row>
    <row r="56" spans="1:9" s="61" customFormat="1">
      <c r="A56" s="855">
        <v>16</v>
      </c>
      <c r="B56" s="60" t="s">
        <v>9597</v>
      </c>
      <c r="D56" s="60"/>
      <c r="E56" s="60"/>
      <c r="F56" s="60"/>
      <c r="G56" s="60"/>
      <c r="H56" s="60"/>
      <c r="I56" s="60"/>
    </row>
    <row r="57" spans="1:9" s="61" customFormat="1">
      <c r="A57" s="855"/>
      <c r="B57" s="60"/>
      <c r="D57" s="60"/>
      <c r="E57" s="60"/>
      <c r="F57" s="60"/>
      <c r="G57" s="60"/>
      <c r="H57" s="60"/>
      <c r="I57" s="60"/>
    </row>
    <row r="58" spans="1:9" ht="18.75" thickBot="1">
      <c r="B58" s="26"/>
      <c r="C58" s="31"/>
      <c r="D58" s="31"/>
      <c r="E58" s="31"/>
      <c r="F58" s="31"/>
      <c r="G58" s="31"/>
      <c r="H58" s="31"/>
      <c r="I58" s="31"/>
    </row>
    <row r="59" spans="1:9" ht="18.75" thickBot="1">
      <c r="B59" s="688" t="s">
        <v>3805</v>
      </c>
      <c r="D59" s="689"/>
      <c r="E59" s="689"/>
      <c r="F59" s="690"/>
    </row>
    <row r="60" spans="1:9">
      <c r="B60" s="26"/>
      <c r="C60" s="78"/>
      <c r="D60" s="33"/>
      <c r="E60" s="33"/>
      <c r="F60" s="33"/>
      <c r="G60" s="33"/>
    </row>
    <row r="61" spans="1:9">
      <c r="B61" s="26" t="s">
        <v>1739</v>
      </c>
    </row>
    <row r="62" spans="1:9" ht="18.75" thickBot="1">
      <c r="B62" s="26"/>
      <c r="C62" s="325" t="s">
        <v>9656</v>
      </c>
    </row>
    <row r="63" spans="1:9" ht="18.75" thickBot="1">
      <c r="A63" s="866" t="s">
        <v>7038</v>
      </c>
      <c r="B63" s="26"/>
      <c r="C63" s="78"/>
    </row>
    <row r="64" spans="1:9">
      <c r="A64" s="822" t="s">
        <v>7159</v>
      </c>
      <c r="B64" s="79" t="s">
        <v>1412</v>
      </c>
      <c r="E64" s="78"/>
      <c r="G64" s="171"/>
      <c r="H64" s="27"/>
    </row>
    <row r="65" spans="1:8">
      <c r="A65" s="822"/>
      <c r="E65" s="78"/>
      <c r="G65" s="171"/>
      <c r="H65" s="27"/>
    </row>
    <row r="66" spans="1:8">
      <c r="A66" s="822" t="s">
        <v>7160</v>
      </c>
      <c r="B66" s="79" t="s">
        <v>9396</v>
      </c>
    </row>
    <row r="67" spans="1:8">
      <c r="A67" s="822" t="s">
        <v>7161</v>
      </c>
      <c r="B67" s="170" t="s">
        <v>1741</v>
      </c>
    </row>
    <row r="68" spans="1:8">
      <c r="B68" s="26" t="s">
        <v>9397</v>
      </c>
      <c r="G68" s="322"/>
    </row>
    <row r="69" spans="1:8">
      <c r="A69" s="822"/>
      <c r="B69" s="26" t="s">
        <v>9398</v>
      </c>
      <c r="G69" s="322"/>
    </row>
    <row r="70" spans="1:8">
      <c r="A70" s="823"/>
      <c r="B70" s="26" t="s">
        <v>9399</v>
      </c>
      <c r="G70" s="322"/>
    </row>
    <row r="71" spans="1:8">
      <c r="B71" s="170" t="s">
        <v>538</v>
      </c>
      <c r="G71" s="322"/>
    </row>
    <row r="72" spans="1:8">
      <c r="B72" s="170" t="s">
        <v>528</v>
      </c>
      <c r="G72" s="322"/>
    </row>
    <row r="73" spans="1:8">
      <c r="G73" s="322"/>
    </row>
    <row r="74" spans="1:8">
      <c r="B74" s="27" t="s">
        <v>9417</v>
      </c>
      <c r="G74" s="322"/>
    </row>
    <row r="75" spans="1:8">
      <c r="G75" s="322"/>
    </row>
    <row r="76" spans="1:8">
      <c r="F76" s="26" t="s">
        <v>9418</v>
      </c>
      <c r="G76" s="322" t="s">
        <v>9419</v>
      </c>
    </row>
    <row r="77" spans="1:8">
      <c r="G77" s="322"/>
    </row>
    <row r="78" spans="1:8" hidden="1">
      <c r="B78" s="26" t="s">
        <v>2366</v>
      </c>
      <c r="F78" s="315"/>
      <c r="G78" s="68"/>
    </row>
    <row r="79" spans="1:8" hidden="1">
      <c r="B79" s="26" t="s">
        <v>3230</v>
      </c>
      <c r="D79" s="68">
        <f>'BASIC DATA'!D373</f>
        <v>7800</v>
      </c>
      <c r="E79" s="26" t="s">
        <v>2290</v>
      </c>
      <c r="F79" s="315" t="s">
        <v>1698</v>
      </c>
      <c r="G79" s="68">
        <f>D79</f>
        <v>7800</v>
      </c>
    </row>
    <row r="80" spans="1:8" hidden="1">
      <c r="B80" s="26" t="s">
        <v>3231</v>
      </c>
      <c r="F80" s="322" t="s">
        <v>1697</v>
      </c>
      <c r="G80" s="316">
        <v>1000</v>
      </c>
      <c r="H80" s="26" t="s">
        <v>4665</v>
      </c>
    </row>
    <row r="81" spans="1:8" hidden="1">
      <c r="B81" s="26" t="s">
        <v>3232</v>
      </c>
      <c r="D81" s="26" t="s">
        <v>7593</v>
      </c>
      <c r="F81" s="315" t="s">
        <v>1698</v>
      </c>
      <c r="G81" s="68">
        <f>G79/G80</f>
        <v>7.8</v>
      </c>
    </row>
    <row r="82" spans="1:8" hidden="1">
      <c r="B82" s="26" t="s">
        <v>3233</v>
      </c>
      <c r="D82" s="68">
        <f>'BASIC DATA'!D371</f>
        <v>14500</v>
      </c>
      <c r="E82" s="26" t="s">
        <v>2290</v>
      </c>
      <c r="F82" s="315" t="s">
        <v>1698</v>
      </c>
      <c r="G82" s="68">
        <f>D82</f>
        <v>14500</v>
      </c>
    </row>
    <row r="83" spans="1:8" hidden="1">
      <c r="B83" s="26" t="s">
        <v>5868</v>
      </c>
      <c r="F83" s="322" t="s">
        <v>1697</v>
      </c>
      <c r="G83" s="316">
        <v>600</v>
      </c>
      <c r="H83" s="26" t="s">
        <v>4665</v>
      </c>
    </row>
    <row r="84" spans="1:8" hidden="1">
      <c r="B84" s="26" t="s">
        <v>3234</v>
      </c>
      <c r="D84" s="26" t="s">
        <v>3235</v>
      </c>
      <c r="F84" s="315" t="s">
        <v>1698</v>
      </c>
      <c r="G84" s="68">
        <f>G82/G83</f>
        <v>24.166666666666668</v>
      </c>
    </row>
    <row r="85" spans="1:8">
      <c r="B85" s="26"/>
      <c r="C85" s="78"/>
      <c r="G85" s="315"/>
      <c r="H85" s="68"/>
    </row>
    <row r="86" spans="1:8">
      <c r="A86" s="865" t="s">
        <v>3984</v>
      </c>
      <c r="B86" s="26"/>
      <c r="C86" s="78"/>
      <c r="D86" s="203" t="s">
        <v>2367</v>
      </c>
      <c r="E86" s="171" t="s">
        <v>297</v>
      </c>
      <c r="F86" s="692">
        <v>15.3</v>
      </c>
      <c r="G86" s="26" t="s">
        <v>3480</v>
      </c>
    </row>
    <row r="87" spans="1:8">
      <c r="B87" s="26"/>
      <c r="C87" s="79" t="s">
        <v>2368</v>
      </c>
    </row>
    <row r="88" spans="1:8">
      <c r="B88" s="95" t="s">
        <v>2369</v>
      </c>
      <c r="C88" s="157" t="s">
        <v>6374</v>
      </c>
      <c r="D88" s="95" t="s">
        <v>2370</v>
      </c>
      <c r="E88" s="95" t="s">
        <v>1166</v>
      </c>
      <c r="F88" s="95" t="s">
        <v>2371</v>
      </c>
      <c r="G88" s="95" t="s">
        <v>2372</v>
      </c>
    </row>
    <row r="89" spans="1:8">
      <c r="B89" s="114"/>
      <c r="C89" s="154"/>
      <c r="D89" s="114"/>
      <c r="E89" s="114"/>
      <c r="F89" s="114" t="s">
        <v>3485</v>
      </c>
      <c r="G89" s="114" t="s">
        <v>3485</v>
      </c>
    </row>
    <row r="90" spans="1:8">
      <c r="B90" s="95">
        <v>1</v>
      </c>
      <c r="C90" s="135" t="s">
        <v>6244</v>
      </c>
      <c r="D90" s="451" t="s">
        <v>3478</v>
      </c>
      <c r="E90" s="190">
        <v>3467</v>
      </c>
      <c r="F90" s="214">
        <f>'BASIC DATA'!D97/1000</f>
        <v>37.5</v>
      </c>
      <c r="G90" s="190">
        <f>E90*F90</f>
        <v>130012.5</v>
      </c>
    </row>
    <row r="91" spans="1:8">
      <c r="B91" s="105">
        <v>2</v>
      </c>
      <c r="C91" s="135" t="s">
        <v>5431</v>
      </c>
      <c r="D91" s="319" t="s">
        <v>3478</v>
      </c>
      <c r="E91" s="190">
        <v>11261</v>
      </c>
      <c r="F91" s="214">
        <f>'BASIC DATA'!D98/1000</f>
        <v>37.4</v>
      </c>
      <c r="G91" s="190">
        <f t="shared" ref="G91:G101" si="0">E91*F91</f>
        <v>421161.39999999997</v>
      </c>
    </row>
    <row r="92" spans="1:8">
      <c r="B92" s="105">
        <v>3</v>
      </c>
      <c r="C92" s="135" t="s">
        <v>4653</v>
      </c>
      <c r="D92" s="319" t="s">
        <v>3478</v>
      </c>
      <c r="E92" s="190">
        <v>515</v>
      </c>
      <c r="F92" s="214">
        <f>'BASIC DATA'!D180</f>
        <v>275</v>
      </c>
      <c r="G92" s="190">
        <f t="shared" si="0"/>
        <v>141625</v>
      </c>
    </row>
    <row r="93" spans="1:8">
      <c r="B93" s="105">
        <v>4</v>
      </c>
      <c r="C93" s="135" t="s">
        <v>4654</v>
      </c>
      <c r="D93" s="319" t="s">
        <v>3478</v>
      </c>
      <c r="E93" s="190">
        <v>48</v>
      </c>
      <c r="F93" s="214">
        <f>'BASIC DATA'!D84</f>
        <v>80</v>
      </c>
      <c r="G93" s="190">
        <f t="shared" si="0"/>
        <v>3840</v>
      </c>
    </row>
    <row r="94" spans="1:8">
      <c r="B94" s="105">
        <v>5</v>
      </c>
      <c r="C94" s="135" t="s">
        <v>958</v>
      </c>
      <c r="D94" s="319" t="s">
        <v>3477</v>
      </c>
      <c r="E94" s="190">
        <v>158</v>
      </c>
      <c r="F94" s="214">
        <f>'BASIC DATA'!D87</f>
        <v>42</v>
      </c>
      <c r="G94" s="190">
        <f t="shared" si="0"/>
        <v>6636</v>
      </c>
    </row>
    <row r="95" spans="1:8">
      <c r="B95" s="105">
        <v>6</v>
      </c>
      <c r="C95" s="135" t="s">
        <v>6815</v>
      </c>
      <c r="D95" s="319" t="s">
        <v>3477</v>
      </c>
      <c r="E95" s="190">
        <v>53</v>
      </c>
      <c r="F95" s="214">
        <f>'BASIC DATA'!D28</f>
        <v>335</v>
      </c>
      <c r="G95" s="190">
        <f t="shared" si="0"/>
        <v>17755</v>
      </c>
    </row>
    <row r="96" spans="1:8">
      <c r="B96" s="105">
        <v>7</v>
      </c>
      <c r="C96" s="135" t="s">
        <v>6816</v>
      </c>
      <c r="D96" s="319" t="s">
        <v>2059</v>
      </c>
      <c r="E96" s="190">
        <v>11520</v>
      </c>
      <c r="F96" s="214">
        <f>'BASIC DATA'!$D$110</f>
        <v>13</v>
      </c>
      <c r="G96" s="190">
        <f t="shared" si="0"/>
        <v>149760</v>
      </c>
    </row>
    <row r="97" spans="2:7">
      <c r="B97" s="105">
        <v>8</v>
      </c>
      <c r="C97" s="135" t="s">
        <v>4655</v>
      </c>
      <c r="D97" s="319" t="s">
        <v>2059</v>
      </c>
      <c r="E97" s="190">
        <v>2880</v>
      </c>
      <c r="F97" s="214">
        <f>'BASIC DATA'!$D$181</f>
        <v>15</v>
      </c>
      <c r="G97" s="190">
        <f t="shared" si="0"/>
        <v>43200</v>
      </c>
    </row>
    <row r="98" spans="2:7">
      <c r="B98" s="105">
        <v>9</v>
      </c>
      <c r="C98" s="135" t="s">
        <v>4656</v>
      </c>
      <c r="D98" s="319" t="s">
        <v>2059</v>
      </c>
      <c r="E98" s="190">
        <v>1160</v>
      </c>
      <c r="F98" s="214">
        <f>'BASIC DATA'!$D$182</f>
        <v>23</v>
      </c>
      <c r="G98" s="190">
        <f t="shared" si="0"/>
        <v>26680</v>
      </c>
    </row>
    <row r="99" spans="2:7">
      <c r="B99" s="105">
        <v>10</v>
      </c>
      <c r="C99" s="135" t="s">
        <v>6556</v>
      </c>
      <c r="D99" s="319" t="s">
        <v>2374</v>
      </c>
      <c r="E99" s="190">
        <v>1945</v>
      </c>
      <c r="F99" s="214">
        <f>G81</f>
        <v>7.8</v>
      </c>
      <c r="G99" s="190">
        <f t="shared" si="0"/>
        <v>15171</v>
      </c>
    </row>
    <row r="100" spans="2:7">
      <c r="B100" s="105">
        <v>11</v>
      </c>
      <c r="C100" s="135" t="s">
        <v>6557</v>
      </c>
      <c r="D100" s="319" t="s">
        <v>2374</v>
      </c>
      <c r="E100" s="190">
        <v>158</v>
      </c>
      <c r="F100" s="214">
        <f>G84</f>
        <v>24.166666666666668</v>
      </c>
      <c r="G100" s="190">
        <f t="shared" si="0"/>
        <v>3818.3333333333335</v>
      </c>
    </row>
    <row r="101" spans="2:7">
      <c r="B101" s="114">
        <v>12</v>
      </c>
      <c r="C101" s="135" t="s">
        <v>2373</v>
      </c>
      <c r="D101" s="319" t="s">
        <v>2173</v>
      </c>
      <c r="E101" s="190">
        <v>100</v>
      </c>
      <c r="F101" s="214">
        <f>'BASIC DATA'!D359</f>
        <v>30</v>
      </c>
      <c r="G101" s="190">
        <f t="shared" si="0"/>
        <v>3000</v>
      </c>
    </row>
    <row r="102" spans="2:7">
      <c r="B102" s="92"/>
      <c r="C102" s="193"/>
      <c r="D102" s="151" t="s">
        <v>2376</v>
      </c>
      <c r="E102" s="160"/>
      <c r="F102" s="236" t="s">
        <v>1698</v>
      </c>
      <c r="G102" s="318">
        <f>SUM(G90:G101)</f>
        <v>962659.23333333328</v>
      </c>
    </row>
    <row r="103" spans="2:7"/>
    <row r="104" spans="2:7">
      <c r="B104" s="79" t="s">
        <v>2377</v>
      </c>
    </row>
    <row r="105" spans="2:7">
      <c r="B105" s="95" t="s">
        <v>2369</v>
      </c>
      <c r="C105" s="157" t="s">
        <v>2378</v>
      </c>
      <c r="D105" s="95" t="s">
        <v>2370</v>
      </c>
      <c r="E105" s="95" t="s">
        <v>1166</v>
      </c>
      <c r="F105" s="95" t="s">
        <v>2371</v>
      </c>
      <c r="G105" s="95" t="s">
        <v>2372</v>
      </c>
    </row>
    <row r="106" spans="2:7">
      <c r="B106" s="114"/>
      <c r="C106" s="154"/>
      <c r="D106" s="114"/>
      <c r="E106" s="114"/>
      <c r="F106" s="114" t="s">
        <v>3485</v>
      </c>
      <c r="G106" s="114" t="s">
        <v>3485</v>
      </c>
    </row>
    <row r="107" spans="2:7">
      <c r="B107" s="95">
        <v>1</v>
      </c>
      <c r="C107" s="135" t="s">
        <v>6558</v>
      </c>
      <c r="D107" s="451" t="s">
        <v>2374</v>
      </c>
      <c r="E107" s="190">
        <v>1945</v>
      </c>
      <c r="F107" s="190">
        <f>'HIRE CHARGES'!D556</f>
        <v>16</v>
      </c>
      <c r="G107" s="190">
        <f>E107*F107</f>
        <v>31120</v>
      </c>
    </row>
    <row r="108" spans="2:7">
      <c r="B108" s="317"/>
      <c r="C108" s="135" t="s">
        <v>2379</v>
      </c>
      <c r="D108" s="319" t="s">
        <v>2374</v>
      </c>
      <c r="E108" s="190">
        <v>1945</v>
      </c>
      <c r="F108" s="190">
        <f>'HIRE CHARGES'!E556</f>
        <v>67.2</v>
      </c>
      <c r="G108" s="190">
        <f t="shared" ref="G108:G127" si="1">E108*F108</f>
        <v>130704</v>
      </c>
    </row>
    <row r="109" spans="2:7" ht="36">
      <c r="B109" s="105">
        <v>2</v>
      </c>
      <c r="C109" s="91" t="s">
        <v>533</v>
      </c>
      <c r="D109" s="319" t="s">
        <v>2374</v>
      </c>
      <c r="E109" s="190">
        <v>16</v>
      </c>
      <c r="F109" s="190">
        <f>'HIRE CHARGES'!D547</f>
        <v>867.1</v>
      </c>
      <c r="G109" s="190">
        <f t="shared" si="1"/>
        <v>13873.6</v>
      </c>
    </row>
    <row r="110" spans="2:7">
      <c r="B110" s="317"/>
      <c r="C110" s="135" t="s">
        <v>2379</v>
      </c>
      <c r="D110" s="319" t="s">
        <v>2374</v>
      </c>
      <c r="E110" s="190">
        <v>16</v>
      </c>
      <c r="F110" s="190">
        <f>'HIRE CHARGES'!E547</f>
        <v>145.69999999999999</v>
      </c>
      <c r="G110" s="190">
        <f t="shared" si="1"/>
        <v>2331.1999999999998</v>
      </c>
    </row>
    <row r="111" spans="2:7">
      <c r="B111" s="105">
        <v>3</v>
      </c>
      <c r="C111" s="135" t="s">
        <v>6560</v>
      </c>
      <c r="D111" s="319" t="s">
        <v>2374</v>
      </c>
      <c r="E111" s="190">
        <v>16</v>
      </c>
      <c r="F111" s="190">
        <f>'HIRE CHARGES'!D536</f>
        <v>41.9</v>
      </c>
      <c r="G111" s="190">
        <f t="shared" si="1"/>
        <v>670.4</v>
      </c>
    </row>
    <row r="112" spans="2:7">
      <c r="B112" s="317"/>
      <c r="C112" s="135" t="s">
        <v>2379</v>
      </c>
      <c r="D112" s="319" t="s">
        <v>2374</v>
      </c>
      <c r="E112" s="190">
        <v>16</v>
      </c>
      <c r="F112" s="190">
        <f>'HIRE CHARGES'!E536</f>
        <v>112.1</v>
      </c>
      <c r="G112" s="190">
        <f t="shared" si="1"/>
        <v>1793.6</v>
      </c>
    </row>
    <row r="113" spans="2:7">
      <c r="B113" s="105">
        <v>4</v>
      </c>
      <c r="C113" s="135" t="s">
        <v>6060</v>
      </c>
      <c r="D113" s="319" t="s">
        <v>2374</v>
      </c>
      <c r="E113" s="190">
        <v>76</v>
      </c>
      <c r="F113" s="190">
        <f>'HIRE CHARGES'!D539</f>
        <v>6.4</v>
      </c>
      <c r="G113" s="190">
        <f t="shared" si="1"/>
        <v>486.40000000000003</v>
      </c>
    </row>
    <row r="114" spans="2:7">
      <c r="B114" s="317"/>
      <c r="C114" s="135" t="s">
        <v>2379</v>
      </c>
      <c r="D114" s="319" t="s">
        <v>2374</v>
      </c>
      <c r="E114" s="190">
        <v>76</v>
      </c>
      <c r="F114" s="190">
        <f>'HIRE CHARGES'!E539</f>
        <v>2.8</v>
      </c>
      <c r="G114" s="190">
        <f t="shared" si="1"/>
        <v>212.79999999999998</v>
      </c>
    </row>
    <row r="115" spans="2:7">
      <c r="B115" s="105">
        <v>5</v>
      </c>
      <c r="C115" s="135" t="s">
        <v>9420</v>
      </c>
      <c r="D115" s="319" t="s">
        <v>2374</v>
      </c>
      <c r="E115" s="190">
        <v>22</v>
      </c>
      <c r="F115" s="190">
        <f>'HIRE CHARGES'!D560</f>
        <v>2278.1</v>
      </c>
      <c r="G115" s="190">
        <f t="shared" si="1"/>
        <v>50118.2</v>
      </c>
    </row>
    <row r="116" spans="2:7">
      <c r="B116" s="317"/>
      <c r="C116" s="135" t="s">
        <v>2379</v>
      </c>
      <c r="D116" s="319" t="s">
        <v>2374</v>
      </c>
      <c r="E116" s="190">
        <v>22</v>
      </c>
      <c r="F116" s="190">
        <f>'HIRE CHARGES'!E560</f>
        <v>75</v>
      </c>
      <c r="G116" s="190">
        <f t="shared" si="1"/>
        <v>1650</v>
      </c>
    </row>
    <row r="117" spans="2:7">
      <c r="B117" s="105">
        <v>6</v>
      </c>
      <c r="C117" s="135" t="s">
        <v>866</v>
      </c>
      <c r="D117" s="319" t="s">
        <v>2374</v>
      </c>
      <c r="E117" s="190">
        <v>64</v>
      </c>
      <c r="F117" s="190">
        <f>'HIRE CHARGES'!D544</f>
        <v>86.1</v>
      </c>
      <c r="G117" s="190">
        <f t="shared" si="1"/>
        <v>5510.4</v>
      </c>
    </row>
    <row r="118" spans="2:7">
      <c r="B118" s="317"/>
      <c r="C118" s="135" t="s">
        <v>2379</v>
      </c>
      <c r="D118" s="319" t="s">
        <v>2374</v>
      </c>
      <c r="E118" s="190">
        <v>64</v>
      </c>
      <c r="F118" s="190">
        <f>'HIRE CHARGES'!E544</f>
        <v>0</v>
      </c>
      <c r="G118" s="190">
        <f t="shared" si="1"/>
        <v>0</v>
      </c>
    </row>
    <row r="119" spans="2:7">
      <c r="B119" s="105">
        <v>7</v>
      </c>
      <c r="C119" s="135" t="s">
        <v>6562</v>
      </c>
      <c r="D119" s="319" t="s">
        <v>2374</v>
      </c>
      <c r="E119" s="190">
        <v>30</v>
      </c>
      <c r="F119" s="190">
        <f>'HIRE CHARGES'!D551</f>
        <v>22.5</v>
      </c>
      <c r="G119" s="190">
        <f t="shared" si="1"/>
        <v>675</v>
      </c>
    </row>
    <row r="120" spans="2:7">
      <c r="B120" s="317"/>
      <c r="C120" s="135" t="s">
        <v>2379</v>
      </c>
      <c r="D120" s="319" t="s">
        <v>2374</v>
      </c>
      <c r="E120" s="190">
        <v>30</v>
      </c>
      <c r="F120" s="190">
        <f>'HIRE CHARGES'!E551</f>
        <v>28</v>
      </c>
      <c r="G120" s="190">
        <f t="shared" si="1"/>
        <v>840</v>
      </c>
    </row>
    <row r="121" spans="2:7">
      <c r="B121" s="105">
        <v>8</v>
      </c>
      <c r="C121" s="135" t="s">
        <v>5539</v>
      </c>
      <c r="D121" s="319" t="s">
        <v>2374</v>
      </c>
      <c r="E121" s="190">
        <v>30</v>
      </c>
      <c r="F121" s="190">
        <f>'HIRE CHARGES'!D551</f>
        <v>22.5</v>
      </c>
      <c r="G121" s="190">
        <f t="shared" si="1"/>
        <v>675</v>
      </c>
    </row>
    <row r="122" spans="2:7">
      <c r="B122" s="317"/>
      <c r="C122" s="135" t="s">
        <v>2379</v>
      </c>
      <c r="D122" s="319" t="s">
        <v>2374</v>
      </c>
      <c r="E122" s="190">
        <v>30</v>
      </c>
      <c r="F122" s="190">
        <f>'HIRE CHARGES'!E551</f>
        <v>28</v>
      </c>
      <c r="G122" s="190">
        <f t="shared" si="1"/>
        <v>840</v>
      </c>
    </row>
    <row r="123" spans="2:7">
      <c r="B123" s="105">
        <v>9</v>
      </c>
      <c r="C123" s="135" t="s">
        <v>5540</v>
      </c>
      <c r="D123" s="319" t="s">
        <v>2374</v>
      </c>
      <c r="E123" s="190">
        <v>100</v>
      </c>
      <c r="F123" s="190">
        <f>'HIRE CHARGES'!D535</f>
        <v>117.8</v>
      </c>
      <c r="G123" s="190">
        <f t="shared" si="1"/>
        <v>11780</v>
      </c>
    </row>
    <row r="124" spans="2:7">
      <c r="B124" s="317"/>
      <c r="C124" s="135" t="s">
        <v>2379</v>
      </c>
      <c r="D124" s="319" t="s">
        <v>2374</v>
      </c>
      <c r="E124" s="190">
        <v>100</v>
      </c>
      <c r="F124" s="190">
        <f>'HIRE CHARGES'!E535</f>
        <v>84.1</v>
      </c>
      <c r="G124" s="190">
        <f t="shared" si="1"/>
        <v>8410</v>
      </c>
    </row>
    <row r="125" spans="2:7">
      <c r="B125" s="317">
        <v>10</v>
      </c>
      <c r="C125" s="135" t="s">
        <v>9429</v>
      </c>
      <c r="D125" s="319" t="s">
        <v>2374</v>
      </c>
      <c r="E125" s="190">
        <v>30</v>
      </c>
      <c r="F125" s="190">
        <f>'HIRE CHARGES'!$D$503</f>
        <v>42.6</v>
      </c>
      <c r="G125" s="190">
        <f t="shared" si="1"/>
        <v>1278</v>
      </c>
    </row>
    <row r="126" spans="2:7">
      <c r="B126" s="317"/>
      <c r="C126" s="135" t="s">
        <v>2379</v>
      </c>
      <c r="D126" s="319" t="s">
        <v>2374</v>
      </c>
      <c r="E126" s="190">
        <v>30</v>
      </c>
      <c r="F126" s="190">
        <f>'HIRE CHARGES'!$E$503</f>
        <v>84.1</v>
      </c>
      <c r="G126" s="190">
        <f t="shared" si="1"/>
        <v>2523</v>
      </c>
    </row>
    <row r="127" spans="2:7">
      <c r="B127" s="105">
        <v>11</v>
      </c>
      <c r="C127" s="135" t="s">
        <v>2373</v>
      </c>
      <c r="D127" s="319" t="s">
        <v>2173</v>
      </c>
      <c r="E127" s="190">
        <v>100</v>
      </c>
      <c r="F127" s="214">
        <f>'BASIC DATA'!D359</f>
        <v>30</v>
      </c>
      <c r="G127" s="190">
        <f t="shared" si="1"/>
        <v>3000</v>
      </c>
    </row>
    <row r="128" spans="2:7">
      <c r="B128" s="176"/>
      <c r="C128" s="193" t="s">
        <v>2380</v>
      </c>
      <c r="D128" s="193"/>
      <c r="E128" s="208"/>
      <c r="F128" s="236" t="s">
        <v>1698</v>
      </c>
      <c r="G128" s="318">
        <f>SUM(G107:G127)</f>
        <v>268491.59999999998</v>
      </c>
    </row>
    <row r="129" spans="2:7"/>
    <row r="130" spans="2:7">
      <c r="B130" s="79" t="s">
        <v>2381</v>
      </c>
    </row>
    <row r="131" spans="2:7">
      <c r="B131" s="95" t="s">
        <v>2369</v>
      </c>
      <c r="C131" s="157" t="s">
        <v>2378</v>
      </c>
      <c r="D131" s="95" t="s">
        <v>2370</v>
      </c>
      <c r="E131" s="95" t="s">
        <v>1166</v>
      </c>
      <c r="F131" s="95" t="s">
        <v>2371</v>
      </c>
      <c r="G131" s="95" t="s">
        <v>2372</v>
      </c>
    </row>
    <row r="132" spans="2:7">
      <c r="B132" s="114"/>
      <c r="C132" s="154"/>
      <c r="D132" s="114"/>
      <c r="E132" s="114"/>
      <c r="F132" s="114" t="s">
        <v>3485</v>
      </c>
      <c r="G132" s="114" t="s">
        <v>3485</v>
      </c>
    </row>
    <row r="133" spans="2:7">
      <c r="B133" s="105">
        <v>1</v>
      </c>
      <c r="C133" s="76" t="s">
        <v>5541</v>
      </c>
      <c r="D133" s="319" t="s">
        <v>2374</v>
      </c>
      <c r="E133" s="207">
        <v>16</v>
      </c>
      <c r="F133" s="190">
        <f>'HIRE CHARGES'!F547</f>
        <v>189.3</v>
      </c>
      <c r="G133" s="190">
        <f>E133*F133</f>
        <v>3028.8</v>
      </c>
    </row>
    <row r="134" spans="2:7">
      <c r="B134" s="105">
        <v>2</v>
      </c>
      <c r="C134" s="76" t="s">
        <v>9421</v>
      </c>
      <c r="D134" s="319" t="s">
        <v>2374</v>
      </c>
      <c r="E134" s="207">
        <v>22</v>
      </c>
      <c r="F134" s="190">
        <f>'HIRE CHARGES'!F560</f>
        <v>526.70000000000005</v>
      </c>
      <c r="G134" s="190">
        <f t="shared" ref="G134:G147" si="2">E134*F134</f>
        <v>11587.400000000001</v>
      </c>
    </row>
    <row r="135" spans="2:7">
      <c r="B135" s="105">
        <v>3</v>
      </c>
      <c r="C135" s="76" t="s">
        <v>5543</v>
      </c>
      <c r="D135" s="319" t="s">
        <v>2374</v>
      </c>
      <c r="E135" s="207">
        <v>16</v>
      </c>
      <c r="F135" s="190">
        <f>'HIRE CHARGES'!F536</f>
        <v>142</v>
      </c>
      <c r="G135" s="190">
        <f t="shared" si="2"/>
        <v>2272</v>
      </c>
    </row>
    <row r="136" spans="2:7">
      <c r="B136" s="105">
        <v>4</v>
      </c>
      <c r="C136" s="76" t="s">
        <v>5544</v>
      </c>
      <c r="D136" s="319" t="s">
        <v>2374</v>
      </c>
      <c r="E136" s="207">
        <v>100</v>
      </c>
      <c r="F136" s="190">
        <f>'HIRE CHARGES'!F535</f>
        <v>210.9</v>
      </c>
      <c r="G136" s="190">
        <f t="shared" si="2"/>
        <v>21090</v>
      </c>
    </row>
    <row r="137" spans="2:7">
      <c r="B137" s="105">
        <v>5</v>
      </c>
      <c r="C137" s="76" t="s">
        <v>5545</v>
      </c>
      <c r="D137" s="319" t="s">
        <v>2374</v>
      </c>
      <c r="E137" s="207">
        <v>30</v>
      </c>
      <c r="F137" s="190">
        <f>'HIRE CHARGES'!F551</f>
        <v>198.9</v>
      </c>
      <c r="G137" s="190">
        <f t="shared" si="2"/>
        <v>5967</v>
      </c>
    </row>
    <row r="138" spans="2:7">
      <c r="B138" s="105">
        <v>6</v>
      </c>
      <c r="C138" s="76" t="s">
        <v>5546</v>
      </c>
      <c r="D138" s="319" t="s">
        <v>2374</v>
      </c>
      <c r="E138" s="207">
        <v>30</v>
      </c>
      <c r="F138" s="190">
        <f>'HIRE CHARGES'!F551</f>
        <v>198.9</v>
      </c>
      <c r="G138" s="190">
        <f t="shared" si="2"/>
        <v>5967</v>
      </c>
    </row>
    <row r="139" spans="2:7">
      <c r="B139" s="105">
        <v>7</v>
      </c>
      <c r="C139" s="76" t="s">
        <v>5318</v>
      </c>
      <c r="D139" s="319"/>
      <c r="E139" s="207">
        <v>30</v>
      </c>
      <c r="F139" s="190">
        <f>'HIRE CHARGES'!$F$503</f>
        <v>131.80000000000001</v>
      </c>
      <c r="G139" s="190">
        <f t="shared" si="2"/>
        <v>3954.0000000000005</v>
      </c>
    </row>
    <row r="140" spans="2:7">
      <c r="B140" s="105">
        <v>8</v>
      </c>
      <c r="C140" s="76" t="s">
        <v>2468</v>
      </c>
      <c r="D140" s="319" t="s">
        <v>1172</v>
      </c>
      <c r="E140" s="207">
        <v>15</v>
      </c>
      <c r="F140" s="190">
        <f>'BASIC DATA'!C471</f>
        <v>510</v>
      </c>
      <c r="G140" s="190">
        <f t="shared" si="2"/>
        <v>7650</v>
      </c>
    </row>
    <row r="141" spans="2:7">
      <c r="B141" s="105">
        <v>9</v>
      </c>
      <c r="C141" s="76" t="s">
        <v>5547</v>
      </c>
      <c r="D141" s="319" t="s">
        <v>1172</v>
      </c>
      <c r="E141" s="207">
        <v>75</v>
      </c>
      <c r="F141" s="190">
        <f>'BASIC DATA'!C503</f>
        <v>550</v>
      </c>
      <c r="G141" s="190">
        <f t="shared" si="2"/>
        <v>41250</v>
      </c>
    </row>
    <row r="142" spans="2:7">
      <c r="B142" s="105">
        <v>10</v>
      </c>
      <c r="C142" s="76" t="s">
        <v>3010</v>
      </c>
      <c r="D142" s="319" t="s">
        <v>1172</v>
      </c>
      <c r="E142" s="207">
        <v>20</v>
      </c>
      <c r="F142" s="190">
        <f>'BASIC DATA'!C504</f>
        <v>445</v>
      </c>
      <c r="G142" s="190">
        <f t="shared" si="2"/>
        <v>8900</v>
      </c>
    </row>
    <row r="143" spans="2:7">
      <c r="B143" s="105">
        <v>11</v>
      </c>
      <c r="C143" s="76" t="s">
        <v>3013</v>
      </c>
      <c r="D143" s="319" t="s">
        <v>1172</v>
      </c>
      <c r="E143" s="207">
        <v>212</v>
      </c>
      <c r="F143" s="190">
        <f>'BASIC DATA'!C504</f>
        <v>445</v>
      </c>
      <c r="G143" s="190">
        <f t="shared" si="2"/>
        <v>94340</v>
      </c>
    </row>
    <row r="144" spans="2:7">
      <c r="B144" s="105">
        <v>12</v>
      </c>
      <c r="C144" s="76" t="s">
        <v>5548</v>
      </c>
      <c r="D144" s="319" t="s">
        <v>1172</v>
      </c>
      <c r="E144" s="207">
        <v>48</v>
      </c>
      <c r="F144" s="190">
        <f>'BASIC DATA'!C505</f>
        <v>510</v>
      </c>
      <c r="G144" s="190">
        <f t="shared" si="2"/>
        <v>24480</v>
      </c>
    </row>
    <row r="145" spans="2:9">
      <c r="B145" s="105">
        <v>13</v>
      </c>
      <c r="C145" s="76" t="s">
        <v>3012</v>
      </c>
      <c r="D145" s="319" t="s">
        <v>1172</v>
      </c>
      <c r="E145" s="207">
        <v>345</v>
      </c>
      <c r="F145" s="190">
        <f>'BASIC DATA'!C500</f>
        <v>445</v>
      </c>
      <c r="G145" s="190">
        <f>F145*E145</f>
        <v>153525</v>
      </c>
    </row>
    <row r="146" spans="2:9">
      <c r="B146" s="105">
        <v>14</v>
      </c>
      <c r="C146" s="76" t="s">
        <v>3011</v>
      </c>
      <c r="D146" s="319" t="s">
        <v>1172</v>
      </c>
      <c r="E146" s="207">
        <v>255</v>
      </c>
      <c r="F146" s="190">
        <f>'BASIC DATA'!C529</f>
        <v>400</v>
      </c>
      <c r="G146" s="190">
        <f t="shared" si="2"/>
        <v>102000</v>
      </c>
    </row>
    <row r="147" spans="2:9">
      <c r="B147" s="105">
        <v>15</v>
      </c>
      <c r="C147" s="76" t="s">
        <v>5604</v>
      </c>
      <c r="D147" s="319" t="s">
        <v>1172</v>
      </c>
      <c r="E147" s="207">
        <v>5</v>
      </c>
      <c r="F147" s="190">
        <f>'BASIC DATA'!C468</f>
        <v>515</v>
      </c>
      <c r="G147" s="190">
        <f t="shared" si="2"/>
        <v>2575</v>
      </c>
    </row>
    <row r="148" spans="2:9">
      <c r="B148" s="92"/>
      <c r="C148" s="193"/>
      <c r="D148" s="151" t="s">
        <v>1174</v>
      </c>
      <c r="E148" s="160"/>
      <c r="F148" s="236" t="s">
        <v>1698</v>
      </c>
      <c r="G148" s="318">
        <f>SUM(G133:G147)</f>
        <v>488586.2</v>
      </c>
    </row>
    <row r="149" spans="2:9">
      <c r="B149" s="76" t="s">
        <v>9422</v>
      </c>
      <c r="C149" s="200"/>
      <c r="D149" s="76"/>
      <c r="E149" s="76"/>
      <c r="F149" s="200"/>
      <c r="G149" s="766">
        <f>G148*30%</f>
        <v>146575.85999999999</v>
      </c>
    </row>
    <row r="150" spans="2:9">
      <c r="B150" s="76"/>
      <c r="C150" s="200" t="s">
        <v>7956</v>
      </c>
      <c r="D150" s="76"/>
      <c r="E150" s="76"/>
      <c r="F150" s="200"/>
      <c r="G150" s="766">
        <f>SUM(G149+G148)</f>
        <v>635162.06000000006</v>
      </c>
    </row>
    <row r="151" spans="2:9">
      <c r="B151" s="76"/>
      <c r="C151" s="200"/>
      <c r="D151" s="76"/>
      <c r="E151" s="76"/>
      <c r="F151" s="200"/>
      <c r="G151" s="766"/>
    </row>
    <row r="152" spans="2:9">
      <c r="B152" s="60" t="s">
        <v>5948</v>
      </c>
      <c r="C152" s="31"/>
      <c r="D152" s="31"/>
      <c r="E152" s="85">
        <f>ROUND(G150/F86,1)</f>
        <v>41513.9</v>
      </c>
    </row>
    <row r="153" spans="2:9">
      <c r="B153" s="60" t="s">
        <v>3163</v>
      </c>
      <c r="C153" s="31"/>
      <c r="D153" s="922">
        <f>'BASIC DATA'!$C$577</f>
        <v>0.13614999999999999</v>
      </c>
      <c r="E153" s="85">
        <f>ROUND(E152*D153,1)</f>
        <v>5652.1</v>
      </c>
    </row>
    <row r="154" spans="2:9">
      <c r="B154" s="60" t="s">
        <v>5949</v>
      </c>
      <c r="C154" s="31"/>
      <c r="D154" s="31"/>
      <c r="E154" s="199">
        <f>E153+E152</f>
        <v>47166</v>
      </c>
    </row>
    <row r="155" spans="2:9">
      <c r="B155" s="26"/>
      <c r="C155" s="78"/>
    </row>
    <row r="156" spans="2:9">
      <c r="B156" s="170" t="s">
        <v>1175</v>
      </c>
    </row>
    <row r="157" spans="2:9">
      <c r="B157" s="26" t="s">
        <v>1176</v>
      </c>
      <c r="F157" s="171" t="s">
        <v>1698</v>
      </c>
      <c r="G157" s="68">
        <f>G102</f>
        <v>962659.23333333328</v>
      </c>
    </row>
    <row r="158" spans="2:9">
      <c r="B158" s="26" t="s">
        <v>1186</v>
      </c>
      <c r="F158" s="171" t="s">
        <v>1698</v>
      </c>
      <c r="G158" s="68">
        <f>G128</f>
        <v>268491.59999999998</v>
      </c>
    </row>
    <row r="159" spans="2:9">
      <c r="B159" s="26" t="s">
        <v>2660</v>
      </c>
      <c r="F159" s="171" t="s">
        <v>1698</v>
      </c>
      <c r="G159" s="75">
        <f>G150</f>
        <v>635162.06000000006</v>
      </c>
      <c r="I159" s="68"/>
    </row>
    <row r="160" spans="2:9">
      <c r="B160" s="26"/>
      <c r="E160" s="171" t="s">
        <v>5551</v>
      </c>
      <c r="F160" s="171" t="s">
        <v>1698</v>
      </c>
      <c r="G160" s="205">
        <f>SUM(G157:G159)</f>
        <v>1866312.8933333333</v>
      </c>
    </row>
    <row r="161" spans="1:35">
      <c r="B161" s="26" t="s">
        <v>5085</v>
      </c>
      <c r="E161" s="693">
        <f>'BASIC DATA'!C593</f>
        <v>0</v>
      </c>
      <c r="F161" s="171" t="s">
        <v>1698</v>
      </c>
      <c r="G161" s="68">
        <f>(G159+G158)*E161*0.75</f>
        <v>0</v>
      </c>
    </row>
    <row r="162" spans="1:35">
      <c r="B162" s="26" t="s">
        <v>5084</v>
      </c>
      <c r="E162" s="171" t="s">
        <v>1518</v>
      </c>
      <c r="F162" s="171" t="s">
        <v>1698</v>
      </c>
      <c r="G162" s="205">
        <f>G161+G160</f>
        <v>1866312.8933333333</v>
      </c>
    </row>
    <row r="163" spans="1:35">
      <c r="B163" s="26" t="s">
        <v>5086</v>
      </c>
      <c r="E163" s="201">
        <f>'BASIC DATA'!C594</f>
        <v>0.03</v>
      </c>
      <c r="F163" s="171" t="s">
        <v>1698</v>
      </c>
      <c r="G163" s="75">
        <f>G162*E163</f>
        <v>55989.3868</v>
      </c>
    </row>
    <row r="164" spans="1:35">
      <c r="B164" s="26"/>
      <c r="E164" s="26" t="s">
        <v>2392</v>
      </c>
      <c r="F164" s="171" t="s">
        <v>1698</v>
      </c>
      <c r="G164" s="75">
        <f>G163+G162</f>
        <v>1922302.2801333333</v>
      </c>
    </row>
    <row r="165" spans="1:35" ht="38.25" customHeight="1">
      <c r="B165" s="1207" t="s">
        <v>4717</v>
      </c>
      <c r="C165" s="1207"/>
      <c r="D165" s="922">
        <f>'BASIC DATA'!$C$577</f>
        <v>0.13614999999999999</v>
      </c>
      <c r="F165" s="171" t="s">
        <v>1698</v>
      </c>
      <c r="G165" s="75">
        <f>G164*D165</f>
        <v>261721.45544015331</v>
      </c>
      <c r="I165" s="68"/>
    </row>
    <row r="166" spans="1:35">
      <c r="B166" s="26" t="s">
        <v>898</v>
      </c>
    </row>
    <row r="167" spans="1:35">
      <c r="B167" s="47" t="s">
        <v>897</v>
      </c>
      <c r="D167" s="48"/>
      <c r="E167" s="68">
        <f>leadcharges!F65</f>
        <v>19</v>
      </c>
      <c r="F167" s="27" t="s">
        <v>1279</v>
      </c>
      <c r="G167" s="76">
        <f>2*ROUND(E167*F86,3)</f>
        <v>581.4</v>
      </c>
      <c r="K167" s="68"/>
    </row>
    <row r="168" spans="1:35">
      <c r="B168" s="47" t="s">
        <v>896</v>
      </c>
      <c r="D168" s="48"/>
      <c r="E168" s="68">
        <f>leadcharges!$G$79</f>
        <v>74.8</v>
      </c>
      <c r="F168" s="27" t="s">
        <v>1279</v>
      </c>
      <c r="G168" s="76">
        <f>2*ROUND(E168*F86,3)</f>
        <v>2288.88</v>
      </c>
    </row>
    <row r="169" spans="1:35" ht="18.75" thickBot="1">
      <c r="B169" s="26" t="s">
        <v>5078</v>
      </c>
      <c r="D169" s="278">
        <f>F86</f>
        <v>15.3</v>
      </c>
      <c r="E169" s="26" t="s">
        <v>3480</v>
      </c>
      <c r="F169" s="171" t="s">
        <v>1698</v>
      </c>
      <c r="G169" s="205">
        <f>SUM(G164:G168)</f>
        <v>2186894.0155734862</v>
      </c>
    </row>
    <row r="170" spans="1:35" ht="18.75" thickBot="1">
      <c r="D170" s="694" t="s">
        <v>3884</v>
      </c>
      <c r="E170" s="695" t="s">
        <v>3480</v>
      </c>
      <c r="F170" s="696" t="s">
        <v>1698</v>
      </c>
      <c r="G170" s="697">
        <f>ROUND(G169/D169,1)</f>
        <v>142934.20000000001</v>
      </c>
      <c r="AG170" s="26">
        <f>G170*14</f>
        <v>2001078.8000000003</v>
      </c>
      <c r="AI170" s="26">
        <f>3.8+3.35</f>
        <v>7.15</v>
      </c>
    </row>
    <row r="171" spans="1:35">
      <c r="D171" s="200"/>
      <c r="E171" s="31"/>
      <c r="F171" s="200"/>
      <c r="G171" s="75"/>
      <c r="AG171" s="26">
        <f>AG170*1.04</f>
        <v>2081121.9520000003</v>
      </c>
    </row>
    <row r="172" spans="1:35">
      <c r="B172" s="26"/>
      <c r="C172" s="78"/>
    </row>
    <row r="173" spans="1:35">
      <c r="B173" s="170" t="s">
        <v>535</v>
      </c>
    </row>
    <row r="174" spans="1:35">
      <c r="B174" s="325" t="s">
        <v>534</v>
      </c>
      <c r="C174" s="170" t="s">
        <v>536</v>
      </c>
    </row>
    <row r="175" spans="1:35" ht="18.75">
      <c r="A175" s="822" t="s">
        <v>7162</v>
      </c>
      <c r="B175" s="26" t="s">
        <v>9028</v>
      </c>
    </row>
    <row r="176" spans="1:35">
      <c r="A176" s="822"/>
      <c r="B176" s="26" t="s">
        <v>537</v>
      </c>
    </row>
    <row r="177" spans="1:8" ht="18.75">
      <c r="A177" s="822"/>
      <c r="B177" s="26" t="s">
        <v>9029</v>
      </c>
    </row>
    <row r="178" spans="1:8">
      <c r="A178" s="822"/>
      <c r="B178" s="26" t="s">
        <v>3187</v>
      </c>
    </row>
    <row r="179" spans="1:8">
      <c r="A179" s="822"/>
      <c r="B179" s="26"/>
    </row>
    <row r="180" spans="1:8">
      <c r="A180" s="822"/>
      <c r="B180" s="170" t="s">
        <v>538</v>
      </c>
      <c r="F180" s="322"/>
    </row>
    <row r="181" spans="1:8">
      <c r="A181" s="822"/>
      <c r="B181" s="170" t="s">
        <v>528</v>
      </c>
      <c r="F181" s="322"/>
    </row>
    <row r="182" spans="1:8">
      <c r="A182" s="822"/>
      <c r="F182" s="322"/>
    </row>
    <row r="183" spans="1:8">
      <c r="A183" s="822"/>
      <c r="B183" s="27" t="s">
        <v>9423</v>
      </c>
      <c r="F183" s="322"/>
    </row>
    <row r="184" spans="1:8">
      <c r="A184" s="822"/>
      <c r="F184" s="322"/>
    </row>
    <row r="185" spans="1:8">
      <c r="A185" s="822"/>
      <c r="F185" s="322" t="s">
        <v>9424</v>
      </c>
    </row>
    <row r="186" spans="1:8" hidden="1">
      <c r="A186" s="822"/>
      <c r="F186" s="322"/>
    </row>
    <row r="187" spans="1:8" hidden="1">
      <c r="B187" s="26" t="s">
        <v>2366</v>
      </c>
    </row>
    <row r="188" spans="1:8" hidden="1">
      <c r="B188" s="26" t="s">
        <v>4638</v>
      </c>
      <c r="C188" s="68">
        <f>'BASIC DATA'!D373</f>
        <v>7800</v>
      </c>
      <c r="D188" s="26" t="s">
        <v>2290</v>
      </c>
      <c r="E188" s="315" t="s">
        <v>1698</v>
      </c>
      <c r="G188" s="68">
        <f>C188</f>
        <v>7800</v>
      </c>
    </row>
    <row r="189" spans="1:8" hidden="1">
      <c r="B189" s="26" t="s">
        <v>3231</v>
      </c>
      <c r="E189" s="322" t="s">
        <v>1697</v>
      </c>
      <c r="G189" s="316">
        <v>1000</v>
      </c>
      <c r="H189" s="26" t="s">
        <v>4665</v>
      </c>
    </row>
    <row r="190" spans="1:8" hidden="1">
      <c r="B190" s="26" t="s">
        <v>3232</v>
      </c>
      <c r="C190" s="26" t="s">
        <v>7593</v>
      </c>
      <c r="E190" s="315" t="s">
        <v>1698</v>
      </c>
      <c r="G190" s="68">
        <f>G188/G189</f>
        <v>7.8</v>
      </c>
    </row>
    <row r="191" spans="1:8" hidden="1">
      <c r="B191" s="26" t="s">
        <v>1286</v>
      </c>
      <c r="C191" s="68">
        <f>'BASIC DATA'!D371</f>
        <v>14500</v>
      </c>
      <c r="D191" s="26" t="s">
        <v>2290</v>
      </c>
      <c r="E191" s="315" t="s">
        <v>1698</v>
      </c>
      <c r="G191" s="68">
        <f>C191</f>
        <v>14500</v>
      </c>
    </row>
    <row r="192" spans="1:8" hidden="1">
      <c r="B192" s="26" t="s">
        <v>5868</v>
      </c>
      <c r="E192" s="322" t="s">
        <v>1697</v>
      </c>
      <c r="G192" s="316">
        <v>600</v>
      </c>
      <c r="H192" s="26" t="s">
        <v>4665</v>
      </c>
    </row>
    <row r="193" spans="1:7" hidden="1">
      <c r="B193" s="26" t="s">
        <v>3234</v>
      </c>
      <c r="C193" s="26" t="s">
        <v>7593</v>
      </c>
      <c r="E193" s="315" t="s">
        <v>1698</v>
      </c>
      <c r="G193" s="68">
        <f>G191/G192</f>
        <v>24.166666666666668</v>
      </c>
    </row>
    <row r="194" spans="1:7" hidden="1">
      <c r="B194" s="26"/>
      <c r="C194" s="78"/>
    </row>
    <row r="195" spans="1:7">
      <c r="B195" s="26"/>
      <c r="C195" s="78"/>
    </row>
    <row r="196" spans="1:7">
      <c r="A196" s="865" t="s">
        <v>3984</v>
      </c>
      <c r="C196" s="203" t="s">
        <v>2367</v>
      </c>
      <c r="E196" s="171" t="s">
        <v>297</v>
      </c>
      <c r="F196" s="692">
        <v>29</v>
      </c>
      <c r="G196" s="26" t="s">
        <v>3480</v>
      </c>
    </row>
    <row r="197" spans="1:7">
      <c r="B197" s="79" t="s">
        <v>2368</v>
      </c>
    </row>
    <row r="198" spans="1:7">
      <c r="B198" s="95" t="s">
        <v>2369</v>
      </c>
      <c r="C198" s="157" t="s">
        <v>6374</v>
      </c>
      <c r="D198" s="95" t="s">
        <v>2370</v>
      </c>
      <c r="E198" s="95" t="s">
        <v>1166</v>
      </c>
      <c r="F198" s="95" t="s">
        <v>2371</v>
      </c>
      <c r="G198" s="95" t="s">
        <v>2372</v>
      </c>
    </row>
    <row r="199" spans="1:7">
      <c r="B199" s="114"/>
      <c r="C199" s="154"/>
      <c r="D199" s="114"/>
      <c r="E199" s="114"/>
      <c r="F199" s="114" t="s">
        <v>3485</v>
      </c>
      <c r="G199" s="114" t="s">
        <v>3485</v>
      </c>
    </row>
    <row r="200" spans="1:7">
      <c r="B200" s="95">
        <v>1</v>
      </c>
      <c r="C200" s="135" t="s">
        <v>1287</v>
      </c>
      <c r="D200" s="451"/>
      <c r="E200" s="190"/>
      <c r="F200" s="190"/>
      <c r="G200" s="190"/>
    </row>
    <row r="201" spans="1:7">
      <c r="B201" s="317"/>
      <c r="C201" s="135" t="s">
        <v>4915</v>
      </c>
      <c r="D201" s="319" t="s">
        <v>3478</v>
      </c>
      <c r="E201" s="190">
        <v>9700</v>
      </c>
      <c r="F201" s="214">
        <f>'BASIC DATA'!D97/1000</f>
        <v>37.5</v>
      </c>
      <c r="G201" s="190">
        <f>E201*F201</f>
        <v>363750</v>
      </c>
    </row>
    <row r="202" spans="1:7">
      <c r="B202" s="317"/>
      <c r="C202" s="135" t="s">
        <v>4916</v>
      </c>
      <c r="D202" s="319" t="s">
        <v>3478</v>
      </c>
      <c r="E202" s="190">
        <v>16850</v>
      </c>
      <c r="F202" s="214">
        <f>'BASIC DATA'!D98/1000</f>
        <v>37.4</v>
      </c>
      <c r="G202" s="190">
        <f t="shared" ref="G202:G219" si="3">E202*F202</f>
        <v>630190</v>
      </c>
    </row>
    <row r="203" spans="1:7">
      <c r="B203" s="105">
        <v>2</v>
      </c>
      <c r="C203" s="135" t="s">
        <v>4917</v>
      </c>
      <c r="D203" s="319"/>
      <c r="E203" s="190"/>
      <c r="F203" s="214"/>
      <c r="G203" s="190"/>
    </row>
    <row r="204" spans="1:7">
      <c r="B204" s="317"/>
      <c r="C204" s="135" t="s">
        <v>4918</v>
      </c>
      <c r="D204" s="319" t="s">
        <v>3478</v>
      </c>
      <c r="E204" s="190">
        <v>2100</v>
      </c>
      <c r="F204" s="214">
        <f>'BASIC DATA'!D167</f>
        <v>190</v>
      </c>
      <c r="G204" s="190">
        <f t="shared" si="3"/>
        <v>399000</v>
      </c>
    </row>
    <row r="205" spans="1:7" ht="36">
      <c r="B205" s="105">
        <v>3</v>
      </c>
      <c r="C205" s="91" t="s">
        <v>4954</v>
      </c>
      <c r="D205" s="319"/>
      <c r="E205" s="190"/>
      <c r="F205" s="214"/>
      <c r="G205" s="190"/>
    </row>
    <row r="206" spans="1:7">
      <c r="B206" s="317"/>
      <c r="C206" s="135" t="s">
        <v>4955</v>
      </c>
      <c r="D206" s="319" t="s">
        <v>3478</v>
      </c>
      <c r="E206" s="190">
        <v>350</v>
      </c>
      <c r="F206" s="214">
        <f>'BASIC DATA'!D163</f>
        <v>970</v>
      </c>
      <c r="G206" s="190">
        <f t="shared" si="3"/>
        <v>339500</v>
      </c>
    </row>
    <row r="207" spans="1:7">
      <c r="B207" s="105">
        <v>4</v>
      </c>
      <c r="C207" s="135" t="s">
        <v>4956</v>
      </c>
      <c r="D207" s="319"/>
      <c r="E207" s="190"/>
      <c r="F207" s="214"/>
      <c r="G207" s="190"/>
    </row>
    <row r="208" spans="1:7">
      <c r="B208" s="317"/>
      <c r="C208" s="135" t="s">
        <v>4957</v>
      </c>
      <c r="D208" s="319" t="s">
        <v>3478</v>
      </c>
      <c r="E208" s="190">
        <v>250</v>
      </c>
      <c r="F208" s="214">
        <f>'BASIC DATA'!D161</f>
        <v>140</v>
      </c>
      <c r="G208" s="190">
        <f t="shared" si="3"/>
        <v>35000</v>
      </c>
    </row>
    <row r="209" spans="2:7">
      <c r="B209" s="105">
        <v>5</v>
      </c>
      <c r="C209" s="135" t="s">
        <v>9425</v>
      </c>
      <c r="D209" s="319" t="s">
        <v>3478</v>
      </c>
      <c r="E209" s="190">
        <v>50</v>
      </c>
      <c r="F209" s="214">
        <f>'BASIC DATA'!D184</f>
        <v>178</v>
      </c>
      <c r="G209" s="190">
        <f t="shared" si="3"/>
        <v>8900</v>
      </c>
    </row>
    <row r="210" spans="2:7">
      <c r="B210" s="105">
        <v>6</v>
      </c>
      <c r="C210" s="135" t="s">
        <v>4959</v>
      </c>
      <c r="D210" s="319"/>
      <c r="E210" s="190"/>
      <c r="F210" s="214"/>
      <c r="G210" s="190"/>
    </row>
    <row r="211" spans="2:7">
      <c r="B211" s="317"/>
      <c r="C211" s="135" t="s">
        <v>4960</v>
      </c>
      <c r="D211" s="319" t="s">
        <v>3483</v>
      </c>
      <c r="E211" s="190">
        <v>12</v>
      </c>
      <c r="F211" s="214">
        <f>'BASIC DATA'!D174</f>
        <v>780</v>
      </c>
      <c r="G211" s="190">
        <f t="shared" si="3"/>
        <v>9360</v>
      </c>
    </row>
    <row r="212" spans="2:7">
      <c r="B212" s="317"/>
      <c r="C212" s="135" t="s">
        <v>4961</v>
      </c>
      <c r="D212" s="319" t="s">
        <v>3483</v>
      </c>
      <c r="E212" s="190">
        <v>14</v>
      </c>
      <c r="F212" s="214">
        <f>'BASIC DATA'!D177</f>
        <v>1600</v>
      </c>
      <c r="G212" s="190">
        <f t="shared" si="3"/>
        <v>22400</v>
      </c>
    </row>
    <row r="213" spans="2:7">
      <c r="B213" s="105">
        <v>7</v>
      </c>
      <c r="C213" s="135" t="s">
        <v>958</v>
      </c>
      <c r="D213" s="319" t="s">
        <v>3477</v>
      </c>
      <c r="E213" s="190">
        <v>228</v>
      </c>
      <c r="F213" s="214">
        <f>'BASIC DATA'!D87</f>
        <v>42</v>
      </c>
      <c r="G213" s="190">
        <f t="shared" si="3"/>
        <v>9576</v>
      </c>
    </row>
    <row r="214" spans="2:7">
      <c r="B214" s="105">
        <v>8</v>
      </c>
      <c r="C214" s="135" t="s">
        <v>6815</v>
      </c>
      <c r="D214" s="319" t="s">
        <v>3477</v>
      </c>
      <c r="E214" s="190">
        <v>76</v>
      </c>
      <c r="F214" s="214">
        <f>'BASIC DATA'!D28</f>
        <v>335</v>
      </c>
      <c r="G214" s="190">
        <f t="shared" si="3"/>
        <v>25460</v>
      </c>
    </row>
    <row r="215" spans="2:7">
      <c r="B215" s="105">
        <v>9</v>
      </c>
      <c r="C215" s="135" t="s">
        <v>5316</v>
      </c>
      <c r="D215" s="319" t="s">
        <v>2059</v>
      </c>
      <c r="E215" s="190">
        <v>1000</v>
      </c>
      <c r="F215" s="214">
        <f>'BASIC DATA'!$D$110</f>
        <v>13</v>
      </c>
      <c r="G215" s="190">
        <f t="shared" si="3"/>
        <v>13000</v>
      </c>
    </row>
    <row r="216" spans="2:7">
      <c r="B216" s="105">
        <v>10</v>
      </c>
      <c r="C216" s="135" t="s">
        <v>4655</v>
      </c>
      <c r="D216" s="319" t="s">
        <v>2059</v>
      </c>
      <c r="E216" s="190">
        <v>250</v>
      </c>
      <c r="F216" s="214">
        <f>'BASIC DATA'!$D$181</f>
        <v>15</v>
      </c>
      <c r="G216" s="190">
        <f t="shared" si="3"/>
        <v>3750</v>
      </c>
    </row>
    <row r="217" spans="2:7">
      <c r="B217" s="105">
        <v>11</v>
      </c>
      <c r="C217" s="135" t="s">
        <v>6556</v>
      </c>
      <c r="D217" s="319" t="s">
        <v>2374</v>
      </c>
      <c r="E217" s="190">
        <v>156</v>
      </c>
      <c r="F217" s="214">
        <f>G190</f>
        <v>7.8</v>
      </c>
      <c r="G217" s="190">
        <f t="shared" si="3"/>
        <v>1216.8</v>
      </c>
    </row>
    <row r="218" spans="2:7">
      <c r="B218" s="105">
        <v>12</v>
      </c>
      <c r="C218" s="135" t="s">
        <v>6557</v>
      </c>
      <c r="D218" s="319" t="s">
        <v>2374</v>
      </c>
      <c r="E218" s="190">
        <v>228</v>
      </c>
      <c r="F218" s="214">
        <f>G193</f>
        <v>24.166666666666668</v>
      </c>
      <c r="G218" s="190">
        <f t="shared" si="3"/>
        <v>5510</v>
      </c>
    </row>
    <row r="219" spans="2:7">
      <c r="B219" s="114">
        <v>13</v>
      </c>
      <c r="C219" s="135" t="s">
        <v>2373</v>
      </c>
      <c r="D219" s="319" t="s">
        <v>2173</v>
      </c>
      <c r="E219" s="190">
        <v>500</v>
      </c>
      <c r="F219" s="214">
        <f>'BASIC DATA'!D359</f>
        <v>30</v>
      </c>
      <c r="G219" s="190">
        <f t="shared" si="3"/>
        <v>15000</v>
      </c>
    </row>
    <row r="220" spans="2:7">
      <c r="B220" s="92"/>
      <c r="C220" s="193"/>
      <c r="D220" s="151" t="s">
        <v>2376</v>
      </c>
      <c r="E220" s="160"/>
      <c r="F220" s="236" t="s">
        <v>1698</v>
      </c>
      <c r="G220" s="318">
        <f>SUM(G201:G219)</f>
        <v>1881612.8</v>
      </c>
    </row>
    <row r="221" spans="2:7"/>
    <row r="222" spans="2:7">
      <c r="B222" s="79" t="s">
        <v>2377</v>
      </c>
    </row>
    <row r="223" spans="2:7">
      <c r="B223" s="95" t="s">
        <v>2369</v>
      </c>
      <c r="C223" s="157" t="s">
        <v>2378</v>
      </c>
      <c r="D223" s="95" t="s">
        <v>2370</v>
      </c>
      <c r="E223" s="95" t="s">
        <v>1166</v>
      </c>
      <c r="F223" s="95" t="s">
        <v>2371</v>
      </c>
      <c r="G223" s="95" t="s">
        <v>2372</v>
      </c>
    </row>
    <row r="224" spans="2:7">
      <c r="B224" s="114"/>
      <c r="C224" s="154"/>
      <c r="D224" s="114"/>
      <c r="E224" s="114"/>
      <c r="F224" s="114" t="s">
        <v>3485</v>
      </c>
      <c r="G224" s="114" t="s">
        <v>3485</v>
      </c>
    </row>
    <row r="225" spans="2:7">
      <c r="B225" s="95">
        <v>1</v>
      </c>
      <c r="C225" s="135" t="s">
        <v>6558</v>
      </c>
      <c r="D225" s="451" t="s">
        <v>2374</v>
      </c>
      <c r="E225" s="190">
        <v>156</v>
      </c>
      <c r="F225" s="190">
        <f>'HIRE CHARGES'!D556</f>
        <v>16</v>
      </c>
      <c r="G225" s="190">
        <f>E225*F225</f>
        <v>2496</v>
      </c>
    </row>
    <row r="226" spans="2:7">
      <c r="B226" s="317"/>
      <c r="C226" s="135" t="s">
        <v>2379</v>
      </c>
      <c r="D226" s="319" t="s">
        <v>2374</v>
      </c>
      <c r="E226" s="190">
        <v>156</v>
      </c>
      <c r="F226" s="190">
        <f>'HIRE CHARGES'!E556</f>
        <v>67.2</v>
      </c>
      <c r="G226" s="190">
        <f t="shared" ref="G226:G245" si="4">E226*F226</f>
        <v>10483.200000000001</v>
      </c>
    </row>
    <row r="227" spans="2:7">
      <c r="B227" s="105">
        <v>2</v>
      </c>
      <c r="C227" s="135" t="s">
        <v>6560</v>
      </c>
      <c r="D227" s="319" t="s">
        <v>2374</v>
      </c>
      <c r="E227" s="190">
        <v>29</v>
      </c>
      <c r="F227" s="190">
        <f>'HIRE CHARGES'!D536</f>
        <v>41.9</v>
      </c>
      <c r="G227" s="190">
        <f t="shared" si="4"/>
        <v>1215.0999999999999</v>
      </c>
    </row>
    <row r="228" spans="2:7">
      <c r="B228" s="317"/>
      <c r="C228" s="135" t="s">
        <v>2379</v>
      </c>
      <c r="D228" s="319" t="s">
        <v>2374</v>
      </c>
      <c r="E228" s="190">
        <v>29</v>
      </c>
      <c r="F228" s="190">
        <f>'HIRE CHARGES'!E536</f>
        <v>112.1</v>
      </c>
      <c r="G228" s="190">
        <f t="shared" si="4"/>
        <v>3250.8999999999996</v>
      </c>
    </row>
    <row r="229" spans="2:7">
      <c r="B229" s="105">
        <v>3</v>
      </c>
      <c r="C229" s="135" t="s">
        <v>6060</v>
      </c>
      <c r="D229" s="319" t="s">
        <v>2374</v>
      </c>
      <c r="E229" s="190">
        <v>114</v>
      </c>
      <c r="F229" s="190">
        <f>'HIRE CHARGES'!D539</f>
        <v>6.4</v>
      </c>
      <c r="G229" s="190">
        <f t="shared" si="4"/>
        <v>729.6</v>
      </c>
    </row>
    <row r="230" spans="2:7">
      <c r="B230" s="317"/>
      <c r="C230" s="135" t="s">
        <v>2379</v>
      </c>
      <c r="D230" s="319" t="s">
        <v>2374</v>
      </c>
      <c r="E230" s="190">
        <v>114</v>
      </c>
      <c r="F230" s="190">
        <f>'HIRE CHARGES'!E539</f>
        <v>2.8</v>
      </c>
      <c r="G230" s="190">
        <f t="shared" si="4"/>
        <v>319.2</v>
      </c>
    </row>
    <row r="231" spans="2:7">
      <c r="B231" s="105">
        <v>4</v>
      </c>
      <c r="C231" s="135" t="s">
        <v>6911</v>
      </c>
      <c r="D231" s="319" t="s">
        <v>2374</v>
      </c>
      <c r="E231" s="190">
        <v>116</v>
      </c>
      <c r="F231" s="190">
        <f>'HIRE CHARGES'!D503</f>
        <v>42.6</v>
      </c>
      <c r="G231" s="190">
        <f t="shared" si="4"/>
        <v>4941.6000000000004</v>
      </c>
    </row>
    <row r="232" spans="2:7">
      <c r="B232" s="317"/>
      <c r="C232" s="135" t="s">
        <v>2379</v>
      </c>
      <c r="D232" s="319" t="s">
        <v>2374</v>
      </c>
      <c r="E232" s="190">
        <v>116</v>
      </c>
      <c r="F232" s="190">
        <f>'HIRE CHARGES'!E503</f>
        <v>84.1</v>
      </c>
      <c r="G232" s="190">
        <f t="shared" si="4"/>
        <v>9755.5999999999985</v>
      </c>
    </row>
    <row r="233" spans="2:7">
      <c r="B233" s="105">
        <v>5</v>
      </c>
      <c r="C233" s="135" t="s">
        <v>5317</v>
      </c>
      <c r="D233" s="319" t="s">
        <v>2374</v>
      </c>
      <c r="E233" s="190">
        <v>29</v>
      </c>
      <c r="F233" s="190">
        <f>'HIRE CHARGES'!D547</f>
        <v>867.1</v>
      </c>
      <c r="G233" s="190">
        <f t="shared" si="4"/>
        <v>25145.9</v>
      </c>
    </row>
    <row r="234" spans="2:7">
      <c r="B234" s="317"/>
      <c r="C234" s="135" t="s">
        <v>2379</v>
      </c>
      <c r="D234" s="319" t="s">
        <v>2374</v>
      </c>
      <c r="E234" s="190">
        <v>29</v>
      </c>
      <c r="F234" s="190">
        <f>'HIRE CHARGES'!E547</f>
        <v>145.69999999999999</v>
      </c>
      <c r="G234" s="190">
        <f t="shared" si="4"/>
        <v>4225.2999999999993</v>
      </c>
    </row>
    <row r="235" spans="2:7">
      <c r="B235" s="105">
        <v>6</v>
      </c>
      <c r="C235" s="135" t="s">
        <v>6561</v>
      </c>
      <c r="D235" s="319" t="s">
        <v>2374</v>
      </c>
      <c r="E235" s="190">
        <v>58</v>
      </c>
      <c r="F235" s="190">
        <f>'HIRE CHARGES'!D550</f>
        <v>519.69999999999993</v>
      </c>
      <c r="G235" s="190">
        <f t="shared" si="4"/>
        <v>30142.599999999995</v>
      </c>
    </row>
    <row r="236" spans="2:7">
      <c r="B236" s="317"/>
      <c r="C236" s="135" t="s">
        <v>2379</v>
      </c>
      <c r="D236" s="319" t="s">
        <v>2374</v>
      </c>
      <c r="E236" s="190">
        <v>58</v>
      </c>
      <c r="F236" s="190">
        <f>'HIRE CHARGES'!E550</f>
        <v>299.89999999999998</v>
      </c>
      <c r="G236" s="190">
        <f t="shared" si="4"/>
        <v>17394.199999999997</v>
      </c>
    </row>
    <row r="237" spans="2:7">
      <c r="B237" s="105">
        <v>7</v>
      </c>
      <c r="C237" s="135" t="s">
        <v>866</v>
      </c>
      <c r="D237" s="319" t="s">
        <v>2374</v>
      </c>
      <c r="E237" s="190">
        <v>58</v>
      </c>
      <c r="F237" s="190">
        <f>'HIRE CHARGES'!D544</f>
        <v>86.1</v>
      </c>
      <c r="G237" s="190">
        <f t="shared" si="4"/>
        <v>4993.7999999999993</v>
      </c>
    </row>
    <row r="238" spans="2:7">
      <c r="B238" s="317"/>
      <c r="C238" s="135" t="s">
        <v>2379</v>
      </c>
      <c r="D238" s="319" t="s">
        <v>2374</v>
      </c>
      <c r="E238" s="190">
        <v>58</v>
      </c>
      <c r="F238" s="190">
        <f>'HIRE CHARGES'!E544</f>
        <v>0</v>
      </c>
      <c r="G238" s="190">
        <f t="shared" si="4"/>
        <v>0</v>
      </c>
    </row>
    <row r="239" spans="2:7">
      <c r="B239" s="105">
        <v>8</v>
      </c>
      <c r="C239" s="135" t="s">
        <v>6562</v>
      </c>
      <c r="D239" s="319" t="s">
        <v>2374</v>
      </c>
      <c r="E239" s="190">
        <v>58</v>
      </c>
      <c r="F239" s="190">
        <f>'HIRE CHARGES'!D551</f>
        <v>22.5</v>
      </c>
      <c r="G239" s="190">
        <f t="shared" si="4"/>
        <v>1305</v>
      </c>
    </row>
    <row r="240" spans="2:7">
      <c r="B240" s="317"/>
      <c r="C240" s="135" t="s">
        <v>2379</v>
      </c>
      <c r="D240" s="319" t="s">
        <v>2374</v>
      </c>
      <c r="E240" s="190">
        <v>58</v>
      </c>
      <c r="F240" s="190">
        <f>'HIRE CHARGES'!E551</f>
        <v>28</v>
      </c>
      <c r="G240" s="190">
        <f t="shared" si="4"/>
        <v>1624</v>
      </c>
    </row>
    <row r="241" spans="2:7">
      <c r="B241" s="105">
        <v>9</v>
      </c>
      <c r="C241" s="135" t="s">
        <v>5539</v>
      </c>
      <c r="D241" s="319" t="s">
        <v>2374</v>
      </c>
      <c r="E241" s="190">
        <v>58</v>
      </c>
      <c r="F241" s="190">
        <f>'HIRE CHARGES'!D551</f>
        <v>22.5</v>
      </c>
      <c r="G241" s="190">
        <f t="shared" si="4"/>
        <v>1305</v>
      </c>
    </row>
    <row r="242" spans="2:7">
      <c r="B242" s="317"/>
      <c r="C242" s="135" t="s">
        <v>2379</v>
      </c>
      <c r="D242" s="319" t="s">
        <v>2374</v>
      </c>
      <c r="E242" s="190">
        <v>58</v>
      </c>
      <c r="F242" s="190">
        <f>'HIRE CHARGES'!E551</f>
        <v>28</v>
      </c>
      <c r="G242" s="190">
        <f t="shared" si="4"/>
        <v>1624</v>
      </c>
    </row>
    <row r="243" spans="2:7">
      <c r="B243" s="317">
        <v>10</v>
      </c>
      <c r="C243" s="135" t="s">
        <v>9426</v>
      </c>
      <c r="D243" s="319" t="s">
        <v>2374</v>
      </c>
      <c r="E243" s="190">
        <v>100</v>
      </c>
      <c r="F243" s="190">
        <f>'HIRE CHARGES'!D559</f>
        <v>3096.8</v>
      </c>
      <c r="G243" s="190">
        <f t="shared" si="4"/>
        <v>309680</v>
      </c>
    </row>
    <row r="244" spans="2:7">
      <c r="B244" s="317"/>
      <c r="C244" s="135" t="s">
        <v>2379</v>
      </c>
      <c r="D244" s="319" t="s">
        <v>2374</v>
      </c>
      <c r="E244" s="190">
        <v>100</v>
      </c>
      <c r="F244" s="190">
        <f>'HIRE CHARGES'!E559</f>
        <v>118.8</v>
      </c>
      <c r="G244" s="190">
        <f t="shared" si="4"/>
        <v>11880</v>
      </c>
    </row>
    <row r="245" spans="2:7">
      <c r="B245" s="114">
        <v>11</v>
      </c>
      <c r="C245" s="135" t="s">
        <v>2373</v>
      </c>
      <c r="D245" s="319" t="s">
        <v>2173</v>
      </c>
      <c r="E245" s="190">
        <v>500</v>
      </c>
      <c r="F245" s="214">
        <f>'BASIC DATA'!D359</f>
        <v>30</v>
      </c>
      <c r="G245" s="190">
        <f t="shared" si="4"/>
        <v>15000</v>
      </c>
    </row>
    <row r="246" spans="2:7">
      <c r="B246" s="176"/>
      <c r="C246" s="193" t="s">
        <v>2380</v>
      </c>
      <c r="D246" s="193"/>
      <c r="E246" s="208"/>
      <c r="F246" s="236" t="s">
        <v>1698</v>
      </c>
      <c r="G246" s="318">
        <f>SUM(G225:G245)</f>
        <v>457511</v>
      </c>
    </row>
    <row r="247" spans="2:7"/>
    <row r="248" spans="2:7">
      <c r="B248" s="79" t="s">
        <v>2381</v>
      </c>
    </row>
    <row r="249" spans="2:7">
      <c r="B249" s="95" t="s">
        <v>2369</v>
      </c>
      <c r="C249" s="157" t="s">
        <v>2378</v>
      </c>
      <c r="D249" s="95" t="s">
        <v>2370</v>
      </c>
      <c r="E249" s="95" t="s">
        <v>1166</v>
      </c>
      <c r="F249" s="95" t="s">
        <v>2371</v>
      </c>
      <c r="G249" s="95" t="s">
        <v>2372</v>
      </c>
    </row>
    <row r="250" spans="2:7">
      <c r="B250" s="114"/>
      <c r="C250" s="154"/>
      <c r="D250" s="114"/>
      <c r="E250" s="114"/>
      <c r="F250" s="114" t="s">
        <v>3485</v>
      </c>
      <c r="G250" s="114" t="s">
        <v>3485</v>
      </c>
    </row>
    <row r="251" spans="2:7">
      <c r="B251" s="105">
        <v>1</v>
      </c>
      <c r="C251" s="76" t="s">
        <v>9427</v>
      </c>
      <c r="D251" s="319" t="s">
        <v>2374</v>
      </c>
      <c r="E251" s="207">
        <v>100</v>
      </c>
      <c r="F251" s="190">
        <f>'HIRE CHARGES'!F559</f>
        <v>526.70000000000005</v>
      </c>
      <c r="G251" s="190">
        <f>E251*F251</f>
        <v>52670.000000000007</v>
      </c>
    </row>
    <row r="252" spans="2:7">
      <c r="B252" s="105">
        <v>2</v>
      </c>
      <c r="C252" s="76" t="s">
        <v>5541</v>
      </c>
      <c r="D252" s="319" t="s">
        <v>2374</v>
      </c>
      <c r="E252" s="207">
        <v>29</v>
      </c>
      <c r="F252" s="190">
        <f>'HIRE CHARGES'!F547</f>
        <v>189.3</v>
      </c>
      <c r="G252" s="190">
        <f t="shared" ref="G252:G263" si="5">E252*F252</f>
        <v>5489.7000000000007</v>
      </c>
    </row>
    <row r="253" spans="2:7">
      <c r="B253" s="105">
        <v>3</v>
      </c>
      <c r="C253" s="76" t="s">
        <v>5318</v>
      </c>
      <c r="D253" s="319" t="s">
        <v>2374</v>
      </c>
      <c r="E253" s="207">
        <v>116</v>
      </c>
      <c r="F253" s="190">
        <f>'HIRE CHARGES'!F503</f>
        <v>131.80000000000001</v>
      </c>
      <c r="G253" s="190">
        <f t="shared" si="5"/>
        <v>15288.800000000001</v>
      </c>
    </row>
    <row r="254" spans="2:7">
      <c r="B254" s="105">
        <v>4</v>
      </c>
      <c r="C254" s="76" t="s">
        <v>5545</v>
      </c>
      <c r="D254" s="319" t="s">
        <v>2374</v>
      </c>
      <c r="E254" s="207">
        <v>58</v>
      </c>
      <c r="F254" s="190">
        <f>'HIRE CHARGES'!F551</f>
        <v>198.9</v>
      </c>
      <c r="G254" s="190">
        <f t="shared" si="5"/>
        <v>11536.2</v>
      </c>
    </row>
    <row r="255" spans="2:7">
      <c r="B255" s="105">
        <v>5</v>
      </c>
      <c r="C255" s="76" t="s">
        <v>5546</v>
      </c>
      <c r="D255" s="319" t="s">
        <v>2374</v>
      </c>
      <c r="E255" s="207">
        <v>58</v>
      </c>
      <c r="F255" s="190">
        <f>'HIRE CHARGES'!F551</f>
        <v>198.9</v>
      </c>
      <c r="G255" s="190">
        <f t="shared" si="5"/>
        <v>11536.2</v>
      </c>
    </row>
    <row r="256" spans="2:7">
      <c r="B256" s="105">
        <v>6</v>
      </c>
      <c r="C256" s="76" t="s">
        <v>2468</v>
      </c>
      <c r="D256" s="319" t="s">
        <v>1172</v>
      </c>
      <c r="E256" s="207">
        <v>29</v>
      </c>
      <c r="F256" s="190">
        <f>'BASIC DATA'!C471</f>
        <v>510</v>
      </c>
      <c r="G256" s="190">
        <f t="shared" si="5"/>
        <v>14790</v>
      </c>
    </row>
    <row r="257" spans="2:7">
      <c r="B257" s="105">
        <v>7</v>
      </c>
      <c r="C257" s="76" t="s">
        <v>5547</v>
      </c>
      <c r="D257" s="319" t="s">
        <v>1172</v>
      </c>
      <c r="E257" s="207">
        <v>145</v>
      </c>
      <c r="F257" s="190">
        <f>'BASIC DATA'!C503</f>
        <v>550</v>
      </c>
      <c r="G257" s="190">
        <f t="shared" si="5"/>
        <v>79750</v>
      </c>
    </row>
    <row r="258" spans="2:7">
      <c r="B258" s="105">
        <v>8</v>
      </c>
      <c r="C258" s="76" t="s">
        <v>3010</v>
      </c>
      <c r="D258" s="319" t="s">
        <v>1172</v>
      </c>
      <c r="E258" s="207">
        <v>29</v>
      </c>
      <c r="F258" s="190">
        <f>'BASIC DATA'!C504</f>
        <v>445</v>
      </c>
      <c r="G258" s="190">
        <f t="shared" si="5"/>
        <v>12905</v>
      </c>
    </row>
    <row r="259" spans="2:7">
      <c r="B259" s="105">
        <v>9</v>
      </c>
      <c r="C259" s="76" t="s">
        <v>3013</v>
      </c>
      <c r="D259" s="319" t="s">
        <v>1172</v>
      </c>
      <c r="E259" s="207">
        <v>17</v>
      </c>
      <c r="F259" s="190">
        <f>'BASIC DATA'!C504</f>
        <v>445</v>
      </c>
      <c r="G259" s="190">
        <f t="shared" si="5"/>
        <v>7565</v>
      </c>
    </row>
    <row r="260" spans="2:7">
      <c r="B260" s="105">
        <v>10</v>
      </c>
      <c r="C260" s="76" t="s">
        <v>5548</v>
      </c>
      <c r="D260" s="319" t="s">
        <v>1172</v>
      </c>
      <c r="E260" s="207">
        <v>5</v>
      </c>
      <c r="F260" s="190">
        <f>'BASIC DATA'!C505</f>
        <v>510</v>
      </c>
      <c r="G260" s="190">
        <f t="shared" si="5"/>
        <v>2550</v>
      </c>
    </row>
    <row r="261" spans="2:7">
      <c r="B261" s="105">
        <v>11</v>
      </c>
      <c r="C261" s="76" t="s">
        <v>3012</v>
      </c>
      <c r="D261" s="319" t="s">
        <v>1172</v>
      </c>
      <c r="E261" s="207">
        <v>493</v>
      </c>
      <c r="F261" s="190">
        <f>'BASIC DATA'!C500</f>
        <v>445</v>
      </c>
      <c r="G261" s="190">
        <f t="shared" si="5"/>
        <v>219385</v>
      </c>
    </row>
    <row r="262" spans="2:7">
      <c r="B262" s="105">
        <v>12</v>
      </c>
      <c r="C262" s="76" t="s">
        <v>3011</v>
      </c>
      <c r="D262" s="319" t="s">
        <v>1172</v>
      </c>
      <c r="E262" s="207">
        <v>667</v>
      </c>
      <c r="F262" s="190">
        <f>'BASIC DATA'!C529</f>
        <v>400</v>
      </c>
      <c r="G262" s="190">
        <f t="shared" si="5"/>
        <v>266800</v>
      </c>
    </row>
    <row r="263" spans="2:7">
      <c r="B263" s="105">
        <v>13</v>
      </c>
      <c r="C263" s="76" t="s">
        <v>5604</v>
      </c>
      <c r="D263" s="319" t="s">
        <v>1172</v>
      </c>
      <c r="E263" s="207">
        <v>15</v>
      </c>
      <c r="F263" s="190">
        <f>'BASIC DATA'!C468</f>
        <v>515</v>
      </c>
      <c r="G263" s="190">
        <f t="shared" si="5"/>
        <v>7725</v>
      </c>
    </row>
    <row r="264" spans="2:7">
      <c r="B264" s="92"/>
      <c r="C264" s="193"/>
      <c r="D264" s="151" t="s">
        <v>1174</v>
      </c>
      <c r="E264" s="160"/>
      <c r="F264" s="236" t="s">
        <v>1698</v>
      </c>
      <c r="G264" s="318">
        <f>SUM(G251:G263)</f>
        <v>707990.9</v>
      </c>
    </row>
    <row r="265" spans="2:7">
      <c r="B265" s="76" t="s">
        <v>9422</v>
      </c>
      <c r="C265" s="200"/>
      <c r="D265" s="76"/>
      <c r="E265" s="76"/>
      <c r="F265" s="200"/>
      <c r="G265" s="766">
        <f>G264*30%</f>
        <v>212397.27</v>
      </c>
    </row>
    <row r="266" spans="2:7">
      <c r="B266" s="76"/>
      <c r="C266" s="200" t="s">
        <v>7956</v>
      </c>
      <c r="D266" s="76"/>
      <c r="E266" s="76"/>
      <c r="F266" s="200"/>
      <c r="G266" s="766">
        <f>SUM(G265+G264)</f>
        <v>920388.17</v>
      </c>
    </row>
    <row r="267" spans="2:7">
      <c r="B267" s="76"/>
      <c r="C267" s="200"/>
      <c r="D267" s="76"/>
      <c r="E267" s="76"/>
      <c r="F267" s="200"/>
      <c r="G267" s="766"/>
    </row>
    <row r="268" spans="2:7">
      <c r="B268" s="60" t="s">
        <v>5948</v>
      </c>
      <c r="C268" s="31"/>
      <c r="D268" s="31"/>
      <c r="E268" s="85">
        <f>ROUND(G266/F196,1)</f>
        <v>31737.5</v>
      </c>
    </row>
    <row r="269" spans="2:7">
      <c r="B269" s="60" t="s">
        <v>3163</v>
      </c>
      <c r="C269" s="31"/>
      <c r="D269" s="922">
        <f>'BASIC DATA'!$C$577</f>
        <v>0.13614999999999999</v>
      </c>
      <c r="E269" s="85">
        <f>ROUND(E268*D269,1)</f>
        <v>4321.1000000000004</v>
      </c>
    </row>
    <row r="270" spans="2:7">
      <c r="B270" s="60" t="s">
        <v>5949</v>
      </c>
      <c r="C270" s="31"/>
      <c r="D270" s="31"/>
      <c r="E270" s="199">
        <f>E269+E268</f>
        <v>36058.6</v>
      </c>
    </row>
    <row r="271" spans="2:7">
      <c r="B271" s="26"/>
    </row>
    <row r="272" spans="2:7">
      <c r="B272" s="170" t="s">
        <v>1175</v>
      </c>
    </row>
    <row r="273" spans="2:34">
      <c r="B273" s="26" t="s">
        <v>1176</v>
      </c>
      <c r="F273" s="171" t="s">
        <v>1698</v>
      </c>
      <c r="G273" s="68">
        <f>G220</f>
        <v>1881612.8</v>
      </c>
    </row>
    <row r="274" spans="2:34">
      <c r="B274" s="26" t="s">
        <v>1186</v>
      </c>
      <c r="F274" s="171" t="s">
        <v>1698</v>
      </c>
      <c r="G274" s="68">
        <f>G246</f>
        <v>457511</v>
      </c>
    </row>
    <row r="275" spans="2:34">
      <c r="B275" s="26" t="s">
        <v>2660</v>
      </c>
      <c r="F275" s="171" t="s">
        <v>1698</v>
      </c>
      <c r="G275" s="75">
        <f>G266</f>
        <v>920388.17</v>
      </c>
    </row>
    <row r="276" spans="2:34">
      <c r="B276" s="26"/>
      <c r="E276" s="171" t="s">
        <v>5551</v>
      </c>
      <c r="F276" s="171" t="s">
        <v>1698</v>
      </c>
      <c r="G276" s="205">
        <f>SUM(G273:G275)</f>
        <v>3259511.9699999997</v>
      </c>
    </row>
    <row r="277" spans="2:34">
      <c r="B277" s="26" t="s">
        <v>5087</v>
      </c>
      <c r="E277" s="693">
        <f>'BASIC DATA'!C593</f>
        <v>0</v>
      </c>
      <c r="F277" s="171" t="s">
        <v>1698</v>
      </c>
      <c r="G277" s="68">
        <f>(G275+G274)*E277*0.75</f>
        <v>0</v>
      </c>
    </row>
    <row r="278" spans="2:34">
      <c r="B278" s="26" t="s">
        <v>5084</v>
      </c>
      <c r="E278" s="171" t="s">
        <v>1518</v>
      </c>
      <c r="F278" s="171" t="s">
        <v>1698</v>
      </c>
      <c r="G278" s="205">
        <f>G277+G276</f>
        <v>3259511.9699999997</v>
      </c>
    </row>
    <row r="279" spans="2:34">
      <c r="B279" s="26" t="s">
        <v>5086</v>
      </c>
      <c r="E279" s="201">
        <f>'BASIC DATA'!C594</f>
        <v>0.03</v>
      </c>
      <c r="F279" s="171" t="s">
        <v>1698</v>
      </c>
      <c r="G279" s="75">
        <f>G278*E279</f>
        <v>97785.359099999987</v>
      </c>
    </row>
    <row r="280" spans="2:34">
      <c r="B280" s="26"/>
      <c r="E280" s="26" t="s">
        <v>2392</v>
      </c>
      <c r="F280" s="171" t="s">
        <v>1698</v>
      </c>
      <c r="G280" s="75">
        <f>G279+G278</f>
        <v>3357297.3290999997</v>
      </c>
    </row>
    <row r="281" spans="2:34" ht="43.5" customHeight="1">
      <c r="B281" s="1207" t="s">
        <v>4717</v>
      </c>
      <c r="C281" s="1207"/>
      <c r="D281" s="922">
        <f>'BASIC DATA'!$C$577</f>
        <v>0.13614999999999999</v>
      </c>
      <c r="F281" s="171" t="s">
        <v>1698</v>
      </c>
      <c r="G281" s="75">
        <f>G280*D281</f>
        <v>457096.03135696496</v>
      </c>
      <c r="I281" s="68"/>
    </row>
    <row r="282" spans="2:34">
      <c r="B282" s="26" t="s">
        <v>898</v>
      </c>
    </row>
    <row r="283" spans="2:34">
      <c r="B283" s="47" t="s">
        <v>897</v>
      </c>
      <c r="D283" s="48"/>
      <c r="E283" s="68">
        <f>leadcharges!F65</f>
        <v>19</v>
      </c>
      <c r="F283" s="27" t="s">
        <v>1279</v>
      </c>
      <c r="G283" s="76">
        <f>2*ROUND(E283*F196,3)</f>
        <v>1102</v>
      </c>
      <c r="AH283" s="68"/>
    </row>
    <row r="284" spans="2:34">
      <c r="B284" s="47" t="s">
        <v>896</v>
      </c>
      <c r="D284" s="48"/>
      <c r="E284" s="68">
        <f>leadcharges!$G$79</f>
        <v>74.8</v>
      </c>
      <c r="F284" s="27" t="s">
        <v>1279</v>
      </c>
      <c r="G284" s="76">
        <f>2*ROUND(E284*F196,3)</f>
        <v>4338.3999999999996</v>
      </c>
    </row>
    <row r="285" spans="2:34">
      <c r="B285" s="26" t="s">
        <v>5078</v>
      </c>
      <c r="D285" s="278">
        <f>F196</f>
        <v>29</v>
      </c>
      <c r="E285" s="26" t="s">
        <v>3480</v>
      </c>
      <c r="F285" s="171" t="s">
        <v>1698</v>
      </c>
      <c r="G285" s="205">
        <f>SUM(G280:G284)</f>
        <v>3819833.7604569648</v>
      </c>
    </row>
    <row r="286" spans="2:34">
      <c r="D286" s="170" t="s">
        <v>1584</v>
      </c>
      <c r="E286" s="170" t="s">
        <v>6900</v>
      </c>
      <c r="F286" s="171" t="s">
        <v>4108</v>
      </c>
      <c r="G286" s="211">
        <f>ROUND(G285/D285,1)</f>
        <v>131718.39999999999</v>
      </c>
    </row>
    <row r="287" spans="2:34">
      <c r="F287" s="171"/>
      <c r="G287" s="68"/>
      <c r="AG287" s="26">
        <f>AG286*1.04</f>
        <v>0</v>
      </c>
    </row>
    <row r="288" spans="2:34">
      <c r="B288" s="26"/>
      <c r="C288" s="78"/>
    </row>
    <row r="289" spans="1:8">
      <c r="A289" s="822" t="s">
        <v>7163</v>
      </c>
      <c r="B289" s="170" t="s">
        <v>689</v>
      </c>
      <c r="E289" s="78"/>
      <c r="G289" s="171"/>
      <c r="H289" s="27"/>
    </row>
    <row r="290" spans="1:8">
      <c r="B290" s="26"/>
    </row>
    <row r="291" spans="1:8" ht="18.75">
      <c r="B291" s="26" t="s">
        <v>9030</v>
      </c>
    </row>
    <row r="292" spans="1:8">
      <c r="A292" s="822"/>
      <c r="B292" s="26" t="s">
        <v>9031</v>
      </c>
    </row>
    <row r="293" spans="1:8">
      <c r="A293" s="822"/>
      <c r="B293" s="26" t="s">
        <v>5319</v>
      </c>
    </row>
    <row r="294" spans="1:8" ht="18.75">
      <c r="A294" s="822"/>
      <c r="B294" s="26" t="s">
        <v>9032</v>
      </c>
    </row>
    <row r="295" spans="1:8">
      <c r="A295" s="822"/>
      <c r="B295" s="26" t="s">
        <v>2201</v>
      </c>
    </row>
    <row r="296" spans="1:8">
      <c r="A296" s="822"/>
      <c r="B296" s="26" t="s">
        <v>2202</v>
      </c>
      <c r="F296" s="322"/>
    </row>
    <row r="297" spans="1:8">
      <c r="A297" s="822"/>
      <c r="B297" s="26" t="s">
        <v>538</v>
      </c>
      <c r="F297" s="322"/>
    </row>
    <row r="298" spans="1:8">
      <c r="A298" s="822"/>
      <c r="B298" s="26" t="s">
        <v>528</v>
      </c>
      <c r="F298" s="322"/>
    </row>
    <row r="299" spans="1:8">
      <c r="A299" s="822"/>
      <c r="F299" s="322"/>
    </row>
    <row r="300" spans="1:8" hidden="1">
      <c r="A300" s="865" t="s">
        <v>3984</v>
      </c>
      <c r="B300" s="26" t="s">
        <v>2586</v>
      </c>
      <c r="E300" s="322"/>
    </row>
    <row r="301" spans="1:8" hidden="1">
      <c r="A301" s="822"/>
      <c r="B301" s="26" t="s">
        <v>1081</v>
      </c>
    </row>
    <row r="302" spans="1:8" hidden="1">
      <c r="A302" s="822"/>
      <c r="B302" s="26" t="s">
        <v>1058</v>
      </c>
    </row>
    <row r="303" spans="1:8" hidden="1">
      <c r="A303" s="822"/>
      <c r="B303" s="26" t="s">
        <v>1213</v>
      </c>
    </row>
    <row r="304" spans="1:8" hidden="1">
      <c r="A304" s="822"/>
      <c r="B304" s="26" t="s">
        <v>2152</v>
      </c>
    </row>
    <row r="305" spans="1:7" hidden="1">
      <c r="A305" s="822"/>
      <c r="B305" s="26" t="s">
        <v>4637</v>
      </c>
    </row>
    <row r="306" spans="1:7" hidden="1">
      <c r="A306" s="822"/>
      <c r="B306" s="26" t="s">
        <v>2620</v>
      </c>
    </row>
    <row r="307" spans="1:7" hidden="1">
      <c r="A307" s="822"/>
      <c r="B307" s="26"/>
    </row>
    <row r="308" spans="1:7" hidden="1">
      <c r="A308" s="822"/>
      <c r="B308" s="26" t="s">
        <v>2083</v>
      </c>
    </row>
    <row r="309" spans="1:7" hidden="1">
      <c r="A309" s="822"/>
      <c r="B309" s="26"/>
    </row>
    <row r="310" spans="1:7" hidden="1">
      <c r="A310" s="822"/>
      <c r="B310" s="26" t="s">
        <v>2084</v>
      </c>
      <c r="E310" s="315" t="s">
        <v>1697</v>
      </c>
      <c r="F310" s="26">
        <v>86.504000000000005</v>
      </c>
    </row>
    <row r="311" spans="1:7" hidden="1">
      <c r="A311" s="822"/>
      <c r="B311" s="26"/>
      <c r="E311" s="338" t="s">
        <v>1123</v>
      </c>
      <c r="F311" s="68">
        <v>90</v>
      </c>
      <c r="G311" s="26" t="s">
        <v>45</v>
      </c>
    </row>
    <row r="312" spans="1:7" hidden="1">
      <c r="A312" s="822"/>
      <c r="B312" s="26" t="s">
        <v>1703</v>
      </c>
    </row>
    <row r="313" spans="1:7" hidden="1">
      <c r="A313" s="822"/>
      <c r="B313" s="26" t="s">
        <v>5964</v>
      </c>
      <c r="E313" s="315" t="s">
        <v>1697</v>
      </c>
      <c r="F313" s="26">
        <v>15.75</v>
      </c>
      <c r="G313" s="26" t="s">
        <v>45</v>
      </c>
    </row>
    <row r="314" spans="1:7" hidden="1">
      <c r="A314" s="822"/>
      <c r="B314" s="26" t="s">
        <v>5965</v>
      </c>
      <c r="E314" s="315" t="s">
        <v>1697</v>
      </c>
      <c r="F314" s="26">
        <v>15.44</v>
      </c>
      <c r="G314" s="26" t="s">
        <v>45</v>
      </c>
    </row>
    <row r="315" spans="1:7" hidden="1">
      <c r="A315" s="822"/>
      <c r="B315" s="26" t="s">
        <v>240</v>
      </c>
    </row>
    <row r="316" spans="1:7" hidden="1">
      <c r="A316" s="865">
        <v>1</v>
      </c>
      <c r="B316" s="26" t="s">
        <v>8014</v>
      </c>
    </row>
    <row r="317" spans="1:7" hidden="1">
      <c r="A317" s="870" t="s">
        <v>1535</v>
      </c>
      <c r="B317" s="26" t="s">
        <v>241</v>
      </c>
    </row>
    <row r="318" spans="1:7" hidden="1">
      <c r="B318" s="26" t="s">
        <v>5966</v>
      </c>
      <c r="E318" s="315" t="s">
        <v>1697</v>
      </c>
      <c r="F318" s="68">
        <v>2571</v>
      </c>
      <c r="G318" s="26" t="s">
        <v>3478</v>
      </c>
    </row>
    <row r="319" spans="1:7" hidden="1">
      <c r="B319" s="26" t="s">
        <v>5967</v>
      </c>
      <c r="E319" s="315" t="s">
        <v>1697</v>
      </c>
      <c r="F319" s="68">
        <v>3632</v>
      </c>
      <c r="G319" s="26" t="s">
        <v>3478</v>
      </c>
    </row>
    <row r="320" spans="1:7" hidden="1">
      <c r="A320" s="870" t="s">
        <v>5400</v>
      </c>
      <c r="B320" s="26" t="s">
        <v>5165</v>
      </c>
      <c r="F320" s="68"/>
    </row>
    <row r="321" spans="1:7" hidden="1">
      <c r="A321" s="870"/>
      <c r="B321" s="26" t="s">
        <v>5968</v>
      </c>
      <c r="E321" s="315" t="s">
        <v>1697</v>
      </c>
      <c r="F321" s="68">
        <v>3680</v>
      </c>
      <c r="G321" s="26" t="s">
        <v>3478</v>
      </c>
    </row>
    <row r="322" spans="1:7" hidden="1">
      <c r="A322" s="870"/>
      <c r="B322" s="26" t="s">
        <v>5969</v>
      </c>
      <c r="E322" s="315" t="s">
        <v>1697</v>
      </c>
      <c r="F322" s="68">
        <v>218</v>
      </c>
      <c r="G322" s="26" t="s">
        <v>3478</v>
      </c>
    </row>
    <row r="323" spans="1:7" hidden="1">
      <c r="A323" s="870"/>
      <c r="B323" s="26" t="s">
        <v>5970</v>
      </c>
      <c r="E323" s="315" t="s">
        <v>1697</v>
      </c>
      <c r="F323" s="68">
        <v>1080</v>
      </c>
      <c r="G323" s="26" t="s">
        <v>3478</v>
      </c>
    </row>
    <row r="324" spans="1:7" hidden="1">
      <c r="A324" s="870"/>
      <c r="B324" s="26" t="s">
        <v>5971</v>
      </c>
      <c r="E324" s="315" t="s">
        <v>1697</v>
      </c>
      <c r="F324" s="68">
        <v>322</v>
      </c>
      <c r="G324" s="26" t="s">
        <v>3478</v>
      </c>
    </row>
    <row r="325" spans="1:7" hidden="1">
      <c r="A325" s="870" t="s">
        <v>5401</v>
      </c>
      <c r="B325" s="26" t="s">
        <v>5162</v>
      </c>
      <c r="F325" s="68"/>
    </row>
    <row r="326" spans="1:7" hidden="1">
      <c r="A326" s="870"/>
      <c r="B326" s="26" t="s">
        <v>5972</v>
      </c>
      <c r="E326" s="315" t="s">
        <v>1697</v>
      </c>
      <c r="F326" s="68">
        <v>557</v>
      </c>
      <c r="G326" s="26" t="s">
        <v>3478</v>
      </c>
    </row>
    <row r="327" spans="1:7" hidden="1">
      <c r="A327" s="870"/>
      <c r="B327" s="26" t="s">
        <v>6394</v>
      </c>
      <c r="E327" s="315" t="s">
        <v>1697</v>
      </c>
      <c r="F327" s="68">
        <v>546</v>
      </c>
      <c r="G327" s="26" t="s">
        <v>3478</v>
      </c>
    </row>
    <row r="328" spans="1:7" hidden="1">
      <c r="A328" s="870" t="s">
        <v>1696</v>
      </c>
      <c r="B328" s="26" t="s">
        <v>6988</v>
      </c>
      <c r="F328" s="68"/>
    </row>
    <row r="329" spans="1:7" hidden="1">
      <c r="A329" s="870"/>
      <c r="B329" s="26" t="s">
        <v>6989</v>
      </c>
      <c r="E329" s="315" t="s">
        <v>1697</v>
      </c>
      <c r="F329" s="68">
        <v>144</v>
      </c>
      <c r="G329" s="26" t="s">
        <v>3478</v>
      </c>
    </row>
    <row r="330" spans="1:7" hidden="1">
      <c r="A330" s="870" t="s">
        <v>5082</v>
      </c>
      <c r="B330" s="26" t="s">
        <v>5128</v>
      </c>
      <c r="F330" s="68"/>
    </row>
    <row r="331" spans="1:7" hidden="1">
      <c r="A331" s="870"/>
      <c r="B331" s="26" t="s">
        <v>3606</v>
      </c>
      <c r="E331" s="315" t="s">
        <v>1697</v>
      </c>
      <c r="F331" s="68">
        <v>85</v>
      </c>
      <c r="G331" s="26" t="s">
        <v>3478</v>
      </c>
    </row>
    <row r="332" spans="1:7" hidden="1">
      <c r="A332" s="870" t="s">
        <v>2408</v>
      </c>
      <c r="B332" s="26" t="s">
        <v>3607</v>
      </c>
      <c r="F332" s="68"/>
    </row>
    <row r="333" spans="1:7" hidden="1">
      <c r="A333" s="870"/>
      <c r="B333" s="26" t="s">
        <v>1704</v>
      </c>
      <c r="E333" s="315" t="s">
        <v>1697</v>
      </c>
      <c r="F333" s="68">
        <v>448</v>
      </c>
      <c r="G333" s="26" t="s">
        <v>3478</v>
      </c>
    </row>
    <row r="334" spans="1:7" hidden="1">
      <c r="A334" s="870" t="s">
        <v>2410</v>
      </c>
      <c r="B334" s="26" t="s">
        <v>1705</v>
      </c>
    </row>
    <row r="335" spans="1:7" hidden="1">
      <c r="A335" s="870"/>
      <c r="B335" s="26" t="s">
        <v>1706</v>
      </c>
      <c r="E335" s="315" t="s">
        <v>1697</v>
      </c>
      <c r="F335" s="26">
        <v>1</v>
      </c>
      <c r="G335" s="26" t="s">
        <v>4089</v>
      </c>
    </row>
    <row r="336" spans="1:7" hidden="1">
      <c r="A336" s="870"/>
      <c r="B336" s="26" t="s">
        <v>1707</v>
      </c>
      <c r="E336" s="315" t="s">
        <v>1697</v>
      </c>
      <c r="F336" s="26">
        <v>1</v>
      </c>
      <c r="G336" s="26" t="s">
        <v>4089</v>
      </c>
    </row>
    <row r="337" spans="1:7" hidden="1">
      <c r="A337" s="870"/>
      <c r="B337" s="26" t="s">
        <v>1708</v>
      </c>
      <c r="E337" s="315" t="s">
        <v>1697</v>
      </c>
      <c r="F337" s="26">
        <v>1</v>
      </c>
      <c r="G337" s="26" t="s">
        <v>4089</v>
      </c>
    </row>
    <row r="338" spans="1:7" hidden="1">
      <c r="A338" s="870"/>
      <c r="B338" s="26" t="s">
        <v>6185</v>
      </c>
      <c r="E338" s="315" t="s">
        <v>1697</v>
      </c>
      <c r="F338" s="26">
        <v>1</v>
      </c>
      <c r="G338" s="26" t="s">
        <v>4089</v>
      </c>
    </row>
    <row r="339" spans="1:7" hidden="1">
      <c r="A339" s="870"/>
      <c r="B339" s="26" t="s">
        <v>6186</v>
      </c>
      <c r="E339" s="315" t="s">
        <v>1697</v>
      </c>
      <c r="F339" s="26">
        <v>1</v>
      </c>
      <c r="G339" s="26" t="s">
        <v>4089</v>
      </c>
    </row>
    <row r="340" spans="1:7" hidden="1">
      <c r="A340" s="870"/>
      <c r="B340" s="26" t="s">
        <v>6187</v>
      </c>
      <c r="E340" s="315" t="s">
        <v>1697</v>
      </c>
      <c r="F340" s="26">
        <v>2</v>
      </c>
      <c r="G340" s="26" t="s">
        <v>2059</v>
      </c>
    </row>
    <row r="341" spans="1:7" hidden="1">
      <c r="A341" s="870"/>
      <c r="B341" s="26" t="s">
        <v>6188</v>
      </c>
      <c r="E341" s="315" t="s">
        <v>1697</v>
      </c>
      <c r="F341" s="26">
        <v>1000</v>
      </c>
      <c r="G341" s="26" t="s">
        <v>3478</v>
      </c>
    </row>
    <row r="342" spans="1:7" hidden="1">
      <c r="A342" s="870"/>
      <c r="B342" s="26" t="s">
        <v>6400</v>
      </c>
      <c r="E342" s="315" t="s">
        <v>1697</v>
      </c>
      <c r="F342" s="26">
        <v>1</v>
      </c>
      <c r="G342" s="26" t="s">
        <v>6927</v>
      </c>
    </row>
    <row r="343" spans="1:7" hidden="1">
      <c r="A343" s="870" t="s">
        <v>6401</v>
      </c>
      <c r="B343" s="26" t="s">
        <v>1195</v>
      </c>
    </row>
    <row r="344" spans="1:7" hidden="1">
      <c r="A344" s="870"/>
      <c r="B344" s="26" t="s">
        <v>517</v>
      </c>
      <c r="E344" s="315" t="s">
        <v>1697</v>
      </c>
      <c r="F344" s="26">
        <v>530</v>
      </c>
      <c r="G344" s="26" t="s">
        <v>2059</v>
      </c>
    </row>
    <row r="345" spans="1:7" hidden="1">
      <c r="B345" s="26" t="s">
        <v>519</v>
      </c>
      <c r="E345" s="315" t="s">
        <v>1697</v>
      </c>
      <c r="F345" s="26">
        <v>4776</v>
      </c>
      <c r="G345" s="26" t="s">
        <v>2059</v>
      </c>
    </row>
    <row r="346" spans="1:7" hidden="1">
      <c r="A346" s="865">
        <v>2</v>
      </c>
      <c r="B346" s="26" t="s">
        <v>2281</v>
      </c>
      <c r="E346" s="315"/>
    </row>
    <row r="347" spans="1:7" hidden="1">
      <c r="B347" s="26" t="s">
        <v>4962</v>
      </c>
      <c r="E347" s="315" t="s">
        <v>1697</v>
      </c>
      <c r="F347" s="26">
        <v>255</v>
      </c>
      <c r="G347" s="26" t="s">
        <v>3483</v>
      </c>
    </row>
    <row r="348" spans="1:7" hidden="1">
      <c r="B348" s="26" t="s">
        <v>2985</v>
      </c>
      <c r="E348" s="315" t="s">
        <v>1697</v>
      </c>
      <c r="F348" s="174">
        <v>25</v>
      </c>
      <c r="G348" s="26" t="s">
        <v>3483</v>
      </c>
    </row>
    <row r="349" spans="1:7" hidden="1">
      <c r="B349" s="26"/>
      <c r="D349" s="78" t="s">
        <v>1518</v>
      </c>
      <c r="E349" s="315" t="s">
        <v>1697</v>
      </c>
      <c r="F349" s="26">
        <v>280</v>
      </c>
      <c r="G349" s="26" t="s">
        <v>3483</v>
      </c>
    </row>
    <row r="350" spans="1:7" hidden="1">
      <c r="B350" s="26" t="s">
        <v>165</v>
      </c>
      <c r="E350" s="315"/>
    </row>
    <row r="351" spans="1:7" hidden="1">
      <c r="B351" s="26" t="s">
        <v>3532</v>
      </c>
      <c r="E351" s="315" t="s">
        <v>1697</v>
      </c>
      <c r="F351" s="26">
        <v>150</v>
      </c>
      <c r="G351" s="26" t="s">
        <v>2602</v>
      </c>
    </row>
    <row r="352" spans="1:7" hidden="1">
      <c r="B352" s="26" t="s">
        <v>3533</v>
      </c>
      <c r="E352" s="315" t="s">
        <v>1697</v>
      </c>
      <c r="F352" s="26">
        <v>130</v>
      </c>
      <c r="G352" s="26" t="s">
        <v>2602</v>
      </c>
    </row>
    <row r="353" spans="1:7" hidden="1">
      <c r="B353" s="26" t="s">
        <v>2278</v>
      </c>
      <c r="E353" s="315" t="s">
        <v>1697</v>
      </c>
      <c r="F353" s="26">
        <v>75</v>
      </c>
      <c r="G353" s="26" t="s">
        <v>4665</v>
      </c>
    </row>
    <row r="354" spans="1:7" hidden="1">
      <c r="B354" s="26" t="s">
        <v>2279</v>
      </c>
      <c r="E354" s="315" t="s">
        <v>1697</v>
      </c>
      <c r="F354" s="26">
        <v>44</v>
      </c>
      <c r="G354" s="26" t="s">
        <v>4665</v>
      </c>
    </row>
    <row r="355" spans="1:7" hidden="1">
      <c r="B355" s="26" t="s">
        <v>166</v>
      </c>
      <c r="E355" s="315" t="s">
        <v>1697</v>
      </c>
      <c r="F355" s="26">
        <v>71</v>
      </c>
      <c r="G355" s="26" t="s">
        <v>3477</v>
      </c>
    </row>
    <row r="356" spans="1:7" hidden="1">
      <c r="B356" s="26" t="s">
        <v>167</v>
      </c>
      <c r="E356" s="315" t="s">
        <v>1697</v>
      </c>
      <c r="F356" s="26">
        <v>213</v>
      </c>
      <c r="G356" s="26" t="s">
        <v>3477</v>
      </c>
    </row>
    <row r="357" spans="1:7" hidden="1">
      <c r="B357" s="26" t="s">
        <v>168</v>
      </c>
      <c r="E357" s="315" t="s">
        <v>1697</v>
      </c>
      <c r="F357" s="26">
        <v>90</v>
      </c>
      <c r="G357" s="26" t="s">
        <v>4665</v>
      </c>
    </row>
    <row r="358" spans="1:7" hidden="1">
      <c r="B358" s="26" t="s">
        <v>169</v>
      </c>
      <c r="E358" s="315" t="s">
        <v>1697</v>
      </c>
      <c r="F358" s="26">
        <v>53</v>
      </c>
      <c r="G358" s="26" t="s">
        <v>4665</v>
      </c>
    </row>
    <row r="359" spans="1:7" hidden="1">
      <c r="A359" s="865">
        <v>3</v>
      </c>
      <c r="B359" s="26" t="s">
        <v>4651</v>
      </c>
      <c r="E359" s="315"/>
    </row>
    <row r="360" spans="1:7" hidden="1">
      <c r="B360" s="26" t="s">
        <v>2504</v>
      </c>
      <c r="E360" s="315" t="s">
        <v>1697</v>
      </c>
      <c r="F360" s="26">
        <v>447</v>
      </c>
      <c r="G360" s="26" t="s">
        <v>3483</v>
      </c>
    </row>
    <row r="361" spans="1:7" hidden="1">
      <c r="B361" s="26" t="s">
        <v>5723</v>
      </c>
      <c r="E361" s="315"/>
    </row>
    <row r="362" spans="1:7" hidden="1">
      <c r="B362" s="27" t="s">
        <v>4639</v>
      </c>
      <c r="E362" s="315" t="s">
        <v>1697</v>
      </c>
      <c r="F362" s="26">
        <v>141</v>
      </c>
      <c r="G362" s="26" t="s">
        <v>4665</v>
      </c>
    </row>
    <row r="363" spans="1:7" hidden="1">
      <c r="B363" s="26" t="s">
        <v>1913</v>
      </c>
      <c r="E363" s="315"/>
    </row>
    <row r="364" spans="1:7" hidden="1">
      <c r="B364" s="27" t="s">
        <v>4640</v>
      </c>
      <c r="E364" s="315" t="s">
        <v>1697</v>
      </c>
      <c r="F364" s="174">
        <v>425</v>
      </c>
      <c r="G364" s="26" t="s">
        <v>4665</v>
      </c>
    </row>
    <row r="365" spans="1:7" hidden="1">
      <c r="B365" s="26"/>
      <c r="D365" s="78" t="s">
        <v>1518</v>
      </c>
      <c r="E365" s="315" t="s">
        <v>1697</v>
      </c>
      <c r="F365" s="26">
        <v>566</v>
      </c>
      <c r="G365" s="26" t="s">
        <v>4665</v>
      </c>
    </row>
    <row r="366" spans="1:7" hidden="1">
      <c r="B366" s="26" t="s">
        <v>4649</v>
      </c>
      <c r="E366" s="315"/>
    </row>
    <row r="367" spans="1:7" hidden="1">
      <c r="B367" s="26" t="s">
        <v>4649</v>
      </c>
      <c r="E367" s="315"/>
    </row>
    <row r="368" spans="1:7" hidden="1">
      <c r="B368" s="26" t="s">
        <v>2657</v>
      </c>
      <c r="E368" s="315"/>
    </row>
    <row r="369" spans="1:7" hidden="1">
      <c r="B369" s="27" t="s">
        <v>1817</v>
      </c>
      <c r="E369" s="315" t="s">
        <v>1697</v>
      </c>
      <c r="F369" s="26">
        <v>354</v>
      </c>
      <c r="G369" s="26" t="s">
        <v>4665</v>
      </c>
    </row>
    <row r="370" spans="1:7" hidden="1">
      <c r="B370" s="26"/>
      <c r="E370" s="315"/>
    </row>
    <row r="371" spans="1:7" hidden="1">
      <c r="A371" s="865">
        <v>4</v>
      </c>
      <c r="B371" s="26" t="s">
        <v>4249</v>
      </c>
    </row>
    <row r="372" spans="1:7" hidden="1">
      <c r="B372" s="26" t="s">
        <v>1818</v>
      </c>
    </row>
    <row r="373" spans="1:7" hidden="1">
      <c r="B373" s="26" t="s">
        <v>4843</v>
      </c>
    </row>
    <row r="374" spans="1:7" hidden="1">
      <c r="B374" s="26" t="s">
        <v>6009</v>
      </c>
    </row>
    <row r="375" spans="1:7" hidden="1">
      <c r="B375" s="26" t="s">
        <v>6010</v>
      </c>
    </row>
    <row r="376" spans="1:7" hidden="1">
      <c r="B376" s="26" t="s">
        <v>6011</v>
      </c>
    </row>
    <row r="377" spans="1:7" ht="18.75" hidden="1" thickBot="1">
      <c r="A377" s="865">
        <v>5</v>
      </c>
      <c r="B377" s="31" t="s">
        <v>4900</v>
      </c>
      <c r="C377" s="31"/>
      <c r="D377" s="699"/>
      <c r="E377" s="700"/>
      <c r="F377" s="699"/>
      <c r="G377" s="174"/>
    </row>
    <row r="378" spans="1:7" hidden="1">
      <c r="B378" s="1260" t="s">
        <v>4901</v>
      </c>
      <c r="C378" s="1261"/>
      <c r="D378" s="31" t="s">
        <v>2468</v>
      </c>
      <c r="E378" s="31" t="s">
        <v>4902</v>
      </c>
      <c r="F378" s="31" t="s">
        <v>4903</v>
      </c>
      <c r="G378" s="195" t="s">
        <v>6199</v>
      </c>
    </row>
    <row r="379" spans="1:7" hidden="1">
      <c r="B379" s="1262"/>
      <c r="C379" s="1263"/>
      <c r="D379" s="31"/>
      <c r="E379" s="31" t="s">
        <v>4904</v>
      </c>
      <c r="F379" s="31" t="s">
        <v>4905</v>
      </c>
      <c r="G379" s="189"/>
    </row>
    <row r="380" spans="1:7" ht="18.75" hidden="1" thickBot="1">
      <c r="B380" s="1264"/>
      <c r="C380" s="1265"/>
      <c r="D380" s="699"/>
      <c r="E380" s="699" t="s">
        <v>6307</v>
      </c>
      <c r="F380" s="702"/>
      <c r="G380" s="703"/>
    </row>
    <row r="381" spans="1:7" hidden="1">
      <c r="B381" s="147" t="s">
        <v>6012</v>
      </c>
      <c r="C381" s="189"/>
      <c r="D381" s="78">
        <v>9</v>
      </c>
      <c r="E381" s="78">
        <v>18</v>
      </c>
      <c r="F381" s="78">
        <v>18</v>
      </c>
      <c r="G381" s="276">
        <v>36</v>
      </c>
    </row>
    <row r="382" spans="1:7" hidden="1">
      <c r="B382" s="147" t="s">
        <v>6584</v>
      </c>
      <c r="C382" s="189"/>
      <c r="D382" s="78">
        <v>1</v>
      </c>
      <c r="E382" s="78">
        <v>2</v>
      </c>
      <c r="F382" s="78" t="s">
        <v>5854</v>
      </c>
      <c r="G382" s="276">
        <v>2</v>
      </c>
    </row>
    <row r="383" spans="1:7" hidden="1">
      <c r="B383" s="147" t="s">
        <v>3266</v>
      </c>
      <c r="C383" s="189"/>
      <c r="D383" s="78">
        <v>9</v>
      </c>
      <c r="E383" s="78">
        <v>18</v>
      </c>
      <c r="F383" s="78" t="s">
        <v>5854</v>
      </c>
      <c r="G383" s="276">
        <v>36</v>
      </c>
    </row>
    <row r="384" spans="1:7" hidden="1">
      <c r="B384" s="147" t="s">
        <v>3267</v>
      </c>
      <c r="C384" s="189"/>
      <c r="D384" s="78">
        <v>5</v>
      </c>
      <c r="E384" s="78" t="s">
        <v>5854</v>
      </c>
      <c r="F384" s="78">
        <v>53</v>
      </c>
      <c r="G384" s="276">
        <v>53</v>
      </c>
    </row>
    <row r="385" spans="1:7" hidden="1">
      <c r="B385" s="147" t="s">
        <v>3268</v>
      </c>
      <c r="C385" s="189"/>
      <c r="D385" s="78">
        <v>2</v>
      </c>
      <c r="E385" s="78">
        <v>2</v>
      </c>
      <c r="F385" s="78" t="s">
        <v>5854</v>
      </c>
      <c r="G385" s="276">
        <v>4</v>
      </c>
    </row>
    <row r="386" spans="1:7" hidden="1">
      <c r="B386" s="147" t="s">
        <v>3269</v>
      </c>
      <c r="C386" s="189"/>
      <c r="D386" s="78">
        <v>2</v>
      </c>
      <c r="E386" s="78">
        <v>4</v>
      </c>
      <c r="F386" s="78" t="s">
        <v>5854</v>
      </c>
      <c r="G386" s="276">
        <v>16</v>
      </c>
    </row>
    <row r="387" spans="1:7" hidden="1">
      <c r="B387" s="147" t="s">
        <v>3270</v>
      </c>
      <c r="C387" s="189"/>
      <c r="D387" s="78">
        <v>1</v>
      </c>
      <c r="E387" s="78">
        <v>2</v>
      </c>
      <c r="F387" s="78" t="s">
        <v>5854</v>
      </c>
      <c r="G387" s="276">
        <v>4</v>
      </c>
    </row>
    <row r="388" spans="1:7" hidden="1">
      <c r="B388" s="147" t="s">
        <v>3271</v>
      </c>
      <c r="C388" s="189"/>
      <c r="D388" s="78">
        <v>1</v>
      </c>
      <c r="E388" s="78">
        <v>2</v>
      </c>
      <c r="F388" s="78" t="s">
        <v>5854</v>
      </c>
      <c r="G388" s="276">
        <v>4</v>
      </c>
    </row>
    <row r="389" spans="1:7" hidden="1">
      <c r="B389" s="147" t="s">
        <v>2961</v>
      </c>
      <c r="C389" s="189"/>
      <c r="D389" s="78">
        <v>1</v>
      </c>
      <c r="E389" s="78">
        <v>2</v>
      </c>
      <c r="F389" s="78" t="s">
        <v>5854</v>
      </c>
      <c r="G389" s="276">
        <v>2</v>
      </c>
    </row>
    <row r="390" spans="1:7" hidden="1">
      <c r="B390" s="147" t="s">
        <v>2962</v>
      </c>
      <c r="C390" s="189"/>
      <c r="D390" s="78">
        <v>1</v>
      </c>
      <c r="E390" s="78">
        <v>1</v>
      </c>
      <c r="F390" s="78" t="s">
        <v>5854</v>
      </c>
      <c r="G390" s="276">
        <v>2</v>
      </c>
    </row>
    <row r="391" spans="1:7" hidden="1">
      <c r="B391" s="147" t="s">
        <v>2963</v>
      </c>
      <c r="C391" s="189"/>
      <c r="D391" s="78">
        <v>1</v>
      </c>
      <c r="E391" s="78">
        <v>2</v>
      </c>
      <c r="F391" s="78" t="s">
        <v>5854</v>
      </c>
      <c r="G391" s="276">
        <v>4</v>
      </c>
    </row>
    <row r="392" spans="1:7" hidden="1">
      <c r="B392" s="147" t="s">
        <v>2964</v>
      </c>
      <c r="C392" s="189"/>
      <c r="D392" s="78">
        <v>1</v>
      </c>
      <c r="E392" s="78">
        <v>2</v>
      </c>
      <c r="F392" s="78" t="s">
        <v>5854</v>
      </c>
      <c r="G392" s="276">
        <v>8</v>
      </c>
    </row>
    <row r="393" spans="1:7" hidden="1">
      <c r="B393" s="147" t="s">
        <v>2965</v>
      </c>
      <c r="C393" s="189"/>
      <c r="D393" s="78" t="s">
        <v>5854</v>
      </c>
      <c r="E393" s="78">
        <v>1</v>
      </c>
      <c r="F393" s="78" t="s">
        <v>5854</v>
      </c>
      <c r="G393" s="276">
        <v>2</v>
      </c>
    </row>
    <row r="394" spans="1:7" hidden="1">
      <c r="B394" s="147" t="s">
        <v>2585</v>
      </c>
      <c r="C394" s="189"/>
      <c r="D394" s="78">
        <v>1</v>
      </c>
      <c r="E394" s="78">
        <v>2</v>
      </c>
      <c r="F394" s="78" t="s">
        <v>5854</v>
      </c>
      <c r="G394" s="276">
        <v>2</v>
      </c>
    </row>
    <row r="395" spans="1:7" ht="18.75" hidden="1" thickBot="1">
      <c r="B395" s="710" t="s">
        <v>2656</v>
      </c>
      <c r="C395" s="711"/>
      <c r="D395" s="712">
        <f>SUM(D381:D394)</f>
        <v>35</v>
      </c>
      <c r="E395" s="712">
        <f>SUM(E381:E394)</f>
        <v>58</v>
      </c>
      <c r="F395" s="712">
        <f>SUM(F381:F394)</f>
        <v>71</v>
      </c>
      <c r="G395" s="708">
        <f>SUM(G381:G394)</f>
        <v>175</v>
      </c>
    </row>
    <row r="396" spans="1:7" hidden="1">
      <c r="A396" s="865">
        <v>6</v>
      </c>
      <c r="B396" s="26" t="s">
        <v>673</v>
      </c>
    </row>
    <row r="397" spans="1:7" hidden="1">
      <c r="B397" s="26" t="s">
        <v>6017</v>
      </c>
    </row>
    <row r="398" spans="1:7" hidden="1">
      <c r="B398" s="26" t="s">
        <v>2385</v>
      </c>
    </row>
    <row r="399" spans="1:7" hidden="1">
      <c r="B399" s="26" t="s">
        <v>4751</v>
      </c>
    </row>
    <row r="400" spans="1:7" hidden="1">
      <c r="A400" s="865">
        <v>7</v>
      </c>
      <c r="B400" s="26" t="s">
        <v>2366</v>
      </c>
    </row>
    <row r="401" spans="1:7" hidden="1">
      <c r="B401" s="26" t="s">
        <v>4766</v>
      </c>
      <c r="C401" s="68">
        <f>'BASIC DATA'!D373</f>
        <v>7800</v>
      </c>
      <c r="D401" s="26" t="s">
        <v>2290</v>
      </c>
      <c r="E401" s="315" t="s">
        <v>1698</v>
      </c>
      <c r="F401" s="68">
        <f>C401</f>
        <v>7800</v>
      </c>
    </row>
    <row r="402" spans="1:7" hidden="1">
      <c r="B402" s="26" t="s">
        <v>3231</v>
      </c>
      <c r="E402" s="322" t="s">
        <v>1697</v>
      </c>
      <c r="F402" s="316">
        <v>1000</v>
      </c>
      <c r="G402" s="26" t="s">
        <v>4665</v>
      </c>
    </row>
    <row r="403" spans="1:7" hidden="1">
      <c r="B403" s="26" t="s">
        <v>3232</v>
      </c>
      <c r="C403" s="26" t="s">
        <v>7593</v>
      </c>
      <c r="E403" s="315" t="s">
        <v>1698</v>
      </c>
      <c r="F403" s="68">
        <f>F401/F402</f>
        <v>7.8</v>
      </c>
    </row>
    <row r="404" spans="1:7" hidden="1">
      <c r="B404" s="26" t="s">
        <v>4767</v>
      </c>
      <c r="C404" s="68">
        <f>'BASIC DATA'!D371</f>
        <v>14500</v>
      </c>
      <c r="D404" s="26" t="s">
        <v>2290</v>
      </c>
      <c r="E404" s="315" t="s">
        <v>1698</v>
      </c>
      <c r="F404" s="68">
        <f>C404</f>
        <v>14500</v>
      </c>
    </row>
    <row r="405" spans="1:7" hidden="1">
      <c r="B405" s="26" t="s">
        <v>5868</v>
      </c>
      <c r="E405" s="322" t="s">
        <v>1697</v>
      </c>
      <c r="F405" s="316">
        <v>600</v>
      </c>
      <c r="G405" s="26" t="s">
        <v>4665</v>
      </c>
    </row>
    <row r="406" spans="1:7" hidden="1">
      <c r="B406" s="26" t="s">
        <v>3234</v>
      </c>
      <c r="C406" s="26" t="s">
        <v>7593</v>
      </c>
      <c r="E406" s="315" t="s">
        <v>1698</v>
      </c>
      <c r="F406" s="68">
        <f>F404/F405</f>
        <v>24.166666666666668</v>
      </c>
    </row>
    <row r="407" spans="1:7" hidden="1"/>
    <row r="408" spans="1:7"/>
    <row r="409" spans="1:7">
      <c r="A409" s="865" t="s">
        <v>3984</v>
      </c>
      <c r="C409" s="203" t="s">
        <v>2367</v>
      </c>
      <c r="E409" s="171" t="s">
        <v>297</v>
      </c>
      <c r="F409" s="692">
        <v>15.44</v>
      </c>
      <c r="G409" s="26" t="s">
        <v>4768</v>
      </c>
    </row>
    <row r="410" spans="1:7">
      <c r="B410" s="79" t="s">
        <v>2368</v>
      </c>
      <c r="F410" s="211">
        <v>90</v>
      </c>
      <c r="G410" s="26" t="s">
        <v>4769</v>
      </c>
    </row>
    <row r="411" spans="1:7">
      <c r="B411" s="95" t="s">
        <v>2369</v>
      </c>
      <c r="C411" s="157" t="s">
        <v>6374</v>
      </c>
      <c r="D411" s="95" t="s">
        <v>2370</v>
      </c>
      <c r="E411" s="95" t="s">
        <v>1166</v>
      </c>
      <c r="F411" s="95" t="s">
        <v>2371</v>
      </c>
      <c r="G411" s="95" t="s">
        <v>2372</v>
      </c>
    </row>
    <row r="412" spans="1:7">
      <c r="B412" s="114"/>
      <c r="C412" s="154"/>
      <c r="D412" s="114"/>
      <c r="E412" s="114"/>
      <c r="F412" s="114" t="s">
        <v>3485</v>
      </c>
      <c r="G412" s="114" t="s">
        <v>3485</v>
      </c>
    </row>
    <row r="413" spans="1:7">
      <c r="B413" s="95">
        <v>1</v>
      </c>
      <c r="C413" s="135" t="s">
        <v>4770</v>
      </c>
      <c r="D413" s="451"/>
      <c r="E413" s="190"/>
      <c r="F413" s="190"/>
      <c r="G413" s="190"/>
    </row>
    <row r="414" spans="1:7">
      <c r="B414" s="105"/>
      <c r="C414" s="135" t="s">
        <v>4915</v>
      </c>
      <c r="D414" s="319" t="s">
        <v>3478</v>
      </c>
      <c r="E414" s="190">
        <v>2571</v>
      </c>
      <c r="F414" s="214">
        <f>'BASIC DATA'!D97/1000</f>
        <v>37.5</v>
      </c>
      <c r="G414" s="190">
        <f>E414*F414</f>
        <v>96412.5</v>
      </c>
    </row>
    <row r="415" spans="1:7">
      <c r="B415" s="105"/>
      <c r="C415" s="135" t="s">
        <v>4916</v>
      </c>
      <c r="D415" s="319" t="s">
        <v>3478</v>
      </c>
      <c r="E415" s="190">
        <v>3632</v>
      </c>
      <c r="F415" s="214">
        <f>'BASIC DATA'!D98/1000</f>
        <v>37.4</v>
      </c>
      <c r="G415" s="190">
        <f t="shared" ref="G415:G442" si="6">E415*F415</f>
        <v>135836.79999999999</v>
      </c>
    </row>
    <row r="416" spans="1:7">
      <c r="B416" s="105">
        <v>2</v>
      </c>
      <c r="C416" s="135" t="s">
        <v>4917</v>
      </c>
      <c r="D416" s="319"/>
      <c r="E416" s="190"/>
      <c r="F416" s="214"/>
      <c r="G416" s="190"/>
    </row>
    <row r="417" spans="2:7">
      <c r="B417" s="105"/>
      <c r="C417" s="135" t="s">
        <v>5968</v>
      </c>
      <c r="D417" s="319" t="s">
        <v>3478</v>
      </c>
      <c r="E417" s="190">
        <v>3680</v>
      </c>
      <c r="F417" s="214">
        <f>'BASIC DATA'!D165</f>
        <v>235</v>
      </c>
      <c r="G417" s="190">
        <f t="shared" si="6"/>
        <v>864800</v>
      </c>
    </row>
    <row r="418" spans="2:7">
      <c r="B418" s="105"/>
      <c r="C418" s="135" t="s">
        <v>5969</v>
      </c>
      <c r="D418" s="319" t="s">
        <v>3478</v>
      </c>
      <c r="E418" s="190">
        <v>218</v>
      </c>
      <c r="F418" s="214">
        <f>'BASIC DATA'!D166</f>
        <v>225</v>
      </c>
      <c r="G418" s="190">
        <f t="shared" si="6"/>
        <v>49050</v>
      </c>
    </row>
    <row r="419" spans="2:7">
      <c r="B419" s="105"/>
      <c r="C419" s="135" t="s">
        <v>5970</v>
      </c>
      <c r="D419" s="319" t="s">
        <v>3478</v>
      </c>
      <c r="E419" s="190">
        <v>1080</v>
      </c>
      <c r="F419" s="214">
        <f>'BASIC DATA'!D167</f>
        <v>190</v>
      </c>
      <c r="G419" s="190">
        <f t="shared" si="6"/>
        <v>205200</v>
      </c>
    </row>
    <row r="420" spans="2:7">
      <c r="B420" s="105"/>
      <c r="C420" s="135" t="s">
        <v>5971</v>
      </c>
      <c r="D420" s="319" t="s">
        <v>3478</v>
      </c>
      <c r="E420" s="190">
        <v>322</v>
      </c>
      <c r="F420" s="214">
        <f>'BASIC DATA'!D167</f>
        <v>190</v>
      </c>
      <c r="G420" s="190">
        <f t="shared" si="6"/>
        <v>61180</v>
      </c>
    </row>
    <row r="421" spans="2:7">
      <c r="B421" s="105">
        <v>3</v>
      </c>
      <c r="C421" s="135" t="s">
        <v>4771</v>
      </c>
      <c r="D421" s="319"/>
      <c r="E421" s="190"/>
      <c r="F421" s="214"/>
      <c r="G421" s="190"/>
    </row>
    <row r="422" spans="2:7">
      <c r="B422" s="105"/>
      <c r="C422" s="135" t="s">
        <v>4772</v>
      </c>
      <c r="D422" s="319" t="s">
        <v>3478</v>
      </c>
      <c r="E422" s="190">
        <v>557</v>
      </c>
      <c r="F422" s="214">
        <f>'BASIC DATA'!D159</f>
        <v>235</v>
      </c>
      <c r="G422" s="190">
        <f t="shared" si="6"/>
        <v>130895</v>
      </c>
    </row>
    <row r="423" spans="2:7">
      <c r="B423" s="105"/>
      <c r="C423" s="135" t="s">
        <v>4773</v>
      </c>
      <c r="D423" s="319" t="s">
        <v>3478</v>
      </c>
      <c r="E423" s="190">
        <v>546</v>
      </c>
      <c r="F423" s="214">
        <f>'BASIC DATA'!D160</f>
        <v>450</v>
      </c>
      <c r="G423" s="190">
        <f t="shared" si="6"/>
        <v>245700</v>
      </c>
    </row>
    <row r="424" spans="2:7">
      <c r="B424" s="105">
        <v>4</v>
      </c>
      <c r="C424" s="135" t="s">
        <v>5973</v>
      </c>
      <c r="D424" s="319"/>
      <c r="E424" s="190"/>
      <c r="F424" s="214"/>
      <c r="G424" s="190"/>
    </row>
    <row r="425" spans="2:7">
      <c r="B425" s="105"/>
      <c r="C425" s="135" t="s">
        <v>5974</v>
      </c>
      <c r="D425" s="319" t="s">
        <v>3478</v>
      </c>
      <c r="E425" s="190">
        <v>144</v>
      </c>
      <c r="F425" s="214">
        <f>'BASIC DATA'!D163</f>
        <v>970</v>
      </c>
      <c r="G425" s="190">
        <f t="shared" si="6"/>
        <v>139680</v>
      </c>
    </row>
    <row r="426" spans="2:7" ht="36">
      <c r="B426" s="105">
        <v>5</v>
      </c>
      <c r="C426" s="91" t="s">
        <v>5975</v>
      </c>
      <c r="D426" s="319" t="s">
        <v>3478</v>
      </c>
      <c r="E426" s="190">
        <v>448</v>
      </c>
      <c r="F426" s="214">
        <f>'BASIC DATA'!D183</f>
        <v>200</v>
      </c>
      <c r="G426" s="190">
        <f t="shared" si="6"/>
        <v>89600</v>
      </c>
    </row>
    <row r="427" spans="2:7">
      <c r="B427" s="105">
        <v>6</v>
      </c>
      <c r="C427" s="135" t="s">
        <v>5976</v>
      </c>
      <c r="D427" s="319" t="s">
        <v>3478</v>
      </c>
      <c r="E427" s="190">
        <v>85</v>
      </c>
      <c r="F427" s="214">
        <f>'BASIC DATA'!D84</f>
        <v>80</v>
      </c>
      <c r="G427" s="190">
        <f t="shared" si="6"/>
        <v>6800</v>
      </c>
    </row>
    <row r="428" spans="2:7">
      <c r="B428" s="105">
        <v>7</v>
      </c>
      <c r="C428" s="135" t="s">
        <v>5977</v>
      </c>
      <c r="D428" s="319" t="s">
        <v>4089</v>
      </c>
      <c r="E428" s="190">
        <v>1</v>
      </c>
      <c r="F428" s="214">
        <f>'BASIC DATA'!D382</f>
        <v>224400</v>
      </c>
      <c r="G428" s="190">
        <f t="shared" si="6"/>
        <v>224400</v>
      </c>
    </row>
    <row r="429" spans="2:7">
      <c r="B429" s="105">
        <v>8</v>
      </c>
      <c r="C429" s="135" t="s">
        <v>1708</v>
      </c>
      <c r="D429" s="319" t="s">
        <v>4089</v>
      </c>
      <c r="E429" s="190">
        <v>1</v>
      </c>
      <c r="F429" s="214">
        <f>'BASIC DATA'!D383</f>
        <v>121000</v>
      </c>
      <c r="G429" s="190">
        <f t="shared" si="6"/>
        <v>121000</v>
      </c>
    </row>
    <row r="430" spans="2:7">
      <c r="B430" s="105">
        <v>9</v>
      </c>
      <c r="C430" s="135" t="s">
        <v>5978</v>
      </c>
      <c r="D430" s="319" t="s">
        <v>3478</v>
      </c>
      <c r="E430" s="190">
        <v>1000</v>
      </c>
      <c r="F430" s="214">
        <f>'BASIC DATA'!D389</f>
        <v>180</v>
      </c>
      <c r="G430" s="190">
        <f t="shared" si="6"/>
        <v>180000</v>
      </c>
    </row>
    <row r="431" spans="2:7">
      <c r="B431" s="105">
        <v>10</v>
      </c>
      <c r="C431" s="135" t="s">
        <v>5979</v>
      </c>
      <c r="D431" s="319" t="s">
        <v>4089</v>
      </c>
      <c r="E431" s="190">
        <v>1</v>
      </c>
      <c r="F431" s="214">
        <f>'BASIC DATA'!D390</f>
        <v>28820</v>
      </c>
      <c r="G431" s="190">
        <f t="shared" si="6"/>
        <v>28820</v>
      </c>
    </row>
    <row r="432" spans="2:7">
      <c r="B432" s="105">
        <v>11</v>
      </c>
      <c r="C432" s="135" t="s">
        <v>6185</v>
      </c>
      <c r="D432" s="319" t="s">
        <v>4089</v>
      </c>
      <c r="E432" s="190">
        <v>1</v>
      </c>
      <c r="F432" s="214">
        <f>'BASIC DATA'!D391</f>
        <v>195800</v>
      </c>
      <c r="G432" s="190">
        <f t="shared" si="6"/>
        <v>195800</v>
      </c>
    </row>
    <row r="433" spans="2:7">
      <c r="B433" s="105">
        <v>12</v>
      </c>
      <c r="C433" s="135" t="s">
        <v>6186</v>
      </c>
      <c r="D433" s="319" t="s">
        <v>4089</v>
      </c>
      <c r="E433" s="190">
        <v>1</v>
      </c>
      <c r="F433" s="214">
        <f>'BASIC DATA'!D392</f>
        <v>35200</v>
      </c>
      <c r="G433" s="190">
        <f t="shared" si="6"/>
        <v>35200</v>
      </c>
    </row>
    <row r="434" spans="2:7" ht="36">
      <c r="B434" s="105">
        <v>13</v>
      </c>
      <c r="C434" s="91" t="s">
        <v>6400</v>
      </c>
      <c r="D434" s="319" t="s">
        <v>2173</v>
      </c>
      <c r="E434" s="190">
        <v>1</v>
      </c>
      <c r="F434" s="214">
        <f>'BASIC DATA'!D393</f>
        <v>50380</v>
      </c>
      <c r="G434" s="190">
        <f t="shared" si="6"/>
        <v>50380</v>
      </c>
    </row>
    <row r="435" spans="2:7">
      <c r="B435" s="105">
        <v>14</v>
      </c>
      <c r="C435" s="135" t="s">
        <v>958</v>
      </c>
      <c r="D435" s="319" t="s">
        <v>3477</v>
      </c>
      <c r="E435" s="190">
        <v>213</v>
      </c>
      <c r="F435" s="214">
        <f>'BASIC DATA'!D87</f>
        <v>42</v>
      </c>
      <c r="G435" s="190">
        <f t="shared" si="6"/>
        <v>8946</v>
      </c>
    </row>
    <row r="436" spans="2:7">
      <c r="B436" s="105">
        <v>15</v>
      </c>
      <c r="C436" s="135" t="s">
        <v>6815</v>
      </c>
      <c r="D436" s="319" t="s">
        <v>3477</v>
      </c>
      <c r="E436" s="190">
        <v>71</v>
      </c>
      <c r="F436" s="214">
        <f>'BASIC DATA'!D28</f>
        <v>335</v>
      </c>
      <c r="G436" s="190">
        <f t="shared" si="6"/>
        <v>23785</v>
      </c>
    </row>
    <row r="437" spans="2:7">
      <c r="B437" s="105">
        <v>16</v>
      </c>
      <c r="C437" s="135" t="s">
        <v>6816</v>
      </c>
      <c r="D437" s="319" t="s">
        <v>2059</v>
      </c>
      <c r="E437" s="190">
        <v>530</v>
      </c>
      <c r="F437" s="214">
        <f>'BASIC DATA'!$D$110</f>
        <v>13</v>
      </c>
      <c r="G437" s="190">
        <f t="shared" si="6"/>
        <v>6890</v>
      </c>
    </row>
    <row r="438" spans="2:7">
      <c r="B438" s="105">
        <v>17</v>
      </c>
      <c r="C438" s="135" t="s">
        <v>4655</v>
      </c>
      <c r="D438" s="319" t="s">
        <v>2059</v>
      </c>
      <c r="E438" s="190">
        <v>4776</v>
      </c>
      <c r="F438" s="214">
        <f>'BASIC DATA'!$D$181</f>
        <v>15</v>
      </c>
      <c r="G438" s="190">
        <f t="shared" si="6"/>
        <v>71640</v>
      </c>
    </row>
    <row r="439" spans="2:7">
      <c r="B439" s="105">
        <v>18</v>
      </c>
      <c r="C439" s="135" t="s">
        <v>5980</v>
      </c>
      <c r="D439" s="319" t="s">
        <v>3478</v>
      </c>
      <c r="E439" s="190">
        <v>50</v>
      </c>
      <c r="F439" s="214">
        <f>'BASIC DATA'!D372</f>
        <v>275</v>
      </c>
      <c r="G439" s="190">
        <f t="shared" si="6"/>
        <v>13750</v>
      </c>
    </row>
    <row r="440" spans="2:7">
      <c r="B440" s="105">
        <v>19</v>
      </c>
      <c r="C440" s="135" t="s">
        <v>6556</v>
      </c>
      <c r="D440" s="319" t="s">
        <v>2374</v>
      </c>
      <c r="E440" s="190">
        <v>566</v>
      </c>
      <c r="F440" s="214">
        <f>F403</f>
        <v>7.8</v>
      </c>
      <c r="G440" s="190">
        <f t="shared" si="6"/>
        <v>4414.8</v>
      </c>
    </row>
    <row r="441" spans="2:7">
      <c r="B441" s="105">
        <v>20</v>
      </c>
      <c r="C441" s="135" t="s">
        <v>6557</v>
      </c>
      <c r="D441" s="319" t="s">
        <v>2374</v>
      </c>
      <c r="E441" s="190">
        <v>90</v>
      </c>
      <c r="F441" s="214">
        <f>F406</f>
        <v>24.166666666666668</v>
      </c>
      <c r="G441" s="190">
        <f t="shared" si="6"/>
        <v>2175</v>
      </c>
    </row>
    <row r="442" spans="2:7">
      <c r="B442" s="114">
        <v>21</v>
      </c>
      <c r="C442" s="135" t="s">
        <v>388</v>
      </c>
      <c r="D442" s="319" t="s">
        <v>2173</v>
      </c>
      <c r="E442" s="190">
        <v>200</v>
      </c>
      <c r="F442" s="214">
        <f>'BASIC DATA'!D359</f>
        <v>30</v>
      </c>
      <c r="G442" s="190">
        <f t="shared" si="6"/>
        <v>6000</v>
      </c>
    </row>
    <row r="443" spans="2:7">
      <c r="B443" s="92"/>
      <c r="C443" s="193"/>
      <c r="D443" s="151" t="s">
        <v>2376</v>
      </c>
      <c r="E443" s="160"/>
      <c r="F443" s="236" t="s">
        <v>1698</v>
      </c>
      <c r="G443" s="318">
        <f>SUM(G414:G442)</f>
        <v>2998355.0999999996</v>
      </c>
    </row>
    <row r="444" spans="2:7"/>
    <row r="445" spans="2:7">
      <c r="B445" s="325" t="s">
        <v>2377</v>
      </c>
    </row>
    <row r="446" spans="2:7">
      <c r="B446" s="95" t="s">
        <v>2369</v>
      </c>
      <c r="C446" s="157" t="s">
        <v>2378</v>
      </c>
      <c r="D446" s="95" t="s">
        <v>2370</v>
      </c>
      <c r="E446" s="95" t="s">
        <v>1166</v>
      </c>
      <c r="F446" s="95" t="s">
        <v>2371</v>
      </c>
      <c r="G446" s="95" t="s">
        <v>2372</v>
      </c>
    </row>
    <row r="447" spans="2:7">
      <c r="B447" s="114"/>
      <c r="C447" s="154"/>
      <c r="D447" s="114"/>
      <c r="E447" s="114"/>
      <c r="F447" s="114" t="s">
        <v>3485</v>
      </c>
      <c r="G447" s="114" t="s">
        <v>3485</v>
      </c>
    </row>
    <row r="448" spans="2:7">
      <c r="B448" s="95">
        <v>1</v>
      </c>
      <c r="C448" s="135" t="s">
        <v>6558</v>
      </c>
      <c r="D448" s="451" t="s">
        <v>2374</v>
      </c>
      <c r="E448" s="190">
        <v>566</v>
      </c>
      <c r="F448" s="190">
        <f>'HIRE CHARGES'!D556</f>
        <v>16</v>
      </c>
      <c r="G448" s="190">
        <f>E448*F448</f>
        <v>9056</v>
      </c>
    </row>
    <row r="449" spans="2:7">
      <c r="B449" s="105"/>
      <c r="C449" s="135" t="s">
        <v>2379</v>
      </c>
      <c r="D449" s="319" t="s">
        <v>2374</v>
      </c>
      <c r="E449" s="255">
        <v>353</v>
      </c>
      <c r="F449" s="190">
        <f>'HIRE CHARGES'!E556</f>
        <v>67.2</v>
      </c>
      <c r="G449" s="190">
        <f t="shared" ref="G449:G460" si="7">E449*F449</f>
        <v>23721.600000000002</v>
      </c>
    </row>
    <row r="450" spans="2:7">
      <c r="B450" s="105">
        <v>2</v>
      </c>
      <c r="C450" s="135" t="s">
        <v>389</v>
      </c>
      <c r="D450" s="319" t="s">
        <v>2374</v>
      </c>
      <c r="E450" s="190">
        <v>4</v>
      </c>
      <c r="F450" s="190">
        <f>'HIRE CHARGES'!D547</f>
        <v>867.1</v>
      </c>
      <c r="G450" s="190">
        <f t="shared" si="7"/>
        <v>3468.4</v>
      </c>
    </row>
    <row r="451" spans="2:7">
      <c r="B451" s="105"/>
      <c r="C451" s="135" t="s">
        <v>2379</v>
      </c>
      <c r="D451" s="319" t="s">
        <v>2374</v>
      </c>
      <c r="E451" s="190">
        <v>4</v>
      </c>
      <c r="F451" s="190">
        <f>'HIRE CHARGES'!E547</f>
        <v>145.69999999999999</v>
      </c>
      <c r="G451" s="190">
        <f t="shared" si="7"/>
        <v>582.79999999999995</v>
      </c>
    </row>
    <row r="452" spans="2:7">
      <c r="B452" s="105">
        <v>3</v>
      </c>
      <c r="C452" s="135" t="s">
        <v>6060</v>
      </c>
      <c r="D452" s="319" t="s">
        <v>2374</v>
      </c>
      <c r="E452" s="190">
        <v>53</v>
      </c>
      <c r="F452" s="190">
        <f>'HIRE CHARGES'!D539</f>
        <v>6.4</v>
      </c>
      <c r="G452" s="190">
        <f t="shared" si="7"/>
        <v>339.20000000000005</v>
      </c>
    </row>
    <row r="453" spans="2:7">
      <c r="B453" s="105"/>
      <c r="C453" s="135" t="s">
        <v>2379</v>
      </c>
      <c r="D453" s="319" t="s">
        <v>2374</v>
      </c>
      <c r="E453" s="190">
        <v>53</v>
      </c>
      <c r="F453" s="190">
        <f>'HIRE CHARGES'!E539</f>
        <v>2.8</v>
      </c>
      <c r="G453" s="190">
        <f t="shared" si="7"/>
        <v>148.39999999999998</v>
      </c>
    </row>
    <row r="454" spans="2:7">
      <c r="B454" s="105">
        <v>4</v>
      </c>
      <c r="C454" s="135" t="s">
        <v>6561</v>
      </c>
      <c r="D454" s="319" t="s">
        <v>2374</v>
      </c>
      <c r="E454" s="190">
        <v>50</v>
      </c>
      <c r="F454" s="190">
        <f>'HIRE CHARGES'!D550</f>
        <v>519.69999999999993</v>
      </c>
      <c r="G454" s="190">
        <f t="shared" si="7"/>
        <v>25984.999999999996</v>
      </c>
    </row>
    <row r="455" spans="2:7">
      <c r="B455" s="105"/>
      <c r="C455" s="135" t="s">
        <v>2379</v>
      </c>
      <c r="D455" s="319" t="s">
        <v>2374</v>
      </c>
      <c r="E455" s="190">
        <v>50</v>
      </c>
      <c r="F455" s="190">
        <f>'HIRE CHARGES'!E550</f>
        <v>299.89999999999998</v>
      </c>
      <c r="G455" s="190">
        <f t="shared" si="7"/>
        <v>14994.999999999998</v>
      </c>
    </row>
    <row r="456" spans="2:7">
      <c r="B456" s="105">
        <v>5</v>
      </c>
      <c r="C456" s="135" t="s">
        <v>6562</v>
      </c>
      <c r="D456" s="319" t="s">
        <v>2374</v>
      </c>
      <c r="E456" s="190">
        <v>8</v>
      </c>
      <c r="F456" s="190">
        <f>'HIRE CHARGES'!D551</f>
        <v>22.5</v>
      </c>
      <c r="G456" s="190">
        <f t="shared" si="7"/>
        <v>180</v>
      </c>
    </row>
    <row r="457" spans="2:7">
      <c r="B457" s="105"/>
      <c r="C457" s="135" t="s">
        <v>2379</v>
      </c>
      <c r="D457" s="319" t="s">
        <v>2374</v>
      </c>
      <c r="E457" s="190">
        <v>8</v>
      </c>
      <c r="F457" s="190">
        <f>'HIRE CHARGES'!E551</f>
        <v>28</v>
      </c>
      <c r="G457" s="190">
        <f t="shared" si="7"/>
        <v>224</v>
      </c>
    </row>
    <row r="458" spans="2:7">
      <c r="B458" s="105">
        <v>6</v>
      </c>
      <c r="C458" s="135" t="s">
        <v>5539</v>
      </c>
      <c r="D458" s="319" t="s">
        <v>2374</v>
      </c>
      <c r="E458" s="190">
        <v>16</v>
      </c>
      <c r="F458" s="190">
        <f>'HIRE CHARGES'!D551</f>
        <v>22.5</v>
      </c>
      <c r="G458" s="190">
        <f t="shared" si="7"/>
        <v>360</v>
      </c>
    </row>
    <row r="459" spans="2:7">
      <c r="B459" s="105"/>
      <c r="C459" s="135" t="s">
        <v>2379</v>
      </c>
      <c r="D459" s="319" t="s">
        <v>2374</v>
      </c>
      <c r="E459" s="190">
        <v>16</v>
      </c>
      <c r="F459" s="190">
        <f>'HIRE CHARGES'!E551</f>
        <v>28</v>
      </c>
      <c r="G459" s="190">
        <f t="shared" si="7"/>
        <v>448</v>
      </c>
    </row>
    <row r="460" spans="2:7">
      <c r="B460" s="105">
        <v>7</v>
      </c>
      <c r="C460" s="135" t="s">
        <v>2373</v>
      </c>
      <c r="D460" s="319" t="s">
        <v>2173</v>
      </c>
      <c r="E460" s="190">
        <v>100</v>
      </c>
      <c r="F460" s="214">
        <f>'BASIC DATA'!D359</f>
        <v>30</v>
      </c>
      <c r="G460" s="190">
        <f t="shared" si="7"/>
        <v>3000</v>
      </c>
    </row>
    <row r="461" spans="2:7">
      <c r="B461" s="176"/>
      <c r="C461" s="193" t="s">
        <v>2380</v>
      </c>
      <c r="D461" s="193"/>
      <c r="E461" s="208"/>
      <c r="F461" s="236" t="s">
        <v>1698</v>
      </c>
      <c r="G461" s="318">
        <f>SUM(G448:G460)</f>
        <v>82508.400000000009</v>
      </c>
    </row>
    <row r="462" spans="2:7"/>
    <row r="463" spans="2:7">
      <c r="B463" s="325" t="s">
        <v>2381</v>
      </c>
    </row>
    <row r="464" spans="2:7">
      <c r="B464" s="95" t="s">
        <v>2369</v>
      </c>
      <c r="C464" s="157" t="s">
        <v>2378</v>
      </c>
      <c r="D464" s="95" t="s">
        <v>2370</v>
      </c>
      <c r="E464" s="95" t="s">
        <v>1166</v>
      </c>
      <c r="F464" s="95" t="s">
        <v>2371</v>
      </c>
      <c r="G464" s="95" t="s">
        <v>2372</v>
      </c>
    </row>
    <row r="465" spans="2:7">
      <c r="B465" s="114"/>
      <c r="C465" s="154"/>
      <c r="D465" s="114"/>
      <c r="E465" s="114"/>
      <c r="F465" s="114" t="s">
        <v>3485</v>
      </c>
      <c r="G465" s="114" t="s">
        <v>3485</v>
      </c>
    </row>
    <row r="466" spans="2:7">
      <c r="B466" s="105">
        <v>1</v>
      </c>
      <c r="C466" s="76" t="s">
        <v>5542</v>
      </c>
      <c r="D466" s="319" t="s">
        <v>2374</v>
      </c>
      <c r="E466" s="207">
        <v>50</v>
      </c>
      <c r="F466" s="190">
        <f>'HIRE CHARGES'!F550</f>
        <v>177.5</v>
      </c>
      <c r="G466" s="190">
        <f>E466*F466</f>
        <v>8875</v>
      </c>
    </row>
    <row r="467" spans="2:7">
      <c r="B467" s="105">
        <v>2</v>
      </c>
      <c r="C467" s="76" t="s">
        <v>5541</v>
      </c>
      <c r="D467" s="319" t="s">
        <v>2374</v>
      </c>
      <c r="E467" s="207">
        <v>4</v>
      </c>
      <c r="F467" s="190">
        <f>'HIRE CHARGES'!F547</f>
        <v>189.3</v>
      </c>
      <c r="G467" s="190">
        <f t="shared" ref="G467:G476" si="8">E467*F467</f>
        <v>757.2</v>
      </c>
    </row>
    <row r="468" spans="2:7">
      <c r="B468" s="105">
        <v>3</v>
      </c>
      <c r="C468" s="76" t="s">
        <v>5545</v>
      </c>
      <c r="D468" s="319" t="s">
        <v>2374</v>
      </c>
      <c r="E468" s="207">
        <v>16</v>
      </c>
      <c r="F468" s="190">
        <f>'HIRE CHARGES'!F551</f>
        <v>198.9</v>
      </c>
      <c r="G468" s="190">
        <f t="shared" si="8"/>
        <v>3182.4</v>
      </c>
    </row>
    <row r="469" spans="2:7">
      <c r="B469" s="105">
        <v>4</v>
      </c>
      <c r="C469" s="76" t="s">
        <v>5546</v>
      </c>
      <c r="D469" s="319" t="s">
        <v>2374</v>
      </c>
      <c r="E469" s="207">
        <v>8</v>
      </c>
      <c r="F469" s="190">
        <f>'HIRE CHARGES'!F551</f>
        <v>198.9</v>
      </c>
      <c r="G469" s="190">
        <f t="shared" si="8"/>
        <v>1591.2</v>
      </c>
    </row>
    <row r="470" spans="2:7">
      <c r="B470" s="105">
        <v>5</v>
      </c>
      <c r="C470" s="76" t="s">
        <v>2468</v>
      </c>
      <c r="D470" s="319" t="s">
        <v>1172</v>
      </c>
      <c r="E470" s="207">
        <f>D395</f>
        <v>35</v>
      </c>
      <c r="F470" s="190">
        <f>'BASIC DATA'!C471</f>
        <v>510</v>
      </c>
      <c r="G470" s="190">
        <f t="shared" si="8"/>
        <v>17850</v>
      </c>
    </row>
    <row r="471" spans="2:7" ht="36">
      <c r="B471" s="105">
        <v>6</v>
      </c>
      <c r="C471" s="86" t="s">
        <v>390</v>
      </c>
      <c r="D471" s="319" t="s">
        <v>1172</v>
      </c>
      <c r="E471" s="207">
        <f>E395</f>
        <v>58</v>
      </c>
      <c r="F471" s="190">
        <f>'BASIC DATA'!C503</f>
        <v>550</v>
      </c>
      <c r="G471" s="190">
        <f t="shared" si="8"/>
        <v>31900</v>
      </c>
    </row>
    <row r="472" spans="2:7">
      <c r="B472" s="105">
        <v>7</v>
      </c>
      <c r="C472" s="76" t="s">
        <v>3010</v>
      </c>
      <c r="D472" s="319" t="s">
        <v>1172</v>
      </c>
      <c r="E472" s="207">
        <v>18</v>
      </c>
      <c r="F472" s="190">
        <f>'BASIC DATA'!C504</f>
        <v>445</v>
      </c>
      <c r="G472" s="190">
        <f t="shared" si="8"/>
        <v>8010</v>
      </c>
    </row>
    <row r="473" spans="2:7">
      <c r="B473" s="105">
        <v>8</v>
      </c>
      <c r="C473" s="76" t="s">
        <v>3013</v>
      </c>
      <c r="D473" s="319" t="s">
        <v>1172</v>
      </c>
      <c r="E473" s="207">
        <v>53</v>
      </c>
      <c r="F473" s="190">
        <f>'BASIC DATA'!C504</f>
        <v>445</v>
      </c>
      <c r="G473" s="190">
        <f t="shared" si="8"/>
        <v>23585</v>
      </c>
    </row>
    <row r="474" spans="2:7">
      <c r="B474" s="105">
        <v>9</v>
      </c>
      <c r="C474" s="76" t="s">
        <v>3012</v>
      </c>
      <c r="D474" s="319" t="s">
        <v>1172</v>
      </c>
      <c r="E474" s="207">
        <v>20</v>
      </c>
      <c r="F474" s="190">
        <f>'BASIC DATA'!C500</f>
        <v>445</v>
      </c>
      <c r="G474" s="190">
        <f t="shared" si="8"/>
        <v>8900</v>
      </c>
    </row>
    <row r="475" spans="2:7">
      <c r="B475" s="105">
        <v>10</v>
      </c>
      <c r="C475" s="76" t="s">
        <v>3011</v>
      </c>
      <c r="D475" s="319" t="s">
        <v>1172</v>
      </c>
      <c r="E475" s="207">
        <f>G395</f>
        <v>175</v>
      </c>
      <c r="F475" s="190">
        <f>'BASIC DATA'!C529</f>
        <v>400</v>
      </c>
      <c r="G475" s="190">
        <f t="shared" si="8"/>
        <v>70000</v>
      </c>
    </row>
    <row r="476" spans="2:7">
      <c r="B476" s="105">
        <v>11</v>
      </c>
      <c r="C476" s="76" t="s">
        <v>5604</v>
      </c>
      <c r="D476" s="319" t="s">
        <v>1172</v>
      </c>
      <c r="E476" s="207">
        <v>3</v>
      </c>
      <c r="F476" s="190">
        <f>'BASIC DATA'!C468</f>
        <v>515</v>
      </c>
      <c r="G476" s="190">
        <f t="shared" si="8"/>
        <v>1545</v>
      </c>
    </row>
    <row r="477" spans="2:7">
      <c r="B477" s="92"/>
      <c r="C477" s="193"/>
      <c r="D477" s="151" t="s">
        <v>1174</v>
      </c>
      <c r="E477" s="160"/>
      <c r="F477" s="236" t="s">
        <v>1698</v>
      </c>
      <c r="G477" s="318">
        <f>SUM(G466:G476)</f>
        <v>176195.8</v>
      </c>
    </row>
    <row r="478" spans="2:7">
      <c r="B478" s="101" t="s">
        <v>9422</v>
      </c>
      <c r="C478" s="361"/>
      <c r="D478" s="101"/>
      <c r="E478" s="101"/>
      <c r="F478" s="361"/>
      <c r="G478" s="911">
        <f>G477*30%</f>
        <v>52858.74</v>
      </c>
    </row>
    <row r="479" spans="2:7">
      <c r="B479" s="101"/>
      <c r="C479" s="361" t="s">
        <v>7956</v>
      </c>
      <c r="D479" s="101"/>
      <c r="E479" s="101"/>
      <c r="F479" s="361"/>
      <c r="G479" s="911">
        <f>SUM(G478+G477)</f>
        <v>229054.53999999998</v>
      </c>
    </row>
    <row r="480" spans="2:7">
      <c r="B480" s="76"/>
      <c r="C480" s="200"/>
      <c r="D480" s="76"/>
      <c r="E480" s="76"/>
      <c r="F480" s="200"/>
      <c r="G480" s="766"/>
    </row>
    <row r="481" spans="2:34">
      <c r="B481" s="60" t="s">
        <v>5948</v>
      </c>
      <c r="C481" s="31"/>
      <c r="D481" s="31"/>
      <c r="E481" s="85">
        <f>ROUND(G479/F410,1)</f>
        <v>2545.1</v>
      </c>
    </row>
    <row r="482" spans="2:34">
      <c r="B482" s="60" t="s">
        <v>3163</v>
      </c>
      <c r="C482" s="31"/>
      <c r="D482" s="922">
        <f>'BASIC DATA'!$C$577</f>
        <v>0.13614999999999999</v>
      </c>
      <c r="E482" s="85">
        <f>ROUND(E481*D482,1)</f>
        <v>346.5</v>
      </c>
    </row>
    <row r="483" spans="2:34">
      <c r="B483" s="60" t="s">
        <v>5949</v>
      </c>
      <c r="C483" s="31"/>
      <c r="D483" s="31"/>
      <c r="E483" s="199">
        <f>E482+E481</f>
        <v>2891.6</v>
      </c>
    </row>
    <row r="484" spans="2:34">
      <c r="B484" s="60"/>
      <c r="C484" s="31"/>
      <c r="D484" s="31"/>
      <c r="E484" s="31"/>
      <c r="G484" s="85"/>
    </row>
    <row r="485" spans="2:34">
      <c r="B485" s="170" t="s">
        <v>1175</v>
      </c>
    </row>
    <row r="486" spans="2:34">
      <c r="B486" s="26" t="s">
        <v>1176</v>
      </c>
      <c r="F486" s="171" t="s">
        <v>1698</v>
      </c>
      <c r="G486" s="68">
        <f>G443</f>
        <v>2998355.0999999996</v>
      </c>
    </row>
    <row r="487" spans="2:34">
      <c r="B487" s="26" t="s">
        <v>1186</v>
      </c>
      <c r="F487" s="171" t="s">
        <v>1698</v>
      </c>
      <c r="G487" s="68">
        <f>G461</f>
        <v>82508.400000000009</v>
      </c>
    </row>
    <row r="488" spans="2:34">
      <c r="B488" s="26" t="s">
        <v>2660</v>
      </c>
      <c r="F488" s="171" t="s">
        <v>1698</v>
      </c>
      <c r="G488" s="75">
        <f>G479</f>
        <v>229054.53999999998</v>
      </c>
    </row>
    <row r="489" spans="2:34">
      <c r="B489" s="26"/>
      <c r="E489" s="171" t="s">
        <v>5551</v>
      </c>
      <c r="F489" s="171" t="s">
        <v>1698</v>
      </c>
      <c r="G489" s="205">
        <f>SUM(G486:G488)</f>
        <v>3309918.0399999996</v>
      </c>
    </row>
    <row r="490" spans="2:34">
      <c r="B490" s="26" t="s">
        <v>5087</v>
      </c>
      <c r="E490" s="693">
        <f>'BASIC DATA'!C593</f>
        <v>0</v>
      </c>
      <c r="F490" s="171" t="s">
        <v>1698</v>
      </c>
      <c r="G490" s="68">
        <f>(G488+G487)*E490*0.75</f>
        <v>0</v>
      </c>
    </row>
    <row r="491" spans="2:34">
      <c r="B491" s="26" t="s">
        <v>5084</v>
      </c>
      <c r="E491" s="171" t="s">
        <v>1518</v>
      </c>
      <c r="F491" s="171" t="s">
        <v>1698</v>
      </c>
      <c r="G491" s="205">
        <f>G490+G489</f>
        <v>3309918.0399999996</v>
      </c>
    </row>
    <row r="492" spans="2:34">
      <c r="B492" s="26" t="s">
        <v>5086</v>
      </c>
      <c r="E492" s="201">
        <f>'BASIC DATA'!C594</f>
        <v>0.03</v>
      </c>
      <c r="F492" s="171" t="s">
        <v>1698</v>
      </c>
      <c r="G492" s="75">
        <f>G491*E492</f>
        <v>99297.541199999978</v>
      </c>
    </row>
    <row r="493" spans="2:34">
      <c r="B493" s="26"/>
      <c r="E493" s="26" t="s">
        <v>2392</v>
      </c>
      <c r="F493" s="171" t="s">
        <v>1698</v>
      </c>
      <c r="G493" s="75">
        <f>G492+G491</f>
        <v>3409215.5811999994</v>
      </c>
    </row>
    <row r="494" spans="2:34" ht="48" customHeight="1">
      <c r="B494" s="1207" t="s">
        <v>4717</v>
      </c>
      <c r="C494" s="1207"/>
      <c r="D494" s="922">
        <f>'BASIC DATA'!$C$577</f>
        <v>0.13614999999999999</v>
      </c>
      <c r="F494" s="171" t="s">
        <v>1698</v>
      </c>
      <c r="G494" s="75">
        <f>G493*D494</f>
        <v>464164.70138037991</v>
      </c>
      <c r="I494" s="68"/>
    </row>
    <row r="495" spans="2:34">
      <c r="B495" s="26" t="s">
        <v>898</v>
      </c>
    </row>
    <row r="496" spans="2:34">
      <c r="B496" s="47" t="s">
        <v>897</v>
      </c>
      <c r="D496" s="48"/>
      <c r="E496" s="68">
        <f>leadcharges!F65</f>
        <v>19</v>
      </c>
      <c r="F496" s="27" t="s">
        <v>1279</v>
      </c>
      <c r="G496" s="76">
        <f>2*ROUND(E496*F409,3)</f>
        <v>586.72</v>
      </c>
      <c r="AH496" s="68"/>
    </row>
    <row r="497" spans="1:7">
      <c r="B497" s="47" t="s">
        <v>896</v>
      </c>
      <c r="D497" s="48"/>
      <c r="E497" s="68">
        <f>leadcharges!$G$79</f>
        <v>74.8</v>
      </c>
      <c r="F497" s="27" t="s">
        <v>1279</v>
      </c>
      <c r="G497" s="76">
        <f>2*ROUND(E497*F409,3)</f>
        <v>2309.8240000000001</v>
      </c>
    </row>
    <row r="498" spans="1:7">
      <c r="B498" s="26" t="s">
        <v>5078</v>
      </c>
      <c r="D498" s="278">
        <f>F409</f>
        <v>15.44</v>
      </c>
      <c r="E498" s="26" t="s">
        <v>4768</v>
      </c>
      <c r="F498" s="171" t="s">
        <v>1698</v>
      </c>
      <c r="G498" s="205">
        <f>SUM(G493:G497)</f>
        <v>3876276.8265803796</v>
      </c>
    </row>
    <row r="499" spans="1:7">
      <c r="B499" s="26" t="s">
        <v>1191</v>
      </c>
      <c r="D499" s="68">
        <f>F410</f>
        <v>90</v>
      </c>
      <c r="E499" s="26" t="s">
        <v>4769</v>
      </c>
      <c r="F499" s="171" t="s">
        <v>1698</v>
      </c>
      <c r="G499" s="68"/>
    </row>
    <row r="500" spans="1:7">
      <c r="D500" s="171" t="s">
        <v>3884</v>
      </c>
      <c r="E500" s="26" t="s">
        <v>4768</v>
      </c>
      <c r="F500" s="171" t="s">
        <v>1698</v>
      </c>
      <c r="G500" s="68">
        <f>ROUND(G498/D498,1)</f>
        <v>251054.2</v>
      </c>
    </row>
    <row r="501" spans="1:7">
      <c r="C501" s="31"/>
      <c r="D501" s="28" t="s">
        <v>3884</v>
      </c>
      <c r="E501" s="314" t="s">
        <v>35</v>
      </c>
      <c r="F501" s="314"/>
      <c r="G501" s="407">
        <f>ROUND(G498/D499,1)</f>
        <v>43069.7</v>
      </c>
    </row>
    <row r="502" spans="1:7">
      <c r="B502" s="26"/>
      <c r="C502" s="78"/>
    </row>
    <row r="503" spans="1:7">
      <c r="B503" s="26"/>
      <c r="C503" s="78"/>
    </row>
    <row r="504" spans="1:7">
      <c r="B504" s="26"/>
    </row>
    <row r="505" spans="1:7">
      <c r="A505" s="822" t="s">
        <v>7164</v>
      </c>
      <c r="B505" s="170" t="s">
        <v>2621</v>
      </c>
    </row>
    <row r="506" spans="1:7">
      <c r="B506" s="26" t="s">
        <v>9033</v>
      </c>
    </row>
    <row r="507" spans="1:7">
      <c r="B507" s="26" t="s">
        <v>9034</v>
      </c>
    </row>
    <row r="508" spans="1:7">
      <c r="B508" s="26" t="s">
        <v>5297</v>
      </c>
    </row>
    <row r="509" spans="1:7">
      <c r="B509" s="170" t="s">
        <v>538</v>
      </c>
      <c r="E509" s="322"/>
    </row>
    <row r="510" spans="1:7">
      <c r="B510" s="170" t="s">
        <v>528</v>
      </c>
      <c r="E510" s="322"/>
    </row>
    <row r="511" spans="1:7">
      <c r="B511" s="26"/>
    </row>
    <row r="512" spans="1:7" hidden="1">
      <c r="B512" s="26" t="s">
        <v>2366</v>
      </c>
    </row>
    <row r="513" spans="1:7" hidden="1">
      <c r="B513" s="26" t="s">
        <v>4766</v>
      </c>
      <c r="C513" s="68">
        <f>'BASIC DATA'!D373</f>
        <v>7800</v>
      </c>
      <c r="D513" s="26" t="s">
        <v>2290</v>
      </c>
      <c r="E513" s="315" t="s">
        <v>1698</v>
      </c>
      <c r="F513" s="68">
        <f>C513</f>
        <v>7800</v>
      </c>
    </row>
    <row r="514" spans="1:7" hidden="1">
      <c r="B514" s="26" t="s">
        <v>3231</v>
      </c>
      <c r="E514" s="322" t="s">
        <v>1697</v>
      </c>
      <c r="F514" s="316">
        <v>1000</v>
      </c>
      <c r="G514" s="26" t="s">
        <v>4665</v>
      </c>
    </row>
    <row r="515" spans="1:7" hidden="1">
      <c r="B515" s="26" t="s">
        <v>3232</v>
      </c>
      <c r="C515" s="26" t="s">
        <v>7593</v>
      </c>
      <c r="E515" s="315" t="s">
        <v>1698</v>
      </c>
      <c r="F515" s="68">
        <f>F513/F514</f>
        <v>7.8</v>
      </c>
    </row>
    <row r="516" spans="1:7" hidden="1">
      <c r="B516" s="26" t="s">
        <v>4767</v>
      </c>
      <c r="C516" s="68">
        <f>'BASIC DATA'!D371</f>
        <v>14500</v>
      </c>
      <c r="D516" s="26" t="s">
        <v>2290</v>
      </c>
      <c r="E516" s="315" t="s">
        <v>1698</v>
      </c>
      <c r="F516" s="68">
        <f>C516</f>
        <v>14500</v>
      </c>
    </row>
    <row r="517" spans="1:7" hidden="1">
      <c r="B517" s="26" t="s">
        <v>5868</v>
      </c>
      <c r="E517" s="322" t="s">
        <v>1697</v>
      </c>
      <c r="F517" s="316">
        <v>600</v>
      </c>
      <c r="G517" s="26" t="s">
        <v>4665</v>
      </c>
    </row>
    <row r="518" spans="1:7" hidden="1">
      <c r="B518" s="26" t="s">
        <v>3234</v>
      </c>
      <c r="C518" s="26" t="s">
        <v>7593</v>
      </c>
      <c r="E518" s="315" t="s">
        <v>1698</v>
      </c>
      <c r="F518" s="68">
        <f>F516/F517</f>
        <v>24.166666666666668</v>
      </c>
    </row>
    <row r="519" spans="1:7" hidden="1"/>
    <row r="520" spans="1:7"/>
    <row r="521" spans="1:7">
      <c r="A521" s="865" t="s">
        <v>3984</v>
      </c>
      <c r="C521" s="203" t="s">
        <v>2367</v>
      </c>
      <c r="E521" s="171" t="s">
        <v>297</v>
      </c>
      <c r="F521" s="246">
        <v>5.22</v>
      </c>
      <c r="G521" s="26" t="s">
        <v>4646</v>
      </c>
    </row>
    <row r="522" spans="1:7">
      <c r="B522" s="79" t="s">
        <v>2368</v>
      </c>
      <c r="F522" s="68"/>
    </row>
    <row r="523" spans="1:7">
      <c r="B523" s="95" t="s">
        <v>2369</v>
      </c>
      <c r="C523" s="157" t="s">
        <v>6374</v>
      </c>
      <c r="D523" s="95" t="s">
        <v>2370</v>
      </c>
      <c r="E523" s="95" t="s">
        <v>1166</v>
      </c>
      <c r="F523" s="95" t="s">
        <v>2371</v>
      </c>
      <c r="G523" s="95" t="s">
        <v>2372</v>
      </c>
    </row>
    <row r="524" spans="1:7">
      <c r="B524" s="114"/>
      <c r="C524" s="154"/>
      <c r="D524" s="114"/>
      <c r="E524" s="114"/>
      <c r="F524" s="114" t="s">
        <v>3485</v>
      </c>
      <c r="G524" s="114" t="s">
        <v>3485</v>
      </c>
    </row>
    <row r="525" spans="1:7">
      <c r="B525" s="95">
        <v>1</v>
      </c>
      <c r="C525" s="135" t="s">
        <v>4770</v>
      </c>
      <c r="D525" s="451"/>
      <c r="E525" s="190"/>
      <c r="F525" s="190"/>
      <c r="G525" s="190"/>
    </row>
    <row r="526" spans="1:7">
      <c r="B526" s="317"/>
      <c r="C526" s="135" t="s">
        <v>4915</v>
      </c>
      <c r="D526" s="319" t="s">
        <v>3478</v>
      </c>
      <c r="E526" s="190">
        <v>4258</v>
      </c>
      <c r="F526" s="214">
        <f>'BASIC DATA'!D97/1000</f>
        <v>37.5</v>
      </c>
      <c r="G526" s="190">
        <f>E526*F526</f>
        <v>159675</v>
      </c>
    </row>
    <row r="527" spans="1:7">
      <c r="B527" s="317"/>
      <c r="C527" s="135" t="s">
        <v>4916</v>
      </c>
      <c r="D527" s="319" t="s">
        <v>3478</v>
      </c>
      <c r="E527" s="190">
        <v>98</v>
      </c>
      <c r="F527" s="214">
        <f>'BASIC DATA'!D98/1000</f>
        <v>37.4</v>
      </c>
      <c r="G527" s="190">
        <f t="shared" ref="G527:G535" si="9">E527*F527</f>
        <v>3665.2</v>
      </c>
    </row>
    <row r="528" spans="1:7">
      <c r="B528" s="317"/>
      <c r="C528" s="135" t="s">
        <v>373</v>
      </c>
      <c r="D528" s="319" t="s">
        <v>3478</v>
      </c>
      <c r="E528" s="190">
        <v>856</v>
      </c>
      <c r="F528" s="214">
        <f>'BASIC DATA'!D33</f>
        <v>63</v>
      </c>
      <c r="G528" s="190">
        <f t="shared" si="9"/>
        <v>53928</v>
      </c>
    </row>
    <row r="529" spans="2:7">
      <c r="B529" s="105">
        <v>2</v>
      </c>
      <c r="C529" s="135" t="s">
        <v>4958</v>
      </c>
      <c r="D529" s="319" t="s">
        <v>3478</v>
      </c>
      <c r="E529" s="190">
        <v>8</v>
      </c>
      <c r="F529" s="214">
        <f>'BASIC DATA'!D84</f>
        <v>80</v>
      </c>
      <c r="G529" s="190">
        <f t="shared" si="9"/>
        <v>640</v>
      </c>
    </row>
    <row r="530" spans="2:7">
      <c r="B530" s="105">
        <v>3</v>
      </c>
      <c r="C530" s="135" t="s">
        <v>958</v>
      </c>
      <c r="D530" s="319" t="s">
        <v>3477</v>
      </c>
      <c r="E530" s="190">
        <v>51</v>
      </c>
      <c r="F530" s="214">
        <f>'BASIC DATA'!D87</f>
        <v>42</v>
      </c>
      <c r="G530" s="190">
        <f t="shared" si="9"/>
        <v>2142</v>
      </c>
    </row>
    <row r="531" spans="2:7">
      <c r="B531" s="105">
        <v>4</v>
      </c>
      <c r="C531" s="135" t="s">
        <v>6815</v>
      </c>
      <c r="D531" s="319" t="s">
        <v>3477</v>
      </c>
      <c r="E531" s="190">
        <v>17</v>
      </c>
      <c r="F531" s="214">
        <f>'BASIC DATA'!D28</f>
        <v>335</v>
      </c>
      <c r="G531" s="190">
        <f t="shared" si="9"/>
        <v>5695</v>
      </c>
    </row>
    <row r="532" spans="2:7">
      <c r="B532" s="105">
        <v>5</v>
      </c>
      <c r="C532" s="135" t="s">
        <v>6816</v>
      </c>
      <c r="D532" s="319" t="s">
        <v>2059</v>
      </c>
      <c r="E532" s="190">
        <v>1195</v>
      </c>
      <c r="F532" s="214">
        <f>'BASIC DATA'!$D$110</f>
        <v>13</v>
      </c>
      <c r="G532" s="190">
        <f t="shared" si="9"/>
        <v>15535</v>
      </c>
    </row>
    <row r="533" spans="2:7">
      <c r="B533" s="105">
        <v>6</v>
      </c>
      <c r="C533" s="135" t="s">
        <v>6556</v>
      </c>
      <c r="D533" s="319" t="s">
        <v>2374</v>
      </c>
      <c r="E533" s="190">
        <v>150</v>
      </c>
      <c r="F533" s="214">
        <f>F515</f>
        <v>7.8</v>
      </c>
      <c r="G533" s="190">
        <f t="shared" si="9"/>
        <v>1170</v>
      </c>
    </row>
    <row r="534" spans="2:7">
      <c r="B534" s="105">
        <v>7</v>
      </c>
      <c r="C534" s="135" t="s">
        <v>6557</v>
      </c>
      <c r="D534" s="319" t="s">
        <v>2374</v>
      </c>
      <c r="E534" s="190">
        <v>30</v>
      </c>
      <c r="F534" s="214">
        <f>F518</f>
        <v>24.166666666666668</v>
      </c>
      <c r="G534" s="190">
        <f t="shared" si="9"/>
        <v>725</v>
      </c>
    </row>
    <row r="535" spans="2:7">
      <c r="B535" s="114">
        <v>8</v>
      </c>
      <c r="C535" s="135" t="s">
        <v>2373</v>
      </c>
      <c r="D535" s="319" t="s">
        <v>2173</v>
      </c>
      <c r="E535" s="190">
        <v>10</v>
      </c>
      <c r="F535" s="214">
        <f>'BASIC DATA'!D359</f>
        <v>30</v>
      </c>
      <c r="G535" s="190">
        <f t="shared" si="9"/>
        <v>300</v>
      </c>
    </row>
    <row r="536" spans="2:7">
      <c r="B536" s="92"/>
      <c r="C536" s="193"/>
      <c r="D536" s="151" t="s">
        <v>2376</v>
      </c>
      <c r="E536" s="160"/>
      <c r="F536" s="236" t="s">
        <v>1698</v>
      </c>
      <c r="G536" s="318">
        <f>SUM(G526:G535)</f>
        <v>243475.20000000001</v>
      </c>
    </row>
    <row r="537" spans="2:7"/>
    <row r="538" spans="2:7">
      <c r="B538" s="79" t="s">
        <v>2377</v>
      </c>
    </row>
    <row r="539" spans="2:7">
      <c r="B539" s="95" t="s">
        <v>2369</v>
      </c>
      <c r="C539" s="157" t="s">
        <v>2378</v>
      </c>
      <c r="D539" s="95" t="s">
        <v>2370</v>
      </c>
      <c r="E539" s="95" t="s">
        <v>1166</v>
      </c>
      <c r="F539" s="95" t="s">
        <v>2371</v>
      </c>
      <c r="G539" s="95" t="s">
        <v>2372</v>
      </c>
    </row>
    <row r="540" spans="2:7">
      <c r="B540" s="114"/>
      <c r="C540" s="154"/>
      <c r="D540" s="114"/>
      <c r="E540" s="114"/>
      <c r="F540" s="114" t="s">
        <v>3485</v>
      </c>
      <c r="G540" s="114" t="s">
        <v>3485</v>
      </c>
    </row>
    <row r="541" spans="2:7">
      <c r="B541" s="95">
        <v>1</v>
      </c>
      <c r="C541" s="135" t="s">
        <v>6558</v>
      </c>
      <c r="D541" s="451" t="s">
        <v>2374</v>
      </c>
      <c r="E541" s="190">
        <v>150</v>
      </c>
      <c r="F541" s="190">
        <f>'HIRE CHARGES'!D556</f>
        <v>16</v>
      </c>
      <c r="G541" s="190">
        <f>E541*F541</f>
        <v>2400</v>
      </c>
    </row>
    <row r="542" spans="2:7">
      <c r="B542" s="317"/>
      <c r="C542" s="135" t="s">
        <v>2379</v>
      </c>
      <c r="D542" s="319" t="s">
        <v>2374</v>
      </c>
      <c r="E542" s="190">
        <v>150</v>
      </c>
      <c r="F542" s="190">
        <f>'HIRE CHARGES'!E556</f>
        <v>67.2</v>
      </c>
      <c r="G542" s="190">
        <f t="shared" ref="G542:G555" si="10">E542*F542</f>
        <v>10080</v>
      </c>
    </row>
    <row r="543" spans="2:7">
      <c r="B543" s="105">
        <v>2</v>
      </c>
      <c r="C543" s="135" t="s">
        <v>6559</v>
      </c>
      <c r="D543" s="319" t="s">
        <v>2374</v>
      </c>
      <c r="E543" s="190">
        <v>6</v>
      </c>
      <c r="F543" s="190">
        <f>'HIRE CHARGES'!D547</f>
        <v>867.1</v>
      </c>
      <c r="G543" s="190">
        <f t="shared" si="10"/>
        <v>5202.6000000000004</v>
      </c>
    </row>
    <row r="544" spans="2:7">
      <c r="B544" s="317"/>
      <c r="C544" s="135" t="s">
        <v>2379</v>
      </c>
      <c r="D544" s="319" t="s">
        <v>2374</v>
      </c>
      <c r="E544" s="190">
        <v>6</v>
      </c>
      <c r="F544" s="190">
        <f>'HIRE CHARGES'!E547</f>
        <v>145.69999999999999</v>
      </c>
      <c r="G544" s="190">
        <f t="shared" si="10"/>
        <v>874.19999999999993</v>
      </c>
    </row>
    <row r="545" spans="2:7">
      <c r="B545" s="105">
        <v>3</v>
      </c>
      <c r="C545" s="135" t="s">
        <v>6060</v>
      </c>
      <c r="D545" s="319" t="s">
        <v>2374</v>
      </c>
      <c r="E545" s="190">
        <v>12</v>
      </c>
      <c r="F545" s="190">
        <f>'HIRE CHARGES'!D539</f>
        <v>6.4</v>
      </c>
      <c r="G545" s="190">
        <f t="shared" si="10"/>
        <v>76.800000000000011</v>
      </c>
    </row>
    <row r="546" spans="2:7">
      <c r="B546" s="317"/>
      <c r="C546" s="135" t="s">
        <v>2379</v>
      </c>
      <c r="D546" s="319" t="s">
        <v>2374</v>
      </c>
      <c r="E546" s="190">
        <v>12</v>
      </c>
      <c r="F546" s="190">
        <f>'HIRE CHARGES'!E539</f>
        <v>2.8</v>
      </c>
      <c r="G546" s="190">
        <f t="shared" si="10"/>
        <v>33.599999999999994</v>
      </c>
    </row>
    <row r="547" spans="2:7">
      <c r="B547" s="105">
        <v>4</v>
      </c>
      <c r="C547" s="135" t="s">
        <v>9428</v>
      </c>
      <c r="D547" s="319" t="s">
        <v>2374</v>
      </c>
      <c r="E547" s="190">
        <v>8</v>
      </c>
      <c r="F547" s="190">
        <f>'HIRE CHARGES'!D560</f>
        <v>2278.1</v>
      </c>
      <c r="G547" s="190">
        <f t="shared" si="10"/>
        <v>18224.8</v>
      </c>
    </row>
    <row r="548" spans="2:7">
      <c r="B548" s="317"/>
      <c r="C548" s="135" t="s">
        <v>2379</v>
      </c>
      <c r="D548" s="319" t="s">
        <v>2374</v>
      </c>
      <c r="E548" s="190">
        <v>8</v>
      </c>
      <c r="F548" s="190">
        <f>'HIRE CHARGES'!E560</f>
        <v>75</v>
      </c>
      <c r="G548" s="190">
        <f t="shared" si="10"/>
        <v>600</v>
      </c>
    </row>
    <row r="549" spans="2:7">
      <c r="B549" s="105">
        <v>5</v>
      </c>
      <c r="C549" s="135" t="s">
        <v>6562</v>
      </c>
      <c r="D549" s="319" t="s">
        <v>2374</v>
      </c>
      <c r="E549" s="190">
        <v>12</v>
      </c>
      <c r="F549" s="190">
        <f>'HIRE CHARGES'!D551</f>
        <v>22.5</v>
      </c>
      <c r="G549" s="190">
        <f t="shared" si="10"/>
        <v>270</v>
      </c>
    </row>
    <row r="550" spans="2:7">
      <c r="B550" s="317"/>
      <c r="C550" s="135" t="s">
        <v>2379</v>
      </c>
      <c r="D550" s="319" t="s">
        <v>2374</v>
      </c>
      <c r="E550" s="190">
        <v>12</v>
      </c>
      <c r="F550" s="190">
        <f>'HIRE CHARGES'!E551</f>
        <v>28</v>
      </c>
      <c r="G550" s="190">
        <f t="shared" si="10"/>
        <v>336</v>
      </c>
    </row>
    <row r="551" spans="2:7">
      <c r="B551" s="105">
        <v>6</v>
      </c>
      <c r="C551" s="135" t="s">
        <v>5539</v>
      </c>
      <c r="D551" s="319" t="s">
        <v>2374</v>
      </c>
      <c r="E551" s="190">
        <v>12</v>
      </c>
      <c r="F551" s="190">
        <f>'HIRE CHARGES'!D551</f>
        <v>22.5</v>
      </c>
      <c r="G551" s="190">
        <f t="shared" si="10"/>
        <v>270</v>
      </c>
    </row>
    <row r="552" spans="2:7">
      <c r="B552" s="317"/>
      <c r="C552" s="135" t="s">
        <v>2379</v>
      </c>
      <c r="D552" s="319" t="s">
        <v>2374</v>
      </c>
      <c r="E552" s="190">
        <v>12</v>
      </c>
      <c r="F552" s="190">
        <f>'HIRE CHARGES'!E551</f>
        <v>28</v>
      </c>
      <c r="G552" s="190">
        <f t="shared" si="10"/>
        <v>336</v>
      </c>
    </row>
    <row r="553" spans="2:7">
      <c r="B553" s="317">
        <v>7</v>
      </c>
      <c r="C553" s="135" t="s">
        <v>9429</v>
      </c>
      <c r="D553" s="319" t="s">
        <v>2374</v>
      </c>
      <c r="E553" s="190">
        <v>10</v>
      </c>
      <c r="F553" s="190">
        <f>'HIRE CHARGES'!$D$503</f>
        <v>42.6</v>
      </c>
      <c r="G553" s="190">
        <f t="shared" si="10"/>
        <v>426</v>
      </c>
    </row>
    <row r="554" spans="2:7">
      <c r="B554" s="317"/>
      <c r="C554" s="135" t="s">
        <v>2379</v>
      </c>
      <c r="D554" s="319" t="s">
        <v>2374</v>
      </c>
      <c r="E554" s="190">
        <v>10</v>
      </c>
      <c r="F554" s="190">
        <f>'HIRE CHARGES'!$E$503</f>
        <v>84.1</v>
      </c>
      <c r="G554" s="190">
        <f t="shared" si="10"/>
        <v>841</v>
      </c>
    </row>
    <row r="555" spans="2:7">
      <c r="B555" s="105">
        <v>8</v>
      </c>
      <c r="C555" s="135" t="s">
        <v>2373</v>
      </c>
      <c r="D555" s="319" t="s">
        <v>2173</v>
      </c>
      <c r="E555" s="190">
        <v>10</v>
      </c>
      <c r="F555" s="214">
        <f>'BASIC DATA'!D359</f>
        <v>30</v>
      </c>
      <c r="G555" s="190">
        <f t="shared" si="10"/>
        <v>300</v>
      </c>
    </row>
    <row r="556" spans="2:7">
      <c r="B556" s="36"/>
      <c r="C556" s="193" t="s">
        <v>2380</v>
      </c>
      <c r="D556" s="193"/>
      <c r="E556" s="208"/>
      <c r="F556" s="236" t="s">
        <v>1698</v>
      </c>
      <c r="G556" s="318">
        <f>SUM(G541:G555)</f>
        <v>40271</v>
      </c>
    </row>
    <row r="557" spans="2:7"/>
    <row r="558" spans="2:7">
      <c r="B558" s="79" t="s">
        <v>2381</v>
      </c>
    </row>
    <row r="559" spans="2:7">
      <c r="B559" s="95" t="s">
        <v>2369</v>
      </c>
      <c r="C559" s="157" t="s">
        <v>2378</v>
      </c>
      <c r="D559" s="95" t="s">
        <v>2370</v>
      </c>
      <c r="E559" s="95" t="s">
        <v>1166</v>
      </c>
      <c r="F559" s="95" t="s">
        <v>2371</v>
      </c>
      <c r="G559" s="95" t="s">
        <v>2372</v>
      </c>
    </row>
    <row r="560" spans="2:7">
      <c r="B560" s="114"/>
      <c r="C560" s="154"/>
      <c r="D560" s="114"/>
      <c r="E560" s="114"/>
      <c r="F560" s="114" t="s">
        <v>3485</v>
      </c>
      <c r="G560" s="114" t="s">
        <v>3485</v>
      </c>
    </row>
    <row r="561" spans="2:7">
      <c r="B561" s="105">
        <v>1</v>
      </c>
      <c r="C561" s="76" t="s">
        <v>9430</v>
      </c>
      <c r="D561" s="319" t="s">
        <v>2374</v>
      </c>
      <c r="E561" s="207">
        <v>10</v>
      </c>
      <c r="F561" s="190">
        <f>'HIRE CHARGES'!F560</f>
        <v>526.70000000000005</v>
      </c>
      <c r="G561" s="190">
        <f>E561*F561</f>
        <v>5267</v>
      </c>
    </row>
    <row r="562" spans="2:7">
      <c r="B562" s="105">
        <v>2</v>
      </c>
      <c r="C562" s="76" t="s">
        <v>5541</v>
      </c>
      <c r="D562" s="319" t="s">
        <v>2374</v>
      </c>
      <c r="E562" s="207">
        <v>6</v>
      </c>
      <c r="F562" s="190">
        <f>'HIRE CHARGES'!F547</f>
        <v>189.3</v>
      </c>
      <c r="G562" s="190">
        <f t="shared" ref="G562:G571" si="11">E562*F562</f>
        <v>1135.8000000000002</v>
      </c>
    </row>
    <row r="563" spans="2:7">
      <c r="B563" s="105">
        <v>3</v>
      </c>
      <c r="C563" s="76" t="s">
        <v>5545</v>
      </c>
      <c r="D563" s="319" t="s">
        <v>2374</v>
      </c>
      <c r="E563" s="207">
        <v>12</v>
      </c>
      <c r="F563" s="190">
        <f>'HIRE CHARGES'!F551</f>
        <v>198.9</v>
      </c>
      <c r="G563" s="190">
        <f t="shared" si="11"/>
        <v>2386.8000000000002</v>
      </c>
    </row>
    <row r="564" spans="2:7">
      <c r="B564" s="105">
        <v>4</v>
      </c>
      <c r="C564" s="76" t="s">
        <v>5546</v>
      </c>
      <c r="D564" s="319" t="s">
        <v>2374</v>
      </c>
      <c r="E564" s="207">
        <v>12</v>
      </c>
      <c r="F564" s="190">
        <f>'HIRE CHARGES'!F551</f>
        <v>198.9</v>
      </c>
      <c r="G564" s="190">
        <f t="shared" si="11"/>
        <v>2386.8000000000002</v>
      </c>
    </row>
    <row r="565" spans="2:7">
      <c r="B565" s="105">
        <v>5</v>
      </c>
      <c r="C565" s="76" t="s">
        <v>5318</v>
      </c>
      <c r="D565" s="319" t="s">
        <v>2374</v>
      </c>
      <c r="E565" s="207">
        <v>10</v>
      </c>
      <c r="F565" s="190">
        <f>'HIRE CHARGES'!$F$503</f>
        <v>131.80000000000001</v>
      </c>
      <c r="G565" s="190">
        <f t="shared" si="11"/>
        <v>1318</v>
      </c>
    </row>
    <row r="566" spans="2:7">
      <c r="B566" s="105">
        <v>6</v>
      </c>
      <c r="C566" s="76" t="s">
        <v>2468</v>
      </c>
      <c r="D566" s="319" t="s">
        <v>1172</v>
      </c>
      <c r="E566" s="207">
        <v>6</v>
      </c>
      <c r="F566" s="190">
        <f>'BASIC DATA'!C471</f>
        <v>510</v>
      </c>
      <c r="G566" s="190">
        <f t="shared" si="11"/>
        <v>3060</v>
      </c>
    </row>
    <row r="567" spans="2:7">
      <c r="B567" s="105">
        <v>7</v>
      </c>
      <c r="C567" s="76" t="s">
        <v>5547</v>
      </c>
      <c r="D567" s="319" t="s">
        <v>1172</v>
      </c>
      <c r="E567" s="207">
        <v>25</v>
      </c>
      <c r="F567" s="190">
        <f>'BASIC DATA'!C503</f>
        <v>550</v>
      </c>
      <c r="G567" s="190">
        <f t="shared" si="11"/>
        <v>13750</v>
      </c>
    </row>
    <row r="568" spans="2:7">
      <c r="B568" s="105">
        <v>8</v>
      </c>
      <c r="C568" s="76" t="s">
        <v>3010</v>
      </c>
      <c r="D568" s="319" t="s">
        <v>1172</v>
      </c>
      <c r="E568" s="207">
        <v>5</v>
      </c>
      <c r="F568" s="190">
        <f>'BASIC DATA'!C504</f>
        <v>445</v>
      </c>
      <c r="G568" s="190">
        <f t="shared" si="11"/>
        <v>2225</v>
      </c>
    </row>
    <row r="569" spans="2:7">
      <c r="B569" s="105">
        <v>9</v>
      </c>
      <c r="C569" s="76" t="s">
        <v>3013</v>
      </c>
      <c r="D569" s="319" t="s">
        <v>1172</v>
      </c>
      <c r="E569" s="207">
        <v>20</v>
      </c>
      <c r="F569" s="190">
        <f>'BASIC DATA'!C504</f>
        <v>445</v>
      </c>
      <c r="G569" s="190">
        <f t="shared" si="11"/>
        <v>8900</v>
      </c>
    </row>
    <row r="570" spans="2:7">
      <c r="B570" s="105">
        <v>10</v>
      </c>
      <c r="C570" s="76" t="s">
        <v>3011</v>
      </c>
      <c r="D570" s="319" t="s">
        <v>1172</v>
      </c>
      <c r="E570" s="207">
        <v>200</v>
      </c>
      <c r="F570" s="190">
        <f>'BASIC DATA'!C529</f>
        <v>400</v>
      </c>
      <c r="G570" s="190">
        <f t="shared" si="11"/>
        <v>80000</v>
      </c>
    </row>
    <row r="571" spans="2:7">
      <c r="B571" s="105">
        <v>11</v>
      </c>
      <c r="C571" s="76" t="s">
        <v>5604</v>
      </c>
      <c r="D571" s="319" t="s">
        <v>1172</v>
      </c>
      <c r="E571" s="207">
        <v>2</v>
      </c>
      <c r="F571" s="190">
        <f>'BASIC DATA'!C468</f>
        <v>515</v>
      </c>
      <c r="G571" s="190">
        <f t="shared" si="11"/>
        <v>1030</v>
      </c>
    </row>
    <row r="572" spans="2:7">
      <c r="B572" s="92"/>
      <c r="C572" s="193"/>
      <c r="D572" s="151" t="s">
        <v>1174</v>
      </c>
      <c r="E572" s="160"/>
      <c r="F572" s="236" t="s">
        <v>1698</v>
      </c>
      <c r="G572" s="318">
        <f>SUM(G561:G571)</f>
        <v>121459.4</v>
      </c>
    </row>
    <row r="573" spans="2:7">
      <c r="B573" s="76" t="s">
        <v>9422</v>
      </c>
      <c r="C573" s="200"/>
      <c r="D573" s="76"/>
      <c r="E573" s="76"/>
      <c r="F573" s="200"/>
      <c r="G573" s="766">
        <f>G572*30%</f>
        <v>36437.82</v>
      </c>
    </row>
    <row r="574" spans="2:7">
      <c r="B574" s="76"/>
      <c r="C574" s="200" t="s">
        <v>7956</v>
      </c>
      <c r="D574" s="76"/>
      <c r="E574" s="76"/>
      <c r="F574" s="200"/>
      <c r="G574" s="766">
        <f>SUM(G573+G572)</f>
        <v>157897.22</v>
      </c>
    </row>
    <row r="575" spans="2:7">
      <c r="B575" s="76"/>
      <c r="C575" s="200"/>
      <c r="D575" s="76"/>
      <c r="E575" s="76"/>
      <c r="F575" s="200"/>
      <c r="G575" s="766"/>
    </row>
    <row r="576" spans="2:7">
      <c r="B576" s="60" t="s">
        <v>5948</v>
      </c>
      <c r="C576" s="31"/>
      <c r="D576" s="31"/>
      <c r="E576" s="85">
        <f>ROUND(G574/F521,1)</f>
        <v>30248.5</v>
      </c>
    </row>
    <row r="577" spans="2:34">
      <c r="B577" s="60" t="s">
        <v>3163</v>
      </c>
      <c r="C577" s="31"/>
      <c r="D577" s="922">
        <f>'BASIC DATA'!$C$577</f>
        <v>0.13614999999999999</v>
      </c>
      <c r="E577" s="85">
        <f>ROUND(E576*D577,1)</f>
        <v>4118.3</v>
      </c>
    </row>
    <row r="578" spans="2:34">
      <c r="B578" s="60" t="s">
        <v>5949</v>
      </c>
      <c r="C578" s="31"/>
      <c r="D578" s="31"/>
      <c r="E578" s="199">
        <f>E577+E576</f>
        <v>34366.800000000003</v>
      </c>
    </row>
    <row r="579" spans="2:34">
      <c r="B579" s="26"/>
    </row>
    <row r="580" spans="2:34">
      <c r="B580" s="170" t="s">
        <v>1175</v>
      </c>
    </row>
    <row r="581" spans="2:34">
      <c r="B581" s="26" t="s">
        <v>1176</v>
      </c>
      <c r="F581" s="171" t="s">
        <v>1698</v>
      </c>
      <c r="G581" s="68">
        <f>G536</f>
        <v>243475.20000000001</v>
      </c>
    </row>
    <row r="582" spans="2:34">
      <c r="B582" s="26" t="s">
        <v>1186</v>
      </c>
      <c r="F582" s="171" t="s">
        <v>1698</v>
      </c>
      <c r="G582" s="68">
        <f>G556</f>
        <v>40271</v>
      </c>
    </row>
    <row r="583" spans="2:34">
      <c r="B583" s="26" t="s">
        <v>2660</v>
      </c>
      <c r="F583" s="171" t="s">
        <v>1698</v>
      </c>
      <c r="G583" s="75">
        <f>G574</f>
        <v>157897.22</v>
      </c>
    </row>
    <row r="584" spans="2:34">
      <c r="B584" s="26"/>
      <c r="E584" s="171" t="s">
        <v>5551</v>
      </c>
      <c r="F584" s="171" t="s">
        <v>1698</v>
      </c>
      <c r="G584" s="205">
        <f>SUM(G581:G583)</f>
        <v>441643.42000000004</v>
      </c>
    </row>
    <row r="585" spans="2:34">
      <c r="B585" s="26" t="s">
        <v>5087</v>
      </c>
      <c r="E585" s="693">
        <f>'BASIC DATA'!C593</f>
        <v>0</v>
      </c>
      <c r="F585" s="171" t="s">
        <v>1698</v>
      </c>
      <c r="G585" s="68">
        <f>(G583+G582)*E585*0.75</f>
        <v>0</v>
      </c>
    </row>
    <row r="586" spans="2:34">
      <c r="B586" s="26" t="s">
        <v>5084</v>
      </c>
      <c r="E586" s="171" t="s">
        <v>1518</v>
      </c>
      <c r="F586" s="171" t="s">
        <v>1698</v>
      </c>
      <c r="G586" s="205">
        <f>G585+G584</f>
        <v>441643.42000000004</v>
      </c>
    </row>
    <row r="587" spans="2:34">
      <c r="B587" s="26" t="s">
        <v>5086</v>
      </c>
      <c r="E587" s="201">
        <f>'BASIC DATA'!C594</f>
        <v>0.03</v>
      </c>
      <c r="F587" s="171" t="s">
        <v>1698</v>
      </c>
      <c r="G587" s="75">
        <f>G586*E587</f>
        <v>13249.302600000001</v>
      </c>
    </row>
    <row r="588" spans="2:34">
      <c r="B588" s="26"/>
      <c r="E588" s="26" t="s">
        <v>2392</v>
      </c>
      <c r="F588" s="171" t="s">
        <v>1698</v>
      </c>
      <c r="G588" s="75">
        <f>G587+G586</f>
        <v>454892.72260000004</v>
      </c>
    </row>
    <row r="589" spans="2:34" ht="36.75" customHeight="1">
      <c r="B589" s="1207" t="s">
        <v>4717</v>
      </c>
      <c r="C589" s="1207"/>
      <c r="D589" s="922">
        <f>'BASIC DATA'!$C$577</f>
        <v>0.13614999999999999</v>
      </c>
      <c r="F589" s="171" t="s">
        <v>1698</v>
      </c>
      <c r="G589" s="75">
        <f>G588*D589</f>
        <v>61933.644181989999</v>
      </c>
      <c r="I589" s="68"/>
    </row>
    <row r="590" spans="2:34">
      <c r="B590" s="26" t="s">
        <v>898</v>
      </c>
    </row>
    <row r="591" spans="2:34">
      <c r="B591" s="47" t="s">
        <v>897</v>
      </c>
      <c r="D591" s="48"/>
      <c r="E591" s="68">
        <f>leadcharges!F65</f>
        <v>19</v>
      </c>
      <c r="F591" s="27" t="s">
        <v>1279</v>
      </c>
      <c r="G591" s="76">
        <f>2*ROUND(E591*F521,3)</f>
        <v>198.36</v>
      </c>
      <c r="AH591" s="68"/>
    </row>
    <row r="592" spans="2:34">
      <c r="B592" s="47" t="s">
        <v>896</v>
      </c>
      <c r="D592" s="48"/>
      <c r="E592" s="68">
        <f>leadcharges!$G$79</f>
        <v>74.8</v>
      </c>
      <c r="F592" s="27" t="s">
        <v>1279</v>
      </c>
      <c r="G592" s="76">
        <f>2*ROUND(E592*F521,3)</f>
        <v>780.91200000000003</v>
      </c>
    </row>
    <row r="593" spans="1:8" ht="18.75" thickBot="1">
      <c r="B593" s="26" t="s">
        <v>5078</v>
      </c>
      <c r="D593" s="68">
        <f>F521</f>
        <v>5.22</v>
      </c>
      <c r="E593" s="26" t="s">
        <v>4646</v>
      </c>
      <c r="F593" s="171" t="s">
        <v>1698</v>
      </c>
      <c r="G593" s="205">
        <f>SUM(G588:G592)</f>
        <v>517805.63878199004</v>
      </c>
    </row>
    <row r="594" spans="1:8" ht="18.75" thickBot="1">
      <c r="D594" s="694" t="s">
        <v>3884</v>
      </c>
      <c r="E594" s="695" t="s">
        <v>4646</v>
      </c>
      <c r="F594" s="696" t="s">
        <v>1698</v>
      </c>
      <c r="G594" s="715">
        <f>ROUND(G593/D593,1)</f>
        <v>99196.5</v>
      </c>
    </row>
    <row r="595" spans="1:8">
      <c r="D595" s="200"/>
      <c r="E595" s="31"/>
      <c r="F595" s="200"/>
      <c r="G595" s="75"/>
    </row>
    <row r="596" spans="1:8">
      <c r="B596" s="26"/>
      <c r="E596" s="78"/>
      <c r="G596" s="171"/>
      <c r="H596" s="27"/>
    </row>
    <row r="597" spans="1:8">
      <c r="A597" s="822" t="s">
        <v>7165</v>
      </c>
      <c r="B597" s="170" t="s">
        <v>1576</v>
      </c>
    </row>
    <row r="598" spans="1:8" ht="18.75">
      <c r="A598" s="822" t="s">
        <v>7166</v>
      </c>
      <c r="B598" s="26" t="s">
        <v>9035</v>
      </c>
    </row>
    <row r="599" spans="1:8">
      <c r="A599" s="822"/>
      <c r="B599" s="26" t="s">
        <v>4100</v>
      </c>
    </row>
    <row r="600" spans="1:8" ht="18.75">
      <c r="A600" s="822"/>
      <c r="B600" s="26" t="s">
        <v>9036</v>
      </c>
    </row>
    <row r="601" spans="1:8">
      <c r="A601" s="822"/>
      <c r="B601" s="26" t="s">
        <v>1577</v>
      </c>
    </row>
    <row r="602" spans="1:8">
      <c r="A602" s="822"/>
      <c r="B602" s="170" t="s">
        <v>538</v>
      </c>
      <c r="E602" s="322"/>
    </row>
    <row r="603" spans="1:8">
      <c r="A603" s="822"/>
      <c r="B603" s="170" t="s">
        <v>3549</v>
      </c>
      <c r="E603" s="322"/>
    </row>
    <row r="604" spans="1:8">
      <c r="A604" s="822"/>
      <c r="B604" s="170"/>
      <c r="E604" s="322"/>
    </row>
    <row r="605" spans="1:8">
      <c r="A605" s="822"/>
      <c r="B605" s="26" t="s">
        <v>9431</v>
      </c>
      <c r="E605" s="322"/>
    </row>
    <row r="606" spans="1:8">
      <c r="A606" s="822"/>
      <c r="E606" s="26" t="s">
        <v>9418</v>
      </c>
      <c r="F606" s="322" t="s">
        <v>9432</v>
      </c>
    </row>
    <row r="607" spans="1:8" hidden="1">
      <c r="B607" s="26" t="s">
        <v>2366</v>
      </c>
    </row>
    <row r="608" spans="1:8" hidden="1">
      <c r="B608" s="26" t="s">
        <v>3230</v>
      </c>
      <c r="C608" s="68">
        <f>'BASIC DATA'!D373</f>
        <v>7800</v>
      </c>
      <c r="D608" s="26" t="s">
        <v>2290</v>
      </c>
      <c r="E608" s="315" t="s">
        <v>1698</v>
      </c>
      <c r="F608" s="68">
        <f>C608</f>
        <v>7800</v>
      </c>
    </row>
    <row r="609" spans="1:7" hidden="1">
      <c r="B609" s="26" t="s">
        <v>3231</v>
      </c>
      <c r="E609" s="322" t="s">
        <v>1697</v>
      </c>
      <c r="F609" s="316">
        <v>1000</v>
      </c>
      <c r="G609" s="26" t="s">
        <v>4665</v>
      </c>
    </row>
    <row r="610" spans="1:7" hidden="1">
      <c r="B610" s="26" t="s">
        <v>3232</v>
      </c>
      <c r="C610" s="26" t="s">
        <v>7593</v>
      </c>
      <c r="E610" s="315" t="s">
        <v>1698</v>
      </c>
      <c r="F610" s="68">
        <f>F608/F609</f>
        <v>7.8</v>
      </c>
    </row>
    <row r="611" spans="1:7" hidden="1">
      <c r="B611" s="26" t="s">
        <v>6838</v>
      </c>
      <c r="C611" s="68">
        <f>'BASIC DATA'!D371</f>
        <v>14500</v>
      </c>
      <c r="D611" s="26" t="s">
        <v>2290</v>
      </c>
      <c r="E611" s="315" t="s">
        <v>1698</v>
      </c>
      <c r="F611" s="68">
        <f>C611</f>
        <v>14500</v>
      </c>
    </row>
    <row r="612" spans="1:7" hidden="1">
      <c r="B612" s="26" t="s">
        <v>5868</v>
      </c>
      <c r="E612" s="322" t="s">
        <v>1697</v>
      </c>
      <c r="F612" s="316">
        <v>600</v>
      </c>
      <c r="G612" s="26" t="s">
        <v>4665</v>
      </c>
    </row>
    <row r="613" spans="1:7" hidden="1">
      <c r="B613" s="26" t="s">
        <v>3234</v>
      </c>
      <c r="C613" s="26" t="s">
        <v>7593</v>
      </c>
      <c r="E613" s="315" t="s">
        <v>1698</v>
      </c>
      <c r="F613" s="68">
        <f>F611/F612</f>
        <v>24.166666666666668</v>
      </c>
    </row>
    <row r="614" spans="1:7"/>
    <row r="615" spans="1:7">
      <c r="A615" s="865" t="s">
        <v>3984</v>
      </c>
      <c r="C615" s="203" t="s">
        <v>2367</v>
      </c>
      <c r="E615" s="171" t="s">
        <v>297</v>
      </c>
      <c r="F615" s="692">
        <v>6.3</v>
      </c>
      <c r="G615" s="26" t="s">
        <v>3480</v>
      </c>
    </row>
    <row r="616" spans="1:7">
      <c r="B616" s="79" t="s">
        <v>2368</v>
      </c>
      <c r="F616" s="68"/>
    </row>
    <row r="617" spans="1:7">
      <c r="B617" s="95" t="s">
        <v>2369</v>
      </c>
      <c r="C617" s="157" t="s">
        <v>6374</v>
      </c>
      <c r="D617" s="95" t="s">
        <v>2370</v>
      </c>
      <c r="E617" s="95" t="s">
        <v>1166</v>
      </c>
      <c r="F617" s="95" t="s">
        <v>2371</v>
      </c>
      <c r="G617" s="95" t="s">
        <v>2372</v>
      </c>
    </row>
    <row r="618" spans="1:7">
      <c r="B618" s="114"/>
      <c r="C618" s="154"/>
      <c r="D618" s="114"/>
      <c r="E618" s="114"/>
      <c r="F618" s="114" t="s">
        <v>3485</v>
      </c>
      <c r="G618" s="114" t="s">
        <v>3485</v>
      </c>
    </row>
    <row r="619" spans="1:7">
      <c r="B619" s="95">
        <v>1</v>
      </c>
      <c r="C619" s="135" t="s">
        <v>6244</v>
      </c>
      <c r="D619" s="451" t="s">
        <v>3478</v>
      </c>
      <c r="E619" s="190">
        <v>1885</v>
      </c>
      <c r="F619" s="214">
        <f>'BASIC DATA'!D97/1000</f>
        <v>37.5</v>
      </c>
      <c r="G619" s="190">
        <f>E619*F619</f>
        <v>70687.5</v>
      </c>
    </row>
    <row r="620" spans="1:7">
      <c r="B620" s="105">
        <v>2</v>
      </c>
      <c r="C620" s="135" t="s">
        <v>5431</v>
      </c>
      <c r="D620" s="319" t="s">
        <v>3478</v>
      </c>
      <c r="E620" s="190">
        <v>3890</v>
      </c>
      <c r="F620" s="214">
        <f>'BASIC DATA'!D98/1000</f>
        <v>37.4</v>
      </c>
      <c r="G620" s="190">
        <f t="shared" ref="G620:G630" si="12">E620*F620</f>
        <v>145486</v>
      </c>
    </row>
    <row r="621" spans="1:7">
      <c r="B621" s="105">
        <v>3</v>
      </c>
      <c r="C621" s="135" t="s">
        <v>4653</v>
      </c>
      <c r="D621" s="319" t="s">
        <v>3478</v>
      </c>
      <c r="E621" s="190">
        <v>271</v>
      </c>
      <c r="F621" s="214">
        <f>'BASIC DATA'!D180</f>
        <v>275</v>
      </c>
      <c r="G621" s="190">
        <f t="shared" si="12"/>
        <v>74525</v>
      </c>
    </row>
    <row r="622" spans="1:7">
      <c r="B622" s="105">
        <v>4</v>
      </c>
      <c r="C622" s="135" t="s">
        <v>4654</v>
      </c>
      <c r="D622" s="319" t="s">
        <v>3478</v>
      </c>
      <c r="E622" s="190">
        <v>50</v>
      </c>
      <c r="F622" s="214">
        <f>'BASIC DATA'!D84</f>
        <v>80</v>
      </c>
      <c r="G622" s="190">
        <f t="shared" si="12"/>
        <v>4000</v>
      </c>
    </row>
    <row r="623" spans="1:7">
      <c r="B623" s="105">
        <v>5</v>
      </c>
      <c r="C623" s="135" t="s">
        <v>958</v>
      </c>
      <c r="D623" s="319" t="s">
        <v>3477</v>
      </c>
      <c r="E623" s="190">
        <v>225</v>
      </c>
      <c r="F623" s="214">
        <f>'BASIC DATA'!D87</f>
        <v>42</v>
      </c>
      <c r="G623" s="190">
        <f t="shared" si="12"/>
        <v>9450</v>
      </c>
    </row>
    <row r="624" spans="1:7">
      <c r="B624" s="105">
        <v>6</v>
      </c>
      <c r="C624" s="135" t="s">
        <v>6815</v>
      </c>
      <c r="D624" s="319" t="s">
        <v>3477</v>
      </c>
      <c r="E624" s="190">
        <v>75</v>
      </c>
      <c r="F624" s="214">
        <f>'BASIC DATA'!D28</f>
        <v>335</v>
      </c>
      <c r="G624" s="190">
        <f t="shared" si="12"/>
        <v>25125</v>
      </c>
    </row>
    <row r="625" spans="2:7">
      <c r="B625" s="105">
        <v>7</v>
      </c>
      <c r="C625" s="135" t="s">
        <v>6816</v>
      </c>
      <c r="D625" s="319" t="s">
        <v>2059</v>
      </c>
      <c r="E625" s="190">
        <v>1410</v>
      </c>
      <c r="F625" s="214">
        <f>'BASIC DATA'!$D$110</f>
        <v>13</v>
      </c>
      <c r="G625" s="190">
        <f t="shared" si="12"/>
        <v>18330</v>
      </c>
    </row>
    <row r="626" spans="2:7">
      <c r="B626" s="105">
        <v>8</v>
      </c>
      <c r="C626" s="135" t="s">
        <v>4655</v>
      </c>
      <c r="D626" s="319" t="s">
        <v>2059</v>
      </c>
      <c r="E626" s="190">
        <v>350</v>
      </c>
      <c r="F626" s="214">
        <f>'BASIC DATA'!$D$181</f>
        <v>15</v>
      </c>
      <c r="G626" s="190">
        <f t="shared" si="12"/>
        <v>5250</v>
      </c>
    </row>
    <row r="627" spans="2:7">
      <c r="B627" s="105">
        <v>9</v>
      </c>
      <c r="C627" s="135" t="s">
        <v>4656</v>
      </c>
      <c r="D627" s="319" t="s">
        <v>2059</v>
      </c>
      <c r="E627" s="190">
        <v>1320</v>
      </c>
      <c r="F627" s="214">
        <f>'BASIC DATA'!$D$182</f>
        <v>23</v>
      </c>
      <c r="G627" s="190">
        <f t="shared" si="12"/>
        <v>30360</v>
      </c>
    </row>
    <row r="628" spans="2:7">
      <c r="B628" s="105">
        <v>10</v>
      </c>
      <c r="C628" s="135" t="s">
        <v>6556</v>
      </c>
      <c r="D628" s="319" t="s">
        <v>2374</v>
      </c>
      <c r="E628" s="190">
        <v>385</v>
      </c>
      <c r="F628" s="214">
        <f>F610</f>
        <v>7.8</v>
      </c>
      <c r="G628" s="190">
        <f t="shared" si="12"/>
        <v>3003</v>
      </c>
    </row>
    <row r="629" spans="2:7">
      <c r="B629" s="105">
        <v>11</v>
      </c>
      <c r="C629" s="135" t="s">
        <v>6557</v>
      </c>
      <c r="D629" s="319" t="s">
        <v>2374</v>
      </c>
      <c r="E629" s="190">
        <v>225</v>
      </c>
      <c r="F629" s="214">
        <f>F613</f>
        <v>24.166666666666668</v>
      </c>
      <c r="G629" s="190">
        <f t="shared" si="12"/>
        <v>5437.5</v>
      </c>
    </row>
    <row r="630" spans="2:7">
      <c r="B630" s="114">
        <v>12</v>
      </c>
      <c r="C630" s="135" t="s">
        <v>2373</v>
      </c>
      <c r="D630" s="319" t="s">
        <v>2173</v>
      </c>
      <c r="E630" s="190">
        <v>40</v>
      </c>
      <c r="F630" s="214">
        <f>'BASIC DATA'!D359</f>
        <v>30</v>
      </c>
      <c r="G630" s="190">
        <f t="shared" si="12"/>
        <v>1200</v>
      </c>
    </row>
    <row r="631" spans="2:7">
      <c r="B631" s="92"/>
      <c r="C631" s="193"/>
      <c r="D631" s="151" t="s">
        <v>2376</v>
      </c>
      <c r="E631" s="160"/>
      <c r="F631" s="236" t="s">
        <v>1698</v>
      </c>
      <c r="G631" s="318">
        <f>SUM(G619:G630)</f>
        <v>392854</v>
      </c>
    </row>
    <row r="632" spans="2:7"/>
    <row r="633" spans="2:7">
      <c r="B633" s="79" t="s">
        <v>2377</v>
      </c>
    </row>
    <row r="634" spans="2:7">
      <c r="B634" s="95" t="s">
        <v>2369</v>
      </c>
      <c r="C634" s="157" t="s">
        <v>2378</v>
      </c>
      <c r="D634" s="95" t="s">
        <v>2370</v>
      </c>
      <c r="E634" s="95" t="s">
        <v>1166</v>
      </c>
      <c r="F634" s="95" t="s">
        <v>2371</v>
      </c>
      <c r="G634" s="95" t="s">
        <v>2372</v>
      </c>
    </row>
    <row r="635" spans="2:7">
      <c r="B635" s="114"/>
      <c r="C635" s="154"/>
      <c r="D635" s="114"/>
      <c r="E635" s="114"/>
      <c r="F635" s="114" t="s">
        <v>3485</v>
      </c>
      <c r="G635" s="114" t="s">
        <v>3485</v>
      </c>
    </row>
    <row r="636" spans="2:7">
      <c r="B636" s="95">
        <v>1</v>
      </c>
      <c r="C636" s="135" t="s">
        <v>6558</v>
      </c>
      <c r="D636" s="451" t="s">
        <v>2374</v>
      </c>
      <c r="E636" s="190">
        <v>385</v>
      </c>
      <c r="F636" s="190">
        <f>'HIRE CHARGES'!D556</f>
        <v>16</v>
      </c>
      <c r="G636" s="190">
        <f>E636*F636</f>
        <v>6160</v>
      </c>
    </row>
    <row r="637" spans="2:7">
      <c r="B637" s="317"/>
      <c r="C637" s="135" t="s">
        <v>2379</v>
      </c>
      <c r="D637" s="319" t="s">
        <v>2374</v>
      </c>
      <c r="E637" s="190">
        <v>385</v>
      </c>
      <c r="F637" s="190">
        <f>'HIRE CHARGES'!E556</f>
        <v>67.2</v>
      </c>
      <c r="G637" s="190">
        <f t="shared" ref="G637:G654" si="13">E637*F637</f>
        <v>25872</v>
      </c>
    </row>
    <row r="638" spans="2:7">
      <c r="B638" s="105">
        <v>2</v>
      </c>
      <c r="C638" s="135" t="s">
        <v>6560</v>
      </c>
      <c r="D638" s="319" t="s">
        <v>2374</v>
      </c>
      <c r="E638" s="190">
        <v>8</v>
      </c>
      <c r="F638" s="190">
        <f>'HIRE CHARGES'!D536</f>
        <v>41.9</v>
      </c>
      <c r="G638" s="190">
        <f t="shared" si="13"/>
        <v>335.2</v>
      </c>
    </row>
    <row r="639" spans="2:7">
      <c r="B639" s="317"/>
      <c r="C639" s="135" t="s">
        <v>2379</v>
      </c>
      <c r="D639" s="319" t="s">
        <v>2374</v>
      </c>
      <c r="E639" s="190">
        <v>8</v>
      </c>
      <c r="F639" s="190">
        <f>'HIRE CHARGES'!E536</f>
        <v>112.1</v>
      </c>
      <c r="G639" s="190">
        <f t="shared" si="13"/>
        <v>896.8</v>
      </c>
    </row>
    <row r="640" spans="2:7">
      <c r="B640" s="105">
        <v>3</v>
      </c>
      <c r="C640" s="135" t="s">
        <v>6060</v>
      </c>
      <c r="D640" s="319" t="s">
        <v>2374</v>
      </c>
      <c r="E640" s="190">
        <v>110</v>
      </c>
      <c r="F640" s="190">
        <f>'HIRE CHARGES'!D539</f>
        <v>6.4</v>
      </c>
      <c r="G640" s="190">
        <f t="shared" si="13"/>
        <v>704</v>
      </c>
    </row>
    <row r="641" spans="2:7">
      <c r="B641" s="317"/>
      <c r="C641" s="135" t="s">
        <v>2379</v>
      </c>
      <c r="D641" s="319" t="s">
        <v>2374</v>
      </c>
      <c r="E641" s="190">
        <v>110</v>
      </c>
      <c r="F641" s="190">
        <f>'HIRE CHARGES'!E539</f>
        <v>2.8</v>
      </c>
      <c r="G641" s="190">
        <f t="shared" si="13"/>
        <v>308</v>
      </c>
    </row>
    <row r="642" spans="2:7">
      <c r="B642" s="105">
        <v>4</v>
      </c>
      <c r="C642" s="135" t="s">
        <v>5540</v>
      </c>
      <c r="D642" s="319" t="s">
        <v>2374</v>
      </c>
      <c r="E642" s="190">
        <v>270</v>
      </c>
      <c r="F642" s="190">
        <f>'HIRE CHARGES'!D535</f>
        <v>117.8</v>
      </c>
      <c r="G642" s="190">
        <f t="shared" si="13"/>
        <v>31806</v>
      </c>
    </row>
    <row r="643" spans="2:7">
      <c r="B643" s="317"/>
      <c r="C643" s="135" t="s">
        <v>2379</v>
      </c>
      <c r="D643" s="319" t="s">
        <v>2374</v>
      </c>
      <c r="E643" s="190">
        <v>270</v>
      </c>
      <c r="F643" s="190">
        <f>'HIRE CHARGES'!E535</f>
        <v>84.1</v>
      </c>
      <c r="G643" s="190">
        <f t="shared" si="13"/>
        <v>22707</v>
      </c>
    </row>
    <row r="644" spans="2:7">
      <c r="B644" s="105">
        <v>5</v>
      </c>
      <c r="C644" s="135" t="s">
        <v>9433</v>
      </c>
      <c r="D644" s="319" t="s">
        <v>2374</v>
      </c>
      <c r="E644" s="190">
        <v>24</v>
      </c>
      <c r="F644" s="190">
        <f>'HIRE CHARGES'!D560</f>
        <v>2278.1</v>
      </c>
      <c r="G644" s="190">
        <f t="shared" si="13"/>
        <v>54674.399999999994</v>
      </c>
    </row>
    <row r="645" spans="2:7">
      <c r="B645" s="317"/>
      <c r="C645" s="135" t="s">
        <v>2379</v>
      </c>
      <c r="D645" s="319" t="s">
        <v>2374</v>
      </c>
      <c r="E645" s="190">
        <v>24</v>
      </c>
      <c r="F645" s="190">
        <f>'HIRE CHARGES'!E560</f>
        <v>75</v>
      </c>
      <c r="G645" s="190">
        <f t="shared" si="13"/>
        <v>1800</v>
      </c>
    </row>
    <row r="646" spans="2:7">
      <c r="B646" s="105">
        <v>6</v>
      </c>
      <c r="C646" s="135" t="s">
        <v>866</v>
      </c>
      <c r="D646" s="319" t="s">
        <v>2374</v>
      </c>
      <c r="E646" s="190">
        <v>14</v>
      </c>
      <c r="F646" s="190">
        <f>'HIRE CHARGES'!D544</f>
        <v>86.1</v>
      </c>
      <c r="G646" s="190">
        <f t="shared" si="13"/>
        <v>1205.3999999999999</v>
      </c>
    </row>
    <row r="647" spans="2:7">
      <c r="B647" s="317"/>
      <c r="C647" s="135" t="s">
        <v>2379</v>
      </c>
      <c r="D647" s="319" t="s">
        <v>2374</v>
      </c>
      <c r="E647" s="190">
        <v>14</v>
      </c>
      <c r="F647" s="190">
        <f>'HIRE CHARGES'!E544</f>
        <v>0</v>
      </c>
      <c r="G647" s="190">
        <f t="shared" si="13"/>
        <v>0</v>
      </c>
    </row>
    <row r="648" spans="2:7">
      <c r="B648" s="105">
        <v>7</v>
      </c>
      <c r="C648" s="135" t="s">
        <v>6562</v>
      </c>
      <c r="D648" s="319" t="s">
        <v>2374</v>
      </c>
      <c r="E648" s="190">
        <v>14</v>
      </c>
      <c r="F648" s="190">
        <f>'HIRE CHARGES'!D551</f>
        <v>22.5</v>
      </c>
      <c r="G648" s="190">
        <f t="shared" si="13"/>
        <v>315</v>
      </c>
    </row>
    <row r="649" spans="2:7">
      <c r="B649" s="317"/>
      <c r="C649" s="135" t="s">
        <v>2379</v>
      </c>
      <c r="D649" s="319" t="s">
        <v>2374</v>
      </c>
      <c r="E649" s="190">
        <v>14</v>
      </c>
      <c r="F649" s="190">
        <f>'HIRE CHARGES'!E551</f>
        <v>28</v>
      </c>
      <c r="G649" s="190">
        <f t="shared" si="13"/>
        <v>392</v>
      </c>
    </row>
    <row r="650" spans="2:7">
      <c r="B650" s="105">
        <v>8</v>
      </c>
      <c r="C650" s="135" t="s">
        <v>5539</v>
      </c>
      <c r="D650" s="319" t="s">
        <v>2374</v>
      </c>
      <c r="E650" s="190">
        <v>21</v>
      </c>
      <c r="F650" s="190">
        <f>'HIRE CHARGES'!D551</f>
        <v>22.5</v>
      </c>
      <c r="G650" s="190">
        <f t="shared" si="13"/>
        <v>472.5</v>
      </c>
    </row>
    <row r="651" spans="2:7">
      <c r="B651" s="317"/>
      <c r="C651" s="135" t="s">
        <v>2379</v>
      </c>
      <c r="D651" s="319" t="s">
        <v>2374</v>
      </c>
      <c r="E651" s="190">
        <v>21</v>
      </c>
      <c r="F651" s="190">
        <f>'HIRE CHARGES'!E551</f>
        <v>28</v>
      </c>
      <c r="G651" s="190">
        <f t="shared" si="13"/>
        <v>588</v>
      </c>
    </row>
    <row r="652" spans="2:7">
      <c r="B652" s="317">
        <v>9</v>
      </c>
      <c r="C652" s="135" t="s">
        <v>9429</v>
      </c>
      <c r="D652" s="319" t="s">
        <v>2374</v>
      </c>
      <c r="E652" s="190">
        <v>14</v>
      </c>
      <c r="F652" s="190">
        <f>'HIRE CHARGES'!$D$503</f>
        <v>42.6</v>
      </c>
      <c r="G652" s="190">
        <f t="shared" si="13"/>
        <v>596.4</v>
      </c>
    </row>
    <row r="653" spans="2:7">
      <c r="B653" s="317"/>
      <c r="C653" s="135" t="s">
        <v>2379</v>
      </c>
      <c r="D653" s="319" t="s">
        <v>2374</v>
      </c>
      <c r="E653" s="190">
        <v>14</v>
      </c>
      <c r="F653" s="190">
        <f>'HIRE CHARGES'!$E$503</f>
        <v>84.1</v>
      </c>
      <c r="G653" s="190">
        <f t="shared" si="13"/>
        <v>1177.3999999999999</v>
      </c>
    </row>
    <row r="654" spans="2:7">
      <c r="B654" s="114">
        <v>10</v>
      </c>
      <c r="C654" s="135" t="s">
        <v>2373</v>
      </c>
      <c r="D654" s="319" t="s">
        <v>2173</v>
      </c>
      <c r="E654" s="190">
        <v>40</v>
      </c>
      <c r="F654" s="214">
        <f>'BASIC DATA'!D359</f>
        <v>30</v>
      </c>
      <c r="G654" s="190">
        <f t="shared" si="13"/>
        <v>1200</v>
      </c>
    </row>
    <row r="655" spans="2:7">
      <c r="B655" s="176"/>
      <c r="C655" s="193" t="s">
        <v>2380</v>
      </c>
      <c r="D655" s="193"/>
      <c r="E655" s="208"/>
      <c r="F655" s="236" t="s">
        <v>1698</v>
      </c>
      <c r="G655" s="318">
        <f>SUM(G636:G654)</f>
        <v>151210.09999999998</v>
      </c>
    </row>
    <row r="656" spans="2:7"/>
    <row r="657" spans="2:7">
      <c r="B657" s="79" t="s">
        <v>2381</v>
      </c>
    </row>
    <row r="658" spans="2:7">
      <c r="B658" s="95" t="s">
        <v>2369</v>
      </c>
      <c r="C658" s="157" t="s">
        <v>2378</v>
      </c>
      <c r="D658" s="95" t="s">
        <v>2370</v>
      </c>
      <c r="E658" s="95" t="s">
        <v>1166</v>
      </c>
      <c r="F658" s="95" t="s">
        <v>2371</v>
      </c>
      <c r="G658" s="95" t="s">
        <v>2372</v>
      </c>
    </row>
    <row r="659" spans="2:7">
      <c r="B659" s="114"/>
      <c r="C659" s="154"/>
      <c r="D659" s="114"/>
      <c r="E659" s="114"/>
      <c r="F659" s="114" t="s">
        <v>3485</v>
      </c>
      <c r="G659" s="114" t="s">
        <v>3485</v>
      </c>
    </row>
    <row r="660" spans="2:7">
      <c r="B660" s="105">
        <v>1</v>
      </c>
      <c r="C660" s="76" t="s">
        <v>9421</v>
      </c>
      <c r="D660" s="319" t="s">
        <v>2374</v>
      </c>
      <c r="E660" s="207">
        <v>24</v>
      </c>
      <c r="F660" s="190">
        <f>'HIRE CHARGES'!F560</f>
        <v>526.70000000000005</v>
      </c>
      <c r="G660" s="190">
        <f>E660*F660</f>
        <v>12640.800000000001</v>
      </c>
    </row>
    <row r="661" spans="2:7">
      <c r="B661" s="105">
        <v>2</v>
      </c>
      <c r="C661" s="76" t="s">
        <v>5544</v>
      </c>
      <c r="D661" s="319" t="s">
        <v>2374</v>
      </c>
      <c r="E661" s="207">
        <v>270</v>
      </c>
      <c r="F661" s="190">
        <f>'HIRE CHARGES'!F535</f>
        <v>210.9</v>
      </c>
      <c r="G661" s="190">
        <f t="shared" ref="G661:G671" si="14">E661*F661</f>
        <v>56943</v>
      </c>
    </row>
    <row r="662" spans="2:7">
      <c r="B662" s="105">
        <v>3</v>
      </c>
      <c r="C662" s="76" t="s">
        <v>5545</v>
      </c>
      <c r="D662" s="319" t="s">
        <v>2374</v>
      </c>
      <c r="E662" s="207">
        <v>21</v>
      </c>
      <c r="F662" s="190">
        <f>'HIRE CHARGES'!F551</f>
        <v>198.9</v>
      </c>
      <c r="G662" s="190">
        <f t="shared" si="14"/>
        <v>4176.9000000000005</v>
      </c>
    </row>
    <row r="663" spans="2:7">
      <c r="B663" s="105">
        <v>4</v>
      </c>
      <c r="C663" s="76" t="s">
        <v>5546</v>
      </c>
      <c r="D663" s="319" t="s">
        <v>2374</v>
      </c>
      <c r="E663" s="207">
        <v>14</v>
      </c>
      <c r="F663" s="190">
        <f>'HIRE CHARGES'!F551</f>
        <v>198.9</v>
      </c>
      <c r="G663" s="190">
        <f t="shared" si="14"/>
        <v>2784.6</v>
      </c>
    </row>
    <row r="664" spans="2:7">
      <c r="B664" s="105">
        <v>5</v>
      </c>
      <c r="C664" s="76" t="s">
        <v>5318</v>
      </c>
      <c r="D664" s="319" t="s">
        <v>2374</v>
      </c>
      <c r="E664" s="207">
        <v>14</v>
      </c>
      <c r="F664" s="190">
        <f>'HIRE CHARGES'!$F$503</f>
        <v>131.80000000000001</v>
      </c>
      <c r="G664" s="190">
        <f t="shared" si="14"/>
        <v>1845.2000000000003</v>
      </c>
    </row>
    <row r="665" spans="2:7">
      <c r="B665" s="105">
        <v>6</v>
      </c>
      <c r="C665" s="76" t="s">
        <v>2468</v>
      </c>
      <c r="D665" s="319" t="s">
        <v>1172</v>
      </c>
      <c r="E665" s="207">
        <v>32</v>
      </c>
      <c r="F665" s="190">
        <f>'BASIC DATA'!C471</f>
        <v>510</v>
      </c>
      <c r="G665" s="190">
        <f t="shared" si="14"/>
        <v>16320</v>
      </c>
    </row>
    <row r="666" spans="2:7">
      <c r="B666" s="105">
        <v>7</v>
      </c>
      <c r="C666" s="76" t="s">
        <v>5547</v>
      </c>
      <c r="D666" s="319" t="s">
        <v>1172</v>
      </c>
      <c r="E666" s="207">
        <v>35</v>
      </c>
      <c r="F666" s="190">
        <f>'BASIC DATA'!C503</f>
        <v>550</v>
      </c>
      <c r="G666" s="190">
        <f t="shared" si="14"/>
        <v>19250</v>
      </c>
    </row>
    <row r="667" spans="2:7">
      <c r="B667" s="105">
        <v>8</v>
      </c>
      <c r="C667" s="76" t="s">
        <v>3010</v>
      </c>
      <c r="D667" s="319" t="s">
        <v>1172</v>
      </c>
      <c r="E667" s="207">
        <v>9</v>
      </c>
      <c r="F667" s="190">
        <f>'BASIC DATA'!C504</f>
        <v>445</v>
      </c>
      <c r="G667" s="190">
        <f t="shared" si="14"/>
        <v>4005</v>
      </c>
    </row>
    <row r="668" spans="2:7">
      <c r="B668" s="105">
        <v>9</v>
      </c>
      <c r="C668" s="76" t="s">
        <v>3013</v>
      </c>
      <c r="D668" s="319" t="s">
        <v>1172</v>
      </c>
      <c r="E668" s="207">
        <v>46</v>
      </c>
      <c r="F668" s="190">
        <f>'BASIC DATA'!C504</f>
        <v>445</v>
      </c>
      <c r="G668" s="190">
        <f t="shared" si="14"/>
        <v>20470</v>
      </c>
    </row>
    <row r="669" spans="2:7">
      <c r="B669" s="105">
        <v>10</v>
      </c>
      <c r="C669" s="76" t="s">
        <v>5548</v>
      </c>
      <c r="D669" s="319" t="s">
        <v>1172</v>
      </c>
      <c r="E669" s="207">
        <v>6</v>
      </c>
      <c r="F669" s="190">
        <f>'BASIC DATA'!C505</f>
        <v>510</v>
      </c>
      <c r="G669" s="190">
        <f t="shared" si="14"/>
        <v>3060</v>
      </c>
    </row>
    <row r="670" spans="2:7">
      <c r="B670" s="105">
        <v>11</v>
      </c>
      <c r="C670" s="76" t="s">
        <v>3011</v>
      </c>
      <c r="D670" s="319" t="s">
        <v>1172</v>
      </c>
      <c r="E670" s="207">
        <v>240</v>
      </c>
      <c r="F670" s="190">
        <f>'BASIC DATA'!C529</f>
        <v>400</v>
      </c>
      <c r="G670" s="190">
        <f t="shared" si="14"/>
        <v>96000</v>
      </c>
    </row>
    <row r="671" spans="2:7">
      <c r="B671" s="105">
        <v>12</v>
      </c>
      <c r="C671" s="76" t="s">
        <v>5604</v>
      </c>
      <c r="D671" s="319" t="s">
        <v>1172</v>
      </c>
      <c r="E671" s="207">
        <v>4</v>
      </c>
      <c r="F671" s="190">
        <f>'BASIC DATA'!C468</f>
        <v>515</v>
      </c>
      <c r="G671" s="190">
        <f t="shared" si="14"/>
        <v>2060</v>
      </c>
    </row>
    <row r="672" spans="2:7">
      <c r="B672" s="92"/>
      <c r="C672" s="193"/>
      <c r="D672" s="151" t="s">
        <v>1174</v>
      </c>
      <c r="E672" s="160"/>
      <c r="F672" s="236" t="s">
        <v>1698</v>
      </c>
      <c r="G672" s="318">
        <f>SUM(G660:G671)</f>
        <v>239555.5</v>
      </c>
    </row>
    <row r="673" spans="2:7">
      <c r="B673" s="76" t="s">
        <v>9422</v>
      </c>
      <c r="C673" s="200"/>
      <c r="D673" s="76"/>
      <c r="E673" s="76"/>
      <c r="F673" s="200"/>
      <c r="G673" s="766">
        <f>G672*30%</f>
        <v>71866.649999999994</v>
      </c>
    </row>
    <row r="674" spans="2:7">
      <c r="B674" s="76"/>
      <c r="C674" s="200" t="s">
        <v>7956</v>
      </c>
      <c r="D674" s="76"/>
      <c r="E674" s="76"/>
      <c r="F674" s="200"/>
      <c r="G674" s="766">
        <f>SUM(G673+G672)</f>
        <v>311422.15000000002</v>
      </c>
    </row>
    <row r="675" spans="2:7">
      <c r="B675" s="76"/>
      <c r="C675" s="200"/>
      <c r="D675" s="76"/>
      <c r="E675" s="76"/>
      <c r="F675" s="200"/>
      <c r="G675" s="766"/>
    </row>
    <row r="676" spans="2:7">
      <c r="B676" s="60" t="s">
        <v>5948</v>
      </c>
      <c r="C676" s="31"/>
      <c r="D676" s="31"/>
      <c r="E676" s="85">
        <f>ROUND(G674/F615,1)</f>
        <v>49432.1</v>
      </c>
    </row>
    <row r="677" spans="2:7">
      <c r="B677" s="60" t="s">
        <v>3163</v>
      </c>
      <c r="C677" s="31"/>
      <c r="D677" s="922">
        <f>'BASIC DATA'!$C$577</f>
        <v>0.13614999999999999</v>
      </c>
      <c r="E677" s="85">
        <f>ROUND(E676*D677,1)</f>
        <v>6730.2</v>
      </c>
    </row>
    <row r="678" spans="2:7">
      <c r="B678" s="60" t="s">
        <v>5949</v>
      </c>
      <c r="C678" s="31"/>
      <c r="D678" s="31"/>
      <c r="E678" s="199">
        <f>E677+E676</f>
        <v>56162.299999999996</v>
      </c>
    </row>
    <row r="679" spans="2:7">
      <c r="B679" s="26"/>
    </row>
    <row r="680" spans="2:7">
      <c r="B680" s="170" t="s">
        <v>1175</v>
      </c>
    </row>
    <row r="681" spans="2:7">
      <c r="B681" s="26" t="s">
        <v>1176</v>
      </c>
      <c r="F681" s="171" t="s">
        <v>1698</v>
      </c>
      <c r="G681" s="68">
        <f>G631</f>
        <v>392854</v>
      </c>
    </row>
    <row r="682" spans="2:7">
      <c r="B682" s="26" t="s">
        <v>1186</v>
      </c>
      <c r="F682" s="171" t="s">
        <v>1698</v>
      </c>
      <c r="G682" s="68">
        <f>G655</f>
        <v>151210.09999999998</v>
      </c>
    </row>
    <row r="683" spans="2:7">
      <c r="B683" s="26" t="s">
        <v>2660</v>
      </c>
      <c r="F683" s="171" t="s">
        <v>1698</v>
      </c>
      <c r="G683" s="173">
        <f>G674</f>
        <v>311422.15000000002</v>
      </c>
    </row>
    <row r="684" spans="2:7">
      <c r="B684" s="26"/>
      <c r="E684" s="171" t="s">
        <v>5551</v>
      </c>
      <c r="F684" s="171" t="s">
        <v>1698</v>
      </c>
      <c r="G684" s="205">
        <f>SUM(G681:G683)</f>
        <v>855486.25</v>
      </c>
    </row>
    <row r="685" spans="2:7">
      <c r="B685" s="26" t="s">
        <v>5087</v>
      </c>
      <c r="E685" s="693">
        <f>'BASIC DATA'!C593</f>
        <v>0</v>
      </c>
      <c r="F685" s="171" t="s">
        <v>1698</v>
      </c>
      <c r="G685" s="68">
        <f>(G683+G682)*E685*0.75</f>
        <v>0</v>
      </c>
    </row>
    <row r="686" spans="2:7">
      <c r="B686" s="26" t="s">
        <v>5084</v>
      </c>
      <c r="E686" s="171" t="s">
        <v>1518</v>
      </c>
      <c r="F686" s="171" t="s">
        <v>1698</v>
      </c>
      <c r="G686" s="205">
        <f>G685+G684</f>
        <v>855486.25</v>
      </c>
    </row>
    <row r="687" spans="2:7">
      <c r="B687" s="26" t="s">
        <v>5086</v>
      </c>
      <c r="E687" s="201">
        <f>'BASIC DATA'!C594</f>
        <v>0.03</v>
      </c>
      <c r="F687" s="171" t="s">
        <v>1698</v>
      </c>
      <c r="G687" s="75">
        <f>G686*E687</f>
        <v>25664.587499999998</v>
      </c>
    </row>
    <row r="688" spans="2:7">
      <c r="B688" s="26"/>
      <c r="E688" s="26" t="s">
        <v>2392</v>
      </c>
      <c r="F688" s="171" t="s">
        <v>1698</v>
      </c>
      <c r="G688" s="75">
        <f>G687+G686</f>
        <v>881150.83750000002</v>
      </c>
    </row>
    <row r="689" spans="1:34" ht="42.75" customHeight="1">
      <c r="B689" s="1207" t="s">
        <v>4717</v>
      </c>
      <c r="C689" s="1207"/>
      <c r="D689" s="922">
        <f>'BASIC DATA'!$C$577</f>
        <v>0.13614999999999999</v>
      </c>
      <c r="F689" s="171" t="s">
        <v>1698</v>
      </c>
      <c r="G689" s="75">
        <f>G688*D689</f>
        <v>119968.686525625</v>
      </c>
      <c r="I689" s="68"/>
    </row>
    <row r="690" spans="1:34">
      <c r="B690" s="26" t="s">
        <v>898</v>
      </c>
    </row>
    <row r="691" spans="1:34">
      <c r="B691" s="47" t="s">
        <v>897</v>
      </c>
      <c r="D691" s="48"/>
      <c r="E691" s="68">
        <f>leadcharges!F65</f>
        <v>19</v>
      </c>
      <c r="F691" s="27" t="s">
        <v>1279</v>
      </c>
      <c r="G691" s="76">
        <f>2*ROUND(E691*F615,3)</f>
        <v>239.4</v>
      </c>
      <c r="AH691" s="68"/>
    </row>
    <row r="692" spans="1:34">
      <c r="B692" s="47" t="s">
        <v>896</v>
      </c>
      <c r="D692" s="48"/>
      <c r="E692" s="68">
        <f>leadcharges!$G$79</f>
        <v>74.8</v>
      </c>
      <c r="F692" s="27" t="s">
        <v>1279</v>
      </c>
      <c r="G692" s="76">
        <f>2*ROUND(E692*F615,3)</f>
        <v>942.48</v>
      </c>
    </row>
    <row r="693" spans="1:34" ht="18.75" thickBot="1">
      <c r="B693" s="26" t="s">
        <v>5078</v>
      </c>
      <c r="D693" s="68">
        <f>F615</f>
        <v>6.3</v>
      </c>
      <c r="E693" s="26" t="s">
        <v>3480</v>
      </c>
      <c r="F693" s="171" t="s">
        <v>1698</v>
      </c>
      <c r="G693" s="205">
        <f>SUM(G688:G692)</f>
        <v>1002301.4040256251</v>
      </c>
    </row>
    <row r="694" spans="1:34" ht="18.75" thickBot="1">
      <c r="B694" s="26"/>
      <c r="D694" s="694" t="s">
        <v>3884</v>
      </c>
      <c r="E694" s="695" t="s">
        <v>3480</v>
      </c>
      <c r="F694" s="696" t="s">
        <v>1698</v>
      </c>
      <c r="G694" s="716">
        <f>ROUND(G693/D693,1)</f>
        <v>159095.5</v>
      </c>
    </row>
    <row r="695" spans="1:34">
      <c r="B695" s="26"/>
      <c r="C695" s="78"/>
    </row>
    <row r="696" spans="1:34">
      <c r="B696" s="26"/>
      <c r="C696" s="78"/>
      <c r="E696" s="78"/>
      <c r="G696" s="171"/>
      <c r="H696" s="27"/>
    </row>
    <row r="697" spans="1:34">
      <c r="B697" s="170" t="s">
        <v>7865</v>
      </c>
    </row>
    <row r="698" spans="1:34">
      <c r="A698" s="822" t="s">
        <v>7167</v>
      </c>
      <c r="B698" s="26" t="s">
        <v>9037</v>
      </c>
    </row>
    <row r="699" spans="1:34" ht="18.75">
      <c r="B699" s="26" t="s">
        <v>9038</v>
      </c>
    </row>
    <row r="700" spans="1:34">
      <c r="B700" s="26" t="s">
        <v>7126</v>
      </c>
    </row>
    <row r="701" spans="1:34">
      <c r="B701" s="26" t="s">
        <v>6412</v>
      </c>
    </row>
    <row r="702" spans="1:34">
      <c r="B702" s="26" t="s">
        <v>5935</v>
      </c>
    </row>
    <row r="703" spans="1:34">
      <c r="B703" s="170" t="s">
        <v>538</v>
      </c>
      <c r="E703" s="322"/>
    </row>
    <row r="704" spans="1:34">
      <c r="B704" s="170" t="s">
        <v>3549</v>
      </c>
      <c r="E704" s="322"/>
    </row>
    <row r="705" spans="1:7">
      <c r="B705" s="170"/>
      <c r="E705" s="322"/>
    </row>
    <row r="706" spans="1:7">
      <c r="B706" s="170" t="s">
        <v>9434</v>
      </c>
      <c r="E706" s="322"/>
    </row>
    <row r="707" spans="1:7">
      <c r="B707" s="170"/>
      <c r="E707" s="26" t="s">
        <v>9418</v>
      </c>
      <c r="F707" s="26" t="s">
        <v>9435</v>
      </c>
    </row>
    <row r="708" spans="1:7">
      <c r="B708" s="26"/>
      <c r="E708" s="322"/>
    </row>
    <row r="709" spans="1:7" hidden="1">
      <c r="B709" s="26" t="s">
        <v>2366</v>
      </c>
    </row>
    <row r="710" spans="1:7" hidden="1">
      <c r="B710" s="26" t="s">
        <v>6355</v>
      </c>
      <c r="C710" s="68">
        <f>'BASIC DATA'!D373</f>
        <v>7800</v>
      </c>
      <c r="D710" s="26" t="s">
        <v>2290</v>
      </c>
      <c r="E710" s="324" t="s">
        <v>1698</v>
      </c>
      <c r="F710" s="68">
        <f>C710</f>
        <v>7800</v>
      </c>
    </row>
    <row r="711" spans="1:7" hidden="1">
      <c r="B711" s="26" t="s">
        <v>3231</v>
      </c>
      <c r="E711" s="315" t="s">
        <v>1697</v>
      </c>
      <c r="F711" s="316">
        <v>1000</v>
      </c>
      <c r="G711" s="26" t="s">
        <v>4665</v>
      </c>
    </row>
    <row r="712" spans="1:7" hidden="1">
      <c r="B712" s="26" t="s">
        <v>3232</v>
      </c>
      <c r="C712" s="26" t="s">
        <v>7593</v>
      </c>
      <c r="E712" s="324" t="s">
        <v>1698</v>
      </c>
      <c r="F712" s="68">
        <f>F710/F711</f>
        <v>7.8</v>
      </c>
    </row>
    <row r="713" spans="1:7" hidden="1">
      <c r="B713" s="26" t="s">
        <v>6356</v>
      </c>
      <c r="C713" s="68">
        <f>'BASIC DATA'!D371</f>
        <v>14500</v>
      </c>
      <c r="D713" s="26" t="s">
        <v>2290</v>
      </c>
      <c r="E713" s="324" t="s">
        <v>1698</v>
      </c>
      <c r="F713" s="68">
        <f>C713</f>
        <v>14500</v>
      </c>
    </row>
    <row r="714" spans="1:7" hidden="1">
      <c r="B714" s="26" t="s">
        <v>5868</v>
      </c>
      <c r="E714" s="315" t="s">
        <v>1697</v>
      </c>
      <c r="F714" s="316">
        <v>600</v>
      </c>
      <c r="G714" s="26" t="s">
        <v>4665</v>
      </c>
    </row>
    <row r="715" spans="1:7" hidden="1">
      <c r="B715" s="26" t="s">
        <v>3234</v>
      </c>
      <c r="C715" s="26" t="s">
        <v>7593</v>
      </c>
      <c r="E715" s="324" t="s">
        <v>1698</v>
      </c>
      <c r="F715" s="68">
        <f>F713/F714</f>
        <v>24.166666666666668</v>
      </c>
    </row>
    <row r="716" spans="1:7"/>
    <row r="717" spans="1:7">
      <c r="A717" s="865" t="s">
        <v>3984</v>
      </c>
      <c r="C717" s="203" t="s">
        <v>2367</v>
      </c>
      <c r="E717" s="171" t="s">
        <v>297</v>
      </c>
      <c r="F717" s="692">
        <v>119</v>
      </c>
      <c r="G717" s="26" t="s">
        <v>3480</v>
      </c>
    </row>
    <row r="718" spans="1:7">
      <c r="B718" s="79" t="s">
        <v>2368</v>
      </c>
      <c r="F718" s="68"/>
    </row>
    <row r="719" spans="1:7">
      <c r="B719" s="95" t="s">
        <v>2369</v>
      </c>
      <c r="C719" s="157" t="s">
        <v>6374</v>
      </c>
      <c r="D719" s="95" t="s">
        <v>2370</v>
      </c>
      <c r="E719" s="95" t="s">
        <v>1166</v>
      </c>
      <c r="F719" s="95" t="s">
        <v>2371</v>
      </c>
      <c r="G719" s="95" t="s">
        <v>2372</v>
      </c>
    </row>
    <row r="720" spans="1:7">
      <c r="B720" s="114"/>
      <c r="C720" s="154"/>
      <c r="D720" s="114"/>
      <c r="E720" s="114"/>
      <c r="F720" s="114" t="s">
        <v>3485</v>
      </c>
      <c r="G720" s="114" t="s">
        <v>3485</v>
      </c>
    </row>
    <row r="721" spans="2:7">
      <c r="B721" s="95">
        <v>1</v>
      </c>
      <c r="C721" s="135" t="s">
        <v>4770</v>
      </c>
      <c r="D721" s="451"/>
      <c r="E721" s="190"/>
      <c r="F721" s="190"/>
      <c r="G721" s="190"/>
    </row>
    <row r="722" spans="2:7">
      <c r="B722" s="317"/>
      <c r="C722" s="135" t="s">
        <v>4915</v>
      </c>
      <c r="D722" s="319" t="s">
        <v>3478</v>
      </c>
      <c r="E722" s="190">
        <v>5280</v>
      </c>
      <c r="F722" s="214">
        <f>'BASIC DATA'!D97/1000</f>
        <v>37.5</v>
      </c>
      <c r="G722" s="190">
        <f>E722*F722</f>
        <v>198000</v>
      </c>
    </row>
    <row r="723" spans="2:7">
      <c r="B723" s="317"/>
      <c r="C723" s="135" t="s">
        <v>4916</v>
      </c>
      <c r="D723" s="319" t="s">
        <v>3478</v>
      </c>
      <c r="E723" s="190">
        <v>112880</v>
      </c>
      <c r="F723" s="214">
        <f>'BASIC DATA'!D98/1000</f>
        <v>37.4</v>
      </c>
      <c r="G723" s="190">
        <f t="shared" ref="G723:G737" si="15">E723*F723</f>
        <v>4221712</v>
      </c>
    </row>
    <row r="724" spans="2:7">
      <c r="B724" s="105">
        <v>2</v>
      </c>
      <c r="C724" s="135" t="s">
        <v>4771</v>
      </c>
      <c r="D724" s="319"/>
      <c r="E724" s="190"/>
      <c r="F724" s="214"/>
      <c r="G724" s="190"/>
    </row>
    <row r="725" spans="2:7">
      <c r="B725" s="317"/>
      <c r="C725" s="135" t="s">
        <v>5164</v>
      </c>
      <c r="D725" s="319" t="s">
        <v>3478</v>
      </c>
      <c r="E725" s="190">
        <v>520</v>
      </c>
      <c r="F725" s="214">
        <f>'BASIC DATA'!D160</f>
        <v>450</v>
      </c>
      <c r="G725" s="190">
        <f t="shared" si="15"/>
        <v>234000</v>
      </c>
    </row>
    <row r="726" spans="2:7">
      <c r="B726" s="105">
        <v>3</v>
      </c>
      <c r="C726" s="135" t="s">
        <v>374</v>
      </c>
      <c r="D726" s="319"/>
      <c r="E726" s="190"/>
      <c r="F726" s="214"/>
      <c r="G726" s="190"/>
    </row>
    <row r="727" spans="2:7">
      <c r="B727" s="317"/>
      <c r="C727" s="135" t="s">
        <v>4957</v>
      </c>
      <c r="D727" s="319" t="s">
        <v>3478</v>
      </c>
      <c r="E727" s="190">
        <v>600</v>
      </c>
      <c r="F727" s="214">
        <f>'BASIC DATA'!D161</f>
        <v>140</v>
      </c>
      <c r="G727" s="190">
        <f t="shared" si="15"/>
        <v>84000</v>
      </c>
    </row>
    <row r="728" spans="2:7">
      <c r="B728" s="105">
        <v>4</v>
      </c>
      <c r="C728" s="135" t="s">
        <v>541</v>
      </c>
      <c r="D728" s="319"/>
      <c r="E728" s="190"/>
      <c r="F728" s="214"/>
      <c r="G728" s="190"/>
    </row>
    <row r="729" spans="2:7">
      <c r="B729" s="317"/>
      <c r="C729" s="135" t="s">
        <v>4960</v>
      </c>
      <c r="D729" s="319" t="s">
        <v>3483</v>
      </c>
      <c r="E729" s="190">
        <v>210</v>
      </c>
      <c r="F729" s="214">
        <f>'BASIC DATA'!D174</f>
        <v>780</v>
      </c>
      <c r="G729" s="190">
        <f t="shared" si="15"/>
        <v>163800</v>
      </c>
    </row>
    <row r="730" spans="2:7">
      <c r="B730" s="317"/>
      <c r="C730" s="135" t="s">
        <v>542</v>
      </c>
      <c r="D730" s="319" t="s">
        <v>3483</v>
      </c>
      <c r="E730" s="190">
        <v>18</v>
      </c>
      <c r="F730" s="214">
        <f>'BASIC DATA'!D176</f>
        <v>1210</v>
      </c>
      <c r="G730" s="190">
        <f t="shared" si="15"/>
        <v>21780</v>
      </c>
    </row>
    <row r="731" spans="2:7">
      <c r="B731" s="105">
        <v>5</v>
      </c>
      <c r="C731" s="135" t="s">
        <v>958</v>
      </c>
      <c r="D731" s="319" t="s">
        <v>3477</v>
      </c>
      <c r="E731" s="190">
        <v>2714</v>
      </c>
      <c r="F731" s="214">
        <f>'BASIC DATA'!D87</f>
        <v>42</v>
      </c>
      <c r="G731" s="190">
        <f t="shared" si="15"/>
        <v>113988</v>
      </c>
    </row>
    <row r="732" spans="2:7">
      <c r="B732" s="105">
        <v>6</v>
      </c>
      <c r="C732" s="135" t="s">
        <v>6815</v>
      </c>
      <c r="D732" s="319" t="s">
        <v>3477</v>
      </c>
      <c r="E732" s="190">
        <v>905</v>
      </c>
      <c r="F732" s="214">
        <f>'BASIC DATA'!D28</f>
        <v>335</v>
      </c>
      <c r="G732" s="190">
        <f t="shared" si="15"/>
        <v>303175</v>
      </c>
    </row>
    <row r="733" spans="2:7">
      <c r="B733" s="105">
        <v>7</v>
      </c>
      <c r="C733" s="135" t="s">
        <v>6816</v>
      </c>
      <c r="D733" s="319" t="s">
        <v>2059</v>
      </c>
      <c r="E733" s="190">
        <v>86554</v>
      </c>
      <c r="F733" s="214">
        <f>'BASIC DATA'!$D$110</f>
        <v>13</v>
      </c>
      <c r="G733" s="190">
        <f t="shared" si="15"/>
        <v>1125202</v>
      </c>
    </row>
    <row r="734" spans="2:7">
      <c r="B734" s="105">
        <v>8</v>
      </c>
      <c r="C734" s="135" t="s">
        <v>4655</v>
      </c>
      <c r="D734" s="319" t="s">
        <v>2059</v>
      </c>
      <c r="E734" s="190">
        <v>16486</v>
      </c>
      <c r="F734" s="214">
        <f>'BASIC DATA'!$D$181</f>
        <v>15</v>
      </c>
      <c r="G734" s="190">
        <f t="shared" si="15"/>
        <v>247290</v>
      </c>
    </row>
    <row r="735" spans="2:7">
      <c r="B735" s="105">
        <v>9</v>
      </c>
      <c r="C735" s="135" t="s">
        <v>6556</v>
      </c>
      <c r="D735" s="319" t="s">
        <v>2374</v>
      </c>
      <c r="E735" s="190">
        <v>12880</v>
      </c>
      <c r="F735" s="214">
        <f>F712</f>
        <v>7.8</v>
      </c>
      <c r="G735" s="190">
        <f t="shared" si="15"/>
        <v>100464</v>
      </c>
    </row>
    <row r="736" spans="2:7">
      <c r="B736" s="105">
        <v>10</v>
      </c>
      <c r="C736" s="135" t="s">
        <v>6557</v>
      </c>
      <c r="D736" s="319" t="s">
        <v>2374</v>
      </c>
      <c r="E736" s="190">
        <v>2714</v>
      </c>
      <c r="F736" s="214">
        <f>F715</f>
        <v>24.166666666666668</v>
      </c>
      <c r="G736" s="190">
        <f t="shared" si="15"/>
        <v>65588.333333333343</v>
      </c>
    </row>
    <row r="737" spans="2:7">
      <c r="B737" s="114">
        <v>11</v>
      </c>
      <c r="C737" s="135" t="s">
        <v>2373</v>
      </c>
      <c r="D737" s="319" t="s">
        <v>2173</v>
      </c>
      <c r="E737" s="190">
        <v>400</v>
      </c>
      <c r="F737" s="214">
        <f>'BASIC DATA'!D359</f>
        <v>30</v>
      </c>
      <c r="G737" s="190">
        <f t="shared" si="15"/>
        <v>12000</v>
      </c>
    </row>
    <row r="738" spans="2:7">
      <c r="B738" s="92"/>
      <c r="C738" s="193"/>
      <c r="D738" s="151" t="s">
        <v>2376</v>
      </c>
      <c r="E738" s="160"/>
      <c r="F738" s="236" t="s">
        <v>1698</v>
      </c>
      <c r="G738" s="318">
        <f>SUM(G722:G737)</f>
        <v>6890999.333333333</v>
      </c>
    </row>
    <row r="739" spans="2:7"/>
    <row r="740" spans="2:7">
      <c r="B740" s="79" t="s">
        <v>2377</v>
      </c>
    </row>
    <row r="741" spans="2:7">
      <c r="B741" s="95" t="s">
        <v>2369</v>
      </c>
      <c r="C741" s="157" t="s">
        <v>2378</v>
      </c>
      <c r="D741" s="95" t="s">
        <v>2370</v>
      </c>
      <c r="E741" s="95" t="s">
        <v>1166</v>
      </c>
      <c r="F741" s="95" t="s">
        <v>2371</v>
      </c>
      <c r="G741" s="95" t="s">
        <v>2372</v>
      </c>
    </row>
    <row r="742" spans="2:7">
      <c r="B742" s="114"/>
      <c r="C742" s="154"/>
      <c r="D742" s="114"/>
      <c r="E742" s="114"/>
      <c r="F742" s="114" t="s">
        <v>3485</v>
      </c>
      <c r="G742" s="114" t="s">
        <v>3485</v>
      </c>
    </row>
    <row r="743" spans="2:7">
      <c r="B743" s="95">
        <v>1</v>
      </c>
      <c r="C743" s="135" t="s">
        <v>6558</v>
      </c>
      <c r="D743" s="451" t="s">
        <v>2374</v>
      </c>
      <c r="E743" s="190">
        <v>12880</v>
      </c>
      <c r="F743" s="190">
        <f>'HIRE CHARGES'!D556</f>
        <v>16</v>
      </c>
      <c r="G743" s="190">
        <f>E743*F743</f>
        <v>206080</v>
      </c>
    </row>
    <row r="744" spans="2:7">
      <c r="B744" s="317"/>
      <c r="C744" s="135" t="s">
        <v>2379</v>
      </c>
      <c r="D744" s="319" t="s">
        <v>2374</v>
      </c>
      <c r="E744" s="190">
        <v>12880</v>
      </c>
      <c r="F744" s="190">
        <f>'HIRE CHARGES'!E556</f>
        <v>67.2</v>
      </c>
      <c r="G744" s="190">
        <f t="shared" ref="G744:G757" si="16">E744*F744</f>
        <v>865536</v>
      </c>
    </row>
    <row r="745" spans="2:7">
      <c r="B745" s="105">
        <v>2</v>
      </c>
      <c r="C745" s="135" t="s">
        <v>6060</v>
      </c>
      <c r="D745" s="319" t="s">
        <v>2374</v>
      </c>
      <c r="E745" s="190">
        <v>6440</v>
      </c>
      <c r="F745" s="190">
        <f>'HIRE CHARGES'!D539</f>
        <v>6.4</v>
      </c>
      <c r="G745" s="190">
        <f t="shared" si="16"/>
        <v>41216</v>
      </c>
    </row>
    <row r="746" spans="2:7">
      <c r="B746" s="317"/>
      <c r="C746" s="135" t="s">
        <v>2379</v>
      </c>
      <c r="D746" s="319" t="s">
        <v>2374</v>
      </c>
      <c r="E746" s="190">
        <v>6440</v>
      </c>
      <c r="F746" s="190">
        <f>'HIRE CHARGES'!E539</f>
        <v>2.8</v>
      </c>
      <c r="G746" s="190">
        <f t="shared" si="16"/>
        <v>18032</v>
      </c>
    </row>
    <row r="747" spans="2:7">
      <c r="B747" s="105">
        <v>3</v>
      </c>
      <c r="C747" s="135" t="s">
        <v>9436</v>
      </c>
      <c r="D747" s="319" t="s">
        <v>2374</v>
      </c>
      <c r="E747" s="190">
        <v>360</v>
      </c>
      <c r="F747" s="190">
        <f>'HIRE CHARGES'!D560</f>
        <v>2278.1</v>
      </c>
      <c r="G747" s="190">
        <f t="shared" si="16"/>
        <v>820116</v>
      </c>
    </row>
    <row r="748" spans="2:7">
      <c r="B748" s="317"/>
      <c r="C748" s="135" t="s">
        <v>2379</v>
      </c>
      <c r="D748" s="319" t="s">
        <v>2374</v>
      </c>
      <c r="E748" s="190">
        <v>360</v>
      </c>
      <c r="F748" s="190">
        <f>'HIRE CHARGES'!E560</f>
        <v>75</v>
      </c>
      <c r="G748" s="190">
        <f t="shared" si="16"/>
        <v>27000</v>
      </c>
    </row>
    <row r="749" spans="2:7">
      <c r="B749" s="105">
        <v>4</v>
      </c>
      <c r="C749" s="135" t="s">
        <v>866</v>
      </c>
      <c r="D749" s="319" t="s">
        <v>2374</v>
      </c>
      <c r="E749" s="190">
        <v>238</v>
      </c>
      <c r="F749" s="190">
        <f>'HIRE CHARGES'!D544</f>
        <v>86.1</v>
      </c>
      <c r="G749" s="190">
        <f t="shared" si="16"/>
        <v>20491.8</v>
      </c>
    </row>
    <row r="750" spans="2:7">
      <c r="B750" s="317"/>
      <c r="C750" s="135" t="s">
        <v>2379</v>
      </c>
      <c r="D750" s="319" t="s">
        <v>2374</v>
      </c>
      <c r="E750" s="190">
        <v>238</v>
      </c>
      <c r="F750" s="190">
        <f>'HIRE CHARGES'!E544</f>
        <v>0</v>
      </c>
      <c r="G750" s="190">
        <f t="shared" si="16"/>
        <v>0</v>
      </c>
    </row>
    <row r="751" spans="2:7">
      <c r="B751" s="105">
        <v>5</v>
      </c>
      <c r="C751" s="135" t="s">
        <v>6562</v>
      </c>
      <c r="D751" s="319" t="s">
        <v>2374</v>
      </c>
      <c r="E751" s="190">
        <v>238</v>
      </c>
      <c r="F751" s="190">
        <f>'HIRE CHARGES'!D551</f>
        <v>22.5</v>
      </c>
      <c r="G751" s="190">
        <f t="shared" si="16"/>
        <v>5355</v>
      </c>
    </row>
    <row r="752" spans="2:7">
      <c r="B752" s="317"/>
      <c r="C752" s="135" t="s">
        <v>2379</v>
      </c>
      <c r="D752" s="319" t="s">
        <v>2374</v>
      </c>
      <c r="E752" s="190">
        <v>238</v>
      </c>
      <c r="F752" s="190">
        <f>'HIRE CHARGES'!E551</f>
        <v>28</v>
      </c>
      <c r="G752" s="190">
        <f t="shared" si="16"/>
        <v>6664</v>
      </c>
    </row>
    <row r="753" spans="2:7">
      <c r="B753" s="105">
        <v>6</v>
      </c>
      <c r="C753" s="135" t="s">
        <v>5539</v>
      </c>
      <c r="D753" s="319" t="s">
        <v>2374</v>
      </c>
      <c r="E753" s="190">
        <v>357</v>
      </c>
      <c r="F753" s="190">
        <f>'HIRE CHARGES'!D551</f>
        <v>22.5</v>
      </c>
      <c r="G753" s="190">
        <f t="shared" si="16"/>
        <v>8032.5</v>
      </c>
    </row>
    <row r="754" spans="2:7">
      <c r="B754" s="317"/>
      <c r="C754" s="135" t="s">
        <v>2379</v>
      </c>
      <c r="D754" s="319" t="s">
        <v>2374</v>
      </c>
      <c r="E754" s="190">
        <v>357</v>
      </c>
      <c r="F754" s="190">
        <f>'HIRE CHARGES'!E551</f>
        <v>28</v>
      </c>
      <c r="G754" s="190">
        <f t="shared" si="16"/>
        <v>9996</v>
      </c>
    </row>
    <row r="755" spans="2:7">
      <c r="B755" s="317">
        <v>7</v>
      </c>
      <c r="C755" s="135" t="s">
        <v>9429</v>
      </c>
      <c r="D755" s="319" t="s">
        <v>2374</v>
      </c>
      <c r="E755" s="190">
        <v>240</v>
      </c>
      <c r="F755" s="190">
        <f>'HIRE CHARGES'!D503</f>
        <v>42.6</v>
      </c>
      <c r="G755" s="190">
        <f t="shared" si="16"/>
        <v>10224</v>
      </c>
    </row>
    <row r="756" spans="2:7">
      <c r="B756" s="317"/>
      <c r="C756" s="135" t="s">
        <v>2379</v>
      </c>
      <c r="D756" s="319" t="s">
        <v>2374</v>
      </c>
      <c r="E756" s="190">
        <v>240</v>
      </c>
      <c r="F756" s="190">
        <f>'HIRE CHARGES'!E503</f>
        <v>84.1</v>
      </c>
      <c r="G756" s="190">
        <f t="shared" si="16"/>
        <v>20184</v>
      </c>
    </row>
    <row r="757" spans="2:7">
      <c r="B757" s="105">
        <v>8</v>
      </c>
      <c r="C757" s="135" t="s">
        <v>2373</v>
      </c>
      <c r="D757" s="319" t="s">
        <v>2173</v>
      </c>
      <c r="E757" s="190">
        <v>180</v>
      </c>
      <c r="F757" s="214">
        <f>'BASIC DATA'!D359</f>
        <v>30</v>
      </c>
      <c r="G757" s="190">
        <f t="shared" si="16"/>
        <v>5400</v>
      </c>
    </row>
    <row r="758" spans="2:7">
      <c r="B758" s="176"/>
      <c r="C758" s="193" t="s">
        <v>2380</v>
      </c>
      <c r="D758" s="193"/>
      <c r="E758" s="208"/>
      <c r="F758" s="236" t="s">
        <v>1698</v>
      </c>
      <c r="G758" s="318">
        <f>SUM(G743:G757)</f>
        <v>2064327.3</v>
      </c>
    </row>
    <row r="759" spans="2:7"/>
    <row r="760" spans="2:7">
      <c r="B760" s="79" t="s">
        <v>2381</v>
      </c>
    </row>
    <row r="761" spans="2:7">
      <c r="B761" s="95" t="s">
        <v>2369</v>
      </c>
      <c r="C761" s="157" t="s">
        <v>2378</v>
      </c>
      <c r="D761" s="95" t="s">
        <v>2370</v>
      </c>
      <c r="E761" s="95" t="s">
        <v>1166</v>
      </c>
      <c r="F761" s="95" t="s">
        <v>2371</v>
      </c>
      <c r="G761" s="95" t="s">
        <v>2372</v>
      </c>
    </row>
    <row r="762" spans="2:7">
      <c r="B762" s="114"/>
      <c r="C762" s="154"/>
      <c r="D762" s="114"/>
      <c r="E762" s="114"/>
      <c r="F762" s="114" t="s">
        <v>3485</v>
      </c>
      <c r="G762" s="114" t="s">
        <v>3485</v>
      </c>
    </row>
    <row r="763" spans="2:7">
      <c r="B763" s="105">
        <v>1</v>
      </c>
      <c r="C763" s="76" t="s">
        <v>9430</v>
      </c>
      <c r="D763" s="319" t="s">
        <v>2374</v>
      </c>
      <c r="E763" s="207">
        <v>360</v>
      </c>
      <c r="F763" s="190">
        <f>'HIRE CHARGES'!F560</f>
        <v>526.70000000000005</v>
      </c>
      <c r="G763" s="190">
        <f>E763*F763</f>
        <v>189612.00000000003</v>
      </c>
    </row>
    <row r="764" spans="2:7">
      <c r="B764" s="105">
        <v>2</v>
      </c>
      <c r="C764" s="76" t="s">
        <v>5545</v>
      </c>
      <c r="D764" s="319" t="s">
        <v>2374</v>
      </c>
      <c r="E764" s="207">
        <v>357</v>
      </c>
      <c r="F764" s="190">
        <f>'HIRE CHARGES'!F551</f>
        <v>198.9</v>
      </c>
      <c r="G764" s="190">
        <f t="shared" ref="G764:G774" si="17">E764*F764</f>
        <v>71007.3</v>
      </c>
    </row>
    <row r="765" spans="2:7">
      <c r="B765" s="105">
        <v>3</v>
      </c>
      <c r="C765" s="76" t="s">
        <v>5546</v>
      </c>
      <c r="D765" s="319" t="s">
        <v>2374</v>
      </c>
      <c r="E765" s="207">
        <v>238</v>
      </c>
      <c r="F765" s="190">
        <f>'HIRE CHARGES'!F551</f>
        <v>198.9</v>
      </c>
      <c r="G765" s="190">
        <f t="shared" si="17"/>
        <v>47338.200000000004</v>
      </c>
    </row>
    <row r="766" spans="2:7">
      <c r="B766" s="105">
        <v>4</v>
      </c>
      <c r="C766" s="76" t="s">
        <v>5318</v>
      </c>
      <c r="D766" s="319" t="s">
        <v>2374</v>
      </c>
      <c r="E766" s="207">
        <v>240</v>
      </c>
      <c r="F766" s="190">
        <f>'HIRE CHARGES'!F503</f>
        <v>131.80000000000001</v>
      </c>
      <c r="G766" s="190">
        <f t="shared" si="17"/>
        <v>31632.000000000004</v>
      </c>
    </row>
    <row r="767" spans="2:7">
      <c r="B767" s="105">
        <v>5</v>
      </c>
      <c r="C767" s="76" t="s">
        <v>2468</v>
      </c>
      <c r="D767" s="319" t="s">
        <v>1172</v>
      </c>
      <c r="E767" s="207">
        <v>120</v>
      </c>
      <c r="F767" s="190">
        <f>'BASIC DATA'!C471</f>
        <v>510</v>
      </c>
      <c r="G767" s="190">
        <f t="shared" si="17"/>
        <v>61200</v>
      </c>
    </row>
    <row r="768" spans="2:7">
      <c r="B768" s="105">
        <v>6</v>
      </c>
      <c r="C768" s="76" t="s">
        <v>5547</v>
      </c>
      <c r="D768" s="319" t="s">
        <v>1172</v>
      </c>
      <c r="E768" s="207">
        <v>195</v>
      </c>
      <c r="F768" s="190">
        <f>'BASIC DATA'!C503</f>
        <v>550</v>
      </c>
      <c r="G768" s="190">
        <f t="shared" si="17"/>
        <v>107250</v>
      </c>
    </row>
    <row r="769" spans="2:7">
      <c r="B769" s="105">
        <v>7</v>
      </c>
      <c r="C769" s="76" t="s">
        <v>3010</v>
      </c>
      <c r="D769" s="319" t="s">
        <v>1172</v>
      </c>
      <c r="E769" s="207">
        <v>100</v>
      </c>
      <c r="F769" s="190">
        <f>'BASIC DATA'!C504</f>
        <v>445</v>
      </c>
      <c r="G769" s="190">
        <f t="shared" si="17"/>
        <v>44500</v>
      </c>
    </row>
    <row r="770" spans="2:7">
      <c r="B770" s="105">
        <v>8</v>
      </c>
      <c r="C770" s="76" t="s">
        <v>3013</v>
      </c>
      <c r="D770" s="319" t="s">
        <v>1172</v>
      </c>
      <c r="E770" s="207">
        <v>1442</v>
      </c>
      <c r="F770" s="190">
        <f>'BASIC DATA'!C504</f>
        <v>445</v>
      </c>
      <c r="G770" s="190">
        <f t="shared" si="17"/>
        <v>641690</v>
      </c>
    </row>
    <row r="771" spans="2:7">
      <c r="B771" s="105">
        <v>9</v>
      </c>
      <c r="C771" s="76" t="s">
        <v>5548</v>
      </c>
      <c r="D771" s="319" t="s">
        <v>1172</v>
      </c>
      <c r="E771" s="207">
        <v>275</v>
      </c>
      <c r="F771" s="190">
        <f>'BASIC DATA'!C505</f>
        <v>510</v>
      </c>
      <c r="G771" s="190">
        <f t="shared" si="17"/>
        <v>140250</v>
      </c>
    </row>
    <row r="772" spans="2:7">
      <c r="B772" s="105">
        <v>10</v>
      </c>
      <c r="C772" s="76" t="s">
        <v>3012</v>
      </c>
      <c r="D772" s="319" t="s">
        <v>1172</v>
      </c>
      <c r="E772" s="207">
        <v>2023</v>
      </c>
      <c r="F772" s="190">
        <f>'BASIC DATA'!C500</f>
        <v>445</v>
      </c>
      <c r="G772" s="190">
        <f t="shared" si="17"/>
        <v>900235</v>
      </c>
    </row>
    <row r="773" spans="2:7">
      <c r="B773" s="105">
        <v>11</v>
      </c>
      <c r="C773" s="76" t="s">
        <v>3011</v>
      </c>
      <c r="D773" s="319" t="s">
        <v>1172</v>
      </c>
      <c r="E773" s="207">
        <v>2727</v>
      </c>
      <c r="F773" s="190">
        <f>'BASIC DATA'!C529</f>
        <v>400</v>
      </c>
      <c r="G773" s="190">
        <f t="shared" si="17"/>
        <v>1090800</v>
      </c>
    </row>
    <row r="774" spans="2:7">
      <c r="B774" s="105">
        <v>12</v>
      </c>
      <c r="C774" s="76" t="s">
        <v>5604</v>
      </c>
      <c r="D774" s="319" t="s">
        <v>1172</v>
      </c>
      <c r="E774" s="207">
        <v>10</v>
      </c>
      <c r="F774" s="190">
        <f>'BASIC DATA'!C468</f>
        <v>515</v>
      </c>
      <c r="G774" s="190">
        <f t="shared" si="17"/>
        <v>5150</v>
      </c>
    </row>
    <row r="775" spans="2:7">
      <c r="B775" s="92"/>
      <c r="C775" s="193"/>
      <c r="D775" s="151" t="s">
        <v>1174</v>
      </c>
      <c r="E775" s="160"/>
      <c r="F775" s="236" t="s">
        <v>1698</v>
      </c>
      <c r="G775" s="318">
        <f>SUM(G763:G774)</f>
        <v>3330664.5</v>
      </c>
    </row>
    <row r="776" spans="2:7">
      <c r="B776" s="76" t="s">
        <v>9422</v>
      </c>
      <c r="C776" s="200"/>
      <c r="D776" s="76"/>
      <c r="E776" s="76"/>
      <c r="F776" s="200"/>
      <c r="G776" s="766">
        <f>G775*30%</f>
        <v>999199.35</v>
      </c>
    </row>
    <row r="777" spans="2:7">
      <c r="B777" s="76"/>
      <c r="C777" s="200" t="s">
        <v>7956</v>
      </c>
      <c r="D777" s="76"/>
      <c r="E777" s="76"/>
      <c r="F777" s="200"/>
      <c r="G777" s="766">
        <f>SUM(G776+G775)</f>
        <v>4329863.8499999996</v>
      </c>
    </row>
    <row r="778" spans="2:7">
      <c r="B778" s="76"/>
      <c r="C778" s="200"/>
      <c r="D778" s="76"/>
      <c r="E778" s="76"/>
      <c r="F778" s="200"/>
      <c r="G778" s="766"/>
    </row>
    <row r="779" spans="2:7">
      <c r="B779" s="60" t="s">
        <v>5948</v>
      </c>
      <c r="C779" s="31"/>
      <c r="D779" s="31"/>
      <c r="E779" s="85">
        <f>ROUND(G777/F717,1)</f>
        <v>36385.4</v>
      </c>
    </row>
    <row r="780" spans="2:7">
      <c r="B780" s="60" t="s">
        <v>3163</v>
      </c>
      <c r="D780" s="922">
        <f>'BASIC DATA'!$C$577</f>
        <v>0.13614999999999999</v>
      </c>
      <c r="E780" s="85">
        <f>ROUND(E779*D780,1)</f>
        <v>4953.8999999999996</v>
      </c>
    </row>
    <row r="781" spans="2:7">
      <c r="B781" s="60" t="s">
        <v>5949</v>
      </c>
      <c r="D781" s="31"/>
      <c r="E781" s="199">
        <f>E780+E779</f>
        <v>41339.300000000003</v>
      </c>
    </row>
    <row r="782" spans="2:7">
      <c r="B782" s="26"/>
    </row>
    <row r="783" spans="2:7">
      <c r="B783" s="170" t="s">
        <v>1175</v>
      </c>
    </row>
    <row r="784" spans="2:7">
      <c r="B784" s="26" t="s">
        <v>1176</v>
      </c>
      <c r="F784" s="171" t="s">
        <v>1698</v>
      </c>
      <c r="G784" s="68">
        <f>G738</f>
        <v>6890999.333333333</v>
      </c>
    </row>
    <row r="785" spans="2:9">
      <c r="B785" s="26" t="s">
        <v>1186</v>
      </c>
      <c r="F785" s="171" t="s">
        <v>1698</v>
      </c>
      <c r="G785" s="68">
        <f>G758</f>
        <v>2064327.3</v>
      </c>
    </row>
    <row r="786" spans="2:9">
      <c r="B786" s="26" t="s">
        <v>2660</v>
      </c>
      <c r="F786" s="171" t="s">
        <v>1698</v>
      </c>
      <c r="G786" s="173">
        <f>G777</f>
        <v>4329863.8499999996</v>
      </c>
    </row>
    <row r="787" spans="2:9">
      <c r="B787" s="26"/>
      <c r="E787" s="171" t="s">
        <v>5551</v>
      </c>
      <c r="F787" s="171" t="s">
        <v>1698</v>
      </c>
      <c r="G787" s="205">
        <f>SUM(G784:G786)</f>
        <v>13285190.483333332</v>
      </c>
    </row>
    <row r="788" spans="2:9">
      <c r="B788" s="26" t="s">
        <v>5087</v>
      </c>
      <c r="E788" s="693">
        <f>'BASIC DATA'!C593</f>
        <v>0</v>
      </c>
      <c r="F788" s="171" t="s">
        <v>1698</v>
      </c>
      <c r="G788" s="68">
        <f>(G786+G785)*E788*0.75</f>
        <v>0</v>
      </c>
    </row>
    <row r="789" spans="2:9">
      <c r="B789" s="26" t="s">
        <v>5084</v>
      </c>
      <c r="E789" s="171" t="s">
        <v>1518</v>
      </c>
      <c r="F789" s="171" t="s">
        <v>1698</v>
      </c>
      <c r="G789" s="205">
        <f>G788+G787</f>
        <v>13285190.483333332</v>
      </c>
    </row>
    <row r="790" spans="2:9">
      <c r="B790" s="26" t="s">
        <v>5086</v>
      </c>
      <c r="E790" s="201">
        <f>'BASIC DATA'!C594</f>
        <v>0.03</v>
      </c>
      <c r="F790" s="171" t="s">
        <v>1698</v>
      </c>
      <c r="G790" s="75">
        <f>G789*E790</f>
        <v>398555.71449999994</v>
      </c>
    </row>
    <row r="791" spans="2:9">
      <c r="B791" s="26"/>
      <c r="E791" s="26" t="s">
        <v>2392</v>
      </c>
      <c r="F791" s="171" t="s">
        <v>1698</v>
      </c>
      <c r="G791" s="75">
        <f>G790+G789</f>
        <v>13683746.197833333</v>
      </c>
    </row>
    <row r="792" spans="2:9" ht="46.5" customHeight="1">
      <c r="B792" s="1207" t="s">
        <v>4717</v>
      </c>
      <c r="C792" s="1207"/>
      <c r="D792" s="922">
        <f>'BASIC DATA'!$C$577</f>
        <v>0.13614999999999999</v>
      </c>
      <c r="F792" s="171" t="s">
        <v>1698</v>
      </c>
      <c r="G792" s="75">
        <f>G791*D792</f>
        <v>1863042.0448350082</v>
      </c>
      <c r="I792" s="68"/>
    </row>
    <row r="793" spans="2:9">
      <c r="B793" s="26" t="s">
        <v>898</v>
      </c>
      <c r="I793" s="68"/>
    </row>
    <row r="794" spans="2:9">
      <c r="B794" s="47" t="s">
        <v>897</v>
      </c>
      <c r="D794" s="48"/>
      <c r="E794" s="68">
        <f>leadcharges!$F$65</f>
        <v>19</v>
      </c>
      <c r="F794" s="27" t="s">
        <v>1279</v>
      </c>
      <c r="G794" s="878">
        <f>2*E794*F717</f>
        <v>4522</v>
      </c>
      <c r="I794" s="68"/>
    </row>
    <row r="795" spans="2:9">
      <c r="B795" s="47" t="s">
        <v>896</v>
      </c>
      <c r="D795" s="48"/>
      <c r="E795" s="68">
        <f>leadcharges!$G$79</f>
        <v>74.8</v>
      </c>
      <c r="F795" s="27" t="s">
        <v>1279</v>
      </c>
      <c r="G795" s="76">
        <f>2*E795*F717</f>
        <v>17802.399999999998</v>
      </c>
      <c r="I795" s="68"/>
    </row>
    <row r="796" spans="2:9" ht="18.75" thickBot="1">
      <c r="B796" s="26" t="s">
        <v>5078</v>
      </c>
      <c r="D796" s="68">
        <f>F717</f>
        <v>119</v>
      </c>
      <c r="E796" s="26" t="s">
        <v>3480</v>
      </c>
      <c r="F796" s="171" t="s">
        <v>1698</v>
      </c>
      <c r="G796" s="205">
        <f>SUM(G791:G795)</f>
        <v>15569112.642668342</v>
      </c>
    </row>
    <row r="797" spans="2:9" ht="18.75" thickBot="1">
      <c r="D797" s="694" t="s">
        <v>3884</v>
      </c>
      <c r="E797" s="695" t="s">
        <v>3480</v>
      </c>
      <c r="F797" s="696" t="s">
        <v>1698</v>
      </c>
      <c r="G797" s="717">
        <f>ROUND(G796/D796,1)</f>
        <v>130832.9</v>
      </c>
      <c r="H797" s="147"/>
    </row>
    <row r="798" spans="2:9">
      <c r="B798" s="26"/>
      <c r="C798" s="78"/>
      <c r="E798" s="78"/>
      <c r="G798" s="171"/>
      <c r="H798" s="27"/>
    </row>
    <row r="799" spans="2:9">
      <c r="B799" s="26"/>
      <c r="E799" s="78"/>
      <c r="G799" s="171"/>
      <c r="H799" s="27"/>
    </row>
    <row r="800" spans="2:9">
      <c r="B800" s="170" t="s">
        <v>5937</v>
      </c>
    </row>
    <row r="801" spans="1:7" ht="18.75">
      <c r="A801" s="822" t="s">
        <v>7168</v>
      </c>
      <c r="B801" s="26" t="s">
        <v>9039</v>
      </c>
    </row>
    <row r="802" spans="1:7" ht="18.75">
      <c r="B802" s="26" t="s">
        <v>9040</v>
      </c>
    </row>
    <row r="803" spans="1:7">
      <c r="B803" s="26" t="s">
        <v>5289</v>
      </c>
    </row>
    <row r="804" spans="1:7" ht="18.75">
      <c r="B804" s="26" t="s">
        <v>9041</v>
      </c>
    </row>
    <row r="805" spans="1:7">
      <c r="B805" s="26" t="s">
        <v>538</v>
      </c>
      <c r="E805" s="322"/>
    </row>
    <row r="806" spans="1:7">
      <c r="B806" s="26" t="s">
        <v>3549</v>
      </c>
      <c r="E806" s="322"/>
    </row>
    <row r="807" spans="1:7">
      <c r="B807" s="26"/>
      <c r="E807" s="322"/>
    </row>
    <row r="808" spans="1:7" hidden="1">
      <c r="A808" s="865" t="s">
        <v>3984</v>
      </c>
      <c r="B808" s="26" t="s">
        <v>4886</v>
      </c>
      <c r="E808" s="322"/>
    </row>
    <row r="809" spans="1:7" hidden="1">
      <c r="B809" s="26" t="s">
        <v>4887</v>
      </c>
    </row>
    <row r="810" spans="1:7" hidden="1">
      <c r="B810" s="26" t="s">
        <v>4888</v>
      </c>
    </row>
    <row r="811" spans="1:7" hidden="1">
      <c r="B811" s="27"/>
      <c r="C811" s="171"/>
      <c r="E811" s="322"/>
    </row>
    <row r="812" spans="1:7" hidden="1">
      <c r="B812" s="26" t="s">
        <v>4681</v>
      </c>
      <c r="E812" s="322" t="s">
        <v>1697</v>
      </c>
      <c r="F812" s="26">
        <v>3.528</v>
      </c>
      <c r="G812" s="26" t="s">
        <v>45</v>
      </c>
    </row>
    <row r="813" spans="1:7" hidden="1">
      <c r="B813" s="26"/>
    </row>
    <row r="814" spans="1:7" hidden="1">
      <c r="A814" s="865">
        <v>1</v>
      </c>
      <c r="B814" s="26" t="s">
        <v>5290</v>
      </c>
    </row>
    <row r="815" spans="1:7" hidden="1">
      <c r="A815" s="870" t="s">
        <v>1535</v>
      </c>
      <c r="B815" s="26" t="s">
        <v>241</v>
      </c>
    </row>
    <row r="816" spans="1:7" hidden="1">
      <c r="A816" s="870"/>
      <c r="B816" s="26" t="s">
        <v>242</v>
      </c>
      <c r="E816" s="322" t="s">
        <v>1697</v>
      </c>
      <c r="F816" s="26">
        <v>13</v>
      </c>
      <c r="G816" s="26" t="s">
        <v>3478</v>
      </c>
    </row>
    <row r="817" spans="1:7" hidden="1">
      <c r="A817" s="870"/>
      <c r="B817" s="26" t="s">
        <v>243</v>
      </c>
      <c r="E817" s="322" t="s">
        <v>1697</v>
      </c>
      <c r="F817" s="26">
        <v>3389</v>
      </c>
      <c r="G817" s="26" t="s">
        <v>3478</v>
      </c>
    </row>
    <row r="818" spans="1:7" hidden="1">
      <c r="A818" s="870" t="s">
        <v>5400</v>
      </c>
      <c r="B818" s="26" t="s">
        <v>5162</v>
      </c>
      <c r="E818" s="322"/>
    </row>
    <row r="819" spans="1:7" hidden="1">
      <c r="A819" s="870"/>
      <c r="B819" s="26" t="s">
        <v>5164</v>
      </c>
      <c r="E819" s="322" t="s">
        <v>1697</v>
      </c>
      <c r="F819" s="26">
        <v>101</v>
      </c>
      <c r="G819" s="26" t="s">
        <v>3478</v>
      </c>
    </row>
    <row r="820" spans="1:7" hidden="1">
      <c r="A820" s="870" t="s">
        <v>5401</v>
      </c>
      <c r="B820" s="26" t="s">
        <v>5167</v>
      </c>
      <c r="E820" s="322"/>
    </row>
    <row r="821" spans="1:7" hidden="1">
      <c r="A821" s="870"/>
      <c r="B821" s="26" t="s">
        <v>6829</v>
      </c>
      <c r="E821" s="322" t="s">
        <v>1697</v>
      </c>
      <c r="F821" s="26">
        <v>5</v>
      </c>
      <c r="G821" s="26" t="s">
        <v>3478</v>
      </c>
    </row>
    <row r="822" spans="1:7" hidden="1">
      <c r="A822" s="870" t="s">
        <v>1696</v>
      </c>
      <c r="B822" s="26" t="s">
        <v>365</v>
      </c>
      <c r="E822" s="322"/>
    </row>
    <row r="823" spans="1:7" hidden="1">
      <c r="A823" s="870"/>
      <c r="B823" s="26" t="s">
        <v>366</v>
      </c>
      <c r="E823" s="322" t="s">
        <v>1697</v>
      </c>
      <c r="F823" s="26">
        <v>130</v>
      </c>
      <c r="G823" s="26" t="s">
        <v>3478</v>
      </c>
    </row>
    <row r="824" spans="1:7" hidden="1">
      <c r="A824" s="870" t="s">
        <v>5082</v>
      </c>
      <c r="B824" s="26" t="s">
        <v>5083</v>
      </c>
      <c r="E824" s="322"/>
    </row>
    <row r="825" spans="1:7" hidden="1">
      <c r="A825" s="870"/>
      <c r="B825" s="26" t="s">
        <v>2407</v>
      </c>
      <c r="E825" s="322" t="s">
        <v>1697</v>
      </c>
      <c r="F825" s="26">
        <v>3</v>
      </c>
      <c r="G825" s="26" t="s">
        <v>3478</v>
      </c>
    </row>
    <row r="826" spans="1:7" hidden="1">
      <c r="A826" s="870"/>
      <c r="B826" s="26" t="s">
        <v>1335</v>
      </c>
      <c r="E826" s="322" t="s">
        <v>1697</v>
      </c>
      <c r="F826" s="26">
        <v>11</v>
      </c>
      <c r="G826" s="26" t="s">
        <v>3478</v>
      </c>
    </row>
    <row r="827" spans="1:7" hidden="1">
      <c r="A827" s="870" t="s">
        <v>2408</v>
      </c>
      <c r="B827" s="26" t="s">
        <v>1195</v>
      </c>
      <c r="E827" s="322"/>
    </row>
    <row r="828" spans="1:7" hidden="1">
      <c r="B828" s="26" t="s">
        <v>517</v>
      </c>
      <c r="E828" s="322" t="s">
        <v>1697</v>
      </c>
      <c r="F828" s="26">
        <v>175</v>
      </c>
      <c r="G828" s="26" t="s">
        <v>2059</v>
      </c>
    </row>
    <row r="829" spans="1:7" hidden="1">
      <c r="B829" s="26" t="s">
        <v>519</v>
      </c>
      <c r="E829" s="322" t="s">
        <v>1697</v>
      </c>
      <c r="F829" s="26">
        <v>1575</v>
      </c>
      <c r="G829" s="26" t="s">
        <v>2059</v>
      </c>
    </row>
    <row r="830" spans="1:7" hidden="1">
      <c r="A830" s="865">
        <v>2</v>
      </c>
      <c r="B830" s="26" t="s">
        <v>2281</v>
      </c>
      <c r="E830" s="322"/>
    </row>
    <row r="831" spans="1:7" hidden="1">
      <c r="B831" s="26" t="s">
        <v>4962</v>
      </c>
      <c r="E831" s="322" t="s">
        <v>1697</v>
      </c>
      <c r="F831" s="26">
        <v>172</v>
      </c>
      <c r="G831" s="26" t="s">
        <v>3483</v>
      </c>
    </row>
    <row r="832" spans="1:7" hidden="1">
      <c r="B832" s="26" t="s">
        <v>2985</v>
      </c>
      <c r="E832" s="322" t="s">
        <v>1697</v>
      </c>
      <c r="F832" s="174">
        <v>17</v>
      </c>
      <c r="G832" s="26" t="s">
        <v>3483</v>
      </c>
    </row>
    <row r="833" spans="1:7" hidden="1">
      <c r="B833" s="26"/>
      <c r="D833" s="26" t="s">
        <v>1518</v>
      </c>
      <c r="E833" s="322" t="s">
        <v>1697</v>
      </c>
      <c r="F833" s="26">
        <v>189</v>
      </c>
      <c r="G833" s="26" t="s">
        <v>3483</v>
      </c>
    </row>
    <row r="834" spans="1:7" hidden="1">
      <c r="B834" s="26" t="s">
        <v>165</v>
      </c>
      <c r="E834" s="322"/>
    </row>
    <row r="835" spans="1:7" hidden="1">
      <c r="B835" s="26" t="s">
        <v>3532</v>
      </c>
      <c r="E835" s="322" t="s">
        <v>1697</v>
      </c>
      <c r="F835" s="26">
        <v>40</v>
      </c>
      <c r="G835" s="26" t="s">
        <v>2602</v>
      </c>
    </row>
    <row r="836" spans="1:7" hidden="1">
      <c r="B836" s="26" t="s">
        <v>3533</v>
      </c>
      <c r="E836" s="322" t="s">
        <v>1697</v>
      </c>
      <c r="F836" s="26">
        <v>149</v>
      </c>
      <c r="G836" s="26" t="s">
        <v>2602</v>
      </c>
    </row>
    <row r="837" spans="1:7" hidden="1">
      <c r="B837" s="26" t="s">
        <v>2278</v>
      </c>
      <c r="E837" s="322" t="s">
        <v>1697</v>
      </c>
      <c r="F837" s="26">
        <v>20</v>
      </c>
      <c r="G837" s="26" t="s">
        <v>4665</v>
      </c>
    </row>
    <row r="838" spans="1:7" hidden="1">
      <c r="B838" s="26" t="s">
        <v>2279</v>
      </c>
      <c r="E838" s="322" t="s">
        <v>1697</v>
      </c>
      <c r="F838" s="26">
        <v>50</v>
      </c>
      <c r="G838" s="26" t="s">
        <v>4665</v>
      </c>
    </row>
    <row r="839" spans="1:7" hidden="1">
      <c r="B839" s="26" t="s">
        <v>2081</v>
      </c>
      <c r="E839" s="322" t="s">
        <v>1697</v>
      </c>
      <c r="F839" s="26">
        <v>42</v>
      </c>
      <c r="G839" s="26" t="s">
        <v>3477</v>
      </c>
    </row>
    <row r="840" spans="1:7" hidden="1">
      <c r="B840" s="26" t="s">
        <v>2082</v>
      </c>
      <c r="E840" s="322" t="s">
        <v>1697</v>
      </c>
      <c r="F840" s="26">
        <v>126</v>
      </c>
      <c r="G840" s="26" t="s">
        <v>3477</v>
      </c>
    </row>
    <row r="841" spans="1:7" hidden="1">
      <c r="B841" s="26" t="s">
        <v>163</v>
      </c>
      <c r="E841" s="322" t="s">
        <v>1697</v>
      </c>
      <c r="F841" s="26">
        <v>24</v>
      </c>
      <c r="G841" s="26" t="s">
        <v>4665</v>
      </c>
    </row>
    <row r="842" spans="1:7" hidden="1">
      <c r="B842" s="26" t="s">
        <v>5126</v>
      </c>
      <c r="E842" s="322" t="s">
        <v>1697</v>
      </c>
      <c r="F842" s="26">
        <v>60</v>
      </c>
      <c r="G842" s="26" t="s">
        <v>4665</v>
      </c>
    </row>
    <row r="843" spans="1:7" hidden="1">
      <c r="A843" s="865">
        <v>3</v>
      </c>
      <c r="B843" s="26" t="s">
        <v>4651</v>
      </c>
      <c r="E843" s="322"/>
    </row>
    <row r="844" spans="1:7" hidden="1">
      <c r="B844" s="26" t="s">
        <v>2504</v>
      </c>
      <c r="E844" s="322" t="s">
        <v>1697</v>
      </c>
      <c r="F844" s="26">
        <v>211</v>
      </c>
      <c r="G844" s="26" t="s">
        <v>3483</v>
      </c>
    </row>
    <row r="845" spans="1:7" hidden="1">
      <c r="B845" s="26" t="s">
        <v>5723</v>
      </c>
      <c r="E845" s="322" t="s">
        <v>1697</v>
      </c>
    </row>
    <row r="846" spans="1:7" hidden="1">
      <c r="B846" s="171" t="s">
        <v>5127</v>
      </c>
      <c r="E846" s="322" t="s">
        <v>1697</v>
      </c>
      <c r="F846" s="26">
        <v>47</v>
      </c>
      <c r="G846" s="26" t="s">
        <v>4665</v>
      </c>
    </row>
    <row r="847" spans="1:7" hidden="1">
      <c r="B847" s="26" t="s">
        <v>1913</v>
      </c>
      <c r="E847" s="322"/>
    </row>
    <row r="848" spans="1:7" hidden="1">
      <c r="B848" s="171" t="s">
        <v>3050</v>
      </c>
      <c r="E848" s="322" t="s">
        <v>1697</v>
      </c>
      <c r="F848" s="26">
        <v>140</v>
      </c>
      <c r="G848" s="26" t="s">
        <v>4665</v>
      </c>
    </row>
    <row r="849" spans="1:7" hidden="1">
      <c r="B849" s="26"/>
      <c r="D849" s="26" t="s">
        <v>1518</v>
      </c>
      <c r="E849" s="322" t="s">
        <v>1697</v>
      </c>
      <c r="F849" s="26">
        <v>187</v>
      </c>
      <c r="G849" s="26" t="s">
        <v>4665</v>
      </c>
    </row>
    <row r="850" spans="1:7" hidden="1">
      <c r="B850" s="26" t="s">
        <v>3051</v>
      </c>
      <c r="E850" s="322"/>
    </row>
    <row r="851" spans="1:7" hidden="1">
      <c r="B851" s="26" t="s">
        <v>2657</v>
      </c>
      <c r="E851" s="322"/>
    </row>
    <row r="852" spans="1:7" hidden="1">
      <c r="B852" s="171" t="s">
        <v>3052</v>
      </c>
      <c r="E852" s="322" t="s">
        <v>1697</v>
      </c>
      <c r="F852" s="26">
        <v>117</v>
      </c>
      <c r="G852" s="26" t="s">
        <v>4665</v>
      </c>
    </row>
    <row r="853" spans="1:7" hidden="1">
      <c r="A853" s="865">
        <v>5</v>
      </c>
      <c r="B853" s="26" t="s">
        <v>4249</v>
      </c>
    </row>
    <row r="854" spans="1:7" hidden="1">
      <c r="B854" s="26" t="s">
        <v>2518</v>
      </c>
    </row>
    <row r="855" spans="1:7" hidden="1">
      <c r="B855" s="26" t="s">
        <v>1337</v>
      </c>
    </row>
    <row r="856" spans="1:7" hidden="1">
      <c r="B856" s="26" t="s">
        <v>1900</v>
      </c>
    </row>
    <row r="857" spans="1:7" hidden="1">
      <c r="B857" s="26" t="s">
        <v>2832</v>
      </c>
    </row>
    <row r="858" spans="1:7" hidden="1">
      <c r="B858" s="26"/>
    </row>
    <row r="859" spans="1:7" hidden="1">
      <c r="A859" s="865">
        <v>6</v>
      </c>
      <c r="B859" s="31" t="s">
        <v>4900</v>
      </c>
      <c r="C859" s="31"/>
      <c r="D859" s="31"/>
      <c r="E859" s="31"/>
      <c r="F859" s="31"/>
    </row>
    <row r="860" spans="1:7" hidden="1">
      <c r="B860" s="1266" t="s">
        <v>4901</v>
      </c>
      <c r="C860" s="1266"/>
      <c r="D860" s="38" t="s">
        <v>2468</v>
      </c>
      <c r="E860" s="38" t="s">
        <v>4902</v>
      </c>
      <c r="F860" s="38" t="s">
        <v>4903</v>
      </c>
      <c r="G860" s="38" t="s">
        <v>6199</v>
      </c>
    </row>
    <row r="861" spans="1:7" hidden="1">
      <c r="B861" s="1266"/>
      <c r="C861" s="1266"/>
      <c r="D861" s="38"/>
      <c r="E861" s="38" t="s">
        <v>4904</v>
      </c>
      <c r="F861" s="38" t="s">
        <v>4905</v>
      </c>
      <c r="G861" s="38"/>
    </row>
    <row r="862" spans="1:7" hidden="1">
      <c r="B862" s="1266"/>
      <c r="C862" s="1266"/>
      <c r="D862" s="38"/>
      <c r="E862" s="38" t="s">
        <v>6307</v>
      </c>
      <c r="F862" s="36"/>
      <c r="G862" s="38"/>
    </row>
    <row r="863" spans="1:7" hidden="1">
      <c r="B863" s="38" t="s">
        <v>2833</v>
      </c>
      <c r="C863" s="38"/>
      <c r="D863" s="36">
        <v>5</v>
      </c>
      <c r="E863" s="36">
        <v>10</v>
      </c>
      <c r="F863" s="36">
        <v>10</v>
      </c>
      <c r="G863" s="36">
        <v>20</v>
      </c>
    </row>
    <row r="864" spans="1:7" hidden="1">
      <c r="B864" s="38" t="s">
        <v>6584</v>
      </c>
      <c r="C864" s="38"/>
      <c r="D864" s="36"/>
      <c r="E864" s="36">
        <v>1</v>
      </c>
      <c r="F864" s="36" t="s">
        <v>5854</v>
      </c>
      <c r="G864" s="36">
        <v>1</v>
      </c>
    </row>
    <row r="865" spans="1:7" hidden="1">
      <c r="B865" s="38" t="s">
        <v>2834</v>
      </c>
      <c r="C865" s="38"/>
      <c r="D865" s="36">
        <v>3</v>
      </c>
      <c r="E865" s="36">
        <v>6</v>
      </c>
      <c r="F865" s="36" t="s">
        <v>5854</v>
      </c>
      <c r="G865" s="36">
        <v>12</v>
      </c>
    </row>
    <row r="866" spans="1:7" hidden="1">
      <c r="B866" s="38" t="s">
        <v>2835</v>
      </c>
      <c r="C866" s="38"/>
      <c r="D866" s="36">
        <v>2</v>
      </c>
      <c r="E866" s="36" t="s">
        <v>5854</v>
      </c>
      <c r="F866" s="36">
        <v>18</v>
      </c>
      <c r="G866" s="36">
        <v>18</v>
      </c>
    </row>
    <row r="867" spans="1:7" hidden="1">
      <c r="B867" s="38" t="s">
        <v>2836</v>
      </c>
      <c r="C867" s="38"/>
      <c r="D867" s="36"/>
      <c r="E867" s="36">
        <v>1</v>
      </c>
      <c r="F867" s="36" t="s">
        <v>5854</v>
      </c>
      <c r="G867" s="36">
        <v>1</v>
      </c>
    </row>
    <row r="868" spans="1:7" hidden="1">
      <c r="B868" s="36" t="s">
        <v>2656</v>
      </c>
      <c r="C868" s="36"/>
      <c r="D868" s="36">
        <f>SUM(D863:D867)</f>
        <v>10</v>
      </c>
      <c r="E868" s="36">
        <f>SUM(E863:E867)</f>
        <v>18</v>
      </c>
      <c r="F868" s="36">
        <f>SUM(F863:F867)</f>
        <v>28</v>
      </c>
      <c r="G868" s="36">
        <f>SUM(G863:G867)</f>
        <v>52</v>
      </c>
    </row>
    <row r="869" spans="1:7" hidden="1">
      <c r="A869" s="865">
        <v>7</v>
      </c>
      <c r="B869" s="26" t="s">
        <v>673</v>
      </c>
    </row>
    <row r="870" spans="1:7" hidden="1">
      <c r="B870" s="26" t="s">
        <v>6017</v>
      </c>
    </row>
    <row r="871" spans="1:7" hidden="1">
      <c r="B871" s="26" t="s">
        <v>2385</v>
      </c>
    </row>
    <row r="872" spans="1:7" hidden="1">
      <c r="B872" s="26" t="s">
        <v>4751</v>
      </c>
    </row>
    <row r="873" spans="1:7" hidden="1">
      <c r="A873" s="865">
        <v>8</v>
      </c>
      <c r="B873" s="26" t="s">
        <v>2366</v>
      </c>
    </row>
    <row r="874" spans="1:7" hidden="1">
      <c r="B874" s="26" t="s">
        <v>1241</v>
      </c>
      <c r="C874" s="68">
        <f>'BASIC DATA'!D373</f>
        <v>7800</v>
      </c>
      <c r="D874" s="26" t="s">
        <v>2290</v>
      </c>
      <c r="E874" s="315" t="s">
        <v>1698</v>
      </c>
      <c r="F874" s="68">
        <f>C874</f>
        <v>7800</v>
      </c>
    </row>
    <row r="875" spans="1:7" hidden="1">
      <c r="B875" s="26" t="s">
        <v>3231</v>
      </c>
      <c r="E875" s="322" t="s">
        <v>1697</v>
      </c>
      <c r="F875" s="316">
        <v>1000</v>
      </c>
      <c r="G875" s="26" t="s">
        <v>4665</v>
      </c>
    </row>
    <row r="876" spans="1:7" hidden="1">
      <c r="B876" s="26" t="s">
        <v>3232</v>
      </c>
      <c r="C876" s="26" t="s">
        <v>7593</v>
      </c>
      <c r="E876" s="315" t="s">
        <v>1698</v>
      </c>
      <c r="F876" s="68">
        <f>F874/F875</f>
        <v>7.8</v>
      </c>
    </row>
    <row r="877" spans="1:7" hidden="1">
      <c r="B877" s="26" t="s">
        <v>1163</v>
      </c>
      <c r="C877" s="68">
        <f>'BASIC DATA'!D371</f>
        <v>14500</v>
      </c>
      <c r="D877" s="26" t="s">
        <v>2290</v>
      </c>
      <c r="E877" s="315" t="s">
        <v>1698</v>
      </c>
      <c r="F877" s="68">
        <f>C877</f>
        <v>14500</v>
      </c>
    </row>
    <row r="878" spans="1:7" hidden="1">
      <c r="B878" s="26" t="s">
        <v>5868</v>
      </c>
      <c r="E878" s="322" t="s">
        <v>1697</v>
      </c>
      <c r="F878" s="316">
        <v>600</v>
      </c>
      <c r="G878" s="26" t="s">
        <v>4665</v>
      </c>
    </row>
    <row r="879" spans="1:7" hidden="1">
      <c r="B879" s="26" t="s">
        <v>3234</v>
      </c>
      <c r="C879" s="26" t="s">
        <v>7593</v>
      </c>
      <c r="E879" s="315" t="s">
        <v>1698</v>
      </c>
      <c r="F879" s="68">
        <f>F877/F878</f>
        <v>24.166666666666668</v>
      </c>
    </row>
    <row r="880" spans="1:7"/>
    <row r="881" spans="1:7">
      <c r="A881" s="865" t="s">
        <v>3984</v>
      </c>
      <c r="C881" s="203" t="s">
        <v>2367</v>
      </c>
      <c r="E881" s="171" t="s">
        <v>297</v>
      </c>
      <c r="F881" s="692">
        <v>3.528</v>
      </c>
      <c r="G881" s="26" t="s">
        <v>3480</v>
      </c>
    </row>
    <row r="882" spans="1:7">
      <c r="B882" s="79" t="s">
        <v>2368</v>
      </c>
      <c r="F882" s="68"/>
    </row>
    <row r="883" spans="1:7">
      <c r="B883" s="95" t="s">
        <v>2369</v>
      </c>
      <c r="C883" s="157" t="s">
        <v>6374</v>
      </c>
      <c r="D883" s="95" t="s">
        <v>2370</v>
      </c>
      <c r="E883" s="95" t="s">
        <v>1166</v>
      </c>
      <c r="F883" s="95" t="s">
        <v>2371</v>
      </c>
      <c r="G883" s="95" t="s">
        <v>2372</v>
      </c>
    </row>
    <row r="884" spans="1:7">
      <c r="B884" s="114"/>
      <c r="C884" s="154"/>
      <c r="D884" s="114"/>
      <c r="E884" s="114"/>
      <c r="F884" s="114" t="s">
        <v>3485</v>
      </c>
      <c r="G884" s="114" t="s">
        <v>3485</v>
      </c>
    </row>
    <row r="885" spans="1:7">
      <c r="B885" s="95">
        <v>1</v>
      </c>
      <c r="C885" s="135" t="s">
        <v>4770</v>
      </c>
      <c r="D885" s="451"/>
      <c r="E885" s="190"/>
      <c r="F885" s="190"/>
      <c r="G885" s="190"/>
    </row>
    <row r="886" spans="1:7">
      <c r="B886" s="280"/>
      <c r="C886" s="135" t="s">
        <v>4915</v>
      </c>
      <c r="D886" s="319" t="s">
        <v>3478</v>
      </c>
      <c r="E886" s="190">
        <v>13</v>
      </c>
      <c r="F886" s="214">
        <f>'BASIC DATA'!D97/1000</f>
        <v>37.5</v>
      </c>
      <c r="G886" s="190">
        <f>E886*F886</f>
        <v>487.5</v>
      </c>
    </row>
    <row r="887" spans="1:7">
      <c r="B887" s="280"/>
      <c r="C887" s="135" t="s">
        <v>4916</v>
      </c>
      <c r="D887" s="319" t="s">
        <v>3478</v>
      </c>
      <c r="E887" s="190">
        <v>3389</v>
      </c>
      <c r="F887" s="214">
        <f>'BASIC DATA'!D98/1000</f>
        <v>37.4</v>
      </c>
      <c r="G887" s="190">
        <f t="shared" ref="G887:G903" si="18">E887*F887</f>
        <v>126748.59999999999</v>
      </c>
    </row>
    <row r="888" spans="1:7">
      <c r="B888" s="105">
        <v>2</v>
      </c>
      <c r="C888" s="135" t="s">
        <v>4771</v>
      </c>
      <c r="D888" s="319"/>
      <c r="E888" s="190"/>
      <c r="F888" s="214"/>
      <c r="G888" s="190"/>
    </row>
    <row r="889" spans="1:7">
      <c r="B889" s="280"/>
      <c r="C889" s="135" t="s">
        <v>5164</v>
      </c>
      <c r="D889" s="319" t="s">
        <v>3478</v>
      </c>
      <c r="E889" s="190">
        <v>101</v>
      </c>
      <c r="F889" s="214">
        <f>'BASIC DATA'!D160</f>
        <v>450</v>
      </c>
      <c r="G889" s="190">
        <f t="shared" si="18"/>
        <v>45450</v>
      </c>
    </row>
    <row r="890" spans="1:7">
      <c r="B890" s="105">
        <v>3</v>
      </c>
      <c r="C890" s="135" t="s">
        <v>5973</v>
      </c>
      <c r="D890" s="319"/>
      <c r="E890" s="190"/>
      <c r="F890" s="214"/>
      <c r="G890" s="190"/>
    </row>
    <row r="891" spans="1:7">
      <c r="B891" s="280"/>
      <c r="C891" s="135" t="s">
        <v>1164</v>
      </c>
      <c r="D891" s="319" t="s">
        <v>3478</v>
      </c>
      <c r="E891" s="190">
        <v>5</v>
      </c>
      <c r="F891" s="214">
        <f>'BASIC DATA'!D163</f>
        <v>970</v>
      </c>
      <c r="G891" s="190">
        <f t="shared" si="18"/>
        <v>4850</v>
      </c>
    </row>
    <row r="892" spans="1:7">
      <c r="B892" s="105">
        <v>4</v>
      </c>
      <c r="C892" s="135" t="s">
        <v>1165</v>
      </c>
      <c r="D892" s="319"/>
      <c r="E892" s="190"/>
      <c r="F892" s="214"/>
      <c r="G892" s="190"/>
    </row>
    <row r="893" spans="1:7">
      <c r="B893" s="280"/>
      <c r="C893" s="135" t="s">
        <v>366</v>
      </c>
      <c r="D893" s="319" t="s">
        <v>3478</v>
      </c>
      <c r="E893" s="190">
        <v>103</v>
      </c>
      <c r="F893" s="214">
        <f>'BASIC DATA'!D170</f>
        <v>280</v>
      </c>
      <c r="G893" s="190">
        <f t="shared" si="18"/>
        <v>28840</v>
      </c>
    </row>
    <row r="894" spans="1:7">
      <c r="B894" s="105">
        <v>5</v>
      </c>
      <c r="C894" s="135" t="s">
        <v>1335</v>
      </c>
      <c r="D894" s="319" t="s">
        <v>3478</v>
      </c>
      <c r="E894" s="190">
        <v>11</v>
      </c>
      <c r="F894" s="214">
        <f>'BASIC DATA'!D171</f>
        <v>175</v>
      </c>
      <c r="G894" s="190">
        <f t="shared" si="18"/>
        <v>1925</v>
      </c>
    </row>
    <row r="895" spans="1:7">
      <c r="B895" s="105">
        <v>6</v>
      </c>
      <c r="C895" s="135" t="s">
        <v>374</v>
      </c>
      <c r="D895" s="319"/>
      <c r="E895" s="190"/>
      <c r="F895" s="214"/>
      <c r="G895" s="190"/>
    </row>
    <row r="896" spans="1:7">
      <c r="B896" s="280"/>
      <c r="C896" s="135" t="s">
        <v>4958</v>
      </c>
      <c r="D896" s="319" t="s">
        <v>3478</v>
      </c>
      <c r="E896" s="190">
        <v>3</v>
      </c>
      <c r="F896" s="214">
        <f>'BASIC DATA'!D84</f>
        <v>80</v>
      </c>
      <c r="G896" s="190">
        <f t="shared" si="18"/>
        <v>240</v>
      </c>
    </row>
    <row r="897" spans="2:7">
      <c r="B897" s="105">
        <v>7</v>
      </c>
      <c r="C897" s="135" t="s">
        <v>958</v>
      </c>
      <c r="D897" s="319" t="s">
        <v>3477</v>
      </c>
      <c r="E897" s="190">
        <v>126</v>
      </c>
      <c r="F897" s="214">
        <f>'BASIC DATA'!D87</f>
        <v>42</v>
      </c>
      <c r="G897" s="190">
        <f t="shared" si="18"/>
        <v>5292</v>
      </c>
    </row>
    <row r="898" spans="2:7">
      <c r="B898" s="105">
        <v>8</v>
      </c>
      <c r="C898" s="135" t="s">
        <v>6815</v>
      </c>
      <c r="D898" s="319" t="s">
        <v>3477</v>
      </c>
      <c r="E898" s="190">
        <v>42</v>
      </c>
      <c r="F898" s="214">
        <f>'BASIC DATA'!D28</f>
        <v>335</v>
      </c>
      <c r="G898" s="190">
        <f t="shared" si="18"/>
        <v>14070</v>
      </c>
    </row>
    <row r="899" spans="2:7">
      <c r="B899" s="105">
        <v>9</v>
      </c>
      <c r="C899" s="135" t="s">
        <v>6816</v>
      </c>
      <c r="D899" s="319" t="s">
        <v>2059</v>
      </c>
      <c r="E899" s="190">
        <v>175</v>
      </c>
      <c r="F899" s="214">
        <f>'BASIC DATA'!$D$110</f>
        <v>13</v>
      </c>
      <c r="G899" s="190">
        <f t="shared" si="18"/>
        <v>2275</v>
      </c>
    </row>
    <row r="900" spans="2:7">
      <c r="B900" s="105">
        <v>10</v>
      </c>
      <c r="C900" s="135" t="s">
        <v>4655</v>
      </c>
      <c r="D900" s="319" t="s">
        <v>2059</v>
      </c>
      <c r="E900" s="190">
        <v>1575</v>
      </c>
      <c r="F900" s="214">
        <f>'BASIC DATA'!$D$181</f>
        <v>15</v>
      </c>
      <c r="G900" s="190">
        <f t="shared" si="18"/>
        <v>23625</v>
      </c>
    </row>
    <row r="901" spans="2:7">
      <c r="B901" s="105">
        <v>11</v>
      </c>
      <c r="C901" s="135" t="s">
        <v>6556</v>
      </c>
      <c r="D901" s="319" t="s">
        <v>2374</v>
      </c>
      <c r="E901" s="190">
        <v>187</v>
      </c>
      <c r="F901" s="214">
        <f>F876</f>
        <v>7.8</v>
      </c>
      <c r="G901" s="190">
        <f t="shared" si="18"/>
        <v>1458.6</v>
      </c>
    </row>
    <row r="902" spans="2:7">
      <c r="B902" s="105">
        <v>12</v>
      </c>
      <c r="C902" s="135" t="s">
        <v>6557</v>
      </c>
      <c r="D902" s="319" t="s">
        <v>2374</v>
      </c>
      <c r="E902" s="190">
        <v>24</v>
      </c>
      <c r="F902" s="214">
        <f>F879</f>
        <v>24.166666666666668</v>
      </c>
      <c r="G902" s="190">
        <f t="shared" si="18"/>
        <v>580</v>
      </c>
    </row>
    <row r="903" spans="2:7">
      <c r="B903" s="114">
        <v>13</v>
      </c>
      <c r="C903" s="135" t="s">
        <v>2373</v>
      </c>
      <c r="D903" s="319" t="s">
        <v>2173</v>
      </c>
      <c r="E903" s="190">
        <v>25</v>
      </c>
      <c r="F903" s="214">
        <f>'BASIC DATA'!D359</f>
        <v>30</v>
      </c>
      <c r="G903" s="190">
        <f t="shared" si="18"/>
        <v>750</v>
      </c>
    </row>
    <row r="904" spans="2:7">
      <c r="B904" s="92"/>
      <c r="C904" s="193"/>
      <c r="D904" s="151" t="s">
        <v>2376</v>
      </c>
      <c r="E904" s="160"/>
      <c r="F904" s="236" t="s">
        <v>1698</v>
      </c>
      <c r="G904" s="318">
        <f>SUM(G886:G903)</f>
        <v>256591.69999999998</v>
      </c>
    </row>
    <row r="905" spans="2:7"/>
    <row r="906" spans="2:7">
      <c r="B906" s="79" t="s">
        <v>2377</v>
      </c>
    </row>
    <row r="907" spans="2:7">
      <c r="B907" s="95" t="s">
        <v>2369</v>
      </c>
      <c r="C907" s="157" t="s">
        <v>2378</v>
      </c>
      <c r="D907" s="95" t="s">
        <v>2370</v>
      </c>
      <c r="E907" s="95" t="s">
        <v>1166</v>
      </c>
      <c r="F907" s="95" t="s">
        <v>2371</v>
      </c>
      <c r="G907" s="95" t="s">
        <v>2372</v>
      </c>
    </row>
    <row r="908" spans="2:7">
      <c r="B908" s="114"/>
      <c r="C908" s="154"/>
      <c r="D908" s="114"/>
      <c r="E908" s="114"/>
      <c r="F908" s="114" t="s">
        <v>3485</v>
      </c>
      <c r="G908" s="114" t="s">
        <v>3485</v>
      </c>
    </row>
    <row r="909" spans="2:7">
      <c r="B909" s="95">
        <v>1</v>
      </c>
      <c r="C909" s="135" t="s">
        <v>6558</v>
      </c>
      <c r="D909" s="451" t="s">
        <v>2374</v>
      </c>
      <c r="E909" s="190">
        <v>187</v>
      </c>
      <c r="F909" s="190">
        <f>'HIRE CHARGES'!D556</f>
        <v>16</v>
      </c>
      <c r="G909" s="190">
        <f>E909*F909</f>
        <v>2992</v>
      </c>
    </row>
    <row r="910" spans="2:7">
      <c r="B910" s="317"/>
      <c r="C910" s="135" t="s">
        <v>2379</v>
      </c>
      <c r="D910" s="319" t="s">
        <v>2374</v>
      </c>
      <c r="E910" s="255">
        <v>117</v>
      </c>
      <c r="F910" s="190">
        <f>'HIRE CHARGES'!E556</f>
        <v>67.2</v>
      </c>
      <c r="G910" s="190">
        <f t="shared" ref="G910:G921" si="19">E910*F910</f>
        <v>7862.4000000000005</v>
      </c>
    </row>
    <row r="911" spans="2:7">
      <c r="B911" s="105">
        <v>2</v>
      </c>
      <c r="C911" s="135" t="s">
        <v>6060</v>
      </c>
      <c r="D911" s="319" t="s">
        <v>2374</v>
      </c>
      <c r="E911" s="190">
        <v>60</v>
      </c>
      <c r="F911" s="190">
        <f>'HIRE CHARGES'!D539</f>
        <v>6.4</v>
      </c>
      <c r="G911" s="190">
        <f t="shared" si="19"/>
        <v>384</v>
      </c>
    </row>
    <row r="912" spans="2:7">
      <c r="B912" s="317"/>
      <c r="C912" s="135" t="s">
        <v>2379</v>
      </c>
      <c r="D912" s="319" t="s">
        <v>2374</v>
      </c>
      <c r="E912" s="190">
        <v>60</v>
      </c>
      <c r="F912" s="190">
        <f>'HIRE CHARGES'!E539</f>
        <v>2.8</v>
      </c>
      <c r="G912" s="190">
        <f t="shared" si="19"/>
        <v>168</v>
      </c>
    </row>
    <row r="913" spans="2:7">
      <c r="B913" s="105">
        <v>3</v>
      </c>
      <c r="C913" s="135" t="s">
        <v>6561</v>
      </c>
      <c r="D913" s="319" t="s">
        <v>2374</v>
      </c>
      <c r="E913" s="190">
        <v>4</v>
      </c>
      <c r="F913" s="190">
        <f>'HIRE CHARGES'!D550</f>
        <v>519.69999999999993</v>
      </c>
      <c r="G913" s="190">
        <f t="shared" si="19"/>
        <v>2078.7999999999997</v>
      </c>
    </row>
    <row r="914" spans="2:7">
      <c r="B914" s="317"/>
      <c r="C914" s="135" t="s">
        <v>2379</v>
      </c>
      <c r="D914" s="319" t="s">
        <v>2374</v>
      </c>
      <c r="E914" s="190">
        <v>4</v>
      </c>
      <c r="F914" s="190">
        <f>'HIRE CHARGES'!E550</f>
        <v>299.89999999999998</v>
      </c>
      <c r="G914" s="190">
        <f t="shared" si="19"/>
        <v>1199.5999999999999</v>
      </c>
    </row>
    <row r="915" spans="2:7">
      <c r="B915" s="105">
        <v>4</v>
      </c>
      <c r="C915" s="135" t="s">
        <v>866</v>
      </c>
      <c r="D915" s="319" t="s">
        <v>2374</v>
      </c>
      <c r="E915" s="190">
        <v>8</v>
      </c>
      <c r="F915" s="190">
        <f>'HIRE CHARGES'!D544</f>
        <v>86.1</v>
      </c>
      <c r="G915" s="190">
        <f t="shared" si="19"/>
        <v>688.8</v>
      </c>
    </row>
    <row r="916" spans="2:7">
      <c r="B916" s="317"/>
      <c r="C916" s="135" t="s">
        <v>2379</v>
      </c>
      <c r="D916" s="319" t="s">
        <v>2374</v>
      </c>
      <c r="E916" s="190">
        <v>8</v>
      </c>
      <c r="F916" s="190">
        <f>'HIRE CHARGES'!E544</f>
        <v>0</v>
      </c>
      <c r="G916" s="190">
        <f t="shared" si="19"/>
        <v>0</v>
      </c>
    </row>
    <row r="917" spans="2:7">
      <c r="B917" s="105">
        <v>5</v>
      </c>
      <c r="C917" s="135" t="s">
        <v>6562</v>
      </c>
      <c r="D917" s="319" t="s">
        <v>2374</v>
      </c>
      <c r="E917" s="190">
        <v>2</v>
      </c>
      <c r="F917" s="190">
        <f>'HIRE CHARGES'!D551</f>
        <v>22.5</v>
      </c>
      <c r="G917" s="190">
        <f t="shared" si="19"/>
        <v>45</v>
      </c>
    </row>
    <row r="918" spans="2:7">
      <c r="B918" s="317"/>
      <c r="C918" s="135" t="s">
        <v>2379</v>
      </c>
      <c r="D918" s="319" t="s">
        <v>2374</v>
      </c>
      <c r="E918" s="190">
        <v>2</v>
      </c>
      <c r="F918" s="190">
        <f>'HIRE CHARGES'!E551</f>
        <v>28</v>
      </c>
      <c r="G918" s="190">
        <f t="shared" si="19"/>
        <v>56</v>
      </c>
    </row>
    <row r="919" spans="2:7">
      <c r="B919" s="105">
        <v>6</v>
      </c>
      <c r="C919" s="135" t="s">
        <v>5539</v>
      </c>
      <c r="D919" s="319" t="s">
        <v>2374</v>
      </c>
      <c r="E919" s="190">
        <v>2</v>
      </c>
      <c r="F919" s="190">
        <f>'HIRE CHARGES'!D551</f>
        <v>22.5</v>
      </c>
      <c r="G919" s="190">
        <f t="shared" si="19"/>
        <v>45</v>
      </c>
    </row>
    <row r="920" spans="2:7">
      <c r="B920" s="317"/>
      <c r="C920" s="135" t="s">
        <v>2379</v>
      </c>
      <c r="D920" s="319" t="s">
        <v>2374</v>
      </c>
      <c r="E920" s="190">
        <v>2</v>
      </c>
      <c r="F920" s="190">
        <f>'HIRE CHARGES'!E551</f>
        <v>28</v>
      </c>
      <c r="G920" s="190">
        <f t="shared" si="19"/>
        <v>56</v>
      </c>
    </row>
    <row r="921" spans="2:7">
      <c r="B921" s="105">
        <v>7</v>
      </c>
      <c r="C921" s="135" t="s">
        <v>2373</v>
      </c>
      <c r="D921" s="319" t="s">
        <v>2173</v>
      </c>
      <c r="E921" s="190">
        <v>10</v>
      </c>
      <c r="F921" s="214">
        <f>'BASIC DATA'!D359</f>
        <v>30</v>
      </c>
      <c r="G921" s="190">
        <f t="shared" si="19"/>
        <v>300</v>
      </c>
    </row>
    <row r="922" spans="2:7">
      <c r="B922" s="176"/>
      <c r="C922" s="193" t="s">
        <v>2380</v>
      </c>
      <c r="D922" s="193"/>
      <c r="E922" s="208"/>
      <c r="F922" s="236" t="s">
        <v>1698</v>
      </c>
      <c r="G922" s="318">
        <f>SUM(G909:G921)</f>
        <v>15875.6</v>
      </c>
    </row>
    <row r="923" spans="2:7"/>
    <row r="924" spans="2:7">
      <c r="B924" s="79" t="s">
        <v>2381</v>
      </c>
    </row>
    <row r="925" spans="2:7">
      <c r="B925" s="95" t="s">
        <v>2369</v>
      </c>
      <c r="C925" s="157" t="s">
        <v>2378</v>
      </c>
      <c r="D925" s="95" t="s">
        <v>2370</v>
      </c>
      <c r="E925" s="95" t="s">
        <v>1166</v>
      </c>
      <c r="F925" s="95" t="s">
        <v>2371</v>
      </c>
      <c r="G925" s="95" t="s">
        <v>2372</v>
      </c>
    </row>
    <row r="926" spans="2:7">
      <c r="B926" s="114"/>
      <c r="C926" s="154"/>
      <c r="D926" s="114"/>
      <c r="E926" s="114"/>
      <c r="F926" s="114" t="s">
        <v>3485</v>
      </c>
      <c r="G926" s="114" t="s">
        <v>3485</v>
      </c>
    </row>
    <row r="927" spans="2:7">
      <c r="B927" s="105">
        <v>1</v>
      </c>
      <c r="C927" s="76" t="s">
        <v>5542</v>
      </c>
      <c r="D927" s="319" t="s">
        <v>2374</v>
      </c>
      <c r="E927" s="207">
        <v>4</v>
      </c>
      <c r="F927" s="190">
        <f>'HIRE CHARGES'!F550</f>
        <v>177.5</v>
      </c>
      <c r="G927" s="190">
        <f>E927*F927</f>
        <v>710</v>
      </c>
    </row>
    <row r="928" spans="2:7">
      <c r="B928" s="105">
        <v>2</v>
      </c>
      <c r="C928" s="76" t="s">
        <v>5545</v>
      </c>
      <c r="D928" s="319" t="s">
        <v>2374</v>
      </c>
      <c r="E928" s="207">
        <v>2</v>
      </c>
      <c r="F928" s="190">
        <f>'HIRE CHARGES'!F551</f>
        <v>198.9</v>
      </c>
      <c r="G928" s="190">
        <f t="shared" ref="G928:G935" si="20">E928*F928</f>
        <v>397.8</v>
      </c>
    </row>
    <row r="929" spans="2:7">
      <c r="B929" s="105">
        <v>3</v>
      </c>
      <c r="C929" s="76" t="s">
        <v>5546</v>
      </c>
      <c r="D929" s="319" t="s">
        <v>2374</v>
      </c>
      <c r="E929" s="207">
        <v>2</v>
      </c>
      <c r="F929" s="190">
        <f>'HIRE CHARGES'!F551</f>
        <v>198.9</v>
      </c>
      <c r="G929" s="190">
        <f t="shared" si="20"/>
        <v>397.8</v>
      </c>
    </row>
    <row r="930" spans="2:7">
      <c r="B930" s="105">
        <v>4</v>
      </c>
      <c r="C930" s="76" t="s">
        <v>2468</v>
      </c>
      <c r="D930" s="319" t="s">
        <v>1172</v>
      </c>
      <c r="E930" s="207">
        <f>D868</f>
        <v>10</v>
      </c>
      <c r="F930" s="190">
        <f>'BASIC DATA'!C471</f>
        <v>510</v>
      </c>
      <c r="G930" s="190">
        <f t="shared" si="20"/>
        <v>5100</v>
      </c>
    </row>
    <row r="931" spans="2:7">
      <c r="B931" s="105">
        <v>5</v>
      </c>
      <c r="C931" s="76" t="s">
        <v>5547</v>
      </c>
      <c r="D931" s="319" t="s">
        <v>1172</v>
      </c>
      <c r="E931" s="207">
        <f>E868</f>
        <v>18</v>
      </c>
      <c r="F931" s="190">
        <f>'BASIC DATA'!C503</f>
        <v>550</v>
      </c>
      <c r="G931" s="190">
        <f t="shared" si="20"/>
        <v>9900</v>
      </c>
    </row>
    <row r="932" spans="2:7">
      <c r="B932" s="105">
        <v>6</v>
      </c>
      <c r="C932" s="76" t="s">
        <v>3010</v>
      </c>
      <c r="D932" s="319" t="s">
        <v>1172</v>
      </c>
      <c r="E932" s="207">
        <v>10</v>
      </c>
      <c r="F932" s="190">
        <f>'BASIC DATA'!C504</f>
        <v>445</v>
      </c>
      <c r="G932" s="190">
        <f t="shared" si="20"/>
        <v>4450</v>
      </c>
    </row>
    <row r="933" spans="2:7">
      <c r="B933" s="105">
        <v>7</v>
      </c>
      <c r="C933" s="76" t="s">
        <v>3013</v>
      </c>
      <c r="D933" s="319" t="s">
        <v>1172</v>
      </c>
      <c r="E933" s="207">
        <v>18</v>
      </c>
      <c r="F933" s="190">
        <f>'BASIC DATA'!C504</f>
        <v>445</v>
      </c>
      <c r="G933" s="190">
        <f t="shared" si="20"/>
        <v>8010</v>
      </c>
    </row>
    <row r="934" spans="2:7">
      <c r="B934" s="105">
        <v>8</v>
      </c>
      <c r="C934" s="76" t="s">
        <v>3011</v>
      </c>
      <c r="D934" s="319" t="s">
        <v>1172</v>
      </c>
      <c r="E934" s="207">
        <f>G868</f>
        <v>52</v>
      </c>
      <c r="F934" s="190">
        <f>'BASIC DATA'!C529</f>
        <v>400</v>
      </c>
      <c r="G934" s="190">
        <f t="shared" si="20"/>
        <v>20800</v>
      </c>
    </row>
    <row r="935" spans="2:7">
      <c r="B935" s="105">
        <v>9</v>
      </c>
      <c r="C935" s="76" t="s">
        <v>5604</v>
      </c>
      <c r="D935" s="319" t="s">
        <v>1172</v>
      </c>
      <c r="E935" s="207">
        <v>1</v>
      </c>
      <c r="F935" s="190">
        <f>'BASIC DATA'!C468</f>
        <v>515</v>
      </c>
      <c r="G935" s="190">
        <f t="shared" si="20"/>
        <v>515</v>
      </c>
    </row>
    <row r="936" spans="2:7">
      <c r="B936" s="92"/>
      <c r="C936" s="193"/>
      <c r="D936" s="151" t="s">
        <v>1174</v>
      </c>
      <c r="E936" s="160"/>
      <c r="F936" s="236" t="s">
        <v>1698</v>
      </c>
      <c r="G936" s="318">
        <f>SUM(G927:G935)</f>
        <v>50280.6</v>
      </c>
    </row>
    <row r="937" spans="2:7">
      <c r="B937" s="101" t="s">
        <v>9422</v>
      </c>
      <c r="C937" s="361"/>
      <c r="D937" s="101"/>
      <c r="E937" s="101"/>
      <c r="F937" s="361"/>
      <c r="G937" s="911">
        <f>G936*30%</f>
        <v>15084.179999999998</v>
      </c>
    </row>
    <row r="938" spans="2:7">
      <c r="B938" s="101"/>
      <c r="C938" s="361" t="s">
        <v>7956</v>
      </c>
      <c r="D938" s="101"/>
      <c r="E938" s="101"/>
      <c r="F938" s="361"/>
      <c r="G938" s="911">
        <f>SUM(G937+G936)</f>
        <v>65364.78</v>
      </c>
    </row>
    <row r="939" spans="2:7">
      <c r="B939" s="76"/>
      <c r="C939" s="200"/>
      <c r="D939" s="76"/>
      <c r="E939" s="76"/>
      <c r="F939" s="200"/>
      <c r="G939" s="766"/>
    </row>
    <row r="940" spans="2:7">
      <c r="B940" s="60" t="s">
        <v>5948</v>
      </c>
      <c r="C940" s="31"/>
      <c r="D940" s="31"/>
      <c r="E940" s="85">
        <f>ROUND(G938/F881,1)</f>
        <v>18527.400000000001</v>
      </c>
    </row>
    <row r="941" spans="2:7">
      <c r="B941" s="60" t="s">
        <v>3163</v>
      </c>
      <c r="C941" s="31"/>
      <c r="D941" s="922">
        <f>'BASIC DATA'!$C$577</f>
        <v>0.13614999999999999</v>
      </c>
      <c r="E941" s="85">
        <f>ROUND(E940*D941,1)</f>
        <v>2522.5</v>
      </c>
    </row>
    <row r="942" spans="2:7">
      <c r="B942" s="60" t="s">
        <v>5949</v>
      </c>
      <c r="C942" s="31"/>
      <c r="D942" s="31"/>
      <c r="E942" s="199">
        <f>E941+E940</f>
        <v>21049.9</v>
      </c>
    </row>
    <row r="943" spans="2:7">
      <c r="B943" s="26"/>
    </row>
    <row r="944" spans="2:7">
      <c r="B944" s="170" t="s">
        <v>1175</v>
      </c>
    </row>
    <row r="945" spans="2:34">
      <c r="B945" s="26" t="s">
        <v>1176</v>
      </c>
      <c r="F945" s="171" t="s">
        <v>1698</v>
      </c>
      <c r="G945" s="68">
        <f>G904</f>
        <v>256591.69999999998</v>
      </c>
    </row>
    <row r="946" spans="2:34">
      <c r="B946" s="26" t="s">
        <v>1186</v>
      </c>
      <c r="F946" s="171" t="s">
        <v>1698</v>
      </c>
      <c r="G946" s="68">
        <f>G922</f>
        <v>15875.6</v>
      </c>
    </row>
    <row r="947" spans="2:34">
      <c r="B947" s="26" t="s">
        <v>2660</v>
      </c>
      <c r="F947" s="171" t="s">
        <v>1698</v>
      </c>
      <c r="G947" s="75">
        <f>G938</f>
        <v>65364.78</v>
      </c>
    </row>
    <row r="948" spans="2:34">
      <c r="B948" s="26"/>
      <c r="E948" s="171" t="s">
        <v>5551</v>
      </c>
      <c r="F948" s="171" t="s">
        <v>1698</v>
      </c>
      <c r="G948" s="205">
        <f>SUM(G945:G947)</f>
        <v>337832.07999999996</v>
      </c>
    </row>
    <row r="949" spans="2:34">
      <c r="B949" s="26" t="s">
        <v>5087</v>
      </c>
      <c r="E949" s="693">
        <f>'BASIC DATA'!C593</f>
        <v>0</v>
      </c>
      <c r="F949" s="171" t="s">
        <v>1698</v>
      </c>
      <c r="G949" s="68">
        <f>(G947+G946)*E949*0.75</f>
        <v>0</v>
      </c>
    </row>
    <row r="950" spans="2:34">
      <c r="B950" s="26" t="s">
        <v>5084</v>
      </c>
      <c r="E950" s="171" t="s">
        <v>1518</v>
      </c>
      <c r="F950" s="171" t="s">
        <v>1698</v>
      </c>
      <c r="G950" s="205">
        <f>G949+G948</f>
        <v>337832.07999999996</v>
      </c>
    </row>
    <row r="951" spans="2:34">
      <c r="B951" s="26" t="s">
        <v>5086</v>
      </c>
      <c r="E951" s="201">
        <f>'BASIC DATA'!C594</f>
        <v>0.03</v>
      </c>
      <c r="F951" s="171" t="s">
        <v>1698</v>
      </c>
      <c r="G951" s="75">
        <f>G950*E951</f>
        <v>10134.962399999999</v>
      </c>
    </row>
    <row r="952" spans="2:34">
      <c r="B952" s="26"/>
      <c r="E952" s="26" t="s">
        <v>2392</v>
      </c>
      <c r="F952" s="171" t="s">
        <v>1698</v>
      </c>
      <c r="G952" s="75">
        <f>G951+G950</f>
        <v>347967.04239999998</v>
      </c>
    </row>
    <row r="953" spans="2:34" ht="44.25" customHeight="1">
      <c r="B953" s="1207" t="s">
        <v>4717</v>
      </c>
      <c r="C953" s="1207"/>
      <c r="D953" s="922">
        <f>'BASIC DATA'!$C$577</f>
        <v>0.13614999999999999</v>
      </c>
      <c r="F953" s="171" t="s">
        <v>1698</v>
      </c>
      <c r="G953" s="75">
        <f>G952*D953</f>
        <v>47375.712822759997</v>
      </c>
      <c r="I953" s="68"/>
    </row>
    <row r="954" spans="2:34">
      <c r="B954" s="26" t="s">
        <v>898</v>
      </c>
    </row>
    <row r="955" spans="2:34">
      <c r="B955" s="47" t="s">
        <v>897</v>
      </c>
      <c r="D955" s="48"/>
      <c r="E955" s="68">
        <f>leadcharges!$F$65</f>
        <v>19</v>
      </c>
      <c r="F955" s="27" t="s">
        <v>1279</v>
      </c>
      <c r="G955" s="76">
        <f>2*ROUND(E955*F881,3)</f>
        <v>134.06399999999999</v>
      </c>
      <c r="AH955" s="68"/>
    </row>
    <row r="956" spans="2:34">
      <c r="B956" s="47" t="s">
        <v>896</v>
      </c>
      <c r="D956" s="48"/>
      <c r="E956" s="68">
        <f>leadcharges!$G$79</f>
        <v>74.8</v>
      </c>
      <c r="F956" s="27" t="s">
        <v>1279</v>
      </c>
      <c r="G956" s="76">
        <f>2*ROUND(E956*F881,3)</f>
        <v>527.78800000000001</v>
      </c>
    </row>
    <row r="957" spans="2:34" ht="18.75" thickBot="1">
      <c r="B957" s="26" t="s">
        <v>5078</v>
      </c>
      <c r="D957" s="278">
        <f>F881</f>
        <v>3.528</v>
      </c>
      <c r="E957" s="26" t="s">
        <v>3480</v>
      </c>
      <c r="F957" s="171" t="s">
        <v>1698</v>
      </c>
      <c r="G957" s="205">
        <f>SUM(G952:G956)</f>
        <v>396004.60722275998</v>
      </c>
    </row>
    <row r="958" spans="2:34" ht="18.75" thickBot="1">
      <c r="D958" s="694" t="s">
        <v>3884</v>
      </c>
      <c r="E958" s="695" t="s">
        <v>3480</v>
      </c>
      <c r="F958" s="696" t="s">
        <v>1698</v>
      </c>
      <c r="G958" s="715">
        <f>ROUND(G957/D957,1)</f>
        <v>112246.2</v>
      </c>
    </row>
    <row r="959" spans="2:34">
      <c r="B959" s="26"/>
      <c r="C959" s="78"/>
    </row>
    <row r="960" spans="2:34">
      <c r="B960" s="26"/>
      <c r="E960" s="78"/>
      <c r="G960" s="171"/>
      <c r="H960" s="27"/>
    </row>
    <row r="961" spans="1:5">
      <c r="B961" s="170" t="s">
        <v>5291</v>
      </c>
    </row>
    <row r="962" spans="1:5">
      <c r="A962" s="822" t="s">
        <v>7169</v>
      </c>
      <c r="B962" s="26" t="s">
        <v>9042</v>
      </c>
    </row>
    <row r="963" spans="1:5">
      <c r="A963" s="822"/>
      <c r="B963" s="26" t="s">
        <v>9043</v>
      </c>
    </row>
    <row r="964" spans="1:5">
      <c r="A964" s="822"/>
      <c r="B964" s="26" t="s">
        <v>1701</v>
      </c>
    </row>
    <row r="965" spans="1:5">
      <c r="A965" s="822"/>
      <c r="B965" s="26" t="s">
        <v>1702</v>
      </c>
    </row>
    <row r="966" spans="1:5">
      <c r="A966" s="822"/>
      <c r="B966" s="26" t="s">
        <v>4554</v>
      </c>
    </row>
    <row r="967" spans="1:5">
      <c r="A967" s="822"/>
      <c r="B967" s="26" t="s">
        <v>4555</v>
      </c>
    </row>
    <row r="968" spans="1:5">
      <c r="A968" s="822"/>
      <c r="B968" s="26" t="s">
        <v>9044</v>
      </c>
    </row>
    <row r="969" spans="1:5">
      <c r="A969" s="822"/>
      <c r="B969" s="26" t="s">
        <v>538</v>
      </c>
      <c r="E969" s="322"/>
    </row>
    <row r="970" spans="1:5">
      <c r="A970" s="822"/>
      <c r="B970" s="26" t="s">
        <v>3549</v>
      </c>
      <c r="E970" s="322"/>
    </row>
    <row r="971" spans="1:5">
      <c r="A971" s="822"/>
      <c r="B971" s="26"/>
      <c r="E971" s="322"/>
    </row>
    <row r="972" spans="1:5" hidden="1">
      <c r="A972" s="865" t="s">
        <v>3984</v>
      </c>
      <c r="B972" s="26" t="s">
        <v>5900</v>
      </c>
      <c r="E972" s="322"/>
    </row>
    <row r="973" spans="1:5" hidden="1">
      <c r="A973" s="822"/>
      <c r="B973" s="26" t="s">
        <v>5901</v>
      </c>
    </row>
    <row r="974" spans="1:5" hidden="1">
      <c r="A974" s="822"/>
      <c r="B974" s="26" t="s">
        <v>5007</v>
      </c>
    </row>
    <row r="975" spans="1:5" hidden="1">
      <c r="A975" s="822"/>
      <c r="B975" s="26" t="s">
        <v>5871</v>
      </c>
    </row>
    <row r="976" spans="1:5" hidden="1">
      <c r="A976" s="822"/>
      <c r="B976" s="26" t="s">
        <v>3912</v>
      </c>
    </row>
    <row r="977" spans="1:7" hidden="1">
      <c r="A977" s="822"/>
      <c r="B977" s="26" t="s">
        <v>3913</v>
      </c>
    </row>
    <row r="978" spans="1:7" hidden="1">
      <c r="A978" s="822"/>
      <c r="B978" s="26" t="s">
        <v>5727</v>
      </c>
    </row>
    <row r="979" spans="1:7" hidden="1">
      <c r="A979" s="822"/>
      <c r="B979" s="26" t="s">
        <v>4556</v>
      </c>
      <c r="E979" s="322" t="s">
        <v>1697</v>
      </c>
      <c r="F979" s="26">
        <v>30.856000000000002</v>
      </c>
      <c r="G979" s="26" t="s">
        <v>2710</v>
      </c>
    </row>
    <row r="980" spans="1:7" hidden="1">
      <c r="A980" s="822"/>
      <c r="B980" s="26" t="s">
        <v>240</v>
      </c>
    </row>
    <row r="981" spans="1:7" hidden="1">
      <c r="A981" s="865">
        <v>1</v>
      </c>
      <c r="B981" s="26" t="s">
        <v>5780</v>
      </c>
    </row>
    <row r="982" spans="1:7" hidden="1">
      <c r="A982" s="880" t="s">
        <v>1535</v>
      </c>
      <c r="B982" s="26" t="s">
        <v>241</v>
      </c>
      <c r="E982" s="322"/>
    </row>
    <row r="983" spans="1:7" hidden="1">
      <c r="B983" s="26" t="s">
        <v>5966</v>
      </c>
      <c r="E983" s="322" t="s">
        <v>1697</v>
      </c>
      <c r="F983" s="68">
        <v>1743</v>
      </c>
      <c r="G983" s="26" t="s">
        <v>3478</v>
      </c>
    </row>
    <row r="984" spans="1:7" hidden="1">
      <c r="A984" s="870"/>
      <c r="B984" s="26" t="s">
        <v>5967</v>
      </c>
      <c r="E984" s="322" t="s">
        <v>1697</v>
      </c>
      <c r="F984" s="68">
        <v>19700</v>
      </c>
      <c r="G984" s="26" t="s">
        <v>3478</v>
      </c>
    </row>
    <row r="985" spans="1:7" hidden="1">
      <c r="A985" s="870"/>
      <c r="B985" s="26" t="s">
        <v>4986</v>
      </c>
      <c r="E985" s="322" t="s">
        <v>1697</v>
      </c>
      <c r="F985" s="68">
        <v>820</v>
      </c>
      <c r="G985" s="26" t="s">
        <v>3478</v>
      </c>
    </row>
    <row r="986" spans="1:7" hidden="1">
      <c r="A986" s="870" t="s">
        <v>5400</v>
      </c>
      <c r="B986" s="26" t="s">
        <v>5165</v>
      </c>
      <c r="E986" s="322"/>
      <c r="F986" s="68"/>
    </row>
    <row r="987" spans="1:7" hidden="1">
      <c r="A987" s="870"/>
      <c r="B987" s="26" t="s">
        <v>4987</v>
      </c>
      <c r="E987" s="322" t="s">
        <v>1697</v>
      </c>
      <c r="F987" s="68">
        <v>2336</v>
      </c>
      <c r="G987" s="26" t="s">
        <v>3478</v>
      </c>
    </row>
    <row r="988" spans="1:7" hidden="1">
      <c r="A988" s="870"/>
      <c r="B988" s="26" t="s">
        <v>5969</v>
      </c>
      <c r="E988" s="322" t="s">
        <v>1697</v>
      </c>
      <c r="F988" s="68">
        <v>149</v>
      </c>
      <c r="G988" s="26" t="s">
        <v>3478</v>
      </c>
    </row>
    <row r="989" spans="1:7" hidden="1">
      <c r="A989" s="870"/>
      <c r="B989" s="26" t="s">
        <v>4988</v>
      </c>
      <c r="E989" s="322" t="s">
        <v>1697</v>
      </c>
      <c r="F989" s="68">
        <v>2255</v>
      </c>
      <c r="G989" s="26" t="s">
        <v>3478</v>
      </c>
    </row>
    <row r="990" spans="1:7" hidden="1">
      <c r="A990" s="870"/>
      <c r="B990" s="26" t="s">
        <v>4989</v>
      </c>
      <c r="E990" s="322" t="s">
        <v>1697</v>
      </c>
      <c r="F990" s="68">
        <v>817</v>
      </c>
      <c r="G990" s="26" t="s">
        <v>3478</v>
      </c>
    </row>
    <row r="991" spans="1:7" hidden="1">
      <c r="A991" s="870" t="s">
        <v>5401</v>
      </c>
      <c r="B991" s="26" t="s">
        <v>365</v>
      </c>
      <c r="E991" s="322"/>
      <c r="F991" s="68"/>
    </row>
    <row r="992" spans="1:7" hidden="1">
      <c r="A992" s="870"/>
      <c r="B992" s="26" t="s">
        <v>6159</v>
      </c>
      <c r="E992" s="322" t="s">
        <v>1697</v>
      </c>
      <c r="F992" s="68">
        <v>127</v>
      </c>
      <c r="G992" s="26" t="s">
        <v>3478</v>
      </c>
    </row>
    <row r="993" spans="1:7" hidden="1">
      <c r="A993" s="870" t="s">
        <v>1696</v>
      </c>
      <c r="B993" s="26" t="s">
        <v>4990</v>
      </c>
      <c r="E993" s="322"/>
      <c r="F993" s="68"/>
    </row>
    <row r="994" spans="1:7" hidden="1">
      <c r="A994" s="870"/>
      <c r="B994" s="26" t="s">
        <v>4772</v>
      </c>
      <c r="E994" s="322" t="s">
        <v>1697</v>
      </c>
      <c r="F994" s="68">
        <v>556</v>
      </c>
      <c r="G994" s="26" t="s">
        <v>3478</v>
      </c>
    </row>
    <row r="995" spans="1:7" hidden="1">
      <c r="A995" s="870"/>
      <c r="B995" s="26" t="s">
        <v>4773</v>
      </c>
      <c r="E995" s="322" t="s">
        <v>1697</v>
      </c>
      <c r="F995" s="68">
        <v>524</v>
      </c>
      <c r="G995" s="26" t="s">
        <v>3478</v>
      </c>
    </row>
    <row r="996" spans="1:7" hidden="1">
      <c r="A996" s="870" t="s">
        <v>5082</v>
      </c>
      <c r="B996" s="26" t="s">
        <v>6988</v>
      </c>
      <c r="E996" s="322"/>
      <c r="F996" s="68"/>
    </row>
    <row r="997" spans="1:7" hidden="1">
      <c r="A997" s="870"/>
      <c r="B997" s="26" t="s">
        <v>6989</v>
      </c>
      <c r="E997" s="322" t="s">
        <v>1697</v>
      </c>
      <c r="F997" s="68">
        <v>181</v>
      </c>
      <c r="G997" s="26" t="s">
        <v>3478</v>
      </c>
    </row>
    <row r="998" spans="1:7" hidden="1">
      <c r="A998" s="870" t="s">
        <v>2408</v>
      </c>
      <c r="B998" s="26" t="s">
        <v>5128</v>
      </c>
      <c r="E998" s="322"/>
      <c r="F998" s="68"/>
    </row>
    <row r="999" spans="1:7" hidden="1">
      <c r="A999" s="870"/>
      <c r="B999" s="26" t="s">
        <v>3606</v>
      </c>
      <c r="E999" s="322" t="s">
        <v>1697</v>
      </c>
      <c r="F999" s="68">
        <v>63</v>
      </c>
      <c r="G999" s="26" t="s">
        <v>3478</v>
      </c>
    </row>
    <row r="1000" spans="1:7" hidden="1">
      <c r="A1000" s="870" t="s">
        <v>2410</v>
      </c>
      <c r="B1000" s="26" t="s">
        <v>3607</v>
      </c>
      <c r="E1000" s="322"/>
    </row>
    <row r="1001" spans="1:7" hidden="1">
      <c r="A1001" s="870"/>
      <c r="B1001" s="26" t="s">
        <v>5750</v>
      </c>
      <c r="E1001" s="322" t="s">
        <v>1697</v>
      </c>
      <c r="F1001" s="68">
        <v>406</v>
      </c>
      <c r="G1001" s="26" t="s">
        <v>3478</v>
      </c>
    </row>
    <row r="1002" spans="1:7" hidden="1">
      <c r="A1002" s="870" t="s">
        <v>6401</v>
      </c>
      <c r="B1002" s="26" t="s">
        <v>1705</v>
      </c>
      <c r="E1002" s="322"/>
    </row>
    <row r="1003" spans="1:7" hidden="1">
      <c r="A1003" s="870"/>
      <c r="B1003" s="26" t="s">
        <v>5977</v>
      </c>
      <c r="E1003" s="322" t="s">
        <v>1697</v>
      </c>
      <c r="F1003" s="26">
        <v>4</v>
      </c>
      <c r="G1003" s="26" t="s">
        <v>2059</v>
      </c>
    </row>
    <row r="1004" spans="1:7" hidden="1">
      <c r="A1004" s="870"/>
      <c r="B1004" s="26" t="s">
        <v>5751</v>
      </c>
      <c r="E1004" s="322" t="s">
        <v>1697</v>
      </c>
      <c r="F1004" s="26">
        <v>1</v>
      </c>
      <c r="G1004" s="26" t="s">
        <v>4089</v>
      </c>
    </row>
    <row r="1005" spans="1:7" hidden="1">
      <c r="A1005" s="870"/>
      <c r="B1005" s="26" t="s">
        <v>5752</v>
      </c>
      <c r="E1005" s="322" t="s">
        <v>1697</v>
      </c>
      <c r="F1005" s="26">
        <v>2</v>
      </c>
      <c r="G1005" s="26" t="s">
        <v>2059</v>
      </c>
    </row>
    <row r="1006" spans="1:7" hidden="1">
      <c r="A1006" s="870"/>
      <c r="B1006" s="26" t="s">
        <v>5753</v>
      </c>
      <c r="E1006" s="322" t="s">
        <v>1697</v>
      </c>
      <c r="F1006" s="26">
        <v>1</v>
      </c>
      <c r="G1006" s="26" t="s">
        <v>4089</v>
      </c>
    </row>
    <row r="1007" spans="1:7" hidden="1">
      <c r="A1007" s="870"/>
      <c r="B1007" s="26" t="s">
        <v>5754</v>
      </c>
      <c r="E1007" s="322" t="s">
        <v>1697</v>
      </c>
      <c r="F1007" s="26">
        <v>4</v>
      </c>
      <c r="G1007" s="26" t="s">
        <v>2059</v>
      </c>
    </row>
    <row r="1008" spans="1:7" hidden="1">
      <c r="A1008" s="870"/>
      <c r="B1008" s="26" t="s">
        <v>15</v>
      </c>
      <c r="E1008" s="322" t="s">
        <v>1697</v>
      </c>
      <c r="F1008" s="26">
        <v>50</v>
      </c>
      <c r="G1008" s="26" t="s">
        <v>3483</v>
      </c>
    </row>
    <row r="1009" spans="1:7" hidden="1">
      <c r="A1009" s="870"/>
      <c r="B1009" s="26" t="s">
        <v>5755</v>
      </c>
      <c r="E1009" s="322" t="s">
        <v>1697</v>
      </c>
      <c r="F1009" s="26">
        <v>3</v>
      </c>
      <c r="G1009" s="26" t="s">
        <v>1614</v>
      </c>
    </row>
    <row r="1010" spans="1:7" hidden="1">
      <c r="A1010" s="870" t="s">
        <v>5756</v>
      </c>
      <c r="B1010" s="26" t="s">
        <v>517</v>
      </c>
      <c r="E1010" s="322" t="s">
        <v>1697</v>
      </c>
      <c r="F1010" s="26">
        <v>1123</v>
      </c>
      <c r="G1010" s="26" t="s">
        <v>2059</v>
      </c>
    </row>
    <row r="1011" spans="1:7" hidden="1">
      <c r="A1011" s="870"/>
      <c r="B1011" s="26" t="s">
        <v>519</v>
      </c>
      <c r="E1011" s="322" t="s">
        <v>1697</v>
      </c>
      <c r="F1011" s="26">
        <v>10110</v>
      </c>
      <c r="G1011" s="26" t="s">
        <v>2059</v>
      </c>
    </row>
    <row r="1012" spans="1:7" hidden="1">
      <c r="A1012" s="865">
        <v>2</v>
      </c>
      <c r="B1012" s="26" t="s">
        <v>2281</v>
      </c>
      <c r="E1012" s="322"/>
    </row>
    <row r="1013" spans="1:7" hidden="1">
      <c r="B1013" s="26" t="s">
        <v>4962</v>
      </c>
      <c r="E1013" s="322" t="s">
        <v>1697</v>
      </c>
      <c r="F1013" s="26">
        <v>761</v>
      </c>
      <c r="G1013" s="26" t="s">
        <v>3483</v>
      </c>
    </row>
    <row r="1014" spans="1:7" hidden="1">
      <c r="B1014" s="26" t="s">
        <v>5757</v>
      </c>
      <c r="E1014" s="322" t="s">
        <v>1697</v>
      </c>
      <c r="F1014" s="174">
        <v>76</v>
      </c>
      <c r="G1014" s="26" t="s">
        <v>3483</v>
      </c>
    </row>
    <row r="1015" spans="1:7" hidden="1">
      <c r="B1015" s="26"/>
      <c r="D1015" s="171" t="s">
        <v>1518</v>
      </c>
      <c r="E1015" s="322" t="s">
        <v>1697</v>
      </c>
      <c r="F1015" s="26">
        <v>837</v>
      </c>
      <c r="G1015" s="26" t="s">
        <v>3483</v>
      </c>
    </row>
    <row r="1016" spans="1:7" hidden="1">
      <c r="B1016" s="26" t="s">
        <v>165</v>
      </c>
      <c r="E1016" s="322"/>
    </row>
    <row r="1017" spans="1:7" hidden="1">
      <c r="B1017" s="26" t="s">
        <v>5758</v>
      </c>
      <c r="E1017" s="322" t="s">
        <v>1697</v>
      </c>
      <c r="F1017" s="26">
        <v>250</v>
      </c>
      <c r="G1017" s="26" t="s">
        <v>2602</v>
      </c>
    </row>
    <row r="1018" spans="1:7" hidden="1">
      <c r="B1018" s="26" t="s">
        <v>3533</v>
      </c>
      <c r="E1018" s="322" t="s">
        <v>1697</v>
      </c>
      <c r="F1018" s="26">
        <v>587</v>
      </c>
      <c r="G1018" s="26" t="s">
        <v>2602</v>
      </c>
    </row>
    <row r="1019" spans="1:7" hidden="1">
      <c r="B1019" s="26" t="s">
        <v>2278</v>
      </c>
      <c r="E1019" s="322" t="s">
        <v>1697</v>
      </c>
      <c r="F1019" s="26">
        <v>125</v>
      </c>
      <c r="G1019" s="26" t="s">
        <v>4665</v>
      </c>
    </row>
    <row r="1020" spans="1:7" hidden="1">
      <c r="B1020" s="26" t="s">
        <v>2279</v>
      </c>
      <c r="E1020" s="322" t="s">
        <v>1697</v>
      </c>
      <c r="F1020" s="26">
        <v>196</v>
      </c>
      <c r="G1020" s="26" t="s">
        <v>4665</v>
      </c>
    </row>
    <row r="1021" spans="1:7" hidden="1">
      <c r="B1021" s="26" t="s">
        <v>5759</v>
      </c>
      <c r="E1021" s="322" t="s">
        <v>1697</v>
      </c>
      <c r="F1021" s="26">
        <v>193</v>
      </c>
      <c r="G1021" s="26" t="s">
        <v>3477</v>
      </c>
    </row>
    <row r="1022" spans="1:7" hidden="1">
      <c r="B1022" s="26" t="s">
        <v>5759</v>
      </c>
      <c r="E1022" s="322" t="s">
        <v>1697</v>
      </c>
      <c r="F1022" s="26">
        <v>579</v>
      </c>
      <c r="G1022" s="26" t="s">
        <v>3477</v>
      </c>
    </row>
    <row r="1023" spans="1:7" hidden="1">
      <c r="B1023" s="26" t="s">
        <v>5760</v>
      </c>
      <c r="E1023" s="322" t="s">
        <v>1697</v>
      </c>
      <c r="F1023" s="26">
        <v>150</v>
      </c>
      <c r="G1023" s="26" t="s">
        <v>4665</v>
      </c>
    </row>
    <row r="1024" spans="1:7" hidden="1">
      <c r="B1024" s="26" t="s">
        <v>5761</v>
      </c>
      <c r="E1024" s="322" t="s">
        <v>1697</v>
      </c>
      <c r="F1024" s="26">
        <v>235</v>
      </c>
      <c r="G1024" s="26" t="s">
        <v>4665</v>
      </c>
    </row>
    <row r="1025" spans="1:7" hidden="1">
      <c r="A1025" s="865">
        <v>3</v>
      </c>
      <c r="B1025" s="26" t="s">
        <v>4651</v>
      </c>
      <c r="E1025" s="322"/>
    </row>
    <row r="1026" spans="1:7" hidden="1">
      <c r="B1026" s="26" t="s">
        <v>2504</v>
      </c>
      <c r="E1026" s="322" t="s">
        <v>1697</v>
      </c>
      <c r="F1026" s="26">
        <v>1260</v>
      </c>
      <c r="G1026" s="26" t="s">
        <v>3483</v>
      </c>
    </row>
    <row r="1027" spans="1:7" hidden="1">
      <c r="B1027" s="26" t="s">
        <v>5723</v>
      </c>
      <c r="E1027" s="322"/>
    </row>
    <row r="1028" spans="1:7" hidden="1">
      <c r="B1028" s="26"/>
      <c r="C1028" s="26" t="s">
        <v>5762</v>
      </c>
      <c r="E1028" s="322" t="s">
        <v>1697</v>
      </c>
      <c r="F1028" s="26">
        <v>300</v>
      </c>
      <c r="G1028" s="26" t="s">
        <v>4665</v>
      </c>
    </row>
    <row r="1029" spans="1:7" hidden="1">
      <c r="B1029" s="26" t="s">
        <v>1913</v>
      </c>
      <c r="E1029" s="322"/>
    </row>
    <row r="1030" spans="1:7" hidden="1">
      <c r="B1030" s="26"/>
      <c r="C1030" s="26" t="s">
        <v>5763</v>
      </c>
      <c r="E1030" s="322" t="s">
        <v>1697</v>
      </c>
      <c r="F1030" s="174">
        <v>897</v>
      </c>
      <c r="G1030" s="26" t="s">
        <v>4665</v>
      </c>
    </row>
    <row r="1031" spans="1:7" hidden="1">
      <c r="B1031" s="26"/>
      <c r="D1031" s="171" t="s">
        <v>1518</v>
      </c>
      <c r="E1031" s="322" t="s">
        <v>1697</v>
      </c>
      <c r="F1031" s="26">
        <v>1197</v>
      </c>
      <c r="G1031" s="26" t="s">
        <v>4665</v>
      </c>
    </row>
    <row r="1032" spans="1:7" hidden="1">
      <c r="B1032" s="26" t="s">
        <v>5764</v>
      </c>
      <c r="E1032" s="322"/>
    </row>
    <row r="1033" spans="1:7" hidden="1">
      <c r="B1033" s="26" t="s">
        <v>2657</v>
      </c>
      <c r="E1033" s="322"/>
    </row>
    <row r="1034" spans="1:7" hidden="1">
      <c r="A1034" s="865">
        <v>4</v>
      </c>
      <c r="B1034" s="26" t="s">
        <v>4249</v>
      </c>
    </row>
    <row r="1035" spans="1:7" hidden="1">
      <c r="B1035" s="26" t="s">
        <v>1818</v>
      </c>
    </row>
    <row r="1036" spans="1:7" hidden="1">
      <c r="B1036" s="26" t="s">
        <v>5765</v>
      </c>
    </row>
    <row r="1037" spans="1:7" hidden="1">
      <c r="B1037" s="26" t="s">
        <v>5766</v>
      </c>
    </row>
    <row r="1038" spans="1:7" hidden="1">
      <c r="B1038" s="26" t="s">
        <v>6010</v>
      </c>
    </row>
    <row r="1039" spans="1:7" hidden="1">
      <c r="B1039" s="26" t="s">
        <v>648</v>
      </c>
    </row>
    <row r="1040" spans="1:7" hidden="1">
      <c r="A1040" s="865">
        <v>5</v>
      </c>
      <c r="B1040" s="31" t="s">
        <v>4900</v>
      </c>
      <c r="C1040" s="31"/>
      <c r="D1040" s="31"/>
      <c r="E1040" s="31"/>
      <c r="F1040" s="31"/>
    </row>
    <row r="1041" spans="2:7" hidden="1">
      <c r="B1041" s="1266" t="s">
        <v>4901</v>
      </c>
      <c r="C1041" s="1266"/>
      <c r="D1041" s="38" t="s">
        <v>2468</v>
      </c>
      <c r="E1041" s="38" t="s">
        <v>4902</v>
      </c>
      <c r="F1041" s="38" t="s">
        <v>4903</v>
      </c>
      <c r="G1041" s="38" t="s">
        <v>6199</v>
      </c>
    </row>
    <row r="1042" spans="2:7" hidden="1">
      <c r="B1042" s="1266"/>
      <c r="C1042" s="1266"/>
      <c r="D1042" s="38"/>
      <c r="E1042" s="38" t="s">
        <v>4904</v>
      </c>
      <c r="F1042" s="38" t="s">
        <v>4905</v>
      </c>
      <c r="G1042" s="38"/>
    </row>
    <row r="1043" spans="2:7" hidden="1">
      <c r="B1043" s="1266"/>
      <c r="C1043" s="1266"/>
      <c r="D1043" s="38"/>
      <c r="E1043" s="38" t="s">
        <v>6307</v>
      </c>
      <c r="F1043" s="36"/>
      <c r="G1043" s="38"/>
    </row>
    <row r="1044" spans="2:7" hidden="1">
      <c r="B1044" s="38" t="s">
        <v>2688</v>
      </c>
      <c r="C1044" s="38"/>
      <c r="D1044" s="36">
        <v>24</v>
      </c>
      <c r="E1044" s="36">
        <v>48</v>
      </c>
      <c r="F1044" s="36">
        <v>48</v>
      </c>
      <c r="G1044" s="36">
        <v>96</v>
      </c>
    </row>
    <row r="1045" spans="2:7" hidden="1">
      <c r="B1045" s="38" t="s">
        <v>6584</v>
      </c>
      <c r="C1045" s="38"/>
      <c r="D1045" s="36">
        <v>1</v>
      </c>
      <c r="E1045" s="36">
        <v>2</v>
      </c>
      <c r="F1045" s="36" t="s">
        <v>5854</v>
      </c>
      <c r="G1045" s="36">
        <v>2</v>
      </c>
    </row>
    <row r="1046" spans="2:7" hidden="1">
      <c r="B1046" s="38" t="s">
        <v>2689</v>
      </c>
      <c r="C1046" s="38"/>
      <c r="D1046" s="36">
        <v>19</v>
      </c>
      <c r="E1046" s="36">
        <v>38</v>
      </c>
      <c r="F1046" s="36" t="s">
        <v>5854</v>
      </c>
      <c r="G1046" s="36">
        <v>76</v>
      </c>
    </row>
    <row r="1047" spans="2:7" hidden="1">
      <c r="B1047" s="38" t="s">
        <v>2690</v>
      </c>
      <c r="C1047" s="38"/>
      <c r="D1047" s="36">
        <v>11</v>
      </c>
      <c r="E1047" s="36" t="s">
        <v>5854</v>
      </c>
      <c r="F1047" s="36">
        <v>112</v>
      </c>
      <c r="G1047" s="36">
        <v>112</v>
      </c>
    </row>
    <row r="1048" spans="2:7" hidden="1">
      <c r="B1048" s="38" t="s">
        <v>2691</v>
      </c>
      <c r="C1048" s="38"/>
      <c r="D1048" s="36">
        <v>2</v>
      </c>
      <c r="E1048" s="36">
        <v>4</v>
      </c>
      <c r="F1048" s="36" t="s">
        <v>5854</v>
      </c>
      <c r="G1048" s="36">
        <v>8</v>
      </c>
    </row>
    <row r="1049" spans="2:7" hidden="1">
      <c r="B1049" s="38" t="s">
        <v>2692</v>
      </c>
      <c r="C1049" s="38"/>
      <c r="D1049" s="36">
        <v>2</v>
      </c>
      <c r="E1049" s="36">
        <v>4</v>
      </c>
      <c r="F1049" s="36" t="s">
        <v>5854</v>
      </c>
      <c r="G1049" s="36">
        <v>8</v>
      </c>
    </row>
    <row r="1050" spans="2:7" hidden="1">
      <c r="B1050" s="38" t="s">
        <v>5376</v>
      </c>
      <c r="C1050" s="38"/>
      <c r="D1050" s="36">
        <v>2</v>
      </c>
      <c r="E1050" s="36">
        <v>4</v>
      </c>
      <c r="F1050" s="36" t="s">
        <v>5854</v>
      </c>
      <c r="G1050" s="36">
        <v>8</v>
      </c>
    </row>
    <row r="1051" spans="2:7" hidden="1">
      <c r="B1051" s="38" t="s">
        <v>5377</v>
      </c>
      <c r="C1051" s="38"/>
      <c r="D1051" s="36">
        <v>2</v>
      </c>
      <c r="E1051" s="36">
        <v>4</v>
      </c>
      <c r="F1051" s="36" t="s">
        <v>5854</v>
      </c>
      <c r="G1051" s="36">
        <v>8</v>
      </c>
    </row>
    <row r="1052" spans="2:7" hidden="1">
      <c r="B1052" s="38" t="s">
        <v>680</v>
      </c>
      <c r="C1052" s="38"/>
      <c r="D1052" s="36">
        <v>2</v>
      </c>
      <c r="E1052" s="36">
        <v>4</v>
      </c>
      <c r="F1052" s="36" t="s">
        <v>5854</v>
      </c>
      <c r="G1052" s="36">
        <v>8</v>
      </c>
    </row>
    <row r="1053" spans="2:7" hidden="1">
      <c r="B1053" s="38" t="s">
        <v>681</v>
      </c>
      <c r="C1053" s="38"/>
      <c r="D1053" s="36">
        <v>1</v>
      </c>
      <c r="E1053" s="36">
        <v>2</v>
      </c>
      <c r="F1053" s="36" t="s">
        <v>5854</v>
      </c>
      <c r="G1053" s="36">
        <v>4</v>
      </c>
    </row>
    <row r="1054" spans="2:7" hidden="1">
      <c r="B1054" s="38" t="s">
        <v>682</v>
      </c>
      <c r="C1054" s="38"/>
      <c r="D1054" s="36">
        <v>1</v>
      </c>
      <c r="E1054" s="36">
        <v>2</v>
      </c>
      <c r="F1054" s="36" t="s">
        <v>5854</v>
      </c>
      <c r="G1054" s="36">
        <v>4</v>
      </c>
    </row>
    <row r="1055" spans="2:7" hidden="1">
      <c r="B1055" s="38" t="s">
        <v>683</v>
      </c>
      <c r="C1055" s="38"/>
      <c r="D1055" s="36">
        <v>2</v>
      </c>
      <c r="E1055" s="36">
        <v>2</v>
      </c>
      <c r="F1055" s="36" t="s">
        <v>5854</v>
      </c>
      <c r="G1055" s="36">
        <v>4</v>
      </c>
    </row>
    <row r="1056" spans="2:7" hidden="1">
      <c r="B1056" s="38" t="s">
        <v>2962</v>
      </c>
      <c r="C1056" s="38"/>
      <c r="D1056" s="36">
        <v>1</v>
      </c>
      <c r="E1056" s="36">
        <v>1</v>
      </c>
      <c r="F1056" s="36" t="s">
        <v>5854</v>
      </c>
      <c r="G1056" s="36">
        <v>2</v>
      </c>
    </row>
    <row r="1057" spans="1:7" hidden="1">
      <c r="B1057" s="38" t="s">
        <v>5309</v>
      </c>
      <c r="C1057" s="38"/>
      <c r="D1057" s="36">
        <v>2</v>
      </c>
      <c r="E1057" s="36">
        <v>4</v>
      </c>
      <c r="F1057" s="36" t="s">
        <v>5854</v>
      </c>
      <c r="G1057" s="36">
        <v>4</v>
      </c>
    </row>
    <row r="1058" spans="1:7" hidden="1">
      <c r="B1058" s="38" t="s">
        <v>2964</v>
      </c>
      <c r="C1058" s="38"/>
      <c r="D1058" s="36">
        <v>1</v>
      </c>
      <c r="E1058" s="36">
        <v>2</v>
      </c>
      <c r="F1058" s="36" t="s">
        <v>5854</v>
      </c>
      <c r="G1058" s="36">
        <v>2</v>
      </c>
    </row>
    <row r="1059" spans="1:7" hidden="1">
      <c r="B1059" s="38" t="s">
        <v>5310</v>
      </c>
      <c r="C1059" s="38"/>
      <c r="D1059" s="36">
        <v>1</v>
      </c>
      <c r="E1059" s="36">
        <v>2</v>
      </c>
      <c r="F1059" s="36" t="s">
        <v>5854</v>
      </c>
      <c r="G1059" s="36">
        <v>2</v>
      </c>
    </row>
    <row r="1060" spans="1:7" hidden="1">
      <c r="B1060" s="38" t="s">
        <v>2965</v>
      </c>
      <c r="C1060" s="38"/>
      <c r="D1060" s="36" t="s">
        <v>5854</v>
      </c>
      <c r="E1060" s="36">
        <v>1</v>
      </c>
      <c r="F1060" s="36" t="s">
        <v>5854</v>
      </c>
      <c r="G1060" s="36">
        <v>2</v>
      </c>
    </row>
    <row r="1061" spans="1:7" hidden="1">
      <c r="B1061" s="36" t="s">
        <v>2656</v>
      </c>
      <c r="C1061" s="36"/>
      <c r="D1061" s="36">
        <f>SUM(D1044:D1060)</f>
        <v>74</v>
      </c>
      <c r="E1061" s="36">
        <f>SUM(E1044:E1060)</f>
        <v>124</v>
      </c>
      <c r="F1061" s="36">
        <f>SUM(F1044:F1060)</f>
        <v>160</v>
      </c>
      <c r="G1061" s="36">
        <f>SUM(G1044:G1060)</f>
        <v>350</v>
      </c>
    </row>
    <row r="1062" spans="1:7" hidden="1">
      <c r="A1062" s="865">
        <v>6</v>
      </c>
      <c r="B1062" s="26" t="s">
        <v>673</v>
      </c>
    </row>
    <row r="1063" spans="1:7" hidden="1">
      <c r="B1063" s="26" t="s">
        <v>6017</v>
      </c>
    </row>
    <row r="1064" spans="1:7" hidden="1">
      <c r="B1064" s="26" t="s">
        <v>2385</v>
      </c>
    </row>
    <row r="1065" spans="1:7" hidden="1">
      <c r="B1065" s="26" t="s">
        <v>4751</v>
      </c>
    </row>
    <row r="1066" spans="1:7" hidden="1">
      <c r="A1066" s="865">
        <v>7</v>
      </c>
      <c r="B1066" s="26" t="s">
        <v>2366</v>
      </c>
    </row>
    <row r="1067" spans="1:7" hidden="1">
      <c r="A1067" s="822"/>
      <c r="B1067" s="26" t="s">
        <v>1689</v>
      </c>
      <c r="C1067" s="68">
        <f>'BASIC DATA'!D373</f>
        <v>7800</v>
      </c>
      <c r="D1067" s="26" t="s">
        <v>2290</v>
      </c>
      <c r="E1067" s="315" t="s">
        <v>1698</v>
      </c>
      <c r="F1067" s="68">
        <f>C1067</f>
        <v>7800</v>
      </c>
    </row>
    <row r="1068" spans="1:7" hidden="1">
      <c r="A1068" s="822"/>
      <c r="B1068" s="26" t="s">
        <v>3231</v>
      </c>
      <c r="E1068" s="322" t="s">
        <v>1697</v>
      </c>
      <c r="F1068" s="316">
        <v>1000</v>
      </c>
      <c r="G1068" s="26" t="s">
        <v>4665</v>
      </c>
    </row>
    <row r="1069" spans="1:7" hidden="1">
      <c r="A1069" s="822"/>
      <c r="B1069" s="26" t="s">
        <v>3232</v>
      </c>
      <c r="C1069" s="26" t="s">
        <v>7593</v>
      </c>
      <c r="E1069" s="315" t="s">
        <v>1698</v>
      </c>
      <c r="F1069" s="68">
        <f>F1067/F1068</f>
        <v>7.8</v>
      </c>
    </row>
    <row r="1070" spans="1:7" hidden="1">
      <c r="A1070" s="822"/>
      <c r="B1070" s="26" t="s">
        <v>2973</v>
      </c>
      <c r="C1070" s="68">
        <f>'BASIC DATA'!D371</f>
        <v>14500</v>
      </c>
      <c r="D1070" s="26" t="s">
        <v>2290</v>
      </c>
      <c r="E1070" s="315" t="s">
        <v>1698</v>
      </c>
      <c r="F1070" s="68">
        <f>C1070</f>
        <v>14500</v>
      </c>
    </row>
    <row r="1071" spans="1:7" hidden="1">
      <c r="A1071" s="822"/>
      <c r="B1071" s="26" t="s">
        <v>5868</v>
      </c>
      <c r="E1071" s="322" t="s">
        <v>1697</v>
      </c>
      <c r="F1071" s="316">
        <v>600</v>
      </c>
      <c r="G1071" s="26" t="s">
        <v>4665</v>
      </c>
    </row>
    <row r="1072" spans="1:7" hidden="1">
      <c r="A1072" s="822"/>
      <c r="B1072" s="26" t="s">
        <v>3234</v>
      </c>
      <c r="C1072" s="26" t="s">
        <v>7593</v>
      </c>
      <c r="E1072" s="315" t="s">
        <v>1698</v>
      </c>
      <c r="F1072" s="68">
        <f>F1070/F1071</f>
        <v>24.166666666666668</v>
      </c>
    </row>
    <row r="1073" spans="1:7">
      <c r="B1073" s="26"/>
      <c r="C1073" s="78"/>
    </row>
    <row r="1074" spans="1:7">
      <c r="B1074" s="26"/>
      <c r="C1074" s="78"/>
    </row>
    <row r="1075" spans="1:7">
      <c r="A1075" s="865" t="s">
        <v>3984</v>
      </c>
      <c r="C1075" s="203" t="s">
        <v>2367</v>
      </c>
      <c r="E1075" s="171" t="s">
        <v>297</v>
      </c>
      <c r="F1075" s="692">
        <v>30.856000000000002</v>
      </c>
      <c r="G1075" s="26" t="s">
        <v>3480</v>
      </c>
    </row>
    <row r="1076" spans="1:7">
      <c r="B1076" s="79" t="s">
        <v>2368</v>
      </c>
      <c r="F1076" s="718">
        <v>25</v>
      </c>
      <c r="G1076" s="26" t="s">
        <v>4769</v>
      </c>
    </row>
    <row r="1077" spans="1:7">
      <c r="B1077" s="95" t="s">
        <v>2369</v>
      </c>
      <c r="C1077" s="157" t="s">
        <v>6374</v>
      </c>
      <c r="D1077" s="95" t="s">
        <v>2370</v>
      </c>
      <c r="E1077" s="95" t="s">
        <v>1166</v>
      </c>
      <c r="F1077" s="95" t="s">
        <v>2371</v>
      </c>
      <c r="G1077" s="95" t="s">
        <v>2372</v>
      </c>
    </row>
    <row r="1078" spans="1:7">
      <c r="B1078" s="114"/>
      <c r="C1078" s="154"/>
      <c r="D1078" s="114"/>
      <c r="E1078" s="114"/>
      <c r="F1078" s="114" t="s">
        <v>3485</v>
      </c>
      <c r="G1078" s="114" t="s">
        <v>3485</v>
      </c>
    </row>
    <row r="1079" spans="1:7">
      <c r="B1079" s="95">
        <v>1</v>
      </c>
      <c r="C1079" s="135" t="s">
        <v>4770</v>
      </c>
      <c r="D1079" s="451"/>
      <c r="E1079" s="190"/>
      <c r="F1079" s="190"/>
      <c r="G1079" s="190"/>
    </row>
    <row r="1080" spans="1:7">
      <c r="B1080" s="317"/>
      <c r="C1080" s="135" t="s">
        <v>4915</v>
      </c>
      <c r="D1080" s="319" t="s">
        <v>3478</v>
      </c>
      <c r="E1080" s="190">
        <v>1743</v>
      </c>
      <c r="F1080" s="214">
        <f>'BASIC DATA'!D97/1000</f>
        <v>37.5</v>
      </c>
      <c r="G1080" s="190">
        <f>E1080*F1080</f>
        <v>65362.5</v>
      </c>
    </row>
    <row r="1081" spans="1:7">
      <c r="B1081" s="317"/>
      <c r="C1081" s="135" t="s">
        <v>4916</v>
      </c>
      <c r="D1081" s="319" t="s">
        <v>3478</v>
      </c>
      <c r="E1081" s="190">
        <v>19700</v>
      </c>
      <c r="F1081" s="214">
        <f>'BASIC DATA'!D98/1000</f>
        <v>37.4</v>
      </c>
      <c r="G1081" s="190">
        <f t="shared" ref="G1081:G1111" si="21">E1081*F1081</f>
        <v>736780</v>
      </c>
    </row>
    <row r="1082" spans="1:7">
      <c r="B1082" s="317"/>
      <c r="C1082" s="135" t="s">
        <v>373</v>
      </c>
      <c r="D1082" s="319" t="s">
        <v>3478</v>
      </c>
      <c r="E1082" s="190">
        <v>820</v>
      </c>
      <c r="F1082" s="214">
        <f>'BASIC DATA'!D33</f>
        <v>63</v>
      </c>
      <c r="G1082" s="190">
        <f t="shared" si="21"/>
        <v>51660</v>
      </c>
    </row>
    <row r="1083" spans="1:7">
      <c r="B1083" s="105">
        <v>2</v>
      </c>
      <c r="C1083" s="135" t="s">
        <v>4917</v>
      </c>
      <c r="D1083" s="319"/>
      <c r="E1083" s="190"/>
      <c r="F1083" s="214"/>
      <c r="G1083" s="190"/>
    </row>
    <row r="1084" spans="1:7">
      <c r="B1084" s="317"/>
      <c r="C1084" s="135" t="s">
        <v>1459</v>
      </c>
      <c r="D1084" s="319" t="s">
        <v>3478</v>
      </c>
      <c r="E1084" s="190">
        <v>1320</v>
      </c>
      <c r="F1084" s="214">
        <f>'BASIC DATA'!D165</f>
        <v>235</v>
      </c>
      <c r="G1084" s="190">
        <f t="shared" si="21"/>
        <v>310200</v>
      </c>
    </row>
    <row r="1085" spans="1:7">
      <c r="B1085" s="317"/>
      <c r="C1085" s="135" t="s">
        <v>1458</v>
      </c>
      <c r="D1085" s="319" t="s">
        <v>3478</v>
      </c>
      <c r="E1085" s="190">
        <v>1165</v>
      </c>
      <c r="F1085" s="214">
        <f>'BASIC DATA'!D166</f>
        <v>225</v>
      </c>
      <c r="G1085" s="190">
        <f t="shared" si="21"/>
        <v>262125</v>
      </c>
    </row>
    <row r="1086" spans="1:7">
      <c r="B1086" s="317"/>
      <c r="C1086" s="135" t="s">
        <v>2974</v>
      </c>
      <c r="D1086" s="319" t="s">
        <v>3478</v>
      </c>
      <c r="E1086" s="190">
        <v>2255</v>
      </c>
      <c r="F1086" s="214">
        <f>'BASIC DATA'!D167</f>
        <v>190</v>
      </c>
      <c r="G1086" s="190">
        <f t="shared" si="21"/>
        <v>428450</v>
      </c>
    </row>
    <row r="1087" spans="1:7">
      <c r="B1087" s="317"/>
      <c r="C1087" s="135" t="s">
        <v>4989</v>
      </c>
      <c r="D1087" s="319" t="s">
        <v>3478</v>
      </c>
      <c r="E1087" s="190">
        <v>817</v>
      </c>
      <c r="F1087" s="214">
        <f>'BASIC DATA'!D167</f>
        <v>190</v>
      </c>
      <c r="G1087" s="190">
        <f t="shared" si="21"/>
        <v>155230</v>
      </c>
    </row>
    <row r="1088" spans="1:7">
      <c r="B1088" s="105">
        <v>3</v>
      </c>
      <c r="C1088" s="135" t="s">
        <v>2975</v>
      </c>
      <c r="D1088" s="319"/>
      <c r="E1088" s="190"/>
      <c r="F1088" s="214"/>
      <c r="G1088" s="190"/>
    </row>
    <row r="1089" spans="2:7">
      <c r="B1089" s="317"/>
      <c r="C1089" s="135" t="s">
        <v>6159</v>
      </c>
      <c r="D1089" s="319" t="s">
        <v>3478</v>
      </c>
      <c r="E1089" s="190">
        <v>127</v>
      </c>
      <c r="F1089" s="214">
        <f>'BASIC DATA'!D170</f>
        <v>280</v>
      </c>
      <c r="G1089" s="190">
        <f t="shared" si="21"/>
        <v>35560</v>
      </c>
    </row>
    <row r="1090" spans="2:7">
      <c r="B1090" s="105">
        <v>4</v>
      </c>
      <c r="C1090" s="135" t="s">
        <v>4771</v>
      </c>
      <c r="D1090" s="319"/>
      <c r="E1090" s="190"/>
      <c r="F1090" s="214"/>
      <c r="G1090" s="190"/>
    </row>
    <row r="1091" spans="2:7">
      <c r="B1091" s="317"/>
      <c r="C1091" s="135" t="s">
        <v>4772</v>
      </c>
      <c r="D1091" s="319" t="s">
        <v>3478</v>
      </c>
      <c r="E1091" s="190">
        <v>556</v>
      </c>
      <c r="F1091" s="214">
        <f>'BASIC DATA'!D159</f>
        <v>235</v>
      </c>
      <c r="G1091" s="190">
        <f t="shared" si="21"/>
        <v>130660</v>
      </c>
    </row>
    <row r="1092" spans="2:7">
      <c r="B1092" s="317"/>
      <c r="C1092" s="135" t="s">
        <v>4773</v>
      </c>
      <c r="D1092" s="319" t="s">
        <v>3478</v>
      </c>
      <c r="E1092" s="190">
        <v>524</v>
      </c>
      <c r="F1092" s="214">
        <f>'BASIC DATA'!D160</f>
        <v>450</v>
      </c>
      <c r="G1092" s="190">
        <f t="shared" si="21"/>
        <v>235800</v>
      </c>
    </row>
    <row r="1093" spans="2:7">
      <c r="B1093" s="105">
        <v>5</v>
      </c>
      <c r="C1093" s="135" t="s">
        <v>5973</v>
      </c>
      <c r="D1093" s="319"/>
      <c r="E1093" s="190"/>
      <c r="F1093" s="214"/>
      <c r="G1093" s="190"/>
    </row>
    <row r="1094" spans="2:7">
      <c r="B1094" s="426"/>
      <c r="C1094" s="135" t="s">
        <v>5974</v>
      </c>
      <c r="D1094" s="319" t="s">
        <v>3478</v>
      </c>
      <c r="E1094" s="190">
        <v>181</v>
      </c>
      <c r="F1094" s="214">
        <f>'BASIC DATA'!D163</f>
        <v>970</v>
      </c>
      <c r="G1094" s="190">
        <f t="shared" si="21"/>
        <v>175570</v>
      </c>
    </row>
    <row r="1095" spans="2:7">
      <c r="B1095" s="105">
        <v>6</v>
      </c>
      <c r="C1095" s="135" t="s">
        <v>2976</v>
      </c>
      <c r="D1095" s="319" t="s">
        <v>3478</v>
      </c>
      <c r="E1095" s="190">
        <v>406</v>
      </c>
      <c r="F1095" s="214">
        <f>'BASIC DATA'!D183</f>
        <v>200</v>
      </c>
      <c r="G1095" s="190">
        <f t="shared" si="21"/>
        <v>81200</v>
      </c>
    </row>
    <row r="1096" spans="2:7">
      <c r="B1096" s="105">
        <v>7</v>
      </c>
      <c r="C1096" s="135" t="s">
        <v>5976</v>
      </c>
      <c r="D1096" s="319" t="s">
        <v>3478</v>
      </c>
      <c r="E1096" s="190">
        <v>63</v>
      </c>
      <c r="F1096" s="214">
        <f>'BASIC DATA'!D84</f>
        <v>80</v>
      </c>
      <c r="G1096" s="190">
        <f t="shared" si="21"/>
        <v>5040</v>
      </c>
    </row>
    <row r="1097" spans="2:7">
      <c r="B1097" s="105">
        <v>8</v>
      </c>
      <c r="C1097" s="135" t="s">
        <v>4594</v>
      </c>
      <c r="D1097" s="319" t="s">
        <v>3483</v>
      </c>
      <c r="E1097" s="190">
        <v>50</v>
      </c>
      <c r="F1097" s="214">
        <f>'BASIC DATA'!D172</f>
        <v>185</v>
      </c>
      <c r="G1097" s="190">
        <f t="shared" si="21"/>
        <v>9250</v>
      </c>
    </row>
    <row r="1098" spans="2:7">
      <c r="B1098" s="105">
        <v>9</v>
      </c>
      <c r="C1098" s="135" t="s">
        <v>5977</v>
      </c>
      <c r="D1098" s="319" t="s">
        <v>4041</v>
      </c>
      <c r="E1098" s="190">
        <v>4</v>
      </c>
      <c r="F1098" s="214">
        <f>'BASIC DATA'!D382</f>
        <v>224400</v>
      </c>
      <c r="G1098" s="190">
        <f t="shared" si="21"/>
        <v>897600</v>
      </c>
    </row>
    <row r="1099" spans="2:7">
      <c r="B1099" s="105">
        <v>10</v>
      </c>
      <c r="C1099" s="135" t="s">
        <v>5751</v>
      </c>
      <c r="D1099" s="319" t="s">
        <v>4089</v>
      </c>
      <c r="E1099" s="190">
        <v>1</v>
      </c>
      <c r="F1099" s="214">
        <f>'BASIC DATA'!D384</f>
        <v>85800</v>
      </c>
      <c r="G1099" s="190">
        <f t="shared" si="21"/>
        <v>85800</v>
      </c>
    </row>
    <row r="1100" spans="2:7">
      <c r="B1100" s="426"/>
      <c r="C1100" s="135" t="s">
        <v>5752</v>
      </c>
      <c r="D1100" s="319" t="s">
        <v>4041</v>
      </c>
      <c r="E1100" s="190">
        <v>2</v>
      </c>
      <c r="F1100" s="214">
        <f>'BASIC DATA'!D386</f>
        <v>33000</v>
      </c>
      <c r="G1100" s="190">
        <f t="shared" si="21"/>
        <v>66000</v>
      </c>
    </row>
    <row r="1101" spans="2:7">
      <c r="B1101" s="426"/>
      <c r="C1101" s="135" t="s">
        <v>5753</v>
      </c>
      <c r="D1101" s="319" t="s">
        <v>4089</v>
      </c>
      <c r="E1101" s="190">
        <v>1</v>
      </c>
      <c r="F1101" s="214">
        <f>'BASIC DATA'!D387</f>
        <v>23100</v>
      </c>
      <c r="G1101" s="190">
        <f t="shared" si="21"/>
        <v>23100</v>
      </c>
    </row>
    <row r="1102" spans="2:7">
      <c r="B1102" s="105">
        <v>11</v>
      </c>
      <c r="C1102" s="135" t="s">
        <v>5754</v>
      </c>
      <c r="D1102" s="319" t="s">
        <v>4041</v>
      </c>
      <c r="E1102" s="190">
        <v>4</v>
      </c>
      <c r="F1102" s="214">
        <f>'BASIC DATA'!D392</f>
        <v>35200</v>
      </c>
      <c r="G1102" s="190">
        <f t="shared" si="21"/>
        <v>140800</v>
      </c>
    </row>
    <row r="1103" spans="2:7" ht="36">
      <c r="B1103" s="105">
        <v>12</v>
      </c>
      <c r="C1103" s="91" t="s">
        <v>6400</v>
      </c>
      <c r="D1103" s="319" t="s">
        <v>2173</v>
      </c>
      <c r="E1103" s="190">
        <v>3</v>
      </c>
      <c r="F1103" s="214">
        <f>'BASIC DATA'!D393</f>
        <v>50380</v>
      </c>
      <c r="G1103" s="190">
        <f t="shared" si="21"/>
        <v>151140</v>
      </c>
    </row>
    <row r="1104" spans="2:7">
      <c r="B1104" s="105">
        <v>13</v>
      </c>
      <c r="C1104" s="135" t="s">
        <v>958</v>
      </c>
      <c r="D1104" s="319" t="s">
        <v>3477</v>
      </c>
      <c r="E1104" s="190">
        <v>579</v>
      </c>
      <c r="F1104" s="214">
        <f>'BASIC DATA'!D87</f>
        <v>42</v>
      </c>
      <c r="G1104" s="190">
        <f t="shared" si="21"/>
        <v>24318</v>
      </c>
    </row>
    <row r="1105" spans="2:7">
      <c r="B1105" s="105">
        <v>14</v>
      </c>
      <c r="C1105" s="135" t="s">
        <v>6815</v>
      </c>
      <c r="D1105" s="319" t="s">
        <v>3477</v>
      </c>
      <c r="E1105" s="190">
        <v>193</v>
      </c>
      <c r="F1105" s="214">
        <f>'BASIC DATA'!D28</f>
        <v>335</v>
      </c>
      <c r="G1105" s="190">
        <f t="shared" si="21"/>
        <v>64655</v>
      </c>
    </row>
    <row r="1106" spans="2:7">
      <c r="B1106" s="105">
        <v>15</v>
      </c>
      <c r="C1106" s="135" t="s">
        <v>6816</v>
      </c>
      <c r="D1106" s="319" t="s">
        <v>2059</v>
      </c>
      <c r="E1106" s="190">
        <v>1123</v>
      </c>
      <c r="F1106" s="214">
        <f>'BASIC DATA'!$D$110</f>
        <v>13</v>
      </c>
      <c r="G1106" s="190">
        <f t="shared" si="21"/>
        <v>14599</v>
      </c>
    </row>
    <row r="1107" spans="2:7">
      <c r="B1107" s="105">
        <v>16</v>
      </c>
      <c r="C1107" s="135" t="s">
        <v>4655</v>
      </c>
      <c r="D1107" s="319" t="s">
        <v>2059</v>
      </c>
      <c r="E1107" s="190">
        <v>10110</v>
      </c>
      <c r="F1107" s="214">
        <f>'BASIC DATA'!$D$181</f>
        <v>15</v>
      </c>
      <c r="G1107" s="190">
        <f t="shared" si="21"/>
        <v>151650</v>
      </c>
    </row>
    <row r="1108" spans="2:7">
      <c r="B1108" s="105">
        <v>17</v>
      </c>
      <c r="C1108" s="135" t="s">
        <v>5980</v>
      </c>
      <c r="D1108" s="319" t="s">
        <v>3478</v>
      </c>
      <c r="E1108" s="190">
        <v>50</v>
      </c>
      <c r="F1108" s="214">
        <f>'BASIC DATA'!D372</f>
        <v>275</v>
      </c>
      <c r="G1108" s="190">
        <f t="shared" si="21"/>
        <v>13750</v>
      </c>
    </row>
    <row r="1109" spans="2:7">
      <c r="B1109" s="105">
        <v>18</v>
      </c>
      <c r="C1109" s="135" t="s">
        <v>6556</v>
      </c>
      <c r="D1109" s="319" t="s">
        <v>2374</v>
      </c>
      <c r="E1109" s="190">
        <v>1197</v>
      </c>
      <c r="F1109" s="214">
        <f>F1069</f>
        <v>7.8</v>
      </c>
      <c r="G1109" s="190">
        <f t="shared" si="21"/>
        <v>9336.6</v>
      </c>
    </row>
    <row r="1110" spans="2:7">
      <c r="B1110" s="105">
        <v>19</v>
      </c>
      <c r="C1110" s="135" t="s">
        <v>6557</v>
      </c>
      <c r="D1110" s="319" t="s">
        <v>2374</v>
      </c>
      <c r="E1110" s="190">
        <v>150</v>
      </c>
      <c r="F1110" s="214">
        <f>F1072</f>
        <v>24.166666666666668</v>
      </c>
      <c r="G1110" s="190">
        <f t="shared" si="21"/>
        <v>3625</v>
      </c>
    </row>
    <row r="1111" spans="2:7">
      <c r="B1111" s="114">
        <v>20</v>
      </c>
      <c r="C1111" s="135" t="s">
        <v>2373</v>
      </c>
      <c r="D1111" s="319" t="s">
        <v>2173</v>
      </c>
      <c r="E1111" s="190">
        <v>200</v>
      </c>
      <c r="F1111" s="214">
        <f>'BASIC DATA'!D359</f>
        <v>30</v>
      </c>
      <c r="G1111" s="190">
        <f t="shared" si="21"/>
        <v>6000</v>
      </c>
    </row>
    <row r="1112" spans="2:7">
      <c r="B1112" s="92"/>
      <c r="C1112" s="193"/>
      <c r="D1112" s="151" t="s">
        <v>2376</v>
      </c>
      <c r="E1112" s="160"/>
      <c r="F1112" s="236" t="s">
        <v>1698</v>
      </c>
      <c r="G1112" s="318">
        <f>SUM(G1080:G1111)</f>
        <v>4335261.0999999996</v>
      </c>
    </row>
    <row r="1113" spans="2:7"/>
    <row r="1114" spans="2:7">
      <c r="B1114" s="79" t="s">
        <v>2377</v>
      </c>
    </row>
    <row r="1115" spans="2:7">
      <c r="B1115" s="95" t="s">
        <v>2369</v>
      </c>
      <c r="C1115" s="157" t="s">
        <v>2378</v>
      </c>
      <c r="D1115" s="95" t="s">
        <v>2370</v>
      </c>
      <c r="E1115" s="95" t="s">
        <v>1166</v>
      </c>
      <c r="F1115" s="95" t="s">
        <v>2371</v>
      </c>
      <c r="G1115" s="95" t="s">
        <v>2372</v>
      </c>
    </row>
    <row r="1116" spans="2:7">
      <c r="B1116" s="114"/>
      <c r="C1116" s="154"/>
      <c r="D1116" s="114"/>
      <c r="E1116" s="114"/>
      <c r="F1116" s="114" t="s">
        <v>3485</v>
      </c>
      <c r="G1116" s="114" t="s">
        <v>3485</v>
      </c>
    </row>
    <row r="1117" spans="2:7">
      <c r="B1117" s="95">
        <v>1</v>
      </c>
      <c r="C1117" s="135" t="s">
        <v>6558</v>
      </c>
      <c r="D1117" s="451" t="s">
        <v>2374</v>
      </c>
      <c r="E1117" s="190">
        <v>1197</v>
      </c>
      <c r="F1117" s="190">
        <f>'HIRE CHARGES'!D556</f>
        <v>16</v>
      </c>
      <c r="G1117" s="190">
        <f>E1117*F1117</f>
        <v>19152</v>
      </c>
    </row>
    <row r="1118" spans="2:7">
      <c r="B1118" s="317"/>
      <c r="C1118" s="135" t="s">
        <v>2379</v>
      </c>
      <c r="D1118" s="319" t="s">
        <v>2374</v>
      </c>
      <c r="E1118" s="255">
        <v>748</v>
      </c>
      <c r="F1118" s="190">
        <f>'HIRE CHARGES'!E556</f>
        <v>67.2</v>
      </c>
      <c r="G1118" s="190">
        <f t="shared" ref="G1118:G1129" si="22">E1118*F1118</f>
        <v>50265.599999999999</v>
      </c>
    </row>
    <row r="1119" spans="2:7">
      <c r="B1119" s="105">
        <v>2</v>
      </c>
      <c r="C1119" s="135" t="s">
        <v>389</v>
      </c>
      <c r="D1119" s="319" t="s">
        <v>2374</v>
      </c>
      <c r="E1119" s="190">
        <v>6</v>
      </c>
      <c r="F1119" s="190">
        <f>'HIRE CHARGES'!D547</f>
        <v>867.1</v>
      </c>
      <c r="G1119" s="190">
        <f t="shared" si="22"/>
        <v>5202.6000000000004</v>
      </c>
    </row>
    <row r="1120" spans="2:7">
      <c r="B1120" s="317"/>
      <c r="C1120" s="135" t="s">
        <v>2379</v>
      </c>
      <c r="D1120" s="319" t="s">
        <v>2374</v>
      </c>
      <c r="E1120" s="190">
        <v>6</v>
      </c>
      <c r="F1120" s="190">
        <f>'HIRE CHARGES'!E547</f>
        <v>145.69999999999999</v>
      </c>
      <c r="G1120" s="190">
        <f t="shared" si="22"/>
        <v>874.19999999999993</v>
      </c>
    </row>
    <row r="1121" spans="2:7">
      <c r="B1121" s="105">
        <v>3</v>
      </c>
      <c r="C1121" s="135" t="s">
        <v>6060</v>
      </c>
      <c r="D1121" s="319" t="s">
        <v>2374</v>
      </c>
      <c r="E1121" s="190">
        <v>235</v>
      </c>
      <c r="F1121" s="190">
        <f>'HIRE CHARGES'!D539</f>
        <v>6.4</v>
      </c>
      <c r="G1121" s="190">
        <f t="shared" si="22"/>
        <v>1504</v>
      </c>
    </row>
    <row r="1122" spans="2:7">
      <c r="B1122" s="317"/>
      <c r="C1122" s="135" t="s">
        <v>2379</v>
      </c>
      <c r="D1122" s="319" t="s">
        <v>2374</v>
      </c>
      <c r="E1122" s="190">
        <v>235</v>
      </c>
      <c r="F1122" s="190">
        <f>'HIRE CHARGES'!E539</f>
        <v>2.8</v>
      </c>
      <c r="G1122" s="190">
        <f t="shared" si="22"/>
        <v>658</v>
      </c>
    </row>
    <row r="1123" spans="2:7">
      <c r="B1123" s="105">
        <v>4</v>
      </c>
      <c r="C1123" s="135" t="s">
        <v>6561</v>
      </c>
      <c r="D1123" s="319" t="s">
        <v>2374</v>
      </c>
      <c r="E1123" s="190">
        <v>100</v>
      </c>
      <c r="F1123" s="190">
        <f>'HIRE CHARGES'!D550</f>
        <v>519.69999999999993</v>
      </c>
      <c r="G1123" s="190">
        <f t="shared" si="22"/>
        <v>51969.999999999993</v>
      </c>
    </row>
    <row r="1124" spans="2:7">
      <c r="B1124" s="317"/>
      <c r="C1124" s="135" t="s">
        <v>2379</v>
      </c>
      <c r="D1124" s="319" t="s">
        <v>2374</v>
      </c>
      <c r="E1124" s="190">
        <v>100</v>
      </c>
      <c r="F1124" s="190">
        <f>'HIRE CHARGES'!E550</f>
        <v>299.89999999999998</v>
      </c>
      <c r="G1124" s="190">
        <f t="shared" si="22"/>
        <v>29989.999999999996</v>
      </c>
    </row>
    <row r="1125" spans="2:7">
      <c r="B1125" s="105">
        <v>5</v>
      </c>
      <c r="C1125" s="135" t="s">
        <v>6562</v>
      </c>
      <c r="D1125" s="319" t="s">
        <v>2374</v>
      </c>
      <c r="E1125" s="190">
        <v>32</v>
      </c>
      <c r="F1125" s="190">
        <f>'HIRE CHARGES'!D551</f>
        <v>22.5</v>
      </c>
      <c r="G1125" s="190">
        <f t="shared" si="22"/>
        <v>720</v>
      </c>
    </row>
    <row r="1126" spans="2:7">
      <c r="B1126" s="317"/>
      <c r="C1126" s="135" t="s">
        <v>2379</v>
      </c>
      <c r="D1126" s="319" t="s">
        <v>2374</v>
      </c>
      <c r="E1126" s="190">
        <v>32</v>
      </c>
      <c r="F1126" s="190">
        <f>'HIRE CHARGES'!E551</f>
        <v>28</v>
      </c>
      <c r="G1126" s="190">
        <f t="shared" si="22"/>
        <v>896</v>
      </c>
    </row>
    <row r="1127" spans="2:7">
      <c r="B1127" s="105">
        <v>6</v>
      </c>
      <c r="C1127" s="135" t="s">
        <v>5539</v>
      </c>
      <c r="D1127" s="319" t="s">
        <v>2374</v>
      </c>
      <c r="E1127" s="190">
        <v>16</v>
      </c>
      <c r="F1127" s="190">
        <f>'HIRE CHARGES'!D551</f>
        <v>22.5</v>
      </c>
      <c r="G1127" s="190">
        <f t="shared" si="22"/>
        <v>360</v>
      </c>
    </row>
    <row r="1128" spans="2:7">
      <c r="B1128" s="317"/>
      <c r="C1128" s="135" t="s">
        <v>2379</v>
      </c>
      <c r="D1128" s="319" t="s">
        <v>2374</v>
      </c>
      <c r="E1128" s="190">
        <v>16</v>
      </c>
      <c r="F1128" s="190">
        <f>'HIRE CHARGES'!E551</f>
        <v>28</v>
      </c>
      <c r="G1128" s="190">
        <f t="shared" si="22"/>
        <v>448</v>
      </c>
    </row>
    <row r="1129" spans="2:7">
      <c r="B1129" s="105">
        <v>7</v>
      </c>
      <c r="C1129" s="135" t="s">
        <v>2373</v>
      </c>
      <c r="D1129" s="319" t="s">
        <v>2173</v>
      </c>
      <c r="E1129" s="190">
        <v>500</v>
      </c>
      <c r="F1129" s="214">
        <f>'BASIC DATA'!D359</f>
        <v>30</v>
      </c>
      <c r="G1129" s="190">
        <f t="shared" si="22"/>
        <v>15000</v>
      </c>
    </row>
    <row r="1130" spans="2:7">
      <c r="B1130" s="176"/>
      <c r="C1130" s="193" t="s">
        <v>2380</v>
      </c>
      <c r="D1130" s="193"/>
      <c r="E1130" s="208"/>
      <c r="F1130" s="236" t="s">
        <v>1698</v>
      </c>
      <c r="G1130" s="318">
        <f>SUM(G1117:G1129)</f>
        <v>177040.4</v>
      </c>
    </row>
    <row r="1131" spans="2:7"/>
    <row r="1132" spans="2:7">
      <c r="B1132" s="79" t="s">
        <v>2381</v>
      </c>
    </row>
    <row r="1133" spans="2:7">
      <c r="B1133" s="95" t="s">
        <v>2369</v>
      </c>
      <c r="C1133" s="157" t="s">
        <v>2378</v>
      </c>
      <c r="D1133" s="95" t="s">
        <v>2370</v>
      </c>
      <c r="E1133" s="95" t="s">
        <v>1166</v>
      </c>
      <c r="F1133" s="95" t="s">
        <v>2371</v>
      </c>
      <c r="G1133" s="95" t="s">
        <v>2372</v>
      </c>
    </row>
    <row r="1134" spans="2:7">
      <c r="B1134" s="114"/>
      <c r="C1134" s="154"/>
      <c r="D1134" s="114"/>
      <c r="E1134" s="114"/>
      <c r="F1134" s="114" t="s">
        <v>3485</v>
      </c>
      <c r="G1134" s="114" t="s">
        <v>3485</v>
      </c>
    </row>
    <row r="1135" spans="2:7">
      <c r="B1135" s="105">
        <v>1</v>
      </c>
      <c r="C1135" s="76" t="s">
        <v>5542</v>
      </c>
      <c r="D1135" s="319" t="s">
        <v>2374</v>
      </c>
      <c r="E1135" s="207">
        <v>100</v>
      </c>
      <c r="F1135" s="190">
        <f>'HIRE CHARGES'!F550</f>
        <v>177.5</v>
      </c>
      <c r="G1135" s="190">
        <f>E1135*F1135</f>
        <v>17750</v>
      </c>
    </row>
    <row r="1136" spans="2:7">
      <c r="B1136" s="105">
        <v>2</v>
      </c>
      <c r="C1136" s="76" t="s">
        <v>5541</v>
      </c>
      <c r="D1136" s="319" t="s">
        <v>2374</v>
      </c>
      <c r="E1136" s="207">
        <v>6</v>
      </c>
      <c r="F1136" s="190">
        <f>'HIRE CHARGES'!F547</f>
        <v>189.3</v>
      </c>
      <c r="G1136" s="190">
        <f t="shared" ref="G1136:G1145" si="23">E1136*F1136</f>
        <v>1135.8000000000002</v>
      </c>
    </row>
    <row r="1137" spans="2:7">
      <c r="B1137" s="105">
        <v>3</v>
      </c>
      <c r="C1137" s="76" t="s">
        <v>5545</v>
      </c>
      <c r="D1137" s="319" t="s">
        <v>2374</v>
      </c>
      <c r="E1137" s="207">
        <v>16</v>
      </c>
      <c r="F1137" s="190">
        <f>'HIRE CHARGES'!F551</f>
        <v>198.9</v>
      </c>
      <c r="G1137" s="190">
        <f t="shared" si="23"/>
        <v>3182.4</v>
      </c>
    </row>
    <row r="1138" spans="2:7">
      <c r="B1138" s="105">
        <v>4</v>
      </c>
      <c r="C1138" s="76" t="s">
        <v>5546</v>
      </c>
      <c r="D1138" s="319" t="s">
        <v>2374</v>
      </c>
      <c r="E1138" s="207">
        <v>32</v>
      </c>
      <c r="F1138" s="190">
        <f>'HIRE CHARGES'!F551</f>
        <v>198.9</v>
      </c>
      <c r="G1138" s="190">
        <f t="shared" si="23"/>
        <v>6364.8</v>
      </c>
    </row>
    <row r="1139" spans="2:7">
      <c r="B1139" s="105">
        <v>5</v>
      </c>
      <c r="C1139" s="76" t="s">
        <v>2468</v>
      </c>
      <c r="D1139" s="319" t="s">
        <v>1172</v>
      </c>
      <c r="E1139" s="207">
        <f>D1061</f>
        <v>74</v>
      </c>
      <c r="F1139" s="190">
        <f>'BASIC DATA'!C471</f>
        <v>510</v>
      </c>
      <c r="G1139" s="190">
        <f t="shared" si="23"/>
        <v>37740</v>
      </c>
    </row>
    <row r="1140" spans="2:7">
      <c r="B1140" s="105">
        <v>6</v>
      </c>
      <c r="C1140" s="76" t="s">
        <v>5547</v>
      </c>
      <c r="D1140" s="319" t="s">
        <v>1172</v>
      </c>
      <c r="E1140" s="207">
        <f>E1061</f>
        <v>124</v>
      </c>
      <c r="F1140" s="190">
        <f>'BASIC DATA'!C503</f>
        <v>550</v>
      </c>
      <c r="G1140" s="190">
        <f t="shared" si="23"/>
        <v>68200</v>
      </c>
    </row>
    <row r="1141" spans="2:7">
      <c r="B1141" s="105">
        <v>7</v>
      </c>
      <c r="C1141" s="76" t="s">
        <v>3010</v>
      </c>
      <c r="D1141" s="319" t="s">
        <v>1172</v>
      </c>
      <c r="E1141" s="207">
        <v>48</v>
      </c>
      <c r="F1141" s="190">
        <f>'BASIC DATA'!C504</f>
        <v>445</v>
      </c>
      <c r="G1141" s="190">
        <f t="shared" si="23"/>
        <v>21360</v>
      </c>
    </row>
    <row r="1142" spans="2:7">
      <c r="B1142" s="105">
        <v>8</v>
      </c>
      <c r="C1142" s="76" t="s">
        <v>3013</v>
      </c>
      <c r="D1142" s="319" t="s">
        <v>1172</v>
      </c>
      <c r="E1142" s="207">
        <v>112</v>
      </c>
      <c r="F1142" s="190">
        <f>'BASIC DATA'!C504</f>
        <v>445</v>
      </c>
      <c r="G1142" s="190">
        <f t="shared" si="23"/>
        <v>49840</v>
      </c>
    </row>
    <row r="1143" spans="2:7">
      <c r="B1143" s="105">
        <v>9</v>
      </c>
      <c r="C1143" s="76" t="s">
        <v>3012</v>
      </c>
      <c r="D1143" s="319" t="s">
        <v>1172</v>
      </c>
      <c r="E1143" s="207">
        <v>20</v>
      </c>
      <c r="F1143" s="190">
        <f>'BASIC DATA'!C500</f>
        <v>445</v>
      </c>
      <c r="G1143" s="190">
        <f t="shared" si="23"/>
        <v>8900</v>
      </c>
    </row>
    <row r="1144" spans="2:7">
      <c r="B1144" s="105">
        <v>10</v>
      </c>
      <c r="C1144" s="76" t="s">
        <v>3011</v>
      </c>
      <c r="D1144" s="319" t="s">
        <v>1172</v>
      </c>
      <c r="E1144" s="207">
        <f>G1061</f>
        <v>350</v>
      </c>
      <c r="F1144" s="190">
        <f>'BASIC DATA'!C529</f>
        <v>400</v>
      </c>
      <c r="G1144" s="190">
        <f t="shared" si="23"/>
        <v>140000</v>
      </c>
    </row>
    <row r="1145" spans="2:7">
      <c r="B1145" s="105">
        <v>11</v>
      </c>
      <c r="C1145" s="76" t="s">
        <v>5604</v>
      </c>
      <c r="D1145" s="319" t="s">
        <v>1172</v>
      </c>
      <c r="E1145" s="207">
        <v>10</v>
      </c>
      <c r="F1145" s="190">
        <f>'BASIC DATA'!C468</f>
        <v>515</v>
      </c>
      <c r="G1145" s="190">
        <f t="shared" si="23"/>
        <v>5150</v>
      </c>
    </row>
    <row r="1146" spans="2:7">
      <c r="B1146" s="92"/>
      <c r="C1146" s="193"/>
      <c r="D1146" s="151" t="s">
        <v>1174</v>
      </c>
      <c r="E1146" s="160"/>
      <c r="F1146" s="236" t="s">
        <v>1698</v>
      </c>
      <c r="G1146" s="318">
        <f>SUM(G1135:G1145)</f>
        <v>359623</v>
      </c>
    </row>
    <row r="1147" spans="2:7">
      <c r="B1147" s="101" t="s">
        <v>9422</v>
      </c>
      <c r="C1147" s="361"/>
      <c r="D1147" s="101"/>
      <c r="E1147" s="101"/>
      <c r="F1147" s="361"/>
      <c r="G1147" s="911">
        <f>G1146*30%</f>
        <v>107886.9</v>
      </c>
    </row>
    <row r="1148" spans="2:7">
      <c r="B1148" s="101"/>
      <c r="C1148" s="361" t="s">
        <v>7956</v>
      </c>
      <c r="D1148" s="101"/>
      <c r="E1148" s="101"/>
      <c r="F1148" s="361"/>
      <c r="G1148" s="911">
        <f>SUM(G1147+G1146)</f>
        <v>467509.9</v>
      </c>
    </row>
    <row r="1149" spans="2:7">
      <c r="B1149" s="33"/>
      <c r="C1149" s="200"/>
      <c r="D1149" s="76"/>
      <c r="E1149" s="76"/>
      <c r="F1149" s="200"/>
      <c r="G1149" s="766"/>
    </row>
    <row r="1150" spans="2:7">
      <c r="B1150" s="60" t="s">
        <v>5948</v>
      </c>
      <c r="C1150" s="31"/>
      <c r="D1150" s="31"/>
      <c r="E1150" s="85">
        <f>ROUND(G1148/F1076,1)</f>
        <v>18700.400000000001</v>
      </c>
    </row>
    <row r="1151" spans="2:7">
      <c r="B1151" s="60" t="s">
        <v>3163</v>
      </c>
      <c r="C1151" s="31"/>
      <c r="D1151" s="922">
        <f>'BASIC DATA'!$C$577</f>
        <v>0.13614999999999999</v>
      </c>
      <c r="E1151" s="85">
        <f>ROUND(E1150*D1151,1)</f>
        <v>2546.1</v>
      </c>
    </row>
    <row r="1152" spans="2:7">
      <c r="B1152" s="60" t="s">
        <v>5949</v>
      </c>
      <c r="C1152" s="31"/>
      <c r="D1152" s="31"/>
      <c r="E1152" s="199">
        <f>E1151+E1150</f>
        <v>21246.5</v>
      </c>
    </row>
    <row r="1153" spans="2:34"/>
    <row r="1154" spans="2:34">
      <c r="B1154" s="170" t="s">
        <v>1175</v>
      </c>
    </row>
    <row r="1155" spans="2:34">
      <c r="B1155" s="26" t="s">
        <v>1176</v>
      </c>
      <c r="F1155" s="171" t="s">
        <v>1698</v>
      </c>
      <c r="G1155" s="68">
        <f>G1112</f>
        <v>4335261.0999999996</v>
      </c>
    </row>
    <row r="1156" spans="2:34">
      <c r="B1156" s="26" t="s">
        <v>1186</v>
      </c>
      <c r="F1156" s="171" t="s">
        <v>1698</v>
      </c>
      <c r="G1156" s="68">
        <f>G1130</f>
        <v>177040.4</v>
      </c>
    </row>
    <row r="1157" spans="2:34">
      <c r="B1157" s="26" t="s">
        <v>2660</v>
      </c>
      <c r="F1157" s="171" t="s">
        <v>1698</v>
      </c>
      <c r="G1157" s="75">
        <f>G1148</f>
        <v>467509.9</v>
      </c>
    </row>
    <row r="1158" spans="2:34">
      <c r="B1158" s="26"/>
      <c r="E1158" s="171" t="s">
        <v>5551</v>
      </c>
      <c r="F1158" s="171" t="s">
        <v>1698</v>
      </c>
      <c r="G1158" s="205">
        <f>SUM(G1155:G1157)</f>
        <v>4979811.4000000004</v>
      </c>
    </row>
    <row r="1159" spans="2:34">
      <c r="B1159" s="26" t="s">
        <v>5087</v>
      </c>
      <c r="E1159" s="693">
        <f>'BASIC DATA'!C593</f>
        <v>0</v>
      </c>
      <c r="F1159" s="171" t="s">
        <v>1698</v>
      </c>
      <c r="G1159" s="68">
        <f>(G1157+G1156)*E1159*0.75</f>
        <v>0</v>
      </c>
    </row>
    <row r="1160" spans="2:34">
      <c r="B1160" s="26" t="s">
        <v>5084</v>
      </c>
      <c r="E1160" s="171" t="s">
        <v>1518</v>
      </c>
      <c r="F1160" s="171" t="s">
        <v>1698</v>
      </c>
      <c r="G1160" s="205">
        <f>G1159+G1158</f>
        <v>4979811.4000000004</v>
      </c>
    </row>
    <row r="1161" spans="2:34">
      <c r="B1161" s="26" t="s">
        <v>5086</v>
      </c>
      <c r="E1161" s="201">
        <f>'BASIC DATA'!C594</f>
        <v>0.03</v>
      </c>
      <c r="F1161" s="171" t="s">
        <v>1698</v>
      </c>
      <c r="G1161" s="75">
        <f>G1160*E1161</f>
        <v>149394.342</v>
      </c>
    </row>
    <row r="1162" spans="2:34">
      <c r="B1162" s="26"/>
      <c r="E1162" s="26" t="s">
        <v>2392</v>
      </c>
      <c r="F1162" s="171" t="s">
        <v>1698</v>
      </c>
      <c r="G1162" s="75">
        <f>G1161+G1160</f>
        <v>5129205.7420000006</v>
      </c>
    </row>
    <row r="1163" spans="2:34" ht="44.25" customHeight="1">
      <c r="B1163" s="1207" t="s">
        <v>4717</v>
      </c>
      <c r="C1163" s="1207"/>
      <c r="D1163" s="922">
        <f>'BASIC DATA'!$C$577</f>
        <v>0.13614999999999999</v>
      </c>
      <c r="F1163" s="171" t="s">
        <v>1698</v>
      </c>
      <c r="G1163" s="75">
        <f>G1162*D1163</f>
        <v>698341.36177329998</v>
      </c>
      <c r="I1163" s="68"/>
    </row>
    <row r="1164" spans="2:34">
      <c r="B1164" s="26" t="s">
        <v>898</v>
      </c>
    </row>
    <row r="1165" spans="2:34">
      <c r="B1165" s="47" t="s">
        <v>897</v>
      </c>
      <c r="D1165" s="48"/>
      <c r="E1165" s="68">
        <f>leadcharges!F65</f>
        <v>19</v>
      </c>
      <c r="F1165" s="27" t="s">
        <v>1279</v>
      </c>
      <c r="G1165" s="76">
        <f>2*ROUND(E1165*F1075,3)</f>
        <v>1172.528</v>
      </c>
      <c r="AH1165" s="68"/>
    </row>
    <row r="1166" spans="2:34">
      <c r="B1166" s="47" t="s">
        <v>896</v>
      </c>
      <c r="D1166" s="48"/>
      <c r="E1166" s="68">
        <f>leadcharges!$G$79</f>
        <v>74.8</v>
      </c>
      <c r="F1166" s="27" t="s">
        <v>1279</v>
      </c>
      <c r="G1166" s="76">
        <f>2*ROUND(E1166*F1075,3)</f>
        <v>4616.058</v>
      </c>
    </row>
    <row r="1167" spans="2:34">
      <c r="B1167" s="26" t="s">
        <v>5078</v>
      </c>
      <c r="D1167" s="278">
        <f>F1075</f>
        <v>30.856000000000002</v>
      </c>
      <c r="E1167" s="26" t="s">
        <v>3480</v>
      </c>
      <c r="F1167" s="171" t="s">
        <v>1698</v>
      </c>
      <c r="G1167" s="205">
        <f>SUM(G1162:G1166)</f>
        <v>5833335.6897733007</v>
      </c>
    </row>
    <row r="1168" spans="2:34">
      <c r="D1168" s="278">
        <f>F1076</f>
        <v>25</v>
      </c>
      <c r="E1168" s="26" t="s">
        <v>4769</v>
      </c>
      <c r="F1168" s="171" t="s">
        <v>1698</v>
      </c>
      <c r="G1168" s="68"/>
    </row>
    <row r="1169" spans="1:8" ht="18.75" thickBot="1">
      <c r="D1169" s="171" t="s">
        <v>3884</v>
      </c>
      <c r="E1169" s="26" t="s">
        <v>3480</v>
      </c>
      <c r="F1169" s="171" t="s">
        <v>1698</v>
      </c>
      <c r="G1169" s="68">
        <f>ROUND(G1167/D1167,1)</f>
        <v>189050.3</v>
      </c>
    </row>
    <row r="1170" spans="1:8" ht="18.75" thickBot="1">
      <c r="D1170" s="719" t="s">
        <v>1584</v>
      </c>
      <c r="E1170" s="695" t="s">
        <v>2992</v>
      </c>
      <c r="F1170" s="696" t="s">
        <v>1698</v>
      </c>
      <c r="G1170" s="715">
        <f>ROUND(G1167/D1168,1)</f>
        <v>233333.4</v>
      </c>
    </row>
    <row r="1171" spans="1:8">
      <c r="B1171" s="26"/>
      <c r="C1171" s="78"/>
    </row>
    <row r="1172" spans="1:8">
      <c r="B1172" s="26"/>
      <c r="E1172" s="78"/>
      <c r="G1172" s="171"/>
      <c r="H1172" s="27"/>
    </row>
    <row r="1173" spans="1:8">
      <c r="B1173" s="170" t="s">
        <v>4557</v>
      </c>
    </row>
    <row r="1174" spans="1:8" ht="18.75">
      <c r="A1174" s="822" t="s">
        <v>7170</v>
      </c>
      <c r="B1174" s="26" t="s">
        <v>9045</v>
      </c>
    </row>
    <row r="1175" spans="1:8" ht="18.75">
      <c r="B1175" s="26" t="s">
        <v>9046</v>
      </c>
    </row>
    <row r="1176" spans="1:8">
      <c r="B1176" s="26" t="s">
        <v>4839</v>
      </c>
    </row>
    <row r="1177" spans="1:8">
      <c r="B1177" s="26" t="s">
        <v>4558</v>
      </c>
    </row>
    <row r="1178" spans="1:8">
      <c r="B1178" s="26" t="s">
        <v>538</v>
      </c>
      <c r="E1178" s="322"/>
    </row>
    <row r="1179" spans="1:8">
      <c r="B1179" s="26" t="s">
        <v>3549</v>
      </c>
      <c r="E1179" s="322"/>
    </row>
    <row r="1180" spans="1:8" hidden="1">
      <c r="A1180" s="865" t="s">
        <v>3984</v>
      </c>
      <c r="B1180" s="26" t="s">
        <v>5982</v>
      </c>
      <c r="E1180" s="322"/>
    </row>
    <row r="1181" spans="1:8" hidden="1">
      <c r="B1181" s="26" t="s">
        <v>3622</v>
      </c>
    </row>
    <row r="1182" spans="1:8" hidden="1">
      <c r="B1182" s="26" t="s">
        <v>3623</v>
      </c>
    </row>
    <row r="1183" spans="1:8" hidden="1">
      <c r="B1183" s="26" t="s">
        <v>4580</v>
      </c>
    </row>
    <row r="1184" spans="1:8" hidden="1">
      <c r="B1184" s="26" t="s">
        <v>4581</v>
      </c>
      <c r="E1184" s="322" t="s">
        <v>1697</v>
      </c>
      <c r="F1184" s="26">
        <v>20.722000000000001</v>
      </c>
      <c r="G1184" s="26" t="s">
        <v>2710</v>
      </c>
    </row>
    <row r="1185" spans="1:7" hidden="1">
      <c r="A1185" s="865">
        <v>1</v>
      </c>
      <c r="B1185" s="26" t="s">
        <v>8014</v>
      </c>
    </row>
    <row r="1186" spans="1:7" hidden="1">
      <c r="A1186" s="870" t="s">
        <v>1535</v>
      </c>
      <c r="B1186" s="26" t="s">
        <v>241</v>
      </c>
    </row>
    <row r="1187" spans="1:7" hidden="1">
      <c r="A1187" s="870"/>
      <c r="B1187" s="26" t="s">
        <v>242</v>
      </c>
      <c r="E1187" s="322" t="s">
        <v>1697</v>
      </c>
      <c r="F1187" s="26">
        <v>1570</v>
      </c>
      <c r="G1187" s="26" t="s">
        <v>3478</v>
      </c>
    </row>
    <row r="1188" spans="1:7" hidden="1">
      <c r="A1188" s="870"/>
      <c r="B1188" s="26" t="s">
        <v>243</v>
      </c>
      <c r="E1188" s="322" t="s">
        <v>1697</v>
      </c>
      <c r="F1188" s="26">
        <v>975</v>
      </c>
      <c r="G1188" s="26" t="s">
        <v>3478</v>
      </c>
    </row>
    <row r="1189" spans="1:7" hidden="1">
      <c r="A1189" s="870" t="s">
        <v>5400</v>
      </c>
      <c r="B1189" s="26" t="s">
        <v>1193</v>
      </c>
      <c r="E1189" s="322"/>
    </row>
    <row r="1190" spans="1:7" hidden="1">
      <c r="A1190" s="870"/>
      <c r="B1190" s="26" t="s">
        <v>6990</v>
      </c>
      <c r="E1190" s="322" t="s">
        <v>1697</v>
      </c>
      <c r="F1190" s="26">
        <v>246</v>
      </c>
      <c r="G1190" s="26" t="s">
        <v>3478</v>
      </c>
    </row>
    <row r="1191" spans="1:7" hidden="1">
      <c r="A1191" s="870" t="s">
        <v>5401</v>
      </c>
      <c r="B1191" s="26" t="s">
        <v>2977</v>
      </c>
      <c r="E1191" s="322" t="s">
        <v>1697</v>
      </c>
      <c r="F1191" s="26">
        <v>18450</v>
      </c>
      <c r="G1191" s="26" t="s">
        <v>3478</v>
      </c>
    </row>
    <row r="1192" spans="1:7" hidden="1">
      <c r="A1192" s="870" t="s">
        <v>1696</v>
      </c>
      <c r="B1192" s="26" t="s">
        <v>1195</v>
      </c>
      <c r="E1192" s="322"/>
    </row>
    <row r="1193" spans="1:7" hidden="1">
      <c r="B1193" s="26" t="s">
        <v>517</v>
      </c>
      <c r="E1193" s="322" t="s">
        <v>1697</v>
      </c>
      <c r="F1193" s="26">
        <v>180</v>
      </c>
      <c r="G1193" s="26" t="s">
        <v>2059</v>
      </c>
    </row>
    <row r="1194" spans="1:7" hidden="1">
      <c r="B1194" s="26" t="s">
        <v>2330</v>
      </c>
      <c r="E1194" s="322" t="s">
        <v>1697</v>
      </c>
      <c r="F1194" s="26">
        <v>1625</v>
      </c>
      <c r="G1194" s="26" t="s">
        <v>2059</v>
      </c>
    </row>
    <row r="1195" spans="1:7" hidden="1">
      <c r="A1195" s="865">
        <v>2</v>
      </c>
      <c r="B1195" s="26" t="s">
        <v>2281</v>
      </c>
      <c r="E1195" s="322"/>
    </row>
    <row r="1196" spans="1:7" hidden="1">
      <c r="B1196" s="26" t="s">
        <v>2978</v>
      </c>
      <c r="E1196" s="322" t="s">
        <v>1697</v>
      </c>
      <c r="F1196" s="26">
        <v>222</v>
      </c>
      <c r="G1196" s="26" t="s">
        <v>3483</v>
      </c>
    </row>
    <row r="1197" spans="1:7" hidden="1">
      <c r="B1197" s="26" t="s">
        <v>165</v>
      </c>
      <c r="E1197" s="322"/>
    </row>
    <row r="1198" spans="1:7" hidden="1">
      <c r="B1198" s="26" t="s">
        <v>5758</v>
      </c>
      <c r="E1198" s="322" t="s">
        <v>1697</v>
      </c>
      <c r="F1198" s="26">
        <v>222</v>
      </c>
      <c r="G1198" s="26" t="s">
        <v>2602</v>
      </c>
    </row>
    <row r="1199" spans="1:7" hidden="1">
      <c r="B1199" s="26" t="s">
        <v>2278</v>
      </c>
      <c r="E1199" s="322" t="s">
        <v>1697</v>
      </c>
      <c r="F1199" s="26">
        <v>111</v>
      </c>
      <c r="G1199" s="26" t="s">
        <v>4665</v>
      </c>
    </row>
    <row r="1200" spans="1:7" hidden="1">
      <c r="B1200" s="26" t="s">
        <v>5629</v>
      </c>
      <c r="E1200" s="322" t="s">
        <v>1697</v>
      </c>
      <c r="F1200" s="26">
        <v>67</v>
      </c>
      <c r="G1200" s="26" t="s">
        <v>3477</v>
      </c>
    </row>
    <row r="1201" spans="1:7" hidden="1">
      <c r="B1201" s="26" t="s">
        <v>695</v>
      </c>
      <c r="E1201" s="322" t="s">
        <v>1697</v>
      </c>
      <c r="F1201" s="26">
        <v>201</v>
      </c>
      <c r="G1201" s="26" t="s">
        <v>3477</v>
      </c>
    </row>
    <row r="1202" spans="1:7" hidden="1">
      <c r="B1202" s="26" t="s">
        <v>696</v>
      </c>
      <c r="E1202" s="322" t="s">
        <v>1697</v>
      </c>
      <c r="F1202" s="26">
        <v>133</v>
      </c>
      <c r="G1202" s="26" t="s">
        <v>4665</v>
      </c>
    </row>
    <row r="1203" spans="1:7" hidden="1">
      <c r="A1203" s="865">
        <v>3</v>
      </c>
      <c r="B1203" s="26" t="s">
        <v>4651</v>
      </c>
      <c r="E1203" s="322"/>
    </row>
    <row r="1204" spans="1:7" hidden="1">
      <c r="B1204" s="26" t="s">
        <v>2504</v>
      </c>
      <c r="E1204" s="322" t="s">
        <v>1697</v>
      </c>
      <c r="F1204" s="26">
        <v>210</v>
      </c>
      <c r="G1204" s="26" t="s">
        <v>2602</v>
      </c>
    </row>
    <row r="1205" spans="1:7" hidden="1">
      <c r="B1205" s="26" t="s">
        <v>5723</v>
      </c>
      <c r="E1205" s="322"/>
    </row>
    <row r="1206" spans="1:7" hidden="1">
      <c r="B1206" s="26"/>
      <c r="C1206" s="26" t="s">
        <v>697</v>
      </c>
      <c r="E1206" s="322" t="s">
        <v>1697</v>
      </c>
      <c r="F1206" s="26">
        <v>48</v>
      </c>
      <c r="G1206" s="26" t="s">
        <v>4665</v>
      </c>
    </row>
    <row r="1207" spans="1:7" hidden="1">
      <c r="B1207" s="26" t="s">
        <v>1913</v>
      </c>
      <c r="E1207" s="322"/>
    </row>
    <row r="1208" spans="1:7" hidden="1">
      <c r="B1208" s="26"/>
      <c r="C1208" s="26" t="s">
        <v>698</v>
      </c>
      <c r="E1208" s="322" t="s">
        <v>1697</v>
      </c>
      <c r="F1208" s="174">
        <v>145</v>
      </c>
      <c r="G1208" s="26" t="s">
        <v>4665</v>
      </c>
    </row>
    <row r="1209" spans="1:7" hidden="1">
      <c r="B1209" s="26"/>
      <c r="D1209" s="171" t="s">
        <v>1518</v>
      </c>
      <c r="E1209" s="322" t="s">
        <v>1697</v>
      </c>
      <c r="F1209" s="26">
        <v>193</v>
      </c>
      <c r="G1209" s="26" t="s">
        <v>4665</v>
      </c>
    </row>
    <row r="1210" spans="1:7" hidden="1">
      <c r="B1210" s="26" t="s">
        <v>3445</v>
      </c>
      <c r="E1210" s="322"/>
    </row>
    <row r="1211" spans="1:7" hidden="1">
      <c r="B1211" s="26" t="s">
        <v>2657</v>
      </c>
      <c r="E1211" s="322"/>
    </row>
    <row r="1212" spans="1:7" hidden="1">
      <c r="B1212" s="26"/>
      <c r="C1212" s="26" t="s">
        <v>3446</v>
      </c>
      <c r="E1212" s="322" t="s">
        <v>1697</v>
      </c>
      <c r="F1212" s="26">
        <v>121</v>
      </c>
      <c r="G1212" s="26" t="s">
        <v>4665</v>
      </c>
    </row>
    <row r="1213" spans="1:7" hidden="1">
      <c r="A1213" s="865">
        <v>4</v>
      </c>
      <c r="B1213" s="26" t="s">
        <v>4249</v>
      </c>
    </row>
    <row r="1214" spans="1:7" hidden="1">
      <c r="B1214" s="26" t="s">
        <v>3029</v>
      </c>
    </row>
    <row r="1215" spans="1:7" hidden="1">
      <c r="B1215" s="26" t="s">
        <v>4635</v>
      </c>
    </row>
    <row r="1216" spans="1:7" hidden="1">
      <c r="B1216" s="26" t="s">
        <v>1280</v>
      </c>
    </row>
    <row r="1217" spans="1:7" hidden="1">
      <c r="A1217" s="865">
        <v>5</v>
      </c>
      <c r="B1217" s="31" t="s">
        <v>4900</v>
      </c>
      <c r="C1217" s="31"/>
      <c r="D1217" s="31"/>
      <c r="E1217" s="31"/>
      <c r="F1217" s="31"/>
    </row>
    <row r="1218" spans="1:7" hidden="1">
      <c r="B1218" s="1266" t="s">
        <v>4901</v>
      </c>
      <c r="C1218" s="1266"/>
      <c r="D1218" s="38" t="s">
        <v>2468</v>
      </c>
      <c r="E1218" s="38" t="s">
        <v>4902</v>
      </c>
      <c r="F1218" s="38" t="s">
        <v>4903</v>
      </c>
      <c r="G1218" s="38" t="s">
        <v>6199</v>
      </c>
    </row>
    <row r="1219" spans="1:7" hidden="1">
      <c r="B1219" s="1266"/>
      <c r="C1219" s="1266"/>
      <c r="D1219" s="38"/>
      <c r="E1219" s="38" t="s">
        <v>4904</v>
      </c>
      <c r="F1219" s="38" t="s">
        <v>4905</v>
      </c>
      <c r="G1219" s="38"/>
    </row>
    <row r="1220" spans="1:7" hidden="1">
      <c r="B1220" s="1266"/>
      <c r="C1220" s="1266"/>
      <c r="D1220" s="38"/>
      <c r="E1220" s="38" t="s">
        <v>6307</v>
      </c>
      <c r="F1220" s="36"/>
      <c r="G1220" s="38"/>
    </row>
    <row r="1221" spans="1:7" hidden="1">
      <c r="B1221" s="38" t="s">
        <v>1281</v>
      </c>
      <c r="C1221" s="38"/>
      <c r="D1221" s="36" t="s">
        <v>5854</v>
      </c>
      <c r="E1221" s="36">
        <v>17</v>
      </c>
      <c r="F1221" s="36">
        <v>17</v>
      </c>
      <c r="G1221" s="36">
        <v>17</v>
      </c>
    </row>
    <row r="1222" spans="1:7" hidden="1">
      <c r="B1222" s="38" t="s">
        <v>6309</v>
      </c>
      <c r="C1222" s="38"/>
      <c r="D1222" s="36" t="s">
        <v>5854</v>
      </c>
      <c r="E1222" s="36">
        <v>6</v>
      </c>
      <c r="F1222" s="36" t="s">
        <v>5854</v>
      </c>
      <c r="G1222" s="36">
        <v>6</v>
      </c>
    </row>
    <row r="1223" spans="1:7" hidden="1">
      <c r="B1223" s="38" t="s">
        <v>1282</v>
      </c>
      <c r="C1223" s="38"/>
      <c r="D1223" s="36">
        <v>3</v>
      </c>
      <c r="E1223" s="36">
        <v>6</v>
      </c>
      <c r="F1223" s="36" t="s">
        <v>5854</v>
      </c>
      <c r="G1223" s="36">
        <v>6</v>
      </c>
    </row>
    <row r="1224" spans="1:7" hidden="1">
      <c r="B1224" s="38" t="s">
        <v>1283</v>
      </c>
      <c r="C1224" s="38"/>
      <c r="D1224" s="36">
        <v>2</v>
      </c>
      <c r="E1224" s="36">
        <v>2</v>
      </c>
      <c r="F1224" s="36" t="s">
        <v>5854</v>
      </c>
      <c r="G1224" s="36">
        <v>4</v>
      </c>
    </row>
    <row r="1225" spans="1:7" hidden="1">
      <c r="B1225" s="38" t="s">
        <v>1284</v>
      </c>
      <c r="C1225" s="38"/>
      <c r="D1225" s="36">
        <v>2</v>
      </c>
      <c r="E1225" s="36" t="s">
        <v>5854</v>
      </c>
      <c r="F1225" s="36">
        <v>18</v>
      </c>
      <c r="G1225" s="36">
        <v>18</v>
      </c>
    </row>
    <row r="1226" spans="1:7" hidden="1">
      <c r="B1226" s="38" t="s">
        <v>1285</v>
      </c>
      <c r="C1226" s="38"/>
      <c r="D1226" s="36">
        <v>1</v>
      </c>
      <c r="E1226" s="36">
        <v>1</v>
      </c>
      <c r="F1226" s="36" t="s">
        <v>5854</v>
      </c>
      <c r="G1226" s="36">
        <v>1</v>
      </c>
    </row>
    <row r="1227" spans="1:7" hidden="1">
      <c r="B1227" s="36" t="s">
        <v>2656</v>
      </c>
      <c r="C1227" s="36"/>
      <c r="D1227" s="36">
        <f>SUM(D1221:D1226)</f>
        <v>8</v>
      </c>
      <c r="E1227" s="36">
        <f>SUM(E1221:E1226)</f>
        <v>32</v>
      </c>
      <c r="F1227" s="36">
        <f>SUM(F1221:F1226)</f>
        <v>35</v>
      </c>
      <c r="G1227" s="36">
        <f>SUM(G1221:G1226)</f>
        <v>52</v>
      </c>
    </row>
    <row r="1228" spans="1:7" hidden="1">
      <c r="A1228" s="865">
        <v>6</v>
      </c>
      <c r="B1228" s="26" t="s">
        <v>673</v>
      </c>
    </row>
    <row r="1229" spans="1:7" hidden="1">
      <c r="B1229" s="26" t="s">
        <v>6017</v>
      </c>
    </row>
    <row r="1230" spans="1:7" hidden="1">
      <c r="B1230" s="26" t="s">
        <v>2385</v>
      </c>
    </row>
    <row r="1231" spans="1:7" hidden="1">
      <c r="B1231" s="26" t="s">
        <v>4751</v>
      </c>
    </row>
    <row r="1232" spans="1:7" hidden="1">
      <c r="A1232" s="865">
        <v>7</v>
      </c>
      <c r="B1232" s="26" t="s">
        <v>2366</v>
      </c>
    </row>
    <row r="1233" spans="1:7" hidden="1">
      <c r="B1233" s="26" t="s">
        <v>5079</v>
      </c>
      <c r="C1233" s="68">
        <f>'BASIC DATA'!D373</f>
        <v>7800</v>
      </c>
      <c r="D1233" s="26" t="s">
        <v>2290</v>
      </c>
      <c r="E1233" s="315" t="s">
        <v>1698</v>
      </c>
      <c r="F1233" s="68">
        <f>C1233</f>
        <v>7800</v>
      </c>
    </row>
    <row r="1234" spans="1:7" hidden="1">
      <c r="B1234" s="26" t="s">
        <v>3231</v>
      </c>
      <c r="E1234" s="322" t="s">
        <v>1697</v>
      </c>
      <c r="F1234" s="316">
        <v>1000</v>
      </c>
      <c r="G1234" s="26" t="s">
        <v>4665</v>
      </c>
    </row>
    <row r="1235" spans="1:7" hidden="1">
      <c r="B1235" s="26" t="s">
        <v>3232</v>
      </c>
      <c r="C1235" s="26" t="s">
        <v>7593</v>
      </c>
      <c r="E1235" s="315" t="s">
        <v>1698</v>
      </c>
      <c r="F1235" s="68">
        <f>F1233/F1234</f>
        <v>7.8</v>
      </c>
    </row>
    <row r="1236" spans="1:7" hidden="1">
      <c r="B1236" s="26" t="s">
        <v>2056</v>
      </c>
      <c r="C1236" s="68">
        <f>'BASIC DATA'!D371</f>
        <v>14500</v>
      </c>
      <c r="D1236" s="26" t="s">
        <v>2290</v>
      </c>
      <c r="E1236" s="315" t="s">
        <v>1698</v>
      </c>
      <c r="F1236" s="68">
        <f>C1236</f>
        <v>14500</v>
      </c>
    </row>
    <row r="1237" spans="1:7" hidden="1">
      <c r="B1237" s="26" t="s">
        <v>5868</v>
      </c>
      <c r="E1237" s="322" t="s">
        <v>1697</v>
      </c>
      <c r="F1237" s="316">
        <v>600</v>
      </c>
      <c r="G1237" s="26" t="s">
        <v>4665</v>
      </c>
    </row>
    <row r="1238" spans="1:7" hidden="1">
      <c r="B1238" s="26" t="s">
        <v>3234</v>
      </c>
      <c r="C1238" s="26" t="s">
        <v>7593</v>
      </c>
      <c r="E1238" s="315" t="s">
        <v>1698</v>
      </c>
      <c r="F1238" s="68">
        <f>F1236/F1237</f>
        <v>24.166666666666668</v>
      </c>
    </row>
    <row r="1239" spans="1:7"/>
    <row r="1240" spans="1:7">
      <c r="A1240" s="865" t="s">
        <v>3984</v>
      </c>
      <c r="C1240" s="203" t="s">
        <v>2367</v>
      </c>
      <c r="E1240" s="171" t="s">
        <v>297</v>
      </c>
      <c r="F1240" s="692">
        <v>200</v>
      </c>
      <c r="G1240" s="26" t="s">
        <v>3483</v>
      </c>
    </row>
    <row r="1241" spans="1:7">
      <c r="B1241" s="79" t="s">
        <v>2368</v>
      </c>
      <c r="F1241" s="316"/>
    </row>
    <row r="1242" spans="1:7">
      <c r="B1242" s="95" t="s">
        <v>2369</v>
      </c>
      <c r="C1242" s="157" t="s">
        <v>6374</v>
      </c>
      <c r="D1242" s="95" t="s">
        <v>2370</v>
      </c>
      <c r="E1242" s="95" t="s">
        <v>1166</v>
      </c>
      <c r="F1242" s="95" t="s">
        <v>2371</v>
      </c>
      <c r="G1242" s="95" t="s">
        <v>2372</v>
      </c>
    </row>
    <row r="1243" spans="1:7">
      <c r="B1243" s="114"/>
      <c r="C1243" s="154"/>
      <c r="D1243" s="114"/>
      <c r="E1243" s="114"/>
      <c r="F1243" s="114" t="s">
        <v>3485</v>
      </c>
      <c r="G1243" s="114" t="s">
        <v>3485</v>
      </c>
    </row>
    <row r="1244" spans="1:7" ht="36">
      <c r="B1244" s="95">
        <v>1</v>
      </c>
      <c r="C1244" s="91" t="s">
        <v>6244</v>
      </c>
      <c r="D1244" s="451" t="s">
        <v>3478</v>
      </c>
      <c r="E1244" s="190">
        <v>1570</v>
      </c>
      <c r="F1244" s="214">
        <f>'BASIC DATA'!D97/1000</f>
        <v>37.5</v>
      </c>
      <c r="G1244" s="190">
        <f>E1244*F1244</f>
        <v>58875</v>
      </c>
    </row>
    <row r="1245" spans="1:7">
      <c r="B1245" s="105">
        <v>2</v>
      </c>
      <c r="C1245" s="135" t="s">
        <v>5431</v>
      </c>
      <c r="D1245" s="319" t="s">
        <v>3478</v>
      </c>
      <c r="E1245" s="190">
        <v>975</v>
      </c>
      <c r="F1245" s="214">
        <f>'BASIC DATA'!D98/1000</f>
        <v>37.4</v>
      </c>
      <c r="G1245" s="190">
        <f t="shared" ref="G1245:G1253" si="24">E1245*F1245</f>
        <v>36465</v>
      </c>
    </row>
    <row r="1246" spans="1:7">
      <c r="B1246" s="105">
        <v>3</v>
      </c>
      <c r="C1246" s="135" t="s">
        <v>4838</v>
      </c>
      <c r="D1246" s="319" t="s">
        <v>3478</v>
      </c>
      <c r="E1246" s="190">
        <v>18450</v>
      </c>
      <c r="F1246" s="214">
        <f>'BASIC DATA'!D311/1000</f>
        <v>51.5</v>
      </c>
      <c r="G1246" s="190">
        <f t="shared" si="24"/>
        <v>950175</v>
      </c>
    </row>
    <row r="1247" spans="1:7">
      <c r="B1247" s="105">
        <v>4</v>
      </c>
      <c r="C1247" s="135" t="s">
        <v>4654</v>
      </c>
      <c r="D1247" s="319" t="s">
        <v>3478</v>
      </c>
      <c r="E1247" s="190">
        <v>246</v>
      </c>
      <c r="F1247" s="214">
        <f>'BASIC DATA'!D84</f>
        <v>80</v>
      </c>
      <c r="G1247" s="190">
        <f t="shared" si="24"/>
        <v>19680</v>
      </c>
    </row>
    <row r="1248" spans="1:7">
      <c r="B1248" s="105">
        <v>5</v>
      </c>
      <c r="C1248" s="135" t="s">
        <v>958</v>
      </c>
      <c r="D1248" s="319" t="s">
        <v>3477</v>
      </c>
      <c r="E1248" s="190">
        <v>201</v>
      </c>
      <c r="F1248" s="214">
        <f>'BASIC DATA'!D87</f>
        <v>42</v>
      </c>
      <c r="G1248" s="190">
        <f t="shared" si="24"/>
        <v>8442</v>
      </c>
    </row>
    <row r="1249" spans="2:7">
      <c r="B1249" s="105">
        <v>6</v>
      </c>
      <c r="C1249" s="135" t="s">
        <v>6815</v>
      </c>
      <c r="D1249" s="319" t="s">
        <v>3477</v>
      </c>
      <c r="E1249" s="190">
        <v>67</v>
      </c>
      <c r="F1249" s="214">
        <f>'BASIC DATA'!D28</f>
        <v>335</v>
      </c>
      <c r="G1249" s="190">
        <f t="shared" si="24"/>
        <v>22445</v>
      </c>
    </row>
    <row r="1250" spans="2:7">
      <c r="B1250" s="105">
        <v>7</v>
      </c>
      <c r="C1250" s="135" t="s">
        <v>6816</v>
      </c>
      <c r="D1250" s="319" t="s">
        <v>2059</v>
      </c>
      <c r="E1250" s="190">
        <v>1805</v>
      </c>
      <c r="F1250" s="214">
        <f>'BASIC DATA'!$D$110</f>
        <v>13</v>
      </c>
      <c r="G1250" s="190">
        <f t="shared" si="24"/>
        <v>23465</v>
      </c>
    </row>
    <row r="1251" spans="2:7">
      <c r="B1251" s="105">
        <v>8</v>
      </c>
      <c r="C1251" s="135" t="s">
        <v>6556</v>
      </c>
      <c r="D1251" s="319" t="s">
        <v>2374</v>
      </c>
      <c r="E1251" s="190">
        <v>193</v>
      </c>
      <c r="F1251" s="214">
        <f>F1235</f>
        <v>7.8</v>
      </c>
      <c r="G1251" s="190">
        <f t="shared" si="24"/>
        <v>1505.3999999999999</v>
      </c>
    </row>
    <row r="1252" spans="2:7">
      <c r="B1252" s="105">
        <v>9</v>
      </c>
      <c r="C1252" s="135" t="s">
        <v>6557</v>
      </c>
      <c r="D1252" s="319" t="s">
        <v>2374</v>
      </c>
      <c r="E1252" s="190">
        <v>133</v>
      </c>
      <c r="F1252" s="214">
        <f>F1238</f>
        <v>24.166666666666668</v>
      </c>
      <c r="G1252" s="190">
        <f t="shared" si="24"/>
        <v>3214.166666666667</v>
      </c>
    </row>
    <row r="1253" spans="2:7">
      <c r="B1253" s="114">
        <v>10</v>
      </c>
      <c r="C1253" s="135" t="s">
        <v>2373</v>
      </c>
      <c r="D1253" s="319" t="s">
        <v>2173</v>
      </c>
      <c r="E1253" s="190">
        <v>10</v>
      </c>
      <c r="F1253" s="214">
        <f>'BASIC DATA'!D359</f>
        <v>30</v>
      </c>
      <c r="G1253" s="190">
        <f t="shared" si="24"/>
        <v>300</v>
      </c>
    </row>
    <row r="1254" spans="2:7">
      <c r="B1254" s="92"/>
      <c r="C1254" s="193"/>
      <c r="D1254" s="151" t="s">
        <v>2376</v>
      </c>
      <c r="E1254" s="160"/>
      <c r="F1254" s="236" t="s">
        <v>1698</v>
      </c>
      <c r="G1254" s="318">
        <f>SUM(G1244:G1253)</f>
        <v>1124566.5666666667</v>
      </c>
    </row>
    <row r="1255" spans="2:7"/>
    <row r="1256" spans="2:7">
      <c r="B1256" s="79" t="s">
        <v>2377</v>
      </c>
    </row>
    <row r="1257" spans="2:7">
      <c r="B1257" s="95" t="s">
        <v>2369</v>
      </c>
      <c r="C1257" s="157" t="s">
        <v>2378</v>
      </c>
      <c r="D1257" s="95" t="s">
        <v>2370</v>
      </c>
      <c r="E1257" s="95" t="s">
        <v>1166</v>
      </c>
      <c r="F1257" s="95" t="s">
        <v>2371</v>
      </c>
      <c r="G1257" s="95" t="s">
        <v>2372</v>
      </c>
    </row>
    <row r="1258" spans="2:7">
      <c r="B1258" s="114"/>
      <c r="C1258" s="154"/>
      <c r="D1258" s="114"/>
      <c r="E1258" s="114"/>
      <c r="F1258" s="114" t="s">
        <v>3485</v>
      </c>
      <c r="G1258" s="114" t="s">
        <v>3485</v>
      </c>
    </row>
    <row r="1259" spans="2:7">
      <c r="B1259" s="95">
        <v>1</v>
      </c>
      <c r="C1259" s="135" t="s">
        <v>6558</v>
      </c>
      <c r="D1259" s="451" t="s">
        <v>2374</v>
      </c>
      <c r="E1259" s="190">
        <v>193</v>
      </c>
      <c r="F1259" s="190">
        <f>'HIRE CHARGES'!D556</f>
        <v>16</v>
      </c>
      <c r="G1259" s="190">
        <f>E1259*F1259</f>
        <v>3088</v>
      </c>
    </row>
    <row r="1260" spans="2:7">
      <c r="B1260" s="317"/>
      <c r="C1260" s="135" t="s">
        <v>2379</v>
      </c>
      <c r="D1260" s="319" t="s">
        <v>2374</v>
      </c>
      <c r="E1260" s="255">
        <v>121</v>
      </c>
      <c r="F1260" s="190">
        <f>'HIRE CHARGES'!E556</f>
        <v>67.2</v>
      </c>
      <c r="G1260" s="190">
        <f t="shared" ref="G1260:G1267" si="25">E1260*F1260</f>
        <v>8131.2000000000007</v>
      </c>
    </row>
    <row r="1261" spans="2:7">
      <c r="B1261" s="105">
        <v>2</v>
      </c>
      <c r="C1261" s="135" t="s">
        <v>6561</v>
      </c>
      <c r="D1261" s="319" t="s">
        <v>2374</v>
      </c>
      <c r="E1261" s="190">
        <v>4</v>
      </c>
      <c r="F1261" s="190">
        <f>'HIRE CHARGES'!D550</f>
        <v>519.69999999999993</v>
      </c>
      <c r="G1261" s="190">
        <f t="shared" si="25"/>
        <v>2078.7999999999997</v>
      </c>
    </row>
    <row r="1262" spans="2:7">
      <c r="B1262" s="317"/>
      <c r="C1262" s="135" t="s">
        <v>2379</v>
      </c>
      <c r="D1262" s="319" t="s">
        <v>2374</v>
      </c>
      <c r="E1262" s="190">
        <v>4</v>
      </c>
      <c r="F1262" s="190">
        <f>'HIRE CHARGES'!E550</f>
        <v>299.89999999999998</v>
      </c>
      <c r="G1262" s="190">
        <f t="shared" si="25"/>
        <v>1199.5999999999999</v>
      </c>
    </row>
    <row r="1263" spans="2:7">
      <c r="B1263" s="105">
        <v>3</v>
      </c>
      <c r="C1263" s="135" t="s">
        <v>6562</v>
      </c>
      <c r="D1263" s="319" t="s">
        <v>2374</v>
      </c>
      <c r="E1263" s="190">
        <v>8</v>
      </c>
      <c r="F1263" s="190">
        <f>'HIRE CHARGES'!D551</f>
        <v>22.5</v>
      </c>
      <c r="G1263" s="190">
        <f t="shared" si="25"/>
        <v>180</v>
      </c>
    </row>
    <row r="1264" spans="2:7">
      <c r="B1264" s="317"/>
      <c r="C1264" s="135" t="s">
        <v>2379</v>
      </c>
      <c r="D1264" s="319" t="s">
        <v>2374</v>
      </c>
      <c r="E1264" s="190">
        <v>8</v>
      </c>
      <c r="F1264" s="190">
        <f>'HIRE CHARGES'!E551</f>
        <v>28</v>
      </c>
      <c r="G1264" s="190">
        <f t="shared" si="25"/>
        <v>224</v>
      </c>
    </row>
    <row r="1265" spans="2:7">
      <c r="B1265" s="105">
        <v>4</v>
      </c>
      <c r="C1265" s="135" t="s">
        <v>5539</v>
      </c>
      <c r="D1265" s="319" t="s">
        <v>2374</v>
      </c>
      <c r="E1265" s="190">
        <v>50</v>
      </c>
      <c r="F1265" s="190">
        <f>'HIRE CHARGES'!D551</f>
        <v>22.5</v>
      </c>
      <c r="G1265" s="190">
        <f t="shared" si="25"/>
        <v>1125</v>
      </c>
    </row>
    <row r="1266" spans="2:7">
      <c r="B1266" s="317"/>
      <c r="C1266" s="135" t="s">
        <v>2379</v>
      </c>
      <c r="D1266" s="319" t="s">
        <v>2374</v>
      </c>
      <c r="E1266" s="190">
        <v>50</v>
      </c>
      <c r="F1266" s="190">
        <f>'HIRE CHARGES'!E551</f>
        <v>28</v>
      </c>
      <c r="G1266" s="190">
        <f t="shared" si="25"/>
        <v>1400</v>
      </c>
    </row>
    <row r="1267" spans="2:7">
      <c r="B1267" s="114">
        <v>5</v>
      </c>
      <c r="C1267" s="135" t="s">
        <v>2373</v>
      </c>
      <c r="D1267" s="319" t="s">
        <v>2173</v>
      </c>
      <c r="E1267" s="190">
        <v>10</v>
      </c>
      <c r="F1267" s="214">
        <f>'BASIC DATA'!D359</f>
        <v>30</v>
      </c>
      <c r="G1267" s="190">
        <f t="shared" si="25"/>
        <v>300</v>
      </c>
    </row>
    <row r="1268" spans="2:7">
      <c r="B1268" s="176"/>
      <c r="C1268" s="193" t="s">
        <v>2380</v>
      </c>
      <c r="D1268" s="193"/>
      <c r="E1268" s="208"/>
      <c r="F1268" s="236" t="s">
        <v>1698</v>
      </c>
      <c r="G1268" s="318">
        <f>SUM(G1259:G1267)</f>
        <v>17726.599999999999</v>
      </c>
    </row>
    <row r="1269" spans="2:7"/>
    <row r="1270" spans="2:7">
      <c r="B1270" s="79" t="s">
        <v>2381</v>
      </c>
    </row>
    <row r="1271" spans="2:7">
      <c r="B1271" s="95" t="s">
        <v>2369</v>
      </c>
      <c r="C1271" s="157" t="s">
        <v>2378</v>
      </c>
      <c r="D1271" s="95" t="s">
        <v>2370</v>
      </c>
      <c r="E1271" s="95" t="s">
        <v>1166</v>
      </c>
      <c r="F1271" s="95" t="s">
        <v>2371</v>
      </c>
      <c r="G1271" s="95" t="s">
        <v>2372</v>
      </c>
    </row>
    <row r="1272" spans="2:7">
      <c r="B1272" s="114"/>
      <c r="C1272" s="154"/>
      <c r="D1272" s="114"/>
      <c r="E1272" s="114"/>
      <c r="F1272" s="114" t="s">
        <v>3485</v>
      </c>
      <c r="G1272" s="114" t="s">
        <v>3485</v>
      </c>
    </row>
    <row r="1273" spans="2:7">
      <c r="B1273" s="105">
        <v>1</v>
      </c>
      <c r="C1273" s="76" t="s">
        <v>5542</v>
      </c>
      <c r="D1273" s="319" t="s">
        <v>2374</v>
      </c>
      <c r="E1273" s="207">
        <v>4</v>
      </c>
      <c r="F1273" s="190">
        <f>'HIRE CHARGES'!F550</f>
        <v>177.5</v>
      </c>
      <c r="G1273" s="190">
        <f>E1273*F1273</f>
        <v>710</v>
      </c>
    </row>
    <row r="1274" spans="2:7">
      <c r="B1274" s="105">
        <v>2</v>
      </c>
      <c r="C1274" s="76" t="s">
        <v>5545</v>
      </c>
      <c r="D1274" s="319" t="s">
        <v>2374</v>
      </c>
      <c r="E1274" s="207">
        <v>50</v>
      </c>
      <c r="F1274" s="190">
        <f>'HIRE CHARGES'!F551</f>
        <v>198.9</v>
      </c>
      <c r="G1274" s="190">
        <f t="shared" ref="G1274:G1281" si="26">E1274*F1274</f>
        <v>9945</v>
      </c>
    </row>
    <row r="1275" spans="2:7">
      <c r="B1275" s="105">
        <v>3</v>
      </c>
      <c r="C1275" s="76" t="s">
        <v>5546</v>
      </c>
      <c r="D1275" s="319" t="s">
        <v>2374</v>
      </c>
      <c r="E1275" s="207">
        <v>8</v>
      </c>
      <c r="F1275" s="190">
        <f>'HIRE CHARGES'!F551</f>
        <v>198.9</v>
      </c>
      <c r="G1275" s="190">
        <f t="shared" si="26"/>
        <v>1591.2</v>
      </c>
    </row>
    <row r="1276" spans="2:7">
      <c r="B1276" s="105">
        <v>4</v>
      </c>
      <c r="C1276" s="76" t="s">
        <v>2468</v>
      </c>
      <c r="D1276" s="319" t="s">
        <v>1172</v>
      </c>
      <c r="E1276" s="207">
        <f>D1227</f>
        <v>8</v>
      </c>
      <c r="F1276" s="190">
        <f>'BASIC DATA'!C471</f>
        <v>510</v>
      </c>
      <c r="G1276" s="190">
        <f t="shared" si="26"/>
        <v>4080</v>
      </c>
    </row>
    <row r="1277" spans="2:7">
      <c r="B1277" s="105">
        <v>5</v>
      </c>
      <c r="C1277" s="76" t="s">
        <v>5547</v>
      </c>
      <c r="D1277" s="319" t="s">
        <v>1172</v>
      </c>
      <c r="E1277" s="207">
        <f>E1227</f>
        <v>32</v>
      </c>
      <c r="F1277" s="190">
        <f>'BASIC DATA'!C503</f>
        <v>550</v>
      </c>
      <c r="G1277" s="190">
        <f t="shared" si="26"/>
        <v>17600</v>
      </c>
    </row>
    <row r="1278" spans="2:7">
      <c r="B1278" s="105">
        <v>6</v>
      </c>
      <c r="C1278" s="76" t="s">
        <v>3010</v>
      </c>
      <c r="D1278" s="319" t="s">
        <v>1172</v>
      </c>
      <c r="E1278" s="207">
        <v>17</v>
      </c>
      <c r="F1278" s="190">
        <f>'BASIC DATA'!C504</f>
        <v>445</v>
      </c>
      <c r="G1278" s="190">
        <f t="shared" si="26"/>
        <v>7565</v>
      </c>
    </row>
    <row r="1279" spans="2:7">
      <c r="B1279" s="105">
        <v>7</v>
      </c>
      <c r="C1279" s="76" t="s">
        <v>3013</v>
      </c>
      <c r="D1279" s="319" t="s">
        <v>1172</v>
      </c>
      <c r="E1279" s="207">
        <v>18</v>
      </c>
      <c r="F1279" s="190">
        <f>'BASIC DATA'!C504</f>
        <v>445</v>
      </c>
      <c r="G1279" s="190">
        <f t="shared" si="26"/>
        <v>8010</v>
      </c>
    </row>
    <row r="1280" spans="2:7">
      <c r="B1280" s="105">
        <v>8</v>
      </c>
      <c r="C1280" s="76" t="s">
        <v>3011</v>
      </c>
      <c r="D1280" s="319" t="s">
        <v>1172</v>
      </c>
      <c r="E1280" s="207">
        <f>G1227</f>
        <v>52</v>
      </c>
      <c r="F1280" s="190">
        <f>'BASIC DATA'!C529</f>
        <v>400</v>
      </c>
      <c r="G1280" s="190">
        <f t="shared" si="26"/>
        <v>20800</v>
      </c>
    </row>
    <row r="1281" spans="2:7">
      <c r="B1281" s="105">
        <v>9</v>
      </c>
      <c r="C1281" s="76" t="s">
        <v>5604</v>
      </c>
      <c r="D1281" s="319" t="s">
        <v>1172</v>
      </c>
      <c r="E1281" s="207">
        <v>1</v>
      </c>
      <c r="F1281" s="190">
        <f>'BASIC DATA'!C468</f>
        <v>515</v>
      </c>
      <c r="G1281" s="190">
        <f t="shared" si="26"/>
        <v>515</v>
      </c>
    </row>
    <row r="1282" spans="2:7">
      <c r="B1282" s="92"/>
      <c r="C1282" s="193"/>
      <c r="D1282" s="151" t="s">
        <v>1174</v>
      </c>
      <c r="E1282" s="160"/>
      <c r="F1282" s="236" t="s">
        <v>1698</v>
      </c>
      <c r="G1282" s="318">
        <f>SUM(G1273:G1281)</f>
        <v>70816.2</v>
      </c>
    </row>
    <row r="1283" spans="2:7">
      <c r="B1283" s="101" t="s">
        <v>9422</v>
      </c>
      <c r="C1283" s="361"/>
      <c r="D1283" s="101"/>
      <c r="E1283" s="101"/>
      <c r="F1283" s="361"/>
      <c r="G1283" s="911">
        <f>G1282*30%</f>
        <v>21244.859999999997</v>
      </c>
    </row>
    <row r="1284" spans="2:7">
      <c r="B1284" s="101"/>
      <c r="C1284" s="361" t="s">
        <v>7956</v>
      </c>
      <c r="D1284" s="101"/>
      <c r="E1284" s="101"/>
      <c r="F1284" s="361"/>
      <c r="G1284" s="911">
        <f>SUM(G1283+G1282)</f>
        <v>92061.06</v>
      </c>
    </row>
    <row r="1285" spans="2:7">
      <c r="B1285" s="33"/>
      <c r="C1285" s="200"/>
      <c r="D1285" s="76"/>
      <c r="E1285" s="76"/>
      <c r="F1285" s="200"/>
      <c r="G1285" s="766"/>
    </row>
    <row r="1286" spans="2:7">
      <c r="B1286" s="60" t="s">
        <v>5948</v>
      </c>
      <c r="C1286" s="31"/>
      <c r="D1286" s="31"/>
      <c r="E1286" s="85">
        <f>ROUND(G1284/F1240,1)</f>
        <v>460.3</v>
      </c>
    </row>
    <row r="1287" spans="2:7">
      <c r="B1287" s="60" t="s">
        <v>3163</v>
      </c>
      <c r="C1287" s="31"/>
      <c r="D1287" s="922">
        <f>'BASIC DATA'!$C$577</f>
        <v>0.13614999999999999</v>
      </c>
      <c r="E1287" s="85">
        <f>ROUND(E1286*D1287,1)</f>
        <v>62.7</v>
      </c>
    </row>
    <row r="1288" spans="2:7">
      <c r="B1288" s="60" t="s">
        <v>5949</v>
      </c>
      <c r="C1288" s="31"/>
      <c r="D1288" s="31"/>
      <c r="E1288" s="199">
        <f>E1287+E1286</f>
        <v>523</v>
      </c>
    </row>
    <row r="1289" spans="2:7">
      <c r="B1289" s="26"/>
    </row>
    <row r="1290" spans="2:7">
      <c r="B1290" s="170" t="s">
        <v>1175</v>
      </c>
    </row>
    <row r="1291" spans="2:7">
      <c r="B1291" s="26" t="s">
        <v>1176</v>
      </c>
      <c r="F1291" s="171" t="s">
        <v>1698</v>
      </c>
      <c r="G1291" s="68">
        <f>G1254</f>
        <v>1124566.5666666667</v>
      </c>
    </row>
    <row r="1292" spans="2:7">
      <c r="B1292" s="26" t="s">
        <v>1186</v>
      </c>
      <c r="F1292" s="171" t="s">
        <v>1698</v>
      </c>
      <c r="G1292" s="68">
        <f>G1268</f>
        <v>17726.599999999999</v>
      </c>
    </row>
    <row r="1293" spans="2:7">
      <c r="B1293" s="26" t="s">
        <v>2660</v>
      </c>
      <c r="F1293" s="171" t="s">
        <v>1698</v>
      </c>
      <c r="G1293" s="75">
        <f>G1284</f>
        <v>92061.06</v>
      </c>
    </row>
    <row r="1294" spans="2:7">
      <c r="B1294" s="26"/>
      <c r="E1294" s="171" t="s">
        <v>5551</v>
      </c>
      <c r="F1294" s="171" t="s">
        <v>1698</v>
      </c>
      <c r="G1294" s="205">
        <f>SUM(G1291:G1293)</f>
        <v>1234354.2266666668</v>
      </c>
    </row>
    <row r="1295" spans="2:7">
      <c r="B1295" s="26" t="s">
        <v>5087</v>
      </c>
      <c r="E1295" s="693">
        <f>'BASIC DATA'!C593</f>
        <v>0</v>
      </c>
      <c r="F1295" s="171" t="s">
        <v>1698</v>
      </c>
      <c r="G1295" s="68">
        <f>(G1293+G1292)*E1295*0.75</f>
        <v>0</v>
      </c>
    </row>
    <row r="1296" spans="2:7">
      <c r="B1296" s="26" t="s">
        <v>5084</v>
      </c>
      <c r="E1296" s="171" t="s">
        <v>1518</v>
      </c>
      <c r="F1296" s="171" t="s">
        <v>1698</v>
      </c>
      <c r="G1296" s="205">
        <f>G1295+G1294</f>
        <v>1234354.2266666668</v>
      </c>
    </row>
    <row r="1297" spans="1:34">
      <c r="B1297" s="26" t="s">
        <v>5086</v>
      </c>
      <c r="E1297" s="201">
        <f>'BASIC DATA'!C594</f>
        <v>0.03</v>
      </c>
      <c r="F1297" s="171" t="s">
        <v>1698</v>
      </c>
      <c r="G1297" s="75">
        <f>G1296*E1297</f>
        <v>37030.626800000005</v>
      </c>
    </row>
    <row r="1298" spans="1:34">
      <c r="B1298" s="26"/>
      <c r="E1298" s="250" t="s">
        <v>1518</v>
      </c>
      <c r="F1298" s="171" t="s">
        <v>1698</v>
      </c>
      <c r="G1298" s="205">
        <f>G1297+G1296</f>
        <v>1271384.8534666668</v>
      </c>
    </row>
    <row r="1299" spans="1:34" ht="42.75" customHeight="1">
      <c r="B1299" s="1207" t="s">
        <v>4717</v>
      </c>
      <c r="C1299" s="1207"/>
      <c r="D1299" s="922">
        <f>'BASIC DATA'!$C$577</f>
        <v>0.13614999999999999</v>
      </c>
      <c r="F1299" s="171" t="s">
        <v>1698</v>
      </c>
      <c r="G1299" s="75">
        <f>G1298*D1299</f>
        <v>173099.04779948667</v>
      </c>
      <c r="I1299" s="68"/>
    </row>
    <row r="1300" spans="1:34">
      <c r="B1300" s="26" t="s">
        <v>898</v>
      </c>
    </row>
    <row r="1301" spans="1:34">
      <c r="B1301" s="47" t="s">
        <v>897</v>
      </c>
      <c r="D1301" s="48"/>
      <c r="E1301" s="68">
        <f>leadcharges!F65</f>
        <v>19</v>
      </c>
      <c r="F1301" s="27" t="s">
        <v>1279</v>
      </c>
      <c r="G1301" s="76">
        <f>2*ROUND(E1301*F1184,3)</f>
        <v>787.43600000000004</v>
      </c>
      <c r="AH1301" s="68"/>
    </row>
    <row r="1302" spans="1:34">
      <c r="B1302" s="47" t="s">
        <v>896</v>
      </c>
      <c r="D1302" s="48"/>
      <c r="E1302" s="68">
        <f>leadcharges!$G$79</f>
        <v>74.8</v>
      </c>
      <c r="F1302" s="27" t="s">
        <v>1279</v>
      </c>
      <c r="G1302" s="76">
        <f>2*ROUND(E1302*F1184,3)</f>
        <v>3100.0120000000002</v>
      </c>
    </row>
    <row r="1303" spans="1:34" ht="18.75" thickBot="1">
      <c r="B1303" s="26" t="s">
        <v>1191</v>
      </c>
      <c r="D1303" s="278">
        <f>F1240</f>
        <v>200</v>
      </c>
      <c r="E1303" s="26" t="s">
        <v>3483</v>
      </c>
      <c r="F1303" s="171" t="s">
        <v>1698</v>
      </c>
      <c r="G1303" s="68">
        <f>SUM(G1298:G1302)</f>
        <v>1448371.3492661535</v>
      </c>
    </row>
    <row r="1304" spans="1:34" ht="18.75" thickBot="1">
      <c r="D1304" s="694" t="s">
        <v>3884</v>
      </c>
      <c r="E1304" s="695" t="s">
        <v>3483</v>
      </c>
      <c r="F1304" s="696" t="s">
        <v>1698</v>
      </c>
      <c r="G1304" s="720">
        <f>ROUND(G1303/D1303,1)</f>
        <v>7241.9</v>
      </c>
      <c r="H1304" s="31"/>
      <c r="I1304" s="31"/>
    </row>
    <row r="1305" spans="1:34">
      <c r="B1305" s="26"/>
      <c r="C1305" s="78"/>
      <c r="G1305" s="171"/>
    </row>
    <row r="1306" spans="1:34">
      <c r="B1306" s="26"/>
      <c r="E1306" s="78"/>
      <c r="G1306" s="171"/>
      <c r="H1306" s="27"/>
    </row>
    <row r="1307" spans="1:34">
      <c r="B1307" s="170" t="s">
        <v>7866</v>
      </c>
    </row>
    <row r="1308" spans="1:34">
      <c r="A1308" s="822" t="s">
        <v>7171</v>
      </c>
      <c r="B1308" s="26" t="s">
        <v>9047</v>
      </c>
    </row>
    <row r="1309" spans="1:34" ht="18.75">
      <c r="B1309" s="26" t="s">
        <v>9048</v>
      </c>
    </row>
    <row r="1310" spans="1:34" ht="18.75">
      <c r="B1310" s="26" t="s">
        <v>9049</v>
      </c>
    </row>
    <row r="1311" spans="1:34">
      <c r="B1311" s="26" t="s">
        <v>8015</v>
      </c>
    </row>
    <row r="1312" spans="1:34">
      <c r="B1312" s="26" t="s">
        <v>2879</v>
      </c>
    </row>
    <row r="1313" spans="1:7">
      <c r="B1313" s="170" t="s">
        <v>538</v>
      </c>
      <c r="E1313" s="322"/>
    </row>
    <row r="1314" spans="1:7">
      <c r="B1314" s="170" t="s">
        <v>3549</v>
      </c>
      <c r="E1314" s="322"/>
    </row>
    <row r="1315" spans="1:7">
      <c r="B1315" s="170"/>
      <c r="E1315" s="322"/>
    </row>
    <row r="1316" spans="1:7">
      <c r="B1316" s="26" t="s">
        <v>9437</v>
      </c>
      <c r="E1316" s="322"/>
    </row>
    <row r="1317" spans="1:7">
      <c r="B1317" s="26"/>
      <c r="E1317" s="26" t="s">
        <v>9438</v>
      </c>
    </row>
    <row r="1318" spans="1:7" hidden="1">
      <c r="B1318" s="26" t="s">
        <v>2366</v>
      </c>
    </row>
    <row r="1319" spans="1:7" hidden="1">
      <c r="B1319" s="26" t="s">
        <v>5191</v>
      </c>
      <c r="C1319" s="68">
        <f>'BASIC DATA'!D373</f>
        <v>7800</v>
      </c>
      <c r="D1319" s="26" t="s">
        <v>2290</v>
      </c>
      <c r="E1319" s="315" t="s">
        <v>1698</v>
      </c>
      <c r="F1319" s="68">
        <f>C1319</f>
        <v>7800</v>
      </c>
    </row>
    <row r="1320" spans="1:7" hidden="1">
      <c r="B1320" s="26" t="s">
        <v>3231</v>
      </c>
      <c r="E1320" s="322" t="s">
        <v>1697</v>
      </c>
      <c r="F1320" s="316">
        <v>1000</v>
      </c>
      <c r="G1320" s="26" t="s">
        <v>4665</v>
      </c>
    </row>
    <row r="1321" spans="1:7" hidden="1">
      <c r="B1321" s="26" t="s">
        <v>3232</v>
      </c>
      <c r="C1321" s="26" t="s">
        <v>7593</v>
      </c>
      <c r="E1321" s="315" t="s">
        <v>1698</v>
      </c>
      <c r="F1321" s="68">
        <f>F1319/F1320</f>
        <v>7.8</v>
      </c>
    </row>
    <row r="1322" spans="1:7" hidden="1">
      <c r="B1322" s="26" t="s">
        <v>5089</v>
      </c>
      <c r="C1322" s="68">
        <f>'BASIC DATA'!D371</f>
        <v>14500</v>
      </c>
      <c r="D1322" s="26" t="s">
        <v>2290</v>
      </c>
      <c r="E1322" s="315" t="s">
        <v>1698</v>
      </c>
      <c r="F1322" s="68">
        <f>C1322</f>
        <v>14500</v>
      </c>
    </row>
    <row r="1323" spans="1:7" hidden="1">
      <c r="B1323" s="26" t="s">
        <v>5868</v>
      </c>
      <c r="E1323" s="322" t="s">
        <v>1697</v>
      </c>
      <c r="F1323" s="316">
        <v>600</v>
      </c>
      <c r="G1323" s="26" t="s">
        <v>4665</v>
      </c>
    </row>
    <row r="1324" spans="1:7" hidden="1">
      <c r="B1324" s="26" t="s">
        <v>3234</v>
      </c>
      <c r="C1324" s="26" t="s">
        <v>7593</v>
      </c>
      <c r="E1324" s="315" t="s">
        <v>1698</v>
      </c>
      <c r="F1324" s="68">
        <f>F1322/F1323</f>
        <v>24.166666666666668</v>
      </c>
    </row>
    <row r="1325" spans="1:7"/>
    <row r="1326" spans="1:7">
      <c r="A1326" s="865" t="s">
        <v>3984</v>
      </c>
      <c r="C1326" s="203" t="s">
        <v>2367</v>
      </c>
      <c r="E1326" s="171" t="s">
        <v>297</v>
      </c>
      <c r="F1326" s="692">
        <v>10</v>
      </c>
      <c r="G1326" s="26" t="s">
        <v>3480</v>
      </c>
    </row>
    <row r="1327" spans="1:7">
      <c r="B1327" s="79" t="s">
        <v>2368</v>
      </c>
      <c r="F1327" s="316"/>
    </row>
    <row r="1328" spans="1:7">
      <c r="B1328" s="95" t="s">
        <v>2369</v>
      </c>
      <c r="C1328" s="157" t="s">
        <v>6374</v>
      </c>
      <c r="D1328" s="95" t="s">
        <v>2370</v>
      </c>
      <c r="E1328" s="95" t="s">
        <v>1166</v>
      </c>
      <c r="F1328" s="95" t="s">
        <v>2371</v>
      </c>
      <c r="G1328" s="95" t="s">
        <v>2372</v>
      </c>
    </row>
    <row r="1329" spans="2:7">
      <c r="B1329" s="114"/>
      <c r="C1329" s="154"/>
      <c r="D1329" s="114"/>
      <c r="E1329" s="114"/>
      <c r="F1329" s="114" t="s">
        <v>3485</v>
      </c>
      <c r="G1329" s="114" t="s">
        <v>3485</v>
      </c>
    </row>
    <row r="1330" spans="2:7">
      <c r="B1330" s="95">
        <v>1</v>
      </c>
      <c r="C1330" s="135" t="s">
        <v>4770</v>
      </c>
      <c r="D1330" s="451"/>
      <c r="E1330" s="190"/>
      <c r="F1330" s="190"/>
      <c r="G1330" s="190"/>
    </row>
    <row r="1331" spans="2:7">
      <c r="B1331" s="317"/>
      <c r="C1331" s="135" t="s">
        <v>4916</v>
      </c>
      <c r="D1331" s="319" t="s">
        <v>3478</v>
      </c>
      <c r="E1331" s="190">
        <v>7103</v>
      </c>
      <c r="F1331" s="214">
        <f>'BASIC DATA'!D98/1000</f>
        <v>37.4</v>
      </c>
      <c r="G1331" s="190">
        <f>E1331*F1331</f>
        <v>265652.2</v>
      </c>
    </row>
    <row r="1332" spans="2:7">
      <c r="B1332" s="317"/>
      <c r="C1332" s="135" t="s">
        <v>9440</v>
      </c>
      <c r="D1332" s="319" t="s">
        <v>3478</v>
      </c>
      <c r="E1332" s="190">
        <v>2727</v>
      </c>
      <c r="F1332" s="214">
        <f>'BASIC DATA'!D97/1000</f>
        <v>37.5</v>
      </c>
      <c r="G1332" s="190">
        <f>E1332*F1332</f>
        <v>102262.5</v>
      </c>
    </row>
    <row r="1333" spans="2:7">
      <c r="B1333" s="105">
        <v>2</v>
      </c>
      <c r="C1333" s="135" t="s">
        <v>4771</v>
      </c>
      <c r="D1333" s="319"/>
      <c r="E1333" s="190"/>
      <c r="F1333" s="214"/>
      <c r="G1333" s="190"/>
    </row>
    <row r="1334" spans="2:7">
      <c r="B1334" s="317"/>
      <c r="C1334" s="135" t="s">
        <v>6175</v>
      </c>
      <c r="D1334" s="319" t="s">
        <v>3478</v>
      </c>
      <c r="E1334" s="190">
        <v>108</v>
      </c>
      <c r="F1334" s="214">
        <f>'BASIC DATA'!D160</f>
        <v>450</v>
      </c>
      <c r="G1334" s="190">
        <f t="shared" ref="G1334:G1353" si="27">E1334*F1334</f>
        <v>48600</v>
      </c>
    </row>
    <row r="1335" spans="2:7">
      <c r="B1335" s="105">
        <v>3</v>
      </c>
      <c r="C1335" s="135" t="s">
        <v>6211</v>
      </c>
      <c r="D1335" s="319"/>
      <c r="E1335" s="190"/>
      <c r="F1335" s="214"/>
      <c r="G1335" s="190"/>
    </row>
    <row r="1336" spans="2:7">
      <c r="B1336" s="317"/>
      <c r="C1336" s="135" t="s">
        <v>6212</v>
      </c>
      <c r="D1336" s="319" t="s">
        <v>3478</v>
      </c>
      <c r="E1336" s="190">
        <v>504</v>
      </c>
      <c r="F1336" s="214">
        <f>'BASIC DATA'!D167</f>
        <v>190</v>
      </c>
      <c r="G1336" s="190">
        <f t="shared" si="27"/>
        <v>95760</v>
      </c>
    </row>
    <row r="1337" spans="2:7" ht="36">
      <c r="B1337" s="105">
        <v>4</v>
      </c>
      <c r="C1337" s="91" t="s">
        <v>6357</v>
      </c>
      <c r="D1337" s="319"/>
      <c r="E1337" s="190"/>
      <c r="F1337" s="214"/>
      <c r="G1337" s="190"/>
    </row>
    <row r="1338" spans="2:7">
      <c r="B1338" s="317"/>
      <c r="C1338" s="135" t="s">
        <v>9439</v>
      </c>
      <c r="D1338" s="319" t="s">
        <v>3478</v>
      </c>
      <c r="E1338" s="190">
        <v>12</v>
      </c>
      <c r="F1338" s="214">
        <f>'BASIC DATA'!D163</f>
        <v>970</v>
      </c>
      <c r="G1338" s="190">
        <f t="shared" si="27"/>
        <v>11640</v>
      </c>
    </row>
    <row r="1339" spans="2:7">
      <c r="B1339" s="105">
        <v>5</v>
      </c>
      <c r="C1339" s="135" t="s">
        <v>374</v>
      </c>
      <c r="D1339" s="319"/>
      <c r="E1339" s="190"/>
      <c r="F1339" s="214"/>
      <c r="G1339" s="190"/>
    </row>
    <row r="1340" spans="2:7">
      <c r="B1340" s="317"/>
      <c r="C1340" s="135" t="s">
        <v>4957</v>
      </c>
      <c r="D1340" s="319" t="s">
        <v>3478</v>
      </c>
      <c r="E1340" s="190">
        <v>36</v>
      </c>
      <c r="F1340" s="214">
        <f>'BASIC DATA'!D67</f>
        <v>100</v>
      </c>
      <c r="G1340" s="190">
        <f t="shared" si="27"/>
        <v>3600</v>
      </c>
    </row>
    <row r="1341" spans="2:7">
      <c r="B1341" s="317"/>
      <c r="C1341" s="135" t="s">
        <v>4958</v>
      </c>
      <c r="D1341" s="319" t="s">
        <v>3478</v>
      </c>
      <c r="E1341" s="190">
        <v>6</v>
      </c>
      <c r="F1341" s="214">
        <f>'BASIC DATA'!D84</f>
        <v>80</v>
      </c>
      <c r="G1341" s="190">
        <f t="shared" si="27"/>
        <v>480</v>
      </c>
    </row>
    <row r="1342" spans="2:7">
      <c r="B1342" s="105">
        <v>6</v>
      </c>
      <c r="C1342" s="135" t="s">
        <v>541</v>
      </c>
      <c r="D1342" s="319"/>
      <c r="E1342" s="190"/>
      <c r="F1342" s="214"/>
      <c r="G1342" s="190"/>
    </row>
    <row r="1343" spans="2:7">
      <c r="B1343" s="317"/>
      <c r="C1343" s="135" t="s">
        <v>633</v>
      </c>
      <c r="D1343" s="319" t="s">
        <v>3483</v>
      </c>
      <c r="E1343" s="190">
        <v>3.72</v>
      </c>
      <c r="F1343" s="214">
        <f>'BASIC DATA'!D174</f>
        <v>780</v>
      </c>
      <c r="G1343" s="190">
        <f t="shared" si="27"/>
        <v>2901.6000000000004</v>
      </c>
    </row>
    <row r="1344" spans="2:7">
      <c r="B1344" s="317"/>
      <c r="C1344" s="135" t="s">
        <v>634</v>
      </c>
      <c r="D1344" s="319" t="s">
        <v>3483</v>
      </c>
      <c r="E1344" s="190">
        <v>12.3</v>
      </c>
      <c r="F1344" s="214">
        <f>'BASIC DATA'!D175</f>
        <v>1670</v>
      </c>
      <c r="G1344" s="190">
        <f t="shared" si="27"/>
        <v>20541</v>
      </c>
    </row>
    <row r="1345" spans="2:7">
      <c r="B1345" s="317"/>
      <c r="C1345" s="135" t="s">
        <v>635</v>
      </c>
      <c r="D1345" s="319" t="s">
        <v>3483</v>
      </c>
      <c r="E1345" s="190">
        <v>3.72</v>
      </c>
      <c r="F1345" s="214">
        <f>'BASIC DATA'!D175</f>
        <v>1670</v>
      </c>
      <c r="G1345" s="190">
        <f t="shared" si="27"/>
        <v>6212.4000000000005</v>
      </c>
    </row>
    <row r="1346" spans="2:7">
      <c r="B1346" s="317"/>
      <c r="C1346" s="135" t="s">
        <v>636</v>
      </c>
      <c r="D1346" s="319" t="s">
        <v>2059</v>
      </c>
      <c r="E1346" s="190">
        <v>2</v>
      </c>
      <c r="F1346" s="214">
        <f>'BASIC DATA'!D178</f>
        <v>1630</v>
      </c>
      <c r="G1346" s="190">
        <f t="shared" si="27"/>
        <v>3260</v>
      </c>
    </row>
    <row r="1347" spans="2:7">
      <c r="B1347" s="105">
        <v>7</v>
      </c>
      <c r="C1347" s="135" t="s">
        <v>958</v>
      </c>
      <c r="D1347" s="319" t="s">
        <v>3477</v>
      </c>
      <c r="E1347" s="190">
        <v>170</v>
      </c>
      <c r="F1347" s="214">
        <f>'BASIC DATA'!D87</f>
        <v>42</v>
      </c>
      <c r="G1347" s="190">
        <f t="shared" si="27"/>
        <v>7140</v>
      </c>
    </row>
    <row r="1348" spans="2:7">
      <c r="B1348" s="105">
        <v>8</v>
      </c>
      <c r="C1348" s="135" t="s">
        <v>6815</v>
      </c>
      <c r="D1348" s="319" t="s">
        <v>3477</v>
      </c>
      <c r="E1348" s="190">
        <v>56</v>
      </c>
      <c r="F1348" s="214">
        <f>'BASIC DATA'!D28</f>
        <v>335</v>
      </c>
      <c r="G1348" s="190">
        <f t="shared" si="27"/>
        <v>18760</v>
      </c>
    </row>
    <row r="1349" spans="2:7">
      <c r="B1349" s="105">
        <v>9</v>
      </c>
      <c r="C1349" s="135" t="s">
        <v>6816</v>
      </c>
      <c r="D1349" s="319" t="s">
        <v>2059</v>
      </c>
      <c r="E1349" s="190">
        <v>3200</v>
      </c>
      <c r="F1349" s="214">
        <f>'BASIC DATA'!$D$110</f>
        <v>13</v>
      </c>
      <c r="G1349" s="190">
        <f t="shared" si="27"/>
        <v>41600</v>
      </c>
    </row>
    <row r="1350" spans="2:7">
      <c r="B1350" s="105">
        <v>10</v>
      </c>
      <c r="C1350" s="135" t="s">
        <v>4655</v>
      </c>
      <c r="D1350" s="319" t="s">
        <v>2059</v>
      </c>
      <c r="E1350" s="190">
        <v>800</v>
      </c>
      <c r="F1350" s="214">
        <f>'BASIC DATA'!$D$181</f>
        <v>15</v>
      </c>
      <c r="G1350" s="190">
        <f t="shared" si="27"/>
        <v>12000</v>
      </c>
    </row>
    <row r="1351" spans="2:7">
      <c r="B1351" s="105">
        <v>11</v>
      </c>
      <c r="C1351" s="135" t="s">
        <v>6556</v>
      </c>
      <c r="D1351" s="319" t="s">
        <v>2374</v>
      </c>
      <c r="E1351" s="190">
        <v>500</v>
      </c>
      <c r="F1351" s="214">
        <f>F1321</f>
        <v>7.8</v>
      </c>
      <c r="G1351" s="190">
        <f t="shared" si="27"/>
        <v>3900</v>
      </c>
    </row>
    <row r="1352" spans="2:7">
      <c r="B1352" s="105">
        <v>12</v>
      </c>
      <c r="C1352" s="135" t="s">
        <v>6557</v>
      </c>
      <c r="D1352" s="319" t="s">
        <v>2374</v>
      </c>
      <c r="E1352" s="190">
        <v>40</v>
      </c>
      <c r="F1352" s="214">
        <f>F1324</f>
        <v>24.166666666666668</v>
      </c>
      <c r="G1352" s="190">
        <f t="shared" si="27"/>
        <v>966.66666666666674</v>
      </c>
    </row>
    <row r="1353" spans="2:7">
      <c r="B1353" s="114">
        <v>13</v>
      </c>
      <c r="C1353" s="135" t="s">
        <v>2373</v>
      </c>
      <c r="D1353" s="319" t="s">
        <v>2173</v>
      </c>
      <c r="E1353" s="190">
        <v>60</v>
      </c>
      <c r="F1353" s="214">
        <f>'BASIC DATA'!D359</f>
        <v>30</v>
      </c>
      <c r="G1353" s="190">
        <f t="shared" si="27"/>
        <v>1800</v>
      </c>
    </row>
    <row r="1354" spans="2:7">
      <c r="B1354" s="92"/>
      <c r="C1354" s="193"/>
      <c r="D1354" s="151" t="s">
        <v>2376</v>
      </c>
      <c r="E1354" s="160"/>
      <c r="F1354" s="236" t="s">
        <v>1698</v>
      </c>
      <c r="G1354" s="318">
        <f>SUM(G1331:G1353)</f>
        <v>647076.36666666658</v>
      </c>
    </row>
    <row r="1355" spans="2:7"/>
    <row r="1356" spans="2:7">
      <c r="B1356" s="79" t="s">
        <v>2377</v>
      </c>
    </row>
    <row r="1357" spans="2:7">
      <c r="B1357" s="95" t="s">
        <v>2369</v>
      </c>
      <c r="C1357" s="157" t="s">
        <v>2378</v>
      </c>
      <c r="D1357" s="95" t="s">
        <v>2370</v>
      </c>
      <c r="E1357" s="95" t="s">
        <v>1166</v>
      </c>
      <c r="F1357" s="95" t="s">
        <v>2371</v>
      </c>
      <c r="G1357" s="95" t="s">
        <v>2372</v>
      </c>
    </row>
    <row r="1358" spans="2:7">
      <c r="B1358" s="114"/>
      <c r="C1358" s="154"/>
      <c r="D1358" s="114"/>
      <c r="E1358" s="114"/>
      <c r="F1358" s="114" t="s">
        <v>3485</v>
      </c>
      <c r="G1358" s="114" t="s">
        <v>3485</v>
      </c>
    </row>
    <row r="1359" spans="2:7">
      <c r="B1359" s="95">
        <v>1</v>
      </c>
      <c r="C1359" s="135" t="s">
        <v>6558</v>
      </c>
      <c r="D1359" s="451" t="s">
        <v>2374</v>
      </c>
      <c r="E1359" s="190">
        <v>500</v>
      </c>
      <c r="F1359" s="190">
        <f>'HIRE CHARGES'!D556</f>
        <v>16</v>
      </c>
      <c r="G1359" s="190">
        <f>E1359*F1359</f>
        <v>8000</v>
      </c>
    </row>
    <row r="1360" spans="2:7">
      <c r="B1360" s="317"/>
      <c r="C1360" s="135" t="s">
        <v>2379</v>
      </c>
      <c r="D1360" s="319" t="s">
        <v>2374</v>
      </c>
      <c r="E1360" s="190">
        <v>500</v>
      </c>
      <c r="F1360" s="190">
        <f>'HIRE CHARGES'!E556</f>
        <v>67.2</v>
      </c>
      <c r="G1360" s="190">
        <f t="shared" ref="G1360:G1375" si="28">E1360*F1360</f>
        <v>33600</v>
      </c>
    </row>
    <row r="1361" spans="2:7">
      <c r="B1361" s="105">
        <v>2</v>
      </c>
      <c r="C1361" s="135" t="s">
        <v>6060</v>
      </c>
      <c r="D1361" s="319" t="s">
        <v>2374</v>
      </c>
      <c r="E1361" s="190">
        <v>85</v>
      </c>
      <c r="F1361" s="190">
        <f>'HIRE CHARGES'!D539</f>
        <v>6.4</v>
      </c>
      <c r="G1361" s="190">
        <f t="shared" si="28"/>
        <v>544</v>
      </c>
    </row>
    <row r="1362" spans="2:7">
      <c r="B1362" s="317"/>
      <c r="C1362" s="135" t="s">
        <v>2379</v>
      </c>
      <c r="D1362" s="319" t="s">
        <v>2374</v>
      </c>
      <c r="E1362" s="190">
        <v>85</v>
      </c>
      <c r="F1362" s="190">
        <f>'HIRE CHARGES'!E539</f>
        <v>2.8</v>
      </c>
      <c r="G1362" s="190">
        <f t="shared" si="28"/>
        <v>237.99999999999997</v>
      </c>
    </row>
    <row r="1363" spans="2:7">
      <c r="B1363" s="105">
        <v>3</v>
      </c>
      <c r="C1363" s="135" t="s">
        <v>6559</v>
      </c>
      <c r="D1363" s="319" t="s">
        <v>2374</v>
      </c>
      <c r="E1363" s="190">
        <v>10</v>
      </c>
      <c r="F1363" s="190">
        <f>'HIRE CHARGES'!D547</f>
        <v>867.1</v>
      </c>
      <c r="G1363" s="190">
        <f t="shared" si="28"/>
        <v>8671</v>
      </c>
    </row>
    <row r="1364" spans="2:7">
      <c r="B1364" s="317"/>
      <c r="C1364" s="135" t="s">
        <v>2379</v>
      </c>
      <c r="D1364" s="319" t="s">
        <v>2374</v>
      </c>
      <c r="E1364" s="190">
        <v>10</v>
      </c>
      <c r="F1364" s="190">
        <f>'HIRE CHARGES'!E547</f>
        <v>145.69999999999999</v>
      </c>
      <c r="G1364" s="190">
        <f t="shared" si="28"/>
        <v>1457</v>
      </c>
    </row>
    <row r="1365" spans="2:7">
      <c r="B1365" s="105">
        <v>4</v>
      </c>
      <c r="C1365" s="135" t="s">
        <v>9436</v>
      </c>
      <c r="D1365" s="319" t="s">
        <v>2374</v>
      </c>
      <c r="E1365" s="190">
        <v>30</v>
      </c>
      <c r="F1365" s="190">
        <f>'HIRE CHARGES'!D560</f>
        <v>2278.1</v>
      </c>
      <c r="G1365" s="190">
        <f t="shared" si="28"/>
        <v>68343</v>
      </c>
    </row>
    <row r="1366" spans="2:7">
      <c r="B1366" s="317"/>
      <c r="C1366" s="135" t="s">
        <v>2379</v>
      </c>
      <c r="D1366" s="319" t="s">
        <v>2374</v>
      </c>
      <c r="E1366" s="190">
        <v>30</v>
      </c>
      <c r="F1366" s="190">
        <f>'HIRE CHARGES'!E560</f>
        <v>75</v>
      </c>
      <c r="G1366" s="190">
        <f t="shared" si="28"/>
        <v>2250</v>
      </c>
    </row>
    <row r="1367" spans="2:7">
      <c r="B1367" s="105">
        <v>5</v>
      </c>
      <c r="C1367" s="135" t="s">
        <v>866</v>
      </c>
      <c r="D1367" s="319" t="s">
        <v>2374</v>
      </c>
      <c r="E1367" s="190">
        <v>20</v>
      </c>
      <c r="F1367" s="190">
        <f>'HIRE CHARGES'!D544</f>
        <v>86.1</v>
      </c>
      <c r="G1367" s="190">
        <f t="shared" si="28"/>
        <v>1722</v>
      </c>
    </row>
    <row r="1368" spans="2:7">
      <c r="B1368" s="317"/>
      <c r="C1368" s="135" t="s">
        <v>2379</v>
      </c>
      <c r="D1368" s="319" t="s">
        <v>2374</v>
      </c>
      <c r="E1368" s="190">
        <v>20</v>
      </c>
      <c r="F1368" s="190">
        <f>'HIRE CHARGES'!E544</f>
        <v>0</v>
      </c>
      <c r="G1368" s="190">
        <f t="shared" si="28"/>
        <v>0</v>
      </c>
    </row>
    <row r="1369" spans="2:7">
      <c r="B1369" s="105">
        <v>6</v>
      </c>
      <c r="C1369" s="135" t="s">
        <v>6562</v>
      </c>
      <c r="D1369" s="319" t="s">
        <v>2374</v>
      </c>
      <c r="E1369" s="190">
        <v>10</v>
      </c>
      <c r="F1369" s="190">
        <f>'HIRE CHARGES'!D551</f>
        <v>22.5</v>
      </c>
      <c r="G1369" s="190">
        <f t="shared" si="28"/>
        <v>225</v>
      </c>
    </row>
    <row r="1370" spans="2:7">
      <c r="B1370" s="317"/>
      <c r="C1370" s="135" t="s">
        <v>2379</v>
      </c>
      <c r="D1370" s="319" t="s">
        <v>2374</v>
      </c>
      <c r="E1370" s="190">
        <v>10</v>
      </c>
      <c r="F1370" s="190">
        <f>'HIRE CHARGES'!E551</f>
        <v>28</v>
      </c>
      <c r="G1370" s="190">
        <f t="shared" si="28"/>
        <v>280</v>
      </c>
    </row>
    <row r="1371" spans="2:7">
      <c r="B1371" s="105">
        <v>7</v>
      </c>
      <c r="C1371" s="135" t="s">
        <v>5539</v>
      </c>
      <c r="D1371" s="319" t="s">
        <v>2374</v>
      </c>
      <c r="E1371" s="190">
        <v>30</v>
      </c>
      <c r="F1371" s="190">
        <f>'HIRE CHARGES'!D551</f>
        <v>22.5</v>
      </c>
      <c r="G1371" s="190">
        <f t="shared" si="28"/>
        <v>675</v>
      </c>
    </row>
    <row r="1372" spans="2:7">
      <c r="B1372" s="317"/>
      <c r="C1372" s="135" t="s">
        <v>2379</v>
      </c>
      <c r="D1372" s="319" t="s">
        <v>2374</v>
      </c>
      <c r="E1372" s="190">
        <v>30</v>
      </c>
      <c r="F1372" s="190">
        <f>'HIRE CHARGES'!E551</f>
        <v>28</v>
      </c>
      <c r="G1372" s="190">
        <f t="shared" si="28"/>
        <v>840</v>
      </c>
    </row>
    <row r="1373" spans="2:7">
      <c r="B1373" s="317">
        <v>8</v>
      </c>
      <c r="C1373" s="135" t="s">
        <v>6911</v>
      </c>
      <c r="D1373" s="319" t="s">
        <v>2374</v>
      </c>
      <c r="E1373" s="190">
        <v>10</v>
      </c>
      <c r="F1373" s="190">
        <f>'HIRE CHARGES'!D503</f>
        <v>42.6</v>
      </c>
      <c r="G1373" s="190">
        <f t="shared" si="28"/>
        <v>426</v>
      </c>
    </row>
    <row r="1374" spans="2:7">
      <c r="B1374" s="317"/>
      <c r="C1374" s="135" t="s">
        <v>2379</v>
      </c>
      <c r="D1374" s="319" t="s">
        <v>2374</v>
      </c>
      <c r="E1374" s="190">
        <v>10</v>
      </c>
      <c r="F1374" s="190">
        <f>'HIRE CHARGES'!E503</f>
        <v>84.1</v>
      </c>
      <c r="G1374" s="190">
        <f t="shared" si="28"/>
        <v>841</v>
      </c>
    </row>
    <row r="1375" spans="2:7">
      <c r="B1375" s="114">
        <v>9</v>
      </c>
      <c r="C1375" s="135" t="s">
        <v>2373</v>
      </c>
      <c r="D1375" s="319" t="s">
        <v>2173</v>
      </c>
      <c r="E1375" s="190">
        <v>50</v>
      </c>
      <c r="F1375" s="214">
        <f>'BASIC DATA'!D359</f>
        <v>30</v>
      </c>
      <c r="G1375" s="190">
        <f t="shared" si="28"/>
        <v>1500</v>
      </c>
    </row>
    <row r="1376" spans="2:7">
      <c r="B1376" s="176"/>
      <c r="C1376" s="193" t="s">
        <v>2380</v>
      </c>
      <c r="D1376" s="193"/>
      <c r="E1376" s="208"/>
      <c r="F1376" s="236" t="s">
        <v>1698</v>
      </c>
      <c r="G1376" s="318">
        <f>SUM(G1359:G1375)</f>
        <v>129612</v>
      </c>
    </row>
    <row r="1377" spans="2:7"/>
    <row r="1378" spans="2:7">
      <c r="B1378" s="79" t="s">
        <v>2381</v>
      </c>
    </row>
    <row r="1379" spans="2:7">
      <c r="B1379" s="95" t="s">
        <v>2369</v>
      </c>
      <c r="C1379" s="157" t="s">
        <v>2378</v>
      </c>
      <c r="D1379" s="95" t="s">
        <v>2370</v>
      </c>
      <c r="E1379" s="95" t="s">
        <v>1166</v>
      </c>
      <c r="F1379" s="95" t="s">
        <v>2371</v>
      </c>
      <c r="G1379" s="95" t="s">
        <v>2372</v>
      </c>
    </row>
    <row r="1380" spans="2:7">
      <c r="B1380" s="114"/>
      <c r="C1380" s="154"/>
      <c r="D1380" s="114"/>
      <c r="E1380" s="114"/>
      <c r="F1380" s="114" t="s">
        <v>3485</v>
      </c>
      <c r="G1380" s="114" t="s">
        <v>3485</v>
      </c>
    </row>
    <row r="1381" spans="2:7">
      <c r="B1381" s="105">
        <v>1</v>
      </c>
      <c r="C1381" s="76" t="s">
        <v>9421</v>
      </c>
      <c r="D1381" s="319" t="s">
        <v>2374</v>
      </c>
      <c r="E1381" s="207">
        <v>30</v>
      </c>
      <c r="F1381" s="190">
        <f>'HIRE CHARGES'!F560</f>
        <v>526.70000000000005</v>
      </c>
      <c r="G1381" s="190">
        <f>E1381*F1381</f>
        <v>15801.000000000002</v>
      </c>
    </row>
    <row r="1382" spans="2:7">
      <c r="B1382" s="105">
        <v>2</v>
      </c>
      <c r="C1382" s="76" t="s">
        <v>5541</v>
      </c>
      <c r="D1382" s="319" t="s">
        <v>2374</v>
      </c>
      <c r="E1382" s="207">
        <v>10</v>
      </c>
      <c r="F1382" s="190">
        <f>'HIRE CHARGES'!F547</f>
        <v>189.3</v>
      </c>
      <c r="G1382" s="190">
        <f t="shared" ref="G1382:G1393" si="29">E1382*F1382</f>
        <v>1893</v>
      </c>
    </row>
    <row r="1383" spans="2:7">
      <c r="B1383" s="105">
        <v>3</v>
      </c>
      <c r="C1383" s="76" t="s">
        <v>5545</v>
      </c>
      <c r="D1383" s="319" t="s">
        <v>2374</v>
      </c>
      <c r="E1383" s="207">
        <v>30</v>
      </c>
      <c r="F1383" s="190">
        <f>'HIRE CHARGES'!F551</f>
        <v>198.9</v>
      </c>
      <c r="G1383" s="190">
        <f t="shared" si="29"/>
        <v>5967</v>
      </c>
    </row>
    <row r="1384" spans="2:7">
      <c r="B1384" s="105">
        <v>4</v>
      </c>
      <c r="C1384" s="76" t="s">
        <v>5546</v>
      </c>
      <c r="D1384" s="319" t="s">
        <v>2374</v>
      </c>
      <c r="E1384" s="207">
        <v>10</v>
      </c>
      <c r="F1384" s="190">
        <f>'HIRE CHARGES'!F551</f>
        <v>198.9</v>
      </c>
      <c r="G1384" s="190">
        <f t="shared" si="29"/>
        <v>1989</v>
      </c>
    </row>
    <row r="1385" spans="2:7">
      <c r="B1385" s="105">
        <v>5</v>
      </c>
      <c r="C1385" s="76" t="s">
        <v>5318</v>
      </c>
      <c r="D1385" s="319" t="s">
        <v>2374</v>
      </c>
      <c r="E1385" s="207">
        <v>10</v>
      </c>
      <c r="F1385" s="190">
        <f>'HIRE CHARGES'!F503</f>
        <v>131.80000000000001</v>
      </c>
      <c r="G1385" s="190">
        <f t="shared" si="29"/>
        <v>1318</v>
      </c>
    </row>
    <row r="1386" spans="2:7">
      <c r="B1386" s="105">
        <v>6</v>
      </c>
      <c r="C1386" s="76" t="s">
        <v>2468</v>
      </c>
      <c r="D1386" s="319" t="s">
        <v>1172</v>
      </c>
      <c r="E1386" s="207">
        <v>16</v>
      </c>
      <c r="F1386" s="190">
        <f>'BASIC DATA'!C471</f>
        <v>510</v>
      </c>
      <c r="G1386" s="190">
        <f t="shared" si="29"/>
        <v>8160</v>
      </c>
    </row>
    <row r="1387" spans="2:7">
      <c r="B1387" s="105">
        <v>7</v>
      </c>
      <c r="C1387" s="76" t="s">
        <v>5547</v>
      </c>
      <c r="D1387" s="319" t="s">
        <v>1172</v>
      </c>
      <c r="E1387" s="207">
        <v>50</v>
      </c>
      <c r="F1387" s="190">
        <f>'BASIC DATA'!C503</f>
        <v>550</v>
      </c>
      <c r="G1387" s="190">
        <f t="shared" si="29"/>
        <v>27500</v>
      </c>
    </row>
    <row r="1388" spans="2:7">
      <c r="B1388" s="105">
        <v>8</v>
      </c>
      <c r="C1388" s="76" t="s">
        <v>3010</v>
      </c>
      <c r="D1388" s="319" t="s">
        <v>1172</v>
      </c>
      <c r="E1388" s="207">
        <v>8</v>
      </c>
      <c r="F1388" s="190">
        <f>'BASIC DATA'!C504</f>
        <v>445</v>
      </c>
      <c r="G1388" s="190">
        <f t="shared" si="29"/>
        <v>3560</v>
      </c>
    </row>
    <row r="1389" spans="2:7">
      <c r="B1389" s="105">
        <v>9</v>
      </c>
      <c r="C1389" s="76" t="s">
        <v>3013</v>
      </c>
      <c r="D1389" s="319" t="s">
        <v>1172</v>
      </c>
      <c r="E1389" s="207">
        <v>52</v>
      </c>
      <c r="F1389" s="190">
        <f>'BASIC DATA'!C504</f>
        <v>445</v>
      </c>
      <c r="G1389" s="190">
        <f t="shared" si="29"/>
        <v>23140</v>
      </c>
    </row>
    <row r="1390" spans="2:7">
      <c r="B1390" s="105">
        <v>10</v>
      </c>
      <c r="C1390" s="76" t="s">
        <v>1788</v>
      </c>
      <c r="D1390" s="319" t="s">
        <v>1172</v>
      </c>
      <c r="E1390" s="207">
        <v>14</v>
      </c>
      <c r="F1390" s="190">
        <f>'BASIC DATA'!C505</f>
        <v>510</v>
      </c>
      <c r="G1390" s="190">
        <f t="shared" si="29"/>
        <v>7140</v>
      </c>
    </row>
    <row r="1391" spans="2:7">
      <c r="B1391" s="105">
        <v>11</v>
      </c>
      <c r="C1391" s="76" t="s">
        <v>3012</v>
      </c>
      <c r="D1391" s="319" t="s">
        <v>1172</v>
      </c>
      <c r="E1391" s="207">
        <v>170</v>
      </c>
      <c r="F1391" s="190">
        <f>'BASIC DATA'!C500</f>
        <v>445</v>
      </c>
      <c r="G1391" s="190">
        <f>F1391*E1391</f>
        <v>75650</v>
      </c>
    </row>
    <row r="1392" spans="2:7">
      <c r="B1392" s="105">
        <v>12</v>
      </c>
      <c r="C1392" s="76" t="s">
        <v>3011</v>
      </c>
      <c r="D1392" s="319" t="s">
        <v>1172</v>
      </c>
      <c r="E1392" s="207">
        <v>230</v>
      </c>
      <c r="F1392" s="190">
        <f>'BASIC DATA'!C529</f>
        <v>400</v>
      </c>
      <c r="G1392" s="190">
        <f t="shared" si="29"/>
        <v>92000</v>
      </c>
    </row>
    <row r="1393" spans="2:7">
      <c r="B1393" s="105">
        <v>13</v>
      </c>
      <c r="C1393" s="76" t="s">
        <v>5604</v>
      </c>
      <c r="D1393" s="319" t="s">
        <v>1172</v>
      </c>
      <c r="E1393" s="207">
        <v>4</v>
      </c>
      <c r="F1393" s="190">
        <f>'BASIC DATA'!C468</f>
        <v>515</v>
      </c>
      <c r="G1393" s="190">
        <f t="shared" si="29"/>
        <v>2060</v>
      </c>
    </row>
    <row r="1394" spans="2:7">
      <c r="B1394" s="92"/>
      <c r="C1394" s="193"/>
      <c r="D1394" s="151" t="s">
        <v>1174</v>
      </c>
      <c r="E1394" s="160"/>
      <c r="F1394" s="236" t="s">
        <v>1698</v>
      </c>
      <c r="G1394" s="318">
        <f>SUM(G1381:G1393)</f>
        <v>266178</v>
      </c>
    </row>
    <row r="1395" spans="2:7">
      <c r="B1395" s="101" t="s">
        <v>9422</v>
      </c>
      <c r="C1395" s="361"/>
      <c r="D1395" s="101"/>
      <c r="E1395" s="101"/>
      <c r="F1395" s="361"/>
      <c r="G1395" s="911">
        <f>G1394*30%</f>
        <v>79853.399999999994</v>
      </c>
    </row>
    <row r="1396" spans="2:7">
      <c r="B1396" s="101"/>
      <c r="C1396" s="361" t="s">
        <v>7956</v>
      </c>
      <c r="D1396" s="101"/>
      <c r="E1396" s="101"/>
      <c r="F1396" s="361"/>
      <c r="G1396" s="911">
        <f>SUM(G1395+G1394)</f>
        <v>346031.4</v>
      </c>
    </row>
    <row r="1397" spans="2:7">
      <c r="B1397" s="76"/>
      <c r="C1397" s="200"/>
      <c r="D1397" s="76"/>
      <c r="E1397" s="76"/>
      <c r="F1397" s="200"/>
      <c r="G1397" s="766"/>
    </row>
    <row r="1398" spans="2:7">
      <c r="B1398" s="60" t="s">
        <v>5948</v>
      </c>
      <c r="C1398" s="31"/>
      <c r="D1398" s="31"/>
      <c r="E1398" s="85">
        <f>ROUND(G1396/F1326,1)</f>
        <v>34603.1</v>
      </c>
    </row>
    <row r="1399" spans="2:7">
      <c r="B1399" s="60" t="s">
        <v>3163</v>
      </c>
      <c r="C1399" s="31"/>
      <c r="D1399" s="922">
        <f>'BASIC DATA'!$C$577</f>
        <v>0.13614999999999999</v>
      </c>
      <c r="E1399" s="85">
        <f>ROUND(E1398*D1399,1)</f>
        <v>4711.2</v>
      </c>
    </row>
    <row r="1400" spans="2:7">
      <c r="B1400" s="60" t="s">
        <v>5949</v>
      </c>
      <c r="C1400" s="31"/>
      <c r="D1400" s="31"/>
      <c r="E1400" s="199">
        <f>E1399+E1398</f>
        <v>39314.299999999996</v>
      </c>
    </row>
    <row r="1401" spans="2:7">
      <c r="B1401" s="26"/>
    </row>
    <row r="1402" spans="2:7">
      <c r="B1402" s="170" t="s">
        <v>1175</v>
      </c>
    </row>
    <row r="1403" spans="2:7">
      <c r="B1403" s="26" t="s">
        <v>1176</v>
      </c>
      <c r="F1403" s="171" t="s">
        <v>1698</v>
      </c>
      <c r="G1403" s="68">
        <f>G1354</f>
        <v>647076.36666666658</v>
      </c>
    </row>
    <row r="1404" spans="2:7">
      <c r="B1404" s="26" t="s">
        <v>1186</v>
      </c>
      <c r="F1404" s="171" t="s">
        <v>1698</v>
      </c>
      <c r="G1404" s="68">
        <f>G1376</f>
        <v>129612</v>
      </c>
    </row>
    <row r="1405" spans="2:7">
      <c r="B1405" s="26" t="s">
        <v>2660</v>
      </c>
      <c r="F1405" s="171" t="s">
        <v>1698</v>
      </c>
      <c r="G1405" s="75">
        <f>G1396</f>
        <v>346031.4</v>
      </c>
    </row>
    <row r="1406" spans="2:7">
      <c r="B1406" s="26"/>
      <c r="E1406" s="171" t="s">
        <v>5551</v>
      </c>
      <c r="F1406" s="171" t="s">
        <v>1698</v>
      </c>
      <c r="G1406" s="205">
        <f>SUM(G1403:G1405)</f>
        <v>1122719.7666666666</v>
      </c>
    </row>
    <row r="1407" spans="2:7">
      <c r="B1407" s="26" t="s">
        <v>5087</v>
      </c>
      <c r="E1407" s="693">
        <f>'BASIC DATA'!C593</f>
        <v>0</v>
      </c>
      <c r="F1407" s="171" t="s">
        <v>1698</v>
      </c>
      <c r="G1407" s="68">
        <f>(G1405+G1404)*E1407*0.75</f>
        <v>0</v>
      </c>
    </row>
    <row r="1408" spans="2:7">
      <c r="B1408" s="26" t="s">
        <v>5084</v>
      </c>
      <c r="E1408" s="171" t="s">
        <v>1518</v>
      </c>
      <c r="F1408" s="171" t="s">
        <v>1698</v>
      </c>
      <c r="G1408" s="205">
        <f>G1407+G1406</f>
        <v>1122719.7666666666</v>
      </c>
    </row>
    <row r="1409" spans="1:34">
      <c r="B1409" s="26" t="s">
        <v>5086</v>
      </c>
      <c r="E1409" s="201">
        <f>'BASIC DATA'!C594</f>
        <v>0.03</v>
      </c>
      <c r="F1409" s="171" t="s">
        <v>1698</v>
      </c>
      <c r="G1409" s="75">
        <f>G1408*E1409</f>
        <v>33681.592999999993</v>
      </c>
    </row>
    <row r="1410" spans="1:34">
      <c r="B1410" s="26"/>
      <c r="E1410" s="26" t="s">
        <v>2392</v>
      </c>
      <c r="F1410" s="171" t="s">
        <v>1698</v>
      </c>
      <c r="G1410" s="75">
        <f>G1409+G1408</f>
        <v>1156401.3596666665</v>
      </c>
    </row>
    <row r="1411" spans="1:34" ht="42" customHeight="1">
      <c r="B1411" s="1207" t="s">
        <v>4717</v>
      </c>
      <c r="C1411" s="1207"/>
      <c r="D1411" s="922">
        <f>'BASIC DATA'!$C$577</f>
        <v>0.13614999999999999</v>
      </c>
      <c r="F1411" s="171" t="s">
        <v>1698</v>
      </c>
      <c r="G1411" s="75">
        <f>G1410*D1411</f>
        <v>157444.04511861663</v>
      </c>
      <c r="I1411" s="68"/>
    </row>
    <row r="1412" spans="1:34">
      <c r="B1412" s="26" t="s">
        <v>898</v>
      </c>
    </row>
    <row r="1413" spans="1:34">
      <c r="B1413" s="47" t="s">
        <v>897</v>
      </c>
      <c r="D1413" s="48"/>
      <c r="E1413" s="68">
        <f>leadcharges!F65</f>
        <v>19</v>
      </c>
      <c r="F1413" s="27" t="s">
        <v>1279</v>
      </c>
      <c r="G1413" s="76">
        <f>2*ROUND(E1413*F1326,3)</f>
        <v>380</v>
      </c>
      <c r="AH1413" s="68"/>
    </row>
    <row r="1414" spans="1:34">
      <c r="B1414" s="47" t="s">
        <v>896</v>
      </c>
      <c r="D1414" s="48"/>
      <c r="E1414" s="68">
        <f>leadcharges!$G$79</f>
        <v>74.8</v>
      </c>
      <c r="F1414" s="27" t="s">
        <v>1279</v>
      </c>
      <c r="G1414" s="76">
        <f>2*ROUND(E1414*F1326,3)</f>
        <v>1496</v>
      </c>
    </row>
    <row r="1415" spans="1:34" ht="18.75" thickBot="1">
      <c r="B1415" s="26" t="s">
        <v>5078</v>
      </c>
      <c r="D1415" s="278">
        <f>F1326</f>
        <v>10</v>
      </c>
      <c r="E1415" s="26" t="s">
        <v>3480</v>
      </c>
      <c r="F1415" s="171" t="s">
        <v>1698</v>
      </c>
      <c r="G1415" s="205">
        <f>SUM(G1410:G1414)</f>
        <v>1315721.4047852831</v>
      </c>
    </row>
    <row r="1416" spans="1:34" ht="18.75" thickBot="1">
      <c r="D1416" s="694" t="s">
        <v>3884</v>
      </c>
      <c r="E1416" s="695" t="s">
        <v>3480</v>
      </c>
      <c r="F1416" s="696" t="s">
        <v>1698</v>
      </c>
      <c r="G1416" s="715">
        <f>ROUND(G1415/D1415,1)</f>
        <v>131572.1</v>
      </c>
    </row>
    <row r="1417" spans="1:34">
      <c r="B1417" s="26"/>
      <c r="C1417" s="78"/>
    </row>
    <row r="1418" spans="1:34">
      <c r="B1418" s="26"/>
      <c r="E1418" s="33"/>
      <c r="F1418" s="31"/>
      <c r="G1418" s="33"/>
      <c r="H1418" s="171"/>
    </row>
    <row r="1419" spans="1:34">
      <c r="B1419" s="314" t="s">
        <v>2881</v>
      </c>
    </row>
    <row r="1420" spans="1:34" ht="18.75">
      <c r="A1420" s="822" t="s">
        <v>7172</v>
      </c>
      <c r="B1420" s="26" t="s">
        <v>9050</v>
      </c>
    </row>
    <row r="1421" spans="1:34">
      <c r="B1421" s="26" t="s">
        <v>9051</v>
      </c>
    </row>
    <row r="1422" spans="1:34">
      <c r="B1422" s="26" t="s">
        <v>842</v>
      </c>
    </row>
    <row r="1423" spans="1:34">
      <c r="B1423" s="26" t="s">
        <v>2882</v>
      </c>
    </row>
    <row r="1424" spans="1:34">
      <c r="B1424" s="26" t="s">
        <v>1653</v>
      </c>
    </row>
    <row r="1425" spans="1:7">
      <c r="B1425" s="26" t="s">
        <v>538</v>
      </c>
      <c r="E1425" s="322"/>
    </row>
    <row r="1426" spans="1:7">
      <c r="B1426" s="26" t="s">
        <v>3549</v>
      </c>
      <c r="E1426" s="322"/>
    </row>
    <row r="1427" spans="1:7">
      <c r="B1427" s="26"/>
    </row>
    <row r="1428" spans="1:7" hidden="1">
      <c r="A1428" s="865" t="s">
        <v>3984</v>
      </c>
      <c r="B1428" s="26" t="s">
        <v>4224</v>
      </c>
    </row>
    <row r="1429" spans="1:7" hidden="1">
      <c r="B1429" s="26" t="s">
        <v>2512</v>
      </c>
    </row>
    <row r="1430" spans="1:7" hidden="1">
      <c r="B1430" s="26" t="s">
        <v>2513</v>
      </c>
    </row>
    <row r="1431" spans="1:7" hidden="1">
      <c r="B1431" s="26" t="s">
        <v>6870</v>
      </c>
    </row>
    <row r="1432" spans="1:7" hidden="1">
      <c r="B1432" s="26" t="s">
        <v>6871</v>
      </c>
    </row>
    <row r="1433" spans="1:7" hidden="1">
      <c r="B1433" s="26"/>
    </row>
    <row r="1434" spans="1:7" hidden="1">
      <c r="B1434" s="26" t="s">
        <v>6872</v>
      </c>
      <c r="D1434" s="26" t="s">
        <v>1697</v>
      </c>
    </row>
    <row r="1435" spans="1:7" hidden="1">
      <c r="B1435" s="26" t="s">
        <v>6873</v>
      </c>
      <c r="D1435" s="26" t="s">
        <v>1697</v>
      </c>
      <c r="E1435" s="278">
        <v>25</v>
      </c>
      <c r="F1435" s="26" t="s">
        <v>45</v>
      </c>
    </row>
    <row r="1436" spans="1:7" hidden="1">
      <c r="B1436" s="26" t="s">
        <v>1654</v>
      </c>
      <c r="E1436" s="322" t="s">
        <v>1697</v>
      </c>
      <c r="F1436" s="26">
        <v>6.2430000000000003</v>
      </c>
      <c r="G1436" s="26" t="s">
        <v>2710</v>
      </c>
    </row>
    <row r="1437" spans="1:7" hidden="1">
      <c r="B1437" s="26" t="s">
        <v>240</v>
      </c>
    </row>
    <row r="1438" spans="1:7" hidden="1">
      <c r="A1438" s="865">
        <v>1</v>
      </c>
      <c r="B1438" s="26" t="s">
        <v>5780</v>
      </c>
    </row>
    <row r="1439" spans="1:7" hidden="1">
      <c r="A1439" s="870" t="s">
        <v>1535</v>
      </c>
      <c r="B1439" s="26" t="s">
        <v>241</v>
      </c>
    </row>
    <row r="1440" spans="1:7" hidden="1">
      <c r="A1440" s="870"/>
      <c r="B1440" s="26" t="s">
        <v>5966</v>
      </c>
      <c r="E1440" s="322" t="s">
        <v>1697</v>
      </c>
      <c r="F1440" s="26">
        <v>1487</v>
      </c>
      <c r="G1440" s="26" t="s">
        <v>3478</v>
      </c>
    </row>
    <row r="1441" spans="1:7" hidden="1">
      <c r="A1441" s="870"/>
      <c r="B1441" s="26" t="s">
        <v>5967</v>
      </c>
      <c r="E1441" s="322" t="s">
        <v>1697</v>
      </c>
      <c r="F1441" s="26">
        <v>402</v>
      </c>
      <c r="G1441" s="26" t="s">
        <v>3478</v>
      </c>
    </row>
    <row r="1442" spans="1:7" hidden="1">
      <c r="A1442" s="870"/>
      <c r="B1442" s="26" t="s">
        <v>2329</v>
      </c>
      <c r="E1442" s="322" t="s">
        <v>1697</v>
      </c>
      <c r="F1442" s="26">
        <v>290</v>
      </c>
      <c r="G1442" s="26" t="s">
        <v>3478</v>
      </c>
    </row>
    <row r="1443" spans="1:7" hidden="1">
      <c r="A1443" s="870" t="s">
        <v>5400</v>
      </c>
      <c r="B1443" s="26" t="s">
        <v>5165</v>
      </c>
      <c r="E1443" s="322"/>
    </row>
    <row r="1444" spans="1:7" hidden="1">
      <c r="A1444" s="870"/>
      <c r="B1444" s="26" t="s">
        <v>4987</v>
      </c>
      <c r="E1444" s="322" t="s">
        <v>1697</v>
      </c>
      <c r="F1444" s="26">
        <v>1926</v>
      </c>
      <c r="G1444" s="26" t="s">
        <v>3478</v>
      </c>
    </row>
    <row r="1445" spans="1:7" hidden="1">
      <c r="A1445" s="870"/>
      <c r="B1445" s="26" t="s">
        <v>5969</v>
      </c>
      <c r="E1445" s="322" t="s">
        <v>1697</v>
      </c>
      <c r="F1445" s="26">
        <v>79</v>
      </c>
      <c r="G1445" s="26" t="s">
        <v>3478</v>
      </c>
    </row>
    <row r="1446" spans="1:7" hidden="1">
      <c r="A1446" s="870"/>
      <c r="B1446" s="26" t="s">
        <v>6874</v>
      </c>
      <c r="E1446" s="322" t="s">
        <v>1697</v>
      </c>
      <c r="F1446" s="26">
        <v>306</v>
      </c>
      <c r="G1446" s="26" t="s">
        <v>3478</v>
      </c>
    </row>
    <row r="1447" spans="1:7" hidden="1">
      <c r="A1447" s="870"/>
      <c r="B1447" s="26" t="s">
        <v>5971</v>
      </c>
      <c r="E1447" s="322" t="s">
        <v>1697</v>
      </c>
      <c r="F1447" s="26">
        <v>72</v>
      </c>
      <c r="G1447" s="26" t="s">
        <v>3478</v>
      </c>
    </row>
    <row r="1448" spans="1:7" hidden="1">
      <c r="A1448" s="870" t="s">
        <v>5401</v>
      </c>
      <c r="B1448" s="26" t="s">
        <v>6875</v>
      </c>
      <c r="E1448" s="322"/>
    </row>
    <row r="1449" spans="1:7" hidden="1">
      <c r="A1449" s="870"/>
      <c r="B1449" s="26" t="s">
        <v>4772</v>
      </c>
      <c r="E1449" s="322" t="s">
        <v>1697</v>
      </c>
      <c r="F1449" s="26">
        <v>346</v>
      </c>
      <c r="G1449" s="26" t="s">
        <v>3478</v>
      </c>
    </row>
    <row r="1450" spans="1:7" hidden="1">
      <c r="A1450" s="870"/>
      <c r="B1450" s="26" t="s">
        <v>4773</v>
      </c>
      <c r="E1450" s="322" t="s">
        <v>1697</v>
      </c>
      <c r="F1450" s="26">
        <v>73</v>
      </c>
      <c r="G1450" s="26" t="s">
        <v>3478</v>
      </c>
    </row>
    <row r="1451" spans="1:7" hidden="1">
      <c r="A1451" s="870" t="s">
        <v>1696</v>
      </c>
      <c r="B1451" s="26" t="s">
        <v>6988</v>
      </c>
      <c r="E1451" s="322"/>
    </row>
    <row r="1452" spans="1:7" hidden="1">
      <c r="A1452" s="870"/>
      <c r="B1452" s="26" t="s">
        <v>6989</v>
      </c>
      <c r="E1452" s="322" t="s">
        <v>1697</v>
      </c>
      <c r="F1452" s="26">
        <v>57</v>
      </c>
      <c r="G1452" s="26" t="s">
        <v>3478</v>
      </c>
    </row>
    <row r="1453" spans="1:7" hidden="1">
      <c r="A1453" s="870" t="s">
        <v>5082</v>
      </c>
      <c r="B1453" s="26" t="s">
        <v>5128</v>
      </c>
      <c r="E1453" s="322"/>
    </row>
    <row r="1454" spans="1:7" hidden="1">
      <c r="A1454" s="870"/>
      <c r="B1454" s="26" t="s">
        <v>3606</v>
      </c>
      <c r="E1454" s="322" t="s">
        <v>1697</v>
      </c>
      <c r="F1454" s="26">
        <v>32</v>
      </c>
      <c r="G1454" s="26" t="s">
        <v>3478</v>
      </c>
    </row>
    <row r="1455" spans="1:7" hidden="1">
      <c r="A1455" s="870" t="s">
        <v>2408</v>
      </c>
      <c r="B1455" s="26" t="s">
        <v>6876</v>
      </c>
      <c r="E1455" s="322"/>
    </row>
    <row r="1456" spans="1:7" hidden="1">
      <c r="A1456" s="870"/>
      <c r="B1456" s="26" t="s">
        <v>694</v>
      </c>
      <c r="E1456" s="322" t="s">
        <v>1697</v>
      </c>
      <c r="F1456" s="26">
        <v>325</v>
      </c>
      <c r="G1456" s="26" t="s">
        <v>3478</v>
      </c>
    </row>
    <row r="1457" spans="1:7" hidden="1">
      <c r="A1457" s="870" t="s">
        <v>2410</v>
      </c>
      <c r="B1457" s="26" t="s">
        <v>1705</v>
      </c>
      <c r="E1457" s="322"/>
    </row>
    <row r="1458" spans="1:7" hidden="1">
      <c r="A1458" s="870"/>
      <c r="B1458" s="26" t="s">
        <v>5979</v>
      </c>
      <c r="E1458" s="322" t="s">
        <v>1697</v>
      </c>
      <c r="F1458" s="26">
        <v>1</v>
      </c>
      <c r="G1458" s="26" t="s">
        <v>4089</v>
      </c>
    </row>
    <row r="1459" spans="1:7" hidden="1">
      <c r="A1459" s="870"/>
      <c r="B1459" s="26" t="s">
        <v>1707</v>
      </c>
      <c r="E1459" s="322" t="s">
        <v>1697</v>
      </c>
      <c r="F1459" s="26">
        <v>1</v>
      </c>
      <c r="G1459" s="26" t="s">
        <v>4089</v>
      </c>
    </row>
    <row r="1460" spans="1:7" hidden="1">
      <c r="A1460" s="870"/>
      <c r="B1460" s="26" t="s">
        <v>5752</v>
      </c>
      <c r="E1460" s="322" t="s">
        <v>1697</v>
      </c>
      <c r="F1460" s="26">
        <v>1</v>
      </c>
      <c r="G1460" s="26" t="s">
        <v>4089</v>
      </c>
    </row>
    <row r="1461" spans="1:7" hidden="1">
      <c r="A1461" s="870"/>
      <c r="B1461" s="26" t="s">
        <v>6185</v>
      </c>
      <c r="E1461" s="322" t="s">
        <v>1697</v>
      </c>
      <c r="F1461" s="26">
        <v>1</v>
      </c>
      <c r="G1461" s="26" t="s">
        <v>4089</v>
      </c>
    </row>
    <row r="1462" spans="1:7" hidden="1">
      <c r="A1462" s="870"/>
      <c r="B1462" s="26" t="s">
        <v>6186</v>
      </c>
      <c r="E1462" s="322" t="s">
        <v>1697</v>
      </c>
      <c r="F1462" s="26">
        <v>1</v>
      </c>
      <c r="G1462" s="26" t="s">
        <v>4089</v>
      </c>
    </row>
    <row r="1463" spans="1:7" hidden="1">
      <c r="A1463" s="870"/>
      <c r="B1463" s="26" t="s">
        <v>6400</v>
      </c>
      <c r="E1463" s="322" t="s">
        <v>1697</v>
      </c>
      <c r="F1463" s="26">
        <v>1</v>
      </c>
      <c r="G1463" s="26" t="s">
        <v>6927</v>
      </c>
    </row>
    <row r="1464" spans="1:7" hidden="1">
      <c r="A1464" s="870" t="s">
        <v>6401</v>
      </c>
      <c r="B1464" s="26" t="s">
        <v>1195</v>
      </c>
      <c r="E1464" s="322"/>
    </row>
    <row r="1465" spans="1:7" hidden="1">
      <c r="A1465" s="870"/>
      <c r="B1465" s="26" t="s">
        <v>517</v>
      </c>
      <c r="E1465" s="322" t="s">
        <v>1697</v>
      </c>
      <c r="F1465" s="26">
        <v>80</v>
      </c>
      <c r="G1465" s="26" t="s">
        <v>2059</v>
      </c>
    </row>
    <row r="1466" spans="1:7" hidden="1">
      <c r="B1466" s="26" t="s">
        <v>519</v>
      </c>
      <c r="E1466" s="322" t="s">
        <v>1697</v>
      </c>
      <c r="F1466" s="26">
        <v>720</v>
      </c>
      <c r="G1466" s="26" t="s">
        <v>2059</v>
      </c>
    </row>
    <row r="1467" spans="1:7" hidden="1">
      <c r="A1467" s="865">
        <v>2</v>
      </c>
      <c r="B1467" s="26" t="s">
        <v>2281</v>
      </c>
      <c r="E1467" s="322"/>
    </row>
    <row r="1468" spans="1:7" hidden="1">
      <c r="B1468" s="26" t="s">
        <v>4962</v>
      </c>
      <c r="E1468" s="322" t="s">
        <v>1697</v>
      </c>
      <c r="F1468" s="26">
        <v>57</v>
      </c>
      <c r="G1468" s="26" t="s">
        <v>3483</v>
      </c>
    </row>
    <row r="1469" spans="1:7" hidden="1">
      <c r="B1469" s="26" t="s">
        <v>2985</v>
      </c>
      <c r="E1469" s="322" t="s">
        <v>1697</v>
      </c>
      <c r="F1469" s="174">
        <v>6</v>
      </c>
      <c r="G1469" s="26" t="s">
        <v>3483</v>
      </c>
    </row>
    <row r="1470" spans="1:7" hidden="1">
      <c r="B1470" s="26"/>
      <c r="D1470" s="171" t="s">
        <v>1518</v>
      </c>
      <c r="E1470" s="322" t="s">
        <v>1697</v>
      </c>
      <c r="F1470" s="26">
        <v>63</v>
      </c>
      <c r="G1470" s="26" t="s">
        <v>3483</v>
      </c>
    </row>
    <row r="1471" spans="1:7" hidden="1">
      <c r="B1471" s="26" t="s">
        <v>165</v>
      </c>
      <c r="E1471" s="322"/>
    </row>
    <row r="1472" spans="1:7" hidden="1">
      <c r="B1472" s="26" t="s">
        <v>3532</v>
      </c>
      <c r="E1472" s="322" t="s">
        <v>1697</v>
      </c>
      <c r="F1472" s="26">
        <v>26</v>
      </c>
      <c r="G1472" s="26" t="s">
        <v>2602</v>
      </c>
    </row>
    <row r="1473" spans="1:7" hidden="1">
      <c r="B1473" s="26" t="s">
        <v>3533</v>
      </c>
      <c r="E1473" s="322" t="s">
        <v>1697</v>
      </c>
      <c r="F1473" s="26">
        <v>37</v>
      </c>
      <c r="G1473" s="26" t="s">
        <v>2602</v>
      </c>
    </row>
    <row r="1474" spans="1:7" hidden="1">
      <c r="B1474" s="26" t="s">
        <v>2278</v>
      </c>
      <c r="E1474" s="322" t="s">
        <v>1697</v>
      </c>
      <c r="F1474" s="26">
        <v>13</v>
      </c>
      <c r="G1474" s="26" t="s">
        <v>4665</v>
      </c>
    </row>
    <row r="1475" spans="1:7" hidden="1">
      <c r="B1475" s="26" t="s">
        <v>2279</v>
      </c>
      <c r="E1475" s="322" t="s">
        <v>1697</v>
      </c>
      <c r="F1475" s="26">
        <v>12</v>
      </c>
      <c r="G1475" s="26" t="s">
        <v>4665</v>
      </c>
    </row>
    <row r="1476" spans="1:7" hidden="1">
      <c r="B1476" s="26" t="s">
        <v>4062</v>
      </c>
      <c r="E1476" s="322" t="s">
        <v>1697</v>
      </c>
      <c r="F1476" s="26">
        <v>15</v>
      </c>
      <c r="G1476" s="26" t="s">
        <v>3477</v>
      </c>
    </row>
    <row r="1477" spans="1:7" hidden="1">
      <c r="B1477" s="26" t="s">
        <v>4063</v>
      </c>
      <c r="E1477" s="322" t="s">
        <v>1697</v>
      </c>
      <c r="F1477" s="26">
        <v>45</v>
      </c>
      <c r="G1477" s="26" t="s">
        <v>3477</v>
      </c>
    </row>
    <row r="1478" spans="1:7" hidden="1">
      <c r="B1478" s="26" t="s">
        <v>4862</v>
      </c>
      <c r="E1478" s="322" t="s">
        <v>1697</v>
      </c>
      <c r="F1478" s="26">
        <v>16</v>
      </c>
      <c r="G1478" s="26" t="s">
        <v>4665</v>
      </c>
    </row>
    <row r="1479" spans="1:7" hidden="1">
      <c r="B1479" s="26" t="s">
        <v>6773</v>
      </c>
      <c r="E1479" s="322" t="s">
        <v>1697</v>
      </c>
      <c r="F1479" s="26">
        <v>15</v>
      </c>
      <c r="G1479" s="26" t="s">
        <v>4665</v>
      </c>
    </row>
    <row r="1480" spans="1:7" hidden="1">
      <c r="A1480" s="865">
        <v>3</v>
      </c>
      <c r="B1480" s="26" t="s">
        <v>4651</v>
      </c>
      <c r="E1480" s="322"/>
    </row>
    <row r="1481" spans="1:7" hidden="1">
      <c r="B1481" s="26" t="s">
        <v>2504</v>
      </c>
      <c r="E1481" s="322" t="s">
        <v>1697</v>
      </c>
      <c r="F1481" s="26">
        <v>97</v>
      </c>
      <c r="G1481" s="26" t="s">
        <v>3483</v>
      </c>
    </row>
    <row r="1482" spans="1:7" hidden="1">
      <c r="B1482" s="26" t="s">
        <v>5723</v>
      </c>
      <c r="E1482" s="322"/>
    </row>
    <row r="1483" spans="1:7" hidden="1">
      <c r="B1483" s="26"/>
      <c r="C1483" s="26" t="s">
        <v>6774</v>
      </c>
      <c r="E1483" s="322" t="s">
        <v>1697</v>
      </c>
      <c r="F1483" s="26">
        <v>21</v>
      </c>
      <c r="G1483" s="26" t="s">
        <v>4665</v>
      </c>
    </row>
    <row r="1484" spans="1:7" hidden="1">
      <c r="B1484" s="26" t="s">
        <v>1913</v>
      </c>
      <c r="E1484" s="322"/>
    </row>
    <row r="1485" spans="1:7" hidden="1">
      <c r="B1485" s="26"/>
      <c r="C1485" s="26" t="s">
        <v>6775</v>
      </c>
      <c r="E1485" s="322" t="s">
        <v>1697</v>
      </c>
      <c r="F1485" s="26">
        <v>64</v>
      </c>
      <c r="G1485" s="26" t="s">
        <v>4665</v>
      </c>
    </row>
    <row r="1486" spans="1:7" hidden="1">
      <c r="B1486" s="26"/>
      <c r="D1486" s="171" t="s">
        <v>1518</v>
      </c>
      <c r="E1486" s="322" t="s">
        <v>1697</v>
      </c>
      <c r="F1486" s="26">
        <v>85</v>
      </c>
      <c r="G1486" s="26" t="s">
        <v>4665</v>
      </c>
    </row>
    <row r="1487" spans="1:7" hidden="1">
      <c r="B1487" s="26" t="s">
        <v>6776</v>
      </c>
      <c r="E1487" s="322"/>
    </row>
    <row r="1488" spans="1:7" hidden="1">
      <c r="B1488" s="26" t="s">
        <v>2657</v>
      </c>
      <c r="E1488" s="322"/>
    </row>
    <row r="1489" spans="1:7" hidden="1">
      <c r="B1489" s="26"/>
      <c r="E1489" s="322"/>
    </row>
    <row r="1490" spans="1:7" hidden="1">
      <c r="A1490" s="865">
        <v>4</v>
      </c>
      <c r="B1490" s="26" t="s">
        <v>4249</v>
      </c>
    </row>
    <row r="1491" spans="1:7" hidden="1">
      <c r="B1491" s="26" t="s">
        <v>1818</v>
      </c>
    </row>
    <row r="1492" spans="1:7" hidden="1">
      <c r="B1492" s="26" t="s">
        <v>6777</v>
      </c>
    </row>
    <row r="1493" spans="1:7" hidden="1">
      <c r="B1493" s="26" t="s">
        <v>6778</v>
      </c>
    </row>
    <row r="1494" spans="1:7" hidden="1">
      <c r="B1494" s="26" t="s">
        <v>1887</v>
      </c>
    </row>
    <row r="1495" spans="1:7" hidden="1">
      <c r="B1495" s="26" t="s">
        <v>2832</v>
      </c>
    </row>
    <row r="1496" spans="1:7" hidden="1">
      <c r="B1496" s="26"/>
    </row>
    <row r="1497" spans="1:7" hidden="1">
      <c r="A1497" s="865">
        <v>5</v>
      </c>
      <c r="B1497" s="31" t="s">
        <v>4900</v>
      </c>
      <c r="C1497" s="31"/>
      <c r="D1497" s="31"/>
      <c r="E1497" s="31"/>
      <c r="F1497" s="31"/>
    </row>
    <row r="1498" spans="1:7" hidden="1">
      <c r="B1498" s="1268" t="s">
        <v>4901</v>
      </c>
      <c r="C1498" s="1268"/>
      <c r="D1498" s="38" t="s">
        <v>2468</v>
      </c>
      <c r="E1498" s="38" t="s">
        <v>4902</v>
      </c>
      <c r="F1498" s="38" t="s">
        <v>4903</v>
      </c>
      <c r="G1498" s="38" t="s">
        <v>6199</v>
      </c>
    </row>
    <row r="1499" spans="1:7" hidden="1">
      <c r="B1499" s="1268"/>
      <c r="C1499" s="1268"/>
      <c r="D1499" s="38"/>
      <c r="E1499" s="38" t="s">
        <v>4904</v>
      </c>
      <c r="F1499" s="38" t="s">
        <v>4905</v>
      </c>
      <c r="G1499" s="38"/>
    </row>
    <row r="1500" spans="1:7" hidden="1">
      <c r="B1500" s="1268"/>
      <c r="C1500" s="1268"/>
      <c r="D1500" s="38"/>
      <c r="E1500" s="38" t="s">
        <v>6307</v>
      </c>
      <c r="F1500" s="36"/>
      <c r="G1500" s="38"/>
    </row>
    <row r="1501" spans="1:7" hidden="1">
      <c r="B1501" s="38" t="s">
        <v>6779</v>
      </c>
      <c r="C1501" s="38"/>
      <c r="D1501" s="36">
        <v>2</v>
      </c>
      <c r="E1501" s="36">
        <v>4</v>
      </c>
      <c r="F1501" s="36">
        <v>4</v>
      </c>
      <c r="G1501" s="36">
        <v>8</v>
      </c>
    </row>
    <row r="1502" spans="1:7" hidden="1">
      <c r="B1502" s="38" t="s">
        <v>6780</v>
      </c>
      <c r="C1502" s="38"/>
      <c r="D1502" s="36">
        <v>1</v>
      </c>
      <c r="E1502" s="36">
        <v>3</v>
      </c>
      <c r="F1502" s="36" t="s">
        <v>5854</v>
      </c>
      <c r="G1502" s="36">
        <v>6</v>
      </c>
    </row>
    <row r="1503" spans="1:7" hidden="1">
      <c r="B1503" s="38" t="s">
        <v>6781</v>
      </c>
      <c r="C1503" s="38"/>
      <c r="D1503" s="36">
        <v>1</v>
      </c>
      <c r="E1503" s="36" t="s">
        <v>5854</v>
      </c>
      <c r="F1503" s="36">
        <v>8</v>
      </c>
      <c r="G1503" s="36">
        <v>8</v>
      </c>
    </row>
    <row r="1504" spans="1:7" hidden="1">
      <c r="B1504" s="38" t="s">
        <v>3268</v>
      </c>
      <c r="C1504" s="38"/>
      <c r="D1504" s="36">
        <v>1</v>
      </c>
      <c r="E1504" s="36">
        <v>1</v>
      </c>
      <c r="F1504" s="36" t="s">
        <v>5854</v>
      </c>
      <c r="G1504" s="36">
        <v>2</v>
      </c>
    </row>
    <row r="1505" spans="1:7" hidden="1">
      <c r="B1505" s="38" t="s">
        <v>6782</v>
      </c>
      <c r="C1505" s="38"/>
      <c r="D1505" s="36">
        <v>1</v>
      </c>
      <c r="E1505" s="36">
        <v>1</v>
      </c>
      <c r="F1505" s="36" t="s">
        <v>5854</v>
      </c>
      <c r="G1505" s="36">
        <v>2</v>
      </c>
    </row>
    <row r="1506" spans="1:7" hidden="1">
      <c r="B1506" s="38" t="s">
        <v>6783</v>
      </c>
      <c r="C1506" s="38"/>
      <c r="D1506" s="36">
        <v>1</v>
      </c>
      <c r="E1506" s="36">
        <v>2</v>
      </c>
      <c r="F1506" s="36" t="s">
        <v>5854</v>
      </c>
      <c r="G1506" s="36">
        <v>4</v>
      </c>
    </row>
    <row r="1507" spans="1:7" hidden="1">
      <c r="B1507" s="38" t="s">
        <v>6784</v>
      </c>
      <c r="C1507" s="38"/>
      <c r="D1507" s="36">
        <v>1</v>
      </c>
      <c r="E1507" s="36">
        <v>1</v>
      </c>
      <c r="F1507" s="36" t="s">
        <v>5854</v>
      </c>
      <c r="G1507" s="36">
        <v>2</v>
      </c>
    </row>
    <row r="1508" spans="1:7" hidden="1">
      <c r="B1508" s="38" t="s">
        <v>3271</v>
      </c>
      <c r="C1508" s="38"/>
      <c r="D1508" s="36">
        <v>1</v>
      </c>
      <c r="E1508" s="36">
        <v>1</v>
      </c>
      <c r="F1508" s="36" t="s">
        <v>5854</v>
      </c>
      <c r="G1508" s="36">
        <v>2</v>
      </c>
    </row>
    <row r="1509" spans="1:7" hidden="1">
      <c r="B1509" s="38" t="s">
        <v>2961</v>
      </c>
      <c r="C1509" s="38"/>
      <c r="D1509" s="36">
        <v>1</v>
      </c>
      <c r="E1509" s="36">
        <v>1</v>
      </c>
      <c r="F1509" s="36" t="s">
        <v>5854</v>
      </c>
      <c r="G1509" s="36">
        <v>2</v>
      </c>
    </row>
    <row r="1510" spans="1:7" hidden="1">
      <c r="B1510" s="38" t="s">
        <v>2962</v>
      </c>
      <c r="C1510" s="38"/>
      <c r="D1510" s="36">
        <v>1</v>
      </c>
      <c r="E1510" s="36">
        <v>1</v>
      </c>
      <c r="F1510" s="36" t="s">
        <v>5854</v>
      </c>
      <c r="G1510" s="36">
        <v>1</v>
      </c>
    </row>
    <row r="1511" spans="1:7" hidden="1">
      <c r="B1511" s="38" t="s">
        <v>3986</v>
      </c>
      <c r="C1511" s="38"/>
      <c r="D1511" s="36">
        <v>1</v>
      </c>
      <c r="E1511" s="36">
        <v>1</v>
      </c>
      <c r="F1511" s="36" t="s">
        <v>5854</v>
      </c>
      <c r="G1511" s="36">
        <v>2</v>
      </c>
    </row>
    <row r="1512" spans="1:7" hidden="1">
      <c r="B1512" s="38" t="s">
        <v>2964</v>
      </c>
      <c r="C1512" s="38"/>
      <c r="D1512" s="36">
        <v>1</v>
      </c>
      <c r="E1512" s="36">
        <v>1</v>
      </c>
      <c r="F1512" s="36" t="s">
        <v>5854</v>
      </c>
      <c r="G1512" s="36">
        <v>2</v>
      </c>
    </row>
    <row r="1513" spans="1:7" hidden="1">
      <c r="B1513" s="38" t="s">
        <v>3987</v>
      </c>
      <c r="C1513" s="38"/>
      <c r="D1513" s="36">
        <v>1</v>
      </c>
      <c r="E1513" s="36">
        <v>1</v>
      </c>
      <c r="F1513" s="36" t="s">
        <v>5854</v>
      </c>
      <c r="G1513" s="36">
        <v>2</v>
      </c>
    </row>
    <row r="1514" spans="1:7" hidden="1">
      <c r="B1514" s="38" t="s">
        <v>1691</v>
      </c>
      <c r="C1514" s="38"/>
      <c r="D1514" s="36">
        <v>1</v>
      </c>
      <c r="E1514" s="36">
        <v>1</v>
      </c>
      <c r="F1514" s="36" t="s">
        <v>5854</v>
      </c>
      <c r="G1514" s="36">
        <v>1</v>
      </c>
    </row>
    <row r="1515" spans="1:7" hidden="1">
      <c r="B1515" s="36" t="s">
        <v>2656</v>
      </c>
      <c r="C1515" s="36"/>
      <c r="D1515" s="36">
        <f>SUM(D1501:D1514)</f>
        <v>15</v>
      </c>
      <c r="E1515" s="36">
        <f>SUM(E1501:E1514)</f>
        <v>19</v>
      </c>
      <c r="F1515" s="36">
        <f>SUM(F1501:F1514)</f>
        <v>12</v>
      </c>
      <c r="G1515" s="36">
        <f>SUM(G1501:G1514)</f>
        <v>44</v>
      </c>
    </row>
    <row r="1516" spans="1:7" hidden="1">
      <c r="A1516" s="865">
        <v>6</v>
      </c>
      <c r="B1516" s="26" t="s">
        <v>673</v>
      </c>
    </row>
    <row r="1517" spans="1:7" hidden="1">
      <c r="B1517" s="26" t="s">
        <v>6017</v>
      </c>
    </row>
    <row r="1518" spans="1:7" hidden="1">
      <c r="B1518" s="26" t="s">
        <v>2385</v>
      </c>
    </row>
    <row r="1519" spans="1:7" hidden="1">
      <c r="B1519" s="26" t="s">
        <v>4751</v>
      </c>
    </row>
    <row r="1520" spans="1:7" hidden="1">
      <c r="A1520" s="865">
        <v>7</v>
      </c>
      <c r="B1520" s="26" t="s">
        <v>2366</v>
      </c>
    </row>
    <row r="1521" spans="1:7" hidden="1">
      <c r="B1521" s="26" t="s">
        <v>1241</v>
      </c>
      <c r="C1521" s="68">
        <f>'BASIC DATA'!D373</f>
        <v>7800</v>
      </c>
      <c r="D1521" s="26" t="s">
        <v>2290</v>
      </c>
      <c r="E1521" s="315" t="s">
        <v>1698</v>
      </c>
      <c r="F1521" s="68">
        <f>C1521</f>
        <v>7800</v>
      </c>
    </row>
    <row r="1522" spans="1:7" hidden="1">
      <c r="B1522" s="26" t="s">
        <v>3231</v>
      </c>
      <c r="E1522" s="322" t="s">
        <v>1697</v>
      </c>
      <c r="F1522" s="316">
        <v>1000</v>
      </c>
      <c r="G1522" s="26" t="s">
        <v>4665</v>
      </c>
    </row>
    <row r="1523" spans="1:7" hidden="1">
      <c r="B1523" s="26" t="s">
        <v>3232</v>
      </c>
      <c r="C1523" s="26" t="s">
        <v>7593</v>
      </c>
      <c r="E1523" s="315" t="s">
        <v>1698</v>
      </c>
      <c r="F1523" s="68">
        <f>F1521/F1522</f>
        <v>7.8</v>
      </c>
    </row>
    <row r="1524" spans="1:7" hidden="1">
      <c r="B1524" s="26" t="s">
        <v>6898</v>
      </c>
      <c r="C1524" s="68">
        <f>'BASIC DATA'!D371</f>
        <v>14500</v>
      </c>
      <c r="D1524" s="26" t="s">
        <v>2290</v>
      </c>
      <c r="E1524" s="315" t="s">
        <v>1698</v>
      </c>
      <c r="F1524" s="68">
        <f>C1524</f>
        <v>14500</v>
      </c>
    </row>
    <row r="1525" spans="1:7" hidden="1">
      <c r="B1525" s="26" t="s">
        <v>5868</v>
      </c>
      <c r="E1525" s="322" t="s">
        <v>1697</v>
      </c>
      <c r="F1525" s="316">
        <v>600</v>
      </c>
      <c r="G1525" s="26" t="s">
        <v>4665</v>
      </c>
    </row>
    <row r="1526" spans="1:7" hidden="1">
      <c r="B1526" s="26" t="s">
        <v>3234</v>
      </c>
      <c r="C1526" s="26" t="s">
        <v>7593</v>
      </c>
      <c r="E1526" s="315" t="s">
        <v>1698</v>
      </c>
      <c r="F1526" s="68">
        <f>F1524/F1525</f>
        <v>24.166666666666668</v>
      </c>
    </row>
    <row r="1527" spans="1:7">
      <c r="A1527" s="865" t="s">
        <v>3984</v>
      </c>
    </row>
    <row r="1528" spans="1:7">
      <c r="C1528" s="203" t="s">
        <v>2367</v>
      </c>
      <c r="E1528" s="171" t="s">
        <v>297</v>
      </c>
      <c r="F1528" s="692">
        <v>6.2430000000000003</v>
      </c>
      <c r="G1528" s="26" t="s">
        <v>4768</v>
      </c>
    </row>
    <row r="1529" spans="1:7">
      <c r="B1529" s="79" t="s">
        <v>2368</v>
      </c>
      <c r="F1529" s="718">
        <v>25</v>
      </c>
      <c r="G1529" s="26" t="s">
        <v>4769</v>
      </c>
    </row>
    <row r="1530" spans="1:7">
      <c r="B1530" s="95" t="s">
        <v>2369</v>
      </c>
      <c r="C1530" s="157" t="s">
        <v>6374</v>
      </c>
      <c r="D1530" s="95" t="s">
        <v>2370</v>
      </c>
      <c r="E1530" s="95" t="s">
        <v>1166</v>
      </c>
      <c r="F1530" s="95" t="s">
        <v>2371</v>
      </c>
      <c r="G1530" s="95" t="s">
        <v>2372</v>
      </c>
    </row>
    <row r="1531" spans="1:7">
      <c r="B1531" s="114"/>
      <c r="C1531" s="154"/>
      <c r="D1531" s="114"/>
      <c r="E1531" s="114"/>
      <c r="F1531" s="114" t="s">
        <v>3485</v>
      </c>
      <c r="G1531" s="114" t="s">
        <v>3485</v>
      </c>
    </row>
    <row r="1532" spans="1:7">
      <c r="B1532" s="95">
        <v>1</v>
      </c>
      <c r="C1532" s="135" t="s">
        <v>4770</v>
      </c>
      <c r="D1532" s="451"/>
      <c r="E1532" s="190"/>
      <c r="F1532" s="214"/>
      <c r="G1532" s="190"/>
    </row>
    <row r="1533" spans="1:7">
      <c r="B1533" s="317"/>
      <c r="C1533" s="135" t="s">
        <v>4915</v>
      </c>
      <c r="D1533" s="319" t="s">
        <v>3478</v>
      </c>
      <c r="E1533" s="190">
        <v>1487</v>
      </c>
      <c r="F1533" s="214">
        <f>'BASIC DATA'!D97/1000</f>
        <v>37.5</v>
      </c>
      <c r="G1533" s="190">
        <f>E1533*F1533</f>
        <v>55762.5</v>
      </c>
    </row>
    <row r="1534" spans="1:7">
      <c r="B1534" s="317"/>
      <c r="C1534" s="135" t="s">
        <v>4916</v>
      </c>
      <c r="D1534" s="319" t="s">
        <v>3478</v>
      </c>
      <c r="E1534" s="190">
        <v>402</v>
      </c>
      <c r="F1534" s="214">
        <f>'BASIC DATA'!D98/1000</f>
        <v>37.4</v>
      </c>
      <c r="G1534" s="190">
        <f t="shared" ref="G1534:G1561" si="30">E1534*F1534</f>
        <v>15034.8</v>
      </c>
    </row>
    <row r="1535" spans="1:7">
      <c r="B1535" s="317"/>
      <c r="C1535" s="135" t="s">
        <v>6899</v>
      </c>
      <c r="D1535" s="319" t="s">
        <v>3478</v>
      </c>
      <c r="E1535" s="190">
        <v>290</v>
      </c>
      <c r="F1535" s="214">
        <f>'BASIC DATA'!D33</f>
        <v>63</v>
      </c>
      <c r="G1535" s="190">
        <f t="shared" si="30"/>
        <v>18270</v>
      </c>
    </row>
    <row r="1536" spans="1:7">
      <c r="B1536" s="105">
        <v>2</v>
      </c>
      <c r="C1536" s="135" t="s">
        <v>4917</v>
      </c>
      <c r="D1536" s="319"/>
      <c r="E1536" s="190"/>
      <c r="F1536" s="214"/>
      <c r="G1536" s="190"/>
    </row>
    <row r="1537" spans="2:7">
      <c r="B1537" s="317"/>
      <c r="C1537" s="135" t="s">
        <v>4987</v>
      </c>
      <c r="D1537" s="319" t="s">
        <v>3478</v>
      </c>
      <c r="E1537" s="190">
        <v>1926</v>
      </c>
      <c r="F1537" s="214">
        <f>'BASIC DATA'!D165</f>
        <v>235</v>
      </c>
      <c r="G1537" s="190">
        <f t="shared" si="30"/>
        <v>452610</v>
      </c>
    </row>
    <row r="1538" spans="2:7">
      <c r="B1538" s="317"/>
      <c r="C1538" s="135" t="s">
        <v>5969</v>
      </c>
      <c r="D1538" s="319" t="s">
        <v>3478</v>
      </c>
      <c r="E1538" s="190">
        <v>79</v>
      </c>
      <c r="F1538" s="214">
        <f>'BASIC DATA'!D166</f>
        <v>225</v>
      </c>
      <c r="G1538" s="190">
        <f t="shared" si="30"/>
        <v>17775</v>
      </c>
    </row>
    <row r="1539" spans="2:7">
      <c r="B1539" s="317"/>
      <c r="C1539" s="135" t="s">
        <v>6874</v>
      </c>
      <c r="D1539" s="319" t="s">
        <v>3478</v>
      </c>
      <c r="E1539" s="190">
        <v>306</v>
      </c>
      <c r="F1539" s="214">
        <f>'BASIC DATA'!D167</f>
        <v>190</v>
      </c>
      <c r="G1539" s="190">
        <f t="shared" si="30"/>
        <v>58140</v>
      </c>
    </row>
    <row r="1540" spans="2:7">
      <c r="B1540" s="317"/>
      <c r="C1540" s="135" t="s">
        <v>5971</v>
      </c>
      <c r="D1540" s="319" t="s">
        <v>3478</v>
      </c>
      <c r="E1540" s="190">
        <v>72</v>
      </c>
      <c r="F1540" s="214">
        <f>'BASIC DATA'!D167</f>
        <v>190</v>
      </c>
      <c r="G1540" s="190">
        <f t="shared" si="30"/>
        <v>13680</v>
      </c>
    </row>
    <row r="1541" spans="2:7">
      <c r="B1541" s="105">
        <v>3</v>
      </c>
      <c r="C1541" s="135" t="s">
        <v>4771</v>
      </c>
      <c r="D1541" s="319"/>
      <c r="E1541" s="190"/>
      <c r="F1541" s="214"/>
      <c r="G1541" s="190"/>
    </row>
    <row r="1542" spans="2:7">
      <c r="B1542" s="317"/>
      <c r="C1542" s="135" t="s">
        <v>4772</v>
      </c>
      <c r="D1542" s="319" t="s">
        <v>3478</v>
      </c>
      <c r="E1542" s="190">
        <v>346</v>
      </c>
      <c r="F1542" s="214">
        <f>'BASIC DATA'!D159</f>
        <v>235</v>
      </c>
      <c r="G1542" s="190">
        <f t="shared" si="30"/>
        <v>81310</v>
      </c>
    </row>
    <row r="1543" spans="2:7">
      <c r="B1543" s="317"/>
      <c r="C1543" s="135" t="s">
        <v>4773</v>
      </c>
      <c r="D1543" s="319" t="s">
        <v>3478</v>
      </c>
      <c r="E1543" s="190">
        <v>73</v>
      </c>
      <c r="F1543" s="214">
        <f>'BASIC DATA'!D160</f>
        <v>450</v>
      </c>
      <c r="G1543" s="190">
        <f t="shared" si="30"/>
        <v>32850</v>
      </c>
    </row>
    <row r="1544" spans="2:7">
      <c r="B1544" s="105">
        <v>4</v>
      </c>
      <c r="C1544" s="135" t="s">
        <v>5973</v>
      </c>
      <c r="D1544" s="319"/>
      <c r="E1544" s="190"/>
      <c r="F1544" s="214"/>
      <c r="G1544" s="190"/>
    </row>
    <row r="1545" spans="2:7">
      <c r="B1545" s="317"/>
      <c r="C1545" s="135" t="s">
        <v>5974</v>
      </c>
      <c r="D1545" s="319" t="s">
        <v>3478</v>
      </c>
      <c r="E1545" s="190">
        <v>57</v>
      </c>
      <c r="F1545" s="214">
        <f>'BASIC DATA'!D163</f>
        <v>970</v>
      </c>
      <c r="G1545" s="190">
        <f t="shared" si="30"/>
        <v>55290</v>
      </c>
    </row>
    <row r="1546" spans="2:7" ht="36">
      <c r="B1546" s="105">
        <v>5</v>
      </c>
      <c r="C1546" s="91" t="s">
        <v>2976</v>
      </c>
      <c r="D1546" s="319" t="s">
        <v>3478</v>
      </c>
      <c r="E1546" s="190">
        <v>325</v>
      </c>
      <c r="F1546" s="214">
        <f>'BASIC DATA'!D183</f>
        <v>200</v>
      </c>
      <c r="G1546" s="190">
        <f t="shared" si="30"/>
        <v>65000</v>
      </c>
    </row>
    <row r="1547" spans="2:7">
      <c r="B1547" s="105">
        <v>6</v>
      </c>
      <c r="C1547" s="135" t="s">
        <v>5976</v>
      </c>
      <c r="D1547" s="319" t="s">
        <v>3478</v>
      </c>
      <c r="E1547" s="190">
        <v>32</v>
      </c>
      <c r="F1547" s="214">
        <f>'BASIC DATA'!D84</f>
        <v>80</v>
      </c>
      <c r="G1547" s="190">
        <f t="shared" si="30"/>
        <v>2560</v>
      </c>
    </row>
    <row r="1548" spans="2:7">
      <c r="B1548" s="105">
        <v>7</v>
      </c>
      <c r="C1548" s="135" t="s">
        <v>5977</v>
      </c>
      <c r="D1548" s="319" t="s">
        <v>4089</v>
      </c>
      <c r="E1548" s="190">
        <v>1</v>
      </c>
      <c r="F1548" s="214">
        <f>'BASIC DATA'!D382</f>
        <v>224400</v>
      </c>
      <c r="G1548" s="190">
        <f t="shared" si="30"/>
        <v>224400</v>
      </c>
    </row>
    <row r="1549" spans="2:7">
      <c r="B1549" s="105">
        <v>8</v>
      </c>
      <c r="C1549" s="135" t="s">
        <v>5752</v>
      </c>
      <c r="D1549" s="319" t="s">
        <v>4089</v>
      </c>
      <c r="E1549" s="190">
        <v>1</v>
      </c>
      <c r="F1549" s="214">
        <f>'BASIC DATA'!D386</f>
        <v>33000</v>
      </c>
      <c r="G1549" s="190">
        <f t="shared" si="30"/>
        <v>33000</v>
      </c>
    </row>
    <row r="1550" spans="2:7">
      <c r="B1550" s="105">
        <v>9</v>
      </c>
      <c r="C1550" s="135" t="s">
        <v>5979</v>
      </c>
      <c r="D1550" s="319" t="s">
        <v>4089</v>
      </c>
      <c r="E1550" s="190">
        <v>1</v>
      </c>
      <c r="F1550" s="214">
        <f>'BASIC DATA'!D390</f>
        <v>28820</v>
      </c>
      <c r="G1550" s="190">
        <f t="shared" si="30"/>
        <v>28820</v>
      </c>
    </row>
    <row r="1551" spans="2:7">
      <c r="B1551" s="105">
        <v>10</v>
      </c>
      <c r="C1551" s="135" t="s">
        <v>6185</v>
      </c>
      <c r="D1551" s="319" t="s">
        <v>4089</v>
      </c>
      <c r="E1551" s="190">
        <v>1</v>
      </c>
      <c r="F1551" s="214">
        <f>'BASIC DATA'!D391</f>
        <v>195800</v>
      </c>
      <c r="G1551" s="190">
        <f t="shared" si="30"/>
        <v>195800</v>
      </c>
    </row>
    <row r="1552" spans="2:7">
      <c r="B1552" s="105">
        <v>11</v>
      </c>
      <c r="C1552" s="135" t="s">
        <v>6186</v>
      </c>
      <c r="D1552" s="319" t="s">
        <v>4089</v>
      </c>
      <c r="E1552" s="190">
        <v>1</v>
      </c>
      <c r="F1552" s="214">
        <f>'BASIC DATA'!D392</f>
        <v>35200</v>
      </c>
      <c r="G1552" s="190">
        <f t="shared" si="30"/>
        <v>35200</v>
      </c>
    </row>
    <row r="1553" spans="2:7" ht="36">
      <c r="B1553" s="105">
        <v>12</v>
      </c>
      <c r="C1553" s="91" t="s">
        <v>6400</v>
      </c>
      <c r="D1553" s="319" t="s">
        <v>2173</v>
      </c>
      <c r="E1553" s="190">
        <v>1</v>
      </c>
      <c r="F1553" s="214">
        <f>'BASIC DATA'!D393</f>
        <v>50380</v>
      </c>
      <c r="G1553" s="190">
        <f t="shared" si="30"/>
        <v>50380</v>
      </c>
    </row>
    <row r="1554" spans="2:7">
      <c r="B1554" s="105">
        <v>13</v>
      </c>
      <c r="C1554" s="135" t="s">
        <v>958</v>
      </c>
      <c r="D1554" s="319" t="s">
        <v>3477</v>
      </c>
      <c r="E1554" s="190">
        <v>45</v>
      </c>
      <c r="F1554" s="214">
        <f>'BASIC DATA'!D87</f>
        <v>42</v>
      </c>
      <c r="G1554" s="190">
        <f t="shared" si="30"/>
        <v>1890</v>
      </c>
    </row>
    <row r="1555" spans="2:7">
      <c r="B1555" s="105">
        <v>14</v>
      </c>
      <c r="C1555" s="135" t="s">
        <v>6815</v>
      </c>
      <c r="D1555" s="319" t="s">
        <v>3477</v>
      </c>
      <c r="E1555" s="190">
        <v>15</v>
      </c>
      <c r="F1555" s="214">
        <f>'BASIC DATA'!D28</f>
        <v>335</v>
      </c>
      <c r="G1555" s="190">
        <f t="shared" si="30"/>
        <v>5025</v>
      </c>
    </row>
    <row r="1556" spans="2:7">
      <c r="B1556" s="105">
        <v>15</v>
      </c>
      <c r="C1556" s="135" t="s">
        <v>6816</v>
      </c>
      <c r="D1556" s="319" t="s">
        <v>2059</v>
      </c>
      <c r="E1556" s="190">
        <v>80</v>
      </c>
      <c r="F1556" s="214">
        <f>'BASIC DATA'!$D$110</f>
        <v>13</v>
      </c>
      <c r="G1556" s="190">
        <f t="shared" si="30"/>
        <v>1040</v>
      </c>
    </row>
    <row r="1557" spans="2:7">
      <c r="B1557" s="105">
        <v>16</v>
      </c>
      <c r="C1557" s="135" t="s">
        <v>4655</v>
      </c>
      <c r="D1557" s="319" t="s">
        <v>2059</v>
      </c>
      <c r="E1557" s="190">
        <v>720</v>
      </c>
      <c r="F1557" s="214">
        <f>'BASIC DATA'!$D$181</f>
        <v>15</v>
      </c>
      <c r="G1557" s="190">
        <f t="shared" si="30"/>
        <v>10800</v>
      </c>
    </row>
    <row r="1558" spans="2:7">
      <c r="B1558" s="105">
        <v>17</v>
      </c>
      <c r="C1558" s="135" t="s">
        <v>5980</v>
      </c>
      <c r="D1558" s="319" t="s">
        <v>3478</v>
      </c>
      <c r="E1558" s="190">
        <v>50</v>
      </c>
      <c r="F1558" s="214">
        <f>'BASIC DATA'!D372</f>
        <v>275</v>
      </c>
      <c r="G1558" s="190">
        <f t="shared" si="30"/>
        <v>13750</v>
      </c>
    </row>
    <row r="1559" spans="2:7">
      <c r="B1559" s="105">
        <v>18</v>
      </c>
      <c r="C1559" s="135" t="s">
        <v>6556</v>
      </c>
      <c r="D1559" s="319" t="s">
        <v>2374</v>
      </c>
      <c r="E1559" s="190">
        <v>85</v>
      </c>
      <c r="F1559" s="214">
        <f>F1523</f>
        <v>7.8</v>
      </c>
      <c r="G1559" s="190">
        <f t="shared" si="30"/>
        <v>663</v>
      </c>
    </row>
    <row r="1560" spans="2:7">
      <c r="B1560" s="105">
        <v>19</v>
      </c>
      <c r="C1560" s="135" t="s">
        <v>6557</v>
      </c>
      <c r="D1560" s="319" t="s">
        <v>2374</v>
      </c>
      <c r="E1560" s="190">
        <v>16</v>
      </c>
      <c r="F1560" s="214">
        <f>F1526</f>
        <v>24.166666666666668</v>
      </c>
      <c r="G1560" s="190">
        <f t="shared" si="30"/>
        <v>386.66666666666669</v>
      </c>
    </row>
    <row r="1561" spans="2:7">
      <c r="B1561" s="114">
        <v>20</v>
      </c>
      <c r="C1561" s="135" t="s">
        <v>2373</v>
      </c>
      <c r="D1561" s="319" t="s">
        <v>2173</v>
      </c>
      <c r="E1561" s="190">
        <v>25</v>
      </c>
      <c r="F1561" s="214">
        <f>'BASIC DATA'!D359</f>
        <v>30</v>
      </c>
      <c r="G1561" s="190">
        <f t="shared" si="30"/>
        <v>750</v>
      </c>
    </row>
    <row r="1562" spans="2:7">
      <c r="B1562" s="92"/>
      <c r="C1562" s="193"/>
      <c r="D1562" s="151" t="s">
        <v>2376</v>
      </c>
      <c r="E1562" s="160"/>
      <c r="F1562" s="236" t="s">
        <v>1698</v>
      </c>
      <c r="G1562" s="318">
        <f>SUM(G1533:G1561)</f>
        <v>1470186.9666666668</v>
      </c>
    </row>
    <row r="1563" spans="2:7"/>
    <row r="1564" spans="2:7">
      <c r="B1564" s="79" t="s">
        <v>2377</v>
      </c>
    </row>
    <row r="1565" spans="2:7">
      <c r="B1565" s="95" t="s">
        <v>2369</v>
      </c>
      <c r="C1565" s="157" t="s">
        <v>2378</v>
      </c>
      <c r="D1565" s="95" t="s">
        <v>2370</v>
      </c>
      <c r="E1565" s="95" t="s">
        <v>1166</v>
      </c>
      <c r="F1565" s="95" t="s">
        <v>2371</v>
      </c>
      <c r="G1565" s="95" t="s">
        <v>2372</v>
      </c>
    </row>
    <row r="1566" spans="2:7">
      <c r="B1566" s="114"/>
      <c r="C1566" s="154"/>
      <c r="D1566" s="114"/>
      <c r="E1566" s="114"/>
      <c r="F1566" s="114" t="s">
        <v>3485</v>
      </c>
      <c r="G1566" s="114" t="s">
        <v>3485</v>
      </c>
    </row>
    <row r="1567" spans="2:7">
      <c r="B1567" s="95">
        <v>1</v>
      </c>
      <c r="C1567" s="135" t="s">
        <v>6558</v>
      </c>
      <c r="D1567" s="451" t="s">
        <v>2374</v>
      </c>
      <c r="E1567" s="190">
        <v>85</v>
      </c>
      <c r="F1567" s="190">
        <f>'HIRE CHARGES'!D556</f>
        <v>16</v>
      </c>
      <c r="G1567" s="190">
        <f>E1567*F1567</f>
        <v>1360</v>
      </c>
    </row>
    <row r="1568" spans="2:7">
      <c r="B1568" s="317"/>
      <c r="C1568" s="135" t="s">
        <v>2379</v>
      </c>
      <c r="D1568" s="319" t="s">
        <v>2374</v>
      </c>
      <c r="E1568" s="255">
        <v>53</v>
      </c>
      <c r="F1568" s="190">
        <f>'HIRE CHARGES'!E556</f>
        <v>67.2</v>
      </c>
      <c r="G1568" s="190">
        <f t="shared" ref="G1568:G1579" si="31">E1568*F1568</f>
        <v>3561.6000000000004</v>
      </c>
    </row>
    <row r="1569" spans="2:7">
      <c r="B1569" s="105">
        <v>2</v>
      </c>
      <c r="C1569" s="135" t="s">
        <v>389</v>
      </c>
      <c r="D1569" s="319" t="s">
        <v>2374</v>
      </c>
      <c r="E1569" s="190">
        <v>2</v>
      </c>
      <c r="F1569" s="190">
        <f>'HIRE CHARGES'!D547</f>
        <v>867.1</v>
      </c>
      <c r="G1569" s="190">
        <f t="shared" si="31"/>
        <v>1734.2</v>
      </c>
    </row>
    <row r="1570" spans="2:7">
      <c r="B1570" s="317"/>
      <c r="C1570" s="135" t="s">
        <v>2379</v>
      </c>
      <c r="D1570" s="319" t="s">
        <v>2374</v>
      </c>
      <c r="E1570" s="190">
        <v>2</v>
      </c>
      <c r="F1570" s="190">
        <f>'HIRE CHARGES'!E547</f>
        <v>145.69999999999999</v>
      </c>
      <c r="G1570" s="190">
        <f t="shared" si="31"/>
        <v>291.39999999999998</v>
      </c>
    </row>
    <row r="1571" spans="2:7">
      <c r="B1571" s="105">
        <v>3</v>
      </c>
      <c r="C1571" s="135" t="s">
        <v>6060</v>
      </c>
      <c r="D1571" s="319" t="s">
        <v>2374</v>
      </c>
      <c r="E1571" s="190">
        <v>15</v>
      </c>
      <c r="F1571" s="190">
        <f>'HIRE CHARGES'!D539</f>
        <v>6.4</v>
      </c>
      <c r="G1571" s="190">
        <f t="shared" si="31"/>
        <v>96</v>
      </c>
    </row>
    <row r="1572" spans="2:7">
      <c r="B1572" s="317"/>
      <c r="C1572" s="135" t="s">
        <v>2379</v>
      </c>
      <c r="D1572" s="319" t="s">
        <v>2374</v>
      </c>
      <c r="E1572" s="190">
        <v>15</v>
      </c>
      <c r="F1572" s="190">
        <f>'HIRE CHARGES'!E539</f>
        <v>2.8</v>
      </c>
      <c r="G1572" s="190">
        <f t="shared" si="31"/>
        <v>42</v>
      </c>
    </row>
    <row r="1573" spans="2:7">
      <c r="B1573" s="105">
        <v>4</v>
      </c>
      <c r="C1573" s="135" t="s">
        <v>6561</v>
      </c>
      <c r="D1573" s="319" t="s">
        <v>2374</v>
      </c>
      <c r="E1573" s="190">
        <v>10</v>
      </c>
      <c r="F1573" s="190">
        <f>'HIRE CHARGES'!D550</f>
        <v>519.69999999999993</v>
      </c>
      <c r="G1573" s="190">
        <f t="shared" si="31"/>
        <v>5196.9999999999991</v>
      </c>
    </row>
    <row r="1574" spans="2:7">
      <c r="B1574" s="317"/>
      <c r="C1574" s="135" t="s">
        <v>2379</v>
      </c>
      <c r="D1574" s="319" t="s">
        <v>2374</v>
      </c>
      <c r="E1574" s="190">
        <v>10</v>
      </c>
      <c r="F1574" s="190">
        <f>'HIRE CHARGES'!E550</f>
        <v>299.89999999999998</v>
      </c>
      <c r="G1574" s="190">
        <f t="shared" si="31"/>
        <v>2999</v>
      </c>
    </row>
    <row r="1575" spans="2:7">
      <c r="B1575" s="105">
        <v>5</v>
      </c>
      <c r="C1575" s="135" t="s">
        <v>6562</v>
      </c>
      <c r="D1575" s="319" t="s">
        <v>2374</v>
      </c>
      <c r="E1575" s="190">
        <v>2</v>
      </c>
      <c r="F1575" s="190">
        <f>'HIRE CHARGES'!D551</f>
        <v>22.5</v>
      </c>
      <c r="G1575" s="190">
        <f t="shared" si="31"/>
        <v>45</v>
      </c>
    </row>
    <row r="1576" spans="2:7">
      <c r="B1576" s="317"/>
      <c r="C1576" s="135" t="s">
        <v>2379</v>
      </c>
      <c r="D1576" s="319" t="s">
        <v>2374</v>
      </c>
      <c r="E1576" s="190">
        <v>2</v>
      </c>
      <c r="F1576" s="190">
        <f>'HIRE CHARGES'!E551</f>
        <v>28</v>
      </c>
      <c r="G1576" s="190">
        <f t="shared" si="31"/>
        <v>56</v>
      </c>
    </row>
    <row r="1577" spans="2:7">
      <c r="B1577" s="105">
        <v>6</v>
      </c>
      <c r="C1577" s="135" t="s">
        <v>5539</v>
      </c>
      <c r="D1577" s="319" t="s">
        <v>2374</v>
      </c>
      <c r="E1577" s="190">
        <v>2</v>
      </c>
      <c r="F1577" s="190">
        <f>'HIRE CHARGES'!D551</f>
        <v>22.5</v>
      </c>
      <c r="G1577" s="190">
        <f t="shared" si="31"/>
        <v>45</v>
      </c>
    </row>
    <row r="1578" spans="2:7">
      <c r="B1578" s="317"/>
      <c r="C1578" s="135" t="s">
        <v>2379</v>
      </c>
      <c r="D1578" s="319" t="s">
        <v>2374</v>
      </c>
      <c r="E1578" s="190">
        <v>2</v>
      </c>
      <c r="F1578" s="190">
        <f>'HIRE CHARGES'!E551</f>
        <v>28</v>
      </c>
      <c r="G1578" s="190">
        <f t="shared" si="31"/>
        <v>56</v>
      </c>
    </row>
    <row r="1579" spans="2:7">
      <c r="B1579" s="114">
        <v>7</v>
      </c>
      <c r="C1579" s="135" t="s">
        <v>2373</v>
      </c>
      <c r="D1579" s="319" t="s">
        <v>2173</v>
      </c>
      <c r="E1579" s="190">
        <v>25</v>
      </c>
      <c r="F1579" s="214">
        <f>'BASIC DATA'!D359</f>
        <v>30</v>
      </c>
      <c r="G1579" s="190">
        <f t="shared" si="31"/>
        <v>750</v>
      </c>
    </row>
    <row r="1580" spans="2:7">
      <c r="B1580" s="176"/>
      <c r="C1580" s="193" t="s">
        <v>2380</v>
      </c>
      <c r="D1580" s="193"/>
      <c r="E1580" s="208"/>
      <c r="F1580" s="236" t="s">
        <v>1698</v>
      </c>
      <c r="G1580" s="318">
        <f>SUM(G1567:G1579)</f>
        <v>16233.199999999999</v>
      </c>
    </row>
    <row r="1581" spans="2:7"/>
    <row r="1582" spans="2:7">
      <c r="B1582" s="79" t="s">
        <v>2381</v>
      </c>
    </row>
    <row r="1583" spans="2:7">
      <c r="B1583" s="95" t="s">
        <v>2369</v>
      </c>
      <c r="C1583" s="157" t="s">
        <v>2378</v>
      </c>
      <c r="D1583" s="95" t="s">
        <v>2370</v>
      </c>
      <c r="E1583" s="95" t="s">
        <v>1166</v>
      </c>
      <c r="F1583" s="95" t="s">
        <v>2371</v>
      </c>
      <c r="G1583" s="95" t="s">
        <v>2372</v>
      </c>
    </row>
    <row r="1584" spans="2:7">
      <c r="B1584" s="114"/>
      <c r="C1584" s="154"/>
      <c r="D1584" s="114"/>
      <c r="E1584" s="114"/>
      <c r="F1584" s="114" t="s">
        <v>3485</v>
      </c>
      <c r="G1584" s="114" t="s">
        <v>3485</v>
      </c>
    </row>
    <row r="1585" spans="2:7">
      <c r="B1585" s="105">
        <v>1</v>
      </c>
      <c r="C1585" s="76" t="s">
        <v>5542</v>
      </c>
      <c r="D1585" s="319" t="s">
        <v>2374</v>
      </c>
      <c r="E1585" s="207">
        <v>10</v>
      </c>
      <c r="F1585" s="190">
        <f>'HIRE CHARGES'!F550</f>
        <v>177.5</v>
      </c>
      <c r="G1585" s="190">
        <f>E1585*F1585</f>
        <v>1775</v>
      </c>
    </row>
    <row r="1586" spans="2:7">
      <c r="B1586" s="105">
        <v>2</v>
      </c>
      <c r="C1586" s="76" t="s">
        <v>5541</v>
      </c>
      <c r="D1586" s="319" t="s">
        <v>2374</v>
      </c>
      <c r="E1586" s="207">
        <v>2</v>
      </c>
      <c r="F1586" s="190">
        <f>'HIRE CHARGES'!F547</f>
        <v>189.3</v>
      </c>
      <c r="G1586" s="190">
        <f t="shared" ref="G1586:G1595" si="32">E1586*F1586</f>
        <v>378.6</v>
      </c>
    </row>
    <row r="1587" spans="2:7">
      <c r="B1587" s="105">
        <v>3</v>
      </c>
      <c r="C1587" s="76" t="s">
        <v>5545</v>
      </c>
      <c r="D1587" s="319" t="s">
        <v>2374</v>
      </c>
      <c r="E1587" s="207">
        <v>2</v>
      </c>
      <c r="F1587" s="190">
        <f>'HIRE CHARGES'!F551</f>
        <v>198.9</v>
      </c>
      <c r="G1587" s="190">
        <f t="shared" si="32"/>
        <v>397.8</v>
      </c>
    </row>
    <row r="1588" spans="2:7">
      <c r="B1588" s="105">
        <v>4</v>
      </c>
      <c r="C1588" s="76" t="s">
        <v>5546</v>
      </c>
      <c r="D1588" s="319" t="s">
        <v>2374</v>
      </c>
      <c r="E1588" s="207">
        <v>2</v>
      </c>
      <c r="F1588" s="190">
        <f>'HIRE CHARGES'!F551</f>
        <v>198.9</v>
      </c>
      <c r="G1588" s="190">
        <f t="shared" si="32"/>
        <v>397.8</v>
      </c>
    </row>
    <row r="1589" spans="2:7">
      <c r="B1589" s="105">
        <v>5</v>
      </c>
      <c r="C1589" s="76" t="s">
        <v>2468</v>
      </c>
      <c r="D1589" s="319" t="s">
        <v>1172</v>
      </c>
      <c r="E1589" s="207">
        <f>D1515</f>
        <v>15</v>
      </c>
      <c r="F1589" s="190">
        <f>'BASIC DATA'!C471</f>
        <v>510</v>
      </c>
      <c r="G1589" s="190">
        <f t="shared" si="32"/>
        <v>7650</v>
      </c>
    </row>
    <row r="1590" spans="2:7">
      <c r="B1590" s="105">
        <v>6</v>
      </c>
      <c r="C1590" s="76" t="s">
        <v>5547</v>
      </c>
      <c r="D1590" s="319" t="s">
        <v>1172</v>
      </c>
      <c r="E1590" s="207">
        <f>E1515</f>
        <v>19</v>
      </c>
      <c r="F1590" s="190">
        <f>'BASIC DATA'!C503</f>
        <v>550</v>
      </c>
      <c r="G1590" s="190">
        <f t="shared" si="32"/>
        <v>10450</v>
      </c>
    </row>
    <row r="1591" spans="2:7">
      <c r="B1591" s="105">
        <v>7</v>
      </c>
      <c r="C1591" s="76" t="s">
        <v>3010</v>
      </c>
      <c r="D1591" s="319" t="s">
        <v>1172</v>
      </c>
      <c r="E1591" s="207">
        <v>4</v>
      </c>
      <c r="F1591" s="190">
        <f>'BASIC DATA'!C504</f>
        <v>445</v>
      </c>
      <c r="G1591" s="190">
        <f t="shared" si="32"/>
        <v>1780</v>
      </c>
    </row>
    <row r="1592" spans="2:7">
      <c r="B1592" s="105">
        <v>8</v>
      </c>
      <c r="C1592" s="76" t="s">
        <v>3013</v>
      </c>
      <c r="D1592" s="319" t="s">
        <v>1172</v>
      </c>
      <c r="E1592" s="207">
        <v>8</v>
      </c>
      <c r="F1592" s="190">
        <f>'BASIC DATA'!C504</f>
        <v>445</v>
      </c>
      <c r="G1592" s="190">
        <f t="shared" si="32"/>
        <v>3560</v>
      </c>
    </row>
    <row r="1593" spans="2:7">
      <c r="B1593" s="105">
        <v>9</v>
      </c>
      <c r="C1593" s="76" t="s">
        <v>3012</v>
      </c>
      <c r="D1593" s="319" t="s">
        <v>1172</v>
      </c>
      <c r="E1593" s="207">
        <v>4</v>
      </c>
      <c r="F1593" s="190">
        <f>'BASIC DATA'!C500</f>
        <v>445</v>
      </c>
      <c r="G1593" s="190">
        <f t="shared" si="32"/>
        <v>1780</v>
      </c>
    </row>
    <row r="1594" spans="2:7">
      <c r="B1594" s="105">
        <v>10</v>
      </c>
      <c r="C1594" s="76" t="s">
        <v>3011</v>
      </c>
      <c r="D1594" s="319" t="s">
        <v>1172</v>
      </c>
      <c r="E1594" s="207">
        <f>G1515</f>
        <v>44</v>
      </c>
      <c r="F1594" s="190">
        <f>'BASIC DATA'!C529</f>
        <v>400</v>
      </c>
      <c r="G1594" s="190">
        <f t="shared" si="32"/>
        <v>17600</v>
      </c>
    </row>
    <row r="1595" spans="2:7">
      <c r="B1595" s="105">
        <v>11</v>
      </c>
      <c r="C1595" s="76" t="s">
        <v>5604</v>
      </c>
      <c r="D1595" s="319" t="s">
        <v>1172</v>
      </c>
      <c r="E1595" s="207">
        <v>2</v>
      </c>
      <c r="F1595" s="190">
        <f>'BASIC DATA'!C468</f>
        <v>515</v>
      </c>
      <c r="G1595" s="190">
        <f t="shared" si="32"/>
        <v>1030</v>
      </c>
    </row>
    <row r="1596" spans="2:7">
      <c r="B1596" s="92"/>
      <c r="C1596" s="193"/>
      <c r="D1596" s="151" t="s">
        <v>1174</v>
      </c>
      <c r="E1596" s="160"/>
      <c r="F1596" s="236" t="s">
        <v>1698</v>
      </c>
      <c r="G1596" s="318">
        <f>SUM(G1585:G1595)</f>
        <v>46799.199999999997</v>
      </c>
    </row>
    <row r="1597" spans="2:7">
      <c r="B1597" s="101" t="s">
        <v>9422</v>
      </c>
      <c r="C1597" s="361"/>
      <c r="D1597" s="101"/>
      <c r="E1597" s="101"/>
      <c r="F1597" s="361"/>
      <c r="G1597" s="911">
        <f>G1596*30%</f>
        <v>14039.759999999998</v>
      </c>
    </row>
    <row r="1598" spans="2:7">
      <c r="B1598" s="101"/>
      <c r="C1598" s="361" t="s">
        <v>7956</v>
      </c>
      <c r="D1598" s="101"/>
      <c r="E1598" s="101"/>
      <c r="F1598" s="361"/>
      <c r="G1598" s="911">
        <f>SUM(G1597+G1596)</f>
        <v>60838.959999999992</v>
      </c>
    </row>
    <row r="1599" spans="2:7">
      <c r="B1599" s="76"/>
      <c r="C1599" s="200"/>
      <c r="D1599" s="76"/>
      <c r="E1599" s="76"/>
      <c r="F1599" s="200"/>
      <c r="G1599" s="766"/>
    </row>
    <row r="1600" spans="2:7">
      <c r="B1600" s="60" t="s">
        <v>5948</v>
      </c>
      <c r="C1600" s="31"/>
      <c r="D1600" s="31"/>
      <c r="E1600" s="85">
        <f>ROUND(G1598/F1529,1)</f>
        <v>2433.6</v>
      </c>
    </row>
    <row r="1601" spans="2:34">
      <c r="B1601" s="60" t="s">
        <v>3163</v>
      </c>
      <c r="C1601" s="31"/>
      <c r="D1601" s="922">
        <f>'BASIC DATA'!$C$577</f>
        <v>0.13614999999999999</v>
      </c>
      <c r="E1601" s="85">
        <f>ROUND(E1600*D1601,1)</f>
        <v>331.3</v>
      </c>
    </row>
    <row r="1602" spans="2:34">
      <c r="B1602" s="60" t="s">
        <v>5949</v>
      </c>
      <c r="C1602" s="31"/>
      <c r="D1602" s="31"/>
      <c r="E1602" s="199">
        <f>E1601+E1600</f>
        <v>2764.9</v>
      </c>
    </row>
    <row r="1603" spans="2:34">
      <c r="B1603" s="60"/>
      <c r="C1603" s="31"/>
      <c r="D1603" s="31"/>
      <c r="E1603" s="31"/>
      <c r="G1603" s="85"/>
    </row>
    <row r="1604" spans="2:34">
      <c r="B1604" s="170" t="s">
        <v>1175</v>
      </c>
    </row>
    <row r="1605" spans="2:34">
      <c r="B1605" s="26" t="s">
        <v>1176</v>
      </c>
      <c r="F1605" s="171" t="s">
        <v>1698</v>
      </c>
      <c r="G1605" s="68">
        <f>G1562</f>
        <v>1470186.9666666668</v>
      </c>
    </row>
    <row r="1606" spans="2:34">
      <c r="B1606" s="26" t="s">
        <v>1186</v>
      </c>
      <c r="F1606" s="171" t="s">
        <v>1698</v>
      </c>
      <c r="G1606" s="68">
        <f>G1580</f>
        <v>16233.199999999999</v>
      </c>
    </row>
    <row r="1607" spans="2:34">
      <c r="B1607" s="26" t="s">
        <v>2660</v>
      </c>
      <c r="F1607" s="171" t="s">
        <v>1698</v>
      </c>
      <c r="G1607" s="75">
        <f>G1598</f>
        <v>60838.959999999992</v>
      </c>
    </row>
    <row r="1608" spans="2:34">
      <c r="B1608" s="26"/>
      <c r="E1608" s="171" t="s">
        <v>5551</v>
      </c>
      <c r="F1608" s="171" t="s">
        <v>1698</v>
      </c>
      <c r="G1608" s="205">
        <f>SUM(G1605:G1607)</f>
        <v>1547259.1266666667</v>
      </c>
    </row>
    <row r="1609" spans="2:34">
      <c r="B1609" s="26" t="s">
        <v>5087</v>
      </c>
      <c r="E1609" s="693">
        <f>'BASIC DATA'!C593</f>
        <v>0</v>
      </c>
      <c r="F1609" s="171" t="s">
        <v>1698</v>
      </c>
      <c r="G1609" s="68">
        <f>(G1607+G1606)*E1609*0.75</f>
        <v>0</v>
      </c>
    </row>
    <row r="1610" spans="2:34">
      <c r="B1610" s="26" t="s">
        <v>5084</v>
      </c>
      <c r="E1610" s="171" t="s">
        <v>1518</v>
      </c>
      <c r="F1610" s="171" t="s">
        <v>1698</v>
      </c>
      <c r="G1610" s="205">
        <f>G1609+G1608</f>
        <v>1547259.1266666667</v>
      </c>
    </row>
    <row r="1611" spans="2:34">
      <c r="B1611" s="26" t="s">
        <v>5086</v>
      </c>
      <c r="E1611" s="201">
        <f>'BASIC DATA'!C594</f>
        <v>0.03</v>
      </c>
      <c r="F1611" s="171" t="s">
        <v>1698</v>
      </c>
      <c r="G1611" s="75">
        <f>G1610*E1611</f>
        <v>46417.773800000003</v>
      </c>
    </row>
    <row r="1612" spans="2:34">
      <c r="B1612" s="26"/>
      <c r="E1612" s="26" t="s">
        <v>2392</v>
      </c>
      <c r="F1612" s="171" t="s">
        <v>1698</v>
      </c>
      <c r="G1612" s="75">
        <f>G1611+G1610</f>
        <v>1593676.9004666668</v>
      </c>
    </row>
    <row r="1613" spans="2:34" ht="46.5" customHeight="1">
      <c r="B1613" s="1207" t="s">
        <v>4717</v>
      </c>
      <c r="C1613" s="1207"/>
      <c r="D1613" s="922">
        <f>'BASIC DATA'!$C$577</f>
        <v>0.13614999999999999</v>
      </c>
      <c r="F1613" s="171" t="s">
        <v>1698</v>
      </c>
      <c r="G1613" s="75">
        <f>G1612*D1613</f>
        <v>216979.10999853667</v>
      </c>
      <c r="I1613" s="68"/>
    </row>
    <row r="1614" spans="2:34">
      <c r="B1614" s="26" t="s">
        <v>898</v>
      </c>
    </row>
    <row r="1615" spans="2:34">
      <c r="B1615" s="47" t="s">
        <v>897</v>
      </c>
      <c r="D1615" s="48"/>
      <c r="E1615" s="68">
        <f>leadcharges!F65</f>
        <v>19</v>
      </c>
      <c r="F1615" s="27" t="s">
        <v>1279</v>
      </c>
      <c r="G1615" s="76">
        <f>2*ROUND(E1615*F1528,3)</f>
        <v>237.23400000000001</v>
      </c>
      <c r="AH1615" s="68"/>
    </row>
    <row r="1616" spans="2:34">
      <c r="B1616" s="47" t="s">
        <v>896</v>
      </c>
      <c r="D1616" s="48"/>
      <c r="E1616" s="68">
        <f>leadcharges!$G$79</f>
        <v>74.8</v>
      </c>
      <c r="F1616" s="27" t="s">
        <v>1279</v>
      </c>
      <c r="G1616" s="76">
        <f>2*ROUND(E1616*F1528,3)</f>
        <v>933.952</v>
      </c>
    </row>
    <row r="1617" spans="1:8">
      <c r="B1617" s="26" t="s">
        <v>5078</v>
      </c>
      <c r="D1617" s="278">
        <f>F1528</f>
        <v>6.2430000000000003</v>
      </c>
      <c r="E1617" s="26" t="s">
        <v>4768</v>
      </c>
      <c r="F1617" s="171" t="s">
        <v>1698</v>
      </c>
      <c r="G1617" s="205">
        <f>SUM(G1612:G1616)</f>
        <v>1811827.1964652035</v>
      </c>
    </row>
    <row r="1618" spans="1:8">
      <c r="D1618" s="278">
        <f>F1529</f>
        <v>25</v>
      </c>
      <c r="E1618" s="26" t="s">
        <v>4769</v>
      </c>
      <c r="F1618" s="171" t="s">
        <v>1698</v>
      </c>
      <c r="G1618" s="68"/>
    </row>
    <row r="1619" spans="1:8" ht="18.75" thickBot="1">
      <c r="D1619" s="171" t="s">
        <v>3884</v>
      </c>
      <c r="E1619" s="26" t="s">
        <v>4768</v>
      </c>
      <c r="F1619" s="171" t="s">
        <v>1698</v>
      </c>
      <c r="G1619" s="68">
        <f>ROUND(G1617/D1617,1)</f>
        <v>290217.40000000002</v>
      </c>
    </row>
    <row r="1620" spans="1:8" ht="18.75" thickBot="1">
      <c r="C1620" s="713"/>
      <c r="D1620" s="695"/>
      <c r="E1620" s="721" t="s">
        <v>391</v>
      </c>
      <c r="F1620" s="696" t="s">
        <v>1698</v>
      </c>
      <c r="G1620" s="715">
        <f>ROUND(G1617/D1618,1)</f>
        <v>72473.100000000006</v>
      </c>
    </row>
    <row r="1621" spans="1:8">
      <c r="B1621" s="26"/>
      <c r="C1621" s="78"/>
    </row>
    <row r="1622" spans="1:8">
      <c r="B1622" s="26"/>
      <c r="E1622" s="78"/>
      <c r="G1622" s="171"/>
      <c r="H1622" s="27"/>
    </row>
    <row r="1623" spans="1:8">
      <c r="B1623" s="314" t="s">
        <v>1655</v>
      </c>
    </row>
    <row r="1624" spans="1:8">
      <c r="A1624" s="822" t="s">
        <v>7173</v>
      </c>
      <c r="B1624" s="26" t="s">
        <v>9052</v>
      </c>
    </row>
    <row r="1625" spans="1:8">
      <c r="B1625" s="26" t="s">
        <v>4636</v>
      </c>
    </row>
    <row r="1626" spans="1:8">
      <c r="B1626" s="26" t="s">
        <v>3002</v>
      </c>
    </row>
    <row r="1627" spans="1:8">
      <c r="B1627" s="26" t="s">
        <v>3879</v>
      </c>
    </row>
    <row r="1628" spans="1:8">
      <c r="B1628" s="26" t="s">
        <v>9053</v>
      </c>
    </row>
    <row r="1629" spans="1:8">
      <c r="B1629" s="170" t="s">
        <v>538</v>
      </c>
      <c r="E1629" s="322"/>
    </row>
    <row r="1630" spans="1:8">
      <c r="B1630" s="170" t="s">
        <v>3549</v>
      </c>
      <c r="E1630" s="322"/>
    </row>
    <row r="1631" spans="1:8">
      <c r="B1631" s="170" t="s">
        <v>9441</v>
      </c>
      <c r="E1631" s="322"/>
    </row>
    <row r="1632" spans="1:8">
      <c r="B1632" s="170"/>
      <c r="E1632" s="322"/>
    </row>
    <row r="1633" spans="1:7" hidden="1">
      <c r="B1633" s="26" t="s">
        <v>2366</v>
      </c>
    </row>
    <row r="1634" spans="1:7" hidden="1">
      <c r="B1634" s="26" t="s">
        <v>5079</v>
      </c>
      <c r="C1634" s="68">
        <f>'BASIC DATA'!D373</f>
        <v>7800</v>
      </c>
      <c r="D1634" s="26" t="s">
        <v>2290</v>
      </c>
      <c r="E1634" s="315" t="s">
        <v>1698</v>
      </c>
      <c r="F1634" s="68">
        <f>C1634</f>
        <v>7800</v>
      </c>
    </row>
    <row r="1635" spans="1:7" hidden="1">
      <c r="B1635" s="26" t="s">
        <v>3231</v>
      </c>
      <c r="E1635" s="322" t="s">
        <v>1697</v>
      </c>
      <c r="F1635" s="316">
        <v>1000</v>
      </c>
      <c r="G1635" s="26" t="s">
        <v>4665</v>
      </c>
    </row>
    <row r="1636" spans="1:7" hidden="1">
      <c r="B1636" s="26" t="s">
        <v>3232</v>
      </c>
      <c r="C1636" s="26" t="s">
        <v>7593</v>
      </c>
      <c r="E1636" s="315" t="s">
        <v>1698</v>
      </c>
      <c r="F1636" s="68">
        <f>F1634/F1635</f>
        <v>7.8</v>
      </c>
    </row>
    <row r="1637" spans="1:7" hidden="1">
      <c r="B1637" s="26" t="s">
        <v>2056</v>
      </c>
      <c r="C1637" s="68">
        <f>'BASIC DATA'!D371</f>
        <v>14500</v>
      </c>
      <c r="D1637" s="26" t="s">
        <v>2290</v>
      </c>
      <c r="E1637" s="315" t="s">
        <v>1698</v>
      </c>
      <c r="F1637" s="68">
        <f>C1637</f>
        <v>14500</v>
      </c>
    </row>
    <row r="1638" spans="1:7" hidden="1">
      <c r="B1638" s="26" t="s">
        <v>5868</v>
      </c>
      <c r="E1638" s="322" t="s">
        <v>1697</v>
      </c>
      <c r="F1638" s="316">
        <v>600</v>
      </c>
      <c r="G1638" s="26" t="s">
        <v>4665</v>
      </c>
    </row>
    <row r="1639" spans="1:7" hidden="1">
      <c r="B1639" s="26" t="s">
        <v>3234</v>
      </c>
      <c r="C1639" s="26" t="s">
        <v>7593</v>
      </c>
      <c r="E1639" s="315" t="s">
        <v>1698</v>
      </c>
      <c r="F1639" s="68">
        <f>F1637/F1638</f>
        <v>24.166666666666668</v>
      </c>
    </row>
    <row r="1640" spans="1:7">
      <c r="F1640" s="26" t="s">
        <v>9424</v>
      </c>
    </row>
    <row r="1641" spans="1:7">
      <c r="A1641" s="865" t="s">
        <v>3984</v>
      </c>
      <c r="C1641" s="203" t="s">
        <v>2367</v>
      </c>
      <c r="E1641" s="171" t="s">
        <v>297</v>
      </c>
      <c r="F1641" s="692">
        <v>10.5</v>
      </c>
      <c r="G1641" s="26" t="s">
        <v>3480</v>
      </c>
    </row>
    <row r="1642" spans="1:7">
      <c r="B1642" s="79" t="s">
        <v>2368</v>
      </c>
      <c r="F1642" s="316"/>
    </row>
    <row r="1643" spans="1:7">
      <c r="B1643" s="95" t="s">
        <v>2369</v>
      </c>
      <c r="C1643" s="157" t="s">
        <v>6374</v>
      </c>
      <c r="D1643" s="95" t="s">
        <v>2370</v>
      </c>
      <c r="E1643" s="95" t="s">
        <v>1166</v>
      </c>
      <c r="F1643" s="95" t="s">
        <v>2371</v>
      </c>
      <c r="G1643" s="95" t="s">
        <v>2372</v>
      </c>
    </row>
    <row r="1644" spans="1:7">
      <c r="B1644" s="114"/>
      <c r="C1644" s="154"/>
      <c r="D1644" s="114"/>
      <c r="E1644" s="114"/>
      <c r="F1644" s="114" t="s">
        <v>3485</v>
      </c>
      <c r="G1644" s="114" t="s">
        <v>3485</v>
      </c>
    </row>
    <row r="1645" spans="1:7" ht="36">
      <c r="B1645" s="95">
        <v>1</v>
      </c>
      <c r="C1645" s="91" t="s">
        <v>6390</v>
      </c>
      <c r="D1645" s="451" t="s">
        <v>3478</v>
      </c>
      <c r="E1645" s="190">
        <v>1494</v>
      </c>
      <c r="F1645" s="214">
        <f>'BASIC DATA'!D97/1000</f>
        <v>37.5</v>
      </c>
      <c r="G1645" s="190">
        <f>E1645*F1645</f>
        <v>56025</v>
      </c>
    </row>
    <row r="1646" spans="1:7">
      <c r="B1646" s="426"/>
      <c r="C1646" s="135" t="s">
        <v>3162</v>
      </c>
      <c r="D1646" s="319" t="s">
        <v>3478</v>
      </c>
      <c r="E1646" s="190">
        <v>6564</v>
      </c>
      <c r="F1646" s="214">
        <f>'BASIC DATA'!D98/1000</f>
        <v>37.4</v>
      </c>
      <c r="G1646" s="190">
        <f t="shared" ref="G1646:G1655" si="33">E1646*F1646</f>
        <v>245493.59999999998</v>
      </c>
    </row>
    <row r="1647" spans="1:7">
      <c r="B1647" s="426"/>
      <c r="C1647" s="135" t="s">
        <v>6899</v>
      </c>
      <c r="D1647" s="319" t="s">
        <v>3478</v>
      </c>
      <c r="E1647" s="190">
        <v>2442</v>
      </c>
      <c r="F1647" s="214">
        <f>'BASIC DATA'!D33</f>
        <v>63</v>
      </c>
      <c r="G1647" s="190">
        <f t="shared" si="33"/>
        <v>153846</v>
      </c>
    </row>
    <row r="1648" spans="1:7">
      <c r="B1648" s="105">
        <v>2</v>
      </c>
      <c r="C1648" s="135" t="s">
        <v>6391</v>
      </c>
      <c r="D1648" s="319" t="s">
        <v>3483</v>
      </c>
      <c r="E1648" s="190">
        <v>60</v>
      </c>
      <c r="F1648" s="722">
        <f>'BASIC DATA'!D173</f>
        <v>150</v>
      </c>
      <c r="G1648" s="190">
        <f>F1648*E1648</f>
        <v>9000</v>
      </c>
    </row>
    <row r="1649" spans="2:7">
      <c r="B1649" s="105">
        <v>3</v>
      </c>
      <c r="C1649" s="135" t="s">
        <v>6392</v>
      </c>
      <c r="D1649" s="319" t="s">
        <v>3478</v>
      </c>
      <c r="E1649" s="190">
        <v>18</v>
      </c>
      <c r="F1649" s="217">
        <f>'BASIC DATA'!D84</f>
        <v>80</v>
      </c>
      <c r="G1649" s="190">
        <f>E1649*F1649</f>
        <v>1440</v>
      </c>
    </row>
    <row r="1650" spans="2:7">
      <c r="B1650" s="105">
        <v>4</v>
      </c>
      <c r="C1650" s="135" t="s">
        <v>958</v>
      </c>
      <c r="D1650" s="319" t="s">
        <v>3477</v>
      </c>
      <c r="E1650" s="190">
        <v>105</v>
      </c>
      <c r="F1650" s="214">
        <f>'BASIC DATA'!D87</f>
        <v>42</v>
      </c>
      <c r="G1650" s="190">
        <f t="shared" si="33"/>
        <v>4410</v>
      </c>
    </row>
    <row r="1651" spans="2:7">
      <c r="B1651" s="105">
        <v>5</v>
      </c>
      <c r="C1651" s="135" t="s">
        <v>6815</v>
      </c>
      <c r="D1651" s="319" t="s">
        <v>3477</v>
      </c>
      <c r="E1651" s="190">
        <v>35</v>
      </c>
      <c r="F1651" s="214">
        <f>'BASIC DATA'!D28</f>
        <v>335</v>
      </c>
      <c r="G1651" s="190">
        <f t="shared" si="33"/>
        <v>11725</v>
      </c>
    </row>
    <row r="1652" spans="2:7">
      <c r="B1652" s="105">
        <v>6</v>
      </c>
      <c r="C1652" s="135" t="s">
        <v>6816</v>
      </c>
      <c r="D1652" s="319" t="s">
        <v>2059</v>
      </c>
      <c r="E1652" s="190">
        <v>3150</v>
      </c>
      <c r="F1652" s="214">
        <f>'BASIC DATA'!$D$110</f>
        <v>13</v>
      </c>
      <c r="G1652" s="190">
        <f t="shared" si="33"/>
        <v>40950</v>
      </c>
    </row>
    <row r="1653" spans="2:7">
      <c r="B1653" s="105">
        <v>7</v>
      </c>
      <c r="C1653" s="135" t="s">
        <v>6556</v>
      </c>
      <c r="D1653" s="319" t="s">
        <v>2374</v>
      </c>
      <c r="E1653" s="190">
        <v>394</v>
      </c>
      <c r="F1653" s="214">
        <f>F1636</f>
        <v>7.8</v>
      </c>
      <c r="G1653" s="190">
        <f t="shared" si="33"/>
        <v>3073.2</v>
      </c>
    </row>
    <row r="1654" spans="2:7">
      <c r="B1654" s="105">
        <v>8</v>
      </c>
      <c r="C1654" s="135" t="s">
        <v>6557</v>
      </c>
      <c r="D1654" s="319" t="s">
        <v>2374</v>
      </c>
      <c r="E1654" s="190">
        <v>105</v>
      </c>
      <c r="F1654" s="214">
        <f>F1639</f>
        <v>24.166666666666668</v>
      </c>
      <c r="G1654" s="190">
        <f t="shared" si="33"/>
        <v>2537.5</v>
      </c>
    </row>
    <row r="1655" spans="2:7">
      <c r="B1655" s="176">
        <v>9</v>
      </c>
      <c r="C1655" s="76" t="s">
        <v>2373</v>
      </c>
      <c r="D1655" s="319" t="s">
        <v>2173</v>
      </c>
      <c r="E1655" s="190">
        <v>50</v>
      </c>
      <c r="F1655" s="214">
        <f>'BASIC DATA'!D359</f>
        <v>30</v>
      </c>
      <c r="G1655" s="190">
        <f t="shared" si="33"/>
        <v>1500</v>
      </c>
    </row>
    <row r="1656" spans="2:7">
      <c r="B1656" s="92"/>
      <c r="C1656" s="193"/>
      <c r="D1656" s="151" t="s">
        <v>2376</v>
      </c>
      <c r="E1656" s="160"/>
      <c r="F1656" s="236" t="s">
        <v>1698</v>
      </c>
      <c r="G1656" s="318">
        <f>SUM(G1645:G1655)</f>
        <v>530000.29999999993</v>
      </c>
    </row>
    <row r="1657" spans="2:7"/>
    <row r="1658" spans="2:7">
      <c r="B1658" s="79" t="s">
        <v>2377</v>
      </c>
    </row>
    <row r="1659" spans="2:7">
      <c r="B1659" s="95" t="s">
        <v>2369</v>
      </c>
      <c r="C1659" s="157" t="s">
        <v>2378</v>
      </c>
      <c r="D1659" s="95" t="s">
        <v>2370</v>
      </c>
      <c r="E1659" s="95" t="s">
        <v>1166</v>
      </c>
      <c r="F1659" s="95" t="s">
        <v>2371</v>
      </c>
      <c r="G1659" s="95" t="s">
        <v>2372</v>
      </c>
    </row>
    <row r="1660" spans="2:7">
      <c r="B1660" s="114"/>
      <c r="C1660" s="154"/>
      <c r="D1660" s="114"/>
      <c r="E1660" s="114"/>
      <c r="F1660" s="114" t="s">
        <v>3485</v>
      </c>
      <c r="G1660" s="114" t="s">
        <v>3485</v>
      </c>
    </row>
    <row r="1661" spans="2:7">
      <c r="B1661" s="95">
        <v>1</v>
      </c>
      <c r="C1661" s="135" t="s">
        <v>6558</v>
      </c>
      <c r="D1661" s="451" t="s">
        <v>2374</v>
      </c>
      <c r="E1661" s="190">
        <v>394</v>
      </c>
      <c r="F1661" s="190">
        <f>'HIRE CHARGES'!D556</f>
        <v>16</v>
      </c>
      <c r="G1661" s="190">
        <f>E1661*F1661</f>
        <v>6304</v>
      </c>
    </row>
    <row r="1662" spans="2:7">
      <c r="B1662" s="317"/>
      <c r="C1662" s="135" t="s">
        <v>2379</v>
      </c>
      <c r="D1662" s="319" t="s">
        <v>2374</v>
      </c>
      <c r="E1662" s="190">
        <v>394</v>
      </c>
      <c r="F1662" s="190">
        <f>'HIRE CHARGES'!E556</f>
        <v>67.2</v>
      </c>
      <c r="G1662" s="190">
        <f t="shared" ref="G1662:G1675" si="34">E1662*F1662</f>
        <v>26476.800000000003</v>
      </c>
    </row>
    <row r="1663" spans="2:7">
      <c r="B1663" s="105">
        <v>2</v>
      </c>
      <c r="C1663" s="135" t="s">
        <v>6060</v>
      </c>
      <c r="D1663" s="319" t="s">
        <v>2374</v>
      </c>
      <c r="E1663" s="190">
        <v>52</v>
      </c>
      <c r="F1663" s="190">
        <f>'HIRE CHARGES'!D539</f>
        <v>6.4</v>
      </c>
      <c r="G1663" s="190">
        <f t="shared" si="34"/>
        <v>332.8</v>
      </c>
    </row>
    <row r="1664" spans="2:7">
      <c r="B1664" s="317"/>
      <c r="C1664" s="135" t="s">
        <v>2379</v>
      </c>
      <c r="D1664" s="319" t="s">
        <v>2374</v>
      </c>
      <c r="E1664" s="190">
        <v>52</v>
      </c>
      <c r="F1664" s="190">
        <f>'HIRE CHARGES'!E539</f>
        <v>2.8</v>
      </c>
      <c r="G1664" s="190">
        <f t="shared" si="34"/>
        <v>145.6</v>
      </c>
    </row>
    <row r="1665" spans="2:7">
      <c r="B1665" s="105">
        <v>3</v>
      </c>
      <c r="C1665" s="135" t="s">
        <v>9442</v>
      </c>
      <c r="D1665" s="319" t="s">
        <v>2374</v>
      </c>
      <c r="E1665" s="190">
        <v>30</v>
      </c>
      <c r="F1665" s="190">
        <f>'HIRE CHARGES'!D559</f>
        <v>3096.8</v>
      </c>
      <c r="G1665" s="190">
        <f t="shared" si="34"/>
        <v>92904</v>
      </c>
    </row>
    <row r="1666" spans="2:7">
      <c r="B1666" s="317"/>
      <c r="C1666" s="135" t="s">
        <v>2379</v>
      </c>
      <c r="D1666" s="319" t="s">
        <v>2374</v>
      </c>
      <c r="E1666" s="190">
        <v>30</v>
      </c>
      <c r="F1666" s="190">
        <f>'HIRE CHARGES'!E559</f>
        <v>118.8</v>
      </c>
      <c r="G1666" s="190">
        <f t="shared" si="34"/>
        <v>3564</v>
      </c>
    </row>
    <row r="1667" spans="2:7">
      <c r="B1667" s="105">
        <v>4</v>
      </c>
      <c r="C1667" s="135" t="s">
        <v>866</v>
      </c>
      <c r="D1667" s="319" t="s">
        <v>2374</v>
      </c>
      <c r="E1667" s="190">
        <v>20</v>
      </c>
      <c r="F1667" s="190">
        <f>'HIRE CHARGES'!D544</f>
        <v>86.1</v>
      </c>
      <c r="G1667" s="190">
        <f t="shared" si="34"/>
        <v>1722</v>
      </c>
    </row>
    <row r="1668" spans="2:7">
      <c r="B1668" s="317"/>
      <c r="C1668" s="135" t="s">
        <v>2379</v>
      </c>
      <c r="D1668" s="319" t="s">
        <v>2374</v>
      </c>
      <c r="E1668" s="190">
        <v>20</v>
      </c>
      <c r="F1668" s="190">
        <f>'HIRE CHARGES'!E544</f>
        <v>0</v>
      </c>
      <c r="G1668" s="190">
        <f t="shared" si="34"/>
        <v>0</v>
      </c>
    </row>
    <row r="1669" spans="2:7">
      <c r="B1669" s="105">
        <v>5</v>
      </c>
      <c r="C1669" s="135" t="s">
        <v>6393</v>
      </c>
      <c r="D1669" s="319" t="s">
        <v>2374</v>
      </c>
      <c r="E1669" s="190">
        <v>20</v>
      </c>
      <c r="F1669" s="190">
        <f>'HIRE CHARGES'!D551</f>
        <v>22.5</v>
      </c>
      <c r="G1669" s="190">
        <f t="shared" si="34"/>
        <v>450</v>
      </c>
    </row>
    <row r="1670" spans="2:7">
      <c r="B1670" s="317"/>
      <c r="C1670" s="135" t="s">
        <v>2379</v>
      </c>
      <c r="D1670" s="319" t="s">
        <v>2374</v>
      </c>
      <c r="E1670" s="190">
        <v>20</v>
      </c>
      <c r="F1670" s="190">
        <f>'HIRE CHARGES'!E551</f>
        <v>28</v>
      </c>
      <c r="G1670" s="190">
        <f t="shared" si="34"/>
        <v>560</v>
      </c>
    </row>
    <row r="1671" spans="2:7">
      <c r="B1671" s="105">
        <v>6</v>
      </c>
      <c r="C1671" s="135" t="s">
        <v>6562</v>
      </c>
      <c r="D1671" s="319" t="s">
        <v>2374</v>
      </c>
      <c r="E1671" s="190">
        <v>20</v>
      </c>
      <c r="F1671" s="190">
        <f>'HIRE CHARGES'!D551</f>
        <v>22.5</v>
      </c>
      <c r="G1671" s="190">
        <f t="shared" si="34"/>
        <v>450</v>
      </c>
    </row>
    <row r="1672" spans="2:7">
      <c r="B1672" s="317"/>
      <c r="C1672" s="135" t="s">
        <v>2379</v>
      </c>
      <c r="D1672" s="319" t="s">
        <v>2374</v>
      </c>
      <c r="E1672" s="190">
        <v>20</v>
      </c>
      <c r="F1672" s="190">
        <f>'HIRE CHARGES'!E551</f>
        <v>28</v>
      </c>
      <c r="G1672" s="190">
        <f t="shared" si="34"/>
        <v>560</v>
      </c>
    </row>
    <row r="1673" spans="2:7">
      <c r="B1673" s="317">
        <v>7</v>
      </c>
      <c r="C1673" s="135" t="s">
        <v>9444</v>
      </c>
      <c r="D1673" s="319" t="s">
        <v>2374</v>
      </c>
      <c r="E1673" s="190">
        <v>20</v>
      </c>
      <c r="F1673" s="190">
        <f>'HIRE CHARGES'!D547</f>
        <v>867.1</v>
      </c>
      <c r="G1673" s="190">
        <f t="shared" si="34"/>
        <v>17342</v>
      </c>
    </row>
    <row r="1674" spans="2:7">
      <c r="B1674" s="317"/>
      <c r="C1674" s="135" t="s">
        <v>2379</v>
      </c>
      <c r="D1674" s="319" t="s">
        <v>2374</v>
      </c>
      <c r="E1674" s="190">
        <v>20</v>
      </c>
      <c r="F1674" s="190">
        <f>'HIRE CHARGES'!E547</f>
        <v>145.69999999999999</v>
      </c>
      <c r="G1674" s="190">
        <f t="shared" si="34"/>
        <v>2914</v>
      </c>
    </row>
    <row r="1675" spans="2:7">
      <c r="B1675" s="114">
        <v>8</v>
      </c>
      <c r="C1675" s="135" t="s">
        <v>2373</v>
      </c>
      <c r="D1675" s="319" t="s">
        <v>2173</v>
      </c>
      <c r="E1675" s="190">
        <v>50</v>
      </c>
      <c r="F1675" s="214">
        <f>'BASIC DATA'!D359</f>
        <v>30</v>
      </c>
      <c r="G1675" s="190">
        <f t="shared" si="34"/>
        <v>1500</v>
      </c>
    </row>
    <row r="1676" spans="2:7">
      <c r="B1676" s="176"/>
      <c r="C1676" s="193" t="s">
        <v>2380</v>
      </c>
      <c r="D1676" s="193"/>
      <c r="E1676" s="208"/>
      <c r="F1676" s="236" t="s">
        <v>1698</v>
      </c>
      <c r="G1676" s="318">
        <f>SUM(G1661:G1675)</f>
        <v>155225.20000000001</v>
      </c>
    </row>
    <row r="1677" spans="2:7"/>
    <row r="1678" spans="2:7">
      <c r="B1678" s="79" t="s">
        <v>2381</v>
      </c>
    </row>
    <row r="1679" spans="2:7">
      <c r="B1679" s="95" t="s">
        <v>2369</v>
      </c>
      <c r="C1679" s="157" t="s">
        <v>2378</v>
      </c>
      <c r="D1679" s="95" t="s">
        <v>2370</v>
      </c>
      <c r="E1679" s="95" t="s">
        <v>1166</v>
      </c>
      <c r="F1679" s="95" t="s">
        <v>2371</v>
      </c>
      <c r="G1679" s="95" t="s">
        <v>2372</v>
      </c>
    </row>
    <row r="1680" spans="2:7">
      <c r="B1680" s="114"/>
      <c r="C1680" s="154"/>
      <c r="D1680" s="114"/>
      <c r="E1680" s="114"/>
      <c r="F1680" s="114" t="s">
        <v>3485</v>
      </c>
      <c r="G1680" s="114" t="s">
        <v>3485</v>
      </c>
    </row>
    <row r="1681" spans="2:7">
      <c r="B1681" s="105">
        <v>1</v>
      </c>
      <c r="C1681" s="76" t="s">
        <v>9443</v>
      </c>
      <c r="D1681" s="319" t="s">
        <v>2374</v>
      </c>
      <c r="E1681" s="207">
        <v>30</v>
      </c>
      <c r="F1681" s="190">
        <f>'HIRE CHARGES'!F559</f>
        <v>526.70000000000005</v>
      </c>
      <c r="G1681" s="190">
        <f>E1681*F1681</f>
        <v>15801.000000000002</v>
      </c>
    </row>
    <row r="1682" spans="2:7">
      <c r="B1682" s="105">
        <v>2</v>
      </c>
      <c r="C1682" s="76" t="s">
        <v>5545</v>
      </c>
      <c r="D1682" s="319" t="s">
        <v>2374</v>
      </c>
      <c r="E1682" s="207">
        <v>20</v>
      </c>
      <c r="F1682" s="190">
        <f>'HIRE CHARGES'!F551</f>
        <v>198.9</v>
      </c>
      <c r="G1682" s="190">
        <f t="shared" ref="G1682:G1690" si="35">E1682*F1682</f>
        <v>3978</v>
      </c>
    </row>
    <row r="1683" spans="2:7">
      <c r="B1683" s="105">
        <v>3</v>
      </c>
      <c r="C1683" s="76" t="s">
        <v>5546</v>
      </c>
      <c r="D1683" s="319" t="s">
        <v>2374</v>
      </c>
      <c r="E1683" s="207">
        <v>20</v>
      </c>
      <c r="F1683" s="190">
        <f>'HIRE CHARGES'!F551</f>
        <v>198.9</v>
      </c>
      <c r="G1683" s="190">
        <f t="shared" si="35"/>
        <v>3978</v>
      </c>
    </row>
    <row r="1684" spans="2:7">
      <c r="B1684" s="105">
        <v>4</v>
      </c>
      <c r="C1684" s="76" t="s">
        <v>9445</v>
      </c>
      <c r="D1684" s="319" t="s">
        <v>2374</v>
      </c>
      <c r="E1684" s="207">
        <v>20</v>
      </c>
      <c r="F1684" s="190">
        <f>'HIRE CHARGES'!F547</f>
        <v>189.3</v>
      </c>
      <c r="G1684" s="190">
        <f t="shared" si="35"/>
        <v>3786</v>
      </c>
    </row>
    <row r="1685" spans="2:7">
      <c r="B1685" s="105">
        <v>5</v>
      </c>
      <c r="C1685" s="76" t="s">
        <v>2468</v>
      </c>
      <c r="D1685" s="319" t="s">
        <v>1172</v>
      </c>
      <c r="E1685" s="207">
        <v>10</v>
      </c>
      <c r="F1685" s="190">
        <f>'BASIC DATA'!C471</f>
        <v>510</v>
      </c>
      <c r="G1685" s="190">
        <f t="shared" si="35"/>
        <v>5100</v>
      </c>
    </row>
    <row r="1686" spans="2:7">
      <c r="B1686" s="105">
        <v>6</v>
      </c>
      <c r="C1686" s="76" t="s">
        <v>5547</v>
      </c>
      <c r="D1686" s="319" t="s">
        <v>1172</v>
      </c>
      <c r="E1686" s="207">
        <v>50</v>
      </c>
      <c r="F1686" s="190">
        <f>'BASIC DATA'!C503</f>
        <v>550</v>
      </c>
      <c r="G1686" s="190">
        <f t="shared" si="35"/>
        <v>27500</v>
      </c>
    </row>
    <row r="1687" spans="2:7">
      <c r="B1687" s="105">
        <v>7</v>
      </c>
      <c r="C1687" s="76" t="s">
        <v>3010</v>
      </c>
      <c r="D1687" s="319" t="s">
        <v>1172</v>
      </c>
      <c r="E1687" s="207">
        <v>14</v>
      </c>
      <c r="F1687" s="190">
        <f>'BASIC DATA'!C504</f>
        <v>445</v>
      </c>
      <c r="G1687" s="190">
        <f t="shared" si="35"/>
        <v>6230</v>
      </c>
    </row>
    <row r="1688" spans="2:7">
      <c r="B1688" s="105">
        <v>8</v>
      </c>
      <c r="C1688" s="76" t="s">
        <v>3013</v>
      </c>
      <c r="D1688" s="319" t="s">
        <v>1172</v>
      </c>
      <c r="E1688" s="207">
        <v>53</v>
      </c>
      <c r="F1688" s="190">
        <f>'BASIC DATA'!C504</f>
        <v>445</v>
      </c>
      <c r="G1688" s="190">
        <f t="shared" si="35"/>
        <v>23585</v>
      </c>
    </row>
    <row r="1689" spans="2:7">
      <c r="B1689" s="105">
        <v>9</v>
      </c>
      <c r="C1689" s="76" t="s">
        <v>3011</v>
      </c>
      <c r="D1689" s="319" t="s">
        <v>1172</v>
      </c>
      <c r="E1689" s="207">
        <v>400</v>
      </c>
      <c r="F1689" s="190">
        <f>'BASIC DATA'!C529</f>
        <v>400</v>
      </c>
      <c r="G1689" s="190">
        <f t="shared" si="35"/>
        <v>160000</v>
      </c>
    </row>
    <row r="1690" spans="2:7">
      <c r="B1690" s="105">
        <v>10</v>
      </c>
      <c r="C1690" s="76" t="s">
        <v>5604</v>
      </c>
      <c r="D1690" s="319" t="s">
        <v>1172</v>
      </c>
      <c r="E1690" s="207">
        <v>6</v>
      </c>
      <c r="F1690" s="190">
        <f>'BASIC DATA'!C468</f>
        <v>515</v>
      </c>
      <c r="G1690" s="190">
        <f t="shared" si="35"/>
        <v>3090</v>
      </c>
    </row>
    <row r="1691" spans="2:7">
      <c r="B1691" s="92"/>
      <c r="C1691" s="193"/>
      <c r="D1691" s="151" t="s">
        <v>1174</v>
      </c>
      <c r="E1691" s="160"/>
      <c r="F1691" s="236" t="s">
        <v>1698</v>
      </c>
      <c r="G1691" s="318">
        <f>SUM(G1681:G1690)</f>
        <v>253048</v>
      </c>
    </row>
    <row r="1692" spans="2:7">
      <c r="B1692" s="76" t="s">
        <v>9422</v>
      </c>
      <c r="C1692" s="200"/>
      <c r="D1692" s="76"/>
      <c r="E1692" s="76"/>
      <c r="F1692" s="200"/>
      <c r="G1692" s="766">
        <f>G1691*30%</f>
        <v>75914.399999999994</v>
      </c>
    </row>
    <row r="1693" spans="2:7">
      <c r="B1693" s="76"/>
      <c r="C1693" s="200" t="s">
        <v>7956</v>
      </c>
      <c r="D1693" s="76"/>
      <c r="E1693" s="76"/>
      <c r="F1693" s="200"/>
      <c r="G1693" s="766">
        <f>SUM(G1692+G1691)</f>
        <v>328962.40000000002</v>
      </c>
    </row>
    <row r="1694" spans="2:7">
      <c r="B1694" s="76"/>
      <c r="C1694" s="200"/>
      <c r="D1694" s="76"/>
      <c r="E1694" s="76"/>
      <c r="F1694" s="200"/>
      <c r="G1694" s="766"/>
    </row>
    <row r="1695" spans="2:7">
      <c r="B1695" s="60" t="s">
        <v>5948</v>
      </c>
      <c r="C1695" s="31"/>
      <c r="D1695" s="31"/>
      <c r="E1695" s="85">
        <f>ROUND(G1693/F1641,1)</f>
        <v>31329.8</v>
      </c>
    </row>
    <row r="1696" spans="2:7">
      <c r="B1696" s="60" t="s">
        <v>3163</v>
      </c>
      <c r="C1696" s="31"/>
      <c r="D1696" s="922">
        <f>'BASIC DATA'!$C$577</f>
        <v>0.13614999999999999</v>
      </c>
      <c r="E1696" s="85">
        <f>ROUND(E1695*D1696,1)</f>
        <v>4265.6000000000004</v>
      </c>
    </row>
    <row r="1697" spans="2:34">
      <c r="B1697" s="60" t="s">
        <v>5949</v>
      </c>
      <c r="C1697" s="31"/>
      <c r="D1697" s="31"/>
      <c r="E1697" s="199">
        <f>E1696+E1695</f>
        <v>35595.4</v>
      </c>
    </row>
    <row r="1698" spans="2:34">
      <c r="B1698" s="26"/>
    </row>
    <row r="1699" spans="2:34">
      <c r="B1699" s="170" t="s">
        <v>1175</v>
      </c>
    </row>
    <row r="1700" spans="2:34">
      <c r="B1700" s="26" t="s">
        <v>1176</v>
      </c>
      <c r="F1700" s="171" t="s">
        <v>1698</v>
      </c>
      <c r="G1700" s="68">
        <f>G1656</f>
        <v>530000.29999999993</v>
      </c>
    </row>
    <row r="1701" spans="2:34">
      <c r="B1701" s="26" t="s">
        <v>1186</v>
      </c>
      <c r="F1701" s="171" t="s">
        <v>1698</v>
      </c>
      <c r="G1701" s="68">
        <f>G1676</f>
        <v>155225.20000000001</v>
      </c>
    </row>
    <row r="1702" spans="2:34">
      <c r="B1702" s="26" t="s">
        <v>2660</v>
      </c>
      <c r="F1702" s="171" t="s">
        <v>1698</v>
      </c>
      <c r="G1702" s="75">
        <f>G1693</f>
        <v>328962.40000000002</v>
      </c>
    </row>
    <row r="1703" spans="2:34">
      <c r="B1703" s="26"/>
      <c r="E1703" s="171" t="s">
        <v>5551</v>
      </c>
      <c r="F1703" s="171" t="s">
        <v>1698</v>
      </c>
      <c r="G1703" s="205">
        <f>SUM(G1700:G1702)</f>
        <v>1014187.9</v>
      </c>
    </row>
    <row r="1704" spans="2:34">
      <c r="B1704" s="26" t="s">
        <v>5087</v>
      </c>
      <c r="E1704" s="693">
        <f>'BASIC DATA'!C593</f>
        <v>0</v>
      </c>
      <c r="F1704" s="171" t="s">
        <v>1698</v>
      </c>
      <c r="G1704" s="68">
        <f>(G1702+G1701)*E1704*0.75</f>
        <v>0</v>
      </c>
    </row>
    <row r="1705" spans="2:34">
      <c r="B1705" s="26" t="s">
        <v>5084</v>
      </c>
      <c r="E1705" s="171" t="s">
        <v>1518</v>
      </c>
      <c r="F1705" s="171" t="s">
        <v>1698</v>
      </c>
      <c r="G1705" s="205">
        <f>G1704+G1703</f>
        <v>1014187.9</v>
      </c>
    </row>
    <row r="1706" spans="2:34">
      <c r="B1706" s="26" t="s">
        <v>5086</v>
      </c>
      <c r="E1706" s="201">
        <f>'BASIC DATA'!C594</f>
        <v>0.03</v>
      </c>
      <c r="F1706" s="171" t="s">
        <v>1698</v>
      </c>
      <c r="G1706" s="75">
        <f>G1705*E1706</f>
        <v>30425.636999999999</v>
      </c>
    </row>
    <row r="1707" spans="2:34">
      <c r="B1707" s="26"/>
      <c r="E1707" s="26" t="s">
        <v>2392</v>
      </c>
      <c r="F1707" s="171" t="s">
        <v>1698</v>
      </c>
      <c r="G1707" s="75">
        <f>G1706+G1705</f>
        <v>1044613.537</v>
      </c>
    </row>
    <row r="1708" spans="2:34" ht="44.25" customHeight="1">
      <c r="B1708" s="1207" t="s">
        <v>4717</v>
      </c>
      <c r="C1708" s="1207"/>
      <c r="D1708" s="922">
        <f>'BASIC DATA'!$C$577</f>
        <v>0.13614999999999999</v>
      </c>
      <c r="F1708" s="171" t="s">
        <v>1698</v>
      </c>
      <c r="G1708" s="75">
        <f>G1707*D1708</f>
        <v>142224.13306254998</v>
      </c>
      <c r="I1708" s="68"/>
    </row>
    <row r="1709" spans="2:34">
      <c r="B1709" s="26" t="s">
        <v>898</v>
      </c>
    </row>
    <row r="1710" spans="2:34">
      <c r="B1710" s="47" t="s">
        <v>897</v>
      </c>
      <c r="D1710" s="48"/>
      <c r="E1710" s="68">
        <f>leadcharges!F65</f>
        <v>19</v>
      </c>
      <c r="F1710" s="27" t="s">
        <v>1279</v>
      </c>
      <c r="G1710" s="76">
        <f>2*ROUND(E1710*F1641,3)</f>
        <v>399</v>
      </c>
      <c r="AH1710" s="68"/>
    </row>
    <row r="1711" spans="2:34">
      <c r="B1711" s="47" t="s">
        <v>896</v>
      </c>
      <c r="D1711" s="48"/>
      <c r="E1711" s="68">
        <f>leadcharges!$G$79</f>
        <v>74.8</v>
      </c>
      <c r="F1711" s="27" t="s">
        <v>1279</v>
      </c>
      <c r="G1711" s="76">
        <f>2*ROUND(E1711*F1641,3)</f>
        <v>1570.8</v>
      </c>
    </row>
    <row r="1712" spans="2:34" ht="18.75" thickBot="1">
      <c r="B1712" s="26" t="s">
        <v>5078</v>
      </c>
      <c r="D1712" s="278">
        <f>F1641</f>
        <v>10.5</v>
      </c>
      <c r="E1712" s="26" t="s">
        <v>3041</v>
      </c>
      <c r="F1712" s="171" t="s">
        <v>1698</v>
      </c>
      <c r="G1712" s="205">
        <f>SUM(G1707:G1711)</f>
        <v>1188807.4700625499</v>
      </c>
    </row>
    <row r="1713" spans="1:8" ht="18.75" thickBot="1">
      <c r="D1713" s="694" t="s">
        <v>3884</v>
      </c>
      <c r="E1713" s="695" t="s">
        <v>3041</v>
      </c>
      <c r="F1713" s="696" t="s">
        <v>1698</v>
      </c>
      <c r="G1713" s="715">
        <f>ROUND(G1712/D1712,1)</f>
        <v>113219.8</v>
      </c>
    </row>
    <row r="1714" spans="1:8">
      <c r="B1714" s="26"/>
    </row>
    <row r="1715" spans="1:8" ht="18.75" thickBot="1">
      <c r="G1715" s="171"/>
      <c r="H1715" s="27"/>
    </row>
    <row r="1716" spans="1:8" ht="18.75" thickBot="1">
      <c r="B1716" s="723" t="s">
        <v>3330</v>
      </c>
      <c r="C1716" s="724"/>
      <c r="D1716" s="725"/>
      <c r="E1716" s="61"/>
      <c r="F1716" s="61"/>
      <c r="G1716" s="61"/>
    </row>
    <row r="1717" spans="1:8" ht="18.75">
      <c r="A1717" s="822" t="s">
        <v>7174</v>
      </c>
      <c r="B1717" s="61" t="s">
        <v>9054</v>
      </c>
      <c r="C1717" s="61"/>
      <c r="D1717" s="61"/>
      <c r="E1717" s="61"/>
      <c r="F1717" s="61"/>
      <c r="G1717" s="61"/>
    </row>
    <row r="1718" spans="1:8">
      <c r="B1718" s="61" t="s">
        <v>9055</v>
      </c>
      <c r="C1718" s="61"/>
      <c r="D1718" s="61"/>
      <c r="E1718" s="61"/>
      <c r="F1718" s="61"/>
      <c r="G1718" s="61"/>
    </row>
    <row r="1719" spans="1:8">
      <c r="B1719" s="61" t="s">
        <v>6035</v>
      </c>
      <c r="C1719" s="61"/>
      <c r="D1719" s="61"/>
      <c r="E1719" s="61"/>
      <c r="F1719" s="61"/>
      <c r="G1719" s="61"/>
    </row>
    <row r="1720" spans="1:8" ht="18.75">
      <c r="B1720" s="61" t="s">
        <v>9056</v>
      </c>
      <c r="C1720" s="61"/>
      <c r="D1720" s="61"/>
      <c r="E1720" s="61"/>
      <c r="F1720" s="61"/>
      <c r="G1720" s="61"/>
    </row>
    <row r="1721" spans="1:8">
      <c r="B1721" s="61" t="s">
        <v>6036</v>
      </c>
      <c r="C1721" s="61"/>
      <c r="D1721" s="61"/>
      <c r="E1721" s="61"/>
      <c r="F1721" s="61"/>
      <c r="G1721" s="61"/>
    </row>
    <row r="1722" spans="1:8">
      <c r="B1722" s="61" t="s">
        <v>9057</v>
      </c>
      <c r="C1722" s="61"/>
      <c r="D1722" s="61"/>
      <c r="E1722" s="61"/>
      <c r="F1722" s="61"/>
      <c r="G1722" s="61"/>
    </row>
    <row r="1723" spans="1:8">
      <c r="B1723" s="61" t="s">
        <v>538</v>
      </c>
      <c r="C1723" s="61"/>
      <c r="D1723" s="61"/>
      <c r="E1723" s="726"/>
      <c r="F1723" s="61"/>
      <c r="G1723" s="61"/>
    </row>
    <row r="1724" spans="1:8">
      <c r="B1724" s="61" t="s">
        <v>3549</v>
      </c>
      <c r="C1724" s="61"/>
      <c r="D1724" s="61"/>
      <c r="E1724" s="726"/>
      <c r="F1724" s="61"/>
      <c r="G1724" s="61"/>
    </row>
    <row r="1725" spans="1:8" hidden="1">
      <c r="A1725" s="865" t="s">
        <v>3984</v>
      </c>
      <c r="B1725" s="61" t="s">
        <v>5951</v>
      </c>
      <c r="C1725" s="61"/>
      <c r="D1725" s="61"/>
      <c r="E1725" s="61"/>
      <c r="F1725" s="61"/>
      <c r="G1725" s="61"/>
    </row>
    <row r="1726" spans="1:8" hidden="1">
      <c r="B1726" s="61" t="s">
        <v>5952</v>
      </c>
      <c r="C1726" s="61"/>
      <c r="D1726" s="61"/>
      <c r="E1726" s="61"/>
      <c r="F1726" s="61"/>
      <c r="G1726" s="61"/>
    </row>
    <row r="1727" spans="1:8" hidden="1">
      <c r="B1727" s="61" t="s">
        <v>1027</v>
      </c>
      <c r="C1727" s="61"/>
      <c r="D1727" s="61"/>
      <c r="E1727" s="61"/>
      <c r="F1727" s="61"/>
      <c r="G1727" s="61"/>
    </row>
    <row r="1728" spans="1:8" hidden="1">
      <c r="B1728" s="61" t="s">
        <v>7116</v>
      </c>
      <c r="C1728" s="61"/>
      <c r="D1728" s="61"/>
      <c r="E1728" s="61"/>
      <c r="F1728" s="61"/>
      <c r="G1728" s="61"/>
    </row>
    <row r="1729" spans="1:7" hidden="1">
      <c r="B1729" s="61" t="s">
        <v>7119</v>
      </c>
      <c r="C1729" s="61"/>
      <c r="D1729" s="61"/>
      <c r="E1729" s="61"/>
      <c r="F1729" s="61"/>
      <c r="G1729" s="61"/>
    </row>
    <row r="1730" spans="1:7" hidden="1">
      <c r="B1730" s="61" t="s">
        <v>4637</v>
      </c>
      <c r="C1730" s="61"/>
      <c r="D1730" s="61"/>
      <c r="E1730" s="61"/>
      <c r="F1730" s="61"/>
      <c r="G1730" s="61"/>
    </row>
    <row r="1731" spans="1:7" hidden="1">
      <c r="B1731" s="61" t="s">
        <v>7120</v>
      </c>
      <c r="C1731" s="61"/>
      <c r="D1731" s="61"/>
      <c r="E1731" s="61"/>
      <c r="F1731" s="241">
        <v>49.933</v>
      </c>
      <c r="G1731" s="61" t="s">
        <v>45</v>
      </c>
    </row>
    <row r="1732" spans="1:7" hidden="1">
      <c r="B1732" s="61"/>
      <c r="C1732" s="61"/>
      <c r="D1732" s="61"/>
      <c r="E1732" s="727" t="s">
        <v>1123</v>
      </c>
      <c r="F1732" s="528">
        <v>50</v>
      </c>
      <c r="G1732" s="61" t="s">
        <v>45</v>
      </c>
    </row>
    <row r="1733" spans="1:7" hidden="1">
      <c r="B1733" s="61" t="s">
        <v>5274</v>
      </c>
      <c r="C1733" s="61"/>
      <c r="D1733" s="61"/>
      <c r="E1733" s="61"/>
      <c r="F1733" s="61"/>
      <c r="G1733" s="61"/>
    </row>
    <row r="1734" spans="1:7" hidden="1">
      <c r="B1734" s="61" t="s">
        <v>2270</v>
      </c>
      <c r="C1734" s="61"/>
      <c r="D1734" s="61"/>
      <c r="E1734" s="61"/>
      <c r="F1734" s="61"/>
      <c r="G1734" s="61"/>
    </row>
    <row r="1735" spans="1:7" hidden="1">
      <c r="B1735" s="61" t="s">
        <v>2271</v>
      </c>
      <c r="C1735" s="61"/>
      <c r="D1735" s="61"/>
      <c r="E1735" s="726" t="s">
        <v>1697</v>
      </c>
      <c r="F1735" s="223">
        <v>5</v>
      </c>
      <c r="G1735" s="61" t="s">
        <v>45</v>
      </c>
    </row>
    <row r="1736" spans="1:7" hidden="1">
      <c r="B1736" s="61" t="s">
        <v>2272</v>
      </c>
      <c r="C1736" s="61"/>
      <c r="D1736" s="61"/>
      <c r="E1736" s="726" t="s">
        <v>1697</v>
      </c>
      <c r="F1736" s="61">
        <v>5.069</v>
      </c>
      <c r="G1736" s="61" t="s">
        <v>2710</v>
      </c>
    </row>
    <row r="1737" spans="1:7" hidden="1">
      <c r="B1737" s="61" t="s">
        <v>240</v>
      </c>
      <c r="C1737" s="61"/>
      <c r="D1737" s="61"/>
      <c r="E1737" s="726"/>
      <c r="F1737" s="61"/>
      <c r="G1737" s="61"/>
    </row>
    <row r="1738" spans="1:7" hidden="1">
      <c r="A1738" s="865">
        <v>1</v>
      </c>
      <c r="B1738" s="61" t="s">
        <v>8017</v>
      </c>
      <c r="C1738" s="61"/>
      <c r="D1738" s="61"/>
      <c r="E1738" s="726"/>
      <c r="F1738" s="61"/>
      <c r="G1738" s="61"/>
    </row>
    <row r="1739" spans="1:7" hidden="1">
      <c r="A1739" s="870" t="s">
        <v>1535</v>
      </c>
      <c r="B1739" s="61" t="s">
        <v>241</v>
      </c>
      <c r="C1739" s="61"/>
      <c r="D1739" s="61"/>
      <c r="E1739" s="726"/>
      <c r="F1739" s="61"/>
      <c r="G1739" s="61"/>
    </row>
    <row r="1740" spans="1:7" hidden="1">
      <c r="A1740" s="870"/>
      <c r="B1740" s="61" t="s">
        <v>5966</v>
      </c>
      <c r="C1740" s="61"/>
      <c r="D1740" s="61"/>
      <c r="E1740" s="726" t="s">
        <v>1697</v>
      </c>
      <c r="F1740" s="61">
        <v>420</v>
      </c>
      <c r="G1740" s="61" t="s">
        <v>3478</v>
      </c>
    </row>
    <row r="1741" spans="1:7" hidden="1">
      <c r="A1741" s="870"/>
      <c r="B1741" s="61" t="s">
        <v>5967</v>
      </c>
      <c r="C1741" s="61"/>
      <c r="D1741" s="61"/>
      <c r="E1741" s="726" t="s">
        <v>1697</v>
      </c>
      <c r="F1741" s="61">
        <v>225</v>
      </c>
      <c r="G1741" s="61" t="s">
        <v>3478</v>
      </c>
    </row>
    <row r="1742" spans="1:7" hidden="1">
      <c r="A1742" s="870" t="s">
        <v>5400</v>
      </c>
      <c r="B1742" s="61" t="s">
        <v>5165</v>
      </c>
      <c r="C1742" s="61"/>
      <c r="D1742" s="61"/>
      <c r="E1742" s="726"/>
      <c r="F1742" s="61"/>
      <c r="G1742" s="61"/>
    </row>
    <row r="1743" spans="1:7" hidden="1">
      <c r="A1743" s="870"/>
      <c r="B1743" s="61" t="s">
        <v>4987</v>
      </c>
      <c r="C1743" s="61"/>
      <c r="D1743" s="61"/>
      <c r="E1743" s="726" t="s">
        <v>1697</v>
      </c>
      <c r="F1743" s="61">
        <v>1290</v>
      </c>
      <c r="G1743" s="61" t="s">
        <v>3478</v>
      </c>
    </row>
    <row r="1744" spans="1:7" hidden="1">
      <c r="A1744" s="870"/>
      <c r="B1744" s="61" t="s">
        <v>5969</v>
      </c>
      <c r="C1744" s="61"/>
      <c r="D1744" s="61"/>
      <c r="E1744" s="726" t="s">
        <v>1697</v>
      </c>
      <c r="F1744" s="61">
        <v>98</v>
      </c>
      <c r="G1744" s="61" t="s">
        <v>3478</v>
      </c>
    </row>
    <row r="1745" spans="1:7" hidden="1">
      <c r="A1745" s="870"/>
      <c r="B1745" s="61" t="s">
        <v>6874</v>
      </c>
      <c r="C1745" s="61"/>
      <c r="D1745" s="61"/>
      <c r="E1745" s="726" t="s">
        <v>1697</v>
      </c>
      <c r="F1745" s="61">
        <v>650</v>
      </c>
      <c r="G1745" s="61" t="s">
        <v>3478</v>
      </c>
    </row>
    <row r="1746" spans="1:7" hidden="1">
      <c r="A1746" s="870"/>
      <c r="B1746" s="61" t="s">
        <v>5971</v>
      </c>
      <c r="C1746" s="61"/>
      <c r="D1746" s="61"/>
      <c r="E1746" s="726" t="s">
        <v>1697</v>
      </c>
      <c r="F1746" s="61">
        <v>250</v>
      </c>
      <c r="G1746" s="61" t="s">
        <v>3478</v>
      </c>
    </row>
    <row r="1747" spans="1:7" hidden="1">
      <c r="A1747" s="870" t="s">
        <v>5401</v>
      </c>
      <c r="B1747" s="61" t="s">
        <v>6875</v>
      </c>
      <c r="C1747" s="61"/>
      <c r="D1747" s="61"/>
      <c r="E1747" s="726"/>
      <c r="F1747" s="61"/>
      <c r="G1747" s="61"/>
    </row>
    <row r="1748" spans="1:7" hidden="1">
      <c r="A1748" s="870"/>
      <c r="B1748" s="61" t="s">
        <v>5330</v>
      </c>
      <c r="C1748" s="61"/>
      <c r="D1748" s="61"/>
      <c r="E1748" s="726" t="s">
        <v>1697</v>
      </c>
      <c r="F1748" s="61">
        <v>350</v>
      </c>
      <c r="G1748" s="61" t="s">
        <v>3478</v>
      </c>
    </row>
    <row r="1749" spans="1:7" hidden="1">
      <c r="A1749" s="870"/>
      <c r="B1749" s="61" t="s">
        <v>4773</v>
      </c>
      <c r="C1749" s="61"/>
      <c r="D1749" s="61"/>
      <c r="E1749" s="726" t="s">
        <v>1697</v>
      </c>
      <c r="F1749" s="61">
        <v>96</v>
      </c>
      <c r="G1749" s="61" t="s">
        <v>3478</v>
      </c>
    </row>
    <row r="1750" spans="1:7" hidden="1">
      <c r="A1750" s="870" t="s">
        <v>1696</v>
      </c>
      <c r="B1750" s="61" t="s">
        <v>6988</v>
      </c>
      <c r="C1750" s="61"/>
      <c r="D1750" s="61"/>
      <c r="E1750" s="726"/>
      <c r="F1750" s="61"/>
      <c r="G1750" s="61"/>
    </row>
    <row r="1751" spans="1:7" hidden="1">
      <c r="A1751" s="870"/>
      <c r="B1751" s="61" t="s">
        <v>6989</v>
      </c>
      <c r="C1751" s="61"/>
      <c r="D1751" s="61"/>
      <c r="E1751" s="726" t="s">
        <v>1697</v>
      </c>
      <c r="F1751" s="61">
        <v>100</v>
      </c>
      <c r="G1751" s="61" t="s">
        <v>3478</v>
      </c>
    </row>
    <row r="1752" spans="1:7" hidden="1">
      <c r="A1752" s="870" t="s">
        <v>5082</v>
      </c>
      <c r="B1752" s="61" t="s">
        <v>5128</v>
      </c>
      <c r="C1752" s="61"/>
      <c r="D1752" s="61"/>
      <c r="E1752" s="726"/>
      <c r="F1752" s="61"/>
      <c r="G1752" s="61"/>
    </row>
    <row r="1753" spans="1:7" hidden="1">
      <c r="A1753" s="870"/>
      <c r="B1753" s="61" t="s">
        <v>3606</v>
      </c>
      <c r="C1753" s="61"/>
      <c r="D1753" s="61"/>
      <c r="E1753" s="726" t="s">
        <v>1697</v>
      </c>
      <c r="F1753" s="61">
        <v>26</v>
      </c>
      <c r="G1753" s="61" t="s">
        <v>3478</v>
      </c>
    </row>
    <row r="1754" spans="1:7" hidden="1">
      <c r="A1754" s="870" t="s">
        <v>2408</v>
      </c>
      <c r="B1754" s="61" t="s">
        <v>6876</v>
      </c>
      <c r="C1754" s="61"/>
      <c r="D1754" s="61"/>
      <c r="E1754" s="726"/>
      <c r="F1754" s="61"/>
      <c r="G1754" s="61"/>
    </row>
    <row r="1755" spans="1:7" hidden="1">
      <c r="A1755" s="870"/>
      <c r="B1755" s="61" t="s">
        <v>694</v>
      </c>
      <c r="C1755" s="61"/>
      <c r="D1755" s="61"/>
      <c r="E1755" s="726" t="s">
        <v>1697</v>
      </c>
      <c r="F1755" s="61">
        <v>435</v>
      </c>
      <c r="G1755" s="61" t="s">
        <v>3478</v>
      </c>
    </row>
    <row r="1756" spans="1:7" hidden="1">
      <c r="A1756" s="870" t="s">
        <v>2410</v>
      </c>
      <c r="B1756" s="61" t="s">
        <v>1705</v>
      </c>
      <c r="C1756" s="61"/>
      <c r="D1756" s="61"/>
      <c r="E1756" s="726"/>
      <c r="F1756" s="61"/>
      <c r="G1756" s="61"/>
    </row>
    <row r="1757" spans="1:7" hidden="1">
      <c r="A1757" s="870"/>
      <c r="B1757" s="61" t="s">
        <v>1706</v>
      </c>
      <c r="C1757" s="61"/>
      <c r="D1757" s="61"/>
      <c r="E1757" s="726" t="s">
        <v>1697</v>
      </c>
      <c r="F1757" s="61">
        <v>1</v>
      </c>
      <c r="G1757" s="61" t="s">
        <v>4089</v>
      </c>
    </row>
    <row r="1758" spans="1:7" hidden="1">
      <c r="A1758" s="870"/>
      <c r="B1758" s="61" t="s">
        <v>5331</v>
      </c>
      <c r="C1758" s="61"/>
      <c r="D1758" s="61"/>
      <c r="E1758" s="726" t="s">
        <v>1697</v>
      </c>
      <c r="F1758" s="61">
        <v>1</v>
      </c>
      <c r="G1758" s="61" t="s">
        <v>4089</v>
      </c>
    </row>
    <row r="1759" spans="1:7" hidden="1">
      <c r="A1759" s="870"/>
      <c r="B1759" s="61" t="s">
        <v>5332</v>
      </c>
      <c r="C1759" s="61"/>
      <c r="D1759" s="61"/>
      <c r="E1759" s="726" t="s">
        <v>1697</v>
      </c>
      <c r="F1759" s="61">
        <v>1</v>
      </c>
      <c r="G1759" s="61" t="s">
        <v>4089</v>
      </c>
    </row>
    <row r="1760" spans="1:7" hidden="1">
      <c r="A1760" s="870"/>
      <c r="B1760" s="61" t="s">
        <v>6185</v>
      </c>
      <c r="C1760" s="61"/>
      <c r="D1760" s="61"/>
      <c r="E1760" s="726" t="s">
        <v>1697</v>
      </c>
      <c r="F1760" s="61">
        <v>1</v>
      </c>
      <c r="G1760" s="61" t="s">
        <v>4089</v>
      </c>
    </row>
    <row r="1761" spans="1:7" hidden="1">
      <c r="A1761" s="870"/>
      <c r="B1761" s="61" t="s">
        <v>6186</v>
      </c>
      <c r="C1761" s="61"/>
      <c r="D1761" s="61"/>
      <c r="E1761" s="726" t="s">
        <v>1697</v>
      </c>
      <c r="F1761" s="61">
        <v>1</v>
      </c>
      <c r="G1761" s="61" t="s">
        <v>4089</v>
      </c>
    </row>
    <row r="1762" spans="1:7" hidden="1">
      <c r="A1762" s="870"/>
      <c r="B1762" s="61" t="s">
        <v>6400</v>
      </c>
      <c r="C1762" s="61"/>
      <c r="D1762" s="61"/>
      <c r="E1762" s="726" t="s">
        <v>1697</v>
      </c>
      <c r="F1762" s="61">
        <v>1</v>
      </c>
      <c r="G1762" s="61" t="s">
        <v>6927</v>
      </c>
    </row>
    <row r="1763" spans="1:7" hidden="1">
      <c r="A1763" s="870" t="s">
        <v>6401</v>
      </c>
      <c r="B1763" s="61" t="s">
        <v>1195</v>
      </c>
      <c r="C1763" s="61"/>
      <c r="D1763" s="61"/>
      <c r="E1763" s="726"/>
      <c r="F1763" s="61"/>
      <c r="G1763" s="61"/>
    </row>
    <row r="1764" spans="1:7" hidden="1">
      <c r="A1764" s="870"/>
      <c r="B1764" s="61" t="s">
        <v>517</v>
      </c>
      <c r="C1764" s="61"/>
      <c r="D1764" s="61"/>
      <c r="E1764" s="726" t="s">
        <v>1697</v>
      </c>
      <c r="F1764" s="61">
        <v>37</v>
      </c>
      <c r="G1764" s="61" t="s">
        <v>3483</v>
      </c>
    </row>
    <row r="1765" spans="1:7" hidden="1">
      <c r="A1765" s="870"/>
      <c r="B1765" s="61" t="s">
        <v>519</v>
      </c>
      <c r="C1765" s="61"/>
      <c r="D1765" s="61"/>
      <c r="E1765" s="726" t="s">
        <v>1697</v>
      </c>
      <c r="F1765" s="241">
        <v>4</v>
      </c>
      <c r="G1765" s="61" t="s">
        <v>3483</v>
      </c>
    </row>
    <row r="1766" spans="1:7" hidden="1">
      <c r="B1766" s="61"/>
      <c r="C1766" s="61"/>
      <c r="D1766" s="222" t="s">
        <v>1518</v>
      </c>
      <c r="E1766" s="726" t="s">
        <v>1697</v>
      </c>
      <c r="F1766" s="61">
        <v>41</v>
      </c>
      <c r="G1766" s="61" t="s">
        <v>3483</v>
      </c>
    </row>
    <row r="1767" spans="1:7" hidden="1">
      <c r="B1767" s="61" t="s">
        <v>165</v>
      </c>
      <c r="C1767" s="61"/>
      <c r="D1767" s="61"/>
      <c r="E1767" s="726"/>
      <c r="F1767" s="61"/>
      <c r="G1767" s="61"/>
    </row>
    <row r="1768" spans="1:7" hidden="1">
      <c r="B1768" s="61" t="s">
        <v>3532</v>
      </c>
      <c r="C1768" s="61"/>
      <c r="D1768" s="61"/>
      <c r="E1768" s="726" t="s">
        <v>1697</v>
      </c>
      <c r="F1768" s="61">
        <v>20</v>
      </c>
      <c r="G1768" s="61" t="s">
        <v>2602</v>
      </c>
    </row>
    <row r="1769" spans="1:7" hidden="1">
      <c r="B1769" s="61" t="s">
        <v>3533</v>
      </c>
      <c r="C1769" s="61"/>
      <c r="D1769" s="61"/>
      <c r="E1769" s="726" t="s">
        <v>1697</v>
      </c>
      <c r="F1769" s="61">
        <v>21</v>
      </c>
      <c r="G1769" s="61" t="s">
        <v>2602</v>
      </c>
    </row>
    <row r="1770" spans="1:7" hidden="1">
      <c r="B1770" s="61" t="s">
        <v>2278</v>
      </c>
      <c r="C1770" s="61"/>
      <c r="D1770" s="61"/>
      <c r="E1770" s="726" t="s">
        <v>1697</v>
      </c>
      <c r="F1770" s="61">
        <v>10</v>
      </c>
      <c r="G1770" s="61" t="s">
        <v>4665</v>
      </c>
    </row>
    <row r="1771" spans="1:7" hidden="1">
      <c r="B1771" s="61" t="s">
        <v>2279</v>
      </c>
      <c r="C1771" s="61"/>
      <c r="D1771" s="61"/>
      <c r="E1771" s="726" t="s">
        <v>1697</v>
      </c>
      <c r="F1771" s="61">
        <v>7</v>
      </c>
      <c r="G1771" s="61" t="s">
        <v>4665</v>
      </c>
    </row>
    <row r="1772" spans="1:7" hidden="1">
      <c r="B1772" s="61" t="s">
        <v>3826</v>
      </c>
      <c r="C1772" s="61"/>
      <c r="D1772" s="61"/>
      <c r="E1772" s="726" t="s">
        <v>1697</v>
      </c>
      <c r="F1772" s="61">
        <v>10</v>
      </c>
      <c r="G1772" s="61" t="s">
        <v>3477</v>
      </c>
    </row>
    <row r="1773" spans="1:7" hidden="1">
      <c r="B1773" s="61" t="s">
        <v>3827</v>
      </c>
      <c r="C1773" s="61"/>
      <c r="D1773" s="61"/>
      <c r="E1773" s="726" t="s">
        <v>1697</v>
      </c>
      <c r="F1773" s="61">
        <v>30</v>
      </c>
      <c r="G1773" s="61" t="s">
        <v>3477</v>
      </c>
    </row>
    <row r="1774" spans="1:7" hidden="1">
      <c r="B1774" s="61" t="s">
        <v>3828</v>
      </c>
      <c r="C1774" s="61"/>
      <c r="D1774" s="61"/>
      <c r="E1774" s="726" t="s">
        <v>1697</v>
      </c>
      <c r="F1774" s="61">
        <v>12</v>
      </c>
      <c r="G1774" s="61" t="s">
        <v>4665</v>
      </c>
    </row>
    <row r="1775" spans="1:7" hidden="1">
      <c r="B1775" s="61" t="s">
        <v>2955</v>
      </c>
      <c r="C1775" s="61"/>
      <c r="D1775" s="61"/>
      <c r="E1775" s="726" t="s">
        <v>1697</v>
      </c>
      <c r="F1775" s="61">
        <v>9</v>
      </c>
      <c r="G1775" s="61" t="s">
        <v>4665</v>
      </c>
    </row>
    <row r="1776" spans="1:7" hidden="1">
      <c r="A1776" s="865">
        <v>2</v>
      </c>
      <c r="B1776" s="61" t="s">
        <v>4651</v>
      </c>
      <c r="C1776" s="61"/>
      <c r="D1776" s="61"/>
      <c r="E1776" s="726"/>
      <c r="F1776" s="61"/>
      <c r="G1776" s="61"/>
    </row>
    <row r="1777" spans="1:7" hidden="1">
      <c r="B1777" s="61" t="s">
        <v>2504</v>
      </c>
      <c r="C1777" s="61"/>
      <c r="D1777" s="61"/>
      <c r="E1777" s="726" t="s">
        <v>1697</v>
      </c>
      <c r="F1777" s="61">
        <v>53</v>
      </c>
      <c r="G1777" s="61" t="s">
        <v>3483</v>
      </c>
    </row>
    <row r="1778" spans="1:7" hidden="1">
      <c r="B1778" s="61" t="s">
        <v>5723</v>
      </c>
      <c r="C1778" s="61"/>
      <c r="D1778" s="61"/>
      <c r="E1778" s="726"/>
      <c r="F1778" s="61"/>
      <c r="G1778" s="61"/>
    </row>
    <row r="1779" spans="1:7" hidden="1">
      <c r="B1779" s="61"/>
      <c r="C1779" s="61" t="s">
        <v>2956</v>
      </c>
      <c r="D1779" s="61"/>
      <c r="E1779" s="726" t="s">
        <v>1697</v>
      </c>
      <c r="F1779" s="61">
        <v>12</v>
      </c>
      <c r="G1779" s="61" t="s">
        <v>4665</v>
      </c>
    </row>
    <row r="1780" spans="1:7" hidden="1">
      <c r="B1780" s="61" t="s">
        <v>1913</v>
      </c>
      <c r="C1780" s="61"/>
      <c r="D1780" s="61"/>
      <c r="E1780" s="726"/>
      <c r="F1780" s="61"/>
      <c r="G1780" s="61"/>
    </row>
    <row r="1781" spans="1:7" hidden="1">
      <c r="B1781" s="61"/>
      <c r="C1781" s="61" t="s">
        <v>2957</v>
      </c>
      <c r="D1781" s="61"/>
      <c r="E1781" s="726" t="s">
        <v>1697</v>
      </c>
      <c r="F1781" s="241">
        <v>35</v>
      </c>
      <c r="G1781" s="61" t="s">
        <v>4665</v>
      </c>
    </row>
    <row r="1782" spans="1:7" hidden="1">
      <c r="B1782" s="61"/>
      <c r="C1782" s="61"/>
      <c r="D1782" s="222" t="s">
        <v>1518</v>
      </c>
      <c r="E1782" s="726" t="s">
        <v>1697</v>
      </c>
      <c r="F1782" s="61">
        <v>47</v>
      </c>
      <c r="G1782" s="61" t="s">
        <v>4665</v>
      </c>
    </row>
    <row r="1783" spans="1:7" hidden="1">
      <c r="B1783" s="61" t="s">
        <v>4752</v>
      </c>
      <c r="C1783" s="61"/>
      <c r="D1783" s="61"/>
      <c r="E1783" s="726"/>
      <c r="F1783" s="61"/>
      <c r="G1783" s="61"/>
    </row>
    <row r="1784" spans="1:7" hidden="1">
      <c r="B1784" s="61" t="s">
        <v>2657</v>
      </c>
      <c r="C1784" s="61"/>
      <c r="D1784" s="61"/>
      <c r="E1784" s="726"/>
      <c r="F1784" s="61"/>
      <c r="G1784" s="61"/>
    </row>
    <row r="1785" spans="1:7" hidden="1">
      <c r="A1785" s="865">
        <v>3</v>
      </c>
      <c r="B1785" s="61" t="s">
        <v>4249</v>
      </c>
      <c r="C1785" s="61"/>
      <c r="D1785" s="61"/>
      <c r="E1785" s="61"/>
      <c r="F1785" s="61"/>
      <c r="G1785" s="61"/>
    </row>
    <row r="1786" spans="1:7" hidden="1">
      <c r="B1786" s="61" t="s">
        <v>1818</v>
      </c>
      <c r="C1786" s="61"/>
      <c r="D1786" s="61"/>
      <c r="E1786" s="61"/>
      <c r="F1786" s="61"/>
      <c r="G1786" s="61"/>
    </row>
    <row r="1787" spans="1:7" hidden="1">
      <c r="B1787" s="61" t="s">
        <v>6585</v>
      </c>
      <c r="C1787" s="61"/>
      <c r="D1787" s="61"/>
      <c r="E1787" s="61"/>
      <c r="F1787" s="61"/>
      <c r="G1787" s="61"/>
    </row>
    <row r="1788" spans="1:7" hidden="1">
      <c r="B1788" s="61" t="s">
        <v>6778</v>
      </c>
      <c r="C1788" s="61"/>
      <c r="D1788" s="61"/>
      <c r="E1788" s="61"/>
      <c r="F1788" s="61"/>
      <c r="G1788" s="61"/>
    </row>
    <row r="1789" spans="1:7" hidden="1">
      <c r="B1789" s="61" t="s">
        <v>1887</v>
      </c>
      <c r="C1789" s="61"/>
      <c r="D1789" s="61"/>
      <c r="E1789" s="61"/>
      <c r="F1789" s="61"/>
      <c r="G1789" s="61"/>
    </row>
    <row r="1790" spans="1:7" hidden="1">
      <c r="B1790" s="61" t="s">
        <v>1888</v>
      </c>
      <c r="C1790" s="61"/>
      <c r="D1790" s="61"/>
      <c r="E1790" s="61"/>
      <c r="F1790" s="61"/>
      <c r="G1790" s="61"/>
    </row>
    <row r="1791" spans="1:7" hidden="1">
      <c r="B1791" s="61"/>
      <c r="C1791" s="61"/>
      <c r="D1791" s="61"/>
      <c r="E1791" s="61"/>
      <c r="F1791" s="61"/>
      <c r="G1791" s="61"/>
    </row>
    <row r="1792" spans="1:7" hidden="1">
      <c r="A1792" s="865">
        <v>4</v>
      </c>
      <c r="B1792" s="60" t="s">
        <v>4900</v>
      </c>
      <c r="C1792" s="60"/>
      <c r="D1792" s="60"/>
      <c r="E1792" s="60"/>
      <c r="F1792" s="60"/>
      <c r="G1792" s="61"/>
    </row>
    <row r="1793" spans="2:7" hidden="1">
      <c r="B1793" s="1269" t="s">
        <v>4901</v>
      </c>
      <c r="C1793" s="1269"/>
      <c r="D1793" s="50" t="s">
        <v>2468</v>
      </c>
      <c r="E1793" s="50" t="s">
        <v>4902</v>
      </c>
      <c r="F1793" s="50" t="s">
        <v>4903</v>
      </c>
      <c r="G1793" s="50" t="s">
        <v>6199</v>
      </c>
    </row>
    <row r="1794" spans="2:7" hidden="1">
      <c r="B1794" s="1269"/>
      <c r="C1794" s="1269"/>
      <c r="D1794" s="50"/>
      <c r="E1794" s="50" t="s">
        <v>4904</v>
      </c>
      <c r="F1794" s="50" t="s">
        <v>4905</v>
      </c>
      <c r="G1794" s="50"/>
    </row>
    <row r="1795" spans="2:7" hidden="1">
      <c r="B1795" s="1269"/>
      <c r="C1795" s="1269"/>
      <c r="D1795" s="50"/>
      <c r="E1795" s="50" t="s">
        <v>6307</v>
      </c>
      <c r="F1795" s="69"/>
      <c r="G1795" s="50"/>
    </row>
    <row r="1796" spans="2:7" hidden="1">
      <c r="B1796" s="50" t="s">
        <v>6255</v>
      </c>
      <c r="C1796" s="50"/>
      <c r="D1796" s="69">
        <v>1</v>
      </c>
      <c r="E1796" s="69">
        <v>3</v>
      </c>
      <c r="F1796" s="69">
        <v>3</v>
      </c>
      <c r="G1796" s="69">
        <v>6</v>
      </c>
    </row>
    <row r="1797" spans="2:7" hidden="1">
      <c r="B1797" s="50" t="s">
        <v>5160</v>
      </c>
      <c r="C1797" s="50"/>
      <c r="D1797" s="69">
        <v>1</v>
      </c>
      <c r="E1797" s="69">
        <v>2</v>
      </c>
      <c r="F1797" s="69" t="s">
        <v>5854</v>
      </c>
      <c r="G1797" s="69">
        <v>3</v>
      </c>
    </row>
    <row r="1798" spans="2:7" hidden="1">
      <c r="B1798" s="50" t="s">
        <v>5161</v>
      </c>
      <c r="C1798" s="50"/>
      <c r="D1798" s="69">
        <v>1</v>
      </c>
      <c r="E1798" s="69" t="s">
        <v>5854</v>
      </c>
      <c r="F1798" s="69">
        <v>5</v>
      </c>
      <c r="G1798" s="69">
        <v>5</v>
      </c>
    </row>
    <row r="1799" spans="2:7" hidden="1">
      <c r="B1799" s="50" t="s">
        <v>6782</v>
      </c>
      <c r="C1799" s="50"/>
      <c r="D1799" s="69">
        <v>1</v>
      </c>
      <c r="E1799" s="69">
        <v>1</v>
      </c>
      <c r="F1799" s="69" t="s">
        <v>5854</v>
      </c>
      <c r="G1799" s="69">
        <v>2</v>
      </c>
    </row>
    <row r="1800" spans="2:7" hidden="1">
      <c r="B1800" s="50" t="s">
        <v>6783</v>
      </c>
      <c r="C1800" s="50"/>
      <c r="D1800" s="69">
        <v>1</v>
      </c>
      <c r="E1800" s="69">
        <v>2</v>
      </c>
      <c r="F1800" s="69" t="s">
        <v>5854</v>
      </c>
      <c r="G1800" s="69">
        <v>4</v>
      </c>
    </row>
    <row r="1801" spans="2:7" hidden="1">
      <c r="B1801" s="50" t="s">
        <v>6784</v>
      </c>
      <c r="C1801" s="50"/>
      <c r="D1801" s="69">
        <v>1</v>
      </c>
      <c r="E1801" s="69">
        <v>2</v>
      </c>
      <c r="F1801" s="69" t="s">
        <v>5854</v>
      </c>
      <c r="G1801" s="69">
        <v>4</v>
      </c>
    </row>
    <row r="1802" spans="2:7" hidden="1">
      <c r="B1802" s="50" t="s">
        <v>3271</v>
      </c>
      <c r="C1802" s="50"/>
      <c r="D1802" s="69">
        <v>1</v>
      </c>
      <c r="E1802" s="69">
        <v>1</v>
      </c>
      <c r="F1802" s="69" t="s">
        <v>5854</v>
      </c>
      <c r="G1802" s="69">
        <v>2</v>
      </c>
    </row>
    <row r="1803" spans="2:7" hidden="1">
      <c r="B1803" s="50" t="s">
        <v>2961</v>
      </c>
      <c r="C1803" s="50"/>
      <c r="D1803" s="69">
        <v>1</v>
      </c>
      <c r="E1803" s="69">
        <v>1</v>
      </c>
      <c r="F1803" s="69" t="s">
        <v>5854</v>
      </c>
      <c r="G1803" s="69">
        <v>2</v>
      </c>
    </row>
    <row r="1804" spans="2:7" hidden="1">
      <c r="B1804" s="50" t="s">
        <v>2962</v>
      </c>
      <c r="C1804" s="50"/>
      <c r="D1804" s="69">
        <v>1</v>
      </c>
      <c r="E1804" s="69">
        <v>1</v>
      </c>
      <c r="F1804" s="69" t="s">
        <v>5854</v>
      </c>
      <c r="G1804" s="69">
        <v>1</v>
      </c>
    </row>
    <row r="1805" spans="2:7" hidden="1">
      <c r="B1805" s="50" t="s">
        <v>3986</v>
      </c>
      <c r="C1805" s="50"/>
      <c r="D1805" s="69">
        <v>1</v>
      </c>
      <c r="E1805" s="69">
        <v>1</v>
      </c>
      <c r="F1805" s="69" t="s">
        <v>5854</v>
      </c>
      <c r="G1805" s="69">
        <v>2</v>
      </c>
    </row>
    <row r="1806" spans="2:7" hidden="1">
      <c r="B1806" s="50" t="s">
        <v>2964</v>
      </c>
      <c r="C1806" s="50"/>
      <c r="D1806" s="69">
        <v>1</v>
      </c>
      <c r="E1806" s="69">
        <v>1</v>
      </c>
      <c r="F1806" s="69" t="s">
        <v>5854</v>
      </c>
      <c r="G1806" s="69">
        <v>2</v>
      </c>
    </row>
    <row r="1807" spans="2:7" hidden="1">
      <c r="B1807" s="50" t="s">
        <v>3987</v>
      </c>
      <c r="C1807" s="50"/>
      <c r="D1807" s="69">
        <v>1</v>
      </c>
      <c r="E1807" s="69">
        <v>1</v>
      </c>
      <c r="F1807" s="69" t="s">
        <v>5854</v>
      </c>
      <c r="G1807" s="69">
        <v>2</v>
      </c>
    </row>
    <row r="1808" spans="2:7" hidden="1">
      <c r="B1808" s="50" t="s">
        <v>1691</v>
      </c>
      <c r="C1808" s="50"/>
      <c r="D1808" s="69">
        <v>1</v>
      </c>
      <c r="E1808" s="69">
        <v>1</v>
      </c>
      <c r="F1808" s="69" t="s">
        <v>5854</v>
      </c>
      <c r="G1808" s="69">
        <v>1</v>
      </c>
    </row>
    <row r="1809" spans="1:7" hidden="1">
      <c r="B1809" s="69" t="s">
        <v>2656</v>
      </c>
      <c r="C1809" s="69"/>
      <c r="D1809" s="69">
        <f>SUM(D1796:D1808)</f>
        <v>13</v>
      </c>
      <c r="E1809" s="69">
        <f>SUM(E1796:E1808)</f>
        <v>17</v>
      </c>
      <c r="F1809" s="69">
        <f>SUM(F1796:F1808)</f>
        <v>8</v>
      </c>
      <c r="G1809" s="69">
        <f>SUM(G1796:G1808)</f>
        <v>36</v>
      </c>
    </row>
    <row r="1810" spans="1:7" hidden="1">
      <c r="A1810" s="865">
        <v>5</v>
      </c>
      <c r="B1810" s="61" t="s">
        <v>673</v>
      </c>
      <c r="C1810" s="61"/>
      <c r="D1810" s="61"/>
      <c r="E1810" s="61"/>
      <c r="F1810" s="61"/>
      <c r="G1810" s="61"/>
    </row>
    <row r="1811" spans="1:7" hidden="1">
      <c r="B1811" s="61" t="s">
        <v>6017</v>
      </c>
      <c r="C1811" s="61"/>
      <c r="D1811" s="61"/>
      <c r="E1811" s="61"/>
      <c r="F1811" s="61"/>
      <c r="G1811" s="61"/>
    </row>
    <row r="1812" spans="1:7" hidden="1">
      <c r="B1812" s="61" t="s">
        <v>2385</v>
      </c>
      <c r="C1812" s="61"/>
      <c r="D1812" s="61"/>
      <c r="E1812" s="61"/>
      <c r="F1812" s="61"/>
      <c r="G1812" s="61"/>
    </row>
    <row r="1813" spans="1:7" hidden="1">
      <c r="B1813" s="61" t="s">
        <v>4751</v>
      </c>
      <c r="C1813" s="61"/>
      <c r="D1813" s="61"/>
      <c r="E1813" s="61"/>
      <c r="F1813" s="61"/>
      <c r="G1813" s="61"/>
    </row>
    <row r="1814" spans="1:7" hidden="1">
      <c r="A1814" s="865">
        <v>6</v>
      </c>
      <c r="B1814" s="26" t="s">
        <v>2366</v>
      </c>
    </row>
    <row r="1815" spans="1:7" hidden="1">
      <c r="B1815" s="26" t="s">
        <v>4045</v>
      </c>
      <c r="C1815" s="68">
        <f>'BASIC DATA'!D373</f>
        <v>7800</v>
      </c>
      <c r="D1815" s="26" t="s">
        <v>2290</v>
      </c>
      <c r="E1815" s="315" t="s">
        <v>1698</v>
      </c>
      <c r="F1815" s="68">
        <f>C1815</f>
        <v>7800</v>
      </c>
    </row>
    <row r="1816" spans="1:7" hidden="1">
      <c r="B1816" s="26" t="s">
        <v>3231</v>
      </c>
      <c r="E1816" s="322" t="s">
        <v>1697</v>
      </c>
      <c r="F1816" s="316">
        <v>1000</v>
      </c>
      <c r="G1816" s="26" t="s">
        <v>4665</v>
      </c>
    </row>
    <row r="1817" spans="1:7" hidden="1">
      <c r="B1817" s="26" t="s">
        <v>3232</v>
      </c>
      <c r="C1817" s="26" t="s">
        <v>7593</v>
      </c>
      <c r="E1817" s="315" t="s">
        <v>1698</v>
      </c>
      <c r="F1817" s="68">
        <f>F1815/F1816</f>
        <v>7.8</v>
      </c>
    </row>
    <row r="1818" spans="1:7" hidden="1">
      <c r="B1818" s="26" t="s">
        <v>1136</v>
      </c>
      <c r="C1818" s="68">
        <f>'BASIC DATA'!D371</f>
        <v>14500</v>
      </c>
      <c r="D1818" s="26" t="s">
        <v>2290</v>
      </c>
      <c r="E1818" s="315" t="s">
        <v>1698</v>
      </c>
      <c r="F1818" s="68">
        <f>C1818</f>
        <v>14500</v>
      </c>
    </row>
    <row r="1819" spans="1:7" hidden="1">
      <c r="B1819" s="26" t="s">
        <v>5868</v>
      </c>
      <c r="E1819" s="322" t="s">
        <v>1697</v>
      </c>
      <c r="F1819" s="316">
        <v>600</v>
      </c>
      <c r="G1819" s="26" t="s">
        <v>4665</v>
      </c>
    </row>
    <row r="1820" spans="1:7" hidden="1">
      <c r="B1820" s="26" t="s">
        <v>3234</v>
      </c>
      <c r="C1820" s="26" t="s">
        <v>7593</v>
      </c>
      <c r="E1820" s="315" t="s">
        <v>1698</v>
      </c>
      <c r="F1820" s="68">
        <f>F1818/F1819</f>
        <v>24.166666666666668</v>
      </c>
    </row>
    <row r="1821" spans="1:7">
      <c r="B1821" s="26"/>
    </row>
    <row r="1822" spans="1:7">
      <c r="A1822" s="865" t="s">
        <v>3984</v>
      </c>
      <c r="C1822" s="203" t="s">
        <v>2367</v>
      </c>
      <c r="E1822" s="171" t="s">
        <v>297</v>
      </c>
      <c r="F1822" s="692">
        <v>5.069</v>
      </c>
      <c r="G1822" s="26" t="s">
        <v>4768</v>
      </c>
    </row>
    <row r="1823" spans="1:7">
      <c r="B1823" s="79" t="s">
        <v>2368</v>
      </c>
      <c r="F1823" s="211">
        <v>50</v>
      </c>
      <c r="G1823" s="26" t="s">
        <v>4769</v>
      </c>
    </row>
    <row r="1824" spans="1:7">
      <c r="B1824" s="95" t="s">
        <v>2369</v>
      </c>
      <c r="C1824" s="157" t="s">
        <v>6374</v>
      </c>
      <c r="D1824" s="95" t="s">
        <v>2370</v>
      </c>
      <c r="E1824" s="95" t="s">
        <v>1166</v>
      </c>
      <c r="F1824" s="95" t="s">
        <v>2371</v>
      </c>
      <c r="G1824" s="95" t="s">
        <v>2372</v>
      </c>
    </row>
    <row r="1825" spans="2:7">
      <c r="B1825" s="114"/>
      <c r="C1825" s="154"/>
      <c r="D1825" s="114"/>
      <c r="E1825" s="114"/>
      <c r="F1825" s="114" t="s">
        <v>3485</v>
      </c>
      <c r="G1825" s="114" t="s">
        <v>3485</v>
      </c>
    </row>
    <row r="1826" spans="2:7">
      <c r="B1826" s="95">
        <v>1</v>
      </c>
      <c r="C1826" s="135" t="s">
        <v>4770</v>
      </c>
      <c r="D1826" s="451"/>
      <c r="E1826" s="190"/>
      <c r="F1826" s="190"/>
      <c r="G1826" s="190"/>
    </row>
    <row r="1827" spans="2:7">
      <c r="B1827" s="105"/>
      <c r="C1827" s="135" t="s">
        <v>4915</v>
      </c>
      <c r="D1827" s="319" t="s">
        <v>3478</v>
      </c>
      <c r="E1827" s="190">
        <v>420</v>
      </c>
      <c r="F1827" s="214">
        <f>'BASIC DATA'!D97/1000</f>
        <v>37.5</v>
      </c>
      <c r="G1827" s="190">
        <f>E1827*F1827</f>
        <v>15750</v>
      </c>
    </row>
    <row r="1828" spans="2:7">
      <c r="B1828" s="105"/>
      <c r="C1828" s="135" t="s">
        <v>4916</v>
      </c>
      <c r="D1828" s="319" t="s">
        <v>3478</v>
      </c>
      <c r="E1828" s="190">
        <v>225</v>
      </c>
      <c r="F1828" s="214">
        <f>'BASIC DATA'!D98/1000</f>
        <v>37.4</v>
      </c>
      <c r="G1828" s="190">
        <f t="shared" ref="G1828:G1854" si="36">E1828*F1828</f>
        <v>8415</v>
      </c>
    </row>
    <row r="1829" spans="2:7">
      <c r="B1829" s="105">
        <v>2</v>
      </c>
      <c r="C1829" s="135" t="s">
        <v>4917</v>
      </c>
      <c r="D1829" s="319"/>
      <c r="E1829" s="190"/>
      <c r="F1829" s="214"/>
      <c r="G1829" s="190"/>
    </row>
    <row r="1830" spans="2:7">
      <c r="B1830" s="105"/>
      <c r="C1830" s="135" t="s">
        <v>4987</v>
      </c>
      <c r="D1830" s="319" t="s">
        <v>3478</v>
      </c>
      <c r="E1830" s="190">
        <v>1290</v>
      </c>
      <c r="F1830" s="214">
        <f>'BASIC DATA'!D165</f>
        <v>235</v>
      </c>
      <c r="G1830" s="190">
        <f t="shared" si="36"/>
        <v>303150</v>
      </c>
    </row>
    <row r="1831" spans="2:7">
      <c r="B1831" s="105"/>
      <c r="C1831" s="135" t="s">
        <v>5969</v>
      </c>
      <c r="D1831" s="319" t="s">
        <v>3478</v>
      </c>
      <c r="E1831" s="190">
        <v>98</v>
      </c>
      <c r="F1831" s="214">
        <f>'BASIC DATA'!D166</f>
        <v>225</v>
      </c>
      <c r="G1831" s="190">
        <f t="shared" si="36"/>
        <v>22050</v>
      </c>
    </row>
    <row r="1832" spans="2:7">
      <c r="B1832" s="105"/>
      <c r="C1832" s="135" t="s">
        <v>6874</v>
      </c>
      <c r="D1832" s="319" t="s">
        <v>3478</v>
      </c>
      <c r="E1832" s="190">
        <v>650</v>
      </c>
      <c r="F1832" s="214">
        <f>'BASIC DATA'!D167</f>
        <v>190</v>
      </c>
      <c r="G1832" s="190">
        <f t="shared" si="36"/>
        <v>123500</v>
      </c>
    </row>
    <row r="1833" spans="2:7">
      <c r="B1833" s="105"/>
      <c r="C1833" s="135" t="s">
        <v>5971</v>
      </c>
      <c r="D1833" s="319" t="s">
        <v>3478</v>
      </c>
      <c r="E1833" s="190">
        <v>250</v>
      </c>
      <c r="F1833" s="214">
        <f>'BASIC DATA'!D167</f>
        <v>190</v>
      </c>
      <c r="G1833" s="190">
        <f t="shared" si="36"/>
        <v>47500</v>
      </c>
    </row>
    <row r="1834" spans="2:7">
      <c r="B1834" s="105">
        <v>3</v>
      </c>
      <c r="C1834" s="135" t="s">
        <v>4771</v>
      </c>
      <c r="D1834" s="319"/>
      <c r="E1834" s="190"/>
      <c r="F1834" s="214"/>
      <c r="G1834" s="190"/>
    </row>
    <row r="1835" spans="2:7">
      <c r="B1835" s="105"/>
      <c r="C1835" s="135" t="s">
        <v>5330</v>
      </c>
      <c r="D1835" s="319" t="s">
        <v>3478</v>
      </c>
      <c r="E1835" s="190">
        <v>350</v>
      </c>
      <c r="F1835" s="214">
        <f>'BASIC DATA'!D159</f>
        <v>235</v>
      </c>
      <c r="G1835" s="190">
        <f t="shared" si="36"/>
        <v>82250</v>
      </c>
    </row>
    <row r="1836" spans="2:7">
      <c r="B1836" s="105"/>
      <c r="C1836" s="135" t="s">
        <v>4773</v>
      </c>
      <c r="D1836" s="319" t="s">
        <v>3478</v>
      </c>
      <c r="E1836" s="190">
        <v>96</v>
      </c>
      <c r="F1836" s="214">
        <f>'BASIC DATA'!D160</f>
        <v>450</v>
      </c>
      <c r="G1836" s="190">
        <f t="shared" si="36"/>
        <v>43200</v>
      </c>
    </row>
    <row r="1837" spans="2:7">
      <c r="B1837" s="105">
        <v>4</v>
      </c>
      <c r="C1837" s="135" t="s">
        <v>5973</v>
      </c>
      <c r="D1837" s="319"/>
      <c r="E1837" s="190"/>
      <c r="F1837" s="214"/>
      <c r="G1837" s="190"/>
    </row>
    <row r="1838" spans="2:7">
      <c r="B1838" s="105"/>
      <c r="C1838" s="135" t="s">
        <v>5974</v>
      </c>
      <c r="D1838" s="319" t="s">
        <v>3478</v>
      </c>
      <c r="E1838" s="190">
        <v>100</v>
      </c>
      <c r="F1838" s="214">
        <f>'BASIC DATA'!D163</f>
        <v>970</v>
      </c>
      <c r="G1838" s="190">
        <f t="shared" si="36"/>
        <v>97000</v>
      </c>
    </row>
    <row r="1839" spans="2:7" ht="36">
      <c r="B1839" s="105">
        <v>5</v>
      </c>
      <c r="C1839" s="91" t="s">
        <v>2976</v>
      </c>
      <c r="D1839" s="319" t="s">
        <v>3478</v>
      </c>
      <c r="E1839" s="190">
        <v>435</v>
      </c>
      <c r="F1839" s="214">
        <f>'BASIC DATA'!D183</f>
        <v>200</v>
      </c>
      <c r="G1839" s="190">
        <f t="shared" si="36"/>
        <v>87000</v>
      </c>
    </row>
    <row r="1840" spans="2:7">
      <c r="B1840" s="105">
        <v>6</v>
      </c>
      <c r="C1840" s="135" t="s">
        <v>5976</v>
      </c>
      <c r="D1840" s="319" t="s">
        <v>3478</v>
      </c>
      <c r="E1840" s="190">
        <v>26</v>
      </c>
      <c r="F1840" s="214">
        <f>'BASIC DATA'!D84</f>
        <v>80</v>
      </c>
      <c r="G1840" s="190">
        <f t="shared" si="36"/>
        <v>2080</v>
      </c>
    </row>
    <row r="1841" spans="2:7">
      <c r="B1841" s="105">
        <v>7</v>
      </c>
      <c r="C1841" s="135" t="s">
        <v>5977</v>
      </c>
      <c r="D1841" s="319" t="s">
        <v>4089</v>
      </c>
      <c r="E1841" s="190">
        <v>1</v>
      </c>
      <c r="F1841" s="214">
        <f>'BASIC DATA'!D382</f>
        <v>224400</v>
      </c>
      <c r="G1841" s="190">
        <f t="shared" si="36"/>
        <v>224400</v>
      </c>
    </row>
    <row r="1842" spans="2:7">
      <c r="B1842" s="105">
        <v>8</v>
      </c>
      <c r="C1842" s="135" t="s">
        <v>5332</v>
      </c>
      <c r="D1842" s="319" t="s">
        <v>4089</v>
      </c>
      <c r="E1842" s="190">
        <v>1</v>
      </c>
      <c r="F1842" s="214">
        <f>'BASIC DATA'!D385</f>
        <v>72600</v>
      </c>
      <c r="G1842" s="190">
        <f t="shared" si="36"/>
        <v>72600</v>
      </c>
    </row>
    <row r="1843" spans="2:7">
      <c r="B1843" s="105">
        <v>9</v>
      </c>
      <c r="C1843" s="135" t="s">
        <v>5979</v>
      </c>
      <c r="D1843" s="319" t="s">
        <v>4089</v>
      </c>
      <c r="E1843" s="190">
        <v>1</v>
      </c>
      <c r="F1843" s="214">
        <f>'BASIC DATA'!D390</f>
        <v>28820</v>
      </c>
      <c r="G1843" s="190">
        <f t="shared" si="36"/>
        <v>28820</v>
      </c>
    </row>
    <row r="1844" spans="2:7">
      <c r="B1844" s="105">
        <v>10</v>
      </c>
      <c r="C1844" s="135" t="s">
        <v>6185</v>
      </c>
      <c r="D1844" s="319" t="s">
        <v>4089</v>
      </c>
      <c r="E1844" s="190">
        <v>1</v>
      </c>
      <c r="F1844" s="214">
        <f>'BASIC DATA'!D391</f>
        <v>195800</v>
      </c>
      <c r="G1844" s="190">
        <f t="shared" si="36"/>
        <v>195800</v>
      </c>
    </row>
    <row r="1845" spans="2:7">
      <c r="B1845" s="105">
        <v>11</v>
      </c>
      <c r="C1845" s="135" t="s">
        <v>6186</v>
      </c>
      <c r="D1845" s="319" t="s">
        <v>4089</v>
      </c>
      <c r="E1845" s="190">
        <v>1</v>
      </c>
      <c r="F1845" s="214">
        <f>'BASIC DATA'!D392</f>
        <v>35200</v>
      </c>
      <c r="G1845" s="190">
        <f t="shared" si="36"/>
        <v>35200</v>
      </c>
    </row>
    <row r="1846" spans="2:7" ht="36">
      <c r="B1846" s="105">
        <v>12</v>
      </c>
      <c r="C1846" s="91" t="s">
        <v>6400</v>
      </c>
      <c r="D1846" s="319" t="s">
        <v>2173</v>
      </c>
      <c r="E1846" s="190">
        <v>1</v>
      </c>
      <c r="F1846" s="214">
        <f>'BASIC DATA'!D393</f>
        <v>50380</v>
      </c>
      <c r="G1846" s="190">
        <f t="shared" si="36"/>
        <v>50380</v>
      </c>
    </row>
    <row r="1847" spans="2:7">
      <c r="B1847" s="105">
        <v>13</v>
      </c>
      <c r="C1847" s="135" t="s">
        <v>958</v>
      </c>
      <c r="D1847" s="319" t="s">
        <v>3477</v>
      </c>
      <c r="E1847" s="190">
        <v>30</v>
      </c>
      <c r="F1847" s="214">
        <f>'BASIC DATA'!D87</f>
        <v>42</v>
      </c>
      <c r="G1847" s="190">
        <f t="shared" si="36"/>
        <v>1260</v>
      </c>
    </row>
    <row r="1848" spans="2:7">
      <c r="B1848" s="105">
        <v>14</v>
      </c>
      <c r="C1848" s="135" t="s">
        <v>6815</v>
      </c>
      <c r="D1848" s="319" t="s">
        <v>3477</v>
      </c>
      <c r="E1848" s="190">
        <v>10</v>
      </c>
      <c r="F1848" s="214">
        <f>'BASIC DATA'!D28</f>
        <v>335</v>
      </c>
      <c r="G1848" s="190">
        <f t="shared" si="36"/>
        <v>3350</v>
      </c>
    </row>
    <row r="1849" spans="2:7">
      <c r="B1849" s="105">
        <v>15</v>
      </c>
      <c r="C1849" s="135" t="s">
        <v>6816</v>
      </c>
      <c r="D1849" s="319" t="s">
        <v>2059</v>
      </c>
      <c r="E1849" s="190">
        <v>44</v>
      </c>
      <c r="F1849" s="214">
        <f>'BASIC DATA'!$D$110</f>
        <v>13</v>
      </c>
      <c r="G1849" s="190">
        <f t="shared" si="36"/>
        <v>572</v>
      </c>
    </row>
    <row r="1850" spans="2:7">
      <c r="B1850" s="105">
        <v>16</v>
      </c>
      <c r="C1850" s="135" t="s">
        <v>4655</v>
      </c>
      <c r="D1850" s="319" t="s">
        <v>2059</v>
      </c>
      <c r="E1850" s="190">
        <v>392</v>
      </c>
      <c r="F1850" s="214">
        <f>'BASIC DATA'!$D$181</f>
        <v>15</v>
      </c>
      <c r="G1850" s="190">
        <f t="shared" si="36"/>
        <v>5880</v>
      </c>
    </row>
    <row r="1851" spans="2:7">
      <c r="B1851" s="105">
        <v>17</v>
      </c>
      <c r="C1851" s="135" t="s">
        <v>5980</v>
      </c>
      <c r="D1851" s="319" t="s">
        <v>3478</v>
      </c>
      <c r="E1851" s="190">
        <v>50</v>
      </c>
      <c r="F1851" s="214">
        <f>'BASIC DATA'!D372</f>
        <v>275</v>
      </c>
      <c r="G1851" s="190">
        <f t="shared" si="36"/>
        <v>13750</v>
      </c>
    </row>
    <row r="1852" spans="2:7">
      <c r="B1852" s="105">
        <v>18</v>
      </c>
      <c r="C1852" s="135" t="s">
        <v>6556</v>
      </c>
      <c r="D1852" s="319" t="s">
        <v>2374</v>
      </c>
      <c r="E1852" s="190">
        <v>47</v>
      </c>
      <c r="F1852" s="214">
        <f>F1817</f>
        <v>7.8</v>
      </c>
      <c r="G1852" s="190">
        <f t="shared" si="36"/>
        <v>366.59999999999997</v>
      </c>
    </row>
    <row r="1853" spans="2:7">
      <c r="B1853" s="105">
        <v>19</v>
      </c>
      <c r="C1853" s="135" t="s">
        <v>6557</v>
      </c>
      <c r="D1853" s="319" t="s">
        <v>2374</v>
      </c>
      <c r="E1853" s="190">
        <v>12</v>
      </c>
      <c r="F1853" s="190">
        <f>F1820</f>
        <v>24.166666666666668</v>
      </c>
      <c r="G1853" s="190">
        <f t="shared" si="36"/>
        <v>290</v>
      </c>
    </row>
    <row r="1854" spans="2:7">
      <c r="B1854" s="114">
        <v>20</v>
      </c>
      <c r="C1854" s="135" t="s">
        <v>2373</v>
      </c>
      <c r="D1854" s="319" t="s">
        <v>2173</v>
      </c>
      <c r="E1854" s="190">
        <v>25</v>
      </c>
      <c r="F1854" s="214">
        <f>'BASIC DATA'!D359</f>
        <v>30</v>
      </c>
      <c r="G1854" s="190">
        <f t="shared" si="36"/>
        <v>750</v>
      </c>
    </row>
    <row r="1855" spans="2:7">
      <c r="B1855" s="92"/>
      <c r="C1855" s="193"/>
      <c r="D1855" s="151" t="s">
        <v>2376</v>
      </c>
      <c r="E1855" s="160"/>
      <c r="F1855" s="236" t="s">
        <v>1698</v>
      </c>
      <c r="G1855" s="318">
        <f>SUM(G1827:G1854)</f>
        <v>1465313.6</v>
      </c>
    </row>
    <row r="1856" spans="2:7"/>
    <row r="1857" spans="2:7">
      <c r="B1857" s="79" t="s">
        <v>2377</v>
      </c>
    </row>
    <row r="1858" spans="2:7">
      <c r="B1858" s="95" t="s">
        <v>2369</v>
      </c>
      <c r="C1858" s="157" t="s">
        <v>2378</v>
      </c>
      <c r="D1858" s="95" t="s">
        <v>2370</v>
      </c>
      <c r="E1858" s="95" t="s">
        <v>1166</v>
      </c>
      <c r="F1858" s="95" t="s">
        <v>2371</v>
      </c>
      <c r="G1858" s="95" t="s">
        <v>2372</v>
      </c>
    </row>
    <row r="1859" spans="2:7">
      <c r="B1859" s="114"/>
      <c r="C1859" s="154"/>
      <c r="D1859" s="114"/>
      <c r="E1859" s="114"/>
      <c r="F1859" s="114" t="s">
        <v>3485</v>
      </c>
      <c r="G1859" s="114" t="s">
        <v>3485</v>
      </c>
    </row>
    <row r="1860" spans="2:7">
      <c r="B1860" s="95">
        <v>1</v>
      </c>
      <c r="C1860" s="135" t="s">
        <v>6558</v>
      </c>
      <c r="D1860" s="451" t="s">
        <v>2374</v>
      </c>
      <c r="E1860" s="190">
        <v>47</v>
      </c>
      <c r="F1860" s="190">
        <f>'HIRE CHARGES'!D556</f>
        <v>16</v>
      </c>
      <c r="G1860" s="190">
        <f>E1860*F1860</f>
        <v>752</v>
      </c>
    </row>
    <row r="1861" spans="2:7">
      <c r="B1861" s="317"/>
      <c r="C1861" s="135" t="s">
        <v>2379</v>
      </c>
      <c r="D1861" s="319" t="s">
        <v>2374</v>
      </c>
      <c r="E1861" s="190">
        <v>47</v>
      </c>
      <c r="F1861" s="190">
        <f>'HIRE CHARGES'!E556</f>
        <v>67.2</v>
      </c>
      <c r="G1861" s="190">
        <f t="shared" ref="G1861:G1872" si="37">E1861*F1861</f>
        <v>3158.4</v>
      </c>
    </row>
    <row r="1862" spans="2:7">
      <c r="B1862" s="105">
        <v>2</v>
      </c>
      <c r="C1862" s="135" t="s">
        <v>389</v>
      </c>
      <c r="D1862" s="319" t="s">
        <v>2374</v>
      </c>
      <c r="E1862" s="190">
        <v>2</v>
      </c>
      <c r="F1862" s="190">
        <f>'HIRE CHARGES'!D547</f>
        <v>867.1</v>
      </c>
      <c r="G1862" s="190">
        <f t="shared" si="37"/>
        <v>1734.2</v>
      </c>
    </row>
    <row r="1863" spans="2:7">
      <c r="B1863" s="317"/>
      <c r="C1863" s="135" t="s">
        <v>2379</v>
      </c>
      <c r="D1863" s="319" t="s">
        <v>2374</v>
      </c>
      <c r="E1863" s="190">
        <v>2</v>
      </c>
      <c r="F1863" s="190">
        <f>'HIRE CHARGES'!E547</f>
        <v>145.69999999999999</v>
      </c>
      <c r="G1863" s="190">
        <f t="shared" si="37"/>
        <v>291.39999999999998</v>
      </c>
    </row>
    <row r="1864" spans="2:7">
      <c r="B1864" s="105">
        <v>3</v>
      </c>
      <c r="C1864" s="135" t="s">
        <v>6060</v>
      </c>
      <c r="D1864" s="319" t="s">
        <v>2374</v>
      </c>
      <c r="E1864" s="190">
        <v>9</v>
      </c>
      <c r="F1864" s="190">
        <f>'HIRE CHARGES'!D539</f>
        <v>6.4</v>
      </c>
      <c r="G1864" s="190">
        <f t="shared" si="37"/>
        <v>57.6</v>
      </c>
    </row>
    <row r="1865" spans="2:7">
      <c r="B1865" s="317"/>
      <c r="C1865" s="135" t="s">
        <v>2379</v>
      </c>
      <c r="D1865" s="319" t="s">
        <v>2374</v>
      </c>
      <c r="E1865" s="190">
        <v>9</v>
      </c>
      <c r="F1865" s="190">
        <f>'HIRE CHARGES'!E539</f>
        <v>2.8</v>
      </c>
      <c r="G1865" s="190">
        <f t="shared" si="37"/>
        <v>25.2</v>
      </c>
    </row>
    <row r="1866" spans="2:7">
      <c r="B1866" s="105">
        <v>4</v>
      </c>
      <c r="C1866" s="135" t="s">
        <v>6561</v>
      </c>
      <c r="D1866" s="319" t="s">
        <v>2374</v>
      </c>
      <c r="E1866" s="190">
        <v>10</v>
      </c>
      <c r="F1866" s="190">
        <f>'HIRE CHARGES'!D550</f>
        <v>519.69999999999993</v>
      </c>
      <c r="G1866" s="190">
        <f t="shared" si="37"/>
        <v>5196.9999999999991</v>
      </c>
    </row>
    <row r="1867" spans="2:7">
      <c r="B1867" s="317"/>
      <c r="C1867" s="135" t="s">
        <v>2379</v>
      </c>
      <c r="D1867" s="319" t="s">
        <v>2374</v>
      </c>
      <c r="E1867" s="190">
        <v>10</v>
      </c>
      <c r="F1867" s="190">
        <f>'HIRE CHARGES'!E550</f>
        <v>299.89999999999998</v>
      </c>
      <c r="G1867" s="190">
        <f t="shared" si="37"/>
        <v>2999</v>
      </c>
    </row>
    <row r="1868" spans="2:7">
      <c r="B1868" s="105">
        <v>5</v>
      </c>
      <c r="C1868" s="135" t="s">
        <v>6562</v>
      </c>
      <c r="D1868" s="319" t="s">
        <v>2374</v>
      </c>
      <c r="E1868" s="190">
        <v>2</v>
      </c>
      <c r="F1868" s="190">
        <f>'HIRE CHARGES'!D551</f>
        <v>22.5</v>
      </c>
      <c r="G1868" s="190">
        <f t="shared" si="37"/>
        <v>45</v>
      </c>
    </row>
    <row r="1869" spans="2:7">
      <c r="B1869" s="317"/>
      <c r="C1869" s="135" t="s">
        <v>2379</v>
      </c>
      <c r="D1869" s="319" t="s">
        <v>2374</v>
      </c>
      <c r="E1869" s="190">
        <v>2</v>
      </c>
      <c r="F1869" s="190">
        <f>'HIRE CHARGES'!E551</f>
        <v>28</v>
      </c>
      <c r="G1869" s="190">
        <f t="shared" si="37"/>
        <v>56</v>
      </c>
    </row>
    <row r="1870" spans="2:7">
      <c r="B1870" s="105">
        <v>6</v>
      </c>
      <c r="C1870" s="135" t="s">
        <v>5539</v>
      </c>
      <c r="D1870" s="319" t="s">
        <v>2374</v>
      </c>
      <c r="E1870" s="190">
        <v>2</v>
      </c>
      <c r="F1870" s="190">
        <f>'HIRE CHARGES'!D551</f>
        <v>22.5</v>
      </c>
      <c r="G1870" s="190">
        <f t="shared" si="37"/>
        <v>45</v>
      </c>
    </row>
    <row r="1871" spans="2:7">
      <c r="B1871" s="317"/>
      <c r="C1871" s="135" t="s">
        <v>2379</v>
      </c>
      <c r="D1871" s="319" t="s">
        <v>2374</v>
      </c>
      <c r="E1871" s="190">
        <v>2</v>
      </c>
      <c r="F1871" s="190">
        <f>'HIRE CHARGES'!E551</f>
        <v>28</v>
      </c>
      <c r="G1871" s="190">
        <f t="shared" si="37"/>
        <v>56</v>
      </c>
    </row>
    <row r="1872" spans="2:7">
      <c r="B1872" s="114">
        <v>7</v>
      </c>
      <c r="C1872" s="135" t="s">
        <v>2373</v>
      </c>
      <c r="D1872" s="319" t="s">
        <v>2173</v>
      </c>
      <c r="E1872" s="190">
        <v>25</v>
      </c>
      <c r="F1872" s="214">
        <f>'BASIC DATA'!D359</f>
        <v>30</v>
      </c>
      <c r="G1872" s="190">
        <f t="shared" si="37"/>
        <v>750</v>
      </c>
    </row>
    <row r="1873" spans="2:7">
      <c r="B1873" s="176"/>
      <c r="C1873" s="193" t="s">
        <v>2380</v>
      </c>
      <c r="D1873" s="193"/>
      <c r="E1873" s="208"/>
      <c r="F1873" s="236" t="s">
        <v>1698</v>
      </c>
      <c r="G1873" s="318">
        <f>SUM(G1860:G1872)</f>
        <v>15166.8</v>
      </c>
    </row>
    <row r="1874" spans="2:7"/>
    <row r="1875" spans="2:7">
      <c r="B1875" s="79" t="s">
        <v>2381</v>
      </c>
    </row>
    <row r="1876" spans="2:7">
      <c r="B1876" s="95" t="s">
        <v>2369</v>
      </c>
      <c r="C1876" s="157" t="s">
        <v>2378</v>
      </c>
      <c r="D1876" s="95" t="s">
        <v>2370</v>
      </c>
      <c r="E1876" s="95" t="s">
        <v>1166</v>
      </c>
      <c r="F1876" s="95" t="s">
        <v>2371</v>
      </c>
      <c r="G1876" s="95" t="s">
        <v>2372</v>
      </c>
    </row>
    <row r="1877" spans="2:7">
      <c r="B1877" s="114"/>
      <c r="C1877" s="154"/>
      <c r="D1877" s="114"/>
      <c r="E1877" s="114"/>
      <c r="F1877" s="114" t="s">
        <v>3485</v>
      </c>
      <c r="G1877" s="114" t="s">
        <v>3485</v>
      </c>
    </row>
    <row r="1878" spans="2:7">
      <c r="B1878" s="105">
        <v>1</v>
      </c>
      <c r="C1878" s="76" t="s">
        <v>5542</v>
      </c>
      <c r="D1878" s="319" t="s">
        <v>2374</v>
      </c>
      <c r="E1878" s="207">
        <v>10</v>
      </c>
      <c r="F1878" s="190">
        <f>'HIRE CHARGES'!F550</f>
        <v>177.5</v>
      </c>
      <c r="G1878" s="190">
        <f>E1878*F1878</f>
        <v>1775</v>
      </c>
    </row>
    <row r="1879" spans="2:7">
      <c r="B1879" s="105">
        <v>2</v>
      </c>
      <c r="C1879" s="76" t="s">
        <v>5541</v>
      </c>
      <c r="D1879" s="319" t="s">
        <v>2374</v>
      </c>
      <c r="E1879" s="207">
        <v>2</v>
      </c>
      <c r="F1879" s="190">
        <f>'HIRE CHARGES'!F547</f>
        <v>189.3</v>
      </c>
      <c r="G1879" s="190">
        <f t="shared" ref="G1879:G1888" si="38">E1879*F1879</f>
        <v>378.6</v>
      </c>
    </row>
    <row r="1880" spans="2:7">
      <c r="B1880" s="105">
        <v>3</v>
      </c>
      <c r="C1880" s="76" t="s">
        <v>5545</v>
      </c>
      <c r="D1880" s="319" t="s">
        <v>2374</v>
      </c>
      <c r="E1880" s="207">
        <v>2</v>
      </c>
      <c r="F1880" s="190">
        <f>'HIRE CHARGES'!F551</f>
        <v>198.9</v>
      </c>
      <c r="G1880" s="190">
        <f t="shared" si="38"/>
        <v>397.8</v>
      </c>
    </row>
    <row r="1881" spans="2:7">
      <c r="B1881" s="105">
        <v>4</v>
      </c>
      <c r="C1881" s="76" t="s">
        <v>5546</v>
      </c>
      <c r="D1881" s="319" t="s">
        <v>2374</v>
      </c>
      <c r="E1881" s="207">
        <v>2</v>
      </c>
      <c r="F1881" s="190">
        <f>'HIRE CHARGES'!F551</f>
        <v>198.9</v>
      </c>
      <c r="G1881" s="190">
        <f t="shared" si="38"/>
        <v>397.8</v>
      </c>
    </row>
    <row r="1882" spans="2:7">
      <c r="B1882" s="105">
        <v>5</v>
      </c>
      <c r="C1882" s="76" t="s">
        <v>2468</v>
      </c>
      <c r="D1882" s="319" t="s">
        <v>1172</v>
      </c>
      <c r="E1882" s="207">
        <f>D1809</f>
        <v>13</v>
      </c>
      <c r="F1882" s="190">
        <f>'BASIC DATA'!C471</f>
        <v>510</v>
      </c>
      <c r="G1882" s="190">
        <f t="shared" si="38"/>
        <v>6630</v>
      </c>
    </row>
    <row r="1883" spans="2:7">
      <c r="B1883" s="105">
        <v>6</v>
      </c>
      <c r="C1883" s="76" t="s">
        <v>5547</v>
      </c>
      <c r="D1883" s="319" t="s">
        <v>1172</v>
      </c>
      <c r="E1883" s="207">
        <f>E1809</f>
        <v>17</v>
      </c>
      <c r="F1883" s="190">
        <f>'BASIC DATA'!C503</f>
        <v>550</v>
      </c>
      <c r="G1883" s="190">
        <f t="shared" si="38"/>
        <v>9350</v>
      </c>
    </row>
    <row r="1884" spans="2:7">
      <c r="B1884" s="105">
        <v>7</v>
      </c>
      <c r="C1884" s="76" t="s">
        <v>3010</v>
      </c>
      <c r="D1884" s="319" t="s">
        <v>1172</v>
      </c>
      <c r="E1884" s="207">
        <v>3</v>
      </c>
      <c r="F1884" s="190">
        <f>'BASIC DATA'!C504</f>
        <v>445</v>
      </c>
      <c r="G1884" s="190">
        <f t="shared" si="38"/>
        <v>1335</v>
      </c>
    </row>
    <row r="1885" spans="2:7">
      <c r="B1885" s="105">
        <v>8</v>
      </c>
      <c r="C1885" s="76" t="s">
        <v>3013</v>
      </c>
      <c r="D1885" s="319" t="s">
        <v>1172</v>
      </c>
      <c r="E1885" s="207">
        <v>5</v>
      </c>
      <c r="F1885" s="190">
        <f>'BASIC DATA'!C504</f>
        <v>445</v>
      </c>
      <c r="G1885" s="190">
        <f t="shared" si="38"/>
        <v>2225</v>
      </c>
    </row>
    <row r="1886" spans="2:7">
      <c r="B1886" s="105">
        <v>9</v>
      </c>
      <c r="C1886" s="76" t="s">
        <v>3012</v>
      </c>
      <c r="D1886" s="319" t="s">
        <v>1172</v>
      </c>
      <c r="E1886" s="207">
        <v>4</v>
      </c>
      <c r="F1886" s="190">
        <f>'BASIC DATA'!C500</f>
        <v>445</v>
      </c>
      <c r="G1886" s="190">
        <f t="shared" si="38"/>
        <v>1780</v>
      </c>
    </row>
    <row r="1887" spans="2:7">
      <c r="B1887" s="105">
        <v>10</v>
      </c>
      <c r="C1887" s="76" t="s">
        <v>3011</v>
      </c>
      <c r="D1887" s="319" t="s">
        <v>1172</v>
      </c>
      <c r="E1887" s="207">
        <f>G1809</f>
        <v>36</v>
      </c>
      <c r="F1887" s="190">
        <f>'BASIC DATA'!C529</f>
        <v>400</v>
      </c>
      <c r="G1887" s="190">
        <f t="shared" si="38"/>
        <v>14400</v>
      </c>
    </row>
    <row r="1888" spans="2:7">
      <c r="B1888" s="105">
        <v>11</v>
      </c>
      <c r="C1888" s="76" t="s">
        <v>5604</v>
      </c>
      <c r="D1888" s="319" t="s">
        <v>1172</v>
      </c>
      <c r="E1888" s="207">
        <v>2</v>
      </c>
      <c r="F1888" s="190">
        <f>'BASIC DATA'!C468</f>
        <v>515</v>
      </c>
      <c r="G1888" s="190">
        <f t="shared" si="38"/>
        <v>1030</v>
      </c>
    </row>
    <row r="1889" spans="2:7">
      <c r="B1889" s="92"/>
      <c r="C1889" s="193"/>
      <c r="D1889" s="151" t="s">
        <v>1174</v>
      </c>
      <c r="E1889" s="160"/>
      <c r="F1889" s="236" t="s">
        <v>1698</v>
      </c>
      <c r="G1889" s="318">
        <f>SUM(G1878:G1888)</f>
        <v>39699.199999999997</v>
      </c>
    </row>
    <row r="1890" spans="2:7">
      <c r="B1890" s="101" t="s">
        <v>9422</v>
      </c>
      <c r="C1890" s="361"/>
      <c r="D1890" s="101"/>
      <c r="E1890" s="101"/>
      <c r="F1890" s="361"/>
      <c r="G1890" s="911">
        <f>G1889*30%</f>
        <v>11909.759999999998</v>
      </c>
    </row>
    <row r="1891" spans="2:7">
      <c r="B1891" s="101"/>
      <c r="C1891" s="361" t="s">
        <v>7956</v>
      </c>
      <c r="D1891" s="101"/>
      <c r="E1891" s="101"/>
      <c r="F1891" s="361"/>
      <c r="G1891" s="911">
        <f>SUM(G1890+G1889)</f>
        <v>51608.959999999992</v>
      </c>
    </row>
    <row r="1892" spans="2:7">
      <c r="B1892" s="33"/>
      <c r="C1892" s="200"/>
      <c r="D1892" s="76"/>
      <c r="E1892" s="76"/>
      <c r="F1892" s="200"/>
      <c r="G1892" s="766"/>
    </row>
    <row r="1893" spans="2:7">
      <c r="B1893" s="60" t="s">
        <v>5948</v>
      </c>
      <c r="D1893" s="31"/>
      <c r="E1893" s="85">
        <f>ROUND(G1891/F1823,1)</f>
        <v>1032.2</v>
      </c>
    </row>
    <row r="1894" spans="2:7">
      <c r="B1894" s="60" t="s">
        <v>3163</v>
      </c>
      <c r="D1894" s="922">
        <f>'BASIC DATA'!$C$577</f>
        <v>0.13614999999999999</v>
      </c>
      <c r="E1894" s="85">
        <f>ROUND(E1893*D1894,1)</f>
        <v>140.5</v>
      </c>
    </row>
    <row r="1895" spans="2:7">
      <c r="B1895" s="60" t="s">
        <v>5949</v>
      </c>
      <c r="D1895" s="31"/>
      <c r="E1895" s="199">
        <f>E1894+E1893</f>
        <v>1172.7</v>
      </c>
    </row>
    <row r="1896" spans="2:7">
      <c r="B1896" s="60"/>
      <c r="D1896" s="31"/>
      <c r="E1896" s="31"/>
      <c r="F1896" s="31"/>
      <c r="G1896" s="85"/>
    </row>
    <row r="1897" spans="2:7">
      <c r="B1897" s="170" t="s">
        <v>1175</v>
      </c>
    </row>
    <row r="1898" spans="2:7">
      <c r="B1898" s="26" t="s">
        <v>1176</v>
      </c>
      <c r="F1898" s="171" t="s">
        <v>1698</v>
      </c>
      <c r="G1898" s="68">
        <f>G1855</f>
        <v>1465313.6</v>
      </c>
    </row>
    <row r="1899" spans="2:7">
      <c r="B1899" s="26" t="s">
        <v>1186</v>
      </c>
      <c r="F1899" s="171" t="s">
        <v>1698</v>
      </c>
      <c r="G1899" s="68">
        <f>G1873</f>
        <v>15166.8</v>
      </c>
    </row>
    <row r="1900" spans="2:7">
      <c r="B1900" s="26" t="s">
        <v>2660</v>
      </c>
      <c r="F1900" s="171" t="s">
        <v>1698</v>
      </c>
      <c r="G1900" s="75">
        <f>G1891</f>
        <v>51608.959999999992</v>
      </c>
    </row>
    <row r="1901" spans="2:7">
      <c r="B1901" s="26"/>
      <c r="E1901" s="171" t="s">
        <v>5551</v>
      </c>
      <c r="F1901" s="171" t="s">
        <v>1698</v>
      </c>
      <c r="G1901" s="205">
        <f>SUM(G1898:G1900)</f>
        <v>1532089.36</v>
      </c>
    </row>
    <row r="1902" spans="2:7">
      <c r="B1902" s="26" t="s">
        <v>5087</v>
      </c>
      <c r="E1902" s="693">
        <f>'BASIC DATA'!C593</f>
        <v>0</v>
      </c>
      <c r="F1902" s="171" t="s">
        <v>1698</v>
      </c>
      <c r="G1902" s="68">
        <f>(G1900+G1899)*E1902*0.75</f>
        <v>0</v>
      </c>
    </row>
    <row r="1903" spans="2:7">
      <c r="B1903" s="26" t="s">
        <v>5084</v>
      </c>
      <c r="E1903" s="171" t="s">
        <v>1518</v>
      </c>
      <c r="F1903" s="171" t="s">
        <v>1698</v>
      </c>
      <c r="G1903" s="205">
        <f>G1902+G1901</f>
        <v>1532089.36</v>
      </c>
    </row>
    <row r="1904" spans="2:7">
      <c r="B1904" s="26" t="s">
        <v>5086</v>
      </c>
      <c r="E1904" s="201">
        <f>'BASIC DATA'!C594</f>
        <v>0.03</v>
      </c>
      <c r="F1904" s="171" t="s">
        <v>1698</v>
      </c>
      <c r="G1904" s="75">
        <f>G1903*E1904</f>
        <v>45962.680800000002</v>
      </c>
    </row>
    <row r="1905" spans="1:34">
      <c r="B1905" s="26"/>
      <c r="E1905" s="26" t="s">
        <v>2392</v>
      </c>
      <c r="F1905" s="171" t="s">
        <v>1698</v>
      </c>
      <c r="G1905" s="75">
        <f>G1904+G1903</f>
        <v>1578052.0408000001</v>
      </c>
    </row>
    <row r="1906" spans="1:34" ht="47.25" customHeight="1">
      <c r="B1906" s="1207" t="s">
        <v>4717</v>
      </c>
      <c r="C1906" s="1207"/>
      <c r="D1906" s="922">
        <f>'BASIC DATA'!$C$577</f>
        <v>0.13614999999999999</v>
      </c>
      <c r="F1906" s="171" t="s">
        <v>1698</v>
      </c>
      <c r="G1906" s="75">
        <f>G1905*D1906</f>
        <v>214851.78535491999</v>
      </c>
      <c r="I1906" s="68"/>
    </row>
    <row r="1907" spans="1:34">
      <c r="B1907" s="26" t="s">
        <v>898</v>
      </c>
    </row>
    <row r="1908" spans="1:34">
      <c r="B1908" s="47" t="s">
        <v>897</v>
      </c>
      <c r="D1908" s="48"/>
      <c r="E1908" s="68">
        <f>leadcharges!F65</f>
        <v>19</v>
      </c>
      <c r="F1908" s="27" t="s">
        <v>1279</v>
      </c>
      <c r="G1908" s="76">
        <f>2*ROUND(E1908*F1822,3)</f>
        <v>192.62200000000001</v>
      </c>
      <c r="AH1908" s="68"/>
    </row>
    <row r="1909" spans="1:34">
      <c r="B1909" s="47" t="s">
        <v>896</v>
      </c>
      <c r="D1909" s="48"/>
      <c r="E1909" s="68">
        <f>leadcharges!$G$79</f>
        <v>74.8</v>
      </c>
      <c r="F1909" s="27" t="s">
        <v>1279</v>
      </c>
      <c r="G1909" s="76">
        <f>2*ROUND(E1909*F1822,3)</f>
        <v>758.322</v>
      </c>
    </row>
    <row r="1910" spans="1:34">
      <c r="B1910" s="26" t="s">
        <v>5078</v>
      </c>
      <c r="D1910" s="278">
        <f>F1822</f>
        <v>5.069</v>
      </c>
      <c r="E1910" s="26" t="s">
        <v>4768</v>
      </c>
      <c r="F1910" s="171" t="s">
        <v>1698</v>
      </c>
      <c r="G1910" s="205">
        <f>SUM(G1905:G1909)</f>
        <v>1793854.7701549199</v>
      </c>
    </row>
    <row r="1911" spans="1:34">
      <c r="D1911" s="278">
        <f>F1823</f>
        <v>50</v>
      </c>
      <c r="E1911" s="26" t="s">
        <v>4769</v>
      </c>
      <c r="F1911" s="171" t="s">
        <v>1698</v>
      </c>
      <c r="G1911" s="68"/>
    </row>
    <row r="1912" spans="1:34" ht="18.75" thickBot="1">
      <c r="D1912" s="171" t="s">
        <v>3884</v>
      </c>
      <c r="E1912" s="26" t="s">
        <v>4768</v>
      </c>
      <c r="F1912" s="171" t="s">
        <v>1698</v>
      </c>
      <c r="G1912" s="68">
        <f>ROUND(G1910/D1910,1)</f>
        <v>353887.3</v>
      </c>
    </row>
    <row r="1913" spans="1:34" ht="18.75" thickBot="1">
      <c r="C1913" s="713"/>
      <c r="D1913" s="721"/>
      <c r="E1913" s="721" t="s">
        <v>391</v>
      </c>
      <c r="F1913" s="696" t="s">
        <v>1698</v>
      </c>
      <c r="G1913" s="717">
        <f>ROUND(G1910/D1911,1)</f>
        <v>35877.1</v>
      </c>
      <c r="H1913" s="147"/>
    </row>
    <row r="1914" spans="1:34">
      <c r="B1914" s="26"/>
      <c r="C1914" s="78"/>
      <c r="E1914" s="171"/>
      <c r="F1914" s="171"/>
      <c r="G1914" s="171"/>
      <c r="H1914" s="68"/>
    </row>
    <row r="1915" spans="1:34" ht="18.75" thickBot="1">
      <c r="B1915" s="26"/>
      <c r="E1915" s="78"/>
      <c r="G1915" s="171"/>
      <c r="H1915" s="27"/>
    </row>
    <row r="1916" spans="1:34" ht="18.75" thickBot="1">
      <c r="B1916" s="728" t="s">
        <v>4663</v>
      </c>
      <c r="C1916" s="712"/>
      <c r="D1916" s="729"/>
      <c r="F1916" s="171"/>
      <c r="G1916" s="27"/>
    </row>
    <row r="1917" spans="1:34">
      <c r="A1917" s="822" t="s">
        <v>7175</v>
      </c>
    </row>
    <row r="1918" spans="1:34">
      <c r="B1918" s="26" t="s">
        <v>9058</v>
      </c>
    </row>
    <row r="1919" spans="1:34">
      <c r="B1919" s="26" t="s">
        <v>9059</v>
      </c>
    </row>
    <row r="1920" spans="1:34">
      <c r="B1920" s="26" t="s">
        <v>2302</v>
      </c>
    </row>
    <row r="1921" spans="1:7">
      <c r="B1921" s="26" t="s">
        <v>4578</v>
      </c>
    </row>
    <row r="1922" spans="1:7">
      <c r="B1922" s="26" t="s">
        <v>538</v>
      </c>
      <c r="E1922" s="322"/>
    </row>
    <row r="1923" spans="1:7">
      <c r="B1923" s="26" t="s">
        <v>3549</v>
      </c>
      <c r="E1923" s="322"/>
    </row>
    <row r="1924" spans="1:7">
      <c r="B1924" s="26"/>
    </row>
    <row r="1925" spans="1:7">
      <c r="A1925" s="865" t="s">
        <v>3984</v>
      </c>
      <c r="B1925" s="26" t="s">
        <v>4693</v>
      </c>
    </row>
    <row r="1926" spans="1:7">
      <c r="B1926" s="26" t="s">
        <v>4694</v>
      </c>
    </row>
    <row r="1927" spans="1:7">
      <c r="B1927" s="26" t="s">
        <v>4695</v>
      </c>
    </row>
    <row r="1928" spans="1:7">
      <c r="B1928" s="26" t="s">
        <v>5738</v>
      </c>
      <c r="E1928" s="322" t="s">
        <v>1697</v>
      </c>
      <c r="F1928" s="278">
        <v>3</v>
      </c>
      <c r="G1928" s="26" t="s">
        <v>45</v>
      </c>
    </row>
    <row r="1929" spans="1:7">
      <c r="B1929" s="26" t="s">
        <v>7613</v>
      </c>
      <c r="E1929" s="322"/>
      <c r="F1929" s="278"/>
    </row>
    <row r="1930" spans="1:7">
      <c r="B1930" s="26" t="s">
        <v>2067</v>
      </c>
      <c r="E1930" s="322" t="s">
        <v>1697</v>
      </c>
      <c r="F1930" s="26">
        <v>0.871</v>
      </c>
      <c r="G1930" s="26" t="s">
        <v>45</v>
      </c>
    </row>
    <row r="1931" spans="1:7">
      <c r="B1931" s="26" t="s">
        <v>240</v>
      </c>
    </row>
    <row r="1932" spans="1:7">
      <c r="A1932" s="865">
        <v>1</v>
      </c>
      <c r="B1932" s="26" t="s">
        <v>4302</v>
      </c>
    </row>
    <row r="1933" spans="1:7">
      <c r="A1933" s="870" t="s">
        <v>1535</v>
      </c>
      <c r="B1933" s="26" t="s">
        <v>241</v>
      </c>
    </row>
    <row r="1934" spans="1:7">
      <c r="A1934" s="870"/>
      <c r="B1934" s="26" t="s">
        <v>5966</v>
      </c>
      <c r="E1934" s="322" t="s">
        <v>1697</v>
      </c>
      <c r="F1934" s="68">
        <v>402</v>
      </c>
      <c r="G1934" s="26" t="s">
        <v>3478</v>
      </c>
    </row>
    <row r="1935" spans="1:7">
      <c r="A1935" s="870"/>
      <c r="B1935" s="26" t="s">
        <v>5967</v>
      </c>
      <c r="E1935" s="322" t="s">
        <v>1697</v>
      </c>
      <c r="F1935" s="68">
        <v>145</v>
      </c>
      <c r="G1935" s="26" t="s">
        <v>3478</v>
      </c>
    </row>
    <row r="1936" spans="1:7">
      <c r="A1936" s="870"/>
      <c r="B1936" s="26" t="s">
        <v>2329</v>
      </c>
      <c r="E1936" s="322" t="s">
        <v>1697</v>
      </c>
      <c r="F1936" s="68">
        <v>176</v>
      </c>
      <c r="G1936" s="26" t="s">
        <v>3478</v>
      </c>
    </row>
    <row r="1937" spans="1:7">
      <c r="A1937" s="870" t="s">
        <v>5400</v>
      </c>
      <c r="B1937" s="26" t="s">
        <v>6173</v>
      </c>
      <c r="F1937" s="68"/>
    </row>
    <row r="1938" spans="1:7">
      <c r="A1938" s="870"/>
      <c r="B1938" s="26" t="s">
        <v>2068</v>
      </c>
      <c r="E1938" s="322" t="s">
        <v>1697</v>
      </c>
      <c r="F1938" s="68">
        <v>55</v>
      </c>
      <c r="G1938" s="26" t="s">
        <v>3478</v>
      </c>
    </row>
    <row r="1939" spans="1:7">
      <c r="A1939" s="870" t="s">
        <v>5401</v>
      </c>
      <c r="B1939" s="26" t="s">
        <v>5162</v>
      </c>
      <c r="F1939" s="68"/>
    </row>
    <row r="1940" spans="1:7">
      <c r="A1940" s="870"/>
      <c r="B1940" s="26" t="s">
        <v>2069</v>
      </c>
      <c r="E1940" s="322" t="s">
        <v>1697</v>
      </c>
      <c r="F1940" s="68">
        <v>75</v>
      </c>
      <c r="G1940" s="26" t="s">
        <v>3478</v>
      </c>
    </row>
    <row r="1941" spans="1:7">
      <c r="A1941" s="870" t="s">
        <v>1696</v>
      </c>
      <c r="B1941" s="26" t="s">
        <v>6988</v>
      </c>
      <c r="F1941" s="68"/>
    </row>
    <row r="1942" spans="1:7">
      <c r="A1942" s="870"/>
      <c r="B1942" s="26" t="s">
        <v>6989</v>
      </c>
      <c r="E1942" s="322" t="s">
        <v>1697</v>
      </c>
      <c r="F1942" s="68">
        <v>4</v>
      </c>
      <c r="G1942" s="26" t="s">
        <v>3478</v>
      </c>
    </row>
    <row r="1943" spans="1:7">
      <c r="A1943" s="870" t="s">
        <v>5082</v>
      </c>
      <c r="B1943" s="26" t="s">
        <v>5128</v>
      </c>
      <c r="F1943" s="68"/>
    </row>
    <row r="1944" spans="1:7">
      <c r="A1944" s="870"/>
      <c r="B1944" s="26" t="s">
        <v>3606</v>
      </c>
      <c r="E1944" s="322" t="s">
        <v>1697</v>
      </c>
      <c r="F1944" s="68">
        <v>8</v>
      </c>
      <c r="G1944" s="26" t="s">
        <v>3478</v>
      </c>
    </row>
    <row r="1945" spans="1:7">
      <c r="A1945" s="870"/>
      <c r="B1945" s="26" t="s">
        <v>15</v>
      </c>
      <c r="E1945" s="322" t="s">
        <v>1697</v>
      </c>
      <c r="F1945" s="26">
        <v>8.8000000000000007</v>
      </c>
      <c r="G1945" s="26" t="s">
        <v>3483</v>
      </c>
    </row>
    <row r="1946" spans="1:7">
      <c r="A1946" s="870" t="s">
        <v>2408</v>
      </c>
      <c r="B1946" s="26" t="s">
        <v>1195</v>
      </c>
    </row>
    <row r="1947" spans="1:7">
      <c r="B1947" s="26" t="s">
        <v>4094</v>
      </c>
      <c r="E1947" s="322" t="s">
        <v>1697</v>
      </c>
      <c r="F1947" s="26">
        <v>7</v>
      </c>
      <c r="G1947" s="26" t="s">
        <v>2059</v>
      </c>
    </row>
    <row r="1948" spans="1:7">
      <c r="B1948" s="26" t="s">
        <v>2330</v>
      </c>
      <c r="E1948" s="322" t="s">
        <v>1697</v>
      </c>
      <c r="F1948" s="26">
        <v>66</v>
      </c>
      <c r="G1948" s="26" t="s">
        <v>2059</v>
      </c>
    </row>
    <row r="1949" spans="1:7">
      <c r="A1949" s="865">
        <v>2</v>
      </c>
      <c r="B1949" s="26" t="s">
        <v>2281</v>
      </c>
    </row>
    <row r="1950" spans="1:7">
      <c r="B1950" s="26" t="s">
        <v>2978</v>
      </c>
      <c r="E1950" s="322" t="s">
        <v>1697</v>
      </c>
      <c r="F1950" s="26">
        <v>18</v>
      </c>
      <c r="G1950" s="26" t="s">
        <v>3483</v>
      </c>
    </row>
    <row r="1951" spans="1:7">
      <c r="B1951" s="26" t="s">
        <v>2985</v>
      </c>
      <c r="E1951" s="322" t="s">
        <v>1697</v>
      </c>
      <c r="F1951" s="174">
        <v>2</v>
      </c>
      <c r="G1951" s="26" t="s">
        <v>3483</v>
      </c>
    </row>
    <row r="1952" spans="1:7">
      <c r="B1952" s="26"/>
      <c r="D1952" s="171" t="s">
        <v>1518</v>
      </c>
      <c r="E1952" s="322" t="s">
        <v>1697</v>
      </c>
      <c r="F1952" s="26">
        <v>20</v>
      </c>
      <c r="G1952" s="26" t="s">
        <v>3483</v>
      </c>
    </row>
    <row r="1953" spans="1:7">
      <c r="B1953" s="26" t="s">
        <v>165</v>
      </c>
      <c r="E1953" s="322"/>
    </row>
    <row r="1954" spans="1:7">
      <c r="B1954" s="26" t="s">
        <v>2278</v>
      </c>
      <c r="E1954" s="322" t="s">
        <v>1697</v>
      </c>
      <c r="F1954" s="26">
        <v>10</v>
      </c>
      <c r="G1954" s="26" t="s">
        <v>4665</v>
      </c>
    </row>
    <row r="1955" spans="1:7">
      <c r="B1955" s="26" t="s">
        <v>3287</v>
      </c>
      <c r="E1955" s="322" t="s">
        <v>1697</v>
      </c>
      <c r="F1955" s="26">
        <v>6</v>
      </c>
      <c r="G1955" s="26" t="s">
        <v>3477</v>
      </c>
    </row>
    <row r="1956" spans="1:7">
      <c r="B1956" s="26" t="s">
        <v>3288</v>
      </c>
      <c r="E1956" s="322" t="s">
        <v>1697</v>
      </c>
      <c r="F1956" s="26">
        <v>18</v>
      </c>
      <c r="G1956" s="26" t="s">
        <v>3477</v>
      </c>
    </row>
    <row r="1957" spans="1:7">
      <c r="B1957" s="26" t="s">
        <v>4598</v>
      </c>
      <c r="E1957" s="322" t="s">
        <v>1697</v>
      </c>
      <c r="F1957" s="26">
        <v>12</v>
      </c>
      <c r="G1957" s="26" t="s">
        <v>4665</v>
      </c>
    </row>
    <row r="1958" spans="1:7">
      <c r="A1958" s="865">
        <v>3</v>
      </c>
      <c r="B1958" s="26" t="s">
        <v>4651</v>
      </c>
      <c r="E1958" s="322"/>
    </row>
    <row r="1959" spans="1:7">
      <c r="B1959" s="26" t="s">
        <v>2504</v>
      </c>
      <c r="E1959" s="322" t="s">
        <v>1697</v>
      </c>
      <c r="F1959" s="26">
        <v>10</v>
      </c>
      <c r="G1959" s="26" t="s">
        <v>3483</v>
      </c>
    </row>
    <row r="1960" spans="1:7">
      <c r="B1960" s="26" t="s">
        <v>5723</v>
      </c>
      <c r="E1960" s="322"/>
    </row>
    <row r="1961" spans="1:7">
      <c r="B1961" s="26"/>
      <c r="C1961" s="26" t="s">
        <v>4599</v>
      </c>
      <c r="E1961" s="322" t="s">
        <v>1697</v>
      </c>
      <c r="F1961" s="26">
        <v>2</v>
      </c>
      <c r="G1961" s="26" t="s">
        <v>4665</v>
      </c>
    </row>
    <row r="1962" spans="1:7">
      <c r="B1962" s="26" t="s">
        <v>1913</v>
      </c>
      <c r="E1962" s="322"/>
    </row>
    <row r="1963" spans="1:7">
      <c r="B1963" s="26"/>
      <c r="C1963" s="26" t="s">
        <v>4600</v>
      </c>
      <c r="E1963" s="322" t="s">
        <v>1697</v>
      </c>
      <c r="F1963" s="26">
        <v>6</v>
      </c>
      <c r="G1963" s="26" t="s">
        <v>4665</v>
      </c>
    </row>
    <row r="1964" spans="1:7">
      <c r="B1964" s="26"/>
      <c r="D1964" s="171" t="s">
        <v>1518</v>
      </c>
      <c r="E1964" s="322" t="s">
        <v>1697</v>
      </c>
      <c r="F1964" s="26">
        <v>8</v>
      </c>
      <c r="G1964" s="26" t="s">
        <v>4665</v>
      </c>
    </row>
    <row r="1965" spans="1:7">
      <c r="B1965" s="26" t="s">
        <v>4601</v>
      </c>
      <c r="E1965" s="322"/>
    </row>
    <row r="1966" spans="1:7">
      <c r="B1966" s="26" t="s">
        <v>2657</v>
      </c>
      <c r="E1966" s="322"/>
    </row>
    <row r="1967" spans="1:7">
      <c r="B1967" s="26"/>
      <c r="C1967" s="26" t="s">
        <v>4602</v>
      </c>
      <c r="E1967" s="322" t="s">
        <v>1697</v>
      </c>
      <c r="F1967" s="26">
        <v>5</v>
      </c>
      <c r="G1967" s="26" t="s">
        <v>4665</v>
      </c>
    </row>
    <row r="1968" spans="1:7">
      <c r="A1968" s="865">
        <v>4</v>
      </c>
      <c r="B1968" s="26" t="s">
        <v>4249</v>
      </c>
    </row>
    <row r="1969" spans="1:7">
      <c r="B1969" s="26" t="s">
        <v>1887</v>
      </c>
    </row>
    <row r="1970" spans="1:7">
      <c r="B1970" s="26" t="s">
        <v>1888</v>
      </c>
    </row>
    <row r="1971" spans="1:7">
      <c r="B1971" s="26"/>
    </row>
    <row r="1972" spans="1:7">
      <c r="A1972" s="865">
        <v>5</v>
      </c>
      <c r="B1972" s="31" t="s">
        <v>4900</v>
      </c>
      <c r="C1972" s="31"/>
      <c r="D1972" s="31"/>
      <c r="E1972" s="31"/>
      <c r="F1972" s="31"/>
    </row>
    <row r="1973" spans="1:7">
      <c r="B1973" s="1267" t="s">
        <v>4901</v>
      </c>
      <c r="C1973" s="1267"/>
      <c r="D1973" s="38" t="s">
        <v>2468</v>
      </c>
      <c r="E1973" s="38" t="s">
        <v>4902</v>
      </c>
      <c r="F1973" s="38" t="s">
        <v>4903</v>
      </c>
      <c r="G1973" s="38" t="s">
        <v>6199</v>
      </c>
    </row>
    <row r="1974" spans="1:7">
      <c r="B1974" s="1267"/>
      <c r="C1974" s="1267"/>
      <c r="D1974" s="38"/>
      <c r="E1974" s="38" t="s">
        <v>4904</v>
      </c>
      <c r="F1974" s="38" t="s">
        <v>4905</v>
      </c>
      <c r="G1974" s="38"/>
    </row>
    <row r="1975" spans="1:7">
      <c r="B1975" s="1267"/>
      <c r="C1975" s="1267"/>
      <c r="D1975" s="38"/>
      <c r="E1975" s="38" t="s">
        <v>6307</v>
      </c>
      <c r="F1975" s="36"/>
      <c r="G1975" s="38"/>
    </row>
    <row r="1976" spans="1:7">
      <c r="B1976" s="38" t="s">
        <v>7595</v>
      </c>
      <c r="C1976" s="38"/>
      <c r="D1976" s="36">
        <v>1</v>
      </c>
      <c r="E1976" s="36">
        <v>2</v>
      </c>
      <c r="F1976" s="36">
        <v>2</v>
      </c>
      <c r="G1976" s="36">
        <v>4</v>
      </c>
    </row>
    <row r="1977" spans="1:7">
      <c r="B1977" s="38" t="s">
        <v>7596</v>
      </c>
      <c r="C1977" s="38"/>
      <c r="D1977" s="36">
        <v>1</v>
      </c>
      <c r="E1977" s="36">
        <v>1</v>
      </c>
      <c r="F1977" s="36">
        <v>1</v>
      </c>
      <c r="G1977" s="36">
        <v>2</v>
      </c>
    </row>
    <row r="1978" spans="1:7">
      <c r="B1978" s="38" t="s">
        <v>7597</v>
      </c>
      <c r="C1978" s="38"/>
      <c r="D1978" s="36">
        <v>1</v>
      </c>
      <c r="E1978" s="36">
        <v>1</v>
      </c>
      <c r="F1978" s="36" t="s">
        <v>5854</v>
      </c>
      <c r="G1978" s="36">
        <v>2</v>
      </c>
    </row>
    <row r="1979" spans="1:7">
      <c r="B1979" s="38" t="s">
        <v>5625</v>
      </c>
      <c r="C1979" s="38"/>
      <c r="D1979" s="36">
        <v>1</v>
      </c>
      <c r="E1979" s="36">
        <v>1</v>
      </c>
      <c r="F1979" s="36" t="s">
        <v>5854</v>
      </c>
      <c r="G1979" s="36">
        <v>1</v>
      </c>
    </row>
    <row r="1980" spans="1:7">
      <c r="B1980" s="36" t="s">
        <v>2656</v>
      </c>
      <c r="C1980" s="36"/>
      <c r="D1980" s="36">
        <v>4</v>
      </c>
      <c r="E1980" s="36">
        <v>5</v>
      </c>
      <c r="F1980" s="36">
        <v>3</v>
      </c>
      <c r="G1980" s="36">
        <v>9</v>
      </c>
    </row>
    <row r="1981" spans="1:7">
      <c r="A1981" s="865">
        <v>6</v>
      </c>
      <c r="B1981" s="26" t="s">
        <v>673</v>
      </c>
    </row>
    <row r="1982" spans="1:7">
      <c r="B1982" s="26" t="s">
        <v>6017</v>
      </c>
    </row>
    <row r="1983" spans="1:7">
      <c r="B1983" s="26" t="s">
        <v>2385</v>
      </c>
    </row>
    <row r="1984" spans="1:7">
      <c r="B1984" s="26" t="s">
        <v>4751</v>
      </c>
    </row>
    <row r="1985" spans="1:7">
      <c r="A1985" s="865">
        <v>7</v>
      </c>
      <c r="B1985" s="26" t="s">
        <v>2366</v>
      </c>
    </row>
    <row r="1986" spans="1:7">
      <c r="B1986" s="26" t="s">
        <v>2966</v>
      </c>
      <c r="C1986" s="68">
        <f>'BASIC DATA'!D373</f>
        <v>7800</v>
      </c>
      <c r="D1986" s="26" t="s">
        <v>2290</v>
      </c>
      <c r="E1986" s="315" t="s">
        <v>1698</v>
      </c>
      <c r="F1986" s="68">
        <f>C1986</f>
        <v>7800</v>
      </c>
    </row>
    <row r="1987" spans="1:7">
      <c r="B1987" s="26" t="s">
        <v>3231</v>
      </c>
      <c r="E1987" s="322" t="s">
        <v>1697</v>
      </c>
      <c r="F1987" s="316">
        <v>1000</v>
      </c>
      <c r="G1987" s="26" t="s">
        <v>4665</v>
      </c>
    </row>
    <row r="1988" spans="1:7">
      <c r="B1988" s="26" t="s">
        <v>3232</v>
      </c>
      <c r="C1988" s="26" t="s">
        <v>7593</v>
      </c>
      <c r="E1988" s="315" t="s">
        <v>1698</v>
      </c>
      <c r="F1988" s="68">
        <f>F1986/F1987</f>
        <v>7.8</v>
      </c>
    </row>
    <row r="1989" spans="1:7">
      <c r="B1989" s="26" t="s">
        <v>1163</v>
      </c>
      <c r="C1989" s="68">
        <f>'BASIC DATA'!D371</f>
        <v>14500</v>
      </c>
      <c r="D1989" s="26" t="s">
        <v>2290</v>
      </c>
      <c r="E1989" s="315" t="s">
        <v>1698</v>
      </c>
      <c r="F1989" s="68">
        <f>C1989</f>
        <v>14500</v>
      </c>
    </row>
    <row r="1990" spans="1:7">
      <c r="B1990" s="26" t="s">
        <v>5868</v>
      </c>
      <c r="E1990" s="322" t="s">
        <v>1697</v>
      </c>
      <c r="F1990" s="316">
        <v>600</v>
      </c>
      <c r="G1990" s="26" t="s">
        <v>4665</v>
      </c>
    </row>
    <row r="1991" spans="1:7">
      <c r="B1991" s="26" t="s">
        <v>3234</v>
      </c>
      <c r="C1991" s="26" t="s">
        <v>7593</v>
      </c>
      <c r="E1991" s="315" t="s">
        <v>1698</v>
      </c>
      <c r="F1991" s="68">
        <f>F1989/F1990</f>
        <v>24.166666666666668</v>
      </c>
    </row>
    <row r="1992" spans="1:7"/>
    <row r="1993" spans="1:7">
      <c r="A1993" s="865" t="s">
        <v>3984</v>
      </c>
      <c r="C1993" s="203" t="s">
        <v>2367</v>
      </c>
      <c r="E1993" s="171" t="s">
        <v>297</v>
      </c>
      <c r="F1993" s="692">
        <v>0.871</v>
      </c>
      <c r="G1993" s="26" t="s">
        <v>3480</v>
      </c>
    </row>
    <row r="1994" spans="1:7">
      <c r="B1994" s="79" t="s">
        <v>2368</v>
      </c>
      <c r="F1994" s="211">
        <v>3</v>
      </c>
      <c r="G1994" s="26" t="s">
        <v>4769</v>
      </c>
    </row>
    <row r="1995" spans="1:7">
      <c r="B1995" s="95" t="s">
        <v>2369</v>
      </c>
      <c r="C1995" s="157" t="s">
        <v>6374</v>
      </c>
      <c r="D1995" s="95" t="s">
        <v>2370</v>
      </c>
      <c r="E1995" s="95" t="s">
        <v>1166</v>
      </c>
      <c r="F1995" s="95" t="s">
        <v>2371</v>
      </c>
      <c r="G1995" s="95" t="s">
        <v>2372</v>
      </c>
    </row>
    <row r="1996" spans="1:7">
      <c r="B1996" s="114"/>
      <c r="C1996" s="154"/>
      <c r="D1996" s="114"/>
      <c r="E1996" s="114"/>
      <c r="F1996" s="114" t="s">
        <v>3485</v>
      </c>
      <c r="G1996" s="114" t="s">
        <v>3485</v>
      </c>
    </row>
    <row r="1997" spans="1:7">
      <c r="B1997" s="95">
        <v>1</v>
      </c>
      <c r="C1997" s="135" t="s">
        <v>4770</v>
      </c>
      <c r="D1997" s="451"/>
      <c r="E1997" s="190"/>
      <c r="F1997" s="190"/>
      <c r="G1997" s="190"/>
    </row>
    <row r="1998" spans="1:7">
      <c r="B1998" s="105"/>
      <c r="C1998" s="135" t="s">
        <v>4915</v>
      </c>
      <c r="D1998" s="319" t="s">
        <v>3478</v>
      </c>
      <c r="E1998" s="190">
        <v>402</v>
      </c>
      <c r="F1998" s="214">
        <f>'BASIC DATA'!D97/1000</f>
        <v>37.5</v>
      </c>
      <c r="G1998" s="190">
        <f>F1998*E1998</f>
        <v>15075</v>
      </c>
    </row>
    <row r="1999" spans="1:7">
      <c r="B1999" s="105"/>
      <c r="C1999" s="135" t="s">
        <v>4916</v>
      </c>
      <c r="D1999" s="319" t="s">
        <v>3478</v>
      </c>
      <c r="E1999" s="190">
        <v>145</v>
      </c>
      <c r="F1999" s="214">
        <f>'BASIC DATA'!D98/1000</f>
        <v>37.4</v>
      </c>
      <c r="G1999" s="190">
        <f>F1999*E1999</f>
        <v>5423</v>
      </c>
    </row>
    <row r="2000" spans="1:7">
      <c r="B2000" s="105"/>
      <c r="C2000" s="135" t="s">
        <v>6899</v>
      </c>
      <c r="D2000" s="319" t="s">
        <v>3478</v>
      </c>
      <c r="E2000" s="190">
        <v>176</v>
      </c>
      <c r="F2000" s="214">
        <f>'BASIC DATA'!D33</f>
        <v>63</v>
      </c>
      <c r="G2000" s="190">
        <f>F2000*E2000</f>
        <v>11088</v>
      </c>
    </row>
    <row r="2001" spans="2:7">
      <c r="B2001" s="105">
        <v>2</v>
      </c>
      <c r="C2001" s="135" t="s">
        <v>5626</v>
      </c>
      <c r="D2001" s="319"/>
      <c r="E2001" s="190"/>
      <c r="F2001" s="214"/>
      <c r="G2001" s="190"/>
    </row>
    <row r="2002" spans="2:7">
      <c r="B2002" s="105"/>
      <c r="C2002" s="135" t="s">
        <v>2068</v>
      </c>
      <c r="D2002" s="319" t="s">
        <v>3478</v>
      </c>
      <c r="E2002" s="190">
        <v>55</v>
      </c>
      <c r="F2002" s="214">
        <f>'BASIC DATA'!D165</f>
        <v>235</v>
      </c>
      <c r="G2002" s="190">
        <f>F2002*E2002</f>
        <v>12925</v>
      </c>
    </row>
    <row r="2003" spans="2:7">
      <c r="B2003" s="105">
        <v>3</v>
      </c>
      <c r="C2003" s="135" t="s">
        <v>4771</v>
      </c>
      <c r="D2003" s="319"/>
      <c r="E2003" s="190"/>
      <c r="F2003" s="214"/>
      <c r="G2003" s="190"/>
    </row>
    <row r="2004" spans="2:7">
      <c r="B2004" s="105"/>
      <c r="C2004" s="135" t="s">
        <v>2069</v>
      </c>
      <c r="D2004" s="319" t="s">
        <v>3478</v>
      </c>
      <c r="E2004" s="190">
        <v>75</v>
      </c>
      <c r="F2004" s="214">
        <f>'BASIC DATA'!D159</f>
        <v>235</v>
      </c>
      <c r="G2004" s="190">
        <f>F2004*E2004</f>
        <v>17625</v>
      </c>
    </row>
    <row r="2005" spans="2:7">
      <c r="B2005" s="105">
        <v>4</v>
      </c>
      <c r="C2005" s="135" t="s">
        <v>5973</v>
      </c>
      <c r="D2005" s="319"/>
      <c r="E2005" s="190"/>
      <c r="F2005" s="214"/>
      <c r="G2005" s="190"/>
    </row>
    <row r="2006" spans="2:7">
      <c r="B2006" s="105"/>
      <c r="C2006" s="135" t="s">
        <v>5627</v>
      </c>
      <c r="D2006" s="319" t="s">
        <v>3478</v>
      </c>
      <c r="E2006" s="190">
        <v>4</v>
      </c>
      <c r="F2006" s="214">
        <f>'BASIC DATA'!D163</f>
        <v>970</v>
      </c>
      <c r="G2006" s="190">
        <f t="shared" ref="G2006:G2015" si="39">F2006*E2006</f>
        <v>3880</v>
      </c>
    </row>
    <row r="2007" spans="2:7">
      <c r="B2007" s="105">
        <v>5</v>
      </c>
      <c r="C2007" s="135" t="s">
        <v>5976</v>
      </c>
      <c r="D2007" s="319" t="s">
        <v>3478</v>
      </c>
      <c r="E2007" s="190">
        <v>8</v>
      </c>
      <c r="F2007" s="214">
        <f>'BASIC DATA'!D84</f>
        <v>80</v>
      </c>
      <c r="G2007" s="190">
        <f t="shared" si="39"/>
        <v>640</v>
      </c>
    </row>
    <row r="2008" spans="2:7">
      <c r="B2008" s="105">
        <v>6</v>
      </c>
      <c r="C2008" s="135" t="s">
        <v>958</v>
      </c>
      <c r="D2008" s="319" t="s">
        <v>3477</v>
      </c>
      <c r="E2008" s="190">
        <v>18</v>
      </c>
      <c r="F2008" s="214">
        <f>'BASIC DATA'!D87</f>
        <v>42</v>
      </c>
      <c r="G2008" s="190">
        <f t="shared" si="39"/>
        <v>756</v>
      </c>
    </row>
    <row r="2009" spans="2:7">
      <c r="B2009" s="105">
        <v>7</v>
      </c>
      <c r="C2009" s="135" t="s">
        <v>6815</v>
      </c>
      <c r="D2009" s="319" t="s">
        <v>3477</v>
      </c>
      <c r="E2009" s="190">
        <v>6</v>
      </c>
      <c r="F2009" s="214">
        <f>'BASIC DATA'!D28</f>
        <v>335</v>
      </c>
      <c r="G2009" s="190">
        <f t="shared" si="39"/>
        <v>2010</v>
      </c>
    </row>
    <row r="2010" spans="2:7">
      <c r="B2010" s="105">
        <v>8</v>
      </c>
      <c r="C2010" s="135" t="s">
        <v>6816</v>
      </c>
      <c r="D2010" s="319" t="s">
        <v>2059</v>
      </c>
      <c r="E2010" s="190">
        <v>7</v>
      </c>
      <c r="F2010" s="214">
        <f>'BASIC DATA'!$D$110</f>
        <v>13</v>
      </c>
      <c r="G2010" s="190">
        <f t="shared" si="39"/>
        <v>91</v>
      </c>
    </row>
    <row r="2011" spans="2:7">
      <c r="B2011" s="105">
        <v>9</v>
      </c>
      <c r="C2011" s="135" t="s">
        <v>4655</v>
      </c>
      <c r="D2011" s="319" t="s">
        <v>2059</v>
      </c>
      <c r="E2011" s="190">
        <v>66</v>
      </c>
      <c r="F2011" s="214">
        <f>'BASIC DATA'!$D$181</f>
        <v>15</v>
      </c>
      <c r="G2011" s="190">
        <f t="shared" si="39"/>
        <v>990</v>
      </c>
    </row>
    <row r="2012" spans="2:7">
      <c r="B2012" s="105">
        <v>10</v>
      </c>
      <c r="C2012" s="135" t="s">
        <v>5980</v>
      </c>
      <c r="D2012" s="319" t="s">
        <v>3478</v>
      </c>
      <c r="E2012" s="190">
        <v>2</v>
      </c>
      <c r="F2012" s="214">
        <f>'BASIC DATA'!D372</f>
        <v>275</v>
      </c>
      <c r="G2012" s="190">
        <f t="shared" si="39"/>
        <v>550</v>
      </c>
    </row>
    <row r="2013" spans="2:7">
      <c r="B2013" s="105">
        <v>11</v>
      </c>
      <c r="C2013" s="135" t="s">
        <v>6556</v>
      </c>
      <c r="D2013" s="319" t="s">
        <v>2374</v>
      </c>
      <c r="E2013" s="190">
        <v>8</v>
      </c>
      <c r="F2013" s="214">
        <f>F1988</f>
        <v>7.8</v>
      </c>
      <c r="G2013" s="190">
        <f t="shared" si="39"/>
        <v>62.4</v>
      </c>
    </row>
    <row r="2014" spans="2:7">
      <c r="B2014" s="105">
        <v>12</v>
      </c>
      <c r="C2014" s="135" t="s">
        <v>6557</v>
      </c>
      <c r="D2014" s="319" t="s">
        <v>2374</v>
      </c>
      <c r="E2014" s="190">
        <v>11</v>
      </c>
      <c r="F2014" s="214">
        <f>F1991</f>
        <v>24.166666666666668</v>
      </c>
      <c r="G2014" s="190">
        <f t="shared" si="39"/>
        <v>265.83333333333337</v>
      </c>
    </row>
    <row r="2015" spans="2:7">
      <c r="B2015" s="114">
        <v>13</v>
      </c>
      <c r="C2015" s="135" t="s">
        <v>2373</v>
      </c>
      <c r="D2015" s="319" t="s">
        <v>2173</v>
      </c>
      <c r="E2015" s="190">
        <v>2</v>
      </c>
      <c r="F2015" s="214">
        <f>'BASIC DATA'!D359</f>
        <v>30</v>
      </c>
      <c r="G2015" s="190">
        <f t="shared" si="39"/>
        <v>60</v>
      </c>
    </row>
    <row r="2016" spans="2:7">
      <c r="B2016" s="92"/>
      <c r="C2016" s="193"/>
      <c r="D2016" s="151" t="s">
        <v>2376</v>
      </c>
      <c r="E2016" s="160"/>
      <c r="F2016" s="236" t="s">
        <v>1698</v>
      </c>
      <c r="G2016" s="318">
        <f>SUM(G1998:G2015)</f>
        <v>71441.233333333323</v>
      </c>
    </row>
    <row r="2017" spans="2:7"/>
    <row r="2018" spans="2:7">
      <c r="B2018" s="79" t="s">
        <v>2377</v>
      </c>
    </row>
    <row r="2019" spans="2:7">
      <c r="B2019" s="95" t="s">
        <v>2369</v>
      </c>
      <c r="C2019" s="157" t="s">
        <v>2378</v>
      </c>
      <c r="D2019" s="95" t="s">
        <v>2370</v>
      </c>
      <c r="E2019" s="95" t="s">
        <v>1166</v>
      </c>
      <c r="F2019" s="95" t="s">
        <v>2371</v>
      </c>
      <c r="G2019" s="95" t="s">
        <v>2372</v>
      </c>
    </row>
    <row r="2020" spans="2:7">
      <c r="B2020" s="114"/>
      <c r="C2020" s="154"/>
      <c r="D2020" s="114"/>
      <c r="E2020" s="114"/>
      <c r="F2020" s="114" t="s">
        <v>3485</v>
      </c>
      <c r="G2020" s="114" t="s">
        <v>3485</v>
      </c>
    </row>
    <row r="2021" spans="2:7">
      <c r="B2021" s="95">
        <v>1</v>
      </c>
      <c r="C2021" s="135" t="s">
        <v>6558</v>
      </c>
      <c r="D2021" s="451" t="s">
        <v>2374</v>
      </c>
      <c r="E2021" s="190">
        <v>8</v>
      </c>
      <c r="F2021" s="190">
        <f>'HIRE CHARGES'!D556</f>
        <v>16</v>
      </c>
      <c r="G2021" s="190">
        <f t="shared" ref="G2021:G2027" si="40">F2021*E2021</f>
        <v>128</v>
      </c>
    </row>
    <row r="2022" spans="2:7">
      <c r="B2022" s="317"/>
      <c r="C2022" s="135" t="s">
        <v>2379</v>
      </c>
      <c r="D2022" s="319" t="s">
        <v>2374</v>
      </c>
      <c r="E2022" s="255">
        <v>5</v>
      </c>
      <c r="F2022" s="190">
        <f>'HIRE CHARGES'!E556</f>
        <v>67.2</v>
      </c>
      <c r="G2022" s="190">
        <f t="shared" si="40"/>
        <v>336</v>
      </c>
    </row>
    <row r="2023" spans="2:7">
      <c r="B2023" s="105">
        <v>2</v>
      </c>
      <c r="C2023" s="135" t="s">
        <v>6562</v>
      </c>
      <c r="D2023" s="319" t="s">
        <v>2374</v>
      </c>
      <c r="E2023" s="190">
        <v>2</v>
      </c>
      <c r="F2023" s="190">
        <f>'HIRE CHARGES'!D551</f>
        <v>22.5</v>
      </c>
      <c r="G2023" s="190">
        <f t="shared" si="40"/>
        <v>45</v>
      </c>
    </row>
    <row r="2024" spans="2:7">
      <c r="B2024" s="317"/>
      <c r="C2024" s="135" t="s">
        <v>2379</v>
      </c>
      <c r="D2024" s="319" t="s">
        <v>2374</v>
      </c>
      <c r="E2024" s="190">
        <v>2</v>
      </c>
      <c r="F2024" s="190">
        <f>'HIRE CHARGES'!E551</f>
        <v>28</v>
      </c>
      <c r="G2024" s="190">
        <f t="shared" si="40"/>
        <v>56</v>
      </c>
    </row>
    <row r="2025" spans="2:7">
      <c r="B2025" s="105">
        <v>3</v>
      </c>
      <c r="C2025" s="135" t="s">
        <v>5539</v>
      </c>
      <c r="D2025" s="319" t="s">
        <v>2374</v>
      </c>
      <c r="E2025" s="190">
        <v>2</v>
      </c>
      <c r="F2025" s="190">
        <f>'HIRE CHARGES'!D551</f>
        <v>22.5</v>
      </c>
      <c r="G2025" s="190">
        <f t="shared" si="40"/>
        <v>45</v>
      </c>
    </row>
    <row r="2026" spans="2:7">
      <c r="B2026" s="317"/>
      <c r="C2026" s="135" t="s">
        <v>2379</v>
      </c>
      <c r="D2026" s="319" t="s">
        <v>2374</v>
      </c>
      <c r="E2026" s="190">
        <v>2</v>
      </c>
      <c r="F2026" s="190">
        <f>'HIRE CHARGES'!E551</f>
        <v>28</v>
      </c>
      <c r="G2026" s="190">
        <f t="shared" si="40"/>
        <v>56</v>
      </c>
    </row>
    <row r="2027" spans="2:7">
      <c r="B2027" s="105">
        <v>4</v>
      </c>
      <c r="C2027" s="135" t="s">
        <v>2373</v>
      </c>
      <c r="D2027" s="319" t="s">
        <v>2173</v>
      </c>
      <c r="E2027" s="190">
        <v>2</v>
      </c>
      <c r="F2027" s="214">
        <f>'BASIC DATA'!D359</f>
        <v>30</v>
      </c>
      <c r="G2027" s="190">
        <f t="shared" si="40"/>
        <v>60</v>
      </c>
    </row>
    <row r="2028" spans="2:7">
      <c r="B2028" s="176"/>
      <c r="C2028" s="193" t="s">
        <v>2380</v>
      </c>
      <c r="D2028" s="193"/>
      <c r="E2028" s="208"/>
      <c r="F2028" s="236" t="s">
        <v>1698</v>
      </c>
      <c r="G2028" s="318">
        <f>SUM(G2021:G2027)</f>
        <v>726</v>
      </c>
    </row>
    <row r="2029" spans="2:7"/>
    <row r="2030" spans="2:7">
      <c r="B2030" s="79" t="s">
        <v>2381</v>
      </c>
    </row>
    <row r="2031" spans="2:7">
      <c r="B2031" s="95" t="s">
        <v>2369</v>
      </c>
      <c r="C2031" s="157" t="s">
        <v>2378</v>
      </c>
      <c r="D2031" s="95" t="s">
        <v>2370</v>
      </c>
      <c r="E2031" s="95" t="s">
        <v>1166</v>
      </c>
      <c r="F2031" s="95" t="s">
        <v>2371</v>
      </c>
      <c r="G2031" s="95" t="s">
        <v>2372</v>
      </c>
    </row>
    <row r="2032" spans="2:7">
      <c r="B2032" s="114"/>
      <c r="C2032" s="154"/>
      <c r="D2032" s="114"/>
      <c r="E2032" s="114"/>
      <c r="F2032" s="114" t="s">
        <v>3485</v>
      </c>
      <c r="G2032" s="114" t="s">
        <v>3485</v>
      </c>
    </row>
    <row r="2033" spans="2:7">
      <c r="B2033" s="105">
        <v>1</v>
      </c>
      <c r="C2033" s="76" t="s">
        <v>5545</v>
      </c>
      <c r="D2033" s="319" t="s">
        <v>2374</v>
      </c>
      <c r="E2033" s="207">
        <v>2</v>
      </c>
      <c r="F2033" s="190">
        <f>'HIRE CHARGES'!F551</f>
        <v>198.9</v>
      </c>
      <c r="G2033" s="190">
        <f>(E2033*F2033)</f>
        <v>397.8</v>
      </c>
    </row>
    <row r="2034" spans="2:7">
      <c r="B2034" s="105">
        <v>2</v>
      </c>
      <c r="C2034" s="76" t="s">
        <v>5546</v>
      </c>
      <c r="D2034" s="319" t="s">
        <v>2374</v>
      </c>
      <c r="E2034" s="207">
        <v>2</v>
      </c>
      <c r="F2034" s="190">
        <f>'HIRE CHARGES'!F551</f>
        <v>198.9</v>
      </c>
      <c r="G2034" s="190">
        <f t="shared" ref="G2034:G2040" si="41">(E2034*F2034)</f>
        <v>397.8</v>
      </c>
    </row>
    <row r="2035" spans="2:7">
      <c r="B2035" s="105">
        <v>3</v>
      </c>
      <c r="C2035" s="76" t="s">
        <v>2468</v>
      </c>
      <c r="D2035" s="319" t="s">
        <v>1172</v>
      </c>
      <c r="E2035" s="207">
        <v>4</v>
      </c>
      <c r="F2035" s="190">
        <f>'BASIC DATA'!C471</f>
        <v>510</v>
      </c>
      <c r="G2035" s="190">
        <f t="shared" si="41"/>
        <v>2040</v>
      </c>
    </row>
    <row r="2036" spans="2:7">
      <c r="B2036" s="105">
        <v>4</v>
      </c>
      <c r="C2036" s="76" t="s">
        <v>5547</v>
      </c>
      <c r="D2036" s="319" t="s">
        <v>1172</v>
      </c>
      <c r="E2036" s="207">
        <v>5</v>
      </c>
      <c r="F2036" s="190">
        <f>'BASIC DATA'!C503</f>
        <v>550</v>
      </c>
      <c r="G2036" s="190">
        <f t="shared" si="41"/>
        <v>2750</v>
      </c>
    </row>
    <row r="2037" spans="2:7">
      <c r="B2037" s="105">
        <v>5</v>
      </c>
      <c r="C2037" s="76" t="s">
        <v>3010</v>
      </c>
      <c r="D2037" s="319" t="s">
        <v>1172</v>
      </c>
      <c r="E2037" s="207">
        <v>2</v>
      </c>
      <c r="F2037" s="190">
        <f>'BASIC DATA'!C504</f>
        <v>445</v>
      </c>
      <c r="G2037" s="190">
        <f t="shared" si="41"/>
        <v>890</v>
      </c>
    </row>
    <row r="2038" spans="2:7">
      <c r="B2038" s="105">
        <v>6</v>
      </c>
      <c r="C2038" s="76" t="s">
        <v>3013</v>
      </c>
      <c r="D2038" s="319" t="s">
        <v>1172</v>
      </c>
      <c r="E2038" s="207">
        <v>1</v>
      </c>
      <c r="F2038" s="190">
        <f>'BASIC DATA'!C504</f>
        <v>445</v>
      </c>
      <c r="G2038" s="190">
        <f t="shared" si="41"/>
        <v>445</v>
      </c>
    </row>
    <row r="2039" spans="2:7">
      <c r="B2039" s="105">
        <v>7</v>
      </c>
      <c r="C2039" s="76" t="s">
        <v>3011</v>
      </c>
      <c r="D2039" s="319" t="s">
        <v>1172</v>
      </c>
      <c r="E2039" s="207">
        <v>9</v>
      </c>
      <c r="F2039" s="190">
        <f>'BASIC DATA'!C529</f>
        <v>400</v>
      </c>
      <c r="G2039" s="190">
        <f t="shared" si="41"/>
        <v>3600</v>
      </c>
    </row>
    <row r="2040" spans="2:7">
      <c r="B2040" s="105">
        <v>8</v>
      </c>
      <c r="C2040" s="76" t="s">
        <v>5604</v>
      </c>
      <c r="D2040" s="319" t="s">
        <v>1172</v>
      </c>
      <c r="E2040" s="207">
        <v>0.5</v>
      </c>
      <c r="F2040" s="190">
        <f>'BASIC DATA'!C468</f>
        <v>515</v>
      </c>
      <c r="G2040" s="190">
        <f t="shared" si="41"/>
        <v>257.5</v>
      </c>
    </row>
    <row r="2041" spans="2:7">
      <c r="B2041" s="92"/>
      <c r="C2041" s="193"/>
      <c r="D2041" s="151" t="s">
        <v>1174</v>
      </c>
      <c r="E2041" s="160"/>
      <c r="F2041" s="236" t="s">
        <v>1698</v>
      </c>
      <c r="G2041" s="318">
        <f>SUM(G2033:G2040)</f>
        <v>10778.1</v>
      </c>
    </row>
    <row r="2042" spans="2:7">
      <c r="B2042" s="101" t="s">
        <v>9422</v>
      </c>
      <c r="C2042" s="361"/>
      <c r="D2042" s="101"/>
      <c r="E2042" s="101"/>
      <c r="F2042" s="361"/>
      <c r="G2042" s="911">
        <f>G2041*30%</f>
        <v>3233.43</v>
      </c>
    </row>
    <row r="2043" spans="2:7">
      <c r="B2043" s="101"/>
      <c r="C2043" s="361" t="s">
        <v>7956</v>
      </c>
      <c r="D2043" s="101"/>
      <c r="E2043" s="101"/>
      <c r="F2043" s="361"/>
      <c r="G2043" s="911">
        <f>SUM(G2042+G2041)</f>
        <v>14011.53</v>
      </c>
    </row>
    <row r="2044" spans="2:7">
      <c r="B2044" s="33"/>
      <c r="C2044" s="200"/>
      <c r="D2044" s="76"/>
      <c r="E2044" s="76"/>
      <c r="F2044" s="200"/>
      <c r="G2044" s="766"/>
    </row>
    <row r="2045" spans="2:7">
      <c r="B2045" s="60" t="s">
        <v>5948</v>
      </c>
      <c r="C2045" s="31"/>
      <c r="D2045" s="31"/>
      <c r="E2045" s="85">
        <f>ROUND(G2043/F1994,1)</f>
        <v>4670.5</v>
      </c>
    </row>
    <row r="2046" spans="2:7">
      <c r="B2046" s="60" t="s">
        <v>3163</v>
      </c>
      <c r="C2046" s="31"/>
      <c r="D2046" s="922">
        <f>'BASIC DATA'!$C$577</f>
        <v>0.13614999999999999</v>
      </c>
      <c r="E2046" s="85">
        <f>ROUND(E2045*D2046,1)</f>
        <v>635.9</v>
      </c>
    </row>
    <row r="2047" spans="2:7">
      <c r="B2047" s="60" t="s">
        <v>5949</v>
      </c>
      <c r="C2047" s="31"/>
      <c r="D2047" s="31"/>
      <c r="E2047" s="199">
        <f>E2046+E2045</f>
        <v>5306.4</v>
      </c>
    </row>
    <row r="2048" spans="2:7">
      <c r="B2048" s="60"/>
      <c r="C2048" s="31"/>
      <c r="D2048" s="31"/>
      <c r="E2048" s="31"/>
      <c r="G2048" s="85"/>
    </row>
    <row r="2049" spans="2:34">
      <c r="B2049" s="170" t="s">
        <v>1175</v>
      </c>
    </row>
    <row r="2050" spans="2:34">
      <c r="B2050" s="26" t="s">
        <v>1176</v>
      </c>
      <c r="F2050" s="171" t="s">
        <v>1698</v>
      </c>
      <c r="G2050" s="68">
        <f>G2016</f>
        <v>71441.233333333323</v>
      </c>
    </row>
    <row r="2051" spans="2:34">
      <c r="B2051" s="26" t="s">
        <v>1186</v>
      </c>
      <c r="F2051" s="171" t="s">
        <v>1698</v>
      </c>
      <c r="G2051" s="68">
        <f>G2028</f>
        <v>726</v>
      </c>
    </row>
    <row r="2052" spans="2:34">
      <c r="B2052" s="26" t="s">
        <v>2660</v>
      </c>
      <c r="F2052" s="171" t="s">
        <v>1698</v>
      </c>
      <c r="G2052" s="75">
        <f>G2043</f>
        <v>14011.53</v>
      </c>
    </row>
    <row r="2053" spans="2:34">
      <c r="B2053" s="26"/>
      <c r="E2053" s="171" t="s">
        <v>5551</v>
      </c>
      <c r="F2053" s="171" t="s">
        <v>1698</v>
      </c>
      <c r="G2053" s="205">
        <f>SUM(G2050:G2052)</f>
        <v>86178.763333333321</v>
      </c>
    </row>
    <row r="2054" spans="2:34">
      <c r="B2054" s="26" t="s">
        <v>5087</v>
      </c>
      <c r="E2054" s="693">
        <f>'BASIC DATA'!C593</f>
        <v>0</v>
      </c>
      <c r="F2054" s="171" t="s">
        <v>1698</v>
      </c>
      <c r="G2054" s="68">
        <f>(G2052+G2051)*E2054*0.75</f>
        <v>0</v>
      </c>
    </row>
    <row r="2055" spans="2:34">
      <c r="B2055" s="26" t="s">
        <v>5084</v>
      </c>
      <c r="E2055" s="171" t="s">
        <v>1518</v>
      </c>
      <c r="F2055" s="171" t="s">
        <v>1698</v>
      </c>
      <c r="G2055" s="205">
        <f>G2054+G2053</f>
        <v>86178.763333333321</v>
      </c>
    </row>
    <row r="2056" spans="2:34">
      <c r="B2056" s="26" t="s">
        <v>5086</v>
      </c>
      <c r="E2056" s="201">
        <f>'BASIC DATA'!C594</f>
        <v>0.03</v>
      </c>
      <c r="F2056" s="171" t="s">
        <v>1698</v>
      </c>
      <c r="G2056" s="75">
        <f>G2055*E2056</f>
        <v>2585.3628999999996</v>
      </c>
    </row>
    <row r="2057" spans="2:34">
      <c r="B2057" s="26"/>
      <c r="E2057" s="26" t="s">
        <v>2392</v>
      </c>
      <c r="F2057" s="171" t="s">
        <v>1698</v>
      </c>
      <c r="G2057" s="75">
        <f>G2056+G2055</f>
        <v>88764.126233333314</v>
      </c>
    </row>
    <row r="2058" spans="2:34" ht="40.5" customHeight="1">
      <c r="B2058" s="1207" t="s">
        <v>4717</v>
      </c>
      <c r="C2058" s="1207"/>
      <c r="D2058" s="922">
        <f>'BASIC DATA'!$C$577</f>
        <v>0.13614999999999999</v>
      </c>
      <c r="F2058" s="171" t="s">
        <v>1698</v>
      </c>
      <c r="G2058" s="75">
        <f>G2057*D2058</f>
        <v>12085.235786668331</v>
      </c>
      <c r="I2058" s="68"/>
    </row>
    <row r="2059" spans="2:34">
      <c r="B2059" s="26" t="s">
        <v>898</v>
      </c>
    </row>
    <row r="2060" spans="2:34">
      <c r="B2060" s="47" t="s">
        <v>897</v>
      </c>
      <c r="D2060" s="48"/>
      <c r="E2060" s="68">
        <f>leadcharges!F65</f>
        <v>19</v>
      </c>
      <c r="F2060" s="27" t="s">
        <v>1279</v>
      </c>
      <c r="G2060" s="76">
        <f>2*ROUND(E2060*F1993,3)</f>
        <v>33.097999999999999</v>
      </c>
      <c r="AH2060" s="68"/>
    </row>
    <row r="2061" spans="2:34">
      <c r="B2061" s="47" t="s">
        <v>896</v>
      </c>
      <c r="D2061" s="48"/>
      <c r="E2061" s="68">
        <f>leadcharges!$G$79</f>
        <v>74.8</v>
      </c>
      <c r="F2061" s="27" t="s">
        <v>1279</v>
      </c>
      <c r="G2061" s="76">
        <f>2*ROUND(E2061*F1993,3)</f>
        <v>130.30199999999999</v>
      </c>
    </row>
    <row r="2062" spans="2:34">
      <c r="B2062" s="26" t="s">
        <v>5078</v>
      </c>
      <c r="D2062" s="278">
        <f>F1993</f>
        <v>0.871</v>
      </c>
      <c r="E2062" s="26" t="s">
        <v>3480</v>
      </c>
      <c r="F2062" s="171" t="s">
        <v>1698</v>
      </c>
      <c r="G2062" s="205">
        <f>SUM(G2057:G2061)</f>
        <v>101012.76202000164</v>
      </c>
    </row>
    <row r="2063" spans="2:34">
      <c r="D2063" s="278">
        <f>F1994</f>
        <v>3</v>
      </c>
      <c r="E2063" s="26" t="s">
        <v>4769</v>
      </c>
      <c r="F2063" s="171" t="s">
        <v>1698</v>
      </c>
      <c r="G2063" s="68"/>
    </row>
    <row r="2064" spans="2:34">
      <c r="D2064" s="171" t="s">
        <v>3884</v>
      </c>
      <c r="E2064" s="26" t="s">
        <v>3041</v>
      </c>
      <c r="F2064" s="171" t="s">
        <v>1698</v>
      </c>
      <c r="G2064" s="68">
        <f>ROUND(G2062/D2062,1)</f>
        <v>115973.3</v>
      </c>
    </row>
    <row r="2065" spans="1:8">
      <c r="D2065" s="170"/>
      <c r="E2065" s="203" t="s">
        <v>2309</v>
      </c>
      <c r="F2065" s="171" t="s">
        <v>1698</v>
      </c>
      <c r="G2065" s="211">
        <f>ROUND(G2062/D2063,1)</f>
        <v>33670.9</v>
      </c>
    </row>
    <row r="2066" spans="1:8">
      <c r="B2066" s="26"/>
      <c r="C2066" s="78"/>
    </row>
    <row r="2067" spans="1:8">
      <c r="B2067" s="26"/>
      <c r="E2067" s="78"/>
      <c r="G2067" s="171"/>
      <c r="H2067" s="27"/>
    </row>
    <row r="2068" spans="1:8">
      <c r="A2068" s="870"/>
      <c r="B2068" s="314" t="s">
        <v>4624</v>
      </c>
    </row>
    <row r="2069" spans="1:8">
      <c r="A2069" s="822" t="s">
        <v>7176</v>
      </c>
    </row>
    <row r="2070" spans="1:8">
      <c r="B2070" s="26" t="s">
        <v>9060</v>
      </c>
    </row>
    <row r="2071" spans="1:8" ht="18.75">
      <c r="B2071" s="26" t="s">
        <v>9061</v>
      </c>
    </row>
    <row r="2072" spans="1:8">
      <c r="B2072" s="26" t="s">
        <v>4409</v>
      </c>
    </row>
    <row r="2073" spans="1:8">
      <c r="B2073" s="26" t="s">
        <v>4410</v>
      </c>
    </row>
    <row r="2074" spans="1:8">
      <c r="B2074" s="26" t="s">
        <v>9062</v>
      </c>
    </row>
    <row r="2075" spans="1:8">
      <c r="B2075" s="26" t="s">
        <v>538</v>
      </c>
      <c r="E2075" s="322"/>
    </row>
    <row r="2076" spans="1:8">
      <c r="B2076" s="26" t="s">
        <v>3549</v>
      </c>
      <c r="E2076" s="322"/>
    </row>
    <row r="2077" spans="1:8" hidden="1">
      <c r="A2077" s="865" t="s">
        <v>3984</v>
      </c>
      <c r="B2077" s="26" t="s">
        <v>760</v>
      </c>
    </row>
    <row r="2078" spans="1:8" hidden="1">
      <c r="B2078" s="26" t="s">
        <v>1081</v>
      </c>
    </row>
    <row r="2079" spans="1:8" hidden="1">
      <c r="B2079" s="26" t="s">
        <v>4160</v>
      </c>
    </row>
    <row r="2080" spans="1:8" hidden="1">
      <c r="B2080" s="26" t="s">
        <v>4161</v>
      </c>
    </row>
    <row r="2081" spans="1:7" hidden="1">
      <c r="B2081" s="26" t="s">
        <v>4699</v>
      </c>
    </row>
    <row r="2082" spans="1:7" hidden="1">
      <c r="B2082" s="26" t="s">
        <v>4700</v>
      </c>
      <c r="E2082" s="322"/>
    </row>
    <row r="2083" spans="1:7" hidden="1">
      <c r="B2083" s="26" t="s">
        <v>6873</v>
      </c>
      <c r="E2083" s="322"/>
      <c r="F2083" s="278">
        <v>10</v>
      </c>
      <c r="G2083" s="26" t="s">
        <v>45</v>
      </c>
    </row>
    <row r="2084" spans="1:7" hidden="1">
      <c r="B2084" s="26" t="s">
        <v>7613</v>
      </c>
      <c r="E2084" s="322"/>
      <c r="F2084" s="278"/>
    </row>
    <row r="2085" spans="1:7" hidden="1">
      <c r="B2085" s="26" t="s">
        <v>4162</v>
      </c>
      <c r="E2085" s="322" t="s">
        <v>1697</v>
      </c>
      <c r="F2085" s="278">
        <v>3</v>
      </c>
      <c r="G2085" s="26" t="s">
        <v>45</v>
      </c>
    </row>
    <row r="2086" spans="1:7" hidden="1">
      <c r="B2086" s="26" t="s">
        <v>6854</v>
      </c>
      <c r="E2086" s="322" t="s">
        <v>1697</v>
      </c>
      <c r="F2086" s="278">
        <v>0.2</v>
      </c>
      <c r="G2086" s="26" t="s">
        <v>45</v>
      </c>
    </row>
    <row r="2087" spans="1:7" hidden="1">
      <c r="B2087" s="26" t="s">
        <v>4252</v>
      </c>
      <c r="E2087" s="322" t="s">
        <v>1697</v>
      </c>
      <c r="F2087" s="278">
        <v>2.8</v>
      </c>
      <c r="G2087" s="26" t="s">
        <v>45</v>
      </c>
    </row>
    <row r="2088" spans="1:7" hidden="1">
      <c r="B2088" s="26" t="s">
        <v>7614</v>
      </c>
      <c r="E2088" s="322" t="s">
        <v>1697</v>
      </c>
      <c r="F2088" s="278">
        <v>2.8039999999999998</v>
      </c>
      <c r="G2088" s="26" t="s">
        <v>45</v>
      </c>
    </row>
    <row r="2089" spans="1:7" hidden="1">
      <c r="B2089" s="26" t="s">
        <v>240</v>
      </c>
      <c r="E2089" s="322"/>
    </row>
    <row r="2090" spans="1:7" hidden="1">
      <c r="A2090" s="865">
        <v>1</v>
      </c>
      <c r="B2090" s="26" t="s">
        <v>2016</v>
      </c>
      <c r="E2090" s="322"/>
    </row>
    <row r="2091" spans="1:7" hidden="1">
      <c r="A2091" s="865" t="s">
        <v>1535</v>
      </c>
      <c r="B2091" s="26" t="s">
        <v>241</v>
      </c>
      <c r="E2091" s="322"/>
    </row>
    <row r="2092" spans="1:7" hidden="1">
      <c r="B2092" s="26" t="s">
        <v>5966</v>
      </c>
      <c r="E2092" s="322" t="s">
        <v>1697</v>
      </c>
      <c r="F2092" s="26">
        <v>1229</v>
      </c>
      <c r="G2092" s="26" t="s">
        <v>3478</v>
      </c>
    </row>
    <row r="2093" spans="1:7" hidden="1">
      <c r="B2093" s="26" t="s">
        <v>5967</v>
      </c>
      <c r="E2093" s="322" t="s">
        <v>1697</v>
      </c>
      <c r="F2093" s="26">
        <v>453</v>
      </c>
      <c r="G2093" s="26" t="s">
        <v>3478</v>
      </c>
    </row>
    <row r="2094" spans="1:7" hidden="1">
      <c r="B2094" s="26" t="s">
        <v>6899</v>
      </c>
      <c r="E2094" s="322"/>
      <c r="F2094" s="26">
        <v>195</v>
      </c>
      <c r="G2094" s="26" t="s">
        <v>3478</v>
      </c>
    </row>
    <row r="2095" spans="1:7" hidden="1">
      <c r="A2095" s="865" t="s">
        <v>5400</v>
      </c>
      <c r="B2095" s="26" t="s">
        <v>5165</v>
      </c>
      <c r="E2095" s="322"/>
      <c r="F2095" s="174"/>
    </row>
    <row r="2096" spans="1:7" hidden="1">
      <c r="B2096" s="26" t="s">
        <v>4987</v>
      </c>
      <c r="D2096" s="171"/>
      <c r="E2096" s="322" t="s">
        <v>1697</v>
      </c>
      <c r="F2096" s="26">
        <v>384</v>
      </c>
      <c r="G2096" s="26" t="s">
        <v>3478</v>
      </c>
    </row>
    <row r="2097" spans="1:7" hidden="1">
      <c r="B2097" s="26" t="s">
        <v>5969</v>
      </c>
      <c r="E2097" s="322" t="s">
        <v>1697</v>
      </c>
      <c r="F2097" s="26">
        <v>14</v>
      </c>
      <c r="G2097" s="26" t="s">
        <v>3478</v>
      </c>
    </row>
    <row r="2098" spans="1:7" hidden="1">
      <c r="B2098" s="26" t="s">
        <v>7615</v>
      </c>
      <c r="E2098" s="322" t="s">
        <v>1697</v>
      </c>
      <c r="F2098" s="26">
        <v>108</v>
      </c>
      <c r="G2098" s="26" t="s">
        <v>3478</v>
      </c>
    </row>
    <row r="2099" spans="1:7" hidden="1">
      <c r="B2099" s="26" t="s">
        <v>5971</v>
      </c>
      <c r="E2099" s="322" t="s">
        <v>1697</v>
      </c>
      <c r="F2099" s="26">
        <v>47</v>
      </c>
      <c r="G2099" s="26" t="s">
        <v>3478</v>
      </c>
    </row>
    <row r="2100" spans="1:7" hidden="1">
      <c r="A2100" s="865" t="s">
        <v>5401</v>
      </c>
      <c r="B2100" s="26" t="s">
        <v>5162</v>
      </c>
      <c r="E2100" s="322"/>
    </row>
    <row r="2101" spans="1:7" hidden="1">
      <c r="B2101" s="26" t="s">
        <v>4772</v>
      </c>
      <c r="E2101" s="322" t="s">
        <v>1697</v>
      </c>
      <c r="F2101" s="26">
        <v>75</v>
      </c>
      <c r="G2101" s="26" t="s">
        <v>3478</v>
      </c>
    </row>
    <row r="2102" spans="1:7" hidden="1">
      <c r="B2102" s="26" t="s">
        <v>4773</v>
      </c>
      <c r="E2102" s="322"/>
      <c r="F2102" s="26">
        <v>24</v>
      </c>
      <c r="G2102" s="26" t="s">
        <v>3478</v>
      </c>
    </row>
    <row r="2103" spans="1:7" hidden="1">
      <c r="A2103" s="865" t="s">
        <v>1696</v>
      </c>
      <c r="B2103" s="26" t="s">
        <v>6988</v>
      </c>
      <c r="E2103" s="322"/>
    </row>
    <row r="2104" spans="1:7" hidden="1">
      <c r="B2104" s="26" t="s">
        <v>6989</v>
      </c>
      <c r="E2104" s="322" t="s">
        <v>1697</v>
      </c>
      <c r="F2104" s="26">
        <v>11</v>
      </c>
      <c r="G2104" s="26" t="s">
        <v>3478</v>
      </c>
    </row>
    <row r="2105" spans="1:7" hidden="1">
      <c r="A2105" s="865" t="s">
        <v>5082</v>
      </c>
      <c r="B2105" s="26" t="s">
        <v>5128</v>
      </c>
      <c r="E2105" s="322"/>
    </row>
    <row r="2106" spans="1:7" hidden="1">
      <c r="B2106" s="26" t="s">
        <v>3606</v>
      </c>
      <c r="E2106" s="322" t="s">
        <v>1697</v>
      </c>
      <c r="F2106" s="26">
        <v>64</v>
      </c>
      <c r="G2106" s="26" t="s">
        <v>3478</v>
      </c>
    </row>
    <row r="2107" spans="1:7" hidden="1">
      <c r="A2107" s="865" t="s">
        <v>2408</v>
      </c>
      <c r="B2107" s="26" t="s">
        <v>3607</v>
      </c>
      <c r="E2107" s="322"/>
    </row>
    <row r="2108" spans="1:7" hidden="1">
      <c r="B2108" s="26" t="s">
        <v>6143</v>
      </c>
      <c r="E2108" s="322" t="s">
        <v>1697</v>
      </c>
      <c r="F2108" s="26">
        <v>42</v>
      </c>
      <c r="G2108" s="26" t="s">
        <v>3478</v>
      </c>
    </row>
    <row r="2109" spans="1:7" hidden="1">
      <c r="A2109" s="865" t="s">
        <v>2410</v>
      </c>
      <c r="B2109" s="26" t="s">
        <v>1705</v>
      </c>
      <c r="E2109" s="322"/>
    </row>
    <row r="2110" spans="1:7" hidden="1">
      <c r="B2110" s="26" t="s">
        <v>5979</v>
      </c>
      <c r="E2110" s="322" t="s">
        <v>1697</v>
      </c>
      <c r="F2110" s="26">
        <v>1</v>
      </c>
      <c r="G2110" s="26" t="s">
        <v>4089</v>
      </c>
    </row>
    <row r="2111" spans="1:7" hidden="1">
      <c r="B2111" s="26" t="s">
        <v>5977</v>
      </c>
      <c r="E2111" s="322" t="s">
        <v>1697</v>
      </c>
      <c r="F2111" s="174">
        <v>1</v>
      </c>
      <c r="G2111" s="26" t="s">
        <v>4089</v>
      </c>
    </row>
    <row r="2112" spans="1:7" hidden="1">
      <c r="B2112" s="26" t="s">
        <v>6187</v>
      </c>
      <c r="D2112" s="171"/>
      <c r="E2112" s="322" t="s">
        <v>1697</v>
      </c>
      <c r="F2112" s="26">
        <v>2</v>
      </c>
      <c r="G2112" s="26" t="s">
        <v>2059</v>
      </c>
    </row>
    <row r="2113" spans="1:7" hidden="1">
      <c r="B2113" s="26" t="s">
        <v>15</v>
      </c>
      <c r="E2113" s="322" t="s">
        <v>1697</v>
      </c>
      <c r="F2113" s="26">
        <v>10.5</v>
      </c>
      <c r="G2113" s="26" t="s">
        <v>3483</v>
      </c>
    </row>
    <row r="2114" spans="1:7" hidden="1">
      <c r="A2114" s="865" t="s">
        <v>6401</v>
      </c>
      <c r="B2114" s="26" t="s">
        <v>1195</v>
      </c>
      <c r="E2114" s="322"/>
    </row>
    <row r="2115" spans="1:7" hidden="1">
      <c r="B2115" s="26" t="s">
        <v>1336</v>
      </c>
      <c r="E2115" s="322" t="s">
        <v>1697</v>
      </c>
      <c r="F2115" s="26">
        <v>69</v>
      </c>
      <c r="G2115" s="26" t="s">
        <v>2059</v>
      </c>
    </row>
    <row r="2116" spans="1:7" hidden="1">
      <c r="B2116" s="26" t="s">
        <v>519</v>
      </c>
      <c r="E2116" s="322" t="s">
        <v>1697</v>
      </c>
      <c r="F2116" s="26">
        <v>622</v>
      </c>
      <c r="G2116" s="26" t="s">
        <v>2059</v>
      </c>
    </row>
    <row r="2117" spans="1:7" hidden="1">
      <c r="A2117" s="865">
        <v>2</v>
      </c>
      <c r="B2117" s="26" t="s">
        <v>2281</v>
      </c>
      <c r="E2117" s="322"/>
    </row>
    <row r="2118" spans="1:7" hidden="1">
      <c r="B2118" s="26" t="s">
        <v>4962</v>
      </c>
      <c r="E2118" s="322" t="s">
        <v>1697</v>
      </c>
      <c r="F2118" s="26">
        <v>73</v>
      </c>
      <c r="G2118" s="26" t="s">
        <v>3483</v>
      </c>
    </row>
    <row r="2119" spans="1:7" hidden="1">
      <c r="B2119" s="26" t="s">
        <v>2985</v>
      </c>
      <c r="E2119" s="322" t="s">
        <v>1697</v>
      </c>
      <c r="F2119" s="26">
        <v>7</v>
      </c>
      <c r="G2119" s="26" t="s">
        <v>3483</v>
      </c>
    </row>
    <row r="2120" spans="1:7" hidden="1">
      <c r="B2120" s="26"/>
      <c r="D2120" s="26" t="s">
        <v>1518</v>
      </c>
      <c r="E2120" s="322" t="s">
        <v>1697</v>
      </c>
      <c r="F2120" s="26">
        <v>80</v>
      </c>
      <c r="G2120" s="26" t="s">
        <v>3483</v>
      </c>
    </row>
    <row r="2121" spans="1:7" hidden="1">
      <c r="B2121" s="26" t="s">
        <v>165</v>
      </c>
      <c r="E2121" s="322"/>
    </row>
    <row r="2122" spans="1:7" hidden="1">
      <c r="B2122" s="26" t="s">
        <v>3532</v>
      </c>
      <c r="E2122" s="322" t="s">
        <v>1697</v>
      </c>
      <c r="F2122" s="26">
        <v>70</v>
      </c>
      <c r="G2122" s="26" t="s">
        <v>3483</v>
      </c>
    </row>
    <row r="2123" spans="1:7" hidden="1">
      <c r="B2123" s="26" t="s">
        <v>3533</v>
      </c>
      <c r="E2123" s="322" t="s">
        <v>1697</v>
      </c>
      <c r="F2123" s="26">
        <v>20</v>
      </c>
      <c r="G2123" s="26" t="s">
        <v>3483</v>
      </c>
    </row>
    <row r="2124" spans="1:7" hidden="1">
      <c r="B2124" s="26" t="s">
        <v>2278</v>
      </c>
      <c r="E2124" s="322" t="s">
        <v>1697</v>
      </c>
      <c r="F2124" s="26">
        <v>35</v>
      </c>
      <c r="G2124" s="26" t="s">
        <v>4665</v>
      </c>
    </row>
    <row r="2125" spans="1:7" hidden="1">
      <c r="B2125" s="26" t="s">
        <v>2279</v>
      </c>
      <c r="E2125" s="322" t="s">
        <v>1697</v>
      </c>
      <c r="F2125" s="26">
        <v>7</v>
      </c>
      <c r="G2125" s="26" t="s">
        <v>4665</v>
      </c>
    </row>
    <row r="2126" spans="1:7" hidden="1">
      <c r="B2126" s="26" t="s">
        <v>3192</v>
      </c>
      <c r="E2126" s="322" t="s">
        <v>1697</v>
      </c>
      <c r="F2126" s="26">
        <v>25</v>
      </c>
      <c r="G2126" s="26" t="s">
        <v>3477</v>
      </c>
    </row>
    <row r="2127" spans="1:7" hidden="1">
      <c r="B2127" s="26" t="s">
        <v>3193</v>
      </c>
      <c r="E2127" s="322" t="s">
        <v>1697</v>
      </c>
      <c r="F2127" s="26">
        <v>75</v>
      </c>
      <c r="G2127" s="26" t="s">
        <v>3477</v>
      </c>
    </row>
    <row r="2128" spans="1:7" hidden="1">
      <c r="B2128" s="26" t="s">
        <v>1899</v>
      </c>
      <c r="E2128" s="26" t="s">
        <v>1697</v>
      </c>
      <c r="F2128" s="26">
        <v>42</v>
      </c>
      <c r="G2128" s="26" t="s">
        <v>4665</v>
      </c>
    </row>
    <row r="2129" spans="1:7" hidden="1">
      <c r="B2129" s="26" t="s">
        <v>6855</v>
      </c>
      <c r="E2129" s="26" t="s">
        <v>1697</v>
      </c>
      <c r="F2129" s="26">
        <v>8</v>
      </c>
      <c r="G2129" s="26" t="s">
        <v>4665</v>
      </c>
    </row>
    <row r="2130" spans="1:7" hidden="1">
      <c r="A2130" s="865">
        <v>3</v>
      </c>
      <c r="B2130" s="26" t="s">
        <v>4651</v>
      </c>
    </row>
    <row r="2131" spans="1:7" hidden="1">
      <c r="B2131" s="26" t="s">
        <v>2504</v>
      </c>
      <c r="E2131" s="322" t="s">
        <v>1697</v>
      </c>
      <c r="F2131" s="26">
        <v>113</v>
      </c>
      <c r="G2131" s="26" t="s">
        <v>3483</v>
      </c>
    </row>
    <row r="2132" spans="1:7" hidden="1">
      <c r="B2132" s="26" t="s">
        <v>5723</v>
      </c>
    </row>
    <row r="2133" spans="1:7" hidden="1">
      <c r="B2133" s="26"/>
      <c r="C2133" s="26" t="s">
        <v>1054</v>
      </c>
      <c r="E2133" s="26" t="s">
        <v>1697</v>
      </c>
      <c r="F2133" s="26">
        <v>18</v>
      </c>
      <c r="G2133" s="26" t="s">
        <v>4665</v>
      </c>
    </row>
    <row r="2134" spans="1:7" hidden="1">
      <c r="B2134" s="26" t="s">
        <v>1913</v>
      </c>
    </row>
    <row r="2135" spans="1:7" hidden="1">
      <c r="B2135" s="26"/>
      <c r="C2135" s="26" t="s">
        <v>1055</v>
      </c>
      <c r="E2135" s="26" t="s">
        <v>1697</v>
      </c>
      <c r="F2135" s="26">
        <v>55</v>
      </c>
      <c r="G2135" s="26" t="s">
        <v>4665</v>
      </c>
    </row>
    <row r="2136" spans="1:7" hidden="1">
      <c r="B2136" s="26"/>
      <c r="C2136" s="31"/>
      <c r="D2136" s="31" t="s">
        <v>1518</v>
      </c>
      <c r="E2136" s="31" t="s">
        <v>1697</v>
      </c>
      <c r="F2136" s="31">
        <v>73</v>
      </c>
      <c r="G2136" s="31" t="s">
        <v>4665</v>
      </c>
    </row>
    <row r="2137" spans="1:7" hidden="1">
      <c r="B2137" s="31" t="s">
        <v>1056</v>
      </c>
      <c r="C2137" s="31"/>
      <c r="D2137" s="31"/>
      <c r="E2137" s="31"/>
      <c r="F2137" s="31"/>
      <c r="G2137" s="31"/>
    </row>
    <row r="2138" spans="1:7" hidden="1">
      <c r="B2138" s="31" t="s">
        <v>2657</v>
      </c>
      <c r="C2138" s="31"/>
      <c r="D2138" s="31"/>
      <c r="E2138" s="31"/>
      <c r="F2138" s="31"/>
    </row>
    <row r="2139" spans="1:7" hidden="1">
      <c r="B2139" s="31" t="s">
        <v>1057</v>
      </c>
      <c r="C2139" s="31"/>
      <c r="D2139" s="31"/>
      <c r="E2139" s="33" t="s">
        <v>1697</v>
      </c>
      <c r="F2139" s="31">
        <v>46</v>
      </c>
      <c r="G2139" s="31" t="s">
        <v>4665</v>
      </c>
    </row>
    <row r="2140" spans="1:7" hidden="1">
      <c r="A2140" s="865">
        <v>4</v>
      </c>
      <c r="B2140" s="26" t="s">
        <v>4249</v>
      </c>
    </row>
    <row r="2141" spans="1:7" hidden="1">
      <c r="B2141" s="26" t="s">
        <v>380</v>
      </c>
    </row>
    <row r="2142" spans="1:7" hidden="1">
      <c r="B2142" s="26" t="s">
        <v>381</v>
      </c>
    </row>
    <row r="2143" spans="1:7" hidden="1">
      <c r="B2143" s="26" t="s">
        <v>6010</v>
      </c>
    </row>
    <row r="2144" spans="1:7" hidden="1">
      <c r="B2144" s="26" t="s">
        <v>6011</v>
      </c>
    </row>
    <row r="2145" spans="1:7" hidden="1">
      <c r="B2145" s="26"/>
    </row>
    <row r="2146" spans="1:7" hidden="1">
      <c r="A2146" s="865">
        <v>5</v>
      </c>
      <c r="B2146" s="26" t="s">
        <v>4900</v>
      </c>
    </row>
    <row r="2147" spans="1:7" hidden="1">
      <c r="B2147" s="1268" t="s">
        <v>4901</v>
      </c>
      <c r="C2147" s="1268"/>
      <c r="D2147" s="38" t="s">
        <v>2468</v>
      </c>
      <c r="E2147" s="38" t="s">
        <v>4902</v>
      </c>
      <c r="F2147" s="38" t="s">
        <v>4903</v>
      </c>
      <c r="G2147" s="38" t="s">
        <v>6199</v>
      </c>
    </row>
    <row r="2148" spans="1:7" hidden="1">
      <c r="B2148" s="38" t="s">
        <v>382</v>
      </c>
      <c r="C2148" s="38"/>
      <c r="D2148" s="38">
        <v>3</v>
      </c>
      <c r="E2148" s="38">
        <v>6</v>
      </c>
      <c r="F2148" s="45">
        <v>6</v>
      </c>
      <c r="G2148" s="38">
        <v>12</v>
      </c>
    </row>
    <row r="2149" spans="1:7" hidden="1">
      <c r="B2149" s="38" t="s">
        <v>6584</v>
      </c>
      <c r="C2149" s="38"/>
      <c r="D2149" s="36">
        <v>1</v>
      </c>
      <c r="E2149" s="36">
        <v>1</v>
      </c>
      <c r="F2149" s="36" t="s">
        <v>5854</v>
      </c>
      <c r="G2149" s="36">
        <v>1</v>
      </c>
    </row>
    <row r="2150" spans="1:7" hidden="1">
      <c r="B2150" s="38" t="s">
        <v>2666</v>
      </c>
      <c r="C2150" s="38"/>
      <c r="D2150" s="38">
        <v>1</v>
      </c>
      <c r="E2150" s="38">
        <v>2</v>
      </c>
      <c r="F2150" s="36" t="s">
        <v>5854</v>
      </c>
      <c r="G2150" s="38">
        <v>4</v>
      </c>
    </row>
    <row r="2151" spans="1:7" hidden="1">
      <c r="B2151" s="38" t="s">
        <v>1898</v>
      </c>
      <c r="C2151" s="38"/>
      <c r="D2151" s="38">
        <v>1</v>
      </c>
      <c r="E2151" s="36" t="s">
        <v>5854</v>
      </c>
      <c r="F2151" s="45">
        <v>7</v>
      </c>
      <c r="G2151" s="38">
        <v>7</v>
      </c>
    </row>
    <row r="2152" spans="1:7" hidden="1">
      <c r="B2152" s="38" t="s">
        <v>3268</v>
      </c>
      <c r="C2152" s="38"/>
      <c r="D2152" s="36">
        <v>1</v>
      </c>
      <c r="E2152" s="36">
        <v>1</v>
      </c>
      <c r="F2152" s="36" t="s">
        <v>5854</v>
      </c>
      <c r="G2152" s="36">
        <v>1</v>
      </c>
    </row>
    <row r="2153" spans="1:7" hidden="1">
      <c r="B2153" s="38" t="s">
        <v>3269</v>
      </c>
      <c r="C2153" s="38"/>
      <c r="D2153" s="38">
        <v>1</v>
      </c>
      <c r="E2153" s="38">
        <v>2</v>
      </c>
      <c r="F2153" s="36" t="s">
        <v>5854</v>
      </c>
      <c r="G2153" s="38">
        <v>4</v>
      </c>
    </row>
    <row r="2154" spans="1:7" hidden="1">
      <c r="B2154" s="39" t="s">
        <v>3270</v>
      </c>
      <c r="C2154" s="39"/>
      <c r="D2154" s="38">
        <v>1</v>
      </c>
      <c r="E2154" s="236">
        <v>1</v>
      </c>
      <c r="F2154" s="36" t="s">
        <v>5854</v>
      </c>
      <c r="G2154" s="38">
        <v>2</v>
      </c>
    </row>
    <row r="2155" spans="1:7" hidden="1">
      <c r="A2155" s="823"/>
      <c r="B2155" s="38" t="s">
        <v>856</v>
      </c>
      <c r="C2155" s="38"/>
      <c r="D2155" s="38">
        <v>1</v>
      </c>
      <c r="E2155" s="38">
        <v>2</v>
      </c>
      <c r="F2155" s="36" t="s">
        <v>5854</v>
      </c>
      <c r="G2155" s="38">
        <v>4</v>
      </c>
    </row>
    <row r="2156" spans="1:7" hidden="1">
      <c r="A2156" s="827"/>
      <c r="B2156" s="39" t="s">
        <v>2961</v>
      </c>
      <c r="C2156" s="39"/>
      <c r="D2156" s="236">
        <v>1</v>
      </c>
      <c r="E2156" s="45">
        <v>1</v>
      </c>
      <c r="F2156" s="36" t="s">
        <v>5854</v>
      </c>
      <c r="G2156" s="236">
        <v>2</v>
      </c>
    </row>
    <row r="2157" spans="1:7" hidden="1">
      <c r="A2157" s="827"/>
      <c r="B2157" s="38" t="s">
        <v>2963</v>
      </c>
      <c r="C2157" s="38"/>
      <c r="D2157" s="236">
        <v>1</v>
      </c>
      <c r="E2157" s="236">
        <v>1</v>
      </c>
      <c r="F2157" s="36" t="s">
        <v>5854</v>
      </c>
      <c r="G2157" s="236">
        <v>2</v>
      </c>
    </row>
    <row r="2158" spans="1:7" hidden="1">
      <c r="A2158" s="881"/>
      <c r="B2158" s="39" t="s">
        <v>2964</v>
      </c>
      <c r="C2158" s="39"/>
      <c r="D2158" s="45">
        <v>1</v>
      </c>
      <c r="E2158" s="38">
        <v>1</v>
      </c>
      <c r="F2158" s="36" t="s">
        <v>5854</v>
      </c>
      <c r="G2158" s="38">
        <v>2</v>
      </c>
    </row>
    <row r="2159" spans="1:7" hidden="1">
      <c r="A2159" s="881"/>
      <c r="B2159" s="39" t="s">
        <v>2965</v>
      </c>
      <c r="C2159" s="39"/>
      <c r="D2159" s="36" t="s">
        <v>5854</v>
      </c>
      <c r="E2159" s="36">
        <v>1</v>
      </c>
      <c r="F2159" s="36" t="s">
        <v>5854</v>
      </c>
      <c r="G2159" s="36">
        <v>1</v>
      </c>
    </row>
    <row r="2160" spans="1:7" hidden="1">
      <c r="A2160" s="881"/>
      <c r="B2160" s="39" t="s">
        <v>2585</v>
      </c>
      <c r="C2160" s="39"/>
      <c r="D2160" s="45">
        <v>1</v>
      </c>
      <c r="E2160" s="38">
        <v>1</v>
      </c>
      <c r="F2160" s="36" t="s">
        <v>5854</v>
      </c>
      <c r="G2160" s="38">
        <v>2</v>
      </c>
    </row>
    <row r="2161" spans="1:7" hidden="1">
      <c r="A2161" s="881"/>
      <c r="B2161" s="39" t="s">
        <v>2656</v>
      </c>
      <c r="C2161" s="39"/>
      <c r="D2161" s="45">
        <v>14</v>
      </c>
      <c r="E2161" s="38">
        <v>20</v>
      </c>
      <c r="F2161" s="38">
        <v>13</v>
      </c>
      <c r="G2161" s="38">
        <v>44</v>
      </c>
    </row>
    <row r="2162" spans="1:7" hidden="1">
      <c r="A2162" s="871">
        <v>6</v>
      </c>
      <c r="B2162" s="76" t="s">
        <v>673</v>
      </c>
      <c r="C2162" s="731"/>
      <c r="D2162" s="31"/>
      <c r="E2162" s="31"/>
      <c r="F2162" s="31"/>
    </row>
    <row r="2163" spans="1:7" hidden="1">
      <c r="A2163" s="882"/>
      <c r="B2163" s="76" t="s">
        <v>6017</v>
      </c>
      <c r="C2163" s="731"/>
      <c r="D2163" s="31"/>
      <c r="E2163" s="31"/>
      <c r="F2163" s="31"/>
    </row>
    <row r="2164" spans="1:7" hidden="1">
      <c r="A2164" s="882"/>
      <c r="B2164" s="76" t="s">
        <v>2385</v>
      </c>
      <c r="C2164" s="731"/>
      <c r="D2164" s="31"/>
      <c r="E2164" s="31"/>
      <c r="F2164" s="31"/>
    </row>
    <row r="2165" spans="1:7" hidden="1">
      <c r="A2165" s="882"/>
      <c r="B2165" s="76" t="s">
        <v>4751</v>
      </c>
      <c r="C2165" s="731"/>
      <c r="D2165" s="31"/>
      <c r="E2165" s="31"/>
      <c r="F2165" s="31"/>
    </row>
    <row r="2166" spans="1:7" hidden="1">
      <c r="A2166" s="824"/>
      <c r="B2166" s="76"/>
      <c r="C2166" s="731"/>
      <c r="D2166" s="31"/>
      <c r="E2166" s="31"/>
      <c r="F2166" s="31"/>
    </row>
    <row r="2167" spans="1:7" hidden="1">
      <c r="A2167" s="824"/>
      <c r="B2167" s="76" t="s">
        <v>2366</v>
      </c>
      <c r="C2167" s="731"/>
      <c r="D2167" s="31"/>
      <c r="E2167" s="31"/>
      <c r="F2167" s="31"/>
    </row>
    <row r="2168" spans="1:7" hidden="1">
      <c r="A2168" s="871"/>
      <c r="B2168" s="31" t="s">
        <v>4045</v>
      </c>
      <c r="C2168" s="75">
        <f>'BASIC DATA'!D373</f>
        <v>7800</v>
      </c>
      <c r="D2168" s="200" t="s">
        <v>2290</v>
      </c>
      <c r="E2168" s="200" t="s">
        <v>1698</v>
      </c>
      <c r="F2168" s="75">
        <f>C2168</f>
        <v>7800</v>
      </c>
    </row>
    <row r="2169" spans="1:7" hidden="1">
      <c r="A2169" s="871"/>
      <c r="B2169" s="31" t="s">
        <v>3231</v>
      </c>
      <c r="C2169" s="31"/>
      <c r="D2169" s="31"/>
      <c r="E2169" s="200" t="s">
        <v>1697</v>
      </c>
      <c r="F2169" s="732">
        <v>1000</v>
      </c>
      <c r="G2169" s="26" t="s">
        <v>4665</v>
      </c>
    </row>
    <row r="2170" spans="1:7" hidden="1">
      <c r="A2170" s="871"/>
      <c r="B2170" s="31" t="s">
        <v>3232</v>
      </c>
      <c r="C2170" s="31" t="s">
        <v>7593</v>
      </c>
      <c r="D2170" s="31"/>
      <c r="E2170" s="200" t="s">
        <v>1698</v>
      </c>
      <c r="F2170" s="75">
        <f>F2168/F2169</f>
        <v>7.8</v>
      </c>
    </row>
    <row r="2171" spans="1:7" hidden="1">
      <c r="A2171" s="871"/>
      <c r="B2171" s="31" t="s">
        <v>2967</v>
      </c>
      <c r="C2171" s="75">
        <f>'BASIC DATA'!D371</f>
        <v>14500</v>
      </c>
      <c r="D2171" s="31" t="s">
        <v>2290</v>
      </c>
      <c r="E2171" s="200" t="s">
        <v>1698</v>
      </c>
      <c r="F2171" s="75">
        <f>C2171</f>
        <v>14500</v>
      </c>
    </row>
    <row r="2172" spans="1:7" hidden="1">
      <c r="A2172" s="827"/>
      <c r="B2172" s="76" t="s">
        <v>5868</v>
      </c>
      <c r="C2172" s="76"/>
      <c r="D2172" s="76"/>
      <c r="E2172" s="732">
        <v>600</v>
      </c>
      <c r="F2172" s="31" t="s">
        <v>4665</v>
      </c>
    </row>
    <row r="2173" spans="1:7" hidden="1">
      <c r="B2173" s="26" t="s">
        <v>3234</v>
      </c>
      <c r="C2173" s="26" t="s">
        <v>7593</v>
      </c>
      <c r="E2173" s="26" t="s">
        <v>1698</v>
      </c>
      <c r="F2173" s="68">
        <f>F2171/E2172</f>
        <v>24.166666666666668</v>
      </c>
    </row>
    <row r="2174" spans="1:7">
      <c r="B2174" s="27"/>
    </row>
    <row r="2175" spans="1:7">
      <c r="A2175" s="865" t="s">
        <v>3984</v>
      </c>
      <c r="B2175" s="33"/>
      <c r="C2175" s="733" t="s">
        <v>2367</v>
      </c>
      <c r="D2175" s="33"/>
      <c r="E2175" s="33" t="s">
        <v>297</v>
      </c>
      <c r="F2175" s="734">
        <v>2.8039999999999998</v>
      </c>
      <c r="G2175" s="33" t="s">
        <v>3041</v>
      </c>
    </row>
    <row r="2176" spans="1:7">
      <c r="B2176" s="88" t="s">
        <v>2368</v>
      </c>
      <c r="D2176" s="31"/>
      <c r="E2176" s="33"/>
      <c r="F2176" s="735">
        <v>10</v>
      </c>
      <c r="G2176" s="33" t="s">
        <v>4769</v>
      </c>
    </row>
    <row r="2177" spans="2:7">
      <c r="B2177" s="426" t="s">
        <v>2369</v>
      </c>
      <c r="C2177" s="131" t="s">
        <v>6374</v>
      </c>
      <c r="D2177" s="95" t="s">
        <v>2370</v>
      </c>
      <c r="E2177" s="95" t="s">
        <v>1166</v>
      </c>
      <c r="F2177" s="95" t="s">
        <v>2371</v>
      </c>
      <c r="G2177" s="95" t="s">
        <v>2372</v>
      </c>
    </row>
    <row r="2178" spans="2:7">
      <c r="B2178" s="114"/>
      <c r="C2178" s="317"/>
      <c r="D2178" s="135"/>
      <c r="E2178" s="319"/>
      <c r="F2178" s="105" t="s">
        <v>3485</v>
      </c>
      <c r="G2178" s="210" t="s">
        <v>3485</v>
      </c>
    </row>
    <row r="2179" spans="2:7">
      <c r="B2179" s="105">
        <v>1</v>
      </c>
      <c r="C2179" s="39" t="s">
        <v>4770</v>
      </c>
      <c r="D2179" s="38"/>
      <c r="E2179" s="736"/>
      <c r="F2179" s="67"/>
      <c r="G2179" s="67"/>
    </row>
    <row r="2180" spans="2:7">
      <c r="B2180" s="105"/>
      <c r="C2180" s="39" t="s">
        <v>4915</v>
      </c>
      <c r="D2180" s="36" t="s">
        <v>3478</v>
      </c>
      <c r="E2180" s="82">
        <v>1229</v>
      </c>
      <c r="F2180" s="235">
        <f>'BASIC DATA'!D97/1000</f>
        <v>37.5</v>
      </c>
      <c r="G2180" s="82">
        <f>F2180*E2180</f>
        <v>46087.5</v>
      </c>
    </row>
    <row r="2181" spans="2:7">
      <c r="B2181" s="105"/>
      <c r="C2181" s="39" t="s">
        <v>4916</v>
      </c>
      <c r="D2181" s="36" t="s">
        <v>3478</v>
      </c>
      <c r="E2181" s="82">
        <v>453</v>
      </c>
      <c r="F2181" s="235">
        <f>'BASIC DATA'!D98/1000</f>
        <v>37.4</v>
      </c>
      <c r="G2181" s="82">
        <f>F2181*E2181</f>
        <v>16942.2</v>
      </c>
    </row>
    <row r="2182" spans="2:7">
      <c r="B2182" s="105"/>
      <c r="C2182" s="39" t="s">
        <v>6899</v>
      </c>
      <c r="D2182" s="36" t="s">
        <v>3478</v>
      </c>
      <c r="E2182" s="82">
        <v>195</v>
      </c>
      <c r="F2182" s="235">
        <f>'BASIC DATA'!D33</f>
        <v>63</v>
      </c>
      <c r="G2182" s="82">
        <f>F2182*E2182</f>
        <v>12285</v>
      </c>
    </row>
    <row r="2183" spans="2:7">
      <c r="B2183" s="105">
        <v>2</v>
      </c>
      <c r="C2183" s="39" t="s">
        <v>4917</v>
      </c>
      <c r="D2183" s="36"/>
      <c r="E2183" s="82"/>
      <c r="F2183" s="235"/>
      <c r="G2183" s="82"/>
    </row>
    <row r="2184" spans="2:7">
      <c r="B2184" s="105"/>
      <c r="C2184" s="39" t="s">
        <v>4987</v>
      </c>
      <c r="D2184" s="36" t="s">
        <v>3478</v>
      </c>
      <c r="E2184" s="82">
        <v>384</v>
      </c>
      <c r="F2184" s="235">
        <f>'BASIC DATA'!D165</f>
        <v>235</v>
      </c>
      <c r="G2184" s="82">
        <f>F2184*E2184</f>
        <v>90240</v>
      </c>
    </row>
    <row r="2185" spans="2:7">
      <c r="B2185" s="105"/>
      <c r="C2185" s="39" t="s">
        <v>5969</v>
      </c>
      <c r="D2185" s="36" t="s">
        <v>3478</v>
      </c>
      <c r="E2185" s="82">
        <v>14</v>
      </c>
      <c r="F2185" s="235">
        <f>'BASIC DATA'!D166</f>
        <v>225</v>
      </c>
      <c r="G2185" s="82">
        <f>F2185*E2185</f>
        <v>3150</v>
      </c>
    </row>
    <row r="2186" spans="2:7">
      <c r="B2186" s="105"/>
      <c r="C2186" s="39" t="s">
        <v>7615</v>
      </c>
      <c r="D2186" s="36" t="s">
        <v>3478</v>
      </c>
      <c r="E2186" s="82">
        <v>108</v>
      </c>
      <c r="F2186" s="235">
        <f>'BASIC DATA'!D167</f>
        <v>190</v>
      </c>
      <c r="G2186" s="82">
        <f>F2186*E2186</f>
        <v>20520</v>
      </c>
    </row>
    <row r="2187" spans="2:7">
      <c r="B2187" s="105"/>
      <c r="C2187" s="39" t="s">
        <v>4989</v>
      </c>
      <c r="D2187" s="36" t="s">
        <v>3478</v>
      </c>
      <c r="E2187" s="82">
        <v>47</v>
      </c>
      <c r="F2187" s="235">
        <f>'BASIC DATA'!D167</f>
        <v>190</v>
      </c>
      <c r="G2187" s="82">
        <f>F2187*E2187</f>
        <v>8930</v>
      </c>
    </row>
    <row r="2188" spans="2:7">
      <c r="B2188" s="105">
        <v>3</v>
      </c>
      <c r="C2188" s="38" t="s">
        <v>4771</v>
      </c>
      <c r="D2188" s="36"/>
      <c r="E2188" s="82"/>
      <c r="F2188" s="235"/>
      <c r="G2188" s="82"/>
    </row>
    <row r="2189" spans="2:7">
      <c r="B2189" s="105"/>
      <c r="C2189" s="38" t="s">
        <v>4772</v>
      </c>
      <c r="D2189" s="36" t="s">
        <v>3478</v>
      </c>
      <c r="E2189" s="82">
        <v>75</v>
      </c>
      <c r="F2189" s="235">
        <f>'BASIC DATA'!D159</f>
        <v>235</v>
      </c>
      <c r="G2189" s="82">
        <f>F2189*E2189</f>
        <v>17625</v>
      </c>
    </row>
    <row r="2190" spans="2:7">
      <c r="B2190" s="105"/>
      <c r="C2190" s="38" t="s">
        <v>4773</v>
      </c>
      <c r="D2190" s="36" t="s">
        <v>3478</v>
      </c>
      <c r="E2190" s="82">
        <v>24</v>
      </c>
      <c r="F2190" s="235">
        <f>'BASIC DATA'!D160</f>
        <v>450</v>
      </c>
      <c r="G2190" s="82">
        <f>F2190*E2190</f>
        <v>10800</v>
      </c>
    </row>
    <row r="2191" spans="2:7">
      <c r="B2191" s="105">
        <v>4</v>
      </c>
      <c r="C2191" s="38" t="s">
        <v>5973</v>
      </c>
      <c r="D2191" s="36"/>
      <c r="E2191" s="36"/>
      <c r="F2191" s="235"/>
      <c r="G2191" s="82"/>
    </row>
    <row r="2192" spans="2:7">
      <c r="B2192" s="105"/>
      <c r="C2192" s="160" t="s">
        <v>5974</v>
      </c>
      <c r="D2192" s="36" t="s">
        <v>3478</v>
      </c>
      <c r="E2192" s="82">
        <v>11</v>
      </c>
      <c r="F2192" s="235">
        <f>'BASIC DATA'!D163</f>
        <v>970</v>
      </c>
      <c r="G2192" s="82">
        <f t="shared" ref="G2192:G2206" si="42">F2192*E2192</f>
        <v>10670</v>
      </c>
    </row>
    <row r="2193" spans="2:7" ht="36">
      <c r="B2193" s="105">
        <v>5</v>
      </c>
      <c r="C2193" s="42" t="s">
        <v>3517</v>
      </c>
      <c r="D2193" s="36" t="s">
        <v>3478</v>
      </c>
      <c r="E2193" s="82">
        <v>42</v>
      </c>
      <c r="F2193" s="235">
        <f>'BASIC DATA'!D183</f>
        <v>200</v>
      </c>
      <c r="G2193" s="82">
        <f t="shared" si="42"/>
        <v>8400</v>
      </c>
    </row>
    <row r="2194" spans="2:7">
      <c r="B2194" s="105">
        <v>6</v>
      </c>
      <c r="C2194" s="38" t="s">
        <v>5976</v>
      </c>
      <c r="D2194" s="36" t="s">
        <v>3478</v>
      </c>
      <c r="E2194" s="82">
        <v>64</v>
      </c>
      <c r="F2194" s="235">
        <f>'BASIC DATA'!D84</f>
        <v>80</v>
      </c>
      <c r="G2194" s="82">
        <f t="shared" si="42"/>
        <v>5120</v>
      </c>
    </row>
    <row r="2195" spans="2:7">
      <c r="B2195" s="105">
        <v>7</v>
      </c>
      <c r="C2195" s="39" t="s">
        <v>5977</v>
      </c>
      <c r="D2195" s="36" t="s">
        <v>4089</v>
      </c>
      <c r="E2195" s="82">
        <v>1</v>
      </c>
      <c r="F2195" s="235">
        <f>'BASIC DATA'!D382</f>
        <v>224400</v>
      </c>
      <c r="G2195" s="82">
        <f t="shared" si="42"/>
        <v>224400</v>
      </c>
    </row>
    <row r="2196" spans="2:7">
      <c r="B2196" s="105">
        <v>8</v>
      </c>
      <c r="C2196" s="38" t="s">
        <v>5979</v>
      </c>
      <c r="D2196" s="36" t="s">
        <v>4089</v>
      </c>
      <c r="E2196" s="82">
        <v>1</v>
      </c>
      <c r="F2196" s="235">
        <f>'BASIC DATA'!D390</f>
        <v>28820</v>
      </c>
      <c r="G2196" s="82">
        <f t="shared" si="42"/>
        <v>28820</v>
      </c>
    </row>
    <row r="2197" spans="2:7">
      <c r="B2197" s="105">
        <v>9</v>
      </c>
      <c r="C2197" s="39" t="s">
        <v>857</v>
      </c>
      <c r="D2197" s="36" t="s">
        <v>4089</v>
      </c>
      <c r="E2197" s="82">
        <v>1</v>
      </c>
      <c r="F2197" s="235">
        <f>'BASIC DATA'!D392</f>
        <v>35200</v>
      </c>
      <c r="G2197" s="82">
        <f t="shared" si="42"/>
        <v>35200</v>
      </c>
    </row>
    <row r="2198" spans="2:7">
      <c r="B2198" s="105">
        <v>10</v>
      </c>
      <c r="C2198" s="39" t="s">
        <v>6187</v>
      </c>
      <c r="D2198" s="36" t="s">
        <v>3518</v>
      </c>
      <c r="E2198" s="82">
        <v>2</v>
      </c>
      <c r="F2198" s="235">
        <f>'BASIC DATA'!D394</f>
        <v>4620</v>
      </c>
      <c r="G2198" s="82">
        <f t="shared" si="42"/>
        <v>9240</v>
      </c>
    </row>
    <row r="2199" spans="2:7">
      <c r="B2199" s="105">
        <v>11</v>
      </c>
      <c r="C2199" s="39" t="s">
        <v>958</v>
      </c>
      <c r="D2199" s="36" t="s">
        <v>3477</v>
      </c>
      <c r="E2199" s="82">
        <v>75</v>
      </c>
      <c r="F2199" s="235">
        <f>'BASIC DATA'!D87</f>
        <v>42</v>
      </c>
      <c r="G2199" s="82">
        <f t="shared" si="42"/>
        <v>3150</v>
      </c>
    </row>
    <row r="2200" spans="2:7">
      <c r="B2200" s="105">
        <v>12</v>
      </c>
      <c r="C2200" s="39" t="s">
        <v>6815</v>
      </c>
      <c r="D2200" s="36" t="s">
        <v>3477</v>
      </c>
      <c r="E2200" s="82">
        <v>25</v>
      </c>
      <c r="F2200" s="235">
        <f>'BASIC DATA'!D28</f>
        <v>335</v>
      </c>
      <c r="G2200" s="82">
        <f t="shared" si="42"/>
        <v>8375</v>
      </c>
    </row>
    <row r="2201" spans="2:7">
      <c r="B2201" s="105">
        <v>13</v>
      </c>
      <c r="C2201" s="39" t="s">
        <v>6816</v>
      </c>
      <c r="D2201" s="36" t="s">
        <v>2059</v>
      </c>
      <c r="E2201" s="82">
        <v>69</v>
      </c>
      <c r="F2201" s="235">
        <f>'BASIC DATA'!$D$110</f>
        <v>13</v>
      </c>
      <c r="G2201" s="82">
        <f t="shared" si="42"/>
        <v>897</v>
      </c>
    </row>
    <row r="2202" spans="2:7">
      <c r="B2202" s="105">
        <v>14</v>
      </c>
      <c r="C2202" s="39" t="s">
        <v>4655</v>
      </c>
      <c r="D2202" s="36" t="s">
        <v>2059</v>
      </c>
      <c r="E2202" s="82">
        <v>622</v>
      </c>
      <c r="F2202" s="235">
        <f>'BASIC DATA'!$D$181</f>
        <v>15</v>
      </c>
      <c r="G2202" s="82">
        <f t="shared" si="42"/>
        <v>9330</v>
      </c>
    </row>
    <row r="2203" spans="2:7">
      <c r="B2203" s="105">
        <v>15</v>
      </c>
      <c r="C2203" s="39" t="s">
        <v>5980</v>
      </c>
      <c r="D2203" s="36" t="s">
        <v>3478</v>
      </c>
      <c r="E2203" s="82">
        <v>10</v>
      </c>
      <c r="F2203" s="235">
        <f>'BASIC DATA'!D372</f>
        <v>275</v>
      </c>
      <c r="G2203" s="82">
        <f t="shared" si="42"/>
        <v>2750</v>
      </c>
    </row>
    <row r="2204" spans="2:7">
      <c r="B2204" s="105">
        <v>16</v>
      </c>
      <c r="C2204" s="39" t="s">
        <v>6556</v>
      </c>
      <c r="D2204" s="36" t="s">
        <v>2374</v>
      </c>
      <c r="E2204" s="82">
        <v>73</v>
      </c>
      <c r="F2204" s="235">
        <f>F2170</f>
        <v>7.8</v>
      </c>
      <c r="G2204" s="82">
        <f t="shared" si="42"/>
        <v>569.4</v>
      </c>
    </row>
    <row r="2205" spans="2:7">
      <c r="B2205" s="105">
        <v>17</v>
      </c>
      <c r="C2205" s="39" t="s">
        <v>6557</v>
      </c>
      <c r="D2205" s="36" t="s">
        <v>2374</v>
      </c>
      <c r="E2205" s="82">
        <v>42</v>
      </c>
      <c r="F2205" s="235">
        <f>F2173</f>
        <v>24.166666666666668</v>
      </c>
      <c r="G2205" s="82">
        <f t="shared" si="42"/>
        <v>1015</v>
      </c>
    </row>
    <row r="2206" spans="2:7">
      <c r="B2206" s="105">
        <v>18</v>
      </c>
      <c r="C2206" s="38" t="s">
        <v>2373</v>
      </c>
      <c r="D2206" s="36" t="s">
        <v>2173</v>
      </c>
      <c r="E2206" s="82">
        <v>25</v>
      </c>
      <c r="F2206" s="235">
        <f>'BASIC DATA'!D359</f>
        <v>30</v>
      </c>
      <c r="G2206" s="82">
        <f t="shared" si="42"/>
        <v>750</v>
      </c>
    </row>
    <row r="2207" spans="2:7">
      <c r="B2207" s="226"/>
      <c r="C2207" s="193"/>
      <c r="D2207" s="151" t="s">
        <v>2376</v>
      </c>
      <c r="E2207" s="160"/>
      <c r="F2207" s="236" t="s">
        <v>1698</v>
      </c>
      <c r="G2207" s="737">
        <f>SUM(G2180:G2206)</f>
        <v>575266.1</v>
      </c>
    </row>
    <row r="2208" spans="2:7">
      <c r="B2208" s="30"/>
      <c r="C2208" s="78"/>
    </row>
    <row r="2209" spans="2:7">
      <c r="B2209" s="88" t="s">
        <v>2377</v>
      </c>
      <c r="D2209" s="31"/>
      <c r="E2209" s="31"/>
      <c r="F2209" s="31"/>
      <c r="G2209" s="31"/>
    </row>
    <row r="2210" spans="2:7">
      <c r="B2210" s="114" t="s">
        <v>2369</v>
      </c>
      <c r="C2210" s="38" t="s">
        <v>2378</v>
      </c>
      <c r="D2210" s="38" t="s">
        <v>2370</v>
      </c>
      <c r="E2210" s="38" t="s">
        <v>1166</v>
      </c>
      <c r="F2210" s="236" t="s">
        <v>2371</v>
      </c>
      <c r="G2210" s="38" t="s">
        <v>2372</v>
      </c>
    </row>
    <row r="2211" spans="2:7">
      <c r="B2211" s="45"/>
      <c r="C2211" s="38"/>
      <c r="D2211" s="38"/>
      <c r="E2211" s="38"/>
      <c r="F2211" s="236" t="s">
        <v>3485</v>
      </c>
      <c r="G2211" s="38" t="s">
        <v>3485</v>
      </c>
    </row>
    <row r="2212" spans="2:7">
      <c r="B2212" s="36">
        <v>1</v>
      </c>
      <c r="C2212" s="38" t="s">
        <v>6558</v>
      </c>
      <c r="D2212" s="38" t="s">
        <v>2374</v>
      </c>
      <c r="E2212" s="67">
        <v>73</v>
      </c>
      <c r="F2212" s="67">
        <f>'HIRE CHARGES'!D556</f>
        <v>16</v>
      </c>
      <c r="G2212" s="67">
        <f t="shared" ref="G2212:G2224" si="43">F2212*E2212</f>
        <v>1168</v>
      </c>
    </row>
    <row r="2213" spans="2:7">
      <c r="B2213" s="36"/>
      <c r="C2213" s="38" t="s">
        <v>2379</v>
      </c>
      <c r="D2213" s="38" t="s">
        <v>2374</v>
      </c>
      <c r="E2213" s="243">
        <v>46</v>
      </c>
      <c r="F2213" s="67">
        <f>'HIRE CHARGES'!E556</f>
        <v>67.2</v>
      </c>
      <c r="G2213" s="67">
        <f t="shared" si="43"/>
        <v>3091.2000000000003</v>
      </c>
    </row>
    <row r="2214" spans="2:7">
      <c r="B2214" s="36">
        <v>2</v>
      </c>
      <c r="C2214" s="38" t="s">
        <v>6060</v>
      </c>
      <c r="D2214" s="38" t="s">
        <v>2374</v>
      </c>
      <c r="E2214" s="235">
        <v>8</v>
      </c>
      <c r="F2214" s="67">
        <f>'HIRE CHARGES'!D539</f>
        <v>6.4</v>
      </c>
      <c r="G2214" s="67">
        <f t="shared" si="43"/>
        <v>51.2</v>
      </c>
    </row>
    <row r="2215" spans="2:7">
      <c r="B2215" s="36"/>
      <c r="C2215" s="38" t="s">
        <v>2379</v>
      </c>
      <c r="D2215" s="38" t="s">
        <v>2374</v>
      </c>
      <c r="E2215" s="738">
        <v>8</v>
      </c>
      <c r="F2215" s="67">
        <f>'HIRE CHARGES'!E539</f>
        <v>2.8</v>
      </c>
      <c r="G2215" s="67">
        <f t="shared" si="43"/>
        <v>22.4</v>
      </c>
    </row>
    <row r="2216" spans="2:7">
      <c r="B2216" s="36">
        <v>3</v>
      </c>
      <c r="C2216" s="38" t="s">
        <v>6561</v>
      </c>
      <c r="D2216" s="38" t="s">
        <v>2374</v>
      </c>
      <c r="E2216" s="738">
        <v>4</v>
      </c>
      <c r="F2216" s="67">
        <f>'HIRE CHARGES'!D550</f>
        <v>519.69999999999993</v>
      </c>
      <c r="G2216" s="67">
        <f t="shared" si="43"/>
        <v>2078.7999999999997</v>
      </c>
    </row>
    <row r="2217" spans="2:7">
      <c r="B2217" s="36"/>
      <c r="C2217" s="38" t="s">
        <v>2379</v>
      </c>
      <c r="D2217" s="38" t="s">
        <v>2374</v>
      </c>
      <c r="E2217" s="738">
        <v>4</v>
      </c>
      <c r="F2217" s="67">
        <f>'HIRE CHARGES'!E550</f>
        <v>299.89999999999998</v>
      </c>
      <c r="G2217" s="67">
        <f t="shared" si="43"/>
        <v>1199.5999999999999</v>
      </c>
    </row>
    <row r="2218" spans="2:7">
      <c r="B2218" s="36">
        <v>4</v>
      </c>
      <c r="C2218" s="38" t="s">
        <v>866</v>
      </c>
      <c r="D2218" s="38" t="s">
        <v>2374</v>
      </c>
      <c r="E2218" s="738">
        <v>8</v>
      </c>
      <c r="F2218" s="67">
        <f>'HIRE CHARGES'!D544</f>
        <v>86.1</v>
      </c>
      <c r="G2218" s="67">
        <f t="shared" si="43"/>
        <v>688.8</v>
      </c>
    </row>
    <row r="2219" spans="2:7">
      <c r="B2219" s="36"/>
      <c r="C2219" s="38" t="s">
        <v>2379</v>
      </c>
      <c r="D2219" s="38" t="s">
        <v>2374</v>
      </c>
      <c r="E2219" s="738">
        <v>8</v>
      </c>
      <c r="F2219" s="67">
        <f>'HIRE CHARGES'!E544</f>
        <v>0</v>
      </c>
      <c r="G2219" s="67">
        <f t="shared" si="43"/>
        <v>0</v>
      </c>
    </row>
    <row r="2220" spans="2:7">
      <c r="B2220" s="36">
        <v>5</v>
      </c>
      <c r="C2220" s="38" t="s">
        <v>6562</v>
      </c>
      <c r="D2220" s="38" t="s">
        <v>2374</v>
      </c>
      <c r="E2220" s="738">
        <v>8</v>
      </c>
      <c r="F2220" s="67">
        <f>'HIRE CHARGES'!D551</f>
        <v>22.5</v>
      </c>
      <c r="G2220" s="67">
        <f t="shared" si="43"/>
        <v>180</v>
      </c>
    </row>
    <row r="2221" spans="2:7">
      <c r="B2221" s="36"/>
      <c r="C2221" s="38" t="s">
        <v>2379</v>
      </c>
      <c r="D2221" s="38" t="s">
        <v>2374</v>
      </c>
      <c r="E2221" s="235">
        <v>8</v>
      </c>
      <c r="F2221" s="67">
        <f>'HIRE CHARGES'!E551</f>
        <v>28</v>
      </c>
      <c r="G2221" s="67">
        <f t="shared" si="43"/>
        <v>224</v>
      </c>
    </row>
    <row r="2222" spans="2:7">
      <c r="B2222" s="36">
        <v>6</v>
      </c>
      <c r="C2222" s="38" t="s">
        <v>5539</v>
      </c>
      <c r="D2222" s="38" t="s">
        <v>2374</v>
      </c>
      <c r="E2222" s="235">
        <v>16</v>
      </c>
      <c r="F2222" s="67">
        <f>'HIRE CHARGES'!D551</f>
        <v>22.5</v>
      </c>
      <c r="G2222" s="67">
        <f t="shared" si="43"/>
        <v>360</v>
      </c>
    </row>
    <row r="2223" spans="2:7">
      <c r="B2223" s="36"/>
      <c r="C2223" s="38" t="s">
        <v>2379</v>
      </c>
      <c r="D2223" s="38" t="s">
        <v>2374</v>
      </c>
      <c r="E2223" s="235">
        <v>16</v>
      </c>
      <c r="F2223" s="67">
        <f>'HIRE CHARGES'!E551</f>
        <v>28</v>
      </c>
      <c r="G2223" s="67">
        <f t="shared" si="43"/>
        <v>448</v>
      </c>
    </row>
    <row r="2224" spans="2:7">
      <c r="B2224" s="36">
        <v>7</v>
      </c>
      <c r="C2224" s="38" t="s">
        <v>2373</v>
      </c>
      <c r="D2224" s="38" t="s">
        <v>2173</v>
      </c>
      <c r="E2224" s="67">
        <v>25</v>
      </c>
      <c r="F2224" s="235">
        <f>'BASIC DATA'!D359</f>
        <v>30</v>
      </c>
      <c r="G2224" s="67">
        <f t="shared" si="43"/>
        <v>750</v>
      </c>
    </row>
    <row r="2225" spans="2:7">
      <c r="B2225" s="36"/>
      <c r="C2225" s="38" t="s">
        <v>2380</v>
      </c>
      <c r="D2225" s="36"/>
      <c r="E2225" s="38"/>
      <c r="F2225" s="236" t="s">
        <v>1698</v>
      </c>
      <c r="G2225" s="354">
        <f>SUM(G2212:G2224)</f>
        <v>10262</v>
      </c>
    </row>
    <row r="2226" spans="2:7">
      <c r="C2226" s="78"/>
    </row>
    <row r="2227" spans="2:7">
      <c r="B2227" s="79" t="s">
        <v>2381</v>
      </c>
    </row>
    <row r="2228" spans="2:7">
      <c r="B2228" s="36" t="s">
        <v>2369</v>
      </c>
      <c r="C2228" s="38" t="s">
        <v>2378</v>
      </c>
      <c r="D2228" s="38" t="s">
        <v>2370</v>
      </c>
      <c r="E2228" s="38" t="s">
        <v>1166</v>
      </c>
      <c r="F2228" s="38" t="s">
        <v>2371</v>
      </c>
      <c r="G2228" s="38" t="s">
        <v>2372</v>
      </c>
    </row>
    <row r="2229" spans="2:7">
      <c r="B2229" s="36"/>
      <c r="C2229" s="38"/>
      <c r="D2229" s="38"/>
      <c r="E2229" s="38"/>
      <c r="F2229" s="38" t="s">
        <v>3485</v>
      </c>
      <c r="G2229" s="38" t="s">
        <v>3485</v>
      </c>
    </row>
    <row r="2230" spans="2:7">
      <c r="B2230" s="36">
        <v>1</v>
      </c>
      <c r="C2230" s="38" t="s">
        <v>5542</v>
      </c>
      <c r="D2230" s="38" t="s">
        <v>2374</v>
      </c>
      <c r="E2230" s="67">
        <v>4</v>
      </c>
      <c r="F2230" s="67">
        <f>'HIRE CHARGES'!F550</f>
        <v>177.5</v>
      </c>
      <c r="G2230" s="67">
        <f t="shared" ref="G2230:G2238" si="44">F2230*E2230</f>
        <v>710</v>
      </c>
    </row>
    <row r="2231" spans="2:7">
      <c r="B2231" s="36">
        <v>2</v>
      </c>
      <c r="C2231" s="38" t="s">
        <v>5545</v>
      </c>
      <c r="D2231" s="38" t="s">
        <v>2374</v>
      </c>
      <c r="E2231" s="67">
        <v>16</v>
      </c>
      <c r="F2231" s="67">
        <f>'HIRE CHARGES'!F551</f>
        <v>198.9</v>
      </c>
      <c r="G2231" s="67">
        <f t="shared" si="44"/>
        <v>3182.4</v>
      </c>
    </row>
    <row r="2232" spans="2:7">
      <c r="B2232" s="36">
        <v>3</v>
      </c>
      <c r="C2232" s="38" t="s">
        <v>5546</v>
      </c>
      <c r="D2232" s="38" t="s">
        <v>2374</v>
      </c>
      <c r="E2232" s="67">
        <v>8</v>
      </c>
      <c r="F2232" s="67">
        <f>'HIRE CHARGES'!F551</f>
        <v>198.9</v>
      </c>
      <c r="G2232" s="67">
        <f t="shared" si="44"/>
        <v>1591.2</v>
      </c>
    </row>
    <row r="2233" spans="2:7">
      <c r="B2233" s="36">
        <v>4</v>
      </c>
      <c r="C2233" s="38" t="s">
        <v>2468</v>
      </c>
      <c r="D2233" s="38" t="s">
        <v>1172</v>
      </c>
      <c r="E2233" s="67">
        <v>14</v>
      </c>
      <c r="F2233" s="67">
        <f>'BASIC DATA'!C471</f>
        <v>510</v>
      </c>
      <c r="G2233" s="67">
        <f t="shared" si="44"/>
        <v>7140</v>
      </c>
    </row>
    <row r="2234" spans="2:7">
      <c r="B2234" s="36">
        <v>5</v>
      </c>
      <c r="C2234" s="38" t="s">
        <v>5547</v>
      </c>
      <c r="D2234" s="38" t="s">
        <v>1172</v>
      </c>
      <c r="E2234" s="67">
        <v>20</v>
      </c>
      <c r="F2234" s="67">
        <f>'BASIC DATA'!C503</f>
        <v>550</v>
      </c>
      <c r="G2234" s="67">
        <f t="shared" si="44"/>
        <v>11000</v>
      </c>
    </row>
    <row r="2235" spans="2:7">
      <c r="B2235" s="36">
        <v>6</v>
      </c>
      <c r="C2235" s="38" t="s">
        <v>3010</v>
      </c>
      <c r="D2235" s="38" t="s">
        <v>1172</v>
      </c>
      <c r="E2235" s="67">
        <v>6</v>
      </c>
      <c r="F2235" s="67">
        <f>'BASIC DATA'!C504</f>
        <v>445</v>
      </c>
      <c r="G2235" s="67">
        <f t="shared" si="44"/>
        <v>2670</v>
      </c>
    </row>
    <row r="2236" spans="2:7">
      <c r="B2236" s="36">
        <v>7</v>
      </c>
      <c r="C2236" s="38" t="s">
        <v>3013</v>
      </c>
      <c r="D2236" s="38" t="s">
        <v>1172</v>
      </c>
      <c r="E2236" s="67">
        <v>7</v>
      </c>
      <c r="F2236" s="67">
        <f>'BASIC DATA'!C504</f>
        <v>445</v>
      </c>
      <c r="G2236" s="67">
        <f t="shared" si="44"/>
        <v>3115</v>
      </c>
    </row>
    <row r="2237" spans="2:7">
      <c r="B2237" s="36">
        <v>8</v>
      </c>
      <c r="C2237" s="38" t="s">
        <v>3011</v>
      </c>
      <c r="D2237" s="38" t="s">
        <v>1172</v>
      </c>
      <c r="E2237" s="67">
        <v>44</v>
      </c>
      <c r="F2237" s="67">
        <f>'BASIC DATA'!C529</f>
        <v>400</v>
      </c>
      <c r="G2237" s="67">
        <f t="shared" si="44"/>
        <v>17600</v>
      </c>
    </row>
    <row r="2238" spans="2:7">
      <c r="B2238" s="36">
        <v>9</v>
      </c>
      <c r="C2238" s="38" t="s">
        <v>5604</v>
      </c>
      <c r="D2238" s="38" t="s">
        <v>1172</v>
      </c>
      <c r="E2238" s="67">
        <v>2</v>
      </c>
      <c r="F2238" s="67">
        <f>'BASIC DATA'!C468</f>
        <v>515</v>
      </c>
      <c r="G2238" s="67">
        <f t="shared" si="44"/>
        <v>1030</v>
      </c>
    </row>
    <row r="2239" spans="2:7">
      <c r="B2239" s="36"/>
      <c r="C2239" s="38"/>
      <c r="D2239" s="38" t="s">
        <v>1174</v>
      </c>
      <c r="E2239" s="38"/>
      <c r="F2239" s="38" t="s">
        <v>1698</v>
      </c>
      <c r="G2239" s="318">
        <f>SUM(G2230:G2238)</f>
        <v>48038.6</v>
      </c>
    </row>
    <row r="2240" spans="2:7">
      <c r="B2240" s="101" t="s">
        <v>9422</v>
      </c>
      <c r="C2240" s="361"/>
      <c r="D2240" s="101"/>
      <c r="E2240" s="101"/>
      <c r="F2240" s="361"/>
      <c r="G2240" s="911">
        <f>G2239*30%</f>
        <v>14411.58</v>
      </c>
    </row>
    <row r="2241" spans="2:9">
      <c r="B2241" s="101"/>
      <c r="C2241" s="361" t="s">
        <v>7956</v>
      </c>
      <c r="D2241" s="101"/>
      <c r="E2241" s="101"/>
      <c r="F2241" s="361"/>
      <c r="G2241" s="911">
        <f>SUM(G2240+G2239)</f>
        <v>62450.18</v>
      </c>
    </row>
    <row r="2242" spans="2:9">
      <c r="B2242" s="33"/>
      <c r="C2242" s="31"/>
      <c r="D2242" s="31"/>
      <c r="E2242" s="31"/>
      <c r="F2242" s="31"/>
      <c r="G2242" s="766"/>
    </row>
    <row r="2243" spans="2:9">
      <c r="B2243" s="60" t="s">
        <v>5948</v>
      </c>
      <c r="C2243" s="31"/>
      <c r="D2243" s="31"/>
      <c r="E2243" s="85">
        <f>ROUND(G2241/F2176,1)</f>
        <v>6245</v>
      </c>
    </row>
    <row r="2244" spans="2:9">
      <c r="B2244" s="60" t="s">
        <v>3163</v>
      </c>
      <c r="C2244" s="31"/>
      <c r="D2244" s="922">
        <f>'BASIC DATA'!$C$577</f>
        <v>0.13614999999999999</v>
      </c>
      <c r="E2244" s="85">
        <f>ROUND(E2243*D2244,1)</f>
        <v>850.3</v>
      </c>
    </row>
    <row r="2245" spans="2:9">
      <c r="B2245" s="60" t="s">
        <v>5949</v>
      </c>
      <c r="C2245" s="31"/>
      <c r="D2245" s="31"/>
      <c r="E2245" s="739">
        <f>E2244+E2243</f>
        <v>7095.3</v>
      </c>
    </row>
    <row r="2246" spans="2:9">
      <c r="B2246" s="60"/>
      <c r="C2246" s="31"/>
      <c r="D2246" s="31"/>
      <c r="E2246" s="31"/>
      <c r="G2246" s="85"/>
    </row>
    <row r="2247" spans="2:9">
      <c r="B2247" s="170" t="s">
        <v>1175</v>
      </c>
    </row>
    <row r="2248" spans="2:9">
      <c r="B2248" s="26" t="s">
        <v>1176</v>
      </c>
      <c r="E2248" s="322" t="s">
        <v>1698</v>
      </c>
      <c r="F2248" s="68"/>
      <c r="G2248" s="68">
        <f>G2207</f>
        <v>575266.1</v>
      </c>
    </row>
    <row r="2249" spans="2:9">
      <c r="B2249" s="26" t="s">
        <v>1186</v>
      </c>
      <c r="E2249" s="322" t="s">
        <v>1698</v>
      </c>
      <c r="F2249" s="68"/>
      <c r="G2249" s="68">
        <f>G2225</f>
        <v>10262</v>
      </c>
    </row>
    <row r="2250" spans="2:9">
      <c r="B2250" s="26" t="s">
        <v>2660</v>
      </c>
      <c r="E2250" s="322" t="s">
        <v>1698</v>
      </c>
      <c r="F2250" s="68"/>
      <c r="G2250" s="68">
        <f>G2241</f>
        <v>62450.18</v>
      </c>
    </row>
    <row r="2251" spans="2:9">
      <c r="B2251" s="26"/>
      <c r="E2251" s="171" t="s">
        <v>5551</v>
      </c>
      <c r="F2251" s="171" t="s">
        <v>1698</v>
      </c>
      <c r="G2251" s="205">
        <f>SUM(G2248:G2250)</f>
        <v>647978.28</v>
      </c>
    </row>
    <row r="2252" spans="2:9">
      <c r="B2252" s="26" t="s">
        <v>5087</v>
      </c>
      <c r="E2252" s="693">
        <f>'BASIC DATA'!C593</f>
        <v>0</v>
      </c>
      <c r="F2252" s="171" t="s">
        <v>1698</v>
      </c>
      <c r="G2252" s="68">
        <f>(G2250+G2249)*E2252*0.75</f>
        <v>0</v>
      </c>
    </row>
    <row r="2253" spans="2:9">
      <c r="B2253" s="26" t="s">
        <v>5084</v>
      </c>
      <c r="E2253" s="171" t="s">
        <v>1518</v>
      </c>
      <c r="F2253" s="171" t="s">
        <v>1698</v>
      </c>
      <c r="G2253" s="205">
        <f>G2252+G2251</f>
        <v>647978.28</v>
      </c>
    </row>
    <row r="2254" spans="2:9">
      <c r="B2254" s="26" t="s">
        <v>5086</v>
      </c>
      <c r="E2254" s="201">
        <f>'BASIC DATA'!C594</f>
        <v>0.03</v>
      </c>
      <c r="F2254" s="171" t="s">
        <v>1698</v>
      </c>
      <c r="G2254" s="75">
        <f>G2253*E2254</f>
        <v>19439.348399999999</v>
      </c>
    </row>
    <row r="2255" spans="2:9">
      <c r="B2255" s="26"/>
      <c r="E2255" s="26" t="s">
        <v>2392</v>
      </c>
      <c r="F2255" s="171" t="s">
        <v>1698</v>
      </c>
      <c r="G2255" s="75">
        <f>G2254+G2253</f>
        <v>667417.62840000005</v>
      </c>
    </row>
    <row r="2256" spans="2:9" ht="46.5" customHeight="1">
      <c r="B2256" s="1207" t="s">
        <v>4717</v>
      </c>
      <c r="C2256" s="1207"/>
      <c r="D2256" s="922">
        <f>'BASIC DATA'!$C$577</f>
        <v>0.13614999999999999</v>
      </c>
      <c r="F2256" s="171" t="s">
        <v>1698</v>
      </c>
      <c r="G2256" s="75">
        <f>G2255*D2256</f>
        <v>90868.910106659998</v>
      </c>
      <c r="I2256" s="68"/>
    </row>
    <row r="2257" spans="1:34">
      <c r="B2257" s="26" t="s">
        <v>898</v>
      </c>
    </row>
    <row r="2258" spans="1:34">
      <c r="B2258" s="47" t="s">
        <v>897</v>
      </c>
      <c r="D2258" s="48"/>
      <c r="E2258" s="68">
        <f>leadcharges!F65</f>
        <v>19</v>
      </c>
      <c r="F2258" s="27" t="s">
        <v>1279</v>
      </c>
      <c r="G2258" s="76">
        <f>2*ROUND(E2258*F2175,3)</f>
        <v>106.55200000000001</v>
      </c>
      <c r="AH2258" s="68"/>
    </row>
    <row r="2259" spans="1:34">
      <c r="B2259" s="47" t="s">
        <v>896</v>
      </c>
      <c r="D2259" s="48"/>
      <c r="E2259" s="68">
        <f>leadcharges!$G$79</f>
        <v>74.8</v>
      </c>
      <c r="F2259" s="27" t="s">
        <v>1279</v>
      </c>
      <c r="G2259" s="76">
        <f>2*ROUND(E2259*F2175,3)</f>
        <v>419.47800000000001</v>
      </c>
    </row>
    <row r="2260" spans="1:34">
      <c r="B2260" s="26" t="s">
        <v>5078</v>
      </c>
      <c r="D2260" s="278">
        <f>F2175</f>
        <v>2.8039999999999998</v>
      </c>
      <c r="E2260" s="26" t="s">
        <v>3480</v>
      </c>
      <c r="F2260" s="171" t="s">
        <v>1698</v>
      </c>
      <c r="G2260" s="205">
        <f>SUM(G2255:G2259)</f>
        <v>758812.56850666006</v>
      </c>
    </row>
    <row r="2261" spans="1:34">
      <c r="B2261" s="26"/>
      <c r="D2261" s="278">
        <f>F2176</f>
        <v>10</v>
      </c>
      <c r="E2261" s="26" t="s">
        <v>4769</v>
      </c>
      <c r="F2261" s="68"/>
      <c r="G2261" s="68"/>
    </row>
    <row r="2262" spans="1:34">
      <c r="B2262" s="26"/>
      <c r="C2262" s="26" t="s">
        <v>3884</v>
      </c>
      <c r="D2262" s="26" t="s">
        <v>3041</v>
      </c>
      <c r="F2262" s="322" t="s">
        <v>1698</v>
      </c>
      <c r="G2262" s="68">
        <f>ROUND(G2260/D2260,1)</f>
        <v>270617.90000000002</v>
      </c>
    </row>
    <row r="2263" spans="1:34">
      <c r="B2263" s="26"/>
      <c r="D2263" s="314" t="s">
        <v>3884</v>
      </c>
      <c r="E2263" s="314" t="s">
        <v>3041</v>
      </c>
      <c r="F2263" s="691" t="s">
        <v>1698</v>
      </c>
      <c r="G2263" s="211">
        <f>ROUND(G2260/D2261,1)</f>
        <v>75881.3</v>
      </c>
    </row>
    <row r="2264" spans="1:34">
      <c r="B2264" s="26"/>
      <c r="D2264" s="314" t="s">
        <v>1671</v>
      </c>
      <c r="E2264" s="740"/>
      <c r="F2264" s="31"/>
    </row>
    <row r="2265" spans="1:34">
      <c r="B2265" s="26"/>
      <c r="C2265" s="78"/>
      <c r="D2265" s="78"/>
      <c r="H2265" s="322"/>
      <c r="I2265" s="31"/>
    </row>
    <row r="2266" spans="1:34">
      <c r="B2266" s="26"/>
      <c r="C2266" s="78"/>
    </row>
    <row r="2267" spans="1:34" ht="72">
      <c r="A2267" s="847" t="s">
        <v>9753</v>
      </c>
      <c r="B2267" s="26" t="s">
        <v>9496</v>
      </c>
    </row>
    <row r="2268" spans="1:34">
      <c r="B2268" s="806" t="s">
        <v>9497</v>
      </c>
    </row>
    <row r="2269" spans="1:34">
      <c r="B2269" s="806" t="s">
        <v>9498</v>
      </c>
    </row>
    <row r="2270" spans="1:34">
      <c r="B2270" s="26" t="s">
        <v>9499</v>
      </c>
    </row>
    <row r="2271" spans="1:34">
      <c r="B2271" s="26" t="s">
        <v>9500</v>
      </c>
    </row>
    <row r="2272" spans="1:34">
      <c r="B2272" s="26" t="s">
        <v>9501</v>
      </c>
      <c r="E2272" s="322"/>
    </row>
    <row r="2273" spans="1:7">
      <c r="B2273" s="26" t="s">
        <v>9502</v>
      </c>
      <c r="E2273" s="322"/>
    </row>
    <row r="2274" spans="1:7">
      <c r="B2274" s="170" t="s">
        <v>9503</v>
      </c>
      <c r="E2274" s="322"/>
    </row>
    <row r="2275" spans="1:7">
      <c r="B2275" s="170" t="s">
        <v>9504</v>
      </c>
      <c r="E2275" s="322"/>
    </row>
    <row r="2276" spans="1:7">
      <c r="B2276" s="170"/>
      <c r="E2276" s="322"/>
    </row>
    <row r="2277" spans="1:7" hidden="1">
      <c r="B2277" s="26" t="s">
        <v>2366</v>
      </c>
    </row>
    <row r="2278" spans="1:7" hidden="1">
      <c r="B2278" s="26" t="s">
        <v>5079</v>
      </c>
      <c r="C2278" s="68">
        <f>'BASIC DATA'!$D$373</f>
        <v>7800</v>
      </c>
      <c r="D2278" s="26" t="s">
        <v>2290</v>
      </c>
      <c r="E2278" s="315" t="s">
        <v>1698</v>
      </c>
      <c r="F2278" s="68">
        <f>C2278</f>
        <v>7800</v>
      </c>
    </row>
    <row r="2279" spans="1:7" hidden="1">
      <c r="B2279" s="26" t="s">
        <v>3231</v>
      </c>
      <c r="E2279" s="322" t="s">
        <v>1697</v>
      </c>
      <c r="F2279" s="316">
        <v>1000</v>
      </c>
      <c r="G2279" s="26" t="s">
        <v>4665</v>
      </c>
    </row>
    <row r="2280" spans="1:7" hidden="1">
      <c r="B2280" s="26" t="s">
        <v>3232</v>
      </c>
      <c r="C2280" s="26" t="s">
        <v>7593</v>
      </c>
      <c r="E2280" s="315" t="s">
        <v>1698</v>
      </c>
      <c r="F2280" s="68">
        <f>F2278/F2279</f>
        <v>7.8</v>
      </c>
    </row>
    <row r="2281" spans="1:7" hidden="1">
      <c r="B2281" s="26" t="s">
        <v>2056</v>
      </c>
      <c r="C2281" s="68">
        <f>'BASIC DATA'!$D$371</f>
        <v>14500</v>
      </c>
      <c r="D2281" s="26" t="s">
        <v>2290</v>
      </c>
      <c r="E2281" s="315" t="s">
        <v>1698</v>
      </c>
      <c r="F2281" s="68">
        <f>C2281</f>
        <v>14500</v>
      </c>
    </row>
    <row r="2282" spans="1:7" hidden="1">
      <c r="B2282" s="26" t="s">
        <v>5868</v>
      </c>
      <c r="E2282" s="322" t="s">
        <v>1697</v>
      </c>
      <c r="F2282" s="316">
        <v>600</v>
      </c>
      <c r="G2282" s="26" t="s">
        <v>4665</v>
      </c>
    </row>
    <row r="2283" spans="1:7" hidden="1">
      <c r="B2283" s="26" t="s">
        <v>3234</v>
      </c>
      <c r="C2283" s="26" t="s">
        <v>7593</v>
      </c>
      <c r="E2283" s="315" t="s">
        <v>1698</v>
      </c>
      <c r="F2283" s="68">
        <f>F2281/F2282</f>
        <v>24.166666666666668</v>
      </c>
    </row>
    <row r="2284" spans="1:7"/>
    <row r="2285" spans="1:7">
      <c r="A2285" s="865" t="s">
        <v>3984</v>
      </c>
      <c r="C2285" s="203" t="s">
        <v>2367</v>
      </c>
      <c r="E2285" s="171" t="s">
        <v>297</v>
      </c>
      <c r="F2285" s="692">
        <v>0.86899999999999999</v>
      </c>
      <c r="G2285" s="26" t="s">
        <v>3480</v>
      </c>
    </row>
    <row r="2286" spans="1:7">
      <c r="B2286" s="79" t="s">
        <v>2368</v>
      </c>
      <c r="F2286" s="316"/>
    </row>
    <row r="2287" spans="1:7">
      <c r="B2287" s="95" t="s">
        <v>2369</v>
      </c>
      <c r="C2287" s="157" t="s">
        <v>6374</v>
      </c>
      <c r="D2287" s="95" t="s">
        <v>2370</v>
      </c>
      <c r="E2287" s="95" t="s">
        <v>1166</v>
      </c>
      <c r="F2287" s="95" t="s">
        <v>2371</v>
      </c>
      <c r="G2287" s="95" t="s">
        <v>2372</v>
      </c>
    </row>
    <row r="2288" spans="1:7">
      <c r="B2288" s="114"/>
      <c r="C2288" s="154"/>
      <c r="D2288" s="114"/>
      <c r="E2288" s="114"/>
      <c r="F2288" s="114" t="s">
        <v>3485</v>
      </c>
      <c r="G2288" s="114" t="s">
        <v>3485</v>
      </c>
    </row>
    <row r="2289" spans="2:7">
      <c r="B2289" s="36">
        <v>1</v>
      </c>
      <c r="C2289" s="76" t="s">
        <v>6390</v>
      </c>
      <c r="D2289" s="451" t="s">
        <v>3478</v>
      </c>
      <c r="E2289" s="190">
        <v>445.78</v>
      </c>
      <c r="F2289" s="214">
        <f>'BASIC DATA'!$D$97/1000</f>
        <v>37.5</v>
      </c>
      <c r="G2289" s="190">
        <f>E2289*F2289</f>
        <v>16716.75</v>
      </c>
    </row>
    <row r="2290" spans="2:7">
      <c r="B2290" s="36">
        <v>2</v>
      </c>
      <c r="C2290" s="76" t="s">
        <v>3162</v>
      </c>
      <c r="D2290" s="319" t="s">
        <v>3478</v>
      </c>
      <c r="E2290" s="190">
        <v>28</v>
      </c>
      <c r="F2290" s="214">
        <f>'BASIC DATA'!$D$98/1000</f>
        <v>37.4</v>
      </c>
      <c r="G2290" s="190">
        <f>E2290*F2290</f>
        <v>1047.2</v>
      </c>
    </row>
    <row r="2291" spans="2:7">
      <c r="B2291" s="36">
        <v>3</v>
      </c>
      <c r="C2291" s="76" t="s">
        <v>6899</v>
      </c>
      <c r="D2291" s="319" t="s">
        <v>3478</v>
      </c>
      <c r="E2291" s="190">
        <v>144.80000000000001</v>
      </c>
      <c r="F2291" s="214">
        <f>'BASIC DATA'!$D$33</f>
        <v>63</v>
      </c>
      <c r="G2291" s="190">
        <f>E2291*F2291</f>
        <v>9122.4000000000015</v>
      </c>
    </row>
    <row r="2292" spans="2:7">
      <c r="B2292" s="36"/>
      <c r="C2292" s="76" t="s">
        <v>9505</v>
      </c>
      <c r="D2292" s="319"/>
      <c r="F2292" s="210"/>
      <c r="G2292" s="210"/>
    </row>
    <row r="2293" spans="2:7">
      <c r="B2293" s="36">
        <v>4</v>
      </c>
      <c r="C2293" s="101" t="s">
        <v>9506</v>
      </c>
      <c r="D2293" s="452" t="s">
        <v>1791</v>
      </c>
      <c r="E2293" s="255">
        <v>83</v>
      </c>
      <c r="F2293" s="807">
        <f>'BASIC DATA'!$D$165</f>
        <v>235</v>
      </c>
      <c r="G2293" s="255">
        <f>F2293*E2293</f>
        <v>19505</v>
      </c>
    </row>
    <row r="2294" spans="2:7">
      <c r="B2294" s="36"/>
      <c r="C2294" s="76" t="s">
        <v>9507</v>
      </c>
      <c r="D2294" s="319"/>
      <c r="E2294" s="190"/>
      <c r="F2294" s="217"/>
      <c r="G2294" s="190"/>
    </row>
    <row r="2295" spans="2:7">
      <c r="B2295" s="36">
        <v>5</v>
      </c>
      <c r="C2295" s="76" t="s">
        <v>9508</v>
      </c>
      <c r="D2295" s="319" t="s">
        <v>3478</v>
      </c>
      <c r="E2295" s="190">
        <v>3</v>
      </c>
      <c r="F2295" s="214">
        <f>'BASIC DATA'!$D$163</f>
        <v>970</v>
      </c>
      <c r="G2295" s="190">
        <f t="shared" ref="G2295:G2303" si="45">E2295*F2295</f>
        <v>2910</v>
      </c>
    </row>
    <row r="2296" spans="2:7">
      <c r="B2296" s="36">
        <v>6</v>
      </c>
      <c r="C2296" s="101" t="s">
        <v>9509</v>
      </c>
      <c r="D2296" s="452" t="s">
        <v>3478</v>
      </c>
      <c r="E2296" s="255">
        <v>16</v>
      </c>
      <c r="F2296" s="266">
        <f>'BASIC DATA'!$D$84</f>
        <v>80</v>
      </c>
      <c r="G2296" s="255">
        <f t="shared" si="45"/>
        <v>1280</v>
      </c>
    </row>
    <row r="2297" spans="2:7">
      <c r="B2297" s="36">
        <v>7</v>
      </c>
      <c r="C2297" s="76" t="s">
        <v>958</v>
      </c>
      <c r="D2297" s="319" t="s">
        <v>3477</v>
      </c>
      <c r="E2297" s="190">
        <v>21</v>
      </c>
      <c r="F2297" s="214">
        <f>'BASIC DATA'!$D$87</f>
        <v>42</v>
      </c>
      <c r="G2297" s="190">
        <f t="shared" si="45"/>
        <v>882</v>
      </c>
    </row>
    <row r="2298" spans="2:7">
      <c r="B2298" s="36">
        <v>8</v>
      </c>
      <c r="C2298" s="76" t="s">
        <v>6815</v>
      </c>
      <c r="D2298" s="319" t="s">
        <v>3477</v>
      </c>
      <c r="E2298" s="190">
        <v>7</v>
      </c>
      <c r="F2298" s="214">
        <f>'BASIC DATA'!$D$28</f>
        <v>335</v>
      </c>
      <c r="G2298" s="190">
        <f t="shared" si="45"/>
        <v>2345</v>
      </c>
    </row>
    <row r="2299" spans="2:7">
      <c r="B2299" s="36">
        <v>9</v>
      </c>
      <c r="C2299" s="76" t="s">
        <v>6816</v>
      </c>
      <c r="D2299" s="319" t="s">
        <v>2059</v>
      </c>
      <c r="E2299" s="190">
        <v>200</v>
      </c>
      <c r="F2299" s="214">
        <f>'BASIC DATA'!$D$110</f>
        <v>13</v>
      </c>
      <c r="G2299" s="190">
        <f t="shared" si="45"/>
        <v>2600</v>
      </c>
    </row>
    <row r="2300" spans="2:7">
      <c r="B2300" s="36">
        <v>10</v>
      </c>
      <c r="C2300" s="76" t="s">
        <v>9510</v>
      </c>
      <c r="D2300" s="319" t="s">
        <v>2059</v>
      </c>
      <c r="E2300" s="190">
        <v>40</v>
      </c>
      <c r="F2300" s="214">
        <f>'BASIC DATA'!$D$181</f>
        <v>15</v>
      </c>
      <c r="G2300" s="190">
        <f t="shared" si="45"/>
        <v>600</v>
      </c>
    </row>
    <row r="2301" spans="2:7">
      <c r="B2301" s="36">
        <v>11</v>
      </c>
      <c r="C2301" s="76" t="s">
        <v>6556</v>
      </c>
      <c r="D2301" s="319" t="s">
        <v>2374</v>
      </c>
      <c r="E2301" s="190">
        <v>72</v>
      </c>
      <c r="F2301" s="214">
        <f>F2280</f>
        <v>7.8</v>
      </c>
      <c r="G2301" s="190">
        <f t="shared" si="45"/>
        <v>561.6</v>
      </c>
    </row>
    <row r="2302" spans="2:7">
      <c r="B2302" s="36">
        <v>12</v>
      </c>
      <c r="C2302" s="76" t="s">
        <v>6557</v>
      </c>
      <c r="D2302" s="319" t="s">
        <v>2374</v>
      </c>
      <c r="E2302" s="190">
        <v>36</v>
      </c>
      <c r="F2302" s="214">
        <f>F2283</f>
        <v>24.166666666666668</v>
      </c>
      <c r="G2302" s="190">
        <f t="shared" si="45"/>
        <v>870</v>
      </c>
    </row>
    <row r="2303" spans="2:7">
      <c r="B2303" s="36">
        <v>13</v>
      </c>
      <c r="C2303" s="76" t="s">
        <v>2373</v>
      </c>
      <c r="D2303" s="319" t="s">
        <v>2173</v>
      </c>
      <c r="E2303" s="190">
        <v>20</v>
      </c>
      <c r="F2303" s="214">
        <f>'BASIC DATA'!$D$359</f>
        <v>30</v>
      </c>
      <c r="G2303" s="190">
        <f t="shared" si="45"/>
        <v>600</v>
      </c>
    </row>
    <row r="2304" spans="2:7">
      <c r="B2304" s="92"/>
      <c r="C2304" s="193"/>
      <c r="D2304" s="151" t="s">
        <v>2376</v>
      </c>
      <c r="E2304" s="160"/>
      <c r="F2304" s="236" t="s">
        <v>1698</v>
      </c>
      <c r="G2304" s="318">
        <f>SUM(G2289:G2303)</f>
        <v>59039.950000000004</v>
      </c>
    </row>
    <row r="2305" spans="2:7"/>
    <row r="2306" spans="2:7">
      <c r="B2306" s="79" t="s">
        <v>2377</v>
      </c>
    </row>
    <row r="2307" spans="2:7">
      <c r="B2307" s="95" t="s">
        <v>2369</v>
      </c>
      <c r="C2307" s="157" t="s">
        <v>2378</v>
      </c>
      <c r="D2307" s="95" t="s">
        <v>2370</v>
      </c>
      <c r="E2307" s="95" t="s">
        <v>1166</v>
      </c>
      <c r="F2307" s="95" t="s">
        <v>2371</v>
      </c>
      <c r="G2307" s="95" t="s">
        <v>2372</v>
      </c>
    </row>
    <row r="2308" spans="2:7">
      <c r="B2308" s="114"/>
      <c r="C2308" s="154"/>
      <c r="D2308" s="114"/>
      <c r="E2308" s="114"/>
      <c r="F2308" s="114" t="s">
        <v>3485</v>
      </c>
      <c r="G2308" s="114" t="s">
        <v>3485</v>
      </c>
    </row>
    <row r="2309" spans="2:7">
      <c r="B2309" s="95">
        <v>1</v>
      </c>
      <c r="C2309" s="135" t="s">
        <v>6558</v>
      </c>
      <c r="D2309" s="451" t="s">
        <v>2374</v>
      </c>
      <c r="E2309" s="190">
        <v>30</v>
      </c>
      <c r="F2309" s="190">
        <f>'HIRE CHARGES'!$D$556</f>
        <v>16</v>
      </c>
      <c r="G2309" s="190">
        <f>E2309*F2309</f>
        <v>480</v>
      </c>
    </row>
    <row r="2310" spans="2:7">
      <c r="B2310" s="105"/>
      <c r="C2310" s="135" t="s">
        <v>2379</v>
      </c>
      <c r="D2310" s="319" t="s">
        <v>2374</v>
      </c>
      <c r="E2310" s="190">
        <v>30</v>
      </c>
      <c r="F2310" s="190">
        <f>'HIRE CHARGES'!$E$556</f>
        <v>67.2</v>
      </c>
      <c r="G2310" s="190">
        <f t="shared" ref="G2310:G2318" si="46">E2310*F2310</f>
        <v>2016</v>
      </c>
    </row>
    <row r="2311" spans="2:7">
      <c r="B2311" s="105">
        <v>2</v>
      </c>
      <c r="C2311" s="135" t="s">
        <v>6060</v>
      </c>
      <c r="D2311" s="319" t="s">
        <v>2374</v>
      </c>
      <c r="E2311" s="190">
        <v>12</v>
      </c>
      <c r="F2311" s="190">
        <f>'HIRE CHARGES'!$D$539</f>
        <v>6.4</v>
      </c>
      <c r="G2311" s="190">
        <f t="shared" si="46"/>
        <v>76.800000000000011</v>
      </c>
    </row>
    <row r="2312" spans="2:7">
      <c r="B2312" s="105"/>
      <c r="C2312" s="135" t="s">
        <v>2379</v>
      </c>
      <c r="D2312" s="319" t="s">
        <v>2374</v>
      </c>
      <c r="E2312" s="190">
        <v>12</v>
      </c>
      <c r="F2312" s="190">
        <f>'HIRE CHARGES'!$E$539</f>
        <v>2.8</v>
      </c>
      <c r="G2312" s="190">
        <f t="shared" si="46"/>
        <v>33.599999999999994</v>
      </c>
    </row>
    <row r="2313" spans="2:7">
      <c r="B2313" s="105">
        <v>3</v>
      </c>
      <c r="C2313" s="135" t="s">
        <v>6393</v>
      </c>
      <c r="D2313" s="319" t="s">
        <v>2374</v>
      </c>
      <c r="E2313" s="190">
        <v>8</v>
      </c>
      <c r="F2313" s="190">
        <f>'HIRE CHARGES'!$D$551</f>
        <v>22.5</v>
      </c>
      <c r="G2313" s="190">
        <f t="shared" si="46"/>
        <v>180</v>
      </c>
    </row>
    <row r="2314" spans="2:7">
      <c r="B2314" s="105"/>
      <c r="C2314" s="135" t="s">
        <v>2379</v>
      </c>
      <c r="D2314" s="319" t="s">
        <v>2374</v>
      </c>
      <c r="E2314" s="190">
        <v>8</v>
      </c>
      <c r="F2314" s="190">
        <f>'HIRE CHARGES'!$E$551</f>
        <v>28</v>
      </c>
      <c r="G2314" s="190">
        <f t="shared" si="46"/>
        <v>224</v>
      </c>
    </row>
    <row r="2315" spans="2:7">
      <c r="B2315" s="105">
        <v>4</v>
      </c>
      <c r="C2315" s="135" t="s">
        <v>6562</v>
      </c>
      <c r="D2315" s="319" t="s">
        <v>2374</v>
      </c>
      <c r="E2315" s="190">
        <v>36</v>
      </c>
      <c r="F2315" s="190">
        <f>'HIRE CHARGES'!$D$551</f>
        <v>22.5</v>
      </c>
      <c r="G2315" s="190">
        <f t="shared" si="46"/>
        <v>810</v>
      </c>
    </row>
    <row r="2316" spans="2:7">
      <c r="B2316" s="105"/>
      <c r="C2316" s="135" t="s">
        <v>2379</v>
      </c>
      <c r="D2316" s="319" t="s">
        <v>2374</v>
      </c>
      <c r="E2316" s="190">
        <v>36</v>
      </c>
      <c r="F2316" s="190">
        <f>'HIRE CHARGES'!$E$551</f>
        <v>28</v>
      </c>
      <c r="G2316" s="190">
        <f t="shared" si="46"/>
        <v>1008</v>
      </c>
    </row>
    <row r="2317" spans="2:7">
      <c r="B2317" s="105">
        <v>5</v>
      </c>
      <c r="C2317" s="135" t="s">
        <v>9511</v>
      </c>
      <c r="D2317" s="319" t="s">
        <v>2374</v>
      </c>
      <c r="E2317" s="190">
        <v>16</v>
      </c>
      <c r="F2317" s="190">
        <v>300</v>
      </c>
      <c r="G2317" s="190">
        <f t="shared" si="46"/>
        <v>4800</v>
      </c>
    </row>
    <row r="2318" spans="2:7">
      <c r="B2318" s="114">
        <v>6</v>
      </c>
      <c r="C2318" s="135" t="s">
        <v>2373</v>
      </c>
      <c r="D2318" s="319" t="s">
        <v>2173</v>
      </c>
      <c r="E2318" s="190">
        <v>10</v>
      </c>
      <c r="F2318" s="214">
        <f>'BASIC DATA'!$D$359</f>
        <v>30</v>
      </c>
      <c r="G2318" s="190">
        <f t="shared" si="46"/>
        <v>300</v>
      </c>
    </row>
    <row r="2319" spans="2:7">
      <c r="B2319" s="176"/>
      <c r="C2319" s="193" t="s">
        <v>2380</v>
      </c>
      <c r="D2319" s="193"/>
      <c r="E2319" s="208"/>
      <c r="F2319" s="236" t="s">
        <v>1698</v>
      </c>
      <c r="G2319" s="318">
        <f>SUM(G2309:G2318)</f>
        <v>9928.4</v>
      </c>
    </row>
    <row r="2320" spans="2:7"/>
    <row r="2321" spans="2:7">
      <c r="B2321" s="79" t="s">
        <v>2381</v>
      </c>
    </row>
    <row r="2322" spans="2:7">
      <c r="B2322" s="95" t="s">
        <v>2369</v>
      </c>
      <c r="C2322" s="157" t="s">
        <v>2378</v>
      </c>
      <c r="D2322" s="95" t="s">
        <v>2370</v>
      </c>
      <c r="E2322" s="95" t="s">
        <v>1166</v>
      </c>
      <c r="F2322" s="95" t="s">
        <v>2371</v>
      </c>
      <c r="G2322" s="95" t="s">
        <v>2372</v>
      </c>
    </row>
    <row r="2323" spans="2:7">
      <c r="B2323" s="114"/>
      <c r="C2323" s="154"/>
      <c r="D2323" s="114"/>
      <c r="E2323" s="114"/>
      <c r="F2323" s="114" t="s">
        <v>3485</v>
      </c>
      <c r="G2323" s="114" t="s">
        <v>3485</v>
      </c>
    </row>
    <row r="2324" spans="2:7">
      <c r="B2324" s="105">
        <v>1</v>
      </c>
      <c r="C2324" s="76" t="s">
        <v>5545</v>
      </c>
      <c r="D2324" s="319" t="s">
        <v>2374</v>
      </c>
      <c r="E2324" s="207">
        <v>8</v>
      </c>
      <c r="F2324" s="190">
        <f>'HIRE CHARGES'!$F$551</f>
        <v>198.9</v>
      </c>
      <c r="G2324" s="190">
        <f t="shared" ref="G2324:G2331" si="47">E2324*F2324</f>
        <v>1591.2</v>
      </c>
    </row>
    <row r="2325" spans="2:7">
      <c r="B2325" s="105">
        <v>2</v>
      </c>
      <c r="C2325" s="76" t="s">
        <v>5546</v>
      </c>
      <c r="D2325" s="319" t="s">
        <v>2374</v>
      </c>
      <c r="E2325" s="207">
        <v>36</v>
      </c>
      <c r="F2325" s="190">
        <f>'HIRE CHARGES'!$F$551</f>
        <v>198.9</v>
      </c>
      <c r="G2325" s="190">
        <f t="shared" si="47"/>
        <v>7160.4000000000005</v>
      </c>
    </row>
    <row r="2326" spans="2:7">
      <c r="B2326" s="105">
        <v>3</v>
      </c>
      <c r="C2326" s="76" t="s">
        <v>2468</v>
      </c>
      <c r="D2326" s="319" t="s">
        <v>1172</v>
      </c>
      <c r="E2326" s="207">
        <v>2</v>
      </c>
      <c r="F2326" s="190">
        <f>'BASIC DATA'!$C$471</f>
        <v>510</v>
      </c>
      <c r="G2326" s="190">
        <f t="shared" si="47"/>
        <v>1020</v>
      </c>
    </row>
    <row r="2327" spans="2:7">
      <c r="B2327" s="105">
        <v>4</v>
      </c>
      <c r="C2327" s="76" t="s">
        <v>5547</v>
      </c>
      <c r="D2327" s="319" t="s">
        <v>1172</v>
      </c>
      <c r="E2327" s="207">
        <v>10</v>
      </c>
      <c r="F2327" s="190">
        <f>'BASIC DATA'!$C$503</f>
        <v>550</v>
      </c>
      <c r="G2327" s="190">
        <f t="shared" si="47"/>
        <v>5500</v>
      </c>
    </row>
    <row r="2328" spans="2:7">
      <c r="B2328" s="105">
        <v>5</v>
      </c>
      <c r="C2328" s="76" t="s">
        <v>3010</v>
      </c>
      <c r="D2328" s="319" t="s">
        <v>1172</v>
      </c>
      <c r="E2328" s="207">
        <v>4</v>
      </c>
      <c r="F2328" s="190">
        <f>'BASIC DATA'!$C$504</f>
        <v>445</v>
      </c>
      <c r="G2328" s="190">
        <f t="shared" si="47"/>
        <v>1780</v>
      </c>
    </row>
    <row r="2329" spans="2:7">
      <c r="B2329" s="105">
        <v>6</v>
      </c>
      <c r="C2329" s="76" t="s">
        <v>3013</v>
      </c>
      <c r="D2329" s="319" t="s">
        <v>1172</v>
      </c>
      <c r="E2329" s="207">
        <v>4</v>
      </c>
      <c r="F2329" s="190">
        <f>'BASIC DATA'!$C$504</f>
        <v>445</v>
      </c>
      <c r="G2329" s="190">
        <f t="shared" si="47"/>
        <v>1780</v>
      </c>
    </row>
    <row r="2330" spans="2:7">
      <c r="B2330" s="105">
        <v>7</v>
      </c>
      <c r="C2330" s="76" t="s">
        <v>3121</v>
      </c>
      <c r="D2330" s="319" t="s">
        <v>1172</v>
      </c>
      <c r="E2330" s="207">
        <v>6</v>
      </c>
      <c r="F2330" s="190">
        <f>'BASIC DATA'!$C$552</f>
        <v>350</v>
      </c>
      <c r="G2330" s="190">
        <f t="shared" si="47"/>
        <v>2100</v>
      </c>
    </row>
    <row r="2331" spans="2:7">
      <c r="B2331" s="105">
        <v>8</v>
      </c>
      <c r="C2331" s="76" t="s">
        <v>3011</v>
      </c>
      <c r="D2331" s="319" t="s">
        <v>1172</v>
      </c>
      <c r="E2331" s="207">
        <v>6</v>
      </c>
      <c r="F2331" s="190">
        <f>'BASIC DATA'!$C$529</f>
        <v>400</v>
      </c>
      <c r="G2331" s="190">
        <f t="shared" si="47"/>
        <v>2400</v>
      </c>
    </row>
    <row r="2332" spans="2:7">
      <c r="B2332" s="92"/>
      <c r="C2332" s="193"/>
      <c r="D2332" s="151" t="s">
        <v>1174</v>
      </c>
      <c r="E2332" s="160"/>
      <c r="F2332" s="236" t="s">
        <v>1698</v>
      </c>
      <c r="G2332" s="318">
        <f>SUM(G2324:G2331)</f>
        <v>23331.599999999999</v>
      </c>
    </row>
    <row r="2333" spans="2:7">
      <c r="B2333" s="60" t="s">
        <v>5948</v>
      </c>
      <c r="C2333" s="31"/>
      <c r="D2333" s="31"/>
      <c r="E2333" s="85">
        <f>G2332</f>
        <v>23331.599999999999</v>
      </c>
    </row>
    <row r="2334" spans="2:7">
      <c r="B2334" s="60" t="s">
        <v>3163</v>
      </c>
      <c r="C2334" s="31"/>
      <c r="D2334" s="922">
        <f>'BASIC DATA'!$C$577</f>
        <v>0.13614999999999999</v>
      </c>
      <c r="E2334" s="85">
        <f>ROUND(E2333*D2334,1)</f>
        <v>3176.6</v>
      </c>
    </row>
    <row r="2335" spans="2:7">
      <c r="B2335" s="60" t="s">
        <v>5949</v>
      </c>
      <c r="C2335" s="31"/>
      <c r="D2335" s="31"/>
      <c r="E2335" s="199">
        <f>E2334+E2333</f>
        <v>26508.199999999997</v>
      </c>
    </row>
    <row r="2336" spans="2:7">
      <c r="B2336" s="26"/>
    </row>
    <row r="2337" spans="2:8">
      <c r="B2337" s="170" t="s">
        <v>1175</v>
      </c>
    </row>
    <row r="2338" spans="2:8">
      <c r="B2338" s="26" t="s">
        <v>1176</v>
      </c>
      <c r="F2338" s="171" t="s">
        <v>1698</v>
      </c>
      <c r="G2338" s="68">
        <f>G2304</f>
        <v>59039.950000000004</v>
      </c>
    </row>
    <row r="2339" spans="2:8">
      <c r="B2339" s="26" t="s">
        <v>1186</v>
      </c>
      <c r="F2339" s="171" t="s">
        <v>1698</v>
      </c>
      <c r="G2339" s="68">
        <f>G2319</f>
        <v>9928.4</v>
      </c>
    </row>
    <row r="2340" spans="2:8">
      <c r="B2340" s="26" t="s">
        <v>2660</v>
      </c>
      <c r="F2340" s="171" t="s">
        <v>1698</v>
      </c>
      <c r="G2340" s="75">
        <f>G2332</f>
        <v>23331.599999999999</v>
      </c>
    </row>
    <row r="2341" spans="2:8">
      <c r="B2341" s="26"/>
      <c r="E2341" s="171" t="s">
        <v>5551</v>
      </c>
      <c r="F2341" s="171" t="s">
        <v>1698</v>
      </c>
      <c r="G2341" s="205">
        <f>SUM(G2338:G2340)</f>
        <v>92299.950000000012</v>
      </c>
    </row>
    <row r="2342" spans="2:8">
      <c r="B2342" s="26" t="s">
        <v>5087</v>
      </c>
      <c r="E2342" s="693">
        <f>'BASIC DATA'!$C$593</f>
        <v>0</v>
      </c>
      <c r="F2342" s="171" t="s">
        <v>1698</v>
      </c>
      <c r="G2342" s="68">
        <f>(G2340+G2339)*E2342*0.75</f>
        <v>0</v>
      </c>
    </row>
    <row r="2343" spans="2:8">
      <c r="B2343" s="26" t="s">
        <v>5084</v>
      </c>
      <c r="E2343" s="171" t="s">
        <v>1518</v>
      </c>
      <c r="F2343" s="171" t="s">
        <v>1698</v>
      </c>
      <c r="G2343" s="205">
        <f>G2342+G2341</f>
        <v>92299.950000000012</v>
      </c>
    </row>
    <row r="2344" spans="2:8">
      <c r="B2344" s="26" t="s">
        <v>5086</v>
      </c>
      <c r="E2344" s="201">
        <f>'BASIC DATA'!$C$594</f>
        <v>0.03</v>
      </c>
      <c r="F2344" s="171" t="s">
        <v>1698</v>
      </c>
      <c r="G2344" s="75">
        <f>G2343*E2344</f>
        <v>2768.9985000000001</v>
      </c>
    </row>
    <row r="2345" spans="2:8">
      <c r="B2345" s="26"/>
      <c r="E2345" s="26" t="s">
        <v>2392</v>
      </c>
      <c r="F2345" s="171" t="s">
        <v>1698</v>
      </c>
      <c r="G2345" s="75">
        <f>G2344+G2343</f>
        <v>95068.948500000013</v>
      </c>
    </row>
    <row r="2346" spans="2:8" ht="39" customHeight="1">
      <c r="B2346" s="1207" t="s">
        <v>4717</v>
      </c>
      <c r="C2346" s="1207"/>
      <c r="D2346" s="922">
        <f>'BASIC DATA'!$C$577</f>
        <v>0.13614999999999999</v>
      </c>
      <c r="F2346" s="171" t="s">
        <v>1698</v>
      </c>
      <c r="G2346" s="75">
        <f>G2345*D2346</f>
        <v>12943.637338275001</v>
      </c>
    </row>
    <row r="2347" spans="2:8">
      <c r="B2347" s="26" t="s">
        <v>898</v>
      </c>
    </row>
    <row r="2348" spans="2:8">
      <c r="B2348" s="47" t="s">
        <v>897</v>
      </c>
      <c r="D2348" s="48"/>
      <c r="E2348" s="68">
        <f>leadcharges!$F$65</f>
        <v>19</v>
      </c>
      <c r="F2348" s="27" t="s">
        <v>1279</v>
      </c>
      <c r="G2348" s="76">
        <f>2*ROUND(E2348*F2285,3)</f>
        <v>33.021999999999998</v>
      </c>
    </row>
    <row r="2349" spans="2:8">
      <c r="B2349" s="47" t="s">
        <v>896</v>
      </c>
      <c r="D2349" s="48"/>
      <c r="E2349" s="68">
        <f>leadcharges!$G$79</f>
        <v>74.8</v>
      </c>
      <c r="F2349" s="27" t="s">
        <v>1279</v>
      </c>
      <c r="G2349" s="76">
        <f>2*ROUND(E2349*F2285,3)</f>
        <v>130.00200000000001</v>
      </c>
    </row>
    <row r="2350" spans="2:8" ht="18.75" thickBot="1">
      <c r="B2350" s="26" t="s">
        <v>5078</v>
      </c>
      <c r="D2350" s="278">
        <f>F2285</f>
        <v>0.86899999999999999</v>
      </c>
      <c r="E2350" s="26" t="s">
        <v>3041</v>
      </c>
      <c r="F2350" s="171" t="s">
        <v>1698</v>
      </c>
      <c r="G2350" s="205">
        <f>SUM(G2345:G2349)</f>
        <v>108175.60983827501</v>
      </c>
    </row>
    <row r="2351" spans="2:8" ht="18.75" thickBot="1">
      <c r="D2351" s="694" t="s">
        <v>3884</v>
      </c>
      <c r="E2351" s="695" t="s">
        <v>3041</v>
      </c>
      <c r="F2351" s="696" t="s">
        <v>1698</v>
      </c>
      <c r="G2351" s="715">
        <f>ROUND(G2350/D2350,1)</f>
        <v>124482.9</v>
      </c>
    </row>
    <row r="2352" spans="2:8">
      <c r="B2352" s="200"/>
      <c r="C2352" s="31"/>
      <c r="D2352" s="31"/>
      <c r="E2352" s="31"/>
      <c r="F2352" s="691"/>
      <c r="G2352" s="31"/>
      <c r="H2352" s="31"/>
    </row>
    <row r="2353" spans="1:8">
      <c r="B2353" s="200"/>
      <c r="C2353" s="31"/>
      <c r="D2353" s="31"/>
      <c r="E2353" s="31"/>
      <c r="F2353" s="691"/>
      <c r="G2353" s="31"/>
      <c r="H2353" s="31"/>
    </row>
    <row r="2354" spans="1:8" ht="72">
      <c r="A2354" s="847" t="s">
        <v>9754</v>
      </c>
      <c r="B2354" s="26" t="s">
        <v>9520</v>
      </c>
    </row>
    <row r="2355" spans="1:8">
      <c r="B2355" s="806" t="s">
        <v>9497</v>
      </c>
    </row>
    <row r="2356" spans="1:8">
      <c r="B2356" s="806" t="s">
        <v>9498</v>
      </c>
    </row>
    <row r="2357" spans="1:8">
      <c r="B2357" s="26" t="s">
        <v>9512</v>
      </c>
    </row>
    <row r="2358" spans="1:8">
      <c r="B2358" s="26" t="s">
        <v>9513</v>
      </c>
    </row>
    <row r="2359" spans="1:8">
      <c r="B2359" s="26" t="s">
        <v>9514</v>
      </c>
      <c r="E2359" s="322"/>
    </row>
    <row r="2360" spans="1:8">
      <c r="B2360" s="26"/>
      <c r="E2360" s="322"/>
    </row>
    <row r="2361" spans="1:8">
      <c r="B2361" s="170" t="s">
        <v>9503</v>
      </c>
      <c r="E2361" s="322"/>
    </row>
    <row r="2362" spans="1:8">
      <c r="B2362" s="170" t="s">
        <v>9504</v>
      </c>
      <c r="E2362" s="322"/>
    </row>
    <row r="2363" spans="1:8">
      <c r="B2363" s="170"/>
      <c r="E2363" s="322"/>
    </row>
    <row r="2364" spans="1:8" hidden="1">
      <c r="B2364" s="26" t="s">
        <v>2366</v>
      </c>
    </row>
    <row r="2365" spans="1:8" hidden="1">
      <c r="B2365" s="26" t="s">
        <v>5079</v>
      </c>
      <c r="C2365" s="68">
        <f>'BASIC DATA'!$D$373</f>
        <v>7800</v>
      </c>
      <c r="D2365" s="26" t="s">
        <v>2290</v>
      </c>
      <c r="E2365" s="315" t="s">
        <v>1698</v>
      </c>
      <c r="F2365" s="68">
        <f>C2365</f>
        <v>7800</v>
      </c>
    </row>
    <row r="2366" spans="1:8" hidden="1">
      <c r="B2366" s="26" t="s">
        <v>3231</v>
      </c>
      <c r="E2366" s="322" t="s">
        <v>1697</v>
      </c>
      <c r="F2366" s="316">
        <v>1000</v>
      </c>
      <c r="G2366" s="26" t="s">
        <v>4665</v>
      </c>
    </row>
    <row r="2367" spans="1:8" hidden="1">
      <c r="B2367" s="26" t="s">
        <v>3232</v>
      </c>
      <c r="C2367" s="26" t="s">
        <v>7593</v>
      </c>
      <c r="E2367" s="315" t="s">
        <v>1698</v>
      </c>
      <c r="F2367" s="68">
        <f>F2365/F2366</f>
        <v>7.8</v>
      </c>
    </row>
    <row r="2368" spans="1:8" hidden="1">
      <c r="B2368" s="26" t="s">
        <v>2056</v>
      </c>
      <c r="C2368" s="68">
        <f>'BASIC DATA'!$D$371</f>
        <v>14500</v>
      </c>
      <c r="D2368" s="26" t="s">
        <v>2290</v>
      </c>
      <c r="E2368" s="315" t="s">
        <v>1698</v>
      </c>
      <c r="F2368" s="68">
        <f>C2368</f>
        <v>14500</v>
      </c>
    </row>
    <row r="2369" spans="1:7" hidden="1">
      <c r="B2369" s="26" t="s">
        <v>5868</v>
      </c>
      <c r="E2369" s="322" t="s">
        <v>1697</v>
      </c>
      <c r="F2369" s="316">
        <v>600</v>
      </c>
      <c r="G2369" s="26" t="s">
        <v>4665</v>
      </c>
    </row>
    <row r="2370" spans="1:7" hidden="1">
      <c r="B2370" s="26" t="s">
        <v>3234</v>
      </c>
      <c r="C2370" s="26" t="s">
        <v>7593</v>
      </c>
      <c r="E2370" s="315" t="s">
        <v>1698</v>
      </c>
      <c r="F2370" s="68">
        <f>F2368/F2369</f>
        <v>24.166666666666668</v>
      </c>
    </row>
    <row r="2371" spans="1:7">
      <c r="B2371" s="26" t="s">
        <v>9515</v>
      </c>
      <c r="E2371" s="315" t="s">
        <v>9516</v>
      </c>
      <c r="F2371" s="68"/>
      <c r="G2371" s="26" t="s">
        <v>9517</v>
      </c>
    </row>
    <row r="2372" spans="1:7">
      <c r="B2372" s="26"/>
      <c r="E2372" s="315"/>
      <c r="F2372" s="68"/>
    </row>
    <row r="2373" spans="1:7"/>
    <row r="2374" spans="1:7">
      <c r="A2374" s="865" t="s">
        <v>3984</v>
      </c>
      <c r="C2374" s="203" t="s">
        <v>2367</v>
      </c>
      <c r="E2374" s="171" t="s">
        <v>297</v>
      </c>
      <c r="F2374" s="692">
        <v>1.3340000000000001</v>
      </c>
      <c r="G2374" s="26" t="s">
        <v>3480</v>
      </c>
    </row>
    <row r="2375" spans="1:7">
      <c r="B2375" s="79" t="s">
        <v>2368</v>
      </c>
      <c r="F2375" s="316"/>
    </row>
    <row r="2376" spans="1:7">
      <c r="B2376" s="95" t="s">
        <v>2369</v>
      </c>
      <c r="C2376" s="157" t="s">
        <v>6374</v>
      </c>
      <c r="D2376" s="95" t="s">
        <v>2370</v>
      </c>
      <c r="E2376" s="95" t="s">
        <v>1166</v>
      </c>
      <c r="F2376" s="95" t="s">
        <v>2371</v>
      </c>
      <c r="G2376" s="95" t="s">
        <v>2372</v>
      </c>
    </row>
    <row r="2377" spans="1:7">
      <c r="B2377" s="114"/>
      <c r="C2377" s="154"/>
      <c r="D2377" s="114"/>
      <c r="E2377" s="114"/>
      <c r="F2377" s="114" t="s">
        <v>3485</v>
      </c>
      <c r="G2377" s="114" t="s">
        <v>3485</v>
      </c>
    </row>
    <row r="2378" spans="1:7">
      <c r="B2378" s="36">
        <v>1</v>
      </c>
      <c r="C2378" s="76" t="s">
        <v>6390</v>
      </c>
      <c r="D2378" s="451" t="s">
        <v>3478</v>
      </c>
      <c r="E2378" s="190">
        <v>440.57</v>
      </c>
      <c r="F2378" s="214">
        <f>'BASIC DATA'!$D$97/1000</f>
        <v>37.5</v>
      </c>
      <c r="G2378" s="190">
        <f>E2378*F2378</f>
        <v>16521.375</v>
      </c>
    </row>
    <row r="2379" spans="1:7">
      <c r="B2379" s="36">
        <v>2</v>
      </c>
      <c r="C2379" s="76" t="s">
        <v>3162</v>
      </c>
      <c r="D2379" s="319" t="s">
        <v>3478</v>
      </c>
      <c r="E2379" s="190">
        <v>869</v>
      </c>
      <c r="F2379" s="214">
        <f>'BASIC DATA'!$D$98/1000</f>
        <v>37.4</v>
      </c>
      <c r="G2379" s="190">
        <f>E2379*F2379</f>
        <v>32500.6</v>
      </c>
    </row>
    <row r="2380" spans="1:7">
      <c r="B2380" s="36">
        <v>3</v>
      </c>
      <c r="C2380" s="76" t="s">
        <v>9518</v>
      </c>
      <c r="D2380" s="319" t="s">
        <v>3478</v>
      </c>
      <c r="E2380" s="190">
        <v>25.12</v>
      </c>
      <c r="F2380" s="214">
        <f>'BASIC DATA'!$D$180</f>
        <v>275</v>
      </c>
      <c r="G2380" s="190">
        <f>E2380*F2380</f>
        <v>6908</v>
      </c>
    </row>
    <row r="2381" spans="1:7">
      <c r="B2381" s="36">
        <v>4</v>
      </c>
      <c r="C2381" s="76" t="s">
        <v>958</v>
      </c>
      <c r="D2381" s="319" t="s">
        <v>3477</v>
      </c>
      <c r="E2381" s="190">
        <v>12</v>
      </c>
      <c r="F2381" s="214">
        <f>'BASIC DATA'!$D$87</f>
        <v>42</v>
      </c>
      <c r="G2381" s="190">
        <f t="shared" ref="G2381:G2387" si="48">E2381*F2381</f>
        <v>504</v>
      </c>
    </row>
    <row r="2382" spans="1:7">
      <c r="B2382" s="36">
        <v>5</v>
      </c>
      <c r="C2382" s="76" t="s">
        <v>6815</v>
      </c>
      <c r="D2382" s="319" t="s">
        <v>3477</v>
      </c>
      <c r="E2382" s="190">
        <v>4</v>
      </c>
      <c r="F2382" s="214">
        <f>'BASIC DATA'!$D$28</f>
        <v>335</v>
      </c>
      <c r="G2382" s="190">
        <f t="shared" si="48"/>
        <v>1340</v>
      </c>
    </row>
    <row r="2383" spans="1:7">
      <c r="B2383" s="36">
        <v>6</v>
      </c>
      <c r="C2383" s="76" t="s">
        <v>6816</v>
      </c>
      <c r="D2383" s="319" t="s">
        <v>2059</v>
      </c>
      <c r="E2383" s="190">
        <v>210</v>
      </c>
      <c r="F2383" s="214">
        <f>'BASIC DATA'!$D$110</f>
        <v>13</v>
      </c>
      <c r="G2383" s="190">
        <f t="shared" si="48"/>
        <v>2730</v>
      </c>
    </row>
    <row r="2384" spans="1:7">
      <c r="B2384" s="36">
        <v>7</v>
      </c>
      <c r="C2384" s="76" t="s">
        <v>9519</v>
      </c>
      <c r="D2384" s="319" t="s">
        <v>2059</v>
      </c>
      <c r="E2384" s="190">
        <v>30</v>
      </c>
      <c r="F2384" s="214">
        <f>'BASIC DATA'!$D$182</f>
        <v>23</v>
      </c>
      <c r="G2384" s="190">
        <f t="shared" si="48"/>
        <v>690</v>
      </c>
    </row>
    <row r="2385" spans="2:7">
      <c r="B2385" s="36">
        <v>8</v>
      </c>
      <c r="C2385" s="76" t="s">
        <v>6556</v>
      </c>
      <c r="D2385" s="319" t="s">
        <v>2374</v>
      </c>
      <c r="E2385" s="190">
        <v>62</v>
      </c>
      <c r="F2385" s="214">
        <f>F2367</f>
        <v>7.8</v>
      </c>
      <c r="G2385" s="190">
        <f t="shared" si="48"/>
        <v>483.59999999999997</v>
      </c>
    </row>
    <row r="2386" spans="2:7">
      <c r="B2386" s="36">
        <v>9</v>
      </c>
      <c r="C2386" s="76" t="s">
        <v>6557</v>
      </c>
      <c r="D2386" s="319" t="s">
        <v>2374</v>
      </c>
      <c r="E2386" s="190">
        <v>32</v>
      </c>
      <c r="F2386" s="214">
        <f>F2370</f>
        <v>24.166666666666668</v>
      </c>
      <c r="G2386" s="190">
        <f t="shared" si="48"/>
        <v>773.33333333333337</v>
      </c>
    </row>
    <row r="2387" spans="2:7">
      <c r="B2387" s="36">
        <v>10</v>
      </c>
      <c r="C2387" s="76" t="s">
        <v>2373</v>
      </c>
      <c r="D2387" s="319" t="s">
        <v>2173</v>
      </c>
      <c r="E2387" s="190">
        <v>3</v>
      </c>
      <c r="F2387" s="214">
        <f>'BASIC DATA'!$D$359</f>
        <v>30</v>
      </c>
      <c r="G2387" s="190">
        <f t="shared" si="48"/>
        <v>90</v>
      </c>
    </row>
    <row r="2388" spans="2:7">
      <c r="B2388" s="92"/>
      <c r="C2388" s="193"/>
      <c r="D2388" s="151" t="s">
        <v>2376</v>
      </c>
      <c r="E2388" s="160"/>
      <c r="F2388" s="236" t="s">
        <v>1698</v>
      </c>
      <c r="G2388" s="318">
        <f>SUM(G2378:G2387)</f>
        <v>62540.908333333333</v>
      </c>
    </row>
    <row r="2389" spans="2:7"/>
    <row r="2390" spans="2:7">
      <c r="B2390" s="79" t="s">
        <v>2377</v>
      </c>
    </row>
    <row r="2391" spans="2:7">
      <c r="B2391" s="95" t="s">
        <v>2369</v>
      </c>
      <c r="C2391" s="157" t="s">
        <v>2378</v>
      </c>
      <c r="D2391" s="95" t="s">
        <v>2370</v>
      </c>
      <c r="E2391" s="95" t="s">
        <v>1166</v>
      </c>
      <c r="F2391" s="95" t="s">
        <v>2371</v>
      </c>
      <c r="G2391" s="95" t="s">
        <v>2372</v>
      </c>
    </row>
    <row r="2392" spans="2:7">
      <c r="B2392" s="114"/>
      <c r="C2392" s="154"/>
      <c r="D2392" s="114"/>
      <c r="E2392" s="114"/>
      <c r="F2392" s="114" t="s">
        <v>3485</v>
      </c>
      <c r="G2392" s="114" t="s">
        <v>3485</v>
      </c>
    </row>
    <row r="2393" spans="2:7">
      <c r="B2393" s="95">
        <v>1</v>
      </c>
      <c r="C2393" s="135" t="s">
        <v>6558</v>
      </c>
      <c r="D2393" s="451" t="s">
        <v>2374</v>
      </c>
      <c r="E2393" s="190">
        <v>30</v>
      </c>
      <c r="F2393" s="190">
        <f>'HIRE CHARGES'!$D$556</f>
        <v>16</v>
      </c>
      <c r="G2393" s="190">
        <f>E2393*F2393</f>
        <v>480</v>
      </c>
    </row>
    <row r="2394" spans="2:7">
      <c r="B2394" s="105"/>
      <c r="C2394" s="135" t="s">
        <v>2379</v>
      </c>
      <c r="D2394" s="319" t="s">
        <v>2374</v>
      </c>
      <c r="E2394" s="190">
        <v>30</v>
      </c>
      <c r="F2394" s="190">
        <f>'HIRE CHARGES'!$E$556</f>
        <v>67.2</v>
      </c>
      <c r="G2394" s="190">
        <f t="shared" ref="G2394:G2401" si="49">E2394*F2394</f>
        <v>2016</v>
      </c>
    </row>
    <row r="2395" spans="2:7">
      <c r="B2395" s="105">
        <v>2</v>
      </c>
      <c r="C2395" s="135" t="s">
        <v>6060</v>
      </c>
      <c r="D2395" s="319" t="s">
        <v>2374</v>
      </c>
      <c r="E2395" s="190">
        <v>20</v>
      </c>
      <c r="F2395" s="190">
        <f>'HIRE CHARGES'!$D$539</f>
        <v>6.4</v>
      </c>
      <c r="G2395" s="190">
        <f t="shared" si="49"/>
        <v>128</v>
      </c>
    </row>
    <row r="2396" spans="2:7">
      <c r="B2396" s="105"/>
      <c r="C2396" s="135" t="s">
        <v>2379</v>
      </c>
      <c r="D2396" s="319" t="s">
        <v>2374</v>
      </c>
      <c r="E2396" s="190">
        <v>20</v>
      </c>
      <c r="F2396" s="190">
        <f>'HIRE CHARGES'!$E$539</f>
        <v>2.8</v>
      </c>
      <c r="G2396" s="190">
        <f t="shared" si="49"/>
        <v>56</v>
      </c>
    </row>
    <row r="2397" spans="2:7">
      <c r="B2397" s="105">
        <v>3</v>
      </c>
      <c r="C2397" s="135" t="s">
        <v>6393</v>
      </c>
      <c r="D2397" s="319" t="s">
        <v>2374</v>
      </c>
      <c r="E2397" s="190">
        <v>4</v>
      </c>
      <c r="F2397" s="190">
        <f>'HIRE CHARGES'!$D$551</f>
        <v>22.5</v>
      </c>
      <c r="G2397" s="190">
        <f t="shared" si="49"/>
        <v>90</v>
      </c>
    </row>
    <row r="2398" spans="2:7">
      <c r="B2398" s="105"/>
      <c r="C2398" s="135" t="s">
        <v>2379</v>
      </c>
      <c r="D2398" s="319" t="s">
        <v>2374</v>
      </c>
      <c r="E2398" s="190">
        <v>4</v>
      </c>
      <c r="F2398" s="190">
        <f>'HIRE CHARGES'!$E$551</f>
        <v>28</v>
      </c>
      <c r="G2398" s="190">
        <f t="shared" si="49"/>
        <v>112</v>
      </c>
    </row>
    <row r="2399" spans="2:7">
      <c r="B2399" s="105">
        <v>4</v>
      </c>
      <c r="C2399" s="135" t="s">
        <v>6562</v>
      </c>
      <c r="D2399" s="319" t="s">
        <v>2374</v>
      </c>
      <c r="E2399" s="190">
        <v>20</v>
      </c>
      <c r="F2399" s="190">
        <f>'HIRE CHARGES'!$D$551</f>
        <v>22.5</v>
      </c>
      <c r="G2399" s="190">
        <f t="shared" si="49"/>
        <v>450</v>
      </c>
    </row>
    <row r="2400" spans="2:7">
      <c r="B2400" s="105"/>
      <c r="C2400" s="135" t="s">
        <v>2379</v>
      </c>
      <c r="D2400" s="319" t="s">
        <v>2374</v>
      </c>
      <c r="E2400" s="190">
        <v>20</v>
      </c>
      <c r="F2400" s="190">
        <f>'HIRE CHARGES'!$E$551</f>
        <v>28</v>
      </c>
      <c r="G2400" s="190">
        <f t="shared" si="49"/>
        <v>560</v>
      </c>
    </row>
    <row r="2401" spans="2:7">
      <c r="B2401" s="114">
        <v>5</v>
      </c>
      <c r="C2401" s="135" t="s">
        <v>2373</v>
      </c>
      <c r="D2401" s="319" t="s">
        <v>2173</v>
      </c>
      <c r="E2401" s="190">
        <v>3</v>
      </c>
      <c r="F2401" s="214">
        <f>'BASIC DATA'!$D$359</f>
        <v>30</v>
      </c>
      <c r="G2401" s="190">
        <f t="shared" si="49"/>
        <v>90</v>
      </c>
    </row>
    <row r="2402" spans="2:7">
      <c r="B2402" s="176"/>
      <c r="C2402" s="193" t="s">
        <v>2380</v>
      </c>
      <c r="D2402" s="193"/>
      <c r="E2402" s="208"/>
      <c r="F2402" s="236" t="s">
        <v>1698</v>
      </c>
      <c r="G2402" s="318">
        <f>SUM(G2393:G2401)</f>
        <v>3982</v>
      </c>
    </row>
    <row r="2403" spans="2:7"/>
    <row r="2404" spans="2:7">
      <c r="B2404" s="79" t="s">
        <v>2381</v>
      </c>
    </row>
    <row r="2405" spans="2:7">
      <c r="B2405" s="95" t="s">
        <v>2369</v>
      </c>
      <c r="C2405" s="157" t="s">
        <v>2378</v>
      </c>
      <c r="D2405" s="95" t="s">
        <v>2370</v>
      </c>
      <c r="E2405" s="95" t="s">
        <v>1166</v>
      </c>
      <c r="F2405" s="95" t="s">
        <v>2371</v>
      </c>
      <c r="G2405" s="95" t="s">
        <v>2372</v>
      </c>
    </row>
    <row r="2406" spans="2:7">
      <c r="B2406" s="114"/>
      <c r="C2406" s="154"/>
      <c r="D2406" s="114"/>
      <c r="E2406" s="114"/>
      <c r="F2406" s="114" t="s">
        <v>3485</v>
      </c>
      <c r="G2406" s="114" t="s">
        <v>3485</v>
      </c>
    </row>
    <row r="2407" spans="2:7">
      <c r="B2407" s="105">
        <v>1</v>
      </c>
      <c r="C2407" s="76" t="s">
        <v>5545</v>
      </c>
      <c r="D2407" s="319" t="s">
        <v>2374</v>
      </c>
      <c r="E2407" s="207">
        <v>4</v>
      </c>
      <c r="F2407" s="190">
        <f>'HIRE CHARGES'!$F$551</f>
        <v>198.9</v>
      </c>
      <c r="G2407" s="190">
        <f t="shared" ref="G2407:G2414" si="50">E2407*F2407</f>
        <v>795.6</v>
      </c>
    </row>
    <row r="2408" spans="2:7">
      <c r="B2408" s="105">
        <v>2</v>
      </c>
      <c r="C2408" s="76" t="s">
        <v>5546</v>
      </c>
      <c r="D2408" s="319" t="s">
        <v>2374</v>
      </c>
      <c r="E2408" s="207">
        <v>20</v>
      </c>
      <c r="F2408" s="190">
        <f>'HIRE CHARGES'!$F$551</f>
        <v>198.9</v>
      </c>
      <c r="G2408" s="190">
        <f t="shared" si="50"/>
        <v>3978</v>
      </c>
    </row>
    <row r="2409" spans="2:7">
      <c r="B2409" s="105">
        <v>3</v>
      </c>
      <c r="C2409" s="76" t="s">
        <v>2468</v>
      </c>
      <c r="D2409" s="319" t="s">
        <v>1172</v>
      </c>
      <c r="E2409" s="207">
        <v>8</v>
      </c>
      <c r="F2409" s="190">
        <f>'BASIC DATA'!$C$471</f>
        <v>510</v>
      </c>
      <c r="G2409" s="190">
        <f t="shared" si="50"/>
        <v>4080</v>
      </c>
    </row>
    <row r="2410" spans="2:7">
      <c r="B2410" s="105">
        <v>4</v>
      </c>
      <c r="C2410" s="76" t="s">
        <v>5547</v>
      </c>
      <c r="D2410" s="319" t="s">
        <v>1172</v>
      </c>
      <c r="E2410" s="207">
        <v>6</v>
      </c>
      <c r="F2410" s="190">
        <f>'BASIC DATA'!$C$503</f>
        <v>550</v>
      </c>
      <c r="G2410" s="190">
        <f t="shared" si="50"/>
        <v>3300</v>
      </c>
    </row>
    <row r="2411" spans="2:7">
      <c r="B2411" s="105">
        <v>5</v>
      </c>
      <c r="C2411" s="76" t="s">
        <v>3010</v>
      </c>
      <c r="D2411" s="319" t="s">
        <v>1172</v>
      </c>
      <c r="E2411" s="207">
        <v>2</v>
      </c>
      <c r="F2411" s="190">
        <f>'BASIC DATA'!$C$504</f>
        <v>445</v>
      </c>
      <c r="G2411" s="190">
        <f t="shared" si="50"/>
        <v>890</v>
      </c>
    </row>
    <row r="2412" spans="2:7">
      <c r="B2412" s="105">
        <v>6</v>
      </c>
      <c r="C2412" s="76" t="s">
        <v>3013</v>
      </c>
      <c r="D2412" s="319" t="s">
        <v>1172</v>
      </c>
      <c r="E2412" s="207">
        <v>4</v>
      </c>
      <c r="F2412" s="190">
        <f>'BASIC DATA'!$C$504</f>
        <v>445</v>
      </c>
      <c r="G2412" s="190">
        <f t="shared" si="50"/>
        <v>1780</v>
      </c>
    </row>
    <row r="2413" spans="2:7">
      <c r="B2413" s="105">
        <v>7</v>
      </c>
      <c r="C2413" s="76" t="s">
        <v>3121</v>
      </c>
      <c r="D2413" s="319" t="s">
        <v>1172</v>
      </c>
      <c r="E2413" s="207">
        <v>4</v>
      </c>
      <c r="F2413" s="190">
        <f>'BASIC DATA'!$C$552</f>
        <v>350</v>
      </c>
      <c r="G2413" s="190">
        <f t="shared" si="50"/>
        <v>1400</v>
      </c>
    </row>
    <row r="2414" spans="2:7">
      <c r="B2414" s="105">
        <v>8</v>
      </c>
      <c r="C2414" s="76" t="s">
        <v>3011</v>
      </c>
      <c r="D2414" s="319" t="s">
        <v>1172</v>
      </c>
      <c r="E2414" s="207">
        <v>8</v>
      </c>
      <c r="F2414" s="190">
        <f>'BASIC DATA'!$C$529</f>
        <v>400</v>
      </c>
      <c r="G2414" s="190">
        <f t="shared" si="50"/>
        <v>3200</v>
      </c>
    </row>
    <row r="2415" spans="2:7">
      <c r="B2415" s="92"/>
      <c r="C2415" s="193"/>
      <c r="D2415" s="151" t="s">
        <v>1174</v>
      </c>
      <c r="E2415" s="160"/>
      <c r="F2415" s="236" t="s">
        <v>1698</v>
      </c>
      <c r="G2415" s="318">
        <f>SUM(G2407:G2414)</f>
        <v>19423.599999999999</v>
      </c>
    </row>
    <row r="2416" spans="2:7">
      <c r="B2416" s="60" t="s">
        <v>5948</v>
      </c>
      <c r="C2416" s="31"/>
      <c r="D2416" s="31"/>
      <c r="E2416" s="85">
        <f>G2415</f>
        <v>19423.599999999999</v>
      </c>
    </row>
    <row r="2417" spans="2:7">
      <c r="B2417" s="60" t="s">
        <v>3163</v>
      </c>
      <c r="C2417" s="31"/>
      <c r="D2417" s="922">
        <f>'BASIC DATA'!$C$577</f>
        <v>0.13614999999999999</v>
      </c>
      <c r="E2417" s="85">
        <f>ROUND(E2416*D2417,1)</f>
        <v>2644.5</v>
      </c>
    </row>
    <row r="2418" spans="2:7">
      <c r="B2418" s="60" t="s">
        <v>5949</v>
      </c>
      <c r="C2418" s="31"/>
      <c r="D2418" s="31"/>
      <c r="E2418" s="199">
        <f>E2417+E2416</f>
        <v>22068.1</v>
      </c>
    </row>
    <row r="2419" spans="2:7">
      <c r="B2419" s="26"/>
    </row>
    <row r="2420" spans="2:7">
      <c r="B2420" s="170" t="s">
        <v>1175</v>
      </c>
    </row>
    <row r="2421" spans="2:7">
      <c r="B2421" s="26" t="s">
        <v>1176</v>
      </c>
      <c r="F2421" s="171" t="s">
        <v>1698</v>
      </c>
      <c r="G2421" s="68">
        <f>G2388</f>
        <v>62540.908333333333</v>
      </c>
    </row>
    <row r="2422" spans="2:7">
      <c r="B2422" s="26" t="s">
        <v>1186</v>
      </c>
      <c r="F2422" s="171" t="s">
        <v>1698</v>
      </c>
      <c r="G2422" s="68">
        <f>G2402</f>
        <v>3982</v>
      </c>
    </row>
    <row r="2423" spans="2:7">
      <c r="B2423" s="26" t="s">
        <v>2660</v>
      </c>
      <c r="F2423" s="171" t="s">
        <v>1698</v>
      </c>
      <c r="G2423" s="75">
        <f>G2415</f>
        <v>19423.599999999999</v>
      </c>
    </row>
    <row r="2424" spans="2:7">
      <c r="B2424" s="26"/>
      <c r="E2424" s="171" t="s">
        <v>5551</v>
      </c>
      <c r="F2424" s="171" t="s">
        <v>1698</v>
      </c>
      <c r="G2424" s="205">
        <f>SUM(G2421:G2423)</f>
        <v>85946.508333333331</v>
      </c>
    </row>
    <row r="2425" spans="2:7">
      <c r="B2425" s="26" t="s">
        <v>5087</v>
      </c>
      <c r="E2425" s="693">
        <f>'BASIC DATA'!$C$593</f>
        <v>0</v>
      </c>
      <c r="F2425" s="171" t="s">
        <v>1698</v>
      </c>
      <c r="G2425" s="68">
        <f>(G2423+G2422)*E2425*0.75</f>
        <v>0</v>
      </c>
    </row>
    <row r="2426" spans="2:7">
      <c r="B2426" s="26" t="s">
        <v>5084</v>
      </c>
      <c r="E2426" s="171" t="s">
        <v>1518</v>
      </c>
      <c r="F2426" s="171" t="s">
        <v>1698</v>
      </c>
      <c r="G2426" s="205">
        <f>G2425+G2424</f>
        <v>85946.508333333331</v>
      </c>
    </row>
    <row r="2427" spans="2:7">
      <c r="B2427" s="26" t="s">
        <v>5086</v>
      </c>
      <c r="E2427" s="201">
        <f>'BASIC DATA'!$C$594</f>
        <v>0.03</v>
      </c>
      <c r="F2427" s="171" t="s">
        <v>1698</v>
      </c>
      <c r="G2427" s="75">
        <f>G2426*E2427</f>
        <v>2578.39525</v>
      </c>
    </row>
    <row r="2428" spans="2:7">
      <c r="B2428" s="26"/>
      <c r="E2428" s="26" t="s">
        <v>2392</v>
      </c>
      <c r="F2428" s="171" t="s">
        <v>1698</v>
      </c>
      <c r="G2428" s="75">
        <f>G2427+G2426</f>
        <v>88524.903583333333</v>
      </c>
    </row>
    <row r="2429" spans="2:7" ht="38.25" customHeight="1">
      <c r="B2429" s="1207" t="s">
        <v>4717</v>
      </c>
      <c r="C2429" s="1207"/>
      <c r="D2429" s="922">
        <f>'BASIC DATA'!$C$577</f>
        <v>0.13614999999999999</v>
      </c>
      <c r="F2429" s="171" t="s">
        <v>1698</v>
      </c>
      <c r="G2429" s="75">
        <f>G2428*D2429</f>
        <v>12052.665622870833</v>
      </c>
    </row>
    <row r="2430" spans="2:7">
      <c r="B2430" s="26" t="s">
        <v>898</v>
      </c>
    </row>
    <row r="2431" spans="2:7">
      <c r="B2431" s="47" t="s">
        <v>897</v>
      </c>
      <c r="D2431" s="48"/>
      <c r="E2431" s="68">
        <f>leadcharges!$F$65</f>
        <v>19</v>
      </c>
      <c r="F2431" s="27" t="s">
        <v>1279</v>
      </c>
      <c r="G2431" s="76">
        <f>2*ROUND(E2431*F2374,3)</f>
        <v>50.692</v>
      </c>
    </row>
    <row r="2432" spans="2:7">
      <c r="B2432" s="47" t="s">
        <v>896</v>
      </c>
      <c r="D2432" s="48"/>
      <c r="E2432" s="68">
        <f>leadcharges!$G$79</f>
        <v>74.8</v>
      </c>
      <c r="F2432" s="27" t="s">
        <v>1279</v>
      </c>
      <c r="G2432" s="76">
        <f>2*ROUND(E2432*F2374,3)</f>
        <v>199.566</v>
      </c>
    </row>
    <row r="2433" spans="1:8" ht="18.75" thickBot="1">
      <c r="B2433" s="26" t="s">
        <v>5078</v>
      </c>
      <c r="D2433" s="278">
        <f>F2374</f>
        <v>1.3340000000000001</v>
      </c>
      <c r="E2433" s="26" t="s">
        <v>3041</v>
      </c>
      <c r="F2433" s="171" t="s">
        <v>1698</v>
      </c>
      <c r="G2433" s="205">
        <f>SUM(G2428:G2432)</f>
        <v>100827.82720620417</v>
      </c>
    </row>
    <row r="2434" spans="1:8" ht="18.75" thickBot="1">
      <c r="D2434" s="694" t="s">
        <v>3884</v>
      </c>
      <c r="E2434" s="695" t="s">
        <v>3041</v>
      </c>
      <c r="F2434" s="696" t="s">
        <v>1698</v>
      </c>
      <c r="G2434" s="715">
        <f>ROUND(G2433/D2433,1)</f>
        <v>75583.100000000006</v>
      </c>
    </row>
    <row r="2435" spans="1:8">
      <c r="B2435" s="33"/>
      <c r="C2435" s="31"/>
      <c r="D2435" s="31"/>
      <c r="E2435" s="31"/>
      <c r="F2435" s="691"/>
      <c r="G2435" s="732"/>
      <c r="H2435" s="31"/>
    </row>
    <row r="2436" spans="1:8" ht="72">
      <c r="A2436" s="847" t="s">
        <v>9755</v>
      </c>
      <c r="B2436" s="26" t="s">
        <v>9521</v>
      </c>
    </row>
    <row r="2437" spans="1:8">
      <c r="B2437" s="806" t="s">
        <v>9497</v>
      </c>
    </row>
    <row r="2438" spans="1:8">
      <c r="B2438" s="806" t="s">
        <v>9498</v>
      </c>
    </row>
    <row r="2439" spans="1:8">
      <c r="B2439" s="26" t="s">
        <v>9522</v>
      </c>
    </row>
    <row r="2440" spans="1:8">
      <c r="B2440" s="26" t="s">
        <v>9523</v>
      </c>
    </row>
    <row r="2441" spans="1:8">
      <c r="B2441" s="26" t="s">
        <v>9524</v>
      </c>
      <c r="E2441" s="322"/>
    </row>
    <row r="2442" spans="1:8">
      <c r="B2442" s="26"/>
      <c r="E2442" s="322"/>
    </row>
    <row r="2443" spans="1:8">
      <c r="B2443" s="170" t="s">
        <v>9503</v>
      </c>
      <c r="E2443" s="322"/>
    </row>
    <row r="2444" spans="1:8">
      <c r="B2444" s="170" t="s">
        <v>9504</v>
      </c>
      <c r="E2444" s="322"/>
    </row>
    <row r="2445" spans="1:8">
      <c r="B2445" s="170"/>
      <c r="E2445" s="322"/>
    </row>
    <row r="2446" spans="1:8" hidden="1">
      <c r="B2446" s="26" t="s">
        <v>2366</v>
      </c>
    </row>
    <row r="2447" spans="1:8" hidden="1">
      <c r="B2447" s="26" t="s">
        <v>5079</v>
      </c>
      <c r="C2447" s="68">
        <f>'BASIC DATA'!$D$373</f>
        <v>7800</v>
      </c>
      <c r="D2447" s="26" t="s">
        <v>2290</v>
      </c>
      <c r="E2447" s="315" t="s">
        <v>1698</v>
      </c>
      <c r="F2447" s="68">
        <f>C2447</f>
        <v>7800</v>
      </c>
    </row>
    <row r="2448" spans="1:8" hidden="1">
      <c r="B2448" s="26" t="s">
        <v>3231</v>
      </c>
      <c r="E2448" s="322" t="s">
        <v>1697</v>
      </c>
      <c r="F2448" s="316">
        <v>1000</v>
      </c>
      <c r="G2448" s="26" t="s">
        <v>4665</v>
      </c>
    </row>
    <row r="2449" spans="1:7" hidden="1">
      <c r="B2449" s="26" t="s">
        <v>3232</v>
      </c>
      <c r="C2449" s="26" t="s">
        <v>7593</v>
      </c>
      <c r="E2449" s="315" t="s">
        <v>1698</v>
      </c>
      <c r="F2449" s="68">
        <f>F2447/F2448</f>
        <v>7.8</v>
      </c>
    </row>
    <row r="2450" spans="1:7" hidden="1">
      <c r="B2450" s="26" t="s">
        <v>2056</v>
      </c>
      <c r="C2450" s="68">
        <f>'BASIC DATA'!$D$371</f>
        <v>14500</v>
      </c>
      <c r="D2450" s="26" t="s">
        <v>2290</v>
      </c>
      <c r="E2450" s="315" t="s">
        <v>1698</v>
      </c>
      <c r="F2450" s="68">
        <f>C2450</f>
        <v>14500</v>
      </c>
    </row>
    <row r="2451" spans="1:7" hidden="1">
      <c r="B2451" s="26" t="s">
        <v>5868</v>
      </c>
      <c r="E2451" s="322" t="s">
        <v>1697</v>
      </c>
      <c r="F2451" s="316">
        <v>600</v>
      </c>
      <c r="G2451" s="26" t="s">
        <v>4665</v>
      </c>
    </row>
    <row r="2452" spans="1:7" hidden="1">
      <c r="B2452" s="26" t="s">
        <v>3234</v>
      </c>
      <c r="C2452" s="26" t="s">
        <v>7593</v>
      </c>
      <c r="E2452" s="315" t="s">
        <v>1698</v>
      </c>
      <c r="F2452" s="68">
        <f>F2450/F2451</f>
        <v>24.166666666666668</v>
      </c>
    </row>
    <row r="2453" spans="1:7">
      <c r="B2453" s="26"/>
      <c r="E2453" s="315"/>
      <c r="F2453" s="68" t="s">
        <v>9525</v>
      </c>
    </row>
    <row r="2454" spans="1:7"/>
    <row r="2455" spans="1:7">
      <c r="A2455" s="865" t="s">
        <v>3984</v>
      </c>
      <c r="C2455" s="203" t="s">
        <v>2367</v>
      </c>
      <c r="E2455" s="171" t="s">
        <v>297</v>
      </c>
      <c r="F2455" s="692">
        <v>0.161</v>
      </c>
      <c r="G2455" s="26" t="s">
        <v>3480</v>
      </c>
    </row>
    <row r="2456" spans="1:7">
      <c r="B2456" s="79" t="s">
        <v>2368</v>
      </c>
      <c r="F2456" s="316"/>
    </row>
    <row r="2457" spans="1:7">
      <c r="B2457" s="95" t="s">
        <v>2369</v>
      </c>
      <c r="C2457" s="157" t="s">
        <v>6374</v>
      </c>
      <c r="D2457" s="95" t="s">
        <v>2370</v>
      </c>
      <c r="E2457" s="95" t="s">
        <v>1166</v>
      </c>
      <c r="F2457" s="95" t="s">
        <v>2371</v>
      </c>
      <c r="G2457" s="95" t="s">
        <v>2372</v>
      </c>
    </row>
    <row r="2458" spans="1:7">
      <c r="B2458" s="114"/>
      <c r="C2458" s="154"/>
      <c r="D2458" s="114"/>
      <c r="E2458" s="114"/>
      <c r="F2458" s="114" t="s">
        <v>3485</v>
      </c>
      <c r="G2458" s="114" t="s">
        <v>3485</v>
      </c>
    </row>
    <row r="2459" spans="1:7">
      <c r="B2459" s="36">
        <v>1</v>
      </c>
      <c r="C2459" s="76" t="s">
        <v>6390</v>
      </c>
      <c r="D2459" s="451" t="s">
        <v>3478</v>
      </c>
      <c r="E2459" s="190">
        <v>63.72</v>
      </c>
      <c r="F2459" s="214">
        <f>'BASIC DATA'!$D$97/1000</f>
        <v>37.5</v>
      </c>
      <c r="G2459" s="190">
        <f>E2459*F2459</f>
        <v>2389.5</v>
      </c>
    </row>
    <row r="2460" spans="1:7">
      <c r="B2460" s="36">
        <v>2</v>
      </c>
      <c r="C2460" s="76" t="s">
        <v>3162</v>
      </c>
      <c r="D2460" s="319" t="s">
        <v>3478</v>
      </c>
      <c r="E2460" s="190">
        <v>96.5</v>
      </c>
      <c r="F2460" s="214">
        <f>'BASIC DATA'!$D$98/1000</f>
        <v>37.4</v>
      </c>
      <c r="G2460" s="190">
        <f>E2460*F2460</f>
        <v>3609.1</v>
      </c>
    </row>
    <row r="2461" spans="1:7">
      <c r="B2461" s="36">
        <v>3</v>
      </c>
      <c r="C2461" s="76" t="s">
        <v>9526</v>
      </c>
      <c r="D2461" s="319" t="s">
        <v>3478</v>
      </c>
      <c r="E2461" s="190">
        <v>20</v>
      </c>
      <c r="F2461" s="214">
        <f>'BASIC DATA'!$D$161</f>
        <v>140</v>
      </c>
      <c r="G2461" s="190">
        <f>E2461*F2461</f>
        <v>2800</v>
      </c>
    </row>
    <row r="2462" spans="1:7">
      <c r="B2462" s="36"/>
      <c r="C2462" s="76" t="s">
        <v>9527</v>
      </c>
      <c r="D2462" s="319"/>
      <c r="E2462" s="190"/>
      <c r="F2462" s="214"/>
      <c r="G2462" s="190"/>
    </row>
    <row r="2463" spans="1:7">
      <c r="B2463" s="36">
        <v>4</v>
      </c>
      <c r="C2463" s="76" t="s">
        <v>9528</v>
      </c>
      <c r="D2463" s="319" t="s">
        <v>3483</v>
      </c>
      <c r="E2463" s="190">
        <v>0.82</v>
      </c>
      <c r="F2463" s="214">
        <f>'BASIC DATA'!$D$174</f>
        <v>780</v>
      </c>
      <c r="G2463" s="190">
        <f>E2463*F2463</f>
        <v>639.59999999999991</v>
      </c>
    </row>
    <row r="2464" spans="1:7">
      <c r="B2464" s="36">
        <v>5</v>
      </c>
      <c r="C2464" s="101" t="s">
        <v>9671</v>
      </c>
      <c r="D2464" s="452" t="s">
        <v>3483</v>
      </c>
      <c r="E2464" s="255">
        <v>1.75</v>
      </c>
      <c r="F2464" s="266">
        <f>'BASIC DATA'!$D$176</f>
        <v>1210</v>
      </c>
      <c r="G2464" s="255">
        <f>E2464*F2464</f>
        <v>2117.5</v>
      </c>
    </row>
    <row r="2465" spans="2:7">
      <c r="B2465" s="36">
        <v>6</v>
      </c>
      <c r="C2465" s="76" t="s">
        <v>958</v>
      </c>
      <c r="D2465" s="319" t="s">
        <v>3477</v>
      </c>
      <c r="E2465" s="190">
        <v>15</v>
      </c>
      <c r="F2465" s="214">
        <f>'BASIC DATA'!$D$87</f>
        <v>42</v>
      </c>
      <c r="G2465" s="190">
        <f t="shared" ref="G2465:G2470" si="51">E2465*F2465</f>
        <v>630</v>
      </c>
    </row>
    <row r="2466" spans="2:7">
      <c r="B2466" s="36">
        <v>7</v>
      </c>
      <c r="C2466" s="76" t="s">
        <v>6815</v>
      </c>
      <c r="D2466" s="319" t="s">
        <v>3477</v>
      </c>
      <c r="E2466" s="190">
        <v>5</v>
      </c>
      <c r="F2466" s="214">
        <f>'BASIC DATA'!$D$28</f>
        <v>335</v>
      </c>
      <c r="G2466" s="190">
        <f t="shared" si="51"/>
        <v>1675</v>
      </c>
    </row>
    <row r="2467" spans="2:7">
      <c r="B2467" s="36">
        <v>8</v>
      </c>
      <c r="C2467" s="76" t="s">
        <v>6816</v>
      </c>
      <c r="D2467" s="319" t="s">
        <v>2059</v>
      </c>
      <c r="E2467" s="190">
        <v>110</v>
      </c>
      <c r="F2467" s="214">
        <f>'BASIC DATA'!$D$110</f>
        <v>13</v>
      </c>
      <c r="G2467" s="190">
        <f t="shared" si="51"/>
        <v>1430</v>
      </c>
    </row>
    <row r="2468" spans="2:7">
      <c r="B2468" s="36">
        <v>9</v>
      </c>
      <c r="C2468" s="76" t="s">
        <v>6556</v>
      </c>
      <c r="D2468" s="319" t="s">
        <v>2374</v>
      </c>
      <c r="E2468" s="190">
        <v>30</v>
      </c>
      <c r="F2468" s="214">
        <f>F2449</f>
        <v>7.8</v>
      </c>
      <c r="G2468" s="190">
        <f t="shared" si="51"/>
        <v>234</v>
      </c>
    </row>
    <row r="2469" spans="2:7">
      <c r="B2469" s="36">
        <v>10</v>
      </c>
      <c r="C2469" s="76" t="s">
        <v>6557</v>
      </c>
      <c r="D2469" s="319" t="s">
        <v>2374</v>
      </c>
      <c r="E2469" s="190">
        <v>12</v>
      </c>
      <c r="F2469" s="214">
        <f>F2452</f>
        <v>24.166666666666668</v>
      </c>
      <c r="G2469" s="190">
        <f t="shared" si="51"/>
        <v>290</v>
      </c>
    </row>
    <row r="2470" spans="2:7">
      <c r="B2470" s="36">
        <v>11</v>
      </c>
      <c r="C2470" s="76" t="s">
        <v>2373</v>
      </c>
      <c r="D2470" s="319" t="s">
        <v>2173</v>
      </c>
      <c r="E2470" s="190">
        <v>3</v>
      </c>
      <c r="F2470" s="214">
        <f>'BASIC DATA'!$D$359</f>
        <v>30</v>
      </c>
      <c r="G2470" s="190">
        <f t="shared" si="51"/>
        <v>90</v>
      </c>
    </row>
    <row r="2471" spans="2:7">
      <c r="B2471" s="92"/>
      <c r="C2471" s="193"/>
      <c r="D2471" s="151" t="s">
        <v>2376</v>
      </c>
      <c r="E2471" s="160"/>
      <c r="F2471" s="236" t="s">
        <v>1698</v>
      </c>
      <c r="G2471" s="318">
        <f>SUM(G2459:G2470)</f>
        <v>15904.7</v>
      </c>
    </row>
    <row r="2472" spans="2:7"/>
    <row r="2473" spans="2:7">
      <c r="B2473" s="79" t="s">
        <v>2377</v>
      </c>
    </row>
    <row r="2474" spans="2:7">
      <c r="B2474" s="95" t="s">
        <v>2369</v>
      </c>
      <c r="C2474" s="157" t="s">
        <v>2378</v>
      </c>
      <c r="D2474" s="95" t="s">
        <v>2370</v>
      </c>
      <c r="E2474" s="95" t="s">
        <v>1166</v>
      </c>
      <c r="F2474" s="95" t="s">
        <v>2371</v>
      </c>
      <c r="G2474" s="95" t="s">
        <v>2372</v>
      </c>
    </row>
    <row r="2475" spans="2:7">
      <c r="B2475" s="114"/>
      <c r="C2475" s="154"/>
      <c r="D2475" s="114"/>
      <c r="E2475" s="114"/>
      <c r="F2475" s="114" t="s">
        <v>3485</v>
      </c>
      <c r="G2475" s="114" t="s">
        <v>3485</v>
      </c>
    </row>
    <row r="2476" spans="2:7">
      <c r="B2476" s="95">
        <v>1</v>
      </c>
      <c r="C2476" s="135" t="s">
        <v>6558</v>
      </c>
      <c r="D2476" s="451" t="s">
        <v>2374</v>
      </c>
      <c r="E2476" s="190">
        <v>14</v>
      </c>
      <c r="F2476" s="190">
        <f>'HIRE CHARGES'!$D$556</f>
        <v>16</v>
      </c>
      <c r="G2476" s="190">
        <f>E2476*F2476</f>
        <v>224</v>
      </c>
    </row>
    <row r="2477" spans="2:7">
      <c r="B2477" s="105"/>
      <c r="C2477" s="135" t="s">
        <v>2379</v>
      </c>
      <c r="D2477" s="319" t="s">
        <v>2374</v>
      </c>
      <c r="E2477" s="190">
        <v>14</v>
      </c>
      <c r="F2477" s="190">
        <f>'HIRE CHARGES'!$E$556</f>
        <v>67.2</v>
      </c>
      <c r="G2477" s="190">
        <f t="shared" ref="G2477:G2484" si="52">E2477*F2477</f>
        <v>940.80000000000007</v>
      </c>
    </row>
    <row r="2478" spans="2:7">
      <c r="B2478" s="105">
        <v>2</v>
      </c>
      <c r="C2478" s="135" t="s">
        <v>6060</v>
      </c>
      <c r="D2478" s="319" t="s">
        <v>2374</v>
      </c>
      <c r="E2478" s="190">
        <v>4</v>
      </c>
      <c r="F2478" s="190">
        <f>'HIRE CHARGES'!$D$539</f>
        <v>6.4</v>
      </c>
      <c r="G2478" s="190">
        <f t="shared" si="52"/>
        <v>25.6</v>
      </c>
    </row>
    <row r="2479" spans="2:7">
      <c r="B2479" s="105"/>
      <c r="C2479" s="135" t="s">
        <v>2379</v>
      </c>
      <c r="D2479" s="319" t="s">
        <v>2374</v>
      </c>
      <c r="E2479" s="190">
        <v>4</v>
      </c>
      <c r="F2479" s="190">
        <f>'HIRE CHARGES'!$E$539</f>
        <v>2.8</v>
      </c>
      <c r="G2479" s="190">
        <f t="shared" si="52"/>
        <v>11.2</v>
      </c>
    </row>
    <row r="2480" spans="2:7">
      <c r="B2480" s="105">
        <v>3</v>
      </c>
      <c r="C2480" s="135" t="s">
        <v>6393</v>
      </c>
      <c r="D2480" s="319" t="s">
        <v>2374</v>
      </c>
      <c r="E2480" s="190">
        <v>2</v>
      </c>
      <c r="F2480" s="190">
        <f>'HIRE CHARGES'!$D$551</f>
        <v>22.5</v>
      </c>
      <c r="G2480" s="190">
        <f t="shared" si="52"/>
        <v>45</v>
      </c>
    </row>
    <row r="2481" spans="2:7">
      <c r="B2481" s="105"/>
      <c r="C2481" s="135" t="s">
        <v>2379</v>
      </c>
      <c r="D2481" s="319" t="s">
        <v>2374</v>
      </c>
      <c r="E2481" s="190">
        <v>2</v>
      </c>
      <c r="F2481" s="190">
        <f>'HIRE CHARGES'!$E$551</f>
        <v>28</v>
      </c>
      <c r="G2481" s="190">
        <f t="shared" si="52"/>
        <v>56</v>
      </c>
    </row>
    <row r="2482" spans="2:7">
      <c r="B2482" s="105">
        <v>4</v>
      </c>
      <c r="C2482" s="135" t="s">
        <v>6562</v>
      </c>
      <c r="D2482" s="319" t="s">
        <v>2374</v>
      </c>
      <c r="E2482" s="190">
        <v>4</v>
      </c>
      <c r="F2482" s="190">
        <f>'HIRE CHARGES'!$D$551</f>
        <v>22.5</v>
      </c>
      <c r="G2482" s="190">
        <f t="shared" si="52"/>
        <v>90</v>
      </c>
    </row>
    <row r="2483" spans="2:7">
      <c r="B2483" s="105"/>
      <c r="C2483" s="135" t="s">
        <v>2379</v>
      </c>
      <c r="D2483" s="319" t="s">
        <v>2374</v>
      </c>
      <c r="E2483" s="190">
        <v>4</v>
      </c>
      <c r="F2483" s="190">
        <f>'HIRE CHARGES'!$E$551</f>
        <v>28</v>
      </c>
      <c r="G2483" s="190">
        <f t="shared" si="52"/>
        <v>112</v>
      </c>
    </row>
    <row r="2484" spans="2:7">
      <c r="B2484" s="114">
        <v>5</v>
      </c>
      <c r="C2484" s="135" t="s">
        <v>2373</v>
      </c>
      <c r="D2484" s="319" t="s">
        <v>2173</v>
      </c>
      <c r="E2484" s="190">
        <v>3</v>
      </c>
      <c r="F2484" s="214">
        <f>'BASIC DATA'!$D$359</f>
        <v>30</v>
      </c>
      <c r="G2484" s="190">
        <f t="shared" si="52"/>
        <v>90</v>
      </c>
    </row>
    <row r="2485" spans="2:7">
      <c r="B2485" s="176"/>
      <c r="C2485" s="193" t="s">
        <v>2380</v>
      </c>
      <c r="D2485" s="193"/>
      <c r="E2485" s="208"/>
      <c r="F2485" s="236" t="s">
        <v>1698</v>
      </c>
      <c r="G2485" s="318">
        <f>SUM(G2476:G2484)</f>
        <v>1594.6000000000001</v>
      </c>
    </row>
    <row r="2486" spans="2:7"/>
    <row r="2487" spans="2:7">
      <c r="B2487" s="79" t="s">
        <v>2381</v>
      </c>
    </row>
    <row r="2488" spans="2:7">
      <c r="B2488" s="95" t="s">
        <v>2369</v>
      </c>
      <c r="C2488" s="157" t="s">
        <v>2378</v>
      </c>
      <c r="D2488" s="95" t="s">
        <v>2370</v>
      </c>
      <c r="E2488" s="95" t="s">
        <v>1166</v>
      </c>
      <c r="F2488" s="95" t="s">
        <v>2371</v>
      </c>
      <c r="G2488" s="95" t="s">
        <v>2372</v>
      </c>
    </row>
    <row r="2489" spans="2:7">
      <c r="B2489" s="114"/>
      <c r="C2489" s="154"/>
      <c r="D2489" s="114"/>
      <c r="E2489" s="114"/>
      <c r="F2489" s="114" t="s">
        <v>3485</v>
      </c>
      <c r="G2489" s="114" t="s">
        <v>3485</v>
      </c>
    </row>
    <row r="2490" spans="2:7">
      <c r="B2490" s="105">
        <v>1</v>
      </c>
      <c r="C2490" s="76" t="s">
        <v>5545</v>
      </c>
      <c r="D2490" s="319" t="s">
        <v>2374</v>
      </c>
      <c r="E2490" s="207">
        <v>2</v>
      </c>
      <c r="F2490" s="190">
        <f>'HIRE CHARGES'!$F$551</f>
        <v>198.9</v>
      </c>
      <c r="G2490" s="190">
        <f t="shared" ref="G2490:G2497" si="53">E2490*F2490</f>
        <v>397.8</v>
      </c>
    </row>
    <row r="2491" spans="2:7">
      <c r="B2491" s="105">
        <v>2</v>
      </c>
      <c r="C2491" s="76" t="s">
        <v>5546</v>
      </c>
      <c r="D2491" s="319" t="s">
        <v>2374</v>
      </c>
      <c r="E2491" s="207">
        <v>4</v>
      </c>
      <c r="F2491" s="190">
        <f>'HIRE CHARGES'!$F$551</f>
        <v>198.9</v>
      </c>
      <c r="G2491" s="190">
        <f t="shared" si="53"/>
        <v>795.6</v>
      </c>
    </row>
    <row r="2492" spans="2:7">
      <c r="B2492" s="105">
        <v>3</v>
      </c>
      <c r="C2492" s="76" t="s">
        <v>2468</v>
      </c>
      <c r="D2492" s="319" t="s">
        <v>1172</v>
      </c>
      <c r="E2492" s="207">
        <v>2</v>
      </c>
      <c r="F2492" s="190">
        <f>'BASIC DATA'!$C$471</f>
        <v>510</v>
      </c>
      <c r="G2492" s="190">
        <f t="shared" si="53"/>
        <v>1020</v>
      </c>
    </row>
    <row r="2493" spans="2:7">
      <c r="B2493" s="105">
        <v>4</v>
      </c>
      <c r="C2493" s="76" t="s">
        <v>5547</v>
      </c>
      <c r="D2493" s="319" t="s">
        <v>1172</v>
      </c>
      <c r="E2493" s="207">
        <v>3</v>
      </c>
      <c r="F2493" s="190">
        <f>'BASIC DATA'!$C$503</f>
        <v>550</v>
      </c>
      <c r="G2493" s="190">
        <f t="shared" si="53"/>
        <v>1650</v>
      </c>
    </row>
    <row r="2494" spans="2:7">
      <c r="B2494" s="105">
        <v>5</v>
      </c>
      <c r="C2494" s="76" t="s">
        <v>3010</v>
      </c>
      <c r="D2494" s="319" t="s">
        <v>1172</v>
      </c>
      <c r="E2494" s="207">
        <v>1</v>
      </c>
      <c r="F2494" s="190">
        <f>'BASIC DATA'!$C$504</f>
        <v>445</v>
      </c>
      <c r="G2494" s="190">
        <f t="shared" si="53"/>
        <v>445</v>
      </c>
    </row>
    <row r="2495" spans="2:7">
      <c r="B2495" s="105">
        <v>6</v>
      </c>
      <c r="C2495" s="76" t="s">
        <v>3013</v>
      </c>
      <c r="D2495" s="319" t="s">
        <v>1172</v>
      </c>
      <c r="E2495" s="207">
        <v>4</v>
      </c>
      <c r="F2495" s="190">
        <f>'BASIC DATA'!$C$504</f>
        <v>445</v>
      </c>
      <c r="G2495" s="190">
        <f t="shared" si="53"/>
        <v>1780</v>
      </c>
    </row>
    <row r="2496" spans="2:7">
      <c r="B2496" s="105">
        <v>7</v>
      </c>
      <c r="C2496" s="76" t="s">
        <v>3121</v>
      </c>
      <c r="D2496" s="319" t="s">
        <v>1172</v>
      </c>
      <c r="E2496" s="207">
        <v>4</v>
      </c>
      <c r="F2496" s="190">
        <f>'BASIC DATA'!$C$552</f>
        <v>350</v>
      </c>
      <c r="G2496" s="190">
        <f t="shared" si="53"/>
        <v>1400</v>
      </c>
    </row>
    <row r="2497" spans="2:7">
      <c r="B2497" s="105">
        <v>8</v>
      </c>
      <c r="C2497" s="76" t="s">
        <v>3011</v>
      </c>
      <c r="D2497" s="319" t="s">
        <v>1172</v>
      </c>
      <c r="E2497" s="207">
        <v>6</v>
      </c>
      <c r="F2497" s="190">
        <f>'BASIC DATA'!$C$529</f>
        <v>400</v>
      </c>
      <c r="G2497" s="190">
        <f t="shared" si="53"/>
        <v>2400</v>
      </c>
    </row>
    <row r="2498" spans="2:7">
      <c r="B2498" s="92"/>
      <c r="C2498" s="193"/>
      <c r="D2498" s="151" t="s">
        <v>1174</v>
      </c>
      <c r="E2498" s="160"/>
      <c r="F2498" s="236" t="s">
        <v>1698</v>
      </c>
      <c r="G2498" s="318">
        <f>SUM(G2490:G2497)</f>
        <v>9888.4</v>
      </c>
    </row>
    <row r="2499" spans="2:7">
      <c r="B2499" s="60" t="s">
        <v>5948</v>
      </c>
      <c r="C2499" s="31"/>
      <c r="D2499" s="31"/>
      <c r="E2499" s="85">
        <f>G2498</f>
        <v>9888.4</v>
      </c>
    </row>
    <row r="2500" spans="2:7">
      <c r="B2500" s="60" t="s">
        <v>3163</v>
      </c>
      <c r="C2500" s="31"/>
      <c r="D2500" s="922">
        <f>'BASIC DATA'!$C$577</f>
        <v>0.13614999999999999</v>
      </c>
      <c r="E2500" s="85">
        <f>ROUND(E2499*D2500,1)</f>
        <v>1346.3</v>
      </c>
    </row>
    <row r="2501" spans="2:7">
      <c r="B2501" s="60" t="s">
        <v>5949</v>
      </c>
      <c r="C2501" s="31"/>
      <c r="D2501" s="31"/>
      <c r="E2501" s="199">
        <f>E2500+E2499</f>
        <v>11234.699999999999</v>
      </c>
    </row>
    <row r="2502" spans="2:7">
      <c r="B2502" s="26"/>
    </row>
    <row r="2503" spans="2:7">
      <c r="B2503" s="170" t="s">
        <v>1175</v>
      </c>
    </row>
    <row r="2504" spans="2:7">
      <c r="B2504" s="26" t="s">
        <v>1176</v>
      </c>
      <c r="F2504" s="171" t="s">
        <v>1698</v>
      </c>
      <c r="G2504" s="68">
        <f>G2471</f>
        <v>15904.7</v>
      </c>
    </row>
    <row r="2505" spans="2:7">
      <c r="B2505" s="26" t="s">
        <v>1186</v>
      </c>
      <c r="F2505" s="171" t="s">
        <v>1698</v>
      </c>
      <c r="G2505" s="68">
        <f>G2485</f>
        <v>1594.6000000000001</v>
      </c>
    </row>
    <row r="2506" spans="2:7">
      <c r="B2506" s="26" t="s">
        <v>2660</v>
      </c>
      <c r="F2506" s="171" t="s">
        <v>1698</v>
      </c>
      <c r="G2506" s="75">
        <f>G2498</f>
        <v>9888.4</v>
      </c>
    </row>
    <row r="2507" spans="2:7">
      <c r="B2507" s="26"/>
      <c r="E2507" s="171" t="s">
        <v>5551</v>
      </c>
      <c r="F2507" s="171" t="s">
        <v>1698</v>
      </c>
      <c r="G2507" s="205">
        <f>SUM(G2504:G2506)</f>
        <v>27387.699999999997</v>
      </c>
    </row>
    <row r="2508" spans="2:7">
      <c r="B2508" s="26" t="s">
        <v>5087</v>
      </c>
      <c r="E2508" s="693">
        <f>'BASIC DATA'!$C$593</f>
        <v>0</v>
      </c>
      <c r="F2508" s="171" t="s">
        <v>1698</v>
      </c>
      <c r="G2508" s="68">
        <f>(G2506+G2505)*E2508*0.75</f>
        <v>0</v>
      </c>
    </row>
    <row r="2509" spans="2:7">
      <c r="B2509" s="26" t="s">
        <v>5084</v>
      </c>
      <c r="E2509" s="171" t="s">
        <v>1518</v>
      </c>
      <c r="F2509" s="171" t="s">
        <v>1698</v>
      </c>
      <c r="G2509" s="205">
        <f>G2508+G2507</f>
        <v>27387.699999999997</v>
      </c>
    </row>
    <row r="2510" spans="2:7">
      <c r="B2510" s="26" t="s">
        <v>5086</v>
      </c>
      <c r="E2510" s="201">
        <f>'BASIC DATA'!$C$594</f>
        <v>0.03</v>
      </c>
      <c r="F2510" s="171" t="s">
        <v>1698</v>
      </c>
      <c r="G2510" s="75">
        <f>G2509*E2510</f>
        <v>821.63099999999986</v>
      </c>
    </row>
    <row r="2511" spans="2:7">
      <c r="B2511" s="26"/>
      <c r="E2511" s="26" t="s">
        <v>2392</v>
      </c>
      <c r="F2511" s="171" t="s">
        <v>1698</v>
      </c>
      <c r="G2511" s="75">
        <f>G2510+G2509</f>
        <v>28209.330999999998</v>
      </c>
    </row>
    <row r="2512" spans="2:7" ht="39" customHeight="1">
      <c r="B2512" s="1207" t="s">
        <v>4717</v>
      </c>
      <c r="C2512" s="1207"/>
      <c r="D2512" s="922">
        <f>'BASIC DATA'!$C$577</f>
        <v>0.13614999999999999</v>
      </c>
      <c r="F2512" s="171" t="s">
        <v>1698</v>
      </c>
      <c r="G2512" s="75">
        <f>G2511*D2512</f>
        <v>3840.7004156499997</v>
      </c>
    </row>
    <row r="2513" spans="1:7">
      <c r="B2513" s="26" t="s">
        <v>898</v>
      </c>
    </row>
    <row r="2514" spans="1:7">
      <c r="B2514" s="47" t="s">
        <v>897</v>
      </c>
      <c r="D2514" s="48"/>
      <c r="E2514" s="68">
        <f>leadcharges!$F$65</f>
        <v>19</v>
      </c>
      <c r="F2514" s="27" t="s">
        <v>1279</v>
      </c>
      <c r="G2514" s="76">
        <f>2*ROUND(E2514*F2455,3)</f>
        <v>6.1180000000000003</v>
      </c>
    </row>
    <row r="2515" spans="1:7">
      <c r="B2515" s="47" t="s">
        <v>896</v>
      </c>
      <c r="D2515" s="48"/>
      <c r="E2515" s="68">
        <f>leadcharges!$G$79</f>
        <v>74.8</v>
      </c>
      <c r="F2515" s="27" t="s">
        <v>1279</v>
      </c>
      <c r="G2515" s="76">
        <f>2*ROUND(E2515*F2455,3)</f>
        <v>24.085999999999999</v>
      </c>
    </row>
    <row r="2516" spans="1:7" ht="18.75" thickBot="1">
      <c r="B2516" s="26" t="s">
        <v>5078</v>
      </c>
      <c r="D2516" s="278">
        <f>F2455</f>
        <v>0.161</v>
      </c>
      <c r="E2516" s="26" t="s">
        <v>3041</v>
      </c>
      <c r="F2516" s="171" t="s">
        <v>1698</v>
      </c>
      <c r="G2516" s="205">
        <f>SUM(G2511:G2515)</f>
        <v>32080.235415649997</v>
      </c>
    </row>
    <row r="2517" spans="1:7" ht="18.75" thickBot="1">
      <c r="D2517" s="694" t="s">
        <v>3884</v>
      </c>
      <c r="E2517" s="695" t="s">
        <v>3041</v>
      </c>
      <c r="F2517" s="696" t="s">
        <v>1698</v>
      </c>
      <c r="G2517" s="715">
        <f>ROUND(G2516/D2516,1)</f>
        <v>199256.1</v>
      </c>
    </row>
    <row r="2518" spans="1:7">
      <c r="B2518" s="26"/>
      <c r="C2518" s="78"/>
    </row>
    <row r="2519" spans="1:7">
      <c r="B2519" s="26"/>
      <c r="C2519" s="78"/>
    </row>
    <row r="2520" spans="1:7">
      <c r="B2520" s="26"/>
      <c r="C2520" s="78"/>
    </row>
    <row r="2521" spans="1:7">
      <c r="A2521" s="822" t="s">
        <v>7177</v>
      </c>
      <c r="B2521" s="170" t="s">
        <v>1672</v>
      </c>
    </row>
    <row r="2522" spans="1:7">
      <c r="A2522" s="823"/>
    </row>
    <row r="2523" spans="1:7">
      <c r="A2523" s="822" t="s">
        <v>7178</v>
      </c>
      <c r="B2523" s="26" t="s">
        <v>9063</v>
      </c>
    </row>
    <row r="2524" spans="1:7">
      <c r="B2524" s="26" t="s">
        <v>9064</v>
      </c>
    </row>
    <row r="2525" spans="1:7">
      <c r="B2525" s="26" t="s">
        <v>9065</v>
      </c>
    </row>
    <row r="2526" spans="1:7" hidden="1">
      <c r="A2526" s="865" t="s">
        <v>3984</v>
      </c>
      <c r="B2526" s="26" t="s">
        <v>1673</v>
      </c>
    </row>
    <row r="2527" spans="1:7" hidden="1">
      <c r="A2527" s="865">
        <v>1</v>
      </c>
      <c r="B2527" s="26" t="s">
        <v>4302</v>
      </c>
    </row>
    <row r="2528" spans="1:7" hidden="1">
      <c r="B2528" s="26" t="s">
        <v>5204</v>
      </c>
    </row>
    <row r="2529" spans="1:7" hidden="1">
      <c r="B2529" s="26" t="s">
        <v>26</v>
      </c>
    </row>
    <row r="2530" spans="1:7" hidden="1">
      <c r="B2530" s="26" t="s">
        <v>27</v>
      </c>
    </row>
    <row r="2531" spans="1:7" hidden="1">
      <c r="B2531" s="26" t="s">
        <v>28</v>
      </c>
      <c r="E2531" s="78" t="s">
        <v>1697</v>
      </c>
      <c r="F2531" s="27">
        <v>150</v>
      </c>
      <c r="G2531" s="26" t="s">
        <v>3479</v>
      </c>
    </row>
    <row r="2532" spans="1:7" hidden="1">
      <c r="B2532" s="26" t="s">
        <v>29</v>
      </c>
      <c r="E2532" s="78" t="s">
        <v>1697</v>
      </c>
      <c r="F2532" s="117">
        <v>15</v>
      </c>
      <c r="G2532" s="26" t="s">
        <v>3477</v>
      </c>
    </row>
    <row r="2533" spans="1:7" hidden="1">
      <c r="B2533" s="26" t="s">
        <v>6426</v>
      </c>
      <c r="E2533" s="78" t="s">
        <v>1697</v>
      </c>
      <c r="F2533" s="117">
        <v>30</v>
      </c>
      <c r="G2533" s="26" t="s">
        <v>3477</v>
      </c>
    </row>
    <row r="2534" spans="1:7" hidden="1">
      <c r="A2534" s="865">
        <v>2</v>
      </c>
      <c r="B2534" s="26" t="s">
        <v>6427</v>
      </c>
      <c r="F2534" s="27"/>
    </row>
    <row r="2535" spans="1:7" hidden="1">
      <c r="B2535" s="26" t="s">
        <v>3361</v>
      </c>
      <c r="E2535" s="78" t="s">
        <v>1697</v>
      </c>
      <c r="F2535" s="27" t="s">
        <v>4933</v>
      </c>
      <c r="G2535" s="26" t="s">
        <v>3479</v>
      </c>
    </row>
    <row r="2536" spans="1:7" hidden="1">
      <c r="B2536" s="26" t="s">
        <v>100</v>
      </c>
      <c r="F2536" s="27"/>
    </row>
    <row r="2537" spans="1:7" hidden="1">
      <c r="B2537" s="26" t="s">
        <v>3415</v>
      </c>
      <c r="E2537" s="78" t="s">
        <v>1697</v>
      </c>
      <c r="F2537" s="27">
        <v>8</v>
      </c>
      <c r="G2537" s="26" t="s">
        <v>4665</v>
      </c>
    </row>
    <row r="2538" spans="1:7" hidden="1">
      <c r="B2538" s="26" t="s">
        <v>3416</v>
      </c>
      <c r="E2538" s="78" t="s">
        <v>1697</v>
      </c>
      <c r="F2538" s="27">
        <v>8</v>
      </c>
      <c r="G2538" s="26" t="s">
        <v>4665</v>
      </c>
    </row>
    <row r="2539" spans="1:7" hidden="1">
      <c r="B2539" s="26" t="s">
        <v>5815</v>
      </c>
      <c r="F2539" s="27"/>
    </row>
    <row r="2540" spans="1:7" hidden="1">
      <c r="B2540" s="26" t="s">
        <v>637</v>
      </c>
      <c r="F2540" s="27"/>
    </row>
    <row r="2541" spans="1:7" hidden="1">
      <c r="B2541" s="26" t="s">
        <v>3417</v>
      </c>
      <c r="E2541" s="78" t="s">
        <v>1697</v>
      </c>
      <c r="F2541" s="27">
        <v>6</v>
      </c>
      <c r="G2541" s="26" t="s">
        <v>4041</v>
      </c>
    </row>
    <row r="2542" spans="1:7" hidden="1">
      <c r="B2542" s="26" t="s">
        <v>3966</v>
      </c>
      <c r="E2542" s="78" t="s">
        <v>1697</v>
      </c>
      <c r="F2542" s="27">
        <v>2</v>
      </c>
      <c r="G2542" s="26" t="s">
        <v>4041</v>
      </c>
    </row>
    <row r="2543" spans="1:7" hidden="1">
      <c r="B2543" s="26" t="s">
        <v>3967</v>
      </c>
      <c r="E2543" s="78" t="s">
        <v>1697</v>
      </c>
      <c r="F2543" s="27">
        <v>1</v>
      </c>
      <c r="G2543" s="26" t="s">
        <v>4089</v>
      </c>
    </row>
    <row r="2544" spans="1:7" hidden="1">
      <c r="B2544" s="26" t="s">
        <v>637</v>
      </c>
      <c r="F2544" s="27"/>
    </row>
    <row r="2545" spans="1:7" hidden="1">
      <c r="B2545" s="26" t="s">
        <v>3417</v>
      </c>
      <c r="E2545" s="78" t="s">
        <v>1697</v>
      </c>
      <c r="F2545" s="27">
        <v>4</v>
      </c>
      <c r="G2545" s="26" t="s">
        <v>4041</v>
      </c>
    </row>
    <row r="2546" spans="1:7" hidden="1">
      <c r="B2546" s="26" t="s">
        <v>394</v>
      </c>
      <c r="E2546" s="78" t="s">
        <v>1697</v>
      </c>
      <c r="F2546" s="27">
        <v>2</v>
      </c>
      <c r="G2546" s="26" t="s">
        <v>4041</v>
      </c>
    </row>
    <row r="2547" spans="1:7" hidden="1">
      <c r="A2547" s="865">
        <v>3</v>
      </c>
      <c r="B2547" s="26" t="s">
        <v>2366</v>
      </c>
    </row>
    <row r="2548" spans="1:7" hidden="1">
      <c r="B2548" s="26" t="s">
        <v>395</v>
      </c>
      <c r="C2548" s="68">
        <f>'BASIC DATA'!D345</f>
        <v>300</v>
      </c>
      <c r="D2548" s="26" t="s">
        <v>2618</v>
      </c>
      <c r="E2548" s="78" t="s">
        <v>1698</v>
      </c>
      <c r="F2548" s="117">
        <f>C2548*50</f>
        <v>15000</v>
      </c>
    </row>
    <row r="2549" spans="1:7" hidden="1">
      <c r="B2549" s="26" t="s">
        <v>5152</v>
      </c>
      <c r="C2549" s="68"/>
      <c r="E2549" s="78" t="s">
        <v>1697</v>
      </c>
      <c r="F2549" s="576">
        <v>800</v>
      </c>
      <c r="G2549" s="26" t="s">
        <v>4665</v>
      </c>
    </row>
    <row r="2550" spans="1:7" hidden="1">
      <c r="B2550" s="26" t="s">
        <v>396</v>
      </c>
      <c r="C2550" s="26" t="s">
        <v>7593</v>
      </c>
      <c r="E2550" s="78" t="s">
        <v>1698</v>
      </c>
      <c r="F2550" s="117">
        <f>F2548/F2549</f>
        <v>18.75</v>
      </c>
    </row>
    <row r="2551" spans="1:7" hidden="1">
      <c r="B2551" s="26" t="s">
        <v>3907</v>
      </c>
      <c r="C2551" s="68">
        <f>'BASIC DATA'!D309</f>
        <v>700</v>
      </c>
      <c r="D2551" s="26" t="s">
        <v>2290</v>
      </c>
      <c r="E2551" s="78" t="s">
        <v>1698</v>
      </c>
      <c r="F2551" s="117">
        <f>C2551</f>
        <v>700</v>
      </c>
    </row>
    <row r="2552" spans="1:7" hidden="1">
      <c r="B2552" s="26" t="s">
        <v>3908</v>
      </c>
      <c r="E2552" s="78" t="s">
        <v>1697</v>
      </c>
      <c r="F2552" s="576">
        <v>200</v>
      </c>
      <c r="G2552" s="26" t="s">
        <v>4665</v>
      </c>
    </row>
    <row r="2553" spans="1:7" hidden="1">
      <c r="B2553" s="26" t="s">
        <v>3909</v>
      </c>
      <c r="C2553" s="26" t="s">
        <v>7593</v>
      </c>
      <c r="E2553" s="78" t="s">
        <v>1698</v>
      </c>
      <c r="F2553" s="117">
        <f>F2551/F2552</f>
        <v>3.5</v>
      </c>
    </row>
    <row r="2554" spans="1:7">
      <c r="B2554" s="26"/>
      <c r="F2554" s="27"/>
    </row>
    <row r="2555" spans="1:7">
      <c r="A2555" s="865" t="s">
        <v>3984</v>
      </c>
      <c r="C2555" s="203" t="s">
        <v>2367</v>
      </c>
      <c r="D2555" s="171"/>
      <c r="E2555" s="171" t="s">
        <v>297</v>
      </c>
      <c r="F2555" s="79">
        <v>100</v>
      </c>
      <c r="G2555" s="170" t="s">
        <v>3479</v>
      </c>
    </row>
    <row r="2556" spans="1:7">
      <c r="B2556" s="79" t="s">
        <v>2368</v>
      </c>
      <c r="G2556" s="27"/>
    </row>
    <row r="2557" spans="1:7">
      <c r="B2557" s="95" t="s">
        <v>2369</v>
      </c>
      <c r="C2557" s="157" t="s">
        <v>6374</v>
      </c>
      <c r="D2557" s="95" t="s">
        <v>2370</v>
      </c>
      <c r="E2557" s="95" t="s">
        <v>1166</v>
      </c>
      <c r="F2557" s="95" t="s">
        <v>2371</v>
      </c>
      <c r="G2557" s="95" t="s">
        <v>2372</v>
      </c>
    </row>
    <row r="2558" spans="1:7">
      <c r="B2558" s="114"/>
      <c r="C2558" s="154"/>
      <c r="D2558" s="114"/>
      <c r="E2558" s="114"/>
      <c r="F2558" s="114" t="s">
        <v>3485</v>
      </c>
      <c r="G2558" s="114" t="s">
        <v>3485</v>
      </c>
    </row>
    <row r="2559" spans="1:7" s="61" customFormat="1">
      <c r="A2559" s="855"/>
      <c r="B2559" s="240">
        <v>1</v>
      </c>
      <c r="C2559" s="326" t="s">
        <v>6827</v>
      </c>
      <c r="D2559" s="240" t="s">
        <v>3477</v>
      </c>
      <c r="E2559" s="255">
        <f>F2533</f>
        <v>30</v>
      </c>
      <c r="F2559" s="266">
        <f>'BASIC DATA'!D57</f>
        <v>165</v>
      </c>
      <c r="G2559" s="255">
        <f>F2559*E2559</f>
        <v>4950</v>
      </c>
    </row>
    <row r="2560" spans="1:7">
      <c r="B2560" s="105">
        <v>2</v>
      </c>
      <c r="C2560" s="135" t="s">
        <v>1404</v>
      </c>
      <c r="D2560" s="105" t="s">
        <v>2374</v>
      </c>
      <c r="E2560" s="190">
        <v>8</v>
      </c>
      <c r="F2560" s="214">
        <f>F2550</f>
        <v>18.75</v>
      </c>
      <c r="G2560" s="190">
        <f>F2560*E2560</f>
        <v>150</v>
      </c>
    </row>
    <row r="2561" spans="2:7" ht="18.75" thickBot="1">
      <c r="B2561" s="105">
        <v>3</v>
      </c>
      <c r="C2561" s="135" t="s">
        <v>1405</v>
      </c>
      <c r="D2561" s="105" t="s">
        <v>2374</v>
      </c>
      <c r="E2561" s="190">
        <v>8</v>
      </c>
      <c r="F2561" s="214">
        <f>F2553</f>
        <v>3.5</v>
      </c>
      <c r="G2561" s="190">
        <f>F2561*E2561</f>
        <v>28</v>
      </c>
    </row>
    <row r="2562" spans="2:7" ht="18.75" thickBot="1">
      <c r="B2562" s="741">
        <v>4</v>
      </c>
      <c r="C2562" s="742" t="s">
        <v>1406</v>
      </c>
      <c r="D2562" s="709" t="s">
        <v>2173</v>
      </c>
      <c r="E2562" s="743">
        <v>5</v>
      </c>
      <c r="F2562" s="465">
        <f>'BASIC DATA'!D359</f>
        <v>30</v>
      </c>
      <c r="G2562" s="207">
        <f>F2562*E2562</f>
        <v>150</v>
      </c>
    </row>
    <row r="2563" spans="2:7" ht="18.75" thickBot="1">
      <c r="B2563" s="744"/>
      <c r="C2563" s="745"/>
      <c r="D2563" s="746" t="s">
        <v>1518</v>
      </c>
      <c r="E2563" s="712"/>
      <c r="F2563" s="747"/>
      <c r="G2563" s="369">
        <f>SUM(G2559:G2562)</f>
        <v>5278</v>
      </c>
    </row>
    <row r="2564" spans="2:7">
      <c r="B2564" s="395"/>
      <c r="C2564" s="76" t="s">
        <v>5840</v>
      </c>
      <c r="D2564" s="31"/>
      <c r="E2564" s="33"/>
      <c r="F2564" s="207">
        <v>0.1</v>
      </c>
      <c r="G2564" s="179">
        <f>F2564*G2563</f>
        <v>527.80000000000007</v>
      </c>
    </row>
    <row r="2565" spans="2:7">
      <c r="B2565" s="92"/>
      <c r="C2565" s="159"/>
      <c r="D2565" s="159" t="s">
        <v>2376</v>
      </c>
      <c r="E2565" s="159"/>
      <c r="F2565" s="238"/>
      <c r="G2565" s="318">
        <f>G2564+G2563</f>
        <v>5805.8</v>
      </c>
    </row>
    <row r="2566" spans="2:7">
      <c r="B2566" s="79" t="s">
        <v>2377</v>
      </c>
    </row>
    <row r="2567" spans="2:7">
      <c r="B2567" s="95" t="s">
        <v>2369</v>
      </c>
      <c r="C2567" s="157" t="s">
        <v>2378</v>
      </c>
      <c r="D2567" s="95" t="s">
        <v>2370</v>
      </c>
      <c r="E2567" s="95" t="s">
        <v>1166</v>
      </c>
      <c r="F2567" s="95" t="s">
        <v>2371</v>
      </c>
      <c r="G2567" s="95" t="s">
        <v>2372</v>
      </c>
    </row>
    <row r="2568" spans="2:7">
      <c r="B2568" s="114"/>
      <c r="C2568" s="154"/>
      <c r="D2568" s="114"/>
      <c r="E2568" s="114"/>
      <c r="F2568" s="114" t="s">
        <v>3485</v>
      </c>
      <c r="G2568" s="114" t="s">
        <v>3485</v>
      </c>
    </row>
    <row r="2569" spans="2:7">
      <c r="B2569" s="95">
        <v>1</v>
      </c>
      <c r="C2569" s="135" t="s">
        <v>3171</v>
      </c>
      <c r="D2569" s="95" t="s">
        <v>2374</v>
      </c>
      <c r="E2569" s="190">
        <f>F2537</f>
        <v>8</v>
      </c>
      <c r="F2569" s="190">
        <f>'HIRE CHARGES'!D494</f>
        <v>241.3</v>
      </c>
      <c r="G2569" s="190">
        <f>F2569*E2569</f>
        <v>1930.4</v>
      </c>
    </row>
    <row r="2570" spans="2:7">
      <c r="B2570" s="280"/>
      <c r="C2570" s="135" t="s">
        <v>2379</v>
      </c>
      <c r="D2570" s="105" t="s">
        <v>2374</v>
      </c>
      <c r="E2570" s="190">
        <f>E2569</f>
        <v>8</v>
      </c>
      <c r="F2570" s="190">
        <f>'HIRE CHARGES'!E494</f>
        <v>714</v>
      </c>
      <c r="G2570" s="190">
        <f>F2570*E2570</f>
        <v>5712</v>
      </c>
    </row>
    <row r="2571" spans="2:7">
      <c r="B2571" s="105">
        <v>2</v>
      </c>
      <c r="C2571" s="135" t="s">
        <v>1407</v>
      </c>
      <c r="D2571" s="105" t="s">
        <v>2374</v>
      </c>
      <c r="E2571" s="190">
        <f>F2538</f>
        <v>8</v>
      </c>
      <c r="F2571" s="190">
        <f>'HIRE CHARGES'!D528</f>
        <v>110.1</v>
      </c>
      <c r="G2571" s="190">
        <f>F2571*E2571</f>
        <v>880.8</v>
      </c>
    </row>
    <row r="2572" spans="2:7">
      <c r="B2572" s="280"/>
      <c r="C2572" s="135" t="s">
        <v>2379</v>
      </c>
      <c r="D2572" s="105" t="s">
        <v>2374</v>
      </c>
      <c r="E2572" s="190">
        <f>E2571</f>
        <v>8</v>
      </c>
      <c r="F2572" s="190">
        <f>'HIRE CHARGES'!E528</f>
        <v>0</v>
      </c>
      <c r="G2572" s="190">
        <f>F2572*E2572</f>
        <v>0</v>
      </c>
    </row>
    <row r="2573" spans="2:7">
      <c r="B2573" s="176"/>
      <c r="C2573" s="174"/>
      <c r="D2573" s="174" t="s">
        <v>2380</v>
      </c>
      <c r="E2573" s="174"/>
      <c r="F2573" s="192"/>
      <c r="G2573" s="434">
        <f>SUM(G2569:G2572)</f>
        <v>8523.1999999999989</v>
      </c>
    </row>
    <row r="2574" spans="2:7">
      <c r="B2574" s="79" t="s">
        <v>2381</v>
      </c>
    </row>
    <row r="2575" spans="2:7">
      <c r="B2575" s="95" t="s">
        <v>2369</v>
      </c>
      <c r="C2575" s="157" t="s">
        <v>2378</v>
      </c>
      <c r="D2575" s="95" t="s">
        <v>2370</v>
      </c>
      <c r="E2575" s="95" t="s">
        <v>1166</v>
      </c>
      <c r="F2575" s="95" t="s">
        <v>2371</v>
      </c>
      <c r="G2575" s="95" t="s">
        <v>2372</v>
      </c>
    </row>
    <row r="2576" spans="2:7">
      <c r="B2576" s="114"/>
      <c r="C2576" s="154"/>
      <c r="D2576" s="105"/>
      <c r="E2576" s="114"/>
      <c r="F2576" s="114" t="s">
        <v>3485</v>
      </c>
      <c r="G2576" s="114" t="s">
        <v>3485</v>
      </c>
    </row>
    <row r="2577" spans="2:8" ht="18.75" thickBot="1">
      <c r="B2577" s="105">
        <v>1</v>
      </c>
      <c r="C2577" s="76" t="s">
        <v>4606</v>
      </c>
      <c r="D2577" s="95" t="s">
        <v>2374</v>
      </c>
      <c r="E2577" s="207">
        <f>E2569</f>
        <v>8</v>
      </c>
      <c r="F2577" s="190">
        <f>'HIRE CHARGES'!F494</f>
        <v>210.9</v>
      </c>
      <c r="G2577" s="190">
        <f>F2577*E2577</f>
        <v>1687.2</v>
      </c>
    </row>
    <row r="2578" spans="2:8">
      <c r="B2578" s="453">
        <v>2</v>
      </c>
      <c r="C2578" s="748" t="s">
        <v>7090</v>
      </c>
      <c r="D2578" s="706" t="s">
        <v>2374</v>
      </c>
      <c r="E2578" s="749">
        <f>E2571</f>
        <v>8</v>
      </c>
      <c r="F2578" s="750">
        <f>'HIRE CHARGES'!F528</f>
        <v>219.7</v>
      </c>
      <c r="G2578" s="207">
        <f>F2578*E2578</f>
        <v>1757.6</v>
      </c>
    </row>
    <row r="2579" spans="2:8" ht="18.75" thickBot="1">
      <c r="B2579" s="459">
        <v>3</v>
      </c>
      <c r="C2579" s="751" t="s">
        <v>2697</v>
      </c>
      <c r="D2579" s="752" t="s">
        <v>1172</v>
      </c>
      <c r="E2579" s="753">
        <v>15</v>
      </c>
      <c r="F2579" s="754">
        <f>'BASIC DATA'!C552</f>
        <v>350</v>
      </c>
      <c r="G2579" s="207">
        <f>F2579*E2579</f>
        <v>5250</v>
      </c>
    </row>
    <row r="2580" spans="2:8">
      <c r="B2580" s="114"/>
      <c r="C2580" s="174"/>
      <c r="D2580" s="174" t="s">
        <v>1174</v>
      </c>
      <c r="E2580" s="174"/>
      <c r="F2580" s="192"/>
      <c r="G2580" s="318">
        <f>SUM(G2577:G2579)</f>
        <v>8694.7999999999993</v>
      </c>
    </row>
    <row r="2581" spans="2:8">
      <c r="B2581" s="60" t="s">
        <v>5948</v>
      </c>
      <c r="C2581" s="31"/>
      <c r="D2581" s="31"/>
      <c r="E2581" s="85">
        <f>ROUND(G2580/F2555,1)</f>
        <v>86.9</v>
      </c>
      <c r="G2581" s="31"/>
    </row>
    <row r="2582" spans="2:8">
      <c r="B2582" s="60" t="s">
        <v>3163</v>
      </c>
      <c r="C2582" s="31"/>
      <c r="D2582" s="922">
        <f>'BASIC DATA'!$C$577</f>
        <v>0.13614999999999999</v>
      </c>
      <c r="E2582" s="85">
        <f>ROUND(E2581*D2582,1)</f>
        <v>11.8</v>
      </c>
      <c r="G2582" s="31"/>
    </row>
    <row r="2583" spans="2:8">
      <c r="B2583" s="60" t="s">
        <v>5949</v>
      </c>
      <c r="C2583" s="31"/>
      <c r="D2583" s="31"/>
      <c r="E2583" s="739">
        <f>E2582+E2581</f>
        <v>98.7</v>
      </c>
      <c r="G2583" s="31"/>
    </row>
    <row r="2584" spans="2:8">
      <c r="B2584" s="31"/>
      <c r="C2584" s="31"/>
      <c r="D2584" s="31"/>
      <c r="E2584" s="198"/>
      <c r="G2584" s="200"/>
      <c r="H2584" s="75"/>
    </row>
    <row r="2585" spans="2:8">
      <c r="B2585" s="170" t="s">
        <v>1175</v>
      </c>
    </row>
    <row r="2586" spans="2:8">
      <c r="B2586" s="26" t="s">
        <v>1176</v>
      </c>
      <c r="F2586" s="171" t="s">
        <v>1698</v>
      </c>
      <c r="G2586" s="68">
        <f>G2565</f>
        <v>5805.8</v>
      </c>
    </row>
    <row r="2587" spans="2:8">
      <c r="B2587" s="26" t="s">
        <v>1186</v>
      </c>
      <c r="F2587" s="171" t="s">
        <v>1698</v>
      </c>
      <c r="G2587" s="68">
        <f>G2573</f>
        <v>8523.1999999999989</v>
      </c>
    </row>
    <row r="2588" spans="2:8">
      <c r="B2588" s="26" t="s">
        <v>2660</v>
      </c>
      <c r="F2588" s="171" t="s">
        <v>1698</v>
      </c>
      <c r="G2588" s="75">
        <f>G2580</f>
        <v>8694.7999999999993</v>
      </c>
    </row>
    <row r="2589" spans="2:8">
      <c r="B2589" s="26"/>
      <c r="E2589" s="171" t="s">
        <v>5551</v>
      </c>
      <c r="F2589" s="171" t="s">
        <v>1698</v>
      </c>
      <c r="G2589" s="205">
        <f>SUM(G2586:G2588)</f>
        <v>23023.8</v>
      </c>
    </row>
    <row r="2590" spans="2:8">
      <c r="B2590" s="26" t="s">
        <v>5087</v>
      </c>
      <c r="E2590" s="693">
        <f>'BASIC DATA'!C593</f>
        <v>0</v>
      </c>
      <c r="F2590" s="171" t="s">
        <v>1698</v>
      </c>
      <c r="G2590" s="68">
        <f>(G2588+G2587)*0.75*E2590</f>
        <v>0</v>
      </c>
    </row>
    <row r="2591" spans="2:8">
      <c r="B2591" s="26" t="s">
        <v>5084</v>
      </c>
      <c r="E2591" s="171" t="s">
        <v>1518</v>
      </c>
      <c r="F2591" s="171" t="s">
        <v>1698</v>
      </c>
      <c r="G2591" s="205">
        <f>G2590+G2589</f>
        <v>23023.8</v>
      </c>
    </row>
    <row r="2592" spans="2:8">
      <c r="B2592" s="26" t="s">
        <v>5086</v>
      </c>
      <c r="E2592" s="201">
        <f>'BASIC DATA'!C594</f>
        <v>0.03</v>
      </c>
      <c r="F2592" s="171" t="s">
        <v>1698</v>
      </c>
      <c r="G2592" s="75">
        <f>G2591*E2592</f>
        <v>690.71399999999994</v>
      </c>
    </row>
    <row r="2593" spans="1:9">
      <c r="B2593" s="26"/>
      <c r="E2593" s="26" t="s">
        <v>2392</v>
      </c>
      <c r="F2593" s="171" t="s">
        <v>1698</v>
      </c>
      <c r="G2593" s="75">
        <f>G2592+G2591</f>
        <v>23714.513999999999</v>
      </c>
    </row>
    <row r="2594" spans="1:9" ht="42.75" customHeight="1">
      <c r="B2594" s="1207" t="s">
        <v>4717</v>
      </c>
      <c r="C2594" s="1207"/>
      <c r="D2594" s="922">
        <f>'BASIC DATA'!$C$577</f>
        <v>0.13614999999999999</v>
      </c>
      <c r="F2594" s="171" t="s">
        <v>1698</v>
      </c>
      <c r="G2594" s="75">
        <f>G2593*D2594</f>
        <v>3228.7310810999998</v>
      </c>
      <c r="I2594" s="68"/>
    </row>
    <row r="2595" spans="1:9">
      <c r="B2595" s="26" t="s">
        <v>5078</v>
      </c>
      <c r="D2595" s="68">
        <f>F2555</f>
        <v>100</v>
      </c>
      <c r="E2595" s="26" t="s">
        <v>3479</v>
      </c>
      <c r="F2595" s="171" t="s">
        <v>1698</v>
      </c>
      <c r="G2595" s="205">
        <f>G2594+G2593</f>
        <v>26943.245081099998</v>
      </c>
    </row>
    <row r="2596" spans="1:9">
      <c r="D2596" s="203" t="s">
        <v>3884</v>
      </c>
      <c r="E2596" s="170" t="s">
        <v>3479</v>
      </c>
      <c r="F2596" s="171" t="s">
        <v>1698</v>
      </c>
      <c r="G2596" s="211">
        <f>ROUND(G2595/D2595,1)</f>
        <v>269.39999999999998</v>
      </c>
    </row>
    <row r="2597" spans="1:9">
      <c r="B2597" s="26"/>
    </row>
    <row r="2598" spans="1:9">
      <c r="B2598" s="26"/>
    </row>
    <row r="2599" spans="1:9">
      <c r="A2599" s="822" t="s">
        <v>7179</v>
      </c>
      <c r="B2599" s="26" t="s">
        <v>9066</v>
      </c>
    </row>
    <row r="2600" spans="1:9">
      <c r="A2600" s="822"/>
      <c r="B2600" s="26" t="s">
        <v>5993</v>
      </c>
    </row>
    <row r="2601" spans="1:9">
      <c r="B2601" s="26" t="s">
        <v>1674</v>
      </c>
    </row>
    <row r="2602" spans="1:9">
      <c r="B2602" s="26" t="s">
        <v>1675</v>
      </c>
    </row>
    <row r="2603" spans="1:9">
      <c r="B2603" s="26" t="s">
        <v>9067</v>
      </c>
    </row>
    <row r="2604" spans="1:9">
      <c r="A2604" s="822"/>
      <c r="B2604" s="79" t="s">
        <v>5938</v>
      </c>
    </row>
    <row r="2605" spans="1:9">
      <c r="A2605" s="822"/>
      <c r="B2605" s="79"/>
    </row>
    <row r="2606" spans="1:9">
      <c r="A2606" s="822"/>
      <c r="B2606" s="79" t="s">
        <v>9470</v>
      </c>
    </row>
    <row r="2607" spans="1:9">
      <c r="A2607" s="822"/>
      <c r="B2607" s="79" t="s">
        <v>9471</v>
      </c>
    </row>
    <row r="2608" spans="1:9">
      <c r="A2608" s="822"/>
      <c r="B2608" s="79" t="s">
        <v>9472</v>
      </c>
    </row>
    <row r="2609" spans="1:7">
      <c r="B2609" s="26"/>
    </row>
    <row r="2610" spans="1:7">
      <c r="A2610" s="865" t="s">
        <v>3984</v>
      </c>
      <c r="B2610" s="26" t="s">
        <v>4004</v>
      </c>
    </row>
    <row r="2611" spans="1:7">
      <c r="B2611" s="26" t="s">
        <v>5780</v>
      </c>
    </row>
    <row r="2612" spans="1:7">
      <c r="B2612" s="26"/>
      <c r="E2612" s="78"/>
    </row>
    <row r="2613" spans="1:7">
      <c r="B2613" s="26" t="s">
        <v>9446</v>
      </c>
      <c r="E2613" s="78">
        <v>25</v>
      </c>
      <c r="F2613" s="68" t="s">
        <v>9448</v>
      </c>
    </row>
    <row r="2614" spans="1:7">
      <c r="B2614" s="26" t="s">
        <v>9447</v>
      </c>
      <c r="E2614" s="78"/>
    </row>
    <row r="2615" spans="1:7">
      <c r="B2615" s="26"/>
      <c r="E2615" s="78"/>
    </row>
    <row r="2616" spans="1:7">
      <c r="B2616" s="26" t="s">
        <v>9449</v>
      </c>
      <c r="E2616" s="68">
        <f>E2613-E2613*30%</f>
        <v>17.5</v>
      </c>
      <c r="F2616" s="26" t="s">
        <v>9448</v>
      </c>
    </row>
    <row r="2617" spans="1:7">
      <c r="B2617" s="26" t="s">
        <v>9450</v>
      </c>
      <c r="E2617" s="78">
        <f>ROUND(100/E2616,2)</f>
        <v>5.71</v>
      </c>
      <c r="F2617" s="26" t="s">
        <v>9451</v>
      </c>
    </row>
    <row r="2618" spans="1:7">
      <c r="B2618" s="26"/>
      <c r="D2618" s="26" t="s">
        <v>9452</v>
      </c>
      <c r="E2618" s="78">
        <v>6</v>
      </c>
      <c r="F2618" s="26" t="s">
        <v>9451</v>
      </c>
    </row>
    <row r="2619" spans="1:7">
      <c r="B2619" s="26"/>
      <c r="E2619" s="78"/>
    </row>
    <row r="2620" spans="1:7">
      <c r="B2620" s="26"/>
    </row>
    <row r="2621" spans="1:7">
      <c r="A2621" s="865" t="s">
        <v>3984</v>
      </c>
      <c r="C2621" s="203" t="s">
        <v>2367</v>
      </c>
      <c r="D2621" s="171"/>
      <c r="E2621" s="171" t="s">
        <v>297</v>
      </c>
      <c r="F2621" s="162">
        <v>100</v>
      </c>
      <c r="G2621" s="170" t="s">
        <v>3479</v>
      </c>
    </row>
    <row r="2622" spans="1:7">
      <c r="B2622" s="79" t="s">
        <v>2368</v>
      </c>
    </row>
    <row r="2623" spans="1:7">
      <c r="B2623" s="95" t="s">
        <v>2369</v>
      </c>
      <c r="C2623" s="157" t="s">
        <v>6374</v>
      </c>
      <c r="D2623" s="95" t="s">
        <v>2370</v>
      </c>
      <c r="E2623" s="95" t="s">
        <v>1166</v>
      </c>
      <c r="F2623" s="95" t="s">
        <v>2371</v>
      </c>
      <c r="G2623" s="95" t="s">
        <v>2372</v>
      </c>
    </row>
    <row r="2624" spans="1:7">
      <c r="B2624" s="114"/>
      <c r="C2624" s="147"/>
      <c r="D2624" s="114"/>
      <c r="E2624" s="114"/>
      <c r="F2624" s="114" t="s">
        <v>3485</v>
      </c>
      <c r="G2624" s="114" t="s">
        <v>3485</v>
      </c>
    </row>
    <row r="2625" spans="2:7">
      <c r="B2625" s="93">
        <v>1</v>
      </c>
      <c r="C2625" s="38" t="s">
        <v>6981</v>
      </c>
      <c r="D2625" s="36" t="s">
        <v>3482</v>
      </c>
      <c r="E2625" s="82">
        <v>12</v>
      </c>
      <c r="F2625" s="82">
        <f>'BASIC DATA'!D114</f>
        <v>620</v>
      </c>
      <c r="G2625" s="36">
        <f>F2625*E2625</f>
        <v>7440</v>
      </c>
    </row>
    <row r="2626" spans="2:7">
      <c r="B2626" s="93">
        <v>2</v>
      </c>
      <c r="C2626" s="38" t="s">
        <v>9453</v>
      </c>
      <c r="D2626" s="36" t="s">
        <v>3482</v>
      </c>
      <c r="E2626" s="82">
        <f>E2625*10%</f>
        <v>1.2000000000000002</v>
      </c>
      <c r="F2626" s="82">
        <f>'BASIC DATA'!$D$818</f>
        <v>100</v>
      </c>
      <c r="G2626" s="36">
        <f>F2626*E2626</f>
        <v>120.00000000000001</v>
      </c>
    </row>
    <row r="2627" spans="2:7">
      <c r="B2627" s="93">
        <v>3</v>
      </c>
      <c r="C2627" s="39" t="s">
        <v>6982</v>
      </c>
      <c r="D2627" s="36" t="s">
        <v>3482</v>
      </c>
      <c r="E2627" s="82">
        <v>40</v>
      </c>
      <c r="F2627" s="82">
        <f>'BASIC DATA'!$D$115</f>
        <v>260</v>
      </c>
      <c r="G2627" s="36">
        <f>F2627*E2627</f>
        <v>10400</v>
      </c>
    </row>
    <row r="2628" spans="2:7">
      <c r="B2628" s="93">
        <v>4</v>
      </c>
      <c r="C2628" s="38" t="s">
        <v>9453</v>
      </c>
      <c r="D2628" s="36" t="s">
        <v>3482</v>
      </c>
      <c r="E2628" s="82">
        <f>E2627*10%</f>
        <v>4</v>
      </c>
      <c r="F2628" s="82">
        <f>'BASIC DATA'!$D$818</f>
        <v>100</v>
      </c>
      <c r="G2628" s="36">
        <f>F2628*E2628</f>
        <v>400</v>
      </c>
    </row>
    <row r="2629" spans="2:7" ht="36">
      <c r="B2629" s="176">
        <v>5</v>
      </c>
      <c r="C2629" s="63" t="s">
        <v>6983</v>
      </c>
      <c r="D2629" s="798"/>
      <c r="E2629" s="82">
        <v>3</v>
      </c>
      <c r="F2629" s="82">
        <f>'BASIC DATA'!D359</f>
        <v>30</v>
      </c>
      <c r="G2629" s="36">
        <f>F2629*E2629</f>
        <v>90</v>
      </c>
    </row>
    <row r="2630" spans="2:7">
      <c r="B2630" s="36"/>
      <c r="C2630" s="174"/>
      <c r="D2630" s="159" t="s">
        <v>2376</v>
      </c>
      <c r="E2630" s="159"/>
      <c r="F2630" s="236" t="s">
        <v>1698</v>
      </c>
      <c r="G2630" s="737">
        <f>SUM(G2625:G2629)</f>
        <v>18450</v>
      </c>
    </row>
    <row r="2631" spans="2:7">
      <c r="B2631" s="79" t="s">
        <v>2377</v>
      </c>
    </row>
    <row r="2632" spans="2:7">
      <c r="B2632" s="95" t="s">
        <v>2369</v>
      </c>
      <c r="C2632" s="157" t="s">
        <v>2378</v>
      </c>
      <c r="D2632" s="95" t="s">
        <v>2370</v>
      </c>
      <c r="E2632" s="95" t="s">
        <v>1166</v>
      </c>
      <c r="F2632" s="95" t="s">
        <v>2371</v>
      </c>
      <c r="G2632" s="95" t="s">
        <v>2372</v>
      </c>
    </row>
    <row r="2633" spans="2:7">
      <c r="B2633" s="114"/>
      <c r="C2633" s="147"/>
      <c r="D2633" s="105"/>
      <c r="E2633" s="105"/>
      <c r="F2633" s="105" t="s">
        <v>3485</v>
      </c>
      <c r="G2633" s="105" t="s">
        <v>3485</v>
      </c>
    </row>
    <row r="2634" spans="2:7">
      <c r="B2634" s="157">
        <v>1</v>
      </c>
      <c r="C2634" s="39" t="s">
        <v>9454</v>
      </c>
      <c r="D2634" s="36" t="s">
        <v>9451</v>
      </c>
      <c r="E2634" s="82">
        <f>E2618</f>
        <v>6</v>
      </c>
      <c r="F2634" s="82">
        <f>'HIRE CHARGES'!$G$561</f>
        <v>121.4</v>
      </c>
      <c r="G2634" s="82">
        <f>E2634*F2634</f>
        <v>728.40000000000009</v>
      </c>
    </row>
    <row r="2635" spans="2:7" ht="36">
      <c r="B2635" s="93">
        <v>2</v>
      </c>
      <c r="C2635" s="63" t="s">
        <v>9459</v>
      </c>
      <c r="D2635" s="36" t="s">
        <v>9451</v>
      </c>
      <c r="E2635" s="82">
        <v>6</v>
      </c>
      <c r="F2635" s="82">
        <f>'HIRE CHARGES'!$D$494</f>
        <v>241.3</v>
      </c>
      <c r="G2635" s="82">
        <f>E2635*F2635</f>
        <v>1447.8000000000002</v>
      </c>
    </row>
    <row r="2636" spans="2:7">
      <c r="B2636" s="93">
        <v>3</v>
      </c>
      <c r="C2636" s="39" t="s">
        <v>9455</v>
      </c>
      <c r="D2636" s="36" t="s">
        <v>9451</v>
      </c>
      <c r="E2636" s="82">
        <v>6</v>
      </c>
      <c r="F2636" s="82">
        <f>'HIRE CHARGES'!$E$494</f>
        <v>714</v>
      </c>
      <c r="G2636" s="82">
        <f>E2636*F2636</f>
        <v>4284</v>
      </c>
    </row>
    <row r="2637" spans="2:7">
      <c r="B2637" s="176"/>
      <c r="C2637" s="38"/>
      <c r="D2637" s="38"/>
      <c r="E2637" s="38"/>
      <c r="F2637" s="38"/>
      <c r="G2637" s="38"/>
    </row>
    <row r="2638" spans="2:7">
      <c r="B2638" s="92"/>
      <c r="C2638" s="174"/>
      <c r="D2638" s="174" t="s">
        <v>4498</v>
      </c>
      <c r="E2638" s="174"/>
      <c r="F2638" s="275" t="s">
        <v>1698</v>
      </c>
      <c r="G2638" s="800">
        <f>SUM(G2634:G2637)</f>
        <v>6460.2000000000007</v>
      </c>
    </row>
    <row r="2639" spans="2:7">
      <c r="B2639" s="79" t="s">
        <v>2381</v>
      </c>
    </row>
    <row r="2640" spans="2:7">
      <c r="B2640" s="95" t="s">
        <v>2369</v>
      </c>
      <c r="C2640" s="157" t="s">
        <v>2378</v>
      </c>
      <c r="D2640" s="95" t="s">
        <v>2370</v>
      </c>
      <c r="E2640" s="95" t="s">
        <v>1166</v>
      </c>
      <c r="F2640" s="95" t="s">
        <v>2371</v>
      </c>
      <c r="G2640" s="95" t="s">
        <v>2372</v>
      </c>
    </row>
    <row r="2641" spans="2:8">
      <c r="B2641" s="114"/>
      <c r="C2641" s="154"/>
      <c r="D2641" s="105"/>
      <c r="E2641" s="114"/>
      <c r="F2641" s="114" t="s">
        <v>3485</v>
      </c>
      <c r="G2641" s="114" t="s">
        <v>3485</v>
      </c>
    </row>
    <row r="2642" spans="2:8">
      <c r="B2642" s="105">
        <v>1</v>
      </c>
      <c r="C2642" s="147" t="s">
        <v>9456</v>
      </c>
      <c r="D2642" s="95" t="s">
        <v>1172</v>
      </c>
      <c r="E2642" s="82">
        <v>6</v>
      </c>
      <c r="F2642" s="134">
        <f>'HIRE CHARGES'!$F$494</f>
        <v>210.9</v>
      </c>
      <c r="G2642" s="111">
        <f>F2642*E2642</f>
        <v>1265.4000000000001</v>
      </c>
    </row>
    <row r="2643" spans="2:8">
      <c r="B2643" s="105">
        <v>2</v>
      </c>
      <c r="C2643" s="131" t="s">
        <v>9457</v>
      </c>
      <c r="D2643" s="95" t="s">
        <v>1172</v>
      </c>
      <c r="E2643" s="82">
        <v>20</v>
      </c>
      <c r="F2643" s="111">
        <f>'BASIC DATA'!$C$498</f>
        <v>510</v>
      </c>
      <c r="G2643" s="111">
        <f>F2643*E2643</f>
        <v>10200</v>
      </c>
    </row>
    <row r="2644" spans="2:8">
      <c r="B2644" s="105">
        <v>3</v>
      </c>
      <c r="C2644" s="139" t="s">
        <v>6199</v>
      </c>
      <c r="D2644" s="114" t="s">
        <v>1172</v>
      </c>
      <c r="E2644" s="82">
        <v>20</v>
      </c>
      <c r="F2644" s="799">
        <f>'BASIC DATA'!$C$552</f>
        <v>350</v>
      </c>
      <c r="G2644" s="799">
        <f>E2644*F2644</f>
        <v>7000</v>
      </c>
    </row>
    <row r="2645" spans="2:8">
      <c r="B2645" s="114"/>
      <c r="C2645" s="154"/>
      <c r="D2645" s="174" t="s">
        <v>1174</v>
      </c>
      <c r="E2645" s="174"/>
      <c r="F2645" s="275" t="s">
        <v>1698</v>
      </c>
      <c r="G2645" s="800">
        <f>SUM(G2642:G2644)</f>
        <v>18465.400000000001</v>
      </c>
    </row>
    <row r="2646" spans="2:8">
      <c r="B2646" s="60" t="s">
        <v>5948</v>
      </c>
      <c r="C2646" s="31"/>
      <c r="D2646" s="31"/>
      <c r="E2646" s="85">
        <f>ROUND(G2645/F2621,1)</f>
        <v>184.7</v>
      </c>
      <c r="F2646" s="85"/>
    </row>
    <row r="2647" spans="2:8">
      <c r="B2647" s="60" t="s">
        <v>3163</v>
      </c>
      <c r="C2647" s="31"/>
      <c r="D2647" s="922">
        <f>'BASIC DATA'!$C$577</f>
        <v>0.13614999999999999</v>
      </c>
      <c r="E2647" s="85">
        <f>ROUND(E2646*D2647,1)</f>
        <v>25.1</v>
      </c>
      <c r="F2647" s="85"/>
    </row>
    <row r="2648" spans="2:8">
      <c r="B2648" s="60" t="s">
        <v>5949</v>
      </c>
      <c r="C2648" s="31"/>
      <c r="D2648" s="31"/>
      <c r="E2648" s="199">
        <f>E2647+E2646</f>
        <v>209.79999999999998</v>
      </c>
      <c r="F2648" s="85"/>
    </row>
    <row r="2649" spans="2:8">
      <c r="B2649" s="31"/>
      <c r="C2649" s="31"/>
      <c r="D2649" s="31"/>
      <c r="E2649" s="31"/>
      <c r="F2649" s="200"/>
      <c r="H2649" s="75"/>
    </row>
    <row r="2650" spans="2:8">
      <c r="B2650" s="170" t="s">
        <v>1175</v>
      </c>
    </row>
    <row r="2651" spans="2:8">
      <c r="B2651" s="26" t="s">
        <v>4</v>
      </c>
      <c r="F2651" s="171" t="s">
        <v>1698</v>
      </c>
      <c r="G2651" s="68">
        <f>G2630</f>
        <v>18450</v>
      </c>
    </row>
    <row r="2652" spans="2:8">
      <c r="B2652" s="26" t="s">
        <v>1186</v>
      </c>
      <c r="F2652" s="171" t="s">
        <v>1698</v>
      </c>
      <c r="G2652" s="68">
        <f>G2638</f>
        <v>6460.2000000000007</v>
      </c>
    </row>
    <row r="2653" spans="2:8">
      <c r="B2653" s="26" t="s">
        <v>2660</v>
      </c>
      <c r="F2653" s="171" t="s">
        <v>1698</v>
      </c>
      <c r="G2653" s="75">
        <f>G2645</f>
        <v>18465.400000000001</v>
      </c>
    </row>
    <row r="2654" spans="2:8">
      <c r="B2654" s="26"/>
      <c r="E2654" s="171" t="s">
        <v>5551</v>
      </c>
      <c r="F2654" s="171" t="s">
        <v>1698</v>
      </c>
      <c r="G2654" s="205">
        <f>SUM(G2651:G2653)</f>
        <v>43375.600000000006</v>
      </c>
    </row>
    <row r="2655" spans="2:8">
      <c r="B2655" s="26" t="s">
        <v>5087</v>
      </c>
      <c r="E2655" s="26">
        <f>'BASIC DATA'!C593</f>
        <v>0</v>
      </c>
      <c r="F2655" s="171" t="s">
        <v>1698</v>
      </c>
      <c r="G2655" s="68">
        <f>(G2653+G2652)*0.75*E2655</f>
        <v>0</v>
      </c>
    </row>
    <row r="2656" spans="2:8">
      <c r="B2656" s="26" t="s">
        <v>5084</v>
      </c>
      <c r="E2656" s="171" t="s">
        <v>1518</v>
      </c>
      <c r="F2656" s="171" t="s">
        <v>1698</v>
      </c>
      <c r="G2656" s="205">
        <f>G2655+G2654</f>
        <v>43375.600000000006</v>
      </c>
    </row>
    <row r="2657" spans="1:9">
      <c r="B2657" s="26" t="s">
        <v>5086</v>
      </c>
      <c r="E2657" s="26">
        <f>'BASIC DATA'!C594</f>
        <v>0.03</v>
      </c>
      <c r="F2657" s="171" t="s">
        <v>1698</v>
      </c>
      <c r="G2657" s="75">
        <f>G2656*E2657</f>
        <v>1301.268</v>
      </c>
    </row>
    <row r="2658" spans="1:9">
      <c r="B2658" s="26"/>
      <c r="D2658" s="26" t="s">
        <v>2392</v>
      </c>
      <c r="F2658" s="171" t="s">
        <v>1698</v>
      </c>
      <c r="G2658" s="75">
        <f>G2657+G2656</f>
        <v>44676.868000000002</v>
      </c>
    </row>
    <row r="2659" spans="1:9" ht="40.5" customHeight="1">
      <c r="B2659" s="1207" t="s">
        <v>4717</v>
      </c>
      <c r="C2659" s="1207"/>
      <c r="D2659" s="922">
        <f>'BASIC DATA'!$C$577</f>
        <v>0.13614999999999999</v>
      </c>
      <c r="E2659" s="171" t="s">
        <v>1698</v>
      </c>
      <c r="F2659" s="75">
        <f>G2658*D2659</f>
        <v>6082.7555781999999</v>
      </c>
      <c r="G2659" s="75">
        <f>G2658*D2659</f>
        <v>6082.7555781999999</v>
      </c>
      <c r="I2659" s="68"/>
    </row>
    <row r="2660" spans="1:9">
      <c r="B2660" s="26" t="s">
        <v>5078</v>
      </c>
      <c r="C2660" s="68">
        <f>F2621</f>
        <v>100</v>
      </c>
      <c r="D2660" s="26" t="s">
        <v>3479</v>
      </c>
      <c r="F2660" s="171" t="s">
        <v>1698</v>
      </c>
      <c r="G2660" s="205">
        <f>G2659+G2658</f>
        <v>50759.6235782</v>
      </c>
    </row>
    <row r="2661" spans="1:9">
      <c r="C2661" s="203" t="s">
        <v>3884</v>
      </c>
      <c r="D2661" s="170" t="s">
        <v>3479</v>
      </c>
      <c r="F2661" s="171" t="s">
        <v>1698</v>
      </c>
      <c r="G2661" s="211">
        <f>ROUND(G2660/C2660,1)</f>
        <v>507.6</v>
      </c>
    </row>
    <row r="2662" spans="1:9">
      <c r="B2662" s="26"/>
    </row>
    <row r="2663" spans="1:9">
      <c r="A2663" s="822" t="s">
        <v>7180</v>
      </c>
    </row>
    <row r="2664" spans="1:9">
      <c r="A2664" s="822"/>
      <c r="B2664" s="26" t="s">
        <v>9068</v>
      </c>
    </row>
    <row r="2665" spans="1:9">
      <c r="B2665" s="26" t="s">
        <v>6040</v>
      </c>
    </row>
    <row r="2666" spans="1:9">
      <c r="B2666" s="26" t="s">
        <v>9582</v>
      </c>
    </row>
    <row r="2667" spans="1:9">
      <c r="B2667" s="26" t="s">
        <v>9067</v>
      </c>
    </row>
    <row r="2668" spans="1:9">
      <c r="B2668" s="79" t="s">
        <v>5938</v>
      </c>
    </row>
    <row r="2669" spans="1:9">
      <c r="B2669" s="26"/>
    </row>
    <row r="2670" spans="1:9">
      <c r="A2670" s="865" t="s">
        <v>3984</v>
      </c>
      <c r="B2670" s="26" t="s">
        <v>4004</v>
      </c>
    </row>
    <row r="2671" spans="1:9">
      <c r="B2671" s="26" t="s">
        <v>5780</v>
      </c>
    </row>
    <row r="2672" spans="1:9">
      <c r="B2672" s="26"/>
      <c r="E2672" s="78"/>
    </row>
    <row r="2673" spans="1:7">
      <c r="B2673" s="26" t="s">
        <v>9446</v>
      </c>
      <c r="E2673" s="78">
        <v>25</v>
      </c>
      <c r="F2673" s="68" t="s">
        <v>9448</v>
      </c>
    </row>
    <row r="2674" spans="1:7">
      <c r="B2674" s="26" t="s">
        <v>9447</v>
      </c>
      <c r="E2674" s="78"/>
    </row>
    <row r="2675" spans="1:7">
      <c r="B2675" s="26"/>
      <c r="E2675" s="78"/>
    </row>
    <row r="2676" spans="1:7">
      <c r="B2676" s="26" t="s">
        <v>9449</v>
      </c>
      <c r="E2676" s="68">
        <f>E2673-E2673*30%</f>
        <v>17.5</v>
      </c>
      <c r="F2676" s="26" t="s">
        <v>9448</v>
      </c>
    </row>
    <row r="2677" spans="1:7">
      <c r="B2677" s="26" t="s">
        <v>9450</v>
      </c>
      <c r="E2677" s="78">
        <f>ROUND(100/E2676,2)</f>
        <v>5.71</v>
      </c>
      <c r="F2677" s="26" t="s">
        <v>9451</v>
      </c>
    </row>
    <row r="2678" spans="1:7">
      <c r="B2678" s="26"/>
      <c r="D2678" s="26" t="s">
        <v>9452</v>
      </c>
      <c r="E2678" s="78">
        <v>6</v>
      </c>
      <c r="F2678" s="26" t="s">
        <v>9451</v>
      </c>
    </row>
    <row r="2679" spans="1:7">
      <c r="B2679" s="26"/>
      <c r="E2679" s="78"/>
    </row>
    <row r="2680" spans="1:7"/>
    <row r="2681" spans="1:7">
      <c r="A2681" s="865" t="s">
        <v>3984</v>
      </c>
      <c r="C2681" s="203" t="s">
        <v>2367</v>
      </c>
      <c r="D2681" s="171"/>
      <c r="E2681" s="171" t="s">
        <v>297</v>
      </c>
      <c r="F2681" s="162">
        <v>100</v>
      </c>
      <c r="G2681" s="170" t="s">
        <v>3479</v>
      </c>
    </row>
    <row r="2682" spans="1:7">
      <c r="B2682" s="79" t="s">
        <v>2368</v>
      </c>
    </row>
    <row r="2683" spans="1:7">
      <c r="B2683" s="95" t="s">
        <v>2369</v>
      </c>
      <c r="C2683" s="157" t="s">
        <v>6374</v>
      </c>
      <c r="D2683" s="95" t="s">
        <v>2370</v>
      </c>
      <c r="E2683" s="95" t="s">
        <v>1166</v>
      </c>
      <c r="F2683" s="95" t="s">
        <v>2371</v>
      </c>
      <c r="G2683" s="95" t="s">
        <v>2372</v>
      </c>
    </row>
    <row r="2684" spans="1:7">
      <c r="B2684" s="114"/>
      <c r="C2684" s="154"/>
      <c r="D2684" s="114"/>
      <c r="E2684" s="114"/>
      <c r="F2684" s="114" t="s">
        <v>3485</v>
      </c>
      <c r="G2684" s="114" t="s">
        <v>3485</v>
      </c>
    </row>
    <row r="2685" spans="1:7">
      <c r="B2685" s="105">
        <v>1</v>
      </c>
      <c r="C2685" s="187" t="s">
        <v>3300</v>
      </c>
      <c r="D2685" s="105" t="s">
        <v>3482</v>
      </c>
      <c r="E2685" s="134">
        <v>28</v>
      </c>
      <c r="F2685" s="134">
        <f>'BASIC DATA'!D116</f>
        <v>223</v>
      </c>
      <c r="G2685" s="105">
        <f>F2685*E2685</f>
        <v>6244</v>
      </c>
    </row>
    <row r="2686" spans="1:7">
      <c r="B2686" s="105">
        <v>2</v>
      </c>
      <c r="C2686" s="38" t="s">
        <v>9458</v>
      </c>
      <c r="D2686" s="105" t="s">
        <v>3482</v>
      </c>
      <c r="E2686" s="134">
        <f>E2685*10%</f>
        <v>2.8000000000000003</v>
      </c>
      <c r="F2686" s="82">
        <f>'BASIC DATA'!$D$818</f>
        <v>100</v>
      </c>
      <c r="G2686" s="105">
        <f>F2686*E2686</f>
        <v>280</v>
      </c>
    </row>
    <row r="2687" spans="1:7" ht="41.25" customHeight="1">
      <c r="B2687" s="105">
        <v>3</v>
      </c>
      <c r="C2687" s="91" t="s">
        <v>3301</v>
      </c>
      <c r="D2687" s="105" t="s">
        <v>3482</v>
      </c>
      <c r="E2687" s="134">
        <v>20</v>
      </c>
      <c r="F2687" s="134">
        <f>'BASIC DATA'!D117</f>
        <v>185</v>
      </c>
      <c r="G2687" s="105">
        <f>F2687*E2687</f>
        <v>3700</v>
      </c>
    </row>
    <row r="2688" spans="1:7">
      <c r="B2688" s="105">
        <v>4</v>
      </c>
      <c r="C2688" s="187" t="s">
        <v>9458</v>
      </c>
      <c r="D2688" s="105" t="s">
        <v>3482</v>
      </c>
      <c r="E2688" s="134">
        <f>E2687*10%</f>
        <v>2</v>
      </c>
      <c r="F2688" s="82">
        <f>'BASIC DATA'!$D$818</f>
        <v>100</v>
      </c>
      <c r="G2688" s="105">
        <f>F2688*E2688</f>
        <v>200</v>
      </c>
    </row>
    <row r="2689" spans="2:7" ht="36">
      <c r="B2689" s="114">
        <v>5</v>
      </c>
      <c r="C2689" s="91" t="s">
        <v>6983</v>
      </c>
      <c r="D2689" s="224"/>
      <c r="E2689" s="134">
        <v>3</v>
      </c>
      <c r="F2689" s="134">
        <f>'BASIC DATA'!D359</f>
        <v>30</v>
      </c>
      <c r="G2689" s="105">
        <f>F2689*E2689</f>
        <v>90</v>
      </c>
    </row>
    <row r="2690" spans="2:7">
      <c r="B2690" s="92"/>
      <c r="C2690" s="159"/>
      <c r="D2690" s="159" t="s">
        <v>2376</v>
      </c>
      <c r="E2690" s="159"/>
      <c r="F2690" s="236" t="s">
        <v>1698</v>
      </c>
      <c r="G2690" s="737">
        <f>SUM(G2685:G2689)</f>
        <v>10514</v>
      </c>
    </row>
    <row r="2691" spans="2:7">
      <c r="B2691" s="79" t="s">
        <v>2377</v>
      </c>
    </row>
    <row r="2692" spans="2:7">
      <c r="B2692" s="95" t="s">
        <v>2369</v>
      </c>
      <c r="C2692" s="157" t="s">
        <v>2378</v>
      </c>
      <c r="D2692" s="95" t="s">
        <v>2370</v>
      </c>
      <c r="E2692" s="95" t="s">
        <v>1166</v>
      </c>
      <c r="F2692" s="95" t="s">
        <v>2371</v>
      </c>
      <c r="G2692" s="95" t="s">
        <v>2372</v>
      </c>
    </row>
    <row r="2693" spans="2:7">
      <c r="B2693" s="114"/>
      <c r="C2693" s="154"/>
      <c r="D2693" s="114"/>
      <c r="E2693" s="114"/>
      <c r="F2693" s="114" t="s">
        <v>3485</v>
      </c>
      <c r="G2693" s="114" t="s">
        <v>3485</v>
      </c>
    </row>
    <row r="2694" spans="2:7">
      <c r="B2694" s="105">
        <v>1</v>
      </c>
      <c r="C2694" s="39" t="s">
        <v>9454</v>
      </c>
      <c r="D2694" s="36" t="s">
        <v>9451</v>
      </c>
      <c r="E2694" s="82">
        <v>6</v>
      </c>
      <c r="F2694" s="82">
        <f>'HIRE CHARGES'!$G$561</f>
        <v>121.4</v>
      </c>
      <c r="G2694" s="82">
        <f>E2694*F2694</f>
        <v>728.40000000000009</v>
      </c>
    </row>
    <row r="2695" spans="2:7" ht="36">
      <c r="B2695" s="105">
        <v>2</v>
      </c>
      <c r="C2695" s="63" t="s">
        <v>9459</v>
      </c>
      <c r="D2695" s="36" t="s">
        <v>9451</v>
      </c>
      <c r="E2695" s="82">
        <v>6</v>
      </c>
      <c r="F2695" s="82">
        <f>'HIRE CHARGES'!$D$494</f>
        <v>241.3</v>
      </c>
      <c r="G2695" s="82">
        <f>E2695*F2695</f>
        <v>1447.8000000000002</v>
      </c>
    </row>
    <row r="2696" spans="2:7">
      <c r="B2696" s="105">
        <v>3</v>
      </c>
      <c r="C2696" s="39" t="s">
        <v>9455</v>
      </c>
      <c r="D2696" s="36" t="s">
        <v>9451</v>
      </c>
      <c r="E2696" s="82">
        <v>6</v>
      </c>
      <c r="F2696" s="82">
        <f>'HIRE CHARGES'!$E$494</f>
        <v>714</v>
      </c>
      <c r="G2696" s="82">
        <f>E2696*F2696</f>
        <v>4284</v>
      </c>
    </row>
    <row r="2697" spans="2:7">
      <c r="B2697" s="92"/>
      <c r="C2697" s="159" t="s">
        <v>3194</v>
      </c>
      <c r="D2697" s="159"/>
      <c r="E2697" s="764"/>
      <c r="F2697" s="193" t="s">
        <v>3195</v>
      </c>
      <c r="G2697" s="801">
        <f>SUM(G2694:G2696)</f>
        <v>6460.2000000000007</v>
      </c>
    </row>
    <row r="2698" spans="2:7">
      <c r="B2698" s="79" t="s">
        <v>2381</v>
      </c>
    </row>
    <row r="2699" spans="2:7">
      <c r="B2699" s="95" t="s">
        <v>2369</v>
      </c>
      <c r="C2699" s="157" t="s">
        <v>2378</v>
      </c>
      <c r="D2699" s="95" t="s">
        <v>2370</v>
      </c>
      <c r="E2699" s="95" t="s">
        <v>1166</v>
      </c>
      <c r="F2699" s="95" t="s">
        <v>2371</v>
      </c>
      <c r="G2699" s="95" t="s">
        <v>2372</v>
      </c>
    </row>
    <row r="2700" spans="2:7">
      <c r="B2700" s="114"/>
      <c r="C2700" s="154"/>
      <c r="D2700" s="105"/>
      <c r="E2700" s="114"/>
      <c r="F2700" s="114" t="s">
        <v>3485</v>
      </c>
      <c r="G2700" s="114" t="s">
        <v>3485</v>
      </c>
    </row>
    <row r="2701" spans="2:7">
      <c r="B2701" s="105">
        <v>1</v>
      </c>
      <c r="C2701" s="147" t="s">
        <v>9456</v>
      </c>
      <c r="D2701" s="95" t="s">
        <v>1172</v>
      </c>
      <c r="E2701" s="82">
        <v>6</v>
      </c>
      <c r="F2701" s="134">
        <f>'HIRE CHARGES'!$F$494</f>
        <v>210.9</v>
      </c>
      <c r="G2701" s="111">
        <f>F2701*E2701</f>
        <v>1265.4000000000001</v>
      </c>
    </row>
    <row r="2702" spans="2:7">
      <c r="B2702" s="105">
        <v>2</v>
      </c>
      <c r="C2702" s="131" t="s">
        <v>9457</v>
      </c>
      <c r="D2702" s="95" t="s">
        <v>1172</v>
      </c>
      <c r="E2702" s="82">
        <v>15</v>
      </c>
      <c r="F2702" s="111">
        <f>'BASIC DATA'!$C$498</f>
        <v>510</v>
      </c>
      <c r="G2702" s="111">
        <f>F2702*E2702</f>
        <v>7650</v>
      </c>
    </row>
    <row r="2703" spans="2:7">
      <c r="B2703" s="105">
        <v>3</v>
      </c>
      <c r="C2703" s="139" t="s">
        <v>6199</v>
      </c>
      <c r="D2703" s="114" t="s">
        <v>1172</v>
      </c>
      <c r="E2703" s="82">
        <v>15</v>
      </c>
      <c r="F2703" s="799">
        <f>'BASIC DATA'!$C$552</f>
        <v>350</v>
      </c>
      <c r="G2703" s="799">
        <f>E2703*F2703</f>
        <v>5250</v>
      </c>
    </row>
    <row r="2704" spans="2:7">
      <c r="B2704" s="114"/>
      <c r="C2704" s="154"/>
      <c r="D2704" s="174" t="s">
        <v>1174</v>
      </c>
      <c r="E2704" s="174"/>
      <c r="F2704" s="275" t="s">
        <v>1698</v>
      </c>
      <c r="G2704" s="800">
        <f>SUM(G2701:G2703)</f>
        <v>14165.4</v>
      </c>
    </row>
    <row r="2705" spans="2:9">
      <c r="B2705" s="60" t="s">
        <v>5948</v>
      </c>
      <c r="C2705" s="31"/>
      <c r="D2705" s="31"/>
      <c r="E2705" s="85">
        <f>ROUND(G2704/F2681,1)</f>
        <v>141.69999999999999</v>
      </c>
      <c r="F2705" s="85"/>
    </row>
    <row r="2706" spans="2:9">
      <c r="B2706" s="60" t="s">
        <v>3163</v>
      </c>
      <c r="C2706" s="31"/>
      <c r="D2706" s="922">
        <f>'BASIC DATA'!$C$577</f>
        <v>0.13614999999999999</v>
      </c>
      <c r="E2706" s="85">
        <f>ROUND(D2706*E2705,1)</f>
        <v>19.3</v>
      </c>
      <c r="F2706" s="85"/>
    </row>
    <row r="2707" spans="2:9">
      <c r="B2707" s="60" t="s">
        <v>5949</v>
      </c>
      <c r="C2707" s="31"/>
      <c r="D2707" s="31"/>
      <c r="E2707" s="199">
        <f>E2706+E2705</f>
        <v>161</v>
      </c>
      <c r="F2707" s="85"/>
    </row>
    <row r="2708" spans="2:9">
      <c r="B2708" s="33"/>
      <c r="C2708" s="31"/>
      <c r="D2708" s="31"/>
      <c r="E2708" s="31"/>
      <c r="F2708" s="198"/>
      <c r="G2708" s="200"/>
      <c r="H2708" s="75"/>
    </row>
    <row r="2709" spans="2:9">
      <c r="B2709" s="170" t="s">
        <v>1175</v>
      </c>
    </row>
    <row r="2710" spans="2:9">
      <c r="B2710" s="26" t="s">
        <v>4</v>
      </c>
      <c r="F2710" s="171" t="s">
        <v>1698</v>
      </c>
      <c r="G2710" s="68">
        <f>G2690</f>
        <v>10514</v>
      </c>
    </row>
    <row r="2711" spans="2:9">
      <c r="B2711" s="26" t="s">
        <v>1186</v>
      </c>
      <c r="F2711" s="171" t="s">
        <v>1698</v>
      </c>
      <c r="G2711" s="68">
        <f>G2697</f>
        <v>6460.2000000000007</v>
      </c>
    </row>
    <row r="2712" spans="2:9">
      <c r="B2712" s="26" t="s">
        <v>2660</v>
      </c>
      <c r="F2712" s="171" t="s">
        <v>1698</v>
      </c>
      <c r="G2712" s="75">
        <f>G2704</f>
        <v>14165.4</v>
      </c>
    </row>
    <row r="2713" spans="2:9">
      <c r="B2713" s="26"/>
      <c r="E2713" s="171" t="s">
        <v>5551</v>
      </c>
      <c r="F2713" s="171" t="s">
        <v>1698</v>
      </c>
      <c r="G2713" s="205">
        <f>SUM(G2710:G2712)</f>
        <v>31139.599999999999</v>
      </c>
    </row>
    <row r="2714" spans="2:9">
      <c r="B2714" s="26" t="s">
        <v>5087</v>
      </c>
      <c r="E2714" s="26">
        <f>'BASIC DATA'!C593</f>
        <v>0</v>
      </c>
      <c r="F2714" s="171" t="s">
        <v>1698</v>
      </c>
      <c r="G2714" s="68">
        <f>(G2712+G2711)*0.75*E2714</f>
        <v>0</v>
      </c>
    </row>
    <row r="2715" spans="2:9">
      <c r="B2715" s="26" t="s">
        <v>5084</v>
      </c>
      <c r="E2715" s="171" t="s">
        <v>1518</v>
      </c>
      <c r="F2715" s="171" t="s">
        <v>1698</v>
      </c>
      <c r="G2715" s="205">
        <f>G2714+G2713</f>
        <v>31139.599999999999</v>
      </c>
    </row>
    <row r="2716" spans="2:9">
      <c r="B2716" s="26" t="s">
        <v>5086</v>
      </c>
      <c r="E2716" s="26">
        <f>'BASIC DATA'!C594</f>
        <v>0.03</v>
      </c>
      <c r="F2716" s="171" t="s">
        <v>1698</v>
      </c>
      <c r="G2716" s="75">
        <f>G2715*E2716</f>
        <v>934.18799999999987</v>
      </c>
    </row>
    <row r="2717" spans="2:9">
      <c r="B2717" s="26"/>
      <c r="E2717" s="26" t="s">
        <v>2392</v>
      </c>
      <c r="F2717" s="171" t="s">
        <v>1698</v>
      </c>
      <c r="G2717" s="75">
        <f>G2716+G2715</f>
        <v>32073.787999999997</v>
      </c>
    </row>
    <row r="2718" spans="2:9" ht="39" customHeight="1">
      <c r="B2718" s="1207" t="s">
        <v>4717</v>
      </c>
      <c r="C2718" s="1207"/>
      <c r="D2718" s="922">
        <f>'BASIC DATA'!$C$577</f>
        <v>0.13614999999999999</v>
      </c>
      <c r="E2718" s="171" t="s">
        <v>1698</v>
      </c>
      <c r="F2718" s="75">
        <f>G2717*D2718</f>
        <v>4366.8462361999991</v>
      </c>
      <c r="G2718" s="75">
        <f>G2717*D2718</f>
        <v>4366.8462361999991</v>
      </c>
      <c r="I2718" s="68"/>
    </row>
    <row r="2719" spans="2:9">
      <c r="B2719" s="26" t="s">
        <v>5078</v>
      </c>
      <c r="D2719" s="68">
        <f>F2681</f>
        <v>100</v>
      </c>
      <c r="E2719" s="26" t="s">
        <v>3479</v>
      </c>
      <c r="F2719" s="171" t="s">
        <v>1698</v>
      </c>
      <c r="G2719" s="205">
        <f>G2718+G2717</f>
        <v>36440.6342362</v>
      </c>
    </row>
    <row r="2720" spans="2:9">
      <c r="D2720" s="203" t="s">
        <v>3884</v>
      </c>
      <c r="E2720" s="170" t="s">
        <v>3479</v>
      </c>
      <c r="F2720" s="171" t="s">
        <v>1698</v>
      </c>
      <c r="G2720" s="211">
        <f>ROUND(G2719/D2719,1)</f>
        <v>364.4</v>
      </c>
    </row>
    <row r="2721" spans="1:6">
      <c r="B2721" s="26"/>
      <c r="D2721" s="47"/>
    </row>
    <row r="2722" spans="1:6">
      <c r="A2722" s="846"/>
      <c r="B2722" s="26"/>
    </row>
    <row r="2723" spans="1:6">
      <c r="A2723" s="822" t="s">
        <v>7181</v>
      </c>
      <c r="B2723" s="170" t="s">
        <v>2884</v>
      </c>
    </row>
    <row r="2724" spans="1:6">
      <c r="B2724" s="26" t="s">
        <v>2527</v>
      </c>
    </row>
    <row r="2725" spans="1:6">
      <c r="B2725" s="26" t="s">
        <v>2885</v>
      </c>
    </row>
    <row r="2726" spans="1:6">
      <c r="B2726" s="26" t="s">
        <v>2886</v>
      </c>
    </row>
    <row r="2727" spans="1:6">
      <c r="B2727" s="26" t="s">
        <v>1037</v>
      </c>
    </row>
    <row r="2728" spans="1:6">
      <c r="A2728" s="822" t="s">
        <v>6607</v>
      </c>
      <c r="B2728" s="79" t="s">
        <v>5938</v>
      </c>
    </row>
    <row r="2729" spans="1:6">
      <c r="A2729" s="865" t="s">
        <v>3984</v>
      </c>
      <c r="B2729" s="26" t="s">
        <v>4004</v>
      </c>
    </row>
    <row r="2730" spans="1:6">
      <c r="B2730" s="26" t="s">
        <v>5780</v>
      </c>
    </row>
    <row r="2731" spans="1:6">
      <c r="B2731" s="26"/>
      <c r="E2731" s="78"/>
    </row>
    <row r="2732" spans="1:6">
      <c r="B2732" s="26" t="s">
        <v>9446</v>
      </c>
      <c r="E2732" s="78">
        <v>25</v>
      </c>
      <c r="F2732" s="68" t="s">
        <v>9448</v>
      </c>
    </row>
    <row r="2733" spans="1:6">
      <c r="B2733" s="26" t="s">
        <v>9447</v>
      </c>
      <c r="E2733" s="78"/>
    </row>
    <row r="2734" spans="1:6">
      <c r="B2734" s="26"/>
      <c r="E2734" s="78"/>
    </row>
    <row r="2735" spans="1:6">
      <c r="B2735" s="26" t="s">
        <v>9449</v>
      </c>
      <c r="E2735" s="68">
        <f>E2732-E2732*30%</f>
        <v>17.5</v>
      </c>
      <c r="F2735" s="26" t="s">
        <v>9448</v>
      </c>
    </row>
    <row r="2736" spans="1:6">
      <c r="B2736" s="26" t="s">
        <v>9450</v>
      </c>
      <c r="E2736" s="78">
        <f>ROUND(100/E2735,2)</f>
        <v>5.71</v>
      </c>
      <c r="F2736" s="26" t="s">
        <v>9451</v>
      </c>
    </row>
    <row r="2737" spans="1:7">
      <c r="B2737" s="26"/>
      <c r="D2737" s="26" t="s">
        <v>9452</v>
      </c>
      <c r="E2737" s="78">
        <v>6</v>
      </c>
      <c r="F2737" s="26" t="s">
        <v>9451</v>
      </c>
    </row>
    <row r="2738" spans="1:7">
      <c r="B2738" s="26"/>
      <c r="E2738" s="78"/>
      <c r="F2738" s="68"/>
    </row>
    <row r="2739" spans="1:7"/>
    <row r="2740" spans="1:7">
      <c r="A2740" s="865" t="s">
        <v>3984</v>
      </c>
      <c r="C2740" s="203" t="s">
        <v>2367</v>
      </c>
      <c r="D2740" s="171"/>
      <c r="E2740" s="171" t="s">
        <v>297</v>
      </c>
      <c r="F2740" s="162">
        <v>100</v>
      </c>
      <c r="G2740" s="26" t="s">
        <v>3479</v>
      </c>
    </row>
    <row r="2741" spans="1:7">
      <c r="B2741" s="79" t="s">
        <v>2368</v>
      </c>
    </row>
    <row r="2742" spans="1:7">
      <c r="B2742" s="95" t="s">
        <v>2369</v>
      </c>
      <c r="C2742" s="157" t="s">
        <v>6374</v>
      </c>
      <c r="D2742" s="95" t="s">
        <v>2370</v>
      </c>
      <c r="E2742" s="95" t="s">
        <v>1166</v>
      </c>
      <c r="F2742" s="95" t="s">
        <v>2371</v>
      </c>
      <c r="G2742" s="95" t="s">
        <v>2372</v>
      </c>
    </row>
    <row r="2743" spans="1:7">
      <c r="B2743" s="114"/>
      <c r="C2743" s="154"/>
      <c r="D2743" s="114"/>
      <c r="E2743" s="114"/>
      <c r="F2743" s="114" t="s">
        <v>3485</v>
      </c>
      <c r="G2743" s="114" t="s">
        <v>3485</v>
      </c>
    </row>
    <row r="2744" spans="1:7">
      <c r="B2744" s="105">
        <v>1</v>
      </c>
      <c r="C2744" s="187" t="s">
        <v>3300</v>
      </c>
      <c r="D2744" s="36" t="s">
        <v>3482</v>
      </c>
      <c r="E2744" s="134">
        <v>28</v>
      </c>
      <c r="F2744" s="134">
        <f>'BASIC DATA'!D116</f>
        <v>223</v>
      </c>
      <c r="G2744" s="105">
        <f t="shared" ref="G2744:G2750" si="54">F2744*E2744</f>
        <v>6244</v>
      </c>
    </row>
    <row r="2745" spans="1:7">
      <c r="B2745" s="105">
        <v>2</v>
      </c>
      <c r="C2745" s="38" t="s">
        <v>9458</v>
      </c>
      <c r="D2745" s="36" t="s">
        <v>3482</v>
      </c>
      <c r="E2745" s="134">
        <f>E2744*10%</f>
        <v>2.8000000000000003</v>
      </c>
      <c r="F2745" s="82">
        <f>'BASIC DATA'!$D$818</f>
        <v>100</v>
      </c>
      <c r="G2745" s="105">
        <f t="shared" si="54"/>
        <v>280</v>
      </c>
    </row>
    <row r="2746" spans="1:7" ht="36">
      <c r="B2746" s="105">
        <v>3</v>
      </c>
      <c r="C2746" s="91" t="s">
        <v>6821</v>
      </c>
      <c r="D2746" s="36" t="s">
        <v>3482</v>
      </c>
      <c r="E2746" s="134">
        <v>15</v>
      </c>
      <c r="F2746" s="134">
        <f>'BASIC DATA'!D117</f>
        <v>185</v>
      </c>
      <c r="G2746" s="105">
        <f t="shared" si="54"/>
        <v>2775</v>
      </c>
    </row>
    <row r="2747" spans="1:7">
      <c r="B2747" s="105">
        <v>4</v>
      </c>
      <c r="C2747" s="38" t="s">
        <v>9458</v>
      </c>
      <c r="D2747" s="36" t="s">
        <v>3482</v>
      </c>
      <c r="E2747" s="134">
        <f>E2746*10%</f>
        <v>1.5</v>
      </c>
      <c r="F2747" s="82">
        <f>'BASIC DATA'!$D$818</f>
        <v>100</v>
      </c>
      <c r="G2747" s="105">
        <f t="shared" si="54"/>
        <v>150</v>
      </c>
    </row>
    <row r="2748" spans="1:7">
      <c r="B2748" s="105">
        <v>5</v>
      </c>
      <c r="C2748" s="135" t="s">
        <v>6822</v>
      </c>
      <c r="D2748" s="36" t="s">
        <v>3482</v>
      </c>
      <c r="E2748" s="134">
        <v>17</v>
      </c>
      <c r="F2748" s="134">
        <f>'BASIC DATA'!D100</f>
        <v>260</v>
      </c>
      <c r="G2748" s="105">
        <f t="shared" si="54"/>
        <v>4420</v>
      </c>
    </row>
    <row r="2749" spans="1:7">
      <c r="B2749" s="105">
        <v>6</v>
      </c>
      <c r="C2749" s="38" t="s">
        <v>9458</v>
      </c>
      <c r="D2749" s="36" t="s">
        <v>3482</v>
      </c>
      <c r="E2749" s="134">
        <f>E2748*10%</f>
        <v>1.7000000000000002</v>
      </c>
      <c r="F2749" s="82">
        <f>'BASIC DATA'!$D$818</f>
        <v>100</v>
      </c>
      <c r="G2749" s="105">
        <f t="shared" si="54"/>
        <v>170.00000000000003</v>
      </c>
    </row>
    <row r="2750" spans="1:7" ht="36">
      <c r="B2750" s="114">
        <v>7</v>
      </c>
      <c r="C2750" s="91" t="s">
        <v>6983</v>
      </c>
      <c r="D2750" s="224"/>
      <c r="E2750" s="134">
        <f>0.05*(E2744+E2746+E2748)</f>
        <v>3</v>
      </c>
      <c r="F2750" s="134">
        <f>'BASIC DATA'!D359</f>
        <v>30</v>
      </c>
      <c r="G2750" s="105">
        <f t="shared" si="54"/>
        <v>90</v>
      </c>
    </row>
    <row r="2751" spans="1:7">
      <c r="B2751" s="92"/>
      <c r="C2751" s="159"/>
      <c r="D2751" s="159" t="s">
        <v>2376</v>
      </c>
      <c r="E2751" s="159"/>
      <c r="F2751" s="236" t="s">
        <v>1698</v>
      </c>
      <c r="G2751" s="737">
        <f>SUM(G2744:G2750)</f>
        <v>14129</v>
      </c>
    </row>
    <row r="2752" spans="1:7">
      <c r="B2752" s="79" t="s">
        <v>2377</v>
      </c>
    </row>
    <row r="2753" spans="2:7">
      <c r="B2753" s="95" t="s">
        <v>2369</v>
      </c>
      <c r="C2753" s="157" t="s">
        <v>2378</v>
      </c>
      <c r="D2753" s="95" t="s">
        <v>2370</v>
      </c>
      <c r="E2753" s="95" t="s">
        <v>1166</v>
      </c>
      <c r="F2753" s="95" t="s">
        <v>2371</v>
      </c>
      <c r="G2753" s="95" t="s">
        <v>2372</v>
      </c>
    </row>
    <row r="2754" spans="2:7">
      <c r="B2754" s="114"/>
      <c r="C2754" s="154"/>
      <c r="D2754" s="114"/>
      <c r="E2754" s="114"/>
      <c r="F2754" s="114" t="s">
        <v>3485</v>
      </c>
      <c r="G2754" s="114" t="s">
        <v>3485</v>
      </c>
    </row>
    <row r="2755" spans="2:7">
      <c r="B2755" s="105">
        <v>1</v>
      </c>
      <c r="C2755" s="39" t="s">
        <v>9454</v>
      </c>
      <c r="D2755" s="36" t="s">
        <v>9451</v>
      </c>
      <c r="E2755" s="82">
        <v>6</v>
      </c>
      <c r="F2755" s="82">
        <f>'HIRE CHARGES'!$G$561</f>
        <v>121.4</v>
      </c>
      <c r="G2755" s="82">
        <f>E2755*F2755</f>
        <v>728.40000000000009</v>
      </c>
    </row>
    <row r="2756" spans="2:7" ht="36">
      <c r="B2756" s="105">
        <v>2</v>
      </c>
      <c r="C2756" s="63" t="s">
        <v>9459</v>
      </c>
      <c r="D2756" s="36" t="s">
        <v>9451</v>
      </c>
      <c r="E2756" s="82">
        <v>6</v>
      </c>
      <c r="F2756" s="82">
        <f>'HIRE CHARGES'!$D$494</f>
        <v>241.3</v>
      </c>
      <c r="G2756" s="82">
        <f>E2756*F2756</f>
        <v>1447.8000000000002</v>
      </c>
    </row>
    <row r="2757" spans="2:7">
      <c r="B2757" s="105">
        <v>3</v>
      </c>
      <c r="C2757" s="39" t="s">
        <v>9455</v>
      </c>
      <c r="D2757" s="36" t="s">
        <v>9451</v>
      </c>
      <c r="E2757" s="82">
        <v>6</v>
      </c>
      <c r="F2757" s="82">
        <f>'HIRE CHARGES'!$E$494</f>
        <v>714</v>
      </c>
      <c r="G2757" s="82">
        <f>E2757*F2757</f>
        <v>4284</v>
      </c>
    </row>
    <row r="2758" spans="2:7">
      <c r="B2758" s="92"/>
      <c r="C2758" s="159"/>
      <c r="D2758" s="159" t="s">
        <v>4498</v>
      </c>
      <c r="E2758" s="159"/>
      <c r="F2758" s="236" t="s">
        <v>1698</v>
      </c>
      <c r="G2758" s="737">
        <f>SUM(G2755:G2757)</f>
        <v>6460.2000000000007</v>
      </c>
    </row>
    <row r="2759" spans="2:7">
      <c r="B2759" s="79" t="s">
        <v>2381</v>
      </c>
    </row>
    <row r="2760" spans="2:7">
      <c r="B2760" s="95" t="s">
        <v>2369</v>
      </c>
      <c r="C2760" s="157" t="s">
        <v>2378</v>
      </c>
      <c r="D2760" s="95" t="s">
        <v>2370</v>
      </c>
      <c r="E2760" s="95" t="s">
        <v>1166</v>
      </c>
      <c r="F2760" s="95" t="s">
        <v>2371</v>
      </c>
      <c r="G2760" s="95" t="s">
        <v>2372</v>
      </c>
    </row>
    <row r="2761" spans="2:7">
      <c r="B2761" s="114"/>
      <c r="C2761" s="154"/>
      <c r="D2761" s="105"/>
      <c r="E2761" s="114"/>
      <c r="F2761" s="114" t="s">
        <v>3485</v>
      </c>
      <c r="G2761" s="114" t="s">
        <v>3485</v>
      </c>
    </row>
    <row r="2762" spans="2:7">
      <c r="B2762" s="105">
        <v>1</v>
      </c>
      <c r="C2762" s="147" t="s">
        <v>9456</v>
      </c>
      <c r="D2762" s="95" t="s">
        <v>1172</v>
      </c>
      <c r="E2762" s="82">
        <v>6</v>
      </c>
      <c r="F2762" s="134">
        <f>'HIRE CHARGES'!$F$494</f>
        <v>210.9</v>
      </c>
      <c r="G2762" s="111">
        <f>F2762*E2762</f>
        <v>1265.4000000000001</v>
      </c>
    </row>
    <row r="2763" spans="2:7">
      <c r="B2763" s="105">
        <v>2</v>
      </c>
      <c r="C2763" s="131" t="s">
        <v>9457</v>
      </c>
      <c r="D2763" s="95" t="s">
        <v>1172</v>
      </c>
      <c r="E2763" s="82">
        <v>20</v>
      </c>
      <c r="F2763" s="111">
        <f>'BASIC DATA'!$C$498</f>
        <v>510</v>
      </c>
      <c r="G2763" s="111">
        <f>F2763*E2763</f>
        <v>10200</v>
      </c>
    </row>
    <row r="2764" spans="2:7">
      <c r="B2764" s="105">
        <v>3</v>
      </c>
      <c r="C2764" s="139" t="s">
        <v>6199</v>
      </c>
      <c r="D2764" s="114" t="s">
        <v>1172</v>
      </c>
      <c r="E2764" s="82">
        <v>20</v>
      </c>
      <c r="F2764" s="799">
        <f>'BASIC DATA'!$C$552</f>
        <v>350</v>
      </c>
      <c r="G2764" s="799">
        <f>E2764*F2764</f>
        <v>7000</v>
      </c>
    </row>
    <row r="2765" spans="2:7">
      <c r="B2765" s="176"/>
      <c r="C2765" s="154"/>
      <c r="D2765" s="174" t="s">
        <v>1174</v>
      </c>
      <c r="E2765" s="174"/>
      <c r="F2765" s="172" t="s">
        <v>1698</v>
      </c>
      <c r="G2765" s="802">
        <f>SUM(G2762:G2764)</f>
        <v>18465.400000000001</v>
      </c>
    </row>
    <row r="2766" spans="2:7">
      <c r="B2766" s="60" t="s">
        <v>5948</v>
      </c>
      <c r="C2766" s="31"/>
      <c r="D2766" s="31"/>
      <c r="E2766" s="85">
        <f>ROUND(G2765/F2740,1)</f>
        <v>184.7</v>
      </c>
      <c r="F2766" s="85"/>
    </row>
    <row r="2767" spans="2:7">
      <c r="B2767" s="60" t="s">
        <v>3163</v>
      </c>
      <c r="C2767" s="31"/>
      <c r="D2767" s="922">
        <f>'BASIC DATA'!$C$577</f>
        <v>0.13614999999999999</v>
      </c>
      <c r="E2767" s="85">
        <f>ROUND(E2766*D2767,1)</f>
        <v>25.1</v>
      </c>
      <c r="F2767" s="85"/>
    </row>
    <row r="2768" spans="2:7">
      <c r="B2768" s="60" t="s">
        <v>5949</v>
      </c>
      <c r="C2768" s="31"/>
      <c r="D2768" s="31"/>
      <c r="E2768" s="199">
        <f>E2767+E2766</f>
        <v>209.79999999999998</v>
      </c>
      <c r="F2768" s="85"/>
    </row>
    <row r="2769" spans="1:9">
      <c r="B2769" s="26"/>
    </row>
    <row r="2770" spans="1:9">
      <c r="B2770" s="170" t="s">
        <v>1175</v>
      </c>
    </row>
    <row r="2771" spans="1:9">
      <c r="B2771" s="26" t="s">
        <v>4</v>
      </c>
      <c r="F2771" s="171" t="s">
        <v>1698</v>
      </c>
      <c r="G2771" s="68">
        <f>G2751</f>
        <v>14129</v>
      </c>
    </row>
    <row r="2772" spans="1:9">
      <c r="B2772" s="26" t="s">
        <v>1186</v>
      </c>
      <c r="F2772" s="171" t="s">
        <v>1698</v>
      </c>
      <c r="G2772" s="68">
        <f>G2758</f>
        <v>6460.2000000000007</v>
      </c>
    </row>
    <row r="2773" spans="1:9">
      <c r="B2773" s="26" t="s">
        <v>2660</v>
      </c>
      <c r="F2773" s="171" t="s">
        <v>1698</v>
      </c>
      <c r="G2773" s="75">
        <f>G2765</f>
        <v>18465.400000000001</v>
      </c>
    </row>
    <row r="2774" spans="1:9">
      <c r="B2774" s="26"/>
      <c r="E2774" s="171" t="s">
        <v>5551</v>
      </c>
      <c r="F2774" s="171" t="s">
        <v>1698</v>
      </c>
      <c r="G2774" s="205">
        <f>SUM(G2771:G2773)</f>
        <v>39054.600000000006</v>
      </c>
    </row>
    <row r="2775" spans="1:9">
      <c r="B2775" s="26" t="s">
        <v>5087</v>
      </c>
      <c r="E2775" s="26">
        <f>'BASIC DATA'!C593</f>
        <v>0</v>
      </c>
      <c r="F2775" s="171" t="s">
        <v>1698</v>
      </c>
      <c r="G2775" s="68">
        <f>(G2773+G2772)*0.75*E2775</f>
        <v>0</v>
      </c>
    </row>
    <row r="2776" spans="1:9">
      <c r="B2776" s="26" t="s">
        <v>5084</v>
      </c>
      <c r="E2776" s="171" t="s">
        <v>1518</v>
      </c>
      <c r="F2776" s="171" t="s">
        <v>1698</v>
      </c>
      <c r="G2776" s="205">
        <f>G2775+G2774</f>
        <v>39054.600000000006</v>
      </c>
    </row>
    <row r="2777" spans="1:9">
      <c r="B2777" s="26" t="s">
        <v>5086</v>
      </c>
      <c r="E2777" s="26">
        <f>'BASIC DATA'!C594</f>
        <v>0.03</v>
      </c>
      <c r="F2777" s="171" t="s">
        <v>1698</v>
      </c>
      <c r="G2777" s="75">
        <f>G2776*E2777</f>
        <v>1171.6380000000001</v>
      </c>
    </row>
    <row r="2778" spans="1:9">
      <c r="B2778" s="26"/>
      <c r="E2778" s="26" t="s">
        <v>2392</v>
      </c>
      <c r="F2778" s="171" t="s">
        <v>1698</v>
      </c>
      <c r="G2778" s="75">
        <f>G2777+G2776</f>
        <v>40226.238000000005</v>
      </c>
    </row>
    <row r="2779" spans="1:9" ht="44.25" customHeight="1">
      <c r="B2779" s="1207" t="s">
        <v>4717</v>
      </c>
      <c r="C2779" s="1207"/>
      <c r="D2779" s="922">
        <f>'BASIC DATA'!$C$577</f>
        <v>0.13614999999999999</v>
      </c>
      <c r="E2779" s="171" t="s">
        <v>1698</v>
      </c>
      <c r="F2779" s="75">
        <f>G2778*D2779</f>
        <v>5476.8023037000003</v>
      </c>
      <c r="G2779" s="75">
        <f>G2778*D2779</f>
        <v>5476.8023037000003</v>
      </c>
      <c r="I2779" s="68"/>
    </row>
    <row r="2780" spans="1:9">
      <c r="B2780" s="26" t="s">
        <v>5078</v>
      </c>
      <c r="D2780" s="68">
        <f>F2740</f>
        <v>100</v>
      </c>
      <c r="E2780" s="26" t="s">
        <v>3479</v>
      </c>
      <c r="F2780" s="171" t="s">
        <v>1698</v>
      </c>
      <c r="G2780" s="205">
        <f>G2779+G2778</f>
        <v>45703.040303700007</v>
      </c>
    </row>
    <row r="2781" spans="1:9">
      <c r="D2781" s="203" t="s">
        <v>3884</v>
      </c>
      <c r="E2781" s="170" t="s">
        <v>3479</v>
      </c>
      <c r="F2781" s="171" t="s">
        <v>1698</v>
      </c>
      <c r="G2781" s="211">
        <f>ROUND(G2780/D2780,1)</f>
        <v>457</v>
      </c>
    </row>
    <row r="2782" spans="1:9">
      <c r="B2782" s="26"/>
    </row>
    <row r="2783" spans="1:9">
      <c r="B2783" s="26"/>
    </row>
    <row r="2784" spans="1:9">
      <c r="A2784" s="822" t="s">
        <v>7182</v>
      </c>
      <c r="B2784" s="26" t="s">
        <v>9069</v>
      </c>
    </row>
    <row r="2785" spans="1:6">
      <c r="B2785" s="26" t="s">
        <v>6823</v>
      </c>
    </row>
    <row r="2786" spans="1:6">
      <c r="B2786" s="26" t="s">
        <v>277</v>
      </c>
    </row>
    <row r="2787" spans="1:6">
      <c r="B2787" s="26" t="s">
        <v>1037</v>
      </c>
    </row>
    <row r="2788" spans="1:6">
      <c r="B2788" s="79" t="s">
        <v>5938</v>
      </c>
    </row>
    <row r="2789" spans="1:6">
      <c r="B2789" s="26"/>
    </row>
    <row r="2790" spans="1:6">
      <c r="A2790" s="865" t="s">
        <v>3984</v>
      </c>
      <c r="B2790" s="26" t="s">
        <v>4004</v>
      </c>
    </row>
    <row r="2791" spans="1:6">
      <c r="B2791" s="26" t="s">
        <v>5780</v>
      </c>
    </row>
    <row r="2792" spans="1:6">
      <c r="B2792" s="26"/>
      <c r="E2792" s="78"/>
    </row>
    <row r="2793" spans="1:6">
      <c r="B2793" s="26" t="s">
        <v>9446</v>
      </c>
      <c r="E2793" s="78">
        <v>25</v>
      </c>
      <c r="F2793" s="68" t="s">
        <v>9448</v>
      </c>
    </row>
    <row r="2794" spans="1:6">
      <c r="B2794" s="26" t="s">
        <v>9447</v>
      </c>
      <c r="E2794" s="78"/>
    </row>
    <row r="2795" spans="1:6">
      <c r="B2795" s="26"/>
      <c r="E2795" s="78"/>
    </row>
    <row r="2796" spans="1:6">
      <c r="B2796" s="26" t="s">
        <v>9449</v>
      </c>
      <c r="E2796" s="68">
        <f>E2793-E2793*30%</f>
        <v>17.5</v>
      </c>
      <c r="F2796" s="26" t="s">
        <v>9448</v>
      </c>
    </row>
    <row r="2797" spans="1:6">
      <c r="B2797" s="26" t="s">
        <v>9450</v>
      </c>
      <c r="E2797" s="78">
        <f>ROUND(100/E2796,2)</f>
        <v>5.71</v>
      </c>
      <c r="F2797" s="26" t="s">
        <v>9451</v>
      </c>
    </row>
    <row r="2798" spans="1:6">
      <c r="B2798" s="26"/>
      <c r="D2798" s="26" t="s">
        <v>9452</v>
      </c>
      <c r="E2798" s="78">
        <v>6</v>
      </c>
      <c r="F2798" s="26" t="s">
        <v>9451</v>
      </c>
    </row>
    <row r="2799" spans="1:6">
      <c r="B2799" s="26"/>
      <c r="E2799" s="78"/>
      <c r="F2799" s="68"/>
    </row>
    <row r="2800" spans="1:6"/>
    <row r="2801" spans="1:7">
      <c r="A2801" s="865" t="s">
        <v>3984</v>
      </c>
      <c r="C2801" s="203" t="s">
        <v>2367</v>
      </c>
      <c r="D2801" s="171"/>
      <c r="E2801" s="171" t="s">
        <v>297</v>
      </c>
      <c r="F2801" s="162">
        <v>100</v>
      </c>
      <c r="G2801" s="26" t="s">
        <v>3479</v>
      </c>
    </row>
    <row r="2802" spans="1:7">
      <c r="B2802" s="79" t="s">
        <v>2368</v>
      </c>
    </row>
    <row r="2803" spans="1:7">
      <c r="B2803" s="95" t="s">
        <v>2369</v>
      </c>
      <c r="C2803" s="157" t="s">
        <v>6374</v>
      </c>
      <c r="D2803" s="95" t="s">
        <v>2370</v>
      </c>
      <c r="E2803" s="95" t="s">
        <v>1166</v>
      </c>
      <c r="F2803" s="95" t="s">
        <v>2371</v>
      </c>
      <c r="G2803" s="95" t="s">
        <v>2372</v>
      </c>
    </row>
    <row r="2804" spans="1:7">
      <c r="B2804" s="114"/>
      <c r="C2804" s="154"/>
      <c r="D2804" s="114"/>
      <c r="E2804" s="114"/>
      <c r="F2804" s="114" t="s">
        <v>3485</v>
      </c>
      <c r="G2804" s="114" t="s">
        <v>3485</v>
      </c>
    </row>
    <row r="2805" spans="1:7">
      <c r="B2805" s="105">
        <v>1</v>
      </c>
      <c r="C2805" s="187" t="s">
        <v>3300</v>
      </c>
      <c r="D2805" s="105" t="s">
        <v>3482</v>
      </c>
      <c r="E2805" s="134">
        <v>14</v>
      </c>
      <c r="F2805" s="134">
        <f>'BASIC DATA'!D116</f>
        <v>223</v>
      </c>
      <c r="G2805" s="105">
        <f>F2805*E2805</f>
        <v>3122</v>
      </c>
    </row>
    <row r="2806" spans="1:7">
      <c r="B2806" s="105">
        <v>2</v>
      </c>
      <c r="C2806" s="38" t="s">
        <v>9458</v>
      </c>
      <c r="D2806" s="105" t="s">
        <v>3482</v>
      </c>
      <c r="E2806" s="134">
        <f>E2805*10%</f>
        <v>1.4000000000000001</v>
      </c>
      <c r="F2806" s="82">
        <f>'BASIC DATA'!$D$818</f>
        <v>100</v>
      </c>
      <c r="G2806" s="105">
        <f>F2806*E2806</f>
        <v>140</v>
      </c>
    </row>
    <row r="2807" spans="1:7" ht="36">
      <c r="B2807" s="105">
        <v>3</v>
      </c>
      <c r="C2807" s="91" t="s">
        <v>392</v>
      </c>
      <c r="D2807" s="105" t="s">
        <v>3482</v>
      </c>
      <c r="E2807" s="134">
        <v>26</v>
      </c>
      <c r="F2807" s="134">
        <f>'BASIC DATA'!D100</f>
        <v>260</v>
      </c>
      <c r="G2807" s="105">
        <f>F2807*E2807</f>
        <v>6760</v>
      </c>
    </row>
    <row r="2808" spans="1:7">
      <c r="B2808" s="105">
        <v>4</v>
      </c>
      <c r="C2808" s="38" t="s">
        <v>9458</v>
      </c>
      <c r="D2808" s="105" t="s">
        <v>3482</v>
      </c>
      <c r="E2808" s="134">
        <f>E2807*10%</f>
        <v>2.6</v>
      </c>
      <c r="F2808" s="82">
        <f>'BASIC DATA'!$D$818</f>
        <v>100</v>
      </c>
      <c r="G2808" s="105">
        <f>F2808*E2808</f>
        <v>260</v>
      </c>
    </row>
    <row r="2809" spans="1:7" ht="36">
      <c r="B2809" s="114">
        <v>5</v>
      </c>
      <c r="C2809" s="91" t="s">
        <v>6983</v>
      </c>
      <c r="D2809" s="224"/>
      <c r="E2809" s="134">
        <v>3</v>
      </c>
      <c r="F2809" s="134">
        <f>'BASIC DATA'!D359</f>
        <v>30</v>
      </c>
      <c r="G2809" s="105">
        <f>F2809*E2809</f>
        <v>90</v>
      </c>
    </row>
    <row r="2810" spans="1:7">
      <c r="B2810" s="92"/>
      <c r="C2810" s="159"/>
      <c r="D2810" s="159" t="s">
        <v>2376</v>
      </c>
      <c r="E2810" s="159"/>
      <c r="F2810" s="36" t="s">
        <v>1698</v>
      </c>
      <c r="G2810" s="737">
        <f>SUM(G2805:G2809)</f>
        <v>10372</v>
      </c>
    </row>
    <row r="2811" spans="1:7">
      <c r="B2811" s="79" t="s">
        <v>2377</v>
      </c>
    </row>
    <row r="2812" spans="1:7">
      <c r="B2812" s="95" t="s">
        <v>2369</v>
      </c>
      <c r="C2812" s="157" t="s">
        <v>2378</v>
      </c>
      <c r="D2812" s="95" t="s">
        <v>2370</v>
      </c>
      <c r="E2812" s="95" t="s">
        <v>1166</v>
      </c>
      <c r="F2812" s="95" t="s">
        <v>2371</v>
      </c>
      <c r="G2812" s="95" t="s">
        <v>2372</v>
      </c>
    </row>
    <row r="2813" spans="1:7">
      <c r="B2813" s="114"/>
      <c r="C2813" s="154"/>
      <c r="D2813" s="114"/>
      <c r="E2813" s="114"/>
      <c r="F2813" s="114" t="s">
        <v>3485</v>
      </c>
      <c r="G2813" s="114" t="s">
        <v>3485</v>
      </c>
    </row>
    <row r="2814" spans="1:7">
      <c r="B2814" s="105">
        <v>1</v>
      </c>
      <c r="C2814" s="39" t="s">
        <v>9454</v>
      </c>
      <c r="D2814" s="36" t="s">
        <v>9451</v>
      </c>
      <c r="E2814" s="82">
        <v>6</v>
      </c>
      <c r="F2814" s="82">
        <f>'HIRE CHARGES'!$G$561</f>
        <v>121.4</v>
      </c>
      <c r="G2814" s="82">
        <f>E2814*F2814</f>
        <v>728.40000000000009</v>
      </c>
    </row>
    <row r="2815" spans="1:7" ht="36">
      <c r="B2815" s="105">
        <v>2</v>
      </c>
      <c r="C2815" s="63" t="s">
        <v>9459</v>
      </c>
      <c r="D2815" s="36" t="s">
        <v>9451</v>
      </c>
      <c r="E2815" s="82">
        <v>6</v>
      </c>
      <c r="F2815" s="82">
        <f>'HIRE CHARGES'!$D$494</f>
        <v>241.3</v>
      </c>
      <c r="G2815" s="82">
        <f>E2815*F2815</f>
        <v>1447.8000000000002</v>
      </c>
    </row>
    <row r="2816" spans="1:7">
      <c r="B2816" s="105">
        <v>3</v>
      </c>
      <c r="C2816" s="39" t="s">
        <v>9455</v>
      </c>
      <c r="D2816" s="36" t="s">
        <v>9451</v>
      </c>
      <c r="E2816" s="82">
        <v>6</v>
      </c>
      <c r="F2816" s="82">
        <f>'HIRE CHARGES'!$E$494</f>
        <v>714</v>
      </c>
      <c r="G2816" s="82">
        <f>E2816*F2816</f>
        <v>4284</v>
      </c>
    </row>
    <row r="2817" spans="2:8">
      <c r="B2817" s="92"/>
      <c r="C2817" s="159"/>
      <c r="D2817" s="159" t="s">
        <v>4498</v>
      </c>
      <c r="E2817" s="159"/>
      <c r="F2817" s="159" t="s">
        <v>1698</v>
      </c>
      <c r="G2817" s="801">
        <f>SUM(G2814:G2816)</f>
        <v>6460.2000000000007</v>
      </c>
    </row>
    <row r="2818" spans="2:8">
      <c r="B2818" s="79" t="s">
        <v>2381</v>
      </c>
    </row>
    <row r="2819" spans="2:8">
      <c r="B2819" s="95" t="s">
        <v>2369</v>
      </c>
      <c r="C2819" s="157" t="s">
        <v>2378</v>
      </c>
      <c r="D2819" s="95" t="s">
        <v>2370</v>
      </c>
      <c r="E2819" s="95" t="s">
        <v>1166</v>
      </c>
      <c r="F2819" s="95" t="s">
        <v>2371</v>
      </c>
      <c r="G2819" s="95" t="s">
        <v>2372</v>
      </c>
    </row>
    <row r="2820" spans="2:8">
      <c r="B2820" s="114"/>
      <c r="C2820" s="154"/>
      <c r="D2820" s="105"/>
      <c r="E2820" s="114"/>
      <c r="F2820" s="114" t="s">
        <v>3485</v>
      </c>
      <c r="G2820" s="114" t="s">
        <v>3485</v>
      </c>
    </row>
    <row r="2821" spans="2:8">
      <c r="B2821" s="105">
        <v>1</v>
      </c>
      <c r="C2821" s="147" t="s">
        <v>9456</v>
      </c>
      <c r="D2821" s="95" t="s">
        <v>1172</v>
      </c>
      <c r="E2821" s="82">
        <v>6</v>
      </c>
      <c r="F2821" s="134">
        <f>'HIRE CHARGES'!$F$494</f>
        <v>210.9</v>
      </c>
      <c r="G2821" s="111">
        <f>F2821*E2821</f>
        <v>1265.4000000000001</v>
      </c>
    </row>
    <row r="2822" spans="2:8">
      <c r="B2822" s="105">
        <v>2</v>
      </c>
      <c r="C2822" s="131" t="s">
        <v>9457</v>
      </c>
      <c r="D2822" s="95" t="s">
        <v>1172</v>
      </c>
      <c r="E2822" s="82">
        <v>20</v>
      </c>
      <c r="F2822" s="111">
        <f>'BASIC DATA'!$C$498</f>
        <v>510</v>
      </c>
      <c r="G2822" s="111">
        <f>F2822*E2822</f>
        <v>10200</v>
      </c>
    </row>
    <row r="2823" spans="2:8">
      <c r="B2823" s="105">
        <v>3</v>
      </c>
      <c r="C2823" s="139" t="s">
        <v>6199</v>
      </c>
      <c r="D2823" s="114" t="s">
        <v>1172</v>
      </c>
      <c r="E2823" s="82">
        <v>20</v>
      </c>
      <c r="F2823" s="799">
        <f>'BASIC DATA'!$C$552</f>
        <v>350</v>
      </c>
      <c r="G2823" s="799">
        <f>E2823*F2823</f>
        <v>7000</v>
      </c>
    </row>
    <row r="2824" spans="2:8">
      <c r="B2824" s="176"/>
      <c r="C2824" s="174"/>
      <c r="D2824" s="174" t="s">
        <v>1174</v>
      </c>
      <c r="E2824" s="174"/>
      <c r="F2824" s="275" t="s">
        <v>1698</v>
      </c>
      <c r="G2824" s="800">
        <f>SUM(G2821:G2823)</f>
        <v>18465.400000000001</v>
      </c>
    </row>
    <row r="2825" spans="2:8">
      <c r="B2825" s="60" t="s">
        <v>5948</v>
      </c>
      <c r="C2825" s="31"/>
      <c r="D2825" s="31"/>
      <c r="E2825" s="85">
        <f>ROUND(G2824/F2801,1)</f>
        <v>184.7</v>
      </c>
      <c r="F2825" s="85"/>
    </row>
    <row r="2826" spans="2:8">
      <c r="B2826" s="60" t="s">
        <v>3163</v>
      </c>
      <c r="C2826" s="31"/>
      <c r="D2826" s="922">
        <f>'BASIC DATA'!$C$577</f>
        <v>0.13614999999999999</v>
      </c>
      <c r="E2826" s="85">
        <f>ROUND(D2826*E2825,1)</f>
        <v>25.1</v>
      </c>
      <c r="F2826" s="85"/>
    </row>
    <row r="2827" spans="2:8">
      <c r="B2827" s="60" t="s">
        <v>5949</v>
      </c>
      <c r="C2827" s="31"/>
      <c r="D2827" s="31"/>
      <c r="E2827" s="199">
        <f>E2826+E2825</f>
        <v>209.79999999999998</v>
      </c>
      <c r="F2827" s="85"/>
    </row>
    <row r="2828" spans="2:8">
      <c r="B2828" s="31"/>
      <c r="C2828" s="31"/>
      <c r="D2828" s="31"/>
      <c r="E2828" s="198"/>
      <c r="F2828" s="200"/>
      <c r="H2828" s="75"/>
    </row>
    <row r="2829" spans="2:8">
      <c r="B2829" s="170" t="s">
        <v>1175</v>
      </c>
    </row>
    <row r="2830" spans="2:8">
      <c r="B2830" s="26" t="s">
        <v>4</v>
      </c>
      <c r="F2830" s="171" t="s">
        <v>1698</v>
      </c>
      <c r="G2830" s="68">
        <f>G2810</f>
        <v>10372</v>
      </c>
    </row>
    <row r="2831" spans="2:8">
      <c r="B2831" s="26" t="s">
        <v>1186</v>
      </c>
      <c r="F2831" s="171" t="s">
        <v>1698</v>
      </c>
      <c r="G2831" s="68">
        <f>G2817</f>
        <v>6460.2000000000007</v>
      </c>
    </row>
    <row r="2832" spans="2:8">
      <c r="B2832" s="26" t="s">
        <v>2660</v>
      </c>
      <c r="F2832" s="171" t="s">
        <v>1698</v>
      </c>
      <c r="G2832" s="68">
        <f>G2824</f>
        <v>18465.400000000001</v>
      </c>
    </row>
    <row r="2833" spans="1:9">
      <c r="B2833" s="26"/>
      <c r="E2833" s="171" t="s">
        <v>1518</v>
      </c>
      <c r="F2833" s="171" t="s">
        <v>1698</v>
      </c>
      <c r="G2833" s="205">
        <f>SUM(G2830:G2832)</f>
        <v>35297.600000000006</v>
      </c>
    </row>
    <row r="2834" spans="1:9">
      <c r="B2834" s="26" t="s">
        <v>5087</v>
      </c>
      <c r="E2834" s="26">
        <f>'BASIC DATA'!C593</f>
        <v>0</v>
      </c>
      <c r="F2834" s="171" t="s">
        <v>1698</v>
      </c>
      <c r="G2834" s="68">
        <f>(G2832+G2831)*0.75*E2834</f>
        <v>0</v>
      </c>
    </row>
    <row r="2835" spans="1:9">
      <c r="B2835" s="26" t="s">
        <v>5084</v>
      </c>
      <c r="E2835" s="171" t="s">
        <v>1518</v>
      </c>
      <c r="F2835" s="171" t="s">
        <v>1698</v>
      </c>
      <c r="G2835" s="205">
        <f>G2834+G2833</f>
        <v>35297.600000000006</v>
      </c>
    </row>
    <row r="2836" spans="1:9">
      <c r="B2836" s="26" t="s">
        <v>5086</v>
      </c>
      <c r="E2836" s="26">
        <f>'BASIC DATA'!C594</f>
        <v>0.03</v>
      </c>
      <c r="F2836" s="171" t="s">
        <v>1698</v>
      </c>
      <c r="G2836" s="75">
        <f>G2835*E2836</f>
        <v>1058.9280000000001</v>
      </c>
    </row>
    <row r="2837" spans="1:9">
      <c r="B2837" s="26"/>
      <c r="E2837" s="26" t="s">
        <v>2392</v>
      </c>
      <c r="F2837" s="171" t="s">
        <v>1698</v>
      </c>
      <c r="G2837" s="75">
        <f>G2836+G2835</f>
        <v>36356.528000000006</v>
      </c>
    </row>
    <row r="2838" spans="1:9" ht="40.5" customHeight="1">
      <c r="B2838" s="1207" t="s">
        <v>4717</v>
      </c>
      <c r="C2838" s="1207"/>
      <c r="D2838" s="922">
        <f>'BASIC DATA'!$C$577</f>
        <v>0.13614999999999999</v>
      </c>
      <c r="E2838" s="171" t="s">
        <v>1698</v>
      </c>
      <c r="F2838" s="75">
        <f>G2837*D2838</f>
        <v>4949.9412872000003</v>
      </c>
      <c r="G2838" s="75">
        <f>G2837*D2838</f>
        <v>4949.9412872000003</v>
      </c>
      <c r="I2838" s="68"/>
    </row>
    <row r="2839" spans="1:9">
      <c r="B2839" s="26" t="s">
        <v>5078</v>
      </c>
      <c r="D2839" s="68">
        <f>F2801</f>
        <v>100</v>
      </c>
      <c r="E2839" s="26" t="s">
        <v>3479</v>
      </c>
      <c r="F2839" s="171" t="s">
        <v>1698</v>
      </c>
      <c r="G2839" s="205">
        <f>G2838+G2837</f>
        <v>41306.469287200009</v>
      </c>
    </row>
    <row r="2840" spans="1:9">
      <c r="D2840" s="203" t="s">
        <v>3884</v>
      </c>
      <c r="E2840" s="170" t="s">
        <v>3479</v>
      </c>
      <c r="F2840" s="171" t="s">
        <v>1698</v>
      </c>
      <c r="G2840" s="211">
        <f>ROUND(G2839/D2839,1)</f>
        <v>413.1</v>
      </c>
    </row>
    <row r="2841" spans="1:9">
      <c r="B2841" s="26"/>
      <c r="C2841" s="78"/>
    </row>
    <row r="2842" spans="1:9">
      <c r="B2842" s="26"/>
      <c r="C2842" s="78"/>
    </row>
    <row r="2843" spans="1:9">
      <c r="A2843" s="822" t="s">
        <v>7183</v>
      </c>
      <c r="B2843" s="26"/>
      <c r="C2843" s="325" t="s">
        <v>1644</v>
      </c>
    </row>
    <row r="2844" spans="1:9">
      <c r="C2844" s="78"/>
    </row>
    <row r="2845" spans="1:9">
      <c r="A2845" s="822" t="s">
        <v>7184</v>
      </c>
      <c r="B2845" s="170" t="s">
        <v>393</v>
      </c>
    </row>
    <row r="2846" spans="1:9">
      <c r="B2846" s="26" t="s">
        <v>9460</v>
      </c>
      <c r="E2846" s="322"/>
    </row>
    <row r="2847" spans="1:9">
      <c r="B2847" s="26" t="s">
        <v>9461</v>
      </c>
      <c r="E2847" s="322"/>
    </row>
    <row r="2848" spans="1:9">
      <c r="B2848" s="26" t="s">
        <v>9598</v>
      </c>
      <c r="E2848" s="322"/>
    </row>
    <row r="2849" spans="1:7">
      <c r="B2849" s="26" t="s">
        <v>9462</v>
      </c>
      <c r="E2849" s="322"/>
    </row>
    <row r="2850" spans="1:7">
      <c r="B2850" s="26" t="s">
        <v>9463</v>
      </c>
      <c r="E2850" s="322"/>
    </row>
    <row r="2851" spans="1:7">
      <c r="A2851" s="822"/>
      <c r="B2851" s="26" t="s">
        <v>9464</v>
      </c>
      <c r="E2851" s="322"/>
    </row>
    <row r="2852" spans="1:7">
      <c r="A2852" s="822"/>
      <c r="B2852" s="26"/>
    </row>
    <row r="2853" spans="1:7">
      <c r="A2853" s="865" t="s">
        <v>3984</v>
      </c>
      <c r="B2853" s="26" t="s">
        <v>4004</v>
      </c>
    </row>
    <row r="2854" spans="1:7">
      <c r="B2854" s="26" t="s">
        <v>5780</v>
      </c>
    </row>
    <row r="2855" spans="1:7">
      <c r="B2855" s="26"/>
      <c r="E2855" s="78"/>
    </row>
    <row r="2856" spans="1:7">
      <c r="B2856" s="26" t="s">
        <v>9446</v>
      </c>
      <c r="E2856" s="78">
        <v>25</v>
      </c>
      <c r="F2856" s="68" t="s">
        <v>9448</v>
      </c>
    </row>
    <row r="2857" spans="1:7">
      <c r="B2857" s="26" t="s">
        <v>9447</v>
      </c>
      <c r="E2857" s="78"/>
    </row>
    <row r="2858" spans="1:7">
      <c r="B2858" s="26"/>
      <c r="E2858" s="78"/>
    </row>
    <row r="2859" spans="1:7">
      <c r="B2859" s="26" t="s">
        <v>9449</v>
      </c>
      <c r="E2859" s="68">
        <f>E2856-E2856*30%</f>
        <v>17.5</v>
      </c>
      <c r="F2859" s="26" t="s">
        <v>9448</v>
      </c>
    </row>
    <row r="2860" spans="1:7">
      <c r="B2860" s="26" t="s">
        <v>9450</v>
      </c>
      <c r="E2860" s="78">
        <f>ROUND(100/E2859,2)</f>
        <v>5.71</v>
      </c>
      <c r="F2860" s="26" t="s">
        <v>9451</v>
      </c>
    </row>
    <row r="2861" spans="1:7">
      <c r="B2861" s="26"/>
      <c r="D2861" s="26" t="s">
        <v>9452</v>
      </c>
      <c r="E2861" s="78">
        <v>6</v>
      </c>
      <c r="F2861" s="26" t="s">
        <v>9451</v>
      </c>
    </row>
    <row r="2862" spans="1:7">
      <c r="B2862" s="26"/>
      <c r="E2862" s="315"/>
      <c r="F2862" s="68"/>
    </row>
    <row r="2863" spans="1:7">
      <c r="A2863" s="865" t="s">
        <v>3984</v>
      </c>
      <c r="C2863" s="203" t="s">
        <v>2367</v>
      </c>
      <c r="E2863" s="171" t="s">
        <v>297</v>
      </c>
      <c r="F2863" s="692">
        <v>100</v>
      </c>
      <c r="G2863" s="26" t="s">
        <v>9291</v>
      </c>
    </row>
    <row r="2864" spans="1:7">
      <c r="B2864" s="79" t="s">
        <v>2368</v>
      </c>
    </row>
    <row r="2865" spans="2:7">
      <c r="B2865" s="95" t="s">
        <v>2369</v>
      </c>
      <c r="C2865" s="157" t="s">
        <v>6374</v>
      </c>
      <c r="D2865" s="95" t="s">
        <v>2370</v>
      </c>
      <c r="E2865" s="95" t="s">
        <v>1166</v>
      </c>
      <c r="F2865" s="95" t="s">
        <v>2371</v>
      </c>
      <c r="G2865" s="95" t="s">
        <v>2372</v>
      </c>
    </row>
    <row r="2866" spans="2:7">
      <c r="B2866" s="114"/>
      <c r="C2866" s="154"/>
      <c r="D2866" s="114"/>
      <c r="E2866" s="114"/>
      <c r="F2866" s="114" t="s">
        <v>3485</v>
      </c>
      <c r="G2866" s="114" t="s">
        <v>3485</v>
      </c>
    </row>
    <row r="2867" spans="2:7">
      <c r="B2867" s="105">
        <v>1</v>
      </c>
      <c r="C2867" s="135" t="s">
        <v>4759</v>
      </c>
      <c r="D2867" s="319" t="s">
        <v>3482</v>
      </c>
      <c r="E2867" s="105">
        <v>13</v>
      </c>
      <c r="F2867" s="105">
        <f>'BASIC DATA'!$D$168</f>
        <v>130</v>
      </c>
      <c r="G2867" s="134">
        <f t="shared" ref="G2867:G2873" si="55">E2867*F2867</f>
        <v>1690</v>
      </c>
    </row>
    <row r="2868" spans="2:7">
      <c r="B2868" s="105">
        <v>2</v>
      </c>
      <c r="C2868" s="147" t="s">
        <v>9392</v>
      </c>
      <c r="D2868" s="319" t="s">
        <v>3482</v>
      </c>
      <c r="E2868" s="105">
        <v>25</v>
      </c>
      <c r="F2868" s="105">
        <f>'BASIC DATA'!$D$121</f>
        <v>480</v>
      </c>
      <c r="G2868" s="134">
        <f t="shared" si="55"/>
        <v>12000</v>
      </c>
    </row>
    <row r="2869" spans="2:7">
      <c r="B2869" s="105">
        <v>3</v>
      </c>
      <c r="C2869" s="38" t="s">
        <v>9458</v>
      </c>
      <c r="D2869" s="319" t="s">
        <v>3482</v>
      </c>
      <c r="E2869" s="105">
        <f>E2868*10%</f>
        <v>2.5</v>
      </c>
      <c r="F2869" s="82">
        <f>'BASIC DATA'!$D$818</f>
        <v>100</v>
      </c>
      <c r="G2869" s="134">
        <f t="shared" si="55"/>
        <v>250</v>
      </c>
    </row>
    <row r="2870" spans="2:7">
      <c r="B2870" s="105">
        <v>4</v>
      </c>
      <c r="C2870" s="135" t="s">
        <v>9599</v>
      </c>
      <c r="D2870" s="319" t="s">
        <v>3482</v>
      </c>
      <c r="E2870" s="134">
        <v>40</v>
      </c>
      <c r="F2870" s="134">
        <f>'BASIC DATA'!$D$115</f>
        <v>260</v>
      </c>
      <c r="G2870" s="134">
        <f t="shared" si="55"/>
        <v>10400</v>
      </c>
    </row>
    <row r="2871" spans="2:7">
      <c r="B2871" s="105">
        <v>5</v>
      </c>
      <c r="C2871" s="38" t="s">
        <v>9458</v>
      </c>
      <c r="D2871" s="319" t="s">
        <v>3482</v>
      </c>
      <c r="E2871" s="105">
        <f>E2870*10%</f>
        <v>4</v>
      </c>
      <c r="F2871" s="82">
        <f>'BASIC DATA'!$D$818</f>
        <v>100</v>
      </c>
      <c r="G2871" s="134">
        <f t="shared" si="55"/>
        <v>400</v>
      </c>
    </row>
    <row r="2872" spans="2:7">
      <c r="B2872" s="105">
        <v>6</v>
      </c>
      <c r="C2872" s="135" t="s">
        <v>3851</v>
      </c>
      <c r="D2872" s="319" t="s">
        <v>2059</v>
      </c>
      <c r="E2872" s="803">
        <v>2</v>
      </c>
      <c r="F2872" s="134">
        <f>'BASIC DATA'!$D$111</f>
        <v>41</v>
      </c>
      <c r="G2872" s="134">
        <f t="shared" si="55"/>
        <v>82</v>
      </c>
    </row>
    <row r="2873" spans="2:7">
      <c r="B2873" s="114">
        <v>7</v>
      </c>
      <c r="C2873" s="135" t="s">
        <v>2373</v>
      </c>
      <c r="D2873" s="319" t="s">
        <v>2173</v>
      </c>
      <c r="E2873" s="134">
        <v>3</v>
      </c>
      <c r="F2873" s="134">
        <f>'BASIC DATA'!$D$359</f>
        <v>30</v>
      </c>
      <c r="G2873" s="134">
        <f t="shared" si="55"/>
        <v>90</v>
      </c>
    </row>
    <row r="2874" spans="2:7">
      <c r="B2874" s="92"/>
      <c r="C2874" s="193"/>
      <c r="D2874" s="151" t="s">
        <v>2376</v>
      </c>
      <c r="E2874" s="160"/>
      <c r="F2874" s="236" t="s">
        <v>1698</v>
      </c>
      <c r="G2874" s="737">
        <f>SUM(G2867:G2873)</f>
        <v>24912</v>
      </c>
    </row>
    <row r="2875" spans="2:7">
      <c r="B2875" s="33"/>
      <c r="C2875" s="30"/>
      <c r="D2875" s="31"/>
      <c r="E2875" s="198"/>
      <c r="F2875" s="200"/>
      <c r="G2875" s="75"/>
    </row>
    <row r="2876" spans="2:7">
      <c r="B2876" s="79" t="s">
        <v>2377</v>
      </c>
    </row>
    <row r="2877" spans="2:7">
      <c r="B2877" s="95" t="s">
        <v>2369</v>
      </c>
      <c r="C2877" s="157" t="s">
        <v>2378</v>
      </c>
      <c r="D2877" s="95" t="s">
        <v>2370</v>
      </c>
      <c r="E2877" s="95" t="s">
        <v>1166</v>
      </c>
      <c r="F2877" s="95" t="s">
        <v>2371</v>
      </c>
      <c r="G2877" s="95" t="s">
        <v>2372</v>
      </c>
    </row>
    <row r="2878" spans="2:7">
      <c r="B2878" s="114"/>
      <c r="C2878" s="176"/>
      <c r="D2878" s="114"/>
      <c r="E2878" s="114"/>
      <c r="F2878" s="114" t="s">
        <v>3485</v>
      </c>
      <c r="G2878" s="114" t="s">
        <v>3485</v>
      </c>
    </row>
    <row r="2879" spans="2:7">
      <c r="B2879" s="105">
        <v>1</v>
      </c>
      <c r="C2879" s="39" t="s">
        <v>9454</v>
      </c>
      <c r="D2879" s="36" t="s">
        <v>9451</v>
      </c>
      <c r="E2879" s="82">
        <v>6</v>
      </c>
      <c r="F2879" s="82">
        <f>'HIRE CHARGES'!$G$561</f>
        <v>121.4</v>
      </c>
      <c r="G2879" s="82">
        <f>E2879*F2879</f>
        <v>728.40000000000009</v>
      </c>
    </row>
    <row r="2880" spans="2:7" ht="36">
      <c r="B2880" s="105">
        <v>2</v>
      </c>
      <c r="C2880" s="63" t="s">
        <v>9459</v>
      </c>
      <c r="D2880" s="36" t="s">
        <v>9451</v>
      </c>
      <c r="E2880" s="82">
        <v>6</v>
      </c>
      <c r="F2880" s="82">
        <f>'HIRE CHARGES'!$D$494</f>
        <v>241.3</v>
      </c>
      <c r="G2880" s="82">
        <f>E2880*F2880</f>
        <v>1447.8000000000002</v>
      </c>
    </row>
    <row r="2881" spans="2:7">
      <c r="B2881" s="105">
        <v>3</v>
      </c>
      <c r="C2881" s="39" t="s">
        <v>9455</v>
      </c>
      <c r="D2881" s="36" t="s">
        <v>9451</v>
      </c>
      <c r="E2881" s="82">
        <v>6</v>
      </c>
      <c r="F2881" s="82">
        <f>'HIRE CHARGES'!$E$494</f>
        <v>714</v>
      </c>
      <c r="G2881" s="82">
        <f>E2881*F2881</f>
        <v>4284</v>
      </c>
    </row>
    <row r="2882" spans="2:7">
      <c r="B2882" s="92"/>
      <c r="C2882" s="151" t="s">
        <v>4498</v>
      </c>
      <c r="D2882" s="160"/>
      <c r="E2882" s="159"/>
      <c r="F2882" s="159"/>
      <c r="G2882" s="801">
        <f>SUM(G2879:G2881)</f>
        <v>6460.2000000000007</v>
      </c>
    </row>
    <row r="2883" spans="2:7"/>
    <row r="2884" spans="2:7">
      <c r="B2884" s="79" t="s">
        <v>2381</v>
      </c>
    </row>
    <row r="2885" spans="2:7">
      <c r="B2885" s="95" t="s">
        <v>2369</v>
      </c>
      <c r="C2885" s="157" t="s">
        <v>2378</v>
      </c>
      <c r="D2885" s="95" t="s">
        <v>2370</v>
      </c>
      <c r="E2885" s="95" t="s">
        <v>1166</v>
      </c>
      <c r="F2885" s="95" t="s">
        <v>2371</v>
      </c>
      <c r="G2885" s="95" t="s">
        <v>2372</v>
      </c>
    </row>
    <row r="2886" spans="2:7">
      <c r="B2886" s="114"/>
      <c r="C2886" s="154"/>
      <c r="D2886" s="114"/>
      <c r="E2886" s="114"/>
      <c r="F2886" s="114" t="s">
        <v>3485</v>
      </c>
      <c r="G2886" s="114" t="s">
        <v>3485</v>
      </c>
    </row>
    <row r="2887" spans="2:7">
      <c r="B2887" s="105">
        <v>1</v>
      </c>
      <c r="C2887" s="147" t="s">
        <v>9456</v>
      </c>
      <c r="D2887" s="95" t="s">
        <v>1172</v>
      </c>
      <c r="E2887" s="82">
        <v>6</v>
      </c>
      <c r="F2887" s="134">
        <f>'HIRE CHARGES'!$F$494</f>
        <v>210.9</v>
      </c>
      <c r="G2887" s="111">
        <f>F2887*E2887</f>
        <v>1265.4000000000001</v>
      </c>
    </row>
    <row r="2888" spans="2:7">
      <c r="B2888" s="105">
        <v>2</v>
      </c>
      <c r="C2888" s="131" t="s">
        <v>9457</v>
      </c>
      <c r="D2888" s="95" t="s">
        <v>1172</v>
      </c>
      <c r="E2888" s="82">
        <v>20</v>
      </c>
      <c r="F2888" s="111">
        <f>'BASIC DATA'!$C$498</f>
        <v>510</v>
      </c>
      <c r="G2888" s="111">
        <f>F2888*E2888</f>
        <v>10200</v>
      </c>
    </row>
    <row r="2889" spans="2:7">
      <c r="B2889" s="105">
        <v>3</v>
      </c>
      <c r="C2889" s="139" t="s">
        <v>6199</v>
      </c>
      <c r="D2889" s="114" t="s">
        <v>1172</v>
      </c>
      <c r="E2889" s="82">
        <v>20</v>
      </c>
      <c r="F2889" s="799">
        <f>'BASIC DATA'!$C$552</f>
        <v>350</v>
      </c>
      <c r="G2889" s="799">
        <f>E2889*F2889</f>
        <v>7000</v>
      </c>
    </row>
    <row r="2890" spans="2:7">
      <c r="B2890" s="92"/>
      <c r="C2890" s="193"/>
      <c r="D2890" s="151" t="s">
        <v>1174</v>
      </c>
      <c r="E2890" s="160"/>
      <c r="F2890" s="236" t="s">
        <v>1698</v>
      </c>
      <c r="G2890" s="737">
        <f>SUM(G2887:G2889)</f>
        <v>18465.400000000001</v>
      </c>
    </row>
    <row r="2891" spans="2:7">
      <c r="B2891" s="60" t="s">
        <v>5948</v>
      </c>
      <c r="C2891" s="31"/>
      <c r="D2891" s="31"/>
      <c r="E2891" s="85">
        <f>ROUND(G2890/100,1)</f>
        <v>184.7</v>
      </c>
    </row>
    <row r="2892" spans="2:7">
      <c r="B2892" s="60" t="s">
        <v>3163</v>
      </c>
      <c r="C2892" s="31"/>
      <c r="D2892" s="922">
        <f>'BASIC DATA'!$C$577</f>
        <v>0.13614999999999999</v>
      </c>
      <c r="E2892" s="85">
        <f>ROUND(E2891*D2892,1)</f>
        <v>25.1</v>
      </c>
    </row>
    <row r="2893" spans="2:7">
      <c r="B2893" s="60" t="s">
        <v>5949</v>
      </c>
      <c r="C2893" s="31"/>
      <c r="D2893" s="31"/>
      <c r="E2893" s="739">
        <f>E2892+E2891</f>
        <v>209.79999999999998</v>
      </c>
    </row>
    <row r="2894" spans="2:7">
      <c r="B2894" s="31"/>
      <c r="C2894" s="31"/>
      <c r="D2894" s="198"/>
      <c r="E2894" s="200"/>
      <c r="G2894" s="75"/>
    </row>
    <row r="2895" spans="2:7">
      <c r="B2895" s="170" t="s">
        <v>1175</v>
      </c>
    </row>
    <row r="2896" spans="2:7">
      <c r="B2896" s="26" t="s">
        <v>1176</v>
      </c>
      <c r="F2896" s="171" t="s">
        <v>1698</v>
      </c>
      <c r="G2896" s="68">
        <f>G2874</f>
        <v>24912</v>
      </c>
    </row>
    <row r="2897" spans="1:9">
      <c r="B2897" s="26" t="s">
        <v>1186</v>
      </c>
      <c r="F2897" s="171" t="s">
        <v>1698</v>
      </c>
      <c r="G2897" s="68">
        <f>G2882</f>
        <v>6460.2000000000007</v>
      </c>
    </row>
    <row r="2898" spans="1:9">
      <c r="B2898" s="26" t="s">
        <v>2660</v>
      </c>
      <c r="F2898" s="171" t="s">
        <v>1698</v>
      </c>
      <c r="G2898" s="75">
        <f>G2890</f>
        <v>18465.400000000001</v>
      </c>
    </row>
    <row r="2899" spans="1:9">
      <c r="B2899" s="26"/>
      <c r="E2899" s="171" t="s">
        <v>5551</v>
      </c>
      <c r="F2899" s="171" t="s">
        <v>1698</v>
      </c>
      <c r="G2899" s="205">
        <f>SUM(G2896:G2898)</f>
        <v>49837.600000000006</v>
      </c>
    </row>
    <row r="2900" spans="1:9">
      <c r="B2900" s="26" t="s">
        <v>5087</v>
      </c>
      <c r="E2900" s="693">
        <f>'BASIC DATA'!C593</f>
        <v>0</v>
      </c>
      <c r="F2900" s="171" t="s">
        <v>1698</v>
      </c>
      <c r="G2900" s="68">
        <f>(G2898+G2897)*0.75*E2900</f>
        <v>0</v>
      </c>
    </row>
    <row r="2901" spans="1:9">
      <c r="B2901" s="26" t="s">
        <v>5084</v>
      </c>
      <c r="E2901" s="171" t="s">
        <v>1518</v>
      </c>
      <c r="F2901" s="171" t="s">
        <v>1698</v>
      </c>
      <c r="G2901" s="205">
        <f>G2900+G2899</f>
        <v>49837.600000000006</v>
      </c>
    </row>
    <row r="2902" spans="1:9">
      <c r="B2902" s="26" t="s">
        <v>5086</v>
      </c>
      <c r="E2902" s="201">
        <f>'BASIC DATA'!C594</f>
        <v>0.03</v>
      </c>
      <c r="F2902" s="171" t="s">
        <v>1698</v>
      </c>
      <c r="G2902" s="75">
        <f>G2901*E2902</f>
        <v>1495.1280000000002</v>
      </c>
    </row>
    <row r="2903" spans="1:9">
      <c r="B2903" s="26"/>
      <c r="E2903" s="26" t="s">
        <v>2392</v>
      </c>
      <c r="F2903" s="171" t="s">
        <v>1698</v>
      </c>
      <c r="G2903" s="75">
        <f>G2902+G2901</f>
        <v>51332.728000000003</v>
      </c>
    </row>
    <row r="2904" spans="1:9" ht="41.25" customHeight="1">
      <c r="B2904" s="1207" t="s">
        <v>4717</v>
      </c>
      <c r="C2904" s="1207"/>
      <c r="D2904" s="922">
        <f>'BASIC DATA'!$C$577</f>
        <v>0.13614999999999999</v>
      </c>
      <c r="F2904" s="171" t="s">
        <v>1698</v>
      </c>
      <c r="G2904" s="75">
        <f>G2903*D2904</f>
        <v>6988.9509171999998</v>
      </c>
      <c r="I2904" s="68"/>
    </row>
    <row r="2905" spans="1:9" ht="18.75" thickBot="1">
      <c r="B2905" s="26" t="s">
        <v>5078</v>
      </c>
      <c r="D2905" s="68">
        <f>F2863</f>
        <v>100</v>
      </c>
      <c r="E2905" s="26" t="s">
        <v>3479</v>
      </c>
      <c r="F2905" s="171" t="s">
        <v>1698</v>
      </c>
      <c r="G2905" s="205">
        <f>G2904+G2903</f>
        <v>58321.678917199999</v>
      </c>
    </row>
    <row r="2906" spans="1:9" ht="18.75" thickBot="1">
      <c r="D2906" s="694" t="s">
        <v>3884</v>
      </c>
      <c r="E2906" s="695" t="s">
        <v>5915</v>
      </c>
      <c r="F2906" s="696" t="s">
        <v>1698</v>
      </c>
      <c r="G2906" s="715">
        <f>ROUND(G2905/D2905,1)</f>
        <v>583.20000000000005</v>
      </c>
      <c r="H2906" s="68"/>
    </row>
    <row r="2907" spans="1:9">
      <c r="B2907" s="26"/>
      <c r="C2907" s="78"/>
    </row>
    <row r="2908" spans="1:9">
      <c r="B2908" s="26"/>
    </row>
    <row r="2909" spans="1:9">
      <c r="B2909" s="26"/>
      <c r="C2909" s="78"/>
    </row>
    <row r="2910" spans="1:9">
      <c r="A2910" s="822" t="s">
        <v>7186</v>
      </c>
      <c r="B2910" s="170" t="s">
        <v>3023</v>
      </c>
    </row>
    <row r="2911" spans="1:9">
      <c r="B2911" s="26"/>
    </row>
    <row r="2912" spans="1:9">
      <c r="B2912" s="26" t="s">
        <v>9073</v>
      </c>
      <c r="E2912" s="322"/>
    </row>
    <row r="2913" spans="1:6">
      <c r="B2913" s="26" t="s">
        <v>9465</v>
      </c>
      <c r="E2913" s="322"/>
    </row>
    <row r="2914" spans="1:6">
      <c r="B2914" s="26" t="s">
        <v>9466</v>
      </c>
      <c r="E2914" s="322"/>
    </row>
    <row r="2915" spans="1:6">
      <c r="B2915" s="26" t="s">
        <v>9076</v>
      </c>
    </row>
    <row r="2916" spans="1:6">
      <c r="B2916" s="26" t="s">
        <v>787</v>
      </c>
    </row>
    <row r="2917" spans="1:6">
      <c r="B2917" s="26" t="s">
        <v>788</v>
      </c>
    </row>
    <row r="2918" spans="1:6">
      <c r="B2918" s="26" t="s">
        <v>789</v>
      </c>
      <c r="E2918" s="322"/>
    </row>
    <row r="2919" spans="1:6">
      <c r="B2919" s="26"/>
      <c r="E2919" s="322"/>
    </row>
    <row r="2920" spans="1:6">
      <c r="A2920" s="865" t="s">
        <v>3984</v>
      </c>
      <c r="B2920" s="26" t="s">
        <v>4004</v>
      </c>
    </row>
    <row r="2921" spans="1:6">
      <c r="B2921" s="26" t="s">
        <v>5780</v>
      </c>
    </row>
    <row r="2922" spans="1:6">
      <c r="B2922" s="26"/>
      <c r="E2922" s="78"/>
    </row>
    <row r="2923" spans="1:6">
      <c r="B2923" s="26" t="s">
        <v>9446</v>
      </c>
      <c r="E2923" s="78">
        <v>25</v>
      </c>
      <c r="F2923" s="68" t="s">
        <v>9448</v>
      </c>
    </row>
    <row r="2924" spans="1:6">
      <c r="B2924" s="26" t="s">
        <v>9447</v>
      </c>
      <c r="E2924" s="78"/>
    </row>
    <row r="2925" spans="1:6">
      <c r="B2925" s="26"/>
      <c r="E2925" s="78"/>
    </row>
    <row r="2926" spans="1:6">
      <c r="B2926" s="26" t="s">
        <v>9449</v>
      </c>
      <c r="E2926" s="68">
        <f>E2923-E2923*30%</f>
        <v>17.5</v>
      </c>
      <c r="F2926" s="26" t="s">
        <v>9448</v>
      </c>
    </row>
    <row r="2927" spans="1:6">
      <c r="B2927" s="26" t="s">
        <v>9450</v>
      </c>
      <c r="E2927" s="78">
        <f>ROUND(100/E2926,2)</f>
        <v>5.71</v>
      </c>
      <c r="F2927" s="26" t="s">
        <v>9451</v>
      </c>
    </row>
    <row r="2928" spans="1:6">
      <c r="B2928" s="26"/>
      <c r="D2928" s="26" t="s">
        <v>9452</v>
      </c>
      <c r="E2928" s="78">
        <v>6</v>
      </c>
      <c r="F2928" s="26" t="s">
        <v>9451</v>
      </c>
    </row>
    <row r="2929" spans="1:7">
      <c r="B2929" s="26"/>
      <c r="E2929" s="78"/>
      <c r="F2929" s="68"/>
    </row>
    <row r="2930" spans="1:7">
      <c r="B2930" s="26"/>
      <c r="E2930" s="315"/>
      <c r="F2930" s="68"/>
    </row>
    <row r="2931" spans="1:7">
      <c r="A2931" s="865" t="s">
        <v>3984</v>
      </c>
      <c r="C2931" s="203" t="s">
        <v>2367</v>
      </c>
      <c r="E2931" s="171" t="s">
        <v>297</v>
      </c>
      <c r="F2931" s="692">
        <v>100</v>
      </c>
      <c r="G2931" s="26" t="s">
        <v>9291</v>
      </c>
    </row>
    <row r="2932" spans="1:7" ht="18.75">
      <c r="B2932" s="79" t="s">
        <v>9072</v>
      </c>
    </row>
    <row r="2933" spans="1:7">
      <c r="B2933" s="95" t="s">
        <v>2369</v>
      </c>
      <c r="C2933" s="157" t="s">
        <v>6374</v>
      </c>
      <c r="D2933" s="95" t="s">
        <v>2370</v>
      </c>
      <c r="E2933" s="95" t="s">
        <v>1166</v>
      </c>
      <c r="F2933" s="95" t="s">
        <v>2371</v>
      </c>
      <c r="G2933" s="95" t="s">
        <v>2372</v>
      </c>
    </row>
    <row r="2934" spans="1:7">
      <c r="B2934" s="114"/>
      <c r="C2934" s="154"/>
      <c r="D2934" s="114"/>
      <c r="E2934" s="114"/>
      <c r="F2934" s="114" t="s">
        <v>3485</v>
      </c>
      <c r="G2934" s="114" t="s">
        <v>3485</v>
      </c>
    </row>
    <row r="2935" spans="1:7">
      <c r="B2935" s="105">
        <v>1</v>
      </c>
      <c r="C2935" s="135" t="s">
        <v>4759</v>
      </c>
      <c r="D2935" s="319" t="s">
        <v>3482</v>
      </c>
      <c r="E2935" s="105">
        <v>13</v>
      </c>
      <c r="F2935" s="105">
        <f>'BASIC DATA'!$D$168</f>
        <v>130</v>
      </c>
      <c r="G2935" s="134">
        <f t="shared" ref="G2935:G2941" si="56">E2935*F2935</f>
        <v>1690</v>
      </c>
    </row>
    <row r="2936" spans="1:7">
      <c r="B2936" s="105">
        <v>2</v>
      </c>
      <c r="C2936" s="147" t="s">
        <v>9467</v>
      </c>
      <c r="D2936" s="319" t="s">
        <v>3482</v>
      </c>
      <c r="E2936" s="105">
        <v>28</v>
      </c>
      <c r="F2936" s="105">
        <f>'BASIC DATA'!D113</f>
        <v>180</v>
      </c>
      <c r="G2936" s="134">
        <f t="shared" si="56"/>
        <v>5040</v>
      </c>
    </row>
    <row r="2937" spans="1:7">
      <c r="B2937" s="105">
        <v>3</v>
      </c>
      <c r="C2937" s="38" t="s">
        <v>9458</v>
      </c>
      <c r="D2937" s="319" t="s">
        <v>3482</v>
      </c>
      <c r="E2937" s="105">
        <f>E2936*10%</f>
        <v>2.8000000000000003</v>
      </c>
      <c r="F2937" s="82">
        <f>'BASIC DATA'!$D$818</f>
        <v>100</v>
      </c>
      <c r="G2937" s="134">
        <f t="shared" si="56"/>
        <v>280</v>
      </c>
    </row>
    <row r="2938" spans="1:7">
      <c r="B2938" s="105">
        <v>4</v>
      </c>
      <c r="C2938" s="135" t="s">
        <v>9468</v>
      </c>
      <c r="D2938" s="319" t="s">
        <v>3482</v>
      </c>
      <c r="E2938" s="134">
        <v>17</v>
      </c>
      <c r="F2938" s="134">
        <f>'BASIC DATA'!$D$100</f>
        <v>260</v>
      </c>
      <c r="G2938" s="134">
        <f t="shared" si="56"/>
        <v>4420</v>
      </c>
    </row>
    <row r="2939" spans="1:7">
      <c r="B2939" s="105">
        <v>5</v>
      </c>
      <c r="C2939" s="38" t="s">
        <v>9458</v>
      </c>
      <c r="D2939" s="319" t="s">
        <v>3482</v>
      </c>
      <c r="E2939" s="105">
        <f>E2938*10%</f>
        <v>1.7000000000000002</v>
      </c>
      <c r="F2939" s="82">
        <f>'BASIC DATA'!$D$818</f>
        <v>100</v>
      </c>
      <c r="G2939" s="134">
        <f t="shared" si="56"/>
        <v>170.00000000000003</v>
      </c>
    </row>
    <row r="2940" spans="1:7">
      <c r="B2940" s="105">
        <v>6</v>
      </c>
      <c r="C2940" s="135" t="s">
        <v>3851</v>
      </c>
      <c r="D2940" s="319" t="s">
        <v>2059</v>
      </c>
      <c r="E2940" s="803">
        <v>2</v>
      </c>
      <c r="F2940" s="134">
        <f>'BASIC DATA'!$D$111</f>
        <v>41</v>
      </c>
      <c r="G2940" s="134">
        <f t="shared" si="56"/>
        <v>82</v>
      </c>
    </row>
    <row r="2941" spans="1:7">
      <c r="B2941" s="114">
        <v>7</v>
      </c>
      <c r="C2941" s="135" t="s">
        <v>2373</v>
      </c>
      <c r="D2941" s="319" t="s">
        <v>2173</v>
      </c>
      <c r="E2941" s="134">
        <v>3</v>
      </c>
      <c r="F2941" s="134">
        <f>'BASIC DATA'!$D$359</f>
        <v>30</v>
      </c>
      <c r="G2941" s="134">
        <f t="shared" si="56"/>
        <v>90</v>
      </c>
    </row>
    <row r="2942" spans="1:7">
      <c r="B2942" s="92"/>
      <c r="C2942" s="193"/>
      <c r="D2942" s="151" t="s">
        <v>2376</v>
      </c>
      <c r="E2942" s="160"/>
      <c r="F2942" s="236"/>
      <c r="G2942" s="737">
        <f>SUM(G2935:G2941)</f>
        <v>11772</v>
      </c>
    </row>
    <row r="2943" spans="1:7">
      <c r="B2943" s="33"/>
      <c r="C2943" s="30"/>
      <c r="D2943" s="31"/>
      <c r="E2943" s="198"/>
      <c r="F2943" s="200"/>
      <c r="G2943" s="75"/>
    </row>
    <row r="2944" spans="1:7">
      <c r="B2944" s="239" t="s">
        <v>2377</v>
      </c>
    </row>
    <row r="2945" spans="2:7">
      <c r="B2945" s="105" t="s">
        <v>2369</v>
      </c>
      <c r="C2945" s="157" t="s">
        <v>2378</v>
      </c>
      <c r="D2945" s="95" t="s">
        <v>2370</v>
      </c>
      <c r="E2945" s="97" t="s">
        <v>1166</v>
      </c>
      <c r="F2945" s="95" t="s">
        <v>2371</v>
      </c>
      <c r="G2945" s="95" t="s">
        <v>2372</v>
      </c>
    </row>
    <row r="2946" spans="2:7">
      <c r="B2946" s="114"/>
      <c r="C2946" s="154"/>
      <c r="D2946" s="191"/>
      <c r="E2946" s="192"/>
      <c r="F2946" s="114" t="s">
        <v>3485</v>
      </c>
      <c r="G2946" s="114" t="s">
        <v>3485</v>
      </c>
    </row>
    <row r="2947" spans="2:7">
      <c r="B2947" s="105">
        <v>1</v>
      </c>
      <c r="C2947" s="39" t="s">
        <v>9454</v>
      </c>
      <c r="D2947" s="36" t="s">
        <v>9451</v>
      </c>
      <c r="E2947" s="82">
        <v>6</v>
      </c>
      <c r="F2947" s="82">
        <f>'HIRE CHARGES'!$G$561</f>
        <v>121.4</v>
      </c>
      <c r="G2947" s="82">
        <f>E2947*F2947</f>
        <v>728.40000000000009</v>
      </c>
    </row>
    <row r="2948" spans="2:7" ht="36">
      <c r="B2948" s="105">
        <v>2</v>
      </c>
      <c r="C2948" s="63" t="s">
        <v>9459</v>
      </c>
      <c r="D2948" s="36" t="s">
        <v>9451</v>
      </c>
      <c r="E2948" s="82">
        <v>6</v>
      </c>
      <c r="F2948" s="82">
        <f>'HIRE CHARGES'!$D$494</f>
        <v>241.3</v>
      </c>
      <c r="G2948" s="82">
        <f>E2948*F2948</f>
        <v>1447.8000000000002</v>
      </c>
    </row>
    <row r="2949" spans="2:7">
      <c r="B2949" s="105">
        <v>3</v>
      </c>
      <c r="C2949" s="39" t="s">
        <v>9455</v>
      </c>
      <c r="D2949" s="36" t="s">
        <v>9451</v>
      </c>
      <c r="E2949" s="82">
        <v>6</v>
      </c>
      <c r="F2949" s="82">
        <f>'HIRE CHARGES'!$E$494</f>
        <v>714</v>
      </c>
      <c r="G2949" s="82">
        <f>E2949*F2949</f>
        <v>4284</v>
      </c>
    </row>
    <row r="2950" spans="2:7">
      <c r="B2950" s="92"/>
      <c r="C2950" s="193"/>
      <c r="D2950" s="151" t="s">
        <v>4498</v>
      </c>
      <c r="E2950" s="160"/>
      <c r="F2950" s="236"/>
      <c r="G2950" s="737">
        <f>SUM(G2947:G2949)</f>
        <v>6460.2000000000007</v>
      </c>
    </row>
    <row r="2951" spans="2:7"/>
    <row r="2952" spans="2:7">
      <c r="B2952" s="26" t="s">
        <v>6252</v>
      </c>
    </row>
    <row r="2953" spans="2:7">
      <c r="B2953" s="95" t="s">
        <v>2369</v>
      </c>
      <c r="C2953" s="175" t="s">
        <v>2378</v>
      </c>
      <c r="D2953" s="95" t="s">
        <v>2370</v>
      </c>
      <c r="E2953" s="95" t="s">
        <v>1166</v>
      </c>
      <c r="F2953" s="95" t="s">
        <v>2371</v>
      </c>
      <c r="G2953" s="95" t="s">
        <v>2372</v>
      </c>
    </row>
    <row r="2954" spans="2:7">
      <c r="B2954" s="114"/>
      <c r="C2954" s="154"/>
      <c r="D2954" s="114"/>
      <c r="E2954" s="114"/>
      <c r="F2954" s="114" t="s">
        <v>3485</v>
      </c>
      <c r="G2954" s="114" t="s">
        <v>3485</v>
      </c>
    </row>
    <row r="2955" spans="2:7">
      <c r="B2955" s="105">
        <v>1</v>
      </c>
      <c r="C2955" s="147" t="s">
        <v>9456</v>
      </c>
      <c r="D2955" s="95" t="s">
        <v>1172</v>
      </c>
      <c r="E2955" s="82">
        <v>6</v>
      </c>
      <c r="F2955" s="134">
        <f>'HIRE CHARGES'!$F$494</f>
        <v>210.9</v>
      </c>
      <c r="G2955" s="111">
        <f>F2955*E2955</f>
        <v>1265.4000000000001</v>
      </c>
    </row>
    <row r="2956" spans="2:7">
      <c r="B2956" s="105">
        <v>2</v>
      </c>
      <c r="C2956" s="131" t="s">
        <v>9457</v>
      </c>
      <c r="D2956" s="95" t="s">
        <v>1172</v>
      </c>
      <c r="E2956" s="82">
        <v>20</v>
      </c>
      <c r="F2956" s="111">
        <f>'BASIC DATA'!$C$498</f>
        <v>510</v>
      </c>
      <c r="G2956" s="111">
        <f>F2956*E2956</f>
        <v>10200</v>
      </c>
    </row>
    <row r="2957" spans="2:7">
      <c r="B2957" s="105">
        <v>3</v>
      </c>
      <c r="C2957" s="139" t="s">
        <v>6199</v>
      </c>
      <c r="D2957" s="114" t="s">
        <v>1172</v>
      </c>
      <c r="E2957" s="82">
        <v>20</v>
      </c>
      <c r="F2957" s="799">
        <f>'BASIC DATA'!$C$552</f>
        <v>350</v>
      </c>
      <c r="G2957" s="799">
        <f>E2957*F2957</f>
        <v>7000</v>
      </c>
    </row>
    <row r="2958" spans="2:7">
      <c r="B2958" s="92"/>
      <c r="C2958" s="193"/>
      <c r="D2958" s="151" t="s">
        <v>1174</v>
      </c>
      <c r="E2958" s="160"/>
      <c r="F2958" s="236"/>
      <c r="G2958" s="737">
        <f>SUM(G2955:G2957)</f>
        <v>18465.400000000001</v>
      </c>
    </row>
    <row r="2959" spans="2:7">
      <c r="B2959" s="60" t="s">
        <v>5948</v>
      </c>
      <c r="C2959" s="31"/>
      <c r="D2959" s="31"/>
      <c r="E2959" s="85">
        <f>ROUND(G2958/100,1)</f>
        <v>184.7</v>
      </c>
    </row>
    <row r="2960" spans="2:7">
      <c r="B2960" s="60" t="s">
        <v>3163</v>
      </c>
      <c r="C2960" s="31"/>
      <c r="D2960" s="922">
        <f>'BASIC DATA'!$C$577</f>
        <v>0.13614999999999999</v>
      </c>
      <c r="E2960" s="85">
        <f>ROUND(E2959*D2960,1)</f>
        <v>25.1</v>
      </c>
    </row>
    <row r="2961" spans="2:9">
      <c r="B2961" s="60" t="s">
        <v>5949</v>
      </c>
      <c r="C2961" s="31"/>
      <c r="D2961" s="31"/>
      <c r="E2961" s="739">
        <f>E2960+E2959</f>
        <v>209.79999999999998</v>
      </c>
    </row>
    <row r="2962" spans="2:9">
      <c r="B2962" s="33"/>
      <c r="C2962" s="31"/>
      <c r="D2962" s="31"/>
      <c r="E2962" s="198"/>
      <c r="F2962" s="200"/>
      <c r="G2962" s="75"/>
    </row>
    <row r="2963" spans="2:9">
      <c r="B2963" s="170" t="s">
        <v>1175</v>
      </c>
    </row>
    <row r="2964" spans="2:9">
      <c r="B2964" s="26" t="s">
        <v>1176</v>
      </c>
      <c r="F2964" s="171" t="s">
        <v>4108</v>
      </c>
      <c r="G2964" s="68">
        <f>G2942</f>
        <v>11772</v>
      </c>
    </row>
    <row r="2965" spans="2:9">
      <c r="B2965" s="26" t="s">
        <v>1186</v>
      </c>
      <c r="F2965" s="171" t="s">
        <v>4108</v>
      </c>
      <c r="G2965" s="68">
        <f>G2950</f>
        <v>6460.2000000000007</v>
      </c>
    </row>
    <row r="2966" spans="2:9">
      <c r="B2966" s="26" t="s">
        <v>2660</v>
      </c>
      <c r="F2966" s="171" t="s">
        <v>4108</v>
      </c>
      <c r="G2966" s="68">
        <f>G2958</f>
        <v>18465.400000000001</v>
      </c>
    </row>
    <row r="2967" spans="2:9">
      <c r="B2967" s="26"/>
      <c r="E2967" s="171" t="s">
        <v>5551</v>
      </c>
      <c r="F2967" s="171" t="s">
        <v>1698</v>
      </c>
      <c r="G2967" s="205">
        <f>SUM(G2964:G2966)</f>
        <v>36697.600000000006</v>
      </c>
    </row>
    <row r="2968" spans="2:9">
      <c r="B2968" s="26" t="s">
        <v>5087</v>
      </c>
      <c r="E2968" s="693">
        <f>'BASIC DATA'!C593</f>
        <v>0</v>
      </c>
      <c r="F2968" s="171" t="s">
        <v>1698</v>
      </c>
      <c r="G2968" s="68">
        <f>(G2966+G2965)*0.75*E2968</f>
        <v>0</v>
      </c>
    </row>
    <row r="2969" spans="2:9">
      <c r="B2969" s="26" t="s">
        <v>5084</v>
      </c>
      <c r="E2969" s="171" t="s">
        <v>1518</v>
      </c>
      <c r="F2969" s="171" t="s">
        <v>1698</v>
      </c>
      <c r="G2969" s="205">
        <f>G2968+G2967</f>
        <v>36697.600000000006</v>
      </c>
    </row>
    <row r="2970" spans="2:9">
      <c r="B2970" s="26" t="s">
        <v>5086</v>
      </c>
      <c r="E2970" s="201">
        <f>'BASIC DATA'!C594</f>
        <v>0.03</v>
      </c>
      <c r="F2970" s="171" t="s">
        <v>1698</v>
      </c>
      <c r="G2970" s="75">
        <f>G2969*E2970</f>
        <v>1100.9280000000001</v>
      </c>
    </row>
    <row r="2971" spans="2:9">
      <c r="B2971" s="26"/>
      <c r="E2971" s="26" t="s">
        <v>2392</v>
      </c>
      <c r="F2971" s="171" t="s">
        <v>1698</v>
      </c>
      <c r="G2971" s="75">
        <f>G2970+G2969</f>
        <v>37798.528000000006</v>
      </c>
    </row>
    <row r="2972" spans="2:9" ht="40.5" customHeight="1">
      <c r="B2972" s="1207" t="s">
        <v>4717</v>
      </c>
      <c r="C2972" s="1207"/>
      <c r="D2972" s="922">
        <f>'BASIC DATA'!$C$577</f>
        <v>0.13614999999999999</v>
      </c>
      <c r="F2972" s="171" t="s">
        <v>1698</v>
      </c>
      <c r="G2972" s="75">
        <f>G2971*D2972</f>
        <v>5146.2695872000004</v>
      </c>
      <c r="I2972" s="68"/>
    </row>
    <row r="2973" spans="2:9">
      <c r="B2973" s="26" t="s">
        <v>5078</v>
      </c>
      <c r="D2973" s="68">
        <f>F2931</f>
        <v>100</v>
      </c>
      <c r="E2973" s="26" t="s">
        <v>3479</v>
      </c>
      <c r="F2973" s="171" t="s">
        <v>1698</v>
      </c>
      <c r="G2973" s="205">
        <f>G2972+G2971</f>
        <v>42944.79758720001</v>
      </c>
    </row>
    <row r="2974" spans="2:9">
      <c r="D2974" s="733" t="s">
        <v>3884</v>
      </c>
      <c r="E2974" s="314" t="s">
        <v>5915</v>
      </c>
      <c r="F2974" s="200"/>
      <c r="G2974" s="766">
        <f>ROUND(G2973/D2973,1)</f>
        <v>429.4</v>
      </c>
      <c r="H2974" s="68"/>
    </row>
    <row r="2975" spans="2:9">
      <c r="B2975" s="26"/>
      <c r="C2975" s="78"/>
    </row>
    <row r="2976" spans="2:9">
      <c r="B2976" s="26"/>
    </row>
    <row r="2977" spans="1:6">
      <c r="B2977" s="170" t="s">
        <v>1625</v>
      </c>
    </row>
    <row r="2978" spans="1:6">
      <c r="A2978" s="822" t="s">
        <v>7187</v>
      </c>
      <c r="B2978" s="26" t="s">
        <v>9077</v>
      </c>
      <c r="E2978" s="322"/>
    </row>
    <row r="2979" spans="1:6">
      <c r="B2979" s="26" t="s">
        <v>9469</v>
      </c>
      <c r="E2979" s="322"/>
    </row>
    <row r="2980" spans="1:6">
      <c r="B2980" s="26" t="s">
        <v>9600</v>
      </c>
      <c r="E2980" s="322"/>
    </row>
    <row r="2981" spans="1:6">
      <c r="B2981" s="26" t="s">
        <v>9601</v>
      </c>
      <c r="E2981" s="322"/>
    </row>
    <row r="2982" spans="1:6">
      <c r="B2982" s="26"/>
      <c r="E2982" s="322"/>
    </row>
    <row r="2983" spans="1:6">
      <c r="A2983" s="865" t="s">
        <v>3984</v>
      </c>
      <c r="B2983" s="26" t="s">
        <v>4004</v>
      </c>
    </row>
    <row r="2984" spans="1:6">
      <c r="B2984" s="26" t="s">
        <v>5780</v>
      </c>
    </row>
    <row r="2985" spans="1:6">
      <c r="B2985" s="26"/>
      <c r="E2985" s="78"/>
    </row>
    <row r="2986" spans="1:6">
      <c r="B2986" s="26" t="s">
        <v>9446</v>
      </c>
      <c r="E2986" s="78">
        <v>25</v>
      </c>
      <c r="F2986" s="68" t="s">
        <v>9448</v>
      </c>
    </row>
    <row r="2987" spans="1:6">
      <c r="B2987" s="26" t="s">
        <v>9447</v>
      </c>
      <c r="E2987" s="78"/>
    </row>
    <row r="2988" spans="1:6">
      <c r="B2988" s="26"/>
      <c r="E2988" s="78"/>
    </row>
    <row r="2989" spans="1:6">
      <c r="B2989" s="26" t="s">
        <v>9449</v>
      </c>
      <c r="E2989" s="68">
        <f>E2986-E2986*30%</f>
        <v>17.5</v>
      </c>
      <c r="F2989" s="26" t="s">
        <v>9448</v>
      </c>
    </row>
    <row r="2990" spans="1:6">
      <c r="B2990" s="26" t="s">
        <v>9450</v>
      </c>
      <c r="E2990" s="78">
        <f>ROUND(100/E2989,2)</f>
        <v>5.71</v>
      </c>
      <c r="F2990" s="26" t="s">
        <v>9451</v>
      </c>
    </row>
    <row r="2991" spans="1:6">
      <c r="B2991" s="26"/>
      <c r="D2991" s="26" t="s">
        <v>9452</v>
      </c>
      <c r="E2991" s="78">
        <v>6</v>
      </c>
      <c r="F2991" s="26" t="s">
        <v>9451</v>
      </c>
    </row>
    <row r="2992" spans="1:6">
      <c r="B2992" s="26"/>
      <c r="E2992" s="322"/>
    </row>
    <row r="2993" spans="1:7">
      <c r="A2993" s="865" t="s">
        <v>3984</v>
      </c>
      <c r="C2993" s="203" t="s">
        <v>2367</v>
      </c>
      <c r="E2993" s="171" t="s">
        <v>297</v>
      </c>
      <c r="F2993" s="692">
        <v>100</v>
      </c>
      <c r="G2993" s="26" t="s">
        <v>9291</v>
      </c>
    </row>
    <row r="2994" spans="1:7">
      <c r="B2994" s="79" t="s">
        <v>2368</v>
      </c>
    </row>
    <row r="2995" spans="1:7">
      <c r="B2995" s="95" t="s">
        <v>2369</v>
      </c>
      <c r="C2995" s="157" t="s">
        <v>6374</v>
      </c>
      <c r="D2995" s="95" t="s">
        <v>2370</v>
      </c>
      <c r="E2995" s="95" t="s">
        <v>1166</v>
      </c>
      <c r="F2995" s="95" t="s">
        <v>2371</v>
      </c>
      <c r="G2995" s="95" t="s">
        <v>2372</v>
      </c>
    </row>
    <row r="2996" spans="1:7">
      <c r="B2996" s="114"/>
      <c r="C2996" s="154"/>
      <c r="D2996" s="114"/>
      <c r="E2996" s="114"/>
      <c r="F2996" s="114" t="s">
        <v>3485</v>
      </c>
      <c r="G2996" s="114" t="s">
        <v>3485</v>
      </c>
    </row>
    <row r="2997" spans="1:7">
      <c r="B2997" s="105">
        <v>1</v>
      </c>
      <c r="C2997" s="135" t="s">
        <v>4759</v>
      </c>
      <c r="D2997" s="319" t="s">
        <v>3482</v>
      </c>
      <c r="E2997" s="105">
        <v>13</v>
      </c>
      <c r="F2997" s="105">
        <f>'BASIC DATA'!$D$168</f>
        <v>130</v>
      </c>
      <c r="G2997" s="134">
        <f t="shared" ref="G2997:G3003" si="57">E2997*F2997</f>
        <v>1690</v>
      </c>
    </row>
    <row r="2998" spans="1:7">
      <c r="B2998" s="105">
        <v>2</v>
      </c>
      <c r="C2998" s="135" t="s">
        <v>4758</v>
      </c>
      <c r="D2998" s="319" t="s">
        <v>3482</v>
      </c>
      <c r="E2998" s="105">
        <v>14</v>
      </c>
      <c r="F2998" s="105">
        <f>'BASIC DATA'!$D$185</f>
        <v>700</v>
      </c>
      <c r="G2998" s="134">
        <f t="shared" si="57"/>
        <v>9800</v>
      </c>
    </row>
    <row r="2999" spans="1:7">
      <c r="B2999" s="105">
        <v>3</v>
      </c>
      <c r="C2999" s="38" t="s">
        <v>9458</v>
      </c>
      <c r="D2999" s="319" t="s">
        <v>3482</v>
      </c>
      <c r="E2999" s="105">
        <f>E2998*10%</f>
        <v>1.4000000000000001</v>
      </c>
      <c r="F2999" s="82">
        <f>'BASIC DATA'!$D$818</f>
        <v>100</v>
      </c>
      <c r="G2999" s="134">
        <f t="shared" si="57"/>
        <v>140</v>
      </c>
    </row>
    <row r="3000" spans="1:7">
      <c r="B3000" s="105">
        <v>4</v>
      </c>
      <c r="C3000" s="135" t="s">
        <v>9602</v>
      </c>
      <c r="D3000" s="319" t="s">
        <v>3482</v>
      </c>
      <c r="E3000" s="105">
        <v>40</v>
      </c>
      <c r="F3000" s="105">
        <f>'BASIC DATA'!$D$115</f>
        <v>260</v>
      </c>
      <c r="G3000" s="134">
        <f t="shared" si="57"/>
        <v>10400</v>
      </c>
    </row>
    <row r="3001" spans="1:7">
      <c r="B3001" s="105">
        <v>5</v>
      </c>
      <c r="C3001" s="38" t="s">
        <v>9458</v>
      </c>
      <c r="D3001" s="319" t="s">
        <v>3482</v>
      </c>
      <c r="E3001" s="105">
        <f>E3000*10%</f>
        <v>4</v>
      </c>
      <c r="F3001" s="82">
        <f>'BASIC DATA'!$D$818</f>
        <v>100</v>
      </c>
      <c r="G3001" s="134">
        <f t="shared" si="57"/>
        <v>400</v>
      </c>
    </row>
    <row r="3002" spans="1:7">
      <c r="B3002" s="105">
        <v>6</v>
      </c>
      <c r="C3002" s="135" t="s">
        <v>3851</v>
      </c>
      <c r="D3002" s="319" t="s">
        <v>2059</v>
      </c>
      <c r="E3002" s="105">
        <v>2</v>
      </c>
      <c r="F3002" s="105">
        <f>'BASIC DATA'!$D$111</f>
        <v>41</v>
      </c>
      <c r="G3002" s="134">
        <f t="shared" si="57"/>
        <v>82</v>
      </c>
    </row>
    <row r="3003" spans="1:7">
      <c r="B3003" s="105">
        <v>7</v>
      </c>
      <c r="C3003" s="135" t="s">
        <v>2373</v>
      </c>
      <c r="D3003" s="319" t="s">
        <v>2173</v>
      </c>
      <c r="E3003" s="105">
        <v>3</v>
      </c>
      <c r="F3003" s="105">
        <f>'BASIC DATA'!$D$359</f>
        <v>30</v>
      </c>
      <c r="G3003" s="134">
        <f t="shared" si="57"/>
        <v>90</v>
      </c>
    </row>
    <row r="3004" spans="1:7">
      <c r="B3004" s="92"/>
      <c r="C3004" s="193"/>
      <c r="D3004" s="151" t="s">
        <v>2376</v>
      </c>
      <c r="E3004" s="160"/>
      <c r="F3004" s="236" t="s">
        <v>1698</v>
      </c>
      <c r="G3004" s="737">
        <f>SUM(G2997:G3003)</f>
        <v>22602</v>
      </c>
    </row>
    <row r="3005" spans="1:7"/>
    <row r="3006" spans="1:7">
      <c r="B3006" s="79" t="s">
        <v>2377</v>
      </c>
    </row>
    <row r="3007" spans="1:7">
      <c r="B3007" s="95" t="s">
        <v>2369</v>
      </c>
      <c r="C3007" s="157" t="s">
        <v>2378</v>
      </c>
      <c r="D3007" s="95" t="s">
        <v>2370</v>
      </c>
      <c r="E3007" s="95" t="s">
        <v>1166</v>
      </c>
      <c r="F3007" s="95" t="s">
        <v>2371</v>
      </c>
      <c r="G3007" s="95" t="s">
        <v>2372</v>
      </c>
    </row>
    <row r="3008" spans="1:7">
      <c r="B3008" s="114"/>
      <c r="C3008" s="174"/>
      <c r="D3008" s="114"/>
      <c r="E3008" s="114"/>
      <c r="F3008" s="114" t="s">
        <v>3485</v>
      </c>
      <c r="G3008" s="114" t="s">
        <v>3485</v>
      </c>
    </row>
    <row r="3009" spans="2:7">
      <c r="B3009" s="105">
        <v>1</v>
      </c>
      <c r="C3009" s="39" t="s">
        <v>9454</v>
      </c>
      <c r="D3009" s="36" t="s">
        <v>9451</v>
      </c>
      <c r="E3009" s="82">
        <v>6</v>
      </c>
      <c r="F3009" s="82">
        <f>'HIRE CHARGES'!$G$561</f>
        <v>121.4</v>
      </c>
      <c r="G3009" s="82">
        <f>E3009*F3009</f>
        <v>728.40000000000009</v>
      </c>
    </row>
    <row r="3010" spans="2:7" ht="36">
      <c r="B3010" s="105">
        <v>2</v>
      </c>
      <c r="C3010" s="63" t="s">
        <v>9459</v>
      </c>
      <c r="D3010" s="36" t="s">
        <v>9451</v>
      </c>
      <c r="E3010" s="82">
        <v>6</v>
      </c>
      <c r="F3010" s="82">
        <f>'HIRE CHARGES'!$D$494</f>
        <v>241.3</v>
      </c>
      <c r="G3010" s="82">
        <f>E3010*F3010</f>
        <v>1447.8000000000002</v>
      </c>
    </row>
    <row r="3011" spans="2:7">
      <c r="B3011" s="105">
        <v>3</v>
      </c>
      <c r="C3011" s="39" t="s">
        <v>9455</v>
      </c>
      <c r="D3011" s="36" t="s">
        <v>9451</v>
      </c>
      <c r="E3011" s="82">
        <v>6</v>
      </c>
      <c r="F3011" s="82">
        <f>'HIRE CHARGES'!$E$494</f>
        <v>714</v>
      </c>
      <c r="G3011" s="82">
        <f>E3011*F3011</f>
        <v>4284</v>
      </c>
    </row>
    <row r="3012" spans="2:7">
      <c r="B3012" s="92"/>
      <c r="C3012" s="193"/>
      <c r="D3012" s="151" t="s">
        <v>4498</v>
      </c>
      <c r="E3012" s="160"/>
      <c r="F3012" s="236" t="s">
        <v>1698</v>
      </c>
      <c r="G3012" s="737">
        <f>SUM(G3009:G3011)</f>
        <v>6460.2000000000007</v>
      </c>
    </row>
    <row r="3013" spans="2:7"/>
    <row r="3014" spans="2:7">
      <c r="B3014" s="79" t="s">
        <v>2381</v>
      </c>
    </row>
    <row r="3015" spans="2:7">
      <c r="B3015" s="95" t="s">
        <v>2369</v>
      </c>
      <c r="C3015" s="157" t="s">
        <v>2378</v>
      </c>
      <c r="D3015" s="95" t="s">
        <v>2370</v>
      </c>
      <c r="E3015" s="95" t="s">
        <v>1166</v>
      </c>
      <c r="F3015" s="95" t="s">
        <v>2371</v>
      </c>
      <c r="G3015" s="95" t="s">
        <v>2372</v>
      </c>
    </row>
    <row r="3016" spans="2:7">
      <c r="B3016" s="114"/>
      <c r="C3016" s="154"/>
      <c r="D3016" s="114"/>
      <c r="E3016" s="114"/>
      <c r="F3016" s="114" t="s">
        <v>3485</v>
      </c>
      <c r="G3016" s="114" t="s">
        <v>3485</v>
      </c>
    </row>
    <row r="3017" spans="2:7">
      <c r="B3017" s="105">
        <v>1</v>
      </c>
      <c r="C3017" s="147" t="s">
        <v>9456</v>
      </c>
      <c r="D3017" s="95" t="s">
        <v>1172</v>
      </c>
      <c r="E3017" s="82">
        <v>6</v>
      </c>
      <c r="F3017" s="134">
        <f>'HIRE CHARGES'!$F$494</f>
        <v>210.9</v>
      </c>
      <c r="G3017" s="111">
        <f>F3017*E3017</f>
        <v>1265.4000000000001</v>
      </c>
    </row>
    <row r="3018" spans="2:7">
      <c r="B3018" s="105">
        <v>2</v>
      </c>
      <c r="C3018" s="131" t="s">
        <v>9457</v>
      </c>
      <c r="D3018" s="95" t="s">
        <v>1172</v>
      </c>
      <c r="E3018" s="82">
        <v>13</v>
      </c>
      <c r="F3018" s="111">
        <f>'BASIC DATA'!$C$498</f>
        <v>510</v>
      </c>
      <c r="G3018" s="111">
        <f>F3018*E3018</f>
        <v>6630</v>
      </c>
    </row>
    <row r="3019" spans="2:7">
      <c r="B3019" s="105">
        <v>3</v>
      </c>
      <c r="C3019" s="139" t="s">
        <v>6199</v>
      </c>
      <c r="D3019" s="114" t="s">
        <v>1172</v>
      </c>
      <c r="E3019" s="82">
        <v>13</v>
      </c>
      <c r="F3019" s="799">
        <f>'BASIC DATA'!$C$552</f>
        <v>350</v>
      </c>
      <c r="G3019" s="799">
        <f>E3019*F3019</f>
        <v>4550</v>
      </c>
    </row>
    <row r="3020" spans="2:7">
      <c r="B3020" s="92"/>
      <c r="C3020" s="193"/>
      <c r="D3020" s="151" t="s">
        <v>1174</v>
      </c>
      <c r="E3020" s="160"/>
      <c r="F3020" s="236" t="s">
        <v>1698</v>
      </c>
      <c r="G3020" s="737">
        <f>SUM(G3017:G3019)</f>
        <v>12445.4</v>
      </c>
    </row>
    <row r="3021" spans="2:7">
      <c r="B3021" s="60" t="s">
        <v>5948</v>
      </c>
      <c r="C3021" s="31"/>
      <c r="D3021" s="31"/>
      <c r="E3021" s="85">
        <f>ROUND(G3020/100,1)</f>
        <v>124.5</v>
      </c>
    </row>
    <row r="3022" spans="2:7">
      <c r="B3022" s="60" t="s">
        <v>3163</v>
      </c>
      <c r="C3022" s="31"/>
      <c r="D3022" s="922">
        <f>'BASIC DATA'!$C$577</f>
        <v>0.13614999999999999</v>
      </c>
      <c r="E3022" s="85">
        <f>ROUND(E3021*D3022,1)</f>
        <v>17</v>
      </c>
    </row>
    <row r="3023" spans="2:7">
      <c r="B3023" s="60" t="s">
        <v>5949</v>
      </c>
      <c r="C3023" s="31"/>
      <c r="D3023" s="31"/>
      <c r="E3023" s="739">
        <f>E3022+E3021</f>
        <v>141.5</v>
      </c>
    </row>
    <row r="3024" spans="2:7">
      <c r="B3024" s="26"/>
    </row>
    <row r="3025" spans="2:9">
      <c r="B3025" s="170" t="s">
        <v>1175</v>
      </c>
    </row>
    <row r="3026" spans="2:9">
      <c r="B3026" s="26" t="s">
        <v>1176</v>
      </c>
      <c r="F3026" s="171" t="s">
        <v>1698</v>
      </c>
      <c r="G3026" s="68">
        <f>G3004</f>
        <v>22602</v>
      </c>
    </row>
    <row r="3027" spans="2:9">
      <c r="B3027" s="26" t="s">
        <v>1186</v>
      </c>
      <c r="F3027" s="171" t="s">
        <v>1698</v>
      </c>
      <c r="G3027" s="68">
        <f>G3012</f>
        <v>6460.2000000000007</v>
      </c>
    </row>
    <row r="3028" spans="2:9">
      <c r="B3028" s="26" t="s">
        <v>2660</v>
      </c>
      <c r="F3028" s="171" t="s">
        <v>1698</v>
      </c>
      <c r="G3028" s="75">
        <f>G3020</f>
        <v>12445.4</v>
      </c>
    </row>
    <row r="3029" spans="2:9">
      <c r="B3029" s="26"/>
      <c r="E3029" s="171" t="s">
        <v>5551</v>
      </c>
      <c r="F3029" s="171" t="s">
        <v>1698</v>
      </c>
      <c r="G3029" s="205">
        <f>SUM(G3026:G3028)</f>
        <v>41507.599999999999</v>
      </c>
    </row>
    <row r="3030" spans="2:9">
      <c r="B3030" s="26" t="s">
        <v>5087</v>
      </c>
      <c r="E3030" s="693">
        <f>'BASIC DATA'!C593</f>
        <v>0</v>
      </c>
      <c r="F3030" s="171" t="s">
        <v>1698</v>
      </c>
      <c r="G3030" s="68">
        <f>(G3028+G3027)*0.75*E3030</f>
        <v>0</v>
      </c>
    </row>
    <row r="3031" spans="2:9">
      <c r="B3031" s="26" t="s">
        <v>5084</v>
      </c>
      <c r="E3031" s="171" t="s">
        <v>1518</v>
      </c>
      <c r="F3031" s="171" t="s">
        <v>1698</v>
      </c>
      <c r="G3031" s="205">
        <f>G3030+G3029</f>
        <v>41507.599999999999</v>
      </c>
    </row>
    <row r="3032" spans="2:9">
      <c r="B3032" s="26" t="s">
        <v>5086</v>
      </c>
      <c r="E3032" s="201">
        <f>'BASIC DATA'!C594</f>
        <v>0.03</v>
      </c>
      <c r="F3032" s="171" t="s">
        <v>1698</v>
      </c>
      <c r="G3032" s="75">
        <f>G3031*E3032</f>
        <v>1245.2279999999998</v>
      </c>
    </row>
    <row r="3033" spans="2:9">
      <c r="B3033" s="26"/>
      <c r="E3033" s="26" t="s">
        <v>2392</v>
      </c>
      <c r="F3033" s="171" t="s">
        <v>1698</v>
      </c>
      <c r="G3033" s="75">
        <f>G3032+G3031</f>
        <v>42752.828000000001</v>
      </c>
    </row>
    <row r="3034" spans="2:9" ht="40.5" customHeight="1">
      <c r="B3034" s="1207" t="s">
        <v>4717</v>
      </c>
      <c r="C3034" s="1207"/>
      <c r="D3034" s="922">
        <f>'BASIC DATA'!$C$577</f>
        <v>0.13614999999999999</v>
      </c>
      <c r="F3034" s="171" t="s">
        <v>1698</v>
      </c>
      <c r="G3034" s="75">
        <f>G3033*D3034</f>
        <v>5820.7975322000002</v>
      </c>
      <c r="I3034" s="68"/>
    </row>
    <row r="3035" spans="2:9">
      <c r="B3035" s="26" t="s">
        <v>5078</v>
      </c>
      <c r="D3035" s="68">
        <f>F2993</f>
        <v>100</v>
      </c>
      <c r="E3035" s="26" t="s">
        <v>3479</v>
      </c>
      <c r="F3035" s="171" t="s">
        <v>1698</v>
      </c>
      <c r="G3035" s="205">
        <f>G3034+G3033</f>
        <v>48573.6255322</v>
      </c>
    </row>
    <row r="3036" spans="2:9">
      <c r="D3036" s="733" t="s">
        <v>3884</v>
      </c>
      <c r="E3036" s="314" t="s">
        <v>5915</v>
      </c>
      <c r="F3036" s="200" t="s">
        <v>1698</v>
      </c>
      <c r="G3036" s="766">
        <f>ROUND(G3035/D3035,1)</f>
        <v>485.7</v>
      </c>
      <c r="H3036" s="31"/>
    </row>
    <row r="3037" spans="2:9">
      <c r="B3037" s="26"/>
      <c r="C3037" s="78"/>
    </row>
    <row r="3038" spans="2:9" hidden="1">
      <c r="B3038" s="33"/>
      <c r="C3038" s="31"/>
      <c r="D3038" s="31"/>
      <c r="E3038" s="31"/>
      <c r="F3038" s="691"/>
      <c r="G3038" s="31"/>
      <c r="H3038" s="31"/>
    </row>
    <row r="3039" spans="2:9" hidden="1">
      <c r="B3039" s="33"/>
      <c r="C3039" s="31"/>
      <c r="D3039" s="31"/>
      <c r="E3039" s="31"/>
      <c r="F3039" s="691"/>
      <c r="G3039" s="31"/>
      <c r="H3039" s="31"/>
    </row>
    <row r="3040" spans="2:9" hidden="1">
      <c r="B3040" s="33"/>
      <c r="C3040" s="31"/>
      <c r="D3040" s="31"/>
      <c r="E3040" s="31"/>
      <c r="F3040" s="691"/>
      <c r="G3040" s="31"/>
      <c r="H3040" s="31"/>
    </row>
    <row r="3041" spans="2:8" hidden="1">
      <c r="B3041" s="33"/>
      <c r="C3041" s="31"/>
      <c r="D3041" s="31"/>
      <c r="E3041" s="31"/>
      <c r="F3041" s="691"/>
      <c r="G3041" s="31"/>
      <c r="H3041" s="31"/>
    </row>
    <row r="3042" spans="2:8" hidden="1">
      <c r="B3042" s="33"/>
      <c r="C3042" s="31"/>
      <c r="D3042" s="31"/>
      <c r="E3042" s="31"/>
      <c r="F3042" s="691"/>
      <c r="G3042" s="31"/>
      <c r="H3042" s="31"/>
    </row>
    <row r="3043" spans="2:8" hidden="1">
      <c r="B3043" s="33"/>
      <c r="C3043" s="31"/>
      <c r="D3043" s="31"/>
      <c r="E3043" s="200"/>
      <c r="F3043" s="691"/>
      <c r="G3043" s="31"/>
      <c r="H3043" s="31"/>
    </row>
    <row r="3044" spans="2:8" hidden="1">
      <c r="B3044" s="33"/>
      <c r="C3044" s="31"/>
      <c r="D3044" s="31"/>
      <c r="E3044" s="31"/>
      <c r="F3044" s="691"/>
      <c r="G3044" s="31"/>
      <c r="H3044" s="31"/>
    </row>
    <row r="3045" spans="2:8" hidden="1">
      <c r="B3045" s="33"/>
      <c r="C3045" s="31"/>
      <c r="D3045" s="31"/>
      <c r="E3045" s="31"/>
      <c r="F3045" s="691"/>
      <c r="G3045" s="31"/>
      <c r="H3045" s="31"/>
    </row>
    <row r="3046" spans="2:8" hidden="1">
      <c r="B3046" s="33"/>
      <c r="C3046" s="31"/>
      <c r="D3046" s="31"/>
      <c r="E3046" s="31"/>
      <c r="F3046" s="691"/>
      <c r="G3046" s="31"/>
      <c r="H3046" s="31"/>
    </row>
    <row r="3047" spans="2:8" hidden="1">
      <c r="B3047" s="33"/>
      <c r="C3047" s="31"/>
      <c r="D3047" s="31"/>
      <c r="E3047" s="31"/>
      <c r="F3047" s="691"/>
      <c r="G3047" s="31"/>
      <c r="H3047" s="31"/>
    </row>
    <row r="3048" spans="2:8" hidden="1">
      <c r="B3048" s="33"/>
      <c r="C3048" s="31"/>
      <c r="D3048" s="31"/>
      <c r="E3048" s="31"/>
      <c r="F3048" s="691"/>
      <c r="G3048" s="31"/>
      <c r="H3048" s="31"/>
    </row>
    <row r="3049" spans="2:8" hidden="1">
      <c r="B3049" s="33"/>
      <c r="C3049" s="31"/>
      <c r="D3049" s="31"/>
      <c r="E3049" s="31"/>
      <c r="F3049" s="691"/>
      <c r="G3049" s="31"/>
      <c r="H3049" s="31"/>
    </row>
    <row r="3050" spans="2:8" hidden="1">
      <c r="B3050" s="33"/>
      <c r="C3050" s="31"/>
      <c r="D3050" s="31"/>
      <c r="E3050" s="31"/>
      <c r="F3050" s="691"/>
      <c r="G3050" s="31"/>
      <c r="H3050" s="31"/>
    </row>
    <row r="3051" spans="2:8" hidden="1">
      <c r="B3051" s="33"/>
      <c r="C3051" s="31"/>
      <c r="D3051" s="31"/>
      <c r="E3051" s="31"/>
      <c r="F3051" s="691"/>
      <c r="G3051" s="31"/>
      <c r="H3051" s="31"/>
    </row>
    <row r="3052" spans="2:8" hidden="1">
      <c r="B3052" s="33"/>
      <c r="C3052" s="31"/>
      <c r="D3052" s="31"/>
      <c r="E3052" s="31"/>
      <c r="F3052" s="691"/>
      <c r="G3052" s="31"/>
      <c r="H3052" s="31"/>
    </row>
    <row r="3053" spans="2:8" hidden="1">
      <c r="B3053" s="33"/>
      <c r="C3053" s="31"/>
      <c r="D3053" s="31"/>
      <c r="E3053" s="31"/>
      <c r="F3053" s="691"/>
      <c r="G3053" s="31"/>
      <c r="H3053" s="31"/>
    </row>
    <row r="3054" spans="2:8" hidden="1">
      <c r="B3054" s="33"/>
      <c r="C3054" s="31"/>
      <c r="D3054" s="31"/>
      <c r="E3054" s="31"/>
      <c r="F3054" s="691"/>
      <c r="G3054" s="31"/>
      <c r="H3054" s="31"/>
    </row>
    <row r="3055" spans="2:8" hidden="1">
      <c r="B3055" s="33"/>
      <c r="C3055" s="31"/>
      <c r="D3055" s="31"/>
      <c r="E3055" s="31"/>
      <c r="F3055" s="691"/>
      <c r="G3055" s="31"/>
      <c r="H3055" s="31"/>
    </row>
    <row r="3056" spans="2:8" hidden="1">
      <c r="B3056" s="33"/>
      <c r="C3056" s="31"/>
      <c r="D3056" s="31"/>
      <c r="E3056" s="31"/>
      <c r="F3056" s="691"/>
      <c r="G3056" s="31"/>
      <c r="H3056" s="31"/>
    </row>
    <row r="3057" spans="2:8" hidden="1">
      <c r="B3057" s="33"/>
      <c r="C3057" s="31"/>
      <c r="D3057" s="31"/>
      <c r="E3057" s="31"/>
      <c r="F3057" s="31"/>
      <c r="G3057" s="31"/>
      <c r="H3057" s="31"/>
    </row>
    <row r="3058" spans="2:8" hidden="1">
      <c r="B3058" s="33"/>
      <c r="C3058" s="31"/>
      <c r="D3058" s="31"/>
      <c r="E3058" s="31"/>
      <c r="F3058" s="31"/>
      <c r="G3058" s="31"/>
      <c r="H3058" s="31"/>
    </row>
    <row r="3059" spans="2:8" hidden="1">
      <c r="B3059" s="33"/>
      <c r="C3059" s="31"/>
      <c r="D3059" s="31"/>
      <c r="E3059" s="31"/>
      <c r="F3059" s="31"/>
      <c r="G3059" s="31"/>
      <c r="H3059" s="31"/>
    </row>
    <row r="3060" spans="2:8" hidden="1">
      <c r="B3060" s="33"/>
      <c r="C3060" s="31"/>
      <c r="D3060" s="31"/>
      <c r="E3060" s="31"/>
      <c r="F3060" s="31"/>
      <c r="G3060" s="31"/>
      <c r="H3060" s="31"/>
    </row>
    <row r="3061" spans="2:8" hidden="1">
      <c r="B3061" s="33"/>
      <c r="C3061" s="31"/>
      <c r="D3061" s="31"/>
      <c r="E3061" s="31"/>
      <c r="F3061" s="31"/>
      <c r="G3061" s="31"/>
      <c r="H3061" s="31"/>
    </row>
    <row r="3062" spans="2:8" hidden="1">
      <c r="B3062" s="33"/>
      <c r="C3062" s="31"/>
      <c r="D3062" s="31"/>
      <c r="E3062" s="31"/>
      <c r="F3062" s="31"/>
      <c r="G3062" s="31"/>
      <c r="H3062" s="31"/>
    </row>
    <row r="3063" spans="2:8" hidden="1">
      <c r="B3063" s="33"/>
      <c r="C3063" s="31"/>
      <c r="D3063" s="31"/>
      <c r="E3063" s="31"/>
      <c r="F3063" s="31"/>
      <c r="G3063" s="31"/>
      <c r="H3063" s="31"/>
    </row>
    <row r="3064" spans="2:8" hidden="1">
      <c r="B3064" s="33"/>
      <c r="C3064" s="31"/>
      <c r="D3064" s="31"/>
      <c r="E3064" s="31"/>
      <c r="F3064" s="33"/>
      <c r="G3064" s="31"/>
      <c r="H3064" s="31"/>
    </row>
    <row r="3065" spans="2:8" hidden="1">
      <c r="B3065" s="33"/>
      <c r="C3065" s="31"/>
      <c r="D3065" s="33"/>
      <c r="E3065" s="33"/>
      <c r="F3065" s="33"/>
      <c r="G3065" s="33"/>
      <c r="H3065" s="31"/>
    </row>
    <row r="3066" spans="2:8" hidden="1">
      <c r="B3066" s="33"/>
      <c r="C3066" s="31"/>
      <c r="D3066" s="33"/>
      <c r="E3066" s="33"/>
      <c r="F3066" s="33"/>
      <c r="G3066" s="33"/>
      <c r="H3066" s="31"/>
    </row>
    <row r="3067" spans="2:8" hidden="1">
      <c r="B3067" s="33"/>
      <c r="C3067" s="31"/>
      <c r="D3067" s="33"/>
      <c r="E3067" s="33"/>
      <c r="F3067" s="33"/>
      <c r="G3067" s="33"/>
      <c r="H3067" s="31"/>
    </row>
    <row r="3068" spans="2:8" hidden="1">
      <c r="B3068" s="33"/>
      <c r="C3068" s="31"/>
      <c r="D3068" s="33"/>
      <c r="E3068" s="33"/>
      <c r="F3068" s="33"/>
      <c r="G3068" s="33"/>
      <c r="H3068" s="31"/>
    </row>
    <row r="3069" spans="2:8" hidden="1">
      <c r="B3069" s="33"/>
      <c r="C3069" s="31"/>
      <c r="D3069" s="33"/>
      <c r="E3069" s="33"/>
      <c r="F3069" s="33"/>
      <c r="G3069" s="33"/>
      <c r="H3069" s="31"/>
    </row>
    <row r="3070" spans="2:8" hidden="1">
      <c r="B3070" s="33"/>
      <c r="C3070" s="33"/>
      <c r="D3070" s="33"/>
      <c r="E3070" s="33"/>
      <c r="F3070" s="33"/>
      <c r="G3070" s="33"/>
      <c r="H3070" s="31"/>
    </row>
    <row r="3071" spans="2:8" hidden="1">
      <c r="B3071" s="33"/>
      <c r="C3071" s="31"/>
      <c r="D3071" s="31"/>
      <c r="E3071" s="31"/>
      <c r="F3071" s="31"/>
      <c r="G3071" s="31"/>
      <c r="H3071" s="31"/>
    </row>
    <row r="3072" spans="2:8" hidden="1">
      <c r="B3072" s="33"/>
      <c r="C3072" s="31"/>
      <c r="D3072" s="31"/>
      <c r="E3072" s="31"/>
      <c r="F3072" s="31"/>
      <c r="G3072" s="31"/>
      <c r="H3072" s="31"/>
    </row>
    <row r="3073" spans="2:8" hidden="1">
      <c r="B3073" s="33"/>
      <c r="C3073" s="31"/>
      <c r="D3073" s="31"/>
      <c r="E3073" s="31"/>
      <c r="F3073" s="31"/>
      <c r="G3073" s="31"/>
      <c r="H3073" s="31"/>
    </row>
    <row r="3074" spans="2:8" hidden="1">
      <c r="B3074" s="33"/>
      <c r="C3074" s="31"/>
      <c r="D3074" s="31"/>
      <c r="E3074" s="31"/>
      <c r="F3074" s="31"/>
      <c r="G3074" s="31"/>
      <c r="H3074" s="31"/>
    </row>
    <row r="3075" spans="2:8" hidden="1">
      <c r="B3075" s="33"/>
      <c r="C3075" s="31"/>
      <c r="D3075" s="31"/>
      <c r="E3075" s="31"/>
      <c r="F3075" s="31"/>
      <c r="G3075" s="31"/>
      <c r="H3075" s="31"/>
    </row>
    <row r="3076" spans="2:8" hidden="1">
      <c r="B3076" s="33"/>
      <c r="C3076" s="31"/>
      <c r="D3076" s="31"/>
      <c r="E3076" s="31"/>
      <c r="F3076" s="31"/>
      <c r="G3076" s="31"/>
      <c r="H3076" s="31"/>
    </row>
    <row r="3077" spans="2:8" hidden="1">
      <c r="B3077" s="33"/>
      <c r="C3077" s="31"/>
      <c r="D3077" s="31"/>
      <c r="E3077" s="31"/>
      <c r="F3077" s="31"/>
      <c r="G3077" s="31"/>
      <c r="H3077" s="31"/>
    </row>
    <row r="3078" spans="2:8" hidden="1">
      <c r="B3078" s="33"/>
      <c r="C3078" s="31"/>
      <c r="D3078" s="31"/>
      <c r="E3078" s="31"/>
      <c r="F3078" s="31"/>
      <c r="G3078" s="31"/>
      <c r="H3078" s="31"/>
    </row>
    <row r="3079" spans="2:8" hidden="1">
      <c r="B3079" s="33"/>
      <c r="C3079" s="31"/>
      <c r="D3079" s="31"/>
      <c r="E3079" s="31"/>
      <c r="F3079" s="31"/>
      <c r="G3079" s="31"/>
      <c r="H3079" s="31"/>
    </row>
    <row r="3080" spans="2:8" hidden="1">
      <c r="B3080" s="33"/>
      <c r="C3080" s="31"/>
      <c r="D3080" s="31"/>
      <c r="E3080" s="31"/>
      <c r="F3080" s="31"/>
      <c r="G3080" s="31"/>
      <c r="H3080" s="31"/>
    </row>
    <row r="3081" spans="2:8" hidden="1">
      <c r="B3081" s="33"/>
      <c r="C3081" s="31"/>
      <c r="D3081" s="31"/>
      <c r="E3081" s="31"/>
      <c r="F3081" s="31"/>
      <c r="G3081" s="31"/>
      <c r="H3081" s="31"/>
    </row>
    <row r="3082" spans="2:8" hidden="1">
      <c r="B3082" s="33"/>
      <c r="C3082" s="31"/>
      <c r="D3082" s="31"/>
      <c r="E3082" s="31"/>
      <c r="F3082" s="31"/>
      <c r="G3082" s="31"/>
      <c r="H3082" s="31"/>
    </row>
    <row r="3083" spans="2:8" hidden="1">
      <c r="B3083" s="33"/>
      <c r="C3083" s="31"/>
      <c r="D3083" s="75"/>
      <c r="E3083" s="31"/>
      <c r="F3083" s="405"/>
      <c r="G3083" s="75"/>
      <c r="H3083" s="31"/>
    </row>
    <row r="3084" spans="2:8" hidden="1">
      <c r="B3084" s="33"/>
      <c r="C3084" s="31"/>
      <c r="D3084" s="31"/>
      <c r="E3084" s="31"/>
      <c r="F3084" s="691"/>
      <c r="G3084" s="732"/>
      <c r="H3084" s="31"/>
    </row>
    <row r="3085" spans="2:8" hidden="1">
      <c r="B3085" s="33"/>
      <c r="C3085" s="31"/>
      <c r="D3085" s="31"/>
      <c r="E3085" s="31"/>
      <c r="F3085" s="405"/>
      <c r="G3085" s="75"/>
      <c r="H3085" s="31"/>
    </row>
    <row r="3086" spans="2:8" hidden="1">
      <c r="B3086" s="33"/>
      <c r="C3086" s="31"/>
      <c r="D3086" s="75"/>
      <c r="E3086" s="31"/>
      <c r="F3086" s="405"/>
      <c r="G3086" s="75"/>
      <c r="H3086" s="31"/>
    </row>
    <row r="3087" spans="2:8" hidden="1">
      <c r="B3087" s="33"/>
      <c r="C3087" s="31"/>
      <c r="D3087" s="31"/>
      <c r="E3087" s="31"/>
      <c r="F3087" s="691"/>
      <c r="G3087" s="732"/>
      <c r="H3087" s="31"/>
    </row>
    <row r="3088" spans="2:8" hidden="1">
      <c r="B3088" s="33"/>
      <c r="C3088" s="31"/>
      <c r="D3088" s="31"/>
      <c r="E3088" s="31"/>
      <c r="F3088" s="405"/>
      <c r="G3088" s="75"/>
      <c r="H3088" s="31"/>
    </row>
    <row r="3089" spans="2:8" hidden="1">
      <c r="B3089" s="33"/>
      <c r="C3089" s="31"/>
      <c r="D3089" s="31"/>
      <c r="E3089" s="31"/>
      <c r="F3089" s="31"/>
      <c r="G3089" s="31"/>
      <c r="H3089" s="31"/>
    </row>
    <row r="3090" spans="2:8" hidden="1">
      <c r="B3090" s="33"/>
      <c r="C3090" s="200"/>
      <c r="D3090" s="31"/>
      <c r="E3090" s="200"/>
      <c r="F3090" s="769"/>
      <c r="G3090" s="31"/>
      <c r="H3090" s="31"/>
    </row>
    <row r="3091" spans="2:8" hidden="1">
      <c r="B3091" s="76"/>
      <c r="C3091" s="31"/>
      <c r="D3091" s="31"/>
      <c r="E3091" s="31"/>
      <c r="F3091" s="732"/>
      <c r="G3091" s="31"/>
      <c r="H3091" s="31"/>
    </row>
    <row r="3092" spans="2:8" hidden="1">
      <c r="B3092" s="33"/>
      <c r="C3092" s="33"/>
      <c r="D3092" s="33"/>
      <c r="E3092" s="33"/>
      <c r="F3092" s="33"/>
      <c r="G3092" s="33"/>
      <c r="H3092" s="31"/>
    </row>
    <row r="3093" spans="2:8" hidden="1">
      <c r="B3093" s="33"/>
      <c r="C3093" s="31"/>
      <c r="D3093" s="33"/>
      <c r="E3093" s="33"/>
      <c r="F3093" s="33"/>
      <c r="G3093" s="33"/>
      <c r="H3093" s="31"/>
    </row>
    <row r="3094" spans="2:8" hidden="1">
      <c r="B3094" s="405"/>
      <c r="C3094" s="76"/>
      <c r="D3094" s="731"/>
      <c r="E3094" s="75"/>
      <c r="F3094" s="75"/>
      <c r="G3094" s="75"/>
      <c r="H3094" s="31"/>
    </row>
    <row r="3095" spans="2:8" hidden="1">
      <c r="B3095" s="405"/>
      <c r="C3095" s="76"/>
      <c r="D3095" s="731"/>
      <c r="E3095" s="75"/>
      <c r="F3095" s="75"/>
      <c r="G3095" s="75"/>
      <c r="H3095" s="31"/>
    </row>
    <row r="3096" spans="2:8" hidden="1">
      <c r="B3096" s="405"/>
      <c r="C3096" s="76"/>
      <c r="D3096" s="731"/>
      <c r="E3096" s="75"/>
      <c r="F3096" s="75"/>
      <c r="G3096" s="75"/>
      <c r="H3096" s="31"/>
    </row>
    <row r="3097" spans="2:8" hidden="1">
      <c r="B3097" s="405"/>
      <c r="C3097" s="76"/>
      <c r="D3097" s="731"/>
      <c r="E3097" s="75"/>
      <c r="F3097" s="75"/>
      <c r="G3097" s="75"/>
      <c r="H3097" s="31"/>
    </row>
    <row r="3098" spans="2:8" hidden="1">
      <c r="B3098" s="405"/>
      <c r="C3098" s="76"/>
      <c r="D3098" s="731"/>
      <c r="E3098" s="75"/>
      <c r="F3098" s="75"/>
      <c r="G3098" s="75"/>
      <c r="H3098" s="31"/>
    </row>
    <row r="3099" spans="2:8" hidden="1">
      <c r="B3099" s="405"/>
      <c r="C3099" s="76"/>
      <c r="D3099" s="731"/>
      <c r="E3099" s="75"/>
      <c r="F3099" s="75"/>
      <c r="G3099" s="75"/>
      <c r="H3099" s="31"/>
    </row>
    <row r="3100" spans="2:8" hidden="1">
      <c r="B3100" s="405"/>
      <c r="C3100" s="76"/>
      <c r="D3100" s="731"/>
      <c r="E3100" s="75"/>
      <c r="F3100" s="75"/>
      <c r="G3100" s="75"/>
      <c r="H3100" s="31"/>
    </row>
    <row r="3101" spans="2:8" hidden="1">
      <c r="B3101" s="405"/>
      <c r="C3101" s="76"/>
      <c r="D3101" s="731"/>
      <c r="E3101" s="75"/>
      <c r="F3101" s="75"/>
      <c r="G3101" s="75"/>
      <c r="H3101" s="31"/>
    </row>
    <row r="3102" spans="2:8" hidden="1">
      <c r="B3102" s="405"/>
      <c r="C3102" s="76"/>
      <c r="D3102" s="731"/>
      <c r="E3102" s="75"/>
      <c r="F3102" s="75"/>
      <c r="G3102" s="75"/>
      <c r="H3102" s="31"/>
    </row>
    <row r="3103" spans="2:8" hidden="1">
      <c r="B3103" s="405"/>
      <c r="C3103" s="76"/>
      <c r="D3103" s="731"/>
      <c r="E3103" s="75"/>
      <c r="F3103" s="75"/>
      <c r="G3103" s="75"/>
      <c r="H3103" s="31"/>
    </row>
    <row r="3104" spans="2:8" hidden="1">
      <c r="B3104" s="405"/>
      <c r="C3104" s="76"/>
      <c r="D3104" s="731"/>
      <c r="E3104" s="75"/>
      <c r="F3104" s="75"/>
      <c r="G3104" s="75"/>
      <c r="H3104" s="31"/>
    </row>
    <row r="3105" spans="2:8" hidden="1">
      <c r="B3105" s="405"/>
      <c r="C3105" s="76"/>
      <c r="D3105" s="731"/>
      <c r="E3105" s="75"/>
      <c r="F3105" s="75"/>
      <c r="G3105" s="75"/>
      <c r="H3105" s="31"/>
    </row>
    <row r="3106" spans="2:8" hidden="1">
      <c r="B3106" s="405"/>
      <c r="C3106" s="76"/>
      <c r="D3106" s="731"/>
      <c r="E3106" s="75"/>
      <c r="F3106" s="75"/>
      <c r="G3106" s="75"/>
      <c r="H3106" s="31"/>
    </row>
    <row r="3107" spans="2:8" hidden="1">
      <c r="B3107" s="405"/>
      <c r="C3107" s="76"/>
      <c r="D3107" s="731"/>
      <c r="E3107" s="75"/>
      <c r="F3107" s="75"/>
      <c r="G3107" s="75"/>
      <c r="H3107" s="31"/>
    </row>
    <row r="3108" spans="2:8" hidden="1">
      <c r="B3108" s="405"/>
      <c r="C3108" s="76"/>
      <c r="D3108" s="731"/>
      <c r="E3108" s="75"/>
      <c r="F3108" s="75"/>
      <c r="G3108" s="75"/>
      <c r="H3108" s="31"/>
    </row>
    <row r="3109" spans="2:8" hidden="1">
      <c r="B3109" s="30"/>
      <c r="C3109" s="76"/>
      <c r="D3109" s="731"/>
      <c r="E3109" s="75"/>
      <c r="F3109" s="75"/>
      <c r="G3109" s="75"/>
      <c r="H3109" s="31"/>
    </row>
    <row r="3110" spans="2:8" hidden="1">
      <c r="B3110" s="30"/>
      <c r="C3110" s="76"/>
      <c r="D3110" s="731"/>
      <c r="E3110" s="75"/>
      <c r="F3110" s="75"/>
      <c r="G3110" s="75"/>
      <c r="H3110" s="31"/>
    </row>
    <row r="3111" spans="2:8" hidden="1">
      <c r="B3111" s="30"/>
      <c r="C3111" s="76"/>
      <c r="D3111" s="731"/>
      <c r="E3111" s="75"/>
      <c r="F3111" s="75"/>
      <c r="G3111" s="75"/>
      <c r="H3111" s="31"/>
    </row>
    <row r="3112" spans="2:8" hidden="1">
      <c r="B3112" s="30"/>
      <c r="C3112" s="76"/>
      <c r="D3112" s="731"/>
      <c r="E3112" s="75"/>
      <c r="F3112" s="75"/>
      <c r="G3112" s="75"/>
      <c r="H3112" s="31"/>
    </row>
    <row r="3113" spans="2:8" hidden="1">
      <c r="B3113" s="30"/>
      <c r="C3113" s="76"/>
      <c r="D3113" s="731"/>
      <c r="E3113" s="75"/>
      <c r="F3113" s="75"/>
      <c r="G3113" s="75"/>
      <c r="H3113" s="31"/>
    </row>
    <row r="3114" spans="2:8" hidden="1">
      <c r="B3114" s="30"/>
      <c r="C3114" s="76"/>
      <c r="D3114" s="731"/>
      <c r="E3114" s="75"/>
      <c r="F3114" s="75"/>
      <c r="G3114" s="75"/>
      <c r="H3114" s="31"/>
    </row>
    <row r="3115" spans="2:8" hidden="1">
      <c r="B3115" s="30"/>
      <c r="C3115" s="76"/>
      <c r="D3115" s="731"/>
      <c r="E3115" s="75"/>
      <c r="F3115" s="75"/>
      <c r="G3115" s="75"/>
      <c r="H3115" s="31"/>
    </row>
    <row r="3116" spans="2:8" hidden="1">
      <c r="B3116" s="30"/>
      <c r="C3116" s="76"/>
      <c r="D3116" s="731"/>
      <c r="E3116" s="75"/>
      <c r="F3116" s="75"/>
      <c r="G3116" s="75"/>
      <c r="H3116" s="31"/>
    </row>
    <row r="3117" spans="2:8" hidden="1">
      <c r="B3117" s="33"/>
      <c r="C3117" s="31"/>
      <c r="D3117" s="31"/>
      <c r="E3117" s="200"/>
      <c r="F3117" s="200"/>
      <c r="G3117" s="75"/>
      <c r="H3117" s="31"/>
    </row>
    <row r="3118" spans="2:8" hidden="1">
      <c r="B3118" s="33"/>
      <c r="C3118" s="31"/>
      <c r="D3118" s="31"/>
      <c r="E3118" s="198"/>
      <c r="F3118" s="200"/>
      <c r="G3118" s="75"/>
      <c r="H3118" s="31"/>
    </row>
    <row r="3119" spans="2:8" hidden="1">
      <c r="B3119" s="33"/>
      <c r="C3119" s="31"/>
      <c r="D3119" s="31"/>
      <c r="E3119" s="198"/>
      <c r="F3119" s="200"/>
      <c r="G3119" s="75"/>
      <c r="H3119" s="31"/>
    </row>
    <row r="3120" spans="2:8" hidden="1">
      <c r="B3120" s="33"/>
      <c r="C3120" s="31"/>
      <c r="D3120" s="31"/>
      <c r="E3120" s="198"/>
      <c r="F3120" s="200"/>
      <c r="G3120" s="75"/>
      <c r="H3120" s="31"/>
    </row>
    <row r="3121" spans="2:8" hidden="1">
      <c r="B3121" s="33"/>
      <c r="C3121" s="200"/>
      <c r="D3121" s="30"/>
      <c r="E3121" s="30"/>
      <c r="F3121" s="200"/>
      <c r="G3121" s="75"/>
      <c r="H3121" s="31"/>
    </row>
    <row r="3122" spans="2:8" hidden="1">
      <c r="B3122" s="33"/>
      <c r="C3122" s="31"/>
      <c r="D3122" s="31"/>
      <c r="E3122" s="31"/>
      <c r="F3122" s="31"/>
      <c r="G3122" s="31"/>
      <c r="H3122" s="31"/>
    </row>
    <row r="3123" spans="2:8" hidden="1">
      <c r="B3123" s="76"/>
      <c r="C3123" s="31"/>
      <c r="D3123" s="31"/>
      <c r="E3123" s="31"/>
      <c r="F3123" s="31"/>
      <c r="G3123" s="31"/>
      <c r="H3123" s="31"/>
    </row>
    <row r="3124" spans="2:8" hidden="1">
      <c r="B3124" s="33"/>
      <c r="C3124" s="33"/>
      <c r="D3124" s="33"/>
      <c r="E3124" s="33"/>
      <c r="F3124" s="33"/>
      <c r="G3124" s="33"/>
      <c r="H3124" s="31"/>
    </row>
    <row r="3125" spans="2:8" hidden="1">
      <c r="B3125" s="33"/>
      <c r="C3125" s="31"/>
      <c r="D3125" s="33"/>
      <c r="E3125" s="33"/>
      <c r="F3125" s="33"/>
      <c r="G3125" s="33"/>
      <c r="H3125" s="31"/>
    </row>
    <row r="3126" spans="2:8" hidden="1">
      <c r="B3126" s="405"/>
      <c r="C3126" s="76"/>
      <c r="D3126" s="731"/>
      <c r="E3126" s="75"/>
      <c r="F3126" s="75"/>
      <c r="G3126" s="75"/>
      <c r="H3126" s="31"/>
    </row>
    <row r="3127" spans="2:8" hidden="1">
      <c r="B3127" s="405"/>
      <c r="C3127" s="76"/>
      <c r="D3127" s="731"/>
      <c r="E3127" s="75"/>
      <c r="F3127" s="75"/>
      <c r="G3127" s="75"/>
      <c r="H3127" s="31"/>
    </row>
    <row r="3128" spans="2:8" hidden="1">
      <c r="B3128" s="405"/>
      <c r="C3128" s="76"/>
      <c r="D3128" s="731"/>
      <c r="E3128" s="75"/>
      <c r="F3128" s="75"/>
      <c r="G3128" s="75"/>
      <c r="H3128" s="31"/>
    </row>
    <row r="3129" spans="2:8" hidden="1">
      <c r="B3129" s="405"/>
      <c r="C3129" s="76"/>
      <c r="D3129" s="731"/>
      <c r="E3129" s="75"/>
      <c r="F3129" s="75"/>
      <c r="G3129" s="75"/>
      <c r="H3129" s="31"/>
    </row>
    <row r="3130" spans="2:8" hidden="1">
      <c r="B3130" s="405"/>
      <c r="C3130" s="76"/>
      <c r="D3130" s="731"/>
      <c r="E3130" s="75"/>
      <c r="F3130" s="75"/>
      <c r="G3130" s="75"/>
      <c r="H3130" s="31"/>
    </row>
    <row r="3131" spans="2:8" hidden="1">
      <c r="B3131" s="405"/>
      <c r="C3131" s="76"/>
      <c r="D3131" s="731"/>
      <c r="E3131" s="75"/>
      <c r="F3131" s="75"/>
      <c r="G3131" s="75"/>
      <c r="H3131" s="31"/>
    </row>
    <row r="3132" spans="2:8" hidden="1">
      <c r="B3132" s="405"/>
      <c r="C3132" s="76"/>
      <c r="D3132" s="731"/>
      <c r="E3132" s="75"/>
      <c r="F3132" s="75"/>
      <c r="G3132" s="75"/>
      <c r="H3132" s="31"/>
    </row>
    <row r="3133" spans="2:8" hidden="1">
      <c r="B3133" s="405"/>
      <c r="C3133" s="76"/>
      <c r="D3133" s="731"/>
      <c r="E3133" s="75"/>
      <c r="F3133" s="75"/>
      <c r="G3133" s="75"/>
      <c r="H3133" s="31"/>
    </row>
    <row r="3134" spans="2:8" hidden="1">
      <c r="B3134" s="405"/>
      <c r="C3134" s="76"/>
      <c r="D3134" s="731"/>
      <c r="E3134" s="75"/>
      <c r="F3134" s="75"/>
      <c r="G3134" s="75"/>
      <c r="H3134" s="31"/>
    </row>
    <row r="3135" spans="2:8" hidden="1">
      <c r="B3135" s="33"/>
      <c r="C3135" s="31"/>
      <c r="D3135" s="31"/>
      <c r="E3135" s="200"/>
      <c r="F3135" s="200"/>
      <c r="G3135" s="75"/>
      <c r="H3135" s="31"/>
    </row>
    <row r="3136" spans="2:8" hidden="1">
      <c r="B3136" s="33"/>
      <c r="C3136" s="31"/>
      <c r="D3136" s="31"/>
      <c r="E3136" s="198"/>
      <c r="F3136" s="200"/>
      <c r="G3136" s="75"/>
      <c r="H3136" s="31"/>
    </row>
    <row r="3137" spans="2:8" hidden="1">
      <c r="B3137" s="33"/>
      <c r="C3137" s="31"/>
      <c r="D3137" s="31"/>
      <c r="E3137" s="198"/>
      <c r="F3137" s="200"/>
      <c r="G3137" s="75"/>
      <c r="H3137" s="31"/>
    </row>
    <row r="3138" spans="2:8" hidden="1">
      <c r="B3138" s="33"/>
      <c r="C3138" s="31"/>
      <c r="D3138" s="31"/>
      <c r="E3138" s="198"/>
      <c r="F3138" s="200"/>
      <c r="G3138" s="75"/>
      <c r="H3138" s="31"/>
    </row>
    <row r="3139" spans="2:8" hidden="1">
      <c r="B3139" s="33"/>
      <c r="C3139" s="30"/>
      <c r="D3139" s="30"/>
      <c r="E3139" s="30"/>
      <c r="F3139" s="200"/>
      <c r="G3139" s="75"/>
      <c r="H3139" s="31"/>
    </row>
    <row r="3140" spans="2:8" hidden="1">
      <c r="B3140" s="33"/>
      <c r="C3140" s="31"/>
      <c r="D3140" s="31"/>
      <c r="E3140" s="31"/>
      <c r="F3140" s="31"/>
      <c r="G3140" s="31"/>
      <c r="H3140" s="31"/>
    </row>
    <row r="3141" spans="2:8" hidden="1">
      <c r="B3141" s="76"/>
      <c r="C3141" s="31"/>
      <c r="D3141" s="31"/>
      <c r="E3141" s="31"/>
      <c r="F3141" s="31"/>
      <c r="G3141" s="31"/>
      <c r="H3141" s="31"/>
    </row>
    <row r="3142" spans="2:8" hidden="1">
      <c r="B3142" s="33"/>
      <c r="C3142" s="33"/>
      <c r="D3142" s="33"/>
      <c r="E3142" s="33"/>
      <c r="F3142" s="33"/>
      <c r="G3142" s="33"/>
      <c r="H3142" s="31"/>
    </row>
    <row r="3143" spans="2:8" hidden="1">
      <c r="B3143" s="33"/>
      <c r="C3143" s="31"/>
      <c r="D3143" s="33"/>
      <c r="E3143" s="33"/>
      <c r="F3143" s="33"/>
      <c r="G3143" s="33"/>
      <c r="H3143" s="31"/>
    </row>
    <row r="3144" spans="2:8" hidden="1">
      <c r="B3144" s="405"/>
      <c r="C3144" s="76"/>
      <c r="D3144" s="731"/>
      <c r="E3144" s="75"/>
      <c r="F3144" s="75"/>
      <c r="G3144" s="75"/>
      <c r="H3144" s="31"/>
    </row>
    <row r="3145" spans="2:8" hidden="1">
      <c r="B3145" s="405"/>
      <c r="C3145" s="76"/>
      <c r="D3145" s="731"/>
      <c r="E3145" s="75"/>
      <c r="F3145" s="75"/>
      <c r="G3145" s="75"/>
      <c r="H3145" s="31"/>
    </row>
    <row r="3146" spans="2:8" hidden="1">
      <c r="B3146" s="405"/>
      <c r="C3146" s="76"/>
      <c r="D3146" s="731"/>
      <c r="E3146" s="75"/>
      <c r="F3146" s="75"/>
      <c r="G3146" s="75"/>
      <c r="H3146" s="31"/>
    </row>
    <row r="3147" spans="2:8" hidden="1">
      <c r="B3147" s="405"/>
      <c r="C3147" s="76"/>
      <c r="D3147" s="731"/>
      <c r="E3147" s="75"/>
      <c r="F3147" s="75"/>
      <c r="G3147" s="75"/>
      <c r="H3147" s="31"/>
    </row>
    <row r="3148" spans="2:8" hidden="1">
      <c r="B3148" s="405"/>
      <c r="C3148" s="76"/>
      <c r="D3148" s="731"/>
      <c r="E3148" s="75"/>
      <c r="F3148" s="75"/>
      <c r="G3148" s="75"/>
      <c r="H3148" s="31"/>
    </row>
    <row r="3149" spans="2:8" hidden="1">
      <c r="B3149" s="405"/>
      <c r="C3149" s="76"/>
      <c r="D3149" s="731"/>
      <c r="E3149" s="75"/>
      <c r="F3149" s="75"/>
      <c r="G3149" s="75"/>
      <c r="H3149" s="31"/>
    </row>
    <row r="3150" spans="2:8" hidden="1">
      <c r="B3150" s="405"/>
      <c r="C3150" s="76"/>
      <c r="D3150" s="731"/>
      <c r="E3150" s="75"/>
      <c r="F3150" s="75"/>
      <c r="G3150" s="75"/>
      <c r="H3150" s="31"/>
    </row>
    <row r="3151" spans="2:8" hidden="1">
      <c r="B3151" s="405"/>
      <c r="C3151" s="76"/>
      <c r="D3151" s="731"/>
      <c r="E3151" s="75"/>
      <c r="F3151" s="75"/>
      <c r="G3151" s="75"/>
      <c r="H3151" s="31"/>
    </row>
    <row r="3152" spans="2:8" hidden="1">
      <c r="B3152" s="405"/>
      <c r="C3152" s="76"/>
      <c r="D3152" s="731"/>
      <c r="E3152" s="75"/>
      <c r="F3152" s="75"/>
      <c r="G3152" s="75"/>
      <c r="H3152" s="31"/>
    </row>
    <row r="3153" spans="2:8" hidden="1">
      <c r="B3153" s="30"/>
      <c r="C3153" s="76"/>
      <c r="D3153" s="731"/>
      <c r="E3153" s="75"/>
      <c r="F3153" s="75"/>
      <c r="G3153" s="75"/>
      <c r="H3153" s="31"/>
    </row>
    <row r="3154" spans="2:8" hidden="1">
      <c r="B3154" s="33"/>
      <c r="C3154" s="31"/>
      <c r="D3154" s="31"/>
      <c r="E3154" s="200"/>
      <c r="F3154" s="200"/>
      <c r="G3154" s="75"/>
      <c r="H3154" s="31"/>
    </row>
    <row r="3155" spans="2:8" hidden="1">
      <c r="B3155" s="33"/>
      <c r="C3155" s="31"/>
      <c r="D3155" s="31"/>
      <c r="E3155" s="198"/>
      <c r="F3155" s="200"/>
      <c r="G3155" s="75"/>
      <c r="H3155" s="31"/>
    </row>
    <row r="3156" spans="2:8" hidden="1">
      <c r="B3156" s="33"/>
      <c r="C3156" s="31"/>
      <c r="D3156" s="31"/>
      <c r="E3156" s="198"/>
      <c r="F3156" s="200"/>
      <c r="G3156" s="75"/>
      <c r="H3156" s="31"/>
    </row>
    <row r="3157" spans="2:8" hidden="1">
      <c r="B3157" s="33"/>
      <c r="C3157" s="31"/>
      <c r="D3157" s="31"/>
      <c r="E3157" s="198"/>
      <c r="F3157" s="200"/>
      <c r="G3157" s="75"/>
      <c r="H3157" s="31"/>
    </row>
    <row r="3158" spans="2:8" hidden="1">
      <c r="B3158" s="33"/>
      <c r="C3158" s="31"/>
      <c r="D3158" s="31"/>
      <c r="E3158" s="198"/>
      <c r="F3158" s="200"/>
      <c r="G3158" s="75"/>
      <c r="H3158" s="31"/>
    </row>
    <row r="3159" spans="2:8" hidden="1">
      <c r="B3159" s="33"/>
      <c r="C3159" s="31"/>
      <c r="D3159" s="31"/>
      <c r="E3159" s="198"/>
      <c r="F3159" s="200"/>
      <c r="G3159" s="75"/>
      <c r="H3159" s="31"/>
    </row>
    <row r="3160" spans="2:8" hidden="1">
      <c r="B3160" s="33"/>
      <c r="C3160" s="200"/>
      <c r="D3160" s="30"/>
      <c r="E3160" s="30"/>
      <c r="F3160" s="200"/>
      <c r="G3160" s="75"/>
      <c r="H3160" s="31"/>
    </row>
    <row r="3161" spans="2:8" hidden="1">
      <c r="B3161" s="33"/>
      <c r="C3161" s="31"/>
      <c r="D3161" s="31"/>
      <c r="E3161" s="31"/>
      <c r="F3161" s="31"/>
      <c r="G3161" s="31"/>
      <c r="H3161" s="31"/>
    </row>
    <row r="3162" spans="2:8" hidden="1">
      <c r="B3162" s="33"/>
      <c r="C3162" s="31"/>
      <c r="D3162" s="31"/>
      <c r="E3162" s="31"/>
      <c r="F3162" s="31"/>
      <c r="G3162" s="31"/>
      <c r="H3162" s="31"/>
    </row>
    <row r="3163" spans="2:8" hidden="1">
      <c r="B3163" s="33"/>
      <c r="C3163" s="31"/>
      <c r="D3163" s="31"/>
      <c r="E3163" s="31"/>
      <c r="F3163" s="200"/>
      <c r="G3163" s="75"/>
      <c r="H3163" s="31"/>
    </row>
    <row r="3164" spans="2:8" hidden="1">
      <c r="B3164" s="33"/>
      <c r="C3164" s="31"/>
      <c r="D3164" s="31"/>
      <c r="E3164" s="31"/>
      <c r="F3164" s="200"/>
      <c r="G3164" s="75"/>
      <c r="H3164" s="31"/>
    </row>
    <row r="3165" spans="2:8" hidden="1">
      <c r="B3165" s="33"/>
      <c r="C3165" s="31"/>
      <c r="D3165" s="31"/>
      <c r="E3165" s="31"/>
      <c r="F3165" s="200"/>
      <c r="G3165" s="75"/>
      <c r="H3165" s="31"/>
    </row>
    <row r="3166" spans="2:8" hidden="1">
      <c r="B3166" s="33"/>
      <c r="C3166" s="31"/>
      <c r="D3166" s="31"/>
      <c r="E3166" s="200"/>
      <c r="F3166" s="200"/>
      <c r="G3166" s="75"/>
      <c r="H3166" s="31"/>
    </row>
    <row r="3167" spans="2:8" hidden="1">
      <c r="B3167" s="33"/>
      <c r="C3167" s="31"/>
      <c r="D3167" s="31"/>
      <c r="E3167" s="301"/>
      <c r="F3167" s="200"/>
      <c r="G3167" s="75"/>
      <c r="H3167" s="31"/>
    </row>
    <row r="3168" spans="2:8" hidden="1">
      <c r="B3168" s="33"/>
      <c r="C3168" s="31"/>
      <c r="D3168" s="31"/>
      <c r="E3168" s="767"/>
      <c r="F3168" s="200"/>
      <c r="G3168" s="75"/>
      <c r="H3168" s="31"/>
    </row>
    <row r="3169" spans="2:8" hidden="1">
      <c r="B3169" s="33"/>
      <c r="C3169" s="31"/>
      <c r="D3169" s="31"/>
      <c r="E3169" s="767"/>
      <c r="F3169" s="200"/>
      <c r="G3169" s="75"/>
      <c r="H3169" s="31"/>
    </row>
    <row r="3170" spans="2:8" hidden="1">
      <c r="B3170" s="33"/>
      <c r="C3170" s="31"/>
      <c r="D3170" s="31"/>
      <c r="E3170" s="767"/>
      <c r="F3170" s="200"/>
      <c r="G3170" s="75"/>
      <c r="H3170" s="31"/>
    </row>
    <row r="3171" spans="2:8" hidden="1">
      <c r="B3171" s="33"/>
      <c r="C3171" s="31"/>
      <c r="D3171" s="31"/>
      <c r="E3171" s="767"/>
      <c r="F3171" s="200"/>
      <c r="G3171" s="75"/>
      <c r="H3171" s="31"/>
    </row>
    <row r="3172" spans="2:8" hidden="1">
      <c r="B3172" s="33"/>
      <c r="C3172" s="31"/>
      <c r="D3172" s="75"/>
      <c r="E3172" s="767"/>
      <c r="F3172" s="200"/>
      <c r="G3172" s="75"/>
      <c r="H3172" s="31"/>
    </row>
    <row r="3173" spans="2:8" hidden="1">
      <c r="B3173" s="33"/>
      <c r="C3173" s="31"/>
      <c r="D3173" s="31"/>
      <c r="E3173" s="767"/>
      <c r="F3173" s="200"/>
      <c r="G3173" s="75"/>
      <c r="H3173" s="31"/>
    </row>
    <row r="3174" spans="2:8" hidden="1">
      <c r="B3174" s="33"/>
      <c r="C3174" s="31"/>
      <c r="D3174" s="31"/>
      <c r="E3174" s="200"/>
      <c r="F3174" s="200"/>
      <c r="G3174" s="75"/>
      <c r="H3174" s="31"/>
    </row>
    <row r="3175" spans="2:8" hidden="1">
      <c r="B3175" s="33"/>
      <c r="C3175" s="31"/>
      <c r="D3175" s="31"/>
      <c r="E3175" s="200"/>
      <c r="F3175" s="200"/>
      <c r="G3175" s="31"/>
      <c r="H3175" s="31"/>
    </row>
    <row r="3176" spans="2:8" hidden="1">
      <c r="B3176" s="33"/>
      <c r="C3176" s="31"/>
      <c r="D3176" s="75"/>
      <c r="E3176" s="76"/>
      <c r="F3176" s="200"/>
      <c r="G3176" s="75"/>
      <c r="H3176" s="31"/>
    </row>
    <row r="3177" spans="2:8" hidden="1">
      <c r="B3177" s="33"/>
      <c r="C3177" s="31"/>
      <c r="D3177" s="198"/>
      <c r="E3177" s="198"/>
      <c r="F3177" s="200"/>
      <c r="G3177" s="75"/>
      <c r="H3177" s="31"/>
    </row>
    <row r="3178" spans="2:8" hidden="1">
      <c r="B3178" s="33"/>
      <c r="C3178" s="31"/>
      <c r="D3178" s="768"/>
      <c r="E3178" s="31"/>
      <c r="F3178" s="200"/>
      <c r="G3178" s="75"/>
      <c r="H3178" s="31"/>
    </row>
    <row r="3179" spans="2:8" hidden="1">
      <c r="B3179" s="33"/>
      <c r="C3179" s="31"/>
      <c r="D3179" s="200"/>
      <c r="E3179" s="31"/>
      <c r="F3179" s="200"/>
      <c r="G3179" s="75"/>
      <c r="H3179" s="31"/>
    </row>
    <row r="3180" spans="2:8" hidden="1">
      <c r="B3180" s="33"/>
      <c r="C3180" s="31"/>
      <c r="D3180" s="31"/>
      <c r="E3180" s="31"/>
      <c r="F3180" s="31"/>
      <c r="G3180" s="31"/>
      <c r="H3180" s="31"/>
    </row>
    <row r="3181" spans="2:8" hidden="1">
      <c r="B3181" s="33"/>
      <c r="C3181" s="31"/>
      <c r="D3181" s="31"/>
      <c r="E3181" s="31"/>
      <c r="F3181" s="31"/>
      <c r="G3181" s="31"/>
      <c r="H3181" s="31"/>
    </row>
    <row r="3182" spans="2:8" hidden="1">
      <c r="B3182" s="33"/>
      <c r="C3182" s="31"/>
      <c r="D3182" s="31"/>
      <c r="E3182" s="31"/>
      <c r="F3182" s="31"/>
      <c r="G3182" s="31"/>
      <c r="H3182" s="31"/>
    </row>
    <row r="3183" spans="2:8" hidden="1">
      <c r="B3183" s="33"/>
      <c r="C3183" s="31"/>
      <c r="D3183" s="33"/>
      <c r="E3183" s="31"/>
      <c r="F3183" s="200"/>
      <c r="G3183" s="76"/>
      <c r="H3183" s="31"/>
    </row>
    <row r="3184" spans="2:8" hidden="1">
      <c r="B3184" s="33"/>
      <c r="C3184" s="31"/>
      <c r="D3184" s="31"/>
      <c r="E3184" s="31"/>
      <c r="F3184" s="31"/>
      <c r="G3184" s="31"/>
      <c r="H3184" s="31"/>
    </row>
    <row r="3185" spans="2:8" hidden="1">
      <c r="B3185" s="33"/>
      <c r="C3185" s="31"/>
      <c r="D3185" s="31"/>
      <c r="E3185" s="31"/>
      <c r="F3185" s="31"/>
      <c r="G3185" s="31"/>
      <c r="H3185" s="31"/>
    </row>
    <row r="3186" spans="2:8" hidden="1">
      <c r="B3186" s="33"/>
      <c r="C3186" s="31"/>
      <c r="D3186" s="31"/>
      <c r="E3186" s="31"/>
      <c r="F3186" s="31"/>
      <c r="G3186" s="31"/>
      <c r="H3186" s="31"/>
    </row>
    <row r="3187" spans="2:8" hidden="1">
      <c r="B3187" s="33"/>
      <c r="C3187" s="31"/>
      <c r="D3187" s="31"/>
      <c r="E3187" s="31"/>
      <c r="F3187" s="31"/>
      <c r="G3187" s="31"/>
      <c r="H3187" s="31"/>
    </row>
    <row r="3188" spans="2:8" hidden="1">
      <c r="B3188" s="33"/>
      <c r="C3188" s="31"/>
      <c r="D3188" s="31"/>
      <c r="E3188" s="31"/>
      <c r="F3188" s="31"/>
      <c r="G3188" s="31"/>
      <c r="H3188" s="31"/>
    </row>
    <row r="3189" spans="2:8" hidden="1">
      <c r="B3189" s="33"/>
      <c r="C3189" s="31"/>
      <c r="D3189" s="31"/>
      <c r="E3189" s="31"/>
      <c r="F3189" s="31"/>
      <c r="G3189" s="31"/>
      <c r="H3189" s="31"/>
    </row>
    <row r="3190" spans="2:8" hidden="1">
      <c r="B3190" s="33"/>
      <c r="C3190" s="31"/>
      <c r="D3190" s="31"/>
      <c r="E3190" s="31"/>
      <c r="F3190" s="31"/>
      <c r="G3190" s="31"/>
      <c r="H3190" s="31"/>
    </row>
    <row r="3191" spans="2:8" hidden="1">
      <c r="B3191" s="33"/>
      <c r="C3191" s="31"/>
      <c r="D3191" s="31"/>
      <c r="E3191" s="31"/>
      <c r="F3191" s="31"/>
      <c r="G3191" s="31"/>
      <c r="H3191" s="31"/>
    </row>
    <row r="3192" spans="2:8" hidden="1">
      <c r="B3192" s="33"/>
      <c r="C3192" s="31"/>
      <c r="D3192" s="31"/>
      <c r="E3192" s="31"/>
      <c r="F3192" s="31"/>
      <c r="G3192" s="31"/>
      <c r="H3192" s="31"/>
    </row>
    <row r="3193" spans="2:8" hidden="1">
      <c r="B3193" s="33"/>
      <c r="C3193" s="31"/>
      <c r="D3193" s="31"/>
      <c r="E3193" s="31"/>
      <c r="F3193" s="31"/>
      <c r="G3193" s="31"/>
      <c r="H3193" s="31"/>
    </row>
    <row r="3194" spans="2:8" hidden="1">
      <c r="B3194" s="33"/>
      <c r="C3194" s="31"/>
      <c r="D3194" s="31"/>
      <c r="E3194" s="31"/>
      <c r="F3194" s="31"/>
      <c r="G3194" s="31"/>
      <c r="H3194" s="31"/>
    </row>
    <row r="3195" spans="2:8" hidden="1">
      <c r="B3195" s="33"/>
      <c r="C3195" s="31"/>
      <c r="D3195" s="31"/>
      <c r="E3195" s="31"/>
      <c r="F3195" s="31"/>
      <c r="G3195" s="31"/>
      <c r="H3195" s="31"/>
    </row>
    <row r="3196" spans="2:8" hidden="1">
      <c r="B3196" s="33"/>
      <c r="C3196" s="31"/>
      <c r="D3196" s="31"/>
      <c r="E3196" s="31"/>
      <c r="F3196" s="31"/>
      <c r="G3196" s="31"/>
      <c r="H3196" s="31"/>
    </row>
    <row r="3197" spans="2:8" hidden="1">
      <c r="B3197" s="33"/>
      <c r="C3197" s="31"/>
      <c r="D3197" s="31"/>
      <c r="E3197" s="31"/>
      <c r="F3197" s="31"/>
      <c r="G3197" s="31"/>
      <c r="H3197" s="31"/>
    </row>
    <row r="3198" spans="2:8" hidden="1">
      <c r="B3198" s="33"/>
      <c r="C3198" s="31"/>
      <c r="D3198" s="31"/>
      <c r="E3198" s="31"/>
      <c r="F3198" s="31"/>
      <c r="G3198" s="31"/>
      <c r="H3198" s="31"/>
    </row>
    <row r="3199" spans="2:8" hidden="1">
      <c r="B3199" s="33"/>
      <c r="C3199" s="31"/>
      <c r="D3199" s="31"/>
      <c r="E3199" s="31"/>
      <c r="F3199" s="31"/>
      <c r="G3199" s="31"/>
      <c r="H3199" s="31"/>
    </row>
    <row r="3200" spans="2:8" hidden="1">
      <c r="B3200" s="33"/>
      <c r="C3200" s="31"/>
      <c r="D3200" s="31"/>
      <c r="E3200" s="31"/>
      <c r="F3200" s="31"/>
      <c r="G3200" s="31"/>
      <c r="H3200" s="31"/>
    </row>
    <row r="3201" spans="2:8" hidden="1">
      <c r="B3201" s="33"/>
      <c r="C3201" s="31"/>
      <c r="D3201" s="31"/>
      <c r="E3201" s="31"/>
      <c r="F3201" s="31"/>
      <c r="G3201" s="31"/>
      <c r="H3201" s="31"/>
    </row>
    <row r="3202" spans="2:8" hidden="1">
      <c r="B3202" s="33"/>
      <c r="C3202" s="31"/>
      <c r="D3202" s="31"/>
      <c r="E3202" s="31"/>
      <c r="F3202" s="691"/>
      <c r="G3202" s="31"/>
      <c r="H3202" s="31"/>
    </row>
    <row r="3203" spans="2:8" hidden="1">
      <c r="B3203" s="33"/>
      <c r="C3203" s="31"/>
      <c r="D3203" s="31"/>
      <c r="E3203" s="31"/>
      <c r="F3203" s="31"/>
      <c r="G3203" s="31"/>
      <c r="H3203" s="31"/>
    </row>
    <row r="3204" spans="2:8" hidden="1">
      <c r="B3204" s="33"/>
      <c r="C3204" s="31"/>
      <c r="D3204" s="31"/>
      <c r="E3204" s="31"/>
      <c r="F3204" s="691"/>
      <c r="G3204" s="31"/>
      <c r="H3204" s="31"/>
    </row>
    <row r="3205" spans="2:8" hidden="1">
      <c r="B3205" s="33"/>
      <c r="C3205" s="31"/>
      <c r="D3205" s="31"/>
      <c r="E3205" s="31"/>
      <c r="F3205" s="691"/>
      <c r="G3205" s="31"/>
      <c r="H3205" s="31"/>
    </row>
    <row r="3206" spans="2:8" hidden="1">
      <c r="B3206" s="33"/>
      <c r="C3206" s="31"/>
      <c r="D3206" s="31"/>
      <c r="E3206" s="31"/>
      <c r="F3206" s="31"/>
      <c r="G3206" s="31"/>
      <c r="H3206" s="31"/>
    </row>
    <row r="3207" spans="2:8" hidden="1">
      <c r="B3207" s="33"/>
      <c r="C3207" s="31"/>
      <c r="D3207" s="31"/>
      <c r="E3207" s="31"/>
      <c r="F3207" s="31"/>
      <c r="G3207" s="31"/>
      <c r="H3207" s="31"/>
    </row>
    <row r="3208" spans="2:8" hidden="1">
      <c r="B3208" s="200"/>
      <c r="C3208" s="31"/>
      <c r="D3208" s="31"/>
      <c r="E3208" s="31"/>
      <c r="F3208" s="31"/>
      <c r="G3208" s="31"/>
      <c r="H3208" s="31"/>
    </row>
    <row r="3209" spans="2:8" hidden="1">
      <c r="B3209" s="200"/>
      <c r="C3209" s="31"/>
      <c r="D3209" s="31"/>
      <c r="E3209" s="31"/>
      <c r="F3209" s="691"/>
      <c r="G3209" s="31"/>
      <c r="H3209" s="31"/>
    </row>
    <row r="3210" spans="2:8" hidden="1">
      <c r="B3210" s="200"/>
      <c r="C3210" s="31"/>
      <c r="D3210" s="31"/>
      <c r="E3210" s="31"/>
      <c r="F3210" s="691"/>
      <c r="G3210" s="31"/>
      <c r="H3210" s="31"/>
    </row>
    <row r="3211" spans="2:8" hidden="1">
      <c r="B3211" s="200"/>
      <c r="C3211" s="31"/>
      <c r="D3211" s="31"/>
      <c r="E3211" s="31"/>
      <c r="F3211" s="691"/>
      <c r="G3211" s="31"/>
      <c r="H3211" s="31"/>
    </row>
    <row r="3212" spans="2:8" hidden="1">
      <c r="B3212" s="200"/>
      <c r="C3212" s="31"/>
      <c r="D3212" s="31"/>
      <c r="E3212" s="31"/>
      <c r="F3212" s="691"/>
      <c r="G3212" s="31"/>
      <c r="H3212" s="31"/>
    </row>
    <row r="3213" spans="2:8" hidden="1">
      <c r="B3213" s="200"/>
      <c r="C3213" s="31"/>
      <c r="D3213" s="31"/>
      <c r="E3213" s="31"/>
      <c r="F3213" s="691"/>
      <c r="G3213" s="31"/>
      <c r="H3213" s="31"/>
    </row>
    <row r="3214" spans="2:8" hidden="1">
      <c r="B3214" s="200"/>
      <c r="C3214" s="31"/>
      <c r="D3214" s="31"/>
      <c r="E3214" s="31"/>
      <c r="F3214" s="691"/>
      <c r="G3214" s="31"/>
      <c r="H3214" s="31"/>
    </row>
    <row r="3215" spans="2:8" hidden="1">
      <c r="B3215" s="200"/>
      <c r="C3215" s="31"/>
      <c r="D3215" s="31"/>
      <c r="E3215" s="31"/>
      <c r="F3215" s="691"/>
      <c r="G3215" s="31"/>
      <c r="H3215" s="31"/>
    </row>
    <row r="3216" spans="2:8" hidden="1">
      <c r="B3216" s="33"/>
      <c r="C3216" s="31"/>
      <c r="D3216" s="31"/>
      <c r="E3216" s="31"/>
      <c r="F3216" s="691"/>
      <c r="G3216" s="31"/>
      <c r="H3216" s="31"/>
    </row>
    <row r="3217" spans="2:8" hidden="1">
      <c r="B3217" s="33"/>
      <c r="C3217" s="31"/>
      <c r="D3217" s="31"/>
      <c r="E3217" s="31"/>
      <c r="F3217" s="691"/>
      <c r="G3217" s="31"/>
      <c r="H3217" s="31"/>
    </row>
    <row r="3218" spans="2:8" hidden="1">
      <c r="B3218" s="33"/>
      <c r="C3218" s="31"/>
      <c r="D3218" s="31"/>
      <c r="E3218" s="31"/>
      <c r="F3218" s="691"/>
      <c r="G3218" s="31"/>
      <c r="H3218" s="31"/>
    </row>
    <row r="3219" spans="2:8" hidden="1">
      <c r="B3219" s="33"/>
      <c r="C3219" s="31"/>
      <c r="D3219" s="31"/>
      <c r="E3219" s="31"/>
      <c r="F3219" s="691"/>
      <c r="G3219" s="31"/>
      <c r="H3219" s="31"/>
    </row>
    <row r="3220" spans="2:8" hidden="1">
      <c r="B3220" s="33"/>
      <c r="C3220" s="31"/>
      <c r="D3220" s="31"/>
      <c r="E3220" s="31"/>
      <c r="F3220" s="691"/>
      <c r="G3220" s="31"/>
      <c r="H3220" s="31"/>
    </row>
    <row r="3221" spans="2:8" hidden="1">
      <c r="B3221" s="33"/>
      <c r="C3221" s="31"/>
      <c r="D3221" s="31"/>
      <c r="E3221" s="31"/>
      <c r="F3221" s="691"/>
      <c r="G3221" s="31"/>
      <c r="H3221" s="31"/>
    </row>
    <row r="3222" spans="2:8" hidden="1">
      <c r="B3222" s="33"/>
      <c r="C3222" s="31"/>
      <c r="D3222" s="31"/>
      <c r="E3222" s="31"/>
      <c r="F3222" s="691"/>
      <c r="G3222" s="31"/>
      <c r="H3222" s="31"/>
    </row>
    <row r="3223" spans="2:8" hidden="1">
      <c r="B3223" s="33"/>
      <c r="C3223" s="31"/>
      <c r="D3223" s="31"/>
      <c r="E3223" s="31"/>
      <c r="F3223" s="691"/>
      <c r="G3223" s="31"/>
      <c r="H3223" s="31"/>
    </row>
    <row r="3224" spans="2:8" hidden="1">
      <c r="B3224" s="33"/>
      <c r="C3224" s="31"/>
      <c r="D3224" s="31"/>
      <c r="E3224" s="31"/>
      <c r="F3224" s="31"/>
      <c r="G3224" s="31"/>
      <c r="H3224" s="31"/>
    </row>
    <row r="3225" spans="2:8" hidden="1">
      <c r="B3225" s="33"/>
      <c r="C3225" s="31"/>
      <c r="D3225" s="31"/>
      <c r="E3225" s="31"/>
      <c r="F3225" s="31"/>
      <c r="G3225" s="31"/>
      <c r="H3225" s="31"/>
    </row>
    <row r="3226" spans="2:8" hidden="1">
      <c r="B3226" s="33"/>
      <c r="C3226" s="31"/>
      <c r="D3226" s="31"/>
      <c r="E3226" s="31"/>
      <c r="F3226" s="691"/>
      <c r="G3226" s="31"/>
      <c r="H3226" s="31"/>
    </row>
    <row r="3227" spans="2:8" hidden="1">
      <c r="B3227" s="33"/>
      <c r="C3227" s="31"/>
      <c r="D3227" s="31"/>
      <c r="E3227" s="31"/>
      <c r="F3227" s="691"/>
      <c r="G3227" s="31"/>
      <c r="H3227" s="31"/>
    </row>
    <row r="3228" spans="2:8" hidden="1">
      <c r="B3228" s="33"/>
      <c r="C3228" s="31"/>
      <c r="D3228" s="31"/>
      <c r="E3228" s="31"/>
      <c r="F3228" s="691"/>
      <c r="G3228" s="31"/>
      <c r="H3228" s="31"/>
    </row>
    <row r="3229" spans="2:8" hidden="1">
      <c r="B3229" s="33"/>
      <c r="C3229" s="31"/>
      <c r="D3229" s="31"/>
      <c r="E3229" s="31"/>
      <c r="F3229" s="691"/>
      <c r="G3229" s="31"/>
      <c r="H3229" s="31"/>
    </row>
    <row r="3230" spans="2:8" hidden="1">
      <c r="B3230" s="33"/>
      <c r="C3230" s="31"/>
      <c r="D3230" s="31"/>
      <c r="E3230" s="31"/>
      <c r="F3230" s="691"/>
      <c r="G3230" s="31"/>
      <c r="H3230" s="31"/>
    </row>
    <row r="3231" spans="2:8" hidden="1">
      <c r="B3231" s="33"/>
      <c r="C3231" s="31"/>
      <c r="D3231" s="31"/>
      <c r="E3231" s="31"/>
      <c r="F3231" s="691"/>
      <c r="G3231" s="31"/>
      <c r="H3231" s="31"/>
    </row>
    <row r="3232" spans="2:8" hidden="1">
      <c r="B3232" s="33"/>
      <c r="C3232" s="31"/>
      <c r="D3232" s="31"/>
      <c r="E3232" s="31"/>
      <c r="F3232" s="691"/>
      <c r="G3232" s="31"/>
      <c r="H3232" s="31"/>
    </row>
    <row r="3233" spans="2:8" hidden="1">
      <c r="B3233" s="33"/>
      <c r="C3233" s="31"/>
      <c r="D3233" s="31"/>
      <c r="E3233" s="31"/>
      <c r="F3233" s="691"/>
      <c r="G3233" s="31"/>
      <c r="H3233" s="31"/>
    </row>
    <row r="3234" spans="2:8" hidden="1">
      <c r="B3234" s="33"/>
      <c r="C3234" s="31"/>
      <c r="D3234" s="31"/>
      <c r="E3234" s="31"/>
      <c r="F3234" s="691"/>
      <c r="G3234" s="31"/>
      <c r="H3234" s="31"/>
    </row>
    <row r="3235" spans="2:8" hidden="1">
      <c r="B3235" s="33"/>
      <c r="C3235" s="31"/>
      <c r="D3235" s="31"/>
      <c r="E3235" s="31"/>
      <c r="F3235" s="691"/>
      <c r="G3235" s="31"/>
      <c r="H3235" s="31"/>
    </row>
    <row r="3236" spans="2:8" hidden="1">
      <c r="B3236" s="33"/>
      <c r="C3236" s="31"/>
      <c r="D3236" s="31"/>
      <c r="E3236" s="31"/>
      <c r="F3236" s="691"/>
      <c r="G3236" s="31"/>
      <c r="H3236" s="31"/>
    </row>
    <row r="3237" spans="2:8" hidden="1">
      <c r="B3237" s="33"/>
      <c r="C3237" s="31"/>
      <c r="D3237" s="31"/>
      <c r="E3237" s="31"/>
      <c r="F3237" s="691"/>
      <c r="G3237" s="31"/>
      <c r="H3237" s="31"/>
    </row>
    <row r="3238" spans="2:8" hidden="1">
      <c r="B3238" s="33"/>
      <c r="C3238" s="31"/>
      <c r="D3238" s="31"/>
      <c r="E3238" s="31"/>
      <c r="F3238" s="691"/>
      <c r="G3238" s="31"/>
      <c r="H3238" s="31"/>
    </row>
    <row r="3239" spans="2:8" hidden="1">
      <c r="B3239" s="33"/>
      <c r="C3239" s="31"/>
      <c r="D3239" s="31"/>
      <c r="E3239" s="31"/>
      <c r="F3239" s="691"/>
      <c r="G3239" s="31"/>
      <c r="H3239" s="31"/>
    </row>
    <row r="3240" spans="2:8" hidden="1">
      <c r="B3240" s="33"/>
      <c r="C3240" s="31"/>
      <c r="D3240" s="31"/>
      <c r="E3240" s="31"/>
      <c r="F3240" s="691"/>
      <c r="G3240" s="31"/>
      <c r="H3240" s="31"/>
    </row>
    <row r="3241" spans="2:8" hidden="1">
      <c r="B3241" s="33"/>
      <c r="C3241" s="31"/>
      <c r="D3241" s="31"/>
      <c r="E3241" s="31"/>
      <c r="F3241" s="691"/>
      <c r="G3241" s="31"/>
      <c r="H3241" s="31"/>
    </row>
    <row r="3242" spans="2:8" hidden="1">
      <c r="B3242" s="33"/>
      <c r="C3242" s="31"/>
      <c r="D3242" s="31"/>
      <c r="E3242" s="31"/>
      <c r="F3242" s="691"/>
      <c r="G3242" s="31"/>
      <c r="H3242" s="31"/>
    </row>
    <row r="3243" spans="2:8" hidden="1">
      <c r="B3243" s="33"/>
      <c r="C3243" s="31"/>
      <c r="D3243" s="31"/>
      <c r="E3243" s="200"/>
      <c r="F3243" s="691"/>
      <c r="G3243" s="31"/>
      <c r="H3243" s="31"/>
    </row>
    <row r="3244" spans="2:8" hidden="1">
      <c r="B3244" s="33"/>
      <c r="C3244" s="31"/>
      <c r="D3244" s="31"/>
      <c r="E3244" s="31"/>
      <c r="F3244" s="691"/>
      <c r="G3244" s="31"/>
      <c r="H3244" s="31"/>
    </row>
    <row r="3245" spans="2:8" hidden="1">
      <c r="B3245" s="33"/>
      <c r="C3245" s="31"/>
      <c r="D3245" s="31"/>
      <c r="E3245" s="31"/>
      <c r="F3245" s="691"/>
      <c r="G3245" s="31"/>
      <c r="H3245" s="31"/>
    </row>
    <row r="3246" spans="2:8" hidden="1">
      <c r="B3246" s="33"/>
      <c r="C3246" s="31"/>
      <c r="D3246" s="31"/>
      <c r="E3246" s="31"/>
      <c r="F3246" s="691"/>
      <c r="G3246" s="31"/>
      <c r="H3246" s="31"/>
    </row>
    <row r="3247" spans="2:8" hidden="1">
      <c r="B3247" s="33"/>
      <c r="C3247" s="31"/>
      <c r="D3247" s="31"/>
      <c r="E3247" s="31"/>
      <c r="F3247" s="691"/>
      <c r="G3247" s="31"/>
      <c r="H3247" s="31"/>
    </row>
    <row r="3248" spans="2:8" hidden="1">
      <c r="B3248" s="33"/>
      <c r="C3248" s="31"/>
      <c r="D3248" s="31"/>
      <c r="E3248" s="31"/>
      <c r="F3248" s="691"/>
      <c r="G3248" s="31"/>
      <c r="H3248" s="31"/>
    </row>
    <row r="3249" spans="2:8" hidden="1">
      <c r="B3249" s="33"/>
      <c r="C3249" s="31"/>
      <c r="D3249" s="31"/>
      <c r="E3249" s="31"/>
      <c r="F3249" s="691"/>
      <c r="G3249" s="31"/>
      <c r="H3249" s="31"/>
    </row>
    <row r="3250" spans="2:8" hidden="1">
      <c r="B3250" s="33"/>
      <c r="C3250" s="31"/>
      <c r="D3250" s="31"/>
      <c r="E3250" s="31"/>
      <c r="F3250" s="691"/>
      <c r="G3250" s="31"/>
      <c r="H3250" s="31"/>
    </row>
    <row r="3251" spans="2:8" hidden="1">
      <c r="B3251" s="33"/>
      <c r="C3251" s="31"/>
      <c r="D3251" s="31"/>
      <c r="E3251" s="31"/>
      <c r="F3251" s="691"/>
      <c r="G3251" s="31"/>
      <c r="H3251" s="31"/>
    </row>
    <row r="3252" spans="2:8" hidden="1">
      <c r="B3252" s="33"/>
      <c r="C3252" s="31"/>
      <c r="D3252" s="31"/>
      <c r="E3252" s="31"/>
      <c r="F3252" s="691"/>
      <c r="G3252" s="31"/>
      <c r="H3252" s="31"/>
    </row>
    <row r="3253" spans="2:8" hidden="1">
      <c r="B3253" s="33"/>
      <c r="C3253" s="31"/>
      <c r="D3253" s="31"/>
      <c r="E3253" s="31"/>
      <c r="F3253" s="691"/>
      <c r="G3253" s="31"/>
      <c r="H3253" s="31"/>
    </row>
    <row r="3254" spans="2:8" hidden="1">
      <c r="B3254" s="33"/>
      <c r="C3254" s="31"/>
      <c r="D3254" s="31"/>
      <c r="E3254" s="31"/>
      <c r="F3254" s="691"/>
      <c r="G3254" s="31"/>
      <c r="H3254" s="31"/>
    </row>
    <row r="3255" spans="2:8" hidden="1">
      <c r="B3255" s="33"/>
      <c r="C3255" s="31"/>
      <c r="D3255" s="31"/>
      <c r="E3255" s="31"/>
      <c r="F3255" s="691"/>
      <c r="G3255" s="31"/>
      <c r="H3255" s="31"/>
    </row>
    <row r="3256" spans="2:8" hidden="1">
      <c r="B3256" s="33"/>
      <c r="C3256" s="31"/>
      <c r="D3256" s="31"/>
      <c r="E3256" s="31"/>
      <c r="F3256" s="691"/>
      <c r="G3256" s="31"/>
      <c r="H3256" s="31"/>
    </row>
    <row r="3257" spans="2:8" hidden="1">
      <c r="B3257" s="33"/>
      <c r="C3257" s="31"/>
      <c r="D3257" s="31"/>
      <c r="E3257" s="31"/>
      <c r="F3257" s="691"/>
      <c r="G3257" s="31"/>
      <c r="H3257" s="31"/>
    </row>
    <row r="3258" spans="2:8" hidden="1">
      <c r="B3258" s="33"/>
      <c r="C3258" s="31"/>
      <c r="D3258" s="31"/>
      <c r="E3258" s="31"/>
      <c r="F3258" s="691"/>
      <c r="G3258" s="31"/>
      <c r="H3258" s="31"/>
    </row>
    <row r="3259" spans="2:8" hidden="1">
      <c r="B3259" s="33"/>
      <c r="C3259" s="31"/>
      <c r="D3259" s="31"/>
      <c r="E3259" s="31"/>
      <c r="F3259" s="31"/>
      <c r="G3259" s="31"/>
      <c r="H3259" s="31"/>
    </row>
    <row r="3260" spans="2:8" hidden="1">
      <c r="B3260" s="33"/>
      <c r="C3260" s="31"/>
      <c r="D3260" s="31"/>
      <c r="E3260" s="31"/>
      <c r="F3260" s="31"/>
      <c r="G3260" s="31"/>
      <c r="H3260" s="31"/>
    </row>
    <row r="3261" spans="2:8" hidden="1">
      <c r="B3261" s="33"/>
      <c r="C3261" s="31"/>
      <c r="D3261" s="31"/>
      <c r="E3261" s="31"/>
      <c r="F3261" s="31"/>
      <c r="G3261" s="31"/>
      <c r="H3261" s="31"/>
    </row>
    <row r="3262" spans="2:8" hidden="1">
      <c r="B3262" s="33"/>
      <c r="C3262" s="31"/>
      <c r="D3262" s="31"/>
      <c r="E3262" s="31"/>
      <c r="F3262" s="31"/>
      <c r="G3262" s="31"/>
      <c r="H3262" s="31"/>
    </row>
    <row r="3263" spans="2:8" hidden="1">
      <c r="B3263" s="33"/>
      <c r="C3263" s="31"/>
      <c r="D3263" s="31"/>
      <c r="E3263" s="31"/>
      <c r="F3263" s="31"/>
      <c r="G3263" s="31"/>
      <c r="H3263" s="31"/>
    </row>
    <row r="3264" spans="2:8" hidden="1">
      <c r="B3264" s="33"/>
      <c r="C3264" s="31"/>
      <c r="D3264" s="31"/>
      <c r="E3264" s="31"/>
      <c r="F3264" s="31"/>
      <c r="G3264" s="31"/>
      <c r="H3264" s="31"/>
    </row>
    <row r="3265" spans="2:8" hidden="1">
      <c r="B3265" s="33"/>
      <c r="C3265" s="31"/>
      <c r="D3265" s="31"/>
      <c r="E3265" s="31"/>
      <c r="F3265" s="31"/>
      <c r="G3265" s="31"/>
      <c r="H3265" s="31"/>
    </row>
    <row r="3266" spans="2:8" hidden="1">
      <c r="B3266" s="33"/>
      <c r="C3266" s="31"/>
      <c r="D3266" s="31"/>
      <c r="E3266" s="31"/>
      <c r="F3266" s="31"/>
      <c r="G3266" s="31"/>
      <c r="H3266" s="31"/>
    </row>
    <row r="3267" spans="2:8" hidden="1">
      <c r="B3267" s="33"/>
      <c r="C3267" s="31"/>
      <c r="D3267" s="31"/>
      <c r="E3267" s="31"/>
      <c r="F3267" s="31"/>
      <c r="G3267" s="31"/>
      <c r="H3267" s="31"/>
    </row>
    <row r="3268" spans="2:8" hidden="1">
      <c r="B3268" s="33"/>
      <c r="C3268" s="31"/>
      <c r="D3268" s="31"/>
      <c r="E3268" s="31"/>
      <c r="F3268" s="31"/>
      <c r="G3268" s="31"/>
      <c r="H3268" s="31"/>
    </row>
    <row r="3269" spans="2:8" hidden="1">
      <c r="B3269" s="33"/>
      <c r="C3269" s="31"/>
      <c r="D3269" s="31"/>
      <c r="E3269" s="31"/>
      <c r="F3269" s="31"/>
      <c r="G3269" s="31"/>
      <c r="H3269" s="31"/>
    </row>
    <row r="3270" spans="2:8" hidden="1">
      <c r="B3270" s="33"/>
      <c r="C3270" s="31"/>
      <c r="D3270" s="31"/>
      <c r="E3270" s="31"/>
      <c r="F3270" s="31"/>
      <c r="G3270" s="31"/>
      <c r="H3270" s="31"/>
    </row>
    <row r="3271" spans="2:8" hidden="1">
      <c r="B3271" s="33"/>
      <c r="C3271" s="31"/>
      <c r="D3271" s="31"/>
      <c r="E3271" s="31"/>
      <c r="F3271" s="31"/>
      <c r="G3271" s="31"/>
      <c r="H3271" s="31"/>
    </row>
    <row r="3272" spans="2:8" hidden="1">
      <c r="B3272" s="33"/>
      <c r="C3272" s="31"/>
      <c r="D3272" s="31"/>
      <c r="E3272" s="31"/>
      <c r="F3272" s="33"/>
      <c r="G3272" s="31"/>
      <c r="H3272" s="31"/>
    </row>
    <row r="3273" spans="2:8" hidden="1">
      <c r="B3273" s="33"/>
      <c r="C3273" s="31"/>
      <c r="D3273" s="33"/>
      <c r="E3273" s="33"/>
      <c r="F3273" s="33"/>
      <c r="G3273" s="33"/>
      <c r="H3273" s="31"/>
    </row>
    <row r="3274" spans="2:8" hidden="1">
      <c r="B3274" s="33"/>
      <c r="C3274" s="31"/>
      <c r="D3274" s="33"/>
      <c r="E3274" s="33"/>
      <c r="F3274" s="33"/>
      <c r="G3274" s="33"/>
      <c r="H3274" s="31"/>
    </row>
    <row r="3275" spans="2:8" hidden="1">
      <c r="B3275" s="33"/>
      <c r="C3275" s="31"/>
      <c r="D3275" s="33"/>
      <c r="E3275" s="33"/>
      <c r="F3275" s="33"/>
      <c r="G3275" s="33"/>
      <c r="H3275" s="31"/>
    </row>
    <row r="3276" spans="2:8" hidden="1">
      <c r="B3276" s="33"/>
      <c r="C3276" s="31"/>
      <c r="D3276" s="33"/>
      <c r="E3276" s="33"/>
      <c r="F3276" s="33"/>
      <c r="G3276" s="33"/>
      <c r="H3276" s="31"/>
    </row>
    <row r="3277" spans="2:8" hidden="1">
      <c r="B3277" s="33"/>
      <c r="C3277" s="31"/>
      <c r="D3277" s="33"/>
      <c r="E3277" s="33"/>
      <c r="F3277" s="33"/>
      <c r="G3277" s="33"/>
      <c r="H3277" s="31"/>
    </row>
    <row r="3278" spans="2:8" hidden="1">
      <c r="B3278" s="33"/>
      <c r="C3278" s="31"/>
      <c r="D3278" s="33"/>
      <c r="E3278" s="33"/>
      <c r="F3278" s="33"/>
      <c r="G3278" s="33"/>
      <c r="H3278" s="31"/>
    </row>
    <row r="3279" spans="2:8" hidden="1">
      <c r="B3279" s="33"/>
      <c r="C3279" s="31"/>
      <c r="D3279" s="33"/>
      <c r="E3279" s="33"/>
      <c r="F3279" s="33"/>
      <c r="G3279" s="33"/>
      <c r="H3279" s="31"/>
    </row>
    <row r="3280" spans="2:8" hidden="1">
      <c r="B3280" s="33"/>
      <c r="C3280" s="33"/>
      <c r="D3280" s="33"/>
      <c r="E3280" s="33"/>
      <c r="F3280" s="33"/>
      <c r="G3280" s="33"/>
      <c r="H3280" s="31"/>
    </row>
    <row r="3281" spans="2:8" hidden="1">
      <c r="B3281" s="33"/>
      <c r="C3281" s="31"/>
      <c r="D3281" s="31"/>
      <c r="E3281" s="31"/>
      <c r="F3281" s="31"/>
      <c r="G3281" s="31"/>
      <c r="H3281" s="31"/>
    </row>
    <row r="3282" spans="2:8" hidden="1">
      <c r="B3282" s="33"/>
      <c r="C3282" s="31"/>
      <c r="D3282" s="31"/>
      <c r="E3282" s="31"/>
      <c r="F3282" s="31"/>
      <c r="G3282" s="31"/>
      <c r="H3282" s="31"/>
    </row>
    <row r="3283" spans="2:8" hidden="1">
      <c r="B3283" s="33"/>
      <c r="C3283" s="31"/>
      <c r="D3283" s="31"/>
      <c r="E3283" s="31"/>
      <c r="F3283" s="31"/>
      <c r="G3283" s="31"/>
      <c r="H3283" s="31"/>
    </row>
    <row r="3284" spans="2:8" hidden="1">
      <c r="B3284" s="33"/>
      <c r="C3284" s="31"/>
      <c r="D3284" s="31"/>
      <c r="E3284" s="31"/>
      <c r="F3284" s="31"/>
      <c r="G3284" s="31"/>
      <c r="H3284" s="31"/>
    </row>
    <row r="3285" spans="2:8" hidden="1">
      <c r="B3285" s="33"/>
      <c r="C3285" s="31"/>
      <c r="D3285" s="31"/>
      <c r="E3285" s="31"/>
      <c r="F3285" s="31"/>
      <c r="G3285" s="31"/>
      <c r="H3285" s="31"/>
    </row>
    <row r="3286" spans="2:8" hidden="1">
      <c r="B3286" s="33"/>
      <c r="C3286" s="31"/>
      <c r="D3286" s="31"/>
      <c r="E3286" s="31"/>
      <c r="F3286" s="31"/>
      <c r="G3286" s="31"/>
      <c r="H3286" s="31"/>
    </row>
    <row r="3287" spans="2:8" hidden="1">
      <c r="B3287" s="33"/>
      <c r="C3287" s="31"/>
      <c r="D3287" s="31"/>
      <c r="E3287" s="31"/>
      <c r="F3287" s="31"/>
      <c r="G3287" s="31"/>
      <c r="H3287" s="31"/>
    </row>
    <row r="3288" spans="2:8" hidden="1">
      <c r="B3288" s="33"/>
      <c r="C3288" s="31"/>
      <c r="D3288" s="31"/>
      <c r="E3288" s="31"/>
      <c r="F3288" s="31"/>
      <c r="G3288" s="31"/>
      <c r="H3288" s="31"/>
    </row>
    <row r="3289" spans="2:8" hidden="1">
      <c r="B3289" s="33"/>
      <c r="C3289" s="31"/>
      <c r="D3289" s="31"/>
      <c r="E3289" s="31"/>
      <c r="F3289" s="31"/>
      <c r="G3289" s="31"/>
      <c r="H3289" s="31"/>
    </row>
    <row r="3290" spans="2:8" hidden="1">
      <c r="B3290" s="33"/>
      <c r="C3290" s="31"/>
      <c r="D3290" s="31"/>
      <c r="E3290" s="31"/>
      <c r="F3290" s="31"/>
      <c r="G3290" s="31"/>
      <c r="H3290" s="31"/>
    </row>
    <row r="3291" spans="2:8" hidden="1">
      <c r="B3291" s="33"/>
      <c r="C3291" s="31"/>
      <c r="D3291" s="31"/>
      <c r="E3291" s="31"/>
      <c r="F3291" s="31"/>
      <c r="G3291" s="31"/>
      <c r="H3291" s="31"/>
    </row>
    <row r="3292" spans="2:8" hidden="1">
      <c r="B3292" s="33"/>
      <c r="C3292" s="31"/>
      <c r="D3292" s="31"/>
      <c r="E3292" s="31"/>
      <c r="F3292" s="31"/>
      <c r="G3292" s="31"/>
      <c r="H3292" s="31"/>
    </row>
    <row r="3293" spans="2:8" hidden="1">
      <c r="B3293" s="33"/>
      <c r="C3293" s="31"/>
      <c r="D3293" s="75"/>
      <c r="E3293" s="31"/>
      <c r="F3293" s="405"/>
      <c r="G3293" s="75"/>
      <c r="H3293" s="31"/>
    </row>
    <row r="3294" spans="2:8" hidden="1">
      <c r="B3294" s="33"/>
      <c r="C3294" s="31"/>
      <c r="D3294" s="31"/>
      <c r="E3294" s="31"/>
      <c r="F3294" s="691"/>
      <c r="G3294" s="732"/>
      <c r="H3294" s="31"/>
    </row>
    <row r="3295" spans="2:8" hidden="1">
      <c r="B3295" s="33"/>
      <c r="C3295" s="31"/>
      <c r="D3295" s="31"/>
      <c r="E3295" s="31"/>
      <c r="F3295" s="405"/>
      <c r="G3295" s="75"/>
      <c r="H3295" s="31"/>
    </row>
    <row r="3296" spans="2:8" hidden="1">
      <c r="B3296" s="33"/>
      <c r="C3296" s="31"/>
      <c r="D3296" s="75"/>
      <c r="E3296" s="31"/>
      <c r="F3296" s="405"/>
      <c r="G3296" s="75"/>
      <c r="H3296" s="31"/>
    </row>
    <row r="3297" spans="2:8" hidden="1">
      <c r="B3297" s="33"/>
      <c r="C3297" s="31"/>
      <c r="D3297" s="31"/>
      <c r="E3297" s="31"/>
      <c r="F3297" s="691"/>
      <c r="G3297" s="732"/>
      <c r="H3297" s="31"/>
    </row>
    <row r="3298" spans="2:8" hidden="1">
      <c r="B3298" s="33"/>
      <c r="C3298" s="31"/>
      <c r="D3298" s="31"/>
      <c r="E3298" s="31"/>
      <c r="F3298" s="405"/>
      <c r="G3298" s="75"/>
      <c r="H3298" s="31"/>
    </row>
    <row r="3299" spans="2:8" hidden="1">
      <c r="B3299" s="33"/>
      <c r="C3299" s="31"/>
      <c r="D3299" s="31"/>
      <c r="E3299" s="31"/>
      <c r="F3299" s="31"/>
      <c r="G3299" s="31"/>
      <c r="H3299" s="31"/>
    </row>
    <row r="3300" spans="2:8" hidden="1">
      <c r="B3300" s="33"/>
      <c r="C3300" s="200"/>
      <c r="D3300" s="31"/>
      <c r="E3300" s="200"/>
      <c r="F3300" s="769"/>
      <c r="G3300" s="31"/>
      <c r="H3300" s="31"/>
    </row>
    <row r="3301" spans="2:8" hidden="1">
      <c r="B3301" s="76"/>
      <c r="C3301" s="31"/>
      <c r="D3301" s="31"/>
      <c r="E3301" s="31"/>
      <c r="F3301" s="732"/>
      <c r="G3301" s="31"/>
      <c r="H3301" s="31"/>
    </row>
    <row r="3302" spans="2:8" hidden="1">
      <c r="B3302" s="33"/>
      <c r="C3302" s="33"/>
      <c r="D3302" s="33"/>
      <c r="E3302" s="33"/>
      <c r="F3302" s="33"/>
      <c r="G3302" s="33"/>
      <c r="H3302" s="31"/>
    </row>
    <row r="3303" spans="2:8" hidden="1">
      <c r="B3303" s="33"/>
      <c r="C3303" s="31"/>
      <c r="D3303" s="33"/>
      <c r="E3303" s="33"/>
      <c r="F3303" s="33"/>
      <c r="G3303" s="33"/>
      <c r="H3303" s="31"/>
    </row>
    <row r="3304" spans="2:8" hidden="1">
      <c r="B3304" s="405"/>
      <c r="C3304" s="76"/>
      <c r="D3304" s="731"/>
      <c r="E3304" s="75"/>
      <c r="F3304" s="75"/>
      <c r="G3304" s="75"/>
      <c r="H3304" s="31"/>
    </row>
    <row r="3305" spans="2:8" hidden="1">
      <c r="B3305" s="405"/>
      <c r="C3305" s="76"/>
      <c r="D3305" s="731"/>
      <c r="E3305" s="75"/>
      <c r="F3305" s="75"/>
      <c r="G3305" s="75"/>
      <c r="H3305" s="31"/>
    </row>
    <row r="3306" spans="2:8" hidden="1">
      <c r="B3306" s="405"/>
      <c r="C3306" s="76"/>
      <c r="D3306" s="731"/>
      <c r="E3306" s="75"/>
      <c r="F3306" s="75"/>
      <c r="G3306" s="75"/>
      <c r="H3306" s="31"/>
    </row>
    <row r="3307" spans="2:8" hidden="1">
      <c r="B3307" s="405"/>
      <c r="C3307" s="76"/>
      <c r="D3307" s="731"/>
      <c r="E3307" s="75"/>
      <c r="F3307" s="75"/>
      <c r="G3307" s="75"/>
      <c r="H3307" s="31"/>
    </row>
    <row r="3308" spans="2:8" hidden="1">
      <c r="B3308" s="405"/>
      <c r="C3308" s="76"/>
      <c r="D3308" s="731"/>
      <c r="E3308" s="75"/>
      <c r="F3308" s="75"/>
      <c r="G3308" s="75"/>
      <c r="H3308" s="31"/>
    </row>
    <row r="3309" spans="2:8" hidden="1">
      <c r="B3309" s="405"/>
      <c r="C3309" s="76"/>
      <c r="D3309" s="731"/>
      <c r="E3309" s="75"/>
      <c r="F3309" s="75"/>
      <c r="G3309" s="75"/>
      <c r="H3309" s="31"/>
    </row>
    <row r="3310" spans="2:8" hidden="1">
      <c r="B3310" s="405"/>
      <c r="C3310" s="76"/>
      <c r="D3310" s="731"/>
      <c r="E3310" s="75"/>
      <c r="F3310" s="75"/>
      <c r="G3310" s="75"/>
      <c r="H3310" s="31"/>
    </row>
    <row r="3311" spans="2:8" hidden="1">
      <c r="B3311" s="405"/>
      <c r="C3311" s="76"/>
      <c r="D3311" s="731"/>
      <c r="E3311" s="75"/>
      <c r="F3311" s="75"/>
      <c r="G3311" s="75"/>
      <c r="H3311" s="31"/>
    </row>
    <row r="3312" spans="2:8" hidden="1">
      <c r="B3312" s="405"/>
      <c r="C3312" s="76"/>
      <c r="D3312" s="731"/>
      <c r="E3312" s="75"/>
      <c r="F3312" s="75"/>
      <c r="G3312" s="75"/>
      <c r="H3312" s="31"/>
    </row>
    <row r="3313" spans="2:8" hidden="1">
      <c r="B3313" s="30"/>
      <c r="C3313" s="76"/>
      <c r="D3313" s="731"/>
      <c r="E3313" s="75"/>
      <c r="F3313" s="75"/>
      <c r="G3313" s="75"/>
      <c r="H3313" s="31"/>
    </row>
    <row r="3314" spans="2:8" hidden="1">
      <c r="B3314" s="30"/>
      <c r="C3314" s="76"/>
      <c r="D3314" s="731"/>
      <c r="E3314" s="75"/>
      <c r="F3314" s="75"/>
      <c r="G3314" s="75"/>
      <c r="H3314" s="31"/>
    </row>
    <row r="3315" spans="2:8" hidden="1">
      <c r="B3315" s="30"/>
      <c r="C3315" s="76"/>
      <c r="D3315" s="731"/>
      <c r="E3315" s="75"/>
      <c r="F3315" s="75"/>
      <c r="G3315" s="75"/>
      <c r="H3315" s="31"/>
    </row>
    <row r="3316" spans="2:8" hidden="1">
      <c r="B3316" s="30"/>
      <c r="C3316" s="76"/>
      <c r="D3316" s="731"/>
      <c r="E3316" s="75"/>
      <c r="F3316" s="75"/>
      <c r="G3316" s="75"/>
      <c r="H3316" s="31"/>
    </row>
    <row r="3317" spans="2:8" hidden="1">
      <c r="B3317" s="30"/>
      <c r="C3317" s="76"/>
      <c r="D3317" s="731"/>
      <c r="E3317" s="75"/>
      <c r="F3317" s="75"/>
      <c r="G3317" s="75"/>
      <c r="H3317" s="31"/>
    </row>
    <row r="3318" spans="2:8" hidden="1">
      <c r="B3318" s="30"/>
      <c r="C3318" s="76"/>
      <c r="D3318" s="731"/>
      <c r="E3318" s="75"/>
      <c r="F3318" s="75"/>
      <c r="G3318" s="75"/>
      <c r="H3318" s="31"/>
    </row>
    <row r="3319" spans="2:8" hidden="1">
      <c r="B3319" s="30"/>
      <c r="C3319" s="76"/>
      <c r="D3319" s="731"/>
      <c r="E3319" s="75"/>
      <c r="F3319" s="75"/>
      <c r="G3319" s="75"/>
      <c r="H3319" s="31"/>
    </row>
    <row r="3320" spans="2:8" hidden="1">
      <c r="B3320" s="33"/>
      <c r="C3320" s="31"/>
      <c r="D3320" s="31"/>
      <c r="E3320" s="200"/>
      <c r="F3320" s="200"/>
      <c r="G3320" s="75"/>
      <c r="H3320" s="31"/>
    </row>
    <row r="3321" spans="2:8" hidden="1">
      <c r="B3321" s="33"/>
      <c r="C3321" s="31"/>
      <c r="D3321" s="31"/>
      <c r="E3321" s="198"/>
      <c r="F3321" s="200"/>
      <c r="G3321" s="75"/>
      <c r="H3321" s="31"/>
    </row>
    <row r="3322" spans="2:8" hidden="1">
      <c r="B3322" s="33"/>
      <c r="C3322" s="31"/>
      <c r="D3322" s="31"/>
      <c r="E3322" s="198"/>
      <c r="F3322" s="200"/>
      <c r="G3322" s="75"/>
      <c r="H3322" s="31"/>
    </row>
    <row r="3323" spans="2:8" hidden="1">
      <c r="B3323" s="33"/>
      <c r="C3323" s="31"/>
      <c r="D3323" s="31"/>
      <c r="E3323" s="198"/>
      <c r="F3323" s="200"/>
      <c r="G3323" s="75"/>
      <c r="H3323" s="31"/>
    </row>
    <row r="3324" spans="2:8" hidden="1">
      <c r="B3324" s="33"/>
      <c r="C3324" s="200"/>
      <c r="D3324" s="30"/>
      <c r="E3324" s="30"/>
      <c r="F3324" s="200"/>
      <c r="G3324" s="75"/>
      <c r="H3324" s="31"/>
    </row>
    <row r="3325" spans="2:8" hidden="1">
      <c r="B3325" s="33"/>
      <c r="C3325" s="31"/>
      <c r="D3325" s="31"/>
      <c r="E3325" s="31"/>
      <c r="F3325" s="31"/>
      <c r="G3325" s="31"/>
      <c r="H3325" s="31"/>
    </row>
    <row r="3326" spans="2:8" hidden="1">
      <c r="B3326" s="76"/>
      <c r="C3326" s="31"/>
      <c r="D3326" s="31"/>
      <c r="E3326" s="31"/>
      <c r="F3326" s="31"/>
      <c r="G3326" s="31"/>
      <c r="H3326" s="31"/>
    </row>
    <row r="3327" spans="2:8" hidden="1">
      <c r="B3327" s="33"/>
      <c r="C3327" s="33"/>
      <c r="D3327" s="33"/>
      <c r="E3327" s="33"/>
      <c r="F3327" s="33"/>
      <c r="G3327" s="33"/>
      <c r="H3327" s="31"/>
    </row>
    <row r="3328" spans="2:8" hidden="1">
      <c r="B3328" s="33"/>
      <c r="C3328" s="31"/>
      <c r="D3328" s="33"/>
      <c r="E3328" s="33"/>
      <c r="F3328" s="33"/>
      <c r="G3328" s="33"/>
      <c r="H3328" s="31"/>
    </row>
    <row r="3329" spans="2:8" hidden="1">
      <c r="B3329" s="405"/>
      <c r="C3329" s="76"/>
      <c r="D3329" s="731"/>
      <c r="E3329" s="75"/>
      <c r="F3329" s="75"/>
      <c r="G3329" s="75"/>
      <c r="H3329" s="31"/>
    </row>
    <row r="3330" spans="2:8" hidden="1">
      <c r="B3330" s="405"/>
      <c r="C3330" s="76"/>
      <c r="D3330" s="731"/>
      <c r="E3330" s="75"/>
      <c r="F3330" s="75"/>
      <c r="G3330" s="75"/>
      <c r="H3330" s="31"/>
    </row>
    <row r="3331" spans="2:8" hidden="1">
      <c r="B3331" s="405"/>
      <c r="C3331" s="76"/>
      <c r="D3331" s="731"/>
      <c r="E3331" s="75"/>
      <c r="F3331" s="75"/>
      <c r="G3331" s="75"/>
      <c r="H3331" s="31"/>
    </row>
    <row r="3332" spans="2:8" hidden="1">
      <c r="B3332" s="405"/>
      <c r="C3332" s="76"/>
      <c r="D3332" s="731"/>
      <c r="E3332" s="75"/>
      <c r="F3332" s="75"/>
      <c r="G3332" s="75"/>
      <c r="H3332" s="31"/>
    </row>
    <row r="3333" spans="2:8" hidden="1">
      <c r="B3333" s="405"/>
      <c r="C3333" s="76"/>
      <c r="D3333" s="731"/>
      <c r="E3333" s="75"/>
      <c r="F3333" s="75"/>
      <c r="G3333" s="75"/>
      <c r="H3333" s="31"/>
    </row>
    <row r="3334" spans="2:8" hidden="1">
      <c r="B3334" s="405"/>
      <c r="C3334" s="76"/>
      <c r="D3334" s="731"/>
      <c r="E3334" s="75"/>
      <c r="F3334" s="75"/>
      <c r="G3334" s="75"/>
      <c r="H3334" s="31"/>
    </row>
    <row r="3335" spans="2:8" hidden="1">
      <c r="B3335" s="405"/>
      <c r="C3335" s="76"/>
      <c r="D3335" s="731"/>
      <c r="E3335" s="75"/>
      <c r="F3335" s="75"/>
      <c r="G3335" s="75"/>
      <c r="H3335" s="31"/>
    </row>
    <row r="3336" spans="2:8" hidden="1">
      <c r="B3336" s="405"/>
      <c r="C3336" s="76"/>
      <c r="D3336" s="731"/>
      <c r="E3336" s="75"/>
      <c r="F3336" s="75"/>
      <c r="G3336" s="75"/>
      <c r="H3336" s="31"/>
    </row>
    <row r="3337" spans="2:8" hidden="1">
      <c r="B3337" s="405"/>
      <c r="C3337" s="76"/>
      <c r="D3337" s="731"/>
      <c r="E3337" s="75"/>
      <c r="F3337" s="75"/>
      <c r="G3337" s="75"/>
      <c r="H3337" s="31"/>
    </row>
    <row r="3338" spans="2:8" hidden="1">
      <c r="B3338" s="405"/>
      <c r="C3338" s="76"/>
      <c r="D3338" s="731"/>
      <c r="E3338" s="75"/>
      <c r="F3338" s="75"/>
      <c r="G3338" s="75"/>
      <c r="H3338" s="31"/>
    </row>
    <row r="3339" spans="2:8" hidden="1">
      <c r="B3339" s="405"/>
      <c r="C3339" s="76"/>
      <c r="D3339" s="731"/>
      <c r="E3339" s="75"/>
      <c r="F3339" s="75"/>
      <c r="G3339" s="75"/>
      <c r="H3339" s="31"/>
    </row>
    <row r="3340" spans="2:8" hidden="1">
      <c r="B3340" s="405"/>
      <c r="C3340" s="76"/>
      <c r="D3340" s="731"/>
      <c r="E3340" s="75"/>
      <c r="F3340" s="75"/>
      <c r="G3340" s="75"/>
      <c r="H3340" s="31"/>
    </row>
    <row r="3341" spans="2:8" hidden="1">
      <c r="B3341" s="405"/>
      <c r="C3341" s="76"/>
      <c r="D3341" s="731"/>
      <c r="E3341" s="75"/>
      <c r="F3341" s="75"/>
      <c r="G3341" s="75"/>
      <c r="H3341" s="31"/>
    </row>
    <row r="3342" spans="2:8" hidden="1">
      <c r="B3342" s="405"/>
      <c r="C3342" s="76"/>
      <c r="D3342" s="731"/>
      <c r="E3342" s="75"/>
      <c r="F3342" s="75"/>
      <c r="G3342" s="75"/>
      <c r="H3342" s="31"/>
    </row>
    <row r="3343" spans="2:8" hidden="1">
      <c r="B3343" s="405"/>
      <c r="C3343" s="76"/>
      <c r="D3343" s="731"/>
      <c r="E3343" s="75"/>
      <c r="F3343" s="75"/>
      <c r="G3343" s="75"/>
      <c r="H3343" s="31"/>
    </row>
    <row r="3344" spans="2:8" hidden="1">
      <c r="B3344" s="33"/>
      <c r="C3344" s="31"/>
      <c r="D3344" s="31"/>
      <c r="E3344" s="200"/>
      <c r="F3344" s="200"/>
      <c r="G3344" s="75"/>
      <c r="H3344" s="31"/>
    </row>
    <row r="3345" spans="2:8" hidden="1">
      <c r="B3345" s="33"/>
      <c r="C3345" s="31"/>
      <c r="D3345" s="31"/>
      <c r="E3345" s="198"/>
      <c r="F3345" s="200"/>
      <c r="G3345" s="75"/>
      <c r="H3345" s="31"/>
    </row>
    <row r="3346" spans="2:8" hidden="1">
      <c r="B3346" s="33"/>
      <c r="C3346" s="31"/>
      <c r="D3346" s="31"/>
      <c r="E3346" s="198"/>
      <c r="F3346" s="200"/>
      <c r="G3346" s="75"/>
      <c r="H3346" s="31"/>
    </row>
    <row r="3347" spans="2:8" hidden="1">
      <c r="B3347" s="33"/>
      <c r="C3347" s="31"/>
      <c r="D3347" s="31"/>
      <c r="E3347" s="198"/>
      <c r="F3347" s="200"/>
      <c r="G3347" s="75"/>
      <c r="H3347" s="31"/>
    </row>
    <row r="3348" spans="2:8" hidden="1">
      <c r="B3348" s="33"/>
      <c r="C3348" s="30"/>
      <c r="D3348" s="30"/>
      <c r="E3348" s="30"/>
      <c r="F3348" s="200"/>
      <c r="G3348" s="75"/>
      <c r="H3348" s="31"/>
    </row>
    <row r="3349" spans="2:8" hidden="1">
      <c r="B3349" s="33"/>
      <c r="C3349" s="31"/>
      <c r="D3349" s="31"/>
      <c r="E3349" s="31"/>
      <c r="F3349" s="31"/>
      <c r="G3349" s="31"/>
      <c r="H3349" s="31"/>
    </row>
    <row r="3350" spans="2:8" hidden="1">
      <c r="B3350" s="76"/>
      <c r="C3350" s="31"/>
      <c r="D3350" s="31"/>
      <c r="E3350" s="31"/>
      <c r="F3350" s="31"/>
      <c r="G3350" s="31"/>
      <c r="H3350" s="31"/>
    </row>
    <row r="3351" spans="2:8" hidden="1">
      <c r="B3351" s="33"/>
      <c r="C3351" s="33"/>
      <c r="D3351" s="33"/>
      <c r="E3351" s="33"/>
      <c r="F3351" s="33"/>
      <c r="G3351" s="33"/>
      <c r="H3351" s="31"/>
    </row>
    <row r="3352" spans="2:8" hidden="1">
      <c r="B3352" s="33"/>
      <c r="C3352" s="31"/>
      <c r="D3352" s="33"/>
      <c r="E3352" s="33"/>
      <c r="F3352" s="33"/>
      <c r="G3352" s="33"/>
      <c r="H3352" s="31"/>
    </row>
    <row r="3353" spans="2:8" hidden="1">
      <c r="B3353" s="405"/>
      <c r="C3353" s="76"/>
      <c r="D3353" s="731"/>
      <c r="E3353" s="75"/>
      <c r="F3353" s="75"/>
      <c r="G3353" s="75"/>
      <c r="H3353" s="31"/>
    </row>
    <row r="3354" spans="2:8" hidden="1">
      <c r="B3354" s="405"/>
      <c r="C3354" s="76"/>
      <c r="D3354" s="731"/>
      <c r="E3354" s="75"/>
      <c r="F3354" s="75"/>
      <c r="G3354" s="75"/>
      <c r="H3354" s="31"/>
    </row>
    <row r="3355" spans="2:8" hidden="1">
      <c r="B3355" s="405"/>
      <c r="C3355" s="76"/>
      <c r="D3355" s="731"/>
      <c r="E3355" s="75"/>
      <c r="F3355" s="75"/>
      <c r="G3355" s="75"/>
      <c r="H3355" s="31"/>
    </row>
    <row r="3356" spans="2:8" hidden="1">
      <c r="B3356" s="405"/>
      <c r="C3356" s="76"/>
      <c r="D3356" s="731"/>
      <c r="E3356" s="75"/>
      <c r="F3356" s="75"/>
      <c r="G3356" s="75"/>
      <c r="H3356" s="31"/>
    </row>
    <row r="3357" spans="2:8" hidden="1">
      <c r="B3357" s="405"/>
      <c r="C3357" s="76"/>
      <c r="D3357" s="731"/>
      <c r="E3357" s="75"/>
      <c r="F3357" s="75"/>
      <c r="G3357" s="75"/>
      <c r="H3357" s="31"/>
    </row>
    <row r="3358" spans="2:8" hidden="1">
      <c r="B3358" s="405"/>
      <c r="C3358" s="76"/>
      <c r="D3358" s="731"/>
      <c r="E3358" s="75"/>
      <c r="F3358" s="75"/>
      <c r="G3358" s="75"/>
      <c r="H3358" s="31"/>
    </row>
    <row r="3359" spans="2:8" hidden="1">
      <c r="B3359" s="405"/>
      <c r="C3359" s="76"/>
      <c r="D3359" s="731"/>
      <c r="E3359" s="75"/>
      <c r="F3359" s="75"/>
      <c r="G3359" s="75"/>
      <c r="H3359" s="31"/>
    </row>
    <row r="3360" spans="2:8" hidden="1">
      <c r="B3360" s="405"/>
      <c r="C3360" s="76"/>
      <c r="D3360" s="731"/>
      <c r="E3360" s="75"/>
      <c r="F3360" s="75"/>
      <c r="G3360" s="75"/>
      <c r="H3360" s="31"/>
    </row>
    <row r="3361" spans="2:8" hidden="1">
      <c r="B3361" s="405"/>
      <c r="C3361" s="76"/>
      <c r="D3361" s="731"/>
      <c r="E3361" s="75"/>
      <c r="F3361" s="75"/>
      <c r="G3361" s="75"/>
      <c r="H3361" s="31"/>
    </row>
    <row r="3362" spans="2:8" hidden="1">
      <c r="B3362" s="30"/>
      <c r="C3362" s="76"/>
      <c r="D3362" s="731"/>
      <c r="E3362" s="75"/>
      <c r="F3362" s="75"/>
      <c r="G3362" s="75"/>
      <c r="H3362" s="31"/>
    </row>
    <row r="3363" spans="2:8" hidden="1">
      <c r="B3363" s="30"/>
      <c r="C3363" s="76"/>
      <c r="D3363" s="731"/>
      <c r="E3363" s="75"/>
      <c r="F3363" s="75"/>
      <c r="G3363" s="75"/>
      <c r="H3363" s="31"/>
    </row>
    <row r="3364" spans="2:8" hidden="1">
      <c r="B3364" s="30"/>
      <c r="C3364" s="76"/>
      <c r="D3364" s="731"/>
      <c r="E3364" s="75"/>
      <c r="F3364" s="75"/>
      <c r="G3364" s="75"/>
      <c r="H3364" s="31"/>
    </row>
    <row r="3365" spans="2:8" hidden="1">
      <c r="B3365" s="30"/>
      <c r="C3365" s="76"/>
      <c r="D3365" s="731"/>
      <c r="E3365" s="75"/>
      <c r="F3365" s="75"/>
      <c r="G3365" s="75"/>
      <c r="H3365" s="31"/>
    </row>
    <row r="3366" spans="2:8" hidden="1">
      <c r="B3366" s="30"/>
      <c r="C3366" s="76"/>
      <c r="D3366" s="731"/>
      <c r="E3366" s="75"/>
      <c r="F3366" s="75"/>
      <c r="G3366" s="75"/>
      <c r="H3366" s="31"/>
    </row>
    <row r="3367" spans="2:8" hidden="1">
      <c r="B3367" s="33"/>
      <c r="C3367" s="31"/>
      <c r="D3367" s="31"/>
      <c r="E3367" s="200"/>
      <c r="F3367" s="200"/>
      <c r="G3367" s="75"/>
      <c r="H3367" s="31"/>
    </row>
    <row r="3368" spans="2:8" hidden="1">
      <c r="B3368" s="33"/>
      <c r="C3368" s="31"/>
      <c r="D3368" s="31"/>
      <c r="E3368" s="198"/>
      <c r="F3368" s="200"/>
      <c r="G3368" s="75"/>
      <c r="H3368" s="31"/>
    </row>
    <row r="3369" spans="2:8" hidden="1">
      <c r="B3369" s="33"/>
      <c r="C3369" s="31"/>
      <c r="D3369" s="31"/>
      <c r="E3369" s="198"/>
      <c r="F3369" s="200"/>
      <c r="G3369" s="75"/>
      <c r="H3369" s="31"/>
    </row>
    <row r="3370" spans="2:8" hidden="1">
      <c r="B3370" s="33"/>
      <c r="C3370" s="31"/>
      <c r="D3370" s="31"/>
      <c r="E3370" s="198"/>
      <c r="F3370" s="200"/>
      <c r="G3370" s="75"/>
      <c r="H3370" s="31"/>
    </row>
    <row r="3371" spans="2:8" hidden="1">
      <c r="B3371" s="33"/>
      <c r="C3371" s="31"/>
      <c r="D3371" s="31"/>
      <c r="E3371" s="198"/>
      <c r="F3371" s="200"/>
      <c r="G3371" s="75"/>
      <c r="H3371" s="31"/>
    </row>
    <row r="3372" spans="2:8" hidden="1">
      <c r="B3372" s="33"/>
      <c r="C3372" s="31"/>
      <c r="D3372" s="31"/>
      <c r="E3372" s="198"/>
      <c r="F3372" s="200"/>
      <c r="G3372" s="75"/>
      <c r="H3372" s="31"/>
    </row>
    <row r="3373" spans="2:8" hidden="1">
      <c r="B3373" s="33"/>
      <c r="C3373" s="200"/>
      <c r="D3373" s="30"/>
      <c r="E3373" s="30"/>
      <c r="F3373" s="200"/>
      <c r="G3373" s="75"/>
      <c r="H3373" s="31"/>
    </row>
    <row r="3374" spans="2:8" hidden="1">
      <c r="B3374" s="33"/>
      <c r="C3374" s="31"/>
      <c r="D3374" s="31"/>
      <c r="E3374" s="31"/>
      <c r="F3374" s="31"/>
      <c r="G3374" s="31"/>
      <c r="H3374" s="31"/>
    </row>
    <row r="3375" spans="2:8" hidden="1">
      <c r="B3375" s="33"/>
      <c r="C3375" s="31"/>
      <c r="D3375" s="31"/>
      <c r="E3375" s="31"/>
      <c r="F3375" s="31"/>
      <c r="G3375" s="31"/>
      <c r="H3375" s="31"/>
    </row>
    <row r="3376" spans="2:8" hidden="1">
      <c r="B3376" s="33"/>
      <c r="C3376" s="31"/>
      <c r="D3376" s="31"/>
      <c r="E3376" s="31"/>
      <c r="F3376" s="200"/>
      <c r="G3376" s="75"/>
      <c r="H3376" s="31"/>
    </row>
    <row r="3377" spans="2:8" hidden="1">
      <c r="B3377" s="33"/>
      <c r="C3377" s="31"/>
      <c r="D3377" s="31"/>
      <c r="E3377" s="31"/>
      <c r="F3377" s="200"/>
      <c r="G3377" s="75"/>
      <c r="H3377" s="31"/>
    </row>
    <row r="3378" spans="2:8" hidden="1">
      <c r="B3378" s="33"/>
      <c r="C3378" s="31"/>
      <c r="D3378" s="31"/>
      <c r="E3378" s="31"/>
      <c r="F3378" s="200"/>
      <c r="G3378" s="75"/>
      <c r="H3378" s="31"/>
    </row>
    <row r="3379" spans="2:8" hidden="1">
      <c r="B3379" s="33"/>
      <c r="C3379" s="31"/>
      <c r="D3379" s="31"/>
      <c r="E3379" s="200"/>
      <c r="F3379" s="200"/>
      <c r="G3379" s="75"/>
      <c r="H3379" s="31"/>
    </row>
    <row r="3380" spans="2:8" hidden="1">
      <c r="B3380" s="33"/>
      <c r="C3380" s="31"/>
      <c r="D3380" s="31"/>
      <c r="E3380" s="301"/>
      <c r="F3380" s="200"/>
      <c r="G3380" s="75"/>
      <c r="H3380" s="31"/>
    </row>
    <row r="3381" spans="2:8" hidden="1">
      <c r="B3381" s="33"/>
      <c r="C3381" s="31"/>
      <c r="D3381" s="31"/>
      <c r="E3381" s="767"/>
      <c r="F3381" s="200"/>
      <c r="G3381" s="75"/>
      <c r="H3381" s="31"/>
    </row>
    <row r="3382" spans="2:8" hidden="1">
      <c r="B3382" s="33"/>
      <c r="C3382" s="31"/>
      <c r="D3382" s="31"/>
      <c r="E3382" s="767"/>
      <c r="F3382" s="200"/>
      <c r="G3382" s="75"/>
      <c r="H3382" s="31"/>
    </row>
    <row r="3383" spans="2:8" hidden="1">
      <c r="B3383" s="33"/>
      <c r="C3383" s="31"/>
      <c r="D3383" s="31"/>
      <c r="E3383" s="767"/>
      <c r="F3383" s="200"/>
      <c r="G3383" s="75"/>
      <c r="H3383" s="31"/>
    </row>
    <row r="3384" spans="2:8" hidden="1">
      <c r="B3384" s="33"/>
      <c r="C3384" s="31"/>
      <c r="D3384" s="31"/>
      <c r="E3384" s="767"/>
      <c r="F3384" s="200"/>
      <c r="G3384" s="75"/>
      <c r="H3384" s="31"/>
    </row>
    <row r="3385" spans="2:8" hidden="1">
      <c r="B3385" s="33"/>
      <c r="C3385" s="31"/>
      <c r="D3385" s="75"/>
      <c r="E3385" s="767"/>
      <c r="F3385" s="200"/>
      <c r="G3385" s="75"/>
      <c r="H3385" s="31"/>
    </row>
    <row r="3386" spans="2:8" hidden="1">
      <c r="B3386" s="33"/>
      <c r="C3386" s="31"/>
      <c r="D3386" s="31"/>
      <c r="E3386" s="767"/>
      <c r="F3386" s="200"/>
      <c r="G3386" s="75"/>
      <c r="H3386" s="31"/>
    </row>
    <row r="3387" spans="2:8" hidden="1">
      <c r="B3387" s="33"/>
      <c r="C3387" s="31"/>
      <c r="D3387" s="31"/>
      <c r="E3387" s="200"/>
      <c r="F3387" s="200"/>
      <c r="G3387" s="75"/>
      <c r="H3387" s="31"/>
    </row>
    <row r="3388" spans="2:8" hidden="1">
      <c r="B3388" s="33"/>
      <c r="C3388" s="31"/>
      <c r="D3388" s="31"/>
      <c r="E3388" s="200"/>
      <c r="F3388" s="200"/>
      <c r="G3388" s="31"/>
      <c r="H3388" s="31"/>
    </row>
    <row r="3389" spans="2:8" hidden="1">
      <c r="B3389" s="33"/>
      <c r="C3389" s="31"/>
      <c r="D3389" s="75"/>
      <c r="E3389" s="76"/>
      <c r="F3389" s="200"/>
      <c r="G3389" s="75"/>
      <c r="H3389" s="31"/>
    </row>
    <row r="3390" spans="2:8" hidden="1">
      <c r="B3390" s="33"/>
      <c r="C3390" s="31"/>
      <c r="D3390" s="198"/>
      <c r="E3390" s="198"/>
      <c r="F3390" s="200"/>
      <c r="G3390" s="75"/>
      <c r="H3390" s="31"/>
    </row>
    <row r="3391" spans="2:8" hidden="1">
      <c r="B3391" s="33"/>
      <c r="C3391" s="31"/>
      <c r="D3391" s="768"/>
      <c r="E3391" s="31"/>
      <c r="F3391" s="200"/>
      <c r="G3391" s="75"/>
      <c r="H3391" s="31"/>
    </row>
    <row r="3392" spans="2:8" hidden="1">
      <c r="B3392" s="33"/>
      <c r="C3392" s="31"/>
      <c r="D3392" s="200"/>
      <c r="E3392" s="31"/>
      <c r="F3392" s="200"/>
      <c r="G3392" s="75"/>
      <c r="H3392" s="31"/>
    </row>
    <row r="3393" spans="2:8" hidden="1">
      <c r="B3393" s="33"/>
      <c r="C3393" s="31"/>
      <c r="D3393" s="31"/>
      <c r="E3393" s="31"/>
      <c r="F3393" s="31"/>
      <c r="G3393" s="31"/>
      <c r="H3393" s="31"/>
    </row>
    <row r="3394" spans="2:8" hidden="1">
      <c r="B3394" s="33"/>
      <c r="C3394" s="31"/>
      <c r="D3394" s="31"/>
      <c r="E3394" s="31"/>
      <c r="F3394" s="31"/>
      <c r="G3394" s="31"/>
      <c r="H3394" s="31"/>
    </row>
    <row r="3395" spans="2:8" hidden="1">
      <c r="B3395" s="33"/>
      <c r="C3395" s="31"/>
      <c r="D3395" s="31"/>
      <c r="E3395" s="31"/>
      <c r="F3395" s="31"/>
      <c r="G3395" s="31"/>
      <c r="H3395" s="31"/>
    </row>
    <row r="3396" spans="2:8" hidden="1">
      <c r="B3396" s="33"/>
      <c r="C3396" s="31"/>
      <c r="D3396" s="33"/>
      <c r="E3396" s="31"/>
      <c r="F3396" s="200"/>
      <c r="G3396" s="76"/>
      <c r="H3396" s="31"/>
    </row>
    <row r="3397" spans="2:8" hidden="1">
      <c r="B3397" s="33"/>
      <c r="C3397" s="31"/>
      <c r="D3397" s="31"/>
      <c r="E3397" s="31"/>
      <c r="F3397" s="31"/>
      <c r="G3397" s="31"/>
      <c r="H3397" s="31"/>
    </row>
    <row r="3398" spans="2:8" hidden="1">
      <c r="B3398" s="33"/>
      <c r="C3398" s="31"/>
      <c r="D3398" s="31"/>
      <c r="E3398" s="31"/>
      <c r="F3398" s="31"/>
      <c r="G3398" s="31"/>
      <c r="H3398" s="31"/>
    </row>
    <row r="3399" spans="2:8" hidden="1">
      <c r="B3399" s="33"/>
      <c r="C3399" s="31"/>
      <c r="D3399" s="31"/>
      <c r="E3399" s="31"/>
      <c r="F3399" s="31"/>
      <c r="G3399" s="31"/>
      <c r="H3399" s="31"/>
    </row>
    <row r="3400" spans="2:8" hidden="1">
      <c r="B3400" s="33"/>
      <c r="C3400" s="31"/>
      <c r="D3400" s="31"/>
      <c r="E3400" s="31"/>
      <c r="F3400" s="31"/>
      <c r="G3400" s="31"/>
      <c r="H3400" s="31"/>
    </row>
    <row r="3401" spans="2:8" hidden="1">
      <c r="B3401" s="33"/>
      <c r="C3401" s="31"/>
      <c r="D3401" s="31"/>
      <c r="E3401" s="31"/>
      <c r="F3401" s="31"/>
      <c r="G3401" s="31"/>
      <c r="H3401" s="31"/>
    </row>
    <row r="3402" spans="2:8" hidden="1">
      <c r="B3402" s="33"/>
      <c r="C3402" s="31"/>
      <c r="D3402" s="31"/>
      <c r="E3402" s="31"/>
      <c r="F3402" s="31"/>
      <c r="G3402" s="31"/>
      <c r="H3402" s="31"/>
    </row>
    <row r="3403" spans="2:8" hidden="1">
      <c r="B3403" s="33"/>
      <c r="C3403" s="31"/>
      <c r="D3403" s="31"/>
      <c r="E3403" s="31"/>
      <c r="F3403" s="31"/>
      <c r="G3403" s="31"/>
      <c r="H3403" s="31"/>
    </row>
    <row r="3404" spans="2:8" hidden="1">
      <c r="B3404" s="33"/>
      <c r="C3404" s="31"/>
      <c r="D3404" s="31"/>
      <c r="E3404" s="31"/>
      <c r="F3404" s="31"/>
      <c r="G3404" s="31"/>
      <c r="H3404" s="31"/>
    </row>
    <row r="3405" spans="2:8" hidden="1">
      <c r="B3405" s="33"/>
      <c r="C3405" s="31"/>
      <c r="D3405" s="31"/>
      <c r="E3405" s="31"/>
      <c r="F3405" s="31"/>
      <c r="G3405" s="31"/>
      <c r="H3405" s="31"/>
    </row>
    <row r="3406" spans="2:8" hidden="1">
      <c r="B3406" s="33"/>
      <c r="C3406" s="31"/>
      <c r="D3406" s="31"/>
      <c r="E3406" s="31"/>
      <c r="F3406" s="31"/>
      <c r="G3406" s="31"/>
      <c r="H3406" s="31"/>
    </row>
    <row r="3407" spans="2:8" hidden="1">
      <c r="B3407" s="33"/>
      <c r="C3407" s="31"/>
      <c r="D3407" s="31"/>
      <c r="E3407" s="31"/>
      <c r="F3407" s="31"/>
      <c r="G3407" s="31"/>
      <c r="H3407" s="31"/>
    </row>
    <row r="3408" spans="2:8" hidden="1">
      <c r="B3408" s="33"/>
      <c r="C3408" s="31"/>
      <c r="D3408" s="31"/>
      <c r="E3408" s="31"/>
      <c r="F3408" s="31"/>
      <c r="G3408" s="31"/>
      <c r="H3408" s="31"/>
    </row>
    <row r="3409" spans="2:8" hidden="1">
      <c r="B3409" s="33"/>
      <c r="C3409" s="31"/>
      <c r="D3409" s="31"/>
      <c r="E3409" s="31"/>
      <c r="F3409" s="31"/>
      <c r="G3409" s="31"/>
      <c r="H3409" s="31"/>
    </row>
    <row r="3410" spans="2:8" hidden="1">
      <c r="B3410" s="33"/>
      <c r="C3410" s="31"/>
      <c r="D3410" s="31"/>
      <c r="E3410" s="31"/>
      <c r="F3410" s="31"/>
      <c r="G3410" s="31"/>
      <c r="H3410" s="31"/>
    </row>
    <row r="3411" spans="2:8" hidden="1">
      <c r="B3411" s="33"/>
      <c r="C3411" s="31"/>
      <c r="D3411" s="31"/>
      <c r="E3411" s="31"/>
      <c r="F3411" s="31"/>
      <c r="G3411" s="31"/>
      <c r="H3411" s="31"/>
    </row>
    <row r="3412" spans="2:8" hidden="1">
      <c r="B3412" s="33"/>
      <c r="C3412" s="31"/>
      <c r="D3412" s="31"/>
      <c r="E3412" s="31"/>
      <c r="F3412" s="31"/>
      <c r="G3412" s="31"/>
      <c r="H3412" s="31"/>
    </row>
    <row r="3413" spans="2:8" hidden="1">
      <c r="B3413" s="33"/>
      <c r="C3413" s="31"/>
      <c r="D3413" s="31"/>
      <c r="E3413" s="31"/>
      <c r="F3413" s="31"/>
      <c r="G3413" s="31"/>
      <c r="H3413" s="31"/>
    </row>
    <row r="3414" spans="2:8" hidden="1">
      <c r="B3414" s="33"/>
      <c r="C3414" s="31"/>
      <c r="D3414" s="31"/>
      <c r="E3414" s="31"/>
      <c r="F3414" s="31"/>
      <c r="G3414" s="31"/>
      <c r="H3414" s="31"/>
    </row>
    <row r="3415" spans="2:8" hidden="1">
      <c r="B3415" s="33"/>
      <c r="C3415" s="31"/>
      <c r="D3415" s="31"/>
      <c r="E3415" s="31"/>
      <c r="F3415" s="691"/>
      <c r="G3415" s="31"/>
      <c r="H3415" s="31"/>
    </row>
    <row r="3416" spans="2:8" hidden="1">
      <c r="B3416" s="33"/>
      <c r="C3416" s="31"/>
      <c r="D3416" s="31"/>
      <c r="E3416" s="31"/>
      <c r="F3416" s="691"/>
      <c r="G3416" s="31"/>
      <c r="H3416" s="31"/>
    </row>
    <row r="3417" spans="2:8" hidden="1">
      <c r="B3417" s="33"/>
      <c r="C3417" s="31"/>
      <c r="D3417" s="31"/>
      <c r="E3417" s="31"/>
      <c r="F3417" s="691"/>
      <c r="G3417" s="31"/>
      <c r="H3417" s="31"/>
    </row>
    <row r="3418" spans="2:8" hidden="1">
      <c r="B3418" s="33"/>
      <c r="C3418" s="31"/>
      <c r="D3418" s="31"/>
      <c r="E3418" s="31"/>
      <c r="F3418" s="31"/>
      <c r="G3418" s="31"/>
      <c r="H3418" s="31"/>
    </row>
    <row r="3419" spans="2:8" hidden="1">
      <c r="B3419" s="33"/>
      <c r="C3419" s="31"/>
      <c r="D3419" s="31"/>
      <c r="E3419" s="31"/>
      <c r="F3419" s="31"/>
      <c r="G3419" s="31"/>
      <c r="H3419" s="31"/>
    </row>
    <row r="3420" spans="2:8" hidden="1">
      <c r="B3420" s="200"/>
      <c r="C3420" s="31"/>
      <c r="D3420" s="31"/>
      <c r="E3420" s="31"/>
      <c r="F3420" s="31"/>
      <c r="G3420" s="31"/>
      <c r="H3420" s="31"/>
    </row>
    <row r="3421" spans="2:8" hidden="1">
      <c r="B3421" s="200"/>
      <c r="C3421" s="31"/>
      <c r="D3421" s="31"/>
      <c r="E3421" s="31"/>
      <c r="F3421" s="691"/>
      <c r="G3421" s="31"/>
      <c r="H3421" s="31"/>
    </row>
    <row r="3422" spans="2:8" hidden="1">
      <c r="B3422" s="200"/>
      <c r="C3422" s="31"/>
      <c r="D3422" s="31"/>
      <c r="E3422" s="31"/>
      <c r="F3422" s="691"/>
      <c r="G3422" s="31"/>
      <c r="H3422" s="31"/>
    </row>
    <row r="3423" spans="2:8" hidden="1">
      <c r="B3423" s="200"/>
      <c r="C3423" s="31"/>
      <c r="D3423" s="31"/>
      <c r="E3423" s="31"/>
      <c r="F3423" s="691"/>
      <c r="G3423" s="31"/>
      <c r="H3423" s="31"/>
    </row>
    <row r="3424" spans="2:8" hidden="1">
      <c r="B3424" s="200"/>
      <c r="C3424" s="31"/>
      <c r="D3424" s="31"/>
      <c r="E3424" s="31"/>
      <c r="F3424" s="691"/>
      <c r="G3424" s="31"/>
      <c r="H3424" s="31"/>
    </row>
    <row r="3425" spans="2:8" hidden="1">
      <c r="B3425" s="200"/>
      <c r="C3425" s="31"/>
      <c r="D3425" s="31"/>
      <c r="E3425" s="31"/>
      <c r="F3425" s="691"/>
      <c r="G3425" s="31"/>
      <c r="H3425" s="31"/>
    </row>
    <row r="3426" spans="2:8" hidden="1">
      <c r="B3426" s="200"/>
      <c r="C3426" s="31"/>
      <c r="D3426" s="31"/>
      <c r="E3426" s="31"/>
      <c r="F3426" s="691"/>
      <c r="G3426" s="31"/>
      <c r="H3426" s="31"/>
    </row>
    <row r="3427" spans="2:8" hidden="1">
      <c r="B3427" s="200"/>
      <c r="C3427" s="31"/>
      <c r="D3427" s="31"/>
      <c r="E3427" s="31"/>
      <c r="F3427" s="691"/>
      <c r="G3427" s="31"/>
      <c r="H3427" s="31"/>
    </row>
    <row r="3428" spans="2:8" hidden="1">
      <c r="B3428" s="200"/>
      <c r="C3428" s="31"/>
      <c r="D3428" s="31"/>
      <c r="E3428" s="31"/>
      <c r="F3428" s="691"/>
      <c r="G3428" s="31"/>
      <c r="H3428" s="31"/>
    </row>
    <row r="3429" spans="2:8" hidden="1">
      <c r="B3429" s="200"/>
      <c r="C3429" s="31"/>
      <c r="D3429" s="31"/>
      <c r="E3429" s="31"/>
      <c r="F3429" s="691"/>
      <c r="G3429" s="31"/>
      <c r="H3429" s="31"/>
    </row>
    <row r="3430" spans="2:8" hidden="1">
      <c r="B3430" s="200"/>
      <c r="C3430" s="31"/>
      <c r="D3430" s="31"/>
      <c r="E3430" s="31"/>
      <c r="F3430" s="691"/>
      <c r="G3430" s="31"/>
      <c r="H3430" s="31"/>
    </row>
    <row r="3431" spans="2:8" hidden="1">
      <c r="B3431" s="200"/>
      <c r="C3431" s="31"/>
      <c r="D3431" s="31"/>
      <c r="E3431" s="31"/>
      <c r="F3431" s="691"/>
      <c r="G3431" s="31"/>
      <c r="H3431" s="31"/>
    </row>
    <row r="3432" spans="2:8" hidden="1">
      <c r="B3432" s="200"/>
      <c r="C3432" s="31"/>
      <c r="D3432" s="31"/>
      <c r="E3432" s="31"/>
      <c r="F3432" s="691"/>
      <c r="G3432" s="31"/>
      <c r="H3432" s="31"/>
    </row>
    <row r="3433" spans="2:8" hidden="1">
      <c r="B3433" s="200"/>
      <c r="C3433" s="31"/>
      <c r="D3433" s="31"/>
      <c r="E3433" s="31"/>
      <c r="F3433" s="691"/>
      <c r="G3433" s="31"/>
      <c r="H3433" s="31"/>
    </row>
    <row r="3434" spans="2:8" hidden="1">
      <c r="B3434" s="200"/>
      <c r="C3434" s="31"/>
      <c r="D3434" s="31"/>
      <c r="E3434" s="31"/>
      <c r="F3434" s="691"/>
      <c r="G3434" s="31"/>
      <c r="H3434" s="31"/>
    </row>
    <row r="3435" spans="2:8" hidden="1">
      <c r="B3435" s="200"/>
      <c r="C3435" s="31"/>
      <c r="D3435" s="31"/>
      <c r="E3435" s="31"/>
      <c r="F3435" s="691"/>
      <c r="G3435" s="31"/>
      <c r="H3435" s="31"/>
    </row>
    <row r="3436" spans="2:8" hidden="1">
      <c r="B3436" s="200"/>
      <c r="C3436" s="31"/>
      <c r="D3436" s="31"/>
      <c r="E3436" s="31"/>
      <c r="F3436" s="691"/>
      <c r="G3436" s="31"/>
      <c r="H3436" s="31"/>
    </row>
    <row r="3437" spans="2:8" hidden="1">
      <c r="B3437" s="33"/>
      <c r="C3437" s="31"/>
      <c r="D3437" s="31"/>
      <c r="E3437" s="31"/>
      <c r="F3437" s="691"/>
      <c r="G3437" s="31"/>
      <c r="H3437" s="31"/>
    </row>
    <row r="3438" spans="2:8" hidden="1">
      <c r="B3438" s="33"/>
      <c r="C3438" s="31"/>
      <c r="D3438" s="31"/>
      <c r="E3438" s="31"/>
      <c r="F3438" s="691"/>
      <c r="G3438" s="31"/>
      <c r="H3438" s="31"/>
    </row>
    <row r="3439" spans="2:8" hidden="1">
      <c r="B3439" s="33"/>
      <c r="C3439" s="31"/>
      <c r="D3439" s="31"/>
      <c r="E3439" s="31"/>
      <c r="F3439" s="691"/>
      <c r="G3439" s="31"/>
      <c r="H3439" s="31"/>
    </row>
    <row r="3440" spans="2:8" hidden="1">
      <c r="B3440" s="33"/>
      <c r="C3440" s="31"/>
      <c r="D3440" s="31"/>
      <c r="E3440" s="31"/>
      <c r="F3440" s="691"/>
      <c r="G3440" s="31"/>
      <c r="H3440" s="31"/>
    </row>
    <row r="3441" spans="2:8" hidden="1">
      <c r="B3441" s="33"/>
      <c r="C3441" s="31"/>
      <c r="D3441" s="31"/>
      <c r="E3441" s="200"/>
      <c r="F3441" s="691"/>
      <c r="G3441" s="31"/>
      <c r="H3441" s="31"/>
    </row>
    <row r="3442" spans="2:8" hidden="1">
      <c r="B3442" s="33"/>
      <c r="C3442" s="31"/>
      <c r="D3442" s="31"/>
      <c r="E3442" s="31"/>
      <c r="F3442" s="691"/>
      <c r="G3442" s="31"/>
      <c r="H3442" s="31"/>
    </row>
    <row r="3443" spans="2:8" hidden="1">
      <c r="B3443" s="33"/>
      <c r="C3443" s="31"/>
      <c r="D3443" s="31"/>
      <c r="E3443" s="31"/>
      <c r="F3443" s="691"/>
      <c r="G3443" s="31"/>
      <c r="H3443" s="31"/>
    </row>
    <row r="3444" spans="2:8" hidden="1">
      <c r="B3444" s="33"/>
      <c r="C3444" s="31"/>
      <c r="D3444" s="31"/>
      <c r="E3444" s="31"/>
      <c r="F3444" s="691"/>
      <c r="G3444" s="31"/>
      <c r="H3444" s="31"/>
    </row>
    <row r="3445" spans="2:8" hidden="1">
      <c r="B3445" s="33"/>
      <c r="C3445" s="31"/>
      <c r="D3445" s="31"/>
      <c r="E3445" s="31"/>
      <c r="F3445" s="691"/>
      <c r="G3445" s="31"/>
      <c r="H3445" s="31"/>
    </row>
    <row r="3446" spans="2:8" hidden="1">
      <c r="B3446" s="33"/>
      <c r="C3446" s="31"/>
      <c r="D3446" s="31"/>
      <c r="E3446" s="31"/>
      <c r="F3446" s="691"/>
      <c r="G3446" s="31"/>
      <c r="H3446" s="31"/>
    </row>
    <row r="3447" spans="2:8" hidden="1">
      <c r="B3447" s="33"/>
      <c r="C3447" s="31"/>
      <c r="D3447" s="31"/>
      <c r="E3447" s="31"/>
      <c r="F3447" s="691"/>
      <c r="G3447" s="31"/>
      <c r="H3447" s="31"/>
    </row>
    <row r="3448" spans="2:8" hidden="1">
      <c r="B3448" s="33"/>
      <c r="C3448" s="31"/>
      <c r="D3448" s="31"/>
      <c r="E3448" s="31"/>
      <c r="F3448" s="691"/>
      <c r="G3448" s="31"/>
      <c r="H3448" s="31"/>
    </row>
    <row r="3449" spans="2:8" hidden="1">
      <c r="B3449" s="33"/>
      <c r="C3449" s="31"/>
      <c r="D3449" s="31"/>
      <c r="E3449" s="31"/>
      <c r="F3449" s="691"/>
      <c r="G3449" s="31"/>
      <c r="H3449" s="31"/>
    </row>
    <row r="3450" spans="2:8" hidden="1">
      <c r="B3450" s="33"/>
      <c r="C3450" s="31"/>
      <c r="D3450" s="31"/>
      <c r="E3450" s="31"/>
      <c r="F3450" s="691"/>
      <c r="G3450" s="31"/>
      <c r="H3450" s="31"/>
    </row>
    <row r="3451" spans="2:8" hidden="1">
      <c r="B3451" s="33"/>
      <c r="C3451" s="31"/>
      <c r="D3451" s="31"/>
      <c r="E3451" s="31"/>
      <c r="F3451" s="691"/>
      <c r="G3451" s="31"/>
      <c r="H3451" s="31"/>
    </row>
    <row r="3452" spans="2:8" hidden="1">
      <c r="B3452" s="33"/>
      <c r="C3452" s="31"/>
      <c r="D3452" s="31"/>
      <c r="E3452" s="31"/>
      <c r="F3452" s="691"/>
      <c r="G3452" s="31"/>
      <c r="H3452" s="31"/>
    </row>
    <row r="3453" spans="2:8" hidden="1">
      <c r="B3453" s="33"/>
      <c r="C3453" s="31"/>
      <c r="D3453" s="31"/>
      <c r="E3453" s="31"/>
      <c r="F3453" s="691"/>
      <c r="G3453" s="31"/>
      <c r="H3453" s="31"/>
    </row>
    <row r="3454" spans="2:8" hidden="1">
      <c r="B3454" s="33"/>
      <c r="C3454" s="31"/>
      <c r="D3454" s="31"/>
      <c r="E3454" s="31"/>
      <c r="F3454" s="691"/>
      <c r="G3454" s="31"/>
      <c r="H3454" s="31"/>
    </row>
    <row r="3455" spans="2:8" hidden="1">
      <c r="B3455" s="33"/>
      <c r="C3455" s="31"/>
      <c r="D3455" s="31"/>
      <c r="E3455" s="31"/>
      <c r="F3455" s="691"/>
      <c r="G3455" s="31"/>
      <c r="H3455" s="31"/>
    </row>
    <row r="3456" spans="2:8" hidden="1">
      <c r="B3456" s="33"/>
      <c r="C3456" s="31"/>
      <c r="D3456" s="31"/>
      <c r="E3456" s="31"/>
      <c r="F3456" s="691"/>
      <c r="G3456" s="31"/>
      <c r="H3456" s="31"/>
    </row>
    <row r="3457" spans="2:8" hidden="1">
      <c r="B3457" s="33"/>
      <c r="C3457" s="31"/>
      <c r="D3457" s="31"/>
      <c r="E3457" s="31"/>
      <c r="F3457" s="691"/>
      <c r="G3457" s="31"/>
      <c r="H3457" s="31"/>
    </row>
    <row r="3458" spans="2:8" hidden="1">
      <c r="B3458" s="33"/>
      <c r="C3458" s="31"/>
      <c r="D3458" s="31"/>
      <c r="E3458" s="31"/>
      <c r="F3458" s="691"/>
      <c r="G3458" s="31"/>
      <c r="H3458" s="31"/>
    </row>
    <row r="3459" spans="2:8" hidden="1">
      <c r="B3459" s="33"/>
      <c r="C3459" s="31"/>
      <c r="D3459" s="31"/>
      <c r="E3459" s="31"/>
      <c r="F3459" s="691"/>
      <c r="G3459" s="31"/>
      <c r="H3459" s="31"/>
    </row>
    <row r="3460" spans="2:8" hidden="1">
      <c r="B3460" s="33"/>
      <c r="C3460" s="31"/>
      <c r="D3460" s="31"/>
      <c r="E3460" s="31"/>
      <c r="F3460" s="691"/>
      <c r="G3460" s="31"/>
      <c r="H3460" s="31"/>
    </row>
    <row r="3461" spans="2:8" hidden="1">
      <c r="B3461" s="33"/>
      <c r="C3461" s="31"/>
      <c r="D3461" s="31"/>
      <c r="E3461" s="200"/>
      <c r="F3461" s="691"/>
      <c r="G3461" s="31"/>
      <c r="H3461" s="31"/>
    </row>
    <row r="3462" spans="2:8" hidden="1">
      <c r="B3462" s="33"/>
      <c r="C3462" s="31"/>
      <c r="D3462" s="31"/>
      <c r="E3462" s="31"/>
      <c r="F3462" s="691"/>
      <c r="G3462" s="31"/>
      <c r="H3462" s="31"/>
    </row>
    <row r="3463" spans="2:8" hidden="1">
      <c r="B3463" s="33"/>
      <c r="C3463" s="31"/>
      <c r="D3463" s="31"/>
      <c r="E3463" s="31"/>
      <c r="F3463" s="691"/>
      <c r="G3463" s="31"/>
      <c r="H3463" s="31"/>
    </row>
    <row r="3464" spans="2:8" hidden="1">
      <c r="B3464" s="33"/>
      <c r="C3464" s="200"/>
      <c r="D3464" s="31"/>
      <c r="E3464" s="31"/>
      <c r="F3464" s="691"/>
      <c r="G3464" s="31"/>
      <c r="H3464" s="31"/>
    </row>
    <row r="3465" spans="2:8" hidden="1">
      <c r="B3465" s="33"/>
      <c r="C3465" s="31"/>
      <c r="D3465" s="31"/>
      <c r="E3465" s="31"/>
      <c r="F3465" s="691"/>
      <c r="G3465" s="31"/>
      <c r="H3465" s="31"/>
    </row>
    <row r="3466" spans="2:8" hidden="1">
      <c r="B3466" s="33"/>
      <c r="C3466" s="31"/>
      <c r="D3466" s="31"/>
      <c r="E3466" s="31"/>
      <c r="F3466" s="691"/>
      <c r="G3466" s="31"/>
      <c r="H3466" s="31"/>
    </row>
    <row r="3467" spans="2:8" hidden="1">
      <c r="B3467" s="33"/>
      <c r="C3467" s="31"/>
      <c r="D3467" s="31"/>
      <c r="E3467" s="31"/>
      <c r="F3467" s="691"/>
      <c r="G3467" s="31"/>
      <c r="H3467" s="31"/>
    </row>
    <row r="3468" spans="2:8" hidden="1">
      <c r="B3468" s="33"/>
      <c r="C3468" s="31"/>
      <c r="D3468" s="31"/>
      <c r="E3468" s="31"/>
      <c r="F3468" s="691"/>
      <c r="G3468" s="31"/>
      <c r="H3468" s="31"/>
    </row>
    <row r="3469" spans="2:8" hidden="1">
      <c r="B3469" s="33"/>
      <c r="C3469" s="31"/>
      <c r="D3469" s="31"/>
      <c r="E3469" s="31"/>
      <c r="F3469" s="691"/>
      <c r="G3469" s="31"/>
      <c r="H3469" s="31"/>
    </row>
    <row r="3470" spans="2:8" hidden="1">
      <c r="B3470" s="33"/>
      <c r="C3470" s="31"/>
      <c r="D3470" s="31"/>
      <c r="E3470" s="31"/>
      <c r="F3470" s="691"/>
      <c r="G3470" s="31"/>
      <c r="H3470" s="31"/>
    </row>
    <row r="3471" spans="2:8" hidden="1">
      <c r="B3471" s="33"/>
      <c r="C3471" s="31"/>
      <c r="D3471" s="31"/>
      <c r="E3471" s="31"/>
      <c r="F3471" s="31"/>
      <c r="G3471" s="31"/>
      <c r="H3471" s="31"/>
    </row>
    <row r="3472" spans="2:8" hidden="1">
      <c r="B3472" s="33"/>
      <c r="C3472" s="31"/>
      <c r="D3472" s="31"/>
      <c r="E3472" s="31"/>
      <c r="F3472" s="31"/>
      <c r="G3472" s="31"/>
      <c r="H3472" s="31"/>
    </row>
    <row r="3473" spans="2:8" hidden="1">
      <c r="B3473" s="33"/>
      <c r="C3473" s="31"/>
      <c r="D3473" s="31"/>
      <c r="E3473" s="31"/>
      <c r="F3473" s="31"/>
      <c r="G3473" s="31"/>
      <c r="H3473" s="31"/>
    </row>
    <row r="3474" spans="2:8" hidden="1">
      <c r="B3474" s="33"/>
      <c r="C3474" s="31"/>
      <c r="D3474" s="31"/>
      <c r="E3474" s="31"/>
      <c r="F3474" s="691"/>
      <c r="G3474" s="31"/>
      <c r="H3474" s="31"/>
    </row>
    <row r="3475" spans="2:8" hidden="1">
      <c r="B3475" s="33"/>
      <c r="C3475" s="31"/>
      <c r="D3475" s="31"/>
      <c r="E3475" s="31"/>
      <c r="F3475" s="31"/>
      <c r="G3475" s="31"/>
      <c r="H3475" s="31"/>
    </row>
    <row r="3476" spans="2:8" hidden="1">
      <c r="B3476" s="33"/>
      <c r="C3476" s="31"/>
      <c r="D3476" s="31"/>
      <c r="E3476" s="31"/>
      <c r="F3476" s="31"/>
      <c r="G3476" s="31"/>
      <c r="H3476" s="31"/>
    </row>
    <row r="3477" spans="2:8" hidden="1">
      <c r="B3477" s="33"/>
      <c r="C3477" s="31"/>
      <c r="D3477" s="31"/>
      <c r="E3477" s="31"/>
      <c r="F3477" s="31"/>
      <c r="G3477" s="31"/>
      <c r="H3477" s="31"/>
    </row>
    <row r="3478" spans="2:8" hidden="1">
      <c r="B3478" s="33"/>
      <c r="C3478" s="31"/>
      <c r="D3478" s="31"/>
      <c r="E3478" s="31"/>
      <c r="F3478" s="31"/>
      <c r="G3478" s="31"/>
      <c r="H3478" s="31"/>
    </row>
    <row r="3479" spans="2:8" hidden="1">
      <c r="B3479" s="33"/>
      <c r="C3479" s="31"/>
      <c r="D3479" s="31"/>
      <c r="E3479" s="31"/>
      <c r="F3479" s="31"/>
      <c r="G3479" s="31"/>
      <c r="H3479" s="31"/>
    </row>
    <row r="3480" spans="2:8" hidden="1">
      <c r="B3480" s="33"/>
      <c r="C3480" s="31"/>
      <c r="D3480" s="31"/>
      <c r="E3480" s="31"/>
      <c r="F3480" s="31"/>
      <c r="G3480" s="31"/>
      <c r="H3480" s="31"/>
    </row>
    <row r="3481" spans="2:8" hidden="1">
      <c r="B3481" s="33"/>
      <c r="C3481" s="31"/>
      <c r="D3481" s="31"/>
      <c r="E3481" s="31"/>
      <c r="F3481" s="31"/>
      <c r="G3481" s="31"/>
      <c r="H3481" s="31"/>
    </row>
    <row r="3482" spans="2:8" hidden="1">
      <c r="B3482" s="33"/>
      <c r="C3482" s="31"/>
      <c r="D3482" s="31"/>
      <c r="E3482" s="31"/>
      <c r="F3482" s="31"/>
      <c r="G3482" s="31"/>
      <c r="H3482" s="31"/>
    </row>
    <row r="3483" spans="2:8" hidden="1">
      <c r="B3483" s="33"/>
      <c r="C3483" s="31"/>
      <c r="D3483" s="31"/>
      <c r="E3483" s="31"/>
      <c r="F3483" s="31"/>
      <c r="G3483" s="31"/>
      <c r="H3483" s="31"/>
    </row>
    <row r="3484" spans="2:8" hidden="1">
      <c r="B3484" s="33"/>
      <c r="C3484" s="31"/>
      <c r="D3484" s="31"/>
      <c r="E3484" s="31"/>
      <c r="F3484" s="31"/>
      <c r="G3484" s="31"/>
      <c r="H3484" s="31"/>
    </row>
    <row r="3485" spans="2:8" hidden="1">
      <c r="B3485" s="33"/>
      <c r="C3485" s="31"/>
      <c r="D3485" s="31"/>
      <c r="E3485" s="31"/>
      <c r="F3485" s="31"/>
      <c r="G3485" s="31"/>
      <c r="H3485" s="31"/>
    </row>
    <row r="3486" spans="2:8" hidden="1">
      <c r="B3486" s="33"/>
      <c r="C3486" s="31"/>
      <c r="D3486" s="31"/>
      <c r="E3486" s="31"/>
      <c r="F3486" s="31"/>
      <c r="G3486" s="31"/>
      <c r="H3486" s="31"/>
    </row>
    <row r="3487" spans="2:8" hidden="1">
      <c r="B3487" s="33"/>
      <c r="C3487" s="31"/>
      <c r="D3487" s="31"/>
      <c r="E3487" s="31"/>
      <c r="F3487" s="33"/>
      <c r="G3487" s="31"/>
      <c r="H3487" s="31"/>
    </row>
    <row r="3488" spans="2:8" hidden="1">
      <c r="B3488" s="33"/>
      <c r="C3488" s="31"/>
      <c r="D3488" s="33"/>
      <c r="E3488" s="33"/>
      <c r="F3488" s="33"/>
      <c r="G3488" s="33"/>
      <c r="H3488" s="31"/>
    </row>
    <row r="3489" spans="2:8" hidden="1">
      <c r="B3489" s="33"/>
      <c r="C3489" s="31"/>
      <c r="D3489" s="33"/>
      <c r="E3489" s="33"/>
      <c r="F3489" s="33"/>
      <c r="G3489" s="33"/>
      <c r="H3489" s="31"/>
    </row>
    <row r="3490" spans="2:8" hidden="1">
      <c r="B3490" s="33"/>
      <c r="C3490" s="31"/>
      <c r="D3490" s="33"/>
      <c r="E3490" s="33"/>
      <c r="F3490" s="33"/>
      <c r="G3490" s="33"/>
      <c r="H3490" s="31"/>
    </row>
    <row r="3491" spans="2:8" hidden="1">
      <c r="B3491" s="33"/>
      <c r="C3491" s="31"/>
      <c r="D3491" s="33"/>
      <c r="E3491" s="33"/>
      <c r="F3491" s="33"/>
      <c r="G3491" s="33"/>
      <c r="H3491" s="31"/>
    </row>
    <row r="3492" spans="2:8" hidden="1">
      <c r="B3492" s="33"/>
      <c r="C3492" s="31"/>
      <c r="D3492" s="33"/>
      <c r="E3492" s="33"/>
      <c r="F3492" s="33"/>
      <c r="G3492" s="33"/>
      <c r="H3492" s="31"/>
    </row>
    <row r="3493" spans="2:8" hidden="1">
      <c r="B3493" s="33"/>
      <c r="C3493" s="31"/>
      <c r="D3493" s="33"/>
      <c r="E3493" s="33"/>
      <c r="F3493" s="33"/>
      <c r="G3493" s="33"/>
      <c r="H3493" s="31"/>
    </row>
    <row r="3494" spans="2:8" hidden="1">
      <c r="B3494" s="33"/>
      <c r="C3494" s="31"/>
      <c r="D3494" s="33"/>
      <c r="E3494" s="33"/>
      <c r="F3494" s="33"/>
      <c r="G3494" s="33"/>
      <c r="H3494" s="31"/>
    </row>
    <row r="3495" spans="2:8" hidden="1">
      <c r="B3495" s="33"/>
      <c r="C3495" s="31"/>
      <c r="D3495" s="33"/>
      <c r="E3495" s="33"/>
      <c r="F3495" s="33"/>
      <c r="G3495" s="33"/>
      <c r="H3495" s="31"/>
    </row>
    <row r="3496" spans="2:8" hidden="1">
      <c r="B3496" s="33"/>
      <c r="C3496" s="33"/>
      <c r="D3496" s="33"/>
      <c r="E3496" s="33"/>
      <c r="F3496" s="33"/>
      <c r="G3496" s="33"/>
      <c r="H3496" s="31"/>
    </row>
    <row r="3497" spans="2:8" hidden="1">
      <c r="B3497" s="33"/>
      <c r="C3497" s="31"/>
      <c r="D3497" s="31"/>
      <c r="E3497" s="31"/>
      <c r="F3497" s="31"/>
      <c r="G3497" s="31"/>
      <c r="H3497" s="31"/>
    </row>
    <row r="3498" spans="2:8" hidden="1">
      <c r="B3498" s="33"/>
      <c r="C3498" s="31"/>
      <c r="D3498" s="31"/>
      <c r="E3498" s="31"/>
      <c r="F3498" s="31"/>
      <c r="G3498" s="31"/>
      <c r="H3498" s="31"/>
    </row>
    <row r="3499" spans="2:8" hidden="1">
      <c r="B3499" s="33"/>
      <c r="C3499" s="31"/>
      <c r="D3499" s="31"/>
      <c r="E3499" s="31"/>
      <c r="F3499" s="31"/>
      <c r="G3499" s="31"/>
      <c r="H3499" s="31"/>
    </row>
    <row r="3500" spans="2:8" hidden="1">
      <c r="B3500" s="33"/>
      <c r="C3500" s="31"/>
      <c r="D3500" s="31"/>
      <c r="E3500" s="31"/>
      <c r="F3500" s="31"/>
      <c r="G3500" s="31"/>
      <c r="H3500" s="31"/>
    </row>
    <row r="3501" spans="2:8" hidden="1">
      <c r="B3501" s="33"/>
      <c r="C3501" s="31"/>
      <c r="D3501" s="31"/>
      <c r="E3501" s="31"/>
      <c r="F3501" s="31"/>
      <c r="G3501" s="31"/>
      <c r="H3501" s="31"/>
    </row>
    <row r="3502" spans="2:8" hidden="1">
      <c r="B3502" s="33"/>
      <c r="C3502" s="31"/>
      <c r="D3502" s="31"/>
      <c r="E3502" s="31"/>
      <c r="F3502" s="31"/>
      <c r="G3502" s="31"/>
      <c r="H3502" s="31"/>
    </row>
    <row r="3503" spans="2:8" hidden="1">
      <c r="B3503" s="33"/>
      <c r="C3503" s="31"/>
      <c r="D3503" s="31"/>
      <c r="E3503" s="31"/>
      <c r="F3503" s="31"/>
      <c r="G3503" s="31"/>
      <c r="H3503" s="31"/>
    </row>
    <row r="3504" spans="2:8" hidden="1">
      <c r="B3504" s="33"/>
      <c r="C3504" s="31"/>
      <c r="D3504" s="31"/>
      <c r="E3504" s="31"/>
      <c r="F3504" s="31"/>
      <c r="G3504" s="31"/>
      <c r="H3504" s="31"/>
    </row>
    <row r="3505" spans="2:8" hidden="1">
      <c r="B3505" s="33"/>
      <c r="C3505" s="31"/>
      <c r="D3505" s="31"/>
      <c r="E3505" s="31"/>
      <c r="F3505" s="31"/>
      <c r="G3505" s="31"/>
      <c r="H3505" s="31"/>
    </row>
    <row r="3506" spans="2:8" hidden="1">
      <c r="B3506" s="33"/>
      <c r="C3506" s="31"/>
      <c r="D3506" s="31"/>
      <c r="E3506" s="31"/>
      <c r="F3506" s="31"/>
      <c r="G3506" s="31"/>
      <c r="H3506" s="31"/>
    </row>
    <row r="3507" spans="2:8" hidden="1">
      <c r="B3507" s="33"/>
      <c r="C3507" s="31"/>
      <c r="D3507" s="31"/>
      <c r="E3507" s="31"/>
      <c r="F3507" s="31"/>
      <c r="G3507" s="31"/>
      <c r="H3507" s="31"/>
    </row>
    <row r="3508" spans="2:8" hidden="1">
      <c r="B3508" s="33"/>
      <c r="C3508" s="31"/>
      <c r="D3508" s="31"/>
      <c r="E3508" s="31"/>
      <c r="F3508" s="31"/>
      <c r="G3508" s="31"/>
      <c r="H3508" s="31"/>
    </row>
    <row r="3509" spans="2:8" hidden="1">
      <c r="B3509" s="33"/>
      <c r="C3509" s="31"/>
      <c r="D3509" s="75"/>
      <c r="E3509" s="31"/>
      <c r="F3509" s="405"/>
      <c r="G3509" s="75"/>
      <c r="H3509" s="31"/>
    </row>
    <row r="3510" spans="2:8" hidden="1">
      <c r="B3510" s="33"/>
      <c r="C3510" s="31"/>
      <c r="D3510" s="31"/>
      <c r="E3510" s="31"/>
      <c r="F3510" s="691"/>
      <c r="G3510" s="732"/>
      <c r="H3510" s="31"/>
    </row>
    <row r="3511" spans="2:8" hidden="1">
      <c r="B3511" s="33"/>
      <c r="C3511" s="31"/>
      <c r="D3511" s="31"/>
      <c r="E3511" s="31"/>
      <c r="F3511" s="405"/>
      <c r="G3511" s="75"/>
      <c r="H3511" s="31"/>
    </row>
    <row r="3512" spans="2:8" hidden="1">
      <c r="B3512" s="33"/>
      <c r="C3512" s="31"/>
      <c r="D3512" s="75"/>
      <c r="E3512" s="31"/>
      <c r="F3512" s="405"/>
      <c r="G3512" s="75"/>
      <c r="H3512" s="31"/>
    </row>
    <row r="3513" spans="2:8" hidden="1">
      <c r="B3513" s="33"/>
      <c r="C3513" s="31"/>
      <c r="D3513" s="31"/>
      <c r="E3513" s="31"/>
      <c r="F3513" s="691"/>
      <c r="G3513" s="732"/>
      <c r="H3513" s="31"/>
    </row>
    <row r="3514" spans="2:8" hidden="1">
      <c r="B3514" s="33"/>
      <c r="C3514" s="31"/>
      <c r="D3514" s="31"/>
      <c r="E3514" s="31"/>
      <c r="F3514" s="405"/>
      <c r="G3514" s="75"/>
      <c r="H3514" s="31"/>
    </row>
    <row r="3515" spans="2:8" hidden="1">
      <c r="B3515" s="33"/>
      <c r="C3515" s="31"/>
      <c r="D3515" s="31"/>
      <c r="E3515" s="31"/>
      <c r="F3515" s="31"/>
      <c r="G3515" s="31"/>
      <c r="H3515" s="31"/>
    </row>
    <row r="3516" spans="2:8" hidden="1">
      <c r="B3516" s="33"/>
      <c r="C3516" s="200"/>
      <c r="D3516" s="31"/>
      <c r="E3516" s="200"/>
      <c r="F3516" s="769"/>
      <c r="G3516" s="31"/>
      <c r="H3516" s="31"/>
    </row>
    <row r="3517" spans="2:8" hidden="1">
      <c r="B3517" s="76"/>
      <c r="C3517" s="31"/>
      <c r="D3517" s="31"/>
      <c r="E3517" s="31"/>
      <c r="F3517" s="732"/>
      <c r="G3517" s="31"/>
      <c r="H3517" s="31"/>
    </row>
    <row r="3518" spans="2:8" hidden="1">
      <c r="B3518" s="33"/>
      <c r="C3518" s="33"/>
      <c r="D3518" s="33"/>
      <c r="E3518" s="33"/>
      <c r="F3518" s="33"/>
      <c r="G3518" s="33"/>
      <c r="H3518" s="31"/>
    </row>
    <row r="3519" spans="2:8" hidden="1">
      <c r="B3519" s="33"/>
      <c r="C3519" s="31"/>
      <c r="D3519" s="33"/>
      <c r="E3519" s="33"/>
      <c r="F3519" s="33"/>
      <c r="G3519" s="33"/>
      <c r="H3519" s="31"/>
    </row>
    <row r="3520" spans="2:8" hidden="1">
      <c r="B3520" s="405"/>
      <c r="C3520" s="76"/>
      <c r="D3520" s="731"/>
      <c r="E3520" s="75"/>
      <c r="F3520" s="75"/>
      <c r="G3520" s="75"/>
      <c r="H3520" s="31"/>
    </row>
    <row r="3521" spans="2:8" hidden="1">
      <c r="B3521" s="405"/>
      <c r="C3521" s="76"/>
      <c r="D3521" s="731"/>
      <c r="E3521" s="75"/>
      <c r="F3521" s="75"/>
      <c r="G3521" s="75"/>
      <c r="H3521" s="31"/>
    </row>
    <row r="3522" spans="2:8" hidden="1">
      <c r="B3522" s="405"/>
      <c r="C3522" s="76"/>
      <c r="D3522" s="731"/>
      <c r="E3522" s="75"/>
      <c r="F3522" s="75"/>
      <c r="G3522" s="75"/>
      <c r="H3522" s="31"/>
    </row>
    <row r="3523" spans="2:8" hidden="1">
      <c r="B3523" s="405"/>
      <c r="C3523" s="76"/>
      <c r="D3523" s="731"/>
      <c r="E3523" s="75"/>
      <c r="F3523" s="75"/>
      <c r="G3523" s="75"/>
      <c r="H3523" s="31"/>
    </row>
    <row r="3524" spans="2:8" hidden="1">
      <c r="B3524" s="405"/>
      <c r="C3524" s="76"/>
      <c r="D3524" s="731"/>
      <c r="E3524" s="75"/>
      <c r="F3524" s="75"/>
      <c r="G3524" s="75"/>
      <c r="H3524" s="31"/>
    </row>
    <row r="3525" spans="2:8" hidden="1">
      <c r="B3525" s="405"/>
      <c r="C3525" s="76"/>
      <c r="D3525" s="731"/>
      <c r="E3525" s="75"/>
      <c r="F3525" s="75"/>
      <c r="G3525" s="75"/>
      <c r="H3525" s="31"/>
    </row>
    <row r="3526" spans="2:8" hidden="1">
      <c r="B3526" s="405"/>
      <c r="C3526" s="76"/>
      <c r="D3526" s="731"/>
      <c r="E3526" s="75"/>
      <c r="F3526" s="75"/>
      <c r="G3526" s="75"/>
      <c r="H3526" s="31"/>
    </row>
    <row r="3527" spans="2:8" hidden="1">
      <c r="B3527" s="405"/>
      <c r="C3527" s="76"/>
      <c r="D3527" s="731"/>
      <c r="E3527" s="75"/>
      <c r="F3527" s="75"/>
      <c r="G3527" s="75"/>
      <c r="H3527" s="31"/>
    </row>
    <row r="3528" spans="2:8" hidden="1">
      <c r="B3528" s="405"/>
      <c r="C3528" s="76"/>
      <c r="D3528" s="731"/>
      <c r="E3528" s="75"/>
      <c r="F3528" s="75"/>
      <c r="G3528" s="75"/>
      <c r="H3528" s="31"/>
    </row>
    <row r="3529" spans="2:8" hidden="1">
      <c r="B3529" s="405"/>
      <c r="C3529" s="76"/>
      <c r="D3529" s="731"/>
      <c r="E3529" s="75"/>
      <c r="F3529" s="75"/>
      <c r="G3529" s="75"/>
      <c r="H3529" s="31"/>
    </row>
    <row r="3530" spans="2:8" hidden="1">
      <c r="B3530" s="405"/>
      <c r="C3530" s="76"/>
      <c r="D3530" s="731"/>
      <c r="E3530" s="75"/>
      <c r="F3530" s="75"/>
      <c r="G3530" s="75"/>
      <c r="H3530" s="31"/>
    </row>
    <row r="3531" spans="2:8" hidden="1">
      <c r="B3531" s="405"/>
      <c r="C3531" s="76"/>
      <c r="D3531" s="731"/>
      <c r="E3531" s="75"/>
      <c r="F3531" s="75"/>
      <c r="G3531" s="75"/>
      <c r="H3531" s="31"/>
    </row>
    <row r="3532" spans="2:8" hidden="1">
      <c r="B3532" s="405"/>
      <c r="C3532" s="76"/>
      <c r="D3532" s="731"/>
      <c r="E3532" s="75"/>
      <c r="F3532" s="75"/>
      <c r="G3532" s="75"/>
      <c r="H3532" s="31"/>
    </row>
    <row r="3533" spans="2:8" hidden="1">
      <c r="B3533" s="405"/>
      <c r="C3533" s="76"/>
      <c r="D3533" s="731"/>
      <c r="E3533" s="75"/>
      <c r="F3533" s="75"/>
      <c r="G3533" s="75"/>
      <c r="H3533" s="31"/>
    </row>
    <row r="3534" spans="2:8" hidden="1">
      <c r="B3534" s="405"/>
      <c r="C3534" s="76"/>
      <c r="D3534" s="731"/>
      <c r="E3534" s="75"/>
      <c r="F3534" s="75"/>
      <c r="G3534" s="75"/>
      <c r="H3534" s="31"/>
    </row>
    <row r="3535" spans="2:8" hidden="1">
      <c r="B3535" s="405"/>
      <c r="C3535" s="76"/>
      <c r="D3535" s="731"/>
      <c r="E3535" s="75"/>
      <c r="F3535" s="75"/>
      <c r="G3535" s="75"/>
      <c r="H3535" s="31"/>
    </row>
    <row r="3536" spans="2:8" hidden="1">
      <c r="B3536" s="405"/>
      <c r="C3536" s="76"/>
      <c r="D3536" s="731"/>
      <c r="E3536" s="75"/>
      <c r="F3536" s="75"/>
      <c r="G3536" s="75"/>
      <c r="H3536" s="31"/>
    </row>
    <row r="3537" spans="2:8" hidden="1">
      <c r="B3537" s="30"/>
      <c r="C3537" s="76"/>
      <c r="D3537" s="731"/>
      <c r="E3537" s="75"/>
      <c r="F3537" s="75"/>
      <c r="G3537" s="75"/>
      <c r="H3537" s="31"/>
    </row>
    <row r="3538" spans="2:8" hidden="1">
      <c r="B3538" s="30"/>
      <c r="C3538" s="76"/>
      <c r="D3538" s="731"/>
      <c r="E3538" s="75"/>
      <c r="F3538" s="75"/>
      <c r="G3538" s="75"/>
      <c r="H3538" s="31"/>
    </row>
    <row r="3539" spans="2:8" hidden="1">
      <c r="B3539" s="30"/>
      <c r="C3539" s="76"/>
      <c r="D3539" s="731"/>
      <c r="E3539" s="75"/>
      <c r="F3539" s="75"/>
      <c r="G3539" s="75"/>
      <c r="H3539" s="31"/>
    </row>
    <row r="3540" spans="2:8" hidden="1">
      <c r="B3540" s="30"/>
      <c r="C3540" s="76"/>
      <c r="D3540" s="731"/>
      <c r="E3540" s="75"/>
      <c r="F3540" s="75"/>
      <c r="G3540" s="75"/>
      <c r="H3540" s="31"/>
    </row>
    <row r="3541" spans="2:8" hidden="1">
      <c r="B3541" s="30"/>
      <c r="C3541" s="76"/>
      <c r="D3541" s="731"/>
      <c r="E3541" s="75"/>
      <c r="F3541" s="75"/>
      <c r="G3541" s="75"/>
      <c r="H3541" s="31"/>
    </row>
    <row r="3542" spans="2:8" hidden="1">
      <c r="B3542" s="30"/>
      <c r="C3542" s="76"/>
      <c r="D3542" s="731"/>
      <c r="E3542" s="75"/>
      <c r="F3542" s="75"/>
      <c r="G3542" s="75"/>
      <c r="H3542" s="31"/>
    </row>
    <row r="3543" spans="2:8" hidden="1">
      <c r="B3543" s="30"/>
      <c r="C3543" s="76"/>
      <c r="D3543" s="731"/>
      <c r="E3543" s="75"/>
      <c r="F3543" s="75"/>
      <c r="G3543" s="75"/>
      <c r="H3543" s="31"/>
    </row>
    <row r="3544" spans="2:8" hidden="1">
      <c r="B3544" s="30"/>
      <c r="C3544" s="76"/>
      <c r="D3544" s="731"/>
      <c r="E3544" s="75"/>
      <c r="F3544" s="75"/>
      <c r="G3544" s="75"/>
      <c r="H3544" s="31"/>
    </row>
    <row r="3545" spans="2:8" hidden="1">
      <c r="B3545" s="30"/>
      <c r="C3545" s="76"/>
      <c r="D3545" s="731"/>
      <c r="E3545" s="75"/>
      <c r="F3545" s="75"/>
      <c r="G3545" s="75"/>
      <c r="H3545" s="31"/>
    </row>
    <row r="3546" spans="2:8" hidden="1">
      <c r="B3546" s="33"/>
      <c r="C3546" s="31"/>
      <c r="D3546" s="31"/>
      <c r="E3546" s="200"/>
      <c r="F3546" s="200"/>
      <c r="G3546" s="75"/>
      <c r="H3546" s="31"/>
    </row>
    <row r="3547" spans="2:8" hidden="1">
      <c r="B3547" s="33"/>
      <c r="C3547" s="31"/>
      <c r="D3547" s="31"/>
      <c r="E3547" s="198"/>
      <c r="F3547" s="200"/>
      <c r="G3547" s="75"/>
      <c r="H3547" s="31"/>
    </row>
    <row r="3548" spans="2:8" hidden="1">
      <c r="B3548" s="33"/>
      <c r="C3548" s="31"/>
      <c r="D3548" s="31"/>
      <c r="E3548" s="198"/>
      <c r="F3548" s="200"/>
      <c r="G3548" s="75"/>
      <c r="H3548" s="31"/>
    </row>
    <row r="3549" spans="2:8" hidden="1">
      <c r="B3549" s="33"/>
      <c r="C3549" s="31"/>
      <c r="D3549" s="31"/>
      <c r="E3549" s="198"/>
      <c r="F3549" s="200"/>
      <c r="G3549" s="75"/>
      <c r="H3549" s="31"/>
    </row>
    <row r="3550" spans="2:8" hidden="1">
      <c r="B3550" s="33"/>
      <c r="C3550" s="200"/>
      <c r="D3550" s="30"/>
      <c r="E3550" s="30"/>
      <c r="F3550" s="200"/>
      <c r="G3550" s="75"/>
      <c r="H3550" s="31"/>
    </row>
    <row r="3551" spans="2:8" hidden="1">
      <c r="B3551" s="33"/>
      <c r="C3551" s="31"/>
      <c r="D3551" s="31"/>
      <c r="E3551" s="31"/>
      <c r="F3551" s="31"/>
      <c r="G3551" s="31"/>
      <c r="H3551" s="31"/>
    </row>
    <row r="3552" spans="2:8" hidden="1">
      <c r="B3552" s="76"/>
      <c r="C3552" s="31"/>
      <c r="D3552" s="31"/>
      <c r="E3552" s="31"/>
      <c r="F3552" s="31"/>
      <c r="G3552" s="31"/>
      <c r="H3552" s="31"/>
    </row>
    <row r="3553" spans="2:8" hidden="1">
      <c r="B3553" s="33"/>
      <c r="C3553" s="33"/>
      <c r="D3553" s="33"/>
      <c r="E3553" s="33"/>
      <c r="F3553" s="33"/>
      <c r="G3553" s="33"/>
      <c r="H3553" s="31"/>
    </row>
    <row r="3554" spans="2:8" hidden="1">
      <c r="B3554" s="33"/>
      <c r="C3554" s="31"/>
      <c r="D3554" s="33"/>
      <c r="E3554" s="33"/>
      <c r="F3554" s="33"/>
      <c r="G3554" s="33"/>
      <c r="H3554" s="31"/>
    </row>
    <row r="3555" spans="2:8" hidden="1">
      <c r="B3555" s="405"/>
      <c r="C3555" s="76"/>
      <c r="D3555" s="731"/>
      <c r="E3555" s="75"/>
      <c r="F3555" s="75"/>
      <c r="G3555" s="75"/>
      <c r="H3555" s="31"/>
    </row>
    <row r="3556" spans="2:8" hidden="1">
      <c r="B3556" s="405"/>
      <c r="C3556" s="76"/>
      <c r="D3556" s="731"/>
      <c r="E3556" s="75"/>
      <c r="F3556" s="75"/>
      <c r="G3556" s="75"/>
      <c r="H3556" s="31"/>
    </row>
    <row r="3557" spans="2:8" hidden="1">
      <c r="B3557" s="405"/>
      <c r="C3557" s="76"/>
      <c r="D3557" s="731"/>
      <c r="E3557" s="75"/>
      <c r="F3557" s="75"/>
      <c r="G3557" s="75"/>
      <c r="H3557" s="31"/>
    </row>
    <row r="3558" spans="2:8" hidden="1">
      <c r="B3558" s="405"/>
      <c r="C3558" s="76"/>
      <c r="D3558" s="731"/>
      <c r="E3558" s="75"/>
      <c r="F3558" s="75"/>
      <c r="G3558" s="75"/>
      <c r="H3558" s="31"/>
    </row>
    <row r="3559" spans="2:8" hidden="1">
      <c r="B3559" s="405"/>
      <c r="C3559" s="76"/>
      <c r="D3559" s="731"/>
      <c r="E3559" s="75"/>
      <c r="F3559" s="75"/>
      <c r="G3559" s="75"/>
      <c r="H3559" s="31"/>
    </row>
    <row r="3560" spans="2:8" hidden="1">
      <c r="B3560" s="405"/>
      <c r="C3560" s="76"/>
      <c r="D3560" s="731"/>
      <c r="E3560" s="75"/>
      <c r="F3560" s="75"/>
      <c r="G3560" s="75"/>
      <c r="H3560" s="31"/>
    </row>
    <row r="3561" spans="2:8" hidden="1">
      <c r="B3561" s="405"/>
      <c r="C3561" s="76"/>
      <c r="D3561" s="731"/>
      <c r="E3561" s="75"/>
      <c r="F3561" s="75"/>
      <c r="G3561" s="75"/>
      <c r="H3561" s="31"/>
    </row>
    <row r="3562" spans="2:8" hidden="1">
      <c r="B3562" s="405"/>
      <c r="C3562" s="76"/>
      <c r="D3562" s="731"/>
      <c r="E3562" s="75"/>
      <c r="F3562" s="75"/>
      <c r="G3562" s="75"/>
      <c r="H3562" s="31"/>
    </row>
    <row r="3563" spans="2:8" hidden="1">
      <c r="B3563" s="405"/>
      <c r="C3563" s="76"/>
      <c r="D3563" s="731"/>
      <c r="E3563" s="75"/>
      <c r="F3563" s="75"/>
      <c r="G3563" s="75"/>
      <c r="H3563" s="31"/>
    </row>
    <row r="3564" spans="2:8" hidden="1">
      <c r="B3564" s="405"/>
      <c r="C3564" s="76"/>
      <c r="D3564" s="731"/>
      <c r="E3564" s="75"/>
      <c r="F3564" s="75"/>
      <c r="G3564" s="75"/>
      <c r="H3564" s="31"/>
    </row>
    <row r="3565" spans="2:8" hidden="1">
      <c r="B3565" s="405"/>
      <c r="C3565" s="76"/>
      <c r="D3565" s="731"/>
      <c r="E3565" s="75"/>
      <c r="F3565" s="75"/>
      <c r="G3565" s="75"/>
      <c r="H3565" s="31"/>
    </row>
    <row r="3566" spans="2:8" hidden="1">
      <c r="B3566" s="405"/>
      <c r="C3566" s="76"/>
      <c r="D3566" s="731"/>
      <c r="E3566" s="75"/>
      <c r="F3566" s="75"/>
      <c r="G3566" s="75"/>
      <c r="H3566" s="31"/>
    </row>
    <row r="3567" spans="2:8" hidden="1">
      <c r="B3567" s="405"/>
      <c r="C3567" s="76"/>
      <c r="D3567" s="731"/>
      <c r="E3567" s="75"/>
      <c r="F3567" s="75"/>
      <c r="G3567" s="75"/>
      <c r="H3567" s="31"/>
    </row>
    <row r="3568" spans="2:8" hidden="1">
      <c r="B3568" s="405"/>
      <c r="C3568" s="76"/>
      <c r="D3568" s="731"/>
      <c r="E3568" s="75"/>
      <c r="F3568" s="75"/>
      <c r="G3568" s="75"/>
      <c r="H3568" s="31"/>
    </row>
    <row r="3569" spans="2:8" hidden="1">
      <c r="B3569" s="405"/>
      <c r="C3569" s="76"/>
      <c r="D3569" s="731"/>
      <c r="E3569" s="75"/>
      <c r="F3569" s="75"/>
      <c r="G3569" s="75"/>
      <c r="H3569" s="31"/>
    </row>
    <row r="3570" spans="2:8" hidden="1">
      <c r="B3570" s="405"/>
      <c r="C3570" s="76"/>
      <c r="D3570" s="731"/>
      <c r="E3570" s="75"/>
      <c r="F3570" s="75"/>
      <c r="G3570" s="75"/>
      <c r="H3570" s="31"/>
    </row>
    <row r="3571" spans="2:8" hidden="1">
      <c r="B3571" s="405"/>
      <c r="C3571" s="76"/>
      <c r="D3571" s="731"/>
      <c r="E3571" s="75"/>
      <c r="F3571" s="75"/>
      <c r="G3571" s="75"/>
      <c r="H3571" s="31"/>
    </row>
    <row r="3572" spans="2:8" hidden="1">
      <c r="B3572" s="33"/>
      <c r="C3572" s="31"/>
      <c r="D3572" s="31"/>
      <c r="E3572" s="200"/>
      <c r="F3572" s="200"/>
      <c r="G3572" s="75"/>
      <c r="H3572" s="31"/>
    </row>
    <row r="3573" spans="2:8" hidden="1">
      <c r="B3573" s="33"/>
      <c r="C3573" s="31"/>
      <c r="D3573" s="31"/>
      <c r="E3573" s="198"/>
      <c r="F3573" s="200"/>
      <c r="G3573" s="75"/>
      <c r="H3573" s="31"/>
    </row>
    <row r="3574" spans="2:8" hidden="1">
      <c r="B3574" s="33"/>
      <c r="C3574" s="31"/>
      <c r="D3574" s="31"/>
      <c r="E3574" s="198"/>
      <c r="F3574" s="200"/>
      <c r="G3574" s="75"/>
      <c r="H3574" s="31"/>
    </row>
    <row r="3575" spans="2:8" hidden="1">
      <c r="B3575" s="33"/>
      <c r="C3575" s="31"/>
      <c r="D3575" s="31"/>
      <c r="E3575" s="198"/>
      <c r="F3575" s="200"/>
      <c r="G3575" s="75"/>
      <c r="H3575" s="31"/>
    </row>
    <row r="3576" spans="2:8" hidden="1">
      <c r="B3576" s="33"/>
      <c r="C3576" s="30"/>
      <c r="D3576" s="30"/>
      <c r="E3576" s="30"/>
      <c r="F3576" s="200"/>
      <c r="G3576" s="75"/>
      <c r="H3576" s="31"/>
    </row>
    <row r="3577" spans="2:8" hidden="1">
      <c r="B3577" s="33"/>
      <c r="C3577" s="31"/>
      <c r="D3577" s="31"/>
      <c r="E3577" s="31"/>
      <c r="F3577" s="31"/>
      <c r="G3577" s="31"/>
      <c r="H3577" s="31"/>
    </row>
    <row r="3578" spans="2:8" hidden="1">
      <c r="B3578" s="76"/>
      <c r="C3578" s="31"/>
      <c r="D3578" s="31"/>
      <c r="E3578" s="31"/>
      <c r="F3578" s="31"/>
      <c r="G3578" s="31"/>
      <c r="H3578" s="31"/>
    </row>
    <row r="3579" spans="2:8" hidden="1">
      <c r="B3579" s="33"/>
      <c r="C3579" s="33"/>
      <c r="D3579" s="33"/>
      <c r="E3579" s="33"/>
      <c r="F3579" s="33"/>
      <c r="G3579" s="33"/>
      <c r="H3579" s="31"/>
    </row>
    <row r="3580" spans="2:8" hidden="1">
      <c r="B3580" s="33"/>
      <c r="C3580" s="31"/>
      <c r="D3580" s="33"/>
      <c r="E3580" s="33"/>
      <c r="F3580" s="33"/>
      <c r="G3580" s="33"/>
      <c r="H3580" s="31"/>
    </row>
    <row r="3581" spans="2:8" hidden="1">
      <c r="B3581" s="405"/>
      <c r="C3581" s="76"/>
      <c r="D3581" s="731"/>
      <c r="E3581" s="75"/>
      <c r="F3581" s="75"/>
      <c r="G3581" s="75"/>
      <c r="H3581" s="31"/>
    </row>
    <row r="3582" spans="2:8" hidden="1">
      <c r="B3582" s="405"/>
      <c r="C3582" s="76"/>
      <c r="D3582" s="731"/>
      <c r="E3582" s="75"/>
      <c r="F3582" s="75"/>
      <c r="G3582" s="75"/>
      <c r="H3582" s="31"/>
    </row>
    <row r="3583" spans="2:8" hidden="1">
      <c r="B3583" s="405"/>
      <c r="C3583" s="76"/>
      <c r="D3583" s="731"/>
      <c r="E3583" s="75"/>
      <c r="F3583" s="75"/>
      <c r="G3583" s="75"/>
      <c r="H3583" s="31"/>
    </row>
    <row r="3584" spans="2:8" hidden="1">
      <c r="B3584" s="405"/>
      <c r="C3584" s="76"/>
      <c r="D3584" s="731"/>
      <c r="E3584" s="75"/>
      <c r="F3584" s="75"/>
      <c r="G3584" s="75"/>
      <c r="H3584" s="31"/>
    </row>
    <row r="3585" spans="2:8" hidden="1">
      <c r="B3585" s="405"/>
      <c r="C3585" s="76"/>
      <c r="D3585" s="731"/>
      <c r="E3585" s="75"/>
      <c r="F3585" s="75"/>
      <c r="G3585" s="75"/>
      <c r="H3585" s="31"/>
    </row>
    <row r="3586" spans="2:8" hidden="1">
      <c r="B3586" s="405"/>
      <c r="C3586" s="76"/>
      <c r="D3586" s="731"/>
      <c r="E3586" s="75"/>
      <c r="F3586" s="75"/>
      <c r="G3586" s="75"/>
      <c r="H3586" s="31"/>
    </row>
    <row r="3587" spans="2:8" hidden="1">
      <c r="B3587" s="405"/>
      <c r="C3587" s="76"/>
      <c r="D3587" s="731"/>
      <c r="E3587" s="75"/>
      <c r="F3587" s="75"/>
      <c r="G3587" s="75"/>
      <c r="H3587" s="31"/>
    </row>
    <row r="3588" spans="2:8" hidden="1">
      <c r="B3588" s="405"/>
      <c r="C3588" s="76"/>
      <c r="D3588" s="731"/>
      <c r="E3588" s="75"/>
      <c r="F3588" s="75"/>
      <c r="G3588" s="75"/>
      <c r="H3588" s="31"/>
    </row>
    <row r="3589" spans="2:8" hidden="1">
      <c r="B3589" s="405"/>
      <c r="C3589" s="76"/>
      <c r="D3589" s="731"/>
      <c r="E3589" s="75"/>
      <c r="F3589" s="75"/>
      <c r="G3589" s="75"/>
      <c r="H3589" s="31"/>
    </row>
    <row r="3590" spans="2:8" hidden="1">
      <c r="B3590" s="30"/>
      <c r="C3590" s="76"/>
      <c r="D3590" s="731"/>
      <c r="E3590" s="75"/>
      <c r="F3590" s="75"/>
      <c r="G3590" s="75"/>
      <c r="H3590" s="31"/>
    </row>
    <row r="3591" spans="2:8" hidden="1">
      <c r="B3591" s="30"/>
      <c r="C3591" s="76"/>
      <c r="D3591" s="731"/>
      <c r="E3591" s="75"/>
      <c r="F3591" s="75"/>
      <c r="G3591" s="75"/>
      <c r="H3591" s="31"/>
    </row>
    <row r="3592" spans="2:8" hidden="1">
      <c r="B3592" s="30"/>
      <c r="C3592" s="76"/>
      <c r="D3592" s="731"/>
      <c r="E3592" s="75"/>
      <c r="F3592" s="75"/>
      <c r="G3592" s="75"/>
      <c r="H3592" s="31"/>
    </row>
    <row r="3593" spans="2:8" hidden="1">
      <c r="B3593" s="30"/>
      <c r="C3593" s="76"/>
      <c r="D3593" s="731"/>
      <c r="E3593" s="75"/>
      <c r="F3593" s="75"/>
      <c r="G3593" s="75"/>
      <c r="H3593" s="31"/>
    </row>
    <row r="3594" spans="2:8" hidden="1">
      <c r="B3594" s="30"/>
      <c r="C3594" s="76"/>
      <c r="D3594" s="731"/>
      <c r="E3594" s="75"/>
      <c r="F3594" s="75"/>
      <c r="G3594" s="75"/>
      <c r="H3594" s="31"/>
    </row>
    <row r="3595" spans="2:8" hidden="1">
      <c r="B3595" s="30"/>
      <c r="C3595" s="76"/>
      <c r="D3595" s="731"/>
      <c r="E3595" s="75"/>
      <c r="F3595" s="75"/>
      <c r="G3595" s="75"/>
      <c r="H3595" s="31"/>
    </row>
    <row r="3596" spans="2:8" hidden="1">
      <c r="B3596" s="33"/>
      <c r="C3596" s="31"/>
      <c r="D3596" s="31"/>
      <c r="E3596" s="200"/>
      <c r="F3596" s="200"/>
      <c r="G3596" s="75"/>
      <c r="H3596" s="31"/>
    </row>
    <row r="3597" spans="2:8" hidden="1">
      <c r="B3597" s="33"/>
      <c r="C3597" s="31"/>
      <c r="D3597" s="31"/>
      <c r="E3597" s="198"/>
      <c r="F3597" s="200"/>
      <c r="G3597" s="75"/>
      <c r="H3597" s="31"/>
    </row>
    <row r="3598" spans="2:8" hidden="1">
      <c r="B3598" s="33"/>
      <c r="C3598" s="31"/>
      <c r="D3598" s="31"/>
      <c r="E3598" s="198"/>
      <c r="F3598" s="200"/>
      <c r="G3598" s="75"/>
      <c r="H3598" s="31"/>
    </row>
    <row r="3599" spans="2:8" hidden="1">
      <c r="B3599" s="33"/>
      <c r="C3599" s="31"/>
      <c r="D3599" s="31"/>
      <c r="E3599" s="198"/>
      <c r="F3599" s="200"/>
      <c r="G3599" s="75"/>
      <c r="H3599" s="31"/>
    </row>
    <row r="3600" spans="2:8" hidden="1">
      <c r="B3600" s="33"/>
      <c r="C3600" s="31"/>
      <c r="D3600" s="31"/>
      <c r="E3600" s="198"/>
      <c r="F3600" s="200"/>
      <c r="G3600" s="75"/>
      <c r="H3600" s="31"/>
    </row>
    <row r="3601" spans="2:8" hidden="1">
      <c r="B3601" s="33"/>
      <c r="C3601" s="31"/>
      <c r="D3601" s="31"/>
      <c r="E3601" s="198"/>
      <c r="F3601" s="200"/>
      <c r="G3601" s="75"/>
      <c r="H3601" s="31"/>
    </row>
    <row r="3602" spans="2:8" hidden="1">
      <c r="B3602" s="33"/>
      <c r="C3602" s="200"/>
      <c r="D3602" s="30"/>
      <c r="E3602" s="30"/>
      <c r="F3602" s="200"/>
      <c r="G3602" s="75"/>
      <c r="H3602" s="31"/>
    </row>
    <row r="3603" spans="2:8" hidden="1">
      <c r="B3603" s="33"/>
      <c r="C3603" s="31"/>
      <c r="D3603" s="31"/>
      <c r="E3603" s="31"/>
      <c r="F3603" s="31"/>
      <c r="G3603" s="31"/>
      <c r="H3603" s="31"/>
    </row>
    <row r="3604" spans="2:8" hidden="1">
      <c r="B3604" s="33"/>
      <c r="C3604" s="31"/>
      <c r="D3604" s="31"/>
      <c r="E3604" s="31"/>
      <c r="F3604" s="31"/>
      <c r="G3604" s="31"/>
      <c r="H3604" s="31"/>
    </row>
    <row r="3605" spans="2:8" hidden="1">
      <c r="B3605" s="33"/>
      <c r="C3605" s="31"/>
      <c r="D3605" s="31"/>
      <c r="E3605" s="31"/>
      <c r="F3605" s="200"/>
      <c r="G3605" s="75"/>
      <c r="H3605" s="31"/>
    </row>
    <row r="3606" spans="2:8" hidden="1">
      <c r="B3606" s="33"/>
      <c r="C3606" s="31"/>
      <c r="D3606" s="31"/>
      <c r="E3606" s="31"/>
      <c r="F3606" s="200"/>
      <c r="G3606" s="75"/>
      <c r="H3606" s="31"/>
    </row>
    <row r="3607" spans="2:8" hidden="1">
      <c r="B3607" s="33"/>
      <c r="C3607" s="31"/>
      <c r="D3607" s="31"/>
      <c r="E3607" s="31"/>
      <c r="F3607" s="200"/>
      <c r="G3607" s="75"/>
      <c r="H3607" s="31"/>
    </row>
    <row r="3608" spans="2:8" hidden="1">
      <c r="B3608" s="33"/>
      <c r="C3608" s="31"/>
      <c r="D3608" s="31"/>
      <c r="E3608" s="200"/>
      <c r="F3608" s="200"/>
      <c r="G3608" s="75"/>
      <c r="H3608" s="31"/>
    </row>
    <row r="3609" spans="2:8" hidden="1">
      <c r="B3609" s="33"/>
      <c r="C3609" s="31"/>
      <c r="D3609" s="31"/>
      <c r="E3609" s="301"/>
      <c r="F3609" s="200"/>
      <c r="G3609" s="75"/>
      <c r="H3609" s="31"/>
    </row>
    <row r="3610" spans="2:8" hidden="1">
      <c r="B3610" s="33"/>
      <c r="C3610" s="31"/>
      <c r="D3610" s="31"/>
      <c r="E3610" s="767"/>
      <c r="F3610" s="200"/>
      <c r="G3610" s="75"/>
      <c r="H3610" s="31"/>
    </row>
    <row r="3611" spans="2:8" hidden="1">
      <c r="B3611" s="33"/>
      <c r="C3611" s="31"/>
      <c r="D3611" s="31"/>
      <c r="E3611" s="767"/>
      <c r="F3611" s="200"/>
      <c r="G3611" s="75"/>
      <c r="H3611" s="31"/>
    </row>
    <row r="3612" spans="2:8" hidden="1">
      <c r="B3612" s="33"/>
      <c r="C3612" s="31"/>
      <c r="D3612" s="31"/>
      <c r="E3612" s="767"/>
      <c r="F3612" s="200"/>
      <c r="G3612" s="75"/>
      <c r="H3612" s="31"/>
    </row>
    <row r="3613" spans="2:8" hidden="1">
      <c r="B3613" s="33"/>
      <c r="C3613" s="31"/>
      <c r="D3613" s="31"/>
      <c r="E3613" s="767"/>
      <c r="F3613" s="200"/>
      <c r="G3613" s="75"/>
      <c r="H3613" s="31"/>
    </row>
    <row r="3614" spans="2:8" hidden="1">
      <c r="B3614" s="33"/>
      <c r="C3614" s="31"/>
      <c r="D3614" s="75"/>
      <c r="E3614" s="767"/>
      <c r="F3614" s="200"/>
      <c r="G3614" s="75"/>
      <c r="H3614" s="31"/>
    </row>
    <row r="3615" spans="2:8" hidden="1">
      <c r="B3615" s="33"/>
      <c r="C3615" s="31"/>
      <c r="D3615" s="31"/>
      <c r="E3615" s="767"/>
      <c r="F3615" s="200"/>
      <c r="G3615" s="75"/>
      <c r="H3615" s="31"/>
    </row>
    <row r="3616" spans="2:8" hidden="1">
      <c r="B3616" s="33"/>
      <c r="C3616" s="31"/>
      <c r="D3616" s="31"/>
      <c r="E3616" s="200"/>
      <c r="F3616" s="200"/>
      <c r="G3616" s="75"/>
      <c r="H3616" s="31"/>
    </row>
    <row r="3617" spans="2:8" hidden="1">
      <c r="B3617" s="33"/>
      <c r="C3617" s="31"/>
      <c r="D3617" s="31"/>
      <c r="E3617" s="200"/>
      <c r="F3617" s="200"/>
      <c r="G3617" s="31"/>
      <c r="H3617" s="31"/>
    </row>
    <row r="3618" spans="2:8" hidden="1">
      <c r="B3618" s="33"/>
      <c r="C3618" s="31"/>
      <c r="D3618" s="75"/>
      <c r="E3618" s="76"/>
      <c r="F3618" s="200"/>
      <c r="G3618" s="75"/>
      <c r="H3618" s="31"/>
    </row>
    <row r="3619" spans="2:8" hidden="1">
      <c r="B3619" s="33"/>
      <c r="C3619" s="31"/>
      <c r="D3619" s="198"/>
      <c r="E3619" s="198"/>
      <c r="F3619" s="200"/>
      <c r="G3619" s="75"/>
      <c r="H3619" s="31"/>
    </row>
    <row r="3620" spans="2:8" hidden="1">
      <c r="B3620" s="33"/>
      <c r="C3620" s="31"/>
      <c r="D3620" s="768"/>
      <c r="E3620" s="31"/>
      <c r="F3620" s="200"/>
      <c r="G3620" s="75"/>
      <c r="H3620" s="31"/>
    </row>
    <row r="3621" spans="2:8" hidden="1">
      <c r="B3621" s="33"/>
      <c r="C3621" s="31"/>
      <c r="D3621" s="200"/>
      <c r="E3621" s="31"/>
      <c r="F3621" s="200"/>
      <c r="G3621" s="75"/>
      <c r="H3621" s="31"/>
    </row>
    <row r="3622" spans="2:8" hidden="1">
      <c r="B3622" s="33"/>
      <c r="C3622" s="31"/>
      <c r="D3622" s="31"/>
      <c r="E3622" s="31"/>
      <c r="F3622" s="31"/>
      <c r="G3622" s="31"/>
      <c r="H3622" s="31"/>
    </row>
    <row r="3623" spans="2:8" hidden="1">
      <c r="B3623" s="33"/>
      <c r="C3623" s="31"/>
      <c r="D3623" s="31"/>
      <c r="E3623" s="31"/>
      <c r="F3623" s="31"/>
      <c r="G3623" s="31"/>
      <c r="H3623" s="31"/>
    </row>
    <row r="3624" spans="2:8" hidden="1">
      <c r="B3624" s="33"/>
      <c r="C3624" s="31"/>
      <c r="D3624" s="33"/>
      <c r="E3624" s="31"/>
      <c r="F3624" s="200"/>
      <c r="G3624" s="76"/>
      <c r="H3624" s="31"/>
    </row>
    <row r="3625" spans="2:8" hidden="1">
      <c r="B3625" s="33"/>
      <c r="C3625" s="31"/>
      <c r="D3625" s="31"/>
      <c r="E3625" s="31"/>
      <c r="F3625" s="31"/>
      <c r="G3625" s="31"/>
      <c r="H3625" s="31"/>
    </row>
    <row r="3626" spans="2:8" hidden="1">
      <c r="B3626" s="33"/>
      <c r="C3626" s="31"/>
      <c r="D3626" s="31"/>
      <c r="E3626" s="31"/>
      <c r="F3626" s="31"/>
      <c r="G3626" s="31"/>
      <c r="H3626" s="31"/>
    </row>
    <row r="3627" spans="2:8" hidden="1">
      <c r="B3627" s="33"/>
      <c r="C3627" s="31"/>
      <c r="D3627" s="31"/>
      <c r="E3627" s="31"/>
      <c r="F3627" s="31"/>
      <c r="G3627" s="31"/>
      <c r="H3627" s="31"/>
    </row>
    <row r="3628" spans="2:8" hidden="1">
      <c r="B3628" s="33"/>
      <c r="C3628" s="31"/>
      <c r="D3628" s="31"/>
      <c r="E3628" s="31"/>
      <c r="F3628" s="31"/>
      <c r="G3628" s="31"/>
      <c r="H3628" s="31"/>
    </row>
    <row r="3629" spans="2:8" hidden="1">
      <c r="B3629" s="33"/>
      <c r="C3629" s="31"/>
      <c r="D3629" s="31"/>
      <c r="E3629" s="31"/>
      <c r="F3629" s="31"/>
      <c r="G3629" s="31"/>
      <c r="H3629" s="31"/>
    </row>
    <row r="3630" spans="2:8" hidden="1">
      <c r="B3630" s="33"/>
      <c r="C3630" s="31"/>
      <c r="D3630" s="31"/>
      <c r="E3630" s="31"/>
      <c r="F3630" s="31"/>
      <c r="G3630" s="31"/>
      <c r="H3630" s="31"/>
    </row>
    <row r="3631" spans="2:8" hidden="1">
      <c r="B3631" s="33"/>
      <c r="C3631" s="31"/>
      <c r="D3631" s="31"/>
      <c r="E3631" s="31"/>
      <c r="F3631" s="31"/>
      <c r="G3631" s="31"/>
      <c r="H3631" s="31"/>
    </row>
    <row r="3632" spans="2:8" hidden="1">
      <c r="B3632" s="33"/>
      <c r="C3632" s="31"/>
      <c r="D3632" s="31"/>
      <c r="E3632" s="31"/>
      <c r="F3632" s="31"/>
      <c r="G3632" s="31"/>
      <c r="H3632" s="31"/>
    </row>
    <row r="3633" spans="2:8" hidden="1">
      <c r="B3633" s="33"/>
      <c r="C3633" s="31"/>
      <c r="D3633" s="31"/>
      <c r="E3633" s="31"/>
      <c r="F3633" s="31"/>
      <c r="G3633" s="31"/>
      <c r="H3633" s="31"/>
    </row>
    <row r="3634" spans="2:8" hidden="1">
      <c r="B3634" s="33"/>
      <c r="C3634" s="31"/>
      <c r="D3634" s="31"/>
      <c r="E3634" s="31"/>
      <c r="F3634" s="31"/>
      <c r="G3634" s="31"/>
      <c r="H3634" s="31"/>
    </row>
    <row r="3635" spans="2:8" hidden="1">
      <c r="B3635" s="33"/>
      <c r="C3635" s="31"/>
      <c r="D3635" s="31"/>
      <c r="E3635" s="31"/>
      <c r="F3635" s="31"/>
      <c r="G3635" s="31"/>
      <c r="H3635" s="31"/>
    </row>
    <row r="3636" spans="2:8" hidden="1">
      <c r="B3636" s="33"/>
      <c r="C3636" s="31"/>
      <c r="D3636" s="31"/>
      <c r="E3636" s="31"/>
      <c r="F3636" s="31"/>
      <c r="G3636" s="31"/>
      <c r="H3636" s="31"/>
    </row>
    <row r="3637" spans="2:8" hidden="1">
      <c r="B3637" s="33"/>
      <c r="C3637" s="31"/>
      <c r="D3637" s="31"/>
      <c r="E3637" s="31"/>
      <c r="F3637" s="31"/>
      <c r="G3637" s="31"/>
      <c r="H3637" s="31"/>
    </row>
    <row r="3638" spans="2:8" hidden="1">
      <c r="B3638" s="33"/>
      <c r="C3638" s="31"/>
      <c r="D3638" s="31"/>
      <c r="E3638" s="31"/>
      <c r="F3638" s="31"/>
      <c r="G3638" s="31"/>
      <c r="H3638" s="31"/>
    </row>
    <row r="3639" spans="2:8" hidden="1">
      <c r="B3639" s="33"/>
      <c r="C3639" s="31"/>
      <c r="D3639" s="31"/>
      <c r="E3639" s="31"/>
      <c r="F3639" s="31"/>
      <c r="G3639" s="31"/>
      <c r="H3639" s="31"/>
    </row>
    <row r="3640" spans="2:8" hidden="1">
      <c r="B3640" s="33"/>
      <c r="C3640" s="31"/>
      <c r="D3640" s="31"/>
      <c r="E3640" s="31"/>
      <c r="F3640" s="31"/>
      <c r="G3640" s="31"/>
      <c r="H3640" s="31"/>
    </row>
    <row r="3641" spans="2:8" hidden="1">
      <c r="B3641" s="33"/>
      <c r="C3641" s="31"/>
      <c r="D3641" s="31"/>
      <c r="E3641" s="31"/>
      <c r="F3641" s="691"/>
      <c r="G3641" s="75"/>
      <c r="H3641" s="31"/>
    </row>
    <row r="3642" spans="2:8" hidden="1">
      <c r="B3642" s="33"/>
      <c r="C3642" s="31"/>
      <c r="D3642" s="31"/>
      <c r="E3642" s="31"/>
      <c r="F3642" s="691"/>
      <c r="G3642" s="75"/>
      <c r="H3642" s="31"/>
    </row>
    <row r="3643" spans="2:8" hidden="1">
      <c r="B3643" s="33"/>
      <c r="C3643" s="31"/>
      <c r="D3643" s="31"/>
      <c r="E3643" s="200"/>
      <c r="F3643" s="691"/>
      <c r="G3643" s="75"/>
      <c r="H3643" s="31"/>
    </row>
    <row r="3644" spans="2:8" hidden="1">
      <c r="B3644" s="33"/>
      <c r="C3644" s="31"/>
      <c r="D3644" s="31"/>
      <c r="E3644" s="200"/>
      <c r="F3644" s="691"/>
      <c r="G3644" s="75"/>
      <c r="H3644" s="31"/>
    </row>
    <row r="3645" spans="2:8" hidden="1">
      <c r="B3645" s="33"/>
      <c r="C3645" s="31"/>
      <c r="D3645" s="31"/>
      <c r="E3645" s="200"/>
      <c r="F3645" s="691"/>
      <c r="G3645" s="75"/>
      <c r="H3645" s="31"/>
    </row>
    <row r="3646" spans="2:8" hidden="1">
      <c r="B3646" s="33"/>
      <c r="C3646" s="31"/>
      <c r="D3646" s="31"/>
      <c r="E3646" s="31"/>
      <c r="F3646" s="691"/>
      <c r="G3646" s="75"/>
      <c r="H3646" s="31"/>
    </row>
    <row r="3647" spans="2:8" hidden="1">
      <c r="B3647" s="33"/>
      <c r="C3647" s="31"/>
      <c r="D3647" s="31"/>
      <c r="E3647" s="31"/>
      <c r="F3647" s="691"/>
      <c r="G3647" s="31"/>
      <c r="H3647" s="31"/>
    </row>
    <row r="3648" spans="2:8" hidden="1">
      <c r="B3648" s="33"/>
      <c r="C3648" s="31"/>
      <c r="D3648" s="31"/>
      <c r="E3648" s="31"/>
      <c r="F3648" s="691"/>
      <c r="G3648" s="31"/>
      <c r="H3648" s="31"/>
    </row>
    <row r="3649" spans="2:8" hidden="1">
      <c r="B3649" s="200"/>
      <c r="C3649" s="31"/>
      <c r="D3649" s="31"/>
      <c r="E3649" s="31"/>
      <c r="F3649" s="691"/>
      <c r="G3649" s="31"/>
      <c r="H3649" s="31"/>
    </row>
    <row r="3650" spans="2:8" hidden="1">
      <c r="B3650" s="200"/>
      <c r="C3650" s="31"/>
      <c r="D3650" s="31"/>
      <c r="E3650" s="31"/>
      <c r="F3650" s="691"/>
      <c r="G3650" s="31"/>
      <c r="H3650" s="31"/>
    </row>
    <row r="3651" spans="2:8" hidden="1">
      <c r="B3651" s="200"/>
      <c r="C3651" s="31"/>
      <c r="D3651" s="31"/>
      <c r="E3651" s="31"/>
      <c r="F3651" s="691"/>
      <c r="G3651" s="31"/>
      <c r="H3651" s="31"/>
    </row>
    <row r="3652" spans="2:8" hidden="1">
      <c r="B3652" s="200"/>
      <c r="C3652" s="31"/>
      <c r="D3652" s="31"/>
      <c r="E3652" s="31"/>
      <c r="F3652" s="691"/>
      <c r="G3652" s="31"/>
      <c r="H3652" s="31"/>
    </row>
    <row r="3653" spans="2:8" hidden="1">
      <c r="B3653" s="200"/>
      <c r="C3653" s="31"/>
      <c r="D3653" s="31"/>
      <c r="E3653" s="31"/>
      <c r="F3653" s="691"/>
      <c r="G3653" s="31"/>
      <c r="H3653" s="31"/>
    </row>
    <row r="3654" spans="2:8" hidden="1">
      <c r="B3654" s="200"/>
      <c r="C3654" s="31"/>
      <c r="D3654" s="31"/>
      <c r="E3654" s="31"/>
      <c r="F3654" s="691"/>
      <c r="G3654" s="31"/>
      <c r="H3654" s="31"/>
    </row>
    <row r="3655" spans="2:8" hidden="1">
      <c r="B3655" s="200"/>
      <c r="C3655" s="31"/>
      <c r="D3655" s="31"/>
      <c r="E3655" s="31"/>
      <c r="F3655" s="691"/>
      <c r="G3655" s="31"/>
      <c r="H3655" s="31"/>
    </row>
    <row r="3656" spans="2:8" hidden="1">
      <c r="B3656" s="200"/>
      <c r="C3656" s="31"/>
      <c r="D3656" s="31"/>
      <c r="E3656" s="31"/>
      <c r="F3656" s="691"/>
      <c r="G3656" s="31"/>
      <c r="H3656" s="31"/>
    </row>
    <row r="3657" spans="2:8" hidden="1">
      <c r="B3657" s="200"/>
      <c r="C3657" s="31"/>
      <c r="D3657" s="31"/>
      <c r="E3657" s="31"/>
      <c r="F3657" s="691"/>
      <c r="G3657" s="31"/>
      <c r="H3657" s="31"/>
    </row>
    <row r="3658" spans="2:8" hidden="1">
      <c r="B3658" s="200"/>
      <c r="C3658" s="31"/>
      <c r="D3658" s="31"/>
      <c r="E3658" s="31"/>
      <c r="F3658" s="691"/>
      <c r="G3658" s="31"/>
      <c r="H3658" s="31"/>
    </row>
    <row r="3659" spans="2:8" hidden="1">
      <c r="B3659" s="200"/>
      <c r="C3659" s="31"/>
      <c r="D3659" s="31"/>
      <c r="E3659" s="31"/>
      <c r="F3659" s="691"/>
      <c r="G3659" s="31"/>
      <c r="H3659" s="31"/>
    </row>
    <row r="3660" spans="2:8" hidden="1">
      <c r="B3660" s="33"/>
      <c r="C3660" s="31"/>
      <c r="D3660" s="31"/>
      <c r="E3660" s="31"/>
      <c r="F3660" s="691"/>
      <c r="G3660" s="31"/>
      <c r="H3660" s="31"/>
    </row>
    <row r="3661" spans="2:8" hidden="1">
      <c r="B3661" s="33"/>
      <c r="C3661" s="31"/>
      <c r="D3661" s="31"/>
      <c r="E3661" s="31"/>
      <c r="F3661" s="691"/>
      <c r="G3661" s="31"/>
      <c r="H3661" s="31"/>
    </row>
    <row r="3662" spans="2:8" hidden="1">
      <c r="B3662" s="33"/>
      <c r="C3662" s="31"/>
      <c r="D3662" s="31"/>
      <c r="E3662" s="31"/>
      <c r="F3662" s="691"/>
      <c r="G3662" s="31"/>
      <c r="H3662" s="31"/>
    </row>
    <row r="3663" spans="2:8" hidden="1">
      <c r="B3663" s="33"/>
      <c r="C3663" s="31"/>
      <c r="D3663" s="31"/>
      <c r="E3663" s="200"/>
      <c r="F3663" s="691"/>
      <c r="G3663" s="31"/>
      <c r="H3663" s="31"/>
    </row>
    <row r="3664" spans="2:8" hidden="1">
      <c r="B3664" s="33"/>
      <c r="C3664" s="31"/>
      <c r="D3664" s="31"/>
      <c r="E3664" s="31"/>
      <c r="F3664" s="691"/>
      <c r="G3664" s="31"/>
      <c r="H3664" s="31"/>
    </row>
    <row r="3665" spans="2:8" hidden="1">
      <c r="B3665" s="33"/>
      <c r="C3665" s="31"/>
      <c r="D3665" s="31"/>
      <c r="E3665" s="31"/>
      <c r="F3665" s="691"/>
      <c r="G3665" s="31"/>
      <c r="H3665" s="31"/>
    </row>
    <row r="3666" spans="2:8" hidden="1">
      <c r="B3666" s="33"/>
      <c r="C3666" s="31"/>
      <c r="D3666" s="31"/>
      <c r="E3666" s="31"/>
      <c r="F3666" s="691"/>
      <c r="G3666" s="31"/>
      <c r="H3666" s="31"/>
    </row>
    <row r="3667" spans="2:8" hidden="1">
      <c r="B3667" s="33"/>
      <c r="C3667" s="31"/>
      <c r="D3667" s="31"/>
      <c r="E3667" s="31"/>
      <c r="F3667" s="691"/>
      <c r="G3667" s="31"/>
      <c r="H3667" s="31"/>
    </row>
    <row r="3668" spans="2:8" hidden="1">
      <c r="B3668" s="33"/>
      <c r="C3668" s="31"/>
      <c r="D3668" s="31"/>
      <c r="E3668" s="31"/>
      <c r="F3668" s="691"/>
      <c r="G3668" s="31"/>
      <c r="H3668" s="31"/>
    </row>
    <row r="3669" spans="2:8" hidden="1">
      <c r="B3669" s="33"/>
      <c r="C3669" s="31"/>
      <c r="D3669" s="31"/>
      <c r="E3669" s="31"/>
      <c r="F3669" s="691"/>
      <c r="G3669" s="31"/>
      <c r="H3669" s="31"/>
    </row>
    <row r="3670" spans="2:8" hidden="1">
      <c r="B3670" s="33"/>
      <c r="C3670" s="31"/>
      <c r="D3670" s="31"/>
      <c r="E3670" s="31"/>
      <c r="F3670" s="691"/>
      <c r="G3670" s="31"/>
      <c r="H3670" s="31"/>
    </row>
    <row r="3671" spans="2:8" hidden="1">
      <c r="B3671" s="33"/>
      <c r="C3671" s="31"/>
      <c r="D3671" s="31"/>
      <c r="E3671" s="31"/>
      <c r="F3671" s="691"/>
      <c r="G3671" s="31"/>
      <c r="H3671" s="31"/>
    </row>
    <row r="3672" spans="2:8" hidden="1">
      <c r="B3672" s="33"/>
      <c r="C3672" s="31"/>
      <c r="D3672" s="31"/>
      <c r="E3672" s="31"/>
      <c r="F3672" s="691"/>
      <c r="G3672" s="31"/>
      <c r="H3672" s="31"/>
    </row>
    <row r="3673" spans="2:8" hidden="1">
      <c r="B3673" s="33"/>
      <c r="C3673" s="31"/>
      <c r="D3673" s="31"/>
      <c r="E3673" s="31"/>
      <c r="F3673" s="691"/>
      <c r="G3673" s="31"/>
      <c r="H3673" s="31"/>
    </row>
    <row r="3674" spans="2:8" hidden="1">
      <c r="B3674" s="33"/>
      <c r="C3674" s="31"/>
      <c r="D3674" s="31"/>
      <c r="E3674" s="31"/>
      <c r="F3674" s="691"/>
      <c r="G3674" s="31"/>
      <c r="H3674" s="31"/>
    </row>
    <row r="3675" spans="2:8" hidden="1">
      <c r="B3675" s="33"/>
      <c r="C3675" s="31"/>
      <c r="D3675" s="31"/>
      <c r="E3675" s="31"/>
      <c r="F3675" s="691"/>
      <c r="G3675" s="31"/>
      <c r="H3675" s="31"/>
    </row>
    <row r="3676" spans="2:8" hidden="1">
      <c r="B3676" s="33"/>
      <c r="C3676" s="31"/>
      <c r="D3676" s="31"/>
      <c r="E3676" s="31"/>
      <c r="F3676" s="691"/>
      <c r="G3676" s="31"/>
      <c r="H3676" s="31"/>
    </row>
    <row r="3677" spans="2:8" hidden="1">
      <c r="B3677" s="33"/>
      <c r="C3677" s="31"/>
      <c r="D3677" s="31"/>
      <c r="E3677" s="31"/>
      <c r="F3677" s="691"/>
      <c r="G3677" s="31"/>
      <c r="H3677" s="31"/>
    </row>
    <row r="3678" spans="2:8" hidden="1">
      <c r="B3678" s="33"/>
      <c r="C3678" s="31"/>
      <c r="D3678" s="31"/>
      <c r="E3678" s="31"/>
      <c r="F3678" s="691"/>
      <c r="G3678" s="31"/>
      <c r="H3678" s="31"/>
    </row>
    <row r="3679" spans="2:8" hidden="1">
      <c r="B3679" s="33"/>
      <c r="C3679" s="31"/>
      <c r="D3679" s="31"/>
      <c r="E3679" s="200"/>
      <c r="F3679" s="691"/>
      <c r="G3679" s="31"/>
      <c r="H3679" s="31"/>
    </row>
    <row r="3680" spans="2:8" hidden="1">
      <c r="B3680" s="33"/>
      <c r="C3680" s="31"/>
      <c r="D3680" s="31"/>
      <c r="E3680" s="31"/>
      <c r="F3680" s="691"/>
      <c r="G3680" s="31"/>
      <c r="H3680" s="31"/>
    </row>
    <row r="3681" spans="2:8" hidden="1">
      <c r="B3681" s="33"/>
      <c r="C3681" s="31"/>
      <c r="D3681" s="31"/>
      <c r="E3681" s="31"/>
      <c r="F3681" s="691"/>
      <c r="G3681" s="31"/>
      <c r="H3681" s="31"/>
    </row>
    <row r="3682" spans="2:8" hidden="1">
      <c r="B3682" s="33"/>
      <c r="C3682" s="31"/>
      <c r="D3682" s="31"/>
      <c r="E3682" s="31"/>
      <c r="F3682" s="691"/>
      <c r="G3682" s="31"/>
      <c r="H3682" s="31"/>
    </row>
    <row r="3683" spans="2:8" hidden="1">
      <c r="B3683" s="33"/>
      <c r="C3683" s="31"/>
      <c r="D3683" s="31"/>
      <c r="E3683" s="31"/>
      <c r="F3683" s="691"/>
      <c r="G3683" s="31"/>
      <c r="H3683" s="31"/>
    </row>
    <row r="3684" spans="2:8" hidden="1">
      <c r="B3684" s="33"/>
      <c r="C3684" s="31"/>
      <c r="D3684" s="31"/>
      <c r="E3684" s="31"/>
      <c r="F3684" s="691"/>
      <c r="G3684" s="31"/>
      <c r="H3684" s="31"/>
    </row>
    <row r="3685" spans="2:8" hidden="1">
      <c r="B3685" s="33"/>
      <c r="C3685" s="31"/>
      <c r="D3685" s="31"/>
      <c r="E3685" s="31"/>
      <c r="F3685" s="691"/>
      <c r="G3685" s="31"/>
      <c r="H3685" s="31"/>
    </row>
    <row r="3686" spans="2:8" hidden="1">
      <c r="B3686" s="33"/>
      <c r="C3686" s="31"/>
      <c r="D3686" s="31"/>
      <c r="E3686" s="31"/>
      <c r="F3686" s="691"/>
      <c r="G3686" s="31"/>
      <c r="H3686" s="31"/>
    </row>
    <row r="3687" spans="2:8" hidden="1">
      <c r="B3687" s="33"/>
      <c r="C3687" s="31"/>
      <c r="D3687" s="31"/>
      <c r="E3687" s="31"/>
      <c r="F3687" s="691"/>
      <c r="G3687" s="31"/>
      <c r="H3687" s="31"/>
    </row>
    <row r="3688" spans="2:8" hidden="1">
      <c r="B3688" s="33"/>
      <c r="C3688" s="31"/>
      <c r="D3688" s="31"/>
      <c r="E3688" s="31"/>
      <c r="F3688" s="691"/>
      <c r="G3688" s="31"/>
      <c r="H3688" s="31"/>
    </row>
    <row r="3689" spans="2:8" hidden="1">
      <c r="B3689" s="33"/>
      <c r="C3689" s="31"/>
      <c r="D3689" s="31"/>
      <c r="E3689" s="31"/>
      <c r="F3689" s="691"/>
      <c r="G3689" s="31"/>
      <c r="H3689" s="31"/>
    </row>
    <row r="3690" spans="2:8" hidden="1">
      <c r="B3690" s="33"/>
      <c r="C3690" s="31"/>
      <c r="D3690" s="31"/>
      <c r="E3690" s="31"/>
      <c r="F3690" s="691"/>
      <c r="G3690" s="31"/>
      <c r="H3690" s="31"/>
    </row>
    <row r="3691" spans="2:8" hidden="1">
      <c r="B3691" s="33"/>
      <c r="C3691" s="31"/>
      <c r="D3691" s="31"/>
      <c r="E3691" s="31"/>
      <c r="F3691" s="691"/>
      <c r="G3691" s="31"/>
      <c r="H3691" s="31"/>
    </row>
    <row r="3692" spans="2:8" hidden="1">
      <c r="B3692" s="33"/>
      <c r="C3692" s="31"/>
      <c r="D3692" s="31"/>
      <c r="E3692" s="31"/>
      <c r="F3692" s="691"/>
      <c r="G3692" s="31"/>
      <c r="H3692" s="31"/>
    </row>
    <row r="3693" spans="2:8" hidden="1">
      <c r="B3693" s="33"/>
      <c r="C3693" s="31"/>
      <c r="D3693" s="31"/>
      <c r="E3693" s="31"/>
      <c r="F3693" s="31"/>
      <c r="G3693" s="31"/>
      <c r="H3693" s="31"/>
    </row>
    <row r="3694" spans="2:8" hidden="1">
      <c r="B3694" s="33"/>
      <c r="C3694" s="31"/>
      <c r="D3694" s="31"/>
      <c r="E3694" s="31"/>
      <c r="F3694" s="31"/>
      <c r="G3694" s="31"/>
      <c r="H3694" s="31"/>
    </row>
    <row r="3695" spans="2:8" hidden="1">
      <c r="B3695" s="33"/>
      <c r="C3695" s="31"/>
      <c r="D3695" s="31"/>
      <c r="E3695" s="31"/>
      <c r="F3695" s="31"/>
      <c r="G3695" s="31"/>
      <c r="H3695" s="31"/>
    </row>
    <row r="3696" spans="2:8" hidden="1">
      <c r="B3696" s="33"/>
      <c r="C3696" s="31"/>
      <c r="D3696" s="31"/>
      <c r="E3696" s="31"/>
      <c r="F3696" s="31"/>
      <c r="G3696" s="31"/>
      <c r="H3696" s="31"/>
    </row>
    <row r="3697" spans="2:8" hidden="1">
      <c r="B3697" s="33"/>
      <c r="C3697" s="31"/>
      <c r="D3697" s="31"/>
      <c r="E3697" s="31"/>
      <c r="F3697" s="31"/>
      <c r="G3697" s="31"/>
      <c r="H3697" s="31"/>
    </row>
    <row r="3698" spans="2:8" hidden="1">
      <c r="B3698" s="33"/>
      <c r="C3698" s="31"/>
      <c r="D3698" s="31"/>
      <c r="E3698" s="31"/>
      <c r="F3698" s="31"/>
      <c r="G3698" s="31"/>
      <c r="H3698" s="31"/>
    </row>
    <row r="3699" spans="2:8" hidden="1">
      <c r="B3699" s="33"/>
      <c r="C3699" s="31"/>
      <c r="D3699" s="31"/>
      <c r="E3699" s="31"/>
      <c r="F3699" s="31"/>
      <c r="G3699" s="31"/>
      <c r="H3699" s="31"/>
    </row>
    <row r="3700" spans="2:8" hidden="1">
      <c r="B3700" s="33"/>
      <c r="C3700" s="31"/>
      <c r="D3700" s="31"/>
      <c r="E3700" s="31"/>
      <c r="F3700" s="31"/>
      <c r="G3700" s="31"/>
      <c r="H3700" s="31"/>
    </row>
    <row r="3701" spans="2:8" hidden="1">
      <c r="B3701" s="33"/>
      <c r="C3701" s="31"/>
      <c r="D3701" s="31"/>
      <c r="E3701" s="31"/>
      <c r="F3701" s="31"/>
      <c r="G3701" s="31"/>
      <c r="H3701" s="31"/>
    </row>
    <row r="3702" spans="2:8" hidden="1">
      <c r="B3702" s="33"/>
      <c r="C3702" s="31"/>
      <c r="D3702" s="31"/>
      <c r="E3702" s="31"/>
      <c r="F3702" s="33"/>
      <c r="G3702" s="31"/>
      <c r="H3702" s="31"/>
    </row>
    <row r="3703" spans="2:8" hidden="1">
      <c r="B3703" s="33"/>
      <c r="C3703" s="31"/>
      <c r="D3703" s="33"/>
      <c r="E3703" s="33"/>
      <c r="F3703" s="33"/>
      <c r="G3703" s="33"/>
      <c r="H3703" s="31"/>
    </row>
    <row r="3704" spans="2:8" hidden="1">
      <c r="B3704" s="33"/>
      <c r="C3704" s="31"/>
      <c r="D3704" s="33"/>
      <c r="E3704" s="33"/>
      <c r="F3704" s="33"/>
      <c r="G3704" s="33"/>
      <c r="H3704" s="31"/>
    </row>
    <row r="3705" spans="2:8" hidden="1">
      <c r="B3705" s="33"/>
      <c r="C3705" s="31"/>
      <c r="D3705" s="33"/>
      <c r="E3705" s="33"/>
      <c r="F3705" s="33"/>
      <c r="G3705" s="33"/>
      <c r="H3705" s="31"/>
    </row>
    <row r="3706" spans="2:8" hidden="1">
      <c r="B3706" s="33"/>
      <c r="C3706" s="31"/>
      <c r="D3706" s="33"/>
      <c r="E3706" s="33"/>
      <c r="F3706" s="33"/>
      <c r="G3706" s="33"/>
      <c r="H3706" s="31"/>
    </row>
    <row r="3707" spans="2:8" hidden="1">
      <c r="B3707" s="33"/>
      <c r="C3707" s="31"/>
      <c r="D3707" s="33"/>
      <c r="E3707" s="33"/>
      <c r="F3707" s="33"/>
      <c r="G3707" s="33"/>
      <c r="H3707" s="31"/>
    </row>
    <row r="3708" spans="2:8" hidden="1">
      <c r="B3708" s="33"/>
      <c r="C3708" s="31"/>
      <c r="D3708" s="33"/>
      <c r="E3708" s="33"/>
      <c r="F3708" s="33"/>
      <c r="G3708" s="33"/>
      <c r="H3708" s="31"/>
    </row>
    <row r="3709" spans="2:8" hidden="1">
      <c r="B3709" s="33"/>
      <c r="C3709" s="31"/>
      <c r="D3709" s="33"/>
      <c r="E3709" s="33"/>
      <c r="F3709" s="33"/>
      <c r="G3709" s="33"/>
      <c r="H3709" s="31"/>
    </row>
    <row r="3710" spans="2:8" hidden="1">
      <c r="B3710" s="33"/>
      <c r="C3710" s="33"/>
      <c r="D3710" s="33"/>
      <c r="E3710" s="33"/>
      <c r="F3710" s="33"/>
      <c r="G3710" s="33"/>
      <c r="H3710" s="31"/>
    </row>
    <row r="3711" spans="2:8" hidden="1">
      <c r="B3711" s="33"/>
      <c r="C3711" s="31"/>
      <c r="D3711" s="31"/>
      <c r="E3711" s="31"/>
      <c r="F3711" s="31"/>
      <c r="G3711" s="31"/>
      <c r="H3711" s="31"/>
    </row>
    <row r="3712" spans="2:8" hidden="1">
      <c r="B3712" s="33"/>
      <c r="C3712" s="31"/>
      <c r="D3712" s="31"/>
      <c r="E3712" s="31"/>
      <c r="F3712" s="31"/>
      <c r="G3712" s="31"/>
      <c r="H3712" s="31"/>
    </row>
    <row r="3713" spans="2:8" hidden="1">
      <c r="B3713" s="33"/>
      <c r="C3713" s="31"/>
      <c r="D3713" s="31"/>
      <c r="E3713" s="31"/>
      <c r="F3713" s="31"/>
      <c r="G3713" s="31"/>
      <c r="H3713" s="31"/>
    </row>
    <row r="3714" spans="2:8" hidden="1">
      <c r="B3714" s="33"/>
      <c r="C3714" s="31"/>
      <c r="D3714" s="31"/>
      <c r="E3714" s="31"/>
      <c r="F3714" s="31"/>
      <c r="G3714" s="31"/>
      <c r="H3714" s="31"/>
    </row>
    <row r="3715" spans="2:8" hidden="1">
      <c r="B3715" s="33"/>
      <c r="C3715" s="31"/>
      <c r="D3715" s="31"/>
      <c r="E3715" s="31"/>
      <c r="F3715" s="31"/>
      <c r="G3715" s="31"/>
      <c r="H3715" s="31"/>
    </row>
    <row r="3716" spans="2:8" hidden="1">
      <c r="B3716" s="33"/>
      <c r="C3716" s="31"/>
      <c r="D3716" s="31"/>
      <c r="E3716" s="31"/>
      <c r="F3716" s="31"/>
      <c r="G3716" s="31"/>
      <c r="H3716" s="31"/>
    </row>
    <row r="3717" spans="2:8" hidden="1">
      <c r="B3717" s="33"/>
      <c r="C3717" s="31"/>
      <c r="D3717" s="31"/>
      <c r="E3717" s="31"/>
      <c r="F3717" s="31"/>
      <c r="G3717" s="31"/>
      <c r="H3717" s="31"/>
    </row>
    <row r="3718" spans="2:8" hidden="1">
      <c r="B3718" s="33"/>
      <c r="C3718" s="31"/>
      <c r="D3718" s="31"/>
      <c r="E3718" s="31"/>
      <c r="F3718" s="31"/>
      <c r="G3718" s="31"/>
      <c r="H3718" s="31"/>
    </row>
    <row r="3719" spans="2:8" hidden="1">
      <c r="B3719" s="33"/>
      <c r="C3719" s="31"/>
      <c r="D3719" s="31"/>
      <c r="E3719" s="31"/>
      <c r="F3719" s="31"/>
      <c r="G3719" s="31"/>
      <c r="H3719" s="31"/>
    </row>
    <row r="3720" spans="2:8" hidden="1">
      <c r="B3720" s="33"/>
      <c r="C3720" s="31"/>
      <c r="D3720" s="31"/>
      <c r="E3720" s="31"/>
      <c r="F3720" s="31"/>
      <c r="G3720" s="31"/>
      <c r="H3720" s="31"/>
    </row>
    <row r="3721" spans="2:8" hidden="1">
      <c r="B3721" s="33"/>
      <c r="C3721" s="31"/>
      <c r="D3721" s="31"/>
      <c r="E3721" s="31"/>
      <c r="F3721" s="31"/>
      <c r="G3721" s="31"/>
      <c r="H3721" s="31"/>
    </row>
    <row r="3722" spans="2:8" hidden="1">
      <c r="B3722" s="33"/>
      <c r="C3722" s="31"/>
      <c r="D3722" s="31"/>
      <c r="E3722" s="31"/>
      <c r="F3722" s="31"/>
      <c r="G3722" s="31"/>
      <c r="H3722" s="31"/>
    </row>
    <row r="3723" spans="2:8" hidden="1">
      <c r="B3723" s="33"/>
      <c r="C3723" s="31"/>
      <c r="D3723" s="75"/>
      <c r="E3723" s="31"/>
      <c r="F3723" s="405"/>
      <c r="G3723" s="75"/>
      <c r="H3723" s="31"/>
    </row>
    <row r="3724" spans="2:8" hidden="1">
      <c r="B3724" s="33"/>
      <c r="C3724" s="31"/>
      <c r="D3724" s="31"/>
      <c r="E3724" s="31"/>
      <c r="F3724" s="691"/>
      <c r="G3724" s="732"/>
      <c r="H3724" s="31"/>
    </row>
    <row r="3725" spans="2:8" hidden="1">
      <c r="B3725" s="33"/>
      <c r="C3725" s="31"/>
      <c r="D3725" s="31"/>
      <c r="E3725" s="31"/>
      <c r="F3725" s="405"/>
      <c r="G3725" s="75"/>
      <c r="H3725" s="31"/>
    </row>
    <row r="3726" spans="2:8" hidden="1">
      <c r="B3726" s="33"/>
      <c r="C3726" s="31"/>
      <c r="D3726" s="75"/>
      <c r="E3726" s="31"/>
      <c r="F3726" s="405"/>
      <c r="G3726" s="75"/>
      <c r="H3726" s="31"/>
    </row>
    <row r="3727" spans="2:8" hidden="1">
      <c r="B3727" s="33"/>
      <c r="C3727" s="31"/>
      <c r="D3727" s="31"/>
      <c r="E3727" s="31"/>
      <c r="F3727" s="691"/>
      <c r="G3727" s="732"/>
      <c r="H3727" s="31"/>
    </row>
    <row r="3728" spans="2:8" hidden="1">
      <c r="B3728" s="33"/>
      <c r="C3728" s="31"/>
      <c r="D3728" s="31"/>
      <c r="E3728" s="31"/>
      <c r="F3728" s="405"/>
      <c r="G3728" s="75"/>
      <c r="H3728" s="31"/>
    </row>
    <row r="3729" spans="2:8" hidden="1">
      <c r="B3729" s="33"/>
      <c r="C3729" s="31"/>
      <c r="D3729" s="31"/>
      <c r="E3729" s="31"/>
      <c r="F3729" s="31"/>
      <c r="G3729" s="31"/>
      <c r="H3729" s="31"/>
    </row>
    <row r="3730" spans="2:8" hidden="1">
      <c r="B3730" s="33"/>
      <c r="C3730" s="200"/>
      <c r="D3730" s="31"/>
      <c r="E3730" s="200"/>
      <c r="F3730" s="769"/>
      <c r="G3730" s="31"/>
      <c r="H3730" s="31"/>
    </row>
    <row r="3731" spans="2:8" hidden="1">
      <c r="B3731" s="76"/>
      <c r="C3731" s="31"/>
      <c r="D3731" s="31"/>
      <c r="E3731" s="31"/>
      <c r="F3731" s="732"/>
      <c r="G3731" s="31"/>
      <c r="H3731" s="31"/>
    </row>
    <row r="3732" spans="2:8" hidden="1">
      <c r="B3732" s="33"/>
      <c r="C3732" s="33"/>
      <c r="D3732" s="33"/>
      <c r="E3732" s="33"/>
      <c r="F3732" s="33"/>
      <c r="G3732" s="33"/>
      <c r="H3732" s="31"/>
    </row>
    <row r="3733" spans="2:8" hidden="1">
      <c r="B3733" s="33"/>
      <c r="C3733" s="31"/>
      <c r="D3733" s="33"/>
      <c r="E3733" s="33"/>
      <c r="F3733" s="33"/>
      <c r="G3733" s="33"/>
      <c r="H3733" s="31"/>
    </row>
    <row r="3734" spans="2:8" hidden="1">
      <c r="B3734" s="405"/>
      <c r="C3734" s="76"/>
      <c r="D3734" s="731"/>
      <c r="E3734" s="75"/>
      <c r="F3734" s="75"/>
      <c r="G3734" s="75"/>
      <c r="H3734" s="31"/>
    </row>
    <row r="3735" spans="2:8" hidden="1">
      <c r="B3735" s="405"/>
      <c r="C3735" s="76"/>
      <c r="D3735" s="731"/>
      <c r="E3735" s="75"/>
      <c r="F3735" s="75"/>
      <c r="G3735" s="75"/>
      <c r="H3735" s="31"/>
    </row>
    <row r="3736" spans="2:8" hidden="1">
      <c r="B3736" s="405"/>
      <c r="C3736" s="76"/>
      <c r="D3736" s="731"/>
      <c r="E3736" s="75"/>
      <c r="F3736" s="75"/>
      <c r="G3736" s="75"/>
      <c r="H3736" s="31"/>
    </row>
    <row r="3737" spans="2:8" hidden="1">
      <c r="B3737" s="405"/>
      <c r="C3737" s="76"/>
      <c r="D3737" s="731"/>
      <c r="E3737" s="75"/>
      <c r="F3737" s="75"/>
      <c r="G3737" s="75"/>
      <c r="H3737" s="31"/>
    </row>
    <row r="3738" spans="2:8" hidden="1">
      <c r="B3738" s="405"/>
      <c r="C3738" s="76"/>
      <c r="D3738" s="731"/>
      <c r="E3738" s="75"/>
      <c r="F3738" s="75"/>
      <c r="G3738" s="75"/>
      <c r="H3738" s="31"/>
    </row>
    <row r="3739" spans="2:8" hidden="1">
      <c r="B3739" s="405"/>
      <c r="C3739" s="76"/>
      <c r="D3739" s="731"/>
      <c r="E3739" s="75"/>
      <c r="F3739" s="75"/>
      <c r="G3739" s="75"/>
      <c r="H3739" s="31"/>
    </row>
    <row r="3740" spans="2:8" hidden="1">
      <c r="B3740" s="405"/>
      <c r="C3740" s="76"/>
      <c r="D3740" s="731"/>
      <c r="E3740" s="75"/>
      <c r="F3740" s="75"/>
      <c r="G3740" s="75"/>
      <c r="H3740" s="31"/>
    </row>
    <row r="3741" spans="2:8" hidden="1">
      <c r="B3741" s="405"/>
      <c r="C3741" s="76"/>
      <c r="D3741" s="731"/>
      <c r="E3741" s="75"/>
      <c r="F3741" s="75"/>
      <c r="G3741" s="75"/>
      <c r="H3741" s="31"/>
    </row>
    <row r="3742" spans="2:8" hidden="1">
      <c r="B3742" s="405"/>
      <c r="C3742" s="76"/>
      <c r="D3742" s="731"/>
      <c r="E3742" s="75"/>
      <c r="F3742" s="75"/>
      <c r="G3742" s="75"/>
      <c r="H3742" s="31"/>
    </row>
    <row r="3743" spans="2:8" hidden="1">
      <c r="B3743" s="405"/>
      <c r="C3743" s="76"/>
      <c r="D3743" s="731"/>
      <c r="E3743" s="75"/>
      <c r="F3743" s="75"/>
      <c r="G3743" s="75"/>
      <c r="H3743" s="31"/>
    </row>
    <row r="3744" spans="2:8" hidden="1">
      <c r="B3744" s="405"/>
      <c r="C3744" s="76"/>
      <c r="D3744" s="731"/>
      <c r="E3744" s="75"/>
      <c r="F3744" s="75"/>
      <c r="G3744" s="75"/>
      <c r="H3744" s="31"/>
    </row>
    <row r="3745" spans="2:8" hidden="1">
      <c r="B3745" s="405"/>
      <c r="C3745" s="76"/>
      <c r="D3745" s="731"/>
      <c r="E3745" s="75"/>
      <c r="F3745" s="75"/>
      <c r="G3745" s="75"/>
      <c r="H3745" s="31"/>
    </row>
    <row r="3746" spans="2:8" hidden="1">
      <c r="B3746" s="30"/>
      <c r="C3746" s="76"/>
      <c r="D3746" s="731"/>
      <c r="E3746" s="75"/>
      <c r="F3746" s="75"/>
      <c r="G3746" s="75"/>
      <c r="H3746" s="31"/>
    </row>
    <row r="3747" spans="2:8" hidden="1">
      <c r="B3747" s="30"/>
      <c r="C3747" s="76"/>
      <c r="D3747" s="731"/>
      <c r="E3747" s="75"/>
      <c r="F3747" s="75"/>
      <c r="G3747" s="75"/>
      <c r="H3747" s="31"/>
    </row>
    <row r="3748" spans="2:8" hidden="1">
      <c r="B3748" s="30"/>
      <c r="C3748" s="76"/>
      <c r="D3748" s="731"/>
      <c r="E3748" s="75"/>
      <c r="F3748" s="75"/>
      <c r="G3748" s="75"/>
      <c r="H3748" s="31"/>
    </row>
    <row r="3749" spans="2:8" hidden="1">
      <c r="B3749" s="30"/>
      <c r="C3749" s="76"/>
      <c r="D3749" s="731"/>
      <c r="E3749" s="75"/>
      <c r="F3749" s="75"/>
      <c r="G3749" s="75"/>
      <c r="H3749" s="31"/>
    </row>
    <row r="3750" spans="2:8" hidden="1">
      <c r="B3750" s="30"/>
      <c r="C3750" s="76"/>
      <c r="D3750" s="731"/>
      <c r="E3750" s="75"/>
      <c r="F3750" s="75"/>
      <c r="G3750" s="75"/>
      <c r="H3750" s="31"/>
    </row>
    <row r="3751" spans="2:8" hidden="1">
      <c r="B3751" s="33"/>
      <c r="C3751" s="31"/>
      <c r="D3751" s="31"/>
      <c r="E3751" s="200"/>
      <c r="F3751" s="200"/>
      <c r="G3751" s="75"/>
      <c r="H3751" s="31"/>
    </row>
    <row r="3752" spans="2:8" hidden="1">
      <c r="B3752" s="33"/>
      <c r="C3752" s="31"/>
      <c r="D3752" s="31"/>
      <c r="E3752" s="198"/>
      <c r="F3752" s="200"/>
      <c r="G3752" s="75"/>
      <c r="H3752" s="31"/>
    </row>
    <row r="3753" spans="2:8" hidden="1">
      <c r="B3753" s="33"/>
      <c r="C3753" s="31"/>
      <c r="D3753" s="31"/>
      <c r="E3753" s="198"/>
      <c r="F3753" s="200"/>
      <c r="G3753" s="75"/>
      <c r="H3753" s="31"/>
    </row>
    <row r="3754" spans="2:8" hidden="1">
      <c r="B3754" s="33"/>
      <c r="C3754" s="31"/>
      <c r="D3754" s="31"/>
      <c r="E3754" s="198"/>
      <c r="F3754" s="200"/>
      <c r="G3754" s="75"/>
      <c r="H3754" s="31"/>
    </row>
    <row r="3755" spans="2:8" hidden="1">
      <c r="B3755" s="33"/>
      <c r="C3755" s="200"/>
      <c r="D3755" s="30"/>
      <c r="E3755" s="30"/>
      <c r="F3755" s="200"/>
      <c r="G3755" s="75"/>
      <c r="H3755" s="31"/>
    </row>
    <row r="3756" spans="2:8" hidden="1">
      <c r="B3756" s="33"/>
      <c r="C3756" s="31"/>
      <c r="D3756" s="31"/>
      <c r="E3756" s="31"/>
      <c r="F3756" s="31"/>
      <c r="G3756" s="31"/>
      <c r="H3756" s="31"/>
    </row>
    <row r="3757" spans="2:8" hidden="1">
      <c r="B3757" s="76"/>
      <c r="C3757" s="31"/>
      <c r="D3757" s="31"/>
      <c r="E3757" s="31"/>
      <c r="F3757" s="31"/>
      <c r="G3757" s="31"/>
      <c r="H3757" s="31"/>
    </row>
    <row r="3758" spans="2:8" hidden="1">
      <c r="B3758" s="33"/>
      <c r="C3758" s="33"/>
      <c r="D3758" s="33"/>
      <c r="E3758" s="33"/>
      <c r="F3758" s="33"/>
      <c r="G3758" s="33"/>
      <c r="H3758" s="31"/>
    </row>
    <row r="3759" spans="2:8" hidden="1">
      <c r="B3759" s="33"/>
      <c r="C3759" s="31"/>
      <c r="D3759" s="33"/>
      <c r="E3759" s="33"/>
      <c r="F3759" s="33"/>
      <c r="G3759" s="33"/>
      <c r="H3759" s="31"/>
    </row>
    <row r="3760" spans="2:8" hidden="1">
      <c r="B3760" s="405"/>
      <c r="C3760" s="76"/>
      <c r="D3760" s="731"/>
      <c r="E3760" s="75"/>
      <c r="F3760" s="75"/>
      <c r="G3760" s="75"/>
      <c r="H3760" s="31"/>
    </row>
    <row r="3761" spans="2:8" hidden="1">
      <c r="B3761" s="405"/>
      <c r="C3761" s="76"/>
      <c r="D3761" s="731"/>
      <c r="E3761" s="75"/>
      <c r="F3761" s="75"/>
      <c r="G3761" s="75"/>
      <c r="H3761" s="31"/>
    </row>
    <row r="3762" spans="2:8" hidden="1">
      <c r="B3762" s="405"/>
      <c r="C3762" s="76"/>
      <c r="D3762" s="731"/>
      <c r="E3762" s="75"/>
      <c r="F3762" s="75"/>
      <c r="G3762" s="75"/>
      <c r="H3762" s="31"/>
    </row>
    <row r="3763" spans="2:8" hidden="1">
      <c r="B3763" s="405"/>
      <c r="C3763" s="76"/>
      <c r="D3763" s="731"/>
      <c r="E3763" s="75"/>
      <c r="F3763" s="75"/>
      <c r="G3763" s="75"/>
      <c r="H3763" s="31"/>
    </row>
    <row r="3764" spans="2:8" hidden="1">
      <c r="B3764" s="405"/>
      <c r="C3764" s="76"/>
      <c r="D3764" s="731"/>
      <c r="E3764" s="75"/>
      <c r="F3764" s="75"/>
      <c r="G3764" s="75"/>
      <c r="H3764" s="31"/>
    </row>
    <row r="3765" spans="2:8" hidden="1">
      <c r="B3765" s="405"/>
      <c r="C3765" s="76"/>
      <c r="D3765" s="731"/>
      <c r="E3765" s="75"/>
      <c r="F3765" s="75"/>
      <c r="G3765" s="75"/>
      <c r="H3765" s="31"/>
    </row>
    <row r="3766" spans="2:8" hidden="1">
      <c r="B3766" s="405"/>
      <c r="C3766" s="76"/>
      <c r="D3766" s="731"/>
      <c r="E3766" s="75"/>
      <c r="F3766" s="75"/>
      <c r="G3766" s="75"/>
      <c r="H3766" s="31"/>
    </row>
    <row r="3767" spans="2:8" hidden="1">
      <c r="B3767" s="405"/>
      <c r="C3767" s="76"/>
      <c r="D3767" s="731"/>
      <c r="E3767" s="75"/>
      <c r="F3767" s="75"/>
      <c r="G3767" s="75"/>
      <c r="H3767" s="31"/>
    </row>
    <row r="3768" spans="2:8" hidden="1">
      <c r="B3768" s="405"/>
      <c r="C3768" s="76"/>
      <c r="D3768" s="731"/>
      <c r="E3768" s="75"/>
      <c r="F3768" s="75"/>
      <c r="G3768" s="75"/>
      <c r="H3768" s="31"/>
    </row>
    <row r="3769" spans="2:8" hidden="1">
      <c r="B3769" s="405"/>
      <c r="C3769" s="76"/>
      <c r="D3769" s="731"/>
      <c r="E3769" s="75"/>
      <c r="F3769" s="75"/>
      <c r="G3769" s="75"/>
      <c r="H3769" s="31"/>
    </row>
    <row r="3770" spans="2:8" hidden="1">
      <c r="B3770" s="405"/>
      <c r="C3770" s="76"/>
      <c r="D3770" s="731"/>
      <c r="E3770" s="75"/>
      <c r="F3770" s="75"/>
      <c r="G3770" s="75"/>
      <c r="H3770" s="31"/>
    </row>
    <row r="3771" spans="2:8" hidden="1">
      <c r="B3771" s="405"/>
      <c r="C3771" s="76"/>
      <c r="D3771" s="731"/>
      <c r="E3771" s="75"/>
      <c r="F3771" s="75"/>
      <c r="G3771" s="75"/>
      <c r="H3771" s="31"/>
    </row>
    <row r="3772" spans="2:8" hidden="1">
      <c r="B3772" s="405"/>
      <c r="C3772" s="76"/>
      <c r="D3772" s="731"/>
      <c r="E3772" s="75"/>
      <c r="F3772" s="75"/>
      <c r="G3772" s="75"/>
      <c r="H3772" s="31"/>
    </row>
    <row r="3773" spans="2:8" hidden="1">
      <c r="B3773" s="33"/>
      <c r="C3773" s="31"/>
      <c r="D3773" s="31"/>
      <c r="E3773" s="200"/>
      <c r="F3773" s="200"/>
      <c r="G3773" s="75"/>
      <c r="H3773" s="31"/>
    </row>
    <row r="3774" spans="2:8" hidden="1">
      <c r="B3774" s="33"/>
      <c r="C3774" s="31"/>
      <c r="D3774" s="31"/>
      <c r="E3774" s="198"/>
      <c r="F3774" s="200"/>
      <c r="G3774" s="75"/>
      <c r="H3774" s="31"/>
    </row>
    <row r="3775" spans="2:8" hidden="1">
      <c r="B3775" s="33"/>
      <c r="C3775" s="31"/>
      <c r="D3775" s="31"/>
      <c r="E3775" s="198"/>
      <c r="F3775" s="200"/>
      <c r="G3775" s="75"/>
      <c r="H3775" s="31"/>
    </row>
    <row r="3776" spans="2:8" hidden="1">
      <c r="B3776" s="33"/>
      <c r="C3776" s="31"/>
      <c r="D3776" s="31"/>
      <c r="E3776" s="198"/>
      <c r="F3776" s="200"/>
      <c r="G3776" s="75"/>
      <c r="H3776" s="31"/>
    </row>
    <row r="3777" spans="2:8" hidden="1">
      <c r="B3777" s="33"/>
      <c r="C3777" s="30"/>
      <c r="D3777" s="30"/>
      <c r="E3777" s="30"/>
      <c r="F3777" s="200"/>
      <c r="G3777" s="75"/>
      <c r="H3777" s="31"/>
    </row>
    <row r="3778" spans="2:8" hidden="1">
      <c r="B3778" s="33"/>
      <c r="C3778" s="31"/>
      <c r="D3778" s="31"/>
      <c r="E3778" s="31"/>
      <c r="F3778" s="31"/>
      <c r="G3778" s="31"/>
      <c r="H3778" s="31"/>
    </row>
    <row r="3779" spans="2:8" hidden="1">
      <c r="B3779" s="76"/>
      <c r="C3779" s="31"/>
      <c r="D3779" s="31"/>
      <c r="E3779" s="31"/>
      <c r="F3779" s="31"/>
      <c r="G3779" s="31"/>
      <c r="H3779" s="31"/>
    </row>
    <row r="3780" spans="2:8" hidden="1">
      <c r="B3780" s="33"/>
      <c r="C3780" s="33"/>
      <c r="D3780" s="33"/>
      <c r="E3780" s="33"/>
      <c r="F3780" s="33"/>
      <c r="G3780" s="33"/>
      <c r="H3780" s="31"/>
    </row>
    <row r="3781" spans="2:8" hidden="1">
      <c r="B3781" s="33"/>
      <c r="C3781" s="31"/>
      <c r="D3781" s="33"/>
      <c r="E3781" s="33"/>
      <c r="F3781" s="33"/>
      <c r="G3781" s="33"/>
      <c r="H3781" s="31"/>
    </row>
    <row r="3782" spans="2:8" hidden="1">
      <c r="B3782" s="405"/>
      <c r="C3782" s="76"/>
      <c r="D3782" s="731"/>
      <c r="E3782" s="75"/>
      <c r="F3782" s="75"/>
      <c r="G3782" s="75"/>
      <c r="H3782" s="31"/>
    </row>
    <row r="3783" spans="2:8" hidden="1">
      <c r="B3783" s="405"/>
      <c r="C3783" s="76"/>
      <c r="D3783" s="731"/>
      <c r="E3783" s="75"/>
      <c r="F3783" s="75"/>
      <c r="G3783" s="75"/>
      <c r="H3783" s="31"/>
    </row>
    <row r="3784" spans="2:8" hidden="1">
      <c r="B3784" s="405"/>
      <c r="C3784" s="76"/>
      <c r="D3784" s="731"/>
      <c r="E3784" s="75"/>
      <c r="F3784" s="75"/>
      <c r="G3784" s="75"/>
      <c r="H3784" s="31"/>
    </row>
    <row r="3785" spans="2:8" hidden="1">
      <c r="B3785" s="405"/>
      <c r="C3785" s="76"/>
      <c r="D3785" s="731"/>
      <c r="E3785" s="75"/>
      <c r="F3785" s="75"/>
      <c r="G3785" s="75"/>
      <c r="H3785" s="31"/>
    </row>
    <row r="3786" spans="2:8" hidden="1">
      <c r="B3786" s="405"/>
      <c r="C3786" s="76"/>
      <c r="D3786" s="731"/>
      <c r="E3786" s="75"/>
      <c r="F3786" s="75"/>
      <c r="G3786" s="75"/>
      <c r="H3786" s="31"/>
    </row>
    <row r="3787" spans="2:8" hidden="1">
      <c r="B3787" s="405"/>
      <c r="C3787" s="76"/>
      <c r="D3787" s="731"/>
      <c r="E3787" s="75"/>
      <c r="F3787" s="75"/>
      <c r="G3787" s="75"/>
      <c r="H3787" s="31"/>
    </row>
    <row r="3788" spans="2:8" hidden="1">
      <c r="B3788" s="405"/>
      <c r="C3788" s="76"/>
      <c r="D3788" s="731"/>
      <c r="E3788" s="75"/>
      <c r="F3788" s="75"/>
      <c r="G3788" s="75"/>
      <c r="H3788" s="31"/>
    </row>
    <row r="3789" spans="2:8" hidden="1">
      <c r="B3789" s="405"/>
      <c r="C3789" s="76"/>
      <c r="D3789" s="731"/>
      <c r="E3789" s="75"/>
      <c r="F3789" s="75"/>
      <c r="G3789" s="75"/>
      <c r="H3789" s="31"/>
    </row>
    <row r="3790" spans="2:8" hidden="1">
      <c r="B3790" s="405"/>
      <c r="C3790" s="76"/>
      <c r="D3790" s="731"/>
      <c r="E3790" s="75"/>
      <c r="F3790" s="75"/>
      <c r="G3790" s="75"/>
      <c r="H3790" s="31"/>
    </row>
    <row r="3791" spans="2:8" hidden="1">
      <c r="B3791" s="30"/>
      <c r="C3791" s="76"/>
      <c r="D3791" s="731"/>
      <c r="E3791" s="75"/>
      <c r="F3791" s="75"/>
      <c r="G3791" s="75"/>
      <c r="H3791" s="31"/>
    </row>
    <row r="3792" spans="2:8" hidden="1">
      <c r="B3792" s="30"/>
      <c r="C3792" s="76"/>
      <c r="D3792" s="731"/>
      <c r="E3792" s="75"/>
      <c r="F3792" s="75"/>
      <c r="G3792" s="75"/>
      <c r="H3792" s="31"/>
    </row>
    <row r="3793" spans="2:8" hidden="1">
      <c r="B3793" s="33"/>
      <c r="C3793" s="31"/>
      <c r="D3793" s="31"/>
      <c r="E3793" s="200"/>
      <c r="F3793" s="200"/>
      <c r="G3793" s="75"/>
      <c r="H3793" s="31"/>
    </row>
    <row r="3794" spans="2:8" hidden="1">
      <c r="B3794" s="33"/>
      <c r="C3794" s="31"/>
      <c r="D3794" s="31"/>
      <c r="E3794" s="198"/>
      <c r="F3794" s="200"/>
      <c r="G3794" s="75"/>
      <c r="H3794" s="31"/>
    </row>
    <row r="3795" spans="2:8" hidden="1">
      <c r="B3795" s="33"/>
      <c r="C3795" s="31"/>
      <c r="D3795" s="31"/>
      <c r="E3795" s="198"/>
      <c r="F3795" s="200"/>
      <c r="G3795" s="75"/>
      <c r="H3795" s="31"/>
    </row>
    <row r="3796" spans="2:8" hidden="1">
      <c r="B3796" s="33"/>
      <c r="C3796" s="31"/>
      <c r="D3796" s="31"/>
      <c r="E3796" s="198"/>
      <c r="F3796" s="200"/>
      <c r="G3796" s="75"/>
      <c r="H3796" s="31"/>
    </row>
    <row r="3797" spans="2:8" hidden="1">
      <c r="B3797" s="33"/>
      <c r="C3797" s="31"/>
      <c r="D3797" s="31"/>
      <c r="E3797" s="198"/>
      <c r="F3797" s="200"/>
      <c r="G3797" s="75"/>
      <c r="H3797" s="31"/>
    </row>
    <row r="3798" spans="2:8" hidden="1">
      <c r="B3798" s="33"/>
      <c r="C3798" s="31"/>
      <c r="D3798" s="31"/>
      <c r="E3798" s="198"/>
      <c r="F3798" s="200"/>
      <c r="G3798" s="75"/>
      <c r="H3798" s="31"/>
    </row>
    <row r="3799" spans="2:8" hidden="1">
      <c r="B3799" s="33"/>
      <c r="C3799" s="200"/>
      <c r="D3799" s="30"/>
      <c r="E3799" s="30"/>
      <c r="F3799" s="200"/>
      <c r="G3799" s="75"/>
      <c r="H3799" s="31"/>
    </row>
    <row r="3800" spans="2:8" hidden="1">
      <c r="B3800" s="33"/>
      <c r="C3800" s="31"/>
      <c r="D3800" s="31"/>
      <c r="E3800" s="31"/>
      <c r="F3800" s="31"/>
      <c r="G3800" s="31"/>
      <c r="H3800" s="31"/>
    </row>
    <row r="3801" spans="2:8" hidden="1">
      <c r="B3801" s="33"/>
      <c r="C3801" s="31"/>
      <c r="D3801" s="31"/>
      <c r="E3801" s="31"/>
      <c r="F3801" s="31"/>
      <c r="G3801" s="31"/>
      <c r="H3801" s="31"/>
    </row>
    <row r="3802" spans="2:8" hidden="1">
      <c r="B3802" s="33"/>
      <c r="C3802" s="31"/>
      <c r="D3802" s="31"/>
      <c r="E3802" s="31"/>
      <c r="F3802" s="200"/>
      <c r="G3802" s="75"/>
      <c r="H3802" s="31"/>
    </row>
    <row r="3803" spans="2:8" hidden="1">
      <c r="B3803" s="33"/>
      <c r="C3803" s="31"/>
      <c r="D3803" s="31"/>
      <c r="E3803" s="31"/>
      <c r="F3803" s="200"/>
      <c r="G3803" s="75"/>
      <c r="H3803" s="31"/>
    </row>
    <row r="3804" spans="2:8" hidden="1">
      <c r="B3804" s="33"/>
      <c r="C3804" s="31"/>
      <c r="D3804" s="31"/>
      <c r="E3804" s="31"/>
      <c r="F3804" s="200"/>
      <c r="G3804" s="75"/>
      <c r="H3804" s="31"/>
    </row>
    <row r="3805" spans="2:8" hidden="1">
      <c r="B3805" s="33"/>
      <c r="C3805" s="31"/>
      <c r="D3805" s="31"/>
      <c r="E3805" s="200"/>
      <c r="F3805" s="200"/>
      <c r="G3805" s="75"/>
      <c r="H3805" s="31"/>
    </row>
    <row r="3806" spans="2:8" hidden="1">
      <c r="B3806" s="33"/>
      <c r="C3806" s="31"/>
      <c r="D3806" s="31"/>
      <c r="E3806" s="301"/>
      <c r="F3806" s="200"/>
      <c r="G3806" s="75"/>
      <c r="H3806" s="31"/>
    </row>
    <row r="3807" spans="2:8" hidden="1">
      <c r="B3807" s="33"/>
      <c r="C3807" s="31"/>
      <c r="D3807" s="31"/>
      <c r="E3807" s="767"/>
      <c r="F3807" s="200"/>
      <c r="G3807" s="75"/>
      <c r="H3807" s="31"/>
    </row>
    <row r="3808" spans="2:8" hidden="1">
      <c r="B3808" s="33"/>
      <c r="C3808" s="31"/>
      <c r="D3808" s="31"/>
      <c r="E3808" s="767"/>
      <c r="F3808" s="200"/>
      <c r="G3808" s="75"/>
      <c r="H3808" s="31"/>
    </row>
    <row r="3809" spans="2:8" hidden="1">
      <c r="B3809" s="33"/>
      <c r="C3809" s="31"/>
      <c r="D3809" s="31"/>
      <c r="E3809" s="767"/>
      <c r="F3809" s="200"/>
      <c r="G3809" s="75"/>
      <c r="H3809" s="31"/>
    </row>
    <row r="3810" spans="2:8" hidden="1">
      <c r="B3810" s="33"/>
      <c r="C3810" s="31"/>
      <c r="D3810" s="31"/>
      <c r="E3810" s="767"/>
      <c r="F3810" s="200"/>
      <c r="G3810" s="75"/>
      <c r="H3810" s="31"/>
    </row>
    <row r="3811" spans="2:8" hidden="1">
      <c r="B3811" s="33"/>
      <c r="C3811" s="31"/>
      <c r="D3811" s="75"/>
      <c r="E3811" s="767"/>
      <c r="F3811" s="200"/>
      <c r="G3811" s="75"/>
      <c r="H3811" s="31"/>
    </row>
    <row r="3812" spans="2:8" hidden="1">
      <c r="B3812" s="33"/>
      <c r="C3812" s="31"/>
      <c r="D3812" s="31"/>
      <c r="E3812" s="767"/>
      <c r="F3812" s="200"/>
      <c r="G3812" s="75"/>
      <c r="H3812" s="31"/>
    </row>
    <row r="3813" spans="2:8" hidden="1">
      <c r="B3813" s="33"/>
      <c r="C3813" s="31"/>
      <c r="D3813" s="31"/>
      <c r="E3813" s="200"/>
      <c r="F3813" s="200"/>
      <c r="G3813" s="75"/>
      <c r="H3813" s="31"/>
    </row>
    <row r="3814" spans="2:8" hidden="1">
      <c r="B3814" s="33"/>
      <c r="C3814" s="31"/>
      <c r="D3814" s="31"/>
      <c r="E3814" s="200"/>
      <c r="F3814" s="200"/>
      <c r="G3814" s="31"/>
      <c r="H3814" s="31"/>
    </row>
    <row r="3815" spans="2:8" hidden="1">
      <c r="B3815" s="33"/>
      <c r="C3815" s="31"/>
      <c r="D3815" s="75"/>
      <c r="E3815" s="76"/>
      <c r="F3815" s="200"/>
      <c r="G3815" s="75"/>
      <c r="H3815" s="31"/>
    </row>
    <row r="3816" spans="2:8" hidden="1">
      <c r="B3816" s="33"/>
      <c r="C3816" s="31"/>
      <c r="D3816" s="198"/>
      <c r="E3816" s="198"/>
      <c r="F3816" s="200"/>
      <c r="G3816" s="75"/>
      <c r="H3816" s="31"/>
    </row>
    <row r="3817" spans="2:8" hidden="1">
      <c r="B3817" s="33"/>
      <c r="C3817" s="31"/>
      <c r="D3817" s="768"/>
      <c r="E3817" s="31"/>
      <c r="F3817" s="200"/>
      <c r="G3817" s="75"/>
      <c r="H3817" s="31"/>
    </row>
    <row r="3818" spans="2:8" hidden="1">
      <c r="B3818" s="33"/>
      <c r="C3818" s="31"/>
      <c r="D3818" s="200"/>
      <c r="E3818" s="31"/>
      <c r="F3818" s="200"/>
      <c r="G3818" s="75"/>
      <c r="H3818" s="31"/>
    </row>
    <row r="3819" spans="2:8" hidden="1">
      <c r="B3819" s="33"/>
      <c r="C3819" s="31"/>
      <c r="D3819" s="31"/>
      <c r="E3819" s="31"/>
      <c r="F3819" s="31"/>
      <c r="G3819" s="31"/>
      <c r="H3819" s="31"/>
    </row>
    <row r="3820" spans="2:8" hidden="1">
      <c r="B3820" s="33"/>
      <c r="C3820" s="31"/>
      <c r="D3820" s="31"/>
      <c r="E3820" s="31"/>
      <c r="F3820" s="31"/>
      <c r="G3820" s="31"/>
      <c r="H3820" s="31"/>
    </row>
    <row r="3821" spans="2:8" hidden="1">
      <c r="B3821" s="33"/>
      <c r="C3821" s="31"/>
      <c r="D3821" s="33"/>
      <c r="E3821" s="31"/>
      <c r="F3821" s="200"/>
      <c r="G3821" s="76"/>
      <c r="H3821" s="31"/>
    </row>
    <row r="3822" spans="2:8" hidden="1">
      <c r="B3822" s="33"/>
      <c r="C3822" s="31"/>
      <c r="D3822" s="31"/>
      <c r="E3822" s="31"/>
      <c r="F3822" s="31"/>
      <c r="G3822" s="31"/>
      <c r="H3822" s="31"/>
    </row>
    <row r="3823" spans="2:8" hidden="1">
      <c r="B3823" s="33"/>
      <c r="C3823" s="31"/>
      <c r="D3823" s="31"/>
      <c r="E3823" s="31"/>
      <c r="F3823" s="31"/>
      <c r="G3823" s="31"/>
      <c r="H3823" s="31"/>
    </row>
    <row r="3824" spans="2:8" hidden="1">
      <c r="B3824" s="33"/>
      <c r="C3824" s="31"/>
      <c r="D3824" s="31"/>
      <c r="E3824" s="31"/>
      <c r="F3824" s="31"/>
      <c r="G3824" s="31"/>
      <c r="H3824" s="31"/>
    </row>
    <row r="3825" spans="2:8" hidden="1">
      <c r="B3825" s="33"/>
      <c r="C3825" s="31"/>
      <c r="D3825" s="31"/>
      <c r="E3825" s="31"/>
      <c r="F3825" s="31"/>
      <c r="G3825" s="31"/>
      <c r="H3825" s="31"/>
    </row>
    <row r="3826" spans="2:8" hidden="1">
      <c r="B3826" s="33"/>
      <c r="C3826" s="31"/>
      <c r="D3826" s="31"/>
      <c r="E3826" s="31"/>
      <c r="F3826" s="31"/>
      <c r="G3826" s="31"/>
      <c r="H3826" s="31"/>
    </row>
    <row r="3827" spans="2:8" hidden="1">
      <c r="B3827" s="33"/>
      <c r="C3827" s="31"/>
      <c r="D3827" s="31"/>
      <c r="E3827" s="31"/>
      <c r="F3827" s="31"/>
      <c r="G3827" s="31"/>
      <c r="H3827" s="31"/>
    </row>
    <row r="3828" spans="2:8" hidden="1">
      <c r="B3828" s="33"/>
      <c r="C3828" s="31"/>
      <c r="D3828" s="31"/>
      <c r="E3828" s="31"/>
      <c r="F3828" s="31"/>
      <c r="G3828" s="31"/>
      <c r="H3828" s="31"/>
    </row>
    <row r="3829" spans="2:8" hidden="1">
      <c r="B3829" s="33"/>
      <c r="C3829" s="31"/>
      <c r="D3829" s="31"/>
      <c r="E3829" s="31"/>
      <c r="F3829" s="31"/>
      <c r="G3829" s="31"/>
      <c r="H3829" s="31"/>
    </row>
    <row r="3830" spans="2:8" hidden="1">
      <c r="B3830" s="33"/>
      <c r="C3830" s="31"/>
      <c r="D3830" s="31"/>
      <c r="E3830" s="31"/>
      <c r="F3830" s="31"/>
      <c r="G3830" s="31"/>
      <c r="H3830" s="31"/>
    </row>
    <row r="3831" spans="2:8" hidden="1">
      <c r="B3831" s="33"/>
      <c r="C3831" s="31"/>
      <c r="D3831" s="31"/>
      <c r="E3831" s="31"/>
      <c r="F3831" s="31"/>
      <c r="G3831" s="31"/>
      <c r="H3831" s="31"/>
    </row>
    <row r="3832" spans="2:8" hidden="1">
      <c r="B3832" s="33"/>
      <c r="C3832" s="31"/>
      <c r="D3832" s="31"/>
      <c r="E3832" s="31"/>
      <c r="F3832" s="31"/>
      <c r="G3832" s="31"/>
      <c r="H3832" s="31"/>
    </row>
    <row r="3833" spans="2:8" hidden="1">
      <c r="B3833" s="33"/>
      <c r="C3833" s="31"/>
      <c r="D3833" s="31"/>
      <c r="E3833" s="31"/>
      <c r="F3833" s="31"/>
      <c r="G3833" s="31"/>
      <c r="H3833" s="31"/>
    </row>
    <row r="3834" spans="2:8" hidden="1">
      <c r="B3834" s="33"/>
      <c r="C3834" s="31"/>
      <c r="D3834" s="31"/>
      <c r="E3834" s="31"/>
      <c r="F3834" s="31"/>
      <c r="G3834" s="31"/>
      <c r="H3834" s="31"/>
    </row>
    <row r="3835" spans="2:8" hidden="1">
      <c r="B3835" s="33"/>
      <c r="C3835" s="31"/>
      <c r="D3835" s="31"/>
      <c r="E3835" s="31"/>
      <c r="F3835" s="31"/>
      <c r="G3835" s="31"/>
      <c r="H3835" s="31"/>
    </row>
    <row r="3836" spans="2:8" hidden="1">
      <c r="B3836" s="33"/>
      <c r="C3836" s="31"/>
      <c r="D3836" s="31"/>
      <c r="E3836" s="31"/>
      <c r="F3836" s="31"/>
      <c r="G3836" s="31"/>
      <c r="H3836" s="31"/>
    </row>
    <row r="3837" spans="2:8" hidden="1">
      <c r="B3837" s="33"/>
      <c r="C3837" s="31"/>
      <c r="D3837" s="31"/>
      <c r="E3837" s="31"/>
      <c r="F3837" s="31"/>
      <c r="G3837" s="31"/>
      <c r="H3837" s="31"/>
    </row>
    <row r="3838" spans="2:8" hidden="1">
      <c r="B3838" s="33"/>
      <c r="C3838" s="31"/>
      <c r="D3838" s="31"/>
      <c r="E3838" s="31"/>
      <c r="F3838" s="31"/>
      <c r="G3838" s="31"/>
      <c r="H3838" s="31"/>
    </row>
    <row r="3839" spans="2:8" hidden="1">
      <c r="B3839" s="33"/>
      <c r="C3839" s="31"/>
      <c r="D3839" s="31"/>
      <c r="E3839" s="31"/>
      <c r="F3839" s="31"/>
      <c r="G3839" s="31"/>
      <c r="H3839" s="31"/>
    </row>
    <row r="3840" spans="2:8" hidden="1">
      <c r="B3840" s="33"/>
      <c r="C3840" s="31"/>
      <c r="D3840" s="31"/>
      <c r="E3840" s="31"/>
      <c r="F3840" s="31"/>
      <c r="G3840" s="31"/>
      <c r="H3840" s="31"/>
    </row>
    <row r="3841" spans="2:8" hidden="1">
      <c r="B3841" s="33"/>
      <c r="C3841" s="31"/>
      <c r="D3841" s="31"/>
      <c r="E3841" s="31"/>
      <c r="F3841" s="31"/>
      <c r="G3841" s="31"/>
      <c r="H3841" s="31"/>
    </row>
    <row r="3842" spans="2:8" hidden="1">
      <c r="B3842" s="33"/>
      <c r="C3842" s="31"/>
      <c r="D3842" s="31"/>
      <c r="E3842" s="31"/>
      <c r="F3842" s="31"/>
      <c r="G3842" s="31"/>
      <c r="H3842" s="31"/>
    </row>
    <row r="3843" spans="2:8" hidden="1">
      <c r="B3843" s="33"/>
      <c r="C3843" s="31"/>
      <c r="D3843" s="31"/>
      <c r="E3843" s="31"/>
      <c r="F3843" s="691"/>
      <c r="G3843" s="31"/>
      <c r="H3843" s="31"/>
    </row>
    <row r="3844" spans="2:8" hidden="1">
      <c r="B3844" s="33"/>
      <c r="C3844" s="31"/>
      <c r="D3844" s="31"/>
      <c r="E3844" s="31"/>
      <c r="F3844" s="691"/>
      <c r="G3844" s="31"/>
      <c r="H3844" s="31"/>
    </row>
    <row r="3845" spans="2:8" hidden="1">
      <c r="B3845" s="33"/>
      <c r="C3845" s="31"/>
      <c r="D3845" s="691"/>
      <c r="E3845" s="31"/>
      <c r="F3845" s="691"/>
      <c r="G3845" s="31"/>
      <c r="H3845" s="31"/>
    </row>
    <row r="3846" spans="2:8" hidden="1">
      <c r="B3846" s="33"/>
      <c r="C3846" s="31"/>
      <c r="D3846" s="31"/>
      <c r="E3846" s="31"/>
      <c r="F3846" s="691"/>
      <c r="G3846" s="31"/>
      <c r="H3846" s="31"/>
    </row>
    <row r="3847" spans="2:8" hidden="1">
      <c r="B3847" s="33"/>
      <c r="C3847" s="31"/>
      <c r="D3847" s="31"/>
      <c r="E3847" s="31"/>
      <c r="F3847" s="691"/>
      <c r="G3847" s="31"/>
      <c r="H3847" s="31"/>
    </row>
    <row r="3848" spans="2:8" hidden="1">
      <c r="B3848" s="33"/>
      <c r="C3848" s="31"/>
      <c r="D3848" s="31"/>
      <c r="E3848" s="31"/>
      <c r="F3848" s="731"/>
      <c r="G3848" s="768"/>
      <c r="H3848" s="31"/>
    </row>
    <row r="3849" spans="2:8" hidden="1">
      <c r="B3849" s="33"/>
      <c r="C3849" s="31"/>
      <c r="D3849" s="31"/>
      <c r="E3849" s="31"/>
      <c r="F3849" s="31"/>
      <c r="G3849" s="31"/>
      <c r="H3849" s="31"/>
    </row>
    <row r="3850" spans="2:8" hidden="1">
      <c r="B3850" s="33"/>
      <c r="C3850" s="31"/>
      <c r="D3850" s="31"/>
      <c r="E3850" s="31"/>
      <c r="F3850" s="31"/>
      <c r="G3850" s="31"/>
      <c r="H3850" s="31"/>
    </row>
    <row r="3851" spans="2:8" hidden="1">
      <c r="B3851" s="33"/>
      <c r="C3851" s="31"/>
      <c r="D3851" s="31"/>
      <c r="E3851" s="31"/>
      <c r="F3851" s="691"/>
      <c r="G3851" s="75"/>
      <c r="H3851" s="31"/>
    </row>
    <row r="3852" spans="2:8" hidden="1">
      <c r="B3852" s="33"/>
      <c r="C3852" s="31"/>
      <c r="D3852" s="31"/>
      <c r="E3852" s="31"/>
      <c r="F3852" s="691"/>
      <c r="G3852" s="31"/>
      <c r="H3852" s="31"/>
    </row>
    <row r="3853" spans="2:8" hidden="1">
      <c r="B3853" s="33"/>
      <c r="C3853" s="31"/>
      <c r="D3853" s="31"/>
      <c r="E3853" s="31"/>
      <c r="F3853" s="691"/>
      <c r="G3853" s="31"/>
      <c r="H3853" s="31"/>
    </row>
    <row r="3854" spans="2:8" hidden="1">
      <c r="B3854" s="33"/>
      <c r="C3854" s="31"/>
      <c r="D3854" s="31"/>
      <c r="E3854" s="31"/>
      <c r="F3854" s="691"/>
      <c r="G3854" s="31"/>
      <c r="H3854" s="31"/>
    </row>
    <row r="3855" spans="2:8" hidden="1">
      <c r="B3855" s="200"/>
      <c r="C3855" s="31"/>
      <c r="D3855" s="31"/>
      <c r="E3855" s="31"/>
      <c r="F3855" s="691"/>
      <c r="G3855" s="31"/>
      <c r="H3855" s="31"/>
    </row>
    <row r="3856" spans="2:8" hidden="1">
      <c r="B3856" s="200"/>
      <c r="C3856" s="31"/>
      <c r="D3856" s="31"/>
      <c r="E3856" s="31"/>
      <c r="F3856" s="691"/>
      <c r="G3856" s="31"/>
      <c r="H3856" s="31"/>
    </row>
    <row r="3857" spans="2:8" hidden="1">
      <c r="B3857" s="200"/>
      <c r="C3857" s="31"/>
      <c r="D3857" s="31"/>
      <c r="E3857" s="31"/>
      <c r="F3857" s="691"/>
      <c r="G3857" s="31"/>
      <c r="H3857" s="31"/>
    </row>
    <row r="3858" spans="2:8" hidden="1">
      <c r="B3858" s="200"/>
      <c r="C3858" s="31"/>
      <c r="D3858" s="31"/>
      <c r="E3858" s="31"/>
      <c r="F3858" s="691"/>
      <c r="G3858" s="31"/>
      <c r="H3858" s="31"/>
    </row>
    <row r="3859" spans="2:8" hidden="1">
      <c r="B3859" s="200"/>
      <c r="C3859" s="31"/>
      <c r="D3859" s="31"/>
      <c r="E3859" s="31"/>
      <c r="F3859" s="691"/>
      <c r="G3859" s="31"/>
      <c r="H3859" s="31"/>
    </row>
    <row r="3860" spans="2:8" hidden="1">
      <c r="B3860" s="200"/>
      <c r="C3860" s="31"/>
      <c r="D3860" s="31"/>
      <c r="E3860" s="31"/>
      <c r="F3860" s="691"/>
      <c r="G3860" s="31"/>
      <c r="H3860" s="31"/>
    </row>
    <row r="3861" spans="2:8" hidden="1">
      <c r="B3861" s="200"/>
      <c r="C3861" s="31"/>
      <c r="D3861" s="31"/>
      <c r="E3861" s="31"/>
      <c r="F3861" s="691"/>
      <c r="G3861" s="31"/>
      <c r="H3861" s="31"/>
    </row>
    <row r="3862" spans="2:8" hidden="1">
      <c r="B3862" s="200"/>
      <c r="C3862" s="31"/>
      <c r="D3862" s="31"/>
      <c r="E3862" s="31"/>
      <c r="F3862" s="691"/>
      <c r="G3862" s="31"/>
      <c r="H3862" s="31"/>
    </row>
    <row r="3863" spans="2:8" hidden="1">
      <c r="B3863" s="200"/>
      <c r="C3863" s="31"/>
      <c r="D3863" s="31"/>
      <c r="E3863" s="31"/>
      <c r="F3863" s="691"/>
      <c r="G3863" s="31"/>
      <c r="H3863" s="31"/>
    </row>
    <row r="3864" spans="2:8" hidden="1">
      <c r="B3864" s="200"/>
      <c r="C3864" s="31"/>
      <c r="D3864" s="31"/>
      <c r="E3864" s="31"/>
      <c r="F3864" s="691"/>
      <c r="G3864" s="31"/>
      <c r="H3864" s="31"/>
    </row>
    <row r="3865" spans="2:8" hidden="1">
      <c r="B3865" s="200"/>
      <c r="C3865" s="31"/>
      <c r="D3865" s="31"/>
      <c r="E3865" s="31"/>
      <c r="F3865" s="691"/>
      <c r="G3865" s="31"/>
      <c r="H3865" s="31"/>
    </row>
    <row r="3866" spans="2:8" hidden="1">
      <c r="B3866" s="200"/>
      <c r="C3866" s="31"/>
      <c r="D3866" s="31"/>
      <c r="E3866" s="31"/>
      <c r="F3866" s="691"/>
      <c r="G3866" s="31"/>
      <c r="H3866" s="31"/>
    </row>
    <row r="3867" spans="2:8" hidden="1">
      <c r="B3867" s="200"/>
      <c r="C3867" s="31"/>
      <c r="D3867" s="31"/>
      <c r="E3867" s="31"/>
      <c r="F3867" s="691"/>
      <c r="G3867" s="31"/>
      <c r="H3867" s="31"/>
    </row>
    <row r="3868" spans="2:8" hidden="1">
      <c r="B3868" s="200"/>
      <c r="C3868" s="31"/>
      <c r="D3868" s="31"/>
      <c r="E3868" s="31"/>
      <c r="F3868" s="691"/>
      <c r="G3868" s="31"/>
      <c r="H3868" s="31"/>
    </row>
    <row r="3869" spans="2:8" hidden="1">
      <c r="B3869" s="200"/>
      <c r="C3869" s="31"/>
      <c r="D3869" s="31"/>
      <c r="E3869" s="31"/>
      <c r="F3869" s="691"/>
      <c r="G3869" s="31"/>
      <c r="H3869" s="31"/>
    </row>
    <row r="3870" spans="2:8" hidden="1">
      <c r="B3870" s="200"/>
      <c r="C3870" s="31"/>
      <c r="D3870" s="31"/>
      <c r="E3870" s="31"/>
      <c r="F3870" s="691"/>
      <c r="G3870" s="31"/>
      <c r="H3870" s="31"/>
    </row>
    <row r="3871" spans="2:8" hidden="1">
      <c r="B3871" s="200"/>
      <c r="C3871" s="31"/>
      <c r="D3871" s="31"/>
      <c r="E3871" s="31"/>
      <c r="F3871" s="691"/>
      <c r="G3871" s="31"/>
      <c r="H3871" s="31"/>
    </row>
    <row r="3872" spans="2:8" hidden="1">
      <c r="B3872" s="200"/>
      <c r="C3872" s="31"/>
      <c r="D3872" s="31"/>
      <c r="E3872" s="31"/>
      <c r="F3872" s="691"/>
      <c r="G3872" s="31"/>
      <c r="H3872" s="31"/>
    </row>
    <row r="3873" spans="2:8" hidden="1">
      <c r="B3873" s="200"/>
      <c r="C3873" s="31"/>
      <c r="D3873" s="31"/>
      <c r="E3873" s="31"/>
      <c r="F3873" s="691"/>
      <c r="G3873" s="31"/>
      <c r="H3873" s="31"/>
    </row>
    <row r="3874" spans="2:8" hidden="1">
      <c r="B3874" s="200"/>
      <c r="C3874" s="31"/>
      <c r="D3874" s="31"/>
      <c r="E3874" s="31"/>
      <c r="F3874" s="691"/>
      <c r="G3874" s="31"/>
      <c r="H3874" s="31"/>
    </row>
    <row r="3875" spans="2:8" hidden="1">
      <c r="B3875" s="200"/>
      <c r="C3875" s="31"/>
      <c r="D3875" s="31"/>
      <c r="E3875" s="31"/>
      <c r="F3875" s="691"/>
      <c r="G3875" s="31"/>
      <c r="H3875" s="31"/>
    </row>
    <row r="3876" spans="2:8" hidden="1">
      <c r="B3876" s="200"/>
      <c r="C3876" s="31"/>
      <c r="D3876" s="31"/>
      <c r="E3876" s="31"/>
      <c r="F3876" s="691"/>
      <c r="G3876" s="31"/>
      <c r="H3876" s="31"/>
    </row>
    <row r="3877" spans="2:8" hidden="1">
      <c r="B3877" s="200"/>
      <c r="C3877" s="31"/>
      <c r="D3877" s="31"/>
      <c r="E3877" s="31"/>
      <c r="F3877" s="691"/>
      <c r="G3877" s="31"/>
      <c r="H3877" s="31"/>
    </row>
    <row r="3878" spans="2:8" hidden="1">
      <c r="B3878" s="200"/>
      <c r="C3878" s="31"/>
      <c r="D3878" s="31"/>
      <c r="E3878" s="31"/>
      <c r="F3878" s="691"/>
      <c r="G3878" s="31"/>
      <c r="H3878" s="31"/>
    </row>
    <row r="3879" spans="2:8" hidden="1">
      <c r="B3879" s="200"/>
      <c r="C3879" s="31"/>
      <c r="D3879" s="31"/>
      <c r="E3879" s="31"/>
      <c r="F3879" s="691"/>
      <c r="G3879" s="31"/>
      <c r="H3879" s="31"/>
    </row>
    <row r="3880" spans="2:8" hidden="1">
      <c r="B3880" s="200"/>
      <c r="C3880" s="31"/>
      <c r="D3880" s="31"/>
      <c r="E3880" s="31"/>
      <c r="F3880" s="691"/>
      <c r="G3880" s="31"/>
      <c r="H3880" s="31"/>
    </row>
    <row r="3881" spans="2:8" hidden="1">
      <c r="B3881" s="200"/>
      <c r="C3881" s="31"/>
      <c r="D3881" s="31"/>
      <c r="E3881" s="31"/>
      <c r="F3881" s="691"/>
      <c r="G3881" s="31"/>
      <c r="H3881" s="31"/>
    </row>
    <row r="3882" spans="2:8" hidden="1">
      <c r="B3882" s="33"/>
      <c r="C3882" s="31"/>
      <c r="D3882" s="31"/>
      <c r="E3882" s="200"/>
      <c r="F3882" s="691"/>
      <c r="G3882" s="31"/>
      <c r="H3882" s="31"/>
    </row>
    <row r="3883" spans="2:8" hidden="1">
      <c r="B3883" s="33"/>
      <c r="C3883" s="31"/>
      <c r="D3883" s="31"/>
      <c r="E3883" s="31"/>
      <c r="F3883" s="691"/>
      <c r="G3883" s="31"/>
      <c r="H3883" s="31"/>
    </row>
    <row r="3884" spans="2:8" hidden="1">
      <c r="B3884" s="33"/>
      <c r="C3884" s="31"/>
      <c r="D3884" s="31"/>
      <c r="E3884" s="31"/>
      <c r="F3884" s="691"/>
      <c r="G3884" s="31"/>
      <c r="H3884" s="31"/>
    </row>
    <row r="3885" spans="2:8" hidden="1">
      <c r="B3885" s="33"/>
      <c r="C3885" s="31"/>
      <c r="D3885" s="31"/>
      <c r="E3885" s="31"/>
      <c r="F3885" s="691"/>
      <c r="G3885" s="31"/>
      <c r="H3885" s="31"/>
    </row>
    <row r="3886" spans="2:8" hidden="1">
      <c r="B3886" s="33"/>
      <c r="C3886" s="31"/>
      <c r="D3886" s="31"/>
      <c r="E3886" s="31"/>
      <c r="F3886" s="691"/>
      <c r="G3886" s="31"/>
      <c r="H3886" s="31"/>
    </row>
    <row r="3887" spans="2:8" hidden="1">
      <c r="B3887" s="33"/>
      <c r="C3887" s="31"/>
      <c r="D3887" s="31"/>
      <c r="E3887" s="31"/>
      <c r="F3887" s="691"/>
      <c r="G3887" s="31"/>
      <c r="H3887" s="31"/>
    </row>
    <row r="3888" spans="2:8" hidden="1">
      <c r="B3888" s="33"/>
      <c r="C3888" s="31"/>
      <c r="D3888" s="31"/>
      <c r="E3888" s="31"/>
      <c r="F3888" s="691"/>
      <c r="G3888" s="31"/>
      <c r="H3888" s="31"/>
    </row>
    <row r="3889" spans="2:8" hidden="1">
      <c r="B3889" s="33"/>
      <c r="C3889" s="31"/>
      <c r="D3889" s="31"/>
      <c r="E3889" s="31"/>
      <c r="F3889" s="691"/>
      <c r="G3889" s="31"/>
      <c r="H3889" s="31"/>
    </row>
    <row r="3890" spans="2:8" hidden="1">
      <c r="B3890" s="33"/>
      <c r="C3890" s="31"/>
      <c r="D3890" s="31"/>
      <c r="E3890" s="31"/>
      <c r="F3890" s="691"/>
      <c r="G3890" s="31"/>
      <c r="H3890" s="31"/>
    </row>
    <row r="3891" spans="2:8" hidden="1">
      <c r="B3891" s="33"/>
      <c r="C3891" s="31"/>
      <c r="D3891" s="31"/>
      <c r="E3891" s="31"/>
      <c r="F3891" s="691"/>
      <c r="G3891" s="31"/>
      <c r="H3891" s="31"/>
    </row>
    <row r="3892" spans="2:8" hidden="1">
      <c r="B3892" s="33"/>
      <c r="C3892" s="31"/>
      <c r="D3892" s="31"/>
      <c r="E3892" s="31"/>
      <c r="F3892" s="691"/>
      <c r="G3892" s="31"/>
      <c r="H3892" s="31"/>
    </row>
    <row r="3893" spans="2:8" hidden="1">
      <c r="B3893" s="33"/>
      <c r="C3893" s="31"/>
      <c r="D3893" s="31"/>
      <c r="E3893" s="31"/>
      <c r="F3893" s="691"/>
      <c r="G3893" s="31"/>
      <c r="H3893" s="31"/>
    </row>
    <row r="3894" spans="2:8" hidden="1">
      <c r="B3894" s="33"/>
      <c r="C3894" s="31"/>
      <c r="D3894" s="31"/>
      <c r="E3894" s="31"/>
      <c r="F3894" s="691"/>
      <c r="G3894" s="31"/>
      <c r="H3894" s="31"/>
    </row>
    <row r="3895" spans="2:8" hidden="1">
      <c r="B3895" s="33"/>
      <c r="C3895" s="31"/>
      <c r="D3895" s="31"/>
      <c r="E3895" s="31"/>
      <c r="F3895" s="691"/>
      <c r="G3895" s="31"/>
      <c r="H3895" s="31"/>
    </row>
    <row r="3896" spans="2:8" hidden="1">
      <c r="B3896" s="33"/>
      <c r="C3896" s="31"/>
      <c r="D3896" s="31"/>
      <c r="E3896" s="31"/>
      <c r="F3896" s="691"/>
      <c r="G3896" s="31"/>
      <c r="H3896" s="31"/>
    </row>
    <row r="3897" spans="2:8" hidden="1">
      <c r="B3897" s="33"/>
      <c r="C3897" s="31"/>
      <c r="D3897" s="31"/>
      <c r="E3897" s="31"/>
      <c r="F3897" s="691"/>
      <c r="G3897" s="31"/>
      <c r="H3897" s="31"/>
    </row>
    <row r="3898" spans="2:8" hidden="1">
      <c r="B3898" s="33"/>
      <c r="C3898" s="31"/>
      <c r="D3898" s="31"/>
      <c r="E3898" s="200"/>
      <c r="F3898" s="691"/>
      <c r="G3898" s="31"/>
      <c r="H3898" s="31"/>
    </row>
    <row r="3899" spans="2:8" hidden="1">
      <c r="B3899" s="33"/>
      <c r="C3899" s="31"/>
      <c r="D3899" s="31"/>
      <c r="E3899" s="31"/>
      <c r="F3899" s="691"/>
      <c r="G3899" s="31"/>
      <c r="H3899" s="31"/>
    </row>
    <row r="3900" spans="2:8" hidden="1">
      <c r="B3900" s="33"/>
      <c r="C3900" s="31"/>
      <c r="D3900" s="31"/>
      <c r="E3900" s="31"/>
      <c r="F3900" s="691"/>
      <c r="G3900" s="31"/>
      <c r="H3900" s="31"/>
    </row>
    <row r="3901" spans="2:8" hidden="1">
      <c r="B3901" s="33"/>
      <c r="C3901" s="31"/>
      <c r="D3901" s="31"/>
      <c r="E3901" s="31"/>
      <c r="F3901" s="691"/>
      <c r="G3901" s="31"/>
      <c r="H3901" s="31"/>
    </row>
    <row r="3902" spans="2:8" hidden="1">
      <c r="B3902" s="33"/>
      <c r="C3902" s="31"/>
      <c r="D3902" s="31"/>
      <c r="E3902" s="31"/>
      <c r="F3902" s="691"/>
      <c r="G3902" s="31"/>
      <c r="H3902" s="31"/>
    </row>
    <row r="3903" spans="2:8" hidden="1">
      <c r="B3903" s="33"/>
      <c r="C3903" s="31"/>
      <c r="D3903" s="31"/>
      <c r="E3903" s="31"/>
      <c r="F3903" s="691"/>
      <c r="G3903" s="31"/>
      <c r="H3903" s="31"/>
    </row>
    <row r="3904" spans="2:8" hidden="1">
      <c r="B3904" s="33"/>
      <c r="C3904" s="31"/>
      <c r="D3904" s="31"/>
      <c r="E3904" s="31"/>
      <c r="F3904" s="691"/>
      <c r="G3904" s="31"/>
      <c r="H3904" s="31"/>
    </row>
    <row r="3905" spans="2:8" hidden="1">
      <c r="B3905" s="33"/>
      <c r="C3905" s="31"/>
      <c r="D3905" s="31"/>
      <c r="E3905" s="31"/>
      <c r="F3905" s="691"/>
      <c r="G3905" s="31"/>
      <c r="H3905" s="31"/>
    </row>
    <row r="3906" spans="2:8" hidden="1">
      <c r="B3906" s="33"/>
      <c r="C3906" s="31"/>
      <c r="D3906" s="31"/>
      <c r="E3906" s="31"/>
      <c r="F3906" s="691"/>
      <c r="G3906" s="31"/>
      <c r="H3906" s="31"/>
    </row>
    <row r="3907" spans="2:8" hidden="1">
      <c r="B3907" s="33"/>
      <c r="C3907" s="31"/>
      <c r="D3907" s="31"/>
      <c r="E3907" s="31"/>
      <c r="F3907" s="691"/>
      <c r="G3907" s="31"/>
      <c r="H3907" s="31"/>
    </row>
    <row r="3908" spans="2:8" hidden="1">
      <c r="B3908" s="33"/>
      <c r="C3908" s="31"/>
      <c r="D3908" s="31"/>
      <c r="E3908" s="31"/>
      <c r="F3908" s="31"/>
      <c r="G3908" s="31"/>
      <c r="H3908" s="31"/>
    </row>
    <row r="3909" spans="2:8" hidden="1">
      <c r="B3909" s="33"/>
      <c r="C3909" s="31"/>
      <c r="D3909" s="31"/>
      <c r="E3909" s="31"/>
      <c r="F3909" s="31"/>
      <c r="G3909" s="31"/>
      <c r="H3909" s="31"/>
    </row>
    <row r="3910" spans="2:8" hidden="1">
      <c r="B3910" s="33"/>
      <c r="C3910" s="31"/>
      <c r="D3910" s="31"/>
      <c r="E3910" s="31"/>
      <c r="F3910" s="31"/>
      <c r="G3910" s="31"/>
      <c r="H3910" s="31"/>
    </row>
    <row r="3911" spans="2:8" hidden="1">
      <c r="B3911" s="33"/>
      <c r="C3911" s="31"/>
      <c r="D3911" s="31"/>
      <c r="E3911" s="31"/>
      <c r="F3911" s="691"/>
      <c r="G3911" s="31"/>
      <c r="H3911" s="31"/>
    </row>
    <row r="3912" spans="2:8" hidden="1">
      <c r="B3912" s="33"/>
      <c r="C3912" s="31"/>
      <c r="D3912" s="31"/>
      <c r="E3912" s="31"/>
      <c r="F3912" s="31"/>
      <c r="G3912" s="31"/>
      <c r="H3912" s="31"/>
    </row>
    <row r="3913" spans="2:8" hidden="1">
      <c r="B3913" s="33"/>
      <c r="C3913" s="31"/>
      <c r="D3913" s="31"/>
      <c r="E3913" s="31"/>
      <c r="F3913" s="31"/>
      <c r="G3913" s="31"/>
      <c r="H3913" s="31"/>
    </row>
    <row r="3914" spans="2:8" hidden="1">
      <c r="B3914" s="33"/>
      <c r="C3914" s="31"/>
      <c r="D3914" s="31"/>
      <c r="E3914" s="31"/>
      <c r="F3914" s="31"/>
      <c r="G3914" s="31"/>
      <c r="H3914" s="31"/>
    </row>
    <row r="3915" spans="2:8" hidden="1">
      <c r="B3915" s="33"/>
      <c r="C3915" s="31"/>
      <c r="D3915" s="31"/>
      <c r="E3915" s="31"/>
      <c r="F3915" s="31"/>
      <c r="G3915" s="31"/>
      <c r="H3915" s="31"/>
    </row>
    <row r="3916" spans="2:8" hidden="1">
      <c r="B3916" s="33"/>
      <c r="C3916" s="31"/>
      <c r="D3916" s="31"/>
      <c r="E3916" s="31"/>
      <c r="F3916" s="31"/>
      <c r="G3916" s="31"/>
      <c r="H3916" s="31"/>
    </row>
    <row r="3917" spans="2:8" hidden="1">
      <c r="B3917" s="33"/>
      <c r="C3917" s="31"/>
      <c r="D3917" s="31"/>
      <c r="E3917" s="31"/>
      <c r="F3917" s="31"/>
      <c r="G3917" s="31"/>
      <c r="H3917" s="31"/>
    </row>
    <row r="3918" spans="2:8" hidden="1">
      <c r="B3918" s="33"/>
      <c r="C3918" s="31"/>
      <c r="D3918" s="31"/>
      <c r="E3918" s="31"/>
      <c r="F3918" s="31"/>
      <c r="G3918" s="31"/>
      <c r="H3918" s="31"/>
    </row>
    <row r="3919" spans="2:8" hidden="1">
      <c r="B3919" s="33"/>
      <c r="C3919" s="31"/>
      <c r="D3919" s="31"/>
      <c r="E3919" s="31"/>
      <c r="F3919" s="31"/>
      <c r="G3919" s="31"/>
      <c r="H3919" s="31"/>
    </row>
    <row r="3920" spans="2:8" hidden="1">
      <c r="B3920" s="33"/>
      <c r="C3920" s="31"/>
      <c r="D3920" s="31"/>
      <c r="E3920" s="31"/>
      <c r="F3920" s="31"/>
      <c r="G3920" s="31"/>
      <c r="H3920" s="31"/>
    </row>
    <row r="3921" spans="2:8" hidden="1">
      <c r="B3921" s="33"/>
      <c r="C3921" s="31"/>
      <c r="D3921" s="31"/>
      <c r="E3921" s="31"/>
      <c r="F3921" s="31"/>
      <c r="G3921" s="31"/>
      <c r="H3921" s="31"/>
    </row>
    <row r="3922" spans="2:8" hidden="1">
      <c r="B3922" s="33"/>
      <c r="C3922" s="31"/>
      <c r="D3922" s="31"/>
      <c r="E3922" s="31"/>
      <c r="F3922" s="33"/>
      <c r="G3922" s="31"/>
      <c r="H3922" s="31"/>
    </row>
    <row r="3923" spans="2:8" hidden="1">
      <c r="B3923" s="33"/>
      <c r="C3923" s="31"/>
      <c r="D3923" s="33"/>
      <c r="E3923" s="33"/>
      <c r="F3923" s="33"/>
      <c r="G3923" s="33"/>
      <c r="H3923" s="31"/>
    </row>
    <row r="3924" spans="2:8" hidden="1">
      <c r="B3924" s="33"/>
      <c r="C3924" s="31"/>
      <c r="D3924" s="33"/>
      <c r="E3924" s="33"/>
      <c r="F3924" s="33"/>
      <c r="G3924" s="33"/>
      <c r="H3924" s="31"/>
    </row>
    <row r="3925" spans="2:8" hidden="1">
      <c r="B3925" s="33"/>
      <c r="C3925" s="31"/>
      <c r="D3925" s="33"/>
      <c r="E3925" s="33"/>
      <c r="F3925" s="33"/>
      <c r="G3925" s="33"/>
      <c r="H3925" s="31"/>
    </row>
    <row r="3926" spans="2:8" hidden="1">
      <c r="B3926" s="33"/>
      <c r="C3926" s="31"/>
      <c r="D3926" s="33"/>
      <c r="E3926" s="33"/>
      <c r="F3926" s="33"/>
      <c r="G3926" s="33"/>
      <c r="H3926" s="31"/>
    </row>
    <row r="3927" spans="2:8" hidden="1">
      <c r="B3927" s="33"/>
      <c r="C3927" s="31"/>
      <c r="D3927" s="33"/>
      <c r="E3927" s="33"/>
      <c r="F3927" s="33"/>
      <c r="G3927" s="33"/>
      <c r="H3927" s="31"/>
    </row>
    <row r="3928" spans="2:8" hidden="1">
      <c r="B3928" s="33"/>
      <c r="C3928" s="31"/>
      <c r="D3928" s="33"/>
      <c r="E3928" s="33"/>
      <c r="F3928" s="33"/>
      <c r="G3928" s="33"/>
      <c r="H3928" s="31"/>
    </row>
    <row r="3929" spans="2:8" hidden="1">
      <c r="B3929" s="33"/>
      <c r="C3929" s="31"/>
      <c r="D3929" s="33"/>
      <c r="E3929" s="33"/>
      <c r="F3929" s="33"/>
      <c r="G3929" s="33"/>
      <c r="H3929" s="31"/>
    </row>
    <row r="3930" spans="2:8" hidden="1">
      <c r="B3930" s="33"/>
      <c r="C3930" s="31"/>
      <c r="D3930" s="33"/>
      <c r="E3930" s="33"/>
      <c r="F3930" s="33"/>
      <c r="G3930" s="33"/>
      <c r="H3930" s="31"/>
    </row>
    <row r="3931" spans="2:8" hidden="1">
      <c r="B3931" s="33"/>
      <c r="C3931" s="31"/>
      <c r="D3931" s="33"/>
      <c r="E3931" s="33"/>
      <c r="F3931" s="33"/>
      <c r="G3931" s="33"/>
      <c r="H3931" s="31"/>
    </row>
    <row r="3932" spans="2:8" hidden="1">
      <c r="B3932" s="33"/>
      <c r="C3932" s="31"/>
      <c r="D3932" s="33"/>
      <c r="E3932" s="33"/>
      <c r="F3932" s="33"/>
      <c r="G3932" s="33"/>
      <c r="H3932" s="31"/>
    </row>
    <row r="3933" spans="2:8" hidden="1">
      <c r="B3933" s="33"/>
      <c r="C3933" s="31"/>
      <c r="D3933" s="33"/>
      <c r="E3933" s="33"/>
      <c r="F3933" s="33"/>
      <c r="G3933" s="33"/>
      <c r="H3933" s="31"/>
    </row>
    <row r="3934" spans="2:8" hidden="1">
      <c r="B3934" s="33"/>
      <c r="C3934" s="31"/>
      <c r="D3934" s="33"/>
      <c r="E3934" s="33"/>
      <c r="F3934" s="33"/>
      <c r="G3934" s="33"/>
      <c r="H3934" s="31"/>
    </row>
    <row r="3935" spans="2:8" hidden="1">
      <c r="B3935" s="33"/>
      <c r="C3935" s="31"/>
      <c r="D3935" s="33"/>
      <c r="E3935" s="33"/>
      <c r="F3935" s="33"/>
      <c r="G3935" s="33"/>
      <c r="H3935" s="31"/>
    </row>
    <row r="3936" spans="2:8" hidden="1">
      <c r="B3936" s="33"/>
      <c r="C3936" s="33"/>
      <c r="D3936" s="33"/>
      <c r="E3936" s="33"/>
      <c r="F3936" s="33"/>
      <c r="G3936" s="33"/>
      <c r="H3936" s="31"/>
    </row>
    <row r="3937" spans="2:8" hidden="1">
      <c r="B3937" s="33"/>
      <c r="C3937" s="31"/>
      <c r="D3937" s="31"/>
      <c r="E3937" s="31"/>
      <c r="F3937" s="31"/>
      <c r="G3937" s="31"/>
      <c r="H3937" s="31"/>
    </row>
    <row r="3938" spans="2:8" hidden="1">
      <c r="B3938" s="33"/>
      <c r="C3938" s="31"/>
      <c r="D3938" s="31"/>
      <c r="E3938" s="31"/>
      <c r="F3938" s="31"/>
      <c r="G3938" s="31"/>
      <c r="H3938" s="31"/>
    </row>
    <row r="3939" spans="2:8" hidden="1">
      <c r="B3939" s="33"/>
      <c r="C3939" s="31"/>
      <c r="D3939" s="31"/>
      <c r="E3939" s="31"/>
      <c r="F3939" s="31"/>
      <c r="G3939" s="31"/>
      <c r="H3939" s="31"/>
    </row>
    <row r="3940" spans="2:8" hidden="1">
      <c r="B3940" s="33"/>
      <c r="C3940" s="31"/>
      <c r="D3940" s="31"/>
      <c r="E3940" s="31"/>
      <c r="F3940" s="31"/>
      <c r="G3940" s="31"/>
      <c r="H3940" s="31"/>
    </row>
    <row r="3941" spans="2:8" hidden="1">
      <c r="B3941" s="33"/>
      <c r="C3941" s="31"/>
      <c r="D3941" s="31"/>
      <c r="E3941" s="31"/>
      <c r="F3941" s="31"/>
      <c r="G3941" s="31"/>
      <c r="H3941" s="31"/>
    </row>
    <row r="3942" spans="2:8" hidden="1">
      <c r="B3942" s="33"/>
      <c r="C3942" s="31"/>
      <c r="D3942" s="31"/>
      <c r="E3942" s="31"/>
      <c r="F3942" s="31"/>
      <c r="G3942" s="31"/>
      <c r="H3942" s="31"/>
    </row>
    <row r="3943" spans="2:8" hidden="1">
      <c r="B3943" s="33"/>
      <c r="C3943" s="31"/>
      <c r="D3943" s="31"/>
      <c r="E3943" s="31"/>
      <c r="F3943" s="31"/>
      <c r="G3943" s="31"/>
      <c r="H3943" s="31"/>
    </row>
    <row r="3944" spans="2:8" hidden="1">
      <c r="B3944" s="33"/>
      <c r="C3944" s="31"/>
      <c r="D3944" s="31"/>
      <c r="E3944" s="31"/>
      <c r="F3944" s="31"/>
      <c r="G3944" s="31"/>
      <c r="H3944" s="31"/>
    </row>
    <row r="3945" spans="2:8" hidden="1">
      <c r="B3945" s="33"/>
      <c r="C3945" s="31"/>
      <c r="D3945" s="31"/>
      <c r="E3945" s="31"/>
      <c r="F3945" s="31"/>
      <c r="G3945" s="31"/>
      <c r="H3945" s="31"/>
    </row>
    <row r="3946" spans="2:8" hidden="1">
      <c r="B3946" s="33"/>
      <c r="C3946" s="31"/>
      <c r="D3946" s="31"/>
      <c r="E3946" s="31"/>
      <c r="F3946" s="31"/>
      <c r="G3946" s="31"/>
      <c r="H3946" s="31"/>
    </row>
    <row r="3947" spans="2:8" hidden="1">
      <c r="B3947" s="33"/>
      <c r="C3947" s="31"/>
      <c r="D3947" s="31"/>
      <c r="E3947" s="31"/>
      <c r="F3947" s="31"/>
      <c r="G3947" s="31"/>
      <c r="H3947" s="31"/>
    </row>
    <row r="3948" spans="2:8" hidden="1">
      <c r="B3948" s="33"/>
      <c r="C3948" s="31"/>
      <c r="D3948" s="31"/>
      <c r="E3948" s="31"/>
      <c r="F3948" s="31"/>
      <c r="G3948" s="31"/>
      <c r="H3948" s="31"/>
    </row>
    <row r="3949" spans="2:8" hidden="1">
      <c r="B3949" s="33"/>
      <c r="C3949" s="31"/>
      <c r="D3949" s="75"/>
      <c r="E3949" s="31"/>
      <c r="F3949" s="405"/>
      <c r="G3949" s="75"/>
      <c r="H3949" s="31"/>
    </row>
    <row r="3950" spans="2:8" hidden="1">
      <c r="B3950" s="33"/>
      <c r="C3950" s="31"/>
      <c r="D3950" s="31"/>
      <c r="E3950" s="31"/>
      <c r="F3950" s="691"/>
      <c r="G3950" s="732"/>
      <c r="H3950" s="31"/>
    </row>
    <row r="3951" spans="2:8" hidden="1">
      <c r="B3951" s="33"/>
      <c r="C3951" s="31"/>
      <c r="D3951" s="31"/>
      <c r="E3951" s="31"/>
      <c r="F3951" s="405"/>
      <c r="G3951" s="75"/>
      <c r="H3951" s="31"/>
    </row>
    <row r="3952" spans="2:8" hidden="1">
      <c r="B3952" s="33"/>
      <c r="C3952" s="31"/>
      <c r="D3952" s="75"/>
      <c r="E3952" s="31"/>
      <c r="F3952" s="405"/>
      <c r="G3952" s="75"/>
      <c r="H3952" s="31"/>
    </row>
    <row r="3953" spans="2:8" hidden="1">
      <c r="B3953" s="33"/>
      <c r="C3953" s="31"/>
      <c r="D3953" s="31"/>
      <c r="E3953" s="31"/>
      <c r="F3953" s="691"/>
      <c r="G3953" s="732"/>
      <c r="H3953" s="31"/>
    </row>
    <row r="3954" spans="2:8" hidden="1">
      <c r="B3954" s="33"/>
      <c r="C3954" s="31"/>
      <c r="D3954" s="31"/>
      <c r="E3954" s="31"/>
      <c r="F3954" s="405"/>
      <c r="G3954" s="75"/>
      <c r="H3954" s="31"/>
    </row>
    <row r="3955" spans="2:8" hidden="1">
      <c r="B3955" s="33"/>
      <c r="C3955" s="31"/>
      <c r="D3955" s="31"/>
      <c r="E3955" s="31"/>
      <c r="F3955" s="31"/>
      <c r="G3955" s="31"/>
      <c r="H3955" s="31"/>
    </row>
    <row r="3956" spans="2:8" hidden="1">
      <c r="B3956" s="33"/>
      <c r="C3956" s="31"/>
      <c r="D3956" s="31"/>
      <c r="E3956" s="31"/>
      <c r="F3956" s="31"/>
      <c r="G3956" s="31"/>
      <c r="H3956" s="31"/>
    </row>
    <row r="3957" spans="2:8" hidden="1">
      <c r="B3957" s="33"/>
      <c r="C3957" s="200"/>
      <c r="D3957" s="31"/>
      <c r="E3957" s="200"/>
      <c r="F3957" s="769"/>
      <c r="G3957" s="31"/>
      <c r="H3957" s="31"/>
    </row>
    <row r="3958" spans="2:8" hidden="1">
      <c r="B3958" s="76"/>
      <c r="C3958" s="31"/>
      <c r="D3958" s="31"/>
      <c r="E3958" s="31"/>
      <c r="F3958" s="75"/>
      <c r="G3958" s="31"/>
      <c r="H3958" s="31"/>
    </row>
    <row r="3959" spans="2:8" hidden="1">
      <c r="B3959" s="33"/>
      <c r="C3959" s="33"/>
      <c r="D3959" s="33"/>
      <c r="E3959" s="33"/>
      <c r="F3959" s="33"/>
      <c r="G3959" s="33"/>
      <c r="H3959" s="31"/>
    </row>
    <row r="3960" spans="2:8" hidden="1">
      <c r="B3960" s="33"/>
      <c r="C3960" s="31"/>
      <c r="D3960" s="33"/>
      <c r="E3960" s="33"/>
      <c r="F3960" s="33"/>
      <c r="G3960" s="33"/>
      <c r="H3960" s="31"/>
    </row>
    <row r="3961" spans="2:8" hidden="1">
      <c r="B3961" s="405"/>
      <c r="C3961" s="76"/>
      <c r="D3961" s="731"/>
      <c r="E3961" s="75"/>
      <c r="F3961" s="75"/>
      <c r="G3961" s="75"/>
      <c r="H3961" s="31"/>
    </row>
    <row r="3962" spans="2:8" hidden="1">
      <c r="B3962" s="405"/>
      <c r="C3962" s="76"/>
      <c r="D3962" s="731"/>
      <c r="E3962" s="75"/>
      <c r="F3962" s="75"/>
      <c r="G3962" s="75"/>
      <c r="H3962" s="31"/>
    </row>
    <row r="3963" spans="2:8" hidden="1">
      <c r="B3963" s="405"/>
      <c r="C3963" s="76"/>
      <c r="D3963" s="731"/>
      <c r="E3963" s="75"/>
      <c r="F3963" s="75"/>
      <c r="G3963" s="75"/>
      <c r="H3963" s="31"/>
    </row>
    <row r="3964" spans="2:8" hidden="1">
      <c r="B3964" s="405"/>
      <c r="C3964" s="76"/>
      <c r="D3964" s="731"/>
      <c r="E3964" s="75"/>
      <c r="F3964" s="75"/>
      <c r="G3964" s="75"/>
      <c r="H3964" s="31"/>
    </row>
    <row r="3965" spans="2:8" hidden="1">
      <c r="B3965" s="405"/>
      <c r="C3965" s="76"/>
      <c r="D3965" s="731"/>
      <c r="E3965" s="75"/>
      <c r="F3965" s="75"/>
      <c r="G3965" s="75"/>
      <c r="H3965" s="31"/>
    </row>
    <row r="3966" spans="2:8" hidden="1">
      <c r="B3966" s="405"/>
      <c r="C3966" s="76"/>
      <c r="D3966" s="731"/>
      <c r="E3966" s="75"/>
      <c r="F3966" s="75"/>
      <c r="G3966" s="75"/>
      <c r="H3966" s="31"/>
    </row>
    <row r="3967" spans="2:8" hidden="1">
      <c r="B3967" s="405"/>
      <c r="C3967" s="76"/>
      <c r="D3967" s="731"/>
      <c r="E3967" s="75"/>
      <c r="F3967" s="75"/>
      <c r="G3967" s="75"/>
      <c r="H3967" s="31"/>
    </row>
    <row r="3968" spans="2:8" hidden="1">
      <c r="B3968" s="405"/>
      <c r="C3968" s="76"/>
      <c r="D3968" s="731"/>
      <c r="E3968" s="75"/>
      <c r="F3968" s="75"/>
      <c r="G3968" s="75"/>
      <c r="H3968" s="31"/>
    </row>
    <row r="3969" spans="2:8" hidden="1">
      <c r="B3969" s="405"/>
      <c r="C3969" s="76"/>
      <c r="D3969" s="731"/>
      <c r="E3969" s="75"/>
      <c r="F3969" s="75"/>
      <c r="G3969" s="75"/>
      <c r="H3969" s="31"/>
    </row>
    <row r="3970" spans="2:8" hidden="1">
      <c r="B3970" s="405"/>
      <c r="C3970" s="76"/>
      <c r="D3970" s="731"/>
      <c r="E3970" s="75"/>
      <c r="F3970" s="75"/>
      <c r="G3970" s="75"/>
      <c r="H3970" s="31"/>
    </row>
    <row r="3971" spans="2:8" hidden="1">
      <c r="B3971" s="405"/>
      <c r="C3971" s="76"/>
      <c r="D3971" s="731"/>
      <c r="E3971" s="75"/>
      <c r="F3971" s="75"/>
      <c r="G3971" s="75"/>
      <c r="H3971" s="31"/>
    </row>
    <row r="3972" spans="2:8" hidden="1">
      <c r="B3972" s="405"/>
      <c r="C3972" s="76"/>
      <c r="D3972" s="731"/>
      <c r="E3972" s="75"/>
      <c r="F3972" s="75"/>
      <c r="G3972" s="75"/>
      <c r="H3972" s="31"/>
    </row>
    <row r="3973" spans="2:8" hidden="1">
      <c r="B3973" s="405"/>
      <c r="C3973" s="76"/>
      <c r="D3973" s="731"/>
      <c r="E3973" s="75"/>
      <c r="F3973" s="75"/>
      <c r="G3973" s="75"/>
      <c r="H3973" s="31"/>
    </row>
    <row r="3974" spans="2:8" hidden="1">
      <c r="B3974" s="405"/>
      <c r="C3974" s="76"/>
      <c r="D3974" s="731"/>
      <c r="E3974" s="75"/>
      <c r="F3974" s="75"/>
      <c r="G3974" s="75"/>
      <c r="H3974" s="31"/>
    </row>
    <row r="3975" spans="2:8" hidden="1">
      <c r="B3975" s="405"/>
      <c r="C3975" s="76"/>
      <c r="D3975" s="731"/>
      <c r="E3975" s="75"/>
      <c r="F3975" s="75"/>
      <c r="G3975" s="75"/>
      <c r="H3975" s="31"/>
    </row>
    <row r="3976" spans="2:8" hidden="1">
      <c r="B3976" s="405"/>
      <c r="C3976" s="76"/>
      <c r="D3976" s="731"/>
      <c r="E3976" s="75"/>
      <c r="F3976" s="75"/>
      <c r="G3976" s="75"/>
      <c r="H3976" s="31"/>
    </row>
    <row r="3977" spans="2:8" hidden="1">
      <c r="B3977" s="405"/>
      <c r="C3977" s="76"/>
      <c r="D3977" s="731"/>
      <c r="E3977" s="75"/>
      <c r="F3977" s="75"/>
      <c r="G3977" s="75"/>
      <c r="H3977" s="31"/>
    </row>
    <row r="3978" spans="2:8" hidden="1">
      <c r="B3978" s="405"/>
      <c r="C3978" s="76"/>
      <c r="D3978" s="731"/>
      <c r="E3978" s="75"/>
      <c r="F3978" s="75"/>
      <c r="G3978" s="75"/>
      <c r="H3978" s="31"/>
    </row>
    <row r="3979" spans="2:8" hidden="1">
      <c r="B3979" s="30"/>
      <c r="C3979" s="76"/>
      <c r="D3979" s="731"/>
      <c r="E3979" s="75"/>
      <c r="F3979" s="75"/>
      <c r="G3979" s="75"/>
      <c r="H3979" s="31"/>
    </row>
    <row r="3980" spans="2:8" hidden="1">
      <c r="B3980" s="30"/>
      <c r="C3980" s="76"/>
      <c r="D3980" s="731"/>
      <c r="E3980" s="75"/>
      <c r="F3980" s="75"/>
      <c r="G3980" s="75"/>
      <c r="H3980" s="31"/>
    </row>
    <row r="3981" spans="2:8" hidden="1">
      <c r="B3981" s="30"/>
      <c r="C3981" s="76"/>
      <c r="D3981" s="731"/>
      <c r="E3981" s="75"/>
      <c r="F3981" s="75"/>
      <c r="G3981" s="75"/>
      <c r="H3981" s="31"/>
    </row>
    <row r="3982" spans="2:8" hidden="1">
      <c r="B3982" s="30"/>
      <c r="C3982" s="76"/>
      <c r="D3982" s="731"/>
      <c r="E3982" s="75"/>
      <c r="F3982" s="75"/>
      <c r="G3982" s="75"/>
      <c r="H3982" s="31"/>
    </row>
    <row r="3983" spans="2:8" hidden="1">
      <c r="B3983" s="30"/>
      <c r="C3983" s="76"/>
      <c r="D3983" s="731"/>
      <c r="E3983" s="75"/>
      <c r="F3983" s="75"/>
      <c r="G3983" s="75"/>
      <c r="H3983" s="31"/>
    </row>
    <row r="3984" spans="2:8" hidden="1">
      <c r="B3984" s="30"/>
      <c r="C3984" s="76"/>
      <c r="D3984" s="731"/>
      <c r="E3984" s="75"/>
      <c r="F3984" s="75"/>
      <c r="G3984" s="75"/>
      <c r="H3984" s="31"/>
    </row>
    <row r="3985" spans="2:8" hidden="1">
      <c r="B3985" s="30"/>
      <c r="C3985" s="76"/>
      <c r="D3985" s="731"/>
      <c r="E3985" s="75"/>
      <c r="F3985" s="75"/>
      <c r="G3985" s="75"/>
      <c r="H3985" s="31"/>
    </row>
    <row r="3986" spans="2:8" hidden="1">
      <c r="B3986" s="30"/>
      <c r="C3986" s="76"/>
      <c r="D3986" s="731"/>
      <c r="E3986" s="75"/>
      <c r="F3986" s="75"/>
      <c r="G3986" s="75"/>
      <c r="H3986" s="31"/>
    </row>
    <row r="3987" spans="2:8" hidden="1">
      <c r="B3987" s="30"/>
      <c r="C3987" s="76"/>
      <c r="D3987" s="731"/>
      <c r="E3987" s="75"/>
      <c r="F3987" s="75"/>
      <c r="G3987" s="75"/>
      <c r="H3987" s="31"/>
    </row>
    <row r="3988" spans="2:8" hidden="1">
      <c r="B3988" s="30"/>
      <c r="C3988" s="76"/>
      <c r="D3988" s="731"/>
      <c r="E3988" s="75"/>
      <c r="F3988" s="75"/>
      <c r="G3988" s="75"/>
      <c r="H3988" s="31"/>
    </row>
    <row r="3989" spans="2:8" hidden="1">
      <c r="B3989" s="30"/>
      <c r="C3989" s="76"/>
      <c r="D3989" s="731"/>
      <c r="E3989" s="75"/>
      <c r="F3989" s="75"/>
      <c r="G3989" s="75"/>
      <c r="H3989" s="31"/>
    </row>
    <row r="3990" spans="2:8" hidden="1">
      <c r="B3990" s="30"/>
      <c r="C3990" s="76"/>
      <c r="D3990" s="731"/>
      <c r="E3990" s="75"/>
      <c r="F3990" s="75"/>
      <c r="G3990" s="75"/>
      <c r="H3990" s="31"/>
    </row>
    <row r="3991" spans="2:8" hidden="1">
      <c r="B3991" s="30"/>
      <c r="C3991" s="76"/>
      <c r="D3991" s="731"/>
      <c r="E3991" s="75"/>
      <c r="F3991" s="75"/>
      <c r="G3991" s="75"/>
      <c r="H3991" s="31"/>
    </row>
    <row r="3992" spans="2:8" hidden="1">
      <c r="B3992" s="30"/>
      <c r="C3992" s="76"/>
      <c r="D3992" s="731"/>
      <c r="E3992" s="75"/>
      <c r="F3992" s="75"/>
      <c r="G3992" s="75"/>
      <c r="H3992" s="31"/>
    </row>
    <row r="3993" spans="2:8" hidden="1">
      <c r="B3993" s="30"/>
      <c r="C3993" s="76"/>
      <c r="D3993" s="731"/>
      <c r="E3993" s="75"/>
      <c r="F3993" s="75"/>
      <c r="G3993" s="75"/>
      <c r="H3993" s="31"/>
    </row>
    <row r="3994" spans="2:8" hidden="1">
      <c r="B3994" s="33"/>
      <c r="C3994" s="31"/>
      <c r="D3994" s="31"/>
      <c r="E3994" s="200"/>
      <c r="F3994" s="200"/>
      <c r="G3994" s="75"/>
      <c r="H3994" s="31"/>
    </row>
    <row r="3995" spans="2:8" hidden="1">
      <c r="B3995" s="33"/>
      <c r="C3995" s="31"/>
      <c r="D3995" s="31"/>
      <c r="E3995" s="198"/>
      <c r="F3995" s="200"/>
      <c r="G3995" s="75"/>
      <c r="H3995" s="31"/>
    </row>
    <row r="3996" spans="2:8" hidden="1">
      <c r="B3996" s="33"/>
      <c r="C3996" s="31"/>
      <c r="D3996" s="31"/>
      <c r="E3996" s="198"/>
      <c r="F3996" s="200"/>
      <c r="G3996" s="75"/>
      <c r="H3996" s="31"/>
    </row>
    <row r="3997" spans="2:8" hidden="1">
      <c r="B3997" s="33"/>
      <c r="C3997" s="31"/>
      <c r="D3997" s="31"/>
      <c r="E3997" s="198"/>
      <c r="F3997" s="200"/>
      <c r="G3997" s="75"/>
      <c r="H3997" s="31"/>
    </row>
    <row r="3998" spans="2:8" hidden="1">
      <c r="B3998" s="33"/>
      <c r="C3998" s="200"/>
      <c r="D3998" s="30"/>
      <c r="E3998" s="30"/>
      <c r="F3998" s="200"/>
      <c r="G3998" s="75"/>
      <c r="H3998" s="31"/>
    </row>
    <row r="3999" spans="2:8" hidden="1">
      <c r="B3999" s="33"/>
      <c r="C3999" s="31"/>
      <c r="D3999" s="31"/>
      <c r="E3999" s="31"/>
      <c r="F3999" s="31"/>
      <c r="G3999" s="31"/>
      <c r="H3999" s="31"/>
    </row>
    <row r="4000" spans="2:8" hidden="1">
      <c r="B4000" s="76"/>
      <c r="C4000" s="31"/>
      <c r="D4000" s="31"/>
      <c r="E4000" s="31"/>
      <c r="F4000" s="31"/>
      <c r="G4000" s="31"/>
      <c r="H4000" s="31"/>
    </row>
    <row r="4001" spans="2:8" hidden="1">
      <c r="B4001" s="33"/>
      <c r="C4001" s="33"/>
      <c r="D4001" s="33"/>
      <c r="E4001" s="33"/>
      <c r="F4001" s="33"/>
      <c r="G4001" s="33"/>
      <c r="H4001" s="31"/>
    </row>
    <row r="4002" spans="2:8" hidden="1">
      <c r="B4002" s="33"/>
      <c r="C4002" s="31"/>
      <c r="D4002" s="33"/>
      <c r="E4002" s="33"/>
      <c r="F4002" s="33"/>
      <c r="G4002" s="33"/>
      <c r="H4002" s="31"/>
    </row>
    <row r="4003" spans="2:8" hidden="1">
      <c r="B4003" s="405"/>
      <c r="C4003" s="76"/>
      <c r="D4003" s="731"/>
      <c r="E4003" s="75"/>
      <c r="F4003" s="75"/>
      <c r="G4003" s="75"/>
      <c r="H4003" s="31"/>
    </row>
    <row r="4004" spans="2:8" hidden="1">
      <c r="B4004" s="405"/>
      <c r="C4004" s="76"/>
      <c r="D4004" s="731"/>
      <c r="E4004" s="75"/>
      <c r="F4004" s="75"/>
      <c r="G4004" s="75"/>
      <c r="H4004" s="31"/>
    </row>
    <row r="4005" spans="2:8" hidden="1">
      <c r="B4005" s="405"/>
      <c r="C4005" s="76"/>
      <c r="D4005" s="731"/>
      <c r="E4005" s="75"/>
      <c r="F4005" s="75"/>
      <c r="G4005" s="75"/>
      <c r="H4005" s="31"/>
    </row>
    <row r="4006" spans="2:8" hidden="1">
      <c r="B4006" s="405"/>
      <c r="C4006" s="76"/>
      <c r="D4006" s="731"/>
      <c r="E4006" s="75"/>
      <c r="F4006" s="75"/>
      <c r="G4006" s="75"/>
      <c r="H4006" s="31"/>
    </row>
    <row r="4007" spans="2:8" hidden="1">
      <c r="B4007" s="405"/>
      <c r="C4007" s="76"/>
      <c r="D4007" s="731"/>
      <c r="E4007" s="75"/>
      <c r="F4007" s="75"/>
      <c r="G4007" s="75"/>
      <c r="H4007" s="31"/>
    </row>
    <row r="4008" spans="2:8" hidden="1">
      <c r="B4008" s="405"/>
      <c r="C4008" s="76"/>
      <c r="D4008" s="731"/>
      <c r="E4008" s="75"/>
      <c r="F4008" s="75"/>
      <c r="G4008" s="75"/>
      <c r="H4008" s="31"/>
    </row>
    <row r="4009" spans="2:8" hidden="1">
      <c r="B4009" s="405"/>
      <c r="C4009" s="76"/>
      <c r="D4009" s="731"/>
      <c r="E4009" s="75"/>
      <c r="F4009" s="75"/>
      <c r="G4009" s="75"/>
      <c r="H4009" s="31"/>
    </row>
    <row r="4010" spans="2:8" hidden="1">
      <c r="B4010" s="405"/>
      <c r="C4010" s="76"/>
      <c r="D4010" s="731"/>
      <c r="E4010" s="75"/>
      <c r="F4010" s="75"/>
      <c r="G4010" s="75"/>
      <c r="H4010" s="31"/>
    </row>
    <row r="4011" spans="2:8" hidden="1">
      <c r="B4011" s="405"/>
      <c r="C4011" s="76"/>
      <c r="D4011" s="731"/>
      <c r="E4011" s="75"/>
      <c r="F4011" s="75"/>
      <c r="G4011" s="75"/>
      <c r="H4011" s="31"/>
    </row>
    <row r="4012" spans="2:8" hidden="1">
      <c r="B4012" s="405"/>
      <c r="C4012" s="76"/>
      <c r="D4012" s="731"/>
      <c r="E4012" s="75"/>
      <c r="F4012" s="75"/>
      <c r="G4012" s="75"/>
      <c r="H4012" s="31"/>
    </row>
    <row r="4013" spans="2:8" hidden="1">
      <c r="B4013" s="405"/>
      <c r="C4013" s="76"/>
      <c r="D4013" s="731"/>
      <c r="E4013" s="75"/>
      <c r="F4013" s="75"/>
      <c r="G4013" s="75"/>
      <c r="H4013" s="31"/>
    </row>
    <row r="4014" spans="2:8" hidden="1">
      <c r="B4014" s="405"/>
      <c r="C4014" s="76"/>
      <c r="D4014" s="731"/>
      <c r="E4014" s="75"/>
      <c r="F4014" s="75"/>
      <c r="G4014" s="75"/>
      <c r="H4014" s="31"/>
    </row>
    <row r="4015" spans="2:8" hidden="1">
      <c r="B4015" s="405"/>
      <c r="C4015" s="76"/>
      <c r="D4015" s="731"/>
      <c r="E4015" s="75"/>
      <c r="F4015" s="75"/>
      <c r="G4015" s="75"/>
      <c r="H4015" s="31"/>
    </row>
    <row r="4016" spans="2:8" hidden="1">
      <c r="B4016" s="33"/>
      <c r="C4016" s="31"/>
      <c r="D4016" s="31"/>
      <c r="E4016" s="200"/>
      <c r="F4016" s="200"/>
      <c r="G4016" s="75"/>
      <c r="H4016" s="31"/>
    </row>
    <row r="4017" spans="2:8" hidden="1">
      <c r="B4017" s="33"/>
      <c r="C4017" s="31"/>
      <c r="D4017" s="31"/>
      <c r="E4017" s="198"/>
      <c r="F4017" s="200"/>
      <c r="G4017" s="75"/>
      <c r="H4017" s="31"/>
    </row>
    <row r="4018" spans="2:8" hidden="1">
      <c r="B4018" s="33"/>
      <c r="C4018" s="31"/>
      <c r="D4018" s="31"/>
      <c r="E4018" s="198"/>
      <c r="F4018" s="200"/>
      <c r="G4018" s="75"/>
      <c r="H4018" s="31"/>
    </row>
    <row r="4019" spans="2:8" hidden="1">
      <c r="B4019" s="33"/>
      <c r="C4019" s="31"/>
      <c r="D4019" s="31"/>
      <c r="E4019" s="198"/>
      <c r="F4019" s="200"/>
      <c r="G4019" s="75"/>
      <c r="H4019" s="31"/>
    </row>
    <row r="4020" spans="2:8" hidden="1">
      <c r="B4020" s="33"/>
      <c r="C4020" s="30"/>
      <c r="D4020" s="30"/>
      <c r="E4020" s="30"/>
      <c r="F4020" s="200"/>
      <c r="G4020" s="75"/>
      <c r="H4020" s="31"/>
    </row>
    <row r="4021" spans="2:8" hidden="1">
      <c r="B4021" s="33"/>
      <c r="C4021" s="31"/>
      <c r="D4021" s="31"/>
      <c r="E4021" s="31"/>
      <c r="F4021" s="31"/>
      <c r="G4021" s="31"/>
      <c r="H4021" s="31"/>
    </row>
    <row r="4022" spans="2:8" hidden="1">
      <c r="B4022" s="76"/>
      <c r="C4022" s="31"/>
      <c r="D4022" s="31"/>
      <c r="E4022" s="31"/>
      <c r="F4022" s="31"/>
      <c r="G4022" s="31"/>
      <c r="H4022" s="31"/>
    </row>
    <row r="4023" spans="2:8" hidden="1">
      <c r="B4023" s="33"/>
      <c r="C4023" s="33"/>
      <c r="D4023" s="33"/>
      <c r="E4023" s="33"/>
      <c r="F4023" s="33"/>
      <c r="G4023" s="33"/>
      <c r="H4023" s="31"/>
    </row>
    <row r="4024" spans="2:8" hidden="1">
      <c r="B4024" s="33"/>
      <c r="C4024" s="31"/>
      <c r="D4024" s="33"/>
      <c r="E4024" s="33"/>
      <c r="F4024" s="33"/>
      <c r="G4024" s="33"/>
      <c r="H4024" s="31"/>
    </row>
    <row r="4025" spans="2:8" hidden="1">
      <c r="B4025" s="405"/>
      <c r="C4025" s="76"/>
      <c r="D4025" s="731"/>
      <c r="E4025" s="75"/>
      <c r="F4025" s="75"/>
      <c r="G4025" s="75"/>
      <c r="H4025" s="31"/>
    </row>
    <row r="4026" spans="2:8" hidden="1">
      <c r="B4026" s="405"/>
      <c r="C4026" s="76"/>
      <c r="D4026" s="731"/>
      <c r="E4026" s="75"/>
      <c r="F4026" s="75"/>
      <c r="G4026" s="75"/>
      <c r="H4026" s="31"/>
    </row>
    <row r="4027" spans="2:8" hidden="1">
      <c r="B4027" s="405"/>
      <c r="C4027" s="76"/>
      <c r="D4027" s="731"/>
      <c r="E4027" s="75"/>
      <c r="F4027" s="75"/>
      <c r="G4027" s="75"/>
      <c r="H4027" s="31"/>
    </row>
    <row r="4028" spans="2:8" hidden="1">
      <c r="B4028" s="405"/>
      <c r="C4028" s="76"/>
      <c r="D4028" s="731"/>
      <c r="E4028" s="75"/>
      <c r="F4028" s="75"/>
      <c r="G4028" s="75"/>
      <c r="H4028" s="31"/>
    </row>
    <row r="4029" spans="2:8" hidden="1">
      <c r="B4029" s="405"/>
      <c r="C4029" s="76"/>
      <c r="D4029" s="731"/>
      <c r="E4029" s="75"/>
      <c r="F4029" s="75"/>
      <c r="G4029" s="75"/>
      <c r="H4029" s="31"/>
    </row>
    <row r="4030" spans="2:8" hidden="1">
      <c r="B4030" s="405"/>
      <c r="C4030" s="76"/>
      <c r="D4030" s="731"/>
      <c r="E4030" s="75"/>
      <c r="F4030" s="75"/>
      <c r="G4030" s="75"/>
      <c r="H4030" s="31"/>
    </row>
    <row r="4031" spans="2:8" hidden="1">
      <c r="B4031" s="405"/>
      <c r="C4031" s="76"/>
      <c r="D4031" s="731"/>
      <c r="E4031" s="75"/>
      <c r="F4031" s="75"/>
      <c r="G4031" s="75"/>
      <c r="H4031" s="31"/>
    </row>
    <row r="4032" spans="2:8" hidden="1">
      <c r="B4032" s="405"/>
      <c r="C4032" s="76"/>
      <c r="D4032" s="731"/>
      <c r="E4032" s="75"/>
      <c r="F4032" s="75"/>
      <c r="G4032" s="75"/>
      <c r="H4032" s="31"/>
    </row>
    <row r="4033" spans="2:8" hidden="1">
      <c r="B4033" s="405"/>
      <c r="C4033" s="76"/>
      <c r="D4033" s="731"/>
      <c r="E4033" s="75"/>
      <c r="F4033" s="75"/>
      <c r="G4033" s="75"/>
      <c r="H4033" s="31"/>
    </row>
    <row r="4034" spans="2:8" hidden="1">
      <c r="B4034" s="30"/>
      <c r="C4034" s="76"/>
      <c r="D4034" s="731"/>
      <c r="E4034" s="75"/>
      <c r="F4034" s="75"/>
      <c r="G4034" s="75"/>
      <c r="H4034" s="31"/>
    </row>
    <row r="4035" spans="2:8" hidden="1">
      <c r="B4035" s="30"/>
      <c r="C4035" s="76"/>
      <c r="D4035" s="731"/>
      <c r="E4035" s="75"/>
      <c r="F4035" s="75"/>
      <c r="G4035" s="75"/>
      <c r="H4035" s="31"/>
    </row>
    <row r="4036" spans="2:8" hidden="1">
      <c r="B4036" s="30"/>
      <c r="C4036" s="76"/>
      <c r="D4036" s="731"/>
      <c r="E4036" s="75"/>
      <c r="F4036" s="75"/>
      <c r="G4036" s="75"/>
      <c r="H4036" s="31"/>
    </row>
    <row r="4037" spans="2:8" hidden="1">
      <c r="B4037" s="30"/>
      <c r="C4037" s="76"/>
      <c r="D4037" s="731"/>
      <c r="E4037" s="75"/>
      <c r="F4037" s="75"/>
      <c r="G4037" s="75"/>
      <c r="H4037" s="31"/>
    </row>
    <row r="4038" spans="2:8" hidden="1">
      <c r="B4038" s="33"/>
      <c r="C4038" s="31"/>
      <c r="D4038" s="31"/>
      <c r="E4038" s="200"/>
      <c r="F4038" s="200"/>
      <c r="G4038" s="75"/>
      <c r="H4038" s="31"/>
    </row>
    <row r="4039" spans="2:8" hidden="1">
      <c r="B4039" s="33"/>
      <c r="C4039" s="31"/>
      <c r="D4039" s="31"/>
      <c r="E4039" s="198"/>
      <c r="F4039" s="200"/>
      <c r="G4039" s="75"/>
      <c r="H4039" s="31"/>
    </row>
    <row r="4040" spans="2:8" hidden="1">
      <c r="B4040" s="33"/>
      <c r="C4040" s="31"/>
      <c r="D4040" s="31"/>
      <c r="E4040" s="198"/>
      <c r="F4040" s="200"/>
      <c r="G4040" s="75"/>
      <c r="H4040" s="31"/>
    </row>
    <row r="4041" spans="2:8" hidden="1">
      <c r="B4041" s="33"/>
      <c r="C4041" s="31"/>
      <c r="D4041" s="31"/>
      <c r="E4041" s="198"/>
      <c r="F4041" s="200"/>
      <c r="G4041" s="75"/>
      <c r="H4041" s="31"/>
    </row>
    <row r="4042" spans="2:8" hidden="1">
      <c r="B4042" s="33"/>
      <c r="C4042" s="31"/>
      <c r="D4042" s="31"/>
      <c r="E4042" s="198"/>
      <c r="F4042" s="200"/>
      <c r="G4042" s="75"/>
      <c r="H4042" s="31"/>
    </row>
    <row r="4043" spans="2:8" hidden="1">
      <c r="B4043" s="33"/>
      <c r="C4043" s="31"/>
      <c r="D4043" s="31"/>
      <c r="E4043" s="198"/>
      <c r="F4043" s="200"/>
      <c r="G4043" s="75"/>
      <c r="H4043" s="31"/>
    </row>
    <row r="4044" spans="2:8" hidden="1">
      <c r="B4044" s="33"/>
      <c r="C4044" s="200"/>
      <c r="D4044" s="30"/>
      <c r="E4044" s="30"/>
      <c r="F4044" s="200"/>
      <c r="G4044" s="75"/>
      <c r="H4044" s="31"/>
    </row>
    <row r="4045" spans="2:8" hidden="1">
      <c r="B4045" s="33"/>
      <c r="C4045" s="31"/>
      <c r="D4045" s="31"/>
      <c r="E4045" s="31"/>
      <c r="F4045" s="31"/>
      <c r="G4045" s="31"/>
      <c r="H4045" s="31"/>
    </row>
    <row r="4046" spans="2:8" hidden="1">
      <c r="B4046" s="33"/>
      <c r="C4046" s="31"/>
      <c r="D4046" s="31"/>
      <c r="E4046" s="31"/>
      <c r="F4046" s="31"/>
      <c r="G4046" s="31"/>
      <c r="H4046" s="31"/>
    </row>
    <row r="4047" spans="2:8" hidden="1">
      <c r="B4047" s="33"/>
      <c r="C4047" s="31"/>
      <c r="D4047" s="31"/>
      <c r="E4047" s="31"/>
      <c r="F4047" s="200"/>
      <c r="G4047" s="75"/>
      <c r="H4047" s="31"/>
    </row>
    <row r="4048" spans="2:8" hidden="1">
      <c r="B4048" s="33"/>
      <c r="C4048" s="31"/>
      <c r="D4048" s="31"/>
      <c r="E4048" s="31"/>
      <c r="F4048" s="200"/>
      <c r="G4048" s="75"/>
      <c r="H4048" s="31"/>
    </row>
    <row r="4049" spans="2:8" hidden="1">
      <c r="B4049" s="33"/>
      <c r="C4049" s="31"/>
      <c r="D4049" s="31"/>
      <c r="E4049" s="31"/>
      <c r="F4049" s="200"/>
      <c r="G4049" s="75"/>
      <c r="H4049" s="31"/>
    </row>
    <row r="4050" spans="2:8" hidden="1">
      <c r="B4050" s="33"/>
      <c r="C4050" s="31"/>
      <c r="D4050" s="31"/>
      <c r="E4050" s="200"/>
      <c r="F4050" s="200"/>
      <c r="G4050" s="75"/>
      <c r="H4050" s="31"/>
    </row>
    <row r="4051" spans="2:8" hidden="1">
      <c r="B4051" s="33"/>
      <c r="C4051" s="31"/>
      <c r="D4051" s="31"/>
      <c r="E4051" s="301"/>
      <c r="F4051" s="200"/>
      <c r="G4051" s="75"/>
      <c r="H4051" s="31"/>
    </row>
    <row r="4052" spans="2:8" hidden="1">
      <c r="B4052" s="33"/>
      <c r="C4052" s="31"/>
      <c r="D4052" s="31"/>
      <c r="E4052" s="767"/>
      <c r="F4052" s="200"/>
      <c r="G4052" s="75"/>
      <c r="H4052" s="31"/>
    </row>
    <row r="4053" spans="2:8" hidden="1">
      <c r="B4053" s="33"/>
      <c r="C4053" s="31"/>
      <c r="D4053" s="31"/>
      <c r="E4053" s="767"/>
      <c r="F4053" s="200"/>
      <c r="G4053" s="75"/>
      <c r="H4053" s="31"/>
    </row>
    <row r="4054" spans="2:8" hidden="1">
      <c r="B4054" s="33"/>
      <c r="C4054" s="31"/>
      <c r="D4054" s="31"/>
      <c r="E4054" s="767"/>
      <c r="F4054" s="200"/>
      <c r="G4054" s="75"/>
      <c r="H4054" s="31"/>
    </row>
    <row r="4055" spans="2:8" hidden="1">
      <c r="B4055" s="33"/>
      <c r="C4055" s="31"/>
      <c r="D4055" s="31"/>
      <c r="E4055" s="767"/>
      <c r="F4055" s="200"/>
      <c r="G4055" s="75"/>
      <c r="H4055" s="31"/>
    </row>
    <row r="4056" spans="2:8" hidden="1">
      <c r="B4056" s="33"/>
      <c r="C4056" s="31"/>
      <c r="D4056" s="75"/>
      <c r="E4056" s="767"/>
      <c r="F4056" s="200"/>
      <c r="G4056" s="75"/>
      <c r="H4056" s="31"/>
    </row>
    <row r="4057" spans="2:8" hidden="1">
      <c r="B4057" s="33"/>
      <c r="C4057" s="31"/>
      <c r="D4057" s="31"/>
      <c r="E4057" s="767"/>
      <c r="F4057" s="200"/>
      <c r="G4057" s="75"/>
      <c r="H4057" s="31"/>
    </row>
    <row r="4058" spans="2:8" hidden="1">
      <c r="B4058" s="33"/>
      <c r="C4058" s="31"/>
      <c r="D4058" s="31"/>
      <c r="E4058" s="200"/>
      <c r="F4058" s="200"/>
      <c r="G4058" s="75"/>
      <c r="H4058" s="31"/>
    </row>
    <row r="4059" spans="2:8" hidden="1">
      <c r="B4059" s="33"/>
      <c r="C4059" s="31"/>
      <c r="D4059" s="31"/>
      <c r="E4059" s="200"/>
      <c r="F4059" s="200"/>
      <c r="G4059" s="31"/>
      <c r="H4059" s="31"/>
    </row>
    <row r="4060" spans="2:8" hidden="1">
      <c r="B4060" s="33"/>
      <c r="C4060" s="31"/>
      <c r="D4060" s="75"/>
      <c r="E4060" s="76"/>
      <c r="F4060" s="200"/>
      <c r="G4060" s="75"/>
      <c r="H4060" s="31"/>
    </row>
    <row r="4061" spans="2:8" hidden="1">
      <c r="B4061" s="33"/>
      <c r="C4061" s="31"/>
      <c r="D4061" s="198"/>
      <c r="E4061" s="198"/>
      <c r="F4061" s="200"/>
      <c r="G4061" s="75"/>
      <c r="H4061" s="31"/>
    </row>
    <row r="4062" spans="2:8" hidden="1">
      <c r="B4062" s="33"/>
      <c r="C4062" s="31"/>
      <c r="D4062" s="768"/>
      <c r="E4062" s="31"/>
      <c r="F4062" s="200"/>
      <c r="G4062" s="75"/>
      <c r="H4062" s="31"/>
    </row>
    <row r="4063" spans="2:8" hidden="1">
      <c r="B4063" s="33"/>
      <c r="C4063" s="31"/>
      <c r="D4063" s="768"/>
      <c r="E4063" s="31"/>
      <c r="F4063" s="200"/>
      <c r="G4063" s="31"/>
      <c r="H4063" s="31"/>
    </row>
    <row r="4064" spans="2:8" hidden="1">
      <c r="B4064" s="33"/>
      <c r="C4064" s="31"/>
      <c r="D4064" s="200"/>
      <c r="E4064" s="31"/>
      <c r="F4064" s="200"/>
      <c r="G4064" s="75"/>
      <c r="H4064" s="31"/>
    </row>
    <row r="4065" spans="2:8" hidden="1">
      <c r="B4065" s="33"/>
      <c r="C4065" s="31"/>
      <c r="D4065" s="200"/>
      <c r="E4065" s="200"/>
      <c r="F4065" s="200"/>
      <c r="G4065" s="75"/>
      <c r="H4065" s="31"/>
    </row>
    <row r="4066" spans="2:8" hidden="1">
      <c r="B4066" s="33"/>
      <c r="C4066" s="31"/>
      <c r="D4066" s="31"/>
      <c r="E4066" s="31"/>
      <c r="F4066" s="31"/>
      <c r="G4066" s="31"/>
      <c r="H4066" s="31"/>
    </row>
    <row r="4067" spans="2:8" hidden="1">
      <c r="B4067" s="33"/>
      <c r="C4067" s="31"/>
      <c r="D4067" s="31"/>
      <c r="E4067" s="31"/>
      <c r="F4067" s="31"/>
      <c r="G4067" s="31"/>
      <c r="H4067" s="31"/>
    </row>
    <row r="4068" spans="2:8" hidden="1">
      <c r="B4068" s="33"/>
      <c r="C4068" s="31"/>
      <c r="D4068" s="33"/>
      <c r="E4068" s="31"/>
      <c r="F4068" s="200"/>
      <c r="G4068" s="76"/>
      <c r="H4068" s="31"/>
    </row>
    <row r="4069" spans="2:8" hidden="1">
      <c r="B4069" s="33"/>
      <c r="C4069" s="31"/>
      <c r="D4069" s="31"/>
      <c r="E4069" s="31"/>
      <c r="F4069" s="31"/>
      <c r="G4069" s="31"/>
      <c r="H4069" s="31"/>
    </row>
    <row r="4070" spans="2:8" hidden="1">
      <c r="B4070" s="33"/>
      <c r="C4070" s="31"/>
      <c r="D4070" s="31"/>
      <c r="E4070" s="31"/>
      <c r="F4070" s="31"/>
      <c r="G4070" s="31"/>
      <c r="H4070" s="31"/>
    </row>
    <row r="4071" spans="2:8" hidden="1">
      <c r="B4071" s="33"/>
      <c r="C4071" s="31"/>
      <c r="D4071" s="31"/>
      <c r="E4071" s="31"/>
      <c r="F4071" s="31"/>
      <c r="G4071" s="31"/>
      <c r="H4071" s="31"/>
    </row>
    <row r="4072" spans="2:8" hidden="1">
      <c r="B4072" s="33"/>
      <c r="C4072" s="31"/>
      <c r="D4072" s="31"/>
      <c r="E4072" s="31"/>
      <c r="F4072" s="31"/>
      <c r="G4072" s="31"/>
      <c r="H4072" s="31"/>
    </row>
    <row r="4073" spans="2:8" hidden="1">
      <c r="B4073" s="33"/>
      <c r="C4073" s="31"/>
      <c r="D4073" s="31"/>
      <c r="E4073" s="31"/>
      <c r="F4073" s="31"/>
      <c r="G4073" s="31"/>
      <c r="H4073" s="31"/>
    </row>
    <row r="4074" spans="2:8" hidden="1">
      <c r="B4074" s="33"/>
      <c r="C4074" s="31"/>
      <c r="D4074" s="31"/>
      <c r="E4074" s="31"/>
      <c r="F4074" s="31"/>
      <c r="G4074" s="31"/>
      <c r="H4074" s="31"/>
    </row>
    <row r="4075" spans="2:8" hidden="1">
      <c r="B4075" s="33"/>
      <c r="C4075" s="31"/>
      <c r="D4075" s="31"/>
      <c r="E4075" s="31"/>
      <c r="F4075" s="31"/>
      <c r="G4075" s="31"/>
      <c r="H4075" s="31"/>
    </row>
    <row r="4076" spans="2:8" hidden="1">
      <c r="B4076" s="33"/>
      <c r="C4076" s="31"/>
      <c r="D4076" s="31"/>
      <c r="E4076" s="31"/>
      <c r="F4076" s="31"/>
      <c r="G4076" s="31"/>
      <c r="H4076" s="31"/>
    </row>
    <row r="4077" spans="2:8" hidden="1">
      <c r="B4077" s="33"/>
      <c r="C4077" s="31"/>
      <c r="D4077" s="31"/>
      <c r="E4077" s="31"/>
      <c r="F4077" s="31"/>
      <c r="G4077" s="31"/>
      <c r="H4077" s="31"/>
    </row>
    <row r="4078" spans="2:8" hidden="1">
      <c r="B4078" s="33"/>
      <c r="C4078" s="31"/>
      <c r="D4078" s="31"/>
      <c r="E4078" s="31"/>
      <c r="F4078" s="31"/>
      <c r="G4078" s="31"/>
      <c r="H4078" s="31"/>
    </row>
    <row r="4079" spans="2:8" hidden="1">
      <c r="B4079" s="33"/>
      <c r="C4079" s="31"/>
      <c r="D4079" s="31"/>
      <c r="E4079" s="31"/>
      <c r="F4079" s="31"/>
      <c r="G4079" s="31"/>
      <c r="H4079" s="31"/>
    </row>
    <row r="4080" spans="2:8" hidden="1">
      <c r="B4080" s="33"/>
      <c r="C4080" s="31"/>
      <c r="D4080" s="31"/>
      <c r="E4080" s="31"/>
      <c r="F4080" s="31"/>
      <c r="G4080" s="31"/>
      <c r="H4080" s="31"/>
    </row>
    <row r="4081" spans="2:8" hidden="1">
      <c r="B4081" s="33"/>
      <c r="C4081" s="31"/>
      <c r="D4081" s="31"/>
      <c r="E4081" s="31"/>
      <c r="F4081" s="31"/>
      <c r="G4081" s="31"/>
      <c r="H4081" s="31"/>
    </row>
    <row r="4082" spans="2:8" hidden="1">
      <c r="B4082" s="33"/>
      <c r="C4082" s="31"/>
      <c r="D4082" s="31"/>
      <c r="E4082" s="31"/>
      <c r="F4082" s="31"/>
      <c r="G4082" s="31"/>
      <c r="H4082" s="31"/>
    </row>
    <row r="4083" spans="2:8" hidden="1">
      <c r="B4083" s="33"/>
      <c r="C4083" s="31"/>
      <c r="D4083" s="31"/>
      <c r="E4083" s="31"/>
      <c r="F4083" s="31"/>
      <c r="G4083" s="31"/>
      <c r="H4083" s="31"/>
    </row>
    <row r="4084" spans="2:8" hidden="1">
      <c r="B4084" s="33"/>
      <c r="C4084" s="31"/>
      <c r="D4084" s="31"/>
      <c r="E4084" s="31"/>
      <c r="F4084" s="31"/>
      <c r="G4084" s="31"/>
      <c r="H4084" s="31"/>
    </row>
    <row r="4085" spans="2:8" hidden="1">
      <c r="B4085" s="33"/>
      <c r="C4085" s="31"/>
      <c r="D4085" s="31"/>
      <c r="E4085" s="31"/>
      <c r="F4085" s="31"/>
      <c r="G4085" s="31"/>
      <c r="H4085" s="31"/>
    </row>
    <row r="4086" spans="2:8" hidden="1">
      <c r="B4086" s="33"/>
      <c r="C4086" s="200"/>
      <c r="D4086" s="31"/>
      <c r="E4086" s="31"/>
      <c r="F4086" s="691"/>
      <c r="G4086" s="31"/>
      <c r="H4086" s="31"/>
    </row>
    <row r="4087" spans="2:8" hidden="1">
      <c r="B4087" s="33"/>
      <c r="C4087" s="31"/>
      <c r="D4087" s="31"/>
      <c r="E4087" s="31"/>
      <c r="F4087" s="691"/>
      <c r="G4087" s="31"/>
      <c r="H4087" s="31"/>
    </row>
    <row r="4088" spans="2:8" hidden="1">
      <c r="B4088" s="33"/>
      <c r="C4088" s="31"/>
      <c r="D4088" s="31"/>
      <c r="E4088" s="31"/>
      <c r="F4088" s="691"/>
      <c r="G4088" s="31"/>
      <c r="H4088" s="31"/>
    </row>
    <row r="4089" spans="2:8" hidden="1">
      <c r="B4089" s="33"/>
      <c r="C4089" s="31"/>
      <c r="D4089" s="31"/>
      <c r="E4089" s="31"/>
      <c r="F4089" s="691"/>
      <c r="G4089" s="31"/>
      <c r="H4089" s="31"/>
    </row>
    <row r="4090" spans="2:8" hidden="1">
      <c r="B4090" s="200"/>
      <c r="C4090" s="31"/>
      <c r="D4090" s="31"/>
      <c r="E4090" s="31"/>
      <c r="F4090" s="691"/>
      <c r="G4090" s="31"/>
      <c r="H4090" s="31"/>
    </row>
    <row r="4091" spans="2:8" hidden="1">
      <c r="B4091" s="200"/>
      <c r="C4091" s="31"/>
      <c r="D4091" s="31"/>
      <c r="E4091" s="31"/>
      <c r="F4091" s="691"/>
      <c r="G4091" s="31"/>
      <c r="H4091" s="31"/>
    </row>
    <row r="4092" spans="2:8" hidden="1">
      <c r="B4092" s="200"/>
      <c r="C4092" s="31"/>
      <c r="D4092" s="31"/>
      <c r="E4092" s="31"/>
      <c r="F4092" s="691"/>
      <c r="G4092" s="31"/>
      <c r="H4092" s="31"/>
    </row>
    <row r="4093" spans="2:8" hidden="1">
      <c r="B4093" s="200"/>
      <c r="C4093" s="31"/>
      <c r="D4093" s="31"/>
      <c r="E4093" s="31"/>
      <c r="F4093" s="691"/>
      <c r="G4093" s="31"/>
      <c r="H4093" s="31"/>
    </row>
    <row r="4094" spans="2:8" hidden="1">
      <c r="B4094" s="200"/>
      <c r="C4094" s="31"/>
      <c r="D4094" s="31"/>
      <c r="E4094" s="31"/>
      <c r="F4094" s="691"/>
      <c r="G4094" s="31"/>
      <c r="H4094" s="31"/>
    </row>
    <row r="4095" spans="2:8" hidden="1">
      <c r="B4095" s="200"/>
      <c r="C4095" s="31"/>
      <c r="D4095" s="31"/>
      <c r="E4095" s="31"/>
      <c r="F4095" s="691"/>
      <c r="G4095" s="31"/>
      <c r="H4095" s="31"/>
    </row>
    <row r="4096" spans="2:8" hidden="1">
      <c r="B4096" s="200"/>
      <c r="C4096" s="31"/>
      <c r="D4096" s="31"/>
      <c r="E4096" s="31"/>
      <c r="F4096" s="691"/>
      <c r="G4096" s="31"/>
      <c r="H4096" s="31"/>
    </row>
    <row r="4097" spans="2:8" hidden="1">
      <c r="B4097" s="200"/>
      <c r="C4097" s="31"/>
      <c r="D4097" s="31"/>
      <c r="E4097" s="31"/>
      <c r="F4097" s="691"/>
      <c r="G4097" s="31"/>
      <c r="H4097" s="31"/>
    </row>
    <row r="4098" spans="2:8" hidden="1">
      <c r="B4098" s="33"/>
      <c r="C4098" s="31"/>
      <c r="D4098" s="31"/>
      <c r="E4098" s="31"/>
      <c r="F4098" s="691"/>
      <c r="G4098" s="31"/>
      <c r="H4098" s="31"/>
    </row>
    <row r="4099" spans="2:8" hidden="1">
      <c r="B4099" s="33"/>
      <c r="C4099" s="31"/>
      <c r="D4099" s="31"/>
      <c r="E4099" s="31"/>
      <c r="F4099" s="691"/>
      <c r="G4099" s="31"/>
      <c r="H4099" s="31"/>
    </row>
    <row r="4100" spans="2:8" hidden="1">
      <c r="B4100" s="33"/>
      <c r="C4100" s="31"/>
      <c r="D4100" s="31"/>
      <c r="E4100" s="31"/>
      <c r="F4100" s="691"/>
      <c r="G4100" s="31"/>
      <c r="H4100" s="31"/>
    </row>
    <row r="4101" spans="2:8" hidden="1">
      <c r="B4101" s="33"/>
      <c r="C4101" s="31"/>
      <c r="D4101" s="31"/>
      <c r="E4101" s="31"/>
      <c r="F4101" s="691"/>
      <c r="G4101" s="31"/>
      <c r="H4101" s="31"/>
    </row>
    <row r="4102" spans="2:8" hidden="1">
      <c r="B4102" s="33"/>
      <c r="C4102" s="31"/>
      <c r="D4102" s="31"/>
      <c r="E4102" s="31"/>
      <c r="F4102" s="691"/>
      <c r="G4102" s="31"/>
      <c r="H4102" s="31"/>
    </row>
    <row r="4103" spans="2:8" hidden="1">
      <c r="B4103" s="33"/>
      <c r="C4103" s="31"/>
      <c r="D4103" s="31"/>
      <c r="E4103" s="31"/>
      <c r="F4103" s="691"/>
      <c r="G4103" s="31"/>
      <c r="H4103" s="31"/>
    </row>
    <row r="4104" spans="2:8" hidden="1">
      <c r="B4104" s="33"/>
      <c r="C4104" s="31"/>
      <c r="D4104" s="31"/>
      <c r="E4104" s="31"/>
      <c r="F4104" s="691"/>
      <c r="G4104" s="31"/>
      <c r="H4104" s="31"/>
    </row>
    <row r="4105" spans="2:8" hidden="1">
      <c r="B4105" s="33"/>
      <c r="C4105" s="31"/>
      <c r="D4105" s="31"/>
      <c r="E4105" s="200"/>
      <c r="F4105" s="691"/>
      <c r="G4105" s="31"/>
      <c r="H4105" s="31"/>
    </row>
    <row r="4106" spans="2:8" hidden="1">
      <c r="B4106" s="33"/>
      <c r="C4106" s="31"/>
      <c r="D4106" s="31"/>
      <c r="E4106" s="31"/>
      <c r="F4106" s="691"/>
      <c r="G4106" s="31"/>
      <c r="H4106" s="31"/>
    </row>
    <row r="4107" spans="2:8" hidden="1">
      <c r="B4107" s="33"/>
      <c r="C4107" s="31"/>
      <c r="D4107" s="31"/>
      <c r="E4107" s="31"/>
      <c r="F4107" s="691"/>
      <c r="G4107" s="31"/>
      <c r="H4107" s="31"/>
    </row>
    <row r="4108" spans="2:8" hidden="1">
      <c r="B4108" s="33"/>
      <c r="C4108" s="31"/>
      <c r="D4108" s="31"/>
      <c r="E4108" s="31"/>
      <c r="F4108" s="691"/>
      <c r="G4108" s="31"/>
      <c r="H4108" s="31"/>
    </row>
    <row r="4109" spans="2:8" hidden="1">
      <c r="B4109" s="33"/>
      <c r="C4109" s="31"/>
      <c r="D4109" s="31"/>
      <c r="E4109" s="31"/>
      <c r="F4109" s="691"/>
      <c r="G4109" s="31"/>
      <c r="H4109" s="31"/>
    </row>
    <row r="4110" spans="2:8" hidden="1">
      <c r="B4110" s="33"/>
      <c r="C4110" s="31"/>
      <c r="D4110" s="31"/>
      <c r="E4110" s="31"/>
      <c r="F4110" s="691"/>
      <c r="G4110" s="31"/>
      <c r="H4110" s="31"/>
    </row>
    <row r="4111" spans="2:8" hidden="1">
      <c r="B4111" s="33"/>
      <c r="C4111" s="31"/>
      <c r="D4111" s="31"/>
      <c r="E4111" s="31"/>
      <c r="F4111" s="691"/>
      <c r="G4111" s="31"/>
      <c r="H4111" s="31"/>
    </row>
    <row r="4112" spans="2:8" hidden="1">
      <c r="B4112" s="33"/>
      <c r="C4112" s="31"/>
      <c r="D4112" s="31"/>
      <c r="E4112" s="31"/>
      <c r="F4112" s="691"/>
      <c r="G4112" s="31"/>
      <c r="H4112" s="31"/>
    </row>
    <row r="4113" spans="2:8" hidden="1">
      <c r="B4113" s="33"/>
      <c r="C4113" s="31"/>
      <c r="D4113" s="31"/>
      <c r="E4113" s="31"/>
      <c r="F4113" s="691"/>
      <c r="G4113" s="31"/>
      <c r="H4113" s="31"/>
    </row>
    <row r="4114" spans="2:8" hidden="1">
      <c r="B4114" s="33"/>
      <c r="C4114" s="31"/>
      <c r="D4114" s="31"/>
      <c r="E4114" s="31"/>
      <c r="F4114" s="691"/>
      <c r="G4114" s="31"/>
      <c r="H4114" s="31"/>
    </row>
    <row r="4115" spans="2:8" hidden="1">
      <c r="B4115" s="33"/>
      <c r="C4115" s="31"/>
      <c r="D4115" s="31"/>
      <c r="E4115" s="31"/>
      <c r="F4115" s="691"/>
      <c r="G4115" s="31"/>
      <c r="H4115" s="31"/>
    </row>
    <row r="4116" spans="2:8" hidden="1">
      <c r="B4116" s="33"/>
      <c r="C4116" s="31"/>
      <c r="D4116" s="31"/>
      <c r="E4116" s="31"/>
      <c r="F4116" s="691"/>
      <c r="G4116" s="31"/>
      <c r="H4116" s="31"/>
    </row>
    <row r="4117" spans="2:8" hidden="1">
      <c r="B4117" s="33"/>
      <c r="C4117" s="31"/>
      <c r="D4117" s="31"/>
      <c r="E4117" s="31"/>
      <c r="F4117" s="691"/>
      <c r="G4117" s="31"/>
      <c r="H4117" s="31"/>
    </row>
    <row r="4118" spans="2:8" hidden="1">
      <c r="B4118" s="33"/>
      <c r="C4118" s="31"/>
      <c r="D4118" s="31"/>
      <c r="E4118" s="31"/>
      <c r="F4118" s="691"/>
      <c r="G4118" s="31"/>
      <c r="H4118" s="31"/>
    </row>
    <row r="4119" spans="2:8" hidden="1">
      <c r="B4119" s="33"/>
      <c r="C4119" s="31"/>
      <c r="D4119" s="31"/>
      <c r="E4119" s="31"/>
      <c r="F4119" s="691"/>
      <c r="G4119" s="31"/>
      <c r="H4119" s="31"/>
    </row>
    <row r="4120" spans="2:8" hidden="1">
      <c r="B4120" s="33"/>
      <c r="C4120" s="31"/>
      <c r="D4120" s="31"/>
      <c r="E4120" s="31"/>
      <c r="F4120" s="691"/>
      <c r="G4120" s="31"/>
      <c r="H4120" s="31"/>
    </row>
    <row r="4121" spans="2:8" hidden="1">
      <c r="B4121" s="33"/>
      <c r="C4121" s="31"/>
      <c r="D4121" s="31"/>
      <c r="E4121" s="200"/>
      <c r="F4121" s="691"/>
      <c r="G4121" s="31"/>
      <c r="H4121" s="31"/>
    </row>
    <row r="4122" spans="2:8" hidden="1">
      <c r="B4122" s="33"/>
      <c r="C4122" s="31"/>
      <c r="D4122" s="31"/>
      <c r="E4122" s="31"/>
      <c r="F4122" s="31"/>
      <c r="G4122" s="31"/>
      <c r="H4122" s="31"/>
    </row>
    <row r="4123" spans="2:8" hidden="1">
      <c r="B4123" s="33"/>
      <c r="C4123" s="31"/>
      <c r="D4123" s="31"/>
      <c r="E4123" s="31"/>
      <c r="F4123" s="31"/>
      <c r="G4123" s="31"/>
      <c r="H4123" s="31"/>
    </row>
    <row r="4124" spans="2:8" hidden="1">
      <c r="B4124" s="33"/>
      <c r="C4124" s="31"/>
      <c r="D4124" s="31"/>
      <c r="E4124" s="31"/>
      <c r="F4124" s="691"/>
      <c r="G4124" s="31"/>
      <c r="H4124" s="31"/>
    </row>
    <row r="4125" spans="2:8" hidden="1">
      <c r="B4125" s="33"/>
      <c r="C4125" s="31"/>
      <c r="D4125" s="31"/>
      <c r="E4125" s="31"/>
      <c r="F4125" s="31"/>
      <c r="G4125" s="31"/>
      <c r="H4125" s="31"/>
    </row>
    <row r="4126" spans="2:8" hidden="1">
      <c r="B4126" s="33"/>
      <c r="C4126" s="31"/>
      <c r="D4126" s="31"/>
      <c r="E4126" s="31"/>
      <c r="F4126" s="31"/>
      <c r="G4126" s="31"/>
      <c r="H4126" s="31"/>
    </row>
    <row r="4127" spans="2:8" hidden="1">
      <c r="B4127" s="33"/>
      <c r="C4127" s="31"/>
      <c r="D4127" s="31"/>
      <c r="E4127" s="31"/>
      <c r="F4127" s="691"/>
      <c r="G4127" s="31"/>
      <c r="H4127" s="31"/>
    </row>
    <row r="4128" spans="2:8" hidden="1">
      <c r="B4128" s="33"/>
      <c r="C4128" s="31"/>
      <c r="D4128" s="31"/>
      <c r="E4128" s="31"/>
      <c r="F4128" s="691"/>
      <c r="G4128" s="31"/>
      <c r="H4128" s="31"/>
    </row>
    <row r="4129" spans="2:8" hidden="1">
      <c r="B4129" s="33"/>
      <c r="C4129" s="31"/>
      <c r="D4129" s="31"/>
      <c r="E4129" s="31"/>
      <c r="F4129" s="691"/>
      <c r="G4129" s="31"/>
      <c r="H4129" s="31"/>
    </row>
    <row r="4130" spans="2:8" hidden="1">
      <c r="B4130" s="33"/>
      <c r="C4130" s="31"/>
      <c r="D4130" s="31"/>
      <c r="E4130" s="31"/>
      <c r="F4130" s="691"/>
      <c r="G4130" s="31"/>
      <c r="H4130" s="31"/>
    </row>
    <row r="4131" spans="2:8" hidden="1">
      <c r="B4131" s="33"/>
      <c r="C4131" s="31"/>
      <c r="D4131" s="31"/>
      <c r="E4131" s="31"/>
      <c r="F4131" s="691"/>
      <c r="G4131" s="31"/>
      <c r="H4131" s="31"/>
    </row>
    <row r="4132" spans="2:8" hidden="1">
      <c r="B4132" s="33"/>
      <c r="C4132" s="31"/>
      <c r="D4132" s="31"/>
      <c r="E4132" s="31"/>
      <c r="F4132" s="691"/>
      <c r="G4132" s="31"/>
      <c r="H4132" s="31"/>
    </row>
    <row r="4133" spans="2:8" hidden="1">
      <c r="B4133" s="33"/>
      <c r="C4133" s="31"/>
      <c r="D4133" s="31"/>
      <c r="E4133" s="31"/>
      <c r="F4133" s="691"/>
      <c r="G4133" s="31"/>
      <c r="H4133" s="31"/>
    </row>
    <row r="4134" spans="2:8" hidden="1">
      <c r="B4134" s="33"/>
      <c r="C4134" s="31"/>
      <c r="D4134" s="31"/>
      <c r="E4134" s="31"/>
      <c r="F4134" s="691"/>
      <c r="G4134" s="31"/>
      <c r="H4134" s="31"/>
    </row>
    <row r="4135" spans="2:8" hidden="1">
      <c r="B4135" s="33"/>
      <c r="C4135" s="31"/>
      <c r="D4135" s="31"/>
      <c r="E4135" s="31"/>
      <c r="F4135" s="691"/>
      <c r="G4135" s="31"/>
      <c r="H4135" s="31"/>
    </row>
    <row r="4136" spans="2:8" hidden="1">
      <c r="B4136" s="33"/>
      <c r="C4136" s="31"/>
      <c r="D4136" s="31"/>
      <c r="E4136" s="31"/>
      <c r="F4136" s="691"/>
      <c r="G4136" s="31"/>
      <c r="H4136" s="31"/>
    </row>
    <row r="4137" spans="2:8" hidden="1">
      <c r="B4137" s="33"/>
      <c r="C4137" s="31"/>
      <c r="D4137" s="31"/>
      <c r="E4137" s="31"/>
      <c r="F4137" s="31"/>
      <c r="G4137" s="31"/>
      <c r="H4137" s="31"/>
    </row>
    <row r="4138" spans="2:8" hidden="1">
      <c r="B4138" s="33"/>
      <c r="C4138" s="31"/>
      <c r="D4138" s="31"/>
      <c r="E4138" s="31"/>
      <c r="F4138" s="31"/>
      <c r="G4138" s="31"/>
      <c r="H4138" s="31"/>
    </row>
    <row r="4139" spans="2:8" hidden="1">
      <c r="B4139" s="33"/>
      <c r="C4139" s="31"/>
      <c r="D4139" s="31"/>
      <c r="E4139" s="31"/>
      <c r="F4139" s="31"/>
      <c r="G4139" s="31"/>
      <c r="H4139" s="31"/>
    </row>
    <row r="4140" spans="2:8" hidden="1">
      <c r="B4140" s="33"/>
      <c r="C4140" s="31"/>
      <c r="D4140" s="31"/>
      <c r="E4140" s="31"/>
      <c r="F4140" s="691"/>
      <c r="G4140" s="31"/>
      <c r="H4140" s="31"/>
    </row>
    <row r="4141" spans="2:8" hidden="1">
      <c r="B4141" s="33"/>
      <c r="C4141" s="31"/>
      <c r="D4141" s="31"/>
      <c r="E4141" s="31"/>
      <c r="F4141" s="31"/>
      <c r="G4141" s="31"/>
      <c r="H4141" s="31"/>
    </row>
    <row r="4142" spans="2:8" hidden="1">
      <c r="B4142" s="33"/>
      <c r="C4142" s="31"/>
      <c r="D4142" s="31"/>
      <c r="E4142" s="31"/>
      <c r="F4142" s="31"/>
      <c r="G4142" s="31"/>
      <c r="H4142" s="31"/>
    </row>
    <row r="4143" spans="2:8" hidden="1">
      <c r="B4143" s="33"/>
      <c r="C4143" s="31"/>
      <c r="D4143" s="31"/>
      <c r="E4143" s="31"/>
      <c r="F4143" s="31"/>
      <c r="G4143" s="31"/>
      <c r="H4143" s="31"/>
    </row>
    <row r="4144" spans="2:8" hidden="1">
      <c r="B4144" s="33"/>
      <c r="C4144" s="31"/>
      <c r="D4144" s="31"/>
      <c r="E4144" s="31"/>
      <c r="F4144" s="31"/>
      <c r="G4144" s="31"/>
      <c r="H4144" s="31"/>
    </row>
    <row r="4145" spans="2:8" hidden="1">
      <c r="B4145" s="33"/>
      <c r="C4145" s="31"/>
      <c r="D4145" s="31"/>
      <c r="E4145" s="31"/>
      <c r="F4145" s="31"/>
      <c r="G4145" s="31"/>
      <c r="H4145" s="31"/>
    </row>
    <row r="4146" spans="2:8" hidden="1">
      <c r="B4146" s="33"/>
      <c r="C4146" s="31"/>
      <c r="D4146" s="31"/>
      <c r="E4146" s="31"/>
      <c r="F4146" s="31"/>
      <c r="G4146" s="31"/>
      <c r="H4146" s="31"/>
    </row>
    <row r="4147" spans="2:8" hidden="1">
      <c r="B4147" s="33"/>
      <c r="C4147" s="31"/>
      <c r="D4147" s="31"/>
      <c r="E4147" s="31"/>
      <c r="F4147" s="31"/>
      <c r="G4147" s="31"/>
      <c r="H4147" s="31"/>
    </row>
    <row r="4148" spans="2:8" hidden="1">
      <c r="B4148" s="33"/>
      <c r="C4148" s="31"/>
      <c r="D4148" s="31"/>
      <c r="E4148" s="31"/>
      <c r="F4148" s="31"/>
      <c r="G4148" s="31"/>
      <c r="H4148" s="31"/>
    </row>
    <row r="4149" spans="2:8" hidden="1">
      <c r="B4149" s="33"/>
      <c r="C4149" s="31"/>
      <c r="D4149" s="31"/>
      <c r="E4149" s="31"/>
      <c r="F4149" s="31"/>
      <c r="G4149" s="31"/>
      <c r="H4149" s="31"/>
    </row>
    <row r="4150" spans="2:8" hidden="1">
      <c r="B4150" s="33"/>
      <c r="C4150" s="31"/>
      <c r="D4150" s="31"/>
      <c r="E4150" s="31"/>
      <c r="F4150" s="33"/>
      <c r="G4150" s="31"/>
      <c r="H4150" s="31"/>
    </row>
    <row r="4151" spans="2:8" hidden="1">
      <c r="B4151" s="33"/>
      <c r="C4151" s="31"/>
      <c r="D4151" s="33"/>
      <c r="E4151" s="33"/>
      <c r="F4151" s="33"/>
      <c r="G4151" s="33"/>
      <c r="H4151" s="31"/>
    </row>
    <row r="4152" spans="2:8" hidden="1">
      <c r="B4152" s="33"/>
      <c r="C4152" s="31"/>
      <c r="D4152" s="33"/>
      <c r="E4152" s="33"/>
      <c r="F4152" s="33"/>
      <c r="G4152" s="33"/>
      <c r="H4152" s="31"/>
    </row>
    <row r="4153" spans="2:8" hidden="1">
      <c r="B4153" s="33"/>
      <c r="C4153" s="31"/>
      <c r="D4153" s="33"/>
      <c r="E4153" s="33"/>
      <c r="F4153" s="33"/>
      <c r="G4153" s="33"/>
      <c r="H4153" s="31"/>
    </row>
    <row r="4154" spans="2:8" hidden="1">
      <c r="B4154" s="33"/>
      <c r="C4154" s="31"/>
      <c r="D4154" s="33"/>
      <c r="E4154" s="33"/>
      <c r="F4154" s="33"/>
      <c r="G4154" s="33"/>
      <c r="H4154" s="31"/>
    </row>
    <row r="4155" spans="2:8" hidden="1">
      <c r="B4155" s="33"/>
      <c r="C4155" s="31"/>
      <c r="D4155" s="33"/>
      <c r="E4155" s="33"/>
      <c r="F4155" s="33"/>
      <c r="G4155" s="33"/>
      <c r="H4155" s="31"/>
    </row>
    <row r="4156" spans="2:8" hidden="1">
      <c r="B4156" s="33"/>
      <c r="C4156" s="31"/>
      <c r="D4156" s="33"/>
      <c r="E4156" s="33"/>
      <c r="F4156" s="33"/>
      <c r="G4156" s="33"/>
      <c r="H4156" s="31"/>
    </row>
    <row r="4157" spans="2:8" hidden="1">
      <c r="B4157" s="33"/>
      <c r="C4157" s="31"/>
      <c r="D4157" s="33"/>
      <c r="E4157" s="33"/>
      <c r="F4157" s="33"/>
      <c r="G4157" s="33"/>
      <c r="H4157" s="31"/>
    </row>
    <row r="4158" spans="2:8" hidden="1">
      <c r="B4158" s="33"/>
      <c r="C4158" s="31"/>
      <c r="D4158" s="33"/>
      <c r="E4158" s="33"/>
      <c r="F4158" s="33"/>
      <c r="G4158" s="33"/>
      <c r="H4158" s="31"/>
    </row>
    <row r="4159" spans="2:8" hidden="1">
      <c r="B4159" s="33"/>
      <c r="C4159" s="33"/>
      <c r="D4159" s="33"/>
      <c r="E4159" s="33"/>
      <c r="F4159" s="33"/>
      <c r="G4159" s="33"/>
      <c r="H4159" s="31"/>
    </row>
    <row r="4160" spans="2:8" hidden="1">
      <c r="B4160" s="33"/>
      <c r="C4160" s="31"/>
      <c r="D4160" s="31"/>
      <c r="E4160" s="31"/>
      <c r="F4160" s="31"/>
      <c r="G4160" s="31"/>
      <c r="H4160" s="31"/>
    </row>
    <row r="4161" spans="2:8" hidden="1">
      <c r="B4161" s="33"/>
      <c r="C4161" s="31"/>
      <c r="D4161" s="31"/>
      <c r="E4161" s="31"/>
      <c r="F4161" s="31"/>
      <c r="G4161" s="31"/>
      <c r="H4161" s="31"/>
    </row>
    <row r="4162" spans="2:8" hidden="1">
      <c r="B4162" s="33"/>
      <c r="C4162" s="31"/>
      <c r="D4162" s="31"/>
      <c r="E4162" s="31"/>
      <c r="F4162" s="31"/>
      <c r="G4162" s="31"/>
      <c r="H4162" s="31"/>
    </row>
    <row r="4163" spans="2:8" hidden="1">
      <c r="B4163" s="33"/>
      <c r="C4163" s="31"/>
      <c r="D4163" s="31"/>
      <c r="E4163" s="31"/>
      <c r="F4163" s="31"/>
      <c r="G4163" s="31"/>
      <c r="H4163" s="31"/>
    </row>
    <row r="4164" spans="2:8" hidden="1">
      <c r="B4164" s="33"/>
      <c r="C4164" s="31"/>
      <c r="D4164" s="31"/>
      <c r="E4164" s="31"/>
      <c r="F4164" s="31"/>
      <c r="G4164" s="31"/>
      <c r="H4164" s="31"/>
    </row>
    <row r="4165" spans="2:8" hidden="1">
      <c r="B4165" s="33"/>
      <c r="C4165" s="31"/>
      <c r="D4165" s="31"/>
      <c r="E4165" s="31"/>
      <c r="F4165" s="31"/>
      <c r="G4165" s="31"/>
      <c r="H4165" s="31"/>
    </row>
    <row r="4166" spans="2:8" hidden="1">
      <c r="B4166" s="33"/>
      <c r="C4166" s="31"/>
      <c r="D4166" s="31"/>
      <c r="E4166" s="31"/>
      <c r="F4166" s="31"/>
      <c r="G4166" s="31"/>
      <c r="H4166" s="31"/>
    </row>
    <row r="4167" spans="2:8" hidden="1">
      <c r="B4167" s="33"/>
      <c r="C4167" s="31"/>
      <c r="D4167" s="31"/>
      <c r="E4167" s="31"/>
      <c r="F4167" s="31"/>
      <c r="G4167" s="31"/>
      <c r="H4167" s="31"/>
    </row>
    <row r="4168" spans="2:8" hidden="1">
      <c r="B4168" s="33"/>
      <c r="C4168" s="31"/>
      <c r="D4168" s="31"/>
      <c r="E4168" s="31"/>
      <c r="F4168" s="31"/>
      <c r="G4168" s="31"/>
      <c r="H4168" s="31"/>
    </row>
    <row r="4169" spans="2:8" hidden="1">
      <c r="B4169" s="33"/>
      <c r="C4169" s="31"/>
      <c r="D4169" s="31"/>
      <c r="E4169" s="31"/>
      <c r="F4169" s="31"/>
      <c r="G4169" s="31"/>
      <c r="H4169" s="31"/>
    </row>
    <row r="4170" spans="2:8" hidden="1">
      <c r="B4170" s="33"/>
      <c r="C4170" s="31"/>
      <c r="D4170" s="31"/>
      <c r="E4170" s="31"/>
      <c r="F4170" s="31"/>
      <c r="G4170" s="31"/>
      <c r="H4170" s="31"/>
    </row>
    <row r="4171" spans="2:8" hidden="1">
      <c r="B4171" s="33"/>
      <c r="C4171" s="31"/>
      <c r="D4171" s="31"/>
      <c r="E4171" s="31"/>
      <c r="F4171" s="31"/>
      <c r="G4171" s="31"/>
      <c r="H4171" s="31"/>
    </row>
    <row r="4172" spans="2:8" hidden="1">
      <c r="B4172" s="33"/>
      <c r="C4172" s="31"/>
      <c r="D4172" s="31"/>
      <c r="E4172" s="31"/>
      <c r="F4172" s="31"/>
      <c r="G4172" s="31"/>
      <c r="H4172" s="31"/>
    </row>
    <row r="4173" spans="2:8" hidden="1">
      <c r="B4173" s="33"/>
      <c r="C4173" s="31"/>
      <c r="D4173" s="75"/>
      <c r="E4173" s="31"/>
      <c r="F4173" s="405"/>
      <c r="G4173" s="75"/>
      <c r="H4173" s="31"/>
    </row>
    <row r="4174" spans="2:8" hidden="1">
      <c r="B4174" s="33"/>
      <c r="C4174" s="31"/>
      <c r="D4174" s="31"/>
      <c r="E4174" s="31"/>
      <c r="F4174" s="691"/>
      <c r="G4174" s="75"/>
      <c r="H4174" s="31"/>
    </row>
    <row r="4175" spans="2:8" hidden="1">
      <c r="B4175" s="33"/>
      <c r="C4175" s="31"/>
      <c r="D4175" s="31"/>
      <c r="E4175" s="31"/>
      <c r="F4175" s="405"/>
      <c r="G4175" s="75"/>
      <c r="H4175" s="31"/>
    </row>
    <row r="4176" spans="2:8" hidden="1">
      <c r="B4176" s="33"/>
      <c r="C4176" s="31"/>
      <c r="D4176" s="75"/>
      <c r="E4176" s="31"/>
      <c r="F4176" s="405"/>
      <c r="G4176" s="75"/>
      <c r="H4176" s="31"/>
    </row>
    <row r="4177" spans="2:8" hidden="1">
      <c r="B4177" s="33"/>
      <c r="C4177" s="31"/>
      <c r="D4177" s="75"/>
      <c r="E4177" s="31"/>
      <c r="F4177" s="691"/>
      <c r="G4177" s="75"/>
      <c r="H4177" s="31"/>
    </row>
    <row r="4178" spans="2:8" hidden="1">
      <c r="B4178" s="33"/>
      <c r="C4178" s="31"/>
      <c r="D4178" s="31"/>
      <c r="E4178" s="31"/>
      <c r="F4178" s="405"/>
      <c r="G4178" s="75"/>
      <c r="H4178" s="31"/>
    </row>
    <row r="4179" spans="2:8" hidden="1">
      <c r="B4179" s="33"/>
      <c r="C4179" s="31"/>
      <c r="D4179" s="31"/>
      <c r="E4179" s="31"/>
      <c r="F4179" s="31"/>
      <c r="G4179" s="31"/>
      <c r="H4179" s="31"/>
    </row>
    <row r="4180" spans="2:8" hidden="1">
      <c r="B4180" s="33"/>
      <c r="C4180" s="200"/>
      <c r="D4180" s="31"/>
      <c r="E4180" s="200"/>
      <c r="F4180" s="769"/>
      <c r="G4180" s="31"/>
      <c r="H4180" s="31"/>
    </row>
    <row r="4181" spans="2:8" hidden="1">
      <c r="B4181" s="76"/>
      <c r="C4181" s="31"/>
      <c r="D4181" s="31"/>
      <c r="E4181" s="31"/>
      <c r="F4181" s="75"/>
      <c r="G4181" s="31"/>
      <c r="H4181" s="31"/>
    </row>
    <row r="4182" spans="2:8" hidden="1">
      <c r="B4182" s="33"/>
      <c r="C4182" s="33"/>
      <c r="D4182" s="33"/>
      <c r="E4182" s="33"/>
      <c r="F4182" s="33"/>
      <c r="G4182" s="33"/>
      <c r="H4182" s="31"/>
    </row>
    <row r="4183" spans="2:8" hidden="1">
      <c r="B4183" s="33"/>
      <c r="C4183" s="31"/>
      <c r="D4183" s="33"/>
      <c r="E4183" s="33"/>
      <c r="F4183" s="33"/>
      <c r="G4183" s="33"/>
      <c r="H4183" s="31"/>
    </row>
    <row r="4184" spans="2:8" hidden="1">
      <c r="B4184" s="405"/>
      <c r="C4184" s="76"/>
      <c r="D4184" s="731"/>
      <c r="E4184" s="75"/>
      <c r="F4184" s="75"/>
      <c r="G4184" s="75"/>
      <c r="H4184" s="31"/>
    </row>
    <row r="4185" spans="2:8" hidden="1">
      <c r="B4185" s="405"/>
      <c r="C4185" s="76"/>
      <c r="D4185" s="731"/>
      <c r="E4185" s="75"/>
      <c r="F4185" s="75"/>
      <c r="G4185" s="75"/>
      <c r="H4185" s="31"/>
    </row>
    <row r="4186" spans="2:8" hidden="1">
      <c r="B4186" s="405"/>
      <c r="C4186" s="76"/>
      <c r="D4186" s="731"/>
      <c r="E4186" s="75"/>
      <c r="F4186" s="75"/>
      <c r="G4186" s="75"/>
      <c r="H4186" s="31"/>
    </row>
    <row r="4187" spans="2:8" hidden="1">
      <c r="B4187" s="405"/>
      <c r="C4187" s="76"/>
      <c r="D4187" s="731"/>
      <c r="E4187" s="75"/>
      <c r="F4187" s="75"/>
      <c r="G4187" s="75"/>
      <c r="H4187" s="31"/>
    </row>
    <row r="4188" spans="2:8" hidden="1">
      <c r="B4188" s="405"/>
      <c r="C4188" s="76"/>
      <c r="D4188" s="731"/>
      <c r="E4188" s="75"/>
      <c r="F4188" s="75"/>
      <c r="G4188" s="75"/>
      <c r="H4188" s="31"/>
    </row>
    <row r="4189" spans="2:8" hidden="1">
      <c r="B4189" s="405"/>
      <c r="C4189" s="76"/>
      <c r="D4189" s="731"/>
      <c r="E4189" s="75"/>
      <c r="F4189" s="75"/>
      <c r="G4189" s="75"/>
      <c r="H4189" s="31"/>
    </row>
    <row r="4190" spans="2:8" hidden="1">
      <c r="B4190" s="405"/>
      <c r="C4190" s="76"/>
      <c r="D4190" s="731"/>
      <c r="E4190" s="75"/>
      <c r="F4190" s="75"/>
      <c r="G4190" s="75"/>
      <c r="H4190" s="31"/>
    </row>
    <row r="4191" spans="2:8" hidden="1">
      <c r="B4191" s="405"/>
      <c r="C4191" s="76"/>
      <c r="D4191" s="731"/>
      <c r="E4191" s="75"/>
      <c r="F4191" s="75"/>
      <c r="G4191" s="75"/>
      <c r="H4191" s="31"/>
    </row>
    <row r="4192" spans="2:8" hidden="1">
      <c r="B4192" s="405"/>
      <c r="C4192" s="76"/>
      <c r="D4192" s="731"/>
      <c r="E4192" s="75"/>
      <c r="F4192" s="75"/>
      <c r="G4192" s="75"/>
      <c r="H4192" s="31"/>
    </row>
    <row r="4193" spans="2:8" hidden="1">
      <c r="B4193" s="30"/>
      <c r="C4193" s="76"/>
      <c r="D4193" s="731"/>
      <c r="E4193" s="75"/>
      <c r="F4193" s="75"/>
      <c r="G4193" s="75"/>
      <c r="H4193" s="31"/>
    </row>
    <row r="4194" spans="2:8" hidden="1">
      <c r="B4194" s="30"/>
      <c r="C4194" s="76"/>
      <c r="D4194" s="731"/>
      <c r="E4194" s="75"/>
      <c r="F4194" s="75"/>
      <c r="G4194" s="75"/>
      <c r="H4194" s="31"/>
    </row>
    <row r="4195" spans="2:8" hidden="1">
      <c r="B4195" s="30"/>
      <c r="C4195" s="76"/>
      <c r="D4195" s="731"/>
      <c r="E4195" s="75"/>
      <c r="F4195" s="75"/>
      <c r="G4195" s="75"/>
      <c r="H4195" s="31"/>
    </row>
    <row r="4196" spans="2:8" hidden="1">
      <c r="B4196" s="30"/>
      <c r="C4196" s="76"/>
      <c r="D4196" s="731"/>
      <c r="E4196" s="75"/>
      <c r="F4196" s="75"/>
      <c r="G4196" s="75"/>
      <c r="H4196" s="31"/>
    </row>
    <row r="4197" spans="2:8" hidden="1">
      <c r="B4197" s="30"/>
      <c r="C4197" s="76"/>
      <c r="D4197" s="731"/>
      <c r="E4197" s="75"/>
      <c r="F4197" s="75"/>
      <c r="G4197" s="75"/>
      <c r="H4197" s="31"/>
    </row>
    <row r="4198" spans="2:8" hidden="1">
      <c r="B4198" s="30"/>
      <c r="C4198" s="76"/>
      <c r="D4198" s="731"/>
      <c r="E4198" s="75"/>
      <c r="F4198" s="75"/>
      <c r="G4198" s="75"/>
      <c r="H4198" s="31"/>
    </row>
    <row r="4199" spans="2:8" hidden="1">
      <c r="B4199" s="30"/>
      <c r="C4199" s="76"/>
      <c r="D4199" s="731"/>
      <c r="E4199" s="75"/>
      <c r="F4199" s="75"/>
      <c r="G4199" s="75"/>
      <c r="H4199" s="31"/>
    </row>
    <row r="4200" spans="2:8" hidden="1">
      <c r="B4200" s="33"/>
      <c r="C4200" s="31"/>
      <c r="D4200" s="31"/>
      <c r="E4200" s="200"/>
      <c r="F4200" s="200"/>
      <c r="G4200" s="75"/>
      <c r="H4200" s="31"/>
    </row>
    <row r="4201" spans="2:8" hidden="1">
      <c r="B4201" s="33"/>
      <c r="C4201" s="31"/>
      <c r="D4201" s="31"/>
      <c r="E4201" s="198"/>
      <c r="F4201" s="200"/>
      <c r="G4201" s="75"/>
      <c r="H4201" s="31"/>
    </row>
    <row r="4202" spans="2:8" hidden="1">
      <c r="B4202" s="33"/>
      <c r="C4202" s="31"/>
      <c r="D4202" s="31"/>
      <c r="E4202" s="198"/>
      <c r="F4202" s="200"/>
      <c r="G4202" s="75"/>
      <c r="H4202" s="31"/>
    </row>
    <row r="4203" spans="2:8" hidden="1">
      <c r="B4203" s="33"/>
      <c r="C4203" s="31"/>
      <c r="D4203" s="31"/>
      <c r="E4203" s="198"/>
      <c r="F4203" s="200"/>
      <c r="G4203" s="75"/>
      <c r="H4203" s="31"/>
    </row>
    <row r="4204" spans="2:8" hidden="1">
      <c r="B4204" s="33"/>
      <c r="C4204" s="200"/>
      <c r="D4204" s="30"/>
      <c r="E4204" s="30"/>
      <c r="F4204" s="200"/>
      <c r="G4204" s="75"/>
      <c r="H4204" s="31"/>
    </row>
    <row r="4205" spans="2:8" hidden="1">
      <c r="B4205" s="33"/>
      <c r="C4205" s="31"/>
      <c r="D4205" s="31"/>
      <c r="E4205" s="31"/>
      <c r="F4205" s="31"/>
      <c r="G4205" s="31"/>
      <c r="H4205" s="31"/>
    </row>
    <row r="4206" spans="2:8" hidden="1">
      <c r="B4206" s="76"/>
      <c r="C4206" s="31"/>
      <c r="D4206" s="31"/>
      <c r="E4206" s="31"/>
      <c r="F4206" s="31"/>
      <c r="G4206" s="31"/>
      <c r="H4206" s="31"/>
    </row>
    <row r="4207" spans="2:8" hidden="1">
      <c r="B4207" s="33"/>
      <c r="C4207" s="33"/>
      <c r="D4207" s="33"/>
      <c r="E4207" s="33"/>
      <c r="F4207" s="33"/>
      <c r="G4207" s="33"/>
      <c r="H4207" s="31"/>
    </row>
    <row r="4208" spans="2:8" hidden="1">
      <c r="B4208" s="33"/>
      <c r="C4208" s="31"/>
      <c r="D4208" s="33"/>
      <c r="E4208" s="33"/>
      <c r="F4208" s="33"/>
      <c r="G4208" s="33"/>
      <c r="H4208" s="31"/>
    </row>
    <row r="4209" spans="2:8" hidden="1">
      <c r="B4209" s="405"/>
      <c r="C4209" s="76"/>
      <c r="D4209" s="731"/>
      <c r="E4209" s="75"/>
      <c r="F4209" s="75"/>
      <c r="G4209" s="75"/>
      <c r="H4209" s="31"/>
    </row>
    <row r="4210" spans="2:8" hidden="1">
      <c r="B4210" s="405"/>
      <c r="C4210" s="76"/>
      <c r="D4210" s="731"/>
      <c r="E4210" s="75"/>
      <c r="F4210" s="75"/>
      <c r="G4210" s="75"/>
      <c r="H4210" s="31"/>
    </row>
    <row r="4211" spans="2:8" hidden="1">
      <c r="B4211" s="405"/>
      <c r="C4211" s="76"/>
      <c r="D4211" s="731"/>
      <c r="E4211" s="75"/>
      <c r="F4211" s="75"/>
      <c r="G4211" s="75"/>
      <c r="H4211" s="31"/>
    </row>
    <row r="4212" spans="2:8" hidden="1">
      <c r="B4212" s="405"/>
      <c r="C4212" s="76"/>
      <c r="D4212" s="731"/>
      <c r="E4212" s="75"/>
      <c r="F4212" s="75"/>
      <c r="G4212" s="75"/>
      <c r="H4212" s="31"/>
    </row>
    <row r="4213" spans="2:8" hidden="1">
      <c r="B4213" s="405"/>
      <c r="C4213" s="76"/>
      <c r="D4213" s="731"/>
      <c r="E4213" s="75"/>
      <c r="F4213" s="75"/>
      <c r="G4213" s="75"/>
      <c r="H4213" s="31"/>
    </row>
    <row r="4214" spans="2:8" hidden="1">
      <c r="B4214" s="405"/>
      <c r="C4214" s="76"/>
      <c r="D4214" s="731"/>
      <c r="E4214" s="75"/>
      <c r="F4214" s="75"/>
      <c r="G4214" s="75"/>
      <c r="H4214" s="31"/>
    </row>
    <row r="4215" spans="2:8" hidden="1">
      <c r="B4215" s="405"/>
      <c r="C4215" s="76"/>
      <c r="D4215" s="731"/>
      <c r="E4215" s="75"/>
      <c r="F4215" s="75"/>
      <c r="G4215" s="75"/>
      <c r="H4215" s="31"/>
    </row>
    <row r="4216" spans="2:8" hidden="1">
      <c r="B4216" s="405"/>
      <c r="C4216" s="76"/>
      <c r="D4216" s="731"/>
      <c r="E4216" s="75"/>
      <c r="F4216" s="75"/>
      <c r="G4216" s="75"/>
      <c r="H4216" s="31"/>
    </row>
    <row r="4217" spans="2:8" hidden="1">
      <c r="B4217" s="405"/>
      <c r="C4217" s="76"/>
      <c r="D4217" s="731"/>
      <c r="E4217" s="75"/>
      <c r="F4217" s="75"/>
      <c r="G4217" s="75"/>
      <c r="H4217" s="31"/>
    </row>
    <row r="4218" spans="2:8" hidden="1">
      <c r="B4218" s="405"/>
      <c r="C4218" s="76"/>
      <c r="D4218" s="731"/>
      <c r="E4218" s="75"/>
      <c r="F4218" s="75"/>
      <c r="G4218" s="75"/>
      <c r="H4218" s="31"/>
    </row>
    <row r="4219" spans="2:8" hidden="1">
      <c r="B4219" s="405"/>
      <c r="C4219" s="76"/>
      <c r="D4219" s="731"/>
      <c r="E4219" s="75"/>
      <c r="F4219" s="75"/>
      <c r="G4219" s="75"/>
      <c r="H4219" s="31"/>
    </row>
    <row r="4220" spans="2:8" hidden="1">
      <c r="B4220" s="405"/>
      <c r="C4220" s="76"/>
      <c r="D4220" s="731"/>
      <c r="E4220" s="75"/>
      <c r="F4220" s="75"/>
      <c r="G4220" s="75"/>
      <c r="H4220" s="31"/>
    </row>
    <row r="4221" spans="2:8" hidden="1">
      <c r="B4221" s="405"/>
      <c r="C4221" s="76"/>
      <c r="D4221" s="731"/>
      <c r="E4221" s="75"/>
      <c r="F4221" s="75"/>
      <c r="G4221" s="75"/>
      <c r="H4221" s="31"/>
    </row>
    <row r="4222" spans="2:8" hidden="1">
      <c r="B4222" s="405"/>
      <c r="C4222" s="76"/>
      <c r="D4222" s="731"/>
      <c r="E4222" s="75"/>
      <c r="F4222" s="75"/>
      <c r="G4222" s="75"/>
      <c r="H4222" s="31"/>
    </row>
    <row r="4223" spans="2:8" hidden="1">
      <c r="B4223" s="405"/>
      <c r="C4223" s="76"/>
      <c r="D4223" s="731"/>
      <c r="E4223" s="75"/>
      <c r="F4223" s="75"/>
      <c r="G4223" s="75"/>
      <c r="H4223" s="31"/>
    </row>
    <row r="4224" spans="2:8" hidden="1">
      <c r="B4224" s="33"/>
      <c r="C4224" s="31"/>
      <c r="D4224" s="31"/>
      <c r="E4224" s="200"/>
      <c r="F4224" s="200"/>
      <c r="G4224" s="75"/>
      <c r="H4224" s="31"/>
    </row>
    <row r="4225" spans="2:8" hidden="1">
      <c r="B4225" s="33"/>
      <c r="C4225" s="31"/>
      <c r="D4225" s="31"/>
      <c r="E4225" s="198"/>
      <c r="F4225" s="200"/>
      <c r="G4225" s="75"/>
      <c r="H4225" s="31"/>
    </row>
    <row r="4226" spans="2:8" hidden="1">
      <c r="B4226" s="33"/>
      <c r="C4226" s="31"/>
      <c r="D4226" s="31"/>
      <c r="E4226" s="198"/>
      <c r="F4226" s="200"/>
      <c r="G4226" s="75"/>
      <c r="H4226" s="31"/>
    </row>
    <row r="4227" spans="2:8" hidden="1">
      <c r="B4227" s="33"/>
      <c r="C4227" s="31"/>
      <c r="D4227" s="31"/>
      <c r="E4227" s="198"/>
      <c r="F4227" s="200"/>
      <c r="G4227" s="75"/>
      <c r="H4227" s="31"/>
    </row>
    <row r="4228" spans="2:8" hidden="1">
      <c r="B4228" s="33"/>
      <c r="C4228" s="30"/>
      <c r="D4228" s="30"/>
      <c r="E4228" s="30"/>
      <c r="F4228" s="200"/>
      <c r="G4228" s="75"/>
      <c r="H4228" s="31"/>
    </row>
    <row r="4229" spans="2:8" hidden="1">
      <c r="B4229" s="33"/>
      <c r="C4229" s="31"/>
      <c r="D4229" s="31"/>
      <c r="E4229" s="31"/>
      <c r="F4229" s="31"/>
      <c r="G4229" s="31"/>
      <c r="H4229" s="31"/>
    </row>
    <row r="4230" spans="2:8" hidden="1">
      <c r="B4230" s="76"/>
      <c r="C4230" s="31"/>
      <c r="D4230" s="31"/>
      <c r="E4230" s="31"/>
      <c r="F4230" s="31"/>
      <c r="G4230" s="31"/>
      <c r="H4230" s="31"/>
    </row>
    <row r="4231" spans="2:8" hidden="1">
      <c r="B4231" s="33"/>
      <c r="C4231" s="33"/>
      <c r="D4231" s="33"/>
      <c r="E4231" s="33"/>
      <c r="F4231" s="33"/>
      <c r="G4231" s="33"/>
      <c r="H4231" s="31"/>
    </row>
    <row r="4232" spans="2:8" hidden="1">
      <c r="B4232" s="33"/>
      <c r="C4232" s="31"/>
      <c r="D4232" s="33"/>
      <c r="E4232" s="33"/>
      <c r="F4232" s="33"/>
      <c r="G4232" s="33"/>
      <c r="H4232" s="31"/>
    </row>
    <row r="4233" spans="2:8" hidden="1">
      <c r="B4233" s="405"/>
      <c r="C4233" s="76"/>
      <c r="D4233" s="731"/>
      <c r="E4233" s="75"/>
      <c r="F4233" s="75"/>
      <c r="G4233" s="75"/>
      <c r="H4233" s="31"/>
    </row>
    <row r="4234" spans="2:8" hidden="1">
      <c r="B4234" s="405"/>
      <c r="C4234" s="76"/>
      <c r="D4234" s="731"/>
      <c r="E4234" s="75"/>
      <c r="F4234" s="75"/>
      <c r="G4234" s="75"/>
      <c r="H4234" s="31"/>
    </row>
    <row r="4235" spans="2:8" hidden="1">
      <c r="B4235" s="405"/>
      <c r="C4235" s="76"/>
      <c r="D4235" s="731"/>
      <c r="E4235" s="75"/>
      <c r="F4235" s="75"/>
      <c r="G4235" s="75"/>
      <c r="H4235" s="31"/>
    </row>
    <row r="4236" spans="2:8" hidden="1">
      <c r="B4236" s="405"/>
      <c r="C4236" s="76"/>
      <c r="D4236" s="731"/>
      <c r="E4236" s="75"/>
      <c r="F4236" s="75"/>
      <c r="G4236" s="75"/>
      <c r="H4236" s="31"/>
    </row>
    <row r="4237" spans="2:8" hidden="1">
      <c r="B4237" s="405"/>
      <c r="C4237" s="76"/>
      <c r="D4237" s="731"/>
      <c r="E4237" s="75"/>
      <c r="F4237" s="75"/>
      <c r="G4237" s="75"/>
      <c r="H4237" s="31"/>
    </row>
    <row r="4238" spans="2:8" hidden="1">
      <c r="B4238" s="405"/>
      <c r="C4238" s="76"/>
      <c r="D4238" s="731"/>
      <c r="E4238" s="75"/>
      <c r="F4238" s="75"/>
      <c r="G4238" s="75"/>
      <c r="H4238" s="31"/>
    </row>
    <row r="4239" spans="2:8" hidden="1">
      <c r="B4239" s="405"/>
      <c r="C4239" s="76"/>
      <c r="D4239" s="731"/>
      <c r="E4239" s="75"/>
      <c r="F4239" s="75"/>
      <c r="G4239" s="75"/>
      <c r="H4239" s="31"/>
    </row>
    <row r="4240" spans="2:8" hidden="1">
      <c r="B4240" s="405"/>
      <c r="C4240" s="76"/>
      <c r="D4240" s="731"/>
      <c r="E4240" s="75"/>
      <c r="F4240" s="75"/>
      <c r="G4240" s="75"/>
      <c r="H4240" s="31"/>
    </row>
    <row r="4241" spans="2:8" hidden="1">
      <c r="B4241" s="405"/>
      <c r="C4241" s="76"/>
      <c r="D4241" s="731"/>
      <c r="E4241" s="75"/>
      <c r="F4241" s="75"/>
      <c r="G4241" s="75"/>
      <c r="H4241" s="31"/>
    </row>
    <row r="4242" spans="2:8" hidden="1">
      <c r="B4242" s="30"/>
      <c r="C4242" s="76"/>
      <c r="D4242" s="731"/>
      <c r="E4242" s="75"/>
      <c r="F4242" s="75"/>
      <c r="G4242" s="75"/>
      <c r="H4242" s="31"/>
    </row>
    <row r="4243" spans="2:8" hidden="1">
      <c r="B4243" s="30"/>
      <c r="C4243" s="76"/>
      <c r="D4243" s="731"/>
      <c r="E4243" s="75"/>
      <c r="F4243" s="75"/>
      <c r="G4243" s="75"/>
      <c r="H4243" s="31"/>
    </row>
    <row r="4244" spans="2:8" hidden="1">
      <c r="B4244" s="30"/>
      <c r="C4244" s="76"/>
      <c r="D4244" s="731"/>
      <c r="E4244" s="75"/>
      <c r="F4244" s="75"/>
      <c r="G4244" s="75"/>
      <c r="H4244" s="31"/>
    </row>
    <row r="4245" spans="2:8" hidden="1">
      <c r="B4245" s="30"/>
      <c r="C4245" s="76"/>
      <c r="D4245" s="731"/>
      <c r="E4245" s="75"/>
      <c r="F4245" s="75"/>
      <c r="G4245" s="75"/>
      <c r="H4245" s="31"/>
    </row>
    <row r="4246" spans="2:8" hidden="1">
      <c r="B4246" s="33"/>
      <c r="C4246" s="31"/>
      <c r="D4246" s="31"/>
      <c r="E4246" s="200"/>
      <c r="F4246" s="200"/>
      <c r="G4246" s="75"/>
      <c r="H4246" s="31"/>
    </row>
    <row r="4247" spans="2:8" hidden="1">
      <c r="B4247" s="33"/>
      <c r="C4247" s="31"/>
      <c r="D4247" s="31"/>
      <c r="E4247" s="198"/>
      <c r="F4247" s="200"/>
      <c r="G4247" s="75"/>
      <c r="H4247" s="31"/>
    </row>
    <row r="4248" spans="2:8" hidden="1">
      <c r="B4248" s="33"/>
      <c r="C4248" s="31"/>
      <c r="D4248" s="31"/>
      <c r="E4248" s="198"/>
      <c r="F4248" s="200"/>
      <c r="G4248" s="75"/>
      <c r="H4248" s="31"/>
    </row>
    <row r="4249" spans="2:8" hidden="1">
      <c r="B4249" s="33"/>
      <c r="C4249" s="31"/>
      <c r="D4249" s="31"/>
      <c r="E4249" s="198"/>
      <c r="F4249" s="200"/>
      <c r="G4249" s="75"/>
      <c r="H4249" s="31"/>
    </row>
    <row r="4250" spans="2:8" hidden="1">
      <c r="B4250" s="33"/>
      <c r="C4250" s="31"/>
      <c r="D4250" s="31"/>
      <c r="E4250" s="198"/>
      <c r="F4250" s="200"/>
      <c r="G4250" s="75"/>
      <c r="H4250" s="31"/>
    </row>
    <row r="4251" spans="2:8" hidden="1">
      <c r="B4251" s="33"/>
      <c r="C4251" s="31"/>
      <c r="D4251" s="31"/>
      <c r="E4251" s="198"/>
      <c r="F4251" s="200"/>
      <c r="G4251" s="75"/>
      <c r="H4251" s="31"/>
    </row>
    <row r="4252" spans="2:8" hidden="1">
      <c r="B4252" s="33"/>
      <c r="C4252" s="200"/>
      <c r="D4252" s="30"/>
      <c r="E4252" s="30"/>
      <c r="F4252" s="200"/>
      <c r="G4252" s="75"/>
      <c r="H4252" s="31"/>
    </row>
    <row r="4253" spans="2:8" hidden="1">
      <c r="B4253" s="33"/>
      <c r="C4253" s="31"/>
      <c r="D4253" s="31"/>
      <c r="E4253" s="31"/>
      <c r="F4253" s="31"/>
      <c r="G4253" s="31"/>
      <c r="H4253" s="31"/>
    </row>
    <row r="4254" spans="2:8" hidden="1">
      <c r="B4254" s="33"/>
      <c r="C4254" s="31"/>
      <c r="D4254" s="31"/>
      <c r="E4254" s="31"/>
      <c r="F4254" s="31"/>
      <c r="G4254" s="31"/>
      <c r="H4254" s="31"/>
    </row>
    <row r="4255" spans="2:8" hidden="1">
      <c r="B4255" s="33"/>
      <c r="C4255" s="31"/>
      <c r="D4255" s="31"/>
      <c r="E4255" s="31"/>
      <c r="F4255" s="200"/>
      <c r="G4255" s="75"/>
      <c r="H4255" s="31"/>
    </row>
    <row r="4256" spans="2:8" hidden="1">
      <c r="B4256" s="33"/>
      <c r="C4256" s="31"/>
      <c r="D4256" s="31"/>
      <c r="E4256" s="31"/>
      <c r="F4256" s="200"/>
      <c r="G4256" s="75"/>
      <c r="H4256" s="31"/>
    </row>
    <row r="4257" spans="2:8" hidden="1">
      <c r="B4257" s="33"/>
      <c r="C4257" s="31"/>
      <c r="D4257" s="31"/>
      <c r="E4257" s="31"/>
      <c r="F4257" s="200"/>
      <c r="G4257" s="75"/>
      <c r="H4257" s="31"/>
    </row>
    <row r="4258" spans="2:8" hidden="1">
      <c r="B4258" s="33"/>
      <c r="C4258" s="31"/>
      <c r="D4258" s="31"/>
      <c r="E4258" s="200"/>
      <c r="F4258" s="200"/>
      <c r="G4258" s="75"/>
      <c r="H4258" s="31"/>
    </row>
    <row r="4259" spans="2:8" hidden="1">
      <c r="B4259" s="33"/>
      <c r="C4259" s="31"/>
      <c r="D4259" s="31"/>
      <c r="E4259" s="301"/>
      <c r="F4259" s="200"/>
      <c r="G4259" s="75"/>
      <c r="H4259" s="31"/>
    </row>
    <row r="4260" spans="2:8" hidden="1">
      <c r="B4260" s="33"/>
      <c r="C4260" s="31"/>
      <c r="D4260" s="31"/>
      <c r="E4260" s="770"/>
      <c r="F4260" s="200"/>
      <c r="G4260" s="75"/>
      <c r="H4260" s="31"/>
    </row>
    <row r="4261" spans="2:8" hidden="1">
      <c r="B4261" s="33"/>
      <c r="C4261" s="31"/>
      <c r="D4261" s="31"/>
      <c r="E4261" s="770"/>
      <c r="F4261" s="200"/>
      <c r="G4261" s="75"/>
      <c r="H4261" s="31"/>
    </row>
    <row r="4262" spans="2:8" hidden="1">
      <c r="B4262" s="33"/>
      <c r="C4262" s="31"/>
      <c r="D4262" s="31"/>
      <c r="E4262" s="770"/>
      <c r="F4262" s="200"/>
      <c r="G4262" s="75"/>
      <c r="H4262" s="31"/>
    </row>
    <row r="4263" spans="2:8" hidden="1">
      <c r="B4263" s="33"/>
      <c r="C4263" s="31"/>
      <c r="D4263" s="31"/>
      <c r="E4263" s="770"/>
      <c r="F4263" s="200"/>
      <c r="G4263" s="75"/>
      <c r="H4263" s="31"/>
    </row>
    <row r="4264" spans="2:8" hidden="1">
      <c r="B4264" s="33"/>
      <c r="C4264" s="31"/>
      <c r="D4264" s="75"/>
      <c r="E4264" s="770"/>
      <c r="F4264" s="200"/>
      <c r="G4264" s="75"/>
      <c r="H4264" s="31"/>
    </row>
    <row r="4265" spans="2:8" hidden="1">
      <c r="B4265" s="33"/>
      <c r="C4265" s="31"/>
      <c r="D4265" s="31"/>
      <c r="E4265" s="770"/>
      <c r="F4265" s="200"/>
      <c r="G4265" s="75"/>
      <c r="H4265" s="31"/>
    </row>
    <row r="4266" spans="2:8" hidden="1">
      <c r="B4266" s="33"/>
      <c r="C4266" s="31"/>
      <c r="D4266" s="31"/>
      <c r="E4266" s="200"/>
      <c r="F4266" s="200"/>
      <c r="G4266" s="75"/>
      <c r="H4266" s="31"/>
    </row>
    <row r="4267" spans="2:8" hidden="1">
      <c r="B4267" s="33"/>
      <c r="C4267" s="31"/>
      <c r="D4267" s="31"/>
      <c r="E4267" s="200"/>
      <c r="F4267" s="200"/>
      <c r="G4267" s="31"/>
      <c r="H4267" s="31"/>
    </row>
    <row r="4268" spans="2:8" hidden="1">
      <c r="B4268" s="33"/>
      <c r="C4268" s="31"/>
      <c r="D4268" s="75"/>
      <c r="E4268" s="76"/>
      <c r="F4268" s="200"/>
      <c r="G4268" s="75"/>
      <c r="H4268" s="31"/>
    </row>
    <row r="4269" spans="2:8" hidden="1">
      <c r="B4269" s="33"/>
      <c r="C4269" s="31"/>
      <c r="D4269" s="198"/>
      <c r="E4269" s="198"/>
      <c r="F4269" s="200"/>
      <c r="G4269" s="75"/>
      <c r="H4269" s="31"/>
    </row>
    <row r="4270" spans="2:8" hidden="1">
      <c r="B4270" s="33"/>
      <c r="C4270" s="31"/>
      <c r="D4270" s="768"/>
      <c r="E4270" s="31"/>
      <c r="F4270" s="200"/>
      <c r="G4270" s="75"/>
      <c r="H4270" s="31"/>
    </row>
    <row r="4271" spans="2:8" hidden="1">
      <c r="B4271" s="33"/>
      <c r="C4271" s="31"/>
      <c r="D4271" s="200"/>
      <c r="E4271" s="31"/>
      <c r="F4271" s="200"/>
      <c r="G4271" s="75"/>
      <c r="H4271" s="31"/>
    </row>
    <row r="4272" spans="2:8" hidden="1">
      <c r="B4272" s="33"/>
      <c r="C4272" s="31"/>
      <c r="D4272" s="31"/>
      <c r="E4272" s="31"/>
      <c r="F4272" s="31"/>
      <c r="G4272" s="31"/>
      <c r="H4272" s="31"/>
    </row>
    <row r="4273" spans="2:8" hidden="1">
      <c r="B4273" s="33"/>
      <c r="C4273" s="31"/>
      <c r="D4273" s="31"/>
      <c r="E4273" s="31"/>
      <c r="F4273" s="31"/>
      <c r="G4273" s="31"/>
      <c r="H4273" s="31"/>
    </row>
    <row r="4274" spans="2:8" hidden="1">
      <c r="B4274" s="33"/>
      <c r="C4274" s="31"/>
      <c r="D4274" s="33"/>
      <c r="E4274" s="31"/>
      <c r="F4274" s="200"/>
      <c r="G4274" s="76"/>
      <c r="H4274" s="31"/>
    </row>
    <row r="4275" spans="2:8" hidden="1">
      <c r="B4275" s="33"/>
      <c r="C4275" s="31"/>
      <c r="D4275" s="31"/>
      <c r="E4275" s="31"/>
      <c r="F4275" s="31"/>
      <c r="G4275" s="31"/>
      <c r="H4275" s="31"/>
    </row>
    <row r="4276" spans="2:8" hidden="1">
      <c r="B4276" s="33"/>
      <c r="C4276" s="31"/>
      <c r="D4276" s="31"/>
      <c r="E4276" s="31"/>
      <c r="F4276" s="31"/>
      <c r="G4276" s="31"/>
      <c r="H4276" s="31"/>
    </row>
    <row r="4277" spans="2:8" hidden="1">
      <c r="B4277" s="33"/>
      <c r="C4277" s="31"/>
      <c r="D4277" s="31"/>
      <c r="E4277" s="31"/>
      <c r="F4277" s="31"/>
      <c r="G4277" s="31"/>
      <c r="H4277" s="31"/>
    </row>
    <row r="4278" spans="2:8" hidden="1">
      <c r="B4278" s="33"/>
      <c r="C4278" s="31"/>
      <c r="D4278" s="31"/>
      <c r="E4278" s="31"/>
      <c r="F4278" s="31"/>
      <c r="G4278" s="31"/>
      <c r="H4278" s="31"/>
    </row>
    <row r="4279" spans="2:8" hidden="1">
      <c r="B4279" s="33"/>
      <c r="C4279" s="31"/>
      <c r="D4279" s="31"/>
      <c r="E4279" s="31"/>
      <c r="F4279" s="31"/>
      <c r="G4279" s="31"/>
      <c r="H4279" s="31"/>
    </row>
    <row r="4280" spans="2:8" hidden="1">
      <c r="B4280" s="33"/>
      <c r="C4280" s="31"/>
      <c r="D4280" s="31"/>
      <c r="E4280" s="31"/>
      <c r="F4280" s="31"/>
      <c r="G4280" s="31"/>
      <c r="H4280" s="31"/>
    </row>
    <row r="4281" spans="2:8" hidden="1">
      <c r="B4281" s="33"/>
      <c r="C4281" s="31"/>
      <c r="D4281" s="31"/>
      <c r="E4281" s="31"/>
      <c r="F4281" s="31"/>
      <c r="G4281" s="31"/>
      <c r="H4281" s="31"/>
    </row>
    <row r="4282" spans="2:8" hidden="1">
      <c r="B4282" s="33"/>
      <c r="C4282" s="31"/>
      <c r="D4282" s="31"/>
      <c r="E4282" s="31"/>
      <c r="F4282" s="31"/>
      <c r="G4282" s="31"/>
      <c r="H4282" s="31"/>
    </row>
    <row r="4283" spans="2:8" hidden="1">
      <c r="B4283" s="33"/>
      <c r="C4283" s="31"/>
      <c r="D4283" s="31"/>
      <c r="E4283" s="31"/>
      <c r="F4283" s="31"/>
      <c r="G4283" s="31"/>
      <c r="H4283" s="31"/>
    </row>
    <row r="4284" spans="2:8" hidden="1">
      <c r="B4284" s="33"/>
      <c r="C4284" s="31"/>
      <c r="D4284" s="31"/>
      <c r="E4284" s="31"/>
      <c r="F4284" s="31"/>
      <c r="G4284" s="31"/>
      <c r="H4284" s="31"/>
    </row>
    <row r="4285" spans="2:8" hidden="1">
      <c r="B4285" s="33"/>
      <c r="C4285" s="31"/>
      <c r="D4285" s="31"/>
      <c r="E4285" s="31"/>
      <c r="F4285" s="31"/>
      <c r="G4285" s="31"/>
      <c r="H4285" s="31"/>
    </row>
    <row r="4286" spans="2:8" hidden="1">
      <c r="B4286" s="33"/>
      <c r="C4286" s="31"/>
      <c r="D4286" s="31"/>
      <c r="E4286" s="31"/>
      <c r="F4286" s="31"/>
      <c r="G4286" s="31"/>
      <c r="H4286" s="31"/>
    </row>
    <row r="4287" spans="2:8" hidden="1">
      <c r="B4287" s="33"/>
      <c r="C4287" s="31"/>
      <c r="D4287" s="31"/>
      <c r="E4287" s="31"/>
      <c r="F4287" s="31"/>
      <c r="G4287" s="31"/>
      <c r="H4287" s="31"/>
    </row>
    <row r="4288" spans="2:8" hidden="1">
      <c r="B4288" s="33"/>
      <c r="C4288" s="31"/>
      <c r="D4288" s="31"/>
      <c r="E4288" s="31"/>
      <c r="F4288" s="31"/>
      <c r="G4288" s="31"/>
      <c r="H4288" s="31"/>
    </row>
    <row r="4289" spans="2:8" hidden="1">
      <c r="B4289" s="33"/>
      <c r="C4289" s="31"/>
      <c r="D4289" s="31"/>
      <c r="E4289" s="31"/>
      <c r="F4289" s="31"/>
      <c r="G4289" s="31"/>
      <c r="H4289" s="31"/>
    </row>
    <row r="4290" spans="2:8" hidden="1">
      <c r="B4290" s="33"/>
      <c r="C4290" s="31"/>
      <c r="D4290" s="31"/>
      <c r="E4290" s="31"/>
      <c r="F4290" s="31"/>
      <c r="G4290" s="31"/>
      <c r="H4290" s="31"/>
    </row>
    <row r="4291" spans="2:8" hidden="1">
      <c r="B4291" s="33"/>
      <c r="C4291" s="31"/>
      <c r="D4291" s="31"/>
      <c r="E4291" s="31"/>
      <c r="F4291" s="31"/>
      <c r="G4291" s="31"/>
      <c r="H4291" s="31"/>
    </row>
    <row r="4292" spans="2:8" hidden="1">
      <c r="B4292" s="33"/>
      <c r="C4292" s="31"/>
      <c r="D4292" s="31"/>
      <c r="E4292" s="31"/>
      <c r="F4292" s="31"/>
      <c r="G4292" s="31"/>
      <c r="H4292" s="31"/>
    </row>
    <row r="4293" spans="2:8" hidden="1">
      <c r="B4293" s="33"/>
      <c r="C4293" s="31"/>
      <c r="D4293" s="31"/>
      <c r="E4293" s="31"/>
      <c r="F4293" s="31"/>
      <c r="G4293" s="31"/>
      <c r="H4293" s="31"/>
    </row>
    <row r="4294" spans="2:8" hidden="1">
      <c r="B4294" s="33"/>
      <c r="C4294" s="31"/>
      <c r="D4294" s="31"/>
      <c r="E4294" s="31"/>
      <c r="F4294" s="31"/>
      <c r="G4294" s="31"/>
      <c r="H4294" s="31"/>
    </row>
    <row r="4295" spans="2:8" hidden="1">
      <c r="B4295" s="33"/>
      <c r="C4295" s="31"/>
      <c r="D4295" s="31"/>
      <c r="E4295" s="31"/>
      <c r="F4295" s="31"/>
      <c r="G4295" s="31"/>
      <c r="H4295" s="31"/>
    </row>
    <row r="4296" spans="2:8" hidden="1">
      <c r="B4296" s="33"/>
      <c r="C4296" s="31"/>
      <c r="D4296" s="31"/>
      <c r="E4296" s="31"/>
      <c r="F4296" s="31"/>
      <c r="G4296" s="31"/>
      <c r="H4296" s="31"/>
    </row>
    <row r="4297" spans="2:8" hidden="1">
      <c r="B4297" s="33"/>
      <c r="C4297" s="31"/>
      <c r="D4297" s="31"/>
      <c r="E4297" s="31"/>
      <c r="F4297" s="31"/>
      <c r="G4297" s="31"/>
      <c r="H4297" s="31"/>
    </row>
    <row r="4298" spans="2:8" hidden="1">
      <c r="B4298" s="33"/>
      <c r="C4298" s="200"/>
      <c r="D4298" s="31"/>
      <c r="E4298" s="31"/>
      <c r="F4298" s="691"/>
      <c r="G4298" s="31"/>
      <c r="H4298" s="31"/>
    </row>
    <row r="4299" spans="2:8" hidden="1">
      <c r="B4299" s="33"/>
      <c r="C4299" s="31"/>
      <c r="D4299" s="31"/>
      <c r="E4299" s="31"/>
      <c r="F4299" s="691"/>
      <c r="G4299" s="31"/>
      <c r="H4299" s="31"/>
    </row>
    <row r="4300" spans="2:8" hidden="1">
      <c r="B4300" s="33"/>
      <c r="C4300" s="31"/>
      <c r="D4300" s="31"/>
      <c r="E4300" s="31"/>
      <c r="F4300" s="31"/>
      <c r="G4300" s="31"/>
      <c r="H4300" s="31"/>
    </row>
    <row r="4301" spans="2:8" hidden="1">
      <c r="B4301" s="33"/>
      <c r="C4301" s="31"/>
      <c r="D4301" s="31"/>
      <c r="E4301" s="31"/>
      <c r="F4301" s="31"/>
      <c r="G4301" s="31"/>
      <c r="H4301" s="31"/>
    </row>
    <row r="4302" spans="2:8" hidden="1">
      <c r="B4302" s="33"/>
      <c r="C4302" s="31"/>
      <c r="D4302" s="31"/>
      <c r="E4302" s="31"/>
      <c r="F4302" s="31"/>
      <c r="G4302" s="31"/>
      <c r="H4302" s="31"/>
    </row>
    <row r="4303" spans="2:8" hidden="1">
      <c r="B4303" s="33"/>
      <c r="C4303" s="31"/>
      <c r="D4303" s="31"/>
      <c r="E4303" s="31"/>
      <c r="F4303" s="691"/>
      <c r="G4303" s="31"/>
      <c r="H4303" s="31"/>
    </row>
    <row r="4304" spans="2:8" hidden="1">
      <c r="B4304" s="33"/>
      <c r="C4304" s="31"/>
      <c r="D4304" s="31"/>
      <c r="E4304" s="31"/>
      <c r="F4304" s="691"/>
      <c r="G4304" s="31"/>
      <c r="H4304" s="31"/>
    </row>
    <row r="4305" spans="2:8" hidden="1">
      <c r="B4305" s="33"/>
      <c r="C4305" s="31"/>
      <c r="D4305" s="31"/>
      <c r="E4305" s="31"/>
      <c r="F4305" s="691"/>
      <c r="G4305" s="31"/>
      <c r="H4305" s="31"/>
    </row>
    <row r="4306" spans="2:8" hidden="1">
      <c r="B4306" s="33"/>
      <c r="C4306" s="31"/>
      <c r="D4306" s="31"/>
      <c r="E4306" s="31"/>
      <c r="F4306" s="691"/>
      <c r="G4306" s="31"/>
      <c r="H4306" s="31"/>
    </row>
    <row r="4307" spans="2:8" hidden="1">
      <c r="B4307" s="33"/>
      <c r="C4307" s="31"/>
      <c r="D4307" s="31"/>
      <c r="E4307" s="31"/>
      <c r="F4307" s="691"/>
      <c r="G4307" s="31"/>
      <c r="H4307" s="31"/>
    </row>
    <row r="4308" spans="2:8" hidden="1">
      <c r="B4308" s="33"/>
      <c r="C4308" s="31"/>
      <c r="D4308" s="31"/>
      <c r="E4308" s="31"/>
      <c r="F4308" s="691"/>
      <c r="G4308" s="31"/>
      <c r="H4308" s="31"/>
    </row>
    <row r="4309" spans="2:8" hidden="1">
      <c r="B4309" s="33"/>
      <c r="C4309" s="31"/>
      <c r="D4309" s="31"/>
      <c r="E4309" s="31"/>
      <c r="F4309" s="691"/>
      <c r="G4309" s="31"/>
      <c r="H4309" s="31"/>
    </row>
    <row r="4310" spans="2:8" hidden="1">
      <c r="B4310" s="33"/>
      <c r="C4310" s="31"/>
      <c r="D4310" s="31"/>
      <c r="E4310" s="31"/>
      <c r="F4310" s="691"/>
      <c r="G4310" s="31"/>
      <c r="H4310" s="31"/>
    </row>
    <row r="4311" spans="2:8" hidden="1">
      <c r="B4311" s="33"/>
      <c r="C4311" s="31"/>
      <c r="D4311" s="31"/>
      <c r="E4311" s="31"/>
      <c r="F4311" s="691"/>
      <c r="G4311" s="31"/>
      <c r="H4311" s="31"/>
    </row>
    <row r="4312" spans="2:8" hidden="1">
      <c r="B4312" s="33"/>
      <c r="C4312" s="31"/>
      <c r="D4312" s="31"/>
      <c r="E4312" s="31"/>
      <c r="F4312" s="691"/>
      <c r="G4312" s="31"/>
      <c r="H4312" s="31"/>
    </row>
    <row r="4313" spans="2:8" hidden="1">
      <c r="B4313" s="33"/>
      <c r="C4313" s="31"/>
      <c r="D4313" s="31"/>
      <c r="E4313" s="31"/>
      <c r="F4313" s="691"/>
      <c r="G4313" s="31"/>
      <c r="H4313" s="31"/>
    </row>
    <row r="4314" spans="2:8" hidden="1">
      <c r="B4314" s="33"/>
      <c r="C4314" s="31"/>
      <c r="D4314" s="31"/>
      <c r="E4314" s="31"/>
      <c r="F4314" s="691"/>
      <c r="G4314" s="31"/>
      <c r="H4314" s="31"/>
    </row>
    <row r="4315" spans="2:8" hidden="1">
      <c r="B4315" s="33"/>
      <c r="C4315" s="31"/>
      <c r="D4315" s="31"/>
      <c r="E4315" s="31"/>
      <c r="F4315" s="691"/>
      <c r="G4315" s="31"/>
      <c r="H4315" s="31"/>
    </row>
    <row r="4316" spans="2:8" hidden="1">
      <c r="B4316" s="33"/>
      <c r="C4316" s="31"/>
      <c r="D4316" s="31"/>
      <c r="E4316" s="31"/>
      <c r="F4316" s="691"/>
      <c r="G4316" s="31"/>
      <c r="H4316" s="31"/>
    </row>
    <row r="4317" spans="2:8" hidden="1">
      <c r="B4317" s="33"/>
      <c r="C4317" s="31"/>
      <c r="D4317" s="31"/>
      <c r="E4317" s="31"/>
      <c r="F4317" s="691"/>
      <c r="G4317" s="31"/>
      <c r="H4317" s="31"/>
    </row>
    <row r="4318" spans="2:8" hidden="1">
      <c r="B4318" s="33"/>
      <c r="C4318" s="31"/>
      <c r="D4318" s="31"/>
      <c r="E4318" s="31"/>
      <c r="F4318" s="691"/>
      <c r="G4318" s="31"/>
      <c r="H4318" s="31"/>
    </row>
    <row r="4319" spans="2:8" hidden="1">
      <c r="B4319" s="33"/>
      <c r="C4319" s="31"/>
      <c r="D4319" s="31"/>
      <c r="E4319" s="31"/>
      <c r="F4319" s="691"/>
      <c r="G4319" s="31"/>
      <c r="H4319" s="31"/>
    </row>
    <row r="4320" spans="2:8" hidden="1">
      <c r="B4320" s="33"/>
      <c r="C4320" s="31"/>
      <c r="D4320" s="31"/>
      <c r="E4320" s="31"/>
      <c r="F4320" s="691"/>
      <c r="G4320" s="31"/>
      <c r="H4320" s="31"/>
    </row>
    <row r="4321" spans="2:8" hidden="1">
      <c r="B4321" s="33"/>
      <c r="C4321" s="31"/>
      <c r="D4321" s="31"/>
      <c r="E4321" s="31"/>
      <c r="F4321" s="691"/>
      <c r="G4321" s="31"/>
      <c r="H4321" s="31"/>
    </row>
    <row r="4322" spans="2:8" hidden="1">
      <c r="B4322" s="33"/>
      <c r="C4322" s="31"/>
      <c r="D4322" s="31"/>
      <c r="E4322" s="31"/>
      <c r="F4322" s="691"/>
      <c r="G4322" s="31"/>
      <c r="H4322" s="31"/>
    </row>
    <row r="4323" spans="2:8" hidden="1">
      <c r="B4323" s="33"/>
      <c r="C4323" s="31"/>
      <c r="D4323" s="31"/>
      <c r="E4323" s="200"/>
      <c r="F4323" s="691"/>
      <c r="G4323" s="31"/>
      <c r="H4323" s="31"/>
    </row>
    <row r="4324" spans="2:8" hidden="1">
      <c r="B4324" s="33"/>
      <c r="C4324" s="31"/>
      <c r="D4324" s="31"/>
      <c r="E4324" s="31"/>
      <c r="F4324" s="691"/>
      <c r="G4324" s="31"/>
      <c r="H4324" s="31"/>
    </row>
    <row r="4325" spans="2:8" hidden="1">
      <c r="B4325" s="33"/>
      <c r="C4325" s="31"/>
      <c r="D4325" s="31"/>
      <c r="E4325" s="31"/>
      <c r="F4325" s="691"/>
      <c r="G4325" s="31"/>
      <c r="H4325" s="31"/>
    </row>
    <row r="4326" spans="2:8" hidden="1">
      <c r="B4326" s="33"/>
      <c r="C4326" s="31"/>
      <c r="D4326" s="31"/>
      <c r="E4326" s="31"/>
      <c r="F4326" s="691"/>
      <c r="G4326" s="31"/>
      <c r="H4326" s="31"/>
    </row>
    <row r="4327" spans="2:8" hidden="1">
      <c r="B4327" s="33"/>
      <c r="C4327" s="31"/>
      <c r="D4327" s="31"/>
      <c r="E4327" s="31"/>
      <c r="F4327" s="691"/>
      <c r="G4327" s="31"/>
      <c r="H4327" s="31"/>
    </row>
    <row r="4328" spans="2:8" hidden="1">
      <c r="B4328" s="33"/>
      <c r="C4328" s="31"/>
      <c r="D4328" s="31"/>
      <c r="E4328" s="31"/>
      <c r="F4328" s="691"/>
      <c r="G4328" s="31"/>
      <c r="H4328" s="31"/>
    </row>
    <row r="4329" spans="2:8" hidden="1">
      <c r="B4329" s="33"/>
      <c r="C4329" s="31"/>
      <c r="D4329" s="31"/>
      <c r="E4329" s="31"/>
      <c r="F4329" s="691"/>
      <c r="G4329" s="31"/>
      <c r="H4329" s="31"/>
    </row>
    <row r="4330" spans="2:8" hidden="1">
      <c r="B4330" s="33"/>
      <c r="C4330" s="31"/>
      <c r="D4330" s="31"/>
      <c r="E4330" s="31"/>
      <c r="F4330" s="691"/>
      <c r="G4330" s="31"/>
      <c r="H4330" s="31"/>
    </row>
    <row r="4331" spans="2:8" hidden="1">
      <c r="B4331" s="33"/>
      <c r="C4331" s="31"/>
      <c r="D4331" s="31"/>
      <c r="E4331" s="31"/>
      <c r="F4331" s="691"/>
      <c r="G4331" s="31"/>
      <c r="H4331" s="31"/>
    </row>
    <row r="4332" spans="2:8" hidden="1">
      <c r="B4332" s="33"/>
      <c r="C4332" s="31"/>
      <c r="D4332" s="31"/>
      <c r="E4332" s="31"/>
      <c r="F4332" s="691"/>
      <c r="G4332" s="31"/>
      <c r="H4332" s="31"/>
    </row>
    <row r="4333" spans="2:8" hidden="1">
      <c r="B4333" s="33"/>
      <c r="C4333" s="31"/>
      <c r="D4333" s="31"/>
      <c r="E4333" s="31"/>
      <c r="F4333" s="691"/>
      <c r="G4333" s="31"/>
      <c r="H4333" s="31"/>
    </row>
    <row r="4334" spans="2:8" hidden="1">
      <c r="B4334" s="33"/>
      <c r="C4334" s="31"/>
      <c r="D4334" s="31"/>
      <c r="E4334" s="31"/>
      <c r="F4334" s="691"/>
      <c r="G4334" s="31"/>
      <c r="H4334" s="31"/>
    </row>
    <row r="4335" spans="2:8" hidden="1">
      <c r="B4335" s="33"/>
      <c r="C4335" s="31"/>
      <c r="D4335" s="31"/>
      <c r="E4335" s="31"/>
      <c r="F4335" s="691"/>
      <c r="G4335" s="31"/>
      <c r="H4335" s="31"/>
    </row>
    <row r="4336" spans="2:8" hidden="1">
      <c r="B4336" s="33"/>
      <c r="C4336" s="31"/>
      <c r="D4336" s="31"/>
      <c r="E4336" s="31"/>
      <c r="F4336" s="691"/>
      <c r="G4336" s="31"/>
      <c r="H4336" s="31"/>
    </row>
    <row r="4337" spans="2:8" hidden="1">
      <c r="B4337" s="33"/>
      <c r="C4337" s="31"/>
      <c r="D4337" s="31"/>
      <c r="E4337" s="200"/>
      <c r="F4337" s="691"/>
      <c r="G4337" s="31"/>
      <c r="H4337" s="31"/>
    </row>
    <row r="4338" spans="2:8" hidden="1">
      <c r="B4338" s="33"/>
      <c r="C4338" s="31"/>
      <c r="D4338" s="31"/>
      <c r="E4338" s="31"/>
      <c r="F4338" s="691"/>
      <c r="G4338" s="31"/>
      <c r="H4338" s="31"/>
    </row>
    <row r="4339" spans="2:8" hidden="1">
      <c r="B4339" s="33"/>
      <c r="C4339" s="31"/>
      <c r="D4339" s="31"/>
      <c r="E4339" s="31"/>
      <c r="F4339" s="691"/>
      <c r="G4339" s="31"/>
      <c r="H4339" s="31"/>
    </row>
    <row r="4340" spans="2:8" hidden="1">
      <c r="B4340" s="33"/>
      <c r="C4340" s="31"/>
      <c r="D4340" s="31"/>
      <c r="E4340" s="31"/>
      <c r="F4340" s="691"/>
      <c r="G4340" s="31"/>
      <c r="H4340" s="31"/>
    </row>
    <row r="4341" spans="2:8" hidden="1">
      <c r="B4341" s="33"/>
      <c r="C4341" s="31"/>
      <c r="D4341" s="31"/>
      <c r="E4341" s="31"/>
      <c r="F4341" s="691"/>
      <c r="G4341" s="31"/>
      <c r="H4341" s="31"/>
    </row>
    <row r="4342" spans="2:8" hidden="1">
      <c r="B4342" s="33"/>
      <c r="C4342" s="31"/>
      <c r="D4342" s="31"/>
      <c r="E4342" s="31"/>
      <c r="F4342" s="691"/>
      <c r="G4342" s="31"/>
      <c r="H4342" s="31"/>
    </row>
    <row r="4343" spans="2:8" hidden="1">
      <c r="B4343" s="33"/>
      <c r="C4343" s="31"/>
      <c r="D4343" s="31"/>
      <c r="E4343" s="31"/>
      <c r="F4343" s="691"/>
      <c r="G4343" s="31"/>
      <c r="H4343" s="31"/>
    </row>
    <row r="4344" spans="2:8" hidden="1">
      <c r="B4344" s="33"/>
      <c r="C4344" s="31"/>
      <c r="D4344" s="31"/>
      <c r="E4344" s="31"/>
      <c r="F4344" s="691"/>
      <c r="G4344" s="31"/>
      <c r="H4344" s="31"/>
    </row>
    <row r="4345" spans="2:8" hidden="1">
      <c r="B4345" s="33"/>
      <c r="C4345" s="31"/>
      <c r="D4345" s="31"/>
      <c r="E4345" s="31"/>
      <c r="F4345" s="691"/>
      <c r="G4345" s="31"/>
      <c r="H4345" s="31"/>
    </row>
    <row r="4346" spans="2:8" hidden="1">
      <c r="B4346" s="33"/>
      <c r="C4346" s="31"/>
      <c r="D4346" s="31"/>
      <c r="E4346" s="200"/>
      <c r="F4346" s="691"/>
      <c r="G4346" s="31"/>
      <c r="H4346" s="31"/>
    </row>
    <row r="4347" spans="2:8" hidden="1">
      <c r="B4347" s="33"/>
      <c r="C4347" s="31"/>
      <c r="D4347" s="31"/>
      <c r="E4347" s="31"/>
      <c r="F4347" s="691"/>
      <c r="G4347" s="31"/>
      <c r="H4347" s="31"/>
    </row>
    <row r="4348" spans="2:8" hidden="1">
      <c r="B4348" s="33"/>
      <c r="C4348" s="31"/>
      <c r="D4348" s="31"/>
      <c r="E4348" s="31"/>
      <c r="F4348" s="691"/>
      <c r="G4348" s="31"/>
      <c r="H4348" s="31"/>
    </row>
    <row r="4349" spans="2:8" hidden="1">
      <c r="B4349" s="33"/>
      <c r="C4349" s="200"/>
      <c r="D4349" s="31"/>
      <c r="E4349" s="31"/>
      <c r="F4349" s="691"/>
      <c r="G4349" s="31"/>
      <c r="H4349" s="31"/>
    </row>
    <row r="4350" spans="2:8" hidden="1">
      <c r="B4350" s="33"/>
      <c r="C4350" s="31"/>
      <c r="D4350" s="31"/>
      <c r="E4350" s="31"/>
      <c r="F4350" s="691"/>
      <c r="G4350" s="31"/>
      <c r="H4350" s="31"/>
    </row>
    <row r="4351" spans="2:8" hidden="1">
      <c r="B4351" s="33"/>
      <c r="C4351" s="31"/>
      <c r="D4351" s="31"/>
      <c r="E4351" s="31"/>
      <c r="F4351" s="691"/>
      <c r="G4351" s="31"/>
      <c r="H4351" s="31"/>
    </row>
    <row r="4352" spans="2:8" hidden="1">
      <c r="B4352" s="33"/>
      <c r="C4352" s="31"/>
      <c r="D4352" s="31"/>
      <c r="E4352" s="31"/>
      <c r="F4352" s="691"/>
      <c r="G4352" s="31"/>
      <c r="H4352" s="31"/>
    </row>
    <row r="4353" spans="2:8" hidden="1">
      <c r="B4353" s="33"/>
      <c r="C4353" s="31"/>
      <c r="D4353" s="31"/>
      <c r="E4353" s="31"/>
      <c r="F4353" s="691"/>
      <c r="G4353" s="31"/>
      <c r="H4353" s="31"/>
    </row>
    <row r="4354" spans="2:8" hidden="1">
      <c r="B4354" s="33"/>
      <c r="C4354" s="31"/>
      <c r="D4354" s="31"/>
      <c r="E4354" s="31"/>
      <c r="F4354" s="691"/>
      <c r="G4354" s="31"/>
      <c r="H4354" s="31"/>
    </row>
    <row r="4355" spans="2:8" hidden="1">
      <c r="B4355" s="33"/>
      <c r="C4355" s="31"/>
      <c r="D4355" s="31"/>
      <c r="E4355" s="31"/>
      <c r="F4355" s="691"/>
      <c r="G4355" s="31"/>
      <c r="H4355" s="31"/>
    </row>
    <row r="4356" spans="2:8" hidden="1">
      <c r="B4356" s="33"/>
      <c r="C4356" s="31"/>
      <c r="D4356" s="31"/>
      <c r="E4356" s="31"/>
      <c r="F4356" s="31"/>
      <c r="G4356" s="31"/>
      <c r="H4356" s="31"/>
    </row>
    <row r="4357" spans="2:8" hidden="1">
      <c r="B4357" s="33"/>
      <c r="C4357" s="31"/>
      <c r="D4357" s="31"/>
      <c r="E4357" s="31"/>
      <c r="F4357" s="31"/>
      <c r="G4357" s="31"/>
      <c r="H4357" s="31"/>
    </row>
    <row r="4358" spans="2:8" hidden="1">
      <c r="B4358" s="33"/>
      <c r="C4358" s="31"/>
      <c r="D4358" s="31"/>
      <c r="E4358" s="31"/>
      <c r="F4358" s="31"/>
      <c r="G4358" s="31"/>
      <c r="H4358" s="31"/>
    </row>
    <row r="4359" spans="2:8" hidden="1">
      <c r="B4359" s="33"/>
      <c r="C4359" s="31"/>
      <c r="D4359" s="31"/>
      <c r="E4359" s="31"/>
      <c r="F4359" s="691"/>
      <c r="G4359" s="31"/>
      <c r="H4359" s="31"/>
    </row>
    <row r="4360" spans="2:8" hidden="1">
      <c r="B4360" s="33"/>
      <c r="C4360" s="31"/>
      <c r="D4360" s="31"/>
      <c r="E4360" s="31"/>
      <c r="F4360" s="31"/>
      <c r="G4360" s="31"/>
      <c r="H4360" s="31"/>
    </row>
    <row r="4361" spans="2:8" hidden="1">
      <c r="B4361" s="33"/>
      <c r="C4361" s="31"/>
      <c r="D4361" s="31"/>
      <c r="E4361" s="31"/>
      <c r="F4361" s="31"/>
      <c r="G4361" s="31"/>
      <c r="H4361" s="31"/>
    </row>
    <row r="4362" spans="2:8" hidden="1">
      <c r="B4362" s="33"/>
      <c r="C4362" s="31"/>
      <c r="D4362" s="31"/>
      <c r="E4362" s="31"/>
      <c r="F4362" s="31"/>
      <c r="G4362" s="31"/>
      <c r="H4362" s="31"/>
    </row>
    <row r="4363" spans="2:8" hidden="1">
      <c r="B4363" s="33"/>
      <c r="C4363" s="31"/>
      <c r="D4363" s="31"/>
      <c r="E4363" s="31"/>
      <c r="F4363" s="31"/>
      <c r="G4363" s="31"/>
      <c r="H4363" s="31"/>
    </row>
    <row r="4364" spans="2:8" hidden="1">
      <c r="B4364" s="33"/>
      <c r="C4364" s="31"/>
      <c r="D4364" s="31"/>
      <c r="E4364" s="31"/>
      <c r="F4364" s="31"/>
      <c r="G4364" s="31"/>
      <c r="H4364" s="31"/>
    </row>
    <row r="4365" spans="2:8" hidden="1">
      <c r="B4365" s="33"/>
      <c r="C4365" s="31"/>
      <c r="D4365" s="31"/>
      <c r="E4365" s="31"/>
      <c r="F4365" s="31"/>
      <c r="G4365" s="31"/>
      <c r="H4365" s="31"/>
    </row>
    <row r="4366" spans="2:8" hidden="1">
      <c r="B4366" s="33"/>
      <c r="C4366" s="31"/>
      <c r="D4366" s="31"/>
      <c r="E4366" s="31"/>
      <c r="F4366" s="31"/>
      <c r="G4366" s="31"/>
      <c r="H4366" s="31"/>
    </row>
    <row r="4367" spans="2:8" hidden="1">
      <c r="B4367" s="33"/>
      <c r="C4367" s="31"/>
      <c r="D4367" s="31"/>
      <c r="E4367" s="31"/>
      <c r="F4367" s="31"/>
      <c r="G4367" s="31"/>
      <c r="H4367" s="31"/>
    </row>
    <row r="4368" spans="2:8" hidden="1">
      <c r="B4368" s="33"/>
      <c r="C4368" s="31"/>
      <c r="D4368" s="31"/>
      <c r="E4368" s="31"/>
      <c r="F4368" s="31"/>
      <c r="G4368" s="31"/>
      <c r="H4368" s="31"/>
    </row>
    <row r="4369" spans="2:8" hidden="1">
      <c r="B4369" s="33"/>
      <c r="C4369" s="31"/>
      <c r="D4369" s="31"/>
      <c r="E4369" s="31"/>
      <c r="F4369" s="31"/>
      <c r="G4369" s="31"/>
      <c r="H4369" s="31"/>
    </row>
    <row r="4370" spans="2:8" hidden="1">
      <c r="B4370" s="33"/>
      <c r="C4370" s="31"/>
      <c r="D4370" s="31"/>
      <c r="E4370" s="31"/>
      <c r="F4370" s="31"/>
      <c r="G4370" s="31"/>
      <c r="H4370" s="31"/>
    </row>
    <row r="4371" spans="2:8" hidden="1">
      <c r="B4371" s="33"/>
      <c r="C4371" s="31"/>
      <c r="D4371" s="31"/>
      <c r="E4371" s="31"/>
      <c r="F4371" s="33"/>
      <c r="G4371" s="31"/>
      <c r="H4371" s="31"/>
    </row>
    <row r="4372" spans="2:8" hidden="1">
      <c r="B4372" s="33"/>
      <c r="C4372" s="31"/>
      <c r="D4372" s="33"/>
      <c r="E4372" s="33"/>
      <c r="F4372" s="33"/>
      <c r="G4372" s="33"/>
      <c r="H4372" s="31"/>
    </row>
    <row r="4373" spans="2:8" hidden="1">
      <c r="B4373" s="33"/>
      <c r="C4373" s="31"/>
      <c r="D4373" s="33"/>
      <c r="E4373" s="33"/>
      <c r="F4373" s="33"/>
      <c r="G4373" s="33"/>
      <c r="H4373" s="31"/>
    </row>
    <row r="4374" spans="2:8" hidden="1">
      <c r="B4374" s="33"/>
      <c r="C4374" s="31"/>
      <c r="D4374" s="33"/>
      <c r="E4374" s="33"/>
      <c r="F4374" s="33"/>
      <c r="G4374" s="33"/>
      <c r="H4374" s="31"/>
    </row>
    <row r="4375" spans="2:8" hidden="1">
      <c r="B4375" s="33"/>
      <c r="C4375" s="31"/>
      <c r="D4375" s="33"/>
      <c r="E4375" s="33"/>
      <c r="F4375" s="33"/>
      <c r="G4375" s="33"/>
      <c r="H4375" s="31"/>
    </row>
    <row r="4376" spans="2:8" hidden="1">
      <c r="B4376" s="33"/>
      <c r="C4376" s="31"/>
      <c r="D4376" s="33"/>
      <c r="E4376" s="33"/>
      <c r="F4376" s="33"/>
      <c r="G4376" s="33"/>
      <c r="H4376" s="31"/>
    </row>
    <row r="4377" spans="2:8" hidden="1">
      <c r="B4377" s="33"/>
      <c r="C4377" s="31"/>
      <c r="D4377" s="33"/>
      <c r="E4377" s="33"/>
      <c r="F4377" s="33"/>
      <c r="G4377" s="33"/>
      <c r="H4377" s="31"/>
    </row>
    <row r="4378" spans="2:8" hidden="1">
      <c r="B4378" s="33"/>
      <c r="C4378" s="31"/>
      <c r="D4378" s="33"/>
      <c r="E4378" s="33"/>
      <c r="F4378" s="33"/>
      <c r="G4378" s="33"/>
      <c r="H4378" s="31"/>
    </row>
    <row r="4379" spans="2:8" hidden="1">
      <c r="B4379" s="33"/>
      <c r="C4379" s="31"/>
      <c r="D4379" s="33"/>
      <c r="E4379" s="33"/>
      <c r="F4379" s="33"/>
      <c r="G4379" s="33"/>
      <c r="H4379" s="31"/>
    </row>
    <row r="4380" spans="2:8" hidden="1">
      <c r="B4380" s="33"/>
      <c r="C4380" s="31"/>
      <c r="D4380" s="33"/>
      <c r="E4380" s="33"/>
      <c r="F4380" s="33"/>
      <c r="G4380" s="33"/>
      <c r="H4380" s="31"/>
    </row>
    <row r="4381" spans="2:8" hidden="1">
      <c r="B4381" s="33"/>
      <c r="C4381" s="31"/>
      <c r="D4381" s="33"/>
      <c r="E4381" s="33"/>
      <c r="F4381" s="33"/>
      <c r="G4381" s="33"/>
      <c r="H4381" s="31"/>
    </row>
    <row r="4382" spans="2:8" hidden="1">
      <c r="B4382" s="33"/>
      <c r="C4382" s="31"/>
      <c r="D4382" s="33"/>
      <c r="E4382" s="33"/>
      <c r="F4382" s="33"/>
      <c r="G4382" s="33"/>
      <c r="H4382" s="31"/>
    </row>
    <row r="4383" spans="2:8" hidden="1">
      <c r="B4383" s="33"/>
      <c r="C4383" s="31"/>
      <c r="D4383" s="33"/>
      <c r="E4383" s="33"/>
      <c r="F4383" s="33"/>
      <c r="G4383" s="33"/>
      <c r="H4383" s="31"/>
    </row>
    <row r="4384" spans="2:8" hidden="1">
      <c r="B4384" s="33"/>
      <c r="C4384" s="33"/>
      <c r="D4384" s="33"/>
      <c r="E4384" s="33"/>
      <c r="F4384" s="33"/>
      <c r="G4384" s="33"/>
      <c r="H4384" s="31"/>
    </row>
    <row r="4385" spans="2:8" hidden="1">
      <c r="B4385" s="33"/>
      <c r="C4385" s="31"/>
      <c r="D4385" s="31"/>
      <c r="E4385" s="31"/>
      <c r="F4385" s="31"/>
      <c r="G4385" s="31"/>
      <c r="H4385" s="31"/>
    </row>
    <row r="4386" spans="2:8" hidden="1">
      <c r="B4386" s="33"/>
      <c r="C4386" s="31"/>
      <c r="D4386" s="31"/>
      <c r="E4386" s="31"/>
      <c r="F4386" s="31"/>
      <c r="G4386" s="31"/>
      <c r="H4386" s="31"/>
    </row>
    <row r="4387" spans="2:8" hidden="1">
      <c r="B4387" s="33"/>
      <c r="C4387" s="31"/>
      <c r="D4387" s="31"/>
      <c r="E4387" s="31"/>
      <c r="F4387" s="31"/>
      <c r="G4387" s="31"/>
      <c r="H4387" s="31"/>
    </row>
    <row r="4388" spans="2:8" hidden="1">
      <c r="B4388" s="33"/>
      <c r="C4388" s="31"/>
      <c r="D4388" s="31"/>
      <c r="E4388" s="31"/>
      <c r="F4388" s="31"/>
      <c r="G4388" s="31"/>
      <c r="H4388" s="31"/>
    </row>
    <row r="4389" spans="2:8" hidden="1">
      <c r="B4389" s="33"/>
      <c r="C4389" s="31"/>
      <c r="D4389" s="31"/>
      <c r="E4389" s="31"/>
      <c r="F4389" s="31"/>
      <c r="G4389" s="31"/>
      <c r="H4389" s="31"/>
    </row>
    <row r="4390" spans="2:8" hidden="1">
      <c r="B4390" s="33"/>
      <c r="C4390" s="31"/>
      <c r="D4390" s="31"/>
      <c r="E4390" s="31"/>
      <c r="F4390" s="31"/>
      <c r="G4390" s="31"/>
      <c r="H4390" s="31"/>
    </row>
    <row r="4391" spans="2:8" hidden="1">
      <c r="B4391" s="33"/>
      <c r="C4391" s="31"/>
      <c r="D4391" s="31"/>
      <c r="E4391" s="31"/>
      <c r="F4391" s="31"/>
      <c r="G4391" s="31"/>
      <c r="H4391" s="31"/>
    </row>
    <row r="4392" spans="2:8" hidden="1">
      <c r="B4392" s="33"/>
      <c r="C4392" s="31"/>
      <c r="D4392" s="31"/>
      <c r="E4392" s="31"/>
      <c r="F4392" s="31"/>
      <c r="G4392" s="31"/>
      <c r="H4392" s="31"/>
    </row>
    <row r="4393" spans="2:8" hidden="1">
      <c r="B4393" s="33"/>
      <c r="C4393" s="31"/>
      <c r="D4393" s="31"/>
      <c r="E4393" s="31"/>
      <c r="F4393" s="31"/>
      <c r="G4393" s="31"/>
      <c r="H4393" s="31"/>
    </row>
    <row r="4394" spans="2:8" hidden="1">
      <c r="B4394" s="33"/>
      <c r="C4394" s="31"/>
      <c r="D4394" s="31"/>
      <c r="E4394" s="31"/>
      <c r="F4394" s="31"/>
      <c r="G4394" s="31"/>
      <c r="H4394" s="31"/>
    </row>
    <row r="4395" spans="2:8" hidden="1">
      <c r="B4395" s="33"/>
      <c r="C4395" s="31"/>
      <c r="D4395" s="31"/>
      <c r="E4395" s="31"/>
      <c r="F4395" s="31"/>
      <c r="G4395" s="31"/>
      <c r="H4395" s="31"/>
    </row>
    <row r="4396" spans="2:8" hidden="1">
      <c r="B4396" s="33"/>
      <c r="C4396" s="31"/>
      <c r="D4396" s="31"/>
      <c r="E4396" s="31"/>
      <c r="F4396" s="31"/>
      <c r="G4396" s="31"/>
      <c r="H4396" s="31"/>
    </row>
    <row r="4397" spans="2:8" hidden="1">
      <c r="B4397" s="33"/>
      <c r="C4397" s="31"/>
      <c r="D4397" s="75"/>
      <c r="E4397" s="31"/>
      <c r="F4397" s="405"/>
      <c r="G4397" s="75"/>
      <c r="H4397" s="31"/>
    </row>
    <row r="4398" spans="2:8" hidden="1">
      <c r="B4398" s="33"/>
      <c r="C4398" s="31"/>
      <c r="D4398" s="31"/>
      <c r="E4398" s="31"/>
      <c r="F4398" s="405"/>
      <c r="G4398" s="732"/>
      <c r="H4398" s="31"/>
    </row>
    <row r="4399" spans="2:8" hidden="1">
      <c r="B4399" s="33"/>
      <c r="C4399" s="31"/>
      <c r="D4399" s="31"/>
      <c r="E4399" s="31"/>
      <c r="F4399" s="405"/>
      <c r="G4399" s="75"/>
      <c r="H4399" s="31"/>
    </row>
    <row r="4400" spans="2:8" hidden="1">
      <c r="B4400" s="33"/>
      <c r="C4400" s="31"/>
      <c r="D4400" s="75"/>
      <c r="E4400" s="31"/>
      <c r="F4400" s="405"/>
      <c r="G4400" s="75"/>
      <c r="H4400" s="31"/>
    </row>
    <row r="4401" spans="2:8" hidden="1">
      <c r="B4401" s="33"/>
      <c r="C4401" s="31"/>
      <c r="D4401" s="31"/>
      <c r="E4401" s="31"/>
      <c r="F4401" s="405"/>
      <c r="G4401" s="732"/>
      <c r="H4401" s="31"/>
    </row>
    <row r="4402" spans="2:8" hidden="1">
      <c r="B4402" s="33"/>
      <c r="C4402" s="31"/>
      <c r="D4402" s="31"/>
      <c r="E4402" s="31"/>
      <c r="F4402" s="405"/>
      <c r="G4402" s="75"/>
      <c r="H4402" s="31"/>
    </row>
    <row r="4403" spans="2:8" hidden="1">
      <c r="B4403" s="33"/>
      <c r="C4403" s="31"/>
      <c r="D4403" s="31"/>
      <c r="E4403" s="31"/>
      <c r="F4403" s="31"/>
      <c r="G4403" s="31"/>
      <c r="H4403" s="31"/>
    </row>
    <row r="4404" spans="2:8" hidden="1">
      <c r="B4404" s="33"/>
      <c r="C4404" s="200"/>
      <c r="D4404" s="31"/>
      <c r="E4404" s="200"/>
      <c r="F4404" s="769"/>
      <c r="G4404" s="31"/>
      <c r="H4404" s="31"/>
    </row>
    <row r="4405" spans="2:8" hidden="1">
      <c r="B4405" s="76"/>
      <c r="C4405" s="31"/>
      <c r="D4405" s="31"/>
      <c r="E4405" s="31"/>
      <c r="F4405" s="75"/>
      <c r="G4405" s="31"/>
      <c r="H4405" s="31"/>
    </row>
    <row r="4406" spans="2:8" hidden="1">
      <c r="B4406" s="33"/>
      <c r="C4406" s="33"/>
      <c r="D4406" s="33"/>
      <c r="E4406" s="33"/>
      <c r="F4406" s="33"/>
      <c r="G4406" s="33"/>
      <c r="H4406" s="31"/>
    </row>
    <row r="4407" spans="2:8" hidden="1">
      <c r="B4407" s="33"/>
      <c r="C4407" s="31"/>
      <c r="D4407" s="33"/>
      <c r="E4407" s="33"/>
      <c r="F4407" s="33"/>
      <c r="G4407" s="33"/>
      <c r="H4407" s="31"/>
    </row>
    <row r="4408" spans="2:8" hidden="1">
      <c r="B4408" s="405"/>
      <c r="C4408" s="76"/>
      <c r="D4408" s="731"/>
      <c r="E4408" s="75"/>
      <c r="F4408" s="75"/>
      <c r="G4408" s="75"/>
      <c r="H4408" s="31"/>
    </row>
    <row r="4409" spans="2:8" hidden="1">
      <c r="B4409" s="405"/>
      <c r="C4409" s="76"/>
      <c r="D4409" s="731"/>
      <c r="E4409" s="75"/>
      <c r="F4409" s="75"/>
      <c r="G4409" s="75"/>
      <c r="H4409" s="31"/>
    </row>
    <row r="4410" spans="2:8" hidden="1">
      <c r="B4410" s="405"/>
      <c r="C4410" s="76"/>
      <c r="D4410" s="731"/>
      <c r="E4410" s="75"/>
      <c r="F4410" s="75"/>
      <c r="G4410" s="75"/>
      <c r="H4410" s="31"/>
    </row>
    <row r="4411" spans="2:8" hidden="1">
      <c r="B4411" s="405"/>
      <c r="C4411" s="76"/>
      <c r="D4411" s="731"/>
      <c r="E4411" s="75"/>
      <c r="F4411" s="75"/>
      <c r="G4411" s="75"/>
      <c r="H4411" s="31"/>
    </row>
    <row r="4412" spans="2:8" hidden="1">
      <c r="B4412" s="405"/>
      <c r="C4412" s="76"/>
      <c r="D4412" s="731"/>
      <c r="E4412" s="75"/>
      <c r="F4412" s="75"/>
      <c r="G4412" s="75"/>
      <c r="H4412" s="31"/>
    </row>
    <row r="4413" spans="2:8" hidden="1">
      <c r="B4413" s="405"/>
      <c r="C4413" s="76"/>
      <c r="D4413" s="731"/>
      <c r="E4413" s="75"/>
      <c r="F4413" s="75"/>
      <c r="G4413" s="75"/>
      <c r="H4413" s="31"/>
    </row>
    <row r="4414" spans="2:8" hidden="1">
      <c r="B4414" s="405"/>
      <c r="C4414" s="76"/>
      <c r="D4414" s="731"/>
      <c r="E4414" s="75"/>
      <c r="F4414" s="75"/>
      <c r="G4414" s="75"/>
      <c r="H4414" s="31"/>
    </row>
    <row r="4415" spans="2:8" hidden="1">
      <c r="B4415" s="405"/>
      <c r="C4415" s="76"/>
      <c r="D4415" s="731"/>
      <c r="E4415" s="75"/>
      <c r="F4415" s="75"/>
      <c r="G4415" s="75"/>
      <c r="H4415" s="31"/>
    </row>
    <row r="4416" spans="2:8" hidden="1">
      <c r="B4416" s="405"/>
      <c r="C4416" s="76"/>
      <c r="D4416" s="731"/>
      <c r="E4416" s="75"/>
      <c r="F4416" s="75"/>
      <c r="G4416" s="75"/>
      <c r="H4416" s="31"/>
    </row>
    <row r="4417" spans="2:8" hidden="1">
      <c r="B4417" s="405"/>
      <c r="C4417" s="76"/>
      <c r="D4417" s="731"/>
      <c r="E4417" s="75"/>
      <c r="F4417" s="75"/>
      <c r="G4417" s="75"/>
      <c r="H4417" s="31"/>
    </row>
    <row r="4418" spans="2:8" hidden="1">
      <c r="B4418" s="405"/>
      <c r="C4418" s="76"/>
      <c r="D4418" s="731"/>
      <c r="E4418" s="75"/>
      <c r="F4418" s="75"/>
      <c r="G4418" s="75"/>
      <c r="H4418" s="31"/>
    </row>
    <row r="4419" spans="2:8" hidden="1">
      <c r="B4419" s="405"/>
      <c r="C4419" s="76"/>
      <c r="D4419" s="731"/>
      <c r="E4419" s="75"/>
      <c r="F4419" s="75"/>
      <c r="G4419" s="75"/>
      <c r="H4419" s="31"/>
    </row>
    <row r="4420" spans="2:8" hidden="1">
      <c r="B4420" s="405"/>
      <c r="C4420" s="76"/>
      <c r="D4420" s="731"/>
      <c r="E4420" s="75"/>
      <c r="F4420" s="75"/>
      <c r="G4420" s="75"/>
      <c r="H4420" s="31"/>
    </row>
    <row r="4421" spans="2:8" hidden="1">
      <c r="B4421" s="405"/>
      <c r="C4421" s="76"/>
      <c r="D4421" s="731"/>
      <c r="E4421" s="75"/>
      <c r="F4421" s="75"/>
      <c r="G4421" s="75"/>
      <c r="H4421" s="31"/>
    </row>
    <row r="4422" spans="2:8" hidden="1">
      <c r="B4422" s="405"/>
      <c r="C4422" s="76"/>
      <c r="D4422" s="731"/>
      <c r="E4422" s="75"/>
      <c r="F4422" s="75"/>
      <c r="G4422" s="75"/>
      <c r="H4422" s="31"/>
    </row>
    <row r="4423" spans="2:8" hidden="1">
      <c r="B4423" s="405"/>
      <c r="C4423" s="76"/>
      <c r="D4423" s="731"/>
      <c r="E4423" s="75"/>
      <c r="F4423" s="75"/>
      <c r="G4423" s="75"/>
      <c r="H4423" s="31"/>
    </row>
    <row r="4424" spans="2:8" hidden="1">
      <c r="B4424" s="405"/>
      <c r="C4424" s="76"/>
      <c r="D4424" s="731"/>
      <c r="E4424" s="75"/>
      <c r="F4424" s="75"/>
      <c r="G4424" s="75"/>
      <c r="H4424" s="31"/>
    </row>
    <row r="4425" spans="2:8" hidden="1">
      <c r="B4425" s="405"/>
      <c r="C4425" s="76"/>
      <c r="D4425" s="731"/>
      <c r="E4425" s="75"/>
      <c r="F4425" s="75"/>
      <c r="G4425" s="75"/>
      <c r="H4425" s="31"/>
    </row>
    <row r="4426" spans="2:8" hidden="1">
      <c r="B4426" s="30"/>
      <c r="C4426" s="76"/>
      <c r="D4426" s="731"/>
      <c r="E4426" s="75"/>
      <c r="F4426" s="75"/>
      <c r="G4426" s="75"/>
      <c r="H4426" s="31"/>
    </row>
    <row r="4427" spans="2:8" hidden="1">
      <c r="B4427" s="30"/>
      <c r="C4427" s="76"/>
      <c r="D4427" s="731"/>
      <c r="E4427" s="75"/>
      <c r="F4427" s="75"/>
      <c r="G4427" s="75"/>
      <c r="H4427" s="31"/>
    </row>
    <row r="4428" spans="2:8" hidden="1">
      <c r="B4428" s="30"/>
      <c r="C4428" s="76"/>
      <c r="D4428" s="731"/>
      <c r="E4428" s="75"/>
      <c r="F4428" s="75"/>
      <c r="G4428" s="75"/>
      <c r="H4428" s="31"/>
    </row>
    <row r="4429" spans="2:8" hidden="1">
      <c r="B4429" s="30"/>
      <c r="C4429" s="76"/>
      <c r="D4429" s="731"/>
      <c r="E4429" s="75"/>
      <c r="F4429" s="75"/>
      <c r="G4429" s="75"/>
      <c r="H4429" s="31"/>
    </row>
    <row r="4430" spans="2:8" hidden="1">
      <c r="B4430" s="30"/>
      <c r="C4430" s="76"/>
      <c r="D4430" s="731"/>
      <c r="E4430" s="75"/>
      <c r="F4430" s="75"/>
      <c r="G4430" s="75"/>
      <c r="H4430" s="31"/>
    </row>
    <row r="4431" spans="2:8" hidden="1">
      <c r="B4431" s="30"/>
      <c r="C4431" s="76"/>
      <c r="D4431" s="731"/>
      <c r="E4431" s="75"/>
      <c r="F4431" s="75"/>
      <c r="G4431" s="75"/>
      <c r="H4431" s="31"/>
    </row>
    <row r="4432" spans="2:8" hidden="1">
      <c r="B4432" s="30"/>
      <c r="C4432" s="76"/>
      <c r="D4432" s="731"/>
      <c r="E4432" s="75"/>
      <c r="F4432" s="75"/>
      <c r="G4432" s="75"/>
      <c r="H4432" s="31"/>
    </row>
    <row r="4433" spans="2:8" hidden="1">
      <c r="B4433" s="30"/>
      <c r="C4433" s="76"/>
      <c r="D4433" s="731"/>
      <c r="E4433" s="75"/>
      <c r="F4433" s="75"/>
      <c r="G4433" s="75"/>
      <c r="H4433" s="31"/>
    </row>
    <row r="4434" spans="2:8" hidden="1">
      <c r="B4434" s="30"/>
      <c r="C4434" s="76"/>
      <c r="D4434" s="731"/>
      <c r="E4434" s="75"/>
      <c r="F4434" s="75"/>
      <c r="G4434" s="75"/>
      <c r="H4434" s="31"/>
    </row>
    <row r="4435" spans="2:8" hidden="1">
      <c r="B4435" s="33"/>
      <c r="C4435" s="31"/>
      <c r="D4435" s="31"/>
      <c r="E4435" s="200"/>
      <c r="F4435" s="200"/>
      <c r="G4435" s="75"/>
      <c r="H4435" s="31"/>
    </row>
    <row r="4436" spans="2:8" hidden="1">
      <c r="B4436" s="33"/>
      <c r="C4436" s="31"/>
      <c r="D4436" s="31"/>
      <c r="E4436" s="198"/>
      <c r="F4436" s="200"/>
      <c r="G4436" s="75"/>
      <c r="H4436" s="31"/>
    </row>
    <row r="4437" spans="2:8" hidden="1">
      <c r="B4437" s="33"/>
      <c r="C4437" s="31"/>
      <c r="D4437" s="31"/>
      <c r="E4437" s="198"/>
      <c r="F4437" s="200"/>
      <c r="G4437" s="75"/>
      <c r="H4437" s="31"/>
    </row>
    <row r="4438" spans="2:8" hidden="1">
      <c r="B4438" s="33"/>
      <c r="C4438" s="31"/>
      <c r="D4438" s="31"/>
      <c r="E4438" s="198"/>
      <c r="F4438" s="200"/>
      <c r="G4438" s="75"/>
      <c r="H4438" s="31"/>
    </row>
    <row r="4439" spans="2:8" hidden="1">
      <c r="B4439" s="33"/>
      <c r="C4439" s="200"/>
      <c r="D4439" s="30"/>
      <c r="E4439" s="30"/>
      <c r="F4439" s="200"/>
      <c r="G4439" s="75"/>
      <c r="H4439" s="31"/>
    </row>
    <row r="4440" spans="2:8" hidden="1">
      <c r="B4440" s="33"/>
      <c r="C4440" s="31"/>
      <c r="D4440" s="31"/>
      <c r="E4440" s="31"/>
      <c r="F4440" s="31"/>
      <c r="G4440" s="31"/>
      <c r="H4440" s="31"/>
    </row>
    <row r="4441" spans="2:8" hidden="1">
      <c r="B4441" s="76"/>
      <c r="C4441" s="31"/>
      <c r="D4441" s="31"/>
      <c r="E4441" s="31"/>
      <c r="F4441" s="31"/>
      <c r="G4441" s="31"/>
      <c r="H4441" s="31"/>
    </row>
    <row r="4442" spans="2:8" hidden="1">
      <c r="B4442" s="33"/>
      <c r="C4442" s="33"/>
      <c r="D4442" s="33"/>
      <c r="E4442" s="33"/>
      <c r="F4442" s="33"/>
      <c r="G4442" s="33"/>
      <c r="H4442" s="31"/>
    </row>
    <row r="4443" spans="2:8" hidden="1">
      <c r="B4443" s="33"/>
      <c r="C4443" s="31"/>
      <c r="D4443" s="33"/>
      <c r="E4443" s="33"/>
      <c r="F4443" s="33"/>
      <c r="G4443" s="33"/>
      <c r="H4443" s="31"/>
    </row>
    <row r="4444" spans="2:8" hidden="1">
      <c r="B4444" s="405"/>
      <c r="C4444" s="76"/>
      <c r="D4444" s="731"/>
      <c r="E4444" s="75"/>
      <c r="F4444" s="75"/>
      <c r="G4444" s="75"/>
      <c r="H4444" s="31"/>
    </row>
    <row r="4445" spans="2:8" hidden="1">
      <c r="B4445" s="405"/>
      <c r="C4445" s="76"/>
      <c r="D4445" s="731"/>
      <c r="E4445" s="75"/>
      <c r="F4445" s="75"/>
      <c r="G4445" s="75"/>
      <c r="H4445" s="31"/>
    </row>
    <row r="4446" spans="2:8" hidden="1">
      <c r="B4446" s="405"/>
      <c r="C4446" s="76"/>
      <c r="D4446" s="731"/>
      <c r="E4446" s="75"/>
      <c r="F4446" s="75"/>
      <c r="G4446" s="75"/>
      <c r="H4446" s="31"/>
    </row>
    <row r="4447" spans="2:8" hidden="1">
      <c r="B4447" s="405"/>
      <c r="C4447" s="76"/>
      <c r="D4447" s="731"/>
      <c r="E4447" s="75"/>
      <c r="F4447" s="75"/>
      <c r="G4447" s="75"/>
      <c r="H4447" s="31"/>
    </row>
    <row r="4448" spans="2:8" hidden="1">
      <c r="B4448" s="405"/>
      <c r="C4448" s="76"/>
      <c r="D4448" s="731"/>
      <c r="E4448" s="75"/>
      <c r="F4448" s="75"/>
      <c r="G4448" s="75"/>
      <c r="H4448" s="31"/>
    </row>
    <row r="4449" spans="2:8" hidden="1">
      <c r="B4449" s="405"/>
      <c r="C4449" s="76"/>
      <c r="D4449" s="731"/>
      <c r="E4449" s="75"/>
      <c r="F4449" s="75"/>
      <c r="G4449" s="75"/>
      <c r="H4449" s="31"/>
    </row>
    <row r="4450" spans="2:8" hidden="1">
      <c r="B4450" s="405"/>
      <c r="C4450" s="76"/>
      <c r="D4450" s="731"/>
      <c r="E4450" s="75"/>
      <c r="F4450" s="75"/>
      <c r="G4450" s="75"/>
      <c r="H4450" s="31"/>
    </row>
    <row r="4451" spans="2:8" hidden="1">
      <c r="B4451" s="405"/>
      <c r="C4451" s="76"/>
      <c r="D4451" s="731"/>
      <c r="E4451" s="75"/>
      <c r="F4451" s="75"/>
      <c r="G4451" s="75"/>
      <c r="H4451" s="31"/>
    </row>
    <row r="4452" spans="2:8" hidden="1">
      <c r="B4452" s="405"/>
      <c r="C4452" s="76"/>
      <c r="D4452" s="731"/>
      <c r="E4452" s="75"/>
      <c r="F4452" s="75"/>
      <c r="G4452" s="75"/>
      <c r="H4452" s="31"/>
    </row>
    <row r="4453" spans="2:8" hidden="1">
      <c r="B4453" s="405"/>
      <c r="C4453" s="76"/>
      <c r="D4453" s="731"/>
      <c r="E4453" s="75"/>
      <c r="F4453" s="75"/>
      <c r="G4453" s="75"/>
      <c r="H4453" s="31"/>
    </row>
    <row r="4454" spans="2:8" hidden="1">
      <c r="B4454" s="405"/>
      <c r="C4454" s="76"/>
      <c r="D4454" s="731"/>
      <c r="E4454" s="75"/>
      <c r="F4454" s="75"/>
      <c r="G4454" s="75"/>
      <c r="H4454" s="31"/>
    </row>
    <row r="4455" spans="2:8" hidden="1">
      <c r="B4455" s="405"/>
      <c r="C4455" s="76"/>
      <c r="D4455" s="731"/>
      <c r="E4455" s="75"/>
      <c r="F4455" s="75"/>
      <c r="G4455" s="75"/>
      <c r="H4455" s="31"/>
    </row>
    <row r="4456" spans="2:8" hidden="1">
      <c r="B4456" s="405"/>
      <c r="C4456" s="76"/>
      <c r="D4456" s="731"/>
      <c r="E4456" s="75"/>
      <c r="F4456" s="75"/>
      <c r="G4456" s="75"/>
      <c r="H4456" s="31"/>
    </row>
    <row r="4457" spans="2:8" hidden="1">
      <c r="B4457" s="405"/>
      <c r="C4457" s="76"/>
      <c r="D4457" s="731"/>
      <c r="E4457" s="75"/>
      <c r="F4457" s="75"/>
      <c r="G4457" s="75"/>
      <c r="H4457" s="31"/>
    </row>
    <row r="4458" spans="2:8" hidden="1">
      <c r="B4458" s="405"/>
      <c r="C4458" s="76"/>
      <c r="D4458" s="731"/>
      <c r="E4458" s="75"/>
      <c r="F4458" s="75"/>
      <c r="G4458" s="75"/>
      <c r="H4458" s="31"/>
    </row>
    <row r="4459" spans="2:8" hidden="1">
      <c r="B4459" s="33"/>
      <c r="C4459" s="31"/>
      <c r="D4459" s="31"/>
      <c r="E4459" s="200"/>
      <c r="F4459" s="200"/>
      <c r="G4459" s="75"/>
      <c r="H4459" s="31"/>
    </row>
    <row r="4460" spans="2:8" hidden="1">
      <c r="B4460" s="33"/>
      <c r="C4460" s="31"/>
      <c r="D4460" s="31"/>
      <c r="E4460" s="198"/>
      <c r="F4460" s="200"/>
      <c r="G4460" s="75"/>
      <c r="H4460" s="31"/>
    </row>
    <row r="4461" spans="2:8" hidden="1">
      <c r="B4461" s="33"/>
      <c r="C4461" s="31"/>
      <c r="D4461" s="31"/>
      <c r="E4461" s="198"/>
      <c r="F4461" s="200"/>
      <c r="G4461" s="75"/>
      <c r="H4461" s="31"/>
    </row>
    <row r="4462" spans="2:8" hidden="1">
      <c r="B4462" s="33"/>
      <c r="C4462" s="31"/>
      <c r="D4462" s="31"/>
      <c r="E4462" s="198"/>
      <c r="F4462" s="200"/>
      <c r="G4462" s="75"/>
      <c r="H4462" s="31"/>
    </row>
    <row r="4463" spans="2:8" hidden="1">
      <c r="B4463" s="33"/>
      <c r="C4463" s="30"/>
      <c r="D4463" s="30"/>
      <c r="E4463" s="30"/>
      <c r="F4463" s="200"/>
      <c r="G4463" s="75"/>
      <c r="H4463" s="31"/>
    </row>
    <row r="4464" spans="2:8" hidden="1">
      <c r="B4464" s="33"/>
      <c r="C4464" s="31"/>
      <c r="D4464" s="31"/>
      <c r="E4464" s="31"/>
      <c r="F4464" s="31"/>
      <c r="G4464" s="31"/>
      <c r="H4464" s="31"/>
    </row>
    <row r="4465" spans="2:8" hidden="1">
      <c r="B4465" s="76"/>
      <c r="C4465" s="31"/>
      <c r="D4465" s="31"/>
      <c r="E4465" s="31"/>
      <c r="F4465" s="31"/>
      <c r="G4465" s="31"/>
      <c r="H4465" s="31"/>
    </row>
    <row r="4466" spans="2:8" hidden="1">
      <c r="B4466" s="33"/>
      <c r="C4466" s="33"/>
      <c r="D4466" s="33"/>
      <c r="E4466" s="33"/>
      <c r="F4466" s="33"/>
      <c r="G4466" s="33"/>
      <c r="H4466" s="31"/>
    </row>
    <row r="4467" spans="2:8" hidden="1">
      <c r="B4467" s="33"/>
      <c r="C4467" s="31"/>
      <c r="D4467" s="33"/>
      <c r="E4467" s="33"/>
      <c r="F4467" s="33"/>
      <c r="G4467" s="33"/>
      <c r="H4467" s="31"/>
    </row>
    <row r="4468" spans="2:8" hidden="1">
      <c r="B4468" s="405"/>
      <c r="C4468" s="76"/>
      <c r="D4468" s="731"/>
      <c r="E4468" s="75"/>
      <c r="F4468" s="75"/>
      <c r="G4468" s="75"/>
      <c r="H4468" s="31"/>
    </row>
    <row r="4469" spans="2:8" hidden="1">
      <c r="B4469" s="405"/>
      <c r="C4469" s="76"/>
      <c r="D4469" s="731"/>
      <c r="E4469" s="75"/>
      <c r="F4469" s="75"/>
      <c r="G4469" s="75"/>
      <c r="H4469" s="31"/>
    </row>
    <row r="4470" spans="2:8" hidden="1">
      <c r="B4470" s="405"/>
      <c r="C4470" s="76"/>
      <c r="D4470" s="731"/>
      <c r="E4470" s="75"/>
      <c r="F4470" s="75"/>
      <c r="G4470" s="75"/>
      <c r="H4470" s="31"/>
    </row>
    <row r="4471" spans="2:8" hidden="1">
      <c r="B4471" s="405"/>
      <c r="C4471" s="76"/>
      <c r="D4471" s="731"/>
      <c r="E4471" s="75"/>
      <c r="F4471" s="75"/>
      <c r="G4471" s="75"/>
      <c r="H4471" s="31"/>
    </row>
    <row r="4472" spans="2:8" hidden="1">
      <c r="B4472" s="405"/>
      <c r="C4472" s="76"/>
      <c r="D4472" s="731"/>
      <c r="E4472" s="75"/>
      <c r="F4472" s="75"/>
      <c r="G4472" s="75"/>
      <c r="H4472" s="31"/>
    </row>
    <row r="4473" spans="2:8" hidden="1">
      <c r="B4473" s="405"/>
      <c r="C4473" s="76"/>
      <c r="D4473" s="731"/>
      <c r="E4473" s="75"/>
      <c r="F4473" s="75"/>
      <c r="G4473" s="75"/>
      <c r="H4473" s="31"/>
    </row>
    <row r="4474" spans="2:8" hidden="1">
      <c r="B4474" s="405"/>
      <c r="C4474" s="76"/>
      <c r="D4474" s="731"/>
      <c r="E4474" s="75"/>
      <c r="F4474" s="75"/>
      <c r="G4474" s="75"/>
      <c r="H4474" s="31"/>
    </row>
    <row r="4475" spans="2:8" hidden="1">
      <c r="B4475" s="405"/>
      <c r="C4475" s="76"/>
      <c r="D4475" s="731"/>
      <c r="E4475" s="75"/>
      <c r="F4475" s="75"/>
      <c r="G4475" s="75"/>
      <c r="H4475" s="31"/>
    </row>
    <row r="4476" spans="2:8" hidden="1">
      <c r="B4476" s="405"/>
      <c r="C4476" s="76"/>
      <c r="D4476" s="731"/>
      <c r="E4476" s="75"/>
      <c r="F4476" s="75"/>
      <c r="G4476" s="75"/>
      <c r="H4476" s="31"/>
    </row>
    <row r="4477" spans="2:8" hidden="1">
      <c r="B4477" s="30"/>
      <c r="C4477" s="76"/>
      <c r="D4477" s="731"/>
      <c r="E4477" s="75"/>
      <c r="F4477" s="75"/>
      <c r="G4477" s="75"/>
      <c r="H4477" s="31"/>
    </row>
    <row r="4478" spans="2:8" hidden="1">
      <c r="B4478" s="30"/>
      <c r="C4478" s="76"/>
      <c r="D4478" s="731"/>
      <c r="E4478" s="75"/>
      <c r="F4478" s="75"/>
      <c r="G4478" s="75"/>
      <c r="H4478" s="31"/>
    </row>
    <row r="4479" spans="2:8" hidden="1">
      <c r="B4479" s="30"/>
      <c r="C4479" s="76"/>
      <c r="D4479" s="731"/>
      <c r="E4479" s="75"/>
      <c r="F4479" s="75"/>
      <c r="G4479" s="75"/>
      <c r="H4479" s="31"/>
    </row>
    <row r="4480" spans="2:8" hidden="1">
      <c r="B4480" s="30"/>
      <c r="C4480" s="76"/>
      <c r="D4480" s="731"/>
      <c r="E4480" s="75"/>
      <c r="F4480" s="75"/>
      <c r="G4480" s="75"/>
      <c r="H4480" s="31"/>
    </row>
    <row r="4481" spans="2:8" hidden="1">
      <c r="B4481" s="33"/>
      <c r="C4481" s="31"/>
      <c r="D4481" s="31"/>
      <c r="E4481" s="200"/>
      <c r="F4481" s="200"/>
      <c r="G4481" s="75"/>
      <c r="H4481" s="31"/>
    </row>
    <row r="4482" spans="2:8" hidden="1">
      <c r="B4482" s="33"/>
      <c r="C4482" s="31"/>
      <c r="D4482" s="31"/>
      <c r="E4482" s="198"/>
      <c r="F4482" s="200"/>
      <c r="G4482" s="75"/>
      <c r="H4482" s="31"/>
    </row>
    <row r="4483" spans="2:8" hidden="1">
      <c r="B4483" s="33"/>
      <c r="C4483" s="31"/>
      <c r="D4483" s="31"/>
      <c r="E4483" s="198"/>
      <c r="F4483" s="200"/>
      <c r="G4483" s="75"/>
      <c r="H4483" s="31"/>
    </row>
    <row r="4484" spans="2:8" hidden="1">
      <c r="B4484" s="33"/>
      <c r="C4484" s="31"/>
      <c r="D4484" s="31"/>
      <c r="E4484" s="198"/>
      <c r="F4484" s="200"/>
      <c r="G4484" s="75"/>
      <c r="H4484" s="31"/>
    </row>
    <row r="4485" spans="2:8" hidden="1">
      <c r="B4485" s="33"/>
      <c r="C4485" s="31"/>
      <c r="D4485" s="31"/>
      <c r="E4485" s="198"/>
      <c r="F4485" s="200"/>
      <c r="G4485" s="75"/>
      <c r="H4485" s="31"/>
    </row>
    <row r="4486" spans="2:8" hidden="1">
      <c r="B4486" s="33"/>
      <c r="C4486" s="31"/>
      <c r="D4486" s="31"/>
      <c r="E4486" s="198"/>
      <c r="F4486" s="200"/>
      <c r="G4486" s="75"/>
      <c r="H4486" s="31"/>
    </row>
    <row r="4487" spans="2:8" hidden="1">
      <c r="B4487" s="33"/>
      <c r="C4487" s="200"/>
      <c r="D4487" s="30"/>
      <c r="E4487" s="30"/>
      <c r="F4487" s="200"/>
      <c r="G4487" s="75"/>
      <c r="H4487" s="31"/>
    </row>
    <row r="4488" spans="2:8" hidden="1">
      <c r="B4488" s="33"/>
      <c r="C4488" s="31"/>
      <c r="D4488" s="31"/>
      <c r="E4488" s="31"/>
      <c r="F4488" s="31"/>
      <c r="G4488" s="31"/>
      <c r="H4488" s="31"/>
    </row>
    <row r="4489" spans="2:8" hidden="1">
      <c r="B4489" s="33"/>
      <c r="C4489" s="31"/>
      <c r="D4489" s="31"/>
      <c r="E4489" s="31"/>
      <c r="F4489" s="31"/>
      <c r="G4489" s="31"/>
      <c r="H4489" s="31"/>
    </row>
    <row r="4490" spans="2:8" hidden="1">
      <c r="B4490" s="33"/>
      <c r="C4490" s="31"/>
      <c r="D4490" s="31"/>
      <c r="E4490" s="31"/>
      <c r="F4490" s="200"/>
      <c r="G4490" s="75"/>
      <c r="H4490" s="31"/>
    </row>
    <row r="4491" spans="2:8" hidden="1">
      <c r="B4491" s="33"/>
      <c r="C4491" s="31"/>
      <c r="D4491" s="31"/>
      <c r="E4491" s="31"/>
      <c r="F4491" s="200"/>
      <c r="G4491" s="75"/>
      <c r="H4491" s="31"/>
    </row>
    <row r="4492" spans="2:8" hidden="1">
      <c r="B4492" s="33"/>
      <c r="C4492" s="31"/>
      <c r="D4492" s="31"/>
      <c r="E4492" s="31"/>
      <c r="F4492" s="200"/>
      <c r="G4492" s="75"/>
      <c r="H4492" s="31"/>
    </row>
    <row r="4493" spans="2:8" hidden="1">
      <c r="B4493" s="33"/>
      <c r="C4493" s="31"/>
      <c r="D4493" s="31"/>
      <c r="E4493" s="200"/>
      <c r="F4493" s="200"/>
      <c r="G4493" s="75"/>
      <c r="H4493" s="31"/>
    </row>
    <row r="4494" spans="2:8" hidden="1">
      <c r="B4494" s="33"/>
      <c r="C4494" s="31"/>
      <c r="D4494" s="31"/>
      <c r="E4494" s="301"/>
      <c r="F4494" s="200"/>
      <c r="G4494" s="75"/>
      <c r="H4494" s="31"/>
    </row>
    <row r="4495" spans="2:8" hidden="1">
      <c r="B4495" s="33"/>
      <c r="C4495" s="31"/>
      <c r="D4495" s="31"/>
      <c r="E4495" s="767"/>
      <c r="F4495" s="200"/>
      <c r="G4495" s="75"/>
      <c r="H4495" s="31"/>
    </row>
    <row r="4496" spans="2:8" hidden="1">
      <c r="B4496" s="33"/>
      <c r="C4496" s="31"/>
      <c r="D4496" s="31"/>
      <c r="E4496" s="767"/>
      <c r="F4496" s="200"/>
      <c r="G4496" s="75"/>
      <c r="H4496" s="31"/>
    </row>
    <row r="4497" spans="2:8" hidden="1">
      <c r="B4497" s="33"/>
      <c r="C4497" s="31"/>
      <c r="D4497" s="31"/>
      <c r="E4497" s="767"/>
      <c r="F4497" s="200"/>
      <c r="G4497" s="75"/>
      <c r="H4497" s="31"/>
    </row>
    <row r="4498" spans="2:8" hidden="1">
      <c r="B4498" s="33"/>
      <c r="C4498" s="31"/>
      <c r="D4498" s="31"/>
      <c r="E4498" s="767"/>
      <c r="F4498" s="200"/>
      <c r="G4498" s="75"/>
      <c r="H4498" s="31"/>
    </row>
    <row r="4499" spans="2:8" hidden="1">
      <c r="B4499" s="33"/>
      <c r="C4499" s="31"/>
      <c r="D4499" s="75"/>
      <c r="E4499" s="767"/>
      <c r="F4499" s="200"/>
      <c r="G4499" s="75"/>
      <c r="H4499" s="31"/>
    </row>
    <row r="4500" spans="2:8" hidden="1">
      <c r="B4500" s="33"/>
      <c r="C4500" s="31"/>
      <c r="D4500" s="31"/>
      <c r="E4500" s="767"/>
      <c r="F4500" s="200"/>
      <c r="G4500" s="75"/>
      <c r="H4500" s="31"/>
    </row>
    <row r="4501" spans="2:8" hidden="1">
      <c r="B4501" s="33"/>
      <c r="C4501" s="31"/>
      <c r="D4501" s="31"/>
      <c r="E4501" s="200"/>
      <c r="F4501" s="200"/>
      <c r="G4501" s="75"/>
      <c r="H4501" s="31"/>
    </row>
    <row r="4502" spans="2:8" hidden="1">
      <c r="B4502" s="33"/>
      <c r="C4502" s="31"/>
      <c r="D4502" s="31"/>
      <c r="E4502" s="200"/>
      <c r="F4502" s="200"/>
      <c r="G4502" s="31"/>
      <c r="H4502" s="31"/>
    </row>
    <row r="4503" spans="2:8" hidden="1">
      <c r="B4503" s="33"/>
      <c r="C4503" s="31"/>
      <c r="D4503" s="75"/>
      <c r="E4503" s="76"/>
      <c r="F4503" s="200"/>
      <c r="G4503" s="75"/>
      <c r="H4503" s="31"/>
    </row>
    <row r="4504" spans="2:8" hidden="1">
      <c r="B4504" s="33"/>
      <c r="C4504" s="31"/>
      <c r="D4504" s="198"/>
      <c r="E4504" s="198"/>
      <c r="F4504" s="200"/>
      <c r="G4504" s="75"/>
      <c r="H4504" s="31"/>
    </row>
    <row r="4505" spans="2:8" hidden="1">
      <c r="B4505" s="33"/>
      <c r="C4505" s="31"/>
      <c r="D4505" s="768"/>
      <c r="E4505" s="31"/>
      <c r="F4505" s="200"/>
      <c r="G4505" s="75"/>
      <c r="H4505" s="31"/>
    </row>
    <row r="4506" spans="2:8" hidden="1">
      <c r="B4506" s="33"/>
      <c r="C4506" s="31"/>
      <c r="D4506" s="200"/>
      <c r="E4506" s="31"/>
      <c r="F4506" s="200"/>
      <c r="G4506" s="75"/>
      <c r="H4506" s="31"/>
    </row>
    <row r="4507" spans="2:8" hidden="1">
      <c r="B4507" s="33"/>
      <c r="C4507" s="31"/>
      <c r="D4507" s="31"/>
      <c r="E4507" s="31"/>
      <c r="F4507" s="31"/>
      <c r="G4507" s="31"/>
      <c r="H4507" s="31"/>
    </row>
    <row r="4508" spans="2:8" hidden="1">
      <c r="B4508" s="33"/>
      <c r="C4508" s="31"/>
      <c r="D4508" s="31"/>
      <c r="E4508" s="31"/>
      <c r="F4508" s="31"/>
      <c r="G4508" s="31"/>
      <c r="H4508" s="31"/>
    </row>
    <row r="4509" spans="2:8" hidden="1">
      <c r="B4509" s="33"/>
      <c r="C4509" s="31"/>
      <c r="D4509" s="31"/>
      <c r="E4509" s="31"/>
      <c r="F4509" s="31"/>
      <c r="G4509" s="31"/>
      <c r="H4509" s="31"/>
    </row>
    <row r="4510" spans="2:8" hidden="1">
      <c r="B4510" s="33"/>
      <c r="C4510" s="31"/>
      <c r="D4510" s="33"/>
      <c r="E4510" s="31"/>
      <c r="F4510" s="200"/>
      <c r="G4510" s="76"/>
      <c r="H4510" s="31"/>
    </row>
    <row r="4511" spans="2:8" hidden="1">
      <c r="B4511" s="33"/>
      <c r="C4511" s="31"/>
      <c r="D4511" s="31"/>
      <c r="E4511" s="31"/>
      <c r="F4511" s="31"/>
      <c r="G4511" s="31"/>
      <c r="H4511" s="31"/>
    </row>
    <row r="4512" spans="2:8" hidden="1">
      <c r="B4512" s="33"/>
      <c r="C4512" s="31"/>
      <c r="D4512" s="31"/>
      <c r="E4512" s="31"/>
      <c r="F4512" s="31"/>
      <c r="G4512" s="31"/>
      <c r="H4512" s="31"/>
    </row>
    <row r="4513" spans="2:8" hidden="1">
      <c r="B4513" s="33"/>
      <c r="C4513" s="31"/>
      <c r="D4513" s="31"/>
      <c r="E4513" s="31"/>
      <c r="F4513" s="31"/>
      <c r="G4513" s="31"/>
      <c r="H4513" s="31"/>
    </row>
    <row r="4514" spans="2:8" hidden="1">
      <c r="B4514" s="33"/>
      <c r="C4514" s="31"/>
      <c r="D4514" s="31"/>
      <c r="E4514" s="31"/>
      <c r="F4514" s="31"/>
      <c r="G4514" s="31"/>
      <c r="H4514" s="31"/>
    </row>
    <row r="4515" spans="2:8" hidden="1">
      <c r="B4515" s="33"/>
      <c r="C4515" s="31"/>
      <c r="D4515" s="31"/>
      <c r="E4515" s="31"/>
      <c r="F4515" s="31"/>
      <c r="G4515" s="31"/>
      <c r="H4515" s="31"/>
    </row>
    <row r="4516" spans="2:8" hidden="1">
      <c r="B4516" s="33"/>
      <c r="C4516" s="31"/>
      <c r="D4516" s="31"/>
      <c r="E4516" s="31"/>
      <c r="F4516" s="31"/>
      <c r="G4516" s="31"/>
      <c r="H4516" s="31"/>
    </row>
    <row r="4517" spans="2:8" hidden="1">
      <c r="B4517" s="33"/>
      <c r="C4517" s="31"/>
      <c r="D4517" s="31"/>
      <c r="E4517" s="31"/>
      <c r="F4517" s="31"/>
      <c r="G4517" s="31"/>
      <c r="H4517" s="31"/>
    </row>
    <row r="4518" spans="2:8" hidden="1">
      <c r="B4518" s="33"/>
      <c r="C4518" s="31"/>
      <c r="D4518" s="31"/>
      <c r="E4518" s="31"/>
      <c r="F4518" s="31"/>
      <c r="G4518" s="31"/>
      <c r="H4518" s="31"/>
    </row>
    <row r="4519" spans="2:8" hidden="1">
      <c r="B4519" s="33"/>
      <c r="C4519" s="31"/>
      <c r="D4519" s="31"/>
      <c r="E4519" s="31"/>
      <c r="F4519" s="31"/>
      <c r="G4519" s="31"/>
      <c r="H4519" s="31"/>
    </row>
    <row r="4520" spans="2:8" hidden="1">
      <c r="B4520" s="33"/>
      <c r="C4520" s="31"/>
      <c r="D4520" s="31"/>
      <c r="E4520" s="31"/>
      <c r="F4520" s="31"/>
      <c r="G4520" s="31"/>
      <c r="H4520" s="31"/>
    </row>
    <row r="4521" spans="2:8" hidden="1">
      <c r="B4521" s="33"/>
      <c r="C4521" s="31"/>
      <c r="D4521" s="31"/>
      <c r="E4521" s="31"/>
      <c r="F4521" s="31"/>
      <c r="G4521" s="31"/>
      <c r="H4521" s="31"/>
    </row>
    <row r="4522" spans="2:8" hidden="1">
      <c r="B4522" s="33"/>
      <c r="C4522" s="31"/>
      <c r="D4522" s="31"/>
      <c r="E4522" s="31"/>
      <c r="F4522" s="31"/>
      <c r="G4522" s="31"/>
      <c r="H4522" s="31"/>
    </row>
    <row r="4523" spans="2:8" hidden="1">
      <c r="B4523" s="33"/>
      <c r="C4523" s="31"/>
      <c r="D4523" s="31"/>
      <c r="E4523" s="31"/>
      <c r="F4523" s="31"/>
      <c r="G4523" s="31"/>
      <c r="H4523" s="31"/>
    </row>
    <row r="4524" spans="2:8" hidden="1">
      <c r="B4524" s="33"/>
      <c r="C4524" s="31"/>
      <c r="D4524" s="31"/>
      <c r="E4524" s="31"/>
      <c r="F4524" s="31"/>
      <c r="G4524" s="31"/>
      <c r="H4524" s="31"/>
    </row>
    <row r="4525" spans="2:8" hidden="1">
      <c r="B4525" s="33"/>
      <c r="C4525" s="31"/>
      <c r="D4525" s="31"/>
      <c r="E4525" s="31"/>
      <c r="F4525" s="31"/>
      <c r="G4525" s="31"/>
      <c r="H4525" s="31"/>
    </row>
    <row r="4526" spans="2:8" hidden="1">
      <c r="B4526" s="33"/>
      <c r="C4526" s="31"/>
      <c r="D4526" s="31"/>
      <c r="E4526" s="31"/>
      <c r="F4526" s="31"/>
      <c r="G4526" s="31"/>
      <c r="H4526" s="31"/>
    </row>
    <row r="4527" spans="2:8" hidden="1">
      <c r="B4527" s="33"/>
      <c r="C4527" s="31"/>
      <c r="D4527" s="31"/>
      <c r="E4527" s="31"/>
      <c r="F4527" s="31"/>
      <c r="G4527" s="31"/>
      <c r="H4527" s="31"/>
    </row>
    <row r="4528" spans="2:8" hidden="1">
      <c r="B4528" s="33"/>
      <c r="C4528" s="31"/>
      <c r="D4528" s="31"/>
      <c r="E4528" s="31"/>
      <c r="F4528" s="31"/>
      <c r="G4528" s="31"/>
      <c r="H4528" s="31"/>
    </row>
    <row r="4529" spans="2:8" hidden="1">
      <c r="B4529" s="33"/>
      <c r="C4529" s="31"/>
      <c r="D4529" s="31"/>
      <c r="E4529" s="31"/>
      <c r="F4529" s="31"/>
      <c r="G4529" s="31"/>
      <c r="H4529" s="31"/>
    </row>
    <row r="4530" spans="2:8" hidden="1">
      <c r="B4530" s="33"/>
      <c r="C4530" s="31"/>
      <c r="D4530" s="31"/>
      <c r="E4530" s="31"/>
      <c r="F4530" s="31"/>
      <c r="G4530" s="31"/>
      <c r="H4530" s="31"/>
    </row>
    <row r="4531" spans="2:8" hidden="1">
      <c r="B4531" s="33"/>
      <c r="C4531" s="31"/>
      <c r="D4531" s="31"/>
      <c r="E4531" s="31"/>
      <c r="F4531" s="31"/>
      <c r="G4531" s="31"/>
      <c r="H4531" s="31"/>
    </row>
    <row r="4532" spans="2:8" hidden="1">
      <c r="B4532" s="33"/>
      <c r="C4532" s="200"/>
      <c r="D4532" s="31"/>
      <c r="E4532" s="31"/>
      <c r="F4532" s="691"/>
      <c r="G4532" s="31"/>
      <c r="H4532" s="31"/>
    </row>
    <row r="4533" spans="2:8" hidden="1">
      <c r="B4533" s="33"/>
      <c r="C4533" s="31"/>
      <c r="D4533" s="31"/>
      <c r="E4533" s="31"/>
      <c r="F4533" s="691"/>
      <c r="G4533" s="31"/>
      <c r="H4533" s="31"/>
    </row>
    <row r="4534" spans="2:8" hidden="1">
      <c r="B4534" s="33"/>
      <c r="C4534" s="31"/>
      <c r="D4534" s="31"/>
      <c r="E4534" s="31"/>
      <c r="F4534" s="691"/>
      <c r="G4534" s="31"/>
      <c r="H4534" s="31"/>
    </row>
    <row r="4535" spans="2:8" hidden="1">
      <c r="B4535" s="33"/>
      <c r="C4535" s="31"/>
      <c r="D4535" s="31"/>
      <c r="E4535" s="731"/>
      <c r="F4535" s="731"/>
      <c r="G4535" s="768"/>
      <c r="H4535" s="31"/>
    </row>
    <row r="4536" spans="2:8" hidden="1">
      <c r="B4536" s="33"/>
      <c r="C4536" s="31"/>
      <c r="D4536" s="31"/>
      <c r="E4536" s="31"/>
      <c r="F4536" s="691"/>
      <c r="G4536" s="768"/>
      <c r="H4536" s="31"/>
    </row>
    <row r="4537" spans="2:8" hidden="1">
      <c r="B4537" s="33"/>
      <c r="C4537" s="31"/>
      <c r="D4537" s="31"/>
      <c r="E4537" s="31"/>
      <c r="F4537" s="691"/>
      <c r="G4537" s="768"/>
      <c r="H4537" s="31"/>
    </row>
    <row r="4538" spans="2:8" hidden="1">
      <c r="B4538" s="33"/>
      <c r="C4538" s="31"/>
      <c r="D4538" s="31"/>
      <c r="E4538" s="31"/>
      <c r="F4538" s="691"/>
      <c r="G4538" s="768"/>
      <c r="H4538" s="31"/>
    </row>
    <row r="4539" spans="2:8" hidden="1">
      <c r="B4539" s="33"/>
      <c r="C4539" s="31"/>
      <c r="D4539" s="31"/>
      <c r="E4539" s="31"/>
      <c r="F4539" s="691"/>
      <c r="G4539" s="31"/>
      <c r="H4539" s="31"/>
    </row>
    <row r="4540" spans="2:8" hidden="1">
      <c r="B4540" s="33"/>
      <c r="C4540" s="31"/>
      <c r="D4540" s="31"/>
      <c r="E4540" s="31"/>
      <c r="F4540" s="691"/>
      <c r="G4540" s="31"/>
      <c r="H4540" s="31"/>
    </row>
    <row r="4541" spans="2:8" hidden="1">
      <c r="B4541" s="33"/>
      <c r="C4541" s="31"/>
      <c r="D4541" s="31"/>
      <c r="E4541" s="31"/>
      <c r="F4541" s="691"/>
      <c r="G4541" s="31"/>
      <c r="H4541" s="31"/>
    </row>
    <row r="4542" spans="2:8" hidden="1">
      <c r="B4542" s="200"/>
      <c r="C4542" s="31"/>
      <c r="D4542" s="31"/>
      <c r="E4542" s="31"/>
      <c r="F4542" s="691"/>
      <c r="G4542" s="31"/>
      <c r="H4542" s="31"/>
    </row>
    <row r="4543" spans="2:8" hidden="1">
      <c r="B4543" s="200"/>
      <c r="C4543" s="31"/>
      <c r="D4543" s="31"/>
      <c r="E4543" s="31"/>
      <c r="F4543" s="691"/>
      <c r="G4543" s="31"/>
      <c r="H4543" s="31"/>
    </row>
    <row r="4544" spans="2:8" hidden="1">
      <c r="B4544" s="200"/>
      <c r="C4544" s="31"/>
      <c r="D4544" s="31"/>
      <c r="E4544" s="31"/>
      <c r="F4544" s="691"/>
      <c r="G4544" s="31"/>
      <c r="H4544" s="31"/>
    </row>
    <row r="4545" spans="2:8" hidden="1">
      <c r="B4545" s="200"/>
      <c r="C4545" s="31"/>
      <c r="D4545" s="31"/>
      <c r="E4545" s="31"/>
      <c r="F4545" s="691"/>
      <c r="G4545" s="31"/>
      <c r="H4545" s="31"/>
    </row>
    <row r="4546" spans="2:8" hidden="1">
      <c r="B4546" s="200"/>
      <c r="C4546" s="31"/>
      <c r="D4546" s="31"/>
      <c r="E4546" s="31"/>
      <c r="F4546" s="691"/>
      <c r="G4546" s="31"/>
      <c r="H4546" s="31"/>
    </row>
    <row r="4547" spans="2:8" hidden="1">
      <c r="B4547" s="33"/>
      <c r="C4547" s="31"/>
      <c r="D4547" s="31"/>
      <c r="E4547" s="31"/>
      <c r="F4547" s="691"/>
      <c r="G4547" s="31"/>
      <c r="H4547" s="31"/>
    </row>
    <row r="4548" spans="2:8" hidden="1">
      <c r="B4548" s="33"/>
      <c r="C4548" s="31"/>
      <c r="D4548" s="31"/>
      <c r="E4548" s="31"/>
      <c r="F4548" s="691"/>
      <c r="G4548" s="31"/>
      <c r="H4548" s="31"/>
    </row>
    <row r="4549" spans="2:8" hidden="1">
      <c r="B4549" s="33"/>
      <c r="C4549" s="31"/>
      <c r="D4549" s="31"/>
      <c r="E4549" s="31"/>
      <c r="F4549" s="691"/>
      <c r="G4549" s="31"/>
      <c r="H4549" s="31"/>
    </row>
    <row r="4550" spans="2:8" hidden="1">
      <c r="B4550" s="200"/>
      <c r="C4550" s="31"/>
      <c r="D4550" s="31"/>
      <c r="E4550" s="31"/>
      <c r="F4550" s="691"/>
      <c r="G4550" s="31"/>
      <c r="H4550" s="31"/>
    </row>
    <row r="4551" spans="2:8" hidden="1">
      <c r="B4551" s="200"/>
      <c r="C4551" s="31"/>
      <c r="D4551" s="31"/>
      <c r="E4551" s="31"/>
      <c r="F4551" s="691"/>
      <c r="G4551" s="31"/>
      <c r="H4551" s="31"/>
    </row>
    <row r="4552" spans="2:8" hidden="1">
      <c r="B4552" s="200"/>
      <c r="C4552" s="31"/>
      <c r="D4552" s="31"/>
      <c r="E4552" s="31"/>
      <c r="F4552" s="691"/>
      <c r="G4552" s="31"/>
      <c r="H4552" s="31"/>
    </row>
    <row r="4553" spans="2:8" hidden="1">
      <c r="B4553" s="200"/>
      <c r="C4553" s="31"/>
      <c r="D4553" s="31"/>
      <c r="E4553" s="31"/>
      <c r="F4553" s="691"/>
      <c r="G4553" s="31"/>
      <c r="H4553" s="31"/>
    </row>
    <row r="4554" spans="2:8" hidden="1">
      <c r="B4554" s="200"/>
      <c r="C4554" s="31"/>
      <c r="D4554" s="31"/>
      <c r="E4554" s="31"/>
      <c r="F4554" s="691"/>
      <c r="G4554" s="31"/>
      <c r="H4554" s="31"/>
    </row>
    <row r="4555" spans="2:8" hidden="1">
      <c r="B4555" s="200"/>
      <c r="C4555" s="31"/>
      <c r="D4555" s="31"/>
      <c r="E4555" s="31"/>
      <c r="F4555" s="691"/>
      <c r="G4555" s="31"/>
      <c r="H4555" s="31"/>
    </row>
    <row r="4556" spans="2:8" hidden="1">
      <c r="B4556" s="200"/>
      <c r="C4556" s="31"/>
      <c r="D4556" s="31"/>
      <c r="E4556" s="31"/>
      <c r="F4556" s="691"/>
      <c r="G4556" s="31"/>
      <c r="H4556" s="31"/>
    </row>
    <row r="4557" spans="2:8" hidden="1">
      <c r="B4557" s="200"/>
      <c r="C4557" s="31"/>
      <c r="D4557" s="31"/>
      <c r="E4557" s="31"/>
      <c r="F4557" s="691"/>
      <c r="G4557" s="31"/>
      <c r="H4557" s="31"/>
    </row>
    <row r="4558" spans="2:8" hidden="1">
      <c r="B4558" s="200"/>
      <c r="C4558" s="31"/>
      <c r="D4558" s="31"/>
      <c r="E4558" s="31"/>
      <c r="F4558" s="691"/>
      <c r="G4558" s="31"/>
      <c r="H4558" s="31"/>
    </row>
    <row r="4559" spans="2:8" hidden="1">
      <c r="B4559" s="200"/>
      <c r="C4559" s="31"/>
      <c r="D4559" s="31"/>
      <c r="E4559" s="31"/>
      <c r="F4559" s="691"/>
      <c r="G4559" s="31"/>
      <c r="H4559" s="31"/>
    </row>
    <row r="4560" spans="2:8" hidden="1">
      <c r="B4560" s="200"/>
      <c r="C4560" s="31"/>
      <c r="D4560" s="31"/>
      <c r="E4560" s="31"/>
      <c r="F4560" s="691"/>
      <c r="G4560" s="31"/>
      <c r="H4560" s="31"/>
    </row>
    <row r="4561" spans="2:8" hidden="1">
      <c r="B4561" s="200"/>
      <c r="C4561" s="31"/>
      <c r="D4561" s="31"/>
      <c r="E4561" s="31"/>
      <c r="F4561" s="691"/>
      <c r="G4561" s="31"/>
      <c r="H4561" s="31"/>
    </row>
    <row r="4562" spans="2:8" hidden="1">
      <c r="B4562" s="200"/>
      <c r="C4562" s="31"/>
      <c r="D4562" s="31"/>
      <c r="E4562" s="31"/>
      <c r="F4562" s="691"/>
      <c r="G4562" s="31"/>
      <c r="H4562" s="31"/>
    </row>
    <row r="4563" spans="2:8" hidden="1">
      <c r="B4563" s="200"/>
      <c r="C4563" s="31"/>
      <c r="D4563" s="31"/>
      <c r="E4563" s="31"/>
      <c r="F4563" s="691"/>
      <c r="G4563" s="31"/>
      <c r="H4563" s="31"/>
    </row>
    <row r="4564" spans="2:8" hidden="1">
      <c r="B4564" s="200"/>
      <c r="C4564" s="31"/>
      <c r="D4564" s="31"/>
      <c r="E4564" s="31"/>
      <c r="F4564" s="691"/>
      <c r="G4564" s="31"/>
      <c r="H4564" s="31"/>
    </row>
    <row r="4565" spans="2:8" hidden="1">
      <c r="B4565" s="200"/>
      <c r="C4565" s="31"/>
      <c r="D4565" s="31"/>
      <c r="E4565" s="31"/>
      <c r="F4565" s="691"/>
      <c r="G4565" s="31"/>
      <c r="H4565" s="31"/>
    </row>
    <row r="4566" spans="2:8" hidden="1">
      <c r="B4566" s="200"/>
      <c r="C4566" s="31"/>
      <c r="D4566" s="31"/>
      <c r="E4566" s="31"/>
      <c r="F4566" s="691"/>
      <c r="G4566" s="31"/>
      <c r="H4566" s="31"/>
    </row>
    <row r="4567" spans="2:8" hidden="1">
      <c r="B4567" s="200"/>
      <c r="C4567" s="31"/>
      <c r="D4567" s="31"/>
      <c r="E4567" s="31"/>
      <c r="F4567" s="691"/>
      <c r="G4567" s="31"/>
      <c r="H4567" s="31"/>
    </row>
    <row r="4568" spans="2:8" hidden="1">
      <c r="B4568" s="200"/>
      <c r="C4568" s="31"/>
      <c r="D4568" s="31"/>
      <c r="E4568" s="31"/>
      <c r="F4568" s="691"/>
      <c r="G4568" s="31"/>
      <c r="H4568" s="31"/>
    </row>
    <row r="4569" spans="2:8" hidden="1">
      <c r="B4569" s="33"/>
      <c r="C4569" s="31"/>
      <c r="D4569" s="31"/>
      <c r="E4569" s="31"/>
      <c r="F4569" s="691"/>
      <c r="G4569" s="31"/>
      <c r="H4569" s="31"/>
    </row>
    <row r="4570" spans="2:8" hidden="1">
      <c r="B4570" s="33"/>
      <c r="C4570" s="31"/>
      <c r="D4570" s="31"/>
      <c r="E4570" s="31"/>
      <c r="F4570" s="691"/>
      <c r="G4570" s="31"/>
      <c r="H4570" s="31"/>
    </row>
    <row r="4571" spans="2:8" hidden="1">
      <c r="B4571" s="33"/>
      <c r="C4571" s="31"/>
      <c r="D4571" s="31"/>
      <c r="E4571" s="31"/>
      <c r="F4571" s="691"/>
      <c r="G4571" s="31"/>
      <c r="H4571" s="31"/>
    </row>
    <row r="4572" spans="2:8" hidden="1">
      <c r="B4572" s="33"/>
      <c r="C4572" s="31"/>
      <c r="D4572" s="31"/>
      <c r="E4572" s="31"/>
      <c r="F4572" s="691"/>
      <c r="G4572" s="31"/>
      <c r="H4572" s="31"/>
    </row>
    <row r="4573" spans="2:8" hidden="1">
      <c r="B4573" s="33"/>
      <c r="C4573" s="31"/>
      <c r="D4573" s="31"/>
      <c r="E4573" s="31"/>
      <c r="F4573" s="691"/>
      <c r="G4573" s="31"/>
      <c r="H4573" s="31"/>
    </row>
    <row r="4574" spans="2:8" hidden="1">
      <c r="B4574" s="33"/>
      <c r="C4574" s="31"/>
      <c r="D4574" s="31"/>
      <c r="E4574" s="200"/>
      <c r="F4574" s="691"/>
      <c r="G4574" s="31"/>
      <c r="H4574" s="31"/>
    </row>
    <row r="4575" spans="2:8" hidden="1">
      <c r="B4575" s="33"/>
      <c r="C4575" s="31"/>
      <c r="D4575" s="31"/>
      <c r="E4575" s="31"/>
      <c r="F4575" s="691"/>
      <c r="G4575" s="31"/>
      <c r="H4575" s="31"/>
    </row>
    <row r="4576" spans="2:8" hidden="1">
      <c r="B4576" s="33"/>
      <c r="C4576" s="31"/>
      <c r="D4576" s="31"/>
      <c r="E4576" s="31"/>
      <c r="F4576" s="691"/>
      <c r="G4576" s="31"/>
      <c r="H4576" s="31"/>
    </row>
    <row r="4577" spans="2:8" hidden="1">
      <c r="B4577" s="33"/>
      <c r="C4577" s="31"/>
      <c r="D4577" s="31"/>
      <c r="E4577" s="31"/>
      <c r="F4577" s="691"/>
      <c r="G4577" s="31"/>
      <c r="H4577" s="31"/>
    </row>
    <row r="4578" spans="2:8" hidden="1">
      <c r="B4578" s="33"/>
      <c r="C4578" s="31"/>
      <c r="D4578" s="31"/>
      <c r="E4578" s="31"/>
      <c r="F4578" s="691"/>
      <c r="G4578" s="31"/>
      <c r="H4578" s="31"/>
    </row>
    <row r="4579" spans="2:8" hidden="1">
      <c r="B4579" s="33"/>
      <c r="C4579" s="31"/>
      <c r="D4579" s="31"/>
      <c r="E4579" s="31"/>
      <c r="F4579" s="691"/>
      <c r="G4579" s="31"/>
      <c r="H4579" s="31"/>
    </row>
    <row r="4580" spans="2:8" hidden="1">
      <c r="B4580" s="33"/>
      <c r="C4580" s="31"/>
      <c r="D4580" s="31"/>
      <c r="E4580" s="31"/>
      <c r="F4580" s="691"/>
      <c r="G4580" s="31"/>
      <c r="H4580" s="31"/>
    </row>
    <row r="4581" spans="2:8" hidden="1">
      <c r="B4581" s="33"/>
      <c r="C4581" s="31"/>
      <c r="D4581" s="31"/>
      <c r="E4581" s="31"/>
      <c r="F4581" s="691"/>
      <c r="G4581" s="31"/>
      <c r="H4581" s="31"/>
    </row>
    <row r="4582" spans="2:8" hidden="1">
      <c r="B4582" s="33"/>
      <c r="C4582" s="31"/>
      <c r="D4582" s="31"/>
      <c r="E4582" s="31"/>
      <c r="F4582" s="691"/>
      <c r="G4582" s="31"/>
      <c r="H4582" s="31"/>
    </row>
    <row r="4583" spans="2:8" hidden="1">
      <c r="B4583" s="33"/>
      <c r="C4583" s="31"/>
      <c r="D4583" s="31"/>
      <c r="E4583" s="31"/>
      <c r="F4583" s="691"/>
      <c r="G4583" s="31"/>
      <c r="H4583" s="31"/>
    </row>
    <row r="4584" spans="2:8" hidden="1">
      <c r="B4584" s="33"/>
      <c r="C4584" s="31"/>
      <c r="D4584" s="31"/>
      <c r="E4584" s="31"/>
      <c r="F4584" s="691"/>
      <c r="G4584" s="31"/>
      <c r="H4584" s="31"/>
    </row>
    <row r="4585" spans="2:8" hidden="1">
      <c r="B4585" s="33"/>
      <c r="C4585" s="31"/>
      <c r="D4585" s="31"/>
      <c r="E4585" s="31"/>
      <c r="F4585" s="691"/>
      <c r="G4585" s="31"/>
      <c r="H4585" s="31"/>
    </row>
    <row r="4586" spans="2:8" hidden="1">
      <c r="B4586" s="33"/>
      <c r="C4586" s="31"/>
      <c r="D4586" s="31"/>
      <c r="E4586" s="31"/>
      <c r="F4586" s="691"/>
      <c r="G4586" s="31"/>
      <c r="H4586" s="31"/>
    </row>
    <row r="4587" spans="2:8" hidden="1">
      <c r="B4587" s="33"/>
      <c r="C4587" s="31"/>
      <c r="D4587" s="31"/>
      <c r="E4587" s="31"/>
      <c r="F4587" s="691"/>
      <c r="G4587" s="31"/>
      <c r="H4587" s="31"/>
    </row>
    <row r="4588" spans="2:8" hidden="1">
      <c r="B4588" s="33"/>
      <c r="C4588" s="31"/>
      <c r="D4588" s="31"/>
      <c r="E4588" s="31"/>
      <c r="F4588" s="691"/>
      <c r="G4588" s="31"/>
      <c r="H4588" s="31"/>
    </row>
    <row r="4589" spans="2:8" hidden="1">
      <c r="B4589" s="33"/>
      <c r="C4589" s="31"/>
      <c r="D4589" s="31"/>
      <c r="E4589" s="31"/>
      <c r="F4589" s="691"/>
      <c r="G4589" s="31"/>
      <c r="H4589" s="31"/>
    </row>
    <row r="4590" spans="2:8" hidden="1">
      <c r="B4590" s="33"/>
      <c r="C4590" s="31"/>
      <c r="D4590" s="31"/>
      <c r="E4590" s="200"/>
      <c r="F4590" s="691"/>
      <c r="G4590" s="31"/>
      <c r="H4590" s="31"/>
    </row>
    <row r="4591" spans="2:8" hidden="1">
      <c r="B4591" s="33"/>
      <c r="C4591" s="31"/>
      <c r="D4591" s="31"/>
      <c r="E4591" s="31"/>
      <c r="F4591" s="691"/>
      <c r="G4591" s="31"/>
      <c r="H4591" s="31"/>
    </row>
    <row r="4592" spans="2:8" hidden="1">
      <c r="B4592" s="33"/>
      <c r="C4592" s="31"/>
      <c r="D4592" s="31"/>
      <c r="E4592" s="31"/>
      <c r="F4592" s="691"/>
      <c r="G4592" s="31"/>
      <c r="H4592" s="31"/>
    </row>
    <row r="4593" spans="2:8" hidden="1">
      <c r="B4593" s="33"/>
      <c r="C4593" s="31"/>
      <c r="D4593" s="31"/>
      <c r="E4593" s="31"/>
      <c r="F4593" s="691"/>
      <c r="G4593" s="31"/>
      <c r="H4593" s="31"/>
    </row>
    <row r="4594" spans="2:8" hidden="1">
      <c r="B4594" s="33"/>
      <c r="C4594" s="31"/>
      <c r="D4594" s="31"/>
      <c r="E4594" s="31"/>
      <c r="F4594" s="691"/>
      <c r="G4594" s="31"/>
      <c r="H4594" s="31"/>
    </row>
    <row r="4595" spans="2:8" hidden="1">
      <c r="B4595" s="33"/>
      <c r="C4595" s="31"/>
      <c r="D4595" s="31"/>
      <c r="E4595" s="31"/>
      <c r="F4595" s="691"/>
      <c r="G4595" s="31"/>
      <c r="H4595" s="31"/>
    </row>
    <row r="4596" spans="2:8" hidden="1">
      <c r="B4596" s="33"/>
      <c r="C4596" s="31"/>
      <c r="D4596" s="31"/>
      <c r="E4596" s="31"/>
      <c r="F4596" s="691"/>
      <c r="G4596" s="31"/>
      <c r="H4596" s="31"/>
    </row>
    <row r="4597" spans="2:8" hidden="1">
      <c r="B4597" s="33"/>
      <c r="C4597" s="31"/>
      <c r="D4597" s="31"/>
      <c r="E4597" s="31"/>
      <c r="F4597" s="691"/>
      <c r="G4597" s="31"/>
      <c r="H4597" s="31"/>
    </row>
    <row r="4598" spans="2:8" hidden="1">
      <c r="B4598" s="33"/>
      <c r="C4598" s="31"/>
      <c r="D4598" s="31"/>
      <c r="E4598" s="31"/>
      <c r="F4598" s="691"/>
      <c r="G4598" s="31"/>
      <c r="H4598" s="31"/>
    </row>
    <row r="4599" spans="2:8" hidden="1">
      <c r="B4599" s="33"/>
      <c r="C4599" s="31"/>
      <c r="D4599" s="31"/>
      <c r="E4599" s="31"/>
      <c r="F4599" s="691"/>
      <c r="G4599" s="31"/>
      <c r="H4599" s="31"/>
    </row>
    <row r="4600" spans="2:8" hidden="1">
      <c r="B4600" s="33"/>
      <c r="C4600" s="31"/>
      <c r="D4600" s="31"/>
      <c r="E4600" s="31"/>
      <c r="F4600" s="691"/>
      <c r="G4600" s="31"/>
      <c r="H4600" s="31"/>
    </row>
    <row r="4601" spans="2:8" hidden="1">
      <c r="B4601" s="33"/>
      <c r="C4601" s="31"/>
      <c r="D4601" s="31"/>
      <c r="E4601" s="31"/>
      <c r="F4601" s="691"/>
      <c r="G4601" s="31"/>
      <c r="H4601" s="31"/>
    </row>
    <row r="4602" spans="2:8" hidden="1">
      <c r="B4602" s="33"/>
      <c r="C4602" s="31"/>
      <c r="D4602" s="31"/>
      <c r="E4602" s="31"/>
      <c r="F4602" s="691"/>
      <c r="G4602" s="31"/>
      <c r="H4602" s="31"/>
    </row>
    <row r="4603" spans="2:8" hidden="1">
      <c r="B4603" s="33"/>
      <c r="C4603" s="31"/>
      <c r="D4603" s="31"/>
      <c r="E4603" s="31"/>
      <c r="F4603" s="691"/>
      <c r="G4603" s="31"/>
      <c r="H4603" s="31"/>
    </row>
    <row r="4604" spans="2:8" hidden="1">
      <c r="B4604" s="33"/>
      <c r="C4604" s="31"/>
      <c r="D4604" s="31"/>
      <c r="E4604" s="31"/>
      <c r="F4604" s="31"/>
      <c r="G4604" s="31"/>
      <c r="H4604" s="31"/>
    </row>
    <row r="4605" spans="2:8" hidden="1">
      <c r="B4605" s="33"/>
      <c r="C4605" s="31"/>
      <c r="D4605" s="31"/>
      <c r="E4605" s="31"/>
      <c r="F4605" s="31"/>
      <c r="G4605" s="31"/>
      <c r="H4605" s="31"/>
    </row>
    <row r="4606" spans="2:8" hidden="1">
      <c r="B4606" s="33"/>
      <c r="C4606" s="31"/>
      <c r="D4606" s="31"/>
      <c r="E4606" s="31"/>
      <c r="F4606" s="31"/>
      <c r="G4606" s="31"/>
      <c r="H4606" s="31"/>
    </row>
    <row r="4607" spans="2:8" hidden="1">
      <c r="B4607" s="33"/>
      <c r="C4607" s="31"/>
      <c r="D4607" s="31"/>
      <c r="E4607" s="31"/>
      <c r="F4607" s="31"/>
      <c r="G4607" s="31"/>
      <c r="H4607" s="31"/>
    </row>
    <row r="4608" spans="2:8" hidden="1">
      <c r="B4608" s="33"/>
      <c r="C4608" s="31"/>
      <c r="D4608" s="31"/>
      <c r="E4608" s="31"/>
      <c r="F4608" s="31"/>
      <c r="G4608" s="31"/>
      <c r="H4608" s="31"/>
    </row>
    <row r="4609" spans="2:8" hidden="1">
      <c r="B4609" s="33"/>
      <c r="C4609" s="31"/>
      <c r="D4609" s="31"/>
      <c r="E4609" s="31"/>
      <c r="F4609" s="31"/>
      <c r="G4609" s="31"/>
      <c r="H4609" s="31"/>
    </row>
    <row r="4610" spans="2:8" hidden="1">
      <c r="B4610" s="33"/>
      <c r="C4610" s="31"/>
      <c r="D4610" s="31"/>
      <c r="E4610" s="31"/>
      <c r="F4610" s="31"/>
      <c r="G4610" s="31"/>
      <c r="H4610" s="31"/>
    </row>
    <row r="4611" spans="2:8" hidden="1">
      <c r="B4611" s="33"/>
      <c r="C4611" s="31"/>
      <c r="D4611" s="31"/>
      <c r="E4611" s="31"/>
      <c r="F4611" s="31"/>
      <c r="G4611" s="31"/>
      <c r="H4611" s="31"/>
    </row>
    <row r="4612" spans="2:8" hidden="1">
      <c r="B4612" s="33"/>
      <c r="C4612" s="31"/>
      <c r="D4612" s="31"/>
      <c r="E4612" s="31"/>
      <c r="F4612" s="31"/>
      <c r="G4612" s="31"/>
      <c r="H4612" s="31"/>
    </row>
    <row r="4613" spans="2:8" hidden="1">
      <c r="B4613" s="33"/>
      <c r="C4613" s="31"/>
      <c r="D4613" s="31"/>
      <c r="E4613" s="31"/>
      <c r="F4613" s="33"/>
      <c r="G4613" s="31"/>
      <c r="H4613" s="31"/>
    </row>
    <row r="4614" spans="2:8" hidden="1">
      <c r="B4614" s="33"/>
      <c r="C4614" s="31"/>
      <c r="D4614" s="33"/>
      <c r="E4614" s="33"/>
      <c r="F4614" s="33"/>
      <c r="G4614" s="33"/>
      <c r="H4614" s="31"/>
    </row>
    <row r="4615" spans="2:8" hidden="1">
      <c r="B4615" s="33"/>
      <c r="C4615" s="31"/>
      <c r="D4615" s="33"/>
      <c r="E4615" s="33"/>
      <c r="F4615" s="33"/>
      <c r="G4615" s="33"/>
      <c r="H4615" s="31"/>
    </row>
    <row r="4616" spans="2:8" hidden="1">
      <c r="B4616" s="33"/>
      <c r="C4616" s="31"/>
      <c r="D4616" s="33"/>
      <c r="E4616" s="33"/>
      <c r="F4616" s="33"/>
      <c r="G4616" s="33"/>
      <c r="H4616" s="31"/>
    </row>
    <row r="4617" spans="2:8" hidden="1">
      <c r="B4617" s="33"/>
      <c r="C4617" s="31"/>
      <c r="D4617" s="33"/>
      <c r="E4617" s="33"/>
      <c r="F4617" s="33"/>
      <c r="G4617" s="33"/>
      <c r="H4617" s="31"/>
    </row>
    <row r="4618" spans="2:8" hidden="1">
      <c r="B4618" s="33"/>
      <c r="C4618" s="31"/>
      <c r="D4618" s="33"/>
      <c r="E4618" s="33"/>
      <c r="F4618" s="33"/>
      <c r="G4618" s="33"/>
      <c r="H4618" s="31"/>
    </row>
    <row r="4619" spans="2:8" hidden="1">
      <c r="B4619" s="33"/>
      <c r="C4619" s="31"/>
      <c r="D4619" s="33"/>
      <c r="E4619" s="33"/>
      <c r="F4619" s="33"/>
      <c r="G4619" s="33"/>
      <c r="H4619" s="31"/>
    </row>
    <row r="4620" spans="2:8" hidden="1">
      <c r="B4620" s="33"/>
      <c r="C4620" s="31"/>
      <c r="D4620" s="33"/>
      <c r="E4620" s="33"/>
      <c r="F4620" s="33"/>
      <c r="G4620" s="33"/>
      <c r="H4620" s="31"/>
    </row>
    <row r="4621" spans="2:8" hidden="1">
      <c r="B4621" s="33"/>
      <c r="C4621" s="31"/>
      <c r="D4621" s="33"/>
      <c r="E4621" s="33"/>
      <c r="F4621" s="33"/>
      <c r="G4621" s="33"/>
      <c r="H4621" s="31"/>
    </row>
    <row r="4622" spans="2:8" hidden="1">
      <c r="B4622" s="33"/>
      <c r="C4622" s="31"/>
      <c r="D4622" s="33"/>
      <c r="E4622" s="33"/>
      <c r="F4622" s="33"/>
      <c r="G4622" s="33"/>
      <c r="H4622" s="31"/>
    </row>
    <row r="4623" spans="2:8" hidden="1">
      <c r="B4623" s="33"/>
      <c r="C4623" s="31"/>
      <c r="D4623" s="33"/>
      <c r="E4623" s="33"/>
      <c r="F4623" s="33"/>
      <c r="G4623" s="33"/>
      <c r="H4623" s="31"/>
    </row>
    <row r="4624" spans="2:8" hidden="1">
      <c r="B4624" s="33"/>
      <c r="C4624" s="31"/>
      <c r="D4624" s="33"/>
      <c r="E4624" s="33"/>
      <c r="F4624" s="33"/>
      <c r="G4624" s="33"/>
      <c r="H4624" s="31"/>
    </row>
    <row r="4625" spans="2:8" hidden="1">
      <c r="B4625" s="33"/>
      <c r="C4625" s="31"/>
      <c r="D4625" s="33"/>
      <c r="E4625" s="33"/>
      <c r="F4625" s="33"/>
      <c r="G4625" s="33"/>
      <c r="H4625" s="31"/>
    </row>
    <row r="4626" spans="2:8" hidden="1">
      <c r="B4626" s="33"/>
      <c r="C4626" s="31"/>
      <c r="D4626" s="33"/>
      <c r="E4626" s="33"/>
      <c r="F4626" s="33"/>
      <c r="G4626" s="33"/>
      <c r="H4626" s="31"/>
    </row>
    <row r="4627" spans="2:8" hidden="1">
      <c r="B4627" s="33"/>
      <c r="C4627" s="33"/>
      <c r="D4627" s="33"/>
      <c r="E4627" s="33"/>
      <c r="F4627" s="33"/>
      <c r="G4627" s="33"/>
      <c r="H4627" s="31"/>
    </row>
    <row r="4628" spans="2:8" hidden="1">
      <c r="B4628" s="33"/>
      <c r="C4628" s="31"/>
      <c r="D4628" s="31"/>
      <c r="E4628" s="31"/>
      <c r="F4628" s="31"/>
      <c r="G4628" s="31"/>
      <c r="H4628" s="31"/>
    </row>
    <row r="4629" spans="2:8" hidden="1">
      <c r="B4629" s="33"/>
      <c r="C4629" s="31"/>
      <c r="D4629" s="31"/>
      <c r="E4629" s="31"/>
      <c r="F4629" s="31"/>
      <c r="G4629" s="31"/>
      <c r="H4629" s="31"/>
    </row>
    <row r="4630" spans="2:8" hidden="1">
      <c r="B4630" s="33"/>
      <c r="C4630" s="31"/>
      <c r="D4630" s="31"/>
      <c r="E4630" s="31"/>
      <c r="F4630" s="31"/>
      <c r="G4630" s="31"/>
      <c r="H4630" s="31"/>
    </row>
    <row r="4631" spans="2:8" hidden="1">
      <c r="B4631" s="33"/>
      <c r="C4631" s="31"/>
      <c r="D4631" s="31"/>
      <c r="E4631" s="31"/>
      <c r="F4631" s="31"/>
      <c r="G4631" s="31"/>
      <c r="H4631" s="31"/>
    </row>
    <row r="4632" spans="2:8" hidden="1">
      <c r="B4632" s="33"/>
      <c r="C4632" s="31"/>
      <c r="D4632" s="31"/>
      <c r="E4632" s="31"/>
      <c r="F4632" s="31"/>
      <c r="G4632" s="31"/>
      <c r="H4632" s="31"/>
    </row>
    <row r="4633" spans="2:8" hidden="1">
      <c r="B4633" s="33"/>
      <c r="C4633" s="31"/>
      <c r="D4633" s="31"/>
      <c r="E4633" s="31"/>
      <c r="F4633" s="31"/>
      <c r="G4633" s="31"/>
      <c r="H4633" s="31"/>
    </row>
    <row r="4634" spans="2:8" hidden="1">
      <c r="B4634" s="33"/>
      <c r="C4634" s="31"/>
      <c r="D4634" s="31"/>
      <c r="E4634" s="31"/>
      <c r="F4634" s="31"/>
      <c r="G4634" s="31"/>
      <c r="H4634" s="31"/>
    </row>
    <row r="4635" spans="2:8" hidden="1">
      <c r="B4635" s="33"/>
      <c r="C4635" s="31"/>
      <c r="D4635" s="31"/>
      <c r="E4635" s="31"/>
      <c r="F4635" s="31"/>
      <c r="G4635" s="31"/>
      <c r="H4635" s="31"/>
    </row>
    <row r="4636" spans="2:8" hidden="1">
      <c r="B4636" s="33"/>
      <c r="C4636" s="31"/>
      <c r="D4636" s="31"/>
      <c r="E4636" s="31"/>
      <c r="F4636" s="31"/>
      <c r="G4636" s="31"/>
      <c r="H4636" s="31"/>
    </row>
    <row r="4637" spans="2:8" hidden="1">
      <c r="B4637" s="33"/>
      <c r="C4637" s="31"/>
      <c r="D4637" s="31"/>
      <c r="E4637" s="31"/>
      <c r="F4637" s="31"/>
      <c r="G4637" s="31"/>
      <c r="H4637" s="31"/>
    </row>
    <row r="4638" spans="2:8" hidden="1">
      <c r="B4638" s="33"/>
      <c r="C4638" s="31"/>
      <c r="D4638" s="31"/>
      <c r="E4638" s="31"/>
      <c r="F4638" s="31"/>
      <c r="G4638" s="31"/>
      <c r="H4638" s="31"/>
    </row>
    <row r="4639" spans="2:8" hidden="1">
      <c r="B4639" s="33"/>
      <c r="C4639" s="31"/>
      <c r="D4639" s="31"/>
      <c r="E4639" s="31"/>
      <c r="F4639" s="31"/>
      <c r="G4639" s="31"/>
      <c r="H4639" s="31"/>
    </row>
    <row r="4640" spans="2:8" hidden="1">
      <c r="B4640" s="33"/>
      <c r="C4640" s="31"/>
      <c r="D4640" s="75"/>
      <c r="E4640" s="31"/>
      <c r="F4640" s="405"/>
      <c r="G4640" s="75"/>
      <c r="H4640" s="31"/>
    </row>
    <row r="4641" spans="2:8" hidden="1">
      <c r="B4641" s="33"/>
      <c r="C4641" s="31"/>
      <c r="D4641" s="31"/>
      <c r="E4641" s="31"/>
      <c r="F4641" s="691"/>
      <c r="G4641" s="732"/>
      <c r="H4641" s="31"/>
    </row>
    <row r="4642" spans="2:8" hidden="1">
      <c r="B4642" s="33"/>
      <c r="C4642" s="31"/>
      <c r="D4642" s="31"/>
      <c r="E4642" s="31"/>
      <c r="F4642" s="405"/>
      <c r="G4642" s="75"/>
      <c r="H4642" s="31"/>
    </row>
    <row r="4643" spans="2:8" hidden="1">
      <c r="B4643" s="33"/>
      <c r="C4643" s="31"/>
      <c r="D4643" s="75"/>
      <c r="E4643" s="31"/>
      <c r="F4643" s="405"/>
      <c r="G4643" s="75"/>
      <c r="H4643" s="31"/>
    </row>
    <row r="4644" spans="2:8" hidden="1">
      <c r="B4644" s="33"/>
      <c r="C4644" s="31"/>
      <c r="D4644" s="31"/>
      <c r="E4644" s="31"/>
      <c r="F4644" s="691"/>
      <c r="G4644" s="732"/>
      <c r="H4644" s="31"/>
    </row>
    <row r="4645" spans="2:8" hidden="1">
      <c r="B4645" s="33"/>
      <c r="C4645" s="31"/>
      <c r="D4645" s="31"/>
      <c r="E4645" s="31"/>
      <c r="F4645" s="405"/>
      <c r="G4645" s="75"/>
      <c r="H4645" s="31"/>
    </row>
    <row r="4646" spans="2:8" hidden="1">
      <c r="B4646" s="33"/>
      <c r="C4646" s="31"/>
      <c r="D4646" s="31"/>
      <c r="E4646" s="31"/>
      <c r="F4646" s="31"/>
      <c r="G4646" s="31"/>
      <c r="H4646" s="31"/>
    </row>
    <row r="4647" spans="2:8" hidden="1">
      <c r="B4647" s="33"/>
      <c r="C4647" s="200"/>
      <c r="D4647" s="31"/>
      <c r="E4647" s="200"/>
      <c r="F4647" s="769"/>
      <c r="G4647" s="31"/>
      <c r="H4647" s="31"/>
    </row>
    <row r="4648" spans="2:8" hidden="1">
      <c r="B4648" s="76"/>
      <c r="C4648" s="31"/>
      <c r="D4648" s="31"/>
      <c r="E4648" s="31"/>
      <c r="F4648" s="75"/>
      <c r="G4648" s="31"/>
      <c r="H4648" s="31"/>
    </row>
    <row r="4649" spans="2:8" hidden="1">
      <c r="B4649" s="33"/>
      <c r="C4649" s="33"/>
      <c r="D4649" s="33"/>
      <c r="E4649" s="33"/>
      <c r="F4649" s="33"/>
      <c r="G4649" s="33"/>
      <c r="H4649" s="31"/>
    </row>
    <row r="4650" spans="2:8" hidden="1">
      <c r="B4650" s="33"/>
      <c r="C4650" s="31"/>
      <c r="D4650" s="33"/>
      <c r="E4650" s="33"/>
      <c r="F4650" s="33"/>
      <c r="G4650" s="33"/>
      <c r="H4650" s="31"/>
    </row>
    <row r="4651" spans="2:8" hidden="1">
      <c r="B4651" s="405"/>
      <c r="C4651" s="76"/>
      <c r="D4651" s="731"/>
      <c r="E4651" s="75"/>
      <c r="F4651" s="75"/>
      <c r="G4651" s="75"/>
      <c r="H4651" s="31"/>
    </row>
    <row r="4652" spans="2:8" hidden="1">
      <c r="B4652" s="405"/>
      <c r="C4652" s="76"/>
      <c r="D4652" s="731"/>
      <c r="E4652" s="75"/>
      <c r="F4652" s="75"/>
      <c r="G4652" s="75"/>
      <c r="H4652" s="31"/>
    </row>
    <row r="4653" spans="2:8" hidden="1">
      <c r="B4653" s="405"/>
      <c r="C4653" s="76"/>
      <c r="D4653" s="731"/>
      <c r="E4653" s="75"/>
      <c r="F4653" s="75"/>
      <c r="G4653" s="75"/>
      <c r="H4653" s="31"/>
    </row>
    <row r="4654" spans="2:8" hidden="1">
      <c r="B4654" s="405"/>
      <c r="C4654" s="76"/>
      <c r="D4654" s="731"/>
      <c r="E4654" s="75"/>
      <c r="F4654" s="75"/>
      <c r="G4654" s="75"/>
      <c r="H4654" s="31"/>
    </row>
    <row r="4655" spans="2:8" hidden="1">
      <c r="B4655" s="405"/>
      <c r="C4655" s="76"/>
      <c r="D4655" s="731"/>
      <c r="E4655" s="75"/>
      <c r="F4655" s="75"/>
      <c r="G4655" s="75"/>
      <c r="H4655" s="31"/>
    </row>
    <row r="4656" spans="2:8" hidden="1">
      <c r="B4656" s="405"/>
      <c r="C4656" s="76"/>
      <c r="D4656" s="731"/>
      <c r="E4656" s="75"/>
      <c r="F4656" s="75"/>
      <c r="G4656" s="75"/>
      <c r="H4656" s="31"/>
    </row>
    <row r="4657" spans="2:8" hidden="1">
      <c r="B4657" s="405"/>
      <c r="C4657" s="76"/>
      <c r="D4657" s="731"/>
      <c r="E4657" s="75"/>
      <c r="F4657" s="75"/>
      <c r="G4657" s="75"/>
      <c r="H4657" s="31"/>
    </row>
    <row r="4658" spans="2:8" hidden="1">
      <c r="B4658" s="405"/>
      <c r="C4658" s="76"/>
      <c r="D4658" s="731"/>
      <c r="E4658" s="75"/>
      <c r="F4658" s="75"/>
      <c r="G4658" s="75"/>
      <c r="H4658" s="31"/>
    </row>
    <row r="4659" spans="2:8" hidden="1">
      <c r="B4659" s="405"/>
      <c r="C4659" s="76"/>
      <c r="D4659" s="731"/>
      <c r="E4659" s="75"/>
      <c r="F4659" s="75"/>
      <c r="G4659" s="75"/>
      <c r="H4659" s="31"/>
    </row>
    <row r="4660" spans="2:8" hidden="1">
      <c r="B4660" s="405"/>
      <c r="C4660" s="76"/>
      <c r="D4660" s="731"/>
      <c r="E4660" s="75"/>
      <c r="F4660" s="75"/>
      <c r="G4660" s="75"/>
      <c r="H4660" s="31"/>
    </row>
    <row r="4661" spans="2:8" hidden="1">
      <c r="B4661" s="405"/>
      <c r="C4661" s="76"/>
      <c r="D4661" s="731"/>
      <c r="E4661" s="75"/>
      <c r="F4661" s="75"/>
      <c r="G4661" s="75"/>
      <c r="H4661" s="31"/>
    </row>
    <row r="4662" spans="2:8" hidden="1">
      <c r="B4662" s="405"/>
      <c r="C4662" s="76"/>
      <c r="D4662" s="731"/>
      <c r="E4662" s="75"/>
      <c r="F4662" s="75"/>
      <c r="G4662" s="75"/>
      <c r="H4662" s="31"/>
    </row>
    <row r="4663" spans="2:8" hidden="1">
      <c r="B4663" s="405"/>
      <c r="C4663" s="76"/>
      <c r="D4663" s="731"/>
      <c r="E4663" s="75"/>
      <c r="F4663" s="75"/>
      <c r="G4663" s="75"/>
      <c r="H4663" s="31"/>
    </row>
    <row r="4664" spans="2:8" hidden="1">
      <c r="B4664" s="405"/>
      <c r="C4664" s="76"/>
      <c r="D4664" s="731"/>
      <c r="E4664" s="75"/>
      <c r="F4664" s="75"/>
      <c r="G4664" s="75"/>
      <c r="H4664" s="31"/>
    </row>
    <row r="4665" spans="2:8" hidden="1">
      <c r="B4665" s="405"/>
      <c r="C4665" s="76"/>
      <c r="D4665" s="731"/>
      <c r="E4665" s="75"/>
      <c r="F4665" s="75"/>
      <c r="G4665" s="75"/>
      <c r="H4665" s="31"/>
    </row>
    <row r="4666" spans="2:8" hidden="1">
      <c r="B4666" s="405"/>
      <c r="C4666" s="76"/>
      <c r="D4666" s="731"/>
      <c r="E4666" s="75"/>
      <c r="F4666" s="75"/>
      <c r="G4666" s="75"/>
      <c r="H4666" s="31"/>
    </row>
    <row r="4667" spans="2:8" hidden="1">
      <c r="B4667" s="405"/>
      <c r="C4667" s="76"/>
      <c r="D4667" s="731"/>
      <c r="E4667" s="75"/>
      <c r="F4667" s="75"/>
      <c r="G4667" s="75"/>
      <c r="H4667" s="31"/>
    </row>
    <row r="4668" spans="2:8" hidden="1">
      <c r="B4668" s="405"/>
      <c r="C4668" s="76"/>
      <c r="D4668" s="731"/>
      <c r="E4668" s="75"/>
      <c r="F4668" s="75"/>
      <c r="G4668" s="75"/>
      <c r="H4668" s="31"/>
    </row>
    <row r="4669" spans="2:8" hidden="1">
      <c r="B4669" s="405"/>
      <c r="C4669" s="76"/>
      <c r="D4669" s="731"/>
      <c r="E4669" s="75"/>
      <c r="F4669" s="75"/>
      <c r="G4669" s="75"/>
      <c r="H4669" s="31"/>
    </row>
    <row r="4670" spans="2:8" hidden="1">
      <c r="B4670" s="30"/>
      <c r="C4670" s="76"/>
      <c r="D4670" s="731"/>
      <c r="E4670" s="75"/>
      <c r="F4670" s="75"/>
      <c r="G4670" s="75"/>
      <c r="H4670" s="31"/>
    </row>
    <row r="4671" spans="2:8" hidden="1">
      <c r="B4671" s="30"/>
      <c r="C4671" s="76"/>
      <c r="D4671" s="731"/>
      <c r="E4671" s="75"/>
      <c r="F4671" s="75"/>
      <c r="G4671" s="75"/>
      <c r="H4671" s="31"/>
    </row>
    <row r="4672" spans="2:8" hidden="1">
      <c r="B4672" s="30"/>
      <c r="C4672" s="76"/>
      <c r="D4672" s="731"/>
      <c r="E4672" s="75"/>
      <c r="F4672" s="75"/>
      <c r="G4672" s="75"/>
      <c r="H4672" s="31"/>
    </row>
    <row r="4673" spans="2:8" hidden="1">
      <c r="B4673" s="30"/>
      <c r="C4673" s="76"/>
      <c r="D4673" s="731"/>
      <c r="E4673" s="75"/>
      <c r="F4673" s="75"/>
      <c r="G4673" s="75"/>
      <c r="H4673" s="31"/>
    </row>
    <row r="4674" spans="2:8" hidden="1">
      <c r="B4674" s="30"/>
      <c r="C4674" s="76"/>
      <c r="D4674" s="731"/>
      <c r="E4674" s="75"/>
      <c r="F4674" s="75"/>
      <c r="G4674" s="75"/>
      <c r="H4674" s="31"/>
    </row>
    <row r="4675" spans="2:8" hidden="1">
      <c r="B4675" s="30"/>
      <c r="C4675" s="76"/>
      <c r="D4675" s="731"/>
      <c r="E4675" s="75"/>
      <c r="F4675" s="75"/>
      <c r="G4675" s="75"/>
      <c r="H4675" s="31"/>
    </row>
    <row r="4676" spans="2:8" hidden="1">
      <c r="B4676" s="30"/>
      <c r="C4676" s="76"/>
      <c r="D4676" s="731"/>
      <c r="E4676" s="75"/>
      <c r="F4676" s="75"/>
      <c r="G4676" s="75"/>
      <c r="H4676" s="31"/>
    </row>
    <row r="4677" spans="2:8" hidden="1">
      <c r="B4677" s="30"/>
      <c r="C4677" s="76"/>
      <c r="D4677" s="731"/>
      <c r="E4677" s="75"/>
      <c r="F4677" s="75"/>
      <c r="G4677" s="75"/>
      <c r="H4677" s="31"/>
    </row>
    <row r="4678" spans="2:8" hidden="1">
      <c r="B4678" s="30"/>
      <c r="C4678" s="76"/>
      <c r="D4678" s="731"/>
      <c r="E4678" s="75"/>
      <c r="F4678" s="75"/>
      <c r="G4678" s="75"/>
      <c r="H4678" s="31"/>
    </row>
    <row r="4679" spans="2:8" hidden="1">
      <c r="B4679" s="30"/>
      <c r="C4679" s="76"/>
      <c r="D4679" s="731"/>
      <c r="E4679" s="75"/>
      <c r="F4679" s="75"/>
      <c r="G4679" s="75"/>
      <c r="H4679" s="31"/>
    </row>
    <row r="4680" spans="2:8" hidden="1">
      <c r="B4680" s="30"/>
      <c r="C4680" s="76"/>
      <c r="D4680" s="731"/>
      <c r="E4680" s="75"/>
      <c r="F4680" s="75"/>
      <c r="G4680" s="75"/>
      <c r="H4680" s="31"/>
    </row>
    <row r="4681" spans="2:8" hidden="1">
      <c r="B4681" s="30"/>
      <c r="C4681" s="76"/>
      <c r="D4681" s="731"/>
      <c r="E4681" s="75"/>
      <c r="F4681" s="75"/>
      <c r="G4681" s="75"/>
      <c r="H4681" s="31"/>
    </row>
    <row r="4682" spans="2:8" hidden="1">
      <c r="B4682" s="30"/>
      <c r="C4682" s="76"/>
      <c r="D4682" s="731"/>
      <c r="E4682" s="75"/>
      <c r="F4682" s="75"/>
      <c r="G4682" s="75"/>
      <c r="H4682" s="31"/>
    </row>
    <row r="4683" spans="2:8" hidden="1">
      <c r="B4683" s="30"/>
      <c r="C4683" s="76"/>
      <c r="D4683" s="731"/>
      <c r="E4683" s="75"/>
      <c r="F4683" s="75"/>
      <c r="G4683" s="75"/>
      <c r="H4683" s="31"/>
    </row>
    <row r="4684" spans="2:8" hidden="1">
      <c r="B4684" s="30"/>
      <c r="C4684" s="76"/>
      <c r="D4684" s="731"/>
      <c r="E4684" s="75"/>
      <c r="F4684" s="75"/>
      <c r="G4684" s="75"/>
      <c r="H4684" s="31"/>
    </row>
    <row r="4685" spans="2:8" hidden="1">
      <c r="B4685" s="33"/>
      <c r="C4685" s="31"/>
      <c r="D4685" s="31"/>
      <c r="E4685" s="200"/>
      <c r="F4685" s="200"/>
      <c r="G4685" s="75"/>
      <c r="H4685" s="31"/>
    </row>
    <row r="4686" spans="2:8" hidden="1">
      <c r="B4686" s="33"/>
      <c r="C4686" s="31"/>
      <c r="D4686" s="31"/>
      <c r="E4686" s="198"/>
      <c r="F4686" s="200"/>
      <c r="G4686" s="75"/>
      <c r="H4686" s="31"/>
    </row>
    <row r="4687" spans="2:8" hidden="1">
      <c r="B4687" s="33"/>
      <c r="C4687" s="31"/>
      <c r="D4687" s="31"/>
      <c r="E4687" s="198"/>
      <c r="F4687" s="200"/>
      <c r="G4687" s="75"/>
      <c r="H4687" s="31"/>
    </row>
    <row r="4688" spans="2:8" hidden="1">
      <c r="B4688" s="33"/>
      <c r="C4688" s="31"/>
      <c r="D4688" s="31"/>
      <c r="E4688" s="198"/>
      <c r="F4688" s="200"/>
      <c r="G4688" s="75"/>
      <c r="H4688" s="31"/>
    </row>
    <row r="4689" spans="2:8" hidden="1">
      <c r="B4689" s="33"/>
      <c r="C4689" s="200"/>
      <c r="D4689" s="30"/>
      <c r="E4689" s="30"/>
      <c r="F4689" s="200"/>
      <c r="G4689" s="75"/>
      <c r="H4689" s="31"/>
    </row>
    <row r="4690" spans="2:8" hidden="1">
      <c r="B4690" s="33"/>
      <c r="C4690" s="31"/>
      <c r="D4690" s="31"/>
      <c r="E4690" s="31"/>
      <c r="F4690" s="31"/>
      <c r="G4690" s="31"/>
      <c r="H4690" s="31"/>
    </row>
    <row r="4691" spans="2:8" hidden="1">
      <c r="B4691" s="76"/>
      <c r="C4691" s="31"/>
      <c r="D4691" s="31"/>
      <c r="E4691" s="31"/>
      <c r="F4691" s="31"/>
      <c r="G4691" s="31"/>
      <c r="H4691" s="31"/>
    </row>
    <row r="4692" spans="2:8" hidden="1">
      <c r="B4692" s="33"/>
      <c r="C4692" s="33"/>
      <c r="D4692" s="33"/>
      <c r="E4692" s="33"/>
      <c r="F4692" s="33"/>
      <c r="G4692" s="33"/>
      <c r="H4692" s="31"/>
    </row>
    <row r="4693" spans="2:8" hidden="1">
      <c r="B4693" s="33"/>
      <c r="C4693" s="31"/>
      <c r="D4693" s="33"/>
      <c r="E4693" s="33"/>
      <c r="F4693" s="33"/>
      <c r="G4693" s="33"/>
      <c r="H4693" s="31"/>
    </row>
    <row r="4694" spans="2:8" hidden="1">
      <c r="B4694" s="405"/>
      <c r="C4694" s="76"/>
      <c r="D4694" s="731"/>
      <c r="E4694" s="75"/>
      <c r="F4694" s="75"/>
      <c r="G4694" s="75"/>
      <c r="H4694" s="31"/>
    </row>
    <row r="4695" spans="2:8" hidden="1">
      <c r="B4695" s="405"/>
      <c r="C4695" s="76"/>
      <c r="D4695" s="731"/>
      <c r="E4695" s="75"/>
      <c r="F4695" s="75"/>
      <c r="G4695" s="75"/>
      <c r="H4695" s="31"/>
    </row>
    <row r="4696" spans="2:8" hidden="1">
      <c r="B4696" s="405"/>
      <c r="C4696" s="76"/>
      <c r="D4696" s="731"/>
      <c r="E4696" s="75"/>
      <c r="F4696" s="75"/>
      <c r="G4696" s="75"/>
      <c r="H4696" s="31"/>
    </row>
    <row r="4697" spans="2:8" hidden="1">
      <c r="B4697" s="405"/>
      <c r="C4697" s="76"/>
      <c r="D4697" s="731"/>
      <c r="E4697" s="75"/>
      <c r="F4697" s="75"/>
      <c r="G4697" s="75"/>
      <c r="H4697" s="31"/>
    </row>
    <row r="4698" spans="2:8" hidden="1">
      <c r="B4698" s="405"/>
      <c r="C4698" s="76"/>
      <c r="D4698" s="731"/>
      <c r="E4698" s="75"/>
      <c r="F4698" s="75"/>
      <c r="G4698" s="75"/>
      <c r="H4698" s="31"/>
    </row>
    <row r="4699" spans="2:8" hidden="1">
      <c r="B4699" s="405"/>
      <c r="C4699" s="76"/>
      <c r="D4699" s="731"/>
      <c r="E4699" s="75"/>
      <c r="F4699" s="75"/>
      <c r="G4699" s="75"/>
      <c r="H4699" s="31"/>
    </row>
    <row r="4700" spans="2:8" hidden="1">
      <c r="B4700" s="405"/>
      <c r="C4700" s="76"/>
      <c r="D4700" s="731"/>
      <c r="E4700" s="75"/>
      <c r="F4700" s="75"/>
      <c r="G4700" s="75"/>
      <c r="H4700" s="31"/>
    </row>
    <row r="4701" spans="2:8" hidden="1">
      <c r="B4701" s="405"/>
      <c r="C4701" s="76"/>
      <c r="D4701" s="731"/>
      <c r="E4701" s="75"/>
      <c r="F4701" s="75"/>
      <c r="G4701" s="75"/>
      <c r="H4701" s="31"/>
    </row>
    <row r="4702" spans="2:8" hidden="1">
      <c r="B4702" s="405"/>
      <c r="C4702" s="76"/>
      <c r="D4702" s="731"/>
      <c r="E4702" s="75"/>
      <c r="F4702" s="75"/>
      <c r="G4702" s="75"/>
      <c r="H4702" s="31"/>
    </row>
    <row r="4703" spans="2:8" hidden="1">
      <c r="B4703" s="405"/>
      <c r="C4703" s="76"/>
      <c r="D4703" s="731"/>
      <c r="E4703" s="75"/>
      <c r="F4703" s="75"/>
      <c r="G4703" s="75"/>
      <c r="H4703" s="31"/>
    </row>
    <row r="4704" spans="2:8" hidden="1">
      <c r="B4704" s="405"/>
      <c r="C4704" s="76"/>
      <c r="D4704" s="731"/>
      <c r="E4704" s="75"/>
      <c r="F4704" s="75"/>
      <c r="G4704" s="75"/>
      <c r="H4704" s="31"/>
    </row>
    <row r="4705" spans="2:8" hidden="1">
      <c r="B4705" s="405"/>
      <c r="C4705" s="76"/>
      <c r="D4705" s="731"/>
      <c r="E4705" s="75"/>
      <c r="F4705" s="75"/>
      <c r="G4705" s="75"/>
      <c r="H4705" s="31"/>
    </row>
    <row r="4706" spans="2:8" hidden="1">
      <c r="B4706" s="405"/>
      <c r="C4706" s="76"/>
      <c r="D4706" s="731"/>
      <c r="E4706" s="75"/>
      <c r="F4706" s="75"/>
      <c r="G4706" s="75"/>
      <c r="H4706" s="31"/>
    </row>
    <row r="4707" spans="2:8" hidden="1">
      <c r="B4707" s="33"/>
      <c r="C4707" s="31"/>
      <c r="D4707" s="31"/>
      <c r="E4707" s="200"/>
      <c r="F4707" s="200"/>
      <c r="G4707" s="75"/>
      <c r="H4707" s="31"/>
    </row>
    <row r="4708" spans="2:8" hidden="1">
      <c r="B4708" s="33"/>
      <c r="C4708" s="31"/>
      <c r="D4708" s="31"/>
      <c r="E4708" s="198"/>
      <c r="F4708" s="200"/>
      <c r="G4708" s="75"/>
      <c r="H4708" s="31"/>
    </row>
    <row r="4709" spans="2:8" hidden="1">
      <c r="B4709" s="33"/>
      <c r="C4709" s="31"/>
      <c r="D4709" s="31"/>
      <c r="E4709" s="198"/>
      <c r="F4709" s="200"/>
      <c r="G4709" s="75"/>
      <c r="H4709" s="31"/>
    </row>
    <row r="4710" spans="2:8" hidden="1">
      <c r="B4710" s="33"/>
      <c r="C4710" s="31"/>
      <c r="D4710" s="31"/>
      <c r="E4710" s="198"/>
      <c r="F4710" s="200"/>
      <c r="G4710" s="75"/>
      <c r="H4710" s="31"/>
    </row>
    <row r="4711" spans="2:8" hidden="1">
      <c r="B4711" s="33"/>
      <c r="C4711" s="30"/>
      <c r="D4711" s="30"/>
      <c r="E4711" s="30"/>
      <c r="F4711" s="200"/>
      <c r="G4711" s="75"/>
      <c r="H4711" s="31"/>
    </row>
    <row r="4712" spans="2:8" hidden="1">
      <c r="B4712" s="33"/>
      <c r="C4712" s="31"/>
      <c r="D4712" s="31"/>
      <c r="E4712" s="31"/>
      <c r="F4712" s="31"/>
      <c r="G4712" s="31"/>
      <c r="H4712" s="31"/>
    </row>
    <row r="4713" spans="2:8" hidden="1">
      <c r="B4713" s="76"/>
      <c r="C4713" s="31"/>
      <c r="D4713" s="31"/>
      <c r="E4713" s="31"/>
      <c r="F4713" s="31"/>
      <c r="G4713" s="31"/>
      <c r="H4713" s="31"/>
    </row>
    <row r="4714" spans="2:8" hidden="1">
      <c r="B4714" s="33"/>
      <c r="C4714" s="33"/>
      <c r="D4714" s="33"/>
      <c r="E4714" s="33"/>
      <c r="F4714" s="33"/>
      <c r="G4714" s="33"/>
      <c r="H4714" s="31"/>
    </row>
    <row r="4715" spans="2:8" hidden="1">
      <c r="B4715" s="33"/>
      <c r="C4715" s="31"/>
      <c r="D4715" s="33"/>
      <c r="E4715" s="33"/>
      <c r="F4715" s="33"/>
      <c r="G4715" s="33"/>
      <c r="H4715" s="31"/>
    </row>
    <row r="4716" spans="2:8" hidden="1">
      <c r="B4716" s="405"/>
      <c r="C4716" s="76"/>
      <c r="D4716" s="731"/>
      <c r="E4716" s="75"/>
      <c r="F4716" s="75"/>
      <c r="G4716" s="75"/>
      <c r="H4716" s="31"/>
    </row>
    <row r="4717" spans="2:8" hidden="1">
      <c r="B4717" s="405"/>
      <c r="C4717" s="76"/>
      <c r="D4717" s="731"/>
      <c r="E4717" s="75"/>
      <c r="F4717" s="75"/>
      <c r="G4717" s="75"/>
      <c r="H4717" s="31"/>
    </row>
    <row r="4718" spans="2:8" hidden="1">
      <c r="B4718" s="405"/>
      <c r="C4718" s="76"/>
      <c r="D4718" s="731"/>
      <c r="E4718" s="75"/>
      <c r="F4718" s="75"/>
      <c r="G4718" s="75"/>
      <c r="H4718" s="31"/>
    </row>
    <row r="4719" spans="2:8" hidden="1">
      <c r="B4719" s="405"/>
      <c r="C4719" s="76"/>
      <c r="D4719" s="731"/>
      <c r="E4719" s="75"/>
      <c r="F4719" s="75"/>
      <c r="G4719" s="75"/>
      <c r="H4719" s="31"/>
    </row>
    <row r="4720" spans="2:8" hidden="1">
      <c r="B4720" s="405"/>
      <c r="C4720" s="76"/>
      <c r="D4720" s="731"/>
      <c r="E4720" s="75"/>
      <c r="F4720" s="75"/>
      <c r="G4720" s="75"/>
      <c r="H4720" s="31"/>
    </row>
    <row r="4721" spans="2:8" hidden="1">
      <c r="B4721" s="405"/>
      <c r="C4721" s="76"/>
      <c r="D4721" s="731"/>
      <c r="E4721" s="75"/>
      <c r="F4721" s="75"/>
      <c r="G4721" s="75"/>
      <c r="H4721" s="31"/>
    </row>
    <row r="4722" spans="2:8" hidden="1">
      <c r="B4722" s="405"/>
      <c r="C4722" s="76"/>
      <c r="D4722" s="731"/>
      <c r="E4722" s="75"/>
      <c r="F4722" s="75"/>
      <c r="G4722" s="75"/>
      <c r="H4722" s="31"/>
    </row>
    <row r="4723" spans="2:8" hidden="1">
      <c r="B4723" s="405"/>
      <c r="C4723" s="76"/>
      <c r="D4723" s="731"/>
      <c r="E4723" s="75"/>
      <c r="F4723" s="75"/>
      <c r="G4723" s="75"/>
      <c r="H4723" s="31"/>
    </row>
    <row r="4724" spans="2:8" hidden="1">
      <c r="B4724" s="405"/>
      <c r="C4724" s="76"/>
      <c r="D4724" s="731"/>
      <c r="E4724" s="75"/>
      <c r="F4724" s="75"/>
      <c r="G4724" s="75"/>
      <c r="H4724" s="31"/>
    </row>
    <row r="4725" spans="2:8" hidden="1">
      <c r="B4725" s="30"/>
      <c r="C4725" s="76"/>
      <c r="D4725" s="731"/>
      <c r="E4725" s="75"/>
      <c r="F4725" s="75"/>
      <c r="G4725" s="75"/>
      <c r="H4725" s="31"/>
    </row>
    <row r="4726" spans="2:8" hidden="1">
      <c r="B4726" s="30"/>
      <c r="C4726" s="76"/>
      <c r="D4726" s="731"/>
      <c r="E4726" s="75"/>
      <c r="F4726" s="75"/>
      <c r="G4726" s="75"/>
      <c r="H4726" s="31"/>
    </row>
    <row r="4727" spans="2:8" hidden="1">
      <c r="B4727" s="33"/>
      <c r="C4727" s="31"/>
      <c r="D4727" s="31"/>
      <c r="E4727" s="200"/>
      <c r="F4727" s="200"/>
      <c r="G4727" s="75"/>
      <c r="H4727" s="31"/>
    </row>
    <row r="4728" spans="2:8" hidden="1">
      <c r="B4728" s="33"/>
      <c r="C4728" s="31"/>
      <c r="D4728" s="31"/>
      <c r="E4728" s="198"/>
      <c r="F4728" s="200"/>
      <c r="G4728" s="75"/>
      <c r="H4728" s="31"/>
    </row>
    <row r="4729" spans="2:8" hidden="1">
      <c r="B4729" s="33"/>
      <c r="C4729" s="31"/>
      <c r="D4729" s="31"/>
      <c r="E4729" s="198"/>
      <c r="F4729" s="200"/>
      <c r="G4729" s="75"/>
      <c r="H4729" s="31"/>
    </row>
    <row r="4730" spans="2:8" hidden="1">
      <c r="B4730" s="33"/>
      <c r="C4730" s="31"/>
      <c r="D4730" s="31"/>
      <c r="E4730" s="198"/>
      <c r="F4730" s="200"/>
      <c r="G4730" s="75"/>
      <c r="H4730" s="31"/>
    </row>
    <row r="4731" spans="2:8" hidden="1">
      <c r="B4731" s="33"/>
      <c r="C4731" s="31"/>
      <c r="D4731" s="31"/>
      <c r="E4731" s="198"/>
      <c r="F4731" s="200"/>
      <c r="G4731" s="75"/>
      <c r="H4731" s="31"/>
    </row>
    <row r="4732" spans="2:8" hidden="1">
      <c r="B4732" s="33"/>
      <c r="C4732" s="31"/>
      <c r="D4732" s="31"/>
      <c r="E4732" s="198"/>
      <c r="F4732" s="200"/>
      <c r="G4732" s="75"/>
      <c r="H4732" s="31"/>
    </row>
    <row r="4733" spans="2:8" hidden="1">
      <c r="B4733" s="33"/>
      <c r="C4733" s="200"/>
      <c r="D4733" s="30"/>
      <c r="E4733" s="30"/>
      <c r="F4733" s="200"/>
      <c r="G4733" s="75"/>
      <c r="H4733" s="31"/>
    </row>
    <row r="4734" spans="2:8" hidden="1">
      <c r="B4734" s="33"/>
      <c r="C4734" s="31"/>
      <c r="D4734" s="31"/>
      <c r="E4734" s="31"/>
      <c r="F4734" s="31"/>
      <c r="G4734" s="31"/>
      <c r="H4734" s="31"/>
    </row>
    <row r="4735" spans="2:8" hidden="1">
      <c r="B4735" s="33"/>
      <c r="C4735" s="31"/>
      <c r="D4735" s="31"/>
      <c r="E4735" s="31"/>
      <c r="F4735" s="31"/>
      <c r="G4735" s="31"/>
      <c r="H4735" s="31"/>
    </row>
    <row r="4736" spans="2:8" hidden="1">
      <c r="B4736" s="33"/>
      <c r="C4736" s="31"/>
      <c r="D4736" s="31"/>
      <c r="E4736" s="31"/>
      <c r="F4736" s="200"/>
      <c r="G4736" s="75"/>
      <c r="H4736" s="31"/>
    </row>
    <row r="4737" spans="2:8" hidden="1">
      <c r="B4737" s="33"/>
      <c r="C4737" s="31"/>
      <c r="D4737" s="31"/>
      <c r="E4737" s="31"/>
      <c r="F4737" s="200"/>
      <c r="G4737" s="75"/>
      <c r="H4737" s="31"/>
    </row>
    <row r="4738" spans="2:8" hidden="1">
      <c r="B4738" s="33"/>
      <c r="C4738" s="31"/>
      <c r="D4738" s="31"/>
      <c r="E4738" s="31"/>
      <c r="F4738" s="200"/>
      <c r="G4738" s="75"/>
      <c r="H4738" s="31"/>
    </row>
    <row r="4739" spans="2:8" hidden="1">
      <c r="B4739" s="33"/>
      <c r="C4739" s="31"/>
      <c r="D4739" s="31"/>
      <c r="E4739" s="200"/>
      <c r="F4739" s="200"/>
      <c r="G4739" s="75"/>
      <c r="H4739" s="31"/>
    </row>
    <row r="4740" spans="2:8" hidden="1">
      <c r="B4740" s="33"/>
      <c r="C4740" s="31"/>
      <c r="D4740" s="31"/>
      <c r="E4740" s="301"/>
      <c r="F4740" s="200"/>
      <c r="G4740" s="75"/>
      <c r="H4740" s="31"/>
    </row>
    <row r="4741" spans="2:8" hidden="1">
      <c r="B4741" s="33"/>
      <c r="C4741" s="31"/>
      <c r="D4741" s="31"/>
      <c r="E4741" s="767"/>
      <c r="F4741" s="200"/>
      <c r="G4741" s="75"/>
      <c r="H4741" s="31"/>
    </row>
    <row r="4742" spans="2:8" hidden="1">
      <c r="B4742" s="33"/>
      <c r="C4742" s="31"/>
      <c r="D4742" s="31"/>
      <c r="E4742" s="767"/>
      <c r="F4742" s="200"/>
      <c r="G4742" s="75"/>
      <c r="H4742" s="31"/>
    </row>
    <row r="4743" spans="2:8" hidden="1">
      <c r="B4743" s="33"/>
      <c r="C4743" s="31"/>
      <c r="D4743" s="31"/>
      <c r="E4743" s="767"/>
      <c r="F4743" s="200"/>
      <c r="G4743" s="75"/>
      <c r="H4743" s="31"/>
    </row>
    <row r="4744" spans="2:8" hidden="1">
      <c r="B4744" s="33"/>
      <c r="C4744" s="31"/>
      <c r="D4744" s="31"/>
      <c r="E4744" s="767"/>
      <c r="F4744" s="200"/>
      <c r="G4744" s="75"/>
      <c r="H4744" s="31"/>
    </row>
    <row r="4745" spans="2:8" hidden="1">
      <c r="B4745" s="33"/>
      <c r="C4745" s="31"/>
      <c r="D4745" s="75"/>
      <c r="E4745" s="767"/>
      <c r="F4745" s="200"/>
      <c r="G4745" s="75"/>
      <c r="H4745" s="31"/>
    </row>
    <row r="4746" spans="2:8" hidden="1">
      <c r="B4746" s="33"/>
      <c r="C4746" s="31"/>
      <c r="D4746" s="31"/>
      <c r="E4746" s="767"/>
      <c r="F4746" s="200"/>
      <c r="G4746" s="75"/>
      <c r="H4746" s="31"/>
    </row>
    <row r="4747" spans="2:8" hidden="1">
      <c r="B4747" s="33"/>
      <c r="C4747" s="31"/>
      <c r="D4747" s="31"/>
      <c r="E4747" s="200"/>
      <c r="F4747" s="200"/>
      <c r="G4747" s="75"/>
      <c r="H4747" s="31"/>
    </row>
    <row r="4748" spans="2:8" hidden="1">
      <c r="B4748" s="33"/>
      <c r="C4748" s="31"/>
      <c r="D4748" s="31"/>
      <c r="E4748" s="200"/>
      <c r="F4748" s="200"/>
      <c r="G4748" s="31"/>
      <c r="H4748" s="31"/>
    </row>
    <row r="4749" spans="2:8" hidden="1">
      <c r="B4749" s="33"/>
      <c r="C4749" s="31"/>
      <c r="D4749" s="75"/>
      <c r="E4749" s="76"/>
      <c r="F4749" s="200"/>
      <c r="G4749" s="75"/>
      <c r="H4749" s="31"/>
    </row>
    <row r="4750" spans="2:8" hidden="1">
      <c r="B4750" s="33"/>
      <c r="C4750" s="31"/>
      <c r="D4750" s="198"/>
      <c r="E4750" s="198"/>
      <c r="F4750" s="200"/>
      <c r="G4750" s="75"/>
      <c r="H4750" s="31"/>
    </row>
    <row r="4751" spans="2:8" hidden="1">
      <c r="B4751" s="33"/>
      <c r="C4751" s="31"/>
      <c r="D4751" s="768"/>
      <c r="E4751" s="31"/>
      <c r="F4751" s="200"/>
      <c r="G4751" s="75"/>
      <c r="H4751" s="31"/>
    </row>
    <row r="4752" spans="2:8" hidden="1">
      <c r="B4752" s="33"/>
      <c r="C4752" s="31"/>
      <c r="D4752" s="768"/>
      <c r="E4752" s="31"/>
      <c r="F4752" s="200"/>
      <c r="G4752" s="31"/>
      <c r="H4752" s="31"/>
    </row>
    <row r="4753" spans="2:8" hidden="1">
      <c r="B4753" s="33"/>
      <c r="C4753" s="31"/>
      <c r="D4753" s="200"/>
      <c r="E4753" s="31"/>
      <c r="F4753" s="200"/>
      <c r="G4753" s="75"/>
      <c r="H4753" s="31"/>
    </row>
    <row r="4754" spans="2:8" hidden="1">
      <c r="B4754" s="33"/>
      <c r="C4754" s="31"/>
      <c r="D4754" s="31"/>
      <c r="E4754" s="200"/>
      <c r="F4754" s="200"/>
      <c r="G4754" s="75"/>
      <c r="H4754" s="31"/>
    </row>
    <row r="4755" spans="2:8" hidden="1">
      <c r="B4755" s="33"/>
      <c r="C4755" s="31"/>
      <c r="D4755" s="31"/>
      <c r="E4755" s="31"/>
      <c r="F4755" s="31"/>
      <c r="G4755" s="31"/>
      <c r="H4755" s="31"/>
    </row>
    <row r="4756" spans="2:8" hidden="1">
      <c r="B4756" s="33"/>
      <c r="C4756" s="31"/>
      <c r="D4756" s="31"/>
      <c r="E4756" s="31"/>
      <c r="F4756" s="31"/>
      <c r="G4756" s="31"/>
      <c r="H4756" s="31"/>
    </row>
    <row r="4757" spans="2:8" hidden="1">
      <c r="B4757" s="33"/>
      <c r="C4757" s="31"/>
      <c r="D4757" s="31"/>
      <c r="E4757" s="31"/>
      <c r="F4757" s="31"/>
      <c r="G4757" s="31"/>
      <c r="H4757" s="31"/>
    </row>
    <row r="4758" spans="2:8" hidden="1">
      <c r="B4758" s="33"/>
      <c r="C4758" s="31"/>
      <c r="D4758" s="33"/>
      <c r="E4758" s="31"/>
      <c r="F4758" s="200"/>
      <c r="G4758" s="76"/>
      <c r="H4758" s="31"/>
    </row>
    <row r="4759" spans="2:8" hidden="1">
      <c r="B4759" s="33"/>
      <c r="C4759" s="31"/>
      <c r="D4759" s="31"/>
      <c r="E4759" s="31"/>
      <c r="F4759" s="31"/>
      <c r="G4759" s="31"/>
      <c r="H4759" s="31"/>
    </row>
    <row r="4760" spans="2:8" hidden="1">
      <c r="B4760" s="33"/>
      <c r="C4760" s="31"/>
      <c r="D4760" s="31"/>
      <c r="E4760" s="31"/>
      <c r="F4760" s="31"/>
      <c r="G4760" s="31"/>
      <c r="H4760" s="31"/>
    </row>
    <row r="4761" spans="2:8" hidden="1">
      <c r="B4761" s="33"/>
      <c r="C4761" s="31"/>
      <c r="D4761" s="31"/>
      <c r="E4761" s="31"/>
      <c r="F4761" s="31"/>
      <c r="G4761" s="31"/>
      <c r="H4761" s="31"/>
    </row>
    <row r="4762" spans="2:8" hidden="1">
      <c r="B4762" s="33"/>
      <c r="C4762" s="31"/>
      <c r="D4762" s="31"/>
      <c r="E4762" s="31"/>
      <c r="F4762" s="31"/>
      <c r="G4762" s="31"/>
      <c r="H4762" s="31"/>
    </row>
    <row r="4763" spans="2:8" hidden="1">
      <c r="B4763" s="33"/>
      <c r="C4763" s="31"/>
      <c r="D4763" s="31"/>
      <c r="E4763" s="31"/>
      <c r="F4763" s="31"/>
      <c r="G4763" s="31"/>
      <c r="H4763" s="31"/>
    </row>
    <row r="4764" spans="2:8" hidden="1">
      <c r="B4764" s="33"/>
      <c r="C4764" s="31"/>
      <c r="D4764" s="31"/>
      <c r="E4764" s="31"/>
      <c r="F4764" s="31"/>
      <c r="G4764" s="31"/>
      <c r="H4764" s="31"/>
    </row>
    <row r="4765" spans="2:8" hidden="1">
      <c r="B4765" s="33"/>
      <c r="C4765" s="31"/>
      <c r="D4765" s="31"/>
      <c r="E4765" s="31"/>
      <c r="F4765" s="31"/>
      <c r="G4765" s="31"/>
      <c r="H4765" s="31"/>
    </row>
    <row r="4766" spans="2:8" hidden="1">
      <c r="B4766" s="33"/>
      <c r="C4766" s="31"/>
      <c r="D4766" s="31"/>
      <c r="E4766" s="31"/>
      <c r="F4766" s="31"/>
      <c r="G4766" s="31"/>
      <c r="H4766" s="31"/>
    </row>
    <row r="4767" spans="2:8" hidden="1">
      <c r="B4767" s="33"/>
      <c r="C4767" s="31"/>
      <c r="D4767" s="31"/>
      <c r="E4767" s="31"/>
      <c r="F4767" s="31"/>
      <c r="G4767" s="31"/>
      <c r="H4767" s="31"/>
    </row>
    <row r="4768" spans="2:8" hidden="1">
      <c r="B4768" s="33"/>
      <c r="C4768" s="31"/>
      <c r="D4768" s="31"/>
      <c r="E4768" s="31"/>
      <c r="F4768" s="31"/>
      <c r="G4768" s="31"/>
      <c r="H4768" s="31"/>
    </row>
    <row r="4769" spans="2:8" hidden="1">
      <c r="B4769" s="33"/>
      <c r="C4769" s="31"/>
      <c r="D4769" s="31"/>
      <c r="E4769" s="31"/>
      <c r="F4769" s="31"/>
      <c r="G4769" s="31"/>
      <c r="H4769" s="31"/>
    </row>
    <row r="4770" spans="2:8" hidden="1">
      <c r="B4770" s="33"/>
      <c r="C4770" s="31"/>
      <c r="D4770" s="31"/>
      <c r="E4770" s="31"/>
      <c r="F4770" s="31"/>
      <c r="G4770" s="31"/>
      <c r="H4770" s="31"/>
    </row>
    <row r="4771" spans="2:8" hidden="1">
      <c r="B4771" s="33"/>
      <c r="C4771" s="31"/>
      <c r="D4771" s="31"/>
      <c r="E4771" s="31"/>
      <c r="F4771" s="31"/>
      <c r="G4771" s="31"/>
      <c r="H4771" s="31"/>
    </row>
    <row r="4772" spans="2:8" hidden="1">
      <c r="B4772" s="33"/>
      <c r="C4772" s="31"/>
      <c r="D4772" s="31"/>
      <c r="E4772" s="31"/>
      <c r="F4772" s="31"/>
      <c r="G4772" s="31"/>
      <c r="H4772" s="31"/>
    </row>
    <row r="4773" spans="2:8" hidden="1">
      <c r="B4773" s="33"/>
      <c r="C4773" s="31"/>
      <c r="D4773" s="31"/>
      <c r="E4773" s="31"/>
      <c r="F4773" s="31"/>
      <c r="G4773" s="31"/>
      <c r="H4773" s="31"/>
    </row>
    <row r="4774" spans="2:8" hidden="1">
      <c r="B4774" s="33"/>
      <c r="C4774" s="31"/>
      <c r="D4774" s="31"/>
      <c r="E4774" s="31"/>
      <c r="F4774" s="31"/>
      <c r="G4774" s="31"/>
      <c r="H4774" s="31"/>
    </row>
    <row r="4775" spans="2:8" hidden="1">
      <c r="B4775" s="33"/>
      <c r="C4775" s="31"/>
      <c r="D4775" s="31"/>
      <c r="E4775" s="31"/>
      <c r="F4775" s="31"/>
      <c r="G4775" s="31"/>
      <c r="H4775" s="31"/>
    </row>
    <row r="4776" spans="2:8" hidden="1">
      <c r="B4776" s="33"/>
      <c r="C4776" s="31"/>
      <c r="D4776" s="31"/>
      <c r="E4776" s="31"/>
      <c r="F4776" s="31"/>
      <c r="G4776" s="31"/>
      <c r="H4776" s="31"/>
    </row>
    <row r="4777" spans="2:8" hidden="1">
      <c r="B4777" s="33"/>
      <c r="C4777" s="31"/>
      <c r="D4777" s="31"/>
      <c r="E4777" s="31"/>
      <c r="F4777" s="31"/>
      <c r="G4777" s="31"/>
      <c r="H4777" s="31"/>
    </row>
    <row r="4778" spans="2:8" hidden="1">
      <c r="B4778" s="33"/>
      <c r="C4778" s="31"/>
      <c r="D4778" s="31"/>
      <c r="E4778" s="31"/>
      <c r="F4778" s="31"/>
      <c r="G4778" s="31"/>
      <c r="H4778" s="31"/>
    </row>
    <row r="4779" spans="2:8" hidden="1">
      <c r="B4779" s="33"/>
      <c r="C4779" s="31"/>
      <c r="D4779" s="31"/>
      <c r="E4779" s="31"/>
      <c r="F4779" s="31"/>
      <c r="G4779" s="31"/>
      <c r="H4779" s="31"/>
    </row>
    <row r="4780" spans="2:8" hidden="1">
      <c r="B4780" s="33"/>
      <c r="C4780" s="200"/>
      <c r="D4780" s="31"/>
      <c r="E4780" s="31"/>
      <c r="F4780" s="691"/>
      <c r="G4780" s="31"/>
      <c r="H4780" s="31"/>
    </row>
    <row r="4781" spans="2:8" hidden="1">
      <c r="B4781" s="33"/>
      <c r="C4781" s="31"/>
      <c r="D4781" s="31"/>
      <c r="E4781" s="31"/>
      <c r="F4781" s="691"/>
      <c r="G4781" s="31"/>
      <c r="H4781" s="31"/>
    </row>
    <row r="4782" spans="2:8" hidden="1">
      <c r="B4782" s="33"/>
      <c r="C4782" s="31"/>
      <c r="D4782" s="31"/>
      <c r="E4782" s="31"/>
      <c r="F4782" s="691"/>
      <c r="G4782" s="31"/>
      <c r="H4782" s="31"/>
    </row>
    <row r="4783" spans="2:8" hidden="1">
      <c r="B4783" s="33"/>
      <c r="C4783" s="31"/>
      <c r="D4783" s="31"/>
      <c r="E4783" s="31"/>
      <c r="F4783" s="731"/>
      <c r="G4783" s="768"/>
      <c r="H4783" s="31"/>
    </row>
    <row r="4784" spans="2:8" hidden="1">
      <c r="B4784" s="33"/>
      <c r="C4784" s="31"/>
      <c r="D4784" s="31"/>
      <c r="E4784" s="31"/>
      <c r="F4784" s="31"/>
      <c r="G4784" s="768"/>
      <c r="H4784" s="31"/>
    </row>
    <row r="4785" spans="2:8" hidden="1">
      <c r="B4785" s="33"/>
      <c r="C4785" s="31"/>
      <c r="D4785" s="31"/>
      <c r="E4785" s="31"/>
      <c r="F4785" s="691"/>
      <c r="G4785" s="768"/>
      <c r="H4785" s="31"/>
    </row>
    <row r="4786" spans="2:8" hidden="1">
      <c r="B4786" s="33"/>
      <c r="C4786" s="31"/>
      <c r="D4786" s="31"/>
      <c r="E4786" s="31"/>
      <c r="F4786" s="691"/>
      <c r="G4786" s="768"/>
      <c r="H4786" s="31"/>
    </row>
    <row r="4787" spans="2:8" hidden="1">
      <c r="B4787" s="33"/>
      <c r="C4787" s="31"/>
      <c r="D4787" s="31"/>
      <c r="E4787" s="31"/>
      <c r="F4787" s="691"/>
      <c r="G4787" s="768"/>
      <c r="H4787" s="31"/>
    </row>
    <row r="4788" spans="2:8" hidden="1">
      <c r="B4788" s="33"/>
      <c r="C4788" s="31"/>
      <c r="D4788" s="31"/>
      <c r="E4788" s="31"/>
      <c r="F4788" s="691"/>
      <c r="G4788" s="768"/>
      <c r="H4788" s="31"/>
    </row>
    <row r="4789" spans="2:8" hidden="1">
      <c r="B4789" s="33"/>
      <c r="C4789" s="31"/>
      <c r="D4789" s="31"/>
      <c r="E4789" s="31"/>
      <c r="F4789" s="31"/>
      <c r="G4789" s="31"/>
      <c r="H4789" s="31"/>
    </row>
    <row r="4790" spans="2:8" hidden="1">
      <c r="B4790" s="33"/>
      <c r="C4790" s="31"/>
      <c r="D4790" s="31"/>
      <c r="E4790" s="31"/>
      <c r="F4790" s="31"/>
      <c r="G4790" s="31"/>
      <c r="H4790" s="31"/>
    </row>
    <row r="4791" spans="2:8" hidden="1">
      <c r="B4791" s="200"/>
      <c r="C4791" s="31"/>
      <c r="D4791" s="31"/>
      <c r="E4791" s="31"/>
      <c r="F4791" s="31"/>
      <c r="G4791" s="31"/>
      <c r="H4791" s="31"/>
    </row>
    <row r="4792" spans="2:8" hidden="1">
      <c r="B4792" s="200"/>
      <c r="C4792" s="31"/>
      <c r="D4792" s="31"/>
      <c r="E4792" s="31"/>
      <c r="F4792" s="691"/>
      <c r="G4792" s="31"/>
      <c r="H4792" s="31"/>
    </row>
    <row r="4793" spans="2:8" hidden="1">
      <c r="B4793" s="200"/>
      <c r="C4793" s="31"/>
      <c r="D4793" s="31"/>
      <c r="E4793" s="31"/>
      <c r="F4793" s="691"/>
      <c r="G4793" s="31"/>
      <c r="H4793" s="31"/>
    </row>
    <row r="4794" spans="2:8" hidden="1">
      <c r="B4794" s="200"/>
      <c r="C4794" s="31"/>
      <c r="D4794" s="31"/>
      <c r="E4794" s="31"/>
      <c r="F4794" s="691"/>
      <c r="G4794" s="31"/>
      <c r="H4794" s="31"/>
    </row>
    <row r="4795" spans="2:8" hidden="1">
      <c r="B4795" s="200"/>
      <c r="C4795" s="31"/>
      <c r="D4795" s="31"/>
      <c r="E4795" s="31"/>
      <c r="F4795" s="31"/>
      <c r="G4795" s="31"/>
      <c r="H4795" s="31"/>
    </row>
    <row r="4796" spans="2:8" hidden="1">
      <c r="B4796" s="200"/>
      <c r="C4796" s="31"/>
      <c r="D4796" s="31"/>
      <c r="E4796" s="31"/>
      <c r="F4796" s="691"/>
      <c r="G4796" s="31"/>
      <c r="H4796" s="31"/>
    </row>
    <row r="4797" spans="2:8" hidden="1">
      <c r="B4797" s="200"/>
      <c r="C4797" s="31"/>
      <c r="D4797" s="31"/>
      <c r="E4797" s="31"/>
      <c r="F4797" s="691"/>
      <c r="G4797" s="31"/>
      <c r="H4797" s="31"/>
    </row>
    <row r="4798" spans="2:8" hidden="1">
      <c r="B4798" s="200"/>
      <c r="C4798" s="31"/>
      <c r="D4798" s="31"/>
      <c r="E4798" s="31"/>
      <c r="F4798" s="691"/>
      <c r="G4798" s="31"/>
      <c r="H4798" s="31"/>
    </row>
    <row r="4799" spans="2:8" hidden="1">
      <c r="B4799" s="200"/>
      <c r="C4799" s="31"/>
      <c r="D4799" s="31"/>
      <c r="E4799" s="31"/>
      <c r="F4799" s="691"/>
      <c r="G4799" s="31"/>
      <c r="H4799" s="31"/>
    </row>
    <row r="4800" spans="2:8" hidden="1">
      <c r="B4800" s="200"/>
      <c r="C4800" s="31"/>
      <c r="D4800" s="31"/>
      <c r="E4800" s="31"/>
      <c r="F4800" s="691"/>
      <c r="G4800" s="31"/>
      <c r="H4800" s="31"/>
    </row>
    <row r="4801" spans="2:8" hidden="1">
      <c r="B4801" s="200"/>
      <c r="C4801" s="31"/>
      <c r="D4801" s="31"/>
      <c r="E4801" s="31"/>
      <c r="F4801" s="691"/>
      <c r="G4801" s="31"/>
      <c r="H4801" s="31"/>
    </row>
    <row r="4802" spans="2:8" hidden="1">
      <c r="B4802" s="200"/>
      <c r="C4802" s="31"/>
      <c r="D4802" s="31"/>
      <c r="E4802" s="31"/>
      <c r="F4802" s="31"/>
      <c r="G4802" s="31"/>
      <c r="H4802" s="31"/>
    </row>
    <row r="4803" spans="2:8" hidden="1">
      <c r="B4803" s="200"/>
      <c r="C4803" s="31"/>
      <c r="D4803" s="31"/>
      <c r="E4803" s="31"/>
      <c r="F4803" s="31"/>
      <c r="G4803" s="31"/>
      <c r="H4803" s="31"/>
    </row>
    <row r="4804" spans="2:8" hidden="1">
      <c r="B4804" s="200"/>
      <c r="C4804" s="31"/>
      <c r="D4804" s="31"/>
      <c r="E4804" s="31"/>
      <c r="F4804" s="691"/>
      <c r="G4804" s="31"/>
      <c r="H4804" s="31"/>
    </row>
    <row r="4805" spans="2:8" hidden="1">
      <c r="B4805" s="200"/>
      <c r="C4805" s="31"/>
      <c r="D4805" s="31"/>
      <c r="E4805" s="31"/>
      <c r="F4805" s="691"/>
      <c r="G4805" s="31"/>
      <c r="H4805" s="31"/>
    </row>
    <row r="4806" spans="2:8" hidden="1">
      <c r="B4806" s="200"/>
      <c r="C4806" s="31"/>
      <c r="D4806" s="31"/>
      <c r="E4806" s="31"/>
      <c r="F4806" s="691"/>
      <c r="G4806" s="31"/>
      <c r="H4806" s="31"/>
    </row>
    <row r="4807" spans="2:8" hidden="1">
      <c r="B4807" s="200"/>
      <c r="C4807" s="31"/>
      <c r="D4807" s="31"/>
      <c r="E4807" s="31"/>
      <c r="F4807" s="691"/>
      <c r="G4807" s="31"/>
      <c r="H4807" s="31"/>
    </row>
    <row r="4808" spans="2:8" hidden="1">
      <c r="B4808" s="200"/>
      <c r="C4808" s="31"/>
      <c r="D4808" s="31"/>
      <c r="E4808" s="31"/>
      <c r="F4808" s="691"/>
      <c r="G4808" s="31"/>
      <c r="H4808" s="31"/>
    </row>
    <row r="4809" spans="2:8" hidden="1">
      <c r="B4809" s="200"/>
      <c r="C4809" s="31"/>
      <c r="D4809" s="31"/>
      <c r="E4809" s="31"/>
      <c r="F4809" s="691"/>
      <c r="G4809" s="31"/>
      <c r="H4809" s="31"/>
    </row>
    <row r="4810" spans="2:8" hidden="1">
      <c r="B4810" s="33"/>
      <c r="C4810" s="31"/>
      <c r="D4810" s="31"/>
      <c r="E4810" s="31"/>
      <c r="F4810" s="691"/>
      <c r="G4810" s="31"/>
      <c r="H4810" s="31"/>
    </row>
    <row r="4811" spans="2:8" hidden="1">
      <c r="B4811" s="33"/>
      <c r="C4811" s="31"/>
      <c r="D4811" s="31"/>
      <c r="E4811" s="31"/>
      <c r="F4811" s="691"/>
      <c r="G4811" s="31"/>
      <c r="H4811" s="31"/>
    </row>
    <row r="4812" spans="2:8" hidden="1">
      <c r="B4812" s="33"/>
      <c r="C4812" s="31"/>
      <c r="D4812" s="31"/>
      <c r="E4812" s="31"/>
      <c r="F4812" s="691"/>
      <c r="G4812" s="31"/>
      <c r="H4812" s="31"/>
    </row>
    <row r="4813" spans="2:8" hidden="1">
      <c r="B4813" s="33"/>
      <c r="C4813" s="31"/>
      <c r="D4813" s="31"/>
      <c r="E4813" s="31"/>
      <c r="F4813" s="691"/>
      <c r="G4813" s="31"/>
      <c r="H4813" s="31"/>
    </row>
    <row r="4814" spans="2:8" hidden="1">
      <c r="B4814" s="33"/>
      <c r="C4814" s="31"/>
      <c r="D4814" s="31"/>
      <c r="E4814" s="31"/>
      <c r="F4814" s="691"/>
      <c r="G4814" s="31"/>
      <c r="H4814" s="31"/>
    </row>
    <row r="4815" spans="2:8" hidden="1">
      <c r="B4815" s="33"/>
      <c r="C4815" s="31"/>
      <c r="D4815" s="31"/>
      <c r="E4815" s="31"/>
      <c r="F4815" s="691"/>
      <c r="G4815" s="31"/>
      <c r="H4815" s="31"/>
    </row>
    <row r="4816" spans="2:8" hidden="1">
      <c r="B4816" s="33"/>
      <c r="C4816" s="31"/>
      <c r="D4816" s="31"/>
      <c r="E4816" s="31"/>
      <c r="F4816" s="691"/>
      <c r="G4816" s="31"/>
      <c r="H4816" s="31"/>
    </row>
    <row r="4817" spans="2:8" hidden="1">
      <c r="B4817" s="33"/>
      <c r="C4817" s="31"/>
      <c r="D4817" s="31"/>
      <c r="E4817" s="31"/>
      <c r="F4817" s="691"/>
      <c r="G4817" s="31"/>
      <c r="H4817" s="31"/>
    </row>
    <row r="4818" spans="2:8" hidden="1">
      <c r="B4818" s="33"/>
      <c r="C4818" s="31"/>
      <c r="D4818" s="31"/>
      <c r="E4818" s="31"/>
      <c r="F4818" s="691"/>
      <c r="G4818" s="31"/>
      <c r="H4818" s="31"/>
    </row>
    <row r="4819" spans="2:8" hidden="1">
      <c r="B4819" s="33"/>
      <c r="C4819" s="31"/>
      <c r="D4819" s="31"/>
      <c r="E4819" s="31"/>
      <c r="F4819" s="691"/>
      <c r="G4819" s="31"/>
      <c r="H4819" s="31"/>
    </row>
    <row r="4820" spans="2:8" hidden="1">
      <c r="B4820" s="33"/>
      <c r="C4820" s="31"/>
      <c r="D4820" s="31"/>
      <c r="E4820" s="31"/>
      <c r="F4820" s="691"/>
      <c r="G4820" s="31"/>
      <c r="H4820" s="31"/>
    </row>
    <row r="4821" spans="2:8" hidden="1">
      <c r="B4821" s="33"/>
      <c r="C4821" s="31"/>
      <c r="D4821" s="31"/>
      <c r="E4821" s="31"/>
      <c r="F4821" s="691"/>
      <c r="G4821" s="31"/>
      <c r="H4821" s="31"/>
    </row>
    <row r="4822" spans="2:8" hidden="1">
      <c r="B4822" s="33"/>
      <c r="C4822" s="31"/>
      <c r="D4822" s="31"/>
      <c r="E4822" s="31"/>
      <c r="F4822" s="691"/>
      <c r="G4822" s="31"/>
      <c r="H4822" s="31"/>
    </row>
    <row r="4823" spans="2:8" hidden="1">
      <c r="B4823" s="33"/>
      <c r="C4823" s="31"/>
      <c r="D4823" s="31"/>
      <c r="E4823" s="31"/>
      <c r="F4823" s="691"/>
      <c r="G4823" s="31"/>
      <c r="H4823" s="31"/>
    </row>
    <row r="4824" spans="2:8" hidden="1">
      <c r="B4824" s="33"/>
      <c r="C4824" s="31"/>
      <c r="D4824" s="31"/>
      <c r="E4824" s="31"/>
      <c r="F4824" s="691"/>
      <c r="G4824" s="31"/>
      <c r="H4824" s="31"/>
    </row>
    <row r="4825" spans="2:8" hidden="1">
      <c r="B4825" s="33"/>
      <c r="C4825" s="31"/>
      <c r="D4825" s="31"/>
      <c r="E4825" s="31"/>
      <c r="F4825" s="691"/>
      <c r="G4825" s="31"/>
      <c r="H4825" s="31"/>
    </row>
    <row r="4826" spans="2:8" hidden="1">
      <c r="B4826" s="33"/>
      <c r="C4826" s="31"/>
      <c r="D4826" s="31"/>
      <c r="E4826" s="31"/>
      <c r="F4826" s="691"/>
      <c r="G4826" s="31"/>
      <c r="H4826" s="31"/>
    </row>
    <row r="4827" spans="2:8" hidden="1">
      <c r="B4827" s="33"/>
      <c r="C4827" s="31"/>
      <c r="D4827" s="31"/>
      <c r="E4827" s="31"/>
      <c r="F4827" s="691"/>
      <c r="G4827" s="31"/>
      <c r="H4827" s="31"/>
    </row>
    <row r="4828" spans="2:8" hidden="1">
      <c r="B4828" s="33"/>
      <c r="C4828" s="31"/>
      <c r="D4828" s="31"/>
      <c r="E4828" s="31"/>
      <c r="F4828" s="691"/>
      <c r="G4828" s="31"/>
      <c r="H4828" s="31"/>
    </row>
    <row r="4829" spans="2:8" hidden="1">
      <c r="B4829" s="33"/>
      <c r="C4829" s="31"/>
      <c r="D4829" s="31"/>
      <c r="E4829" s="31"/>
      <c r="F4829" s="691"/>
      <c r="G4829" s="31"/>
      <c r="H4829" s="31"/>
    </row>
    <row r="4830" spans="2:8" hidden="1">
      <c r="B4830" s="33"/>
      <c r="C4830" s="31"/>
      <c r="D4830" s="31"/>
      <c r="E4830" s="31"/>
      <c r="F4830" s="31"/>
      <c r="G4830" s="31"/>
      <c r="H4830" s="31"/>
    </row>
    <row r="4831" spans="2:8" hidden="1">
      <c r="B4831" s="33"/>
      <c r="C4831" s="31"/>
      <c r="D4831" s="31"/>
      <c r="E4831" s="31"/>
      <c r="F4831" s="691"/>
      <c r="G4831" s="31"/>
      <c r="H4831" s="31"/>
    </row>
    <row r="4832" spans="2:8" hidden="1">
      <c r="B4832" s="33"/>
      <c r="C4832" s="31"/>
      <c r="D4832" s="31"/>
      <c r="E4832" s="31"/>
      <c r="F4832" s="31"/>
      <c r="G4832" s="31"/>
      <c r="H4832" s="31"/>
    </row>
    <row r="4833" spans="2:8" hidden="1">
      <c r="B4833" s="33"/>
      <c r="C4833" s="31"/>
      <c r="D4833" s="31"/>
      <c r="E4833" s="31"/>
      <c r="F4833" s="691"/>
      <c r="G4833" s="31"/>
      <c r="H4833" s="31"/>
    </row>
    <row r="4834" spans="2:8" hidden="1">
      <c r="B4834" s="33"/>
      <c r="C4834" s="31"/>
      <c r="D4834" s="31"/>
      <c r="E4834" s="31"/>
      <c r="F4834" s="31"/>
      <c r="G4834" s="31"/>
      <c r="H4834" s="31"/>
    </row>
    <row r="4835" spans="2:8" hidden="1">
      <c r="B4835" s="33"/>
      <c r="C4835" s="31"/>
      <c r="D4835" s="31"/>
      <c r="E4835" s="31"/>
      <c r="F4835" s="691"/>
      <c r="G4835" s="31"/>
      <c r="H4835" s="31"/>
    </row>
    <row r="4836" spans="2:8" hidden="1">
      <c r="B4836" s="33"/>
      <c r="C4836" s="31"/>
      <c r="D4836" s="31"/>
      <c r="E4836" s="200"/>
      <c r="F4836" s="691"/>
      <c r="G4836" s="31"/>
      <c r="H4836" s="31"/>
    </row>
    <row r="4837" spans="2:8" hidden="1">
      <c r="B4837" s="33"/>
      <c r="C4837" s="31"/>
      <c r="D4837" s="31"/>
      <c r="E4837" s="31"/>
      <c r="F4837" s="691"/>
      <c r="G4837" s="31"/>
      <c r="H4837" s="31"/>
    </row>
    <row r="4838" spans="2:8" hidden="1">
      <c r="B4838" s="33"/>
      <c r="C4838" s="31"/>
      <c r="D4838" s="31"/>
      <c r="E4838" s="31"/>
      <c r="F4838" s="691"/>
      <c r="G4838" s="31"/>
      <c r="H4838" s="31"/>
    </row>
    <row r="4839" spans="2:8" hidden="1">
      <c r="B4839" s="33"/>
      <c r="C4839" s="200"/>
      <c r="D4839" s="31"/>
      <c r="E4839" s="31"/>
      <c r="F4839" s="691"/>
      <c r="G4839" s="31"/>
      <c r="H4839" s="31"/>
    </row>
    <row r="4840" spans="2:8" hidden="1">
      <c r="B4840" s="33"/>
      <c r="C4840" s="31"/>
      <c r="D4840" s="31"/>
      <c r="E4840" s="31"/>
      <c r="F4840" s="691"/>
      <c r="G4840" s="31"/>
      <c r="H4840" s="31"/>
    </row>
    <row r="4841" spans="2:8" hidden="1">
      <c r="B4841" s="33"/>
      <c r="C4841" s="31"/>
      <c r="D4841" s="31"/>
      <c r="E4841" s="31"/>
      <c r="F4841" s="691"/>
      <c r="G4841" s="31"/>
      <c r="H4841" s="31"/>
    </row>
    <row r="4842" spans="2:8" hidden="1">
      <c r="B4842" s="33"/>
      <c r="C4842" s="31"/>
      <c r="D4842" s="31"/>
      <c r="E4842" s="31"/>
      <c r="F4842" s="691"/>
      <c r="G4842" s="31"/>
      <c r="H4842" s="31"/>
    </row>
    <row r="4843" spans="2:8" hidden="1">
      <c r="B4843" s="33"/>
      <c r="C4843" s="31"/>
      <c r="D4843" s="31"/>
      <c r="E4843" s="31"/>
      <c r="F4843" s="691"/>
      <c r="G4843" s="31"/>
      <c r="H4843" s="31"/>
    </row>
    <row r="4844" spans="2:8" hidden="1">
      <c r="B4844" s="33"/>
      <c r="C4844" s="31"/>
      <c r="D4844" s="31"/>
      <c r="E4844" s="31"/>
      <c r="F4844" s="691"/>
      <c r="G4844" s="31"/>
      <c r="H4844" s="31"/>
    </row>
    <row r="4845" spans="2:8" hidden="1">
      <c r="B4845" s="33"/>
      <c r="C4845" s="31"/>
      <c r="D4845" s="31"/>
      <c r="E4845" s="31"/>
      <c r="F4845" s="691"/>
      <c r="G4845" s="31"/>
      <c r="H4845" s="31"/>
    </row>
    <row r="4846" spans="2:8" hidden="1">
      <c r="B4846" s="33"/>
      <c r="C4846" s="31"/>
      <c r="D4846" s="31"/>
      <c r="E4846" s="31"/>
      <c r="F4846" s="31"/>
      <c r="G4846" s="31"/>
      <c r="H4846" s="31"/>
    </row>
    <row r="4847" spans="2:8" hidden="1">
      <c r="B4847" s="33"/>
      <c r="C4847" s="31"/>
      <c r="D4847" s="31"/>
      <c r="E4847" s="31"/>
      <c r="F4847" s="31"/>
      <c r="G4847" s="31"/>
      <c r="H4847" s="31"/>
    </row>
    <row r="4848" spans="2:8" hidden="1">
      <c r="B4848" s="33"/>
      <c r="C4848" s="31"/>
      <c r="D4848" s="31"/>
      <c r="E4848" s="31"/>
      <c r="F4848" s="31"/>
      <c r="G4848" s="31"/>
      <c r="H4848" s="31"/>
    </row>
    <row r="4849" spans="2:8" hidden="1">
      <c r="B4849" s="33"/>
      <c r="C4849" s="31"/>
      <c r="D4849" s="31"/>
      <c r="E4849" s="31"/>
      <c r="F4849" s="691"/>
      <c r="G4849" s="31"/>
      <c r="H4849" s="31"/>
    </row>
    <row r="4850" spans="2:8" hidden="1">
      <c r="B4850" s="33"/>
      <c r="C4850" s="31"/>
      <c r="D4850" s="31"/>
      <c r="E4850" s="31"/>
      <c r="F4850" s="31"/>
      <c r="G4850" s="31"/>
      <c r="H4850" s="31"/>
    </row>
    <row r="4851" spans="2:8" hidden="1">
      <c r="B4851" s="33"/>
      <c r="C4851" s="31"/>
      <c r="D4851" s="31"/>
      <c r="E4851" s="31"/>
      <c r="F4851" s="31"/>
      <c r="G4851" s="31"/>
      <c r="H4851" s="31"/>
    </row>
    <row r="4852" spans="2:8" hidden="1">
      <c r="B4852" s="33"/>
      <c r="C4852" s="31"/>
      <c r="D4852" s="31"/>
      <c r="E4852" s="31"/>
      <c r="F4852" s="31"/>
      <c r="G4852" s="31"/>
      <c r="H4852" s="31"/>
    </row>
    <row r="4853" spans="2:8" hidden="1">
      <c r="B4853" s="33"/>
      <c r="C4853" s="31"/>
      <c r="D4853" s="31"/>
      <c r="E4853" s="31"/>
      <c r="F4853" s="31"/>
      <c r="G4853" s="31"/>
      <c r="H4853" s="31"/>
    </row>
    <row r="4854" spans="2:8" hidden="1">
      <c r="B4854" s="33"/>
      <c r="C4854" s="31"/>
      <c r="D4854" s="31"/>
      <c r="E4854" s="31"/>
      <c r="F4854" s="31"/>
      <c r="G4854" s="31"/>
      <c r="H4854" s="31"/>
    </row>
    <row r="4855" spans="2:8" hidden="1">
      <c r="B4855" s="33"/>
      <c r="C4855" s="31"/>
      <c r="D4855" s="31"/>
      <c r="E4855" s="31"/>
      <c r="F4855" s="31"/>
      <c r="G4855" s="31"/>
      <c r="H4855" s="31"/>
    </row>
    <row r="4856" spans="2:8" hidden="1">
      <c r="B4856" s="33"/>
      <c r="C4856" s="31"/>
      <c r="D4856" s="31"/>
      <c r="E4856" s="31"/>
      <c r="F4856" s="31"/>
      <c r="G4856" s="31"/>
      <c r="H4856" s="31"/>
    </row>
    <row r="4857" spans="2:8" hidden="1">
      <c r="B4857" s="33"/>
      <c r="C4857" s="31"/>
      <c r="D4857" s="31"/>
      <c r="E4857" s="31"/>
      <c r="F4857" s="31"/>
      <c r="G4857" s="31"/>
      <c r="H4857" s="31"/>
    </row>
    <row r="4858" spans="2:8" hidden="1">
      <c r="B4858" s="33"/>
      <c r="C4858" s="31"/>
      <c r="D4858" s="31"/>
      <c r="E4858" s="31"/>
      <c r="F4858" s="31"/>
      <c r="G4858" s="31"/>
      <c r="H4858" s="31"/>
    </row>
    <row r="4859" spans="2:8" hidden="1">
      <c r="B4859" s="33"/>
      <c r="C4859" s="31"/>
      <c r="D4859" s="31"/>
      <c r="E4859" s="31"/>
      <c r="F4859" s="33"/>
      <c r="G4859" s="31"/>
      <c r="H4859" s="31"/>
    </row>
    <row r="4860" spans="2:8" hidden="1">
      <c r="B4860" s="33"/>
      <c r="C4860" s="31"/>
      <c r="D4860" s="33"/>
      <c r="E4860" s="33"/>
      <c r="F4860" s="33"/>
      <c r="G4860" s="33"/>
      <c r="H4860" s="31"/>
    </row>
    <row r="4861" spans="2:8" hidden="1">
      <c r="B4861" s="33"/>
      <c r="C4861" s="31"/>
      <c r="D4861" s="33"/>
      <c r="E4861" s="33"/>
      <c r="F4861" s="33"/>
      <c r="G4861" s="33"/>
      <c r="H4861" s="31"/>
    </row>
    <row r="4862" spans="2:8" hidden="1">
      <c r="B4862" s="33"/>
      <c r="C4862" s="31"/>
      <c r="D4862" s="33"/>
      <c r="E4862" s="33"/>
      <c r="F4862" s="33"/>
      <c r="G4862" s="33"/>
      <c r="H4862" s="31"/>
    </row>
    <row r="4863" spans="2:8" hidden="1">
      <c r="B4863" s="33"/>
      <c r="C4863" s="31"/>
      <c r="D4863" s="33"/>
      <c r="E4863" s="33"/>
      <c r="F4863" s="33"/>
      <c r="G4863" s="33"/>
      <c r="H4863" s="31"/>
    </row>
    <row r="4864" spans="2:8" hidden="1">
      <c r="B4864" s="33"/>
      <c r="C4864" s="31"/>
      <c r="D4864" s="33"/>
      <c r="E4864" s="33"/>
      <c r="F4864" s="33"/>
      <c r="G4864" s="33"/>
      <c r="H4864" s="31"/>
    </row>
    <row r="4865" spans="2:8" hidden="1">
      <c r="B4865" s="33"/>
      <c r="C4865" s="31"/>
      <c r="D4865" s="33"/>
      <c r="E4865" s="33"/>
      <c r="F4865" s="33"/>
      <c r="G4865" s="33"/>
      <c r="H4865" s="31"/>
    </row>
    <row r="4866" spans="2:8" hidden="1">
      <c r="B4866" s="33"/>
      <c r="C4866" s="31"/>
      <c r="D4866" s="33"/>
      <c r="E4866" s="33"/>
      <c r="F4866" s="33"/>
      <c r="G4866" s="33"/>
      <c r="H4866" s="31"/>
    </row>
    <row r="4867" spans="2:8" hidden="1">
      <c r="B4867" s="33"/>
      <c r="C4867" s="31"/>
      <c r="D4867" s="33"/>
      <c r="E4867" s="33"/>
      <c r="F4867" s="33"/>
      <c r="G4867" s="33"/>
      <c r="H4867" s="31"/>
    </row>
    <row r="4868" spans="2:8" hidden="1">
      <c r="B4868" s="33"/>
      <c r="C4868" s="31"/>
      <c r="D4868" s="33"/>
      <c r="E4868" s="33"/>
      <c r="F4868" s="33"/>
      <c r="G4868" s="33"/>
      <c r="H4868" s="31"/>
    </row>
    <row r="4869" spans="2:8" hidden="1">
      <c r="B4869" s="33"/>
      <c r="C4869" s="31"/>
      <c r="D4869" s="33"/>
      <c r="E4869" s="33"/>
      <c r="F4869" s="33"/>
      <c r="G4869" s="33"/>
      <c r="H4869" s="31"/>
    </row>
    <row r="4870" spans="2:8" hidden="1">
      <c r="B4870" s="33"/>
      <c r="C4870" s="31"/>
      <c r="D4870" s="33"/>
      <c r="E4870" s="33"/>
      <c r="F4870" s="33"/>
      <c r="G4870" s="33"/>
      <c r="H4870" s="31"/>
    </row>
    <row r="4871" spans="2:8" hidden="1">
      <c r="B4871" s="33"/>
      <c r="C4871" s="31"/>
      <c r="D4871" s="33"/>
      <c r="E4871" s="33"/>
      <c r="F4871" s="33"/>
      <c r="G4871" s="33"/>
      <c r="H4871" s="31"/>
    </row>
    <row r="4872" spans="2:8" hidden="1">
      <c r="B4872" s="33"/>
      <c r="C4872" s="31"/>
      <c r="D4872" s="33"/>
      <c r="E4872" s="33"/>
      <c r="F4872" s="33"/>
      <c r="G4872" s="33"/>
      <c r="H4872" s="31"/>
    </row>
    <row r="4873" spans="2:8" hidden="1">
      <c r="B4873" s="33"/>
      <c r="C4873" s="33"/>
      <c r="D4873" s="33"/>
      <c r="E4873" s="33"/>
      <c r="F4873" s="33"/>
      <c r="G4873" s="33"/>
      <c r="H4873" s="31"/>
    </row>
    <row r="4874" spans="2:8" hidden="1">
      <c r="B4874" s="33"/>
      <c r="C4874" s="31"/>
      <c r="D4874" s="31"/>
      <c r="E4874" s="31"/>
      <c r="F4874" s="31"/>
      <c r="G4874" s="31"/>
      <c r="H4874" s="31"/>
    </row>
    <row r="4875" spans="2:8" hidden="1">
      <c r="B4875" s="33"/>
      <c r="C4875" s="31"/>
      <c r="D4875" s="31"/>
      <c r="E4875" s="31"/>
      <c r="F4875" s="31"/>
      <c r="G4875" s="31"/>
      <c r="H4875" s="31"/>
    </row>
    <row r="4876" spans="2:8" hidden="1">
      <c r="B4876" s="33"/>
      <c r="C4876" s="31"/>
      <c r="D4876" s="31"/>
      <c r="E4876" s="31"/>
      <c r="F4876" s="31"/>
      <c r="G4876" s="31"/>
      <c r="H4876" s="31"/>
    </row>
    <row r="4877" spans="2:8" hidden="1">
      <c r="B4877" s="33"/>
      <c r="C4877" s="31"/>
      <c r="D4877" s="31"/>
      <c r="E4877" s="31"/>
      <c r="F4877" s="31"/>
      <c r="G4877" s="31"/>
      <c r="H4877" s="31"/>
    </row>
    <row r="4878" spans="2:8" hidden="1">
      <c r="B4878" s="33"/>
      <c r="C4878" s="31"/>
      <c r="D4878" s="31"/>
      <c r="E4878" s="31"/>
      <c r="F4878" s="31"/>
      <c r="G4878" s="31"/>
      <c r="H4878" s="31"/>
    </row>
    <row r="4879" spans="2:8" hidden="1">
      <c r="B4879" s="33"/>
      <c r="C4879" s="31"/>
      <c r="D4879" s="31"/>
      <c r="E4879" s="31"/>
      <c r="F4879" s="31"/>
      <c r="G4879" s="31"/>
      <c r="H4879" s="31"/>
    </row>
    <row r="4880" spans="2:8" hidden="1">
      <c r="B4880" s="33"/>
      <c r="C4880" s="31"/>
      <c r="D4880" s="31"/>
      <c r="E4880" s="31"/>
      <c r="F4880" s="31"/>
      <c r="G4880" s="31"/>
      <c r="H4880" s="31"/>
    </row>
    <row r="4881" spans="2:8" hidden="1">
      <c r="B4881" s="33"/>
      <c r="C4881" s="31"/>
      <c r="D4881" s="31"/>
      <c r="E4881" s="31"/>
      <c r="F4881" s="31"/>
      <c r="G4881" s="31"/>
      <c r="H4881" s="31"/>
    </row>
    <row r="4882" spans="2:8" hidden="1">
      <c r="B4882" s="33"/>
      <c r="C4882" s="31"/>
      <c r="D4882" s="31"/>
      <c r="E4882" s="31"/>
      <c r="F4882" s="31"/>
      <c r="G4882" s="31"/>
      <c r="H4882" s="31"/>
    </row>
    <row r="4883" spans="2:8" hidden="1">
      <c r="B4883" s="33"/>
      <c r="C4883" s="31"/>
      <c r="D4883" s="31"/>
      <c r="E4883" s="31"/>
      <c r="F4883" s="31"/>
      <c r="G4883" s="31"/>
      <c r="H4883" s="31"/>
    </row>
    <row r="4884" spans="2:8" hidden="1">
      <c r="B4884" s="33"/>
      <c r="C4884" s="31"/>
      <c r="D4884" s="31"/>
      <c r="E4884" s="31"/>
      <c r="F4884" s="31"/>
      <c r="G4884" s="31"/>
      <c r="H4884" s="31"/>
    </row>
    <row r="4885" spans="2:8" hidden="1">
      <c r="B4885" s="33"/>
      <c r="C4885" s="31"/>
      <c r="D4885" s="31"/>
      <c r="E4885" s="31"/>
      <c r="F4885" s="31"/>
      <c r="G4885" s="31"/>
      <c r="H4885" s="31"/>
    </row>
    <row r="4886" spans="2:8" hidden="1">
      <c r="B4886" s="33"/>
      <c r="C4886" s="31"/>
      <c r="D4886" s="75"/>
      <c r="E4886" s="31"/>
      <c r="F4886" s="405"/>
      <c r="G4886" s="75"/>
      <c r="H4886" s="31"/>
    </row>
    <row r="4887" spans="2:8" hidden="1">
      <c r="B4887" s="33"/>
      <c r="C4887" s="31"/>
      <c r="D4887" s="31"/>
      <c r="E4887" s="31"/>
      <c r="F4887" s="691"/>
      <c r="G4887" s="732"/>
      <c r="H4887" s="31"/>
    </row>
    <row r="4888" spans="2:8" hidden="1">
      <c r="B4888" s="33"/>
      <c r="C4888" s="31"/>
      <c r="D4888" s="31"/>
      <c r="E4888" s="31"/>
      <c r="F4888" s="405"/>
      <c r="G4888" s="75"/>
      <c r="H4888" s="31"/>
    </row>
    <row r="4889" spans="2:8" hidden="1">
      <c r="B4889" s="33"/>
      <c r="C4889" s="31"/>
      <c r="D4889" s="75"/>
      <c r="E4889" s="31"/>
      <c r="F4889" s="405"/>
      <c r="G4889" s="75"/>
      <c r="H4889" s="31"/>
    </row>
    <row r="4890" spans="2:8" hidden="1">
      <c r="B4890" s="33"/>
      <c r="C4890" s="31"/>
      <c r="D4890" s="31"/>
      <c r="E4890" s="31"/>
      <c r="F4890" s="691"/>
      <c r="G4890" s="732"/>
      <c r="H4890" s="31"/>
    </row>
    <row r="4891" spans="2:8" hidden="1">
      <c r="B4891" s="33"/>
      <c r="C4891" s="31"/>
      <c r="D4891" s="31"/>
      <c r="E4891" s="31"/>
      <c r="F4891" s="405"/>
      <c r="G4891" s="75"/>
      <c r="H4891" s="31"/>
    </row>
    <row r="4892" spans="2:8" hidden="1">
      <c r="B4892" s="33"/>
      <c r="C4892" s="31"/>
      <c r="D4892" s="31"/>
      <c r="E4892" s="31"/>
      <c r="F4892" s="31"/>
      <c r="G4892" s="31"/>
      <c r="H4892" s="31"/>
    </row>
    <row r="4893" spans="2:8" hidden="1">
      <c r="B4893" s="33"/>
      <c r="C4893" s="200"/>
      <c r="D4893" s="31"/>
      <c r="E4893" s="200"/>
      <c r="F4893" s="769"/>
      <c r="G4893" s="31"/>
      <c r="H4893" s="31"/>
    </row>
    <row r="4894" spans="2:8" hidden="1">
      <c r="B4894" s="76"/>
      <c r="C4894" s="31"/>
      <c r="D4894" s="31"/>
      <c r="E4894" s="31"/>
      <c r="F4894" s="75"/>
      <c r="G4894" s="31"/>
      <c r="H4894" s="31"/>
    </row>
    <row r="4895" spans="2:8" hidden="1">
      <c r="B4895" s="33"/>
      <c r="C4895" s="33"/>
      <c r="D4895" s="33"/>
      <c r="E4895" s="33"/>
      <c r="F4895" s="33"/>
      <c r="G4895" s="33"/>
      <c r="H4895" s="31"/>
    </row>
    <row r="4896" spans="2:8" hidden="1">
      <c r="B4896" s="33"/>
      <c r="C4896" s="31"/>
      <c r="D4896" s="33"/>
      <c r="E4896" s="33"/>
      <c r="F4896" s="33"/>
      <c r="G4896" s="33"/>
      <c r="H4896" s="31"/>
    </row>
    <row r="4897" spans="2:8" hidden="1">
      <c r="B4897" s="405"/>
      <c r="C4897" s="76"/>
      <c r="D4897" s="731"/>
      <c r="E4897" s="75"/>
      <c r="F4897" s="75"/>
      <c r="G4897" s="75"/>
      <c r="H4897" s="31"/>
    </row>
    <row r="4898" spans="2:8" hidden="1">
      <c r="B4898" s="405"/>
      <c r="C4898" s="76"/>
      <c r="D4898" s="731"/>
      <c r="E4898" s="75"/>
      <c r="F4898" s="75"/>
      <c r="G4898" s="75"/>
      <c r="H4898" s="31"/>
    </row>
    <row r="4899" spans="2:8" hidden="1">
      <c r="B4899" s="405"/>
      <c r="C4899" s="76"/>
      <c r="D4899" s="731"/>
      <c r="E4899" s="75"/>
      <c r="F4899" s="75"/>
      <c r="G4899" s="75"/>
      <c r="H4899" s="31"/>
    </row>
    <row r="4900" spans="2:8" hidden="1">
      <c r="B4900" s="405"/>
      <c r="C4900" s="76"/>
      <c r="D4900" s="731"/>
      <c r="E4900" s="75"/>
      <c r="F4900" s="75"/>
      <c r="G4900" s="75"/>
      <c r="H4900" s="31"/>
    </row>
    <row r="4901" spans="2:8" hidden="1">
      <c r="B4901" s="405"/>
      <c r="C4901" s="76"/>
      <c r="D4901" s="731"/>
      <c r="E4901" s="75"/>
      <c r="F4901" s="75"/>
      <c r="G4901" s="75"/>
      <c r="H4901" s="31"/>
    </row>
    <row r="4902" spans="2:8" hidden="1">
      <c r="B4902" s="405"/>
      <c r="C4902" s="76"/>
      <c r="D4902" s="731"/>
      <c r="E4902" s="75"/>
      <c r="F4902" s="75"/>
      <c r="G4902" s="75"/>
      <c r="H4902" s="31"/>
    </row>
    <row r="4903" spans="2:8" hidden="1">
      <c r="B4903" s="405"/>
      <c r="C4903" s="76"/>
      <c r="D4903" s="731"/>
      <c r="E4903" s="75"/>
      <c r="F4903" s="75"/>
      <c r="G4903" s="75"/>
      <c r="H4903" s="31"/>
    </row>
    <row r="4904" spans="2:8" hidden="1">
      <c r="B4904" s="405"/>
      <c r="C4904" s="76"/>
      <c r="D4904" s="731"/>
      <c r="E4904" s="75"/>
      <c r="F4904" s="75"/>
      <c r="G4904" s="75"/>
      <c r="H4904" s="31"/>
    </row>
    <row r="4905" spans="2:8" hidden="1">
      <c r="B4905" s="405"/>
      <c r="C4905" s="76"/>
      <c r="D4905" s="731"/>
      <c r="E4905" s="75"/>
      <c r="F4905" s="75"/>
      <c r="G4905" s="75"/>
      <c r="H4905" s="31"/>
    </row>
    <row r="4906" spans="2:8" hidden="1">
      <c r="B4906" s="405"/>
      <c r="C4906" s="76"/>
      <c r="D4906" s="731"/>
      <c r="E4906" s="75"/>
      <c r="F4906" s="75"/>
      <c r="G4906" s="75"/>
      <c r="H4906" s="31"/>
    </row>
    <row r="4907" spans="2:8" hidden="1">
      <c r="B4907" s="405"/>
      <c r="C4907" s="76"/>
      <c r="D4907" s="731"/>
      <c r="E4907" s="75"/>
      <c r="F4907" s="75"/>
      <c r="G4907" s="75"/>
      <c r="H4907" s="31"/>
    </row>
    <row r="4908" spans="2:8" hidden="1">
      <c r="B4908" s="405"/>
      <c r="C4908" s="76"/>
      <c r="D4908" s="731"/>
      <c r="E4908" s="75"/>
      <c r="F4908" s="75"/>
      <c r="G4908" s="75"/>
      <c r="H4908" s="31"/>
    </row>
    <row r="4909" spans="2:8" hidden="1">
      <c r="B4909" s="405"/>
      <c r="C4909" s="76"/>
      <c r="D4909" s="731"/>
      <c r="E4909" s="75"/>
      <c r="F4909" s="75"/>
      <c r="G4909" s="75"/>
      <c r="H4909" s="31"/>
    </row>
    <row r="4910" spans="2:8" hidden="1">
      <c r="B4910" s="405"/>
      <c r="C4910" s="76"/>
      <c r="D4910" s="731"/>
      <c r="E4910" s="75"/>
      <c r="F4910" s="75"/>
      <c r="G4910" s="75"/>
      <c r="H4910" s="31"/>
    </row>
    <row r="4911" spans="2:8" hidden="1">
      <c r="B4911" s="405"/>
      <c r="C4911" s="76"/>
      <c r="D4911" s="731"/>
      <c r="E4911" s="75"/>
      <c r="F4911" s="75"/>
      <c r="G4911" s="75"/>
      <c r="H4911" s="31"/>
    </row>
    <row r="4912" spans="2:8" hidden="1">
      <c r="B4912" s="405"/>
      <c r="C4912" s="76"/>
      <c r="D4912" s="731"/>
      <c r="E4912" s="75"/>
      <c r="F4912" s="75"/>
      <c r="G4912" s="75"/>
      <c r="H4912" s="31"/>
    </row>
    <row r="4913" spans="2:8" hidden="1">
      <c r="B4913" s="405"/>
      <c r="C4913" s="76"/>
      <c r="D4913" s="731"/>
      <c r="E4913" s="75"/>
      <c r="F4913" s="75"/>
      <c r="G4913" s="75"/>
      <c r="H4913" s="31"/>
    </row>
    <row r="4914" spans="2:8" hidden="1">
      <c r="B4914" s="405"/>
      <c r="C4914" s="76"/>
      <c r="D4914" s="731"/>
      <c r="E4914" s="75"/>
      <c r="F4914" s="75"/>
      <c r="G4914" s="75"/>
      <c r="H4914" s="31"/>
    </row>
    <row r="4915" spans="2:8" hidden="1">
      <c r="B4915" s="405"/>
      <c r="C4915" s="76"/>
      <c r="D4915" s="731"/>
      <c r="E4915" s="75"/>
      <c r="F4915" s="75"/>
      <c r="G4915" s="75"/>
      <c r="H4915" s="31"/>
    </row>
    <row r="4916" spans="2:8" hidden="1">
      <c r="B4916" s="30"/>
      <c r="C4916" s="76"/>
      <c r="D4916" s="731"/>
      <c r="E4916" s="75"/>
      <c r="F4916" s="75"/>
      <c r="G4916" s="75"/>
      <c r="H4916" s="31"/>
    </row>
    <row r="4917" spans="2:8" hidden="1">
      <c r="B4917" s="30"/>
      <c r="C4917" s="76"/>
      <c r="D4917" s="731"/>
      <c r="E4917" s="75"/>
      <c r="F4917" s="75"/>
      <c r="G4917" s="75"/>
      <c r="H4917" s="31"/>
    </row>
    <row r="4918" spans="2:8" hidden="1">
      <c r="B4918" s="30"/>
      <c r="C4918" s="76"/>
      <c r="D4918" s="731"/>
      <c r="E4918" s="75"/>
      <c r="F4918" s="75"/>
      <c r="G4918" s="75"/>
      <c r="H4918" s="31"/>
    </row>
    <row r="4919" spans="2:8" hidden="1">
      <c r="B4919" s="30"/>
      <c r="C4919" s="76"/>
      <c r="D4919" s="731"/>
      <c r="E4919" s="75"/>
      <c r="F4919" s="75"/>
      <c r="G4919" s="75"/>
      <c r="H4919" s="31"/>
    </row>
    <row r="4920" spans="2:8" hidden="1">
      <c r="B4920" s="30"/>
      <c r="C4920" s="76"/>
      <c r="D4920" s="731"/>
      <c r="E4920" s="75"/>
      <c r="F4920" s="75"/>
      <c r="G4920" s="75"/>
      <c r="H4920" s="31"/>
    </row>
    <row r="4921" spans="2:8" hidden="1">
      <c r="B4921" s="30"/>
      <c r="C4921" s="76"/>
      <c r="D4921" s="731"/>
      <c r="E4921" s="75"/>
      <c r="F4921" s="75"/>
      <c r="G4921" s="75"/>
      <c r="H4921" s="31"/>
    </row>
    <row r="4922" spans="2:8" hidden="1">
      <c r="B4922" s="30"/>
      <c r="C4922" s="76"/>
      <c r="D4922" s="731"/>
      <c r="E4922" s="75"/>
      <c r="F4922" s="75"/>
      <c r="G4922" s="75"/>
      <c r="H4922" s="31"/>
    </row>
    <row r="4923" spans="2:8" hidden="1">
      <c r="B4923" s="30"/>
      <c r="C4923" s="76"/>
      <c r="D4923" s="731"/>
      <c r="E4923" s="75"/>
      <c r="F4923" s="75"/>
      <c r="G4923" s="75"/>
      <c r="H4923" s="31"/>
    </row>
    <row r="4924" spans="2:8" hidden="1">
      <c r="B4924" s="30"/>
      <c r="C4924" s="76"/>
      <c r="D4924" s="731"/>
      <c r="E4924" s="75"/>
      <c r="F4924" s="75"/>
      <c r="G4924" s="75"/>
      <c r="H4924" s="31"/>
    </row>
    <row r="4925" spans="2:8" hidden="1">
      <c r="B4925" s="30"/>
      <c r="C4925" s="76"/>
      <c r="D4925" s="731"/>
      <c r="E4925" s="75"/>
      <c r="F4925" s="75"/>
      <c r="G4925" s="75"/>
      <c r="H4925" s="31"/>
    </row>
    <row r="4926" spans="2:8" hidden="1">
      <c r="B4926" s="30"/>
      <c r="C4926" s="76"/>
      <c r="D4926" s="731"/>
      <c r="E4926" s="75"/>
      <c r="F4926" s="75"/>
      <c r="G4926" s="75"/>
      <c r="H4926" s="31"/>
    </row>
    <row r="4927" spans="2:8" hidden="1">
      <c r="B4927" s="30"/>
      <c r="C4927" s="76"/>
      <c r="D4927" s="731"/>
      <c r="E4927" s="75"/>
      <c r="F4927" s="75"/>
      <c r="G4927" s="75"/>
      <c r="H4927" s="31"/>
    </row>
    <row r="4928" spans="2:8" hidden="1">
      <c r="B4928" s="30"/>
      <c r="C4928" s="76"/>
      <c r="D4928" s="731"/>
      <c r="E4928" s="75"/>
      <c r="F4928" s="75"/>
      <c r="G4928" s="75"/>
      <c r="H4928" s="31"/>
    </row>
    <row r="4929" spans="2:8" hidden="1">
      <c r="B4929" s="33"/>
      <c r="C4929" s="31"/>
      <c r="D4929" s="31"/>
      <c r="E4929" s="200"/>
      <c r="F4929" s="200"/>
      <c r="G4929" s="75"/>
      <c r="H4929" s="31"/>
    </row>
    <row r="4930" spans="2:8" hidden="1">
      <c r="B4930" s="33"/>
      <c r="C4930" s="31"/>
      <c r="D4930" s="31"/>
      <c r="E4930" s="198"/>
      <c r="F4930" s="200"/>
      <c r="G4930" s="75"/>
      <c r="H4930" s="31"/>
    </row>
    <row r="4931" spans="2:8" hidden="1">
      <c r="B4931" s="33"/>
      <c r="C4931" s="31"/>
      <c r="D4931" s="31"/>
      <c r="E4931" s="198"/>
      <c r="F4931" s="200"/>
      <c r="G4931" s="75"/>
      <c r="H4931" s="31"/>
    </row>
    <row r="4932" spans="2:8" hidden="1">
      <c r="B4932" s="33"/>
      <c r="C4932" s="31"/>
      <c r="D4932" s="31"/>
      <c r="E4932" s="198"/>
      <c r="F4932" s="200"/>
      <c r="G4932" s="75"/>
      <c r="H4932" s="31"/>
    </row>
    <row r="4933" spans="2:8" hidden="1">
      <c r="B4933" s="33"/>
      <c r="C4933" s="200"/>
      <c r="D4933" s="30"/>
      <c r="E4933" s="30"/>
      <c r="F4933" s="200"/>
      <c r="G4933" s="75"/>
      <c r="H4933" s="31"/>
    </row>
    <row r="4934" spans="2:8" hidden="1">
      <c r="B4934" s="33"/>
      <c r="C4934" s="31"/>
      <c r="D4934" s="31"/>
      <c r="E4934" s="31"/>
      <c r="F4934" s="31"/>
      <c r="G4934" s="31"/>
      <c r="H4934" s="31"/>
    </row>
    <row r="4935" spans="2:8" hidden="1">
      <c r="B4935" s="76"/>
      <c r="C4935" s="31"/>
      <c r="D4935" s="31"/>
      <c r="E4935" s="31"/>
      <c r="F4935" s="31"/>
      <c r="G4935" s="31"/>
      <c r="H4935" s="31"/>
    </row>
    <row r="4936" spans="2:8" hidden="1">
      <c r="B4936" s="33"/>
      <c r="C4936" s="33"/>
      <c r="D4936" s="33"/>
      <c r="E4936" s="33"/>
      <c r="F4936" s="33"/>
      <c r="G4936" s="33"/>
      <c r="H4936" s="31"/>
    </row>
    <row r="4937" spans="2:8" hidden="1">
      <c r="B4937" s="33"/>
      <c r="C4937" s="31"/>
      <c r="D4937" s="33"/>
      <c r="E4937" s="33"/>
      <c r="F4937" s="33"/>
      <c r="G4937" s="33"/>
      <c r="H4937" s="31"/>
    </row>
    <row r="4938" spans="2:8" hidden="1">
      <c r="B4938" s="405"/>
      <c r="C4938" s="76"/>
      <c r="D4938" s="731"/>
      <c r="E4938" s="75"/>
      <c r="F4938" s="75"/>
      <c r="G4938" s="75"/>
      <c r="H4938" s="31"/>
    </row>
    <row r="4939" spans="2:8" hidden="1">
      <c r="B4939" s="405"/>
      <c r="C4939" s="76"/>
      <c r="D4939" s="731"/>
      <c r="E4939" s="75"/>
      <c r="F4939" s="75"/>
      <c r="G4939" s="75"/>
      <c r="H4939" s="31"/>
    </row>
    <row r="4940" spans="2:8" hidden="1">
      <c r="B4940" s="405"/>
      <c r="C4940" s="76"/>
      <c r="D4940" s="731"/>
      <c r="E4940" s="75"/>
      <c r="F4940" s="75"/>
      <c r="G4940" s="75"/>
      <c r="H4940" s="31"/>
    </row>
    <row r="4941" spans="2:8" hidden="1">
      <c r="B4941" s="405"/>
      <c r="C4941" s="76"/>
      <c r="D4941" s="731"/>
      <c r="E4941" s="75"/>
      <c r="F4941" s="75"/>
      <c r="G4941" s="75"/>
      <c r="H4941" s="31"/>
    </row>
    <row r="4942" spans="2:8" hidden="1">
      <c r="B4942" s="405"/>
      <c r="C4942" s="76"/>
      <c r="D4942" s="731"/>
      <c r="E4942" s="75"/>
      <c r="F4942" s="75"/>
      <c r="G4942" s="75"/>
      <c r="H4942" s="31"/>
    </row>
    <row r="4943" spans="2:8" hidden="1">
      <c r="B4943" s="405"/>
      <c r="C4943" s="76"/>
      <c r="D4943" s="731"/>
      <c r="E4943" s="75"/>
      <c r="F4943" s="75"/>
      <c r="G4943" s="75"/>
      <c r="H4943" s="31"/>
    </row>
    <row r="4944" spans="2:8" hidden="1">
      <c r="B4944" s="405"/>
      <c r="C4944" s="76"/>
      <c r="D4944" s="731"/>
      <c r="E4944" s="75"/>
      <c r="F4944" s="75"/>
      <c r="G4944" s="75"/>
      <c r="H4944" s="31"/>
    </row>
    <row r="4945" spans="2:8" hidden="1">
      <c r="B4945" s="405"/>
      <c r="C4945" s="76"/>
      <c r="D4945" s="731"/>
      <c r="E4945" s="75"/>
      <c r="F4945" s="75"/>
      <c r="G4945" s="75"/>
      <c r="H4945" s="31"/>
    </row>
    <row r="4946" spans="2:8" hidden="1">
      <c r="B4946" s="405"/>
      <c r="C4946" s="76"/>
      <c r="D4946" s="731"/>
      <c r="E4946" s="75"/>
      <c r="F4946" s="75"/>
      <c r="G4946" s="75"/>
      <c r="H4946" s="31"/>
    </row>
    <row r="4947" spans="2:8" hidden="1">
      <c r="B4947" s="405"/>
      <c r="C4947" s="76"/>
      <c r="D4947" s="731"/>
      <c r="E4947" s="75"/>
      <c r="F4947" s="75"/>
      <c r="G4947" s="75"/>
      <c r="H4947" s="31"/>
    </row>
    <row r="4948" spans="2:8" hidden="1">
      <c r="B4948" s="405"/>
      <c r="C4948" s="76"/>
      <c r="D4948" s="731"/>
      <c r="E4948" s="75"/>
      <c r="F4948" s="75"/>
      <c r="G4948" s="75"/>
      <c r="H4948" s="31"/>
    </row>
    <row r="4949" spans="2:8" hidden="1">
      <c r="B4949" s="405"/>
      <c r="C4949" s="76"/>
      <c r="D4949" s="731"/>
      <c r="E4949" s="75"/>
      <c r="F4949" s="75"/>
      <c r="G4949" s="75"/>
      <c r="H4949" s="31"/>
    </row>
    <row r="4950" spans="2:8" hidden="1">
      <c r="B4950" s="405"/>
      <c r="C4950" s="76"/>
      <c r="D4950" s="731"/>
      <c r="E4950" s="75"/>
      <c r="F4950" s="75"/>
      <c r="G4950" s="75"/>
      <c r="H4950" s="31"/>
    </row>
    <row r="4951" spans="2:8" hidden="1">
      <c r="B4951" s="33"/>
      <c r="C4951" s="31"/>
      <c r="D4951" s="31"/>
      <c r="E4951" s="200"/>
      <c r="F4951" s="200"/>
      <c r="G4951" s="75"/>
      <c r="H4951" s="31"/>
    </row>
    <row r="4952" spans="2:8" hidden="1">
      <c r="B4952" s="33"/>
      <c r="C4952" s="31"/>
      <c r="D4952" s="31"/>
      <c r="E4952" s="198"/>
      <c r="F4952" s="200"/>
      <c r="G4952" s="75"/>
      <c r="H4952" s="31"/>
    </row>
    <row r="4953" spans="2:8" hidden="1">
      <c r="B4953" s="33"/>
      <c r="C4953" s="31"/>
      <c r="D4953" s="31"/>
      <c r="E4953" s="198"/>
      <c r="F4953" s="200"/>
      <c r="G4953" s="75"/>
      <c r="H4953" s="31"/>
    </row>
    <row r="4954" spans="2:8" hidden="1">
      <c r="B4954" s="33"/>
      <c r="C4954" s="31"/>
      <c r="D4954" s="31"/>
      <c r="E4954" s="198"/>
      <c r="F4954" s="200"/>
      <c r="G4954" s="75"/>
      <c r="H4954" s="31"/>
    </row>
    <row r="4955" spans="2:8" hidden="1">
      <c r="B4955" s="33"/>
      <c r="C4955" s="30"/>
      <c r="D4955" s="30"/>
      <c r="E4955" s="30"/>
      <c r="F4955" s="200"/>
      <c r="G4955" s="75"/>
      <c r="H4955" s="31"/>
    </row>
    <row r="4956" spans="2:8" hidden="1">
      <c r="B4956" s="33"/>
      <c r="C4956" s="31"/>
      <c r="D4956" s="31"/>
      <c r="E4956" s="31"/>
      <c r="F4956" s="31"/>
      <c r="G4956" s="31"/>
      <c r="H4956" s="31"/>
    </row>
    <row r="4957" spans="2:8" hidden="1">
      <c r="B4957" s="76"/>
      <c r="C4957" s="31"/>
      <c r="D4957" s="31"/>
      <c r="E4957" s="31"/>
      <c r="F4957" s="31"/>
      <c r="G4957" s="31"/>
      <c r="H4957" s="31"/>
    </row>
    <row r="4958" spans="2:8" hidden="1">
      <c r="B4958" s="33"/>
      <c r="C4958" s="33"/>
      <c r="D4958" s="33"/>
      <c r="E4958" s="33"/>
      <c r="F4958" s="33"/>
      <c r="G4958" s="33"/>
      <c r="H4958" s="31"/>
    </row>
    <row r="4959" spans="2:8" hidden="1">
      <c r="B4959" s="33"/>
      <c r="C4959" s="31"/>
      <c r="D4959" s="33"/>
      <c r="E4959" s="33"/>
      <c r="F4959" s="33"/>
      <c r="G4959" s="33"/>
      <c r="H4959" s="31"/>
    </row>
    <row r="4960" spans="2:8" hidden="1">
      <c r="B4960" s="405"/>
      <c r="C4960" s="76"/>
      <c r="D4960" s="731"/>
      <c r="E4960" s="75"/>
      <c r="F4960" s="75"/>
      <c r="G4960" s="75"/>
      <c r="H4960" s="31"/>
    </row>
    <row r="4961" spans="2:8" hidden="1">
      <c r="B4961" s="405"/>
      <c r="C4961" s="76"/>
      <c r="D4961" s="731"/>
      <c r="E4961" s="75"/>
      <c r="F4961" s="75"/>
      <c r="G4961" s="75"/>
      <c r="H4961" s="31"/>
    </row>
    <row r="4962" spans="2:8" hidden="1">
      <c r="B4962" s="405"/>
      <c r="C4962" s="76"/>
      <c r="D4962" s="731"/>
      <c r="E4962" s="75"/>
      <c r="F4962" s="75"/>
      <c r="G4962" s="75"/>
      <c r="H4962" s="31"/>
    </row>
    <row r="4963" spans="2:8" hidden="1">
      <c r="B4963" s="405"/>
      <c r="C4963" s="76"/>
      <c r="D4963" s="731"/>
      <c r="E4963" s="75"/>
      <c r="F4963" s="75"/>
      <c r="G4963" s="75"/>
      <c r="H4963" s="31"/>
    </row>
    <row r="4964" spans="2:8" hidden="1">
      <c r="B4964" s="405"/>
      <c r="C4964" s="76"/>
      <c r="D4964" s="731"/>
      <c r="E4964" s="75"/>
      <c r="F4964" s="75"/>
      <c r="G4964" s="75"/>
      <c r="H4964" s="31"/>
    </row>
    <row r="4965" spans="2:8" hidden="1">
      <c r="B4965" s="405"/>
      <c r="C4965" s="76"/>
      <c r="D4965" s="731"/>
      <c r="E4965" s="75"/>
      <c r="F4965" s="75"/>
      <c r="G4965" s="75"/>
      <c r="H4965" s="31"/>
    </row>
    <row r="4966" spans="2:8" hidden="1">
      <c r="B4966" s="405"/>
      <c r="C4966" s="76"/>
      <c r="D4966" s="731"/>
      <c r="E4966" s="75"/>
      <c r="F4966" s="75"/>
      <c r="G4966" s="75"/>
      <c r="H4966" s="31"/>
    </row>
    <row r="4967" spans="2:8" hidden="1">
      <c r="B4967" s="405"/>
      <c r="C4967" s="76"/>
      <c r="D4967" s="731"/>
      <c r="E4967" s="75"/>
      <c r="F4967" s="75"/>
      <c r="G4967" s="75"/>
      <c r="H4967" s="31"/>
    </row>
    <row r="4968" spans="2:8" hidden="1">
      <c r="B4968" s="405"/>
      <c r="C4968" s="76"/>
      <c r="D4968" s="731"/>
      <c r="E4968" s="75"/>
      <c r="F4968" s="75"/>
      <c r="G4968" s="75"/>
      <c r="H4968" s="31"/>
    </row>
    <row r="4969" spans="2:8" hidden="1">
      <c r="B4969" s="30"/>
      <c r="C4969" s="76"/>
      <c r="D4969" s="731"/>
      <c r="E4969" s="75"/>
      <c r="F4969" s="75"/>
      <c r="G4969" s="75"/>
      <c r="H4969" s="31"/>
    </row>
    <row r="4970" spans="2:8" hidden="1">
      <c r="B4970" s="30"/>
      <c r="C4970" s="76"/>
      <c r="D4970" s="731"/>
      <c r="E4970" s="75"/>
      <c r="F4970" s="75"/>
      <c r="G4970" s="75"/>
      <c r="H4970" s="31"/>
    </row>
    <row r="4971" spans="2:8" hidden="1">
      <c r="B4971" s="33"/>
      <c r="C4971" s="31"/>
      <c r="D4971" s="31"/>
      <c r="E4971" s="200"/>
      <c r="F4971" s="200"/>
      <c r="G4971" s="75"/>
      <c r="H4971" s="31"/>
    </row>
    <row r="4972" spans="2:8" hidden="1">
      <c r="B4972" s="33"/>
      <c r="C4972" s="31"/>
      <c r="D4972" s="31"/>
      <c r="E4972" s="198"/>
      <c r="F4972" s="200"/>
      <c r="G4972" s="75"/>
      <c r="H4972" s="31"/>
    </row>
    <row r="4973" spans="2:8" hidden="1">
      <c r="B4973" s="33"/>
      <c r="C4973" s="31"/>
      <c r="D4973" s="31"/>
      <c r="E4973" s="198"/>
      <c r="F4973" s="200"/>
      <c r="G4973" s="75"/>
      <c r="H4973" s="31"/>
    </row>
    <row r="4974" spans="2:8" hidden="1">
      <c r="B4974" s="33"/>
      <c r="C4974" s="31"/>
      <c r="D4974" s="31"/>
      <c r="E4974" s="198"/>
      <c r="F4974" s="200"/>
      <c r="G4974" s="75"/>
      <c r="H4974" s="31"/>
    </row>
    <row r="4975" spans="2:8" hidden="1">
      <c r="B4975" s="33"/>
      <c r="C4975" s="31"/>
      <c r="D4975" s="31"/>
      <c r="E4975" s="198"/>
      <c r="F4975" s="200"/>
      <c r="G4975" s="75"/>
      <c r="H4975" s="31"/>
    </row>
    <row r="4976" spans="2:8" hidden="1">
      <c r="B4976" s="33"/>
      <c r="C4976" s="31"/>
      <c r="D4976" s="31"/>
      <c r="E4976" s="198"/>
      <c r="F4976" s="200"/>
      <c r="G4976" s="75"/>
      <c r="H4976" s="31"/>
    </row>
    <row r="4977" spans="2:8" hidden="1">
      <c r="B4977" s="33"/>
      <c r="C4977" s="200"/>
      <c r="D4977" s="30"/>
      <c r="E4977" s="30"/>
      <c r="F4977" s="200"/>
      <c r="G4977" s="75"/>
      <c r="H4977" s="31"/>
    </row>
    <row r="4978" spans="2:8" hidden="1">
      <c r="B4978" s="33"/>
      <c r="C4978" s="31"/>
      <c r="D4978" s="31"/>
      <c r="E4978" s="31"/>
      <c r="F4978" s="31"/>
      <c r="G4978" s="31"/>
      <c r="H4978" s="31"/>
    </row>
    <row r="4979" spans="2:8" hidden="1">
      <c r="B4979" s="33"/>
      <c r="C4979" s="31"/>
      <c r="D4979" s="31"/>
      <c r="E4979" s="31"/>
      <c r="F4979" s="31"/>
      <c r="G4979" s="31"/>
      <c r="H4979" s="31"/>
    </row>
    <row r="4980" spans="2:8" hidden="1">
      <c r="B4980" s="33"/>
      <c r="C4980" s="31"/>
      <c r="D4980" s="31"/>
      <c r="E4980" s="31"/>
      <c r="F4980" s="200"/>
      <c r="G4980" s="75"/>
      <c r="H4980" s="31"/>
    </row>
    <row r="4981" spans="2:8" hidden="1">
      <c r="B4981" s="33"/>
      <c r="C4981" s="31"/>
      <c r="D4981" s="31"/>
      <c r="E4981" s="31"/>
      <c r="F4981" s="200"/>
      <c r="G4981" s="75"/>
      <c r="H4981" s="31"/>
    </row>
    <row r="4982" spans="2:8" hidden="1">
      <c r="B4982" s="33"/>
      <c r="C4982" s="31"/>
      <c r="D4982" s="31"/>
      <c r="E4982" s="31"/>
      <c r="F4982" s="200"/>
      <c r="G4982" s="75"/>
      <c r="H4982" s="31"/>
    </row>
    <row r="4983" spans="2:8" hidden="1">
      <c r="B4983" s="33"/>
      <c r="C4983" s="31"/>
      <c r="D4983" s="31"/>
      <c r="E4983" s="200"/>
      <c r="F4983" s="200"/>
      <c r="G4983" s="75"/>
      <c r="H4983" s="31"/>
    </row>
    <row r="4984" spans="2:8" hidden="1">
      <c r="B4984" s="33"/>
      <c r="C4984" s="31"/>
      <c r="D4984" s="31"/>
      <c r="E4984" s="301"/>
      <c r="F4984" s="200"/>
      <c r="G4984" s="75"/>
      <c r="H4984" s="31"/>
    </row>
    <row r="4985" spans="2:8" hidden="1">
      <c r="B4985" s="33"/>
      <c r="C4985" s="31"/>
      <c r="D4985" s="31"/>
      <c r="E4985" s="767"/>
      <c r="F4985" s="200"/>
      <c r="G4985" s="75"/>
      <c r="H4985" s="31"/>
    </row>
    <row r="4986" spans="2:8" hidden="1">
      <c r="B4986" s="33"/>
      <c r="C4986" s="31"/>
      <c r="D4986" s="31"/>
      <c r="E4986" s="767"/>
      <c r="F4986" s="200"/>
      <c r="G4986" s="75"/>
      <c r="H4986" s="31"/>
    </row>
    <row r="4987" spans="2:8" hidden="1">
      <c r="B4987" s="33"/>
      <c r="C4987" s="31"/>
      <c r="D4987" s="31"/>
      <c r="E4987" s="767"/>
      <c r="F4987" s="200"/>
      <c r="G4987" s="75"/>
      <c r="H4987" s="31"/>
    </row>
    <row r="4988" spans="2:8" hidden="1">
      <c r="B4988" s="33"/>
      <c r="C4988" s="31"/>
      <c r="D4988" s="31"/>
      <c r="E4988" s="767"/>
      <c r="F4988" s="200"/>
      <c r="G4988" s="75"/>
      <c r="H4988" s="31"/>
    </row>
    <row r="4989" spans="2:8" hidden="1">
      <c r="B4989" s="33"/>
      <c r="C4989" s="31"/>
      <c r="D4989" s="75"/>
      <c r="E4989" s="767"/>
      <c r="F4989" s="200"/>
      <c r="G4989" s="75"/>
      <c r="H4989" s="31"/>
    </row>
    <row r="4990" spans="2:8" hidden="1">
      <c r="B4990" s="33"/>
      <c r="C4990" s="31"/>
      <c r="D4990" s="31"/>
      <c r="E4990" s="767"/>
      <c r="F4990" s="200"/>
      <c r="G4990" s="75"/>
      <c r="H4990" s="31"/>
    </row>
    <row r="4991" spans="2:8" hidden="1">
      <c r="B4991" s="33"/>
      <c r="C4991" s="31"/>
      <c r="D4991" s="31"/>
      <c r="E4991" s="200"/>
      <c r="F4991" s="200"/>
      <c r="G4991" s="75"/>
      <c r="H4991" s="31"/>
    </row>
    <row r="4992" spans="2:8" hidden="1">
      <c r="B4992" s="33"/>
      <c r="C4992" s="31"/>
      <c r="D4992" s="31"/>
      <c r="E4992" s="200"/>
      <c r="F4992" s="200"/>
      <c r="G4992" s="31"/>
      <c r="H4992" s="31"/>
    </row>
    <row r="4993" spans="2:8" hidden="1">
      <c r="B4993" s="33"/>
      <c r="C4993" s="31"/>
      <c r="D4993" s="75"/>
      <c r="E4993" s="76"/>
      <c r="F4993" s="200"/>
      <c r="G4993" s="75"/>
      <c r="H4993" s="31"/>
    </row>
    <row r="4994" spans="2:8" hidden="1">
      <c r="B4994" s="33"/>
      <c r="C4994" s="31"/>
      <c r="D4994" s="198"/>
      <c r="E4994" s="198"/>
      <c r="F4994" s="200"/>
      <c r="G4994" s="75"/>
      <c r="H4994" s="31"/>
    </row>
    <row r="4995" spans="2:8" hidden="1">
      <c r="B4995" s="33"/>
      <c r="C4995" s="31"/>
      <c r="D4995" s="768"/>
      <c r="E4995" s="31"/>
      <c r="F4995" s="200"/>
      <c r="G4995" s="75"/>
      <c r="H4995" s="31"/>
    </row>
    <row r="4996" spans="2:8" hidden="1">
      <c r="B4996" s="33"/>
      <c r="C4996" s="31"/>
      <c r="D4996" s="768"/>
      <c r="E4996" s="31"/>
      <c r="F4996" s="200"/>
      <c r="G4996" s="31"/>
      <c r="H4996" s="31"/>
    </row>
    <row r="4997" spans="2:8" hidden="1">
      <c r="B4997" s="33"/>
      <c r="C4997" s="31"/>
      <c r="D4997" s="200"/>
      <c r="E4997" s="31"/>
      <c r="F4997" s="200"/>
      <c r="G4997" s="75"/>
      <c r="H4997" s="31"/>
    </row>
    <row r="4998" spans="2:8" hidden="1">
      <c r="B4998" s="33"/>
      <c r="C4998" s="31"/>
      <c r="D4998" s="31"/>
      <c r="E4998" s="200"/>
      <c r="F4998" s="200"/>
      <c r="G4998" s="75"/>
      <c r="H4998" s="31"/>
    </row>
    <row r="4999" spans="2:8" hidden="1">
      <c r="B4999" s="33"/>
      <c r="C4999" s="31"/>
      <c r="D4999" s="31"/>
      <c r="E4999" s="31"/>
      <c r="F4999" s="31"/>
      <c r="G4999" s="31"/>
      <c r="H4999" s="31"/>
    </row>
    <row r="5000" spans="2:8" hidden="1">
      <c r="B5000" s="33"/>
      <c r="C5000" s="31"/>
      <c r="D5000" s="31"/>
      <c r="E5000" s="31"/>
      <c r="F5000" s="31"/>
      <c r="G5000" s="31"/>
      <c r="H5000" s="31"/>
    </row>
    <row r="5001" spans="2:8" hidden="1">
      <c r="B5001" s="33"/>
      <c r="C5001" s="31"/>
      <c r="D5001" s="31"/>
      <c r="E5001" s="31"/>
      <c r="F5001" s="31"/>
      <c r="G5001" s="31"/>
      <c r="H5001" s="31"/>
    </row>
    <row r="5002" spans="2:8" hidden="1">
      <c r="B5002" s="33"/>
      <c r="C5002" s="31"/>
      <c r="D5002" s="33"/>
      <c r="E5002" s="31"/>
      <c r="F5002" s="200"/>
      <c r="G5002" s="76"/>
      <c r="H5002" s="31"/>
    </row>
    <row r="5003" spans="2:8" hidden="1">
      <c r="B5003" s="33"/>
      <c r="C5003" s="31"/>
      <c r="D5003" s="31"/>
      <c r="E5003" s="31"/>
      <c r="F5003" s="31"/>
      <c r="G5003" s="31"/>
      <c r="H5003" s="31"/>
    </row>
    <row r="5004" spans="2:8" hidden="1">
      <c r="B5004" s="33"/>
      <c r="C5004" s="31"/>
      <c r="D5004" s="31"/>
      <c r="E5004" s="31"/>
      <c r="F5004" s="31"/>
      <c r="G5004" s="31"/>
      <c r="H5004" s="31"/>
    </row>
    <row r="5005" spans="2:8" hidden="1">
      <c r="B5005" s="33"/>
      <c r="C5005" s="31"/>
      <c r="D5005" s="31"/>
      <c r="E5005" s="31"/>
      <c r="F5005" s="31"/>
      <c r="G5005" s="31"/>
      <c r="H5005" s="31"/>
    </row>
    <row r="5006" spans="2:8" hidden="1">
      <c r="B5006" s="33"/>
      <c r="C5006" s="31"/>
      <c r="D5006" s="31"/>
      <c r="E5006" s="31"/>
      <c r="F5006" s="31"/>
      <c r="G5006" s="31"/>
      <c r="H5006" s="31"/>
    </row>
    <row r="5007" spans="2:8" hidden="1">
      <c r="B5007" s="33"/>
      <c r="C5007" s="31"/>
      <c r="D5007" s="31"/>
      <c r="E5007" s="31"/>
      <c r="F5007" s="31"/>
      <c r="G5007" s="31"/>
      <c r="H5007" s="31"/>
    </row>
    <row r="5008" spans="2:8" hidden="1">
      <c r="B5008" s="33"/>
      <c r="C5008" s="31"/>
      <c r="D5008" s="31"/>
      <c r="E5008" s="31"/>
      <c r="F5008" s="31"/>
      <c r="G5008" s="31"/>
      <c r="H5008" s="31"/>
    </row>
    <row r="5009" spans="2:8" hidden="1">
      <c r="B5009" s="33"/>
      <c r="C5009" s="31"/>
      <c r="D5009" s="31"/>
      <c r="E5009" s="31"/>
      <c r="F5009" s="31"/>
      <c r="G5009" s="31"/>
      <c r="H5009" s="31"/>
    </row>
    <row r="5010" spans="2:8" hidden="1">
      <c r="B5010" s="33"/>
      <c r="C5010" s="31"/>
      <c r="D5010" s="31"/>
      <c r="E5010" s="31"/>
      <c r="F5010" s="31"/>
      <c r="G5010" s="31"/>
      <c r="H5010" s="31"/>
    </row>
    <row r="5011" spans="2:8" hidden="1">
      <c r="B5011" s="33"/>
      <c r="C5011" s="31"/>
      <c r="D5011" s="31"/>
      <c r="E5011" s="31"/>
      <c r="F5011" s="31"/>
      <c r="G5011" s="31"/>
      <c r="H5011" s="31"/>
    </row>
    <row r="5012" spans="2:8" hidden="1">
      <c r="B5012" s="33"/>
      <c r="C5012" s="31"/>
      <c r="D5012" s="31"/>
      <c r="E5012" s="31"/>
      <c r="F5012" s="31"/>
      <c r="G5012" s="31"/>
      <c r="H5012" s="31"/>
    </row>
    <row r="5013" spans="2:8" hidden="1">
      <c r="B5013" s="33"/>
      <c r="C5013" s="31"/>
      <c r="D5013" s="31"/>
      <c r="E5013" s="31"/>
      <c r="F5013" s="31"/>
      <c r="G5013" s="31"/>
      <c r="H5013" s="31"/>
    </row>
    <row r="5014" spans="2:8" hidden="1">
      <c r="B5014" s="33"/>
      <c r="C5014" s="31"/>
      <c r="D5014" s="31"/>
      <c r="E5014" s="31"/>
      <c r="F5014" s="31"/>
      <c r="G5014" s="31"/>
      <c r="H5014" s="31"/>
    </row>
    <row r="5015" spans="2:8" hidden="1">
      <c r="B5015" s="33"/>
      <c r="C5015" s="31"/>
      <c r="D5015" s="31"/>
      <c r="E5015" s="31"/>
      <c r="F5015" s="31"/>
      <c r="G5015" s="31"/>
      <c r="H5015" s="31"/>
    </row>
    <row r="5016" spans="2:8" hidden="1">
      <c r="B5016" s="33"/>
      <c r="C5016" s="31"/>
      <c r="D5016" s="31"/>
      <c r="E5016" s="31"/>
      <c r="F5016" s="31"/>
      <c r="G5016" s="31"/>
      <c r="H5016" s="31"/>
    </row>
    <row r="5017" spans="2:8" hidden="1">
      <c r="B5017" s="33"/>
      <c r="C5017" s="31"/>
      <c r="D5017" s="31"/>
      <c r="E5017" s="31"/>
      <c r="F5017" s="31"/>
      <c r="G5017" s="31"/>
      <c r="H5017" s="31"/>
    </row>
    <row r="5018" spans="2:8" hidden="1">
      <c r="B5018" s="33"/>
      <c r="C5018" s="31"/>
      <c r="D5018" s="31"/>
      <c r="E5018" s="31"/>
      <c r="F5018" s="31"/>
      <c r="G5018" s="31"/>
      <c r="H5018" s="31"/>
    </row>
    <row r="5019" spans="2:8" hidden="1">
      <c r="B5019" s="33"/>
      <c r="C5019" s="31"/>
      <c r="D5019" s="31"/>
      <c r="E5019" s="31"/>
      <c r="F5019" s="31"/>
      <c r="G5019" s="31"/>
      <c r="H5019" s="31"/>
    </row>
    <row r="5020" spans="2:8" hidden="1">
      <c r="B5020" s="33"/>
      <c r="C5020" s="31"/>
      <c r="D5020" s="31"/>
      <c r="E5020" s="31"/>
      <c r="F5020" s="31"/>
      <c r="G5020" s="31"/>
      <c r="H5020" s="31"/>
    </row>
    <row r="5021" spans="2:8" hidden="1">
      <c r="B5021" s="33"/>
      <c r="C5021" s="31"/>
      <c r="D5021" s="31"/>
      <c r="E5021" s="31"/>
      <c r="F5021" s="31"/>
      <c r="G5021" s="31"/>
      <c r="H5021" s="31"/>
    </row>
    <row r="5022" spans="2:8" hidden="1">
      <c r="B5022" s="33"/>
      <c r="C5022" s="31"/>
      <c r="D5022" s="31"/>
      <c r="E5022" s="31"/>
      <c r="F5022" s="691"/>
      <c r="G5022" s="31"/>
      <c r="H5022" s="31"/>
    </row>
    <row r="5023" spans="2:8" hidden="1">
      <c r="B5023" s="33"/>
      <c r="C5023" s="31"/>
      <c r="D5023" s="31"/>
      <c r="E5023" s="31"/>
      <c r="F5023" s="691"/>
      <c r="G5023" s="31"/>
      <c r="H5023" s="31"/>
    </row>
    <row r="5024" spans="2:8" hidden="1">
      <c r="B5024" s="33"/>
      <c r="C5024" s="31"/>
      <c r="D5024" s="31"/>
      <c r="E5024" s="31"/>
      <c r="F5024" s="691"/>
      <c r="G5024" s="31"/>
      <c r="H5024" s="31"/>
    </row>
    <row r="5025" spans="2:8" hidden="1">
      <c r="B5025" s="33"/>
      <c r="C5025" s="31"/>
      <c r="D5025" s="31"/>
      <c r="E5025" s="31"/>
      <c r="F5025" s="691"/>
      <c r="G5025" s="31"/>
      <c r="H5025" s="31"/>
    </row>
    <row r="5026" spans="2:8" hidden="1">
      <c r="B5026" s="33"/>
      <c r="C5026" s="31"/>
      <c r="D5026" s="31"/>
      <c r="E5026" s="31"/>
      <c r="F5026" s="691"/>
      <c r="G5026" s="31"/>
      <c r="H5026" s="31"/>
    </row>
    <row r="5027" spans="2:8" hidden="1">
      <c r="B5027" s="33"/>
      <c r="C5027" s="31"/>
      <c r="D5027" s="31"/>
      <c r="E5027" s="31"/>
      <c r="F5027" s="691"/>
      <c r="G5027" s="31"/>
      <c r="H5027" s="31"/>
    </row>
    <row r="5028" spans="2:8" hidden="1">
      <c r="B5028" s="33"/>
      <c r="C5028" s="31"/>
      <c r="D5028" s="31"/>
      <c r="E5028" s="31"/>
      <c r="F5028" s="691"/>
      <c r="G5028" s="31"/>
      <c r="H5028" s="31"/>
    </row>
    <row r="5029" spans="2:8" hidden="1">
      <c r="B5029" s="33"/>
      <c r="C5029" s="31"/>
      <c r="D5029" s="31"/>
      <c r="E5029" s="31"/>
      <c r="F5029" s="691"/>
      <c r="G5029" s="31"/>
      <c r="H5029" s="31"/>
    </row>
    <row r="5030" spans="2:8" hidden="1">
      <c r="B5030" s="33"/>
      <c r="C5030" s="31"/>
      <c r="D5030" s="31"/>
      <c r="E5030" s="31"/>
      <c r="F5030" s="691"/>
      <c r="G5030" s="31"/>
      <c r="H5030" s="31"/>
    </row>
    <row r="5031" spans="2:8" hidden="1">
      <c r="B5031" s="33"/>
      <c r="C5031" s="31"/>
      <c r="D5031" s="31"/>
      <c r="E5031" s="31"/>
      <c r="F5031" s="691"/>
      <c r="G5031" s="31"/>
      <c r="H5031" s="31"/>
    </row>
    <row r="5032" spans="2:8" hidden="1">
      <c r="B5032" s="33"/>
      <c r="C5032" s="31"/>
      <c r="D5032" s="31"/>
      <c r="E5032" s="31"/>
      <c r="F5032" s="691"/>
      <c r="G5032" s="31"/>
      <c r="H5032" s="31"/>
    </row>
    <row r="5033" spans="2:8" hidden="1">
      <c r="B5033" s="33"/>
      <c r="C5033" s="31"/>
      <c r="D5033" s="31"/>
      <c r="E5033" s="31"/>
      <c r="F5033" s="691"/>
      <c r="G5033" s="31"/>
      <c r="H5033" s="31"/>
    </row>
    <row r="5034" spans="2:8" hidden="1">
      <c r="B5034" s="33"/>
      <c r="C5034" s="31"/>
      <c r="D5034" s="31"/>
      <c r="E5034" s="31"/>
      <c r="F5034" s="691"/>
      <c r="G5034" s="31"/>
      <c r="H5034" s="31"/>
    </row>
    <row r="5035" spans="2:8" hidden="1">
      <c r="B5035" s="33"/>
      <c r="C5035" s="31"/>
      <c r="D5035" s="31"/>
      <c r="E5035" s="31"/>
      <c r="F5035" s="691"/>
      <c r="G5035" s="31"/>
      <c r="H5035" s="31"/>
    </row>
    <row r="5036" spans="2:8" hidden="1">
      <c r="B5036" s="33"/>
      <c r="C5036" s="31"/>
      <c r="D5036" s="31"/>
      <c r="E5036" s="31"/>
      <c r="F5036" s="691"/>
      <c r="G5036" s="31"/>
      <c r="H5036" s="31"/>
    </row>
    <row r="5037" spans="2:8" hidden="1">
      <c r="B5037" s="33"/>
      <c r="C5037" s="31"/>
      <c r="D5037" s="31"/>
      <c r="E5037" s="31"/>
      <c r="F5037" s="691"/>
      <c r="G5037" s="31"/>
      <c r="H5037" s="31"/>
    </row>
    <row r="5038" spans="2:8" hidden="1">
      <c r="B5038" s="33"/>
      <c r="C5038" s="31"/>
      <c r="D5038" s="31"/>
      <c r="E5038" s="31"/>
      <c r="F5038" s="691"/>
      <c r="G5038" s="31"/>
      <c r="H5038" s="31"/>
    </row>
    <row r="5039" spans="2:8" hidden="1">
      <c r="B5039" s="33"/>
      <c r="C5039" s="31"/>
      <c r="D5039" s="31"/>
      <c r="E5039" s="31"/>
      <c r="F5039" s="691"/>
      <c r="G5039" s="31"/>
      <c r="H5039" s="31"/>
    </row>
    <row r="5040" spans="2:8" hidden="1">
      <c r="B5040" s="33"/>
      <c r="C5040" s="31"/>
      <c r="D5040" s="31"/>
      <c r="E5040" s="31"/>
      <c r="F5040" s="691"/>
      <c r="G5040" s="31"/>
      <c r="H5040" s="31"/>
    </row>
    <row r="5041" spans="2:8" hidden="1">
      <c r="B5041" s="33"/>
      <c r="C5041" s="31"/>
      <c r="D5041" s="31"/>
      <c r="E5041" s="200"/>
      <c r="F5041" s="691"/>
      <c r="G5041" s="31"/>
      <c r="H5041" s="31"/>
    </row>
    <row r="5042" spans="2:8" hidden="1">
      <c r="B5042" s="33"/>
      <c r="C5042" s="31"/>
      <c r="D5042" s="31"/>
      <c r="E5042" s="31"/>
      <c r="F5042" s="691"/>
      <c r="G5042" s="31"/>
      <c r="H5042" s="31"/>
    </row>
    <row r="5043" spans="2:8" hidden="1">
      <c r="B5043" s="33"/>
      <c r="C5043" s="31"/>
      <c r="D5043" s="31"/>
      <c r="E5043" s="31"/>
      <c r="F5043" s="691"/>
      <c r="G5043" s="31"/>
      <c r="H5043" s="31"/>
    </row>
    <row r="5044" spans="2:8" hidden="1">
      <c r="B5044" s="33"/>
      <c r="C5044" s="31"/>
      <c r="D5044" s="31"/>
      <c r="E5044" s="31"/>
      <c r="F5044" s="691"/>
      <c r="G5044" s="31"/>
      <c r="H5044" s="31"/>
    </row>
    <row r="5045" spans="2:8" hidden="1">
      <c r="B5045" s="33"/>
      <c r="C5045" s="31"/>
      <c r="D5045" s="31"/>
      <c r="E5045" s="31"/>
      <c r="F5045" s="691"/>
      <c r="G5045" s="31"/>
      <c r="H5045" s="31"/>
    </row>
    <row r="5046" spans="2:8" hidden="1">
      <c r="B5046" s="33"/>
      <c r="C5046" s="31"/>
      <c r="D5046" s="31"/>
      <c r="E5046" s="31"/>
      <c r="F5046" s="691"/>
      <c r="G5046" s="31"/>
      <c r="H5046" s="31"/>
    </row>
    <row r="5047" spans="2:8" hidden="1">
      <c r="B5047" s="33"/>
      <c r="C5047" s="31"/>
      <c r="D5047" s="31"/>
      <c r="E5047" s="31"/>
      <c r="F5047" s="691"/>
      <c r="G5047" s="31"/>
      <c r="H5047" s="31"/>
    </row>
    <row r="5048" spans="2:8" hidden="1">
      <c r="B5048" s="33"/>
      <c r="C5048" s="31"/>
      <c r="D5048" s="31"/>
      <c r="E5048" s="31"/>
      <c r="F5048" s="691"/>
      <c r="G5048" s="31"/>
      <c r="H5048" s="31"/>
    </row>
    <row r="5049" spans="2:8" hidden="1">
      <c r="B5049" s="33"/>
      <c r="C5049" s="31"/>
      <c r="D5049" s="31"/>
      <c r="E5049" s="31"/>
      <c r="F5049" s="691"/>
      <c r="G5049" s="31"/>
      <c r="H5049" s="31"/>
    </row>
    <row r="5050" spans="2:8" hidden="1">
      <c r="B5050" s="33"/>
      <c r="C5050" s="31"/>
      <c r="D5050" s="31"/>
      <c r="E5050" s="31"/>
      <c r="F5050" s="691"/>
      <c r="G5050" s="31"/>
      <c r="H5050" s="31"/>
    </row>
    <row r="5051" spans="2:8" hidden="1">
      <c r="B5051" s="33"/>
      <c r="C5051" s="31"/>
      <c r="D5051" s="31"/>
      <c r="E5051" s="31"/>
      <c r="F5051" s="691"/>
      <c r="G5051" s="31"/>
      <c r="H5051" s="31"/>
    </row>
    <row r="5052" spans="2:8" hidden="1">
      <c r="B5052" s="33"/>
      <c r="C5052" s="31"/>
      <c r="D5052" s="31"/>
      <c r="E5052" s="31"/>
      <c r="F5052" s="691"/>
      <c r="G5052" s="31"/>
      <c r="H5052" s="31"/>
    </row>
    <row r="5053" spans="2:8" hidden="1">
      <c r="B5053" s="33"/>
      <c r="C5053" s="31"/>
      <c r="D5053" s="31"/>
      <c r="E5053" s="31"/>
      <c r="F5053" s="691"/>
      <c r="G5053" s="31"/>
      <c r="H5053" s="31"/>
    </row>
    <row r="5054" spans="2:8" hidden="1">
      <c r="B5054" s="33"/>
      <c r="C5054" s="31"/>
      <c r="D5054" s="31"/>
      <c r="E5054" s="31"/>
      <c r="F5054" s="691"/>
      <c r="G5054" s="31"/>
      <c r="H5054" s="31"/>
    </row>
    <row r="5055" spans="2:8" hidden="1">
      <c r="B5055" s="33"/>
      <c r="C5055" s="31"/>
      <c r="D5055" s="31"/>
      <c r="E5055" s="31"/>
      <c r="F5055" s="691"/>
      <c r="G5055" s="31"/>
      <c r="H5055" s="31"/>
    </row>
    <row r="5056" spans="2:8" hidden="1">
      <c r="B5056" s="33"/>
      <c r="C5056" s="31"/>
      <c r="D5056" s="31"/>
      <c r="E5056" s="31"/>
      <c r="F5056" s="691"/>
      <c r="G5056" s="31"/>
      <c r="H5056" s="31"/>
    </row>
    <row r="5057" spans="2:8" hidden="1">
      <c r="B5057" s="33"/>
      <c r="C5057" s="31"/>
      <c r="D5057" s="31"/>
      <c r="E5057" s="200"/>
      <c r="F5057" s="691"/>
      <c r="G5057" s="31"/>
      <c r="H5057" s="31"/>
    </row>
    <row r="5058" spans="2:8" hidden="1">
      <c r="B5058" s="33"/>
      <c r="C5058" s="31"/>
      <c r="D5058" s="31"/>
      <c r="E5058" s="31"/>
      <c r="F5058" s="691"/>
      <c r="G5058" s="31"/>
      <c r="H5058" s="31"/>
    </row>
    <row r="5059" spans="2:8" hidden="1">
      <c r="B5059" s="33"/>
      <c r="C5059" s="31"/>
      <c r="D5059" s="31"/>
      <c r="E5059" s="31"/>
      <c r="F5059" s="691"/>
      <c r="G5059" s="31"/>
      <c r="H5059" s="31"/>
    </row>
    <row r="5060" spans="2:8" hidden="1">
      <c r="B5060" s="33"/>
      <c r="C5060" s="31"/>
      <c r="D5060" s="31"/>
      <c r="E5060" s="31"/>
      <c r="F5060" s="691"/>
      <c r="G5060" s="31"/>
      <c r="H5060" s="31"/>
    </row>
    <row r="5061" spans="2:8" hidden="1">
      <c r="B5061" s="33"/>
      <c r="C5061" s="31"/>
      <c r="D5061" s="31"/>
      <c r="E5061" s="31"/>
      <c r="F5061" s="691"/>
      <c r="G5061" s="31"/>
      <c r="H5061" s="31"/>
    </row>
    <row r="5062" spans="2:8" hidden="1">
      <c r="B5062" s="33"/>
      <c r="C5062" s="31"/>
      <c r="D5062" s="31"/>
      <c r="E5062" s="31"/>
      <c r="F5062" s="691"/>
      <c r="G5062" s="31"/>
      <c r="H5062" s="31"/>
    </row>
    <row r="5063" spans="2:8" hidden="1">
      <c r="B5063" s="33"/>
      <c r="C5063" s="31"/>
      <c r="D5063" s="31"/>
      <c r="E5063" s="31"/>
      <c r="F5063" s="691"/>
      <c r="G5063" s="31"/>
      <c r="H5063" s="31"/>
    </row>
    <row r="5064" spans="2:8" hidden="1">
      <c r="B5064" s="33"/>
      <c r="C5064" s="31"/>
      <c r="D5064" s="31"/>
      <c r="E5064" s="31"/>
      <c r="F5064" s="691"/>
      <c r="G5064" s="31"/>
      <c r="H5064" s="31"/>
    </row>
    <row r="5065" spans="2:8" hidden="1">
      <c r="B5065" s="33"/>
      <c r="C5065" s="31"/>
      <c r="D5065" s="31"/>
      <c r="E5065" s="31"/>
      <c r="F5065" s="691"/>
      <c r="G5065" s="31"/>
      <c r="H5065" s="31"/>
    </row>
    <row r="5066" spans="2:8" hidden="1">
      <c r="B5066" s="33"/>
      <c r="C5066" s="31"/>
      <c r="D5066" s="31"/>
      <c r="E5066" s="31"/>
      <c r="F5066" s="691"/>
      <c r="G5066" s="31"/>
      <c r="H5066" s="31"/>
    </row>
    <row r="5067" spans="2:8" hidden="1">
      <c r="B5067" s="33"/>
      <c r="C5067" s="31"/>
      <c r="D5067" s="31"/>
      <c r="E5067" s="31"/>
      <c r="F5067" s="691"/>
      <c r="G5067" s="31"/>
      <c r="H5067" s="31"/>
    </row>
    <row r="5068" spans="2:8" hidden="1">
      <c r="B5068" s="33"/>
      <c r="C5068" s="31"/>
      <c r="D5068" s="31"/>
      <c r="E5068" s="31"/>
      <c r="F5068" s="691"/>
      <c r="G5068" s="31"/>
      <c r="H5068" s="31"/>
    </row>
    <row r="5069" spans="2:8" hidden="1">
      <c r="B5069" s="33"/>
      <c r="C5069" s="31"/>
      <c r="D5069" s="31"/>
      <c r="E5069" s="31"/>
      <c r="F5069" s="691"/>
      <c r="G5069" s="31"/>
      <c r="H5069" s="31"/>
    </row>
    <row r="5070" spans="2:8" hidden="1">
      <c r="B5070" s="33"/>
      <c r="C5070" s="31"/>
      <c r="D5070" s="31"/>
      <c r="E5070" s="31"/>
      <c r="F5070" s="691"/>
      <c r="G5070" s="31"/>
      <c r="H5070" s="31"/>
    </row>
    <row r="5071" spans="2:8" hidden="1">
      <c r="B5071" s="33"/>
      <c r="C5071" s="31"/>
      <c r="D5071" s="31"/>
      <c r="E5071" s="31"/>
      <c r="F5071" s="691"/>
      <c r="G5071" s="31"/>
      <c r="H5071" s="31"/>
    </row>
    <row r="5072" spans="2:8" hidden="1">
      <c r="B5072" s="33"/>
      <c r="C5072" s="31"/>
      <c r="D5072" s="31"/>
      <c r="E5072" s="31"/>
      <c r="F5072" s="691"/>
      <c r="G5072" s="31"/>
      <c r="H5072" s="31"/>
    </row>
    <row r="5073" spans="2:8" hidden="1">
      <c r="B5073" s="33"/>
      <c r="C5073" s="31"/>
      <c r="D5073" s="31"/>
      <c r="E5073" s="31"/>
      <c r="F5073" s="31"/>
      <c r="G5073" s="31"/>
      <c r="H5073" s="31"/>
    </row>
    <row r="5074" spans="2:8" hidden="1">
      <c r="B5074" s="33"/>
      <c r="C5074" s="31"/>
      <c r="D5074" s="31"/>
      <c r="E5074" s="31"/>
      <c r="F5074" s="31"/>
      <c r="G5074" s="31"/>
      <c r="H5074" s="31"/>
    </row>
    <row r="5075" spans="2:8" hidden="1">
      <c r="B5075" s="33"/>
      <c r="C5075" s="31"/>
      <c r="D5075" s="31"/>
      <c r="E5075" s="31"/>
      <c r="F5075" s="31"/>
      <c r="G5075" s="31"/>
      <c r="H5075" s="31"/>
    </row>
    <row r="5076" spans="2:8" hidden="1">
      <c r="B5076" s="33"/>
      <c r="C5076" s="31"/>
      <c r="D5076" s="31"/>
      <c r="E5076" s="31"/>
      <c r="F5076" s="691"/>
      <c r="G5076" s="31"/>
      <c r="H5076" s="31"/>
    </row>
    <row r="5077" spans="2:8" hidden="1">
      <c r="B5077" s="33"/>
      <c r="C5077" s="31"/>
      <c r="D5077" s="31"/>
      <c r="E5077" s="31"/>
      <c r="F5077" s="31"/>
      <c r="G5077" s="31"/>
      <c r="H5077" s="31"/>
    </row>
    <row r="5078" spans="2:8" hidden="1">
      <c r="B5078" s="33"/>
      <c r="C5078" s="31"/>
      <c r="D5078" s="31"/>
      <c r="E5078" s="31"/>
      <c r="F5078" s="31"/>
      <c r="G5078" s="31"/>
      <c r="H5078" s="31"/>
    </row>
    <row r="5079" spans="2:8" hidden="1">
      <c r="B5079" s="33"/>
      <c r="C5079" s="31"/>
      <c r="D5079" s="31"/>
      <c r="E5079" s="31"/>
      <c r="F5079" s="31"/>
      <c r="G5079" s="31"/>
      <c r="H5079" s="31"/>
    </row>
    <row r="5080" spans="2:8" hidden="1">
      <c r="B5080" s="33"/>
      <c r="C5080" s="31"/>
      <c r="D5080" s="31"/>
      <c r="E5080" s="31"/>
      <c r="F5080" s="31"/>
      <c r="G5080" s="31"/>
      <c r="H5080" s="31"/>
    </row>
    <row r="5081" spans="2:8" hidden="1">
      <c r="B5081" s="33"/>
      <c r="C5081" s="31"/>
      <c r="D5081" s="31"/>
      <c r="E5081" s="31"/>
      <c r="F5081" s="31"/>
      <c r="G5081" s="31"/>
      <c r="H5081" s="31"/>
    </row>
    <row r="5082" spans="2:8" hidden="1">
      <c r="B5082" s="33"/>
      <c r="C5082" s="31"/>
      <c r="D5082" s="31"/>
      <c r="E5082" s="31"/>
      <c r="F5082" s="31"/>
      <c r="G5082" s="31"/>
      <c r="H5082" s="31"/>
    </row>
    <row r="5083" spans="2:8" hidden="1">
      <c r="B5083" s="33"/>
      <c r="C5083" s="31"/>
      <c r="D5083" s="31"/>
      <c r="E5083" s="31"/>
      <c r="F5083" s="31"/>
      <c r="G5083" s="31"/>
      <c r="H5083" s="31"/>
    </row>
    <row r="5084" spans="2:8" hidden="1">
      <c r="B5084" s="33"/>
      <c r="C5084" s="31"/>
      <c r="D5084" s="31"/>
      <c r="E5084" s="31"/>
      <c r="F5084" s="33"/>
      <c r="G5084" s="31"/>
      <c r="H5084" s="31"/>
    </row>
    <row r="5085" spans="2:8" hidden="1">
      <c r="B5085" s="33"/>
      <c r="C5085" s="31"/>
      <c r="D5085" s="33"/>
      <c r="E5085" s="33"/>
      <c r="F5085" s="33"/>
      <c r="G5085" s="33"/>
      <c r="H5085" s="31"/>
    </row>
    <row r="5086" spans="2:8" hidden="1">
      <c r="B5086" s="33"/>
      <c r="C5086" s="31"/>
      <c r="D5086" s="33"/>
      <c r="E5086" s="33"/>
      <c r="F5086" s="33"/>
      <c r="G5086" s="33"/>
      <c r="H5086" s="31"/>
    </row>
    <row r="5087" spans="2:8" hidden="1">
      <c r="B5087" s="33"/>
      <c r="C5087" s="31"/>
      <c r="D5087" s="33"/>
      <c r="E5087" s="33"/>
      <c r="F5087" s="33"/>
      <c r="G5087" s="33"/>
      <c r="H5087" s="31"/>
    </row>
    <row r="5088" spans="2:8" hidden="1">
      <c r="B5088" s="33"/>
      <c r="C5088" s="31"/>
      <c r="D5088" s="33"/>
      <c r="E5088" s="33"/>
      <c r="F5088" s="33"/>
      <c r="G5088" s="33"/>
      <c r="H5088" s="31"/>
    </row>
    <row r="5089" spans="2:8" hidden="1">
      <c r="B5089" s="33"/>
      <c r="C5089" s="31"/>
      <c r="D5089" s="33"/>
      <c r="E5089" s="33"/>
      <c r="F5089" s="33"/>
      <c r="G5089" s="33"/>
      <c r="H5089" s="31"/>
    </row>
    <row r="5090" spans="2:8" hidden="1">
      <c r="B5090" s="33"/>
      <c r="C5090" s="31"/>
      <c r="D5090" s="33"/>
      <c r="E5090" s="33"/>
      <c r="F5090" s="33"/>
      <c r="G5090" s="33"/>
      <c r="H5090" s="31"/>
    </row>
    <row r="5091" spans="2:8" hidden="1">
      <c r="B5091" s="33"/>
      <c r="C5091" s="33"/>
      <c r="D5091" s="33"/>
      <c r="E5091" s="33"/>
      <c r="F5091" s="33"/>
      <c r="G5091" s="33"/>
      <c r="H5091" s="31"/>
    </row>
    <row r="5092" spans="2:8" hidden="1">
      <c r="B5092" s="33"/>
      <c r="C5092" s="31"/>
      <c r="D5092" s="31"/>
      <c r="E5092" s="31"/>
      <c r="F5092" s="31"/>
      <c r="G5092" s="31"/>
      <c r="H5092" s="31"/>
    </row>
    <row r="5093" spans="2:8" hidden="1">
      <c r="B5093" s="33"/>
      <c r="C5093" s="31"/>
      <c r="D5093" s="31"/>
      <c r="E5093" s="31"/>
      <c r="F5093" s="31"/>
      <c r="G5093" s="31"/>
      <c r="H5093" s="31"/>
    </row>
    <row r="5094" spans="2:8" hidden="1">
      <c r="B5094" s="33"/>
      <c r="C5094" s="31"/>
      <c r="D5094" s="31"/>
      <c r="E5094" s="31"/>
      <c r="F5094" s="31"/>
      <c r="G5094" s="31"/>
      <c r="H5094" s="31"/>
    </row>
    <row r="5095" spans="2:8" hidden="1">
      <c r="B5095" s="33"/>
      <c r="C5095" s="31"/>
      <c r="D5095" s="31"/>
      <c r="E5095" s="31"/>
      <c r="F5095" s="31"/>
      <c r="G5095" s="31"/>
      <c r="H5095" s="31"/>
    </row>
    <row r="5096" spans="2:8" hidden="1">
      <c r="B5096" s="33"/>
      <c r="C5096" s="31"/>
      <c r="D5096" s="31"/>
      <c r="E5096" s="31"/>
      <c r="F5096" s="31"/>
      <c r="G5096" s="31"/>
      <c r="H5096" s="31"/>
    </row>
    <row r="5097" spans="2:8" hidden="1">
      <c r="B5097" s="33"/>
      <c r="C5097" s="31"/>
      <c r="D5097" s="31"/>
      <c r="E5097" s="31"/>
      <c r="F5097" s="31"/>
      <c r="G5097" s="31"/>
      <c r="H5097" s="31"/>
    </row>
    <row r="5098" spans="2:8" hidden="1">
      <c r="B5098" s="33"/>
      <c r="C5098" s="31"/>
      <c r="D5098" s="31"/>
      <c r="E5098" s="31"/>
      <c r="F5098" s="31"/>
      <c r="G5098" s="31"/>
      <c r="H5098" s="31"/>
    </row>
    <row r="5099" spans="2:8" hidden="1">
      <c r="B5099" s="33"/>
      <c r="C5099" s="31"/>
      <c r="D5099" s="31"/>
      <c r="E5099" s="31"/>
      <c r="F5099" s="31"/>
      <c r="G5099" s="31"/>
      <c r="H5099" s="31"/>
    </row>
    <row r="5100" spans="2:8" hidden="1">
      <c r="B5100" s="33"/>
      <c r="C5100" s="31"/>
      <c r="D5100" s="31"/>
      <c r="E5100" s="31"/>
      <c r="F5100" s="31"/>
      <c r="G5100" s="31"/>
      <c r="H5100" s="31"/>
    </row>
    <row r="5101" spans="2:8" hidden="1">
      <c r="B5101" s="33"/>
      <c r="C5101" s="31"/>
      <c r="D5101" s="31"/>
      <c r="E5101" s="31"/>
      <c r="F5101" s="31"/>
      <c r="G5101" s="31"/>
      <c r="H5101" s="31"/>
    </row>
    <row r="5102" spans="2:8" hidden="1">
      <c r="B5102" s="33"/>
      <c r="C5102" s="31"/>
      <c r="D5102" s="31"/>
      <c r="E5102" s="31"/>
      <c r="F5102" s="31"/>
      <c r="G5102" s="31"/>
      <c r="H5102" s="31"/>
    </row>
    <row r="5103" spans="2:8" hidden="1">
      <c r="B5103" s="33"/>
      <c r="C5103" s="31"/>
      <c r="D5103" s="31"/>
      <c r="E5103" s="31"/>
      <c r="F5103" s="31"/>
      <c r="G5103" s="31"/>
      <c r="H5103" s="31"/>
    </row>
    <row r="5104" spans="2:8" hidden="1">
      <c r="B5104" s="33"/>
      <c r="C5104" s="31"/>
      <c r="D5104" s="75"/>
      <c r="E5104" s="31"/>
      <c r="F5104" s="405"/>
      <c r="G5104" s="75"/>
      <c r="H5104" s="31"/>
    </row>
    <row r="5105" spans="2:8" hidden="1">
      <c r="B5105" s="33"/>
      <c r="C5105" s="31"/>
      <c r="D5105" s="31"/>
      <c r="E5105" s="31"/>
      <c r="F5105" s="691"/>
      <c r="G5105" s="732"/>
      <c r="H5105" s="31"/>
    </row>
    <row r="5106" spans="2:8" hidden="1">
      <c r="B5106" s="33"/>
      <c r="C5106" s="31"/>
      <c r="D5106" s="31"/>
      <c r="E5106" s="31"/>
      <c r="F5106" s="405"/>
      <c r="G5106" s="75"/>
      <c r="H5106" s="31"/>
    </row>
    <row r="5107" spans="2:8" hidden="1">
      <c r="B5107" s="33"/>
      <c r="C5107" s="31"/>
      <c r="D5107" s="75"/>
      <c r="E5107" s="31"/>
      <c r="F5107" s="405"/>
      <c r="G5107" s="75"/>
      <c r="H5107" s="31"/>
    </row>
    <row r="5108" spans="2:8" hidden="1">
      <c r="B5108" s="33"/>
      <c r="C5108" s="31"/>
      <c r="D5108" s="31"/>
      <c r="E5108" s="31"/>
      <c r="F5108" s="691"/>
      <c r="G5108" s="31"/>
      <c r="H5108" s="31"/>
    </row>
    <row r="5109" spans="2:8" hidden="1">
      <c r="B5109" s="33"/>
      <c r="C5109" s="31"/>
      <c r="D5109" s="31"/>
      <c r="E5109" s="31"/>
      <c r="F5109" s="405"/>
      <c r="G5109" s="75"/>
      <c r="H5109" s="31"/>
    </row>
    <row r="5110" spans="2:8" hidden="1">
      <c r="B5110" s="33"/>
      <c r="C5110" s="31"/>
      <c r="D5110" s="31"/>
      <c r="E5110" s="31"/>
      <c r="F5110" s="31"/>
      <c r="G5110" s="31"/>
      <c r="H5110" s="31"/>
    </row>
    <row r="5111" spans="2:8" hidden="1">
      <c r="B5111" s="33"/>
      <c r="C5111" s="200"/>
      <c r="D5111" s="31"/>
      <c r="E5111" s="200"/>
      <c r="F5111" s="769"/>
      <c r="G5111" s="31"/>
      <c r="H5111" s="31"/>
    </row>
    <row r="5112" spans="2:8" hidden="1">
      <c r="B5112" s="76"/>
      <c r="C5112" s="31"/>
      <c r="D5112" s="31"/>
      <c r="E5112" s="31"/>
      <c r="F5112" s="75"/>
      <c r="G5112" s="31"/>
      <c r="H5112" s="31"/>
    </row>
    <row r="5113" spans="2:8" hidden="1">
      <c r="B5113" s="33"/>
      <c r="C5113" s="33"/>
      <c r="D5113" s="33"/>
      <c r="E5113" s="33"/>
      <c r="F5113" s="33"/>
      <c r="G5113" s="33"/>
      <c r="H5113" s="31"/>
    </row>
    <row r="5114" spans="2:8" hidden="1">
      <c r="B5114" s="33"/>
      <c r="C5114" s="31"/>
      <c r="D5114" s="33"/>
      <c r="E5114" s="33"/>
      <c r="F5114" s="33"/>
      <c r="G5114" s="33"/>
      <c r="H5114" s="31"/>
    </row>
    <row r="5115" spans="2:8" hidden="1">
      <c r="B5115" s="405"/>
      <c r="C5115" s="76"/>
      <c r="D5115" s="731"/>
      <c r="E5115" s="75"/>
      <c r="F5115" s="75"/>
      <c r="G5115" s="75"/>
      <c r="H5115" s="31"/>
    </row>
    <row r="5116" spans="2:8" hidden="1">
      <c r="B5116" s="405"/>
      <c r="C5116" s="76"/>
      <c r="D5116" s="731"/>
      <c r="E5116" s="75"/>
      <c r="F5116" s="75"/>
      <c r="G5116" s="75"/>
      <c r="H5116" s="31"/>
    </row>
    <row r="5117" spans="2:8" hidden="1">
      <c r="B5117" s="405"/>
      <c r="C5117" s="76"/>
      <c r="D5117" s="731"/>
      <c r="E5117" s="75"/>
      <c r="F5117" s="75"/>
      <c r="G5117" s="75"/>
      <c r="H5117" s="31"/>
    </row>
    <row r="5118" spans="2:8" hidden="1">
      <c r="B5118" s="405"/>
      <c r="C5118" s="76"/>
      <c r="D5118" s="731"/>
      <c r="E5118" s="75"/>
      <c r="F5118" s="75"/>
      <c r="G5118" s="75"/>
      <c r="H5118" s="31"/>
    </row>
    <row r="5119" spans="2:8" hidden="1">
      <c r="B5119" s="405"/>
      <c r="C5119" s="76"/>
      <c r="D5119" s="731"/>
      <c r="E5119" s="75"/>
      <c r="F5119" s="75"/>
      <c r="G5119" s="75"/>
      <c r="H5119" s="31"/>
    </row>
    <row r="5120" spans="2:8" hidden="1">
      <c r="B5120" s="405"/>
      <c r="C5120" s="76"/>
      <c r="D5120" s="731"/>
      <c r="E5120" s="75"/>
      <c r="F5120" s="75"/>
      <c r="G5120" s="75"/>
      <c r="H5120" s="31"/>
    </row>
    <row r="5121" spans="2:8" hidden="1">
      <c r="B5121" s="405"/>
      <c r="C5121" s="76"/>
      <c r="D5121" s="731"/>
      <c r="E5121" s="75"/>
      <c r="F5121" s="75"/>
      <c r="G5121" s="75"/>
      <c r="H5121" s="31"/>
    </row>
    <row r="5122" spans="2:8" hidden="1">
      <c r="B5122" s="405"/>
      <c r="C5122" s="76"/>
      <c r="D5122" s="731"/>
      <c r="E5122" s="75"/>
      <c r="F5122" s="75"/>
      <c r="G5122" s="75"/>
      <c r="H5122" s="31"/>
    </row>
    <row r="5123" spans="2:8" hidden="1">
      <c r="B5123" s="405"/>
      <c r="C5123" s="76"/>
      <c r="D5123" s="731"/>
      <c r="E5123" s="75"/>
      <c r="F5123" s="75"/>
      <c r="G5123" s="75"/>
      <c r="H5123" s="31"/>
    </row>
    <row r="5124" spans="2:8" hidden="1">
      <c r="B5124" s="30"/>
      <c r="C5124" s="76"/>
      <c r="D5124" s="731"/>
      <c r="E5124" s="75"/>
      <c r="F5124" s="75"/>
      <c r="G5124" s="75"/>
      <c r="H5124" s="31"/>
    </row>
    <row r="5125" spans="2:8" hidden="1">
      <c r="B5125" s="30"/>
      <c r="C5125" s="76"/>
      <c r="D5125" s="731"/>
      <c r="E5125" s="75"/>
      <c r="F5125" s="75"/>
      <c r="G5125" s="75"/>
      <c r="H5125" s="31"/>
    </row>
    <row r="5126" spans="2:8" hidden="1">
      <c r="B5126" s="30"/>
      <c r="C5126" s="76"/>
      <c r="D5126" s="731"/>
      <c r="E5126" s="75"/>
      <c r="F5126" s="75"/>
      <c r="G5126" s="75"/>
      <c r="H5126" s="31"/>
    </row>
    <row r="5127" spans="2:8" hidden="1">
      <c r="B5127" s="30"/>
      <c r="C5127" s="76"/>
      <c r="D5127" s="731"/>
      <c r="E5127" s="75"/>
      <c r="F5127" s="75"/>
      <c r="G5127" s="75"/>
      <c r="H5127" s="31"/>
    </row>
    <row r="5128" spans="2:8" hidden="1">
      <c r="B5128" s="30"/>
      <c r="C5128" s="76"/>
      <c r="D5128" s="731"/>
      <c r="E5128" s="75"/>
      <c r="F5128" s="75"/>
      <c r="G5128" s="75"/>
      <c r="H5128" s="31"/>
    </row>
    <row r="5129" spans="2:8" hidden="1">
      <c r="B5129" s="30"/>
      <c r="C5129" s="76"/>
      <c r="D5129" s="731"/>
      <c r="E5129" s="75"/>
      <c r="F5129" s="75"/>
      <c r="G5129" s="75"/>
      <c r="H5129" s="31"/>
    </row>
    <row r="5130" spans="2:8" hidden="1">
      <c r="B5130" s="30"/>
      <c r="C5130" s="76"/>
      <c r="D5130" s="731"/>
      <c r="E5130" s="75"/>
      <c r="F5130" s="75"/>
      <c r="G5130" s="75"/>
      <c r="H5130" s="31"/>
    </row>
    <row r="5131" spans="2:8" hidden="1">
      <c r="B5131" s="33"/>
      <c r="C5131" s="31"/>
      <c r="D5131" s="31"/>
      <c r="E5131" s="200"/>
      <c r="F5131" s="200"/>
      <c r="G5131" s="75"/>
      <c r="H5131" s="31"/>
    </row>
    <row r="5132" spans="2:8" hidden="1">
      <c r="B5132" s="33"/>
      <c r="C5132" s="31"/>
      <c r="D5132" s="31"/>
      <c r="E5132" s="198"/>
      <c r="F5132" s="200"/>
      <c r="G5132" s="75"/>
      <c r="H5132" s="31"/>
    </row>
    <row r="5133" spans="2:8" hidden="1">
      <c r="B5133" s="33"/>
      <c r="C5133" s="31"/>
      <c r="D5133" s="31"/>
      <c r="E5133" s="198"/>
      <c r="F5133" s="200"/>
      <c r="G5133" s="75"/>
      <c r="H5133" s="31"/>
    </row>
    <row r="5134" spans="2:8" hidden="1">
      <c r="B5134" s="33"/>
      <c r="C5134" s="31"/>
      <c r="D5134" s="31"/>
      <c r="E5134" s="198"/>
      <c r="F5134" s="200"/>
      <c r="G5134" s="75"/>
      <c r="H5134" s="31"/>
    </row>
    <row r="5135" spans="2:8" hidden="1">
      <c r="B5135" s="33"/>
      <c r="C5135" s="200"/>
      <c r="D5135" s="30"/>
      <c r="E5135" s="30"/>
      <c r="F5135" s="200"/>
      <c r="G5135" s="75"/>
      <c r="H5135" s="31"/>
    </row>
    <row r="5136" spans="2:8" hidden="1">
      <c r="B5136" s="33"/>
      <c r="C5136" s="31"/>
      <c r="D5136" s="31"/>
      <c r="E5136" s="31"/>
      <c r="F5136" s="31"/>
      <c r="G5136" s="31"/>
      <c r="H5136" s="31"/>
    </row>
    <row r="5137" spans="2:8" hidden="1">
      <c r="B5137" s="76"/>
      <c r="C5137" s="31"/>
      <c r="D5137" s="31"/>
      <c r="E5137" s="31"/>
      <c r="F5137" s="31"/>
      <c r="G5137" s="31"/>
      <c r="H5137" s="31"/>
    </row>
    <row r="5138" spans="2:8" hidden="1">
      <c r="B5138" s="33"/>
      <c r="C5138" s="33"/>
      <c r="D5138" s="33"/>
      <c r="E5138" s="33"/>
      <c r="F5138" s="33"/>
      <c r="G5138" s="33"/>
      <c r="H5138" s="31"/>
    </row>
    <row r="5139" spans="2:8" hidden="1">
      <c r="B5139" s="33"/>
      <c r="C5139" s="31"/>
      <c r="D5139" s="33"/>
      <c r="E5139" s="33"/>
      <c r="F5139" s="33"/>
      <c r="G5139" s="33"/>
      <c r="H5139" s="31"/>
    </row>
    <row r="5140" spans="2:8" hidden="1">
      <c r="B5140" s="405"/>
      <c r="C5140" s="76"/>
      <c r="D5140" s="731"/>
      <c r="E5140" s="75"/>
      <c r="F5140" s="75"/>
      <c r="G5140" s="75"/>
      <c r="H5140" s="31"/>
    </row>
    <row r="5141" spans="2:8" hidden="1">
      <c r="B5141" s="405"/>
      <c r="C5141" s="76"/>
      <c r="D5141" s="731"/>
      <c r="E5141" s="75"/>
      <c r="F5141" s="75"/>
      <c r="G5141" s="75"/>
      <c r="H5141" s="31"/>
    </row>
    <row r="5142" spans="2:8" hidden="1">
      <c r="B5142" s="405"/>
      <c r="C5142" s="76"/>
      <c r="D5142" s="731"/>
      <c r="E5142" s="75"/>
      <c r="F5142" s="75"/>
      <c r="G5142" s="75"/>
      <c r="H5142" s="31"/>
    </row>
    <row r="5143" spans="2:8" hidden="1">
      <c r="B5143" s="405"/>
      <c r="C5143" s="76"/>
      <c r="D5143" s="731"/>
      <c r="E5143" s="75"/>
      <c r="F5143" s="75"/>
      <c r="G5143" s="75"/>
      <c r="H5143" s="31"/>
    </row>
    <row r="5144" spans="2:8" hidden="1">
      <c r="B5144" s="405"/>
      <c r="C5144" s="76"/>
      <c r="D5144" s="731"/>
      <c r="E5144" s="75"/>
      <c r="F5144" s="75"/>
      <c r="G5144" s="75"/>
      <c r="H5144" s="31"/>
    </row>
    <row r="5145" spans="2:8" hidden="1">
      <c r="B5145" s="405"/>
      <c r="C5145" s="76"/>
      <c r="D5145" s="731"/>
      <c r="E5145" s="75"/>
      <c r="F5145" s="75"/>
      <c r="G5145" s="75"/>
      <c r="H5145" s="31"/>
    </row>
    <row r="5146" spans="2:8" hidden="1">
      <c r="B5146" s="405"/>
      <c r="C5146" s="76"/>
      <c r="D5146" s="731"/>
      <c r="E5146" s="75"/>
      <c r="F5146" s="75"/>
      <c r="G5146" s="75"/>
      <c r="H5146" s="31"/>
    </row>
    <row r="5147" spans="2:8" hidden="1">
      <c r="B5147" s="405"/>
      <c r="C5147" s="76"/>
      <c r="D5147" s="731"/>
      <c r="E5147" s="75"/>
      <c r="F5147" s="75"/>
      <c r="G5147" s="75"/>
      <c r="H5147" s="31"/>
    </row>
    <row r="5148" spans="2:8" hidden="1">
      <c r="B5148" s="405"/>
      <c r="C5148" s="76"/>
      <c r="D5148" s="731"/>
      <c r="E5148" s="75"/>
      <c r="F5148" s="75"/>
      <c r="G5148" s="75"/>
      <c r="H5148" s="31"/>
    </row>
    <row r="5149" spans="2:8" hidden="1">
      <c r="B5149" s="405"/>
      <c r="C5149" s="76"/>
      <c r="D5149" s="731"/>
      <c r="E5149" s="75"/>
      <c r="F5149" s="75"/>
      <c r="G5149" s="75"/>
      <c r="H5149" s="31"/>
    </row>
    <row r="5150" spans="2:8" hidden="1">
      <c r="B5150" s="405"/>
      <c r="C5150" s="76"/>
      <c r="D5150" s="731"/>
      <c r="E5150" s="75"/>
      <c r="F5150" s="75"/>
      <c r="G5150" s="75"/>
      <c r="H5150" s="31"/>
    </row>
    <row r="5151" spans="2:8" hidden="1">
      <c r="B5151" s="33"/>
      <c r="C5151" s="31"/>
      <c r="D5151" s="31"/>
      <c r="E5151" s="200"/>
      <c r="F5151" s="200"/>
      <c r="G5151" s="75"/>
      <c r="H5151" s="31"/>
    </row>
    <row r="5152" spans="2:8" hidden="1">
      <c r="B5152" s="33"/>
      <c r="C5152" s="31"/>
      <c r="D5152" s="31"/>
      <c r="E5152" s="198"/>
      <c r="F5152" s="200"/>
      <c r="G5152" s="75"/>
      <c r="H5152" s="31"/>
    </row>
    <row r="5153" spans="2:8" hidden="1">
      <c r="B5153" s="33"/>
      <c r="C5153" s="31"/>
      <c r="D5153" s="31"/>
      <c r="E5153" s="198"/>
      <c r="F5153" s="200"/>
      <c r="G5153" s="75"/>
      <c r="H5153" s="31"/>
    </row>
    <row r="5154" spans="2:8" hidden="1">
      <c r="B5154" s="33"/>
      <c r="C5154" s="31"/>
      <c r="D5154" s="31"/>
      <c r="E5154" s="198"/>
      <c r="F5154" s="200"/>
      <c r="G5154" s="75"/>
      <c r="H5154" s="31"/>
    </row>
    <row r="5155" spans="2:8" hidden="1">
      <c r="B5155" s="33"/>
      <c r="C5155" s="30"/>
      <c r="D5155" s="30"/>
      <c r="E5155" s="30"/>
      <c r="F5155" s="200"/>
      <c r="G5155" s="75"/>
      <c r="H5155" s="31"/>
    </row>
    <row r="5156" spans="2:8" hidden="1">
      <c r="B5156" s="33"/>
      <c r="C5156" s="31"/>
      <c r="D5156" s="31"/>
      <c r="E5156" s="31"/>
      <c r="F5156" s="31"/>
      <c r="G5156" s="31"/>
      <c r="H5156" s="31"/>
    </row>
    <row r="5157" spans="2:8" hidden="1">
      <c r="B5157" s="76"/>
      <c r="C5157" s="31"/>
      <c r="D5157" s="31"/>
      <c r="E5157" s="31"/>
      <c r="F5157" s="31"/>
      <c r="G5157" s="31"/>
      <c r="H5157" s="31"/>
    </row>
    <row r="5158" spans="2:8" hidden="1">
      <c r="B5158" s="33"/>
      <c r="C5158" s="33"/>
      <c r="D5158" s="33"/>
      <c r="E5158" s="33"/>
      <c r="F5158" s="33"/>
      <c r="G5158" s="33"/>
      <c r="H5158" s="31"/>
    </row>
    <row r="5159" spans="2:8" hidden="1">
      <c r="B5159" s="33"/>
      <c r="C5159" s="31"/>
      <c r="D5159" s="33"/>
      <c r="E5159" s="33"/>
      <c r="F5159" s="33"/>
      <c r="G5159" s="33"/>
      <c r="H5159" s="31"/>
    </row>
    <row r="5160" spans="2:8" hidden="1">
      <c r="B5160" s="405"/>
      <c r="C5160" s="76"/>
      <c r="D5160" s="731"/>
      <c r="E5160" s="75"/>
      <c r="F5160" s="75"/>
      <c r="G5160" s="75"/>
      <c r="H5160" s="31"/>
    </row>
    <row r="5161" spans="2:8" hidden="1">
      <c r="B5161" s="405"/>
      <c r="C5161" s="76"/>
      <c r="D5161" s="731"/>
      <c r="E5161" s="75"/>
      <c r="F5161" s="75"/>
      <c r="G5161" s="75"/>
      <c r="H5161" s="31"/>
    </row>
    <row r="5162" spans="2:8" hidden="1">
      <c r="B5162" s="405"/>
      <c r="C5162" s="76"/>
      <c r="D5162" s="731"/>
      <c r="E5162" s="75"/>
      <c r="F5162" s="75"/>
      <c r="G5162" s="75"/>
      <c r="H5162" s="31"/>
    </row>
    <row r="5163" spans="2:8" hidden="1">
      <c r="B5163" s="405"/>
      <c r="C5163" s="76"/>
      <c r="D5163" s="731"/>
      <c r="E5163" s="75"/>
      <c r="F5163" s="75"/>
      <c r="G5163" s="75"/>
      <c r="H5163" s="31"/>
    </row>
    <row r="5164" spans="2:8" hidden="1">
      <c r="B5164" s="405"/>
      <c r="C5164" s="76"/>
      <c r="D5164" s="731"/>
      <c r="E5164" s="75"/>
      <c r="F5164" s="75"/>
      <c r="G5164" s="75"/>
      <c r="H5164" s="31"/>
    </row>
    <row r="5165" spans="2:8" hidden="1">
      <c r="B5165" s="405"/>
      <c r="C5165" s="76"/>
      <c r="D5165" s="731"/>
      <c r="E5165" s="75"/>
      <c r="F5165" s="75"/>
      <c r="G5165" s="75"/>
      <c r="H5165" s="31"/>
    </row>
    <row r="5166" spans="2:8" hidden="1">
      <c r="B5166" s="405"/>
      <c r="C5166" s="76"/>
      <c r="D5166" s="731"/>
      <c r="E5166" s="75"/>
      <c r="F5166" s="75"/>
      <c r="G5166" s="75"/>
      <c r="H5166" s="31"/>
    </row>
    <row r="5167" spans="2:8" hidden="1">
      <c r="B5167" s="405"/>
      <c r="C5167" s="76"/>
      <c r="D5167" s="731"/>
      <c r="E5167" s="75"/>
      <c r="F5167" s="75"/>
      <c r="G5167" s="75"/>
      <c r="H5167" s="31"/>
    </row>
    <row r="5168" spans="2:8" hidden="1">
      <c r="B5168" s="405"/>
      <c r="C5168" s="76"/>
      <c r="D5168" s="731"/>
      <c r="E5168" s="75"/>
      <c r="F5168" s="75"/>
      <c r="G5168" s="75"/>
      <c r="H5168" s="31"/>
    </row>
    <row r="5169" spans="2:8" hidden="1">
      <c r="B5169" s="30"/>
      <c r="C5169" s="76"/>
      <c r="D5169" s="731"/>
      <c r="E5169" s="75"/>
      <c r="F5169" s="75"/>
      <c r="G5169" s="75"/>
      <c r="H5169" s="31"/>
    </row>
    <row r="5170" spans="2:8" hidden="1">
      <c r="B5170" s="30"/>
      <c r="C5170" s="76"/>
      <c r="D5170" s="731"/>
      <c r="E5170" s="75"/>
      <c r="F5170" s="75"/>
      <c r="G5170" s="75"/>
      <c r="H5170" s="31"/>
    </row>
    <row r="5171" spans="2:8" hidden="1">
      <c r="B5171" s="30"/>
      <c r="C5171" s="76"/>
      <c r="D5171" s="731"/>
      <c r="E5171" s="75"/>
      <c r="F5171" s="75"/>
      <c r="G5171" s="75"/>
      <c r="H5171" s="31"/>
    </row>
    <row r="5172" spans="2:8" hidden="1">
      <c r="B5172" s="33"/>
      <c r="C5172" s="31"/>
      <c r="D5172" s="31"/>
      <c r="E5172" s="200"/>
      <c r="F5172" s="200"/>
      <c r="G5172" s="75"/>
      <c r="H5172" s="31"/>
    </row>
    <row r="5173" spans="2:8" hidden="1">
      <c r="B5173" s="33"/>
      <c r="C5173" s="31"/>
      <c r="D5173" s="31"/>
      <c r="E5173" s="198"/>
      <c r="F5173" s="200"/>
      <c r="G5173" s="75"/>
      <c r="H5173" s="31"/>
    </row>
    <row r="5174" spans="2:8" hidden="1">
      <c r="B5174" s="33"/>
      <c r="C5174" s="31"/>
      <c r="D5174" s="31"/>
      <c r="E5174" s="198"/>
      <c r="F5174" s="200"/>
      <c r="G5174" s="75"/>
      <c r="H5174" s="31"/>
    </row>
    <row r="5175" spans="2:8" hidden="1">
      <c r="B5175" s="33"/>
      <c r="C5175" s="31"/>
      <c r="D5175" s="31"/>
      <c r="E5175" s="198"/>
      <c r="F5175" s="200"/>
      <c r="G5175" s="75"/>
      <c r="H5175" s="31"/>
    </row>
    <row r="5176" spans="2:8" hidden="1">
      <c r="B5176" s="33"/>
      <c r="C5176" s="31"/>
      <c r="D5176" s="31"/>
      <c r="E5176" s="198"/>
      <c r="F5176" s="200"/>
      <c r="G5176" s="75"/>
      <c r="H5176" s="31"/>
    </row>
    <row r="5177" spans="2:8" hidden="1">
      <c r="B5177" s="33"/>
      <c r="C5177" s="31"/>
      <c r="D5177" s="31"/>
      <c r="E5177" s="198"/>
      <c r="F5177" s="200"/>
      <c r="G5177" s="75"/>
      <c r="H5177" s="31"/>
    </row>
    <row r="5178" spans="2:8" hidden="1">
      <c r="B5178" s="33"/>
      <c r="C5178" s="200"/>
      <c r="D5178" s="30"/>
      <c r="E5178" s="30"/>
      <c r="F5178" s="200"/>
      <c r="G5178" s="75"/>
      <c r="H5178" s="31"/>
    </row>
    <row r="5179" spans="2:8" hidden="1">
      <c r="B5179" s="33"/>
      <c r="C5179" s="31"/>
      <c r="D5179" s="31"/>
      <c r="E5179" s="31"/>
      <c r="F5179" s="31"/>
      <c r="G5179" s="31"/>
      <c r="H5179" s="31"/>
    </row>
    <row r="5180" spans="2:8" hidden="1">
      <c r="B5180" s="33"/>
      <c r="C5180" s="31"/>
      <c r="D5180" s="31"/>
      <c r="E5180" s="31"/>
      <c r="F5180" s="31"/>
      <c r="G5180" s="31"/>
      <c r="H5180" s="31"/>
    </row>
    <row r="5181" spans="2:8" hidden="1">
      <c r="B5181" s="33"/>
      <c r="C5181" s="31"/>
      <c r="D5181" s="31"/>
      <c r="E5181" s="31"/>
      <c r="F5181" s="200"/>
      <c r="G5181" s="75"/>
      <c r="H5181" s="31"/>
    </row>
    <row r="5182" spans="2:8" hidden="1">
      <c r="B5182" s="33"/>
      <c r="C5182" s="31"/>
      <c r="D5182" s="31"/>
      <c r="E5182" s="31"/>
      <c r="F5182" s="200"/>
      <c r="G5182" s="75"/>
      <c r="H5182" s="31"/>
    </row>
    <row r="5183" spans="2:8" hidden="1">
      <c r="B5183" s="33"/>
      <c r="C5183" s="31"/>
      <c r="D5183" s="31"/>
      <c r="E5183" s="31"/>
      <c r="F5183" s="200"/>
      <c r="G5183" s="75"/>
      <c r="H5183" s="31"/>
    </row>
    <row r="5184" spans="2:8" hidden="1">
      <c r="B5184" s="33"/>
      <c r="C5184" s="31"/>
      <c r="D5184" s="31"/>
      <c r="E5184" s="200"/>
      <c r="F5184" s="200"/>
      <c r="G5184" s="75"/>
      <c r="H5184" s="31"/>
    </row>
    <row r="5185" spans="2:8" hidden="1">
      <c r="B5185" s="33"/>
      <c r="C5185" s="31"/>
      <c r="D5185" s="31"/>
      <c r="E5185" s="301"/>
      <c r="F5185" s="200"/>
      <c r="G5185" s="75"/>
      <c r="H5185" s="31"/>
    </row>
    <row r="5186" spans="2:8" hidden="1">
      <c r="B5186" s="33"/>
      <c r="C5186" s="31"/>
      <c r="D5186" s="31"/>
      <c r="E5186" s="767"/>
      <c r="F5186" s="200"/>
      <c r="G5186" s="75"/>
      <c r="H5186" s="31"/>
    </row>
    <row r="5187" spans="2:8" hidden="1">
      <c r="B5187" s="33"/>
      <c r="C5187" s="31"/>
      <c r="D5187" s="31"/>
      <c r="E5187" s="767"/>
      <c r="F5187" s="200"/>
      <c r="G5187" s="75"/>
      <c r="H5187" s="31"/>
    </row>
    <row r="5188" spans="2:8" hidden="1">
      <c r="B5188" s="33"/>
      <c r="C5188" s="31"/>
      <c r="D5188" s="31"/>
      <c r="E5188" s="767"/>
      <c r="F5188" s="200"/>
      <c r="G5188" s="75"/>
      <c r="H5188" s="31"/>
    </row>
    <row r="5189" spans="2:8" hidden="1">
      <c r="B5189" s="33"/>
      <c r="C5189" s="31"/>
      <c r="D5189" s="31"/>
      <c r="E5189" s="767"/>
      <c r="F5189" s="200"/>
      <c r="G5189" s="75"/>
      <c r="H5189" s="31"/>
    </row>
    <row r="5190" spans="2:8" hidden="1">
      <c r="B5190" s="33"/>
      <c r="C5190" s="31"/>
      <c r="D5190" s="75"/>
      <c r="E5190" s="767"/>
      <c r="F5190" s="200"/>
      <c r="G5190" s="75"/>
      <c r="H5190" s="31"/>
    </row>
    <row r="5191" spans="2:8" hidden="1">
      <c r="B5191" s="33"/>
      <c r="C5191" s="31"/>
      <c r="D5191" s="31"/>
      <c r="E5191" s="767"/>
      <c r="F5191" s="200"/>
      <c r="G5191" s="75"/>
      <c r="H5191" s="31"/>
    </row>
    <row r="5192" spans="2:8" hidden="1">
      <c r="B5192" s="33"/>
      <c r="C5192" s="31"/>
      <c r="D5192" s="31"/>
      <c r="E5192" s="200"/>
      <c r="F5192" s="200"/>
      <c r="G5192" s="75"/>
      <c r="H5192" s="31"/>
    </row>
    <row r="5193" spans="2:8" hidden="1">
      <c r="B5193" s="33"/>
      <c r="C5193" s="31"/>
      <c r="D5193" s="31"/>
      <c r="E5193" s="200"/>
      <c r="F5193" s="200"/>
      <c r="G5193" s="31"/>
      <c r="H5193" s="31"/>
    </row>
    <row r="5194" spans="2:8" hidden="1">
      <c r="B5194" s="33"/>
      <c r="C5194" s="31"/>
      <c r="D5194" s="75"/>
      <c r="E5194" s="76"/>
      <c r="F5194" s="200"/>
      <c r="G5194" s="75"/>
      <c r="H5194" s="31"/>
    </row>
    <row r="5195" spans="2:8" hidden="1">
      <c r="B5195" s="33"/>
      <c r="C5195" s="31"/>
      <c r="D5195" s="198"/>
      <c r="E5195" s="198"/>
      <c r="F5195" s="200"/>
      <c r="G5195" s="75"/>
      <c r="H5195" s="31"/>
    </row>
    <row r="5196" spans="2:8" hidden="1">
      <c r="B5196" s="33"/>
      <c r="C5196" s="31"/>
      <c r="D5196" s="768"/>
      <c r="E5196" s="31"/>
      <c r="F5196" s="200"/>
      <c r="G5196" s="75"/>
      <c r="H5196" s="31"/>
    </row>
    <row r="5197" spans="2:8" hidden="1">
      <c r="B5197" s="33"/>
      <c r="C5197" s="31"/>
      <c r="D5197" s="200"/>
      <c r="E5197" s="31"/>
      <c r="F5197" s="200"/>
      <c r="G5197" s="75"/>
      <c r="H5197" s="31"/>
    </row>
    <row r="5198" spans="2:8" hidden="1">
      <c r="B5198" s="33"/>
      <c r="C5198" s="31"/>
      <c r="D5198" s="31"/>
      <c r="E5198" s="31"/>
      <c r="F5198" s="31"/>
      <c r="G5198" s="31"/>
      <c r="H5198" s="31"/>
    </row>
    <row r="5199" spans="2:8" hidden="1">
      <c r="B5199" s="33"/>
      <c r="C5199" s="31"/>
      <c r="D5199" s="31"/>
      <c r="E5199" s="31"/>
      <c r="F5199" s="31"/>
      <c r="G5199" s="31"/>
      <c r="H5199" s="31"/>
    </row>
    <row r="5200" spans="2:8" hidden="1">
      <c r="B5200" s="33"/>
      <c r="C5200" s="31"/>
      <c r="D5200" s="33"/>
      <c r="E5200" s="31"/>
      <c r="F5200" s="200"/>
      <c r="G5200" s="76"/>
      <c r="H5200" s="31"/>
    </row>
    <row r="5201" spans="2:8" hidden="1">
      <c r="B5201" s="33"/>
      <c r="C5201" s="31"/>
      <c r="D5201" s="31"/>
      <c r="E5201" s="31"/>
      <c r="F5201" s="31"/>
      <c r="G5201" s="31"/>
      <c r="H5201" s="31"/>
    </row>
    <row r="5202" spans="2:8" hidden="1">
      <c r="B5202" s="33"/>
      <c r="C5202" s="31"/>
      <c r="D5202" s="31"/>
      <c r="E5202" s="31"/>
      <c r="F5202" s="31"/>
      <c r="G5202" s="31"/>
      <c r="H5202" s="31"/>
    </row>
    <row r="5203" spans="2:8" hidden="1">
      <c r="B5203" s="33"/>
      <c r="C5203" s="31"/>
      <c r="D5203" s="31"/>
      <c r="E5203" s="31"/>
      <c r="F5203" s="31"/>
      <c r="G5203" s="31"/>
      <c r="H5203" s="31"/>
    </row>
    <row r="5204" spans="2:8" hidden="1">
      <c r="B5204" s="33"/>
      <c r="C5204" s="31"/>
      <c r="D5204" s="31"/>
      <c r="E5204" s="31"/>
      <c r="F5204" s="31"/>
      <c r="G5204" s="31"/>
      <c r="H5204" s="31"/>
    </row>
    <row r="5205" spans="2:8" hidden="1">
      <c r="B5205" s="33"/>
      <c r="C5205" s="31"/>
      <c r="D5205" s="31"/>
      <c r="E5205" s="31"/>
      <c r="F5205" s="31"/>
      <c r="G5205" s="31"/>
      <c r="H5205" s="31"/>
    </row>
    <row r="5206" spans="2:8" hidden="1">
      <c r="B5206" s="33"/>
      <c r="C5206" s="31"/>
      <c r="D5206" s="31"/>
      <c r="E5206" s="31"/>
      <c r="F5206" s="31"/>
      <c r="G5206" s="31"/>
      <c r="H5206" s="31"/>
    </row>
    <row r="5207" spans="2:8" hidden="1">
      <c r="B5207" s="33"/>
      <c r="C5207" s="31"/>
      <c r="D5207" s="31"/>
      <c r="E5207" s="31"/>
      <c r="F5207" s="31"/>
      <c r="G5207" s="31"/>
      <c r="H5207" s="31"/>
    </row>
    <row r="5208" spans="2:8" hidden="1">
      <c r="B5208" s="33"/>
      <c r="C5208" s="31"/>
      <c r="D5208" s="31"/>
      <c r="E5208" s="31"/>
      <c r="F5208" s="31"/>
      <c r="G5208" s="31"/>
      <c r="H5208" s="31"/>
    </row>
    <row r="5209" spans="2:8" hidden="1">
      <c r="B5209" s="33"/>
      <c r="C5209" s="31"/>
      <c r="D5209" s="31"/>
      <c r="E5209" s="31"/>
      <c r="F5209" s="31"/>
      <c r="G5209" s="31"/>
      <c r="H5209" s="31"/>
    </row>
    <row r="5210" spans="2:8" hidden="1">
      <c r="B5210" s="33"/>
      <c r="C5210" s="31"/>
      <c r="D5210" s="31"/>
      <c r="E5210" s="31"/>
      <c r="F5210" s="31"/>
      <c r="G5210" s="31"/>
      <c r="H5210" s="31"/>
    </row>
    <row r="5211" spans="2:8" hidden="1">
      <c r="B5211" s="33"/>
      <c r="C5211" s="31"/>
      <c r="D5211" s="31"/>
      <c r="E5211" s="31"/>
      <c r="F5211" s="31"/>
      <c r="G5211" s="31"/>
      <c r="H5211" s="31"/>
    </row>
    <row r="5212" spans="2:8" hidden="1">
      <c r="B5212" s="33"/>
      <c r="C5212" s="31"/>
      <c r="D5212" s="31"/>
      <c r="E5212" s="31"/>
      <c r="F5212" s="31"/>
      <c r="G5212" s="31"/>
      <c r="H5212" s="31"/>
    </row>
    <row r="5213" spans="2:8" hidden="1">
      <c r="B5213" s="33"/>
      <c r="C5213" s="31"/>
      <c r="D5213" s="31"/>
      <c r="E5213" s="31"/>
      <c r="F5213" s="31"/>
      <c r="G5213" s="31"/>
      <c r="H5213" s="31"/>
    </row>
    <row r="5214" spans="2:8" hidden="1">
      <c r="B5214" s="33"/>
      <c r="C5214" s="31"/>
      <c r="D5214" s="31"/>
      <c r="E5214" s="31"/>
      <c r="F5214" s="31"/>
      <c r="G5214" s="31"/>
      <c r="H5214" s="31"/>
    </row>
    <row r="5215" spans="2:8" hidden="1">
      <c r="B5215" s="33"/>
      <c r="C5215" s="31"/>
      <c r="D5215" s="31"/>
      <c r="E5215" s="31"/>
      <c r="F5215" s="31"/>
      <c r="G5215" s="31"/>
      <c r="H5215" s="31"/>
    </row>
    <row r="5216" spans="2:8" hidden="1">
      <c r="B5216" s="33"/>
      <c r="C5216" s="31"/>
      <c r="D5216" s="31"/>
      <c r="E5216" s="31"/>
      <c r="F5216" s="31"/>
      <c r="G5216" s="31"/>
      <c r="H5216" s="31"/>
    </row>
    <row r="5217" spans="2:8" hidden="1">
      <c r="B5217" s="33"/>
      <c r="C5217" s="31"/>
      <c r="D5217" s="31"/>
      <c r="E5217" s="31"/>
      <c r="F5217" s="31"/>
      <c r="G5217" s="31"/>
      <c r="H5217" s="31"/>
    </row>
    <row r="5218" spans="2:8" hidden="1">
      <c r="B5218" s="33"/>
      <c r="C5218" s="31"/>
      <c r="D5218" s="31"/>
      <c r="E5218" s="31"/>
      <c r="F5218" s="31"/>
      <c r="G5218" s="31"/>
      <c r="H5218" s="31"/>
    </row>
    <row r="5219" spans="2:8" hidden="1">
      <c r="B5219" s="33"/>
      <c r="C5219" s="31"/>
      <c r="D5219" s="31"/>
      <c r="E5219" s="31"/>
      <c r="F5219" s="691"/>
      <c r="G5219" s="31"/>
      <c r="H5219" s="31"/>
    </row>
    <row r="5220" spans="2:8" hidden="1">
      <c r="B5220" s="33"/>
      <c r="C5220" s="31"/>
      <c r="D5220" s="31"/>
      <c r="E5220" s="31"/>
      <c r="F5220" s="691"/>
      <c r="G5220" s="31"/>
      <c r="H5220" s="31"/>
    </row>
    <row r="5221" spans="2:8" hidden="1">
      <c r="B5221" s="33"/>
      <c r="C5221" s="31"/>
      <c r="D5221" s="31"/>
      <c r="E5221" s="31"/>
      <c r="F5221" s="691"/>
      <c r="G5221" s="31"/>
      <c r="H5221" s="31"/>
    </row>
    <row r="5222" spans="2:8" hidden="1">
      <c r="B5222" s="33"/>
      <c r="C5222" s="31"/>
      <c r="D5222" s="31"/>
      <c r="E5222" s="31"/>
      <c r="F5222" s="31"/>
      <c r="G5222" s="31"/>
      <c r="H5222" s="31"/>
    </row>
    <row r="5223" spans="2:8" hidden="1">
      <c r="B5223" s="33"/>
      <c r="C5223" s="31"/>
      <c r="D5223" s="31"/>
      <c r="E5223" s="31"/>
      <c r="F5223" s="31"/>
      <c r="G5223" s="31"/>
      <c r="H5223" s="31"/>
    </row>
    <row r="5224" spans="2:8" hidden="1">
      <c r="B5224" s="200"/>
      <c r="C5224" s="31"/>
      <c r="D5224" s="31"/>
      <c r="E5224" s="31"/>
      <c r="F5224" s="31"/>
      <c r="G5224" s="31"/>
      <c r="H5224" s="31"/>
    </row>
    <row r="5225" spans="2:8" hidden="1">
      <c r="B5225" s="200"/>
      <c r="C5225" s="31"/>
      <c r="D5225" s="31"/>
      <c r="E5225" s="31"/>
      <c r="F5225" s="691"/>
      <c r="G5225" s="31"/>
      <c r="H5225" s="31"/>
    </row>
    <row r="5226" spans="2:8" hidden="1">
      <c r="B5226" s="200"/>
      <c r="C5226" s="31"/>
      <c r="D5226" s="31"/>
      <c r="E5226" s="31"/>
      <c r="F5226" s="691"/>
      <c r="G5226" s="31"/>
      <c r="H5226" s="31"/>
    </row>
    <row r="5227" spans="2:8" hidden="1">
      <c r="B5227" s="200"/>
      <c r="C5227" s="31"/>
      <c r="D5227" s="31"/>
      <c r="E5227" s="31"/>
      <c r="F5227" s="691"/>
      <c r="G5227" s="31"/>
      <c r="H5227" s="31"/>
    </row>
    <row r="5228" spans="2:8" hidden="1">
      <c r="B5228" s="200"/>
      <c r="C5228" s="31"/>
      <c r="D5228" s="31"/>
      <c r="E5228" s="31"/>
      <c r="F5228" s="691"/>
      <c r="G5228" s="31"/>
      <c r="H5228" s="31"/>
    </row>
    <row r="5229" spans="2:8" hidden="1">
      <c r="B5229" s="200"/>
      <c r="C5229" s="31"/>
      <c r="D5229" s="31"/>
      <c r="E5229" s="31"/>
      <c r="F5229" s="691"/>
      <c r="G5229" s="31"/>
      <c r="H5229" s="31"/>
    </row>
    <row r="5230" spans="2:8" hidden="1">
      <c r="B5230" s="200"/>
      <c r="C5230" s="31"/>
      <c r="D5230" s="31"/>
      <c r="E5230" s="31"/>
      <c r="F5230" s="691"/>
      <c r="G5230" s="31"/>
      <c r="H5230" s="31"/>
    </row>
    <row r="5231" spans="2:8" hidden="1">
      <c r="B5231" s="200"/>
      <c r="C5231" s="31"/>
      <c r="D5231" s="31"/>
      <c r="E5231" s="31"/>
      <c r="F5231" s="691"/>
      <c r="G5231" s="31"/>
      <c r="H5231" s="31"/>
    </row>
    <row r="5232" spans="2:8" hidden="1">
      <c r="B5232" s="200"/>
      <c r="C5232" s="31"/>
      <c r="D5232" s="31"/>
      <c r="E5232" s="31"/>
      <c r="F5232" s="691"/>
      <c r="G5232" s="31"/>
      <c r="H5232" s="31"/>
    </row>
    <row r="5233" spans="2:8" hidden="1">
      <c r="B5233" s="200"/>
      <c r="C5233" s="31"/>
      <c r="D5233" s="31"/>
      <c r="E5233" s="31"/>
      <c r="F5233" s="691"/>
      <c r="G5233" s="31"/>
      <c r="H5233" s="31"/>
    </row>
    <row r="5234" spans="2:8" hidden="1">
      <c r="B5234" s="200"/>
      <c r="C5234" s="31"/>
      <c r="D5234" s="31"/>
      <c r="E5234" s="31"/>
      <c r="F5234" s="691"/>
      <c r="G5234" s="31"/>
      <c r="H5234" s="31"/>
    </row>
    <row r="5235" spans="2:8" hidden="1">
      <c r="B5235" s="200"/>
      <c r="C5235" s="31"/>
      <c r="D5235" s="31"/>
      <c r="E5235" s="31"/>
      <c r="F5235" s="691"/>
      <c r="G5235" s="31"/>
      <c r="H5235" s="31"/>
    </row>
    <row r="5236" spans="2:8" hidden="1">
      <c r="B5236" s="200"/>
      <c r="C5236" s="31"/>
      <c r="D5236" s="31"/>
      <c r="E5236" s="31"/>
      <c r="F5236" s="691"/>
      <c r="G5236" s="31"/>
      <c r="H5236" s="31"/>
    </row>
    <row r="5237" spans="2:8" hidden="1">
      <c r="B5237" s="200"/>
      <c r="C5237" s="31"/>
      <c r="D5237" s="31"/>
      <c r="E5237" s="31"/>
      <c r="F5237" s="691"/>
      <c r="G5237" s="31"/>
      <c r="H5237" s="31"/>
    </row>
    <row r="5238" spans="2:8" hidden="1">
      <c r="B5238" s="200"/>
      <c r="C5238" s="31"/>
      <c r="D5238" s="31"/>
      <c r="E5238" s="31"/>
      <c r="F5238" s="691"/>
      <c r="G5238" s="771"/>
      <c r="H5238" s="31"/>
    </row>
    <row r="5239" spans="2:8" hidden="1">
      <c r="B5239" s="200"/>
      <c r="C5239" s="31"/>
      <c r="D5239" s="31"/>
      <c r="E5239" s="31"/>
      <c r="F5239" s="691"/>
      <c r="G5239" s="31"/>
      <c r="H5239" s="31"/>
    </row>
    <row r="5240" spans="2:8" hidden="1">
      <c r="B5240" s="200"/>
      <c r="C5240" s="31"/>
      <c r="D5240" s="31"/>
      <c r="E5240" s="31"/>
      <c r="F5240" s="691"/>
      <c r="G5240" s="31"/>
      <c r="H5240" s="31"/>
    </row>
    <row r="5241" spans="2:8" hidden="1">
      <c r="B5241" s="33"/>
      <c r="C5241" s="31"/>
      <c r="D5241" s="31"/>
      <c r="E5241" s="31"/>
      <c r="F5241" s="691"/>
      <c r="G5241" s="31"/>
      <c r="H5241" s="31"/>
    </row>
    <row r="5242" spans="2:8" hidden="1">
      <c r="B5242" s="33"/>
      <c r="C5242" s="31"/>
      <c r="D5242" s="31"/>
      <c r="E5242" s="31"/>
      <c r="F5242" s="691"/>
      <c r="G5242" s="31"/>
      <c r="H5242" s="31"/>
    </row>
    <row r="5243" spans="2:8" hidden="1">
      <c r="B5243" s="33"/>
      <c r="C5243" s="31"/>
      <c r="D5243" s="31"/>
      <c r="E5243" s="31"/>
      <c r="F5243" s="691"/>
      <c r="G5243" s="31"/>
      <c r="H5243" s="31"/>
    </row>
    <row r="5244" spans="2:8" hidden="1">
      <c r="B5244" s="33"/>
      <c r="C5244" s="31"/>
      <c r="D5244" s="31"/>
      <c r="E5244" s="31"/>
      <c r="F5244" s="691"/>
      <c r="G5244" s="31"/>
      <c r="H5244" s="31"/>
    </row>
    <row r="5245" spans="2:8" hidden="1">
      <c r="B5245" s="33"/>
      <c r="C5245" s="31"/>
      <c r="D5245" s="31"/>
      <c r="E5245" s="31"/>
      <c r="F5245" s="691"/>
      <c r="G5245" s="31"/>
      <c r="H5245" s="31"/>
    </row>
    <row r="5246" spans="2:8" hidden="1">
      <c r="B5246" s="33"/>
      <c r="C5246" s="31"/>
      <c r="D5246" s="31"/>
      <c r="E5246" s="200"/>
      <c r="F5246" s="691"/>
      <c r="G5246" s="31"/>
      <c r="H5246" s="31"/>
    </row>
    <row r="5247" spans="2:8" hidden="1">
      <c r="B5247" s="33"/>
      <c r="C5247" s="31"/>
      <c r="D5247" s="31"/>
      <c r="E5247" s="31"/>
      <c r="F5247" s="691"/>
      <c r="G5247" s="31"/>
      <c r="H5247" s="31"/>
    </row>
    <row r="5248" spans="2:8" hidden="1">
      <c r="B5248" s="33"/>
      <c r="C5248" s="31"/>
      <c r="D5248" s="31"/>
      <c r="E5248" s="31"/>
      <c r="F5248" s="691"/>
      <c r="G5248" s="31"/>
      <c r="H5248" s="31"/>
    </row>
    <row r="5249" spans="2:8" hidden="1">
      <c r="B5249" s="33"/>
      <c r="C5249" s="31"/>
      <c r="D5249" s="31"/>
      <c r="E5249" s="31"/>
      <c r="F5249" s="691"/>
      <c r="G5249" s="31"/>
      <c r="H5249" s="31"/>
    </row>
    <row r="5250" spans="2:8" hidden="1">
      <c r="B5250" s="33"/>
      <c r="C5250" s="31"/>
      <c r="D5250" s="31"/>
      <c r="E5250" s="31"/>
      <c r="F5250" s="691"/>
      <c r="G5250" s="31"/>
      <c r="H5250" s="31"/>
    </row>
    <row r="5251" spans="2:8" hidden="1">
      <c r="B5251" s="33"/>
      <c r="C5251" s="31"/>
      <c r="D5251" s="31"/>
      <c r="E5251" s="31"/>
      <c r="F5251" s="691"/>
      <c r="G5251" s="31"/>
      <c r="H5251" s="31"/>
    </row>
    <row r="5252" spans="2:8" hidden="1">
      <c r="B5252" s="33"/>
      <c r="C5252" s="31"/>
      <c r="D5252" s="31"/>
      <c r="E5252" s="31"/>
      <c r="F5252" s="691"/>
      <c r="G5252" s="31"/>
      <c r="H5252" s="31"/>
    </row>
    <row r="5253" spans="2:8" hidden="1">
      <c r="B5253" s="33"/>
      <c r="C5253" s="31"/>
      <c r="D5253" s="31"/>
      <c r="E5253" s="31"/>
      <c r="F5253" s="691"/>
      <c r="G5253" s="31"/>
      <c r="H5253" s="31"/>
    </row>
    <row r="5254" spans="2:8" hidden="1">
      <c r="B5254" s="33"/>
      <c r="C5254" s="31"/>
      <c r="D5254" s="31"/>
      <c r="E5254" s="31"/>
      <c r="F5254" s="691"/>
      <c r="G5254" s="31"/>
      <c r="H5254" s="31"/>
    </row>
    <row r="5255" spans="2:8" hidden="1">
      <c r="B5255" s="33"/>
      <c r="C5255" s="31"/>
      <c r="D5255" s="31"/>
      <c r="E5255" s="31"/>
      <c r="F5255" s="691"/>
      <c r="G5255" s="31"/>
      <c r="H5255" s="31"/>
    </row>
    <row r="5256" spans="2:8" hidden="1">
      <c r="B5256" s="33"/>
      <c r="C5256" s="31"/>
      <c r="D5256" s="31"/>
      <c r="E5256" s="31"/>
      <c r="F5256" s="691"/>
      <c r="G5256" s="31"/>
      <c r="H5256" s="31"/>
    </row>
    <row r="5257" spans="2:8" hidden="1">
      <c r="B5257" s="33"/>
      <c r="C5257" s="31"/>
      <c r="D5257" s="31"/>
      <c r="E5257" s="31"/>
      <c r="F5257" s="691"/>
      <c r="G5257" s="31"/>
      <c r="H5257" s="31"/>
    </row>
    <row r="5258" spans="2:8" hidden="1">
      <c r="B5258" s="33"/>
      <c r="C5258" s="31"/>
      <c r="D5258" s="31"/>
      <c r="E5258" s="31"/>
      <c r="F5258" s="691"/>
      <c r="G5258" s="31"/>
      <c r="H5258" s="31"/>
    </row>
    <row r="5259" spans="2:8" hidden="1">
      <c r="B5259" s="33"/>
      <c r="C5259" s="31"/>
      <c r="D5259" s="31"/>
      <c r="E5259" s="31"/>
      <c r="F5259" s="691"/>
      <c r="G5259" s="31"/>
      <c r="H5259" s="31"/>
    </row>
    <row r="5260" spans="2:8" hidden="1">
      <c r="B5260" s="33"/>
      <c r="C5260" s="31"/>
      <c r="D5260" s="31"/>
      <c r="E5260" s="31"/>
      <c r="F5260" s="691"/>
      <c r="G5260" s="31"/>
      <c r="H5260" s="31"/>
    </row>
    <row r="5261" spans="2:8" hidden="1">
      <c r="B5261" s="33"/>
      <c r="C5261" s="31"/>
      <c r="D5261" s="31"/>
      <c r="E5261" s="31"/>
      <c r="F5261" s="691"/>
      <c r="G5261" s="31"/>
      <c r="H5261" s="31"/>
    </row>
    <row r="5262" spans="2:8" hidden="1">
      <c r="B5262" s="33"/>
      <c r="C5262" s="31"/>
      <c r="D5262" s="31"/>
      <c r="E5262" s="200"/>
      <c r="F5262" s="691"/>
      <c r="G5262" s="31"/>
      <c r="H5262" s="31"/>
    </row>
    <row r="5263" spans="2:8" hidden="1">
      <c r="B5263" s="33"/>
      <c r="C5263" s="31"/>
      <c r="D5263" s="31"/>
      <c r="E5263" s="31"/>
      <c r="F5263" s="691"/>
      <c r="G5263" s="31"/>
      <c r="H5263" s="31"/>
    </row>
    <row r="5264" spans="2:8" hidden="1">
      <c r="B5264" s="33"/>
      <c r="C5264" s="31"/>
      <c r="D5264" s="31"/>
      <c r="E5264" s="31"/>
      <c r="F5264" s="691"/>
      <c r="G5264" s="31"/>
      <c r="H5264" s="31"/>
    </row>
    <row r="5265" spans="2:8" hidden="1">
      <c r="B5265" s="33"/>
      <c r="C5265" s="31"/>
      <c r="D5265" s="31"/>
      <c r="E5265" s="31"/>
      <c r="F5265" s="691"/>
      <c r="G5265" s="31"/>
      <c r="H5265" s="31"/>
    </row>
    <row r="5266" spans="2:8" hidden="1">
      <c r="B5266" s="33"/>
      <c r="C5266" s="31"/>
      <c r="D5266" s="31"/>
      <c r="E5266" s="31"/>
      <c r="F5266" s="691"/>
      <c r="G5266" s="31"/>
      <c r="H5266" s="31"/>
    </row>
    <row r="5267" spans="2:8" hidden="1">
      <c r="B5267" s="33"/>
      <c r="C5267" s="31"/>
      <c r="D5267" s="31"/>
      <c r="E5267" s="31"/>
      <c r="F5267" s="691"/>
      <c r="G5267" s="31"/>
      <c r="H5267" s="31"/>
    </row>
    <row r="5268" spans="2:8" hidden="1">
      <c r="B5268" s="33"/>
      <c r="C5268" s="31"/>
      <c r="D5268" s="31"/>
      <c r="E5268" s="31"/>
      <c r="F5268" s="691"/>
      <c r="G5268" s="31"/>
      <c r="H5268" s="31"/>
    </row>
    <row r="5269" spans="2:8" hidden="1">
      <c r="B5269" s="33"/>
      <c r="C5269" s="31"/>
      <c r="D5269" s="31"/>
      <c r="E5269" s="31"/>
      <c r="F5269" s="691"/>
      <c r="G5269" s="31"/>
      <c r="H5269" s="31"/>
    </row>
    <row r="5270" spans="2:8" hidden="1">
      <c r="B5270" s="33"/>
      <c r="C5270" s="31"/>
      <c r="D5270" s="31"/>
      <c r="E5270" s="31"/>
      <c r="F5270" s="691"/>
      <c r="G5270" s="31"/>
      <c r="H5270" s="31"/>
    </row>
    <row r="5271" spans="2:8" hidden="1">
      <c r="B5271" s="33"/>
      <c r="C5271" s="31"/>
      <c r="D5271" s="31"/>
      <c r="E5271" s="31"/>
      <c r="F5271" s="691"/>
      <c r="G5271" s="31"/>
      <c r="H5271" s="31"/>
    </row>
    <row r="5272" spans="2:8" hidden="1">
      <c r="B5272" s="33"/>
      <c r="C5272" s="31"/>
      <c r="D5272" s="31"/>
      <c r="E5272" s="31"/>
      <c r="F5272" s="31"/>
      <c r="G5272" s="31"/>
      <c r="H5272" s="31"/>
    </row>
    <row r="5273" spans="2:8" hidden="1">
      <c r="B5273" s="33"/>
      <c r="C5273" s="31"/>
      <c r="D5273" s="31"/>
      <c r="E5273" s="31"/>
      <c r="F5273" s="31"/>
      <c r="G5273" s="31"/>
      <c r="H5273" s="31"/>
    </row>
    <row r="5274" spans="2:8" hidden="1">
      <c r="B5274" s="33"/>
      <c r="C5274" s="31"/>
      <c r="D5274" s="31"/>
      <c r="E5274" s="31"/>
      <c r="F5274" s="31"/>
      <c r="G5274" s="31"/>
      <c r="H5274" s="31"/>
    </row>
    <row r="5275" spans="2:8" hidden="1">
      <c r="B5275" s="33"/>
      <c r="C5275" s="31"/>
      <c r="D5275" s="31"/>
      <c r="E5275" s="31"/>
      <c r="F5275" s="691"/>
      <c r="G5275" s="31"/>
      <c r="H5275" s="31"/>
    </row>
    <row r="5276" spans="2:8" hidden="1">
      <c r="B5276" s="33"/>
      <c r="C5276" s="31"/>
      <c r="D5276" s="31"/>
      <c r="E5276" s="31"/>
      <c r="F5276" s="31"/>
      <c r="G5276" s="31"/>
      <c r="H5276" s="31"/>
    </row>
    <row r="5277" spans="2:8" hidden="1">
      <c r="B5277" s="33"/>
      <c r="C5277" s="31"/>
      <c r="D5277" s="31"/>
      <c r="E5277" s="31"/>
      <c r="F5277" s="31"/>
      <c r="G5277" s="31"/>
      <c r="H5277" s="31"/>
    </row>
    <row r="5278" spans="2:8" hidden="1">
      <c r="B5278" s="33"/>
      <c r="C5278" s="31"/>
      <c r="D5278" s="31"/>
      <c r="E5278" s="31"/>
      <c r="F5278" s="31"/>
      <c r="G5278" s="31"/>
      <c r="H5278" s="31"/>
    </row>
    <row r="5279" spans="2:8" hidden="1">
      <c r="B5279" s="33"/>
      <c r="C5279" s="31"/>
      <c r="D5279" s="31"/>
      <c r="E5279" s="31"/>
      <c r="F5279" s="31"/>
      <c r="G5279" s="31"/>
      <c r="H5279" s="31"/>
    </row>
    <row r="5280" spans="2:8" hidden="1">
      <c r="B5280" s="33"/>
      <c r="C5280" s="31"/>
      <c r="D5280" s="31"/>
      <c r="E5280" s="31"/>
      <c r="F5280" s="31"/>
      <c r="G5280" s="31"/>
      <c r="H5280" s="31"/>
    </row>
    <row r="5281" spans="2:8" hidden="1">
      <c r="B5281" s="33"/>
      <c r="C5281" s="31"/>
      <c r="D5281" s="31"/>
      <c r="E5281" s="31"/>
      <c r="F5281" s="31"/>
      <c r="G5281" s="31"/>
      <c r="H5281" s="31"/>
    </row>
    <row r="5282" spans="2:8" hidden="1">
      <c r="B5282" s="33"/>
      <c r="C5282" s="31"/>
      <c r="D5282" s="31"/>
      <c r="E5282" s="31"/>
      <c r="F5282" s="31"/>
      <c r="G5282" s="31"/>
      <c r="H5282" s="31"/>
    </row>
    <row r="5283" spans="2:8" hidden="1">
      <c r="B5283" s="33"/>
      <c r="C5283" s="31"/>
      <c r="D5283" s="31"/>
      <c r="E5283" s="31"/>
      <c r="F5283" s="31"/>
      <c r="G5283" s="31"/>
      <c r="H5283" s="31"/>
    </row>
    <row r="5284" spans="2:8" hidden="1">
      <c r="B5284" s="33"/>
      <c r="C5284" s="31"/>
      <c r="D5284" s="31"/>
      <c r="E5284" s="31"/>
      <c r="F5284" s="31"/>
      <c r="G5284" s="31"/>
      <c r="H5284" s="31"/>
    </row>
    <row r="5285" spans="2:8" hidden="1">
      <c r="B5285" s="33"/>
      <c r="C5285" s="31"/>
      <c r="D5285" s="31"/>
      <c r="E5285" s="31"/>
      <c r="F5285" s="31"/>
      <c r="G5285" s="31"/>
      <c r="H5285" s="31"/>
    </row>
    <row r="5286" spans="2:8" hidden="1">
      <c r="B5286" s="33"/>
      <c r="C5286" s="31"/>
      <c r="D5286" s="31"/>
      <c r="E5286" s="31"/>
      <c r="F5286" s="31"/>
      <c r="G5286" s="31"/>
      <c r="H5286" s="31"/>
    </row>
    <row r="5287" spans="2:8" hidden="1">
      <c r="B5287" s="33"/>
      <c r="C5287" s="31"/>
      <c r="D5287" s="31"/>
      <c r="E5287" s="31"/>
      <c r="F5287" s="33"/>
      <c r="G5287" s="31"/>
      <c r="H5287" s="31"/>
    </row>
    <row r="5288" spans="2:8" hidden="1">
      <c r="B5288" s="33"/>
      <c r="C5288" s="31"/>
      <c r="D5288" s="33"/>
      <c r="E5288" s="33"/>
      <c r="F5288" s="33"/>
      <c r="G5288" s="33"/>
      <c r="H5288" s="31"/>
    </row>
    <row r="5289" spans="2:8" hidden="1">
      <c r="B5289" s="33"/>
      <c r="C5289" s="31"/>
      <c r="D5289" s="33"/>
      <c r="E5289" s="33"/>
      <c r="F5289" s="33"/>
      <c r="G5289" s="33"/>
      <c r="H5289" s="31"/>
    </row>
    <row r="5290" spans="2:8" hidden="1">
      <c r="B5290" s="33"/>
      <c r="C5290" s="31"/>
      <c r="D5290" s="33"/>
      <c r="E5290" s="33"/>
      <c r="F5290" s="33"/>
      <c r="G5290" s="33"/>
      <c r="H5290" s="31"/>
    </row>
    <row r="5291" spans="2:8" hidden="1">
      <c r="B5291" s="33"/>
      <c r="C5291" s="31"/>
      <c r="D5291" s="33"/>
      <c r="E5291" s="33"/>
      <c r="F5291" s="33"/>
      <c r="G5291" s="33"/>
      <c r="H5291" s="31"/>
    </row>
    <row r="5292" spans="2:8" hidden="1">
      <c r="B5292" s="33"/>
      <c r="C5292" s="31"/>
      <c r="D5292" s="33"/>
      <c r="E5292" s="33"/>
      <c r="F5292" s="33"/>
      <c r="G5292" s="33"/>
      <c r="H5292" s="31"/>
    </row>
    <row r="5293" spans="2:8" hidden="1">
      <c r="B5293" s="33"/>
      <c r="C5293" s="33"/>
      <c r="D5293" s="33"/>
      <c r="E5293" s="33"/>
      <c r="F5293" s="33"/>
      <c r="G5293" s="33"/>
      <c r="H5293" s="31"/>
    </row>
    <row r="5294" spans="2:8" hidden="1">
      <c r="B5294" s="33"/>
      <c r="C5294" s="31"/>
      <c r="D5294" s="31"/>
      <c r="E5294" s="31"/>
      <c r="F5294" s="31"/>
      <c r="G5294" s="31"/>
      <c r="H5294" s="31"/>
    </row>
    <row r="5295" spans="2:8" hidden="1">
      <c r="B5295" s="33"/>
      <c r="C5295" s="31"/>
      <c r="D5295" s="31"/>
      <c r="E5295" s="31"/>
      <c r="F5295" s="31"/>
      <c r="G5295" s="31"/>
      <c r="H5295" s="31"/>
    </row>
    <row r="5296" spans="2:8" hidden="1">
      <c r="B5296" s="33"/>
      <c r="C5296" s="31"/>
      <c r="D5296" s="31"/>
      <c r="E5296" s="31"/>
      <c r="F5296" s="31"/>
      <c r="G5296" s="31"/>
      <c r="H5296" s="31"/>
    </row>
    <row r="5297" spans="2:8" hidden="1">
      <c r="B5297" s="33"/>
      <c r="C5297" s="31"/>
      <c r="D5297" s="31"/>
      <c r="E5297" s="31"/>
      <c r="F5297" s="31"/>
      <c r="G5297" s="31"/>
      <c r="H5297" s="31"/>
    </row>
    <row r="5298" spans="2:8" hidden="1">
      <c r="B5298" s="33"/>
      <c r="C5298" s="31"/>
      <c r="D5298" s="31"/>
      <c r="E5298" s="31"/>
      <c r="F5298" s="31"/>
      <c r="G5298" s="31"/>
      <c r="H5298" s="31"/>
    </row>
    <row r="5299" spans="2:8" hidden="1">
      <c r="B5299" s="33"/>
      <c r="C5299" s="31"/>
      <c r="D5299" s="31"/>
      <c r="E5299" s="31"/>
      <c r="F5299" s="31"/>
      <c r="G5299" s="31"/>
      <c r="H5299" s="31"/>
    </row>
    <row r="5300" spans="2:8" hidden="1">
      <c r="B5300" s="33"/>
      <c r="C5300" s="31"/>
      <c r="D5300" s="31"/>
      <c r="E5300" s="31"/>
      <c r="F5300" s="31"/>
      <c r="G5300" s="31"/>
      <c r="H5300" s="31"/>
    </row>
    <row r="5301" spans="2:8" hidden="1">
      <c r="B5301" s="33"/>
      <c r="C5301" s="31"/>
      <c r="D5301" s="31"/>
      <c r="E5301" s="31"/>
      <c r="F5301" s="31"/>
      <c r="G5301" s="31"/>
      <c r="H5301" s="31"/>
    </row>
    <row r="5302" spans="2:8" hidden="1">
      <c r="B5302" s="33"/>
      <c r="C5302" s="31"/>
      <c r="D5302" s="31"/>
      <c r="E5302" s="31"/>
      <c r="F5302" s="31"/>
      <c r="G5302" s="31"/>
      <c r="H5302" s="31"/>
    </row>
    <row r="5303" spans="2:8" hidden="1">
      <c r="B5303" s="33"/>
      <c r="C5303" s="31"/>
      <c r="D5303" s="31"/>
      <c r="E5303" s="31"/>
      <c r="F5303" s="31"/>
      <c r="G5303" s="31"/>
      <c r="H5303" s="31"/>
    </row>
    <row r="5304" spans="2:8" hidden="1">
      <c r="B5304" s="33"/>
      <c r="C5304" s="31"/>
      <c r="D5304" s="31"/>
      <c r="E5304" s="31"/>
      <c r="F5304" s="31"/>
      <c r="G5304" s="31"/>
      <c r="H5304" s="31"/>
    </row>
    <row r="5305" spans="2:8" hidden="1">
      <c r="B5305" s="33"/>
      <c r="C5305" s="31"/>
      <c r="D5305" s="31"/>
      <c r="E5305" s="31"/>
      <c r="F5305" s="31"/>
      <c r="G5305" s="31"/>
      <c r="H5305" s="31"/>
    </row>
    <row r="5306" spans="2:8" hidden="1">
      <c r="B5306" s="33"/>
      <c r="C5306" s="31"/>
      <c r="D5306" s="75"/>
      <c r="E5306" s="31"/>
      <c r="F5306" s="405"/>
      <c r="G5306" s="75"/>
      <c r="H5306" s="31"/>
    </row>
    <row r="5307" spans="2:8" hidden="1">
      <c r="B5307" s="33"/>
      <c r="C5307" s="31"/>
      <c r="D5307" s="31"/>
      <c r="E5307" s="31"/>
      <c r="F5307" s="691"/>
      <c r="G5307" s="732"/>
      <c r="H5307" s="31"/>
    </row>
    <row r="5308" spans="2:8" hidden="1">
      <c r="B5308" s="33"/>
      <c r="C5308" s="31"/>
      <c r="D5308" s="31"/>
      <c r="E5308" s="31"/>
      <c r="F5308" s="405"/>
      <c r="G5308" s="75"/>
      <c r="H5308" s="31"/>
    </row>
    <row r="5309" spans="2:8" hidden="1">
      <c r="B5309" s="33"/>
      <c r="C5309" s="31"/>
      <c r="D5309" s="75"/>
      <c r="E5309" s="31"/>
      <c r="F5309" s="405"/>
      <c r="G5309" s="75"/>
      <c r="H5309" s="31"/>
    </row>
    <row r="5310" spans="2:8" hidden="1">
      <c r="B5310" s="33"/>
      <c r="C5310" s="31"/>
      <c r="D5310" s="31"/>
      <c r="E5310" s="31"/>
      <c r="F5310" s="691"/>
      <c r="G5310" s="732"/>
      <c r="H5310" s="31"/>
    </row>
    <row r="5311" spans="2:8" hidden="1">
      <c r="B5311" s="33"/>
      <c r="C5311" s="31"/>
      <c r="D5311" s="31"/>
      <c r="E5311" s="31"/>
      <c r="F5311" s="405"/>
      <c r="G5311" s="75"/>
      <c r="H5311" s="31"/>
    </row>
    <row r="5312" spans="2:8" hidden="1">
      <c r="B5312" s="33"/>
      <c r="C5312" s="31"/>
      <c r="D5312" s="31"/>
      <c r="E5312" s="31"/>
      <c r="F5312" s="31"/>
      <c r="G5312" s="31"/>
      <c r="H5312" s="31"/>
    </row>
    <row r="5313" spans="2:8" hidden="1">
      <c r="B5313" s="33"/>
      <c r="C5313" s="200"/>
      <c r="D5313" s="31"/>
      <c r="E5313" s="200"/>
      <c r="F5313" s="769"/>
      <c r="G5313" s="31"/>
      <c r="H5313" s="31"/>
    </row>
    <row r="5314" spans="2:8" hidden="1">
      <c r="B5314" s="76"/>
      <c r="C5314" s="31"/>
      <c r="D5314" s="31"/>
      <c r="E5314" s="31"/>
      <c r="F5314" s="75"/>
      <c r="G5314" s="31"/>
      <c r="H5314" s="31"/>
    </row>
    <row r="5315" spans="2:8" hidden="1">
      <c r="B5315" s="33"/>
      <c r="C5315" s="33"/>
      <c r="D5315" s="33"/>
      <c r="E5315" s="33"/>
      <c r="F5315" s="33"/>
      <c r="G5315" s="33"/>
      <c r="H5315" s="31"/>
    </row>
    <row r="5316" spans="2:8" hidden="1">
      <c r="B5316" s="33"/>
      <c r="C5316" s="31"/>
      <c r="D5316" s="33"/>
      <c r="E5316" s="33"/>
      <c r="F5316" s="33"/>
      <c r="G5316" s="33"/>
      <c r="H5316" s="31"/>
    </row>
    <row r="5317" spans="2:8" hidden="1">
      <c r="B5317" s="405"/>
      <c r="C5317" s="76"/>
      <c r="D5317" s="731"/>
      <c r="E5317" s="75"/>
      <c r="F5317" s="75"/>
      <c r="G5317" s="75"/>
      <c r="H5317" s="31"/>
    </row>
    <row r="5318" spans="2:8" hidden="1">
      <c r="B5318" s="405"/>
      <c r="C5318" s="76"/>
      <c r="D5318" s="731"/>
      <c r="E5318" s="75"/>
      <c r="F5318" s="75"/>
      <c r="G5318" s="75"/>
      <c r="H5318" s="31"/>
    </row>
    <row r="5319" spans="2:8" hidden="1">
      <c r="B5319" s="405"/>
      <c r="C5319" s="76"/>
      <c r="D5319" s="731"/>
      <c r="E5319" s="75"/>
      <c r="F5319" s="75"/>
      <c r="G5319" s="75"/>
      <c r="H5319" s="31"/>
    </row>
    <row r="5320" spans="2:8" hidden="1">
      <c r="B5320" s="405"/>
      <c r="C5320" s="76"/>
      <c r="D5320" s="731"/>
      <c r="E5320" s="75"/>
      <c r="F5320" s="75"/>
      <c r="G5320" s="75"/>
      <c r="H5320" s="31"/>
    </row>
    <row r="5321" spans="2:8" hidden="1">
      <c r="B5321" s="405"/>
      <c r="C5321" s="76"/>
      <c r="D5321" s="731"/>
      <c r="E5321" s="75"/>
      <c r="F5321" s="75"/>
      <c r="G5321" s="75"/>
      <c r="H5321" s="31"/>
    </row>
    <row r="5322" spans="2:8" hidden="1">
      <c r="B5322" s="405"/>
      <c r="C5322" s="76"/>
      <c r="D5322" s="731"/>
      <c r="E5322" s="75"/>
      <c r="F5322" s="75"/>
      <c r="G5322" s="75"/>
      <c r="H5322" s="31"/>
    </row>
    <row r="5323" spans="2:8" hidden="1">
      <c r="B5323" s="405"/>
      <c r="C5323" s="76"/>
      <c r="D5323" s="731"/>
      <c r="E5323" s="75"/>
      <c r="F5323" s="75"/>
      <c r="G5323" s="75"/>
      <c r="H5323" s="31"/>
    </row>
    <row r="5324" spans="2:8" hidden="1">
      <c r="B5324" s="405"/>
      <c r="C5324" s="76"/>
      <c r="D5324" s="731"/>
      <c r="E5324" s="75"/>
      <c r="F5324" s="75"/>
      <c r="G5324" s="75"/>
      <c r="H5324" s="31"/>
    </row>
    <row r="5325" spans="2:8" hidden="1">
      <c r="B5325" s="405"/>
      <c r="C5325" s="76"/>
      <c r="D5325" s="731"/>
      <c r="E5325" s="75"/>
      <c r="F5325" s="75"/>
      <c r="G5325" s="75"/>
      <c r="H5325" s="31"/>
    </row>
    <row r="5326" spans="2:8" hidden="1">
      <c r="B5326" s="405"/>
      <c r="C5326" s="76"/>
      <c r="D5326" s="731"/>
      <c r="E5326" s="75"/>
      <c r="F5326" s="75"/>
      <c r="G5326" s="75"/>
      <c r="H5326" s="31"/>
    </row>
    <row r="5327" spans="2:8" hidden="1">
      <c r="B5327" s="30"/>
      <c r="C5327" s="76"/>
      <c r="D5327" s="731"/>
      <c r="E5327" s="75"/>
      <c r="F5327" s="75"/>
      <c r="G5327" s="75"/>
      <c r="H5327" s="31"/>
    </row>
    <row r="5328" spans="2:8" hidden="1">
      <c r="B5328" s="30"/>
      <c r="C5328" s="76"/>
      <c r="D5328" s="731"/>
      <c r="E5328" s="75"/>
      <c r="F5328" s="75"/>
      <c r="G5328" s="75"/>
      <c r="H5328" s="31"/>
    </row>
    <row r="5329" spans="2:8" hidden="1">
      <c r="B5329" s="405"/>
      <c r="C5329" s="76"/>
      <c r="D5329" s="731"/>
      <c r="E5329" s="75"/>
      <c r="F5329" s="75"/>
      <c r="G5329" s="75"/>
      <c r="H5329" s="31"/>
    </row>
    <row r="5330" spans="2:8" hidden="1">
      <c r="B5330" s="30"/>
      <c r="C5330" s="76"/>
      <c r="D5330" s="731"/>
      <c r="E5330" s="75"/>
      <c r="F5330" s="75"/>
      <c r="G5330" s="75"/>
      <c r="H5330" s="31"/>
    </row>
    <row r="5331" spans="2:8" hidden="1">
      <c r="B5331" s="30"/>
      <c r="C5331" s="76"/>
      <c r="D5331" s="731"/>
      <c r="E5331" s="75"/>
      <c r="F5331" s="75"/>
      <c r="G5331" s="75"/>
      <c r="H5331" s="31"/>
    </row>
    <row r="5332" spans="2:8" hidden="1">
      <c r="B5332" s="30"/>
      <c r="C5332" s="76"/>
      <c r="D5332" s="731"/>
      <c r="E5332" s="75"/>
      <c r="F5332" s="75"/>
      <c r="G5332" s="75"/>
      <c r="H5332" s="31"/>
    </row>
    <row r="5333" spans="2:8" hidden="1">
      <c r="B5333" s="30"/>
      <c r="C5333" s="76"/>
      <c r="D5333" s="731"/>
      <c r="E5333" s="75"/>
      <c r="F5333" s="75"/>
      <c r="G5333" s="75"/>
      <c r="H5333" s="31"/>
    </row>
    <row r="5334" spans="2:8" hidden="1">
      <c r="B5334" s="405"/>
      <c r="C5334" s="76"/>
      <c r="D5334" s="731"/>
      <c r="E5334" s="75"/>
      <c r="F5334" s="75"/>
      <c r="G5334" s="75"/>
      <c r="H5334" s="31"/>
    </row>
    <row r="5335" spans="2:8" hidden="1">
      <c r="B5335" s="405"/>
      <c r="C5335" s="76"/>
      <c r="D5335" s="731"/>
      <c r="E5335" s="75"/>
      <c r="F5335" s="75"/>
      <c r="G5335" s="75"/>
      <c r="H5335" s="31"/>
    </row>
    <row r="5336" spans="2:8" hidden="1">
      <c r="B5336" s="405"/>
      <c r="C5336" s="76"/>
      <c r="D5336" s="731"/>
      <c r="E5336" s="75"/>
      <c r="F5336" s="75"/>
      <c r="G5336" s="75"/>
      <c r="H5336" s="31"/>
    </row>
    <row r="5337" spans="2:8" hidden="1">
      <c r="B5337" s="30"/>
      <c r="C5337" s="76"/>
      <c r="D5337" s="731"/>
      <c r="E5337" s="75"/>
      <c r="F5337" s="75"/>
      <c r="G5337" s="75"/>
      <c r="H5337" s="31"/>
    </row>
    <row r="5338" spans="2:8" hidden="1">
      <c r="B5338" s="30"/>
      <c r="C5338" s="76"/>
      <c r="D5338" s="731"/>
      <c r="E5338" s="75"/>
      <c r="F5338" s="75"/>
      <c r="G5338" s="75"/>
      <c r="H5338" s="31"/>
    </row>
    <row r="5339" spans="2:8" hidden="1">
      <c r="B5339" s="30"/>
      <c r="C5339" s="76"/>
      <c r="D5339" s="731"/>
      <c r="E5339" s="75"/>
      <c r="F5339" s="75"/>
      <c r="G5339" s="75"/>
      <c r="H5339" s="31"/>
    </row>
    <row r="5340" spans="2:8" hidden="1">
      <c r="B5340" s="30"/>
      <c r="C5340" s="76"/>
      <c r="D5340" s="731"/>
      <c r="E5340" s="75"/>
      <c r="F5340" s="75"/>
      <c r="G5340" s="75"/>
      <c r="H5340" s="31"/>
    </row>
    <row r="5341" spans="2:8" hidden="1">
      <c r="B5341" s="30"/>
      <c r="C5341" s="76"/>
      <c r="D5341" s="731"/>
      <c r="E5341" s="75"/>
      <c r="F5341" s="75"/>
      <c r="G5341" s="75"/>
      <c r="H5341" s="31"/>
    </row>
    <row r="5342" spans="2:8" hidden="1">
      <c r="B5342" s="30"/>
      <c r="C5342" s="76"/>
      <c r="D5342" s="731"/>
      <c r="E5342" s="75"/>
      <c r="F5342" s="75"/>
      <c r="G5342" s="75"/>
      <c r="H5342" s="31"/>
    </row>
    <row r="5343" spans="2:8" hidden="1">
      <c r="B5343" s="30"/>
      <c r="C5343" s="76"/>
      <c r="D5343" s="731"/>
      <c r="E5343" s="75"/>
      <c r="F5343" s="75"/>
      <c r="G5343" s="75"/>
      <c r="H5343" s="31"/>
    </row>
    <row r="5344" spans="2:8" hidden="1">
      <c r="B5344" s="30"/>
      <c r="C5344" s="76"/>
      <c r="D5344" s="731"/>
      <c r="E5344" s="75"/>
      <c r="F5344" s="75"/>
      <c r="G5344" s="75"/>
      <c r="H5344" s="31"/>
    </row>
    <row r="5345" spans="2:8" hidden="1">
      <c r="B5345" s="33"/>
      <c r="C5345" s="31"/>
      <c r="D5345" s="31"/>
      <c r="E5345" s="200"/>
      <c r="F5345" s="200"/>
      <c r="G5345" s="75"/>
      <c r="H5345" s="31"/>
    </row>
    <row r="5346" spans="2:8" hidden="1">
      <c r="B5346" s="33"/>
      <c r="C5346" s="31"/>
      <c r="D5346" s="31"/>
      <c r="E5346" s="198"/>
      <c r="F5346" s="200"/>
      <c r="G5346" s="75"/>
      <c r="H5346" s="31"/>
    </row>
    <row r="5347" spans="2:8" hidden="1">
      <c r="B5347" s="33"/>
      <c r="C5347" s="31"/>
      <c r="D5347" s="31"/>
      <c r="E5347" s="198"/>
      <c r="F5347" s="200"/>
      <c r="G5347" s="75"/>
      <c r="H5347" s="31"/>
    </row>
    <row r="5348" spans="2:8" hidden="1">
      <c r="B5348" s="33"/>
      <c r="C5348" s="31"/>
      <c r="D5348" s="31"/>
      <c r="E5348" s="198"/>
      <c r="F5348" s="200"/>
      <c r="G5348" s="75"/>
      <c r="H5348" s="31"/>
    </row>
    <row r="5349" spans="2:8" hidden="1">
      <c r="B5349" s="33"/>
      <c r="C5349" s="200"/>
      <c r="D5349" s="30"/>
      <c r="E5349" s="30"/>
      <c r="F5349" s="200"/>
      <c r="G5349" s="75"/>
      <c r="H5349" s="31"/>
    </row>
    <row r="5350" spans="2:8" hidden="1">
      <c r="B5350" s="33"/>
      <c r="C5350" s="31"/>
      <c r="D5350" s="31"/>
      <c r="E5350" s="31"/>
      <c r="F5350" s="31"/>
      <c r="G5350" s="31"/>
      <c r="H5350" s="31"/>
    </row>
    <row r="5351" spans="2:8" hidden="1">
      <c r="B5351" s="76"/>
      <c r="C5351" s="31"/>
      <c r="D5351" s="31"/>
      <c r="E5351" s="31"/>
      <c r="F5351" s="31"/>
      <c r="G5351" s="31"/>
      <c r="H5351" s="31"/>
    </row>
    <row r="5352" spans="2:8" hidden="1">
      <c r="B5352" s="33"/>
      <c r="C5352" s="33"/>
      <c r="D5352" s="33"/>
      <c r="E5352" s="33"/>
      <c r="F5352" s="33"/>
      <c r="G5352" s="33"/>
      <c r="H5352" s="31"/>
    </row>
    <row r="5353" spans="2:8" hidden="1">
      <c r="B5353" s="33"/>
      <c r="C5353" s="31"/>
      <c r="D5353" s="33"/>
      <c r="E5353" s="33"/>
      <c r="F5353" s="33"/>
      <c r="G5353" s="33"/>
      <c r="H5353" s="31"/>
    </row>
    <row r="5354" spans="2:8" hidden="1">
      <c r="B5354" s="405"/>
      <c r="C5354" s="76"/>
      <c r="D5354" s="731"/>
      <c r="E5354" s="75"/>
      <c r="F5354" s="75"/>
      <c r="G5354" s="75"/>
      <c r="H5354" s="31"/>
    </row>
    <row r="5355" spans="2:8" hidden="1">
      <c r="B5355" s="405"/>
      <c r="C5355" s="76"/>
      <c r="D5355" s="731"/>
      <c r="E5355" s="75"/>
      <c r="F5355" s="75"/>
      <c r="G5355" s="75"/>
      <c r="H5355" s="31"/>
    </row>
    <row r="5356" spans="2:8" hidden="1">
      <c r="B5356" s="405"/>
      <c r="C5356" s="76"/>
      <c r="D5356" s="731"/>
      <c r="E5356" s="75"/>
      <c r="F5356" s="75"/>
      <c r="G5356" s="75"/>
      <c r="H5356" s="31"/>
    </row>
    <row r="5357" spans="2:8" hidden="1">
      <c r="B5357" s="405"/>
      <c r="C5357" s="76"/>
      <c r="D5357" s="731"/>
      <c r="E5357" s="75"/>
      <c r="F5357" s="75"/>
      <c r="G5357" s="75"/>
      <c r="H5357" s="31"/>
    </row>
    <row r="5358" spans="2:8" hidden="1">
      <c r="B5358" s="405"/>
      <c r="C5358" s="76"/>
      <c r="D5358" s="731"/>
      <c r="E5358" s="75"/>
      <c r="F5358" s="75"/>
      <c r="G5358" s="75"/>
      <c r="H5358" s="31"/>
    </row>
    <row r="5359" spans="2:8" hidden="1">
      <c r="B5359" s="405"/>
      <c r="C5359" s="76"/>
      <c r="D5359" s="731"/>
      <c r="E5359" s="75"/>
      <c r="F5359" s="75"/>
      <c r="G5359" s="75"/>
      <c r="H5359" s="31"/>
    </row>
    <row r="5360" spans="2:8" hidden="1">
      <c r="B5360" s="405"/>
      <c r="C5360" s="76"/>
      <c r="D5360" s="731"/>
      <c r="E5360" s="75"/>
      <c r="F5360" s="75"/>
      <c r="G5360" s="75"/>
      <c r="H5360" s="31"/>
    </row>
    <row r="5361" spans="2:8" hidden="1">
      <c r="B5361" s="405"/>
      <c r="C5361" s="76"/>
      <c r="D5361" s="731"/>
      <c r="E5361" s="75"/>
      <c r="F5361" s="75"/>
      <c r="G5361" s="75"/>
      <c r="H5361" s="31"/>
    </row>
    <row r="5362" spans="2:8" hidden="1">
      <c r="B5362" s="405"/>
      <c r="C5362" s="76"/>
      <c r="D5362" s="731"/>
      <c r="E5362" s="75"/>
      <c r="F5362" s="75"/>
      <c r="G5362" s="75"/>
      <c r="H5362" s="31"/>
    </row>
    <row r="5363" spans="2:8" hidden="1">
      <c r="B5363" s="405"/>
      <c r="C5363" s="76"/>
      <c r="D5363" s="731"/>
      <c r="E5363" s="75"/>
      <c r="F5363" s="75"/>
      <c r="G5363" s="75"/>
      <c r="H5363" s="31"/>
    </row>
    <row r="5364" spans="2:8" hidden="1">
      <c r="B5364" s="405"/>
      <c r="C5364" s="76"/>
      <c r="D5364" s="731"/>
      <c r="E5364" s="75"/>
      <c r="F5364" s="75"/>
      <c r="G5364" s="75"/>
      <c r="H5364" s="31"/>
    </row>
    <row r="5365" spans="2:8" hidden="1">
      <c r="B5365" s="405"/>
      <c r="C5365" s="76"/>
      <c r="D5365" s="731"/>
      <c r="E5365" s="75"/>
      <c r="F5365" s="75"/>
      <c r="G5365" s="75"/>
      <c r="H5365" s="31"/>
    </row>
    <row r="5366" spans="2:8" hidden="1">
      <c r="B5366" s="405"/>
      <c r="C5366" s="76"/>
      <c r="D5366" s="731"/>
      <c r="E5366" s="75"/>
      <c r="F5366" s="75"/>
      <c r="G5366" s="75"/>
      <c r="H5366" s="31"/>
    </row>
    <row r="5367" spans="2:8" hidden="1">
      <c r="B5367" s="33"/>
      <c r="C5367" s="31"/>
      <c r="D5367" s="31"/>
      <c r="E5367" s="200"/>
      <c r="F5367" s="200"/>
      <c r="G5367" s="75"/>
      <c r="H5367" s="31"/>
    </row>
    <row r="5368" spans="2:8" hidden="1">
      <c r="B5368" s="33"/>
      <c r="C5368" s="31"/>
      <c r="D5368" s="31"/>
      <c r="E5368" s="198"/>
      <c r="F5368" s="200"/>
      <c r="G5368" s="75"/>
      <c r="H5368" s="31"/>
    </row>
    <row r="5369" spans="2:8" hidden="1">
      <c r="B5369" s="33"/>
      <c r="C5369" s="31"/>
      <c r="D5369" s="31"/>
      <c r="E5369" s="198"/>
      <c r="F5369" s="200"/>
      <c r="G5369" s="75"/>
      <c r="H5369" s="31"/>
    </row>
    <row r="5370" spans="2:8" hidden="1">
      <c r="B5370" s="33"/>
      <c r="C5370" s="31"/>
      <c r="D5370" s="31"/>
      <c r="E5370" s="198"/>
      <c r="F5370" s="200"/>
      <c r="G5370" s="75"/>
      <c r="H5370" s="31"/>
    </row>
    <row r="5371" spans="2:8" hidden="1">
      <c r="B5371" s="33"/>
      <c r="C5371" s="30"/>
      <c r="D5371" s="30"/>
      <c r="E5371" s="30"/>
      <c r="F5371" s="200"/>
      <c r="G5371" s="75"/>
      <c r="H5371" s="31"/>
    </row>
    <row r="5372" spans="2:8" hidden="1">
      <c r="B5372" s="33"/>
      <c r="C5372" s="31"/>
      <c r="D5372" s="31"/>
      <c r="E5372" s="31"/>
      <c r="F5372" s="31"/>
      <c r="G5372" s="31"/>
      <c r="H5372" s="31"/>
    </row>
    <row r="5373" spans="2:8" hidden="1">
      <c r="B5373" s="76"/>
      <c r="C5373" s="31"/>
      <c r="D5373" s="31"/>
      <c r="E5373" s="31"/>
      <c r="F5373" s="31"/>
      <c r="G5373" s="31"/>
      <c r="H5373" s="31"/>
    </row>
    <row r="5374" spans="2:8" hidden="1">
      <c r="B5374" s="33"/>
      <c r="C5374" s="33"/>
      <c r="D5374" s="33"/>
      <c r="E5374" s="33"/>
      <c r="F5374" s="33"/>
      <c r="G5374" s="33"/>
      <c r="H5374" s="31"/>
    </row>
    <row r="5375" spans="2:8" hidden="1">
      <c r="B5375" s="33"/>
      <c r="C5375" s="31"/>
      <c r="D5375" s="33"/>
      <c r="E5375" s="33"/>
      <c r="F5375" s="33"/>
      <c r="G5375" s="33"/>
      <c r="H5375" s="31"/>
    </row>
    <row r="5376" spans="2:8" hidden="1">
      <c r="B5376" s="405"/>
      <c r="C5376" s="76"/>
      <c r="D5376" s="731"/>
      <c r="E5376" s="75"/>
      <c r="F5376" s="75"/>
      <c r="G5376" s="75"/>
      <c r="H5376" s="31"/>
    </row>
    <row r="5377" spans="2:8" hidden="1">
      <c r="B5377" s="405"/>
      <c r="C5377" s="76"/>
      <c r="D5377" s="731"/>
      <c r="E5377" s="75"/>
      <c r="F5377" s="75"/>
      <c r="G5377" s="75"/>
      <c r="H5377" s="31"/>
    </row>
    <row r="5378" spans="2:8" hidden="1">
      <c r="B5378" s="405"/>
      <c r="C5378" s="76"/>
      <c r="D5378" s="731"/>
      <c r="E5378" s="75"/>
      <c r="F5378" s="75"/>
      <c r="G5378" s="75"/>
      <c r="H5378" s="31"/>
    </row>
    <row r="5379" spans="2:8" hidden="1">
      <c r="B5379" s="405"/>
      <c r="C5379" s="76"/>
      <c r="D5379" s="731"/>
      <c r="E5379" s="75"/>
      <c r="F5379" s="75"/>
      <c r="G5379" s="75"/>
      <c r="H5379" s="31"/>
    </row>
    <row r="5380" spans="2:8" hidden="1">
      <c r="B5380" s="405"/>
      <c r="C5380" s="76"/>
      <c r="D5380" s="731"/>
      <c r="E5380" s="75"/>
      <c r="F5380" s="75"/>
      <c r="G5380" s="75"/>
      <c r="H5380" s="31"/>
    </row>
    <row r="5381" spans="2:8" hidden="1">
      <c r="B5381" s="405"/>
      <c r="C5381" s="76"/>
      <c r="D5381" s="731"/>
      <c r="E5381" s="75"/>
      <c r="F5381" s="75"/>
      <c r="G5381" s="75"/>
      <c r="H5381" s="31"/>
    </row>
    <row r="5382" spans="2:8" hidden="1">
      <c r="B5382" s="405"/>
      <c r="C5382" s="76"/>
      <c r="D5382" s="731"/>
      <c r="E5382" s="75"/>
      <c r="F5382" s="75"/>
      <c r="G5382" s="75"/>
      <c r="H5382" s="31"/>
    </row>
    <row r="5383" spans="2:8" hidden="1">
      <c r="B5383" s="405"/>
      <c r="C5383" s="76"/>
      <c r="D5383" s="731"/>
      <c r="E5383" s="75"/>
      <c r="F5383" s="75"/>
      <c r="G5383" s="75"/>
      <c r="H5383" s="31"/>
    </row>
    <row r="5384" spans="2:8" hidden="1">
      <c r="B5384" s="405"/>
      <c r="C5384" s="76"/>
      <c r="D5384" s="731"/>
      <c r="E5384" s="75"/>
      <c r="F5384" s="75"/>
      <c r="G5384" s="75"/>
      <c r="H5384" s="31"/>
    </row>
    <row r="5385" spans="2:8" hidden="1">
      <c r="B5385" s="30"/>
      <c r="C5385" s="76"/>
      <c r="D5385" s="731"/>
      <c r="E5385" s="75"/>
      <c r="F5385" s="75"/>
      <c r="G5385" s="75"/>
      <c r="H5385" s="31"/>
    </row>
    <row r="5386" spans="2:8" hidden="1">
      <c r="B5386" s="30"/>
      <c r="C5386" s="76"/>
      <c r="D5386" s="731"/>
      <c r="E5386" s="75"/>
      <c r="F5386" s="75"/>
      <c r="G5386" s="75"/>
      <c r="H5386" s="31"/>
    </row>
    <row r="5387" spans="2:8" hidden="1">
      <c r="B5387" s="30"/>
      <c r="C5387" s="76"/>
      <c r="D5387" s="731"/>
      <c r="E5387" s="75"/>
      <c r="F5387" s="75"/>
      <c r="G5387" s="75"/>
      <c r="H5387" s="31"/>
    </row>
    <row r="5388" spans="2:8" hidden="1">
      <c r="B5388" s="33"/>
      <c r="C5388" s="31"/>
      <c r="D5388" s="31"/>
      <c r="E5388" s="200"/>
      <c r="F5388" s="200"/>
      <c r="G5388" s="75"/>
      <c r="H5388" s="31"/>
    </row>
    <row r="5389" spans="2:8" hidden="1">
      <c r="B5389" s="33"/>
      <c r="C5389" s="31"/>
      <c r="D5389" s="31"/>
      <c r="E5389" s="198"/>
      <c r="F5389" s="200"/>
      <c r="G5389" s="75"/>
      <c r="H5389" s="31"/>
    </row>
    <row r="5390" spans="2:8" hidden="1">
      <c r="B5390" s="33"/>
      <c r="C5390" s="31"/>
      <c r="D5390" s="31"/>
      <c r="E5390" s="198"/>
      <c r="F5390" s="200"/>
      <c r="G5390" s="75"/>
      <c r="H5390" s="31"/>
    </row>
    <row r="5391" spans="2:8" hidden="1">
      <c r="B5391" s="33"/>
      <c r="C5391" s="31"/>
      <c r="D5391" s="31"/>
      <c r="E5391" s="198"/>
      <c r="F5391" s="200"/>
      <c r="G5391" s="75"/>
      <c r="H5391" s="31"/>
    </row>
    <row r="5392" spans="2:8" hidden="1">
      <c r="B5392" s="33"/>
      <c r="C5392" s="31"/>
      <c r="D5392" s="31"/>
      <c r="E5392" s="198"/>
      <c r="F5392" s="200"/>
      <c r="G5392" s="75"/>
      <c r="H5392" s="31"/>
    </row>
    <row r="5393" spans="2:8" hidden="1">
      <c r="B5393" s="33"/>
      <c r="C5393" s="31"/>
      <c r="D5393" s="31"/>
      <c r="E5393" s="198"/>
      <c r="F5393" s="200"/>
      <c r="G5393" s="75"/>
      <c r="H5393" s="31"/>
    </row>
    <row r="5394" spans="2:8" hidden="1">
      <c r="B5394" s="33"/>
      <c r="C5394" s="200"/>
      <c r="D5394" s="30"/>
      <c r="E5394" s="30"/>
      <c r="F5394" s="200"/>
      <c r="G5394" s="75"/>
      <c r="H5394" s="31"/>
    </row>
    <row r="5395" spans="2:8" hidden="1">
      <c r="B5395" s="33"/>
      <c r="C5395" s="31"/>
      <c r="D5395" s="31"/>
      <c r="E5395" s="31"/>
      <c r="F5395" s="31"/>
      <c r="G5395" s="31"/>
      <c r="H5395" s="31"/>
    </row>
    <row r="5396" spans="2:8" hidden="1">
      <c r="B5396" s="33"/>
      <c r="C5396" s="31"/>
      <c r="D5396" s="31"/>
      <c r="E5396" s="31"/>
      <c r="F5396" s="31"/>
      <c r="G5396" s="31"/>
      <c r="H5396" s="31"/>
    </row>
    <row r="5397" spans="2:8" hidden="1">
      <c r="B5397" s="33"/>
      <c r="C5397" s="31"/>
      <c r="D5397" s="31"/>
      <c r="E5397" s="31"/>
      <c r="F5397" s="200"/>
      <c r="G5397" s="75"/>
      <c r="H5397" s="31"/>
    </row>
    <row r="5398" spans="2:8" hidden="1">
      <c r="B5398" s="33"/>
      <c r="C5398" s="31"/>
      <c r="D5398" s="31"/>
      <c r="E5398" s="31"/>
      <c r="F5398" s="200"/>
      <c r="G5398" s="75"/>
      <c r="H5398" s="31"/>
    </row>
    <row r="5399" spans="2:8" hidden="1">
      <c r="B5399" s="33"/>
      <c r="C5399" s="31"/>
      <c r="D5399" s="31"/>
      <c r="E5399" s="31"/>
      <c r="F5399" s="200"/>
      <c r="G5399" s="75"/>
      <c r="H5399" s="31"/>
    </row>
    <row r="5400" spans="2:8" hidden="1">
      <c r="B5400" s="33"/>
      <c r="C5400" s="31"/>
      <c r="D5400" s="31"/>
      <c r="E5400" s="200"/>
      <c r="F5400" s="200"/>
      <c r="G5400" s="75"/>
      <c r="H5400" s="31"/>
    </row>
    <row r="5401" spans="2:8" hidden="1">
      <c r="B5401" s="33"/>
      <c r="C5401" s="31"/>
      <c r="D5401" s="31"/>
      <c r="E5401" s="301"/>
      <c r="F5401" s="200"/>
      <c r="G5401" s="75"/>
      <c r="H5401" s="31"/>
    </row>
    <row r="5402" spans="2:8" hidden="1">
      <c r="B5402" s="33"/>
      <c r="C5402" s="31"/>
      <c r="D5402" s="31"/>
      <c r="E5402" s="767"/>
      <c r="F5402" s="200"/>
      <c r="G5402" s="75"/>
      <c r="H5402" s="31"/>
    </row>
    <row r="5403" spans="2:8" hidden="1">
      <c r="B5403" s="33"/>
      <c r="C5403" s="31"/>
      <c r="D5403" s="31"/>
      <c r="E5403" s="767"/>
      <c r="F5403" s="200"/>
      <c r="G5403" s="75"/>
      <c r="H5403" s="31"/>
    </row>
    <row r="5404" spans="2:8" hidden="1">
      <c r="B5404" s="33"/>
      <c r="C5404" s="31"/>
      <c r="D5404" s="31"/>
      <c r="E5404" s="767"/>
      <c r="F5404" s="200"/>
      <c r="G5404" s="75"/>
      <c r="H5404" s="31"/>
    </row>
    <row r="5405" spans="2:8" hidden="1">
      <c r="B5405" s="33"/>
      <c r="C5405" s="31"/>
      <c r="D5405" s="31"/>
      <c r="E5405" s="767"/>
      <c r="F5405" s="200"/>
      <c r="G5405" s="75"/>
      <c r="H5405" s="31"/>
    </row>
    <row r="5406" spans="2:8" hidden="1">
      <c r="B5406" s="33"/>
      <c r="C5406" s="31"/>
      <c r="D5406" s="75"/>
      <c r="E5406" s="767"/>
      <c r="F5406" s="200"/>
      <c r="G5406" s="75"/>
      <c r="H5406" s="31"/>
    </row>
    <row r="5407" spans="2:8" hidden="1">
      <c r="B5407" s="33"/>
      <c r="C5407" s="31"/>
      <c r="D5407" s="31"/>
      <c r="E5407" s="767"/>
      <c r="F5407" s="200"/>
      <c r="G5407" s="75"/>
      <c r="H5407" s="31"/>
    </row>
    <row r="5408" spans="2:8" hidden="1">
      <c r="B5408" s="33"/>
      <c r="C5408" s="31"/>
      <c r="D5408" s="31"/>
      <c r="E5408" s="200"/>
      <c r="F5408" s="200"/>
      <c r="G5408" s="75"/>
      <c r="H5408" s="31"/>
    </row>
    <row r="5409" spans="2:8" hidden="1">
      <c r="B5409" s="33"/>
      <c r="C5409" s="31"/>
      <c r="D5409" s="31"/>
      <c r="E5409" s="200"/>
      <c r="F5409" s="200"/>
      <c r="G5409" s="31"/>
      <c r="H5409" s="31"/>
    </row>
    <row r="5410" spans="2:8" hidden="1">
      <c r="B5410" s="33"/>
      <c r="C5410" s="31"/>
      <c r="D5410" s="75"/>
      <c r="E5410" s="76"/>
      <c r="F5410" s="200"/>
      <c r="G5410" s="75"/>
      <c r="H5410" s="31"/>
    </row>
    <row r="5411" spans="2:8" hidden="1">
      <c r="B5411" s="33"/>
      <c r="C5411" s="31"/>
      <c r="D5411" s="198"/>
      <c r="E5411" s="198"/>
      <c r="F5411" s="200"/>
      <c r="G5411" s="75"/>
      <c r="H5411" s="31"/>
    </row>
    <row r="5412" spans="2:8" hidden="1">
      <c r="B5412" s="33"/>
      <c r="C5412" s="31"/>
      <c r="D5412" s="768"/>
      <c r="E5412" s="31"/>
      <c r="F5412" s="200"/>
      <c r="G5412" s="75"/>
      <c r="H5412" s="31"/>
    </row>
    <row r="5413" spans="2:8" hidden="1">
      <c r="B5413" s="33"/>
      <c r="C5413" s="31"/>
      <c r="D5413" s="200"/>
      <c r="E5413" s="31"/>
      <c r="F5413" s="200"/>
      <c r="G5413" s="75"/>
      <c r="H5413" s="31"/>
    </row>
    <row r="5414" spans="2:8" hidden="1">
      <c r="B5414" s="33"/>
      <c r="C5414" s="31"/>
      <c r="D5414" s="31"/>
      <c r="E5414" s="31"/>
      <c r="F5414" s="31"/>
      <c r="G5414" s="31"/>
      <c r="H5414" s="31"/>
    </row>
    <row r="5415" spans="2:8" hidden="1">
      <c r="B5415" s="33"/>
      <c r="C5415" s="31"/>
      <c r="D5415" s="31"/>
      <c r="E5415" s="31"/>
      <c r="F5415" s="31"/>
      <c r="G5415" s="31"/>
      <c r="H5415" s="31"/>
    </row>
    <row r="5416" spans="2:8" hidden="1">
      <c r="B5416" s="33"/>
      <c r="C5416" s="31"/>
      <c r="D5416" s="33"/>
      <c r="E5416" s="31"/>
      <c r="F5416" s="200"/>
      <c r="G5416" s="76"/>
      <c r="H5416" s="31"/>
    </row>
    <row r="5417" spans="2:8" hidden="1">
      <c r="B5417" s="33"/>
      <c r="C5417" s="31"/>
      <c r="D5417" s="31"/>
      <c r="E5417" s="31"/>
      <c r="F5417" s="31"/>
      <c r="G5417" s="31"/>
      <c r="H5417" s="31"/>
    </row>
    <row r="5418" spans="2:8" hidden="1">
      <c r="B5418" s="33"/>
      <c r="C5418" s="31"/>
      <c r="D5418" s="31"/>
      <c r="E5418" s="31"/>
      <c r="F5418" s="31"/>
      <c r="G5418" s="31"/>
      <c r="H5418" s="31"/>
    </row>
    <row r="5419" spans="2:8" hidden="1">
      <c r="B5419" s="33"/>
      <c r="C5419" s="31"/>
      <c r="D5419" s="31"/>
      <c r="E5419" s="31"/>
      <c r="F5419" s="31"/>
      <c r="G5419" s="31"/>
      <c r="H5419" s="31"/>
    </row>
    <row r="5420" spans="2:8" hidden="1">
      <c r="B5420" s="33"/>
      <c r="C5420" s="31"/>
      <c r="D5420" s="31"/>
      <c r="E5420" s="31"/>
      <c r="F5420" s="31"/>
      <c r="G5420" s="31"/>
      <c r="H5420" s="31"/>
    </row>
    <row r="5421" spans="2:8" hidden="1">
      <c r="B5421" s="33"/>
      <c r="C5421" s="31"/>
      <c r="D5421" s="31"/>
      <c r="E5421" s="31"/>
      <c r="F5421" s="31"/>
      <c r="G5421" s="31"/>
      <c r="H5421" s="31"/>
    </row>
    <row r="5422" spans="2:8" hidden="1">
      <c r="B5422" s="33"/>
      <c r="C5422" s="31"/>
      <c r="D5422" s="31"/>
      <c r="E5422" s="31"/>
      <c r="F5422" s="31"/>
      <c r="G5422" s="31"/>
      <c r="H5422" s="31"/>
    </row>
    <row r="5423" spans="2:8" hidden="1">
      <c r="B5423" s="33"/>
      <c r="C5423" s="31"/>
      <c r="D5423" s="31"/>
      <c r="E5423" s="31"/>
      <c r="F5423" s="31"/>
      <c r="G5423" s="31"/>
      <c r="H5423" s="31"/>
    </row>
    <row r="5424" spans="2:8" hidden="1">
      <c r="B5424" s="33"/>
      <c r="C5424" s="31"/>
      <c r="D5424" s="31"/>
      <c r="E5424" s="31"/>
      <c r="F5424" s="31"/>
      <c r="G5424" s="31"/>
      <c r="H5424" s="31"/>
    </row>
    <row r="5425" spans="2:8" hidden="1">
      <c r="B5425" s="33"/>
      <c r="C5425" s="31"/>
      <c r="D5425" s="31"/>
      <c r="E5425" s="31"/>
      <c r="F5425" s="31"/>
      <c r="G5425" s="31"/>
      <c r="H5425" s="31"/>
    </row>
    <row r="5426" spans="2:8" hidden="1">
      <c r="B5426" s="33"/>
      <c r="C5426" s="31"/>
      <c r="D5426" s="31"/>
      <c r="E5426" s="31"/>
      <c r="F5426" s="31"/>
      <c r="G5426" s="31"/>
      <c r="H5426" s="31"/>
    </row>
    <row r="5427" spans="2:8" hidden="1">
      <c r="B5427" s="33"/>
      <c r="C5427" s="31"/>
      <c r="D5427" s="31"/>
      <c r="E5427" s="31"/>
      <c r="F5427" s="31"/>
      <c r="G5427" s="31"/>
      <c r="H5427" s="31"/>
    </row>
    <row r="5428" spans="2:8" hidden="1">
      <c r="B5428" s="33"/>
      <c r="C5428" s="31"/>
      <c r="D5428" s="31"/>
      <c r="E5428" s="31"/>
      <c r="F5428" s="31"/>
      <c r="G5428" s="31"/>
      <c r="H5428" s="31"/>
    </row>
    <row r="5429" spans="2:8" hidden="1">
      <c r="B5429" s="33"/>
      <c r="C5429" s="31"/>
      <c r="D5429" s="31"/>
      <c r="E5429" s="31"/>
      <c r="F5429" s="31"/>
      <c r="G5429" s="31"/>
      <c r="H5429" s="31"/>
    </row>
    <row r="5430" spans="2:8" hidden="1">
      <c r="B5430" s="33"/>
      <c r="C5430" s="31"/>
      <c r="D5430" s="31"/>
      <c r="E5430" s="31"/>
      <c r="F5430" s="31"/>
      <c r="G5430" s="31"/>
      <c r="H5430" s="31"/>
    </row>
    <row r="5431" spans="2:8" hidden="1">
      <c r="B5431" s="33"/>
      <c r="C5431" s="31"/>
      <c r="D5431" s="31"/>
      <c r="E5431" s="31"/>
      <c r="F5431" s="31"/>
      <c r="G5431" s="31"/>
      <c r="H5431" s="31"/>
    </row>
    <row r="5432" spans="2:8" hidden="1">
      <c r="B5432" s="33"/>
      <c r="C5432" s="31"/>
      <c r="D5432" s="31"/>
      <c r="E5432" s="31"/>
      <c r="F5432" s="31"/>
      <c r="G5432" s="31"/>
      <c r="H5432" s="31"/>
    </row>
    <row r="5433" spans="2:8" hidden="1">
      <c r="B5433" s="33"/>
      <c r="C5433" s="31"/>
      <c r="D5433" s="31"/>
      <c r="E5433" s="31"/>
      <c r="F5433" s="31"/>
      <c r="G5433" s="31"/>
      <c r="H5433" s="31"/>
    </row>
    <row r="5434" spans="2:8" hidden="1">
      <c r="B5434" s="33"/>
      <c r="C5434" s="31"/>
      <c r="D5434" s="31"/>
      <c r="E5434" s="31"/>
      <c r="F5434" s="31"/>
      <c r="G5434" s="31"/>
      <c r="H5434" s="31"/>
    </row>
    <row r="5435" spans="2:8" hidden="1">
      <c r="B5435" s="33"/>
      <c r="C5435" s="200"/>
      <c r="D5435" s="31"/>
      <c r="E5435" s="31"/>
      <c r="F5435" s="691"/>
      <c r="G5435" s="31"/>
      <c r="H5435" s="31"/>
    </row>
    <row r="5436" spans="2:8" hidden="1">
      <c r="B5436" s="33"/>
      <c r="C5436" s="31"/>
      <c r="D5436" s="31"/>
      <c r="E5436" s="31"/>
      <c r="F5436" s="691"/>
      <c r="G5436" s="31"/>
      <c r="H5436" s="31"/>
    </row>
    <row r="5437" spans="2:8" hidden="1">
      <c r="B5437" s="33"/>
      <c r="C5437" s="31"/>
      <c r="D5437" s="31"/>
      <c r="E5437" s="31"/>
      <c r="F5437" s="691"/>
      <c r="G5437" s="31"/>
      <c r="H5437" s="31"/>
    </row>
    <row r="5438" spans="2:8" hidden="1">
      <c r="B5438" s="33"/>
      <c r="C5438" s="31"/>
      <c r="D5438" s="31"/>
      <c r="E5438" s="31"/>
      <c r="F5438" s="691"/>
      <c r="G5438" s="31"/>
      <c r="H5438" s="31"/>
    </row>
    <row r="5439" spans="2:8" hidden="1">
      <c r="B5439" s="33"/>
      <c r="C5439" s="31"/>
      <c r="D5439" s="31"/>
      <c r="E5439" s="31"/>
      <c r="F5439" s="731"/>
      <c r="G5439" s="768"/>
      <c r="H5439" s="31"/>
    </row>
    <row r="5440" spans="2:8" hidden="1">
      <c r="B5440" s="33"/>
      <c r="C5440" s="31"/>
      <c r="D5440" s="31"/>
      <c r="E5440" s="31"/>
      <c r="F5440" s="691"/>
      <c r="G5440" s="768"/>
      <c r="H5440" s="31"/>
    </row>
    <row r="5441" spans="2:8" hidden="1">
      <c r="B5441" s="33"/>
      <c r="C5441" s="31"/>
      <c r="D5441" s="31"/>
      <c r="E5441" s="31"/>
      <c r="F5441" s="691"/>
      <c r="G5441" s="768"/>
      <c r="H5441" s="31"/>
    </row>
    <row r="5442" spans="2:8" hidden="1">
      <c r="B5442" s="33"/>
      <c r="C5442" s="31"/>
      <c r="D5442" s="31"/>
      <c r="E5442" s="31"/>
      <c r="F5442" s="691"/>
      <c r="G5442" s="768"/>
      <c r="H5442" s="31"/>
    </row>
    <row r="5443" spans="2:8" hidden="1">
      <c r="B5443" s="33"/>
      <c r="C5443" s="31"/>
      <c r="D5443" s="31"/>
      <c r="E5443" s="31"/>
      <c r="F5443" s="691"/>
      <c r="G5443" s="31"/>
      <c r="H5443" s="31"/>
    </row>
    <row r="5444" spans="2:8" hidden="1">
      <c r="B5444" s="33"/>
      <c r="C5444" s="31"/>
      <c r="D5444" s="31"/>
      <c r="E5444" s="31"/>
      <c r="F5444" s="31"/>
      <c r="G5444" s="31"/>
      <c r="H5444" s="31"/>
    </row>
    <row r="5445" spans="2:8" hidden="1">
      <c r="B5445" s="33"/>
      <c r="C5445" s="31"/>
      <c r="D5445" s="31"/>
      <c r="E5445" s="31"/>
      <c r="F5445" s="31"/>
      <c r="G5445" s="31"/>
      <c r="H5445" s="31"/>
    </row>
    <row r="5446" spans="2:8" hidden="1">
      <c r="B5446" s="200"/>
      <c r="C5446" s="31"/>
      <c r="D5446" s="31"/>
      <c r="E5446" s="31"/>
      <c r="F5446" s="31"/>
      <c r="G5446" s="31"/>
      <c r="H5446" s="31"/>
    </row>
    <row r="5447" spans="2:8" hidden="1">
      <c r="B5447" s="200"/>
      <c r="C5447" s="31"/>
      <c r="D5447" s="31"/>
      <c r="E5447" s="31"/>
      <c r="F5447" s="691"/>
      <c r="G5447" s="75"/>
      <c r="H5447" s="31"/>
    </row>
    <row r="5448" spans="2:8" hidden="1">
      <c r="B5448" s="200"/>
      <c r="C5448" s="31"/>
      <c r="D5448" s="31"/>
      <c r="E5448" s="31"/>
      <c r="F5448" s="691"/>
      <c r="G5448" s="75"/>
      <c r="H5448" s="31"/>
    </row>
    <row r="5449" spans="2:8" hidden="1">
      <c r="B5449" s="200"/>
      <c r="C5449" s="31"/>
      <c r="D5449" s="31"/>
      <c r="E5449" s="31"/>
      <c r="F5449" s="691"/>
      <c r="G5449" s="75"/>
      <c r="H5449" s="31"/>
    </row>
    <row r="5450" spans="2:8" hidden="1">
      <c r="B5450" s="200"/>
      <c r="C5450" s="31"/>
      <c r="D5450" s="31"/>
      <c r="E5450" s="31"/>
      <c r="F5450" s="31"/>
      <c r="G5450" s="75"/>
      <c r="H5450" s="31"/>
    </row>
    <row r="5451" spans="2:8" hidden="1">
      <c r="B5451" s="200"/>
      <c r="C5451" s="31"/>
      <c r="D5451" s="31"/>
      <c r="E5451" s="31"/>
      <c r="F5451" s="691"/>
      <c r="G5451" s="75"/>
      <c r="H5451" s="31"/>
    </row>
    <row r="5452" spans="2:8" hidden="1">
      <c r="B5452" s="200"/>
      <c r="C5452" s="31"/>
      <c r="D5452" s="31"/>
      <c r="E5452" s="31"/>
      <c r="F5452" s="31"/>
      <c r="G5452" s="75"/>
      <c r="H5452" s="31"/>
    </row>
    <row r="5453" spans="2:8" hidden="1">
      <c r="B5453" s="200"/>
      <c r="C5453" s="31"/>
      <c r="D5453" s="31"/>
      <c r="E5453" s="31"/>
      <c r="F5453" s="691"/>
      <c r="G5453" s="75"/>
      <c r="H5453" s="31"/>
    </row>
    <row r="5454" spans="2:8" hidden="1">
      <c r="B5454" s="200"/>
      <c r="C5454" s="31"/>
      <c r="D5454" s="31"/>
      <c r="E5454" s="31"/>
      <c r="F5454" s="31"/>
      <c r="G5454" s="75"/>
      <c r="H5454" s="31"/>
    </row>
    <row r="5455" spans="2:8" hidden="1">
      <c r="B5455" s="200"/>
      <c r="C5455" s="31"/>
      <c r="D5455" s="31"/>
      <c r="E5455" s="31"/>
      <c r="F5455" s="691"/>
      <c r="G5455" s="75"/>
      <c r="H5455" s="31"/>
    </row>
    <row r="5456" spans="2:8" hidden="1">
      <c r="B5456" s="200"/>
      <c r="C5456" s="31"/>
      <c r="D5456" s="31"/>
      <c r="E5456" s="31"/>
      <c r="F5456" s="31"/>
      <c r="G5456" s="75"/>
      <c r="H5456" s="31"/>
    </row>
    <row r="5457" spans="2:8" hidden="1">
      <c r="B5457" s="200"/>
      <c r="C5457" s="31"/>
      <c r="D5457" s="31"/>
      <c r="E5457" s="31"/>
      <c r="F5457" s="691"/>
      <c r="G5457" s="75"/>
      <c r="H5457" s="31"/>
    </row>
    <row r="5458" spans="2:8" hidden="1">
      <c r="B5458" s="200"/>
      <c r="C5458" s="31"/>
      <c r="D5458" s="31"/>
      <c r="E5458" s="31"/>
      <c r="F5458" s="691"/>
      <c r="G5458" s="31"/>
      <c r="H5458" s="31"/>
    </row>
    <row r="5459" spans="2:8" hidden="1">
      <c r="B5459" s="200"/>
      <c r="C5459" s="31"/>
      <c r="D5459" s="31"/>
      <c r="E5459" s="31"/>
      <c r="F5459" s="31"/>
      <c r="G5459" s="31"/>
      <c r="H5459" s="31"/>
    </row>
    <row r="5460" spans="2:8" hidden="1">
      <c r="B5460" s="33"/>
      <c r="C5460" s="31"/>
      <c r="D5460" s="31"/>
      <c r="E5460" s="31"/>
      <c r="F5460" s="691"/>
      <c r="G5460" s="31"/>
      <c r="H5460" s="31"/>
    </row>
    <row r="5461" spans="2:8" hidden="1">
      <c r="B5461" s="33"/>
      <c r="C5461" s="31"/>
      <c r="D5461" s="31"/>
      <c r="E5461" s="31"/>
      <c r="F5461" s="691"/>
      <c r="G5461" s="31"/>
      <c r="H5461" s="31"/>
    </row>
    <row r="5462" spans="2:8" hidden="1">
      <c r="B5462" s="33"/>
      <c r="C5462" s="31"/>
      <c r="D5462" s="31"/>
      <c r="E5462" s="31"/>
      <c r="F5462" s="31"/>
      <c r="G5462" s="31"/>
      <c r="H5462" s="31"/>
    </row>
    <row r="5463" spans="2:8" hidden="1">
      <c r="B5463" s="33"/>
      <c r="C5463" s="31"/>
      <c r="D5463" s="31"/>
      <c r="E5463" s="31"/>
      <c r="F5463" s="691"/>
      <c r="G5463" s="31"/>
      <c r="H5463" s="31"/>
    </row>
    <row r="5464" spans="2:8" hidden="1">
      <c r="B5464" s="33"/>
      <c r="C5464" s="31"/>
      <c r="D5464" s="31"/>
      <c r="E5464" s="31"/>
      <c r="F5464" s="691"/>
      <c r="G5464" s="31"/>
      <c r="H5464" s="31"/>
    </row>
    <row r="5465" spans="2:8" hidden="1">
      <c r="B5465" s="33"/>
      <c r="C5465" s="31"/>
      <c r="D5465" s="31"/>
      <c r="E5465" s="200"/>
      <c r="F5465" s="691"/>
      <c r="G5465" s="31"/>
      <c r="H5465" s="31"/>
    </row>
    <row r="5466" spans="2:8" hidden="1">
      <c r="B5466" s="33"/>
      <c r="C5466" s="31"/>
      <c r="D5466" s="31"/>
      <c r="E5466" s="31"/>
      <c r="F5466" s="691"/>
      <c r="G5466" s="31"/>
      <c r="H5466" s="31"/>
    </row>
    <row r="5467" spans="2:8" hidden="1">
      <c r="B5467" s="33"/>
      <c r="C5467" s="31"/>
      <c r="D5467" s="31"/>
      <c r="E5467" s="31"/>
      <c r="F5467" s="691"/>
      <c r="G5467" s="31"/>
      <c r="H5467" s="31"/>
    </row>
    <row r="5468" spans="2:8" hidden="1">
      <c r="B5468" s="33"/>
      <c r="C5468" s="31"/>
      <c r="D5468" s="31"/>
      <c r="E5468" s="31"/>
      <c r="F5468" s="691"/>
      <c r="G5468" s="31"/>
      <c r="H5468" s="31"/>
    </row>
    <row r="5469" spans="2:8" hidden="1">
      <c r="B5469" s="33"/>
      <c r="C5469" s="31"/>
      <c r="D5469" s="31"/>
      <c r="E5469" s="31"/>
      <c r="F5469" s="691"/>
      <c r="G5469" s="31"/>
      <c r="H5469" s="31"/>
    </row>
    <row r="5470" spans="2:8" hidden="1">
      <c r="B5470" s="33"/>
      <c r="C5470" s="31"/>
      <c r="D5470" s="31"/>
      <c r="E5470" s="31"/>
      <c r="F5470" s="691"/>
      <c r="G5470" s="31"/>
      <c r="H5470" s="31"/>
    </row>
    <row r="5471" spans="2:8" hidden="1">
      <c r="B5471" s="33"/>
      <c r="C5471" s="31"/>
      <c r="D5471" s="31"/>
      <c r="E5471" s="31"/>
      <c r="F5471" s="691"/>
      <c r="G5471" s="31"/>
      <c r="H5471" s="31"/>
    </row>
    <row r="5472" spans="2:8" hidden="1">
      <c r="B5472" s="33"/>
      <c r="C5472" s="31"/>
      <c r="D5472" s="31"/>
      <c r="E5472" s="31"/>
      <c r="F5472" s="691"/>
      <c r="G5472" s="31"/>
      <c r="H5472" s="31"/>
    </row>
    <row r="5473" spans="2:8" hidden="1">
      <c r="B5473" s="33"/>
      <c r="C5473" s="31"/>
      <c r="D5473" s="31"/>
      <c r="E5473" s="31"/>
      <c r="F5473" s="691"/>
      <c r="G5473" s="31"/>
      <c r="H5473" s="31"/>
    </row>
    <row r="5474" spans="2:8" hidden="1">
      <c r="B5474" s="33"/>
      <c r="C5474" s="31"/>
      <c r="D5474" s="31"/>
      <c r="E5474" s="31"/>
      <c r="F5474" s="691"/>
      <c r="G5474" s="31"/>
      <c r="H5474" s="31"/>
    </row>
    <row r="5475" spans="2:8" hidden="1">
      <c r="B5475" s="33"/>
      <c r="C5475" s="31"/>
      <c r="D5475" s="31"/>
      <c r="E5475" s="31"/>
      <c r="F5475" s="691"/>
      <c r="G5475" s="31"/>
      <c r="H5475" s="31"/>
    </row>
    <row r="5476" spans="2:8" hidden="1">
      <c r="B5476" s="33"/>
      <c r="C5476" s="31"/>
      <c r="D5476" s="31"/>
      <c r="E5476" s="31"/>
      <c r="F5476" s="691"/>
      <c r="G5476" s="31"/>
      <c r="H5476" s="31"/>
    </row>
    <row r="5477" spans="2:8" hidden="1">
      <c r="B5477" s="33"/>
      <c r="C5477" s="31"/>
      <c r="D5477" s="31"/>
      <c r="E5477" s="200"/>
      <c r="F5477" s="691"/>
      <c r="G5477" s="31"/>
      <c r="H5477" s="31"/>
    </row>
    <row r="5478" spans="2:8" hidden="1">
      <c r="B5478" s="33"/>
      <c r="C5478" s="31"/>
      <c r="D5478" s="31"/>
      <c r="E5478" s="31"/>
      <c r="F5478" s="691"/>
      <c r="G5478" s="31"/>
      <c r="H5478" s="31"/>
    </row>
    <row r="5479" spans="2:8" hidden="1">
      <c r="B5479" s="33"/>
      <c r="C5479" s="31"/>
      <c r="D5479" s="31"/>
      <c r="E5479" s="31"/>
      <c r="F5479" s="691"/>
      <c r="G5479" s="31"/>
      <c r="H5479" s="31"/>
    </row>
    <row r="5480" spans="2:8" hidden="1">
      <c r="B5480" s="33"/>
      <c r="C5480" s="31"/>
      <c r="D5480" s="31"/>
      <c r="E5480" s="31"/>
      <c r="F5480" s="691"/>
      <c r="G5480" s="31"/>
      <c r="H5480" s="31"/>
    </row>
    <row r="5481" spans="2:8" hidden="1">
      <c r="B5481" s="33"/>
      <c r="C5481" s="31"/>
      <c r="D5481" s="31"/>
      <c r="E5481" s="31"/>
      <c r="F5481" s="691"/>
      <c r="G5481" s="31"/>
      <c r="H5481" s="31"/>
    </row>
    <row r="5482" spans="2:8" hidden="1">
      <c r="B5482" s="33"/>
      <c r="C5482" s="31"/>
      <c r="D5482" s="31"/>
      <c r="E5482" s="31"/>
      <c r="F5482" s="691"/>
      <c r="G5482" s="31"/>
      <c r="H5482" s="31"/>
    </row>
    <row r="5483" spans="2:8" hidden="1">
      <c r="B5483" s="33"/>
      <c r="C5483" s="31"/>
      <c r="D5483" s="31"/>
      <c r="E5483" s="31"/>
      <c r="F5483" s="691"/>
      <c r="G5483" s="31"/>
      <c r="H5483" s="31"/>
    </row>
    <row r="5484" spans="2:8" hidden="1">
      <c r="B5484" s="33"/>
      <c r="C5484" s="31"/>
      <c r="D5484" s="31"/>
      <c r="E5484" s="31"/>
      <c r="F5484" s="691"/>
      <c r="G5484" s="31"/>
      <c r="H5484" s="31"/>
    </row>
    <row r="5485" spans="2:8" hidden="1">
      <c r="B5485" s="33"/>
      <c r="C5485" s="31"/>
      <c r="D5485" s="31"/>
      <c r="E5485" s="31"/>
      <c r="F5485" s="691"/>
      <c r="G5485" s="31"/>
      <c r="H5485" s="31"/>
    </row>
    <row r="5486" spans="2:8" hidden="1">
      <c r="B5486" s="33"/>
      <c r="C5486" s="31"/>
      <c r="D5486" s="31"/>
      <c r="E5486" s="31"/>
      <c r="F5486" s="691"/>
      <c r="G5486" s="31"/>
      <c r="H5486" s="31"/>
    </row>
    <row r="5487" spans="2:8" hidden="1">
      <c r="B5487" s="33"/>
      <c r="C5487" s="31"/>
      <c r="D5487" s="31"/>
      <c r="E5487" s="31"/>
      <c r="F5487" s="691"/>
      <c r="G5487" s="31"/>
      <c r="H5487" s="31"/>
    </row>
    <row r="5488" spans="2:8" hidden="1">
      <c r="B5488" s="33"/>
      <c r="C5488" s="31"/>
      <c r="D5488" s="31"/>
      <c r="E5488" s="31"/>
      <c r="F5488" s="691"/>
      <c r="G5488" s="31"/>
      <c r="H5488" s="31"/>
    </row>
    <row r="5489" spans="2:8" hidden="1">
      <c r="B5489" s="33"/>
      <c r="C5489" s="31"/>
      <c r="D5489" s="31"/>
      <c r="E5489" s="31"/>
      <c r="F5489" s="691"/>
      <c r="G5489" s="31"/>
      <c r="H5489" s="31"/>
    </row>
    <row r="5490" spans="2:8" hidden="1">
      <c r="B5490" s="33"/>
      <c r="C5490" s="31"/>
      <c r="D5490" s="31"/>
      <c r="E5490" s="31"/>
      <c r="F5490" s="691"/>
      <c r="G5490" s="31"/>
      <c r="H5490" s="31"/>
    </row>
    <row r="5491" spans="2:8" hidden="1">
      <c r="B5491" s="33"/>
      <c r="C5491" s="31"/>
      <c r="D5491" s="31"/>
      <c r="E5491" s="31"/>
      <c r="F5491" s="31"/>
      <c r="G5491" s="31"/>
      <c r="H5491" s="31"/>
    </row>
    <row r="5492" spans="2:8" hidden="1">
      <c r="B5492" s="33"/>
      <c r="C5492" s="31"/>
      <c r="D5492" s="31"/>
      <c r="E5492" s="31"/>
      <c r="F5492" s="31"/>
      <c r="G5492" s="31"/>
      <c r="H5492" s="31"/>
    </row>
    <row r="5493" spans="2:8" hidden="1">
      <c r="B5493" s="33"/>
      <c r="C5493" s="31"/>
      <c r="D5493" s="31"/>
      <c r="E5493" s="31"/>
      <c r="F5493" s="31"/>
      <c r="G5493" s="31"/>
      <c r="H5493" s="31"/>
    </row>
    <row r="5494" spans="2:8" hidden="1">
      <c r="B5494" s="33"/>
      <c r="C5494" s="31"/>
      <c r="D5494" s="31"/>
      <c r="E5494" s="31"/>
      <c r="F5494" s="31"/>
      <c r="G5494" s="31"/>
      <c r="H5494" s="31"/>
    </row>
    <row r="5495" spans="2:8" hidden="1">
      <c r="B5495" s="33"/>
      <c r="C5495" s="31"/>
      <c r="D5495" s="31"/>
      <c r="E5495" s="31"/>
      <c r="F5495" s="31"/>
      <c r="G5495" s="31"/>
      <c r="H5495" s="31"/>
    </row>
    <row r="5496" spans="2:8" hidden="1">
      <c r="B5496" s="33"/>
      <c r="C5496" s="31"/>
      <c r="D5496" s="31"/>
      <c r="E5496" s="31"/>
      <c r="F5496" s="31"/>
      <c r="G5496" s="31"/>
      <c r="H5496" s="31"/>
    </row>
    <row r="5497" spans="2:8" hidden="1">
      <c r="B5497" s="33"/>
      <c r="C5497" s="31"/>
      <c r="D5497" s="31"/>
      <c r="E5497" s="31"/>
      <c r="F5497" s="31"/>
      <c r="G5497" s="31"/>
      <c r="H5497" s="31"/>
    </row>
    <row r="5498" spans="2:8" hidden="1">
      <c r="B5498" s="33"/>
      <c r="C5498" s="31"/>
      <c r="D5498" s="31"/>
      <c r="E5498" s="31"/>
      <c r="F5498" s="33"/>
      <c r="G5498" s="31"/>
      <c r="H5498" s="31"/>
    </row>
    <row r="5499" spans="2:8" hidden="1">
      <c r="B5499" s="33"/>
      <c r="C5499" s="31"/>
      <c r="D5499" s="33"/>
      <c r="E5499" s="33"/>
      <c r="F5499" s="33"/>
      <c r="G5499" s="33"/>
      <c r="H5499" s="31"/>
    </row>
    <row r="5500" spans="2:8" hidden="1">
      <c r="B5500" s="33"/>
      <c r="C5500" s="31"/>
      <c r="D5500" s="33"/>
      <c r="E5500" s="33"/>
      <c r="F5500" s="33"/>
      <c r="G5500" s="33"/>
      <c r="H5500" s="31"/>
    </row>
    <row r="5501" spans="2:8" hidden="1">
      <c r="B5501" s="33"/>
      <c r="C5501" s="31"/>
      <c r="D5501" s="33"/>
      <c r="E5501" s="33"/>
      <c r="F5501" s="33"/>
      <c r="G5501" s="33"/>
      <c r="H5501" s="31"/>
    </row>
    <row r="5502" spans="2:8" hidden="1">
      <c r="B5502" s="33"/>
      <c r="C5502" s="31"/>
      <c r="D5502" s="33"/>
      <c r="E5502" s="33"/>
      <c r="F5502" s="33"/>
      <c r="G5502" s="33"/>
      <c r="H5502" s="31"/>
    </row>
    <row r="5503" spans="2:8" hidden="1">
      <c r="B5503" s="33"/>
      <c r="C5503" s="33"/>
      <c r="D5503" s="33"/>
      <c r="E5503" s="33"/>
      <c r="F5503" s="33"/>
      <c r="G5503" s="33"/>
      <c r="H5503" s="31"/>
    </row>
    <row r="5504" spans="2:8" hidden="1">
      <c r="B5504" s="33"/>
      <c r="C5504" s="31"/>
      <c r="D5504" s="31"/>
      <c r="E5504" s="31"/>
      <c r="F5504" s="31"/>
      <c r="G5504" s="31"/>
      <c r="H5504" s="31"/>
    </row>
    <row r="5505" spans="2:8" hidden="1">
      <c r="B5505" s="33"/>
      <c r="C5505" s="31"/>
      <c r="D5505" s="31"/>
      <c r="E5505" s="31"/>
      <c r="F5505" s="31"/>
      <c r="G5505" s="31"/>
      <c r="H5505" s="31"/>
    </row>
    <row r="5506" spans="2:8" hidden="1">
      <c r="B5506" s="33"/>
      <c r="C5506" s="31"/>
      <c r="D5506" s="31"/>
      <c r="E5506" s="31"/>
      <c r="F5506" s="31"/>
      <c r="G5506" s="31"/>
      <c r="H5506" s="31"/>
    </row>
    <row r="5507" spans="2:8" hidden="1">
      <c r="B5507" s="33"/>
      <c r="C5507" s="31"/>
      <c r="D5507" s="31"/>
      <c r="E5507" s="31"/>
      <c r="F5507" s="31"/>
      <c r="G5507" s="31"/>
      <c r="H5507" s="31"/>
    </row>
    <row r="5508" spans="2:8" hidden="1">
      <c r="B5508" s="33"/>
      <c r="C5508" s="31"/>
      <c r="D5508" s="31"/>
      <c r="E5508" s="31"/>
      <c r="F5508" s="31"/>
      <c r="G5508" s="31"/>
      <c r="H5508" s="31"/>
    </row>
    <row r="5509" spans="2:8" hidden="1">
      <c r="B5509" s="33"/>
      <c r="C5509" s="31"/>
      <c r="D5509" s="31"/>
      <c r="E5509" s="31"/>
      <c r="F5509" s="31"/>
      <c r="G5509" s="31"/>
      <c r="H5509" s="31"/>
    </row>
    <row r="5510" spans="2:8" hidden="1">
      <c r="B5510" s="33"/>
      <c r="C5510" s="31"/>
      <c r="D5510" s="31"/>
      <c r="E5510" s="31"/>
      <c r="F5510" s="31"/>
      <c r="G5510" s="31"/>
      <c r="H5510" s="31"/>
    </row>
    <row r="5511" spans="2:8" hidden="1">
      <c r="B5511" s="33"/>
      <c r="C5511" s="31"/>
      <c r="D5511" s="31"/>
      <c r="E5511" s="31"/>
      <c r="F5511" s="31"/>
      <c r="G5511" s="31"/>
      <c r="H5511" s="31"/>
    </row>
    <row r="5512" spans="2:8" hidden="1">
      <c r="B5512" s="33"/>
      <c r="C5512" s="31"/>
      <c r="D5512" s="31"/>
      <c r="E5512" s="31"/>
      <c r="F5512" s="31"/>
      <c r="G5512" s="31"/>
      <c r="H5512" s="31"/>
    </row>
    <row r="5513" spans="2:8" hidden="1">
      <c r="B5513" s="33"/>
      <c r="C5513" s="31"/>
      <c r="D5513" s="31"/>
      <c r="E5513" s="31"/>
      <c r="F5513" s="31"/>
      <c r="G5513" s="31"/>
      <c r="H5513" s="31"/>
    </row>
    <row r="5514" spans="2:8" hidden="1">
      <c r="B5514" s="33"/>
      <c r="C5514" s="31"/>
      <c r="D5514" s="31"/>
      <c r="E5514" s="31"/>
      <c r="F5514" s="31"/>
      <c r="G5514" s="31"/>
      <c r="H5514" s="31"/>
    </row>
    <row r="5515" spans="2:8" hidden="1">
      <c r="B5515" s="33"/>
      <c r="C5515" s="31"/>
      <c r="D5515" s="31"/>
      <c r="E5515" s="31"/>
      <c r="F5515" s="31"/>
      <c r="G5515" s="31"/>
      <c r="H5515" s="31"/>
    </row>
    <row r="5516" spans="2:8" hidden="1">
      <c r="B5516" s="33"/>
      <c r="C5516" s="31"/>
      <c r="D5516" s="75"/>
      <c r="E5516" s="31"/>
      <c r="F5516" s="405"/>
      <c r="G5516" s="75"/>
      <c r="H5516" s="31"/>
    </row>
    <row r="5517" spans="2:8" hidden="1">
      <c r="B5517" s="33"/>
      <c r="C5517" s="31"/>
      <c r="D5517" s="31"/>
      <c r="E5517" s="31"/>
      <c r="F5517" s="691"/>
      <c r="G5517" s="732"/>
      <c r="H5517" s="31"/>
    </row>
    <row r="5518" spans="2:8" hidden="1">
      <c r="B5518" s="33"/>
      <c r="C5518" s="31"/>
      <c r="D5518" s="31"/>
      <c r="E5518" s="31"/>
      <c r="F5518" s="405"/>
      <c r="G5518" s="75"/>
      <c r="H5518" s="31"/>
    </row>
    <row r="5519" spans="2:8" hidden="1">
      <c r="B5519" s="33"/>
      <c r="C5519" s="31"/>
      <c r="D5519" s="75"/>
      <c r="E5519" s="31"/>
      <c r="F5519" s="405"/>
      <c r="G5519" s="75"/>
      <c r="H5519" s="31"/>
    </row>
    <row r="5520" spans="2:8" hidden="1">
      <c r="B5520" s="33"/>
      <c r="C5520" s="31"/>
      <c r="D5520" s="31"/>
      <c r="E5520" s="31"/>
      <c r="F5520" s="691"/>
      <c r="G5520" s="732"/>
      <c r="H5520" s="31"/>
    </row>
    <row r="5521" spans="2:8" hidden="1">
      <c r="B5521" s="33"/>
      <c r="C5521" s="31"/>
      <c r="D5521" s="31"/>
      <c r="E5521" s="31"/>
      <c r="F5521" s="405"/>
      <c r="G5521" s="75"/>
      <c r="H5521" s="31"/>
    </row>
    <row r="5522" spans="2:8" hidden="1">
      <c r="B5522" s="33"/>
      <c r="C5522" s="31"/>
      <c r="D5522" s="31"/>
      <c r="E5522" s="31"/>
      <c r="F5522" s="31"/>
      <c r="G5522" s="31"/>
      <c r="H5522" s="31"/>
    </row>
    <row r="5523" spans="2:8" hidden="1">
      <c r="B5523" s="33"/>
      <c r="C5523" s="200"/>
      <c r="D5523" s="31"/>
      <c r="E5523" s="200"/>
      <c r="F5523" s="769"/>
      <c r="G5523" s="31"/>
      <c r="H5523" s="31"/>
    </row>
    <row r="5524" spans="2:8" hidden="1">
      <c r="B5524" s="76"/>
      <c r="C5524" s="31"/>
      <c r="D5524" s="31"/>
      <c r="E5524" s="31"/>
      <c r="F5524" s="75"/>
      <c r="G5524" s="31"/>
      <c r="H5524" s="31"/>
    </row>
    <row r="5525" spans="2:8" hidden="1">
      <c r="B5525" s="33"/>
      <c r="C5525" s="33"/>
      <c r="D5525" s="33"/>
      <c r="E5525" s="33"/>
      <c r="F5525" s="33"/>
      <c r="G5525" s="33"/>
      <c r="H5525" s="31"/>
    </row>
    <row r="5526" spans="2:8" hidden="1">
      <c r="B5526" s="33"/>
      <c r="C5526" s="31"/>
      <c r="D5526" s="33"/>
      <c r="E5526" s="33"/>
      <c r="F5526" s="33"/>
      <c r="G5526" s="33"/>
      <c r="H5526" s="31"/>
    </row>
    <row r="5527" spans="2:8" hidden="1">
      <c r="B5527" s="405"/>
      <c r="C5527" s="76"/>
      <c r="D5527" s="731"/>
      <c r="E5527" s="75"/>
      <c r="F5527" s="75"/>
      <c r="G5527" s="75"/>
      <c r="H5527" s="31"/>
    </row>
    <row r="5528" spans="2:8" hidden="1">
      <c r="B5528" s="405"/>
      <c r="C5528" s="76"/>
      <c r="D5528" s="731"/>
      <c r="E5528" s="75"/>
      <c r="F5528" s="75"/>
      <c r="G5528" s="75"/>
      <c r="H5528" s="31"/>
    </row>
    <row r="5529" spans="2:8" hidden="1">
      <c r="B5529" s="405"/>
      <c r="C5529" s="76"/>
      <c r="D5529" s="731"/>
      <c r="E5529" s="75"/>
      <c r="F5529" s="75"/>
      <c r="G5529" s="75"/>
      <c r="H5529" s="31"/>
    </row>
    <row r="5530" spans="2:8" hidden="1">
      <c r="B5530" s="405"/>
      <c r="C5530" s="76"/>
      <c r="D5530" s="731"/>
      <c r="E5530" s="75"/>
      <c r="F5530" s="75"/>
      <c r="G5530" s="75"/>
      <c r="H5530" s="31"/>
    </row>
    <row r="5531" spans="2:8" hidden="1">
      <c r="B5531" s="405"/>
      <c r="C5531" s="76"/>
      <c r="D5531" s="731"/>
      <c r="E5531" s="75"/>
      <c r="F5531" s="75"/>
      <c r="G5531" s="75"/>
      <c r="H5531" s="31"/>
    </row>
    <row r="5532" spans="2:8" hidden="1">
      <c r="B5532" s="30"/>
      <c r="C5532" s="76"/>
      <c r="D5532" s="731"/>
      <c r="E5532" s="75"/>
      <c r="F5532" s="75"/>
      <c r="G5532" s="75"/>
      <c r="H5532" s="31"/>
    </row>
    <row r="5533" spans="2:8" hidden="1">
      <c r="B5533" s="405"/>
      <c r="C5533" s="76"/>
      <c r="D5533" s="731"/>
      <c r="E5533" s="75"/>
      <c r="F5533" s="75"/>
      <c r="G5533" s="75"/>
      <c r="H5533" s="31"/>
    </row>
    <row r="5534" spans="2:8" hidden="1">
      <c r="B5534" s="405"/>
      <c r="C5534" s="76"/>
      <c r="D5534" s="731"/>
      <c r="E5534" s="75"/>
      <c r="F5534" s="75"/>
      <c r="G5534" s="75"/>
      <c r="H5534" s="31"/>
    </row>
    <row r="5535" spans="2:8" hidden="1">
      <c r="B5535" s="405"/>
      <c r="C5535" s="76"/>
      <c r="D5535" s="731"/>
      <c r="E5535" s="75"/>
      <c r="F5535" s="75"/>
      <c r="G5535" s="75"/>
      <c r="H5535" s="31"/>
    </row>
    <row r="5536" spans="2:8" hidden="1">
      <c r="B5536" s="405"/>
      <c r="C5536" s="76"/>
      <c r="D5536" s="731"/>
      <c r="E5536" s="75"/>
      <c r="F5536" s="75"/>
      <c r="G5536" s="75"/>
      <c r="H5536" s="31"/>
    </row>
    <row r="5537" spans="2:8" hidden="1">
      <c r="B5537" s="405"/>
      <c r="C5537" s="76"/>
      <c r="D5537" s="731"/>
      <c r="E5537" s="75"/>
      <c r="F5537" s="75"/>
      <c r="G5537" s="75"/>
      <c r="H5537" s="31"/>
    </row>
    <row r="5538" spans="2:8" hidden="1">
      <c r="B5538" s="405"/>
      <c r="C5538" s="76"/>
      <c r="D5538" s="731"/>
      <c r="E5538" s="75"/>
      <c r="F5538" s="75"/>
      <c r="G5538" s="75"/>
      <c r="H5538" s="31"/>
    </row>
    <row r="5539" spans="2:8" hidden="1">
      <c r="B5539" s="405"/>
      <c r="C5539" s="76"/>
      <c r="D5539" s="731"/>
      <c r="E5539" s="75"/>
      <c r="F5539" s="75"/>
      <c r="G5539" s="75"/>
      <c r="H5539" s="31"/>
    </row>
    <row r="5540" spans="2:8" hidden="1">
      <c r="B5540" s="405"/>
      <c r="C5540" s="76"/>
      <c r="D5540" s="731"/>
      <c r="E5540" s="75"/>
      <c r="F5540" s="75"/>
      <c r="G5540" s="75"/>
      <c r="H5540" s="31"/>
    </row>
    <row r="5541" spans="2:8" hidden="1">
      <c r="B5541" s="405"/>
      <c r="C5541" s="76"/>
      <c r="D5541" s="731"/>
      <c r="E5541" s="75"/>
      <c r="F5541" s="75"/>
      <c r="G5541" s="75"/>
      <c r="H5541" s="31"/>
    </row>
    <row r="5542" spans="2:8" hidden="1">
      <c r="B5542" s="30"/>
      <c r="C5542" s="76"/>
      <c r="D5542" s="731"/>
      <c r="E5542" s="75"/>
      <c r="F5542" s="75"/>
      <c r="G5542" s="75"/>
      <c r="H5542" s="31"/>
    </row>
    <row r="5543" spans="2:8" hidden="1">
      <c r="B5543" s="30"/>
      <c r="C5543" s="76"/>
      <c r="D5543" s="731"/>
      <c r="E5543" s="75"/>
      <c r="F5543" s="75"/>
      <c r="G5543" s="75"/>
      <c r="H5543" s="31"/>
    </row>
    <row r="5544" spans="2:8" hidden="1">
      <c r="B5544" s="30"/>
      <c r="C5544" s="76"/>
      <c r="D5544" s="731"/>
      <c r="E5544" s="75"/>
      <c r="F5544" s="75"/>
      <c r="G5544" s="75"/>
      <c r="H5544" s="31"/>
    </row>
    <row r="5545" spans="2:8" hidden="1">
      <c r="B5545" s="30"/>
      <c r="C5545" s="76"/>
      <c r="D5545" s="731"/>
      <c r="E5545" s="75"/>
      <c r="F5545" s="75"/>
      <c r="G5545" s="75"/>
      <c r="H5545" s="31"/>
    </row>
    <row r="5546" spans="2:8" hidden="1">
      <c r="B5546" s="30"/>
      <c r="C5546" s="76"/>
      <c r="D5546" s="731"/>
      <c r="E5546" s="75"/>
      <c r="F5546" s="75"/>
      <c r="G5546" s="75"/>
      <c r="H5546" s="31"/>
    </row>
    <row r="5547" spans="2:8" hidden="1">
      <c r="B5547" s="30"/>
      <c r="C5547" s="76"/>
      <c r="D5547" s="731"/>
      <c r="E5547" s="75"/>
      <c r="F5547" s="75"/>
      <c r="G5547" s="75"/>
      <c r="H5547" s="31"/>
    </row>
    <row r="5548" spans="2:8" hidden="1">
      <c r="B5548" s="30"/>
      <c r="C5548" s="76"/>
      <c r="D5548" s="731"/>
      <c r="E5548" s="75"/>
      <c r="F5548" s="75"/>
      <c r="G5548" s="75"/>
      <c r="H5548" s="31"/>
    </row>
    <row r="5549" spans="2:8" hidden="1">
      <c r="B5549" s="30"/>
      <c r="C5549" s="76"/>
      <c r="D5549" s="731"/>
      <c r="E5549" s="75"/>
      <c r="F5549" s="75"/>
      <c r="G5549" s="75"/>
      <c r="H5549" s="31"/>
    </row>
    <row r="5550" spans="2:8" hidden="1">
      <c r="B5550" s="33"/>
      <c r="C5550" s="31"/>
      <c r="D5550" s="31"/>
      <c r="E5550" s="200"/>
      <c r="F5550" s="200"/>
      <c r="G5550" s="75"/>
      <c r="H5550" s="31"/>
    </row>
    <row r="5551" spans="2:8" hidden="1">
      <c r="B5551" s="33"/>
      <c r="C5551" s="31"/>
      <c r="D5551" s="31"/>
      <c r="E5551" s="198"/>
      <c r="F5551" s="200"/>
      <c r="G5551" s="75"/>
      <c r="H5551" s="31"/>
    </row>
    <row r="5552" spans="2:8" hidden="1">
      <c r="B5552" s="33"/>
      <c r="C5552" s="31"/>
      <c r="D5552" s="31"/>
      <c r="E5552" s="198"/>
      <c r="F5552" s="200"/>
      <c r="G5552" s="75"/>
      <c r="H5552" s="31"/>
    </row>
    <row r="5553" spans="2:8" hidden="1">
      <c r="B5553" s="33"/>
      <c r="C5553" s="31"/>
      <c r="D5553" s="31"/>
      <c r="E5553" s="198"/>
      <c r="F5553" s="200"/>
      <c r="G5553" s="75"/>
      <c r="H5553" s="31"/>
    </row>
    <row r="5554" spans="2:8" hidden="1">
      <c r="B5554" s="33"/>
      <c r="C5554" s="200"/>
      <c r="D5554" s="30"/>
      <c r="E5554" s="30"/>
      <c r="F5554" s="200"/>
      <c r="G5554" s="75"/>
      <c r="H5554" s="31"/>
    </row>
    <row r="5555" spans="2:8" hidden="1">
      <c r="B5555" s="33"/>
      <c r="C5555" s="31"/>
      <c r="D5555" s="31"/>
      <c r="E5555" s="31"/>
      <c r="F5555" s="31"/>
      <c r="G5555" s="31"/>
      <c r="H5555" s="31"/>
    </row>
    <row r="5556" spans="2:8" hidden="1">
      <c r="B5556" s="76"/>
      <c r="C5556" s="31"/>
      <c r="D5556" s="31"/>
      <c r="E5556" s="31"/>
      <c r="F5556" s="31"/>
      <c r="G5556" s="31"/>
      <c r="H5556" s="31"/>
    </row>
    <row r="5557" spans="2:8" hidden="1">
      <c r="B5557" s="33"/>
      <c r="C5557" s="33"/>
      <c r="D5557" s="33"/>
      <c r="E5557" s="33"/>
      <c r="F5557" s="33"/>
      <c r="G5557" s="33"/>
      <c r="H5557" s="31"/>
    </row>
    <row r="5558" spans="2:8" hidden="1">
      <c r="B5558" s="33"/>
      <c r="C5558" s="31"/>
      <c r="D5558" s="33"/>
      <c r="E5558" s="33"/>
      <c r="F5558" s="33"/>
      <c r="G5558" s="33"/>
      <c r="H5558" s="31"/>
    </row>
    <row r="5559" spans="2:8" hidden="1">
      <c r="B5559" s="405"/>
      <c r="C5559" s="76"/>
      <c r="D5559" s="731"/>
      <c r="E5559" s="75"/>
      <c r="F5559" s="75"/>
      <c r="G5559" s="75"/>
      <c r="H5559" s="31"/>
    </row>
    <row r="5560" spans="2:8" hidden="1">
      <c r="B5560" s="405"/>
      <c r="C5560" s="76"/>
      <c r="D5560" s="731"/>
      <c r="E5560" s="75"/>
      <c r="F5560" s="75"/>
      <c r="G5560" s="75"/>
      <c r="H5560" s="31"/>
    </row>
    <row r="5561" spans="2:8" hidden="1">
      <c r="B5561" s="405"/>
      <c r="C5561" s="76"/>
      <c r="D5561" s="731"/>
      <c r="E5561" s="75"/>
      <c r="F5561" s="75"/>
      <c r="G5561" s="75"/>
      <c r="H5561" s="31"/>
    </row>
    <row r="5562" spans="2:8" hidden="1">
      <c r="B5562" s="405"/>
      <c r="C5562" s="76"/>
      <c r="D5562" s="731"/>
      <c r="E5562" s="75"/>
      <c r="F5562" s="75"/>
      <c r="G5562" s="75"/>
      <c r="H5562" s="31"/>
    </row>
    <row r="5563" spans="2:8" hidden="1">
      <c r="B5563" s="405"/>
      <c r="C5563" s="76"/>
      <c r="D5563" s="731"/>
      <c r="E5563" s="75"/>
      <c r="F5563" s="75"/>
      <c r="G5563" s="75"/>
      <c r="H5563" s="31"/>
    </row>
    <row r="5564" spans="2:8" hidden="1">
      <c r="B5564" s="405"/>
      <c r="C5564" s="76"/>
      <c r="D5564" s="731"/>
      <c r="E5564" s="75"/>
      <c r="F5564" s="75"/>
      <c r="G5564" s="75"/>
      <c r="H5564" s="31"/>
    </row>
    <row r="5565" spans="2:8" hidden="1">
      <c r="B5565" s="405"/>
      <c r="C5565" s="76"/>
      <c r="D5565" s="731"/>
      <c r="E5565" s="75"/>
      <c r="F5565" s="75"/>
      <c r="G5565" s="75"/>
      <c r="H5565" s="31"/>
    </row>
    <row r="5566" spans="2:8" hidden="1">
      <c r="B5566" s="33"/>
      <c r="C5566" s="31"/>
      <c r="D5566" s="31"/>
      <c r="E5566" s="200"/>
      <c r="F5566" s="200"/>
      <c r="G5566" s="75"/>
      <c r="H5566" s="31"/>
    </row>
    <row r="5567" spans="2:8" hidden="1">
      <c r="B5567" s="33"/>
      <c r="C5567" s="31"/>
      <c r="D5567" s="31"/>
      <c r="E5567" s="198"/>
      <c r="F5567" s="200"/>
      <c r="G5567" s="75"/>
      <c r="H5567" s="31"/>
    </row>
    <row r="5568" spans="2:8" hidden="1">
      <c r="B5568" s="33"/>
      <c r="C5568" s="31"/>
      <c r="D5568" s="31"/>
      <c r="E5568" s="198"/>
      <c r="F5568" s="200"/>
      <c r="G5568" s="75"/>
      <c r="H5568" s="31"/>
    </row>
    <row r="5569" spans="2:8" hidden="1">
      <c r="B5569" s="33"/>
      <c r="C5569" s="31"/>
      <c r="D5569" s="31"/>
      <c r="E5569" s="198"/>
      <c r="F5569" s="200"/>
      <c r="G5569" s="75"/>
      <c r="H5569" s="31"/>
    </row>
    <row r="5570" spans="2:8" hidden="1">
      <c r="B5570" s="33"/>
      <c r="C5570" s="30"/>
      <c r="D5570" s="30"/>
      <c r="E5570" s="30"/>
      <c r="F5570" s="200"/>
      <c r="G5570" s="75"/>
      <c r="H5570" s="31"/>
    </row>
    <row r="5571" spans="2:8" hidden="1">
      <c r="B5571" s="33"/>
      <c r="C5571" s="31"/>
      <c r="D5571" s="31"/>
      <c r="E5571" s="31"/>
      <c r="F5571" s="31"/>
      <c r="G5571" s="31"/>
      <c r="H5571" s="31"/>
    </row>
    <row r="5572" spans="2:8" hidden="1">
      <c r="B5572" s="76"/>
      <c r="C5572" s="31"/>
      <c r="D5572" s="31"/>
      <c r="E5572" s="31"/>
      <c r="F5572" s="31"/>
      <c r="G5572" s="31"/>
      <c r="H5572" s="31"/>
    </row>
    <row r="5573" spans="2:8" hidden="1">
      <c r="B5573" s="33"/>
      <c r="C5573" s="33"/>
      <c r="D5573" s="33"/>
      <c r="E5573" s="33"/>
      <c r="F5573" s="33"/>
      <c r="G5573" s="33"/>
      <c r="H5573" s="31"/>
    </row>
    <row r="5574" spans="2:8" hidden="1">
      <c r="B5574" s="33"/>
      <c r="C5574" s="31"/>
      <c r="D5574" s="33"/>
      <c r="E5574" s="33"/>
      <c r="F5574" s="33"/>
      <c r="G5574" s="33"/>
      <c r="H5574" s="31"/>
    </row>
    <row r="5575" spans="2:8" hidden="1">
      <c r="B5575" s="405"/>
      <c r="C5575" s="76"/>
      <c r="D5575" s="731"/>
      <c r="E5575" s="75"/>
      <c r="F5575" s="75"/>
      <c r="G5575" s="75"/>
      <c r="H5575" s="31"/>
    </row>
    <row r="5576" spans="2:8" hidden="1">
      <c r="B5576" s="405"/>
      <c r="C5576" s="76"/>
      <c r="D5576" s="731"/>
      <c r="E5576" s="75"/>
      <c r="F5576" s="75"/>
      <c r="G5576" s="75"/>
      <c r="H5576" s="31"/>
    </row>
    <row r="5577" spans="2:8" hidden="1">
      <c r="B5577" s="405"/>
      <c r="C5577" s="76"/>
      <c r="D5577" s="731"/>
      <c r="E5577" s="75"/>
      <c r="F5577" s="75"/>
      <c r="G5577" s="75"/>
      <c r="H5577" s="31"/>
    </row>
    <row r="5578" spans="2:8" hidden="1">
      <c r="B5578" s="405"/>
      <c r="C5578" s="76"/>
      <c r="D5578" s="731"/>
      <c r="E5578" s="75"/>
      <c r="F5578" s="75"/>
      <c r="G5578" s="75"/>
      <c r="H5578" s="31"/>
    </row>
    <row r="5579" spans="2:8" hidden="1">
      <c r="B5579" s="405"/>
      <c r="C5579" s="76"/>
      <c r="D5579" s="731"/>
      <c r="E5579" s="75"/>
      <c r="F5579" s="75"/>
      <c r="G5579" s="75"/>
      <c r="H5579" s="31"/>
    </row>
    <row r="5580" spans="2:8" hidden="1">
      <c r="B5580" s="405"/>
      <c r="C5580" s="76"/>
      <c r="D5580" s="731"/>
      <c r="E5580" s="75"/>
      <c r="F5580" s="75"/>
      <c r="G5580" s="75"/>
      <c r="H5580" s="31"/>
    </row>
    <row r="5581" spans="2:8" hidden="1">
      <c r="B5581" s="405"/>
      <c r="C5581" s="76"/>
      <c r="D5581" s="731"/>
      <c r="E5581" s="75"/>
      <c r="F5581" s="75"/>
      <c r="G5581" s="75"/>
      <c r="H5581" s="31"/>
    </row>
    <row r="5582" spans="2:8" hidden="1">
      <c r="B5582" s="405"/>
      <c r="C5582" s="76"/>
      <c r="D5582" s="731"/>
      <c r="E5582" s="75"/>
      <c r="F5582" s="75"/>
      <c r="G5582" s="75"/>
      <c r="H5582" s="31"/>
    </row>
    <row r="5583" spans="2:8" hidden="1">
      <c r="B5583" s="405"/>
      <c r="C5583" s="76"/>
      <c r="D5583" s="731"/>
      <c r="E5583" s="75"/>
      <c r="F5583" s="75"/>
      <c r="G5583" s="75"/>
      <c r="H5583" s="31"/>
    </row>
    <row r="5584" spans="2:8" hidden="1">
      <c r="B5584" s="30"/>
      <c r="C5584" s="76"/>
      <c r="D5584" s="731"/>
      <c r="E5584" s="75"/>
      <c r="F5584" s="75"/>
      <c r="G5584" s="75"/>
      <c r="H5584" s="31"/>
    </row>
    <row r="5585" spans="2:8" hidden="1">
      <c r="B5585" s="33"/>
      <c r="C5585" s="31"/>
      <c r="D5585" s="31"/>
      <c r="E5585" s="200"/>
      <c r="F5585" s="200"/>
      <c r="G5585" s="75"/>
      <c r="H5585" s="31"/>
    </row>
    <row r="5586" spans="2:8" hidden="1">
      <c r="B5586" s="33"/>
      <c r="C5586" s="31"/>
      <c r="D5586" s="31"/>
      <c r="E5586" s="198"/>
      <c r="F5586" s="200"/>
      <c r="G5586" s="75"/>
      <c r="H5586" s="31"/>
    </row>
    <row r="5587" spans="2:8" hidden="1">
      <c r="B5587" s="33"/>
      <c r="C5587" s="31"/>
      <c r="D5587" s="31"/>
      <c r="E5587" s="198"/>
      <c r="F5587" s="200"/>
      <c r="G5587" s="75"/>
      <c r="H5587" s="31"/>
    </row>
    <row r="5588" spans="2:8" hidden="1">
      <c r="B5588" s="33"/>
      <c r="C5588" s="31"/>
      <c r="D5588" s="31"/>
      <c r="E5588" s="198"/>
      <c r="F5588" s="200"/>
      <c r="G5588" s="75"/>
      <c r="H5588" s="31"/>
    </row>
    <row r="5589" spans="2:8" hidden="1">
      <c r="B5589" s="33"/>
      <c r="C5589" s="31"/>
      <c r="D5589" s="31"/>
      <c r="E5589" s="198"/>
      <c r="F5589" s="200"/>
      <c r="G5589" s="75"/>
      <c r="H5589" s="31"/>
    </row>
    <row r="5590" spans="2:8" hidden="1">
      <c r="B5590" s="33"/>
      <c r="C5590" s="31"/>
      <c r="D5590" s="31"/>
      <c r="E5590" s="198"/>
      <c r="F5590" s="200"/>
      <c r="G5590" s="75"/>
      <c r="H5590" s="31"/>
    </row>
    <row r="5591" spans="2:8" hidden="1">
      <c r="B5591" s="33"/>
      <c r="C5591" s="200"/>
      <c r="D5591" s="30"/>
      <c r="E5591" s="30"/>
      <c r="F5591" s="200"/>
      <c r="G5591" s="75"/>
      <c r="H5591" s="31"/>
    </row>
    <row r="5592" spans="2:8" hidden="1">
      <c r="B5592" s="33"/>
      <c r="C5592" s="31"/>
      <c r="D5592" s="31"/>
      <c r="E5592" s="31"/>
      <c r="F5592" s="31"/>
      <c r="G5592" s="31"/>
      <c r="H5592" s="31"/>
    </row>
    <row r="5593" spans="2:8" hidden="1">
      <c r="B5593" s="33"/>
      <c r="C5593" s="31"/>
      <c r="D5593" s="31"/>
      <c r="E5593" s="31"/>
      <c r="F5593" s="31"/>
      <c r="G5593" s="31"/>
      <c r="H5593" s="31"/>
    </row>
    <row r="5594" spans="2:8" hidden="1">
      <c r="B5594" s="33"/>
      <c r="C5594" s="31"/>
      <c r="D5594" s="31"/>
      <c r="E5594" s="31"/>
      <c r="F5594" s="200"/>
      <c r="G5594" s="75"/>
      <c r="H5594" s="31"/>
    </row>
    <row r="5595" spans="2:8" hidden="1">
      <c r="B5595" s="33"/>
      <c r="C5595" s="31"/>
      <c r="D5595" s="31"/>
      <c r="E5595" s="31"/>
      <c r="F5595" s="200"/>
      <c r="G5595" s="75"/>
      <c r="H5595" s="31"/>
    </row>
    <row r="5596" spans="2:8" hidden="1">
      <c r="B5596" s="33"/>
      <c r="C5596" s="31"/>
      <c r="D5596" s="31"/>
      <c r="E5596" s="31"/>
      <c r="F5596" s="200"/>
      <c r="G5596" s="75"/>
      <c r="H5596" s="31"/>
    </row>
    <row r="5597" spans="2:8" hidden="1">
      <c r="B5597" s="33"/>
      <c r="C5597" s="31"/>
      <c r="D5597" s="31"/>
      <c r="E5597" s="200"/>
      <c r="F5597" s="200"/>
      <c r="G5597" s="75"/>
      <c r="H5597" s="31"/>
    </row>
    <row r="5598" spans="2:8" hidden="1">
      <c r="B5598" s="33"/>
      <c r="C5598" s="31"/>
      <c r="D5598" s="31"/>
      <c r="E5598" s="301"/>
      <c r="F5598" s="200"/>
      <c r="G5598" s="75"/>
      <c r="H5598" s="31"/>
    </row>
    <row r="5599" spans="2:8" hidden="1">
      <c r="B5599" s="33"/>
      <c r="C5599" s="31"/>
      <c r="D5599" s="31"/>
      <c r="E5599" s="767"/>
      <c r="F5599" s="200"/>
      <c r="G5599" s="75"/>
      <c r="H5599" s="31"/>
    </row>
    <row r="5600" spans="2:8" hidden="1">
      <c r="B5600" s="33"/>
      <c r="C5600" s="31"/>
      <c r="D5600" s="31"/>
      <c r="E5600" s="767"/>
      <c r="F5600" s="200"/>
      <c r="G5600" s="75"/>
      <c r="H5600" s="31"/>
    </row>
    <row r="5601" spans="2:8" hidden="1">
      <c r="B5601" s="33"/>
      <c r="C5601" s="31"/>
      <c r="D5601" s="31"/>
      <c r="E5601" s="767"/>
      <c r="F5601" s="200"/>
      <c r="G5601" s="75"/>
      <c r="H5601" s="31"/>
    </row>
    <row r="5602" spans="2:8" hidden="1">
      <c r="B5602" s="33"/>
      <c r="C5602" s="31"/>
      <c r="D5602" s="31"/>
      <c r="E5602" s="767"/>
      <c r="F5602" s="200"/>
      <c r="G5602" s="75"/>
      <c r="H5602" s="31"/>
    </row>
    <row r="5603" spans="2:8" hidden="1">
      <c r="B5603" s="33"/>
      <c r="C5603" s="31"/>
      <c r="D5603" s="75"/>
      <c r="E5603" s="767"/>
      <c r="F5603" s="200"/>
      <c r="G5603" s="75"/>
      <c r="H5603" s="31"/>
    </row>
    <row r="5604" spans="2:8" hidden="1">
      <c r="B5604" s="33"/>
      <c r="C5604" s="31"/>
      <c r="D5604" s="31"/>
      <c r="E5604" s="767"/>
      <c r="F5604" s="200"/>
      <c r="G5604" s="75"/>
      <c r="H5604" s="31"/>
    </row>
    <row r="5605" spans="2:8" hidden="1">
      <c r="B5605" s="33"/>
      <c r="C5605" s="31"/>
      <c r="D5605" s="31"/>
      <c r="E5605" s="200"/>
      <c r="F5605" s="200"/>
      <c r="G5605" s="75"/>
      <c r="H5605" s="31"/>
    </row>
    <row r="5606" spans="2:8" hidden="1">
      <c r="B5606" s="33"/>
      <c r="C5606" s="31"/>
      <c r="D5606" s="31"/>
      <c r="E5606" s="200"/>
      <c r="F5606" s="200"/>
      <c r="G5606" s="31"/>
      <c r="H5606" s="31"/>
    </row>
    <row r="5607" spans="2:8" hidden="1">
      <c r="B5607" s="33"/>
      <c r="C5607" s="31"/>
      <c r="D5607" s="75"/>
      <c r="E5607" s="76"/>
      <c r="F5607" s="200"/>
      <c r="G5607" s="75"/>
      <c r="H5607" s="31"/>
    </row>
    <row r="5608" spans="2:8" hidden="1">
      <c r="B5608" s="33"/>
      <c r="C5608" s="31"/>
      <c r="D5608" s="198"/>
      <c r="E5608" s="198"/>
      <c r="F5608" s="200"/>
      <c r="G5608" s="75"/>
      <c r="H5608" s="31"/>
    </row>
    <row r="5609" spans="2:8" hidden="1">
      <c r="B5609" s="33"/>
      <c r="C5609" s="31"/>
      <c r="D5609" s="768"/>
      <c r="E5609" s="31"/>
      <c r="F5609" s="200"/>
      <c r="G5609" s="75"/>
      <c r="H5609" s="31"/>
    </row>
    <row r="5610" spans="2:8" hidden="1">
      <c r="B5610" s="33"/>
      <c r="C5610" s="31"/>
      <c r="D5610" s="768"/>
      <c r="E5610" s="31"/>
      <c r="F5610" s="200"/>
      <c r="G5610" s="31"/>
      <c r="H5610" s="31"/>
    </row>
    <row r="5611" spans="2:8" hidden="1">
      <c r="B5611" s="33"/>
      <c r="C5611" s="31"/>
      <c r="D5611" s="200"/>
      <c r="E5611" s="31"/>
      <c r="F5611" s="200"/>
      <c r="G5611" s="75"/>
      <c r="H5611" s="31"/>
    </row>
    <row r="5612" spans="2:8" hidden="1">
      <c r="B5612" s="33"/>
      <c r="C5612" s="31"/>
      <c r="D5612" s="31"/>
      <c r="E5612" s="200"/>
      <c r="F5612" s="200"/>
      <c r="G5612" s="75"/>
      <c r="H5612" s="31"/>
    </row>
    <row r="5613" spans="2:8" hidden="1">
      <c r="B5613" s="33"/>
      <c r="C5613" s="31"/>
      <c r="D5613" s="31"/>
      <c r="E5613" s="31"/>
      <c r="F5613" s="31"/>
      <c r="G5613" s="31"/>
      <c r="H5613" s="31"/>
    </row>
    <row r="5614" spans="2:8" hidden="1">
      <c r="B5614" s="33"/>
      <c r="C5614" s="31"/>
      <c r="D5614" s="31"/>
      <c r="E5614" s="31"/>
      <c r="F5614" s="31"/>
      <c r="G5614" s="31"/>
      <c r="H5614" s="31"/>
    </row>
    <row r="5615" spans="2:8" hidden="1">
      <c r="B5615" s="33"/>
      <c r="C5615" s="31"/>
      <c r="D5615" s="33"/>
      <c r="E5615" s="31"/>
      <c r="F5615" s="200"/>
      <c r="G5615" s="76"/>
      <c r="H5615" s="31"/>
    </row>
    <row r="5616" spans="2:8" hidden="1">
      <c r="B5616" s="33"/>
      <c r="C5616" s="31"/>
      <c r="D5616" s="31"/>
      <c r="E5616" s="31"/>
      <c r="F5616" s="31"/>
      <c r="G5616" s="31"/>
      <c r="H5616" s="31"/>
    </row>
    <row r="5617" spans="2:8" hidden="1">
      <c r="B5617" s="33"/>
      <c r="C5617" s="31"/>
      <c r="D5617" s="31"/>
      <c r="E5617" s="31"/>
      <c r="F5617" s="31"/>
      <c r="G5617" s="31"/>
      <c r="H5617" s="31"/>
    </row>
    <row r="5618" spans="2:8" hidden="1">
      <c r="B5618" s="33"/>
      <c r="C5618" s="31"/>
      <c r="D5618" s="31"/>
      <c r="E5618" s="31"/>
      <c r="F5618" s="31"/>
      <c r="G5618" s="31"/>
      <c r="H5618" s="31"/>
    </row>
    <row r="5619" spans="2:8" hidden="1">
      <c r="B5619" s="33"/>
      <c r="C5619" s="31"/>
      <c r="D5619" s="31"/>
      <c r="E5619" s="31"/>
      <c r="F5619" s="31"/>
      <c r="G5619" s="31"/>
      <c r="H5619" s="31"/>
    </row>
    <row r="5620" spans="2:8" hidden="1">
      <c r="B5620" s="33"/>
      <c r="C5620" s="31"/>
      <c r="D5620" s="31"/>
      <c r="E5620" s="31"/>
      <c r="F5620" s="31"/>
      <c r="G5620" s="31"/>
      <c r="H5620" s="31"/>
    </row>
    <row r="5621" spans="2:8" hidden="1">
      <c r="B5621" s="33"/>
      <c r="C5621" s="31"/>
      <c r="D5621" s="31"/>
      <c r="E5621" s="31"/>
      <c r="F5621" s="31"/>
      <c r="G5621" s="31"/>
      <c r="H5621" s="31"/>
    </row>
    <row r="5622" spans="2:8" hidden="1">
      <c r="B5622" s="33"/>
      <c r="C5622" s="31"/>
      <c r="D5622" s="31"/>
      <c r="E5622" s="31"/>
      <c r="F5622" s="31"/>
      <c r="G5622" s="31"/>
      <c r="H5622" s="31"/>
    </row>
    <row r="5623" spans="2:8" hidden="1">
      <c r="B5623" s="33"/>
      <c r="C5623" s="31"/>
      <c r="D5623" s="31"/>
      <c r="E5623" s="31"/>
      <c r="F5623" s="31"/>
      <c r="G5623" s="31"/>
      <c r="H5623" s="31"/>
    </row>
    <row r="5624" spans="2:8" hidden="1">
      <c r="B5624" s="33"/>
      <c r="C5624" s="31"/>
      <c r="D5624" s="31"/>
      <c r="E5624" s="31"/>
      <c r="F5624" s="31"/>
      <c r="G5624" s="31"/>
      <c r="H5624" s="31"/>
    </row>
    <row r="5625" spans="2:8" hidden="1">
      <c r="B5625" s="33"/>
      <c r="C5625" s="31"/>
      <c r="D5625" s="31"/>
      <c r="E5625" s="31"/>
      <c r="F5625" s="31"/>
      <c r="G5625" s="31"/>
      <c r="H5625" s="31"/>
    </row>
    <row r="5626" spans="2:8" hidden="1">
      <c r="B5626" s="33"/>
      <c r="C5626" s="31"/>
      <c r="D5626" s="31"/>
      <c r="E5626" s="31"/>
      <c r="F5626" s="31"/>
      <c r="G5626" s="31"/>
      <c r="H5626" s="31"/>
    </row>
    <row r="5627" spans="2:8" hidden="1">
      <c r="B5627" s="33"/>
      <c r="C5627" s="31"/>
      <c r="D5627" s="31"/>
      <c r="E5627" s="31"/>
      <c r="F5627" s="31"/>
      <c r="G5627" s="31"/>
      <c r="H5627" s="31"/>
    </row>
    <row r="5628" spans="2:8" hidden="1">
      <c r="B5628" s="33"/>
      <c r="C5628" s="31"/>
      <c r="D5628" s="31"/>
      <c r="E5628" s="31"/>
      <c r="F5628" s="31"/>
      <c r="G5628" s="31"/>
      <c r="H5628" s="31"/>
    </row>
    <row r="5629" spans="2:8" hidden="1">
      <c r="B5629" s="33"/>
      <c r="C5629" s="31"/>
      <c r="D5629" s="31"/>
      <c r="E5629" s="31"/>
      <c r="F5629" s="31"/>
      <c r="G5629" s="31"/>
      <c r="H5629" s="31"/>
    </row>
    <row r="5630" spans="2:8" hidden="1">
      <c r="B5630" s="33"/>
      <c r="C5630" s="31"/>
      <c r="D5630" s="31"/>
      <c r="E5630" s="31"/>
      <c r="F5630" s="31"/>
      <c r="G5630" s="31"/>
      <c r="H5630" s="31"/>
    </row>
    <row r="5631" spans="2:8" hidden="1">
      <c r="B5631" s="33"/>
      <c r="C5631" s="31"/>
      <c r="D5631" s="31"/>
      <c r="E5631" s="31"/>
      <c r="F5631" s="691"/>
      <c r="G5631" s="771"/>
      <c r="H5631" s="31"/>
    </row>
    <row r="5632" spans="2:8" hidden="1">
      <c r="B5632" s="33"/>
      <c r="C5632" s="31"/>
      <c r="D5632" s="31"/>
      <c r="E5632" s="31"/>
      <c r="F5632" s="691"/>
      <c r="G5632" s="31"/>
      <c r="H5632" s="31"/>
    </row>
    <row r="5633" spans="2:8" hidden="1">
      <c r="B5633" s="33"/>
      <c r="C5633" s="31"/>
      <c r="D5633" s="31"/>
      <c r="E5633" s="31"/>
      <c r="F5633" s="691"/>
      <c r="G5633" s="31"/>
      <c r="H5633" s="31"/>
    </row>
    <row r="5634" spans="2:8" hidden="1">
      <c r="B5634" s="33"/>
      <c r="C5634" s="31"/>
      <c r="D5634" s="31"/>
      <c r="E5634" s="31"/>
      <c r="F5634" s="691"/>
      <c r="G5634" s="31"/>
      <c r="H5634" s="31"/>
    </row>
    <row r="5635" spans="2:8" hidden="1">
      <c r="B5635" s="33"/>
      <c r="C5635" s="200"/>
      <c r="D5635" s="31"/>
      <c r="E5635" s="31"/>
      <c r="F5635" s="691"/>
      <c r="G5635" s="31"/>
      <c r="H5635" s="31"/>
    </row>
    <row r="5636" spans="2:8" hidden="1">
      <c r="B5636" s="33"/>
      <c r="C5636" s="31"/>
      <c r="D5636" s="31"/>
      <c r="E5636" s="31"/>
      <c r="F5636" s="691"/>
      <c r="G5636" s="31"/>
      <c r="H5636" s="31"/>
    </row>
    <row r="5637" spans="2:8" hidden="1">
      <c r="B5637" s="33"/>
      <c r="C5637" s="31"/>
      <c r="D5637" s="31"/>
      <c r="E5637" s="31"/>
      <c r="F5637" s="691"/>
      <c r="G5637" s="31"/>
      <c r="H5637" s="31"/>
    </row>
    <row r="5638" spans="2:8" hidden="1">
      <c r="B5638" s="33"/>
      <c r="C5638" s="31"/>
      <c r="D5638" s="31"/>
      <c r="E5638" s="31"/>
      <c r="F5638" s="691"/>
      <c r="G5638" s="31"/>
      <c r="H5638" s="31"/>
    </row>
    <row r="5639" spans="2:8" hidden="1">
      <c r="B5639" s="33"/>
      <c r="C5639" s="31"/>
      <c r="D5639" s="31"/>
      <c r="E5639" s="31"/>
      <c r="F5639" s="691"/>
      <c r="G5639" s="31"/>
      <c r="H5639" s="31"/>
    </row>
    <row r="5640" spans="2:8" hidden="1">
      <c r="B5640" s="33"/>
      <c r="C5640" s="31"/>
      <c r="D5640" s="31"/>
      <c r="E5640" s="31"/>
      <c r="F5640" s="691"/>
      <c r="G5640" s="31"/>
      <c r="H5640" s="31"/>
    </row>
    <row r="5641" spans="2:8" hidden="1">
      <c r="B5641" s="33"/>
      <c r="C5641" s="31"/>
      <c r="D5641" s="31"/>
      <c r="E5641" s="31"/>
      <c r="F5641" s="691"/>
      <c r="G5641" s="31"/>
      <c r="H5641" s="31"/>
    </row>
    <row r="5642" spans="2:8" hidden="1">
      <c r="B5642" s="33"/>
      <c r="C5642" s="31"/>
      <c r="D5642" s="31"/>
      <c r="E5642" s="31"/>
      <c r="F5642" s="691"/>
      <c r="G5642" s="31"/>
      <c r="H5642" s="31"/>
    </row>
    <row r="5643" spans="2:8" hidden="1">
      <c r="B5643" s="33"/>
      <c r="C5643" s="31"/>
      <c r="D5643" s="31"/>
      <c r="E5643" s="31"/>
      <c r="F5643" s="691"/>
      <c r="G5643" s="31"/>
      <c r="H5643" s="31"/>
    </row>
    <row r="5644" spans="2:8" hidden="1">
      <c r="B5644" s="33"/>
      <c r="C5644" s="31"/>
      <c r="D5644" s="31"/>
      <c r="E5644" s="31"/>
      <c r="F5644" s="691"/>
      <c r="G5644" s="31"/>
      <c r="H5644" s="31"/>
    </row>
    <row r="5645" spans="2:8" hidden="1">
      <c r="B5645" s="33"/>
      <c r="C5645" s="31"/>
      <c r="D5645" s="31"/>
      <c r="E5645" s="31"/>
      <c r="F5645" s="691"/>
      <c r="G5645" s="31"/>
      <c r="H5645" s="31"/>
    </row>
    <row r="5646" spans="2:8" hidden="1">
      <c r="B5646" s="33"/>
      <c r="C5646" s="31"/>
      <c r="D5646" s="31"/>
      <c r="E5646" s="31"/>
      <c r="F5646" s="691"/>
      <c r="G5646" s="31"/>
      <c r="H5646" s="31"/>
    </row>
    <row r="5647" spans="2:8" hidden="1">
      <c r="B5647" s="33"/>
      <c r="C5647" s="31"/>
      <c r="D5647" s="31"/>
      <c r="E5647" s="31"/>
      <c r="F5647" s="691"/>
      <c r="G5647" s="31"/>
      <c r="H5647" s="31"/>
    </row>
    <row r="5648" spans="2:8" hidden="1">
      <c r="B5648" s="33"/>
      <c r="C5648" s="31"/>
      <c r="D5648" s="31"/>
      <c r="E5648" s="31"/>
      <c r="F5648" s="691"/>
      <c r="G5648" s="31"/>
      <c r="H5648" s="31"/>
    </row>
    <row r="5649" spans="2:8" hidden="1">
      <c r="B5649" s="33"/>
      <c r="C5649" s="31"/>
      <c r="D5649" s="31"/>
      <c r="E5649" s="31"/>
      <c r="F5649" s="691"/>
      <c r="G5649" s="31"/>
      <c r="H5649" s="31"/>
    </row>
    <row r="5650" spans="2:8" hidden="1">
      <c r="B5650" s="33"/>
      <c r="C5650" s="31"/>
      <c r="D5650" s="31"/>
      <c r="E5650" s="31"/>
      <c r="F5650" s="691"/>
      <c r="G5650" s="31"/>
      <c r="H5650" s="31"/>
    </row>
    <row r="5651" spans="2:8" hidden="1">
      <c r="B5651" s="33"/>
      <c r="C5651" s="31"/>
      <c r="D5651" s="31"/>
      <c r="E5651" s="31"/>
      <c r="F5651" s="691"/>
      <c r="G5651" s="31"/>
      <c r="H5651" s="31"/>
    </row>
    <row r="5652" spans="2:8" hidden="1">
      <c r="B5652" s="33"/>
      <c r="C5652" s="31"/>
      <c r="D5652" s="31"/>
      <c r="E5652" s="31"/>
      <c r="F5652" s="691"/>
      <c r="G5652" s="31"/>
      <c r="H5652" s="31"/>
    </row>
    <row r="5653" spans="2:8" hidden="1">
      <c r="B5653" s="33"/>
      <c r="C5653" s="31"/>
      <c r="D5653" s="31"/>
      <c r="E5653" s="31"/>
      <c r="F5653" s="691"/>
      <c r="G5653" s="31"/>
      <c r="H5653" s="31"/>
    </row>
    <row r="5654" spans="2:8" hidden="1">
      <c r="B5654" s="33"/>
      <c r="C5654" s="31"/>
      <c r="D5654" s="31"/>
      <c r="E5654" s="200"/>
      <c r="F5654" s="691"/>
      <c r="G5654" s="31"/>
      <c r="H5654" s="31"/>
    </row>
    <row r="5655" spans="2:8" hidden="1">
      <c r="B5655" s="33"/>
      <c r="C5655" s="31"/>
      <c r="D5655" s="31"/>
      <c r="E5655" s="31"/>
      <c r="F5655" s="691"/>
      <c r="G5655" s="31"/>
      <c r="H5655" s="31"/>
    </row>
    <row r="5656" spans="2:8" hidden="1">
      <c r="B5656" s="33"/>
      <c r="C5656" s="31"/>
      <c r="D5656" s="31"/>
      <c r="E5656" s="31"/>
      <c r="F5656" s="691"/>
      <c r="G5656" s="31"/>
      <c r="H5656" s="31"/>
    </row>
    <row r="5657" spans="2:8" hidden="1">
      <c r="B5657" s="33"/>
      <c r="C5657" s="31"/>
      <c r="D5657" s="31"/>
      <c r="E5657" s="31"/>
      <c r="F5657" s="691"/>
      <c r="G5657" s="31"/>
      <c r="H5657" s="31"/>
    </row>
    <row r="5658" spans="2:8" hidden="1">
      <c r="B5658" s="33"/>
      <c r="C5658" s="31"/>
      <c r="D5658" s="31"/>
      <c r="E5658" s="31"/>
      <c r="F5658" s="691"/>
      <c r="G5658" s="31"/>
      <c r="H5658" s="31"/>
    </row>
    <row r="5659" spans="2:8" hidden="1">
      <c r="B5659" s="33"/>
      <c r="C5659" s="31"/>
      <c r="D5659" s="31"/>
      <c r="E5659" s="31"/>
      <c r="F5659" s="691"/>
      <c r="G5659" s="31"/>
      <c r="H5659" s="31"/>
    </row>
    <row r="5660" spans="2:8" hidden="1">
      <c r="B5660" s="33"/>
      <c r="C5660" s="31"/>
      <c r="D5660" s="31"/>
      <c r="E5660" s="31"/>
      <c r="F5660" s="691"/>
      <c r="G5660" s="31"/>
      <c r="H5660" s="31"/>
    </row>
    <row r="5661" spans="2:8" hidden="1">
      <c r="B5661" s="33"/>
      <c r="C5661" s="31"/>
      <c r="D5661" s="31"/>
      <c r="E5661" s="31"/>
      <c r="F5661" s="691"/>
      <c r="G5661" s="31"/>
      <c r="H5661" s="31"/>
    </row>
    <row r="5662" spans="2:8" hidden="1">
      <c r="B5662" s="33"/>
      <c r="C5662" s="31"/>
      <c r="D5662" s="31"/>
      <c r="E5662" s="31"/>
      <c r="F5662" s="691"/>
      <c r="G5662" s="31"/>
      <c r="H5662" s="31"/>
    </row>
    <row r="5663" spans="2:8" hidden="1">
      <c r="B5663" s="33"/>
      <c r="C5663" s="31"/>
      <c r="D5663" s="31"/>
      <c r="E5663" s="31"/>
      <c r="F5663" s="691"/>
      <c r="G5663" s="31"/>
      <c r="H5663" s="31"/>
    </row>
    <row r="5664" spans="2:8" hidden="1">
      <c r="B5664" s="33"/>
      <c r="C5664" s="31"/>
      <c r="D5664" s="31"/>
      <c r="E5664" s="31"/>
      <c r="F5664" s="691"/>
      <c r="G5664" s="31"/>
      <c r="H5664" s="31"/>
    </row>
    <row r="5665" spans="2:8" hidden="1">
      <c r="B5665" s="33"/>
      <c r="C5665" s="31"/>
      <c r="D5665" s="31"/>
      <c r="E5665" s="31"/>
      <c r="F5665" s="691"/>
      <c r="G5665" s="31"/>
      <c r="H5665" s="31"/>
    </row>
    <row r="5666" spans="2:8" hidden="1">
      <c r="B5666" s="33"/>
      <c r="C5666" s="31"/>
      <c r="D5666" s="31"/>
      <c r="E5666" s="31"/>
      <c r="F5666" s="691"/>
      <c r="G5666" s="31"/>
      <c r="H5666" s="31"/>
    </row>
    <row r="5667" spans="2:8" hidden="1">
      <c r="B5667" s="33"/>
      <c r="C5667" s="31"/>
      <c r="D5667" s="31"/>
      <c r="E5667" s="31"/>
      <c r="F5667" s="691"/>
      <c r="G5667" s="31"/>
      <c r="H5667" s="31"/>
    </row>
    <row r="5668" spans="2:8" hidden="1">
      <c r="B5668" s="33"/>
      <c r="C5668" s="31"/>
      <c r="D5668" s="31"/>
      <c r="E5668" s="31"/>
      <c r="F5668" s="691"/>
      <c r="G5668" s="31"/>
      <c r="H5668" s="31"/>
    </row>
    <row r="5669" spans="2:8" hidden="1">
      <c r="B5669" s="33"/>
      <c r="C5669" s="31"/>
      <c r="D5669" s="31"/>
      <c r="E5669" s="31"/>
      <c r="F5669" s="691"/>
      <c r="G5669" s="31"/>
      <c r="H5669" s="31"/>
    </row>
    <row r="5670" spans="2:8" hidden="1">
      <c r="B5670" s="33"/>
      <c r="C5670" s="31"/>
      <c r="D5670" s="31"/>
      <c r="E5670" s="200"/>
      <c r="F5670" s="691"/>
      <c r="G5670" s="31"/>
      <c r="H5670" s="31"/>
    </row>
    <row r="5671" spans="2:8" hidden="1">
      <c r="B5671" s="33"/>
      <c r="C5671" s="31"/>
      <c r="D5671" s="31"/>
      <c r="E5671" s="31"/>
      <c r="F5671" s="691"/>
      <c r="G5671" s="31"/>
      <c r="H5671" s="31"/>
    </row>
    <row r="5672" spans="2:8" hidden="1">
      <c r="B5672" s="33"/>
      <c r="C5672" s="31"/>
      <c r="D5672" s="31"/>
      <c r="E5672" s="31"/>
      <c r="F5672" s="691"/>
      <c r="G5672" s="31"/>
      <c r="H5672" s="31"/>
    </row>
    <row r="5673" spans="2:8" hidden="1">
      <c r="B5673" s="33"/>
      <c r="C5673" s="31"/>
      <c r="D5673" s="31"/>
      <c r="E5673" s="31"/>
      <c r="F5673" s="691"/>
      <c r="G5673" s="31"/>
      <c r="H5673" s="31"/>
    </row>
    <row r="5674" spans="2:8" hidden="1">
      <c r="B5674" s="33"/>
      <c r="C5674" s="31"/>
      <c r="D5674" s="31"/>
      <c r="E5674" s="31"/>
      <c r="F5674" s="691"/>
      <c r="G5674" s="31"/>
      <c r="H5674" s="31"/>
    </row>
    <row r="5675" spans="2:8" hidden="1">
      <c r="B5675" s="33"/>
      <c r="C5675" s="31"/>
      <c r="D5675" s="31"/>
      <c r="E5675" s="31"/>
      <c r="F5675" s="691"/>
      <c r="G5675" s="31"/>
      <c r="H5675" s="31"/>
    </row>
    <row r="5676" spans="2:8" hidden="1">
      <c r="B5676" s="33"/>
      <c r="C5676" s="31"/>
      <c r="D5676" s="31"/>
      <c r="E5676" s="31"/>
      <c r="F5676" s="691"/>
      <c r="G5676" s="31"/>
      <c r="H5676" s="31"/>
    </row>
    <row r="5677" spans="2:8" hidden="1">
      <c r="B5677" s="33"/>
      <c r="C5677" s="31"/>
      <c r="D5677" s="31"/>
      <c r="E5677" s="31"/>
      <c r="F5677" s="691"/>
      <c r="G5677" s="31"/>
      <c r="H5677" s="31"/>
    </row>
    <row r="5678" spans="2:8" hidden="1">
      <c r="B5678" s="33"/>
      <c r="C5678" s="31"/>
      <c r="D5678" s="31"/>
      <c r="E5678" s="31"/>
      <c r="F5678" s="691"/>
      <c r="G5678" s="31"/>
      <c r="H5678" s="31"/>
    </row>
    <row r="5679" spans="2:8" hidden="1">
      <c r="B5679" s="33"/>
      <c r="C5679" s="31"/>
      <c r="D5679" s="31"/>
      <c r="E5679" s="31"/>
      <c r="F5679" s="691"/>
      <c r="G5679" s="31"/>
      <c r="H5679" s="31"/>
    </row>
    <row r="5680" spans="2:8" hidden="1">
      <c r="B5680" s="33"/>
      <c r="C5680" s="31"/>
      <c r="D5680" s="31"/>
      <c r="E5680" s="31"/>
      <c r="F5680" s="691"/>
      <c r="G5680" s="31"/>
      <c r="H5680" s="31"/>
    </row>
    <row r="5681" spans="2:8" hidden="1">
      <c r="B5681" s="33"/>
      <c r="C5681" s="31"/>
      <c r="D5681" s="31"/>
      <c r="E5681" s="31"/>
      <c r="F5681" s="691"/>
      <c r="G5681" s="31"/>
      <c r="H5681" s="31"/>
    </row>
    <row r="5682" spans="2:8" hidden="1">
      <c r="B5682" s="33"/>
      <c r="C5682" s="31"/>
      <c r="D5682" s="31"/>
      <c r="E5682" s="31"/>
      <c r="F5682" s="691"/>
      <c r="G5682" s="31"/>
      <c r="H5682" s="31"/>
    </row>
    <row r="5683" spans="2:8" hidden="1">
      <c r="B5683" s="33"/>
      <c r="C5683" s="31"/>
      <c r="D5683" s="31"/>
      <c r="E5683" s="31"/>
      <c r="F5683" s="691"/>
      <c r="G5683" s="31"/>
      <c r="H5683" s="31"/>
    </row>
    <row r="5684" spans="2:8" hidden="1">
      <c r="B5684" s="33"/>
      <c r="C5684" s="31"/>
      <c r="D5684" s="31"/>
      <c r="E5684" s="31"/>
      <c r="F5684" s="691"/>
      <c r="G5684" s="31"/>
      <c r="H5684" s="31"/>
    </row>
    <row r="5685" spans="2:8" hidden="1">
      <c r="B5685" s="33"/>
      <c r="C5685" s="31"/>
      <c r="D5685" s="31"/>
      <c r="E5685" s="31"/>
      <c r="F5685" s="691"/>
      <c r="G5685" s="31"/>
      <c r="H5685" s="31"/>
    </row>
    <row r="5686" spans="2:8" hidden="1">
      <c r="B5686" s="33"/>
      <c r="C5686" s="31"/>
      <c r="D5686" s="31"/>
      <c r="E5686" s="31"/>
      <c r="F5686" s="691"/>
      <c r="G5686" s="31"/>
      <c r="H5686" s="31"/>
    </row>
    <row r="5687" spans="2:8" hidden="1">
      <c r="B5687" s="33"/>
      <c r="C5687" s="31"/>
      <c r="D5687" s="31"/>
      <c r="E5687" s="31"/>
      <c r="F5687" s="691"/>
      <c r="G5687" s="31"/>
      <c r="H5687" s="31"/>
    </row>
    <row r="5688" spans="2:8" hidden="1">
      <c r="B5688" s="33"/>
      <c r="C5688" s="31"/>
      <c r="D5688" s="31"/>
      <c r="E5688" s="31"/>
      <c r="F5688" s="691"/>
      <c r="G5688" s="31"/>
      <c r="H5688" s="31"/>
    </row>
    <row r="5689" spans="2:8" hidden="1">
      <c r="B5689" s="33"/>
      <c r="C5689" s="31"/>
      <c r="D5689" s="31"/>
      <c r="E5689" s="31"/>
      <c r="F5689" s="691"/>
      <c r="G5689" s="31"/>
      <c r="H5689" s="31"/>
    </row>
    <row r="5690" spans="2:8" hidden="1">
      <c r="B5690" s="33"/>
      <c r="C5690" s="31"/>
      <c r="D5690" s="31"/>
      <c r="E5690" s="31"/>
      <c r="F5690" s="31"/>
      <c r="G5690" s="31"/>
      <c r="H5690" s="31"/>
    </row>
    <row r="5691" spans="2:8" hidden="1">
      <c r="B5691" s="33"/>
      <c r="C5691" s="31"/>
      <c r="D5691" s="31"/>
      <c r="E5691" s="31"/>
      <c r="F5691" s="31"/>
      <c r="G5691" s="31"/>
      <c r="H5691" s="31"/>
    </row>
    <row r="5692" spans="2:8" hidden="1">
      <c r="B5692" s="33"/>
      <c r="C5692" s="31"/>
      <c r="D5692" s="31"/>
      <c r="E5692" s="31"/>
      <c r="F5692" s="31"/>
      <c r="G5692" s="31"/>
      <c r="H5692" s="31"/>
    </row>
    <row r="5693" spans="2:8" hidden="1">
      <c r="B5693" s="33"/>
      <c r="C5693" s="31"/>
      <c r="D5693" s="31"/>
      <c r="E5693" s="31"/>
      <c r="F5693" s="31"/>
      <c r="G5693" s="31"/>
      <c r="H5693" s="31"/>
    </row>
    <row r="5694" spans="2:8" hidden="1">
      <c r="B5694" s="33"/>
      <c r="C5694" s="31"/>
      <c r="D5694" s="31"/>
      <c r="E5694" s="31"/>
      <c r="F5694" s="31"/>
      <c r="G5694" s="31"/>
      <c r="H5694" s="31"/>
    </row>
    <row r="5695" spans="2:8" hidden="1">
      <c r="B5695" s="33"/>
      <c r="C5695" s="31"/>
      <c r="D5695" s="31"/>
      <c r="E5695" s="31"/>
      <c r="F5695" s="31"/>
      <c r="G5695" s="31"/>
      <c r="H5695" s="31"/>
    </row>
    <row r="5696" spans="2:8" hidden="1">
      <c r="B5696" s="33"/>
      <c r="C5696" s="31"/>
      <c r="D5696" s="31"/>
      <c r="E5696" s="31"/>
      <c r="F5696" s="33"/>
      <c r="G5696" s="31"/>
      <c r="H5696" s="31"/>
    </row>
    <row r="5697" spans="2:8" hidden="1">
      <c r="B5697" s="33"/>
      <c r="C5697" s="31"/>
      <c r="D5697" s="33"/>
      <c r="E5697" s="33"/>
      <c r="F5697" s="33"/>
      <c r="G5697" s="33"/>
      <c r="H5697" s="31"/>
    </row>
    <row r="5698" spans="2:8" hidden="1">
      <c r="B5698" s="33"/>
      <c r="C5698" s="31"/>
      <c r="D5698" s="33"/>
      <c r="E5698" s="33"/>
      <c r="F5698" s="33"/>
      <c r="G5698" s="33"/>
      <c r="H5698" s="31"/>
    </row>
    <row r="5699" spans="2:8" hidden="1">
      <c r="B5699" s="33"/>
      <c r="C5699" s="31"/>
      <c r="D5699" s="33"/>
      <c r="E5699" s="33"/>
      <c r="F5699" s="33"/>
      <c r="G5699" s="33"/>
      <c r="H5699" s="31"/>
    </row>
    <row r="5700" spans="2:8" hidden="1">
      <c r="B5700" s="33"/>
      <c r="C5700" s="31"/>
      <c r="D5700" s="33"/>
      <c r="E5700" s="33"/>
      <c r="F5700" s="33"/>
      <c r="G5700" s="33"/>
      <c r="H5700" s="31"/>
    </row>
    <row r="5701" spans="2:8" hidden="1">
      <c r="B5701" s="33"/>
      <c r="C5701" s="31"/>
      <c r="D5701" s="33"/>
      <c r="E5701" s="33"/>
      <c r="F5701" s="33"/>
      <c r="G5701" s="33"/>
      <c r="H5701" s="31"/>
    </row>
    <row r="5702" spans="2:8" hidden="1">
      <c r="B5702" s="33"/>
      <c r="C5702" s="33"/>
      <c r="D5702" s="33"/>
      <c r="E5702" s="33"/>
      <c r="F5702" s="33"/>
      <c r="G5702" s="33"/>
      <c r="H5702" s="31"/>
    </row>
    <row r="5703" spans="2:8" hidden="1">
      <c r="B5703" s="33"/>
      <c r="C5703" s="31"/>
      <c r="D5703" s="31"/>
      <c r="E5703" s="31"/>
      <c r="F5703" s="31"/>
      <c r="G5703" s="31"/>
      <c r="H5703" s="31"/>
    </row>
    <row r="5704" spans="2:8" hidden="1">
      <c r="B5704" s="33"/>
      <c r="C5704" s="31"/>
      <c r="D5704" s="31"/>
      <c r="E5704" s="31"/>
      <c r="F5704" s="31"/>
      <c r="G5704" s="31"/>
      <c r="H5704" s="31"/>
    </row>
    <row r="5705" spans="2:8" hidden="1">
      <c r="B5705" s="33"/>
      <c r="C5705" s="31"/>
      <c r="D5705" s="31"/>
      <c r="E5705" s="31"/>
      <c r="F5705" s="31"/>
      <c r="G5705" s="31"/>
      <c r="H5705" s="31"/>
    </row>
    <row r="5706" spans="2:8" hidden="1">
      <c r="B5706" s="33"/>
      <c r="C5706" s="31"/>
      <c r="D5706" s="31"/>
      <c r="E5706" s="31"/>
      <c r="F5706" s="31"/>
      <c r="G5706" s="31"/>
      <c r="H5706" s="31"/>
    </row>
    <row r="5707" spans="2:8" hidden="1">
      <c r="B5707" s="33"/>
      <c r="C5707" s="31"/>
      <c r="D5707" s="31"/>
      <c r="E5707" s="31"/>
      <c r="F5707" s="31"/>
      <c r="G5707" s="31"/>
      <c r="H5707" s="31"/>
    </row>
    <row r="5708" spans="2:8" hidden="1">
      <c r="B5708" s="33"/>
      <c r="C5708" s="31"/>
      <c r="D5708" s="31"/>
      <c r="E5708" s="31"/>
      <c r="F5708" s="31"/>
      <c r="G5708" s="31"/>
      <c r="H5708" s="31"/>
    </row>
    <row r="5709" spans="2:8" hidden="1">
      <c r="B5709" s="33"/>
      <c r="C5709" s="31"/>
      <c r="D5709" s="31"/>
      <c r="E5709" s="31"/>
      <c r="F5709" s="31"/>
      <c r="G5709" s="31"/>
      <c r="H5709" s="31"/>
    </row>
    <row r="5710" spans="2:8" hidden="1">
      <c r="B5710" s="33"/>
      <c r="C5710" s="31"/>
      <c r="D5710" s="31"/>
      <c r="E5710" s="31"/>
      <c r="F5710" s="31"/>
      <c r="G5710" s="31"/>
      <c r="H5710" s="31"/>
    </row>
    <row r="5711" spans="2:8" hidden="1">
      <c r="B5711" s="33"/>
      <c r="C5711" s="31"/>
      <c r="D5711" s="31"/>
      <c r="E5711" s="31"/>
      <c r="F5711" s="31"/>
      <c r="G5711" s="31"/>
      <c r="H5711" s="31"/>
    </row>
    <row r="5712" spans="2:8" hidden="1">
      <c r="B5712" s="33"/>
      <c r="C5712" s="31"/>
      <c r="D5712" s="31"/>
      <c r="E5712" s="31"/>
      <c r="F5712" s="31"/>
      <c r="G5712" s="31"/>
      <c r="H5712" s="31"/>
    </row>
    <row r="5713" spans="2:8" hidden="1">
      <c r="B5713" s="33"/>
      <c r="C5713" s="31"/>
      <c r="D5713" s="31"/>
      <c r="E5713" s="31"/>
      <c r="F5713" s="31"/>
      <c r="G5713" s="31"/>
      <c r="H5713" s="31"/>
    </row>
    <row r="5714" spans="2:8" hidden="1">
      <c r="B5714" s="33"/>
      <c r="C5714" s="31"/>
      <c r="D5714" s="31"/>
      <c r="E5714" s="31"/>
      <c r="F5714" s="31"/>
      <c r="G5714" s="31"/>
      <c r="H5714" s="31"/>
    </row>
    <row r="5715" spans="2:8" hidden="1">
      <c r="B5715" s="33"/>
      <c r="C5715" s="31"/>
      <c r="D5715" s="75"/>
      <c r="E5715" s="31"/>
      <c r="F5715" s="405"/>
      <c r="G5715" s="75"/>
      <c r="H5715" s="31"/>
    </row>
    <row r="5716" spans="2:8" hidden="1">
      <c r="B5716" s="33"/>
      <c r="C5716" s="31"/>
      <c r="D5716" s="31"/>
      <c r="E5716" s="31"/>
      <c r="F5716" s="691"/>
      <c r="G5716" s="732"/>
      <c r="H5716" s="31"/>
    </row>
    <row r="5717" spans="2:8" hidden="1">
      <c r="B5717" s="33"/>
      <c r="C5717" s="31"/>
      <c r="D5717" s="31"/>
      <c r="E5717" s="31"/>
      <c r="F5717" s="405"/>
      <c r="G5717" s="75"/>
      <c r="H5717" s="31"/>
    </row>
    <row r="5718" spans="2:8" hidden="1">
      <c r="B5718" s="33"/>
      <c r="C5718" s="31"/>
      <c r="D5718" s="75"/>
      <c r="E5718" s="31"/>
      <c r="F5718" s="405"/>
      <c r="G5718" s="75"/>
      <c r="H5718" s="31"/>
    </row>
    <row r="5719" spans="2:8" hidden="1">
      <c r="B5719" s="33"/>
      <c r="C5719" s="31"/>
      <c r="D5719" s="31"/>
      <c r="E5719" s="31"/>
      <c r="F5719" s="691"/>
      <c r="G5719" s="732"/>
      <c r="H5719" s="31"/>
    </row>
    <row r="5720" spans="2:8" hidden="1">
      <c r="B5720" s="33"/>
      <c r="C5720" s="31"/>
      <c r="D5720" s="31"/>
      <c r="E5720" s="31"/>
      <c r="F5720" s="405"/>
      <c r="G5720" s="75"/>
      <c r="H5720" s="31"/>
    </row>
    <row r="5721" spans="2:8" hidden="1">
      <c r="B5721" s="33"/>
      <c r="C5721" s="31"/>
      <c r="D5721" s="31"/>
      <c r="E5721" s="31"/>
      <c r="F5721" s="31"/>
      <c r="G5721" s="31"/>
      <c r="H5721" s="31"/>
    </row>
    <row r="5722" spans="2:8" hidden="1">
      <c r="B5722" s="33"/>
      <c r="C5722" s="200"/>
      <c r="D5722" s="31"/>
      <c r="E5722" s="200"/>
      <c r="F5722" s="769"/>
      <c r="G5722" s="31"/>
      <c r="H5722" s="31"/>
    </row>
    <row r="5723" spans="2:8" hidden="1">
      <c r="B5723" s="76"/>
      <c r="C5723" s="31"/>
      <c r="D5723" s="31"/>
      <c r="E5723" s="31"/>
      <c r="F5723" s="75"/>
      <c r="G5723" s="31"/>
      <c r="H5723" s="31"/>
    </row>
    <row r="5724" spans="2:8" hidden="1">
      <c r="B5724" s="33"/>
      <c r="C5724" s="33"/>
      <c r="D5724" s="33"/>
      <c r="E5724" s="33"/>
      <c r="F5724" s="33"/>
      <c r="G5724" s="33"/>
      <c r="H5724" s="31"/>
    </row>
    <row r="5725" spans="2:8" hidden="1">
      <c r="B5725" s="33"/>
      <c r="C5725" s="31"/>
      <c r="D5725" s="33"/>
      <c r="E5725" s="33"/>
      <c r="F5725" s="33"/>
      <c r="G5725" s="33"/>
      <c r="H5725" s="31"/>
    </row>
    <row r="5726" spans="2:8" hidden="1">
      <c r="B5726" s="405"/>
      <c r="C5726" s="76"/>
      <c r="D5726" s="731"/>
      <c r="E5726" s="75"/>
      <c r="F5726" s="75"/>
      <c r="G5726" s="75"/>
      <c r="H5726" s="31"/>
    </row>
    <row r="5727" spans="2:8" hidden="1">
      <c r="B5727" s="405"/>
      <c r="C5727" s="76"/>
      <c r="D5727" s="731"/>
      <c r="E5727" s="75"/>
      <c r="F5727" s="75"/>
      <c r="G5727" s="75"/>
      <c r="H5727" s="31"/>
    </row>
    <row r="5728" spans="2:8" hidden="1">
      <c r="B5728" s="405"/>
      <c r="C5728" s="76"/>
      <c r="D5728" s="731"/>
      <c r="E5728" s="75"/>
      <c r="F5728" s="75"/>
      <c r="G5728" s="75"/>
      <c r="H5728" s="31"/>
    </row>
    <row r="5729" spans="2:8" hidden="1">
      <c r="B5729" s="405"/>
      <c r="C5729" s="76"/>
      <c r="D5729" s="731"/>
      <c r="E5729" s="75"/>
      <c r="F5729" s="75"/>
      <c r="G5729" s="75"/>
      <c r="H5729" s="31"/>
    </row>
    <row r="5730" spans="2:8" hidden="1">
      <c r="B5730" s="405"/>
      <c r="C5730" s="76"/>
      <c r="D5730" s="731"/>
      <c r="E5730" s="75"/>
      <c r="F5730" s="75"/>
      <c r="G5730" s="75"/>
      <c r="H5730" s="31"/>
    </row>
    <row r="5731" spans="2:8" hidden="1">
      <c r="B5731" s="405"/>
      <c r="C5731" s="76"/>
      <c r="D5731" s="731"/>
      <c r="E5731" s="75"/>
      <c r="F5731" s="75"/>
      <c r="G5731" s="75"/>
      <c r="H5731" s="31"/>
    </row>
    <row r="5732" spans="2:8" hidden="1">
      <c r="B5732" s="405"/>
      <c r="C5732" s="76"/>
      <c r="D5732" s="731"/>
      <c r="E5732" s="75"/>
      <c r="F5732" s="75"/>
      <c r="G5732" s="75"/>
      <c r="H5732" s="31"/>
    </row>
    <row r="5733" spans="2:8" hidden="1">
      <c r="B5733" s="405"/>
      <c r="C5733" s="76"/>
      <c r="D5733" s="731"/>
      <c r="E5733" s="75"/>
      <c r="F5733" s="75"/>
      <c r="G5733" s="75"/>
      <c r="H5733" s="31"/>
    </row>
    <row r="5734" spans="2:8" hidden="1">
      <c r="B5734" s="405"/>
      <c r="C5734" s="76"/>
      <c r="D5734" s="731"/>
      <c r="E5734" s="75"/>
      <c r="F5734" s="75"/>
      <c r="G5734" s="75"/>
      <c r="H5734" s="31"/>
    </row>
    <row r="5735" spans="2:8" hidden="1">
      <c r="B5735" s="30"/>
      <c r="C5735" s="76"/>
      <c r="D5735" s="731"/>
      <c r="E5735" s="75"/>
      <c r="F5735" s="75"/>
      <c r="G5735" s="75"/>
      <c r="H5735" s="31"/>
    </row>
    <row r="5736" spans="2:8" hidden="1">
      <c r="B5736" s="30"/>
      <c r="C5736" s="76"/>
      <c r="D5736" s="731"/>
      <c r="E5736" s="75"/>
      <c r="F5736" s="75"/>
      <c r="G5736" s="75"/>
      <c r="H5736" s="31"/>
    </row>
    <row r="5737" spans="2:8" hidden="1">
      <c r="B5737" s="30"/>
      <c r="C5737" s="76"/>
      <c r="D5737" s="731"/>
      <c r="E5737" s="75"/>
      <c r="F5737" s="75"/>
      <c r="G5737" s="75"/>
      <c r="H5737" s="31"/>
    </row>
    <row r="5738" spans="2:8" hidden="1">
      <c r="B5738" s="30"/>
      <c r="C5738" s="76"/>
      <c r="D5738" s="731"/>
      <c r="E5738" s="75"/>
      <c r="F5738" s="75"/>
      <c r="G5738" s="75"/>
      <c r="H5738" s="31"/>
    </row>
    <row r="5739" spans="2:8" hidden="1">
      <c r="B5739" s="30"/>
      <c r="C5739" s="76"/>
      <c r="D5739" s="731"/>
      <c r="E5739" s="75"/>
      <c r="F5739" s="75"/>
      <c r="G5739" s="75"/>
      <c r="H5739" s="31"/>
    </row>
    <row r="5740" spans="2:8" hidden="1">
      <c r="B5740" s="30"/>
      <c r="C5740" s="76"/>
      <c r="D5740" s="731"/>
      <c r="E5740" s="75"/>
      <c r="F5740" s="75"/>
      <c r="G5740" s="75"/>
      <c r="H5740" s="31"/>
    </row>
    <row r="5741" spans="2:8" hidden="1">
      <c r="B5741" s="30"/>
      <c r="C5741" s="76"/>
      <c r="D5741" s="731"/>
      <c r="E5741" s="75"/>
      <c r="F5741" s="75"/>
      <c r="G5741" s="75"/>
      <c r="H5741" s="31"/>
    </row>
    <row r="5742" spans="2:8" hidden="1">
      <c r="B5742" s="33"/>
      <c r="C5742" s="31"/>
      <c r="D5742" s="31"/>
      <c r="E5742" s="200"/>
      <c r="F5742" s="200"/>
      <c r="G5742" s="75"/>
      <c r="H5742" s="31"/>
    </row>
    <row r="5743" spans="2:8" hidden="1">
      <c r="B5743" s="33"/>
      <c r="C5743" s="31"/>
      <c r="D5743" s="31"/>
      <c r="E5743" s="198"/>
      <c r="F5743" s="200"/>
      <c r="G5743" s="75"/>
      <c r="H5743" s="31"/>
    </row>
    <row r="5744" spans="2:8" hidden="1">
      <c r="B5744" s="33"/>
      <c r="C5744" s="31"/>
      <c r="D5744" s="31"/>
      <c r="E5744" s="198"/>
      <c r="F5744" s="200"/>
      <c r="G5744" s="75"/>
      <c r="H5744" s="31"/>
    </row>
    <row r="5745" spans="2:8" hidden="1">
      <c r="B5745" s="33"/>
      <c r="C5745" s="31"/>
      <c r="D5745" s="31"/>
      <c r="E5745" s="198"/>
      <c r="F5745" s="200"/>
      <c r="G5745" s="75"/>
      <c r="H5745" s="31"/>
    </row>
    <row r="5746" spans="2:8" hidden="1">
      <c r="B5746" s="33"/>
      <c r="C5746" s="200"/>
      <c r="D5746" s="30"/>
      <c r="E5746" s="30"/>
      <c r="F5746" s="200"/>
      <c r="G5746" s="75"/>
      <c r="H5746" s="31"/>
    </row>
    <row r="5747" spans="2:8" hidden="1">
      <c r="B5747" s="33"/>
      <c r="C5747" s="31"/>
      <c r="D5747" s="31"/>
      <c r="E5747" s="31"/>
      <c r="F5747" s="31"/>
      <c r="G5747" s="31"/>
      <c r="H5747" s="31"/>
    </row>
    <row r="5748" spans="2:8" hidden="1">
      <c r="B5748" s="76"/>
      <c r="C5748" s="31"/>
      <c r="D5748" s="31"/>
      <c r="E5748" s="31"/>
      <c r="F5748" s="31"/>
      <c r="G5748" s="31"/>
      <c r="H5748" s="31"/>
    </row>
    <row r="5749" spans="2:8" hidden="1">
      <c r="B5749" s="33"/>
      <c r="C5749" s="33"/>
      <c r="D5749" s="33"/>
      <c r="E5749" s="33"/>
      <c r="F5749" s="33"/>
      <c r="G5749" s="33"/>
      <c r="H5749" s="31"/>
    </row>
    <row r="5750" spans="2:8" hidden="1">
      <c r="B5750" s="33"/>
      <c r="C5750" s="31"/>
      <c r="D5750" s="33"/>
      <c r="E5750" s="33"/>
      <c r="F5750" s="33"/>
      <c r="G5750" s="33"/>
      <c r="H5750" s="31"/>
    </row>
    <row r="5751" spans="2:8" hidden="1">
      <c r="B5751" s="405"/>
      <c r="C5751" s="76"/>
      <c r="D5751" s="731"/>
      <c r="E5751" s="75"/>
      <c r="F5751" s="75"/>
      <c r="G5751" s="75"/>
      <c r="H5751" s="31"/>
    </row>
    <row r="5752" spans="2:8" hidden="1">
      <c r="B5752" s="405"/>
      <c r="C5752" s="76"/>
      <c r="D5752" s="731"/>
      <c r="E5752" s="75"/>
      <c r="F5752" s="75"/>
      <c r="G5752" s="75"/>
      <c r="H5752" s="31"/>
    </row>
    <row r="5753" spans="2:8" hidden="1">
      <c r="B5753" s="405"/>
      <c r="C5753" s="76"/>
      <c r="D5753" s="731"/>
      <c r="E5753" s="75"/>
      <c r="F5753" s="75"/>
      <c r="G5753" s="75"/>
      <c r="H5753" s="31"/>
    </row>
    <row r="5754" spans="2:8" hidden="1">
      <c r="B5754" s="405"/>
      <c r="C5754" s="76"/>
      <c r="D5754" s="731"/>
      <c r="E5754" s="75"/>
      <c r="F5754" s="75"/>
      <c r="G5754" s="75"/>
      <c r="H5754" s="31"/>
    </row>
    <row r="5755" spans="2:8" hidden="1">
      <c r="B5755" s="405"/>
      <c r="C5755" s="76"/>
      <c r="D5755" s="731"/>
      <c r="E5755" s="75"/>
      <c r="F5755" s="75"/>
      <c r="G5755" s="75"/>
      <c r="H5755" s="31"/>
    </row>
    <row r="5756" spans="2:8" hidden="1">
      <c r="B5756" s="405"/>
      <c r="C5756" s="76"/>
      <c r="D5756" s="731"/>
      <c r="E5756" s="75"/>
      <c r="F5756" s="75"/>
      <c r="G5756" s="75"/>
      <c r="H5756" s="31"/>
    </row>
    <row r="5757" spans="2:8" hidden="1">
      <c r="B5757" s="405"/>
      <c r="C5757" s="76"/>
      <c r="D5757" s="731"/>
      <c r="E5757" s="75"/>
      <c r="F5757" s="75"/>
      <c r="G5757" s="75"/>
      <c r="H5757" s="31"/>
    </row>
    <row r="5758" spans="2:8" hidden="1">
      <c r="B5758" s="405"/>
      <c r="C5758" s="76"/>
      <c r="D5758" s="731"/>
      <c r="E5758" s="75"/>
      <c r="F5758" s="75"/>
      <c r="G5758" s="75"/>
      <c r="H5758" s="31"/>
    </row>
    <row r="5759" spans="2:8" hidden="1">
      <c r="B5759" s="405"/>
      <c r="C5759" s="76"/>
      <c r="D5759" s="731"/>
      <c r="E5759" s="75"/>
      <c r="F5759" s="75"/>
      <c r="G5759" s="75"/>
      <c r="H5759" s="31"/>
    </row>
    <row r="5760" spans="2:8" hidden="1">
      <c r="B5760" s="33"/>
      <c r="C5760" s="31"/>
      <c r="D5760" s="31"/>
      <c r="E5760" s="200"/>
      <c r="F5760" s="200"/>
      <c r="G5760" s="75"/>
      <c r="H5760" s="31"/>
    </row>
    <row r="5761" spans="2:8" hidden="1">
      <c r="B5761" s="33"/>
      <c r="C5761" s="31"/>
      <c r="D5761" s="31"/>
      <c r="E5761" s="198"/>
      <c r="F5761" s="200"/>
      <c r="G5761" s="75"/>
      <c r="H5761" s="31"/>
    </row>
    <row r="5762" spans="2:8" hidden="1">
      <c r="B5762" s="33"/>
      <c r="C5762" s="31"/>
      <c r="D5762" s="31"/>
      <c r="E5762" s="198"/>
      <c r="F5762" s="200"/>
      <c r="G5762" s="75"/>
      <c r="H5762" s="31"/>
    </row>
    <row r="5763" spans="2:8" hidden="1">
      <c r="B5763" s="33"/>
      <c r="C5763" s="31"/>
      <c r="D5763" s="31"/>
      <c r="E5763" s="198"/>
      <c r="F5763" s="200"/>
      <c r="G5763" s="75"/>
      <c r="H5763" s="31"/>
    </row>
    <row r="5764" spans="2:8" hidden="1">
      <c r="B5764" s="33"/>
      <c r="C5764" s="30"/>
      <c r="D5764" s="30"/>
      <c r="E5764" s="30"/>
      <c r="F5764" s="200"/>
      <c r="G5764" s="75"/>
      <c r="H5764" s="31"/>
    </row>
    <row r="5765" spans="2:8" hidden="1">
      <c r="B5765" s="33"/>
      <c r="C5765" s="31"/>
      <c r="D5765" s="31"/>
      <c r="E5765" s="31"/>
      <c r="F5765" s="31"/>
      <c r="G5765" s="31"/>
      <c r="H5765" s="31"/>
    </row>
    <row r="5766" spans="2:8" hidden="1">
      <c r="B5766" s="76"/>
      <c r="C5766" s="31"/>
      <c r="D5766" s="31"/>
      <c r="E5766" s="31"/>
      <c r="F5766" s="31"/>
      <c r="G5766" s="31"/>
      <c r="H5766" s="31"/>
    </row>
    <row r="5767" spans="2:8" hidden="1">
      <c r="B5767" s="33"/>
      <c r="C5767" s="33"/>
      <c r="D5767" s="33"/>
      <c r="E5767" s="33"/>
      <c r="F5767" s="33"/>
      <c r="G5767" s="33"/>
      <c r="H5767" s="31"/>
    </row>
    <row r="5768" spans="2:8" hidden="1">
      <c r="B5768" s="33"/>
      <c r="C5768" s="31"/>
      <c r="D5768" s="33"/>
      <c r="E5768" s="33"/>
      <c r="F5768" s="33"/>
      <c r="G5768" s="33"/>
      <c r="H5768" s="31"/>
    </row>
    <row r="5769" spans="2:8" hidden="1">
      <c r="B5769" s="405"/>
      <c r="C5769" s="76"/>
      <c r="D5769" s="731"/>
      <c r="E5769" s="75"/>
      <c r="F5769" s="75"/>
      <c r="G5769" s="75"/>
      <c r="H5769" s="31"/>
    </row>
    <row r="5770" spans="2:8" hidden="1">
      <c r="B5770" s="405"/>
      <c r="C5770" s="76"/>
      <c r="D5770" s="731"/>
      <c r="E5770" s="75"/>
      <c r="F5770" s="75"/>
      <c r="G5770" s="75"/>
      <c r="H5770" s="31"/>
    </row>
    <row r="5771" spans="2:8" hidden="1">
      <c r="B5771" s="405"/>
      <c r="C5771" s="76"/>
      <c r="D5771" s="731"/>
      <c r="E5771" s="75"/>
      <c r="F5771" s="75"/>
      <c r="G5771" s="75"/>
      <c r="H5771" s="31"/>
    </row>
    <row r="5772" spans="2:8" hidden="1">
      <c r="B5772" s="405"/>
      <c r="C5772" s="76"/>
      <c r="D5772" s="731"/>
      <c r="E5772" s="75"/>
      <c r="F5772" s="75"/>
      <c r="G5772" s="75"/>
      <c r="H5772" s="31"/>
    </row>
    <row r="5773" spans="2:8" hidden="1">
      <c r="B5773" s="405"/>
      <c r="C5773" s="76"/>
      <c r="D5773" s="731"/>
      <c r="E5773" s="75"/>
      <c r="F5773" s="75"/>
      <c r="G5773" s="75"/>
      <c r="H5773" s="31"/>
    </row>
    <row r="5774" spans="2:8" hidden="1">
      <c r="B5774" s="405"/>
      <c r="C5774" s="76"/>
      <c r="D5774" s="731"/>
      <c r="E5774" s="75"/>
      <c r="F5774" s="75"/>
      <c r="G5774" s="75"/>
      <c r="H5774" s="31"/>
    </row>
    <row r="5775" spans="2:8" hidden="1">
      <c r="B5775" s="405"/>
      <c r="C5775" s="76"/>
      <c r="D5775" s="731"/>
      <c r="E5775" s="75"/>
      <c r="F5775" s="75"/>
      <c r="G5775" s="75"/>
      <c r="H5775" s="31"/>
    </row>
    <row r="5776" spans="2:8" hidden="1">
      <c r="B5776" s="405"/>
      <c r="C5776" s="76"/>
      <c r="D5776" s="731"/>
      <c r="E5776" s="75"/>
      <c r="F5776" s="75"/>
      <c r="G5776" s="75"/>
      <c r="H5776" s="31"/>
    </row>
    <row r="5777" spans="2:8" hidden="1">
      <c r="B5777" s="405"/>
      <c r="C5777" s="76"/>
      <c r="D5777" s="731"/>
      <c r="E5777" s="75"/>
      <c r="F5777" s="75"/>
      <c r="G5777" s="75"/>
      <c r="H5777" s="31"/>
    </row>
    <row r="5778" spans="2:8" hidden="1">
      <c r="B5778" s="30"/>
      <c r="C5778" s="76"/>
      <c r="D5778" s="731"/>
      <c r="E5778" s="75"/>
      <c r="F5778" s="75"/>
      <c r="G5778" s="75"/>
      <c r="H5778" s="31"/>
    </row>
    <row r="5779" spans="2:8" hidden="1">
      <c r="B5779" s="30"/>
      <c r="C5779" s="76"/>
      <c r="D5779" s="731"/>
      <c r="E5779" s="75"/>
      <c r="F5779" s="75"/>
      <c r="G5779" s="75"/>
      <c r="H5779" s="31"/>
    </row>
    <row r="5780" spans="2:8" hidden="1">
      <c r="B5780" s="33"/>
      <c r="C5780" s="31"/>
      <c r="D5780" s="31"/>
      <c r="E5780" s="200"/>
      <c r="F5780" s="200"/>
      <c r="G5780" s="75"/>
      <c r="H5780" s="31"/>
    </row>
    <row r="5781" spans="2:8" hidden="1">
      <c r="B5781" s="33"/>
      <c r="C5781" s="31"/>
      <c r="D5781" s="31"/>
      <c r="E5781" s="198"/>
      <c r="F5781" s="200"/>
      <c r="G5781" s="75"/>
      <c r="H5781" s="31"/>
    </row>
    <row r="5782" spans="2:8" hidden="1">
      <c r="B5782" s="33"/>
      <c r="C5782" s="31"/>
      <c r="D5782" s="31"/>
      <c r="E5782" s="198"/>
      <c r="F5782" s="200"/>
      <c r="G5782" s="75"/>
      <c r="H5782" s="31"/>
    </row>
    <row r="5783" spans="2:8" hidden="1">
      <c r="B5783" s="33"/>
      <c r="C5783" s="31"/>
      <c r="D5783" s="31"/>
      <c r="E5783" s="198"/>
      <c r="F5783" s="200"/>
      <c r="G5783" s="75"/>
      <c r="H5783" s="31"/>
    </row>
    <row r="5784" spans="2:8" hidden="1">
      <c r="B5784" s="33"/>
      <c r="C5784" s="31"/>
      <c r="D5784" s="31"/>
      <c r="E5784" s="198"/>
      <c r="F5784" s="200"/>
      <c r="G5784" s="75"/>
      <c r="H5784" s="31"/>
    </row>
    <row r="5785" spans="2:8" hidden="1">
      <c r="B5785" s="33"/>
      <c r="C5785" s="31"/>
      <c r="D5785" s="31"/>
      <c r="E5785" s="198"/>
      <c r="F5785" s="200"/>
      <c r="G5785" s="75"/>
      <c r="H5785" s="31"/>
    </row>
    <row r="5786" spans="2:8" hidden="1">
      <c r="B5786" s="33"/>
      <c r="C5786" s="200"/>
      <c r="D5786" s="30"/>
      <c r="E5786" s="30"/>
      <c r="F5786" s="200"/>
      <c r="G5786" s="75"/>
      <c r="H5786" s="31"/>
    </row>
    <row r="5787" spans="2:8" hidden="1">
      <c r="B5787" s="33"/>
      <c r="C5787" s="31"/>
      <c r="D5787" s="31"/>
      <c r="E5787" s="31"/>
      <c r="F5787" s="31"/>
      <c r="G5787" s="31"/>
      <c r="H5787" s="31"/>
    </row>
    <row r="5788" spans="2:8" hidden="1">
      <c r="B5788" s="33"/>
      <c r="C5788" s="31"/>
      <c r="D5788" s="31"/>
      <c r="E5788" s="31"/>
      <c r="F5788" s="31"/>
      <c r="G5788" s="31"/>
      <c r="H5788" s="31"/>
    </row>
    <row r="5789" spans="2:8" hidden="1">
      <c r="B5789" s="33"/>
      <c r="C5789" s="31"/>
      <c r="D5789" s="31"/>
      <c r="E5789" s="31"/>
      <c r="F5789" s="200"/>
      <c r="G5789" s="75"/>
      <c r="H5789" s="31"/>
    </row>
    <row r="5790" spans="2:8" hidden="1">
      <c r="B5790" s="33"/>
      <c r="C5790" s="31"/>
      <c r="D5790" s="31"/>
      <c r="E5790" s="31"/>
      <c r="F5790" s="200"/>
      <c r="G5790" s="75"/>
      <c r="H5790" s="31"/>
    </row>
    <row r="5791" spans="2:8" hidden="1">
      <c r="B5791" s="33"/>
      <c r="C5791" s="31"/>
      <c r="D5791" s="31"/>
      <c r="E5791" s="31"/>
      <c r="F5791" s="200"/>
      <c r="G5791" s="75"/>
      <c r="H5791" s="31"/>
    </row>
    <row r="5792" spans="2:8" hidden="1">
      <c r="B5792" s="33"/>
      <c r="C5792" s="31"/>
      <c r="D5792" s="31"/>
      <c r="E5792" s="200"/>
      <c r="F5792" s="200"/>
      <c r="G5792" s="75"/>
      <c r="H5792" s="31"/>
    </row>
    <row r="5793" spans="2:8" hidden="1">
      <c r="B5793" s="33"/>
      <c r="C5793" s="31"/>
      <c r="D5793" s="31"/>
      <c r="E5793" s="301"/>
      <c r="F5793" s="200"/>
      <c r="G5793" s="75"/>
      <c r="H5793" s="31"/>
    </row>
    <row r="5794" spans="2:8" hidden="1">
      <c r="B5794" s="33"/>
      <c r="C5794" s="31"/>
      <c r="D5794" s="31"/>
      <c r="E5794" s="767"/>
      <c r="F5794" s="200"/>
      <c r="G5794" s="75"/>
      <c r="H5794" s="31"/>
    </row>
    <row r="5795" spans="2:8" hidden="1">
      <c r="B5795" s="33"/>
      <c r="C5795" s="31"/>
      <c r="D5795" s="31"/>
      <c r="E5795" s="767"/>
      <c r="F5795" s="200"/>
      <c r="G5795" s="75"/>
      <c r="H5795" s="31"/>
    </row>
    <row r="5796" spans="2:8" hidden="1">
      <c r="B5796" s="33"/>
      <c r="C5796" s="31"/>
      <c r="D5796" s="31"/>
      <c r="E5796" s="767"/>
      <c r="F5796" s="200"/>
      <c r="G5796" s="75"/>
      <c r="H5796" s="31"/>
    </row>
    <row r="5797" spans="2:8" hidden="1">
      <c r="B5797" s="33"/>
      <c r="C5797" s="31"/>
      <c r="D5797" s="31"/>
      <c r="E5797" s="767"/>
      <c r="F5797" s="200"/>
      <c r="G5797" s="75"/>
      <c r="H5797" s="31"/>
    </row>
    <row r="5798" spans="2:8" hidden="1">
      <c r="B5798" s="33"/>
      <c r="C5798" s="31"/>
      <c r="D5798" s="75"/>
      <c r="E5798" s="767"/>
      <c r="F5798" s="200"/>
      <c r="G5798" s="75"/>
      <c r="H5798" s="31"/>
    </row>
    <row r="5799" spans="2:8" hidden="1">
      <c r="B5799" s="33"/>
      <c r="C5799" s="31"/>
      <c r="D5799" s="31"/>
      <c r="E5799" s="767"/>
      <c r="F5799" s="200"/>
      <c r="G5799" s="75"/>
      <c r="H5799" s="31"/>
    </row>
    <row r="5800" spans="2:8" hidden="1">
      <c r="B5800" s="33"/>
      <c r="C5800" s="31"/>
      <c r="D5800" s="31"/>
      <c r="E5800" s="200"/>
      <c r="F5800" s="200"/>
      <c r="G5800" s="75"/>
      <c r="H5800" s="31"/>
    </row>
    <row r="5801" spans="2:8" hidden="1">
      <c r="B5801" s="33"/>
      <c r="C5801" s="31"/>
      <c r="D5801" s="31"/>
      <c r="E5801" s="200"/>
      <c r="F5801" s="200"/>
      <c r="G5801" s="31"/>
      <c r="H5801" s="31"/>
    </row>
    <row r="5802" spans="2:8" hidden="1">
      <c r="B5802" s="33"/>
      <c r="C5802" s="31"/>
      <c r="D5802" s="75"/>
      <c r="E5802" s="76"/>
      <c r="F5802" s="200"/>
      <c r="G5802" s="75"/>
      <c r="H5802" s="31"/>
    </row>
    <row r="5803" spans="2:8" hidden="1">
      <c r="B5803" s="33"/>
      <c r="C5803" s="31"/>
      <c r="D5803" s="198"/>
      <c r="E5803" s="198"/>
      <c r="F5803" s="200"/>
      <c r="G5803" s="75"/>
      <c r="H5803" s="31"/>
    </row>
    <row r="5804" spans="2:8" hidden="1">
      <c r="B5804" s="33"/>
      <c r="C5804" s="31"/>
      <c r="D5804" s="768"/>
      <c r="E5804" s="31"/>
      <c r="F5804" s="200"/>
      <c r="G5804" s="75"/>
      <c r="H5804" s="31"/>
    </row>
    <row r="5805" spans="2:8" hidden="1">
      <c r="B5805" s="33"/>
      <c r="C5805" s="31"/>
      <c r="D5805" s="200"/>
      <c r="E5805" s="31"/>
      <c r="F5805" s="200"/>
      <c r="G5805" s="75"/>
      <c r="H5805" s="31"/>
    </row>
    <row r="5806" spans="2:8" hidden="1">
      <c r="B5806" s="33"/>
      <c r="C5806" s="31"/>
      <c r="D5806" s="31"/>
      <c r="E5806" s="31"/>
      <c r="F5806" s="31"/>
      <c r="G5806" s="31"/>
      <c r="H5806" s="31"/>
    </row>
    <row r="5807" spans="2:8" hidden="1">
      <c r="B5807" s="33"/>
      <c r="C5807" s="31"/>
      <c r="D5807" s="31"/>
      <c r="E5807" s="31"/>
      <c r="F5807" s="31"/>
      <c r="G5807" s="31"/>
      <c r="H5807" s="31"/>
    </row>
    <row r="5808" spans="2:8" hidden="1">
      <c r="B5808" s="33"/>
      <c r="C5808" s="31"/>
      <c r="D5808" s="33"/>
      <c r="E5808" s="31"/>
      <c r="F5808" s="200"/>
      <c r="G5808" s="76"/>
      <c r="H5808" s="31"/>
    </row>
    <row r="5809" spans="2:8" hidden="1">
      <c r="B5809" s="33"/>
      <c r="C5809" s="31"/>
      <c r="D5809" s="31"/>
      <c r="E5809" s="31"/>
      <c r="F5809" s="31"/>
      <c r="G5809" s="31"/>
      <c r="H5809" s="31"/>
    </row>
    <row r="5810" spans="2:8" hidden="1">
      <c r="B5810" s="33"/>
      <c r="C5810" s="31"/>
      <c r="D5810" s="31"/>
      <c r="E5810" s="31"/>
      <c r="F5810" s="31"/>
      <c r="G5810" s="31"/>
      <c r="H5810" s="31"/>
    </row>
    <row r="5811" spans="2:8" hidden="1">
      <c r="B5811" s="33"/>
      <c r="C5811" s="31"/>
      <c r="D5811" s="31"/>
      <c r="E5811" s="31"/>
      <c r="F5811" s="31"/>
      <c r="G5811" s="31"/>
      <c r="H5811" s="31"/>
    </row>
    <row r="5812" spans="2:8" hidden="1">
      <c r="B5812" s="33"/>
      <c r="C5812" s="31"/>
      <c r="D5812" s="31"/>
      <c r="E5812" s="31"/>
      <c r="F5812" s="31"/>
      <c r="G5812" s="31"/>
      <c r="H5812" s="31"/>
    </row>
    <row r="5813" spans="2:8" hidden="1">
      <c r="B5813" s="33"/>
      <c r="C5813" s="31"/>
      <c r="D5813" s="31"/>
      <c r="E5813" s="31"/>
      <c r="F5813" s="31"/>
      <c r="G5813" s="31"/>
      <c r="H5813" s="31"/>
    </row>
    <row r="5814" spans="2:8" hidden="1">
      <c r="B5814" s="33"/>
      <c r="C5814" s="31"/>
      <c r="D5814" s="31"/>
      <c r="E5814" s="31"/>
      <c r="F5814" s="31"/>
      <c r="G5814" s="31"/>
      <c r="H5814" s="31"/>
    </row>
    <row r="5815" spans="2:8" hidden="1">
      <c r="B5815" s="33"/>
      <c r="C5815" s="31"/>
      <c r="D5815" s="31"/>
      <c r="E5815" s="31"/>
      <c r="F5815" s="31"/>
      <c r="G5815" s="31"/>
      <c r="H5815" s="31"/>
    </row>
    <row r="5816" spans="2:8" hidden="1">
      <c r="B5816" s="33"/>
      <c r="C5816" s="31"/>
      <c r="D5816" s="31"/>
      <c r="E5816" s="31"/>
      <c r="F5816" s="31"/>
      <c r="G5816" s="31"/>
      <c r="H5816" s="31"/>
    </row>
    <row r="5817" spans="2:8" hidden="1">
      <c r="B5817" s="33"/>
      <c r="C5817" s="31"/>
      <c r="D5817" s="31"/>
      <c r="E5817" s="31"/>
      <c r="F5817" s="31"/>
      <c r="G5817" s="31"/>
      <c r="H5817" s="31"/>
    </row>
    <row r="5818" spans="2:8" hidden="1">
      <c r="B5818" s="33"/>
      <c r="C5818" s="31"/>
      <c r="D5818" s="31"/>
      <c r="E5818" s="31"/>
      <c r="F5818" s="31"/>
      <c r="G5818" s="31"/>
      <c r="H5818" s="31"/>
    </row>
    <row r="5819" spans="2:8" hidden="1">
      <c r="B5819" s="33"/>
      <c r="C5819" s="31"/>
      <c r="D5819" s="31"/>
      <c r="E5819" s="31"/>
      <c r="F5819" s="31"/>
      <c r="G5819" s="31"/>
      <c r="H5819" s="31"/>
    </row>
    <row r="5820" spans="2:8" hidden="1">
      <c r="B5820" s="33"/>
      <c r="C5820" s="31"/>
      <c r="D5820" s="31"/>
      <c r="E5820" s="31"/>
      <c r="F5820" s="31"/>
      <c r="G5820" s="31"/>
      <c r="H5820" s="31"/>
    </row>
    <row r="5821" spans="2:8" hidden="1">
      <c r="B5821" s="33"/>
      <c r="C5821" s="31"/>
      <c r="D5821" s="31"/>
      <c r="E5821" s="31"/>
      <c r="F5821" s="31"/>
      <c r="G5821" s="31"/>
      <c r="H5821" s="31"/>
    </row>
    <row r="5822" spans="2:8" hidden="1">
      <c r="B5822" s="33"/>
      <c r="C5822" s="31"/>
      <c r="D5822" s="31"/>
      <c r="E5822" s="31"/>
      <c r="F5822" s="31"/>
      <c r="G5822" s="31"/>
      <c r="H5822" s="31"/>
    </row>
    <row r="5823" spans="2:8" hidden="1">
      <c r="B5823" s="33"/>
      <c r="C5823" s="31"/>
      <c r="D5823" s="31"/>
      <c r="E5823" s="31"/>
      <c r="F5823" s="31"/>
      <c r="G5823" s="31"/>
      <c r="H5823" s="31"/>
    </row>
    <row r="5824" spans="2:8" hidden="1">
      <c r="B5824" s="33"/>
      <c r="C5824" s="31"/>
      <c r="D5824" s="31"/>
      <c r="E5824" s="31"/>
      <c r="F5824" s="31"/>
      <c r="G5824" s="31"/>
      <c r="H5824" s="31"/>
    </row>
    <row r="5825" spans="2:8" hidden="1">
      <c r="B5825" s="33"/>
      <c r="C5825" s="31"/>
      <c r="D5825" s="31"/>
      <c r="E5825" s="31"/>
      <c r="F5825" s="31"/>
      <c r="G5825" s="31"/>
      <c r="H5825" s="31"/>
    </row>
    <row r="5826" spans="2:8" hidden="1">
      <c r="B5826" s="33"/>
      <c r="C5826" s="31"/>
      <c r="D5826" s="31"/>
      <c r="E5826" s="31"/>
      <c r="F5826" s="31"/>
      <c r="G5826" s="31"/>
      <c r="H5826" s="31"/>
    </row>
    <row r="5827" spans="2:8" hidden="1">
      <c r="B5827" s="33"/>
      <c r="C5827" s="31"/>
      <c r="D5827" s="31"/>
      <c r="E5827" s="31"/>
      <c r="F5827" s="691"/>
      <c r="G5827" s="31"/>
      <c r="H5827" s="31"/>
    </row>
    <row r="5828" spans="2:8" hidden="1">
      <c r="B5828" s="33"/>
      <c r="C5828" s="31"/>
      <c r="D5828" s="31"/>
      <c r="E5828" s="31"/>
      <c r="F5828" s="691"/>
      <c r="G5828" s="31"/>
      <c r="H5828" s="31"/>
    </row>
    <row r="5829" spans="2:8" hidden="1">
      <c r="B5829" s="33"/>
      <c r="C5829" s="31"/>
      <c r="D5829" s="31"/>
      <c r="E5829" s="31"/>
      <c r="F5829" s="691"/>
      <c r="G5829" s="31"/>
      <c r="H5829" s="31"/>
    </row>
    <row r="5830" spans="2:8" hidden="1">
      <c r="B5830" s="33"/>
      <c r="C5830" s="31"/>
      <c r="D5830" s="31"/>
      <c r="E5830" s="31"/>
      <c r="F5830" s="691"/>
      <c r="G5830" s="31"/>
      <c r="H5830" s="31"/>
    </row>
    <row r="5831" spans="2:8" hidden="1">
      <c r="B5831" s="200"/>
      <c r="C5831" s="31"/>
      <c r="D5831" s="31"/>
      <c r="E5831" s="31"/>
      <c r="F5831" s="691"/>
      <c r="G5831" s="31"/>
      <c r="H5831" s="31"/>
    </row>
    <row r="5832" spans="2:8" hidden="1">
      <c r="B5832" s="200"/>
      <c r="C5832" s="31"/>
      <c r="D5832" s="31"/>
      <c r="E5832" s="31"/>
      <c r="F5832" s="691"/>
      <c r="G5832" s="31"/>
      <c r="H5832" s="31"/>
    </row>
    <row r="5833" spans="2:8" hidden="1">
      <c r="B5833" s="200"/>
      <c r="C5833" s="31"/>
      <c r="D5833" s="31"/>
      <c r="E5833" s="31"/>
      <c r="F5833" s="691"/>
      <c r="G5833" s="31"/>
      <c r="H5833" s="31"/>
    </row>
    <row r="5834" spans="2:8" hidden="1">
      <c r="B5834" s="200"/>
      <c r="C5834" s="31"/>
      <c r="D5834" s="31"/>
      <c r="E5834" s="31"/>
      <c r="F5834" s="691"/>
      <c r="G5834" s="31"/>
      <c r="H5834" s="31"/>
    </row>
    <row r="5835" spans="2:8" hidden="1">
      <c r="B5835" s="200"/>
      <c r="C5835" s="31"/>
      <c r="D5835" s="31"/>
      <c r="E5835" s="31"/>
      <c r="F5835" s="691"/>
      <c r="G5835" s="31"/>
      <c r="H5835" s="31"/>
    </row>
    <row r="5836" spans="2:8" hidden="1">
      <c r="B5836" s="200"/>
      <c r="C5836" s="31"/>
      <c r="D5836" s="31"/>
      <c r="E5836" s="31"/>
      <c r="F5836" s="691"/>
      <c r="G5836" s="31"/>
      <c r="H5836" s="31"/>
    </row>
    <row r="5837" spans="2:8" hidden="1">
      <c r="B5837" s="200"/>
      <c r="C5837" s="31"/>
      <c r="D5837" s="31"/>
      <c r="E5837" s="31"/>
      <c r="F5837" s="691"/>
      <c r="G5837" s="31"/>
      <c r="H5837" s="31"/>
    </row>
    <row r="5838" spans="2:8" hidden="1">
      <c r="B5838" s="200"/>
      <c r="C5838" s="31"/>
      <c r="D5838" s="31"/>
      <c r="E5838" s="31"/>
      <c r="F5838" s="691"/>
      <c r="G5838" s="31"/>
      <c r="H5838" s="31"/>
    </row>
    <row r="5839" spans="2:8" hidden="1">
      <c r="B5839" s="200"/>
      <c r="C5839" s="31"/>
      <c r="D5839" s="31"/>
      <c r="E5839" s="31"/>
      <c r="F5839" s="691"/>
      <c r="G5839" s="31"/>
      <c r="H5839" s="31"/>
    </row>
    <row r="5840" spans="2:8" hidden="1">
      <c r="B5840" s="200"/>
      <c r="C5840" s="31"/>
      <c r="D5840" s="31"/>
      <c r="E5840" s="31"/>
      <c r="F5840" s="691"/>
      <c r="G5840" s="31"/>
      <c r="H5840" s="31"/>
    </row>
    <row r="5841" spans="2:8" hidden="1">
      <c r="B5841" s="200"/>
      <c r="C5841" s="31"/>
      <c r="D5841" s="31"/>
      <c r="E5841" s="31"/>
      <c r="F5841" s="691"/>
      <c r="G5841" s="31"/>
      <c r="H5841" s="31"/>
    </row>
    <row r="5842" spans="2:8" hidden="1">
      <c r="B5842" s="200"/>
      <c r="C5842" s="31"/>
      <c r="D5842" s="31"/>
      <c r="E5842" s="31"/>
      <c r="F5842" s="691"/>
      <c r="G5842" s="31"/>
      <c r="H5842" s="31"/>
    </row>
    <row r="5843" spans="2:8" hidden="1">
      <c r="B5843" s="33"/>
      <c r="C5843" s="31"/>
      <c r="D5843" s="31"/>
      <c r="E5843" s="31"/>
      <c r="F5843" s="691"/>
      <c r="G5843" s="31"/>
      <c r="H5843" s="31"/>
    </row>
    <row r="5844" spans="2:8" hidden="1">
      <c r="B5844" s="33"/>
      <c r="C5844" s="31"/>
      <c r="D5844" s="31"/>
      <c r="E5844" s="31"/>
      <c r="F5844" s="691"/>
      <c r="G5844" s="31"/>
      <c r="H5844" s="31"/>
    </row>
    <row r="5845" spans="2:8" hidden="1">
      <c r="B5845" s="33"/>
      <c r="C5845" s="31"/>
      <c r="D5845" s="31"/>
      <c r="E5845" s="31"/>
      <c r="F5845" s="691"/>
      <c r="G5845" s="31"/>
      <c r="H5845" s="31"/>
    </row>
    <row r="5846" spans="2:8" hidden="1">
      <c r="B5846" s="33"/>
      <c r="C5846" s="31"/>
      <c r="D5846" s="31"/>
      <c r="E5846" s="31"/>
      <c r="F5846" s="691"/>
      <c r="G5846" s="31"/>
      <c r="H5846" s="31"/>
    </row>
    <row r="5847" spans="2:8" hidden="1">
      <c r="B5847" s="33"/>
      <c r="C5847" s="31"/>
      <c r="D5847" s="31"/>
      <c r="E5847" s="31"/>
      <c r="F5847" s="691"/>
      <c r="G5847" s="31"/>
      <c r="H5847" s="31"/>
    </row>
    <row r="5848" spans="2:8" hidden="1">
      <c r="B5848" s="33"/>
      <c r="C5848" s="31"/>
      <c r="D5848" s="31"/>
      <c r="E5848" s="200"/>
      <c r="F5848" s="691"/>
      <c r="G5848" s="31"/>
      <c r="H5848" s="31"/>
    </row>
    <row r="5849" spans="2:8" hidden="1">
      <c r="B5849" s="33"/>
      <c r="C5849" s="31"/>
      <c r="D5849" s="31"/>
      <c r="E5849" s="31"/>
      <c r="F5849" s="691"/>
      <c r="G5849" s="31"/>
      <c r="H5849" s="31"/>
    </row>
    <row r="5850" spans="2:8" hidden="1">
      <c r="B5850" s="33"/>
      <c r="C5850" s="31"/>
      <c r="D5850" s="31"/>
      <c r="E5850" s="31"/>
      <c r="F5850" s="691"/>
      <c r="G5850" s="31"/>
      <c r="H5850" s="31"/>
    </row>
    <row r="5851" spans="2:8" hidden="1">
      <c r="B5851" s="33"/>
      <c r="C5851" s="31"/>
      <c r="D5851" s="31"/>
      <c r="E5851" s="31"/>
      <c r="F5851" s="691"/>
      <c r="G5851" s="31"/>
      <c r="H5851" s="31"/>
    </row>
    <row r="5852" spans="2:8" hidden="1">
      <c r="B5852" s="33"/>
      <c r="C5852" s="31"/>
      <c r="D5852" s="31"/>
      <c r="E5852" s="31"/>
      <c r="F5852" s="691"/>
      <c r="G5852" s="31"/>
      <c r="H5852" s="31"/>
    </row>
    <row r="5853" spans="2:8" hidden="1">
      <c r="B5853" s="33"/>
      <c r="C5853" s="31"/>
      <c r="D5853" s="31"/>
      <c r="E5853" s="31"/>
      <c r="F5853" s="691"/>
      <c r="G5853" s="31"/>
      <c r="H5853" s="31"/>
    </row>
    <row r="5854" spans="2:8" hidden="1">
      <c r="B5854" s="33"/>
      <c r="C5854" s="31"/>
      <c r="D5854" s="31"/>
      <c r="E5854" s="31"/>
      <c r="F5854" s="691"/>
      <c r="G5854" s="31"/>
      <c r="H5854" s="31"/>
    </row>
    <row r="5855" spans="2:8" hidden="1">
      <c r="B5855" s="33"/>
      <c r="C5855" s="31"/>
      <c r="D5855" s="31"/>
      <c r="E5855" s="31"/>
      <c r="F5855" s="691"/>
      <c r="G5855" s="31"/>
      <c r="H5855" s="31"/>
    </row>
    <row r="5856" spans="2:8" hidden="1">
      <c r="B5856" s="33"/>
      <c r="C5856" s="31"/>
      <c r="D5856" s="31"/>
      <c r="E5856" s="31"/>
      <c r="F5856" s="691"/>
      <c r="G5856" s="31"/>
      <c r="H5856" s="31"/>
    </row>
    <row r="5857" spans="2:8" hidden="1">
      <c r="B5857" s="33"/>
      <c r="C5857" s="31"/>
      <c r="D5857" s="31"/>
      <c r="E5857" s="31"/>
      <c r="F5857" s="691"/>
      <c r="G5857" s="31"/>
      <c r="H5857" s="31"/>
    </row>
    <row r="5858" spans="2:8" hidden="1">
      <c r="B5858" s="33"/>
      <c r="C5858" s="31"/>
      <c r="D5858" s="31"/>
      <c r="E5858" s="31"/>
      <c r="F5858" s="691"/>
      <c r="G5858" s="31"/>
      <c r="H5858" s="31"/>
    </row>
    <row r="5859" spans="2:8" hidden="1">
      <c r="B5859" s="33"/>
      <c r="C5859" s="31"/>
      <c r="D5859" s="31"/>
      <c r="E5859" s="31"/>
      <c r="F5859" s="691"/>
      <c r="G5859" s="31"/>
      <c r="H5859" s="31"/>
    </row>
    <row r="5860" spans="2:8" hidden="1">
      <c r="B5860" s="33"/>
      <c r="C5860" s="31"/>
      <c r="D5860" s="31"/>
      <c r="E5860" s="31"/>
      <c r="F5860" s="691"/>
      <c r="G5860" s="31"/>
      <c r="H5860" s="31"/>
    </row>
    <row r="5861" spans="2:8" hidden="1">
      <c r="B5861" s="33"/>
      <c r="C5861" s="31"/>
      <c r="D5861" s="31"/>
      <c r="E5861" s="31"/>
      <c r="F5861" s="691"/>
      <c r="G5861" s="31"/>
      <c r="H5861" s="31"/>
    </row>
    <row r="5862" spans="2:8" hidden="1">
      <c r="B5862" s="33"/>
      <c r="C5862" s="31"/>
      <c r="D5862" s="31"/>
      <c r="E5862" s="31"/>
      <c r="F5862" s="691"/>
      <c r="G5862" s="31"/>
      <c r="H5862" s="31"/>
    </row>
    <row r="5863" spans="2:8" hidden="1">
      <c r="B5863" s="33"/>
      <c r="C5863" s="31"/>
      <c r="D5863" s="31"/>
      <c r="E5863" s="31"/>
      <c r="F5863" s="691"/>
      <c r="G5863" s="31"/>
      <c r="H5863" s="31"/>
    </row>
    <row r="5864" spans="2:8" hidden="1">
      <c r="B5864" s="33"/>
      <c r="C5864" s="31"/>
      <c r="D5864" s="31"/>
      <c r="E5864" s="200"/>
      <c r="F5864" s="691"/>
      <c r="G5864" s="31"/>
      <c r="H5864" s="31"/>
    </row>
    <row r="5865" spans="2:8" hidden="1">
      <c r="B5865" s="33"/>
      <c r="C5865" s="31"/>
      <c r="D5865" s="31"/>
      <c r="E5865" s="31"/>
      <c r="F5865" s="691"/>
      <c r="G5865" s="31"/>
      <c r="H5865" s="31"/>
    </row>
    <row r="5866" spans="2:8" hidden="1">
      <c r="B5866" s="33"/>
      <c r="C5866" s="31"/>
      <c r="D5866" s="31"/>
      <c r="E5866" s="31"/>
      <c r="F5866" s="691"/>
      <c r="G5866" s="31"/>
      <c r="H5866" s="31"/>
    </row>
    <row r="5867" spans="2:8" hidden="1">
      <c r="B5867" s="33"/>
      <c r="C5867" s="31"/>
      <c r="D5867" s="31"/>
      <c r="E5867" s="31"/>
      <c r="F5867" s="691"/>
      <c r="G5867" s="31"/>
      <c r="H5867" s="31"/>
    </row>
    <row r="5868" spans="2:8" hidden="1">
      <c r="B5868" s="33"/>
      <c r="C5868" s="31"/>
      <c r="D5868" s="31"/>
      <c r="E5868" s="31"/>
      <c r="F5868" s="691"/>
      <c r="G5868" s="31"/>
      <c r="H5868" s="31"/>
    </row>
    <row r="5869" spans="2:8" hidden="1">
      <c r="B5869" s="33"/>
      <c r="C5869" s="31"/>
      <c r="D5869" s="31"/>
      <c r="E5869" s="31"/>
      <c r="F5869" s="691"/>
      <c r="G5869" s="31"/>
      <c r="H5869" s="31"/>
    </row>
    <row r="5870" spans="2:8" hidden="1">
      <c r="B5870" s="33"/>
      <c r="C5870" s="31"/>
      <c r="D5870" s="31"/>
      <c r="E5870" s="31"/>
      <c r="F5870" s="691"/>
      <c r="G5870" s="31"/>
      <c r="H5870" s="31"/>
    </row>
    <row r="5871" spans="2:8" hidden="1">
      <c r="B5871" s="33"/>
      <c r="C5871" s="31"/>
      <c r="D5871" s="31"/>
      <c r="E5871" s="31"/>
      <c r="F5871" s="691"/>
      <c r="G5871" s="31"/>
      <c r="H5871" s="31"/>
    </row>
    <row r="5872" spans="2:8" hidden="1">
      <c r="B5872" s="33"/>
      <c r="C5872" s="31"/>
      <c r="D5872" s="31"/>
      <c r="E5872" s="31"/>
      <c r="F5872" s="691"/>
      <c r="G5872" s="31"/>
      <c r="H5872" s="31"/>
    </row>
    <row r="5873" spans="2:8" hidden="1">
      <c r="B5873" s="33"/>
      <c r="C5873" s="31"/>
      <c r="D5873" s="31"/>
      <c r="E5873" s="31"/>
      <c r="F5873" s="691"/>
      <c r="G5873" s="31"/>
      <c r="H5873" s="31"/>
    </row>
    <row r="5874" spans="2:8" hidden="1">
      <c r="B5874" s="33"/>
      <c r="C5874" s="31"/>
      <c r="D5874" s="31"/>
      <c r="E5874" s="31"/>
      <c r="F5874" s="31"/>
      <c r="G5874" s="31"/>
      <c r="H5874" s="31"/>
    </row>
    <row r="5875" spans="2:8" hidden="1">
      <c r="B5875" s="33"/>
      <c r="C5875" s="31"/>
      <c r="D5875" s="31"/>
      <c r="E5875" s="31"/>
      <c r="F5875" s="31"/>
      <c r="G5875" s="31"/>
      <c r="H5875" s="31"/>
    </row>
    <row r="5876" spans="2:8" hidden="1">
      <c r="B5876" s="33"/>
      <c r="C5876" s="31"/>
      <c r="D5876" s="31"/>
      <c r="E5876" s="31"/>
      <c r="F5876" s="31"/>
      <c r="G5876" s="31"/>
      <c r="H5876" s="31"/>
    </row>
    <row r="5877" spans="2:8" hidden="1">
      <c r="B5877" s="33"/>
      <c r="C5877" s="31"/>
      <c r="D5877" s="31"/>
      <c r="E5877" s="31"/>
      <c r="F5877" s="691"/>
      <c r="G5877" s="31"/>
      <c r="H5877" s="31"/>
    </row>
    <row r="5878" spans="2:8" hidden="1">
      <c r="B5878" s="33"/>
      <c r="C5878" s="31"/>
      <c r="D5878" s="31"/>
      <c r="E5878" s="31"/>
      <c r="F5878" s="31"/>
      <c r="G5878" s="31"/>
      <c r="H5878" s="31"/>
    </row>
    <row r="5879" spans="2:8" hidden="1">
      <c r="B5879" s="33"/>
      <c r="C5879" s="31"/>
      <c r="D5879" s="31"/>
      <c r="E5879" s="31"/>
      <c r="F5879" s="31"/>
      <c r="G5879" s="31"/>
      <c r="H5879" s="31"/>
    </row>
    <row r="5880" spans="2:8" hidden="1">
      <c r="B5880" s="33"/>
      <c r="C5880" s="31"/>
      <c r="D5880" s="31"/>
      <c r="E5880" s="31"/>
      <c r="F5880" s="31"/>
      <c r="G5880" s="31"/>
      <c r="H5880" s="31"/>
    </row>
    <row r="5881" spans="2:8" hidden="1">
      <c r="B5881" s="33"/>
      <c r="C5881" s="31"/>
      <c r="D5881" s="31"/>
      <c r="E5881" s="31"/>
      <c r="F5881" s="31"/>
      <c r="G5881" s="31"/>
      <c r="H5881" s="31"/>
    </row>
    <row r="5882" spans="2:8" hidden="1">
      <c r="B5882" s="33"/>
      <c r="C5882" s="31"/>
      <c r="D5882" s="31"/>
      <c r="E5882" s="31"/>
      <c r="F5882" s="31"/>
      <c r="G5882" s="31"/>
      <c r="H5882" s="31"/>
    </row>
    <row r="5883" spans="2:8" hidden="1">
      <c r="B5883" s="33"/>
      <c r="C5883" s="31"/>
      <c r="D5883" s="31"/>
      <c r="E5883" s="31"/>
      <c r="F5883" s="31"/>
      <c r="G5883" s="31"/>
      <c r="H5883" s="31"/>
    </row>
    <row r="5884" spans="2:8" hidden="1">
      <c r="B5884" s="33"/>
      <c r="C5884" s="31"/>
      <c r="D5884" s="31"/>
      <c r="E5884" s="31"/>
      <c r="F5884" s="31"/>
      <c r="G5884" s="31"/>
      <c r="H5884" s="31"/>
    </row>
    <row r="5885" spans="2:8" hidden="1">
      <c r="B5885" s="33"/>
      <c r="C5885" s="31"/>
      <c r="D5885" s="31"/>
      <c r="E5885" s="31"/>
      <c r="F5885" s="31"/>
      <c r="G5885" s="31"/>
      <c r="H5885" s="31"/>
    </row>
    <row r="5886" spans="2:8" hidden="1">
      <c r="B5886" s="33"/>
      <c r="C5886" s="31"/>
      <c r="D5886" s="31"/>
      <c r="E5886" s="31"/>
      <c r="F5886" s="31"/>
      <c r="G5886" s="31"/>
      <c r="H5886" s="31"/>
    </row>
    <row r="5887" spans="2:8" hidden="1">
      <c r="B5887" s="33"/>
      <c r="C5887" s="31"/>
      <c r="D5887" s="31"/>
      <c r="E5887" s="31"/>
      <c r="F5887" s="31"/>
      <c r="G5887" s="31"/>
      <c r="H5887" s="31"/>
    </row>
    <row r="5888" spans="2:8" hidden="1">
      <c r="B5888" s="33"/>
      <c r="C5888" s="31"/>
      <c r="D5888" s="31"/>
      <c r="E5888" s="31"/>
      <c r="F5888" s="31"/>
      <c r="G5888" s="31"/>
      <c r="H5888" s="31"/>
    </row>
    <row r="5889" spans="2:8" hidden="1">
      <c r="B5889" s="33"/>
      <c r="C5889" s="31"/>
      <c r="D5889" s="31"/>
      <c r="E5889" s="31"/>
      <c r="F5889" s="33"/>
      <c r="G5889" s="31"/>
      <c r="H5889" s="31"/>
    </row>
    <row r="5890" spans="2:8" hidden="1">
      <c r="B5890" s="33"/>
      <c r="C5890" s="31"/>
      <c r="D5890" s="33"/>
      <c r="E5890" s="33"/>
      <c r="F5890" s="33"/>
      <c r="G5890" s="33"/>
      <c r="H5890" s="31"/>
    </row>
    <row r="5891" spans="2:8" hidden="1">
      <c r="B5891" s="33"/>
      <c r="C5891" s="31"/>
      <c r="D5891" s="33"/>
      <c r="E5891" s="33"/>
      <c r="F5891" s="33"/>
      <c r="G5891" s="33"/>
      <c r="H5891" s="31"/>
    </row>
    <row r="5892" spans="2:8" hidden="1">
      <c r="B5892" s="33"/>
      <c r="C5892" s="31"/>
      <c r="D5892" s="33"/>
      <c r="E5892" s="33"/>
      <c r="F5892" s="33"/>
      <c r="G5892" s="33"/>
      <c r="H5892" s="31"/>
    </row>
    <row r="5893" spans="2:8" hidden="1">
      <c r="B5893" s="33"/>
      <c r="C5893" s="31"/>
      <c r="D5893" s="33"/>
      <c r="E5893" s="33"/>
      <c r="F5893" s="33"/>
      <c r="G5893" s="33"/>
      <c r="H5893" s="31"/>
    </row>
    <row r="5894" spans="2:8" hidden="1">
      <c r="B5894" s="33"/>
      <c r="C5894" s="31"/>
      <c r="D5894" s="33"/>
      <c r="E5894" s="33"/>
      <c r="F5894" s="33"/>
      <c r="G5894" s="33"/>
      <c r="H5894" s="31"/>
    </row>
    <row r="5895" spans="2:8" hidden="1">
      <c r="B5895" s="33"/>
      <c r="C5895" s="31"/>
      <c r="D5895" s="33"/>
      <c r="E5895" s="33"/>
      <c r="F5895" s="33"/>
      <c r="G5895" s="33"/>
      <c r="H5895" s="31"/>
    </row>
    <row r="5896" spans="2:8" hidden="1">
      <c r="B5896" s="33"/>
      <c r="C5896" s="33"/>
      <c r="D5896" s="33"/>
      <c r="E5896" s="33"/>
      <c r="F5896" s="33"/>
      <c r="G5896" s="33"/>
      <c r="H5896" s="31"/>
    </row>
    <row r="5897" spans="2:8" hidden="1">
      <c r="B5897" s="33"/>
      <c r="C5897" s="31"/>
      <c r="D5897" s="31"/>
      <c r="E5897" s="31"/>
      <c r="F5897" s="31"/>
      <c r="G5897" s="31"/>
      <c r="H5897" s="31"/>
    </row>
    <row r="5898" spans="2:8" hidden="1">
      <c r="B5898" s="33"/>
      <c r="C5898" s="31"/>
      <c r="D5898" s="31"/>
      <c r="E5898" s="31"/>
      <c r="F5898" s="31"/>
      <c r="G5898" s="31"/>
      <c r="H5898" s="31"/>
    </row>
    <row r="5899" spans="2:8" hidden="1">
      <c r="B5899" s="33"/>
      <c r="C5899" s="31"/>
      <c r="D5899" s="31"/>
      <c r="E5899" s="31"/>
      <c r="F5899" s="31"/>
      <c r="G5899" s="31"/>
      <c r="H5899" s="31"/>
    </row>
    <row r="5900" spans="2:8" hidden="1">
      <c r="B5900" s="33"/>
      <c r="C5900" s="31"/>
      <c r="D5900" s="31"/>
      <c r="E5900" s="31"/>
      <c r="F5900" s="31"/>
      <c r="G5900" s="31"/>
      <c r="H5900" s="31"/>
    </row>
    <row r="5901" spans="2:8" hidden="1">
      <c r="B5901" s="33"/>
      <c r="C5901" s="31"/>
      <c r="D5901" s="31"/>
      <c r="E5901" s="31"/>
      <c r="F5901" s="31"/>
      <c r="G5901" s="31"/>
      <c r="H5901" s="31"/>
    </row>
    <row r="5902" spans="2:8" hidden="1">
      <c r="B5902" s="33"/>
      <c r="C5902" s="31"/>
      <c r="D5902" s="31"/>
      <c r="E5902" s="31"/>
      <c r="F5902" s="31"/>
      <c r="G5902" s="31"/>
      <c r="H5902" s="31"/>
    </row>
    <row r="5903" spans="2:8" hidden="1">
      <c r="B5903" s="33"/>
      <c r="C5903" s="31"/>
      <c r="D5903" s="31"/>
      <c r="E5903" s="31"/>
      <c r="F5903" s="31"/>
      <c r="G5903" s="31"/>
      <c r="H5903" s="31"/>
    </row>
    <row r="5904" spans="2:8" hidden="1">
      <c r="B5904" s="33"/>
      <c r="C5904" s="31"/>
      <c r="D5904" s="31"/>
      <c r="E5904" s="31"/>
      <c r="F5904" s="31"/>
      <c r="G5904" s="31"/>
      <c r="H5904" s="31"/>
    </row>
    <row r="5905" spans="2:8" hidden="1">
      <c r="B5905" s="33"/>
      <c r="C5905" s="31"/>
      <c r="D5905" s="31"/>
      <c r="E5905" s="31"/>
      <c r="F5905" s="31"/>
      <c r="G5905" s="31"/>
      <c r="H5905" s="31"/>
    </row>
    <row r="5906" spans="2:8" hidden="1">
      <c r="B5906" s="33"/>
      <c r="C5906" s="31"/>
      <c r="D5906" s="31"/>
      <c r="E5906" s="31"/>
      <c r="F5906" s="31"/>
      <c r="G5906" s="31"/>
      <c r="H5906" s="31"/>
    </row>
    <row r="5907" spans="2:8" hidden="1">
      <c r="B5907" s="33"/>
      <c r="C5907" s="31"/>
      <c r="D5907" s="31"/>
      <c r="E5907" s="31"/>
      <c r="F5907" s="31"/>
      <c r="G5907" s="31"/>
      <c r="H5907" s="31"/>
    </row>
    <row r="5908" spans="2:8" hidden="1">
      <c r="B5908" s="33"/>
      <c r="C5908" s="31"/>
      <c r="D5908" s="31"/>
      <c r="E5908" s="31"/>
      <c r="F5908" s="31"/>
      <c r="G5908" s="31"/>
      <c r="H5908" s="31"/>
    </row>
    <row r="5909" spans="2:8" hidden="1">
      <c r="B5909" s="33"/>
      <c r="C5909" s="31"/>
      <c r="D5909" s="75"/>
      <c r="E5909" s="31"/>
      <c r="F5909" s="405"/>
      <c r="G5909" s="75"/>
      <c r="H5909" s="31"/>
    </row>
    <row r="5910" spans="2:8" hidden="1">
      <c r="B5910" s="33"/>
      <c r="C5910" s="31"/>
      <c r="D5910" s="31"/>
      <c r="E5910" s="31"/>
      <c r="F5910" s="691"/>
      <c r="G5910" s="732"/>
      <c r="H5910" s="31"/>
    </row>
    <row r="5911" spans="2:8" hidden="1">
      <c r="B5911" s="33"/>
      <c r="C5911" s="31"/>
      <c r="D5911" s="31"/>
      <c r="E5911" s="31"/>
      <c r="F5911" s="405"/>
      <c r="G5911" s="75"/>
      <c r="H5911" s="31"/>
    </row>
    <row r="5912" spans="2:8" hidden="1">
      <c r="B5912" s="33"/>
      <c r="C5912" s="31"/>
      <c r="D5912" s="75"/>
      <c r="E5912" s="31"/>
      <c r="F5912" s="405"/>
      <c r="G5912" s="75"/>
      <c r="H5912" s="31"/>
    </row>
    <row r="5913" spans="2:8" hidden="1">
      <c r="B5913" s="33"/>
      <c r="C5913" s="31"/>
      <c r="D5913" s="31"/>
      <c r="E5913" s="31"/>
      <c r="F5913" s="691"/>
      <c r="G5913" s="732"/>
      <c r="H5913" s="31"/>
    </row>
    <row r="5914" spans="2:8" hidden="1">
      <c r="B5914" s="33"/>
      <c r="C5914" s="31"/>
      <c r="D5914" s="31"/>
      <c r="E5914" s="31"/>
      <c r="F5914" s="405"/>
      <c r="G5914" s="75"/>
      <c r="H5914" s="31"/>
    </row>
    <row r="5915" spans="2:8" hidden="1">
      <c r="B5915" s="33"/>
      <c r="C5915" s="31"/>
      <c r="D5915" s="31"/>
      <c r="E5915" s="31"/>
      <c r="F5915" s="31"/>
      <c r="G5915" s="31"/>
      <c r="H5915" s="31"/>
    </row>
    <row r="5916" spans="2:8" hidden="1">
      <c r="B5916" s="33"/>
      <c r="C5916" s="200"/>
      <c r="D5916" s="31"/>
      <c r="E5916" s="200"/>
      <c r="F5916" s="769"/>
      <c r="G5916" s="31"/>
      <c r="H5916" s="31"/>
    </row>
    <row r="5917" spans="2:8" hidden="1">
      <c r="B5917" s="76"/>
      <c r="C5917" s="31"/>
      <c r="D5917" s="31"/>
      <c r="E5917" s="31"/>
      <c r="F5917" s="75"/>
      <c r="G5917" s="31"/>
      <c r="H5917" s="31"/>
    </row>
    <row r="5918" spans="2:8" hidden="1">
      <c r="B5918" s="33"/>
      <c r="C5918" s="33"/>
      <c r="D5918" s="33"/>
      <c r="E5918" s="33"/>
      <c r="F5918" s="33"/>
      <c r="G5918" s="33"/>
      <c r="H5918" s="31"/>
    </row>
    <row r="5919" spans="2:8" hidden="1">
      <c r="B5919" s="33"/>
      <c r="C5919" s="31"/>
      <c r="D5919" s="33"/>
      <c r="E5919" s="33"/>
      <c r="F5919" s="33"/>
      <c r="G5919" s="33"/>
      <c r="H5919" s="31"/>
    </row>
    <row r="5920" spans="2:8" hidden="1">
      <c r="B5920" s="405"/>
      <c r="C5920" s="76"/>
      <c r="D5920" s="731"/>
      <c r="E5920" s="75"/>
      <c r="F5920" s="75"/>
      <c r="G5920" s="75"/>
      <c r="H5920" s="31"/>
    </row>
    <row r="5921" spans="2:8" hidden="1">
      <c r="B5921" s="405"/>
      <c r="C5921" s="76"/>
      <c r="D5921" s="731"/>
      <c r="E5921" s="75"/>
      <c r="F5921" s="75"/>
      <c r="G5921" s="75"/>
      <c r="H5921" s="31"/>
    </row>
    <row r="5922" spans="2:8" hidden="1">
      <c r="B5922" s="405"/>
      <c r="C5922" s="76"/>
      <c r="D5922" s="731"/>
      <c r="E5922" s="75"/>
      <c r="F5922" s="75"/>
      <c r="G5922" s="75"/>
      <c r="H5922" s="31"/>
    </row>
    <row r="5923" spans="2:8" hidden="1">
      <c r="B5923" s="405"/>
      <c r="C5923" s="76"/>
      <c r="D5923" s="731"/>
      <c r="E5923" s="75"/>
      <c r="F5923" s="75"/>
      <c r="G5923" s="75"/>
      <c r="H5923" s="31"/>
    </row>
    <row r="5924" spans="2:8" hidden="1">
      <c r="B5924" s="405"/>
      <c r="C5924" s="76"/>
      <c r="D5924" s="731"/>
      <c r="E5924" s="75"/>
      <c r="F5924" s="75"/>
      <c r="G5924" s="75"/>
      <c r="H5924" s="31"/>
    </row>
    <row r="5925" spans="2:8" hidden="1">
      <c r="B5925" s="405"/>
      <c r="C5925" s="76"/>
      <c r="D5925" s="731"/>
      <c r="E5925" s="75"/>
      <c r="F5925" s="75"/>
      <c r="G5925" s="75"/>
      <c r="H5925" s="31"/>
    </row>
    <row r="5926" spans="2:8" hidden="1">
      <c r="B5926" s="405"/>
      <c r="C5926" s="76"/>
      <c r="D5926" s="731"/>
      <c r="E5926" s="75"/>
      <c r="F5926" s="75"/>
      <c r="G5926" s="75"/>
      <c r="H5926" s="31"/>
    </row>
    <row r="5927" spans="2:8" hidden="1">
      <c r="B5927" s="405"/>
      <c r="C5927" s="76"/>
      <c r="D5927" s="731"/>
      <c r="E5927" s="75"/>
      <c r="F5927" s="75"/>
      <c r="G5927" s="75"/>
      <c r="H5927" s="31"/>
    </row>
    <row r="5928" spans="2:8" hidden="1">
      <c r="B5928" s="405"/>
      <c r="C5928" s="76"/>
      <c r="D5928" s="731"/>
      <c r="E5928" s="75"/>
      <c r="F5928" s="75"/>
      <c r="G5928" s="75"/>
      <c r="H5928" s="31"/>
    </row>
    <row r="5929" spans="2:8" hidden="1">
      <c r="B5929" s="405"/>
      <c r="C5929" s="76"/>
      <c r="D5929" s="731"/>
      <c r="E5929" s="75"/>
      <c r="F5929" s="75"/>
      <c r="G5929" s="75"/>
      <c r="H5929" s="31"/>
    </row>
    <row r="5930" spans="2:8" hidden="1">
      <c r="B5930" s="405"/>
      <c r="C5930" s="76"/>
      <c r="D5930" s="731"/>
      <c r="E5930" s="75"/>
      <c r="F5930" s="75"/>
      <c r="G5930" s="75"/>
      <c r="H5930" s="31"/>
    </row>
    <row r="5931" spans="2:8" hidden="1">
      <c r="B5931" s="405"/>
      <c r="C5931" s="76"/>
      <c r="D5931" s="731"/>
      <c r="E5931" s="75"/>
      <c r="F5931" s="75"/>
      <c r="G5931" s="75"/>
      <c r="H5931" s="31"/>
    </row>
    <row r="5932" spans="2:8" hidden="1">
      <c r="B5932" s="405"/>
      <c r="C5932" s="76"/>
      <c r="D5932" s="731"/>
      <c r="E5932" s="75"/>
      <c r="F5932" s="75"/>
      <c r="G5932" s="75"/>
      <c r="H5932" s="31"/>
    </row>
    <row r="5933" spans="2:8" hidden="1">
      <c r="B5933" s="405"/>
      <c r="C5933" s="76"/>
      <c r="D5933" s="731"/>
      <c r="E5933" s="75"/>
      <c r="F5933" s="75"/>
      <c r="G5933" s="75"/>
      <c r="H5933" s="31"/>
    </row>
    <row r="5934" spans="2:8" hidden="1">
      <c r="B5934" s="405"/>
      <c r="C5934" s="76"/>
      <c r="D5934" s="731"/>
      <c r="E5934" s="75"/>
      <c r="F5934" s="75"/>
      <c r="G5934" s="75"/>
      <c r="H5934" s="31"/>
    </row>
    <row r="5935" spans="2:8" hidden="1">
      <c r="B5935" s="405"/>
      <c r="C5935" s="76"/>
      <c r="D5935" s="731"/>
      <c r="E5935" s="75"/>
      <c r="F5935" s="75"/>
      <c r="G5935" s="75"/>
      <c r="H5935" s="31"/>
    </row>
    <row r="5936" spans="2:8" hidden="1">
      <c r="B5936" s="30"/>
      <c r="C5936" s="76"/>
      <c r="D5936" s="731"/>
      <c r="E5936" s="75"/>
      <c r="F5936" s="75"/>
      <c r="G5936" s="75"/>
      <c r="H5936" s="31"/>
    </row>
    <row r="5937" spans="2:8" hidden="1">
      <c r="B5937" s="30"/>
      <c r="C5937" s="76"/>
      <c r="D5937" s="731"/>
      <c r="E5937" s="75"/>
      <c r="F5937" s="75"/>
      <c r="G5937" s="75"/>
      <c r="H5937" s="31"/>
    </row>
    <row r="5938" spans="2:8" hidden="1">
      <c r="B5938" s="30"/>
      <c r="C5938" s="76"/>
      <c r="D5938" s="731"/>
      <c r="E5938" s="75"/>
      <c r="F5938" s="75"/>
      <c r="G5938" s="75"/>
      <c r="H5938" s="31"/>
    </row>
    <row r="5939" spans="2:8" hidden="1">
      <c r="B5939" s="30"/>
      <c r="C5939" s="76"/>
      <c r="D5939" s="731"/>
      <c r="E5939" s="75"/>
      <c r="F5939" s="75"/>
      <c r="G5939" s="75"/>
      <c r="H5939" s="31"/>
    </row>
    <row r="5940" spans="2:8" hidden="1">
      <c r="B5940" s="30"/>
      <c r="C5940" s="76"/>
      <c r="D5940" s="731"/>
      <c r="E5940" s="75"/>
      <c r="F5940" s="75"/>
      <c r="G5940" s="75"/>
      <c r="H5940" s="31"/>
    </row>
    <row r="5941" spans="2:8" hidden="1">
      <c r="B5941" s="30"/>
      <c r="C5941" s="76"/>
      <c r="D5941" s="731"/>
      <c r="E5941" s="75"/>
      <c r="F5941" s="75"/>
      <c r="G5941" s="75"/>
      <c r="H5941" s="31"/>
    </row>
    <row r="5942" spans="2:8" hidden="1">
      <c r="B5942" s="33"/>
      <c r="C5942" s="31"/>
      <c r="D5942" s="31"/>
      <c r="E5942" s="200"/>
      <c r="F5942" s="200"/>
      <c r="G5942" s="75"/>
      <c r="H5942" s="31"/>
    </row>
    <row r="5943" spans="2:8" hidden="1">
      <c r="B5943" s="33"/>
      <c r="C5943" s="31"/>
      <c r="D5943" s="31"/>
      <c r="E5943" s="198"/>
      <c r="F5943" s="200"/>
      <c r="G5943" s="75"/>
      <c r="H5943" s="31"/>
    </row>
    <row r="5944" spans="2:8" hidden="1">
      <c r="B5944" s="33"/>
      <c r="C5944" s="31"/>
      <c r="D5944" s="31"/>
      <c r="E5944" s="198"/>
      <c r="F5944" s="200"/>
      <c r="G5944" s="75"/>
      <c r="H5944" s="31"/>
    </row>
    <row r="5945" spans="2:8" hidden="1">
      <c r="B5945" s="33"/>
      <c r="C5945" s="31"/>
      <c r="D5945" s="31"/>
      <c r="E5945" s="198"/>
      <c r="F5945" s="200"/>
      <c r="G5945" s="75"/>
      <c r="H5945" s="31"/>
    </row>
    <row r="5946" spans="2:8" hidden="1">
      <c r="B5946" s="33"/>
      <c r="C5946" s="200"/>
      <c r="D5946" s="30"/>
      <c r="E5946" s="30"/>
      <c r="F5946" s="200"/>
      <c r="G5946" s="75"/>
      <c r="H5946" s="31"/>
    </row>
    <row r="5947" spans="2:8" hidden="1">
      <c r="B5947" s="33"/>
      <c r="C5947" s="31"/>
      <c r="D5947" s="31"/>
      <c r="E5947" s="31"/>
      <c r="F5947" s="31"/>
      <c r="G5947" s="31"/>
      <c r="H5947" s="31"/>
    </row>
    <row r="5948" spans="2:8" hidden="1">
      <c r="B5948" s="76"/>
      <c r="C5948" s="31"/>
      <c r="D5948" s="31"/>
      <c r="E5948" s="31"/>
      <c r="F5948" s="31"/>
      <c r="G5948" s="31"/>
      <c r="H5948" s="31"/>
    </row>
    <row r="5949" spans="2:8" hidden="1">
      <c r="B5949" s="33"/>
      <c r="C5949" s="33"/>
      <c r="D5949" s="33"/>
      <c r="E5949" s="33"/>
      <c r="F5949" s="33"/>
      <c r="G5949" s="33"/>
      <c r="H5949" s="31"/>
    </row>
    <row r="5950" spans="2:8" hidden="1">
      <c r="B5950" s="33"/>
      <c r="C5950" s="31"/>
      <c r="D5950" s="33"/>
      <c r="E5950" s="33"/>
      <c r="F5950" s="33"/>
      <c r="G5950" s="33"/>
      <c r="H5950" s="31"/>
    </row>
    <row r="5951" spans="2:8" hidden="1">
      <c r="B5951" s="405"/>
      <c r="C5951" s="76"/>
      <c r="D5951" s="731"/>
      <c r="E5951" s="75"/>
      <c r="F5951" s="75"/>
      <c r="G5951" s="75"/>
      <c r="H5951" s="31"/>
    </row>
    <row r="5952" spans="2:8" hidden="1">
      <c r="B5952" s="405"/>
      <c r="C5952" s="76"/>
      <c r="D5952" s="731"/>
      <c r="E5952" s="75"/>
      <c r="F5952" s="75"/>
      <c r="G5952" s="75"/>
      <c r="H5952" s="31"/>
    </row>
    <row r="5953" spans="2:8" hidden="1">
      <c r="B5953" s="405"/>
      <c r="C5953" s="76"/>
      <c r="D5953" s="731"/>
      <c r="E5953" s="75"/>
      <c r="F5953" s="75"/>
      <c r="G5953" s="75"/>
      <c r="H5953" s="31"/>
    </row>
    <row r="5954" spans="2:8" hidden="1">
      <c r="B5954" s="405"/>
      <c r="C5954" s="76"/>
      <c r="D5954" s="731"/>
      <c r="E5954" s="75"/>
      <c r="F5954" s="75"/>
      <c r="G5954" s="75"/>
      <c r="H5954" s="31"/>
    </row>
    <row r="5955" spans="2:8" hidden="1">
      <c r="B5955" s="405"/>
      <c r="C5955" s="76"/>
      <c r="D5955" s="731"/>
      <c r="E5955" s="75"/>
      <c r="F5955" s="75"/>
      <c r="G5955" s="75"/>
      <c r="H5955" s="31"/>
    </row>
    <row r="5956" spans="2:8" hidden="1">
      <c r="B5956" s="405"/>
      <c r="C5956" s="76"/>
      <c r="D5956" s="731"/>
      <c r="E5956" s="75"/>
      <c r="F5956" s="75"/>
      <c r="G5956" s="75"/>
      <c r="H5956" s="31"/>
    </row>
    <row r="5957" spans="2:8" hidden="1">
      <c r="B5957" s="405"/>
      <c r="C5957" s="76"/>
      <c r="D5957" s="731"/>
      <c r="E5957" s="75"/>
      <c r="F5957" s="75"/>
      <c r="G5957" s="75"/>
      <c r="H5957" s="31"/>
    </row>
    <row r="5958" spans="2:8" hidden="1">
      <c r="B5958" s="405"/>
      <c r="C5958" s="76"/>
      <c r="D5958" s="731"/>
      <c r="E5958" s="75"/>
      <c r="F5958" s="75"/>
      <c r="G5958" s="75"/>
      <c r="H5958" s="31"/>
    </row>
    <row r="5959" spans="2:8" hidden="1">
      <c r="B5959" s="405"/>
      <c r="C5959" s="76"/>
      <c r="D5959" s="731"/>
      <c r="E5959" s="75"/>
      <c r="F5959" s="75"/>
      <c r="G5959" s="75"/>
      <c r="H5959" s="31"/>
    </row>
    <row r="5960" spans="2:8" hidden="1">
      <c r="B5960" s="405"/>
      <c r="C5960" s="76"/>
      <c r="D5960" s="731"/>
      <c r="E5960" s="75"/>
      <c r="F5960" s="75"/>
      <c r="G5960" s="75"/>
      <c r="H5960" s="31"/>
    </row>
    <row r="5961" spans="2:8" hidden="1">
      <c r="B5961" s="405"/>
      <c r="C5961" s="76"/>
      <c r="D5961" s="731"/>
      <c r="E5961" s="75"/>
      <c r="F5961" s="75"/>
      <c r="G5961" s="75"/>
      <c r="H5961" s="31"/>
    </row>
    <row r="5962" spans="2:8" hidden="1">
      <c r="B5962" s="405"/>
      <c r="C5962" s="76"/>
      <c r="D5962" s="731"/>
      <c r="E5962" s="75"/>
      <c r="F5962" s="75"/>
      <c r="G5962" s="75"/>
      <c r="H5962" s="31"/>
    </row>
    <row r="5963" spans="2:8" hidden="1">
      <c r="B5963" s="405"/>
      <c r="C5963" s="76"/>
      <c r="D5963" s="731"/>
      <c r="E5963" s="75"/>
      <c r="F5963" s="75"/>
      <c r="G5963" s="75"/>
      <c r="H5963" s="31"/>
    </row>
    <row r="5964" spans="2:8" hidden="1">
      <c r="B5964" s="33"/>
      <c r="C5964" s="31"/>
      <c r="D5964" s="31"/>
      <c r="E5964" s="200"/>
      <c r="F5964" s="200"/>
      <c r="G5964" s="75"/>
      <c r="H5964" s="31"/>
    </row>
    <row r="5965" spans="2:8" hidden="1">
      <c r="B5965" s="33"/>
      <c r="C5965" s="31"/>
      <c r="D5965" s="31"/>
      <c r="E5965" s="198"/>
      <c r="F5965" s="200"/>
      <c r="G5965" s="75"/>
      <c r="H5965" s="31"/>
    </row>
    <row r="5966" spans="2:8" hidden="1">
      <c r="B5966" s="33"/>
      <c r="C5966" s="31"/>
      <c r="D5966" s="31"/>
      <c r="E5966" s="198"/>
      <c r="F5966" s="200"/>
      <c r="G5966" s="75"/>
      <c r="H5966" s="31"/>
    </row>
    <row r="5967" spans="2:8" hidden="1">
      <c r="B5967" s="33"/>
      <c r="C5967" s="31"/>
      <c r="D5967" s="31"/>
      <c r="E5967" s="198"/>
      <c r="F5967" s="200"/>
      <c r="G5967" s="75"/>
      <c r="H5967" s="31"/>
    </row>
    <row r="5968" spans="2:8" hidden="1">
      <c r="B5968" s="33"/>
      <c r="C5968" s="30"/>
      <c r="D5968" s="30"/>
      <c r="E5968" s="30"/>
      <c r="F5968" s="200"/>
      <c r="G5968" s="75"/>
      <c r="H5968" s="31"/>
    </row>
    <row r="5969" spans="2:8" hidden="1">
      <c r="B5969" s="33"/>
      <c r="C5969" s="31"/>
      <c r="D5969" s="31"/>
      <c r="E5969" s="31"/>
      <c r="F5969" s="31"/>
      <c r="G5969" s="31"/>
      <c r="H5969" s="31"/>
    </row>
    <row r="5970" spans="2:8" hidden="1">
      <c r="B5970" s="76"/>
      <c r="C5970" s="31"/>
      <c r="D5970" s="31"/>
      <c r="E5970" s="31"/>
      <c r="F5970" s="31"/>
      <c r="G5970" s="31"/>
      <c r="H5970" s="31"/>
    </row>
    <row r="5971" spans="2:8" hidden="1">
      <c r="B5971" s="33"/>
      <c r="C5971" s="33"/>
      <c r="D5971" s="33"/>
      <c r="E5971" s="33"/>
      <c r="F5971" s="33"/>
      <c r="G5971" s="33"/>
      <c r="H5971" s="31"/>
    </row>
    <row r="5972" spans="2:8" hidden="1">
      <c r="B5972" s="33"/>
      <c r="C5972" s="31"/>
      <c r="D5972" s="33"/>
      <c r="E5972" s="33"/>
      <c r="F5972" s="33"/>
      <c r="G5972" s="33"/>
      <c r="H5972" s="31"/>
    </row>
    <row r="5973" spans="2:8" hidden="1">
      <c r="B5973" s="405"/>
      <c r="C5973" s="76"/>
      <c r="D5973" s="731"/>
      <c r="E5973" s="75"/>
      <c r="F5973" s="75"/>
      <c r="G5973" s="75"/>
      <c r="H5973" s="31"/>
    </row>
    <row r="5974" spans="2:8" hidden="1">
      <c r="B5974" s="405"/>
      <c r="C5974" s="76"/>
      <c r="D5974" s="731"/>
      <c r="E5974" s="75"/>
      <c r="F5974" s="75"/>
      <c r="G5974" s="75"/>
      <c r="H5974" s="31"/>
    </row>
    <row r="5975" spans="2:8" hidden="1">
      <c r="B5975" s="405"/>
      <c r="C5975" s="76"/>
      <c r="D5975" s="731"/>
      <c r="E5975" s="75"/>
      <c r="F5975" s="75"/>
      <c r="G5975" s="75"/>
      <c r="H5975" s="31"/>
    </row>
    <row r="5976" spans="2:8" hidden="1">
      <c r="B5976" s="405"/>
      <c r="C5976" s="76"/>
      <c r="D5976" s="731"/>
      <c r="E5976" s="75"/>
      <c r="F5976" s="75"/>
      <c r="G5976" s="75"/>
      <c r="H5976" s="31"/>
    </row>
    <row r="5977" spans="2:8" hidden="1">
      <c r="B5977" s="405"/>
      <c r="C5977" s="76"/>
      <c r="D5977" s="731"/>
      <c r="E5977" s="75"/>
      <c r="F5977" s="75"/>
      <c r="G5977" s="75"/>
      <c r="H5977" s="31"/>
    </row>
    <row r="5978" spans="2:8" hidden="1">
      <c r="B5978" s="405"/>
      <c r="C5978" s="76"/>
      <c r="D5978" s="731"/>
      <c r="E5978" s="75"/>
      <c r="F5978" s="75"/>
      <c r="G5978" s="75"/>
      <c r="H5978" s="31"/>
    </row>
    <row r="5979" spans="2:8" hidden="1">
      <c r="B5979" s="405"/>
      <c r="C5979" s="76"/>
      <c r="D5979" s="731"/>
      <c r="E5979" s="75"/>
      <c r="F5979" s="75"/>
      <c r="G5979" s="75"/>
      <c r="H5979" s="31"/>
    </row>
    <row r="5980" spans="2:8" hidden="1">
      <c r="B5980" s="405"/>
      <c r="C5980" s="76"/>
      <c r="D5980" s="731"/>
      <c r="E5980" s="75"/>
      <c r="F5980" s="75"/>
      <c r="G5980" s="75"/>
      <c r="H5980" s="31"/>
    </row>
    <row r="5981" spans="2:8" hidden="1">
      <c r="B5981" s="405"/>
      <c r="C5981" s="76"/>
      <c r="D5981" s="731"/>
      <c r="E5981" s="75"/>
      <c r="F5981" s="75"/>
      <c r="G5981" s="75"/>
      <c r="H5981" s="31"/>
    </row>
    <row r="5982" spans="2:8" hidden="1">
      <c r="B5982" s="30"/>
      <c r="C5982" s="76"/>
      <c r="D5982" s="731"/>
      <c r="E5982" s="75"/>
      <c r="F5982" s="75"/>
      <c r="G5982" s="75"/>
      <c r="H5982" s="31"/>
    </row>
    <row r="5983" spans="2:8" hidden="1">
      <c r="B5983" s="30"/>
      <c r="C5983" s="76"/>
      <c r="D5983" s="731"/>
      <c r="E5983" s="75"/>
      <c r="F5983" s="75"/>
      <c r="G5983" s="75"/>
      <c r="H5983" s="31"/>
    </row>
    <row r="5984" spans="2:8" hidden="1">
      <c r="B5984" s="30"/>
      <c r="C5984" s="76"/>
      <c r="D5984" s="731"/>
      <c r="E5984" s="75"/>
      <c r="F5984" s="75"/>
      <c r="G5984" s="75"/>
      <c r="H5984" s="31"/>
    </row>
    <row r="5985" spans="2:8" hidden="1">
      <c r="B5985" s="33"/>
      <c r="C5985" s="31"/>
      <c r="D5985" s="31"/>
      <c r="E5985" s="200"/>
      <c r="F5985" s="200"/>
      <c r="G5985" s="75"/>
      <c r="H5985" s="31"/>
    </row>
    <row r="5986" spans="2:8" hidden="1">
      <c r="B5986" s="33"/>
      <c r="C5986" s="31"/>
      <c r="D5986" s="31"/>
      <c r="E5986" s="198"/>
      <c r="F5986" s="200"/>
      <c r="G5986" s="75"/>
      <c r="H5986" s="31"/>
    </row>
    <row r="5987" spans="2:8" hidden="1">
      <c r="B5987" s="33"/>
      <c r="C5987" s="31"/>
      <c r="D5987" s="31"/>
      <c r="E5987" s="198"/>
      <c r="F5987" s="200"/>
      <c r="G5987" s="75"/>
      <c r="H5987" s="31"/>
    </row>
    <row r="5988" spans="2:8" hidden="1">
      <c r="B5988" s="33"/>
      <c r="C5988" s="31"/>
      <c r="D5988" s="31"/>
      <c r="E5988" s="198"/>
      <c r="F5988" s="200"/>
      <c r="G5988" s="75"/>
      <c r="H5988" s="31"/>
    </row>
    <row r="5989" spans="2:8" hidden="1">
      <c r="B5989" s="33"/>
      <c r="C5989" s="31"/>
      <c r="D5989" s="31"/>
      <c r="E5989" s="198"/>
      <c r="F5989" s="200"/>
      <c r="G5989" s="75"/>
      <c r="H5989" s="31"/>
    </row>
    <row r="5990" spans="2:8" hidden="1">
      <c r="B5990" s="33"/>
      <c r="C5990" s="31"/>
      <c r="D5990" s="31"/>
      <c r="E5990" s="198"/>
      <c r="F5990" s="200"/>
      <c r="G5990" s="75"/>
      <c r="H5990" s="31"/>
    </row>
    <row r="5991" spans="2:8" hidden="1">
      <c r="B5991" s="33"/>
      <c r="C5991" s="200"/>
      <c r="D5991" s="30"/>
      <c r="E5991" s="30"/>
      <c r="F5991" s="200"/>
      <c r="G5991" s="75"/>
      <c r="H5991" s="31"/>
    </row>
    <row r="5992" spans="2:8" hidden="1">
      <c r="B5992" s="33"/>
      <c r="C5992" s="31"/>
      <c r="D5992" s="31"/>
      <c r="E5992" s="31"/>
      <c r="F5992" s="31"/>
      <c r="G5992" s="31"/>
      <c r="H5992" s="31"/>
    </row>
    <row r="5993" spans="2:8" hidden="1">
      <c r="B5993" s="33"/>
      <c r="C5993" s="31"/>
      <c r="D5993" s="31"/>
      <c r="E5993" s="31"/>
      <c r="F5993" s="31"/>
      <c r="G5993" s="31"/>
      <c r="H5993" s="31"/>
    </row>
    <row r="5994" spans="2:8" hidden="1">
      <c r="B5994" s="33"/>
      <c r="C5994" s="31"/>
      <c r="D5994" s="31"/>
      <c r="E5994" s="31"/>
      <c r="F5994" s="200"/>
      <c r="G5994" s="75"/>
      <c r="H5994" s="31"/>
    </row>
    <row r="5995" spans="2:8" hidden="1">
      <c r="B5995" s="33"/>
      <c r="C5995" s="31"/>
      <c r="D5995" s="31"/>
      <c r="E5995" s="31"/>
      <c r="F5995" s="200"/>
      <c r="G5995" s="75"/>
      <c r="H5995" s="31"/>
    </row>
    <row r="5996" spans="2:8" hidden="1">
      <c r="B5996" s="33"/>
      <c r="C5996" s="31"/>
      <c r="D5996" s="31"/>
      <c r="E5996" s="31"/>
      <c r="F5996" s="200"/>
      <c r="G5996" s="75"/>
      <c r="H5996" s="31"/>
    </row>
    <row r="5997" spans="2:8" hidden="1">
      <c r="B5997" s="33"/>
      <c r="C5997" s="31"/>
      <c r="D5997" s="31"/>
      <c r="E5997" s="200"/>
      <c r="F5997" s="200"/>
      <c r="G5997" s="75"/>
      <c r="H5997" s="31"/>
    </row>
    <row r="5998" spans="2:8" hidden="1">
      <c r="B5998" s="33"/>
      <c r="C5998" s="31"/>
      <c r="D5998" s="31"/>
      <c r="E5998" s="301"/>
      <c r="F5998" s="200"/>
      <c r="G5998" s="75"/>
      <c r="H5998" s="31"/>
    </row>
    <row r="5999" spans="2:8" hidden="1">
      <c r="B5999" s="33"/>
      <c r="C5999" s="31"/>
      <c r="D5999" s="31"/>
      <c r="E5999" s="767"/>
      <c r="F5999" s="200"/>
      <c r="G5999" s="75"/>
      <c r="H5999" s="31"/>
    </row>
    <row r="6000" spans="2:8" hidden="1">
      <c r="B6000" s="33"/>
      <c r="C6000" s="31"/>
      <c r="D6000" s="31"/>
      <c r="E6000" s="767"/>
      <c r="F6000" s="200"/>
      <c r="G6000" s="75"/>
      <c r="H6000" s="31"/>
    </row>
    <row r="6001" spans="2:8" hidden="1">
      <c r="B6001" s="33"/>
      <c r="C6001" s="31"/>
      <c r="D6001" s="31"/>
      <c r="E6001" s="767"/>
      <c r="F6001" s="200"/>
      <c r="G6001" s="75"/>
      <c r="H6001" s="31"/>
    </row>
    <row r="6002" spans="2:8" hidden="1">
      <c r="B6002" s="33"/>
      <c r="C6002" s="31"/>
      <c r="D6002" s="31"/>
      <c r="E6002" s="767"/>
      <c r="F6002" s="200"/>
      <c r="G6002" s="75"/>
      <c r="H6002" s="31"/>
    </row>
    <row r="6003" spans="2:8" hidden="1">
      <c r="B6003" s="33"/>
      <c r="C6003" s="31"/>
      <c r="D6003" s="75"/>
      <c r="E6003" s="767"/>
      <c r="F6003" s="200"/>
      <c r="G6003" s="75"/>
      <c r="H6003" s="31"/>
    </row>
    <row r="6004" spans="2:8" hidden="1">
      <c r="B6004" s="33"/>
      <c r="C6004" s="31"/>
      <c r="D6004" s="31"/>
      <c r="E6004" s="767"/>
      <c r="F6004" s="200"/>
      <c r="G6004" s="75"/>
      <c r="H6004" s="31"/>
    </row>
    <row r="6005" spans="2:8" hidden="1">
      <c r="B6005" s="33"/>
      <c r="C6005" s="31"/>
      <c r="D6005" s="31"/>
      <c r="E6005" s="200"/>
      <c r="F6005" s="200"/>
      <c r="G6005" s="75"/>
      <c r="H6005" s="31"/>
    </row>
    <row r="6006" spans="2:8" hidden="1">
      <c r="B6006" s="33"/>
      <c r="C6006" s="31"/>
      <c r="D6006" s="31"/>
      <c r="E6006" s="200"/>
      <c r="F6006" s="200"/>
      <c r="G6006" s="31"/>
      <c r="H6006" s="31"/>
    </row>
    <row r="6007" spans="2:8" hidden="1">
      <c r="B6007" s="33"/>
      <c r="C6007" s="31"/>
      <c r="D6007" s="75"/>
      <c r="E6007" s="76"/>
      <c r="F6007" s="200"/>
      <c r="G6007" s="75"/>
      <c r="H6007" s="31"/>
    </row>
    <row r="6008" spans="2:8" hidden="1">
      <c r="B6008" s="33"/>
      <c r="C6008" s="31"/>
      <c r="D6008" s="198"/>
      <c r="E6008" s="198"/>
      <c r="F6008" s="200"/>
      <c r="G6008" s="75"/>
      <c r="H6008" s="31"/>
    </row>
    <row r="6009" spans="2:8" hidden="1">
      <c r="B6009" s="33"/>
      <c r="C6009" s="31"/>
      <c r="D6009" s="768"/>
      <c r="E6009" s="31"/>
      <c r="F6009" s="200"/>
      <c r="G6009" s="75"/>
      <c r="H6009" s="31"/>
    </row>
    <row r="6010" spans="2:8" hidden="1">
      <c r="B6010" s="33"/>
      <c r="C6010" s="31"/>
      <c r="D6010" s="200"/>
      <c r="E6010" s="31"/>
      <c r="F6010" s="200"/>
      <c r="G6010" s="75"/>
      <c r="H6010" s="31"/>
    </row>
    <row r="6011" spans="2:8" hidden="1">
      <c r="B6011" s="33"/>
      <c r="C6011" s="31"/>
      <c r="D6011" s="31"/>
      <c r="E6011" s="31"/>
      <c r="F6011" s="31"/>
      <c r="G6011" s="31"/>
      <c r="H6011" s="31"/>
    </row>
    <row r="6012" spans="2:8" hidden="1">
      <c r="B6012" s="33"/>
      <c r="C6012" s="31"/>
      <c r="D6012" s="31"/>
      <c r="E6012" s="31"/>
      <c r="F6012" s="31"/>
      <c r="G6012" s="31"/>
      <c r="H6012" s="31"/>
    </row>
    <row r="6013" spans="2:8" hidden="1">
      <c r="B6013" s="33"/>
      <c r="C6013" s="31"/>
      <c r="D6013" s="31"/>
      <c r="E6013" s="31"/>
      <c r="F6013" s="31"/>
      <c r="G6013" s="31"/>
      <c r="H6013" s="31"/>
    </row>
    <row r="6014" spans="2:8" hidden="1">
      <c r="B6014" s="33"/>
      <c r="C6014" s="31"/>
      <c r="D6014" s="31"/>
      <c r="E6014" s="31"/>
      <c r="F6014" s="31"/>
      <c r="G6014" s="31"/>
      <c r="H6014" s="31"/>
    </row>
    <row r="6015" spans="2:8" hidden="1">
      <c r="B6015" s="33"/>
      <c r="C6015" s="31"/>
      <c r="D6015" s="31"/>
      <c r="E6015" s="31"/>
      <c r="F6015" s="31"/>
      <c r="G6015" s="31"/>
      <c r="H6015" s="31"/>
    </row>
    <row r="6016" spans="2:8" hidden="1">
      <c r="B6016" s="33"/>
      <c r="C6016" s="31"/>
      <c r="D6016" s="31"/>
      <c r="E6016" s="31"/>
      <c r="F6016" s="31"/>
      <c r="G6016" s="31"/>
      <c r="H6016" s="31"/>
    </row>
    <row r="6017" spans="2:8" hidden="1">
      <c r="B6017" s="33"/>
      <c r="C6017" s="31"/>
      <c r="D6017" s="31"/>
      <c r="E6017" s="31"/>
      <c r="F6017" s="31"/>
      <c r="G6017" s="31"/>
      <c r="H6017" s="31"/>
    </row>
    <row r="6018" spans="2:8" hidden="1">
      <c r="B6018" s="33"/>
      <c r="C6018" s="31"/>
      <c r="D6018" s="31"/>
      <c r="E6018" s="31"/>
      <c r="F6018" s="31"/>
      <c r="G6018" s="31"/>
      <c r="H6018" s="31"/>
    </row>
    <row r="6019" spans="2:8" hidden="1">
      <c r="B6019" s="33"/>
      <c r="C6019" s="31"/>
      <c r="D6019" s="31"/>
      <c r="E6019" s="31"/>
      <c r="F6019" s="31"/>
      <c r="G6019" s="31"/>
      <c r="H6019" s="31"/>
    </row>
    <row r="6020" spans="2:8" hidden="1">
      <c r="B6020" s="33"/>
      <c r="C6020" s="31"/>
      <c r="D6020" s="31"/>
      <c r="E6020" s="31"/>
      <c r="F6020" s="31"/>
      <c r="G6020" s="31"/>
      <c r="H6020" s="31"/>
    </row>
    <row r="6021" spans="2:8" hidden="1">
      <c r="B6021" s="33"/>
      <c r="C6021" s="31"/>
      <c r="D6021" s="31"/>
      <c r="E6021" s="31"/>
      <c r="F6021" s="31"/>
      <c r="G6021" s="31"/>
      <c r="H6021" s="31"/>
    </row>
    <row r="6022" spans="2:8" hidden="1">
      <c r="B6022" s="33"/>
      <c r="C6022" s="31"/>
      <c r="D6022" s="31"/>
      <c r="E6022" s="31"/>
      <c r="F6022" s="31"/>
      <c r="G6022" s="31"/>
      <c r="H6022" s="31"/>
    </row>
    <row r="6023" spans="2:8" hidden="1">
      <c r="B6023" s="33"/>
      <c r="C6023" s="31"/>
      <c r="D6023" s="31"/>
      <c r="E6023" s="31"/>
      <c r="F6023" s="31"/>
      <c r="G6023" s="31"/>
      <c r="H6023" s="31"/>
    </row>
    <row r="6024" spans="2:8" hidden="1">
      <c r="B6024" s="33"/>
      <c r="C6024" s="31"/>
      <c r="D6024" s="31"/>
      <c r="E6024" s="31"/>
      <c r="F6024" s="31"/>
      <c r="G6024" s="31"/>
      <c r="H6024" s="31"/>
    </row>
    <row r="6025" spans="2:8" hidden="1">
      <c r="B6025" s="33"/>
      <c r="C6025" s="31"/>
      <c r="D6025" s="31"/>
      <c r="E6025" s="31"/>
      <c r="F6025" s="31"/>
      <c r="G6025" s="31"/>
      <c r="H6025" s="31"/>
    </row>
    <row r="6026" spans="2:8" hidden="1">
      <c r="B6026" s="33"/>
      <c r="C6026" s="31"/>
      <c r="D6026" s="31"/>
      <c r="E6026" s="31"/>
      <c r="F6026" s="31"/>
      <c r="G6026" s="31"/>
      <c r="H6026" s="31"/>
    </row>
    <row r="6027" spans="2:8" hidden="1">
      <c r="B6027" s="33"/>
      <c r="C6027" s="31"/>
      <c r="D6027" s="31"/>
      <c r="E6027" s="31"/>
      <c r="F6027" s="31"/>
      <c r="G6027" s="31"/>
      <c r="H6027" s="31"/>
    </row>
    <row r="6028" spans="2:8" hidden="1">
      <c r="B6028" s="33"/>
      <c r="C6028" s="31"/>
      <c r="D6028" s="31"/>
      <c r="E6028" s="31"/>
      <c r="F6028" s="31"/>
      <c r="G6028" s="31"/>
      <c r="H6028" s="31"/>
    </row>
    <row r="6029" spans="2:8" hidden="1">
      <c r="B6029" s="33"/>
      <c r="C6029" s="31"/>
      <c r="D6029" s="31"/>
      <c r="E6029" s="31"/>
      <c r="F6029" s="31"/>
      <c r="G6029" s="31"/>
      <c r="H6029" s="31"/>
    </row>
    <row r="6030" spans="2:8" hidden="1">
      <c r="B6030" s="33"/>
      <c r="C6030" s="31"/>
      <c r="D6030" s="31"/>
      <c r="E6030" s="31"/>
      <c r="F6030" s="31"/>
      <c r="G6030" s="31"/>
      <c r="H6030" s="31"/>
    </row>
    <row r="6031" spans="2:8" hidden="1">
      <c r="B6031" s="33"/>
      <c r="C6031" s="31"/>
      <c r="D6031" s="31"/>
      <c r="E6031" s="31"/>
      <c r="F6031" s="31"/>
      <c r="G6031" s="31"/>
      <c r="H6031" s="31"/>
    </row>
    <row r="6032" spans="2:8" hidden="1">
      <c r="B6032" s="33"/>
      <c r="C6032" s="31"/>
      <c r="D6032" s="31"/>
      <c r="E6032" s="31"/>
      <c r="F6032" s="31"/>
      <c r="G6032" s="31"/>
      <c r="H6032" s="31"/>
    </row>
    <row r="6033" spans="2:8" hidden="1">
      <c r="B6033" s="33"/>
      <c r="C6033" s="31"/>
      <c r="D6033" s="31"/>
      <c r="E6033" s="31"/>
      <c r="F6033" s="31"/>
      <c r="G6033" s="31"/>
      <c r="H6033" s="31"/>
    </row>
    <row r="6034" spans="2:8" hidden="1">
      <c r="B6034" s="33"/>
      <c r="C6034" s="31"/>
      <c r="D6034" s="31"/>
      <c r="E6034" s="31"/>
      <c r="F6034" s="31"/>
      <c r="G6034" s="31"/>
      <c r="H6034" s="31"/>
    </row>
    <row r="6035" spans="2:8" hidden="1">
      <c r="B6035" s="33"/>
      <c r="C6035" s="31"/>
      <c r="D6035" s="31"/>
      <c r="E6035" s="31"/>
      <c r="F6035" s="31"/>
      <c r="G6035" s="31"/>
      <c r="H6035" s="31"/>
    </row>
    <row r="6036" spans="2:8" hidden="1">
      <c r="B6036" s="33"/>
      <c r="C6036" s="31"/>
      <c r="D6036" s="31"/>
      <c r="E6036" s="31"/>
      <c r="F6036" s="31"/>
      <c r="G6036" s="31"/>
      <c r="H6036" s="31"/>
    </row>
    <row r="6037" spans="2:8" hidden="1">
      <c r="B6037" s="33"/>
      <c r="C6037" s="31"/>
      <c r="D6037" s="33"/>
      <c r="E6037" s="31"/>
      <c r="F6037" s="31"/>
      <c r="G6037" s="31"/>
      <c r="H6037" s="31"/>
    </row>
    <row r="6038" spans="2:8" hidden="1">
      <c r="B6038" s="33"/>
      <c r="C6038" s="31"/>
      <c r="D6038" s="33"/>
      <c r="E6038" s="31"/>
      <c r="F6038" s="31"/>
      <c r="G6038" s="31"/>
      <c r="H6038" s="31"/>
    </row>
    <row r="6039" spans="2:8" hidden="1">
      <c r="B6039" s="33"/>
      <c r="C6039" s="31"/>
      <c r="D6039" s="33"/>
      <c r="E6039" s="31"/>
      <c r="F6039" s="31"/>
      <c r="G6039" s="31"/>
      <c r="H6039" s="31"/>
    </row>
    <row r="6040" spans="2:8" hidden="1">
      <c r="B6040" s="33"/>
      <c r="C6040" s="31"/>
      <c r="D6040" s="33"/>
      <c r="E6040" s="31"/>
      <c r="F6040" s="31"/>
      <c r="G6040" s="31"/>
      <c r="H6040" s="31"/>
    </row>
    <row r="6041" spans="2:8" hidden="1">
      <c r="B6041" s="33"/>
      <c r="C6041" s="31"/>
      <c r="D6041" s="33"/>
      <c r="E6041" s="31"/>
      <c r="F6041" s="31"/>
      <c r="G6041" s="31"/>
      <c r="H6041" s="31"/>
    </row>
    <row r="6042" spans="2:8" hidden="1">
      <c r="B6042" s="33"/>
      <c r="C6042" s="31"/>
      <c r="D6042" s="33"/>
      <c r="E6042" s="31"/>
      <c r="F6042" s="31"/>
      <c r="G6042" s="31"/>
      <c r="H6042" s="31"/>
    </row>
    <row r="6043" spans="2:8" hidden="1">
      <c r="B6043" s="33"/>
      <c r="C6043" s="31"/>
      <c r="D6043" s="33"/>
      <c r="E6043" s="31"/>
      <c r="F6043" s="31"/>
      <c r="G6043" s="31"/>
      <c r="H6043" s="31"/>
    </row>
    <row r="6044" spans="2:8" hidden="1">
      <c r="B6044" s="33"/>
      <c r="C6044" s="31"/>
      <c r="D6044" s="33"/>
      <c r="E6044" s="31"/>
      <c r="F6044" s="31"/>
      <c r="G6044" s="31"/>
      <c r="H6044" s="31"/>
    </row>
    <row r="6045" spans="2:8" hidden="1">
      <c r="B6045" s="33"/>
      <c r="C6045" s="31"/>
      <c r="D6045" s="33"/>
      <c r="E6045" s="31"/>
      <c r="F6045" s="31"/>
      <c r="G6045" s="31"/>
      <c r="H6045" s="31"/>
    </row>
    <row r="6046" spans="2:8" hidden="1">
      <c r="B6046" s="33"/>
      <c r="C6046" s="31"/>
      <c r="D6046" s="31"/>
      <c r="E6046" s="31"/>
      <c r="F6046" s="31"/>
      <c r="G6046" s="31"/>
      <c r="H6046" s="31"/>
    </row>
    <row r="6047" spans="2:8" hidden="1">
      <c r="B6047" s="33"/>
      <c r="C6047" s="31"/>
      <c r="D6047" s="31"/>
      <c r="E6047" s="31"/>
      <c r="F6047" s="31"/>
      <c r="G6047" s="31"/>
      <c r="H6047" s="31"/>
    </row>
    <row r="6048" spans="2:8" hidden="1">
      <c r="B6048" s="33"/>
      <c r="C6048" s="31"/>
      <c r="D6048" s="31"/>
      <c r="E6048" s="31"/>
      <c r="F6048" s="31"/>
      <c r="G6048" s="31"/>
      <c r="H6048" s="31"/>
    </row>
    <row r="6049" spans="2:8" hidden="1">
      <c r="B6049" s="33"/>
      <c r="C6049" s="31"/>
      <c r="D6049" s="31"/>
      <c r="E6049" s="31"/>
      <c r="F6049" s="31"/>
      <c r="G6049" s="31"/>
      <c r="H6049" s="31"/>
    </row>
    <row r="6050" spans="2:8" hidden="1">
      <c r="B6050" s="33"/>
      <c r="C6050" s="31"/>
      <c r="D6050" s="31"/>
      <c r="E6050" s="31"/>
      <c r="F6050" s="31"/>
      <c r="G6050" s="31"/>
      <c r="H6050" s="31"/>
    </row>
    <row r="6051" spans="2:8" hidden="1">
      <c r="B6051" s="33"/>
      <c r="C6051" s="31"/>
      <c r="D6051" s="31"/>
      <c r="E6051" s="31"/>
      <c r="F6051" s="31"/>
      <c r="G6051" s="31"/>
      <c r="H6051" s="31"/>
    </row>
    <row r="6052" spans="2:8" hidden="1">
      <c r="B6052" s="33"/>
      <c r="C6052" s="31"/>
      <c r="D6052" s="31"/>
      <c r="E6052" s="31"/>
      <c r="F6052" s="31"/>
      <c r="G6052" s="31"/>
      <c r="H6052" s="31"/>
    </row>
    <row r="6053" spans="2:8" hidden="1">
      <c r="B6053" s="33"/>
      <c r="C6053" s="31"/>
      <c r="D6053" s="31"/>
      <c r="E6053" s="31"/>
      <c r="F6053" s="31"/>
      <c r="G6053" s="31"/>
      <c r="H6053" s="31"/>
    </row>
    <row r="6054" spans="2:8" hidden="1">
      <c r="B6054" s="33"/>
      <c r="C6054" s="31"/>
      <c r="D6054" s="31"/>
      <c r="E6054" s="31"/>
      <c r="F6054" s="31"/>
      <c r="G6054" s="31"/>
      <c r="H6054" s="31"/>
    </row>
    <row r="6055" spans="2:8" hidden="1">
      <c r="B6055" s="33"/>
      <c r="C6055" s="31"/>
      <c r="D6055" s="31"/>
      <c r="E6055" s="31"/>
      <c r="F6055" s="31"/>
      <c r="G6055" s="31"/>
      <c r="H6055" s="31"/>
    </row>
    <row r="6056" spans="2:8" hidden="1">
      <c r="B6056" s="33"/>
      <c r="C6056" s="31"/>
      <c r="D6056" s="31"/>
      <c r="E6056" s="31"/>
      <c r="F6056" s="31"/>
      <c r="G6056" s="31"/>
      <c r="H6056" s="31"/>
    </row>
    <row r="6057" spans="2:8" hidden="1">
      <c r="B6057" s="33"/>
      <c r="C6057" s="31"/>
      <c r="D6057" s="31"/>
      <c r="E6057" s="31"/>
      <c r="F6057" s="31"/>
      <c r="G6057" s="31"/>
      <c r="H6057" s="31"/>
    </row>
    <row r="6058" spans="2:8" hidden="1">
      <c r="B6058" s="33"/>
      <c r="C6058" s="31"/>
      <c r="D6058" s="31"/>
      <c r="E6058" s="31"/>
      <c r="F6058" s="31"/>
      <c r="G6058" s="31"/>
      <c r="H6058" s="31"/>
    </row>
    <row r="6059" spans="2:8" hidden="1">
      <c r="B6059" s="33"/>
      <c r="C6059" s="31"/>
      <c r="D6059" s="31"/>
      <c r="E6059" s="31"/>
      <c r="F6059" s="31"/>
      <c r="G6059" s="31"/>
      <c r="H6059" s="31"/>
    </row>
    <row r="6060" spans="2:8" hidden="1">
      <c r="B6060" s="33"/>
      <c r="C6060" s="31"/>
      <c r="D6060" s="31"/>
      <c r="E6060" s="31"/>
      <c r="F6060" s="31"/>
      <c r="G6060" s="31"/>
      <c r="H6060" s="31"/>
    </row>
    <row r="6061" spans="2:8" hidden="1">
      <c r="B6061" s="30"/>
      <c r="C6061" s="30"/>
      <c r="D6061" s="30"/>
      <c r="E6061" s="30"/>
      <c r="F6061" s="30"/>
      <c r="G6061" s="30"/>
      <c r="H6061" s="31"/>
    </row>
    <row r="6062" spans="2:8" hidden="1">
      <c r="B6062" s="33"/>
      <c r="C6062" s="31"/>
      <c r="D6062" s="31"/>
      <c r="E6062" s="31"/>
      <c r="F6062" s="31"/>
      <c r="G6062" s="31"/>
      <c r="H6062" s="31"/>
    </row>
    <row r="6063" spans="2:8" hidden="1">
      <c r="B6063" s="33"/>
      <c r="C6063" s="31"/>
      <c r="D6063" s="31"/>
      <c r="E6063" s="31"/>
      <c r="F6063" s="31"/>
      <c r="G6063" s="31"/>
      <c r="H6063" s="31"/>
    </row>
    <row r="6064" spans="2:8" hidden="1">
      <c r="B6064" s="33"/>
      <c r="C6064" s="31"/>
      <c r="D6064" s="31"/>
      <c r="E6064" s="31"/>
      <c r="F6064" s="31"/>
      <c r="G6064" s="31"/>
      <c r="H6064" s="31"/>
    </row>
    <row r="6065" spans="2:8" hidden="1">
      <c r="B6065" s="33"/>
      <c r="C6065" s="31"/>
      <c r="D6065" s="31"/>
      <c r="E6065" s="31"/>
      <c r="F6065" s="31"/>
      <c r="G6065" s="31"/>
      <c r="H6065" s="31"/>
    </row>
    <row r="6066" spans="2:8" hidden="1">
      <c r="B6066" s="33"/>
      <c r="C6066" s="31"/>
      <c r="D6066" s="31"/>
      <c r="E6066" s="31"/>
      <c r="F6066" s="31"/>
      <c r="G6066" s="31"/>
      <c r="H6066" s="31"/>
    </row>
    <row r="6067" spans="2:8" hidden="1">
      <c r="B6067" s="33"/>
      <c r="C6067" s="31"/>
      <c r="D6067" s="31"/>
      <c r="E6067" s="31"/>
      <c r="F6067" s="31"/>
      <c r="G6067" s="31"/>
      <c r="H6067" s="31"/>
    </row>
    <row r="6068" spans="2:8" hidden="1">
      <c r="B6068" s="33"/>
      <c r="C6068" s="31"/>
      <c r="D6068" s="31"/>
      <c r="E6068" s="31"/>
      <c r="F6068" s="31"/>
      <c r="G6068" s="31"/>
      <c r="H6068" s="31"/>
    </row>
    <row r="6069" spans="2:8" hidden="1">
      <c r="B6069" s="33"/>
      <c r="C6069" s="31"/>
      <c r="D6069" s="31"/>
      <c r="E6069" s="31"/>
      <c r="F6069" s="31"/>
      <c r="G6069" s="31"/>
      <c r="H6069" s="31"/>
    </row>
    <row r="6070" spans="2:8" hidden="1">
      <c r="B6070" s="33"/>
      <c r="C6070" s="31"/>
      <c r="D6070" s="33"/>
      <c r="E6070" s="33"/>
      <c r="F6070" s="33"/>
      <c r="G6070" s="33"/>
      <c r="H6070" s="31"/>
    </row>
    <row r="6071" spans="2:8" hidden="1">
      <c r="B6071" s="33"/>
      <c r="C6071" s="31"/>
      <c r="D6071" s="33"/>
      <c r="E6071" s="33"/>
      <c r="F6071" s="33"/>
      <c r="G6071" s="33"/>
      <c r="H6071" s="31"/>
    </row>
    <row r="6072" spans="2:8" hidden="1">
      <c r="B6072" s="33"/>
      <c r="C6072" s="31"/>
      <c r="D6072" s="31"/>
      <c r="E6072" s="31"/>
      <c r="F6072" s="31"/>
      <c r="G6072" s="31"/>
      <c r="H6072" s="31"/>
    </row>
    <row r="6073" spans="2:8" hidden="1">
      <c r="B6073" s="405"/>
      <c r="C6073" s="31"/>
      <c r="D6073" s="75"/>
      <c r="E6073" s="31"/>
      <c r="F6073" s="31"/>
      <c r="G6073" s="31"/>
      <c r="H6073" s="31"/>
    </row>
    <row r="6074" spans="2:8" hidden="1">
      <c r="B6074" s="405"/>
      <c r="C6074" s="31"/>
      <c r="D6074" s="75"/>
      <c r="E6074" s="31"/>
      <c r="F6074" s="31"/>
      <c r="G6074" s="31"/>
      <c r="H6074" s="31"/>
    </row>
    <row r="6075" spans="2:8" hidden="1">
      <c r="B6075" s="405"/>
      <c r="C6075" s="31"/>
      <c r="D6075" s="75"/>
      <c r="E6075" s="31"/>
      <c r="F6075" s="31"/>
      <c r="G6075" s="31"/>
      <c r="H6075" s="31"/>
    </row>
    <row r="6076" spans="2:8" hidden="1">
      <c r="B6076" s="405"/>
      <c r="C6076" s="31"/>
      <c r="D6076" s="75"/>
      <c r="E6076" s="31"/>
      <c r="F6076" s="31"/>
      <c r="G6076" s="31"/>
      <c r="H6076" s="31"/>
    </row>
    <row r="6077" spans="2:8" hidden="1">
      <c r="B6077" s="405"/>
      <c r="C6077" s="31"/>
      <c r="D6077" s="75"/>
      <c r="E6077" s="31"/>
      <c r="F6077" s="31"/>
      <c r="G6077" s="31"/>
      <c r="H6077" s="31"/>
    </row>
    <row r="6078" spans="2:8" hidden="1">
      <c r="B6078" s="405"/>
      <c r="C6078" s="31"/>
      <c r="D6078" s="75"/>
      <c r="E6078" s="31"/>
      <c r="F6078" s="31"/>
      <c r="G6078" s="31"/>
      <c r="H6078" s="31"/>
    </row>
    <row r="6079" spans="2:8" hidden="1">
      <c r="B6079" s="405"/>
      <c r="C6079" s="31"/>
      <c r="D6079" s="75"/>
      <c r="E6079" s="31"/>
      <c r="F6079" s="31"/>
      <c r="G6079" s="31"/>
      <c r="H6079" s="31"/>
    </row>
    <row r="6080" spans="2:8" hidden="1">
      <c r="B6080" s="405"/>
      <c r="C6080" s="31"/>
      <c r="D6080" s="75"/>
      <c r="E6080" s="33"/>
      <c r="F6080" s="31"/>
      <c r="G6080" s="31"/>
      <c r="H6080" s="31"/>
    </row>
    <row r="6081" spans="2:8" hidden="1">
      <c r="B6081" s="405"/>
      <c r="C6081" s="31"/>
      <c r="D6081" s="75"/>
      <c r="E6081" s="31"/>
      <c r="F6081" s="31"/>
      <c r="G6081" s="31"/>
      <c r="H6081" s="31"/>
    </row>
    <row r="6082" spans="2:8" hidden="1">
      <c r="B6082" s="200"/>
      <c r="C6082" s="31"/>
      <c r="D6082" s="75"/>
      <c r="E6082" s="31"/>
      <c r="F6082" s="31"/>
      <c r="G6082" s="31"/>
      <c r="H6082" s="31"/>
    </row>
    <row r="6083" spans="2:8" hidden="1">
      <c r="B6083" s="200"/>
      <c r="C6083" s="31"/>
      <c r="D6083" s="75"/>
      <c r="E6083" s="31"/>
      <c r="F6083" s="31"/>
      <c r="G6083" s="31"/>
      <c r="H6083" s="31"/>
    </row>
    <row r="6084" spans="2:8" hidden="1">
      <c r="B6084" s="200"/>
      <c r="C6084" s="31"/>
      <c r="D6084" s="75"/>
      <c r="E6084" s="31"/>
      <c r="F6084" s="31"/>
      <c r="G6084" s="31"/>
      <c r="H6084" s="31"/>
    </row>
    <row r="6085" spans="2:8" hidden="1">
      <c r="B6085" s="200"/>
      <c r="C6085" s="31"/>
      <c r="D6085" s="75"/>
      <c r="E6085" s="33"/>
      <c r="F6085" s="31"/>
      <c r="G6085" s="31"/>
      <c r="H6085" s="31"/>
    </row>
    <row r="6086" spans="2:8" hidden="1">
      <c r="B6086" s="200"/>
      <c r="C6086" s="31"/>
      <c r="D6086" s="75"/>
      <c r="E6086" s="33"/>
      <c r="F6086" s="31"/>
      <c r="G6086" s="31"/>
      <c r="H6086" s="31"/>
    </row>
    <row r="6087" spans="2:8" hidden="1">
      <c r="B6087" s="200"/>
      <c r="C6087" s="31"/>
      <c r="D6087" s="75"/>
      <c r="E6087" s="31"/>
      <c r="F6087" s="31"/>
      <c r="G6087" s="31"/>
      <c r="H6087" s="31"/>
    </row>
    <row r="6088" spans="2:8" hidden="1">
      <c r="B6088" s="200"/>
      <c r="C6088" s="31"/>
      <c r="D6088" s="75"/>
      <c r="E6088" s="31"/>
      <c r="F6088" s="31"/>
      <c r="G6088" s="31"/>
      <c r="H6088" s="31"/>
    </row>
    <row r="6089" spans="2:8" hidden="1">
      <c r="B6089" s="200"/>
      <c r="C6089" s="31"/>
      <c r="D6089" s="75"/>
      <c r="E6089" s="31"/>
      <c r="F6089" s="31"/>
      <c r="G6089" s="31"/>
      <c r="H6089" s="31"/>
    </row>
    <row r="6090" spans="2:8" hidden="1">
      <c r="B6090" s="200"/>
      <c r="C6090" s="31"/>
      <c r="D6090" s="75"/>
      <c r="E6090" s="31"/>
      <c r="F6090" s="31"/>
      <c r="G6090" s="31"/>
      <c r="H6090" s="31"/>
    </row>
    <row r="6091" spans="2:8" hidden="1">
      <c r="B6091" s="200"/>
      <c r="C6091" s="31"/>
      <c r="D6091" s="75"/>
      <c r="E6091" s="31"/>
      <c r="F6091" s="31"/>
      <c r="G6091" s="31"/>
      <c r="H6091" s="31"/>
    </row>
    <row r="6092" spans="2:8" hidden="1">
      <c r="B6092" s="200"/>
      <c r="C6092" s="31"/>
      <c r="D6092" s="75"/>
      <c r="E6092" s="31"/>
      <c r="F6092" s="31"/>
      <c r="G6092" s="31"/>
      <c r="H6092" s="31"/>
    </row>
    <row r="6093" spans="2:8" hidden="1">
      <c r="B6093" s="200"/>
      <c r="C6093" s="31"/>
      <c r="D6093" s="75"/>
      <c r="E6093" s="31"/>
      <c r="F6093" s="31"/>
      <c r="G6093" s="31"/>
      <c r="H6093" s="31"/>
    </row>
    <row r="6094" spans="2:8" hidden="1">
      <c r="B6094" s="200"/>
      <c r="C6094" s="31"/>
      <c r="D6094" s="75"/>
      <c r="E6094" s="31"/>
      <c r="F6094" s="31"/>
      <c r="G6094" s="31"/>
      <c r="H6094" s="31"/>
    </row>
    <row r="6095" spans="2:8" hidden="1">
      <c r="B6095" s="200"/>
      <c r="C6095" s="31"/>
      <c r="D6095" s="75"/>
      <c r="E6095" s="31"/>
      <c r="F6095" s="31"/>
      <c r="G6095" s="31"/>
      <c r="H6095" s="31"/>
    </row>
    <row r="6096" spans="2:8" hidden="1">
      <c r="B6096" s="200"/>
      <c r="C6096" s="31"/>
      <c r="D6096" s="75"/>
      <c r="E6096" s="31"/>
      <c r="F6096" s="31"/>
      <c r="G6096" s="31"/>
      <c r="H6096" s="31"/>
    </row>
    <row r="6097" spans="2:8" hidden="1">
      <c r="B6097" s="200"/>
      <c r="C6097" s="31"/>
      <c r="D6097" s="75"/>
      <c r="E6097" s="31"/>
      <c r="F6097" s="31"/>
      <c r="G6097" s="31"/>
      <c r="H6097" s="31"/>
    </row>
    <row r="6098" spans="2:8" hidden="1">
      <c r="B6098" s="200"/>
      <c r="C6098" s="31"/>
      <c r="D6098" s="75"/>
      <c r="E6098" s="31"/>
      <c r="F6098" s="31"/>
      <c r="G6098" s="31"/>
      <c r="H6098" s="31"/>
    </row>
    <row r="6099" spans="2:8" hidden="1">
      <c r="B6099" s="200"/>
      <c r="C6099" s="31"/>
      <c r="D6099" s="75"/>
      <c r="E6099" s="31"/>
      <c r="F6099" s="31"/>
      <c r="G6099" s="31"/>
      <c r="H6099" s="31"/>
    </row>
    <row r="6100" spans="2:8" hidden="1">
      <c r="B6100" s="200"/>
      <c r="C6100" s="31"/>
      <c r="D6100" s="75"/>
      <c r="E6100" s="31"/>
      <c r="F6100" s="31"/>
      <c r="G6100" s="31"/>
      <c r="H6100" s="31"/>
    </row>
    <row r="6101" spans="2:8" hidden="1">
      <c r="B6101" s="200"/>
      <c r="C6101" s="31"/>
      <c r="D6101" s="75"/>
      <c r="E6101" s="31"/>
      <c r="F6101" s="31"/>
      <c r="G6101" s="31"/>
      <c r="H6101" s="31"/>
    </row>
    <row r="6102" spans="2:8" hidden="1">
      <c r="B6102" s="200"/>
      <c r="C6102" s="31"/>
      <c r="D6102" s="75"/>
      <c r="E6102" s="31"/>
      <c r="F6102" s="31"/>
      <c r="G6102" s="31"/>
      <c r="H6102" s="31"/>
    </row>
    <row r="6103" spans="2:8" hidden="1">
      <c r="B6103" s="200"/>
      <c r="C6103" s="31"/>
      <c r="D6103" s="75"/>
      <c r="E6103" s="31"/>
      <c r="F6103" s="31"/>
      <c r="G6103" s="31"/>
      <c r="H6103" s="31"/>
    </row>
    <row r="6104" spans="2:8" hidden="1">
      <c r="B6104" s="200"/>
      <c r="C6104" s="31"/>
      <c r="D6104" s="75"/>
      <c r="E6104" s="31"/>
      <c r="F6104" s="31"/>
      <c r="G6104" s="31"/>
      <c r="H6104" s="31"/>
    </row>
    <row r="6105" spans="2:8" hidden="1">
      <c r="B6105" s="200"/>
      <c r="C6105" s="31"/>
      <c r="D6105" s="75"/>
      <c r="E6105" s="31"/>
      <c r="F6105" s="31"/>
      <c r="G6105" s="31"/>
      <c r="H6105" s="31"/>
    </row>
    <row r="6106" spans="2:8" hidden="1">
      <c r="B6106" s="200"/>
      <c r="C6106" s="31"/>
      <c r="D6106" s="75"/>
      <c r="E6106" s="33"/>
      <c r="F6106" s="33"/>
      <c r="G6106" s="33"/>
      <c r="H6106" s="31"/>
    </row>
    <row r="6107" spans="2:8" hidden="1">
      <c r="B6107" s="200"/>
      <c r="C6107" s="31"/>
      <c r="D6107" s="75"/>
      <c r="E6107" s="33"/>
      <c r="F6107" s="33"/>
      <c r="G6107" s="33"/>
      <c r="H6107" s="31"/>
    </row>
    <row r="6108" spans="2:8" hidden="1">
      <c r="B6108" s="33"/>
      <c r="C6108" s="31"/>
      <c r="D6108" s="31"/>
      <c r="E6108" s="31"/>
      <c r="F6108" s="31"/>
      <c r="G6108" s="31"/>
      <c r="H6108" s="31"/>
    </row>
    <row r="6109" spans="2:8" hidden="1">
      <c r="B6109" s="200"/>
      <c r="C6109" s="31"/>
      <c r="D6109" s="75"/>
      <c r="E6109" s="31"/>
      <c r="F6109" s="31"/>
      <c r="G6109" s="31"/>
      <c r="H6109" s="31"/>
    </row>
    <row r="6110" spans="2:8" hidden="1">
      <c r="B6110" s="200"/>
      <c r="C6110" s="31"/>
      <c r="D6110" s="75"/>
      <c r="E6110" s="31"/>
      <c r="F6110" s="33"/>
      <c r="G6110" s="33"/>
      <c r="H6110" s="31"/>
    </row>
    <row r="6111" spans="2:8" hidden="1">
      <c r="B6111" s="200"/>
      <c r="C6111" s="31"/>
      <c r="D6111" s="75"/>
      <c r="E6111" s="31"/>
      <c r="F6111" s="31"/>
      <c r="G6111" s="31"/>
      <c r="H6111" s="31"/>
    </row>
    <row r="6112" spans="2:8" hidden="1">
      <c r="B6112" s="200"/>
      <c r="C6112" s="31"/>
      <c r="D6112" s="75"/>
      <c r="E6112" s="31"/>
      <c r="F6112" s="31"/>
      <c r="G6112" s="31"/>
      <c r="H6112" s="31"/>
    </row>
    <row r="6113" spans="2:8" hidden="1">
      <c r="B6113" s="200"/>
      <c r="C6113" s="31"/>
      <c r="D6113" s="75"/>
      <c r="E6113" s="31"/>
      <c r="F6113" s="33"/>
      <c r="G6113" s="33"/>
      <c r="H6113" s="31"/>
    </row>
    <row r="6114" spans="2:8" hidden="1">
      <c r="B6114" s="200"/>
      <c r="C6114" s="31"/>
      <c r="D6114" s="75"/>
      <c r="E6114" s="31"/>
      <c r="F6114" s="31"/>
      <c r="G6114" s="31"/>
      <c r="H6114" s="31"/>
    </row>
    <row r="6115" spans="2:8" hidden="1">
      <c r="B6115" s="200"/>
      <c r="C6115" s="31"/>
      <c r="D6115" s="75"/>
      <c r="E6115" s="31"/>
      <c r="F6115" s="31"/>
      <c r="G6115" s="31"/>
      <c r="H6115" s="31"/>
    </row>
    <row r="6116" spans="2:8" hidden="1">
      <c r="B6116" s="200"/>
      <c r="C6116" s="31"/>
      <c r="D6116" s="75"/>
      <c r="E6116" s="31"/>
      <c r="F6116" s="771"/>
      <c r="G6116" s="31"/>
      <c r="H6116" s="31"/>
    </row>
    <row r="6117" spans="2:8" hidden="1">
      <c r="B6117" s="200"/>
      <c r="C6117" s="31"/>
      <c r="D6117" s="75"/>
      <c r="E6117" s="31"/>
      <c r="F6117" s="31"/>
      <c r="G6117" s="31"/>
      <c r="H6117" s="31"/>
    </row>
    <row r="6118" spans="2:8" hidden="1">
      <c r="B6118" s="200"/>
      <c r="C6118" s="31"/>
      <c r="D6118" s="75"/>
      <c r="E6118" s="31"/>
      <c r="F6118" s="31"/>
      <c r="G6118" s="31"/>
      <c r="H6118" s="31"/>
    </row>
    <row r="6119" spans="2:8" hidden="1">
      <c r="B6119" s="200"/>
      <c r="C6119" s="31"/>
      <c r="D6119" s="75"/>
      <c r="E6119" s="31"/>
      <c r="F6119" s="31"/>
      <c r="G6119" s="31"/>
      <c r="H6119" s="31"/>
    </row>
    <row r="6120" spans="2:8" hidden="1">
      <c r="B6120" s="200"/>
      <c r="C6120" s="31"/>
      <c r="D6120" s="75"/>
      <c r="E6120" s="31"/>
      <c r="F6120" s="31"/>
      <c r="G6120" s="31"/>
      <c r="H6120" s="31"/>
    </row>
    <row r="6121" spans="2:8" hidden="1">
      <c r="B6121" s="200"/>
      <c r="C6121" s="31"/>
      <c r="D6121" s="75"/>
      <c r="E6121" s="31"/>
      <c r="F6121" s="31"/>
      <c r="G6121" s="31"/>
      <c r="H6121" s="31"/>
    </row>
    <row r="6122" spans="2:8" hidden="1">
      <c r="B6122" s="200"/>
      <c r="C6122" s="31"/>
      <c r="D6122" s="75"/>
      <c r="E6122" s="31"/>
      <c r="F6122" s="31"/>
      <c r="G6122" s="31"/>
      <c r="H6122" s="31"/>
    </row>
    <row r="6123" spans="2:8" hidden="1">
      <c r="B6123" s="200"/>
      <c r="C6123" s="31"/>
      <c r="D6123" s="75"/>
      <c r="E6123" s="31"/>
      <c r="F6123" s="31"/>
      <c r="G6123" s="31"/>
      <c r="H6123" s="31"/>
    </row>
    <row r="6124" spans="2:8" hidden="1">
      <c r="B6124" s="200"/>
      <c r="C6124" s="31"/>
      <c r="D6124" s="75"/>
      <c r="E6124" s="33"/>
      <c r="F6124" s="31"/>
      <c r="G6124" s="31"/>
      <c r="H6124" s="31"/>
    </row>
    <row r="6125" spans="2:8" hidden="1">
      <c r="B6125" s="33"/>
      <c r="C6125" s="31"/>
      <c r="D6125" s="31"/>
      <c r="E6125" s="31"/>
      <c r="F6125" s="31"/>
      <c r="G6125" s="31"/>
      <c r="H6125" s="31"/>
    </row>
    <row r="6126" spans="2:8" hidden="1">
      <c r="B6126" s="200"/>
      <c r="C6126" s="31"/>
      <c r="D6126" s="75"/>
      <c r="E6126" s="31"/>
      <c r="F6126" s="33"/>
      <c r="G6126" s="33"/>
      <c r="H6126" s="31"/>
    </row>
    <row r="6127" spans="2:8" hidden="1">
      <c r="B6127" s="200"/>
      <c r="C6127" s="31"/>
      <c r="D6127" s="75"/>
      <c r="E6127" s="31"/>
      <c r="F6127" s="31"/>
      <c r="G6127" s="31"/>
      <c r="H6127" s="31"/>
    </row>
    <row r="6128" spans="2:8" hidden="1">
      <c r="B6128" s="200"/>
      <c r="C6128" s="31"/>
      <c r="D6128" s="75"/>
      <c r="E6128" s="31"/>
      <c r="F6128" s="31"/>
      <c r="G6128" s="31"/>
      <c r="H6128" s="31"/>
    </row>
    <row r="6129" spans="2:8" hidden="1">
      <c r="B6129" s="200"/>
      <c r="C6129" s="31"/>
      <c r="D6129" s="75"/>
      <c r="E6129" s="31"/>
      <c r="F6129" s="31"/>
      <c r="G6129" s="31"/>
      <c r="H6129" s="31"/>
    </row>
    <row r="6130" spans="2:8" hidden="1">
      <c r="B6130" s="200"/>
      <c r="C6130" s="31"/>
      <c r="D6130" s="75"/>
      <c r="E6130" s="31"/>
      <c r="F6130" s="33"/>
      <c r="G6130" s="33"/>
      <c r="H6130" s="31"/>
    </row>
    <row r="6131" spans="2:8" hidden="1">
      <c r="B6131" s="200"/>
      <c r="C6131" s="31"/>
      <c r="D6131" s="75"/>
      <c r="E6131" s="31"/>
      <c r="F6131" s="31"/>
      <c r="G6131" s="31"/>
      <c r="H6131" s="31"/>
    </row>
    <row r="6132" spans="2:8" hidden="1">
      <c r="B6132" s="200"/>
      <c r="C6132" s="31"/>
      <c r="D6132" s="75"/>
      <c r="E6132" s="31"/>
      <c r="F6132" s="31"/>
      <c r="G6132" s="31"/>
      <c r="H6132" s="31"/>
    </row>
    <row r="6133" spans="2:8" hidden="1">
      <c r="B6133" s="200"/>
      <c r="C6133" s="31"/>
      <c r="D6133" s="75"/>
      <c r="E6133" s="31"/>
      <c r="F6133" s="31"/>
      <c r="G6133" s="31"/>
      <c r="H6133" s="31"/>
    </row>
    <row r="6134" spans="2:8" hidden="1">
      <c r="B6134" s="200"/>
      <c r="C6134" s="31"/>
      <c r="D6134" s="75"/>
      <c r="E6134" s="31"/>
      <c r="F6134" s="31"/>
      <c r="G6134" s="31"/>
      <c r="H6134" s="31"/>
    </row>
    <row r="6135" spans="2:8" hidden="1">
      <c r="B6135" s="200"/>
      <c r="C6135" s="31"/>
      <c r="D6135" s="75"/>
      <c r="E6135" s="31"/>
      <c r="F6135" s="31"/>
      <c r="G6135" s="31"/>
      <c r="H6135" s="31"/>
    </row>
    <row r="6136" spans="2:8" hidden="1">
      <c r="B6136" s="200"/>
      <c r="C6136" s="31"/>
      <c r="D6136" s="75"/>
      <c r="E6136" s="33"/>
      <c r="F6136" s="33"/>
      <c r="G6136" s="33"/>
      <c r="H6136" s="31"/>
    </row>
    <row r="6137" spans="2:8" hidden="1">
      <c r="B6137" s="200"/>
      <c r="C6137" s="31"/>
      <c r="D6137" s="75"/>
      <c r="E6137" s="31"/>
      <c r="F6137" s="33"/>
      <c r="G6137" s="33"/>
      <c r="H6137" s="31"/>
    </row>
    <row r="6138" spans="2:8" hidden="1">
      <c r="B6138" s="200"/>
      <c r="C6138" s="31"/>
      <c r="D6138" s="75"/>
      <c r="E6138" s="31"/>
      <c r="F6138" s="33"/>
      <c r="G6138" s="33"/>
      <c r="H6138" s="31"/>
    </row>
    <row r="6139" spans="2:8" hidden="1">
      <c r="B6139" s="200"/>
      <c r="C6139" s="31"/>
      <c r="D6139" s="75"/>
      <c r="E6139" s="33"/>
      <c r="F6139" s="33"/>
      <c r="G6139" s="33"/>
      <c r="H6139" s="31"/>
    </row>
    <row r="6140" spans="2:8" hidden="1">
      <c r="B6140" s="200"/>
      <c r="C6140" s="31"/>
      <c r="D6140" s="75"/>
      <c r="E6140" s="31"/>
      <c r="F6140" s="31"/>
      <c r="G6140" s="31"/>
      <c r="H6140" s="31"/>
    </row>
    <row r="6141" spans="2:8" hidden="1">
      <c r="B6141" s="33"/>
      <c r="C6141" s="200"/>
      <c r="D6141" s="75"/>
      <c r="E6141" s="31"/>
      <c r="F6141" s="771"/>
      <c r="G6141" s="31"/>
      <c r="H6141" s="31"/>
    </row>
    <row r="6142" spans="2:8" hidden="1">
      <c r="B6142" s="33"/>
      <c r="C6142" s="31"/>
      <c r="D6142" s="104"/>
      <c r="E6142" s="33"/>
      <c r="F6142" s="33"/>
      <c r="G6142" s="33"/>
      <c r="H6142" s="31"/>
    </row>
    <row r="6143" spans="2:8" hidden="1">
      <c r="B6143" s="33"/>
      <c r="C6143" s="31"/>
      <c r="D6143" s="31"/>
      <c r="E6143" s="31"/>
      <c r="F6143" s="31"/>
      <c r="G6143" s="31"/>
      <c r="H6143" s="31"/>
    </row>
    <row r="6144" spans="2:8" hidden="1">
      <c r="B6144" s="405"/>
      <c r="C6144" s="31"/>
      <c r="D6144" s="31"/>
      <c r="E6144" s="31"/>
      <c r="F6144" s="31"/>
      <c r="G6144" s="31"/>
      <c r="H6144" s="31"/>
    </row>
    <row r="6145" spans="2:8" hidden="1">
      <c r="B6145" s="405"/>
      <c r="C6145" s="31"/>
      <c r="D6145" s="31"/>
      <c r="E6145" s="31"/>
      <c r="F6145" s="691"/>
      <c r="G6145" s="75"/>
      <c r="H6145" s="31"/>
    </row>
    <row r="6146" spans="2:8" hidden="1">
      <c r="B6146" s="405"/>
      <c r="C6146" s="31"/>
      <c r="D6146" s="31"/>
      <c r="E6146" s="31"/>
      <c r="F6146" s="691"/>
      <c r="G6146" s="75"/>
      <c r="H6146" s="31"/>
    </row>
    <row r="6147" spans="2:8" hidden="1">
      <c r="B6147" s="405"/>
      <c r="C6147" s="31"/>
      <c r="D6147" s="31"/>
      <c r="E6147" s="31"/>
      <c r="F6147" s="691"/>
      <c r="G6147" s="75"/>
      <c r="H6147" s="31"/>
    </row>
    <row r="6148" spans="2:8" hidden="1">
      <c r="B6148" s="405"/>
      <c r="C6148" s="31"/>
      <c r="D6148" s="31"/>
      <c r="E6148" s="31"/>
      <c r="F6148" s="691"/>
      <c r="G6148" s="75"/>
      <c r="H6148" s="31"/>
    </row>
    <row r="6149" spans="2:8" hidden="1">
      <c r="B6149" s="405"/>
      <c r="C6149" s="31"/>
      <c r="D6149" s="31"/>
      <c r="E6149" s="31"/>
      <c r="F6149" s="691"/>
      <c r="G6149" s="75"/>
      <c r="H6149" s="31"/>
    </row>
    <row r="6150" spans="2:8" hidden="1">
      <c r="B6150" s="405"/>
      <c r="C6150" s="31"/>
      <c r="D6150" s="31"/>
      <c r="E6150" s="31"/>
      <c r="F6150" s="691"/>
      <c r="G6150" s="75"/>
      <c r="H6150" s="31"/>
    </row>
    <row r="6151" spans="2:8" hidden="1">
      <c r="B6151" s="405"/>
      <c r="C6151" s="31"/>
      <c r="D6151" s="31"/>
      <c r="E6151" s="31"/>
      <c r="F6151" s="691"/>
      <c r="G6151" s="75"/>
      <c r="H6151" s="31"/>
    </row>
    <row r="6152" spans="2:8" hidden="1">
      <c r="B6152" s="33"/>
      <c r="C6152" s="31"/>
      <c r="D6152" s="31"/>
      <c r="E6152" s="31"/>
      <c r="F6152" s="691"/>
      <c r="G6152" s="75"/>
      <c r="H6152" s="31"/>
    </row>
    <row r="6153" spans="2:8" hidden="1">
      <c r="B6153" s="33"/>
      <c r="C6153" s="31"/>
      <c r="D6153" s="31"/>
      <c r="E6153" s="31"/>
      <c r="F6153" s="691"/>
      <c r="G6153" s="75"/>
      <c r="H6153" s="31"/>
    </row>
    <row r="6154" spans="2:8" hidden="1">
      <c r="B6154" s="33"/>
      <c r="C6154" s="31"/>
      <c r="D6154" s="31"/>
      <c r="E6154" s="31"/>
      <c r="F6154" s="691"/>
      <c r="G6154" s="31"/>
      <c r="H6154" s="31"/>
    </row>
    <row r="6155" spans="2:8" hidden="1">
      <c r="B6155" s="33"/>
      <c r="C6155" s="31"/>
      <c r="D6155" s="31"/>
      <c r="E6155" s="31"/>
      <c r="F6155" s="691"/>
      <c r="G6155" s="31"/>
      <c r="H6155" s="31"/>
    </row>
    <row r="6156" spans="2:8" hidden="1">
      <c r="B6156" s="33"/>
      <c r="C6156" s="31"/>
      <c r="D6156" s="31"/>
      <c r="E6156" s="31"/>
      <c r="F6156" s="31"/>
      <c r="G6156" s="31"/>
      <c r="H6156" s="31"/>
    </row>
    <row r="6157" spans="2:8" hidden="1">
      <c r="B6157" s="33"/>
      <c r="C6157" s="31"/>
      <c r="D6157" s="31"/>
      <c r="E6157" s="31"/>
      <c r="F6157" s="31"/>
      <c r="G6157" s="31"/>
      <c r="H6157" s="31"/>
    </row>
    <row r="6158" spans="2:8" hidden="1">
      <c r="B6158" s="33"/>
      <c r="C6158" s="31"/>
      <c r="D6158" s="31"/>
      <c r="E6158" s="31"/>
      <c r="F6158" s="31"/>
      <c r="G6158" s="31"/>
      <c r="H6158" s="31"/>
    </row>
    <row r="6159" spans="2:8" hidden="1">
      <c r="B6159" s="33"/>
      <c r="C6159" s="31"/>
      <c r="D6159" s="31"/>
      <c r="E6159" s="31"/>
      <c r="F6159" s="31"/>
      <c r="G6159" s="31"/>
      <c r="H6159" s="31"/>
    </row>
    <row r="6160" spans="2:8" hidden="1">
      <c r="B6160" s="33"/>
      <c r="C6160" s="31"/>
      <c r="D6160" s="31"/>
      <c r="E6160" s="31"/>
      <c r="F6160" s="31"/>
      <c r="G6160" s="31"/>
      <c r="H6160" s="31"/>
    </row>
    <row r="6161" spans="2:8" hidden="1">
      <c r="B6161" s="33"/>
      <c r="C6161" s="31"/>
      <c r="D6161" s="31"/>
      <c r="E6161" s="31"/>
      <c r="F6161" s="31"/>
      <c r="G6161" s="31"/>
      <c r="H6161" s="31"/>
    </row>
    <row r="6162" spans="2:8" hidden="1">
      <c r="B6162" s="33"/>
      <c r="C6162" s="31"/>
      <c r="D6162" s="31"/>
      <c r="E6162" s="31"/>
      <c r="F6162" s="31"/>
      <c r="G6162" s="31"/>
      <c r="H6162" s="31"/>
    </row>
    <row r="6163" spans="2:8" hidden="1">
      <c r="B6163" s="33"/>
      <c r="C6163" s="31"/>
      <c r="D6163" s="31"/>
      <c r="E6163" s="31"/>
      <c r="F6163" s="31"/>
      <c r="G6163" s="31"/>
      <c r="H6163" s="31"/>
    </row>
    <row r="6164" spans="2:8" hidden="1">
      <c r="B6164" s="33"/>
      <c r="C6164" s="31"/>
      <c r="D6164" s="33"/>
      <c r="E6164" s="33"/>
      <c r="F6164" s="33"/>
      <c r="G6164" s="33"/>
      <c r="H6164" s="31"/>
    </row>
    <row r="6165" spans="2:8" hidden="1">
      <c r="B6165" s="33"/>
      <c r="C6165" s="31"/>
      <c r="D6165" s="33"/>
      <c r="E6165" s="33"/>
      <c r="F6165" s="33"/>
      <c r="G6165" s="33"/>
      <c r="H6165" s="31"/>
    </row>
    <row r="6166" spans="2:8" hidden="1">
      <c r="B6166" s="33"/>
      <c r="C6166" s="31"/>
      <c r="D6166" s="31"/>
      <c r="E6166" s="31"/>
      <c r="F6166" s="31"/>
      <c r="G6166" s="31"/>
      <c r="H6166" s="31"/>
    </row>
    <row r="6167" spans="2:8" hidden="1">
      <c r="B6167" s="405"/>
      <c r="C6167" s="31"/>
      <c r="D6167" s="75"/>
      <c r="E6167" s="31"/>
      <c r="F6167" s="31"/>
      <c r="G6167" s="31"/>
      <c r="H6167" s="31"/>
    </row>
    <row r="6168" spans="2:8" hidden="1">
      <c r="B6168" s="405"/>
      <c r="C6168" s="31"/>
      <c r="D6168" s="75"/>
      <c r="E6168" s="31"/>
      <c r="F6168" s="31"/>
      <c r="G6168" s="31"/>
      <c r="H6168" s="31"/>
    </row>
    <row r="6169" spans="2:8" hidden="1">
      <c r="B6169" s="405"/>
      <c r="C6169" s="31"/>
      <c r="D6169" s="75"/>
      <c r="E6169" s="771"/>
      <c r="F6169" s="31"/>
      <c r="G6169" s="31"/>
      <c r="H6169" s="31"/>
    </row>
    <row r="6170" spans="2:8" hidden="1">
      <c r="B6170" s="405"/>
      <c r="C6170" s="31"/>
      <c r="D6170" s="75"/>
      <c r="E6170" s="771"/>
      <c r="F6170" s="31"/>
      <c r="G6170" s="31"/>
      <c r="H6170" s="31"/>
    </row>
    <row r="6171" spans="2:8" hidden="1">
      <c r="B6171" s="405"/>
      <c r="C6171" s="31"/>
      <c r="D6171" s="75"/>
      <c r="E6171" s="772"/>
      <c r="F6171" s="33"/>
      <c r="G6171" s="33"/>
      <c r="H6171" s="31"/>
    </row>
    <row r="6172" spans="2:8" hidden="1">
      <c r="B6172" s="405"/>
      <c r="C6172" s="31"/>
      <c r="D6172" s="75"/>
      <c r="E6172" s="771"/>
      <c r="F6172" s="31"/>
      <c r="G6172" s="31"/>
      <c r="H6172" s="31"/>
    </row>
    <row r="6173" spans="2:8" hidden="1">
      <c r="B6173" s="405"/>
      <c r="C6173" s="31"/>
      <c r="D6173" s="75"/>
      <c r="E6173" s="771"/>
      <c r="F6173" s="33"/>
      <c r="G6173" s="33"/>
      <c r="H6173" s="31"/>
    </row>
    <row r="6174" spans="2:8" hidden="1">
      <c r="B6174" s="405"/>
      <c r="C6174" s="31"/>
      <c r="D6174" s="75"/>
      <c r="E6174" s="771"/>
      <c r="F6174" s="33"/>
      <c r="G6174" s="33"/>
      <c r="H6174" s="31"/>
    </row>
    <row r="6175" spans="2:8" hidden="1">
      <c r="B6175" s="405"/>
      <c r="C6175" s="31"/>
      <c r="D6175" s="75"/>
      <c r="E6175" s="771"/>
      <c r="F6175" s="31"/>
      <c r="G6175" s="31"/>
      <c r="H6175" s="31"/>
    </row>
    <row r="6176" spans="2:8" hidden="1">
      <c r="B6176" s="200"/>
      <c r="C6176" s="31"/>
      <c r="D6176" s="75"/>
      <c r="E6176" s="771"/>
      <c r="F6176" s="31"/>
      <c r="G6176" s="31"/>
      <c r="H6176" s="31"/>
    </row>
    <row r="6177" spans="2:8" hidden="1">
      <c r="B6177" s="200"/>
      <c r="C6177" s="31"/>
      <c r="D6177" s="75"/>
      <c r="E6177" s="771"/>
      <c r="F6177" s="31"/>
      <c r="G6177" s="31"/>
      <c r="H6177" s="31"/>
    </row>
    <row r="6178" spans="2:8" hidden="1">
      <c r="B6178" s="200"/>
      <c r="C6178" s="31"/>
      <c r="D6178" s="75"/>
      <c r="E6178" s="771"/>
      <c r="F6178" s="31"/>
      <c r="G6178" s="31"/>
      <c r="H6178" s="31"/>
    </row>
    <row r="6179" spans="2:8" hidden="1">
      <c r="B6179" s="200"/>
      <c r="C6179" s="31"/>
      <c r="D6179" s="75"/>
      <c r="E6179" s="771"/>
      <c r="F6179" s="31"/>
      <c r="G6179" s="31"/>
      <c r="H6179" s="31"/>
    </row>
    <row r="6180" spans="2:8" hidden="1">
      <c r="B6180" s="200"/>
      <c r="C6180" s="31"/>
      <c r="D6180" s="75"/>
      <c r="E6180" s="771"/>
      <c r="F6180" s="31"/>
      <c r="G6180" s="31"/>
      <c r="H6180" s="31"/>
    </row>
    <row r="6181" spans="2:8" hidden="1">
      <c r="B6181" s="200"/>
      <c r="C6181" s="31"/>
      <c r="D6181" s="75"/>
      <c r="E6181" s="771"/>
      <c r="F6181" s="31"/>
      <c r="G6181" s="31"/>
      <c r="H6181" s="31"/>
    </row>
    <row r="6182" spans="2:8" hidden="1">
      <c r="B6182" s="200"/>
      <c r="C6182" s="31"/>
      <c r="D6182" s="75"/>
      <c r="E6182" s="771"/>
      <c r="F6182" s="31"/>
      <c r="G6182" s="31"/>
      <c r="H6182" s="31"/>
    </row>
    <row r="6183" spans="2:8" hidden="1">
      <c r="B6183" s="200"/>
      <c r="C6183" s="31"/>
      <c r="D6183" s="75"/>
      <c r="E6183" s="771"/>
      <c r="F6183" s="33"/>
      <c r="G6183" s="33"/>
      <c r="H6183" s="31"/>
    </row>
    <row r="6184" spans="2:8" hidden="1">
      <c r="B6184" s="200"/>
      <c r="C6184" s="31"/>
      <c r="D6184" s="75"/>
      <c r="E6184" s="771"/>
      <c r="F6184" s="33"/>
      <c r="G6184" s="33"/>
      <c r="H6184" s="31"/>
    </row>
    <row r="6185" spans="2:8" hidden="1">
      <c r="B6185" s="200"/>
      <c r="C6185" s="31"/>
      <c r="D6185" s="75"/>
      <c r="E6185" s="771"/>
      <c r="F6185" s="31"/>
      <c r="G6185" s="31"/>
      <c r="H6185" s="31"/>
    </row>
    <row r="6186" spans="2:8" hidden="1">
      <c r="B6186" s="200"/>
      <c r="C6186" s="31"/>
      <c r="D6186" s="75"/>
      <c r="E6186" s="771"/>
      <c r="F6186" s="31"/>
      <c r="G6186" s="31"/>
      <c r="H6186" s="31"/>
    </row>
    <row r="6187" spans="2:8" hidden="1">
      <c r="B6187" s="200"/>
      <c r="C6187" s="31"/>
      <c r="D6187" s="75"/>
      <c r="E6187" s="771"/>
      <c r="F6187" s="31"/>
      <c r="G6187" s="31"/>
      <c r="H6187" s="31"/>
    </row>
    <row r="6188" spans="2:8" hidden="1">
      <c r="B6188" s="200"/>
      <c r="C6188" s="31"/>
      <c r="D6188" s="75"/>
      <c r="E6188" s="771"/>
      <c r="F6188" s="31"/>
      <c r="G6188" s="31"/>
      <c r="H6188" s="31"/>
    </row>
    <row r="6189" spans="2:8" hidden="1">
      <c r="B6189" s="200"/>
      <c r="C6189" s="31"/>
      <c r="D6189" s="75"/>
      <c r="E6189" s="771"/>
      <c r="F6189" s="31"/>
      <c r="G6189" s="31"/>
      <c r="H6189" s="31"/>
    </row>
    <row r="6190" spans="2:8" hidden="1">
      <c r="B6190" s="200"/>
      <c r="C6190" s="31"/>
      <c r="D6190" s="75"/>
      <c r="E6190" s="772"/>
      <c r="F6190" s="33"/>
      <c r="G6190" s="33"/>
      <c r="H6190" s="31"/>
    </row>
    <row r="6191" spans="2:8" hidden="1">
      <c r="B6191" s="200"/>
      <c r="C6191" s="31"/>
      <c r="D6191" s="75"/>
      <c r="E6191" s="772"/>
      <c r="F6191" s="33"/>
      <c r="G6191" s="33"/>
      <c r="H6191" s="31"/>
    </row>
    <row r="6192" spans="2:8" hidden="1">
      <c r="B6192" s="200"/>
      <c r="C6192" s="31"/>
      <c r="D6192" s="75"/>
      <c r="E6192" s="772"/>
      <c r="F6192" s="33"/>
      <c r="G6192" s="33"/>
      <c r="H6192" s="31"/>
    </row>
    <row r="6193" spans="2:8" hidden="1">
      <c r="B6193" s="200"/>
      <c r="C6193" s="31"/>
      <c r="D6193" s="75"/>
      <c r="E6193" s="771"/>
      <c r="F6193" s="33"/>
      <c r="G6193" s="33"/>
      <c r="H6193" s="31"/>
    </row>
    <row r="6194" spans="2:8" hidden="1">
      <c r="B6194" s="200"/>
      <c r="C6194" s="31"/>
      <c r="D6194" s="75"/>
      <c r="E6194" s="772"/>
      <c r="F6194" s="33"/>
      <c r="G6194" s="33"/>
      <c r="H6194" s="31"/>
    </row>
    <row r="6195" spans="2:8" hidden="1">
      <c r="B6195" s="200"/>
      <c r="C6195" s="31"/>
      <c r="D6195" s="75"/>
      <c r="E6195" s="771"/>
      <c r="F6195" s="33"/>
      <c r="G6195" s="33"/>
      <c r="H6195" s="31"/>
    </row>
    <row r="6196" spans="2:8" hidden="1">
      <c r="B6196" s="200"/>
      <c r="C6196" s="31"/>
      <c r="D6196" s="75"/>
      <c r="E6196" s="771"/>
      <c r="F6196" s="31"/>
      <c r="G6196" s="31"/>
      <c r="H6196" s="31"/>
    </row>
    <row r="6197" spans="2:8" hidden="1">
      <c r="B6197" s="200"/>
      <c r="C6197" s="31"/>
      <c r="D6197" s="75"/>
      <c r="E6197" s="771"/>
      <c r="F6197" s="31"/>
      <c r="G6197" s="31"/>
      <c r="H6197" s="31"/>
    </row>
    <row r="6198" spans="2:8" hidden="1">
      <c r="B6198" s="200"/>
      <c r="C6198" s="31"/>
      <c r="D6198" s="75"/>
      <c r="E6198" s="771"/>
      <c r="F6198" s="31"/>
      <c r="G6198" s="31"/>
      <c r="H6198" s="31"/>
    </row>
    <row r="6199" spans="2:8" hidden="1">
      <c r="B6199" s="200"/>
      <c r="C6199" s="31"/>
      <c r="D6199" s="75"/>
      <c r="E6199" s="771"/>
      <c r="F6199" s="31"/>
      <c r="G6199" s="31"/>
      <c r="H6199" s="31"/>
    </row>
    <row r="6200" spans="2:8" hidden="1">
      <c r="B6200" s="200"/>
      <c r="C6200" s="31"/>
      <c r="D6200" s="75"/>
      <c r="E6200" s="771"/>
      <c r="F6200" s="31"/>
      <c r="G6200" s="31"/>
      <c r="H6200" s="31"/>
    </row>
    <row r="6201" spans="2:8" hidden="1">
      <c r="B6201" s="200"/>
      <c r="C6201" s="31"/>
      <c r="D6201" s="31"/>
      <c r="E6201" s="31"/>
      <c r="F6201" s="31"/>
      <c r="G6201" s="31"/>
      <c r="H6201" s="31"/>
    </row>
    <row r="6202" spans="2:8" hidden="1">
      <c r="B6202" s="200"/>
      <c r="C6202" s="31"/>
      <c r="D6202" s="75"/>
      <c r="E6202" s="31"/>
      <c r="F6202" s="33"/>
      <c r="G6202" s="33"/>
      <c r="H6202" s="31"/>
    </row>
    <row r="6203" spans="2:8" hidden="1">
      <c r="B6203" s="200"/>
      <c r="C6203" s="31"/>
      <c r="D6203" s="75"/>
      <c r="E6203" s="31"/>
      <c r="F6203" s="31"/>
      <c r="G6203" s="31"/>
      <c r="H6203" s="31"/>
    </row>
    <row r="6204" spans="2:8" hidden="1">
      <c r="B6204" s="200"/>
      <c r="C6204" s="31"/>
      <c r="D6204" s="75"/>
      <c r="E6204" s="31"/>
      <c r="F6204" s="31"/>
      <c r="G6204" s="31"/>
      <c r="H6204" s="31"/>
    </row>
    <row r="6205" spans="2:8" hidden="1">
      <c r="B6205" s="200"/>
      <c r="C6205" s="31"/>
      <c r="D6205" s="75"/>
      <c r="E6205" s="31"/>
      <c r="F6205" s="31"/>
      <c r="G6205" s="31"/>
      <c r="H6205" s="31"/>
    </row>
    <row r="6206" spans="2:8" hidden="1">
      <c r="B6206" s="200"/>
      <c r="C6206" s="31"/>
      <c r="D6206" s="75"/>
      <c r="E6206" s="31"/>
      <c r="F6206" s="31"/>
      <c r="G6206" s="31"/>
      <c r="H6206" s="31"/>
    </row>
    <row r="6207" spans="2:8" hidden="1">
      <c r="B6207" s="200"/>
      <c r="C6207" s="31"/>
      <c r="D6207" s="75"/>
      <c r="E6207" s="31"/>
      <c r="F6207" s="31"/>
      <c r="G6207" s="31"/>
      <c r="H6207" s="31"/>
    </row>
    <row r="6208" spans="2:8" hidden="1">
      <c r="B6208" s="200"/>
      <c r="C6208" s="31"/>
      <c r="D6208" s="75"/>
      <c r="E6208" s="31"/>
      <c r="F6208" s="31"/>
      <c r="G6208" s="31"/>
      <c r="H6208" s="31"/>
    </row>
    <row r="6209" spans="2:8" hidden="1">
      <c r="B6209" s="200"/>
      <c r="C6209" s="31"/>
      <c r="D6209" s="75"/>
      <c r="E6209" s="31"/>
      <c r="F6209" s="31"/>
      <c r="G6209" s="31"/>
      <c r="H6209" s="31"/>
    </row>
    <row r="6210" spans="2:8" hidden="1">
      <c r="B6210" s="200"/>
      <c r="C6210" s="31"/>
      <c r="D6210" s="75"/>
      <c r="E6210" s="33"/>
      <c r="F6210" s="33"/>
      <c r="G6210" s="33"/>
      <c r="H6210" s="31"/>
    </row>
    <row r="6211" spans="2:8" hidden="1">
      <c r="B6211" s="200"/>
      <c r="C6211" s="31"/>
      <c r="D6211" s="31"/>
      <c r="E6211" s="31"/>
      <c r="F6211" s="31"/>
      <c r="G6211" s="31"/>
      <c r="H6211" s="31"/>
    </row>
    <row r="6212" spans="2:8" hidden="1">
      <c r="B6212" s="200"/>
      <c r="C6212" s="31"/>
      <c r="D6212" s="75"/>
      <c r="E6212" s="771"/>
      <c r="F6212" s="33"/>
      <c r="G6212" s="33"/>
      <c r="H6212" s="31"/>
    </row>
    <row r="6213" spans="2:8" hidden="1">
      <c r="B6213" s="200"/>
      <c r="C6213" s="31"/>
      <c r="D6213" s="75"/>
      <c r="E6213" s="771"/>
      <c r="F6213" s="33"/>
      <c r="G6213" s="33"/>
      <c r="H6213" s="31"/>
    </row>
    <row r="6214" spans="2:8" hidden="1">
      <c r="B6214" s="200"/>
      <c r="C6214" s="31"/>
      <c r="D6214" s="75"/>
      <c r="E6214" s="771"/>
      <c r="F6214" s="33"/>
      <c r="G6214" s="33"/>
      <c r="H6214" s="31"/>
    </row>
    <row r="6215" spans="2:8" hidden="1">
      <c r="B6215" s="200"/>
      <c r="C6215" s="31"/>
      <c r="D6215" s="75"/>
      <c r="E6215" s="771"/>
      <c r="F6215" s="31"/>
      <c r="G6215" s="31"/>
      <c r="H6215" s="31"/>
    </row>
    <row r="6216" spans="2:8" hidden="1">
      <c r="B6216" s="200"/>
      <c r="C6216" s="31"/>
      <c r="D6216" s="75"/>
      <c r="E6216" s="771"/>
      <c r="F6216" s="31"/>
      <c r="G6216" s="31"/>
      <c r="H6216" s="31"/>
    </row>
    <row r="6217" spans="2:8" hidden="1">
      <c r="B6217" s="200"/>
      <c r="C6217" s="31"/>
      <c r="D6217" s="75"/>
      <c r="E6217" s="771"/>
      <c r="F6217" s="31"/>
      <c r="G6217" s="31"/>
      <c r="H6217" s="31"/>
    </row>
    <row r="6218" spans="2:8" hidden="1">
      <c r="B6218" s="200"/>
      <c r="C6218" s="31"/>
      <c r="D6218" s="75"/>
      <c r="E6218" s="771"/>
      <c r="F6218" s="31"/>
      <c r="G6218" s="31"/>
      <c r="H6218" s="31"/>
    </row>
    <row r="6219" spans="2:8" hidden="1">
      <c r="B6219" s="200"/>
      <c r="C6219" s="31"/>
      <c r="D6219" s="75"/>
      <c r="E6219" s="771"/>
      <c r="F6219" s="31"/>
      <c r="G6219" s="31"/>
      <c r="H6219" s="31"/>
    </row>
    <row r="6220" spans="2:8" hidden="1">
      <c r="B6220" s="200"/>
      <c r="C6220" s="31"/>
      <c r="D6220" s="75"/>
      <c r="E6220" s="771"/>
      <c r="F6220" s="31"/>
      <c r="G6220" s="31"/>
      <c r="H6220" s="31"/>
    </row>
    <row r="6221" spans="2:8" hidden="1">
      <c r="B6221" s="200"/>
      <c r="C6221" s="31"/>
      <c r="D6221" s="75"/>
      <c r="E6221" s="771"/>
      <c r="F6221" s="31"/>
      <c r="G6221" s="31"/>
      <c r="H6221" s="31"/>
    </row>
    <row r="6222" spans="2:8" hidden="1">
      <c r="B6222" s="200"/>
      <c r="C6222" s="31"/>
      <c r="D6222" s="75"/>
      <c r="E6222" s="771"/>
      <c r="F6222" s="31"/>
      <c r="G6222" s="31"/>
      <c r="H6222" s="31"/>
    </row>
    <row r="6223" spans="2:8" hidden="1">
      <c r="B6223" s="200"/>
      <c r="C6223" s="31"/>
      <c r="D6223" s="75"/>
      <c r="E6223" s="771"/>
      <c r="F6223" s="31"/>
      <c r="G6223" s="31"/>
      <c r="H6223" s="31"/>
    </row>
    <row r="6224" spans="2:8" hidden="1">
      <c r="B6224" s="200"/>
      <c r="C6224" s="31"/>
      <c r="D6224" s="75"/>
      <c r="E6224" s="771"/>
      <c r="F6224" s="31"/>
      <c r="G6224" s="31"/>
      <c r="H6224" s="31"/>
    </row>
    <row r="6225" spans="2:8" hidden="1">
      <c r="B6225" s="200"/>
      <c r="C6225" s="31"/>
      <c r="D6225" s="75"/>
      <c r="E6225" s="771"/>
      <c r="F6225" s="31"/>
      <c r="G6225" s="31"/>
      <c r="H6225" s="31"/>
    </row>
    <row r="6226" spans="2:8" hidden="1">
      <c r="B6226" s="200"/>
      <c r="C6226" s="31"/>
      <c r="D6226" s="75"/>
      <c r="E6226" s="771"/>
      <c r="F6226" s="31"/>
      <c r="G6226" s="31"/>
      <c r="H6226" s="31"/>
    </row>
    <row r="6227" spans="2:8" hidden="1">
      <c r="B6227" s="200"/>
      <c r="C6227" s="31"/>
      <c r="D6227" s="75"/>
      <c r="E6227" s="771"/>
      <c r="F6227" s="31"/>
      <c r="G6227" s="31"/>
      <c r="H6227" s="31"/>
    </row>
    <row r="6228" spans="2:8" hidden="1">
      <c r="B6228" s="200"/>
      <c r="C6228" s="31"/>
      <c r="D6228" s="75"/>
      <c r="E6228" s="771"/>
      <c r="F6228" s="31"/>
      <c r="G6228" s="31"/>
      <c r="H6228" s="31"/>
    </row>
    <row r="6229" spans="2:8" hidden="1">
      <c r="B6229" s="200"/>
      <c r="C6229" s="31"/>
      <c r="D6229" s="75"/>
      <c r="E6229" s="771"/>
      <c r="F6229" s="31"/>
      <c r="G6229" s="31"/>
      <c r="H6229" s="31"/>
    </row>
    <row r="6230" spans="2:8" hidden="1">
      <c r="B6230" s="200"/>
      <c r="C6230" s="31"/>
      <c r="D6230" s="75"/>
      <c r="E6230" s="31"/>
      <c r="F6230" s="771"/>
      <c r="G6230" s="31"/>
      <c r="H6230" s="31"/>
    </row>
    <row r="6231" spans="2:8" hidden="1">
      <c r="B6231" s="200"/>
      <c r="C6231" s="31"/>
      <c r="D6231" s="75"/>
      <c r="E6231" s="31"/>
      <c r="F6231" s="771"/>
      <c r="G6231" s="31"/>
      <c r="H6231" s="31"/>
    </row>
    <row r="6232" spans="2:8" hidden="1">
      <c r="B6232" s="200"/>
      <c r="C6232" s="31"/>
      <c r="D6232" s="75"/>
      <c r="E6232" s="31"/>
      <c r="F6232" s="771"/>
      <c r="G6232" s="31"/>
      <c r="H6232" s="31"/>
    </row>
    <row r="6233" spans="2:8" hidden="1">
      <c r="B6233" s="200"/>
      <c r="C6233" s="31"/>
      <c r="D6233" s="75"/>
      <c r="E6233" s="31"/>
      <c r="F6233" s="771"/>
      <c r="G6233" s="31"/>
      <c r="H6233" s="31"/>
    </row>
    <row r="6234" spans="2:8" hidden="1">
      <c r="B6234" s="200"/>
      <c r="C6234" s="31"/>
      <c r="D6234" s="75"/>
      <c r="E6234" s="31"/>
      <c r="F6234" s="771"/>
      <c r="G6234" s="31"/>
      <c r="H6234" s="31"/>
    </row>
    <row r="6235" spans="2:8" hidden="1">
      <c r="B6235" s="200"/>
      <c r="C6235" s="31"/>
      <c r="D6235" s="75"/>
      <c r="E6235" s="31"/>
      <c r="F6235" s="771"/>
      <c r="G6235" s="31"/>
      <c r="H6235" s="31"/>
    </row>
    <row r="6236" spans="2:8" hidden="1">
      <c r="B6236" s="200"/>
      <c r="C6236" s="31"/>
      <c r="D6236" s="75"/>
      <c r="E6236" s="31"/>
      <c r="F6236" s="771"/>
      <c r="G6236" s="31"/>
      <c r="H6236" s="31"/>
    </row>
    <row r="6237" spans="2:8" hidden="1">
      <c r="B6237" s="200"/>
      <c r="C6237" s="31"/>
      <c r="D6237" s="75"/>
      <c r="E6237" s="31"/>
      <c r="F6237" s="771"/>
      <c r="G6237" s="31"/>
      <c r="H6237" s="31"/>
    </row>
    <row r="6238" spans="2:8" hidden="1">
      <c r="B6238" s="200"/>
      <c r="C6238" s="31"/>
      <c r="D6238" s="75"/>
      <c r="E6238" s="31"/>
      <c r="F6238" s="771"/>
      <c r="G6238" s="31"/>
      <c r="H6238" s="31"/>
    </row>
    <row r="6239" spans="2:8" hidden="1">
      <c r="B6239" s="200"/>
      <c r="C6239" s="31"/>
      <c r="D6239" s="75"/>
      <c r="E6239" s="31"/>
      <c r="F6239" s="771"/>
      <c r="G6239" s="31"/>
      <c r="H6239" s="31"/>
    </row>
    <row r="6240" spans="2:8" hidden="1">
      <c r="B6240" s="200"/>
      <c r="C6240" s="31"/>
      <c r="D6240" s="75"/>
      <c r="E6240" s="31"/>
      <c r="F6240" s="771"/>
      <c r="G6240" s="31"/>
      <c r="H6240" s="31"/>
    </row>
    <row r="6241" spans="2:8" hidden="1">
      <c r="B6241" s="200"/>
      <c r="C6241" s="31"/>
      <c r="D6241" s="75"/>
      <c r="E6241" s="31"/>
      <c r="F6241" s="771"/>
      <c r="G6241" s="31"/>
      <c r="H6241" s="31"/>
    </row>
    <row r="6242" spans="2:8" hidden="1">
      <c r="B6242" s="200"/>
      <c r="C6242" s="31"/>
      <c r="D6242" s="75"/>
      <c r="E6242" s="31"/>
      <c r="F6242" s="771"/>
      <c r="G6242" s="31"/>
      <c r="H6242" s="31"/>
    </row>
    <row r="6243" spans="2:8" hidden="1">
      <c r="B6243" s="200"/>
      <c r="C6243" s="31"/>
      <c r="D6243" s="75"/>
      <c r="E6243" s="31"/>
      <c r="F6243" s="771"/>
      <c r="G6243" s="31"/>
      <c r="H6243" s="31"/>
    </row>
    <row r="6244" spans="2:8" hidden="1">
      <c r="B6244" s="200"/>
      <c r="C6244" s="31"/>
      <c r="D6244" s="75"/>
      <c r="E6244" s="31"/>
      <c r="F6244" s="771"/>
      <c r="G6244" s="31"/>
      <c r="H6244" s="31"/>
    </row>
    <row r="6245" spans="2:8" hidden="1">
      <c r="B6245" s="200"/>
      <c r="C6245" s="31"/>
      <c r="D6245" s="75"/>
      <c r="E6245" s="31"/>
      <c r="F6245" s="771"/>
      <c r="G6245" s="31"/>
      <c r="H6245" s="31"/>
    </row>
    <row r="6246" spans="2:8" hidden="1">
      <c r="B6246" s="200"/>
      <c r="C6246" s="31"/>
      <c r="D6246" s="75"/>
      <c r="E6246" s="31"/>
      <c r="F6246" s="771"/>
      <c r="G6246" s="31"/>
      <c r="H6246" s="31"/>
    </row>
    <row r="6247" spans="2:8" hidden="1">
      <c r="B6247" s="200"/>
      <c r="C6247" s="31"/>
      <c r="D6247" s="75"/>
      <c r="E6247" s="31"/>
      <c r="F6247" s="771"/>
      <c r="G6247" s="31"/>
      <c r="H6247" s="31"/>
    </row>
    <row r="6248" spans="2:8" hidden="1">
      <c r="B6248" s="200"/>
      <c r="C6248" s="31"/>
      <c r="D6248" s="75"/>
      <c r="E6248" s="31"/>
      <c r="F6248" s="771"/>
      <c r="G6248" s="31"/>
      <c r="H6248" s="31"/>
    </row>
    <row r="6249" spans="2:8" hidden="1">
      <c r="B6249" s="200"/>
      <c r="C6249" s="31"/>
      <c r="D6249" s="75"/>
      <c r="E6249" s="31"/>
      <c r="F6249" s="771"/>
      <c r="G6249" s="31"/>
      <c r="H6249" s="31"/>
    </row>
    <row r="6250" spans="2:8" hidden="1">
      <c r="B6250" s="200"/>
      <c r="C6250" s="31"/>
      <c r="D6250" s="75"/>
      <c r="E6250" s="31"/>
      <c r="F6250" s="771"/>
      <c r="G6250" s="31"/>
      <c r="H6250" s="31"/>
    </row>
    <row r="6251" spans="2:8" hidden="1">
      <c r="B6251" s="200"/>
      <c r="C6251" s="31"/>
      <c r="D6251" s="75"/>
      <c r="E6251" s="31"/>
      <c r="F6251" s="771"/>
      <c r="G6251" s="31"/>
      <c r="H6251" s="31"/>
    </row>
    <row r="6252" spans="2:8" hidden="1">
      <c r="B6252" s="200"/>
      <c r="C6252" s="31"/>
      <c r="D6252" s="75"/>
      <c r="E6252" s="31"/>
      <c r="F6252" s="771"/>
      <c r="G6252" s="31"/>
      <c r="H6252" s="31"/>
    </row>
    <row r="6253" spans="2:8" hidden="1">
      <c r="B6253" s="200"/>
      <c r="C6253" s="31"/>
      <c r="D6253" s="75"/>
      <c r="E6253" s="31"/>
      <c r="F6253" s="771"/>
      <c r="G6253" s="31"/>
      <c r="H6253" s="31"/>
    </row>
    <row r="6254" spans="2:8" hidden="1">
      <c r="B6254" s="200"/>
      <c r="C6254" s="31"/>
      <c r="D6254" s="75"/>
      <c r="E6254" s="31"/>
      <c r="F6254" s="771"/>
      <c r="G6254" s="31"/>
      <c r="H6254" s="31"/>
    </row>
    <row r="6255" spans="2:8" hidden="1">
      <c r="B6255" s="200"/>
      <c r="C6255" s="31"/>
      <c r="D6255" s="75"/>
      <c r="E6255" s="31"/>
      <c r="F6255" s="771"/>
      <c r="G6255" s="31"/>
      <c r="H6255" s="31"/>
    </row>
    <row r="6256" spans="2:8" hidden="1">
      <c r="B6256" s="200"/>
      <c r="C6256" s="31"/>
      <c r="D6256" s="75"/>
      <c r="E6256" s="31"/>
      <c r="F6256" s="771"/>
      <c r="G6256" s="31"/>
      <c r="H6256" s="31"/>
    </row>
    <row r="6257" spans="2:8" hidden="1">
      <c r="B6257" s="200"/>
      <c r="C6257" s="31"/>
      <c r="D6257" s="75"/>
      <c r="E6257" s="31"/>
      <c r="F6257" s="771"/>
      <c r="G6257" s="31"/>
      <c r="H6257" s="31"/>
    </row>
    <row r="6258" spans="2:8" hidden="1">
      <c r="B6258" s="200"/>
      <c r="C6258" s="31"/>
      <c r="D6258" s="75"/>
      <c r="E6258" s="31"/>
      <c r="F6258" s="771"/>
      <c r="G6258" s="31"/>
      <c r="H6258" s="31"/>
    </row>
    <row r="6259" spans="2:8" hidden="1">
      <c r="B6259" s="200"/>
      <c r="C6259" s="31"/>
      <c r="D6259" s="75"/>
      <c r="E6259" s="31"/>
      <c r="F6259" s="771"/>
      <c r="G6259" s="31"/>
      <c r="H6259" s="31"/>
    </row>
    <row r="6260" spans="2:8" hidden="1">
      <c r="B6260" s="200"/>
      <c r="C6260" s="31"/>
      <c r="D6260" s="75"/>
      <c r="E6260" s="33"/>
      <c r="F6260" s="772"/>
      <c r="G6260" s="33"/>
      <c r="H6260" s="31"/>
    </row>
    <row r="6261" spans="2:8" hidden="1">
      <c r="B6261" s="200"/>
      <c r="C6261" s="31"/>
      <c r="D6261" s="75"/>
      <c r="E6261" s="33"/>
      <c r="F6261" s="772"/>
      <c r="G6261" s="33"/>
      <c r="H6261" s="31"/>
    </row>
    <row r="6262" spans="2:8" hidden="1">
      <c r="B6262" s="200"/>
      <c r="C6262" s="31"/>
      <c r="D6262" s="75"/>
      <c r="E6262" s="33"/>
      <c r="F6262" s="772"/>
      <c r="G6262" s="33"/>
      <c r="H6262" s="31"/>
    </row>
    <row r="6263" spans="2:8" hidden="1">
      <c r="B6263" s="200"/>
      <c r="C6263" s="31"/>
      <c r="D6263" s="75"/>
      <c r="E6263" s="33"/>
      <c r="F6263" s="772"/>
      <c r="G6263" s="33"/>
      <c r="H6263" s="31"/>
    </row>
    <row r="6264" spans="2:8" hidden="1">
      <c r="B6264" s="33"/>
      <c r="C6264" s="31"/>
      <c r="D6264" s="31"/>
      <c r="E6264" s="31"/>
      <c r="F6264" s="31"/>
      <c r="G6264" s="31"/>
      <c r="H6264" s="31"/>
    </row>
    <row r="6265" spans="2:8" hidden="1">
      <c r="B6265" s="200"/>
      <c r="C6265" s="31"/>
      <c r="D6265" s="75"/>
      <c r="E6265" s="771"/>
      <c r="F6265" s="33"/>
      <c r="G6265" s="33"/>
      <c r="H6265" s="31"/>
    </row>
    <row r="6266" spans="2:8" hidden="1">
      <c r="B6266" s="200"/>
      <c r="C6266" s="31"/>
      <c r="D6266" s="75"/>
      <c r="E6266" s="771"/>
      <c r="F6266" s="31"/>
      <c r="G6266" s="31"/>
      <c r="H6266" s="31"/>
    </row>
    <row r="6267" spans="2:8" hidden="1">
      <c r="B6267" s="200"/>
      <c r="C6267" s="31"/>
      <c r="D6267" s="75"/>
      <c r="E6267" s="771"/>
      <c r="F6267" s="31"/>
      <c r="G6267" s="31"/>
      <c r="H6267" s="31"/>
    </row>
    <row r="6268" spans="2:8" hidden="1">
      <c r="B6268" s="200"/>
      <c r="C6268" s="31"/>
      <c r="D6268" s="75"/>
      <c r="E6268" s="771"/>
      <c r="F6268" s="31"/>
      <c r="G6268" s="31"/>
      <c r="H6268" s="31"/>
    </row>
    <row r="6269" spans="2:8" hidden="1">
      <c r="B6269" s="200"/>
      <c r="C6269" s="31"/>
      <c r="D6269" s="75"/>
      <c r="E6269" s="771"/>
      <c r="F6269" s="31"/>
      <c r="G6269" s="31"/>
      <c r="H6269" s="31"/>
    </row>
    <row r="6270" spans="2:8" hidden="1">
      <c r="B6270" s="200"/>
      <c r="C6270" s="31"/>
      <c r="D6270" s="75"/>
      <c r="E6270" s="771"/>
      <c r="F6270" s="31"/>
      <c r="G6270" s="31"/>
      <c r="H6270" s="31"/>
    </row>
    <row r="6271" spans="2:8" hidden="1">
      <c r="B6271" s="200"/>
      <c r="C6271" s="31"/>
      <c r="D6271" s="75"/>
      <c r="E6271" s="771"/>
      <c r="F6271" s="31"/>
      <c r="G6271" s="31"/>
      <c r="H6271" s="31"/>
    </row>
    <row r="6272" spans="2:8" hidden="1">
      <c r="B6272" s="200"/>
      <c r="C6272" s="31"/>
      <c r="D6272" s="75"/>
      <c r="E6272" s="771"/>
      <c r="F6272" s="31"/>
      <c r="G6272" s="31"/>
      <c r="H6272" s="31"/>
    </row>
    <row r="6273" spans="2:8" hidden="1">
      <c r="B6273" s="200"/>
      <c r="C6273" s="31"/>
      <c r="D6273" s="75"/>
      <c r="E6273" s="771"/>
      <c r="F6273" s="31"/>
      <c r="G6273" s="31"/>
      <c r="H6273" s="31"/>
    </row>
    <row r="6274" spans="2:8" hidden="1">
      <c r="B6274" s="200"/>
      <c r="C6274" s="31"/>
      <c r="D6274" s="75"/>
      <c r="E6274" s="771"/>
      <c r="F6274" s="31"/>
      <c r="G6274" s="31"/>
      <c r="H6274" s="31"/>
    </row>
    <row r="6275" spans="2:8" hidden="1">
      <c r="B6275" s="200"/>
      <c r="C6275" s="31"/>
      <c r="D6275" s="75"/>
      <c r="E6275" s="771"/>
      <c r="F6275" s="31"/>
      <c r="G6275" s="31"/>
      <c r="H6275" s="31"/>
    </row>
    <row r="6276" spans="2:8" hidden="1">
      <c r="B6276" s="200"/>
      <c r="C6276" s="31"/>
      <c r="D6276" s="75"/>
      <c r="E6276" s="771"/>
      <c r="F6276" s="33"/>
      <c r="G6276" s="33"/>
      <c r="H6276" s="31"/>
    </row>
    <row r="6277" spans="2:8" hidden="1">
      <c r="B6277" s="200"/>
      <c r="C6277" s="31"/>
      <c r="D6277" s="75"/>
      <c r="E6277" s="771"/>
      <c r="F6277" s="31"/>
      <c r="G6277" s="31"/>
      <c r="H6277" s="31"/>
    </row>
    <row r="6278" spans="2:8" hidden="1">
      <c r="B6278" s="200"/>
      <c r="C6278" s="31"/>
      <c r="D6278" s="75"/>
      <c r="E6278" s="771"/>
      <c r="F6278" s="31"/>
      <c r="G6278" s="31"/>
      <c r="H6278" s="31"/>
    </row>
    <row r="6279" spans="2:8" hidden="1">
      <c r="B6279" s="200"/>
      <c r="C6279" s="31"/>
      <c r="D6279" s="75"/>
      <c r="E6279" s="771"/>
      <c r="F6279" s="31"/>
      <c r="G6279" s="31"/>
      <c r="H6279" s="31"/>
    </row>
    <row r="6280" spans="2:8" hidden="1">
      <c r="B6280" s="200"/>
      <c r="C6280" s="31"/>
      <c r="D6280" s="75"/>
      <c r="E6280" s="771"/>
      <c r="F6280" s="31"/>
      <c r="G6280" s="31"/>
      <c r="H6280" s="31"/>
    </row>
    <row r="6281" spans="2:8" hidden="1">
      <c r="B6281" s="200"/>
      <c r="C6281" s="31"/>
      <c r="D6281" s="75"/>
      <c r="E6281" s="771"/>
      <c r="F6281" s="31"/>
      <c r="G6281" s="31"/>
      <c r="H6281" s="31"/>
    </row>
    <row r="6282" spans="2:8" hidden="1">
      <c r="B6282" s="200"/>
      <c r="C6282" s="31"/>
      <c r="D6282" s="75"/>
      <c r="E6282" s="771"/>
      <c r="F6282" s="31"/>
      <c r="G6282" s="31"/>
      <c r="H6282" s="31"/>
    </row>
    <row r="6283" spans="2:8" hidden="1">
      <c r="B6283" s="200"/>
      <c r="C6283" s="31"/>
      <c r="D6283" s="75"/>
      <c r="E6283" s="771"/>
      <c r="F6283" s="31"/>
      <c r="G6283" s="31"/>
      <c r="H6283" s="31"/>
    </row>
    <row r="6284" spans="2:8" hidden="1">
      <c r="B6284" s="200"/>
      <c r="C6284" s="31"/>
      <c r="D6284" s="75"/>
      <c r="E6284" s="771"/>
      <c r="F6284" s="31"/>
      <c r="G6284" s="31"/>
      <c r="H6284" s="31"/>
    </row>
    <row r="6285" spans="2:8" hidden="1">
      <c r="B6285" s="200"/>
      <c r="C6285" s="31"/>
      <c r="D6285" s="75"/>
      <c r="E6285" s="771"/>
      <c r="F6285" s="33"/>
      <c r="G6285" s="33"/>
      <c r="H6285" s="31"/>
    </row>
    <row r="6286" spans="2:8" hidden="1">
      <c r="B6286" s="200"/>
      <c r="C6286" s="31"/>
      <c r="D6286" s="75"/>
      <c r="E6286" s="771"/>
      <c r="F6286" s="31"/>
      <c r="G6286" s="31"/>
      <c r="H6286" s="31"/>
    </row>
    <row r="6287" spans="2:8" hidden="1">
      <c r="B6287" s="200"/>
      <c r="C6287" s="31"/>
      <c r="D6287" s="75"/>
      <c r="E6287" s="771"/>
      <c r="F6287" s="31"/>
      <c r="G6287" s="31"/>
      <c r="H6287" s="31"/>
    </row>
    <row r="6288" spans="2:8" hidden="1">
      <c r="B6288" s="200"/>
      <c r="C6288" s="31"/>
      <c r="D6288" s="75"/>
      <c r="E6288" s="771"/>
      <c r="F6288" s="31"/>
      <c r="G6288" s="31"/>
      <c r="H6288" s="31"/>
    </row>
    <row r="6289" spans="2:8" hidden="1">
      <c r="B6289" s="200"/>
      <c r="C6289" s="31"/>
      <c r="D6289" s="75"/>
      <c r="E6289" s="771"/>
      <c r="F6289" s="771"/>
      <c r="G6289" s="31"/>
      <c r="H6289" s="31"/>
    </row>
    <row r="6290" spans="2:8" hidden="1">
      <c r="B6290" s="200"/>
      <c r="C6290" s="31"/>
      <c r="D6290" s="75"/>
      <c r="E6290" s="771"/>
      <c r="F6290" s="771"/>
      <c r="G6290" s="31"/>
      <c r="H6290" s="31"/>
    </row>
    <row r="6291" spans="2:8" hidden="1">
      <c r="B6291" s="200"/>
      <c r="C6291" s="31"/>
      <c r="D6291" s="75"/>
      <c r="E6291" s="771"/>
      <c r="F6291" s="771"/>
      <c r="G6291" s="31"/>
      <c r="H6291" s="31"/>
    </row>
    <row r="6292" spans="2:8" hidden="1">
      <c r="B6292" s="200"/>
      <c r="C6292" s="31"/>
      <c r="D6292" s="75"/>
      <c r="E6292" s="771"/>
      <c r="F6292" s="771"/>
      <c r="G6292" s="31"/>
      <c r="H6292" s="31"/>
    </row>
    <row r="6293" spans="2:8" hidden="1">
      <c r="B6293" s="200"/>
      <c r="C6293" s="31"/>
      <c r="D6293" s="75"/>
      <c r="E6293" s="771"/>
      <c r="F6293" s="771"/>
      <c r="G6293" s="31"/>
      <c r="H6293" s="31"/>
    </row>
    <row r="6294" spans="2:8" hidden="1">
      <c r="B6294" s="200"/>
      <c r="C6294" s="31"/>
      <c r="D6294" s="75"/>
      <c r="E6294" s="771"/>
      <c r="F6294" s="771"/>
      <c r="G6294" s="31"/>
      <c r="H6294" s="31"/>
    </row>
    <row r="6295" spans="2:8" hidden="1">
      <c r="B6295" s="200"/>
      <c r="C6295" s="31"/>
      <c r="D6295" s="75"/>
      <c r="E6295" s="771"/>
      <c r="F6295" s="771"/>
      <c r="G6295" s="31"/>
      <c r="H6295" s="31"/>
    </row>
    <row r="6296" spans="2:8" hidden="1">
      <c r="B6296" s="200"/>
      <c r="C6296" s="31"/>
      <c r="D6296" s="75"/>
      <c r="E6296" s="771"/>
      <c r="F6296" s="771"/>
      <c r="G6296" s="31"/>
      <c r="H6296" s="31"/>
    </row>
    <row r="6297" spans="2:8" hidden="1">
      <c r="B6297" s="200"/>
      <c r="C6297" s="31"/>
      <c r="D6297" s="75"/>
      <c r="E6297" s="771"/>
      <c r="F6297" s="771"/>
      <c r="G6297" s="31"/>
      <c r="H6297" s="31"/>
    </row>
    <row r="6298" spans="2:8" hidden="1">
      <c r="B6298" s="200"/>
      <c r="C6298" s="31"/>
      <c r="D6298" s="75"/>
      <c r="E6298" s="771"/>
      <c r="F6298" s="771"/>
      <c r="G6298" s="31"/>
      <c r="H6298" s="31"/>
    </row>
    <row r="6299" spans="2:8" hidden="1">
      <c r="B6299" s="200"/>
      <c r="C6299" s="31"/>
      <c r="D6299" s="75"/>
      <c r="E6299" s="771"/>
      <c r="F6299" s="771"/>
      <c r="G6299" s="31"/>
      <c r="H6299" s="31"/>
    </row>
    <row r="6300" spans="2:8" hidden="1">
      <c r="B6300" s="200"/>
      <c r="C6300" s="31"/>
      <c r="D6300" s="75"/>
      <c r="E6300" s="771"/>
      <c r="F6300" s="771"/>
      <c r="G6300" s="31"/>
      <c r="H6300" s="31"/>
    </row>
    <row r="6301" spans="2:8" hidden="1">
      <c r="B6301" s="200"/>
      <c r="C6301" s="31"/>
      <c r="D6301" s="75"/>
      <c r="E6301" s="771"/>
      <c r="F6301" s="771"/>
      <c r="G6301" s="31"/>
      <c r="H6301" s="31"/>
    </row>
    <row r="6302" spans="2:8" hidden="1">
      <c r="B6302" s="200"/>
      <c r="C6302" s="31"/>
      <c r="D6302" s="75"/>
      <c r="E6302" s="771"/>
      <c r="F6302" s="771"/>
      <c r="G6302" s="31"/>
      <c r="H6302" s="31"/>
    </row>
    <row r="6303" spans="2:8" hidden="1">
      <c r="B6303" s="200"/>
      <c r="C6303" s="31"/>
      <c r="D6303" s="75"/>
      <c r="E6303" s="771"/>
      <c r="F6303" s="771"/>
      <c r="G6303" s="31"/>
      <c r="H6303" s="31"/>
    </row>
    <row r="6304" spans="2:8" hidden="1">
      <c r="B6304" s="200"/>
      <c r="C6304" s="31"/>
      <c r="D6304" s="75"/>
      <c r="E6304" s="771"/>
      <c r="F6304" s="771"/>
      <c r="G6304" s="31"/>
      <c r="H6304" s="31"/>
    </row>
    <row r="6305" spans="2:8" hidden="1">
      <c r="B6305" s="200"/>
      <c r="C6305" s="31"/>
      <c r="D6305" s="75"/>
      <c r="E6305" s="771"/>
      <c r="F6305" s="771"/>
      <c r="G6305" s="31"/>
      <c r="H6305" s="31"/>
    </row>
    <row r="6306" spans="2:8" hidden="1">
      <c r="B6306" s="200"/>
      <c r="C6306" s="31"/>
      <c r="D6306" s="75"/>
      <c r="E6306" s="771"/>
      <c r="F6306" s="771"/>
      <c r="G6306" s="31"/>
      <c r="H6306" s="31"/>
    </row>
    <row r="6307" spans="2:8" hidden="1">
      <c r="B6307" s="200"/>
      <c r="C6307" s="31"/>
      <c r="D6307" s="75"/>
      <c r="E6307" s="771"/>
      <c r="F6307" s="771"/>
      <c r="G6307" s="31"/>
      <c r="H6307" s="31"/>
    </row>
    <row r="6308" spans="2:8" hidden="1">
      <c r="B6308" s="200"/>
      <c r="C6308" s="31"/>
      <c r="D6308" s="75"/>
      <c r="E6308" s="771"/>
      <c r="F6308" s="771"/>
      <c r="G6308" s="31"/>
      <c r="H6308" s="31"/>
    </row>
    <row r="6309" spans="2:8" hidden="1">
      <c r="B6309" s="200"/>
      <c r="C6309" s="31"/>
      <c r="D6309" s="75"/>
      <c r="E6309" s="771"/>
      <c r="F6309" s="771"/>
      <c r="G6309" s="31"/>
      <c r="H6309" s="31"/>
    </row>
    <row r="6310" spans="2:8" hidden="1">
      <c r="B6310" s="200"/>
      <c r="C6310" s="31"/>
      <c r="D6310" s="75"/>
      <c r="E6310" s="771"/>
      <c r="F6310" s="771"/>
      <c r="G6310" s="31"/>
      <c r="H6310" s="31"/>
    </row>
    <row r="6311" spans="2:8" hidden="1">
      <c r="B6311" s="200"/>
      <c r="C6311" s="31"/>
      <c r="D6311" s="75"/>
      <c r="E6311" s="771"/>
      <c r="F6311" s="771"/>
      <c r="G6311" s="31"/>
      <c r="H6311" s="31"/>
    </row>
    <row r="6312" spans="2:8" hidden="1">
      <c r="B6312" s="200"/>
      <c r="C6312" s="31"/>
      <c r="D6312" s="75"/>
      <c r="E6312" s="771"/>
      <c r="F6312" s="771"/>
      <c r="G6312" s="31"/>
      <c r="H6312" s="31"/>
    </row>
    <row r="6313" spans="2:8" hidden="1">
      <c r="B6313" s="200"/>
      <c r="C6313" s="31"/>
      <c r="D6313" s="75"/>
      <c r="E6313" s="771"/>
      <c r="F6313" s="771"/>
      <c r="G6313" s="31"/>
      <c r="H6313" s="31"/>
    </row>
    <row r="6314" spans="2:8" hidden="1">
      <c r="B6314" s="200"/>
      <c r="C6314" s="31"/>
      <c r="D6314" s="75"/>
      <c r="E6314" s="771"/>
      <c r="F6314" s="771"/>
      <c r="G6314" s="31"/>
      <c r="H6314" s="31"/>
    </row>
    <row r="6315" spans="2:8" hidden="1">
      <c r="B6315" s="200"/>
      <c r="C6315" s="31"/>
      <c r="D6315" s="75"/>
      <c r="E6315" s="771"/>
      <c r="F6315" s="771"/>
      <c r="G6315" s="31"/>
      <c r="H6315" s="31"/>
    </row>
    <row r="6316" spans="2:8" hidden="1">
      <c r="B6316" s="200"/>
      <c r="C6316" s="31"/>
      <c r="D6316" s="75"/>
      <c r="E6316" s="771"/>
      <c r="F6316" s="771"/>
      <c r="G6316" s="31"/>
      <c r="H6316" s="31"/>
    </row>
    <row r="6317" spans="2:8" hidden="1">
      <c r="B6317" s="200"/>
      <c r="C6317" s="31"/>
      <c r="D6317" s="75"/>
      <c r="E6317" s="771"/>
      <c r="F6317" s="771"/>
      <c r="G6317" s="31"/>
      <c r="H6317" s="31"/>
    </row>
    <row r="6318" spans="2:8" hidden="1">
      <c r="B6318" s="200"/>
      <c r="C6318" s="31"/>
      <c r="D6318" s="75"/>
      <c r="E6318" s="771"/>
      <c r="F6318" s="771"/>
      <c r="G6318" s="31"/>
      <c r="H6318" s="31"/>
    </row>
    <row r="6319" spans="2:8" hidden="1">
      <c r="B6319" s="200"/>
      <c r="C6319" s="31"/>
      <c r="D6319" s="75"/>
      <c r="E6319" s="771"/>
      <c r="F6319" s="771"/>
      <c r="G6319" s="31"/>
      <c r="H6319" s="31"/>
    </row>
    <row r="6320" spans="2:8" hidden="1">
      <c r="B6320" s="200"/>
      <c r="C6320" s="31"/>
      <c r="D6320" s="75"/>
      <c r="E6320" s="771"/>
      <c r="F6320" s="771"/>
      <c r="G6320" s="31"/>
      <c r="H6320" s="31"/>
    </row>
    <row r="6321" spans="2:8" hidden="1">
      <c r="B6321" s="200"/>
      <c r="C6321" s="31"/>
      <c r="D6321" s="75"/>
      <c r="E6321" s="771"/>
      <c r="F6321" s="771"/>
      <c r="G6321" s="31"/>
      <c r="H6321" s="31"/>
    </row>
    <row r="6322" spans="2:8" hidden="1">
      <c r="B6322" s="200"/>
      <c r="C6322" s="31"/>
      <c r="D6322" s="75"/>
      <c r="E6322" s="771"/>
      <c r="F6322" s="771"/>
      <c r="G6322" s="31"/>
      <c r="H6322" s="31"/>
    </row>
    <row r="6323" spans="2:8" hidden="1">
      <c r="B6323" s="200"/>
      <c r="C6323" s="31"/>
      <c r="D6323" s="75"/>
      <c r="E6323" s="771"/>
      <c r="F6323" s="771"/>
      <c r="G6323" s="31"/>
      <c r="H6323" s="31"/>
    </row>
    <row r="6324" spans="2:8" hidden="1">
      <c r="B6324" s="200"/>
      <c r="C6324" s="31"/>
      <c r="D6324" s="75"/>
      <c r="E6324" s="771"/>
      <c r="F6324" s="771"/>
      <c r="G6324" s="31"/>
      <c r="H6324" s="31"/>
    </row>
    <row r="6325" spans="2:8" hidden="1">
      <c r="B6325" s="200"/>
      <c r="C6325" s="31"/>
      <c r="D6325" s="75"/>
      <c r="E6325" s="771"/>
      <c r="F6325" s="771"/>
      <c r="G6325" s="31"/>
      <c r="H6325" s="31"/>
    </row>
    <row r="6326" spans="2:8" hidden="1">
      <c r="B6326" s="200"/>
      <c r="C6326" s="31"/>
      <c r="D6326" s="75"/>
      <c r="E6326" s="771"/>
      <c r="F6326" s="771"/>
      <c r="G6326" s="31"/>
      <c r="H6326" s="31"/>
    </row>
    <row r="6327" spans="2:8" hidden="1">
      <c r="B6327" s="33"/>
      <c r="C6327" s="31"/>
      <c r="D6327" s="31"/>
      <c r="E6327" s="31"/>
      <c r="F6327" s="31"/>
      <c r="G6327" s="31"/>
      <c r="H6327" s="31"/>
    </row>
    <row r="6328" spans="2:8" hidden="1">
      <c r="B6328" s="200"/>
      <c r="C6328" s="31"/>
      <c r="D6328" s="75"/>
      <c r="E6328" s="771"/>
      <c r="F6328" s="771"/>
      <c r="G6328" s="31"/>
      <c r="H6328" s="31"/>
    </row>
    <row r="6329" spans="2:8" hidden="1">
      <c r="B6329" s="200"/>
      <c r="C6329" s="31"/>
      <c r="D6329" s="75"/>
      <c r="E6329" s="771"/>
      <c r="F6329" s="771"/>
      <c r="G6329" s="31"/>
      <c r="H6329" s="31"/>
    </row>
    <row r="6330" spans="2:8" hidden="1">
      <c r="B6330" s="200"/>
      <c r="C6330" s="31"/>
      <c r="D6330" s="75"/>
      <c r="E6330" s="771"/>
      <c r="F6330" s="771"/>
      <c r="G6330" s="31"/>
      <c r="H6330" s="31"/>
    </row>
    <row r="6331" spans="2:8" hidden="1">
      <c r="B6331" s="200"/>
      <c r="C6331" s="31"/>
      <c r="D6331" s="75"/>
      <c r="E6331" s="771"/>
      <c r="F6331" s="771"/>
      <c r="G6331" s="31"/>
      <c r="H6331" s="31"/>
    </row>
    <row r="6332" spans="2:8" hidden="1">
      <c r="B6332" s="200"/>
      <c r="C6332" s="31"/>
      <c r="D6332" s="75"/>
      <c r="E6332" s="771"/>
      <c r="F6332" s="771"/>
      <c r="G6332" s="31"/>
      <c r="H6332" s="31"/>
    </row>
    <row r="6333" spans="2:8" hidden="1">
      <c r="B6333" s="200"/>
      <c r="C6333" s="31"/>
      <c r="D6333" s="75"/>
      <c r="E6333" s="771"/>
      <c r="F6333" s="771"/>
      <c r="G6333" s="31"/>
      <c r="H6333" s="31"/>
    </row>
    <row r="6334" spans="2:8" hidden="1">
      <c r="B6334" s="200"/>
      <c r="C6334" s="31"/>
      <c r="D6334" s="75"/>
      <c r="E6334" s="771"/>
      <c r="F6334" s="771"/>
      <c r="G6334" s="31"/>
      <c r="H6334" s="31"/>
    </row>
    <row r="6335" spans="2:8" hidden="1">
      <c r="B6335" s="200"/>
      <c r="C6335" s="31"/>
      <c r="D6335" s="75"/>
      <c r="E6335" s="771"/>
      <c r="F6335" s="771"/>
      <c r="G6335" s="31"/>
      <c r="H6335" s="31"/>
    </row>
    <row r="6336" spans="2:8" hidden="1">
      <c r="B6336" s="200"/>
      <c r="C6336" s="31"/>
      <c r="D6336" s="75"/>
      <c r="E6336" s="771"/>
      <c r="F6336" s="771"/>
      <c r="G6336" s="31"/>
      <c r="H6336" s="31"/>
    </row>
    <row r="6337" spans="2:8" hidden="1">
      <c r="B6337" s="200"/>
      <c r="C6337" s="31"/>
      <c r="D6337" s="75"/>
      <c r="E6337" s="771"/>
      <c r="F6337" s="771"/>
      <c r="G6337" s="31"/>
      <c r="H6337" s="31"/>
    </row>
    <row r="6338" spans="2:8" hidden="1">
      <c r="B6338" s="200"/>
      <c r="C6338" s="31"/>
      <c r="D6338" s="75"/>
      <c r="E6338" s="771"/>
      <c r="F6338" s="771"/>
      <c r="G6338" s="31"/>
      <c r="H6338" s="31"/>
    </row>
    <row r="6339" spans="2:8" hidden="1">
      <c r="B6339" s="200"/>
      <c r="C6339" s="31"/>
      <c r="D6339" s="75"/>
      <c r="E6339" s="771"/>
      <c r="F6339" s="771"/>
      <c r="G6339" s="31"/>
      <c r="H6339" s="31"/>
    </row>
    <row r="6340" spans="2:8" hidden="1">
      <c r="B6340" s="200"/>
      <c r="C6340" s="31"/>
      <c r="D6340" s="75"/>
      <c r="E6340" s="771"/>
      <c r="F6340" s="771"/>
      <c r="G6340" s="31"/>
      <c r="H6340" s="31"/>
    </row>
    <row r="6341" spans="2:8" hidden="1">
      <c r="B6341" s="200"/>
      <c r="C6341" s="31"/>
      <c r="D6341" s="75"/>
      <c r="E6341" s="771"/>
      <c r="F6341" s="771"/>
      <c r="G6341" s="31"/>
      <c r="H6341" s="31"/>
    </row>
    <row r="6342" spans="2:8" hidden="1">
      <c r="B6342" s="200"/>
      <c r="C6342" s="31"/>
      <c r="D6342" s="75"/>
      <c r="E6342" s="31"/>
      <c r="F6342" s="31"/>
      <c r="G6342" s="31"/>
      <c r="H6342" s="31"/>
    </row>
    <row r="6343" spans="2:8" hidden="1">
      <c r="B6343" s="200"/>
      <c r="C6343" s="31"/>
      <c r="D6343" s="75"/>
      <c r="E6343" s="31"/>
      <c r="F6343" s="31"/>
      <c r="G6343" s="31"/>
      <c r="H6343" s="31"/>
    </row>
    <row r="6344" spans="2:8" hidden="1">
      <c r="B6344" s="200"/>
      <c r="C6344" s="31"/>
      <c r="D6344" s="75"/>
      <c r="E6344" s="31"/>
      <c r="F6344" s="31"/>
      <c r="G6344" s="31"/>
      <c r="H6344" s="31"/>
    </row>
    <row r="6345" spans="2:8" hidden="1">
      <c r="B6345" s="33"/>
      <c r="C6345" s="31"/>
      <c r="D6345" s="31"/>
      <c r="E6345" s="31"/>
      <c r="F6345" s="31"/>
      <c r="G6345" s="31"/>
      <c r="H6345" s="31"/>
    </row>
    <row r="6346" spans="2:8" hidden="1">
      <c r="B6346" s="200"/>
      <c r="C6346" s="31"/>
      <c r="D6346" s="75"/>
      <c r="E6346" s="771"/>
      <c r="F6346" s="771"/>
      <c r="G6346" s="31"/>
      <c r="H6346" s="31"/>
    </row>
    <row r="6347" spans="2:8" hidden="1">
      <c r="B6347" s="200"/>
      <c r="C6347" s="31"/>
      <c r="D6347" s="75"/>
      <c r="E6347" s="771"/>
      <c r="F6347" s="771"/>
      <c r="G6347" s="31"/>
      <c r="H6347" s="31"/>
    </row>
    <row r="6348" spans="2:8" hidden="1">
      <c r="B6348" s="200"/>
      <c r="C6348" s="31"/>
      <c r="D6348" s="75"/>
      <c r="E6348" s="771"/>
      <c r="F6348" s="771"/>
      <c r="G6348" s="31"/>
      <c r="H6348" s="31"/>
    </row>
    <row r="6349" spans="2:8" hidden="1">
      <c r="B6349" s="200"/>
      <c r="C6349" s="31"/>
      <c r="D6349" s="75"/>
      <c r="E6349" s="771"/>
      <c r="F6349" s="771"/>
      <c r="G6349" s="31"/>
      <c r="H6349" s="31"/>
    </row>
    <row r="6350" spans="2:8" hidden="1">
      <c r="B6350" s="200"/>
      <c r="C6350" s="31"/>
      <c r="D6350" s="75"/>
      <c r="E6350" s="771"/>
      <c r="F6350" s="771"/>
      <c r="G6350" s="31"/>
      <c r="H6350" s="31"/>
    </row>
    <row r="6351" spans="2:8" hidden="1">
      <c r="B6351" s="33"/>
      <c r="C6351" s="31"/>
      <c r="D6351" s="31"/>
      <c r="E6351" s="31"/>
      <c r="F6351" s="31"/>
      <c r="G6351" s="31"/>
      <c r="H6351" s="31"/>
    </row>
    <row r="6352" spans="2:8" hidden="1">
      <c r="B6352" s="200"/>
      <c r="C6352" s="31"/>
      <c r="D6352" s="75"/>
      <c r="E6352" s="31"/>
      <c r="F6352" s="31"/>
      <c r="G6352" s="31"/>
      <c r="H6352" s="31"/>
    </row>
    <row r="6353" spans="2:8" hidden="1">
      <c r="B6353" s="200"/>
      <c r="C6353" s="31"/>
      <c r="D6353" s="75"/>
      <c r="E6353" s="33"/>
      <c r="F6353" s="33"/>
      <c r="G6353" s="33"/>
      <c r="H6353" s="31"/>
    </row>
    <row r="6354" spans="2:8" hidden="1">
      <c r="B6354" s="200"/>
      <c r="C6354" s="31"/>
      <c r="D6354" s="75"/>
      <c r="E6354" s="33"/>
      <c r="F6354" s="33"/>
      <c r="G6354" s="33"/>
      <c r="H6354" s="31"/>
    </row>
    <row r="6355" spans="2:8" hidden="1">
      <c r="B6355" s="200"/>
      <c r="C6355" s="31"/>
      <c r="D6355" s="75"/>
      <c r="E6355" s="33"/>
      <c r="F6355" s="33"/>
      <c r="G6355" s="33"/>
      <c r="H6355" s="31"/>
    </row>
    <row r="6356" spans="2:8" hidden="1">
      <c r="B6356" s="200"/>
      <c r="C6356" s="31"/>
      <c r="D6356" s="75"/>
      <c r="E6356" s="33"/>
      <c r="F6356" s="33"/>
      <c r="G6356" s="33"/>
      <c r="H6356" s="31"/>
    </row>
    <row r="6357" spans="2:8" hidden="1">
      <c r="B6357" s="33"/>
      <c r="C6357" s="31"/>
      <c r="D6357" s="31"/>
      <c r="E6357" s="31"/>
      <c r="F6357" s="31"/>
      <c r="G6357" s="31"/>
      <c r="H6357" s="31"/>
    </row>
    <row r="6358" spans="2:8" hidden="1">
      <c r="B6358" s="200"/>
      <c r="C6358" s="31"/>
      <c r="D6358" s="33"/>
      <c r="E6358" s="33"/>
      <c r="F6358" s="33"/>
      <c r="G6358" s="33"/>
      <c r="H6358" s="31"/>
    </row>
    <row r="6359" spans="2:8" hidden="1">
      <c r="B6359" s="200"/>
      <c r="C6359" s="31"/>
      <c r="D6359" s="33"/>
      <c r="E6359" s="33"/>
      <c r="F6359" s="33"/>
      <c r="G6359" s="33"/>
      <c r="H6359" s="31"/>
    </row>
    <row r="6360" spans="2:8" hidden="1">
      <c r="B6360" s="200"/>
      <c r="C6360" s="31"/>
      <c r="D6360" s="75"/>
      <c r="E6360" s="31"/>
      <c r="F6360" s="33"/>
      <c r="G6360" s="33"/>
      <c r="H6360" s="31"/>
    </row>
    <row r="6361" spans="2:8" hidden="1">
      <c r="B6361" s="200"/>
      <c r="C6361" s="31"/>
      <c r="D6361" s="75"/>
      <c r="E6361" s="31"/>
      <c r="F6361" s="33"/>
      <c r="G6361" s="33"/>
      <c r="H6361" s="31"/>
    </row>
    <row r="6362" spans="2:8" hidden="1">
      <c r="B6362" s="200"/>
      <c r="C6362" s="31"/>
      <c r="D6362" s="75"/>
      <c r="E6362" s="31"/>
      <c r="F6362" s="33"/>
      <c r="G6362" s="33"/>
      <c r="H6362" s="31"/>
    </row>
    <row r="6363" spans="2:8" hidden="1">
      <c r="B6363" s="200"/>
      <c r="C6363" s="31"/>
      <c r="D6363" s="75"/>
      <c r="E6363" s="31"/>
      <c r="F6363" s="33"/>
      <c r="G6363" s="33"/>
      <c r="H6363" s="31"/>
    </row>
    <row r="6364" spans="2:8" hidden="1">
      <c r="B6364" s="200"/>
      <c r="C6364" s="31"/>
      <c r="D6364" s="75"/>
      <c r="E6364" s="31"/>
      <c r="F6364" s="33"/>
      <c r="G6364" s="33"/>
      <c r="H6364" s="31"/>
    </row>
    <row r="6365" spans="2:8" hidden="1">
      <c r="B6365" s="200"/>
      <c r="C6365" s="31"/>
      <c r="D6365" s="75"/>
      <c r="E6365" s="31"/>
      <c r="F6365" s="33"/>
      <c r="G6365" s="33"/>
      <c r="H6365" s="31"/>
    </row>
    <row r="6366" spans="2:8" hidden="1">
      <c r="B6366" s="200"/>
      <c r="C6366" s="31"/>
      <c r="D6366" s="75"/>
      <c r="E6366" s="33"/>
      <c r="F6366" s="33"/>
      <c r="G6366" s="33"/>
      <c r="H6366" s="33"/>
    </row>
    <row r="6367" spans="2:8" hidden="1">
      <c r="B6367" s="200"/>
      <c r="C6367" s="31"/>
      <c r="D6367" s="75"/>
      <c r="E6367" s="33"/>
      <c r="F6367" s="33"/>
      <c r="G6367" s="33"/>
      <c r="H6367" s="31"/>
    </row>
    <row r="6368" spans="2:8" hidden="1">
      <c r="B6368" s="33"/>
      <c r="C6368" s="200"/>
      <c r="D6368" s="75"/>
      <c r="E6368" s="31"/>
      <c r="F6368" s="31"/>
      <c r="G6368" s="31"/>
      <c r="H6368" s="31"/>
    </row>
    <row r="6369" spans="2:8" hidden="1">
      <c r="B6369" s="33"/>
      <c r="C6369" s="31"/>
      <c r="D6369" s="104"/>
      <c r="E6369" s="33"/>
      <c r="F6369" s="33"/>
      <c r="G6369" s="33"/>
      <c r="H6369" s="31"/>
    </row>
    <row r="6370" spans="2:8" hidden="1">
      <c r="B6370" s="33"/>
      <c r="C6370" s="31"/>
      <c r="D6370" s="31"/>
      <c r="E6370" s="31"/>
      <c r="F6370" s="31"/>
      <c r="G6370" s="31"/>
      <c r="H6370" s="31"/>
    </row>
    <row r="6371" spans="2:8" hidden="1">
      <c r="B6371" s="33"/>
      <c r="C6371" s="31"/>
      <c r="D6371" s="31"/>
      <c r="E6371" s="31"/>
      <c r="F6371" s="31"/>
      <c r="G6371" s="31"/>
      <c r="H6371" s="31"/>
    </row>
    <row r="6372" spans="2:8" hidden="1">
      <c r="B6372" s="405"/>
      <c r="C6372" s="31"/>
      <c r="D6372" s="31"/>
      <c r="E6372" s="31"/>
      <c r="F6372" s="31"/>
      <c r="G6372" s="31"/>
      <c r="H6372" s="31"/>
    </row>
    <row r="6373" spans="2:8" hidden="1">
      <c r="B6373" s="405"/>
      <c r="C6373" s="31"/>
      <c r="D6373" s="31"/>
      <c r="E6373" s="31"/>
      <c r="F6373" s="691"/>
      <c r="G6373" s="75"/>
      <c r="H6373" s="31"/>
    </row>
    <row r="6374" spans="2:8" hidden="1">
      <c r="B6374" s="405"/>
      <c r="C6374" s="31"/>
      <c r="D6374" s="31"/>
      <c r="E6374" s="31"/>
      <c r="F6374" s="691"/>
      <c r="G6374" s="75"/>
      <c r="H6374" s="31"/>
    </row>
    <row r="6375" spans="2:8" hidden="1">
      <c r="B6375" s="405"/>
      <c r="C6375" s="31"/>
      <c r="D6375" s="31"/>
      <c r="E6375" s="31"/>
      <c r="F6375" s="691"/>
      <c r="G6375" s="75"/>
      <c r="H6375" s="31"/>
    </row>
    <row r="6376" spans="2:8" hidden="1">
      <c r="B6376" s="405"/>
      <c r="C6376" s="31"/>
      <c r="D6376" s="31"/>
      <c r="E6376" s="31"/>
      <c r="F6376" s="691"/>
      <c r="G6376" s="75"/>
      <c r="H6376" s="31"/>
    </row>
    <row r="6377" spans="2:8" hidden="1">
      <c r="B6377" s="405"/>
      <c r="C6377" s="31"/>
      <c r="D6377" s="31"/>
      <c r="E6377" s="31"/>
      <c r="F6377" s="691"/>
      <c r="G6377" s="75"/>
      <c r="H6377" s="31"/>
    </row>
    <row r="6378" spans="2:8" hidden="1">
      <c r="B6378" s="405"/>
      <c r="C6378" s="31"/>
      <c r="D6378" s="31"/>
      <c r="E6378" s="31"/>
      <c r="F6378" s="691"/>
      <c r="G6378" s="75"/>
      <c r="H6378" s="31"/>
    </row>
    <row r="6379" spans="2:8" hidden="1">
      <c r="B6379" s="405"/>
      <c r="C6379" s="31"/>
      <c r="D6379" s="31"/>
      <c r="E6379" s="31"/>
      <c r="F6379" s="691"/>
      <c r="G6379" s="75"/>
      <c r="H6379" s="31"/>
    </row>
    <row r="6380" spans="2:8" hidden="1">
      <c r="B6380" s="405"/>
      <c r="C6380" s="31"/>
      <c r="D6380" s="31"/>
      <c r="E6380" s="31"/>
      <c r="F6380" s="691"/>
      <c r="G6380" s="75"/>
      <c r="H6380" s="31"/>
    </row>
    <row r="6381" spans="2:8" hidden="1">
      <c r="B6381" s="405"/>
      <c r="C6381" s="31"/>
      <c r="D6381" s="31"/>
      <c r="E6381" s="31"/>
      <c r="F6381" s="691"/>
      <c r="G6381" s="75"/>
      <c r="H6381" s="31"/>
    </row>
    <row r="6382" spans="2:8" hidden="1">
      <c r="B6382" s="405"/>
      <c r="C6382" s="31"/>
      <c r="D6382" s="31"/>
      <c r="E6382" s="31"/>
      <c r="F6382" s="691"/>
      <c r="G6382" s="75"/>
      <c r="H6382" s="31"/>
    </row>
    <row r="6383" spans="2:8" hidden="1">
      <c r="B6383" s="405"/>
      <c r="C6383" s="31"/>
      <c r="D6383" s="31"/>
      <c r="E6383" s="31"/>
      <c r="F6383" s="691"/>
      <c r="G6383" s="75"/>
      <c r="H6383" s="31"/>
    </row>
    <row r="6384" spans="2:8" hidden="1">
      <c r="B6384" s="405"/>
      <c r="C6384" s="31"/>
      <c r="D6384" s="31"/>
      <c r="E6384" s="31"/>
      <c r="F6384" s="691"/>
      <c r="G6384" s="75"/>
      <c r="H6384" s="31"/>
    </row>
    <row r="6385" spans="2:8" hidden="1">
      <c r="B6385" s="405"/>
      <c r="C6385" s="31"/>
      <c r="D6385" s="31"/>
      <c r="E6385" s="31"/>
      <c r="F6385" s="691"/>
      <c r="G6385" s="31"/>
      <c r="H6385" s="31"/>
    </row>
    <row r="6386" spans="2:8" hidden="1">
      <c r="B6386" s="405"/>
      <c r="C6386" s="31"/>
      <c r="D6386" s="31"/>
      <c r="E6386" s="31"/>
      <c r="F6386" s="691"/>
      <c r="G6386" s="75"/>
      <c r="H6386" s="31"/>
    </row>
    <row r="6387" spans="2:8" hidden="1">
      <c r="B6387" s="405"/>
      <c r="C6387" s="31"/>
      <c r="D6387" s="31"/>
      <c r="E6387" s="31"/>
      <c r="F6387" s="691"/>
      <c r="G6387" s="75"/>
      <c r="H6387" s="31"/>
    </row>
    <row r="6388" spans="2:8" hidden="1">
      <c r="B6388" s="405"/>
      <c r="C6388" s="31"/>
      <c r="D6388" s="31"/>
      <c r="E6388" s="31"/>
      <c r="F6388" s="691"/>
      <c r="G6388" s="75"/>
      <c r="H6388" s="31"/>
    </row>
    <row r="6389" spans="2:8" hidden="1">
      <c r="B6389" s="200"/>
      <c r="C6389" s="31"/>
      <c r="D6389" s="31"/>
      <c r="E6389" s="31"/>
      <c r="F6389" s="691"/>
      <c r="G6389" s="75"/>
      <c r="H6389" s="31"/>
    </row>
    <row r="6390" spans="2:8" hidden="1">
      <c r="B6390" s="200"/>
      <c r="C6390" s="31"/>
      <c r="D6390" s="31"/>
      <c r="E6390" s="31"/>
      <c r="F6390" s="691"/>
      <c r="G6390" s="75"/>
      <c r="H6390" s="31"/>
    </row>
    <row r="6391" spans="2:8" hidden="1">
      <c r="B6391" s="200"/>
      <c r="C6391" s="31"/>
      <c r="D6391" s="31"/>
      <c r="E6391" s="31"/>
      <c r="F6391" s="691"/>
      <c r="G6391" s="31"/>
      <c r="H6391" s="31"/>
    </row>
    <row r="6392" spans="2:8" hidden="1">
      <c r="B6392" s="33"/>
      <c r="C6392" s="31"/>
      <c r="D6392" s="31"/>
      <c r="E6392" s="31"/>
      <c r="F6392" s="691"/>
      <c r="G6392" s="31"/>
      <c r="H6392" s="31"/>
    </row>
    <row r="6393" spans="2:8" hidden="1">
      <c r="B6393" s="33"/>
      <c r="C6393" s="31"/>
      <c r="D6393" s="31"/>
      <c r="E6393" s="31"/>
      <c r="F6393" s="691"/>
      <c r="G6393" s="31"/>
      <c r="H6393" s="31"/>
    </row>
    <row r="6394" spans="2:8" hidden="1">
      <c r="B6394" s="33"/>
      <c r="C6394" s="31"/>
      <c r="D6394" s="31"/>
      <c r="E6394" s="31"/>
      <c r="F6394" s="31"/>
      <c r="G6394" s="31"/>
      <c r="H6394" s="31"/>
    </row>
    <row r="6395" spans="2:8" hidden="1">
      <c r="B6395" s="33"/>
      <c r="C6395" s="31"/>
      <c r="D6395" s="31"/>
      <c r="E6395" s="31"/>
      <c r="F6395" s="31"/>
      <c r="G6395" s="31"/>
      <c r="H6395" s="31"/>
    </row>
    <row r="6396" spans="2:8" hidden="1">
      <c r="B6396" s="33"/>
      <c r="C6396" s="31"/>
      <c r="D6396" s="31"/>
      <c r="E6396" s="31"/>
      <c r="F6396" s="31"/>
      <c r="G6396" s="31"/>
      <c r="H6396" s="31"/>
    </row>
    <row r="6397" spans="2:8" hidden="1">
      <c r="B6397" s="33"/>
      <c r="C6397" s="31"/>
      <c r="D6397" s="31"/>
      <c r="E6397" s="31"/>
      <c r="F6397" s="31"/>
      <c r="G6397" s="31"/>
      <c r="H6397" s="31"/>
    </row>
    <row r="6398" spans="2:8" hidden="1">
      <c r="B6398" s="33"/>
      <c r="C6398" s="31"/>
      <c r="D6398" s="31"/>
      <c r="E6398" s="31"/>
      <c r="F6398" s="31"/>
      <c r="G6398" s="31"/>
      <c r="H6398" s="31"/>
    </row>
    <row r="6399" spans="2:8" hidden="1">
      <c r="B6399" s="33"/>
      <c r="C6399" s="31"/>
      <c r="D6399" s="31"/>
      <c r="E6399" s="31"/>
      <c r="F6399" s="31"/>
      <c r="G6399" s="31"/>
      <c r="H6399" s="31"/>
    </row>
    <row r="6400" spans="2:8" hidden="1">
      <c r="B6400" s="33"/>
      <c r="C6400" s="31"/>
      <c r="D6400" s="31"/>
      <c r="E6400" s="31"/>
      <c r="F6400" s="31"/>
      <c r="G6400" s="31"/>
      <c r="H6400" s="31"/>
    </row>
    <row r="6401" spans="2:8" hidden="1">
      <c r="B6401" s="33"/>
      <c r="C6401" s="31"/>
      <c r="D6401" s="33"/>
      <c r="E6401" s="33"/>
      <c r="F6401" s="33"/>
      <c r="G6401" s="33"/>
      <c r="H6401" s="31"/>
    </row>
    <row r="6402" spans="2:8" hidden="1">
      <c r="B6402" s="33"/>
      <c r="C6402" s="31"/>
      <c r="D6402" s="33"/>
      <c r="E6402" s="33"/>
      <c r="F6402" s="33"/>
      <c r="G6402" s="33"/>
      <c r="H6402" s="31"/>
    </row>
    <row r="6403" spans="2:8" hidden="1">
      <c r="B6403" s="33"/>
      <c r="C6403" s="31"/>
      <c r="D6403" s="31"/>
      <c r="E6403" s="31"/>
      <c r="F6403" s="31"/>
      <c r="G6403" s="31"/>
      <c r="H6403" s="31"/>
    </row>
    <row r="6404" spans="2:8" hidden="1">
      <c r="B6404" s="405"/>
      <c r="C6404" s="31"/>
      <c r="D6404" s="75"/>
      <c r="E6404" s="31"/>
      <c r="F6404" s="33"/>
      <c r="G6404" s="33"/>
      <c r="H6404" s="31"/>
    </row>
    <row r="6405" spans="2:8" hidden="1">
      <c r="B6405" s="405"/>
      <c r="C6405" s="31"/>
      <c r="D6405" s="75"/>
      <c r="E6405" s="31"/>
      <c r="F6405" s="33"/>
      <c r="G6405" s="33"/>
      <c r="H6405" s="31"/>
    </row>
    <row r="6406" spans="2:8" hidden="1">
      <c r="B6406" s="405"/>
      <c r="C6406" s="31"/>
      <c r="D6406" s="75"/>
      <c r="E6406" s="31"/>
      <c r="F6406" s="31"/>
      <c r="G6406" s="31"/>
      <c r="H6406" s="31"/>
    </row>
    <row r="6407" spans="2:8" hidden="1">
      <c r="B6407" s="405"/>
      <c r="C6407" s="31"/>
      <c r="D6407" s="75"/>
      <c r="E6407" s="31"/>
      <c r="F6407" s="31"/>
      <c r="G6407" s="31"/>
      <c r="H6407" s="31"/>
    </row>
    <row r="6408" spans="2:8" hidden="1">
      <c r="B6408" s="405"/>
      <c r="C6408" s="31"/>
      <c r="D6408" s="75"/>
      <c r="E6408" s="31"/>
      <c r="F6408" s="33"/>
      <c r="G6408" s="33"/>
      <c r="H6408" s="31"/>
    </row>
    <row r="6409" spans="2:8" hidden="1">
      <c r="B6409" s="405"/>
      <c r="C6409" s="31"/>
      <c r="D6409" s="75"/>
      <c r="E6409" s="33"/>
      <c r="F6409" s="33"/>
      <c r="G6409" s="33"/>
      <c r="H6409" s="31"/>
    </row>
    <row r="6410" spans="2:8" hidden="1">
      <c r="B6410" s="405"/>
      <c r="C6410" s="31"/>
      <c r="D6410" s="75"/>
      <c r="E6410" s="33"/>
      <c r="F6410" s="33"/>
      <c r="G6410" s="33"/>
      <c r="H6410" s="31"/>
    </row>
    <row r="6411" spans="2:8" hidden="1">
      <c r="B6411" s="405"/>
      <c r="C6411" s="31"/>
      <c r="D6411" s="75"/>
      <c r="E6411" s="33"/>
      <c r="F6411" s="33"/>
      <c r="G6411" s="33"/>
      <c r="H6411" s="31"/>
    </row>
    <row r="6412" spans="2:8" hidden="1">
      <c r="B6412" s="33"/>
      <c r="C6412" s="31"/>
      <c r="D6412" s="31"/>
      <c r="E6412" s="31"/>
      <c r="F6412" s="31"/>
      <c r="G6412" s="31"/>
      <c r="H6412" s="31"/>
    </row>
    <row r="6413" spans="2:8" hidden="1">
      <c r="B6413" s="405"/>
      <c r="C6413" s="31"/>
      <c r="D6413" s="75"/>
      <c r="E6413" s="771"/>
      <c r="F6413" s="33"/>
      <c r="G6413" s="33"/>
      <c r="H6413" s="31"/>
    </row>
    <row r="6414" spans="2:8" hidden="1">
      <c r="B6414" s="30"/>
      <c r="C6414" s="31"/>
      <c r="D6414" s="75"/>
      <c r="E6414" s="771"/>
      <c r="F6414" s="33"/>
      <c r="G6414" s="33"/>
      <c r="H6414" s="31"/>
    </row>
    <row r="6415" spans="2:8" hidden="1">
      <c r="B6415" s="30"/>
      <c r="C6415" s="31"/>
      <c r="D6415" s="75"/>
      <c r="E6415" s="771"/>
      <c r="F6415" s="33"/>
      <c r="G6415" s="33"/>
      <c r="H6415" s="31"/>
    </row>
    <row r="6416" spans="2:8" hidden="1">
      <c r="B6416" s="30"/>
      <c r="C6416" s="31"/>
      <c r="D6416" s="75"/>
      <c r="E6416" s="771"/>
      <c r="F6416" s="31"/>
      <c r="G6416" s="31"/>
      <c r="H6416" s="31"/>
    </row>
    <row r="6417" spans="2:8" hidden="1">
      <c r="B6417" s="30"/>
      <c r="C6417" s="31"/>
      <c r="D6417" s="75"/>
      <c r="E6417" s="771"/>
      <c r="F6417" s="31"/>
      <c r="G6417" s="31"/>
      <c r="H6417" s="31"/>
    </row>
    <row r="6418" spans="2:8" hidden="1">
      <c r="B6418" s="30"/>
      <c r="C6418" s="31"/>
      <c r="D6418" s="75"/>
      <c r="E6418" s="771"/>
      <c r="F6418" s="31"/>
      <c r="G6418" s="31"/>
      <c r="H6418" s="31"/>
    </row>
    <row r="6419" spans="2:8" hidden="1">
      <c r="B6419" s="30"/>
      <c r="C6419" s="31"/>
      <c r="D6419" s="75"/>
      <c r="E6419" s="771"/>
      <c r="F6419" s="31"/>
      <c r="G6419" s="31"/>
      <c r="H6419" s="31"/>
    </row>
    <row r="6420" spans="2:8" hidden="1">
      <c r="B6420" s="30"/>
      <c r="C6420" s="31"/>
      <c r="D6420" s="75"/>
      <c r="E6420" s="771"/>
      <c r="F6420" s="31"/>
      <c r="G6420" s="31"/>
      <c r="H6420" s="31"/>
    </row>
    <row r="6421" spans="2:8" hidden="1">
      <c r="B6421" s="30"/>
      <c r="C6421" s="31"/>
      <c r="D6421" s="75"/>
      <c r="E6421" s="771"/>
      <c r="F6421" s="31"/>
      <c r="G6421" s="31"/>
      <c r="H6421" s="31"/>
    </row>
    <row r="6422" spans="2:8" hidden="1">
      <c r="B6422" s="30"/>
      <c r="C6422" s="31"/>
      <c r="D6422" s="75"/>
      <c r="E6422" s="771"/>
      <c r="F6422" s="31"/>
      <c r="G6422" s="31"/>
      <c r="H6422" s="31"/>
    </row>
    <row r="6423" spans="2:8" hidden="1">
      <c r="B6423" s="30"/>
      <c r="C6423" s="31"/>
      <c r="D6423" s="75"/>
      <c r="E6423" s="771"/>
      <c r="F6423" s="31"/>
      <c r="G6423" s="31"/>
      <c r="H6423" s="31"/>
    </row>
    <row r="6424" spans="2:8" hidden="1">
      <c r="B6424" s="30"/>
      <c r="C6424" s="31"/>
      <c r="D6424" s="75"/>
      <c r="E6424" s="771"/>
      <c r="F6424" s="31"/>
      <c r="G6424" s="31"/>
      <c r="H6424" s="31"/>
    </row>
    <row r="6425" spans="2:8" hidden="1">
      <c r="B6425" s="30"/>
      <c r="C6425" s="31"/>
      <c r="D6425" s="75"/>
      <c r="E6425" s="771"/>
      <c r="F6425" s="31"/>
      <c r="G6425" s="31"/>
      <c r="H6425" s="31"/>
    </row>
    <row r="6426" spans="2:8" hidden="1">
      <c r="B6426" s="30"/>
      <c r="C6426" s="31"/>
      <c r="D6426" s="75"/>
      <c r="E6426" s="771"/>
      <c r="F6426" s="31"/>
      <c r="G6426" s="31"/>
      <c r="H6426" s="31"/>
    </row>
    <row r="6427" spans="2:8" hidden="1">
      <c r="B6427" s="30"/>
      <c r="C6427" s="31"/>
      <c r="D6427" s="75"/>
      <c r="E6427" s="771"/>
      <c r="F6427" s="771"/>
      <c r="G6427" s="31"/>
      <c r="H6427" s="31"/>
    </row>
    <row r="6428" spans="2:8" hidden="1">
      <c r="B6428" s="30"/>
      <c r="C6428" s="31"/>
      <c r="D6428" s="75"/>
      <c r="E6428" s="771"/>
      <c r="F6428" s="31"/>
      <c r="G6428" s="31"/>
      <c r="H6428" s="31"/>
    </row>
    <row r="6429" spans="2:8" hidden="1">
      <c r="B6429" s="33"/>
      <c r="C6429" s="31"/>
      <c r="D6429" s="31"/>
      <c r="E6429" s="31"/>
      <c r="F6429" s="31"/>
      <c r="G6429" s="31"/>
      <c r="H6429" s="31"/>
    </row>
    <row r="6430" spans="2:8" hidden="1">
      <c r="B6430" s="200"/>
      <c r="C6430" s="31"/>
      <c r="D6430" s="75"/>
      <c r="E6430" s="771"/>
      <c r="F6430" s="33"/>
      <c r="G6430" s="33"/>
      <c r="H6430" s="31"/>
    </row>
    <row r="6431" spans="2:8" hidden="1">
      <c r="B6431" s="200"/>
      <c r="C6431" s="31"/>
      <c r="D6431" s="75"/>
      <c r="E6431" s="771"/>
      <c r="F6431" s="31"/>
      <c r="G6431" s="31"/>
      <c r="H6431" s="31"/>
    </row>
    <row r="6432" spans="2:8" hidden="1">
      <c r="B6432" s="200"/>
      <c r="C6432" s="31"/>
      <c r="D6432" s="75"/>
      <c r="E6432" s="771"/>
      <c r="F6432" s="31"/>
      <c r="G6432" s="31"/>
      <c r="H6432" s="31"/>
    </row>
    <row r="6433" spans="2:8" hidden="1">
      <c r="B6433" s="200"/>
      <c r="C6433" s="31"/>
      <c r="D6433" s="75"/>
      <c r="E6433" s="771"/>
      <c r="F6433" s="771"/>
      <c r="G6433" s="31"/>
      <c r="H6433" s="31"/>
    </row>
    <row r="6434" spans="2:8" hidden="1">
      <c r="B6434" s="200"/>
      <c r="C6434" s="31"/>
      <c r="D6434" s="75"/>
      <c r="E6434" s="771"/>
      <c r="F6434" s="771"/>
      <c r="G6434" s="31"/>
      <c r="H6434" s="31"/>
    </row>
    <row r="6435" spans="2:8" hidden="1">
      <c r="B6435" s="200"/>
      <c r="C6435" s="31"/>
      <c r="D6435" s="75"/>
      <c r="E6435" s="771"/>
      <c r="F6435" s="31"/>
      <c r="G6435" s="31"/>
      <c r="H6435" s="31"/>
    </row>
    <row r="6436" spans="2:8" hidden="1">
      <c r="B6436" s="200"/>
      <c r="C6436" s="31"/>
      <c r="D6436" s="75"/>
      <c r="E6436" s="771"/>
      <c r="F6436" s="31"/>
      <c r="G6436" s="31"/>
      <c r="H6436" s="31"/>
    </row>
    <row r="6437" spans="2:8" hidden="1">
      <c r="B6437" s="200"/>
      <c r="C6437" s="31"/>
      <c r="D6437" s="75"/>
      <c r="E6437" s="771"/>
      <c r="F6437" s="31"/>
      <c r="G6437" s="31"/>
      <c r="H6437" s="31"/>
    </row>
    <row r="6438" spans="2:8" hidden="1">
      <c r="B6438" s="200"/>
      <c r="C6438" s="31"/>
      <c r="D6438" s="75"/>
      <c r="E6438" s="772"/>
      <c r="F6438" s="33"/>
      <c r="G6438" s="33"/>
      <c r="H6438" s="31"/>
    </row>
    <row r="6439" spans="2:8" hidden="1">
      <c r="B6439" s="200"/>
      <c r="C6439" s="31"/>
      <c r="D6439" s="75"/>
      <c r="E6439" s="772"/>
      <c r="F6439" s="33"/>
      <c r="G6439" s="33"/>
      <c r="H6439" s="31"/>
    </row>
    <row r="6440" spans="2:8" hidden="1">
      <c r="B6440" s="200"/>
      <c r="C6440" s="31"/>
      <c r="D6440" s="75"/>
      <c r="E6440" s="771"/>
      <c r="F6440" s="33"/>
      <c r="G6440" s="33"/>
      <c r="H6440" s="31"/>
    </row>
    <row r="6441" spans="2:8" hidden="1">
      <c r="B6441" s="200"/>
      <c r="C6441" s="31"/>
      <c r="D6441" s="75"/>
      <c r="E6441" s="771"/>
      <c r="F6441" s="33"/>
      <c r="G6441" s="33"/>
      <c r="H6441" s="31"/>
    </row>
    <row r="6442" spans="2:8" hidden="1">
      <c r="B6442" s="200"/>
      <c r="C6442" s="31"/>
      <c r="D6442" s="75"/>
      <c r="E6442" s="772"/>
      <c r="F6442" s="33"/>
      <c r="G6442" s="33"/>
      <c r="H6442" s="31"/>
    </row>
    <row r="6443" spans="2:8" hidden="1">
      <c r="B6443" s="200"/>
      <c r="C6443" s="31"/>
      <c r="D6443" s="75"/>
      <c r="E6443" s="771"/>
      <c r="F6443" s="33"/>
      <c r="G6443" s="33"/>
      <c r="H6443" s="31"/>
    </row>
    <row r="6444" spans="2:8" hidden="1">
      <c r="B6444" s="200"/>
      <c r="C6444" s="31"/>
      <c r="D6444" s="75"/>
      <c r="E6444" s="771"/>
      <c r="F6444" s="33"/>
      <c r="G6444" s="33"/>
      <c r="H6444" s="31"/>
    </row>
    <row r="6445" spans="2:8" hidden="1">
      <c r="B6445" s="200"/>
      <c r="C6445" s="31"/>
      <c r="D6445" s="75"/>
      <c r="E6445" s="771"/>
      <c r="F6445" s="33"/>
      <c r="G6445" s="33"/>
      <c r="H6445" s="31"/>
    </row>
    <row r="6446" spans="2:8" hidden="1">
      <c r="B6446" s="200"/>
      <c r="C6446" s="31"/>
      <c r="D6446" s="75"/>
      <c r="E6446" s="771"/>
      <c r="F6446" s="33"/>
      <c r="G6446" s="33"/>
      <c r="H6446" s="31"/>
    </row>
    <row r="6447" spans="2:8" hidden="1">
      <c r="B6447" s="200"/>
      <c r="C6447" s="31"/>
      <c r="D6447" s="75"/>
      <c r="E6447" s="771"/>
      <c r="F6447" s="31"/>
      <c r="G6447" s="31"/>
      <c r="H6447" s="31"/>
    </row>
    <row r="6448" spans="2:8" hidden="1">
      <c r="B6448" s="200"/>
      <c r="C6448" s="31"/>
      <c r="D6448" s="75"/>
      <c r="E6448" s="771"/>
      <c r="F6448" s="31"/>
      <c r="G6448" s="31"/>
      <c r="H6448" s="31"/>
    </row>
    <row r="6449" spans="2:8" hidden="1">
      <c r="B6449" s="200"/>
      <c r="C6449" s="31"/>
      <c r="D6449" s="75"/>
      <c r="E6449" s="771"/>
      <c r="F6449" s="31"/>
      <c r="G6449" s="31"/>
      <c r="H6449" s="31"/>
    </row>
    <row r="6450" spans="2:8" hidden="1">
      <c r="B6450" s="33"/>
      <c r="C6450" s="31"/>
      <c r="D6450" s="31"/>
      <c r="E6450" s="31"/>
      <c r="F6450" s="31"/>
      <c r="G6450" s="31"/>
      <c r="H6450" s="31"/>
    </row>
    <row r="6451" spans="2:8" hidden="1">
      <c r="B6451" s="200"/>
      <c r="C6451" s="31"/>
      <c r="D6451" s="75"/>
      <c r="E6451" s="771"/>
      <c r="F6451" s="31"/>
      <c r="G6451" s="31"/>
      <c r="H6451" s="31"/>
    </row>
    <row r="6452" spans="2:8" hidden="1">
      <c r="B6452" s="200"/>
      <c r="C6452" s="31"/>
      <c r="D6452" s="75"/>
      <c r="E6452" s="771"/>
      <c r="F6452" s="31"/>
      <c r="G6452" s="31"/>
      <c r="H6452" s="31"/>
    </row>
    <row r="6453" spans="2:8" hidden="1">
      <c r="B6453" s="200"/>
      <c r="C6453" s="31"/>
      <c r="D6453" s="75"/>
      <c r="E6453" s="771"/>
      <c r="F6453" s="31"/>
      <c r="G6453" s="31"/>
      <c r="H6453" s="31"/>
    </row>
    <row r="6454" spans="2:8" hidden="1">
      <c r="B6454" s="200"/>
      <c r="C6454" s="31"/>
      <c r="D6454" s="75"/>
      <c r="E6454" s="771"/>
      <c r="F6454" s="771"/>
      <c r="G6454" s="31"/>
      <c r="H6454" s="31"/>
    </row>
    <row r="6455" spans="2:8" hidden="1">
      <c r="B6455" s="200"/>
      <c r="C6455" s="31"/>
      <c r="D6455" s="75"/>
      <c r="E6455" s="771"/>
      <c r="F6455" s="33"/>
      <c r="G6455" s="33"/>
      <c r="H6455" s="31"/>
    </row>
    <row r="6456" spans="2:8" hidden="1">
      <c r="B6456" s="200"/>
      <c r="C6456" s="31"/>
      <c r="D6456" s="75"/>
      <c r="E6456" s="771"/>
      <c r="F6456" s="31"/>
      <c r="G6456" s="31"/>
      <c r="H6456" s="31"/>
    </row>
    <row r="6457" spans="2:8" hidden="1">
      <c r="B6457" s="200"/>
      <c r="C6457" s="31"/>
      <c r="D6457" s="75"/>
      <c r="E6457" s="771"/>
      <c r="F6457" s="31"/>
      <c r="G6457" s="31"/>
      <c r="H6457" s="31"/>
    </row>
    <row r="6458" spans="2:8" hidden="1">
      <c r="B6458" s="200"/>
      <c r="C6458" s="31"/>
      <c r="D6458" s="75"/>
      <c r="E6458" s="771"/>
      <c r="F6458" s="31"/>
      <c r="G6458" s="31"/>
      <c r="H6458" s="31"/>
    </row>
    <row r="6459" spans="2:8" hidden="1">
      <c r="B6459" s="200"/>
      <c r="C6459" s="31"/>
      <c r="D6459" s="75"/>
      <c r="E6459" s="771"/>
      <c r="F6459" s="31"/>
      <c r="G6459" s="31"/>
      <c r="H6459" s="31"/>
    </row>
    <row r="6460" spans="2:8" hidden="1">
      <c r="B6460" s="200"/>
      <c r="C6460" s="31"/>
      <c r="D6460" s="75"/>
      <c r="E6460" s="771"/>
      <c r="F6460" s="31"/>
      <c r="G6460" s="31"/>
      <c r="H6460" s="31"/>
    </row>
    <row r="6461" spans="2:8" hidden="1">
      <c r="B6461" s="200"/>
      <c r="C6461" s="31"/>
      <c r="D6461" s="75"/>
      <c r="E6461" s="771"/>
      <c r="F6461" s="31"/>
      <c r="G6461" s="31"/>
      <c r="H6461" s="31"/>
    </row>
    <row r="6462" spans="2:8" hidden="1">
      <c r="B6462" s="200"/>
      <c r="C6462" s="31"/>
      <c r="D6462" s="75"/>
      <c r="E6462" s="771"/>
      <c r="F6462" s="31"/>
      <c r="G6462" s="31"/>
      <c r="H6462" s="31"/>
    </row>
    <row r="6463" spans="2:8" hidden="1">
      <c r="B6463" s="200"/>
      <c r="C6463" s="31"/>
      <c r="D6463" s="75"/>
      <c r="E6463" s="771"/>
      <c r="F6463" s="31"/>
      <c r="G6463" s="31"/>
      <c r="H6463" s="31"/>
    </row>
    <row r="6464" spans="2:8" hidden="1">
      <c r="B6464" s="200"/>
      <c r="C6464" s="31"/>
      <c r="D6464" s="75"/>
      <c r="E6464" s="771"/>
      <c r="F6464" s="31"/>
      <c r="G6464" s="31"/>
      <c r="H6464" s="31"/>
    </row>
    <row r="6465" spans="2:8" hidden="1">
      <c r="B6465" s="200"/>
      <c r="C6465" s="31"/>
      <c r="D6465" s="75"/>
      <c r="E6465" s="772"/>
      <c r="F6465" s="33"/>
      <c r="G6465" s="33"/>
      <c r="H6465" s="31"/>
    </row>
    <row r="6466" spans="2:8" hidden="1">
      <c r="B6466" s="200"/>
      <c r="C6466" s="31"/>
      <c r="D6466" s="75"/>
      <c r="E6466" s="772"/>
      <c r="F6466" s="33"/>
      <c r="G6466" s="33"/>
      <c r="H6466" s="31"/>
    </row>
    <row r="6467" spans="2:8" hidden="1">
      <c r="B6467" s="200"/>
      <c r="C6467" s="31"/>
      <c r="D6467" s="75"/>
      <c r="E6467" s="772"/>
      <c r="F6467" s="33"/>
      <c r="G6467" s="33"/>
      <c r="H6467" s="31"/>
    </row>
    <row r="6468" spans="2:8" hidden="1">
      <c r="B6468" s="200"/>
      <c r="C6468" s="31"/>
      <c r="D6468" s="75"/>
      <c r="E6468" s="772"/>
      <c r="F6468" s="33"/>
      <c r="G6468" s="33"/>
      <c r="H6468" s="31"/>
    </row>
    <row r="6469" spans="2:8" hidden="1">
      <c r="B6469" s="33"/>
      <c r="C6469" s="31"/>
      <c r="D6469" s="31"/>
      <c r="E6469" s="31"/>
      <c r="F6469" s="31"/>
      <c r="G6469" s="31"/>
      <c r="H6469" s="31"/>
    </row>
    <row r="6470" spans="2:8" hidden="1">
      <c r="B6470" s="200"/>
      <c r="C6470" s="31"/>
      <c r="D6470" s="75"/>
      <c r="E6470" s="771"/>
      <c r="F6470" s="31"/>
      <c r="G6470" s="31"/>
      <c r="H6470" s="31"/>
    </row>
    <row r="6471" spans="2:8" hidden="1">
      <c r="B6471" s="200"/>
      <c r="C6471" s="31"/>
      <c r="D6471" s="75"/>
      <c r="E6471" s="771"/>
      <c r="F6471" s="31"/>
      <c r="G6471" s="31"/>
      <c r="H6471" s="31"/>
    </row>
    <row r="6472" spans="2:8" hidden="1">
      <c r="B6472" s="200"/>
      <c r="C6472" s="31"/>
      <c r="D6472" s="75"/>
      <c r="E6472" s="771"/>
      <c r="F6472" s="31"/>
      <c r="G6472" s="31"/>
      <c r="H6472" s="31"/>
    </row>
    <row r="6473" spans="2:8" hidden="1">
      <c r="B6473" s="200"/>
      <c r="C6473" s="31"/>
      <c r="D6473" s="75"/>
      <c r="E6473" s="771"/>
      <c r="F6473" s="31"/>
      <c r="G6473" s="31"/>
      <c r="H6473" s="31"/>
    </row>
    <row r="6474" spans="2:8" hidden="1">
      <c r="B6474" s="200"/>
      <c r="C6474" s="31"/>
      <c r="D6474" s="75"/>
      <c r="E6474" s="771"/>
      <c r="F6474" s="31"/>
      <c r="G6474" s="31"/>
      <c r="H6474" s="31"/>
    </row>
    <row r="6475" spans="2:8" hidden="1">
      <c r="B6475" s="200"/>
      <c r="C6475" s="31"/>
      <c r="D6475" s="75"/>
      <c r="E6475" s="771"/>
      <c r="F6475" s="31"/>
      <c r="G6475" s="31"/>
      <c r="H6475" s="31"/>
    </row>
    <row r="6476" spans="2:8" hidden="1">
      <c r="B6476" s="200"/>
      <c r="C6476" s="31"/>
      <c r="D6476" s="75"/>
      <c r="E6476" s="771"/>
      <c r="F6476" s="31"/>
      <c r="G6476" s="31"/>
      <c r="H6476" s="31"/>
    </row>
    <row r="6477" spans="2:8" hidden="1">
      <c r="B6477" s="200"/>
      <c r="C6477" s="31"/>
      <c r="D6477" s="75"/>
      <c r="E6477" s="771"/>
      <c r="F6477" s="31"/>
      <c r="G6477" s="31"/>
      <c r="H6477" s="31"/>
    </row>
    <row r="6478" spans="2:8" hidden="1">
      <c r="B6478" s="200"/>
      <c r="C6478" s="31"/>
      <c r="D6478" s="75"/>
      <c r="E6478" s="771"/>
      <c r="F6478" s="31"/>
      <c r="G6478" s="31"/>
      <c r="H6478" s="31"/>
    </row>
    <row r="6479" spans="2:8" hidden="1">
      <c r="B6479" s="200"/>
      <c r="C6479" s="31"/>
      <c r="D6479" s="75"/>
      <c r="E6479" s="771"/>
      <c r="F6479" s="31"/>
      <c r="G6479" s="31"/>
      <c r="H6479" s="31"/>
    </row>
    <row r="6480" spans="2:8" hidden="1">
      <c r="B6480" s="200"/>
      <c r="C6480" s="31"/>
      <c r="D6480" s="75"/>
      <c r="E6480" s="771"/>
      <c r="F6480" s="31"/>
      <c r="G6480" s="31"/>
      <c r="H6480" s="31"/>
    </row>
    <row r="6481" spans="2:8" hidden="1">
      <c r="B6481" s="200"/>
      <c r="C6481" s="31"/>
      <c r="D6481" s="75"/>
      <c r="E6481" s="771"/>
      <c r="F6481" s="31"/>
      <c r="G6481" s="31"/>
      <c r="H6481" s="31"/>
    </row>
    <row r="6482" spans="2:8" hidden="1">
      <c r="B6482" s="200"/>
      <c r="C6482" s="31"/>
      <c r="D6482" s="75"/>
      <c r="E6482" s="771"/>
      <c r="F6482" s="31"/>
      <c r="G6482" s="31"/>
      <c r="H6482" s="31"/>
    </row>
    <row r="6483" spans="2:8" hidden="1">
      <c r="B6483" s="200"/>
      <c r="C6483" s="31"/>
      <c r="D6483" s="75"/>
      <c r="E6483" s="771"/>
      <c r="F6483" s="31"/>
      <c r="G6483" s="31"/>
      <c r="H6483" s="31"/>
    </row>
    <row r="6484" spans="2:8" hidden="1">
      <c r="B6484" s="200"/>
      <c r="C6484" s="31"/>
      <c r="D6484" s="75"/>
      <c r="E6484" s="771"/>
      <c r="F6484" s="31"/>
      <c r="G6484" s="31"/>
      <c r="H6484" s="31"/>
    </row>
    <row r="6485" spans="2:8" hidden="1">
      <c r="B6485" s="200"/>
      <c r="C6485" s="31"/>
      <c r="D6485" s="75"/>
      <c r="E6485" s="771"/>
      <c r="F6485" s="31"/>
      <c r="G6485" s="31"/>
      <c r="H6485" s="31"/>
    </row>
    <row r="6486" spans="2:8" hidden="1">
      <c r="B6486" s="200"/>
      <c r="C6486" s="31"/>
      <c r="D6486" s="75"/>
      <c r="E6486" s="771"/>
      <c r="F6486" s="31"/>
      <c r="G6486" s="31"/>
      <c r="H6486" s="31"/>
    </row>
    <row r="6487" spans="2:8" hidden="1">
      <c r="B6487" s="200"/>
      <c r="C6487" s="31"/>
      <c r="D6487" s="75"/>
      <c r="E6487" s="771"/>
      <c r="F6487" s="31"/>
      <c r="G6487" s="31"/>
      <c r="H6487" s="31"/>
    </row>
    <row r="6488" spans="2:8" hidden="1">
      <c r="B6488" s="200"/>
      <c r="C6488" s="31"/>
      <c r="D6488" s="75"/>
      <c r="E6488" s="771"/>
      <c r="F6488" s="31"/>
      <c r="G6488" s="31"/>
      <c r="H6488" s="31"/>
    </row>
    <row r="6489" spans="2:8" hidden="1">
      <c r="B6489" s="200"/>
      <c r="C6489" s="31"/>
      <c r="D6489" s="75"/>
      <c r="E6489" s="771"/>
      <c r="F6489" s="31"/>
      <c r="G6489" s="31"/>
      <c r="H6489" s="31"/>
    </row>
    <row r="6490" spans="2:8" hidden="1">
      <c r="B6490" s="200"/>
      <c r="C6490" s="31"/>
      <c r="D6490" s="75"/>
      <c r="E6490" s="771"/>
      <c r="F6490" s="31"/>
      <c r="G6490" s="31"/>
      <c r="H6490" s="31"/>
    </row>
    <row r="6491" spans="2:8" hidden="1">
      <c r="B6491" s="200"/>
      <c r="C6491" s="31"/>
      <c r="D6491" s="75"/>
      <c r="E6491" s="771"/>
      <c r="F6491" s="771"/>
      <c r="G6491" s="31"/>
      <c r="H6491" s="31"/>
    </row>
    <row r="6492" spans="2:8" hidden="1">
      <c r="B6492" s="200"/>
      <c r="C6492" s="31"/>
      <c r="D6492" s="75"/>
      <c r="E6492" s="771"/>
      <c r="F6492" s="771"/>
      <c r="G6492" s="31"/>
      <c r="H6492" s="31"/>
    </row>
    <row r="6493" spans="2:8" hidden="1">
      <c r="B6493" s="200"/>
      <c r="C6493" s="31"/>
      <c r="D6493" s="75"/>
      <c r="E6493" s="771"/>
      <c r="F6493" s="771"/>
      <c r="G6493" s="31"/>
      <c r="H6493" s="31"/>
    </row>
    <row r="6494" spans="2:8" hidden="1">
      <c r="B6494" s="200"/>
      <c r="C6494" s="31"/>
      <c r="D6494" s="75"/>
      <c r="E6494" s="771"/>
      <c r="F6494" s="771"/>
      <c r="G6494" s="31"/>
      <c r="H6494" s="31"/>
    </row>
    <row r="6495" spans="2:8" hidden="1">
      <c r="B6495" s="200"/>
      <c r="C6495" s="31"/>
      <c r="D6495" s="75"/>
      <c r="E6495" s="771"/>
      <c r="F6495" s="771"/>
      <c r="G6495" s="31"/>
      <c r="H6495" s="31"/>
    </row>
    <row r="6496" spans="2:8" hidden="1">
      <c r="B6496" s="200"/>
      <c r="C6496" s="31"/>
      <c r="D6496" s="75"/>
      <c r="E6496" s="772"/>
      <c r="F6496" s="772"/>
      <c r="G6496" s="33"/>
      <c r="H6496" s="31"/>
    </row>
    <row r="6497" spans="2:8" hidden="1">
      <c r="B6497" s="33"/>
      <c r="C6497" s="31"/>
      <c r="D6497" s="31"/>
      <c r="E6497" s="31"/>
      <c r="F6497" s="771"/>
      <c r="G6497" s="31"/>
      <c r="H6497" s="31"/>
    </row>
    <row r="6498" spans="2:8" hidden="1">
      <c r="B6498" s="200"/>
      <c r="C6498" s="31"/>
      <c r="D6498" s="75"/>
      <c r="E6498" s="772"/>
      <c r="F6498" s="772"/>
      <c r="G6498" s="33"/>
      <c r="H6498" s="31"/>
    </row>
    <row r="6499" spans="2:8" hidden="1">
      <c r="B6499" s="200"/>
      <c r="C6499" s="31"/>
      <c r="D6499" s="75"/>
      <c r="E6499" s="771"/>
      <c r="F6499" s="771"/>
      <c r="G6499" s="31"/>
      <c r="H6499" s="31"/>
    </row>
    <row r="6500" spans="2:8" hidden="1">
      <c r="B6500" s="200"/>
      <c r="C6500" s="31"/>
      <c r="D6500" s="75"/>
      <c r="E6500" s="771"/>
      <c r="F6500" s="772"/>
      <c r="G6500" s="33"/>
      <c r="H6500" s="31"/>
    </row>
    <row r="6501" spans="2:8" hidden="1">
      <c r="B6501" s="200"/>
      <c r="C6501" s="31"/>
      <c r="D6501" s="75"/>
      <c r="E6501" s="771"/>
      <c r="F6501" s="771"/>
      <c r="G6501" s="31"/>
      <c r="H6501" s="31"/>
    </row>
    <row r="6502" spans="2:8" hidden="1">
      <c r="B6502" s="200"/>
      <c r="C6502" s="31"/>
      <c r="D6502" s="75"/>
      <c r="E6502" s="771"/>
      <c r="F6502" s="771"/>
      <c r="G6502" s="31"/>
      <c r="H6502" s="31"/>
    </row>
    <row r="6503" spans="2:8" hidden="1">
      <c r="B6503" s="200"/>
      <c r="C6503" s="31"/>
      <c r="D6503" s="75"/>
      <c r="E6503" s="772"/>
      <c r="F6503" s="772"/>
      <c r="G6503" s="33"/>
      <c r="H6503" s="31"/>
    </row>
    <row r="6504" spans="2:8" hidden="1">
      <c r="B6504" s="33"/>
      <c r="C6504" s="31"/>
      <c r="D6504" s="31"/>
      <c r="E6504" s="31"/>
      <c r="F6504" s="31"/>
      <c r="G6504" s="31"/>
      <c r="H6504" s="31"/>
    </row>
    <row r="6505" spans="2:8" hidden="1">
      <c r="B6505" s="200"/>
      <c r="C6505" s="31"/>
      <c r="D6505" s="75"/>
      <c r="E6505" s="31"/>
      <c r="F6505" s="31"/>
      <c r="G6505" s="31"/>
      <c r="H6505" s="31"/>
    </row>
    <row r="6506" spans="2:8" hidden="1">
      <c r="B6506" s="200"/>
      <c r="C6506" s="31"/>
      <c r="D6506" s="75"/>
      <c r="E6506" s="33"/>
      <c r="F6506" s="33"/>
      <c r="G6506" s="33"/>
      <c r="H6506" s="31"/>
    </row>
    <row r="6507" spans="2:8" hidden="1">
      <c r="B6507" s="200"/>
      <c r="C6507" s="31"/>
      <c r="D6507" s="75"/>
      <c r="E6507" s="31"/>
      <c r="F6507" s="31"/>
      <c r="G6507" s="31"/>
      <c r="H6507" s="31"/>
    </row>
    <row r="6508" spans="2:8" hidden="1">
      <c r="B6508" s="33"/>
      <c r="C6508" s="31"/>
      <c r="D6508" s="31"/>
      <c r="E6508" s="31"/>
      <c r="F6508" s="31"/>
      <c r="G6508" s="31"/>
      <c r="H6508" s="31"/>
    </row>
    <row r="6509" spans="2:8" hidden="1">
      <c r="B6509" s="200"/>
      <c r="C6509" s="31"/>
      <c r="D6509" s="75"/>
      <c r="E6509" s="33"/>
      <c r="F6509" s="33"/>
      <c r="G6509" s="33"/>
      <c r="H6509" s="31"/>
    </row>
    <row r="6510" spans="2:8" hidden="1">
      <c r="B6510" s="200"/>
      <c r="C6510" s="31"/>
      <c r="D6510" s="75"/>
      <c r="E6510" s="33"/>
      <c r="F6510" s="33"/>
      <c r="G6510" s="33"/>
      <c r="H6510" s="31"/>
    </row>
    <row r="6511" spans="2:8" hidden="1">
      <c r="B6511" s="200"/>
      <c r="C6511" s="31"/>
      <c r="D6511" s="75"/>
      <c r="E6511" s="33"/>
      <c r="F6511" s="33"/>
      <c r="G6511" s="33"/>
      <c r="H6511" s="31"/>
    </row>
    <row r="6512" spans="2:8" hidden="1">
      <c r="B6512" s="200"/>
      <c r="C6512" s="31"/>
      <c r="D6512" s="75"/>
      <c r="E6512" s="33"/>
      <c r="F6512" s="33"/>
      <c r="G6512" s="33"/>
      <c r="H6512" s="31"/>
    </row>
    <row r="6513" spans="2:8" hidden="1">
      <c r="B6513" s="200"/>
      <c r="C6513" s="31"/>
      <c r="D6513" s="75"/>
      <c r="E6513" s="33"/>
      <c r="F6513" s="33"/>
      <c r="G6513" s="33"/>
      <c r="H6513" s="31"/>
    </row>
    <row r="6514" spans="2:8" hidden="1">
      <c r="B6514" s="200"/>
      <c r="C6514" s="31"/>
      <c r="D6514" s="75"/>
      <c r="E6514" s="33"/>
      <c r="F6514" s="33"/>
      <c r="G6514" s="33"/>
      <c r="H6514" s="31"/>
    </row>
    <row r="6515" spans="2:8" hidden="1">
      <c r="B6515" s="200"/>
      <c r="C6515" s="31"/>
      <c r="D6515" s="75"/>
      <c r="E6515" s="33"/>
      <c r="F6515" s="33"/>
      <c r="G6515" s="33"/>
      <c r="H6515" s="31"/>
    </row>
    <row r="6516" spans="2:8" hidden="1">
      <c r="B6516" s="200"/>
      <c r="C6516" s="31"/>
      <c r="D6516" s="75"/>
      <c r="E6516" s="33"/>
      <c r="F6516" s="33"/>
      <c r="G6516" s="33"/>
      <c r="H6516" s="31"/>
    </row>
    <row r="6517" spans="2:8" hidden="1">
      <c r="B6517" s="200"/>
      <c r="C6517" s="31"/>
      <c r="D6517" s="75"/>
      <c r="E6517" s="33"/>
      <c r="F6517" s="33"/>
      <c r="G6517" s="33"/>
      <c r="H6517" s="31"/>
    </row>
    <row r="6518" spans="2:8" hidden="1">
      <c r="B6518" s="200"/>
      <c r="C6518" s="31"/>
      <c r="D6518" s="75"/>
      <c r="E6518" s="33"/>
      <c r="F6518" s="33"/>
      <c r="G6518" s="33"/>
      <c r="H6518" s="31"/>
    </row>
    <row r="6519" spans="2:8" hidden="1">
      <c r="B6519" s="200"/>
      <c r="C6519" s="31"/>
      <c r="D6519" s="75"/>
      <c r="E6519" s="33"/>
      <c r="F6519" s="33"/>
      <c r="G6519" s="33"/>
      <c r="H6519" s="31"/>
    </row>
    <row r="6520" spans="2:8" hidden="1">
      <c r="B6520" s="200"/>
      <c r="C6520" s="31"/>
      <c r="D6520" s="75"/>
      <c r="E6520" s="31"/>
      <c r="F6520" s="31"/>
      <c r="G6520" s="31"/>
      <c r="H6520" s="31"/>
    </row>
    <row r="6521" spans="2:8" hidden="1">
      <c r="B6521" s="33"/>
      <c r="C6521" s="31"/>
      <c r="D6521" s="31"/>
      <c r="E6521" s="31"/>
      <c r="F6521" s="31"/>
      <c r="G6521" s="31"/>
      <c r="H6521" s="31"/>
    </row>
    <row r="6522" spans="2:8" hidden="1">
      <c r="B6522" s="200"/>
      <c r="C6522" s="31"/>
      <c r="D6522" s="75"/>
      <c r="E6522" s="771"/>
      <c r="F6522" s="771"/>
      <c r="G6522" s="31"/>
      <c r="H6522" s="31"/>
    </row>
    <row r="6523" spans="2:8" hidden="1">
      <c r="B6523" s="200"/>
      <c r="C6523" s="31"/>
      <c r="D6523" s="75"/>
      <c r="E6523" s="771"/>
      <c r="F6523" s="771"/>
      <c r="G6523" s="31"/>
      <c r="H6523" s="31"/>
    </row>
    <row r="6524" spans="2:8" hidden="1">
      <c r="B6524" s="200"/>
      <c r="C6524" s="31"/>
      <c r="D6524" s="75"/>
      <c r="E6524" s="771"/>
      <c r="F6524" s="771"/>
      <c r="G6524" s="31"/>
      <c r="H6524" s="31"/>
    </row>
    <row r="6525" spans="2:8" hidden="1">
      <c r="B6525" s="200"/>
      <c r="C6525" s="31"/>
      <c r="D6525" s="75"/>
      <c r="E6525" s="772"/>
      <c r="F6525" s="772"/>
      <c r="G6525" s="33"/>
      <c r="H6525" s="31"/>
    </row>
    <row r="6526" spans="2:8" hidden="1">
      <c r="B6526" s="33"/>
      <c r="C6526" s="31"/>
      <c r="D6526" s="31"/>
      <c r="E6526" s="31"/>
      <c r="F6526" s="31"/>
      <c r="G6526" s="31"/>
      <c r="H6526" s="31"/>
    </row>
    <row r="6527" spans="2:8" hidden="1">
      <c r="B6527" s="200"/>
      <c r="C6527" s="31"/>
      <c r="D6527" s="75"/>
      <c r="E6527" s="771"/>
      <c r="F6527" s="771"/>
      <c r="G6527" s="31"/>
      <c r="H6527" s="31"/>
    </row>
    <row r="6528" spans="2:8" hidden="1">
      <c r="B6528" s="200"/>
      <c r="C6528" s="31"/>
      <c r="D6528" s="75"/>
      <c r="E6528" s="33"/>
      <c r="F6528" s="33"/>
      <c r="G6528" s="33"/>
      <c r="H6528" s="31"/>
    </row>
    <row r="6529" spans="2:8" hidden="1">
      <c r="B6529" s="200"/>
      <c r="C6529" s="31"/>
      <c r="D6529" s="75"/>
      <c r="E6529" s="33"/>
      <c r="F6529" s="33"/>
      <c r="G6529" s="33"/>
      <c r="H6529" s="31"/>
    </row>
    <row r="6530" spans="2:8" hidden="1">
      <c r="B6530" s="200"/>
      <c r="C6530" s="31"/>
      <c r="D6530" s="75"/>
      <c r="E6530" s="33"/>
      <c r="F6530" s="33"/>
      <c r="G6530" s="33"/>
      <c r="H6530" s="31"/>
    </row>
    <row r="6531" spans="2:8" hidden="1">
      <c r="B6531" s="200"/>
      <c r="C6531" s="31"/>
      <c r="D6531" s="75"/>
      <c r="E6531" s="33"/>
      <c r="F6531" s="33"/>
      <c r="G6531" s="33"/>
      <c r="H6531" s="31"/>
    </row>
    <row r="6532" spans="2:8" hidden="1">
      <c r="B6532" s="200"/>
      <c r="C6532" s="31"/>
      <c r="D6532" s="75"/>
      <c r="E6532" s="33"/>
      <c r="F6532" s="33"/>
      <c r="G6532" s="33"/>
      <c r="H6532" s="31"/>
    </row>
    <row r="6533" spans="2:8" hidden="1">
      <c r="B6533" s="200"/>
      <c r="C6533" s="31"/>
      <c r="D6533" s="75"/>
      <c r="E6533" s="33"/>
      <c r="F6533" s="33"/>
      <c r="G6533" s="33"/>
      <c r="H6533" s="31"/>
    </row>
    <row r="6534" spans="2:8" hidden="1">
      <c r="B6534" s="33"/>
      <c r="C6534" s="200"/>
      <c r="D6534" s="75"/>
      <c r="E6534" s="31"/>
      <c r="F6534" s="31"/>
      <c r="G6534" s="31"/>
      <c r="H6534" s="31"/>
    </row>
    <row r="6535" spans="2:8" hidden="1">
      <c r="B6535" s="33"/>
      <c r="C6535" s="31"/>
      <c r="D6535" s="31"/>
      <c r="E6535" s="33"/>
      <c r="F6535" s="33"/>
      <c r="G6535" s="33"/>
      <c r="H6535" s="31"/>
    </row>
    <row r="6536" spans="2:8" hidden="1">
      <c r="B6536" s="33"/>
      <c r="C6536" s="31"/>
      <c r="D6536" s="31"/>
      <c r="E6536" s="33"/>
      <c r="F6536" s="33"/>
      <c r="G6536" s="33"/>
      <c r="H6536" s="31"/>
    </row>
    <row r="6537" spans="2:8" hidden="1">
      <c r="B6537" s="405"/>
      <c r="C6537" s="31"/>
      <c r="D6537" s="31"/>
      <c r="E6537" s="31"/>
      <c r="F6537" s="31"/>
      <c r="G6537" s="31"/>
      <c r="H6537" s="31"/>
    </row>
    <row r="6538" spans="2:8" hidden="1">
      <c r="B6538" s="405"/>
      <c r="C6538" s="31"/>
      <c r="D6538" s="31"/>
      <c r="E6538" s="31"/>
      <c r="F6538" s="691"/>
      <c r="G6538" s="75"/>
      <c r="H6538" s="31"/>
    </row>
    <row r="6539" spans="2:8" hidden="1">
      <c r="B6539" s="405"/>
      <c r="C6539" s="31"/>
      <c r="D6539" s="31"/>
      <c r="E6539" s="31"/>
      <c r="F6539" s="691"/>
      <c r="G6539" s="75"/>
      <c r="H6539" s="31"/>
    </row>
    <row r="6540" spans="2:8" hidden="1">
      <c r="B6540" s="405"/>
      <c r="C6540" s="31"/>
      <c r="D6540" s="31"/>
      <c r="E6540" s="31"/>
      <c r="F6540" s="691"/>
      <c r="G6540" s="75"/>
      <c r="H6540" s="31"/>
    </row>
    <row r="6541" spans="2:8" hidden="1">
      <c r="B6541" s="405"/>
      <c r="C6541" s="31"/>
      <c r="D6541" s="31"/>
      <c r="E6541" s="31"/>
      <c r="F6541" s="691"/>
      <c r="G6541" s="75"/>
      <c r="H6541" s="31"/>
    </row>
    <row r="6542" spans="2:8" hidden="1">
      <c r="B6542" s="405"/>
      <c r="C6542" s="31"/>
      <c r="D6542" s="31"/>
      <c r="E6542" s="31"/>
      <c r="F6542" s="691"/>
      <c r="G6542" s="75"/>
      <c r="H6542" s="31"/>
    </row>
    <row r="6543" spans="2:8" hidden="1">
      <c r="B6543" s="405"/>
      <c r="C6543" s="31"/>
      <c r="D6543" s="31"/>
      <c r="E6543" s="31"/>
      <c r="F6543" s="691"/>
      <c r="G6543" s="75"/>
      <c r="H6543" s="31"/>
    </row>
    <row r="6544" spans="2:8" hidden="1">
      <c r="B6544" s="405"/>
      <c r="C6544" s="31"/>
      <c r="D6544" s="31"/>
      <c r="E6544" s="31"/>
      <c r="F6544" s="691"/>
      <c r="G6544" s="75"/>
      <c r="H6544" s="31"/>
    </row>
    <row r="6545" spans="2:8" hidden="1">
      <c r="B6545" s="405"/>
      <c r="C6545" s="31"/>
      <c r="D6545" s="31"/>
      <c r="E6545" s="31"/>
      <c r="F6545" s="691"/>
      <c r="G6545" s="75"/>
      <c r="H6545" s="31"/>
    </row>
    <row r="6546" spans="2:8" hidden="1">
      <c r="B6546" s="405"/>
      <c r="C6546" s="31"/>
      <c r="D6546" s="31"/>
      <c r="E6546" s="31"/>
      <c r="F6546" s="691"/>
      <c r="G6546" s="75"/>
      <c r="H6546" s="31"/>
    </row>
    <row r="6547" spans="2:8" hidden="1">
      <c r="B6547" s="405"/>
      <c r="C6547" s="31"/>
      <c r="D6547" s="31"/>
      <c r="E6547" s="31"/>
      <c r="F6547" s="691"/>
      <c r="G6547" s="75"/>
      <c r="H6547" s="31"/>
    </row>
    <row r="6548" spans="2:8" hidden="1">
      <c r="B6548" s="405"/>
      <c r="C6548" s="31"/>
      <c r="D6548" s="31"/>
      <c r="E6548" s="31"/>
      <c r="F6548" s="691"/>
      <c r="G6548" s="75"/>
      <c r="H6548" s="31"/>
    </row>
    <row r="6549" spans="2:8" hidden="1">
      <c r="B6549" s="405"/>
      <c r="C6549" s="31"/>
      <c r="D6549" s="31"/>
      <c r="E6549" s="31"/>
      <c r="F6549" s="691"/>
      <c r="G6549" s="75"/>
      <c r="H6549" s="31"/>
    </row>
    <row r="6550" spans="2:8" hidden="1">
      <c r="B6550" s="405"/>
      <c r="C6550" s="31"/>
      <c r="D6550" s="31"/>
      <c r="E6550" s="31"/>
      <c r="F6550" s="691"/>
      <c r="G6550" s="75"/>
      <c r="H6550" s="31"/>
    </row>
    <row r="6551" spans="2:8" hidden="1">
      <c r="B6551" s="405"/>
      <c r="C6551" s="31"/>
      <c r="D6551" s="31"/>
      <c r="E6551" s="31"/>
      <c r="F6551" s="691"/>
      <c r="G6551" s="75"/>
      <c r="H6551" s="31"/>
    </row>
    <row r="6552" spans="2:8" hidden="1">
      <c r="B6552" s="405"/>
      <c r="C6552" s="31"/>
      <c r="D6552" s="31"/>
      <c r="E6552" s="31"/>
      <c r="F6552" s="691"/>
      <c r="G6552" s="31"/>
      <c r="H6552" s="31"/>
    </row>
    <row r="6553" spans="2:8" hidden="1">
      <c r="B6553" s="405"/>
      <c r="C6553" s="31"/>
      <c r="D6553" s="31"/>
      <c r="E6553" s="31"/>
      <c r="F6553" s="691"/>
      <c r="G6553" s="31"/>
      <c r="H6553" s="31"/>
    </row>
    <row r="6554" spans="2:8" hidden="1">
      <c r="B6554" s="405"/>
      <c r="C6554" s="31"/>
      <c r="D6554" s="31"/>
      <c r="E6554" s="31"/>
      <c r="F6554" s="691"/>
      <c r="G6554" s="31"/>
      <c r="H6554" s="31"/>
    </row>
    <row r="6555" spans="2:8" hidden="1">
      <c r="B6555" s="405"/>
      <c r="C6555" s="31"/>
      <c r="D6555" s="31"/>
      <c r="E6555" s="31"/>
      <c r="F6555" s="691"/>
      <c r="G6555" s="31"/>
      <c r="H6555" s="31"/>
    </row>
    <row r="6556" spans="2:8" hidden="1">
      <c r="B6556" s="405"/>
      <c r="C6556" s="31"/>
      <c r="D6556" s="31"/>
      <c r="E6556" s="31"/>
      <c r="F6556" s="691"/>
      <c r="G6556" s="31"/>
      <c r="H6556" s="31"/>
    </row>
    <row r="6557" spans="2:8" hidden="1">
      <c r="B6557" s="405"/>
      <c r="C6557" s="31"/>
      <c r="D6557" s="31"/>
      <c r="E6557" s="31"/>
      <c r="F6557" s="691"/>
      <c r="G6557" s="31"/>
      <c r="H6557" s="31"/>
    </row>
    <row r="6558" spans="2:8" hidden="1">
      <c r="B6558" s="405"/>
      <c r="C6558" s="31"/>
      <c r="D6558" s="31"/>
      <c r="E6558" s="31"/>
      <c r="F6558" s="691"/>
      <c r="G6558" s="31"/>
      <c r="H6558" s="31"/>
    </row>
    <row r="6559" spans="2:8" hidden="1">
      <c r="B6559" s="405"/>
      <c r="C6559" s="31"/>
      <c r="D6559" s="31"/>
      <c r="E6559" s="31"/>
      <c r="F6559" s="691"/>
      <c r="G6559" s="31"/>
      <c r="H6559" s="31"/>
    </row>
    <row r="6560" spans="2:8" hidden="1">
      <c r="B6560" s="405"/>
      <c r="C6560" s="31"/>
      <c r="D6560" s="31"/>
      <c r="E6560" s="31"/>
      <c r="F6560" s="691"/>
      <c r="G6560" s="31"/>
      <c r="H6560" s="31"/>
    </row>
    <row r="6561" spans="2:8" hidden="1">
      <c r="B6561" s="405"/>
      <c r="C6561" s="31"/>
      <c r="D6561" s="31"/>
      <c r="E6561" s="31"/>
      <c r="F6561" s="691"/>
      <c r="G6561" s="31"/>
      <c r="H6561" s="31"/>
    </row>
    <row r="6562" spans="2:8" hidden="1">
      <c r="B6562" s="33"/>
      <c r="C6562" s="31"/>
      <c r="D6562" s="31"/>
      <c r="E6562" s="31"/>
      <c r="F6562" s="691"/>
      <c r="G6562" s="75"/>
      <c r="H6562" s="31"/>
    </row>
    <row r="6563" spans="2:8" hidden="1">
      <c r="B6563" s="33"/>
      <c r="C6563" s="31"/>
      <c r="D6563" s="31"/>
      <c r="E6563" s="31"/>
      <c r="F6563" s="691"/>
      <c r="G6563" s="75"/>
      <c r="H6563" s="31"/>
    </row>
    <row r="6564" spans="2:8" hidden="1">
      <c r="B6564" s="33"/>
      <c r="C6564" s="31"/>
      <c r="D6564" s="31"/>
      <c r="E6564" s="31"/>
      <c r="F6564" s="691"/>
      <c r="G6564" s="31"/>
      <c r="H6564" s="31"/>
    </row>
    <row r="6565" spans="2:8" hidden="1">
      <c r="B6565" s="33"/>
      <c r="C6565" s="31"/>
      <c r="D6565" s="31"/>
      <c r="E6565" s="31"/>
      <c r="F6565" s="31"/>
      <c r="G6565" s="31"/>
      <c r="H6565" s="31"/>
    </row>
    <row r="6566" spans="2:8" hidden="1">
      <c r="B6566" s="33"/>
      <c r="C6566" s="31"/>
      <c r="D6566" s="31"/>
      <c r="E6566" s="31"/>
      <c r="F6566" s="31"/>
      <c r="G6566" s="31"/>
      <c r="H6566" s="31"/>
    </row>
    <row r="6567" spans="2:8" hidden="1">
      <c r="B6567" s="33"/>
      <c r="C6567" s="31"/>
      <c r="D6567" s="31"/>
      <c r="E6567" s="31"/>
      <c r="F6567" s="31"/>
      <c r="G6567" s="31"/>
      <c r="H6567" s="31"/>
    </row>
    <row r="6568" spans="2:8" hidden="1">
      <c r="B6568" s="33"/>
      <c r="C6568" s="31"/>
      <c r="D6568" s="31"/>
      <c r="E6568" s="31"/>
      <c r="F6568" s="31"/>
      <c r="G6568" s="31"/>
      <c r="H6568" s="31"/>
    </row>
    <row r="6569" spans="2:8" hidden="1">
      <c r="B6569" s="33"/>
      <c r="C6569" s="31"/>
      <c r="D6569" s="31"/>
      <c r="E6569" s="31"/>
      <c r="F6569" s="31"/>
      <c r="G6569" s="31"/>
      <c r="H6569" s="31"/>
    </row>
    <row r="6570" spans="2:8" hidden="1">
      <c r="B6570" s="33"/>
      <c r="C6570" s="31"/>
      <c r="D6570" s="31"/>
      <c r="E6570" s="31"/>
      <c r="F6570" s="31"/>
      <c r="G6570" s="31"/>
      <c r="H6570" s="31"/>
    </row>
    <row r="6571" spans="2:8" hidden="1">
      <c r="B6571" s="33"/>
      <c r="C6571" s="31"/>
      <c r="D6571" s="31"/>
      <c r="E6571" s="31"/>
      <c r="F6571" s="31"/>
      <c r="G6571" s="31"/>
      <c r="H6571" s="31"/>
    </row>
    <row r="6572" spans="2:8" hidden="1">
      <c r="B6572" s="33"/>
      <c r="C6572" s="31"/>
      <c r="D6572" s="31"/>
      <c r="E6572" s="31"/>
      <c r="F6572" s="31"/>
      <c r="G6572" s="31"/>
      <c r="H6572" s="31"/>
    </row>
    <row r="6573" spans="2:8" hidden="1">
      <c r="B6573" s="33"/>
      <c r="C6573" s="31"/>
      <c r="D6573" s="33"/>
      <c r="E6573" s="33"/>
      <c r="F6573" s="33"/>
      <c r="G6573" s="33"/>
      <c r="H6573" s="31"/>
    </row>
    <row r="6574" spans="2:8" hidden="1">
      <c r="B6574" s="33"/>
      <c r="C6574" s="31"/>
      <c r="D6574" s="33"/>
      <c r="E6574" s="33"/>
      <c r="F6574" s="33"/>
      <c r="G6574" s="33"/>
      <c r="H6574" s="31"/>
    </row>
    <row r="6575" spans="2:8" hidden="1">
      <c r="B6575" s="200"/>
      <c r="C6575" s="31"/>
      <c r="D6575" s="75"/>
      <c r="E6575" s="771"/>
      <c r="F6575" s="771"/>
      <c r="G6575" s="31"/>
      <c r="H6575" s="31"/>
    </row>
    <row r="6576" spans="2:8" hidden="1">
      <c r="B6576" s="200"/>
      <c r="C6576" s="31"/>
      <c r="D6576" s="75"/>
      <c r="E6576" s="771"/>
      <c r="F6576" s="771"/>
      <c r="G6576" s="31"/>
      <c r="H6576" s="31"/>
    </row>
    <row r="6577" spans="2:8" hidden="1">
      <c r="B6577" s="200"/>
      <c r="C6577" s="31"/>
      <c r="D6577" s="75"/>
      <c r="E6577" s="771"/>
      <c r="F6577" s="771"/>
      <c r="G6577" s="31"/>
      <c r="H6577" s="31"/>
    </row>
    <row r="6578" spans="2:8" hidden="1">
      <c r="B6578" s="200"/>
      <c r="C6578" s="31"/>
      <c r="D6578" s="75"/>
      <c r="E6578" s="771"/>
      <c r="F6578" s="771"/>
      <c r="G6578" s="31"/>
      <c r="H6578" s="31"/>
    </row>
    <row r="6579" spans="2:8" hidden="1">
      <c r="B6579" s="200"/>
      <c r="C6579" s="31"/>
      <c r="D6579" s="75"/>
      <c r="E6579" s="771"/>
      <c r="F6579" s="771"/>
      <c r="G6579" s="31"/>
      <c r="H6579" s="31"/>
    </row>
    <row r="6580" spans="2:8" hidden="1">
      <c r="B6580" s="200"/>
      <c r="C6580" s="31"/>
      <c r="D6580" s="75"/>
      <c r="E6580" s="771"/>
      <c r="F6580" s="771"/>
      <c r="G6580" s="31"/>
      <c r="H6580" s="31"/>
    </row>
    <row r="6581" spans="2:8" hidden="1">
      <c r="B6581" s="200"/>
      <c r="C6581" s="31"/>
      <c r="D6581" s="75"/>
      <c r="E6581" s="772"/>
      <c r="F6581" s="772"/>
      <c r="G6581" s="33"/>
      <c r="H6581" s="31"/>
    </row>
    <row r="6582" spans="2:8" hidden="1">
      <c r="B6582" s="200"/>
      <c r="C6582" s="31"/>
      <c r="D6582" s="75"/>
      <c r="E6582" s="771"/>
      <c r="F6582" s="771"/>
      <c r="G6582" s="31"/>
      <c r="H6582" s="31"/>
    </row>
    <row r="6583" spans="2:8" hidden="1">
      <c r="B6583" s="200"/>
      <c r="C6583" s="31"/>
      <c r="D6583" s="75"/>
      <c r="E6583" s="771"/>
      <c r="F6583" s="771"/>
      <c r="G6583" s="31"/>
      <c r="H6583" s="31"/>
    </row>
    <row r="6584" spans="2:8" hidden="1">
      <c r="B6584" s="200"/>
      <c r="C6584" s="31"/>
      <c r="D6584" s="75"/>
      <c r="E6584" s="772"/>
      <c r="F6584" s="772"/>
      <c r="G6584" s="33"/>
      <c r="H6584" s="31"/>
    </row>
    <row r="6585" spans="2:8" hidden="1">
      <c r="B6585" s="33"/>
      <c r="C6585" s="200"/>
      <c r="D6585" s="75"/>
      <c r="E6585" s="771"/>
      <c r="F6585" s="771"/>
      <c r="G6585" s="31"/>
      <c r="H6585" s="31"/>
    </row>
    <row r="6586" spans="2:8" hidden="1">
      <c r="B6586" s="33"/>
      <c r="C6586" s="31"/>
      <c r="D6586" s="104"/>
      <c r="E6586" s="772"/>
      <c r="F6586" s="772"/>
      <c r="G6586" s="33"/>
      <c r="H6586" s="31"/>
    </row>
    <row r="6587" spans="2:8" hidden="1">
      <c r="B6587" s="33"/>
      <c r="C6587" s="31"/>
      <c r="D6587" s="31"/>
      <c r="E6587" s="31"/>
      <c r="F6587" s="31"/>
      <c r="G6587" s="31"/>
      <c r="H6587" s="31"/>
    </row>
    <row r="6588" spans="2:8" hidden="1">
      <c r="B6588" s="33"/>
      <c r="C6588" s="31"/>
      <c r="D6588" s="31"/>
      <c r="E6588" s="31"/>
      <c r="F6588" s="31"/>
      <c r="G6588" s="31"/>
      <c r="H6588" s="31"/>
    </row>
    <row r="6589" spans="2:8" hidden="1">
      <c r="B6589" s="33"/>
      <c r="C6589" s="31"/>
      <c r="D6589" s="31"/>
      <c r="E6589" s="31"/>
      <c r="F6589" s="691"/>
      <c r="G6589" s="75"/>
      <c r="H6589" s="31"/>
    </row>
    <row r="6590" spans="2:8" hidden="1">
      <c r="B6590" s="33"/>
      <c r="C6590" s="31"/>
      <c r="D6590" s="31"/>
      <c r="E6590" s="31"/>
      <c r="F6590" s="691"/>
      <c r="G6590" s="75"/>
      <c r="H6590" s="31"/>
    </row>
    <row r="6591" spans="2:8" hidden="1">
      <c r="B6591" s="33"/>
      <c r="C6591" s="31"/>
      <c r="D6591" s="31"/>
      <c r="E6591" s="31"/>
      <c r="F6591" s="691"/>
      <c r="G6591" s="75"/>
      <c r="H6591" s="31"/>
    </row>
    <row r="6592" spans="2:8" hidden="1">
      <c r="B6592" s="33"/>
      <c r="C6592" s="31"/>
      <c r="D6592" s="31"/>
      <c r="E6592" s="31"/>
      <c r="F6592" s="691"/>
      <c r="G6592" s="75"/>
      <c r="H6592" s="31"/>
    </row>
    <row r="6593" spans="2:8" hidden="1">
      <c r="B6593" s="33"/>
      <c r="C6593" s="31"/>
      <c r="D6593" s="31"/>
      <c r="E6593" s="31"/>
      <c r="F6593" s="691"/>
      <c r="G6593" s="75"/>
      <c r="H6593" s="31"/>
    </row>
    <row r="6594" spans="2:8" hidden="1">
      <c r="B6594" s="33"/>
      <c r="C6594" s="31"/>
      <c r="D6594" s="31"/>
      <c r="E6594" s="31"/>
      <c r="F6594" s="691"/>
      <c r="G6594" s="31"/>
      <c r="H6594" s="31"/>
    </row>
    <row r="6595" spans="2:8" hidden="1">
      <c r="B6595" s="33"/>
      <c r="C6595" s="31"/>
      <c r="D6595" s="31"/>
      <c r="E6595" s="31"/>
      <c r="F6595" s="691"/>
      <c r="G6595" s="75"/>
      <c r="H6595" s="31"/>
    </row>
    <row r="6596" spans="2:8" hidden="1">
      <c r="B6596" s="33"/>
      <c r="C6596" s="31"/>
      <c r="D6596" s="31"/>
      <c r="E6596" s="31"/>
      <c r="F6596" s="691"/>
      <c r="G6596" s="75"/>
      <c r="H6596" s="31"/>
    </row>
    <row r="6597" spans="2:8" hidden="1">
      <c r="B6597" s="33"/>
      <c r="C6597" s="31"/>
      <c r="D6597" s="31"/>
      <c r="E6597" s="31"/>
      <c r="F6597" s="691"/>
      <c r="G6597" s="75"/>
      <c r="H6597" s="31"/>
    </row>
    <row r="6598" spans="2:8" hidden="1">
      <c r="B6598" s="33"/>
      <c r="C6598" s="31"/>
      <c r="D6598" s="31"/>
      <c r="E6598" s="31"/>
      <c r="F6598" s="691"/>
      <c r="G6598" s="75"/>
      <c r="H6598" s="31"/>
    </row>
    <row r="6599" spans="2:8" hidden="1">
      <c r="B6599" s="33"/>
      <c r="C6599" s="31"/>
      <c r="D6599" s="31"/>
      <c r="E6599" s="31"/>
      <c r="F6599" s="691"/>
      <c r="G6599" s="31"/>
      <c r="H6599" s="31"/>
    </row>
    <row r="6600" spans="2:8" hidden="1">
      <c r="B6600" s="33"/>
      <c r="C6600" s="31"/>
      <c r="D6600" s="31"/>
      <c r="E6600" s="31"/>
      <c r="F6600" s="31"/>
      <c r="G6600" s="31"/>
      <c r="H6600" s="31"/>
    </row>
    <row r="6601" spans="2:8" hidden="1">
      <c r="B6601" s="33"/>
      <c r="C6601" s="31"/>
      <c r="D6601" s="31"/>
      <c r="E6601" s="31"/>
      <c r="F6601" s="31"/>
      <c r="G6601" s="31"/>
      <c r="H6601" s="31"/>
    </row>
    <row r="6602" spans="2:8" hidden="1">
      <c r="B6602" s="33"/>
      <c r="C6602" s="31"/>
      <c r="D6602" s="31"/>
      <c r="E6602" s="31"/>
      <c r="F6602" s="31"/>
      <c r="G6602" s="31"/>
      <c r="H6602" s="31"/>
    </row>
    <row r="6603" spans="2:8" hidden="1">
      <c r="B6603" s="33"/>
      <c r="C6603" s="31"/>
      <c r="D6603" s="31"/>
      <c r="E6603" s="31"/>
      <c r="F6603" s="31"/>
      <c r="G6603" s="31"/>
      <c r="H6603" s="31"/>
    </row>
    <row r="6604" spans="2:8" hidden="1">
      <c r="B6604" s="33"/>
      <c r="C6604" s="31"/>
      <c r="D6604" s="31"/>
      <c r="E6604" s="31"/>
      <c r="F6604" s="31"/>
      <c r="G6604" s="31"/>
      <c r="H6604" s="31"/>
    </row>
    <row r="6605" spans="2:8" hidden="1">
      <c r="B6605" s="33"/>
      <c r="C6605" s="31"/>
      <c r="D6605" s="31"/>
      <c r="E6605" s="31"/>
      <c r="F6605" s="31"/>
      <c r="G6605" s="31"/>
      <c r="H6605" s="31"/>
    </row>
    <row r="6606" spans="2:8" hidden="1">
      <c r="B6606" s="33"/>
      <c r="C6606" s="31"/>
      <c r="D6606" s="31"/>
      <c r="E6606" s="31"/>
      <c r="F6606" s="31"/>
      <c r="G6606" s="31"/>
      <c r="H6606" s="31"/>
    </row>
    <row r="6607" spans="2:8" hidden="1">
      <c r="B6607" s="33"/>
      <c r="C6607" s="31"/>
      <c r="D6607" s="31"/>
      <c r="E6607" s="31"/>
      <c r="F6607" s="31"/>
      <c r="G6607" s="31"/>
      <c r="H6607" s="31"/>
    </row>
    <row r="6608" spans="2:8" hidden="1">
      <c r="B6608" s="33"/>
      <c r="C6608" s="31"/>
      <c r="D6608" s="33"/>
      <c r="E6608" s="33"/>
      <c r="F6608" s="33"/>
      <c r="G6608" s="33"/>
      <c r="H6608" s="31"/>
    </row>
    <row r="6609" spans="2:8" hidden="1">
      <c r="B6609" s="33"/>
      <c r="C6609" s="31"/>
      <c r="D6609" s="33"/>
      <c r="E6609" s="33"/>
      <c r="F6609" s="33"/>
      <c r="G6609" s="33"/>
      <c r="H6609" s="31"/>
    </row>
    <row r="6610" spans="2:8" hidden="1">
      <c r="B6610" s="33"/>
      <c r="C6610" s="31"/>
      <c r="D6610" s="31"/>
      <c r="E6610" s="31"/>
      <c r="F6610" s="31"/>
      <c r="G6610" s="31"/>
      <c r="H6610" s="31"/>
    </row>
    <row r="6611" spans="2:8" hidden="1">
      <c r="B6611" s="200"/>
      <c r="C6611" s="31"/>
      <c r="D6611" s="75"/>
      <c r="E6611" s="31"/>
      <c r="F6611" s="33"/>
      <c r="G6611" s="33"/>
      <c r="H6611" s="31"/>
    </row>
    <row r="6612" spans="2:8" hidden="1">
      <c r="B6612" s="200"/>
      <c r="C6612" s="31"/>
      <c r="D6612" s="75"/>
      <c r="E6612" s="31"/>
      <c r="F6612" s="31"/>
      <c r="G6612" s="31"/>
      <c r="H6612" s="31"/>
    </row>
    <row r="6613" spans="2:8" hidden="1">
      <c r="B6613" s="200"/>
      <c r="C6613" s="31"/>
      <c r="D6613" s="75"/>
      <c r="E6613" s="31"/>
      <c r="F6613" s="33"/>
      <c r="G6613" s="33"/>
      <c r="H6613" s="31"/>
    </row>
    <row r="6614" spans="2:8" hidden="1">
      <c r="B6614" s="200"/>
      <c r="C6614" s="31"/>
      <c r="D6614" s="75"/>
      <c r="E6614" s="31"/>
      <c r="F6614" s="31"/>
      <c r="G6614" s="31"/>
      <c r="H6614" s="31"/>
    </row>
    <row r="6615" spans="2:8" hidden="1">
      <c r="B6615" s="200"/>
      <c r="C6615" s="31"/>
      <c r="D6615" s="75"/>
      <c r="E6615" s="31"/>
      <c r="F6615" s="33"/>
      <c r="G6615" s="33"/>
      <c r="H6615" s="31"/>
    </row>
    <row r="6616" spans="2:8" hidden="1">
      <c r="B6616" s="200"/>
      <c r="C6616" s="31"/>
      <c r="D6616" s="75"/>
      <c r="E6616" s="31"/>
      <c r="F6616" s="31"/>
      <c r="G6616" s="31"/>
      <c r="H6616" s="31"/>
    </row>
    <row r="6617" spans="2:8" hidden="1">
      <c r="B6617" s="33"/>
      <c r="C6617" s="31"/>
      <c r="D6617" s="31"/>
      <c r="E6617" s="31"/>
      <c r="F6617" s="31"/>
      <c r="G6617" s="31"/>
      <c r="H6617" s="31"/>
    </row>
    <row r="6618" spans="2:8" hidden="1">
      <c r="B6618" s="200"/>
      <c r="C6618" s="31"/>
      <c r="D6618" s="75"/>
      <c r="E6618" s="771"/>
      <c r="F6618" s="31"/>
      <c r="G6618" s="31"/>
      <c r="H6618" s="31"/>
    </row>
    <row r="6619" spans="2:8" hidden="1">
      <c r="B6619" s="200"/>
      <c r="C6619" s="31"/>
      <c r="D6619" s="75"/>
      <c r="E6619" s="771"/>
      <c r="F6619" s="31"/>
      <c r="G6619" s="31"/>
      <c r="H6619" s="31"/>
    </row>
    <row r="6620" spans="2:8" hidden="1">
      <c r="B6620" s="200"/>
      <c r="C6620" s="31"/>
      <c r="D6620" s="75"/>
      <c r="E6620" s="771"/>
      <c r="F6620" s="31"/>
      <c r="G6620" s="31"/>
      <c r="H6620" s="31"/>
    </row>
    <row r="6621" spans="2:8" hidden="1">
      <c r="B6621" s="200"/>
      <c r="C6621" s="31"/>
      <c r="D6621" s="75"/>
      <c r="E6621" s="771"/>
      <c r="F6621" s="31"/>
      <c r="G6621" s="31"/>
      <c r="H6621" s="31"/>
    </row>
    <row r="6622" spans="2:8" hidden="1">
      <c r="B6622" s="200"/>
      <c r="C6622" s="31"/>
      <c r="D6622" s="75"/>
      <c r="E6622" s="771"/>
      <c r="F6622" s="31"/>
      <c r="G6622" s="31"/>
      <c r="H6622" s="31"/>
    </row>
    <row r="6623" spans="2:8" hidden="1">
      <c r="B6623" s="200"/>
      <c r="C6623" s="31"/>
      <c r="D6623" s="75"/>
      <c r="E6623" s="771"/>
      <c r="F6623" s="31"/>
      <c r="G6623" s="31"/>
      <c r="H6623" s="31"/>
    </row>
    <row r="6624" spans="2:8" hidden="1">
      <c r="B6624" s="200"/>
      <c r="C6624" s="31"/>
      <c r="D6624" s="75"/>
      <c r="E6624" s="771"/>
      <c r="F6624" s="31"/>
      <c r="G6624" s="31"/>
      <c r="H6624" s="31"/>
    </row>
    <row r="6625" spans="2:8" hidden="1">
      <c r="B6625" s="200"/>
      <c r="C6625" s="31"/>
      <c r="D6625" s="75"/>
      <c r="E6625" s="771"/>
      <c r="F6625" s="31"/>
      <c r="G6625" s="31"/>
      <c r="H6625" s="31"/>
    </row>
    <row r="6626" spans="2:8" hidden="1">
      <c r="B6626" s="200"/>
      <c r="C6626" s="31"/>
      <c r="D6626" s="75"/>
      <c r="E6626" s="771"/>
      <c r="F6626" s="31"/>
      <c r="G6626" s="31"/>
      <c r="H6626" s="31"/>
    </row>
    <row r="6627" spans="2:8" hidden="1">
      <c r="B6627" s="200"/>
      <c r="C6627" s="31"/>
      <c r="D6627" s="75"/>
      <c r="E6627" s="771"/>
      <c r="F6627" s="31"/>
      <c r="G6627" s="31"/>
      <c r="H6627" s="31"/>
    </row>
    <row r="6628" spans="2:8" hidden="1">
      <c r="B6628" s="200"/>
      <c r="C6628" s="31"/>
      <c r="D6628" s="75"/>
      <c r="E6628" s="771"/>
      <c r="F6628" s="31"/>
      <c r="G6628" s="31"/>
      <c r="H6628" s="31"/>
    </row>
    <row r="6629" spans="2:8" hidden="1">
      <c r="B6629" s="200"/>
      <c r="C6629" s="31"/>
      <c r="D6629" s="75"/>
      <c r="E6629" s="771"/>
      <c r="F6629" s="771"/>
      <c r="G6629" s="31"/>
      <c r="H6629" s="31"/>
    </row>
    <row r="6630" spans="2:8" hidden="1">
      <c r="B6630" s="200"/>
      <c r="C6630" s="31"/>
      <c r="D6630" s="75"/>
      <c r="E6630" s="771"/>
      <c r="F6630" s="31"/>
      <c r="G6630" s="31"/>
      <c r="H6630" s="31"/>
    </row>
    <row r="6631" spans="2:8" hidden="1">
      <c r="B6631" s="200"/>
      <c r="C6631" s="31"/>
      <c r="D6631" s="75"/>
      <c r="E6631" s="771"/>
      <c r="F6631" s="31"/>
      <c r="G6631" s="31"/>
      <c r="H6631" s="31"/>
    </row>
    <row r="6632" spans="2:8" hidden="1">
      <c r="B6632" s="200"/>
      <c r="C6632" s="31"/>
      <c r="D6632" s="75"/>
      <c r="E6632" s="771"/>
      <c r="F6632" s="31"/>
      <c r="G6632" s="31"/>
      <c r="H6632" s="31"/>
    </row>
    <row r="6633" spans="2:8" hidden="1">
      <c r="B6633" s="200"/>
      <c r="C6633" s="31"/>
      <c r="D6633" s="75"/>
      <c r="E6633" s="771"/>
      <c r="F6633" s="31"/>
      <c r="G6633" s="31"/>
      <c r="H6633" s="31"/>
    </row>
    <row r="6634" spans="2:8" hidden="1">
      <c r="B6634" s="200"/>
      <c r="C6634" s="31"/>
      <c r="D6634" s="75"/>
      <c r="E6634" s="771"/>
      <c r="F6634" s="31"/>
      <c r="G6634" s="31"/>
      <c r="H6634" s="31"/>
    </row>
    <row r="6635" spans="2:8" hidden="1">
      <c r="B6635" s="200"/>
      <c r="C6635" s="31"/>
      <c r="D6635" s="75"/>
      <c r="E6635" s="771"/>
      <c r="F6635" s="31"/>
      <c r="G6635" s="31"/>
      <c r="H6635" s="31"/>
    </row>
    <row r="6636" spans="2:8" hidden="1">
      <c r="B6636" s="200"/>
      <c r="C6636" s="31"/>
      <c r="D6636" s="75"/>
      <c r="E6636" s="771"/>
      <c r="F6636" s="31"/>
      <c r="G6636" s="31"/>
      <c r="H6636" s="31"/>
    </row>
    <row r="6637" spans="2:8" hidden="1">
      <c r="B6637" s="200"/>
      <c r="C6637" s="31"/>
      <c r="D6637" s="75"/>
      <c r="E6637" s="771"/>
      <c r="F6637" s="771"/>
      <c r="G6637" s="31"/>
      <c r="H6637" s="31"/>
    </row>
    <row r="6638" spans="2:8" hidden="1">
      <c r="B6638" s="200"/>
      <c r="C6638" s="31"/>
      <c r="D6638" s="75"/>
      <c r="E6638" s="771"/>
      <c r="F6638" s="771"/>
      <c r="G6638" s="31"/>
      <c r="H6638" s="31"/>
    </row>
    <row r="6639" spans="2:8" hidden="1">
      <c r="B6639" s="200"/>
      <c r="C6639" s="31"/>
      <c r="D6639" s="75"/>
      <c r="E6639" s="771"/>
      <c r="F6639" s="771"/>
      <c r="G6639" s="31"/>
      <c r="H6639" s="31"/>
    </row>
    <row r="6640" spans="2:8" hidden="1">
      <c r="B6640" s="200"/>
      <c r="C6640" s="31"/>
      <c r="D6640" s="75"/>
      <c r="E6640" s="771"/>
      <c r="F6640" s="771"/>
      <c r="G6640" s="31"/>
      <c r="H6640" s="31"/>
    </row>
    <row r="6641" spans="2:8" hidden="1">
      <c r="B6641" s="200"/>
      <c r="C6641" s="31"/>
      <c r="D6641" s="75"/>
      <c r="E6641" s="771"/>
      <c r="F6641" s="771"/>
      <c r="G6641" s="31"/>
      <c r="H6641" s="31"/>
    </row>
    <row r="6642" spans="2:8" hidden="1">
      <c r="B6642" s="200"/>
      <c r="C6642" s="31"/>
      <c r="D6642" s="75"/>
      <c r="E6642" s="771"/>
      <c r="F6642" s="31"/>
      <c r="G6642" s="31"/>
      <c r="H6642" s="31"/>
    </row>
    <row r="6643" spans="2:8" hidden="1">
      <c r="B6643" s="200"/>
      <c r="C6643" s="31"/>
      <c r="D6643" s="75"/>
      <c r="E6643" s="771"/>
      <c r="F6643" s="31"/>
      <c r="G6643" s="31"/>
      <c r="H6643" s="31"/>
    </row>
    <row r="6644" spans="2:8" hidden="1">
      <c r="B6644" s="200"/>
      <c r="C6644" s="31"/>
      <c r="D6644" s="75"/>
      <c r="E6644" s="771"/>
      <c r="F6644" s="31"/>
      <c r="G6644" s="31"/>
      <c r="H6644" s="31"/>
    </row>
    <row r="6645" spans="2:8" hidden="1">
      <c r="B6645" s="200"/>
      <c r="C6645" s="31"/>
      <c r="D6645" s="75"/>
      <c r="E6645" s="771"/>
      <c r="F6645" s="31"/>
      <c r="G6645" s="31"/>
      <c r="H6645" s="31"/>
    </row>
    <row r="6646" spans="2:8" hidden="1">
      <c r="B6646" s="200"/>
      <c r="C6646" s="31"/>
      <c r="D6646" s="75"/>
      <c r="E6646" s="771"/>
      <c r="F6646" s="31"/>
      <c r="G6646" s="31"/>
      <c r="H6646" s="31"/>
    </row>
    <row r="6647" spans="2:8" hidden="1">
      <c r="B6647" s="200"/>
      <c r="C6647" s="31"/>
      <c r="D6647" s="75"/>
      <c r="E6647" s="771"/>
      <c r="F6647" s="31"/>
      <c r="G6647" s="31"/>
      <c r="H6647" s="31"/>
    </row>
    <row r="6648" spans="2:8" hidden="1">
      <c r="B6648" s="200"/>
      <c r="C6648" s="31"/>
      <c r="D6648" s="75"/>
      <c r="E6648" s="771"/>
      <c r="F6648" s="31"/>
      <c r="G6648" s="31"/>
      <c r="H6648" s="31"/>
    </row>
    <row r="6649" spans="2:8" hidden="1">
      <c r="B6649" s="200"/>
      <c r="C6649" s="31"/>
      <c r="D6649" s="75"/>
      <c r="E6649" s="771"/>
      <c r="F6649" s="31"/>
      <c r="G6649" s="31"/>
      <c r="H6649" s="31"/>
    </row>
    <row r="6650" spans="2:8" hidden="1">
      <c r="B6650" s="33"/>
      <c r="C6650" s="31"/>
      <c r="D6650" s="31"/>
      <c r="E6650" s="31"/>
      <c r="F6650" s="31"/>
      <c r="G6650" s="31"/>
      <c r="H6650" s="31"/>
    </row>
    <row r="6651" spans="2:8" hidden="1">
      <c r="B6651" s="200"/>
      <c r="C6651" s="31"/>
      <c r="D6651" s="75"/>
      <c r="E6651" s="771"/>
      <c r="F6651" s="31"/>
      <c r="G6651" s="31"/>
      <c r="H6651" s="31"/>
    </row>
    <row r="6652" spans="2:8" hidden="1">
      <c r="B6652" s="200"/>
      <c r="C6652" s="31"/>
      <c r="D6652" s="75"/>
      <c r="E6652" s="771"/>
      <c r="F6652" s="31"/>
      <c r="G6652" s="31"/>
      <c r="H6652" s="31"/>
    </row>
    <row r="6653" spans="2:8" hidden="1">
      <c r="B6653" s="200"/>
      <c r="C6653" s="31"/>
      <c r="D6653" s="75"/>
      <c r="E6653" s="771"/>
      <c r="F6653" s="31"/>
      <c r="G6653" s="31"/>
      <c r="H6653" s="31"/>
    </row>
    <row r="6654" spans="2:8" hidden="1">
      <c r="B6654" s="200"/>
      <c r="C6654" s="31"/>
      <c r="D6654" s="75"/>
      <c r="E6654" s="771"/>
      <c r="F6654" s="31"/>
      <c r="G6654" s="31"/>
      <c r="H6654" s="31"/>
    </row>
    <row r="6655" spans="2:8" hidden="1">
      <c r="B6655" s="200"/>
      <c r="C6655" s="31"/>
      <c r="D6655" s="75"/>
      <c r="E6655" s="771"/>
      <c r="F6655" s="771"/>
      <c r="G6655" s="31"/>
      <c r="H6655" s="31"/>
    </row>
    <row r="6656" spans="2:8" hidden="1">
      <c r="B6656" s="200"/>
      <c r="C6656" s="31"/>
      <c r="D6656" s="75"/>
      <c r="E6656" s="771"/>
      <c r="F6656" s="31"/>
      <c r="G6656" s="31"/>
      <c r="H6656" s="31"/>
    </row>
    <row r="6657" spans="2:8" hidden="1">
      <c r="B6657" s="200"/>
      <c r="C6657" s="31"/>
      <c r="D6657" s="75"/>
      <c r="E6657" s="771"/>
      <c r="F6657" s="31"/>
      <c r="G6657" s="31"/>
      <c r="H6657" s="31"/>
    </row>
    <row r="6658" spans="2:8" hidden="1">
      <c r="B6658" s="33"/>
      <c r="C6658" s="200"/>
      <c r="D6658" s="75"/>
      <c r="E6658" s="771"/>
      <c r="F6658" s="31"/>
      <c r="G6658" s="31"/>
      <c r="H6658" s="31"/>
    </row>
    <row r="6659" spans="2:8" hidden="1">
      <c r="B6659" s="33"/>
      <c r="C6659" s="31"/>
      <c r="D6659" s="104"/>
      <c r="E6659" s="771"/>
      <c r="F6659" s="31"/>
      <c r="G6659" s="31"/>
      <c r="H6659" s="31"/>
    </row>
    <row r="6660" spans="2:8" hidden="1">
      <c r="B6660" s="33"/>
      <c r="C6660" s="31"/>
      <c r="D6660" s="31"/>
      <c r="E6660" s="31"/>
      <c r="F6660" s="31"/>
      <c r="G6660" s="31"/>
      <c r="H6660" s="31"/>
    </row>
    <row r="6661" spans="2:8" hidden="1">
      <c r="B6661" s="405"/>
      <c r="C6661" s="31"/>
      <c r="D6661" s="31"/>
      <c r="E6661" s="31"/>
      <c r="F6661" s="31"/>
      <c r="G6661" s="31"/>
      <c r="H6661" s="31"/>
    </row>
    <row r="6662" spans="2:8" hidden="1">
      <c r="B6662" s="405"/>
      <c r="C6662" s="31"/>
      <c r="D6662" s="31"/>
      <c r="E6662" s="31"/>
      <c r="F6662" s="691"/>
      <c r="G6662" s="75"/>
      <c r="H6662" s="31"/>
    </row>
    <row r="6663" spans="2:8" hidden="1">
      <c r="B6663" s="405"/>
      <c r="C6663" s="31"/>
      <c r="D6663" s="31"/>
      <c r="E6663" s="31"/>
      <c r="F6663" s="691"/>
      <c r="G6663" s="75"/>
      <c r="H6663" s="31"/>
    </row>
    <row r="6664" spans="2:8" hidden="1">
      <c r="B6664" s="405"/>
      <c r="C6664" s="31"/>
      <c r="D6664" s="31"/>
      <c r="E6664" s="31"/>
      <c r="F6664" s="691"/>
      <c r="G6664" s="75"/>
      <c r="H6664" s="31"/>
    </row>
    <row r="6665" spans="2:8" hidden="1">
      <c r="B6665" s="405"/>
      <c r="C6665" s="31"/>
      <c r="D6665" s="31"/>
      <c r="E6665" s="31"/>
      <c r="F6665" s="691"/>
      <c r="G6665" s="75"/>
      <c r="H6665" s="31"/>
    </row>
    <row r="6666" spans="2:8" hidden="1">
      <c r="B6666" s="405"/>
      <c r="C6666" s="31"/>
      <c r="D6666" s="31"/>
      <c r="E6666" s="31"/>
      <c r="F6666" s="691"/>
      <c r="G6666" s="75"/>
      <c r="H6666" s="31"/>
    </row>
    <row r="6667" spans="2:8" hidden="1">
      <c r="B6667" s="405"/>
      <c r="C6667" s="31"/>
      <c r="D6667" s="31"/>
      <c r="E6667" s="31"/>
      <c r="F6667" s="691"/>
      <c r="G6667" s="75"/>
      <c r="H6667" s="31"/>
    </row>
    <row r="6668" spans="2:8" hidden="1">
      <c r="B6668" s="405"/>
      <c r="C6668" s="31"/>
      <c r="D6668" s="31"/>
      <c r="E6668" s="31"/>
      <c r="F6668" s="691"/>
      <c r="G6668" s="75"/>
      <c r="H6668" s="31"/>
    </row>
    <row r="6669" spans="2:8" hidden="1">
      <c r="B6669" s="405"/>
      <c r="C6669" s="31"/>
      <c r="D6669" s="31"/>
      <c r="E6669" s="31"/>
      <c r="F6669" s="691"/>
      <c r="G6669" s="31"/>
      <c r="H6669" s="31"/>
    </row>
    <row r="6670" spans="2:8" hidden="1">
      <c r="B6670" s="33"/>
      <c r="C6670" s="31"/>
      <c r="D6670" s="31"/>
      <c r="E6670" s="31"/>
      <c r="F6670" s="691"/>
      <c r="G6670" s="75"/>
      <c r="H6670" s="31"/>
    </row>
    <row r="6671" spans="2:8" hidden="1">
      <c r="B6671" s="33"/>
      <c r="C6671" s="31"/>
      <c r="D6671" s="31"/>
      <c r="E6671" s="31"/>
      <c r="F6671" s="691"/>
      <c r="G6671" s="75"/>
      <c r="H6671" s="31"/>
    </row>
    <row r="6672" spans="2:8" hidden="1">
      <c r="B6672" s="33"/>
      <c r="C6672" s="31"/>
      <c r="D6672" s="31"/>
      <c r="E6672" s="31"/>
      <c r="F6672" s="691"/>
      <c r="G6672" s="31"/>
      <c r="H6672" s="31"/>
    </row>
    <row r="6673" spans="2:8" hidden="1">
      <c r="B6673" s="33"/>
      <c r="C6673" s="31"/>
      <c r="D6673" s="31"/>
      <c r="E6673" s="31"/>
      <c r="F6673" s="691"/>
      <c r="G6673" s="31"/>
      <c r="H6673" s="31"/>
    </row>
    <row r="6674" spans="2:8" hidden="1">
      <c r="B6674" s="33"/>
      <c r="C6674" s="31"/>
      <c r="D6674" s="31"/>
      <c r="E6674" s="31"/>
      <c r="F6674" s="31"/>
      <c r="G6674" s="31"/>
      <c r="H6674" s="31"/>
    </row>
    <row r="6675" spans="2:8" hidden="1">
      <c r="B6675" s="33"/>
      <c r="C6675" s="31"/>
      <c r="D6675" s="31"/>
      <c r="E6675" s="31"/>
      <c r="F6675" s="31"/>
      <c r="G6675" s="31"/>
      <c r="H6675" s="31"/>
    </row>
    <row r="6676" spans="2:8" hidden="1">
      <c r="B6676" s="33"/>
      <c r="C6676" s="31"/>
      <c r="D6676" s="31"/>
      <c r="E6676" s="31"/>
      <c r="F6676" s="31"/>
      <c r="G6676" s="31"/>
      <c r="H6676" s="31"/>
    </row>
    <row r="6677" spans="2:8" hidden="1">
      <c r="B6677" s="33"/>
      <c r="C6677" s="31"/>
      <c r="D6677" s="31"/>
      <c r="E6677" s="31"/>
      <c r="F6677" s="31"/>
      <c r="G6677" s="31"/>
      <c r="H6677" s="31"/>
    </row>
    <row r="6678" spans="2:8" hidden="1">
      <c r="B6678" s="33"/>
      <c r="C6678" s="31"/>
      <c r="D6678" s="31"/>
      <c r="E6678" s="31"/>
      <c r="F6678" s="31"/>
      <c r="G6678" s="31"/>
      <c r="H6678" s="31"/>
    </row>
    <row r="6679" spans="2:8" hidden="1">
      <c r="B6679" s="33"/>
      <c r="C6679" s="31"/>
      <c r="D6679" s="31"/>
      <c r="E6679" s="31"/>
      <c r="F6679" s="31"/>
      <c r="G6679" s="31"/>
      <c r="H6679" s="31"/>
    </row>
    <row r="6680" spans="2:8" hidden="1">
      <c r="B6680" s="33"/>
      <c r="C6680" s="31"/>
      <c r="D6680" s="31"/>
      <c r="E6680" s="31"/>
      <c r="F6680" s="31"/>
      <c r="G6680" s="31"/>
      <c r="H6680" s="31"/>
    </row>
    <row r="6681" spans="2:8" hidden="1">
      <c r="B6681" s="33"/>
      <c r="C6681" s="31"/>
      <c r="D6681" s="31"/>
      <c r="E6681" s="31"/>
      <c r="F6681" s="31"/>
      <c r="G6681" s="31"/>
      <c r="H6681" s="31"/>
    </row>
    <row r="6682" spans="2:8" hidden="1">
      <c r="B6682" s="33"/>
      <c r="C6682" s="31"/>
      <c r="D6682" s="31"/>
      <c r="E6682" s="31"/>
      <c r="F6682" s="31"/>
      <c r="G6682" s="31"/>
      <c r="H6682" s="31"/>
    </row>
    <row r="6683" spans="2:8" hidden="1">
      <c r="B6683" s="33"/>
      <c r="C6683" s="31"/>
      <c r="D6683" s="33"/>
      <c r="E6683" s="33"/>
      <c r="F6683" s="33"/>
      <c r="G6683" s="33"/>
      <c r="H6683" s="31"/>
    </row>
    <row r="6684" spans="2:8" hidden="1">
      <c r="B6684" s="33"/>
      <c r="C6684" s="31"/>
      <c r="D6684" s="33"/>
      <c r="E6684" s="33"/>
      <c r="F6684" s="33"/>
      <c r="G6684" s="33"/>
      <c r="H6684" s="31"/>
    </row>
    <row r="6685" spans="2:8" hidden="1">
      <c r="B6685" s="33"/>
      <c r="C6685" s="31"/>
      <c r="D6685" s="31"/>
      <c r="E6685" s="31"/>
      <c r="F6685" s="31"/>
      <c r="G6685" s="31"/>
      <c r="H6685" s="31"/>
    </row>
    <row r="6686" spans="2:8" hidden="1">
      <c r="B6686" s="200"/>
      <c r="C6686" s="31"/>
      <c r="D6686" s="75"/>
      <c r="E6686" s="31"/>
      <c r="F6686" s="31"/>
      <c r="G6686" s="31"/>
      <c r="H6686" s="31"/>
    </row>
    <row r="6687" spans="2:8" hidden="1">
      <c r="B6687" s="200"/>
      <c r="C6687" s="31"/>
      <c r="D6687" s="75"/>
      <c r="E6687" s="31"/>
      <c r="F6687" s="31"/>
      <c r="G6687" s="31"/>
      <c r="H6687" s="31"/>
    </row>
    <row r="6688" spans="2:8" hidden="1">
      <c r="B6688" s="200"/>
      <c r="C6688" s="31"/>
      <c r="D6688" s="75"/>
      <c r="E6688" s="31"/>
      <c r="F6688" s="31"/>
      <c r="G6688" s="31"/>
      <c r="H6688" s="31"/>
    </row>
    <row r="6689" spans="2:8" hidden="1">
      <c r="B6689" s="200"/>
      <c r="C6689" s="31"/>
      <c r="D6689" s="75"/>
      <c r="E6689" s="31"/>
      <c r="F6689" s="31"/>
      <c r="G6689" s="31"/>
      <c r="H6689" s="31"/>
    </row>
    <row r="6690" spans="2:8" hidden="1">
      <c r="B6690" s="200"/>
      <c r="C6690" s="31"/>
      <c r="D6690" s="75"/>
      <c r="E6690" s="31"/>
      <c r="F6690" s="33"/>
      <c r="G6690" s="33"/>
      <c r="H6690" s="31"/>
    </row>
    <row r="6691" spans="2:8" hidden="1">
      <c r="B6691" s="200"/>
      <c r="C6691" s="31"/>
      <c r="D6691" s="75"/>
      <c r="E6691" s="31"/>
      <c r="F6691" s="771"/>
      <c r="G6691" s="31"/>
      <c r="H6691" s="31"/>
    </row>
    <row r="6692" spans="2:8" hidden="1">
      <c r="B6692" s="200"/>
      <c r="C6692" s="31"/>
      <c r="D6692" s="75"/>
      <c r="E6692" s="31"/>
      <c r="F6692" s="771"/>
      <c r="G6692" s="31"/>
      <c r="H6692" s="31"/>
    </row>
    <row r="6693" spans="2:8" hidden="1">
      <c r="B6693" s="200"/>
      <c r="C6693" s="31"/>
      <c r="D6693" s="75"/>
      <c r="E6693" s="31"/>
      <c r="F6693" s="771"/>
      <c r="G6693" s="31"/>
      <c r="H6693" s="31"/>
    </row>
    <row r="6694" spans="2:8" hidden="1">
      <c r="B6694" s="200"/>
      <c r="C6694" s="31"/>
      <c r="D6694" s="75"/>
      <c r="E6694" s="31"/>
      <c r="F6694" s="31"/>
      <c r="G6694" s="31"/>
      <c r="H6694" s="31"/>
    </row>
    <row r="6695" spans="2:8" hidden="1">
      <c r="B6695" s="200"/>
      <c r="C6695" s="31"/>
      <c r="D6695" s="75"/>
      <c r="E6695" s="31"/>
      <c r="F6695" s="33"/>
      <c r="G6695" s="33"/>
      <c r="H6695" s="31"/>
    </row>
    <row r="6696" spans="2:8" hidden="1">
      <c r="B6696" s="200"/>
      <c r="C6696" s="31"/>
      <c r="D6696" s="75"/>
      <c r="E6696" s="31"/>
      <c r="F6696" s="31"/>
      <c r="G6696" s="31"/>
      <c r="H6696" s="31"/>
    </row>
    <row r="6697" spans="2:8" hidden="1">
      <c r="B6697" s="200"/>
      <c r="C6697" s="31"/>
      <c r="D6697" s="75"/>
      <c r="E6697" s="31"/>
      <c r="F6697" s="771"/>
      <c r="G6697" s="31"/>
      <c r="H6697" s="31"/>
    </row>
    <row r="6698" spans="2:8" hidden="1">
      <c r="B6698" s="200"/>
      <c r="C6698" s="31"/>
      <c r="D6698" s="75"/>
      <c r="E6698" s="31"/>
      <c r="F6698" s="771"/>
      <c r="G6698" s="31"/>
      <c r="H6698" s="31"/>
    </row>
    <row r="6699" spans="2:8" hidden="1">
      <c r="B6699" s="200"/>
      <c r="C6699" s="31"/>
      <c r="D6699" s="75"/>
      <c r="E6699" s="31"/>
      <c r="F6699" s="771"/>
      <c r="G6699" s="31"/>
      <c r="H6699" s="31"/>
    </row>
    <row r="6700" spans="2:8" hidden="1">
      <c r="B6700" s="200"/>
      <c r="C6700" s="31"/>
      <c r="D6700" s="75"/>
      <c r="E6700" s="31"/>
      <c r="F6700" s="33"/>
      <c r="G6700" s="33"/>
      <c r="H6700" s="31"/>
    </row>
    <row r="6701" spans="2:8" hidden="1">
      <c r="B6701" s="200"/>
      <c r="C6701" s="31"/>
      <c r="D6701" s="75"/>
      <c r="E6701" s="31"/>
      <c r="F6701" s="31"/>
      <c r="G6701" s="31"/>
      <c r="H6701" s="31"/>
    </row>
    <row r="6702" spans="2:8" hidden="1">
      <c r="B6702" s="200"/>
      <c r="C6702" s="31"/>
      <c r="D6702" s="75"/>
      <c r="E6702" s="31"/>
      <c r="F6702" s="31"/>
      <c r="G6702" s="31"/>
      <c r="H6702" s="31"/>
    </row>
    <row r="6703" spans="2:8" hidden="1">
      <c r="B6703" s="200"/>
      <c r="C6703" s="31"/>
      <c r="D6703" s="75"/>
      <c r="E6703" s="31"/>
      <c r="F6703" s="31"/>
      <c r="G6703" s="31"/>
      <c r="H6703" s="31"/>
    </row>
    <row r="6704" spans="2:8" hidden="1">
      <c r="B6704" s="200"/>
      <c r="C6704" s="31"/>
      <c r="D6704" s="75"/>
      <c r="E6704" s="31"/>
      <c r="F6704" s="31"/>
      <c r="G6704" s="31"/>
      <c r="H6704" s="31"/>
    </row>
    <row r="6705" spans="2:8" hidden="1">
      <c r="B6705" s="200"/>
      <c r="C6705" s="31"/>
      <c r="D6705" s="75"/>
      <c r="E6705" s="31"/>
      <c r="F6705" s="31"/>
      <c r="G6705" s="31"/>
      <c r="H6705" s="31"/>
    </row>
    <row r="6706" spans="2:8" hidden="1">
      <c r="B6706" s="200"/>
      <c r="C6706" s="31"/>
      <c r="D6706" s="75"/>
      <c r="E6706" s="31"/>
      <c r="F6706" s="771"/>
      <c r="G6706" s="31"/>
      <c r="H6706" s="31"/>
    </row>
    <row r="6707" spans="2:8" hidden="1">
      <c r="B6707" s="200"/>
      <c r="C6707" s="31"/>
      <c r="D6707" s="75"/>
      <c r="E6707" s="31"/>
      <c r="F6707" s="31"/>
      <c r="G6707" s="31"/>
      <c r="H6707" s="31"/>
    </row>
    <row r="6708" spans="2:8" hidden="1">
      <c r="B6708" s="200"/>
      <c r="C6708" s="31"/>
      <c r="D6708" s="75"/>
      <c r="E6708" s="771"/>
      <c r="F6708" s="31"/>
      <c r="G6708" s="31"/>
      <c r="H6708" s="31"/>
    </row>
    <row r="6709" spans="2:8" hidden="1">
      <c r="B6709" s="33"/>
      <c r="C6709" s="31"/>
      <c r="D6709" s="31"/>
      <c r="E6709" s="31"/>
      <c r="F6709" s="31"/>
      <c r="G6709" s="31"/>
      <c r="H6709" s="31"/>
    </row>
    <row r="6710" spans="2:8" hidden="1">
      <c r="B6710" s="200"/>
      <c r="C6710" s="31"/>
      <c r="D6710" s="75"/>
      <c r="E6710" s="31"/>
      <c r="F6710" s="33"/>
      <c r="G6710" s="33"/>
      <c r="H6710" s="31"/>
    </row>
    <row r="6711" spans="2:8" hidden="1">
      <c r="B6711" s="200"/>
      <c r="C6711" s="31"/>
      <c r="D6711" s="75"/>
      <c r="E6711" s="31"/>
      <c r="F6711" s="31"/>
      <c r="G6711" s="31"/>
      <c r="H6711" s="31"/>
    </row>
    <row r="6712" spans="2:8" hidden="1">
      <c r="B6712" s="200"/>
      <c r="C6712" s="31"/>
      <c r="D6712" s="75"/>
      <c r="E6712" s="31"/>
      <c r="F6712" s="31"/>
      <c r="G6712" s="31"/>
      <c r="H6712" s="31"/>
    </row>
    <row r="6713" spans="2:8" hidden="1">
      <c r="B6713" s="200"/>
      <c r="C6713" s="31"/>
      <c r="D6713" s="75"/>
      <c r="E6713" s="33"/>
      <c r="F6713" s="31"/>
      <c r="G6713" s="31"/>
      <c r="H6713" s="31"/>
    </row>
    <row r="6714" spans="2:8" hidden="1">
      <c r="B6714" s="200"/>
      <c r="C6714" s="31"/>
      <c r="D6714" s="75"/>
      <c r="E6714" s="33"/>
      <c r="F6714" s="33"/>
      <c r="G6714" s="33"/>
      <c r="H6714" s="31"/>
    </row>
    <row r="6715" spans="2:8" hidden="1">
      <c r="B6715" s="200"/>
      <c r="C6715" s="31"/>
      <c r="D6715" s="75"/>
      <c r="E6715" s="33"/>
      <c r="F6715" s="33"/>
      <c r="G6715" s="33"/>
      <c r="H6715" s="31"/>
    </row>
    <row r="6716" spans="2:8" hidden="1">
      <c r="B6716" s="33"/>
      <c r="C6716" s="31"/>
      <c r="D6716" s="31"/>
      <c r="E6716" s="31"/>
      <c r="F6716" s="31"/>
      <c r="G6716" s="31"/>
      <c r="H6716" s="31"/>
    </row>
    <row r="6717" spans="2:8" hidden="1">
      <c r="B6717" s="200"/>
      <c r="C6717" s="31"/>
      <c r="D6717" s="104"/>
      <c r="E6717" s="33"/>
      <c r="F6717" s="33"/>
      <c r="G6717" s="33"/>
      <c r="H6717" s="31"/>
    </row>
    <row r="6718" spans="2:8" hidden="1">
      <c r="B6718" s="200"/>
      <c r="C6718" s="31"/>
      <c r="D6718" s="104"/>
      <c r="E6718" s="33"/>
      <c r="F6718" s="33"/>
      <c r="G6718" s="33"/>
      <c r="H6718" s="31"/>
    </row>
    <row r="6719" spans="2:8" hidden="1">
      <c r="B6719" s="200"/>
      <c r="C6719" s="31"/>
      <c r="D6719" s="75"/>
      <c r="E6719" s="33"/>
      <c r="F6719" s="33"/>
      <c r="G6719" s="33"/>
      <c r="H6719" s="31"/>
    </row>
    <row r="6720" spans="2:8" hidden="1">
      <c r="B6720" s="200"/>
      <c r="C6720" s="31"/>
      <c r="D6720" s="75"/>
      <c r="E6720" s="33"/>
      <c r="F6720" s="33"/>
      <c r="G6720" s="33"/>
      <c r="H6720" s="31"/>
    </row>
    <row r="6721" spans="2:8" hidden="1">
      <c r="B6721" s="200"/>
      <c r="C6721" s="31"/>
      <c r="D6721" s="75"/>
      <c r="E6721" s="33"/>
      <c r="F6721" s="33"/>
      <c r="G6721" s="33"/>
      <c r="H6721" s="31"/>
    </row>
    <row r="6722" spans="2:8" hidden="1">
      <c r="B6722" s="200"/>
      <c r="C6722" s="31"/>
      <c r="D6722" s="75"/>
      <c r="E6722" s="33"/>
      <c r="F6722" s="33"/>
      <c r="G6722" s="33"/>
      <c r="H6722" s="31"/>
    </row>
    <row r="6723" spans="2:8" hidden="1">
      <c r="B6723" s="200"/>
      <c r="C6723" s="31"/>
      <c r="D6723" s="75"/>
      <c r="E6723" s="33"/>
      <c r="F6723" s="33"/>
      <c r="G6723" s="33"/>
      <c r="H6723" s="31"/>
    </row>
    <row r="6724" spans="2:8" hidden="1">
      <c r="B6724" s="200"/>
      <c r="C6724" s="31"/>
      <c r="D6724" s="75"/>
      <c r="E6724" s="33"/>
      <c r="F6724" s="33"/>
      <c r="G6724" s="33"/>
      <c r="H6724" s="31"/>
    </row>
    <row r="6725" spans="2:8" hidden="1">
      <c r="B6725" s="200"/>
      <c r="C6725" s="31"/>
      <c r="D6725" s="75"/>
      <c r="E6725" s="33"/>
      <c r="F6725" s="33"/>
      <c r="G6725" s="33"/>
      <c r="H6725" s="31"/>
    </row>
    <row r="6726" spans="2:8" hidden="1">
      <c r="B6726" s="33"/>
      <c r="C6726" s="31"/>
      <c r="D6726" s="75"/>
      <c r="E6726" s="31"/>
      <c r="F6726" s="31"/>
      <c r="G6726" s="31"/>
      <c r="H6726" s="31"/>
    </row>
    <row r="6727" spans="2:8" hidden="1">
      <c r="B6727" s="33"/>
      <c r="C6727" s="31"/>
      <c r="D6727" s="75"/>
      <c r="E6727" s="31"/>
      <c r="F6727" s="31"/>
      <c r="G6727" s="31"/>
      <c r="H6727" s="31"/>
    </row>
    <row r="6728" spans="2:8" hidden="1">
      <c r="B6728" s="33"/>
      <c r="C6728" s="31"/>
      <c r="D6728" s="31"/>
      <c r="E6728" s="31"/>
      <c r="F6728" s="31"/>
      <c r="G6728" s="31"/>
      <c r="H6728" s="31"/>
    </row>
    <row r="6729" spans="2:8" hidden="1">
      <c r="B6729" s="200"/>
      <c r="C6729" s="31"/>
      <c r="D6729" s="75"/>
      <c r="E6729" s="31"/>
      <c r="F6729" s="771"/>
      <c r="G6729" s="31"/>
      <c r="H6729" s="31"/>
    </row>
    <row r="6730" spans="2:8" hidden="1">
      <c r="B6730" s="33"/>
      <c r="C6730" s="200"/>
      <c r="D6730" s="75"/>
      <c r="E6730" s="31"/>
      <c r="F6730" s="31"/>
      <c r="G6730" s="31"/>
      <c r="H6730" s="31"/>
    </row>
    <row r="6731" spans="2:8" hidden="1">
      <c r="B6731" s="33"/>
      <c r="C6731" s="200"/>
      <c r="D6731" s="104"/>
      <c r="E6731" s="33"/>
      <c r="F6731" s="33"/>
      <c r="G6731" s="33"/>
      <c r="H6731" s="31"/>
    </row>
    <row r="6732" spans="2:8" hidden="1">
      <c r="B6732" s="33"/>
      <c r="C6732" s="31"/>
      <c r="D6732" s="31"/>
      <c r="E6732" s="31"/>
      <c r="F6732" s="31"/>
      <c r="G6732" s="31"/>
      <c r="H6732" s="31"/>
    </row>
    <row r="6733" spans="2:8" hidden="1">
      <c r="B6733" s="405"/>
      <c r="C6733" s="31"/>
      <c r="D6733" s="31"/>
      <c r="E6733" s="31"/>
      <c r="F6733" s="31"/>
      <c r="G6733" s="31"/>
      <c r="H6733" s="31"/>
    </row>
    <row r="6734" spans="2:8" hidden="1">
      <c r="B6734" s="405"/>
      <c r="C6734" s="31"/>
      <c r="D6734" s="31"/>
      <c r="E6734" s="31"/>
      <c r="F6734" s="691"/>
      <c r="G6734" s="75"/>
      <c r="H6734" s="31"/>
    </row>
    <row r="6735" spans="2:8" hidden="1">
      <c r="B6735" s="405"/>
      <c r="C6735" s="31"/>
      <c r="D6735" s="31"/>
      <c r="E6735" s="31"/>
      <c r="F6735" s="691"/>
      <c r="G6735" s="75"/>
      <c r="H6735" s="31"/>
    </row>
    <row r="6736" spans="2:8" hidden="1">
      <c r="B6736" s="405"/>
      <c r="C6736" s="31"/>
      <c r="D6736" s="31"/>
      <c r="E6736" s="31"/>
      <c r="F6736" s="691"/>
      <c r="G6736" s="75"/>
      <c r="H6736" s="31"/>
    </row>
    <row r="6737" spans="2:8" hidden="1">
      <c r="B6737" s="405"/>
      <c r="C6737" s="31"/>
      <c r="D6737" s="31"/>
      <c r="E6737" s="31"/>
      <c r="F6737" s="691"/>
      <c r="G6737" s="75"/>
      <c r="H6737" s="31"/>
    </row>
    <row r="6738" spans="2:8" hidden="1">
      <c r="B6738" s="405"/>
      <c r="C6738" s="31"/>
      <c r="D6738" s="31"/>
      <c r="E6738" s="31"/>
      <c r="F6738" s="691"/>
      <c r="G6738" s="75"/>
      <c r="H6738" s="31"/>
    </row>
    <row r="6739" spans="2:8" hidden="1">
      <c r="B6739" s="405"/>
      <c r="C6739" s="31"/>
      <c r="D6739" s="31"/>
      <c r="E6739" s="31"/>
      <c r="F6739" s="691"/>
      <c r="G6739" s="75"/>
      <c r="H6739" s="31"/>
    </row>
    <row r="6740" spans="2:8" hidden="1">
      <c r="B6740" s="405"/>
      <c r="C6740" s="31"/>
      <c r="D6740" s="31"/>
      <c r="E6740" s="31"/>
      <c r="F6740" s="691"/>
      <c r="G6740" s="75"/>
      <c r="H6740" s="31"/>
    </row>
    <row r="6741" spans="2:8" hidden="1">
      <c r="B6741" s="405"/>
      <c r="C6741" s="31"/>
      <c r="D6741" s="31"/>
      <c r="E6741" s="31"/>
      <c r="F6741" s="691"/>
      <c r="G6741" s="75"/>
      <c r="H6741" s="31"/>
    </row>
    <row r="6742" spans="2:8" hidden="1">
      <c r="B6742" s="405"/>
      <c r="C6742" s="31"/>
      <c r="D6742" s="31"/>
      <c r="E6742" s="31"/>
      <c r="F6742" s="691"/>
      <c r="G6742" s="75"/>
      <c r="H6742" s="31"/>
    </row>
    <row r="6743" spans="2:8" hidden="1">
      <c r="B6743" s="405"/>
      <c r="C6743" s="31"/>
      <c r="D6743" s="31"/>
      <c r="E6743" s="31"/>
      <c r="F6743" s="691"/>
      <c r="G6743" s="31"/>
      <c r="H6743" s="31"/>
    </row>
    <row r="6744" spans="2:8" hidden="1">
      <c r="B6744" s="405"/>
      <c r="C6744" s="31"/>
      <c r="D6744" s="31"/>
      <c r="E6744" s="31"/>
      <c r="F6744" s="691"/>
      <c r="G6744" s="75"/>
      <c r="H6744" s="31"/>
    </row>
    <row r="6745" spans="2:8" hidden="1">
      <c r="B6745" s="405"/>
      <c r="C6745" s="31"/>
      <c r="D6745" s="31"/>
      <c r="E6745" s="31"/>
      <c r="F6745" s="691"/>
      <c r="G6745" s="75"/>
      <c r="H6745" s="31"/>
    </row>
    <row r="6746" spans="2:8" hidden="1">
      <c r="B6746" s="405"/>
      <c r="C6746" s="31"/>
      <c r="D6746" s="31"/>
      <c r="E6746" s="31"/>
      <c r="F6746" s="691"/>
      <c r="G6746" s="75"/>
      <c r="H6746" s="31"/>
    </row>
    <row r="6747" spans="2:8" hidden="1">
      <c r="B6747" s="405"/>
      <c r="C6747" s="31"/>
      <c r="D6747" s="31"/>
      <c r="E6747" s="31"/>
      <c r="F6747" s="691"/>
      <c r="G6747" s="75"/>
      <c r="H6747" s="31"/>
    </row>
    <row r="6748" spans="2:8" hidden="1">
      <c r="B6748" s="405"/>
      <c r="C6748" s="31"/>
      <c r="D6748" s="31"/>
      <c r="E6748" s="31"/>
      <c r="F6748" s="691"/>
      <c r="G6748" s="75"/>
      <c r="H6748" s="31"/>
    </row>
    <row r="6749" spans="2:8" hidden="1">
      <c r="B6749" s="33"/>
      <c r="C6749" s="31"/>
      <c r="D6749" s="31"/>
      <c r="E6749" s="31"/>
      <c r="F6749" s="691"/>
      <c r="G6749" s="31"/>
      <c r="H6749" s="31"/>
    </row>
    <row r="6750" spans="2:8" hidden="1">
      <c r="B6750" s="33"/>
      <c r="C6750" s="31"/>
      <c r="D6750" s="31"/>
      <c r="E6750" s="31"/>
      <c r="F6750" s="31"/>
      <c r="G6750" s="31"/>
      <c r="H6750" s="31"/>
    </row>
    <row r="6751" spans="2:8" hidden="1">
      <c r="B6751" s="33"/>
      <c r="C6751" s="31"/>
      <c r="D6751" s="31"/>
      <c r="E6751" s="31"/>
      <c r="F6751" s="31"/>
      <c r="G6751" s="31"/>
      <c r="H6751" s="31"/>
    </row>
    <row r="6752" spans="2:8" hidden="1">
      <c r="B6752" s="33"/>
      <c r="C6752" s="31"/>
      <c r="D6752" s="31"/>
      <c r="E6752" s="31"/>
      <c r="F6752" s="31"/>
      <c r="G6752" s="31"/>
      <c r="H6752" s="31"/>
    </row>
    <row r="6753" spans="2:8" hidden="1">
      <c r="B6753" s="33"/>
      <c r="C6753" s="31"/>
      <c r="D6753" s="31"/>
      <c r="E6753" s="31"/>
      <c r="F6753" s="31"/>
      <c r="G6753" s="31"/>
      <c r="H6753" s="31"/>
    </row>
    <row r="6754" spans="2:8" hidden="1">
      <c r="B6754" s="33"/>
      <c r="C6754" s="31"/>
      <c r="D6754" s="31"/>
      <c r="E6754" s="31"/>
      <c r="F6754" s="31"/>
      <c r="G6754" s="31"/>
      <c r="H6754" s="31"/>
    </row>
    <row r="6755" spans="2:8" hidden="1">
      <c r="B6755" s="33"/>
      <c r="C6755" s="31"/>
      <c r="D6755" s="31"/>
      <c r="E6755" s="31"/>
      <c r="F6755" s="31"/>
      <c r="G6755" s="31"/>
      <c r="H6755" s="31"/>
    </row>
    <row r="6756" spans="2:8" hidden="1">
      <c r="B6756" s="33"/>
      <c r="C6756" s="31"/>
      <c r="D6756" s="31"/>
      <c r="E6756" s="31"/>
      <c r="F6756" s="31"/>
      <c r="G6756" s="31"/>
      <c r="H6756" s="31"/>
    </row>
    <row r="6757" spans="2:8" hidden="1">
      <c r="B6757" s="33"/>
      <c r="C6757" s="31"/>
      <c r="D6757" s="31"/>
      <c r="E6757" s="31"/>
      <c r="F6757" s="31"/>
      <c r="G6757" s="31"/>
      <c r="H6757" s="31"/>
    </row>
    <row r="6758" spans="2:8" hidden="1">
      <c r="B6758" s="33"/>
      <c r="C6758" s="31"/>
      <c r="D6758" s="33"/>
      <c r="E6758" s="33"/>
      <c r="F6758" s="33"/>
      <c r="G6758" s="33"/>
      <c r="H6758" s="31"/>
    </row>
    <row r="6759" spans="2:8" hidden="1">
      <c r="B6759" s="33"/>
      <c r="C6759" s="31"/>
      <c r="D6759" s="33"/>
      <c r="E6759" s="33"/>
      <c r="F6759" s="33"/>
      <c r="G6759" s="33"/>
      <c r="H6759" s="31"/>
    </row>
    <row r="6760" spans="2:8" hidden="1">
      <c r="B6760" s="200"/>
      <c r="C6760" s="31"/>
      <c r="D6760" s="75"/>
      <c r="E6760" s="771"/>
      <c r="F6760" s="33"/>
      <c r="G6760" s="31"/>
      <c r="H6760" s="31"/>
    </row>
    <row r="6761" spans="2:8" hidden="1">
      <c r="B6761" s="200"/>
      <c r="C6761" s="31"/>
      <c r="D6761" s="75"/>
      <c r="E6761" s="771"/>
      <c r="F6761" s="31"/>
      <c r="G6761" s="31"/>
      <c r="H6761" s="31"/>
    </row>
    <row r="6762" spans="2:8" hidden="1">
      <c r="B6762" s="200"/>
      <c r="C6762" s="31"/>
      <c r="D6762" s="75"/>
      <c r="E6762" s="771"/>
      <c r="F6762" s="31"/>
      <c r="G6762" s="31"/>
      <c r="H6762" s="31"/>
    </row>
    <row r="6763" spans="2:8" hidden="1">
      <c r="B6763" s="200"/>
      <c r="C6763" s="31"/>
      <c r="D6763" s="75"/>
      <c r="E6763" s="771"/>
      <c r="F6763" s="31"/>
      <c r="G6763" s="31"/>
      <c r="H6763" s="31"/>
    </row>
    <row r="6764" spans="2:8" hidden="1">
      <c r="B6764" s="200"/>
      <c r="C6764" s="31"/>
      <c r="D6764" s="75"/>
      <c r="E6764" s="771"/>
      <c r="F6764" s="31"/>
      <c r="G6764" s="31"/>
      <c r="H6764" s="31"/>
    </row>
    <row r="6765" spans="2:8" hidden="1">
      <c r="B6765" s="200"/>
      <c r="C6765" s="31"/>
      <c r="D6765" s="75"/>
      <c r="E6765" s="771"/>
      <c r="F6765" s="31"/>
      <c r="G6765" s="31"/>
      <c r="H6765" s="31"/>
    </row>
    <row r="6766" spans="2:8" hidden="1">
      <c r="B6766" s="200"/>
      <c r="C6766" s="31"/>
      <c r="D6766" s="75"/>
      <c r="E6766" s="771"/>
      <c r="F6766" s="31"/>
      <c r="G6766" s="31"/>
      <c r="H6766" s="31"/>
    </row>
    <row r="6767" spans="2:8" hidden="1">
      <c r="B6767" s="200"/>
      <c r="C6767" s="31"/>
      <c r="D6767" s="75"/>
      <c r="E6767" s="771"/>
      <c r="F6767" s="31"/>
      <c r="G6767" s="31"/>
      <c r="H6767" s="31"/>
    </row>
    <row r="6768" spans="2:8" hidden="1">
      <c r="B6768" s="200"/>
      <c r="C6768" s="31"/>
      <c r="D6768" s="75"/>
      <c r="E6768" s="771"/>
      <c r="F6768" s="31"/>
      <c r="G6768" s="31"/>
      <c r="H6768" s="31"/>
    </row>
    <row r="6769" spans="2:8" hidden="1">
      <c r="B6769" s="200"/>
      <c r="C6769" s="31"/>
      <c r="D6769" s="75"/>
      <c r="E6769" s="771"/>
      <c r="F6769" s="33"/>
      <c r="G6769" s="33"/>
      <c r="H6769" s="31"/>
    </row>
    <row r="6770" spans="2:8" hidden="1">
      <c r="B6770" s="200"/>
      <c r="C6770" s="31"/>
      <c r="D6770" s="75"/>
      <c r="E6770" s="771"/>
      <c r="F6770" s="31"/>
      <c r="G6770" s="31"/>
      <c r="H6770" s="31"/>
    </row>
    <row r="6771" spans="2:8" hidden="1">
      <c r="B6771" s="200"/>
      <c r="C6771" s="31"/>
      <c r="D6771" s="75"/>
      <c r="E6771" s="771"/>
      <c r="F6771" s="31"/>
      <c r="G6771" s="31"/>
      <c r="H6771" s="31"/>
    </row>
    <row r="6772" spans="2:8" hidden="1">
      <c r="B6772" s="200"/>
      <c r="C6772" s="31"/>
      <c r="D6772" s="75"/>
      <c r="E6772" s="771"/>
      <c r="F6772" s="33"/>
      <c r="G6772" s="33"/>
      <c r="H6772" s="31"/>
    </row>
    <row r="6773" spans="2:8" hidden="1">
      <c r="B6773" s="200"/>
      <c r="C6773" s="31"/>
      <c r="D6773" s="75"/>
      <c r="E6773" s="771"/>
      <c r="F6773" s="33"/>
      <c r="G6773" s="33"/>
      <c r="H6773" s="31"/>
    </row>
    <row r="6774" spans="2:8" hidden="1">
      <c r="B6774" s="200"/>
      <c r="C6774" s="31"/>
      <c r="D6774" s="75"/>
      <c r="E6774" s="771"/>
      <c r="F6774" s="33"/>
      <c r="G6774" s="33"/>
      <c r="H6774" s="31"/>
    </row>
    <row r="6775" spans="2:8" hidden="1">
      <c r="B6775" s="200"/>
      <c r="C6775" s="31"/>
      <c r="D6775" s="75"/>
      <c r="E6775" s="772"/>
      <c r="F6775" s="33"/>
      <c r="G6775" s="33"/>
      <c r="H6775" s="31"/>
    </row>
    <row r="6776" spans="2:8" hidden="1">
      <c r="B6776" s="200"/>
      <c r="C6776" s="31"/>
      <c r="D6776" s="75"/>
      <c r="E6776" s="771"/>
      <c r="F6776" s="31"/>
      <c r="G6776" s="31"/>
      <c r="H6776" s="31"/>
    </row>
    <row r="6777" spans="2:8" hidden="1">
      <c r="B6777" s="200"/>
      <c r="C6777" s="31"/>
      <c r="D6777" s="75"/>
      <c r="E6777" s="772"/>
      <c r="F6777" s="33"/>
      <c r="G6777" s="33"/>
      <c r="H6777" s="31"/>
    </row>
    <row r="6778" spans="2:8" hidden="1">
      <c r="B6778" s="200"/>
      <c r="C6778" s="31"/>
      <c r="D6778" s="75"/>
      <c r="E6778" s="772"/>
      <c r="F6778" s="33"/>
      <c r="G6778" s="33"/>
      <c r="H6778" s="31"/>
    </row>
    <row r="6779" spans="2:8" hidden="1">
      <c r="B6779" s="200"/>
      <c r="C6779" s="31"/>
      <c r="D6779" s="75"/>
      <c r="E6779" s="772"/>
      <c r="F6779" s="33"/>
      <c r="G6779" s="33"/>
      <c r="H6779" s="31"/>
    </row>
    <row r="6780" spans="2:8" hidden="1">
      <c r="B6780" s="200"/>
      <c r="C6780" s="31"/>
      <c r="D6780" s="75"/>
      <c r="E6780" s="772"/>
      <c r="F6780" s="33"/>
      <c r="G6780" s="33"/>
      <c r="H6780" s="31"/>
    </row>
    <row r="6781" spans="2:8" hidden="1">
      <c r="B6781" s="200"/>
      <c r="C6781" s="31"/>
      <c r="D6781" s="75"/>
      <c r="E6781" s="772"/>
      <c r="F6781" s="33"/>
      <c r="G6781" s="33"/>
      <c r="H6781" s="31"/>
    </row>
    <row r="6782" spans="2:8" hidden="1">
      <c r="B6782" s="200"/>
      <c r="C6782" s="31"/>
      <c r="D6782" s="75"/>
      <c r="E6782" s="772"/>
      <c r="F6782" s="33"/>
      <c r="G6782" s="33"/>
      <c r="H6782" s="31"/>
    </row>
    <row r="6783" spans="2:8" hidden="1">
      <c r="B6783" s="200"/>
      <c r="C6783" s="31"/>
      <c r="D6783" s="75"/>
      <c r="E6783" s="771"/>
      <c r="F6783" s="33"/>
      <c r="G6783" s="33"/>
      <c r="H6783" s="31"/>
    </row>
    <row r="6784" spans="2:8" hidden="1">
      <c r="B6784" s="200"/>
      <c r="C6784" s="31"/>
      <c r="D6784" s="75"/>
      <c r="E6784" s="771"/>
      <c r="F6784" s="31"/>
      <c r="G6784" s="31"/>
      <c r="H6784" s="31"/>
    </row>
    <row r="6785" spans="2:8" hidden="1">
      <c r="B6785" s="200"/>
      <c r="C6785" s="31"/>
      <c r="D6785" s="75"/>
      <c r="E6785" s="771"/>
      <c r="F6785" s="31"/>
      <c r="G6785" s="31"/>
      <c r="H6785" s="31"/>
    </row>
    <row r="6786" spans="2:8" hidden="1">
      <c r="B6786" s="200"/>
      <c r="C6786" s="31"/>
      <c r="D6786" s="75"/>
      <c r="E6786" s="771"/>
      <c r="F6786" s="31"/>
      <c r="G6786" s="31"/>
      <c r="H6786" s="31"/>
    </row>
    <row r="6787" spans="2:8" hidden="1">
      <c r="B6787" s="200"/>
      <c r="C6787" s="31"/>
      <c r="D6787" s="75"/>
      <c r="E6787" s="771"/>
      <c r="F6787" s="31"/>
      <c r="G6787" s="31"/>
      <c r="H6787" s="31"/>
    </row>
    <row r="6788" spans="2:8" hidden="1">
      <c r="B6788" s="200"/>
      <c r="C6788" s="31"/>
      <c r="D6788" s="75"/>
      <c r="E6788" s="31"/>
      <c r="F6788" s="31"/>
      <c r="G6788" s="31"/>
      <c r="H6788" s="31"/>
    </row>
    <row r="6789" spans="2:8" hidden="1">
      <c r="B6789" s="200"/>
      <c r="C6789" s="31"/>
      <c r="D6789" s="75"/>
      <c r="E6789" s="31"/>
      <c r="F6789" s="31"/>
      <c r="G6789" s="31"/>
      <c r="H6789" s="31"/>
    </row>
    <row r="6790" spans="2:8" hidden="1">
      <c r="B6790" s="200"/>
      <c r="C6790" s="31"/>
      <c r="D6790" s="75"/>
      <c r="E6790" s="31"/>
      <c r="F6790" s="31"/>
      <c r="G6790" s="31"/>
      <c r="H6790" s="31"/>
    </row>
    <row r="6791" spans="2:8" hidden="1">
      <c r="B6791" s="200"/>
      <c r="C6791" s="31"/>
      <c r="D6791" s="75"/>
      <c r="E6791" s="33"/>
      <c r="F6791" s="33"/>
      <c r="G6791" s="33"/>
      <c r="H6791" s="31"/>
    </row>
    <row r="6792" spans="2:8" hidden="1">
      <c r="B6792" s="200"/>
      <c r="C6792" s="31"/>
      <c r="D6792" s="75"/>
      <c r="E6792" s="33"/>
      <c r="F6792" s="33"/>
      <c r="G6792" s="33"/>
      <c r="H6792" s="31"/>
    </row>
    <row r="6793" spans="2:8" hidden="1">
      <c r="B6793" s="200"/>
      <c r="C6793" s="31"/>
      <c r="D6793" s="75"/>
      <c r="E6793" s="33"/>
      <c r="F6793" s="33"/>
      <c r="G6793" s="33"/>
      <c r="H6793" s="31"/>
    </row>
    <row r="6794" spans="2:8" hidden="1">
      <c r="B6794" s="200"/>
      <c r="C6794" s="31"/>
      <c r="D6794" s="75"/>
      <c r="E6794" s="31"/>
      <c r="F6794" s="31"/>
      <c r="G6794" s="31"/>
      <c r="H6794" s="31"/>
    </row>
    <row r="6795" spans="2:8" hidden="1">
      <c r="B6795" s="33"/>
      <c r="C6795" s="200"/>
      <c r="D6795" s="75"/>
      <c r="E6795" s="31"/>
      <c r="F6795" s="31"/>
      <c r="G6795" s="31"/>
      <c r="H6795" s="31"/>
    </row>
    <row r="6796" spans="2:8" hidden="1">
      <c r="B6796" s="33"/>
      <c r="C6796" s="31"/>
      <c r="D6796" s="104"/>
      <c r="E6796" s="33"/>
      <c r="F6796" s="33"/>
      <c r="G6796" s="33"/>
      <c r="H6796" s="31"/>
    </row>
    <row r="6797" spans="2:8" hidden="1">
      <c r="B6797" s="33"/>
      <c r="C6797" s="31"/>
      <c r="D6797" s="31"/>
      <c r="E6797" s="31"/>
      <c r="F6797" s="31"/>
      <c r="G6797" s="31"/>
      <c r="H6797" s="31"/>
    </row>
    <row r="6798" spans="2:8" hidden="1">
      <c r="B6798" s="405"/>
      <c r="C6798" s="31"/>
      <c r="D6798" s="31"/>
      <c r="E6798" s="31"/>
      <c r="F6798" s="31"/>
      <c r="G6798" s="31"/>
      <c r="H6798" s="31"/>
    </row>
    <row r="6799" spans="2:8" hidden="1">
      <c r="B6799" s="405"/>
      <c r="C6799" s="31"/>
      <c r="D6799" s="31"/>
      <c r="E6799" s="31"/>
      <c r="F6799" s="691"/>
      <c r="G6799" s="75"/>
      <c r="H6799" s="31"/>
    </row>
    <row r="6800" spans="2:8" hidden="1">
      <c r="B6800" s="405"/>
      <c r="C6800" s="31"/>
      <c r="D6800" s="31"/>
      <c r="E6800" s="31"/>
      <c r="F6800" s="691"/>
      <c r="G6800" s="75"/>
      <c r="H6800" s="31"/>
    </row>
    <row r="6801" spans="2:8" hidden="1">
      <c r="B6801" s="405"/>
      <c r="C6801" s="31"/>
      <c r="D6801" s="31"/>
      <c r="E6801" s="31"/>
      <c r="F6801" s="691"/>
      <c r="G6801" s="75"/>
      <c r="H6801" s="31"/>
    </row>
    <row r="6802" spans="2:8" hidden="1">
      <c r="B6802" s="405"/>
      <c r="C6802" s="31"/>
      <c r="D6802" s="31"/>
      <c r="E6802" s="31"/>
      <c r="F6802" s="691"/>
      <c r="G6802" s="75"/>
      <c r="H6802" s="31"/>
    </row>
    <row r="6803" spans="2:8" hidden="1">
      <c r="B6803" s="405"/>
      <c r="C6803" s="31"/>
      <c r="D6803" s="31"/>
      <c r="E6803" s="31"/>
      <c r="F6803" s="691"/>
      <c r="G6803" s="75"/>
      <c r="H6803" s="31"/>
    </row>
    <row r="6804" spans="2:8" hidden="1">
      <c r="B6804" s="405"/>
      <c r="C6804" s="31"/>
      <c r="D6804" s="31"/>
      <c r="E6804" s="31"/>
      <c r="F6804" s="691"/>
      <c r="G6804" s="75"/>
      <c r="H6804" s="31"/>
    </row>
    <row r="6805" spans="2:8" hidden="1">
      <c r="B6805" s="405"/>
      <c r="C6805" s="31"/>
      <c r="D6805" s="31"/>
      <c r="E6805" s="31"/>
      <c r="F6805" s="691"/>
      <c r="G6805" s="75"/>
      <c r="H6805" s="31"/>
    </row>
    <row r="6806" spans="2:8" hidden="1">
      <c r="B6806" s="405"/>
      <c r="C6806" s="31"/>
      <c r="D6806" s="31"/>
      <c r="E6806" s="31"/>
      <c r="F6806" s="691"/>
      <c r="G6806" s="75"/>
      <c r="H6806" s="31"/>
    </row>
    <row r="6807" spans="2:8" hidden="1">
      <c r="B6807" s="405"/>
      <c r="C6807" s="31"/>
      <c r="D6807" s="31"/>
      <c r="E6807" s="31"/>
      <c r="F6807" s="691"/>
      <c r="G6807" s="75"/>
      <c r="H6807" s="31"/>
    </row>
    <row r="6808" spans="2:8" hidden="1">
      <c r="B6808" s="405"/>
      <c r="C6808" s="31"/>
      <c r="D6808" s="31"/>
      <c r="E6808" s="31"/>
      <c r="F6808" s="691"/>
      <c r="G6808" s="75"/>
      <c r="H6808" s="31"/>
    </row>
    <row r="6809" spans="2:8" hidden="1">
      <c r="B6809" s="405"/>
      <c r="C6809" s="31"/>
      <c r="D6809" s="31"/>
      <c r="E6809" s="31"/>
      <c r="F6809" s="691"/>
      <c r="G6809" s="31"/>
      <c r="H6809" s="31"/>
    </row>
    <row r="6810" spans="2:8" hidden="1">
      <c r="B6810" s="33"/>
      <c r="C6810" s="31"/>
      <c r="D6810" s="31"/>
      <c r="E6810" s="31"/>
      <c r="F6810" s="691"/>
      <c r="G6810" s="75"/>
      <c r="H6810" s="31"/>
    </row>
    <row r="6811" spans="2:8" hidden="1">
      <c r="B6811" s="33"/>
      <c r="C6811" s="31"/>
      <c r="D6811" s="31"/>
      <c r="E6811" s="31"/>
      <c r="F6811" s="691"/>
      <c r="G6811" s="75"/>
      <c r="H6811" s="31"/>
    </row>
    <row r="6812" spans="2:8" hidden="1">
      <c r="B6812" s="33"/>
      <c r="C6812" s="31"/>
      <c r="D6812" s="31"/>
      <c r="E6812" s="31"/>
      <c r="F6812" s="691"/>
      <c r="G6812" s="31"/>
      <c r="H6812" s="31"/>
    </row>
    <row r="6813" spans="2:8" hidden="1">
      <c r="B6813" s="33"/>
      <c r="C6813" s="31"/>
      <c r="D6813" s="31"/>
      <c r="E6813" s="31"/>
      <c r="F6813" s="31"/>
      <c r="G6813" s="31"/>
      <c r="H6813" s="31"/>
    </row>
    <row r="6814" spans="2:8" hidden="1">
      <c r="B6814" s="33"/>
      <c r="C6814" s="31"/>
      <c r="D6814" s="31"/>
      <c r="E6814" s="31"/>
      <c r="F6814" s="31"/>
      <c r="G6814" s="31"/>
      <c r="H6814" s="31"/>
    </row>
    <row r="6815" spans="2:8" hidden="1">
      <c r="B6815" s="33"/>
      <c r="C6815" s="31"/>
      <c r="D6815" s="31"/>
      <c r="E6815" s="31"/>
      <c r="F6815" s="31"/>
      <c r="G6815" s="31"/>
      <c r="H6815" s="31"/>
    </row>
    <row r="6816" spans="2:8" hidden="1">
      <c r="B6816" s="33"/>
      <c r="C6816" s="31"/>
      <c r="D6816" s="31"/>
      <c r="E6816" s="31"/>
      <c r="F6816" s="31"/>
      <c r="G6816" s="31"/>
      <c r="H6816" s="31"/>
    </row>
    <row r="6817" spans="2:8" hidden="1">
      <c r="B6817" s="33"/>
      <c r="C6817" s="31"/>
      <c r="D6817" s="31"/>
      <c r="E6817" s="31"/>
      <c r="F6817" s="31"/>
      <c r="G6817" s="31"/>
      <c r="H6817" s="31"/>
    </row>
    <row r="6818" spans="2:8" hidden="1">
      <c r="B6818" s="33"/>
      <c r="C6818" s="31"/>
      <c r="D6818" s="31"/>
      <c r="E6818" s="31"/>
      <c r="F6818" s="31"/>
      <c r="G6818" s="31"/>
      <c r="H6818" s="31"/>
    </row>
    <row r="6819" spans="2:8" hidden="1">
      <c r="B6819" s="33"/>
      <c r="C6819" s="31"/>
      <c r="D6819" s="31"/>
      <c r="E6819" s="31"/>
      <c r="F6819" s="31"/>
      <c r="G6819" s="31"/>
      <c r="H6819" s="31"/>
    </row>
    <row r="6820" spans="2:8" hidden="1">
      <c r="B6820" s="33"/>
      <c r="C6820" s="31"/>
      <c r="D6820" s="31"/>
      <c r="E6820" s="31"/>
      <c r="F6820" s="31"/>
      <c r="G6820" s="31"/>
      <c r="H6820" s="31"/>
    </row>
    <row r="6821" spans="2:8" hidden="1">
      <c r="B6821" s="33"/>
      <c r="C6821" s="31"/>
      <c r="D6821" s="33"/>
      <c r="E6821" s="33"/>
      <c r="F6821" s="33"/>
      <c r="G6821" s="33"/>
      <c r="H6821" s="31"/>
    </row>
    <row r="6822" spans="2:8" hidden="1">
      <c r="B6822" s="33"/>
      <c r="C6822" s="31"/>
      <c r="D6822" s="33"/>
      <c r="E6822" s="33"/>
      <c r="F6822" s="33"/>
      <c r="G6822" s="33"/>
      <c r="H6822" s="31"/>
    </row>
    <row r="6823" spans="2:8" hidden="1">
      <c r="B6823" s="33"/>
      <c r="C6823" s="31"/>
      <c r="D6823" s="31"/>
      <c r="E6823" s="31"/>
      <c r="F6823" s="31"/>
      <c r="G6823" s="31"/>
      <c r="H6823" s="31"/>
    </row>
    <row r="6824" spans="2:8" hidden="1">
      <c r="B6824" s="200"/>
      <c r="C6824" s="31"/>
      <c r="D6824" s="75"/>
      <c r="E6824" s="771"/>
      <c r="F6824" s="33"/>
      <c r="G6824" s="33"/>
      <c r="H6824" s="31"/>
    </row>
    <row r="6825" spans="2:8" hidden="1">
      <c r="B6825" s="200"/>
      <c r="C6825" s="31"/>
      <c r="D6825" s="75"/>
      <c r="E6825" s="771"/>
      <c r="F6825" s="31"/>
      <c r="G6825" s="31"/>
      <c r="H6825" s="31"/>
    </row>
    <row r="6826" spans="2:8" hidden="1">
      <c r="B6826" s="200"/>
      <c r="C6826" s="31"/>
      <c r="D6826" s="75"/>
      <c r="E6826" s="771"/>
      <c r="F6826" s="31"/>
      <c r="G6826" s="31"/>
      <c r="H6826" s="31"/>
    </row>
    <row r="6827" spans="2:8" hidden="1">
      <c r="B6827" s="200"/>
      <c r="C6827" s="31"/>
      <c r="D6827" s="75"/>
      <c r="E6827" s="771"/>
      <c r="F6827" s="33"/>
      <c r="G6827" s="33"/>
      <c r="H6827" s="31"/>
    </row>
    <row r="6828" spans="2:8" hidden="1">
      <c r="B6828" s="200"/>
      <c r="C6828" s="31"/>
      <c r="D6828" s="75"/>
      <c r="E6828" s="771"/>
      <c r="F6828" s="31"/>
      <c r="G6828" s="31"/>
      <c r="H6828" s="31"/>
    </row>
    <row r="6829" spans="2:8" hidden="1">
      <c r="B6829" s="200"/>
      <c r="C6829" s="31"/>
      <c r="D6829" s="75"/>
      <c r="E6829" s="771"/>
      <c r="F6829" s="31"/>
      <c r="G6829" s="31"/>
      <c r="H6829" s="31"/>
    </row>
    <row r="6830" spans="2:8" hidden="1">
      <c r="B6830" s="200"/>
      <c r="C6830" s="31"/>
      <c r="D6830" s="75"/>
      <c r="E6830" s="771"/>
      <c r="F6830" s="31"/>
      <c r="G6830" s="31"/>
      <c r="H6830" s="31"/>
    </row>
    <row r="6831" spans="2:8" hidden="1">
      <c r="B6831" s="200"/>
      <c r="C6831" s="31"/>
      <c r="D6831" s="75"/>
      <c r="E6831" s="771"/>
      <c r="F6831" s="31"/>
      <c r="G6831" s="31"/>
      <c r="H6831" s="31"/>
    </row>
    <row r="6832" spans="2:8" hidden="1">
      <c r="B6832" s="200"/>
      <c r="C6832" s="31"/>
      <c r="D6832" s="75"/>
      <c r="E6832" s="771"/>
      <c r="F6832" s="31"/>
      <c r="G6832" s="31"/>
      <c r="H6832" s="31"/>
    </row>
    <row r="6833" spans="2:8" hidden="1">
      <c r="B6833" s="200"/>
      <c r="C6833" s="31"/>
      <c r="D6833" s="75"/>
      <c r="E6833" s="771"/>
      <c r="F6833" s="31"/>
      <c r="G6833" s="31"/>
      <c r="H6833" s="31"/>
    </row>
    <row r="6834" spans="2:8" hidden="1">
      <c r="B6834" s="200"/>
      <c r="C6834" s="31"/>
      <c r="D6834" s="75"/>
      <c r="E6834" s="771"/>
      <c r="F6834" s="31"/>
      <c r="G6834" s="31"/>
      <c r="H6834" s="31"/>
    </row>
    <row r="6835" spans="2:8" hidden="1">
      <c r="B6835" s="200"/>
      <c r="C6835" s="31"/>
      <c r="D6835" s="75"/>
      <c r="E6835" s="771"/>
      <c r="F6835" s="31"/>
      <c r="G6835" s="31"/>
      <c r="H6835" s="31"/>
    </row>
    <row r="6836" spans="2:8" hidden="1">
      <c r="B6836" s="200"/>
      <c r="C6836" s="31"/>
      <c r="D6836" s="75"/>
      <c r="E6836" s="771"/>
      <c r="F6836" s="31"/>
      <c r="G6836" s="31"/>
      <c r="H6836" s="31"/>
    </row>
    <row r="6837" spans="2:8" hidden="1">
      <c r="B6837" s="200"/>
      <c r="C6837" s="31"/>
      <c r="D6837" s="75"/>
      <c r="E6837" s="771"/>
      <c r="F6837" s="31"/>
      <c r="G6837" s="31"/>
      <c r="H6837" s="31"/>
    </row>
    <row r="6838" spans="2:8" hidden="1">
      <c r="B6838" s="200"/>
      <c r="C6838" s="31"/>
      <c r="D6838" s="75"/>
      <c r="E6838" s="771"/>
      <c r="F6838" s="31"/>
      <c r="G6838" s="31"/>
      <c r="H6838" s="31"/>
    </row>
    <row r="6839" spans="2:8" hidden="1">
      <c r="B6839" s="200"/>
      <c r="C6839" s="31"/>
      <c r="D6839" s="75"/>
      <c r="E6839" s="771"/>
      <c r="F6839" s="31"/>
      <c r="G6839" s="31"/>
      <c r="H6839" s="31"/>
    </row>
    <row r="6840" spans="2:8" hidden="1">
      <c r="B6840" s="200"/>
      <c r="C6840" s="31"/>
      <c r="D6840" s="75"/>
      <c r="E6840" s="771"/>
      <c r="F6840" s="31"/>
      <c r="G6840" s="31"/>
      <c r="H6840" s="31"/>
    </row>
    <row r="6841" spans="2:8" hidden="1">
      <c r="B6841" s="200"/>
      <c r="C6841" s="31"/>
      <c r="D6841" s="75"/>
      <c r="E6841" s="771"/>
      <c r="F6841" s="31"/>
      <c r="G6841" s="31"/>
      <c r="H6841" s="31"/>
    </row>
    <row r="6842" spans="2:8" hidden="1">
      <c r="B6842" s="200"/>
      <c r="C6842" s="31"/>
      <c r="D6842" s="75"/>
      <c r="E6842" s="771"/>
      <c r="F6842" s="31"/>
      <c r="G6842" s="31"/>
      <c r="H6842" s="31"/>
    </row>
    <row r="6843" spans="2:8" hidden="1">
      <c r="B6843" s="200"/>
      <c r="C6843" s="31"/>
      <c r="D6843" s="75"/>
      <c r="E6843" s="771"/>
      <c r="F6843" s="31"/>
      <c r="G6843" s="31"/>
      <c r="H6843" s="31"/>
    </row>
    <row r="6844" spans="2:8" hidden="1">
      <c r="B6844" s="200"/>
      <c r="C6844" s="31"/>
      <c r="D6844" s="75"/>
      <c r="E6844" s="771"/>
      <c r="F6844" s="31"/>
      <c r="G6844" s="31"/>
      <c r="H6844" s="31"/>
    </row>
    <row r="6845" spans="2:8" hidden="1">
      <c r="B6845" s="200"/>
      <c r="C6845" s="31"/>
      <c r="D6845" s="75"/>
      <c r="E6845" s="771"/>
      <c r="F6845" s="771"/>
      <c r="G6845" s="31"/>
      <c r="H6845" s="31"/>
    </row>
    <row r="6846" spans="2:8" hidden="1">
      <c r="B6846" s="200"/>
      <c r="C6846" s="31"/>
      <c r="D6846" s="75"/>
      <c r="E6846" s="771"/>
      <c r="F6846" s="771"/>
      <c r="G6846" s="31"/>
      <c r="H6846" s="31"/>
    </row>
    <row r="6847" spans="2:8" hidden="1">
      <c r="B6847" s="200"/>
      <c r="C6847" s="31"/>
      <c r="D6847" s="75"/>
      <c r="E6847" s="771"/>
      <c r="F6847" s="771"/>
      <c r="G6847" s="31"/>
      <c r="H6847" s="31"/>
    </row>
    <row r="6848" spans="2:8" hidden="1">
      <c r="B6848" s="200"/>
      <c r="C6848" s="31"/>
      <c r="D6848" s="75"/>
      <c r="E6848" s="771"/>
      <c r="F6848" s="771"/>
      <c r="G6848" s="31"/>
      <c r="H6848" s="31"/>
    </row>
    <row r="6849" spans="2:8" hidden="1">
      <c r="B6849" s="200"/>
      <c r="C6849" s="31"/>
      <c r="D6849" s="75"/>
      <c r="E6849" s="771"/>
      <c r="F6849" s="772"/>
      <c r="G6849" s="33"/>
      <c r="H6849" s="31"/>
    </row>
    <row r="6850" spans="2:8" hidden="1">
      <c r="B6850" s="200"/>
      <c r="C6850" s="31"/>
      <c r="D6850" s="75"/>
      <c r="E6850" s="771"/>
      <c r="F6850" s="771"/>
      <c r="G6850" s="31"/>
      <c r="H6850" s="31"/>
    </row>
    <row r="6851" spans="2:8" hidden="1">
      <c r="B6851" s="200"/>
      <c r="C6851" s="31"/>
      <c r="D6851" s="75"/>
      <c r="E6851" s="771"/>
      <c r="F6851" s="771"/>
      <c r="G6851" s="31"/>
      <c r="H6851" s="31"/>
    </row>
    <row r="6852" spans="2:8" hidden="1">
      <c r="B6852" s="200"/>
      <c r="C6852" s="31"/>
      <c r="D6852" s="75"/>
      <c r="E6852" s="771"/>
      <c r="F6852" s="771"/>
      <c r="G6852" s="31"/>
      <c r="H6852" s="31"/>
    </row>
    <row r="6853" spans="2:8" hidden="1">
      <c r="B6853" s="200"/>
      <c r="C6853" s="31"/>
      <c r="D6853" s="75"/>
      <c r="E6853" s="771"/>
      <c r="F6853" s="771"/>
      <c r="G6853" s="31"/>
      <c r="H6853" s="31"/>
    </row>
    <row r="6854" spans="2:8" hidden="1">
      <c r="B6854" s="200"/>
      <c r="C6854" s="31"/>
      <c r="D6854" s="75"/>
      <c r="E6854" s="771"/>
      <c r="F6854" s="771"/>
      <c r="G6854" s="31"/>
      <c r="H6854" s="31"/>
    </row>
    <row r="6855" spans="2:8" hidden="1">
      <c r="B6855" s="200"/>
      <c r="C6855" s="31"/>
      <c r="D6855" s="75"/>
      <c r="E6855" s="771"/>
      <c r="F6855" s="771"/>
      <c r="G6855" s="31"/>
      <c r="H6855" s="31"/>
    </row>
    <row r="6856" spans="2:8" hidden="1">
      <c r="B6856" s="200"/>
      <c r="C6856" s="31"/>
      <c r="D6856" s="75"/>
      <c r="E6856" s="771"/>
      <c r="F6856" s="771"/>
      <c r="G6856" s="31"/>
      <c r="H6856" s="31"/>
    </row>
    <row r="6857" spans="2:8" hidden="1">
      <c r="B6857" s="200"/>
      <c r="C6857" s="31"/>
      <c r="D6857" s="75"/>
      <c r="E6857" s="771"/>
      <c r="F6857" s="771"/>
      <c r="G6857" s="31"/>
      <c r="H6857" s="31"/>
    </row>
    <row r="6858" spans="2:8" hidden="1">
      <c r="B6858" s="200"/>
      <c r="C6858" s="31"/>
      <c r="D6858" s="75"/>
      <c r="E6858" s="771"/>
      <c r="F6858" s="772"/>
      <c r="G6858" s="33"/>
      <c r="H6858" s="31"/>
    </row>
    <row r="6859" spans="2:8" hidden="1">
      <c r="B6859" s="200"/>
      <c r="C6859" s="31"/>
      <c r="D6859" s="75"/>
      <c r="E6859" s="771"/>
      <c r="F6859" s="771"/>
      <c r="G6859" s="31"/>
      <c r="H6859" s="31"/>
    </row>
    <row r="6860" spans="2:8" hidden="1">
      <c r="B6860" s="200"/>
      <c r="C6860" s="31"/>
      <c r="D6860" s="75"/>
      <c r="E6860" s="771"/>
      <c r="F6860" s="771"/>
      <c r="G6860" s="31"/>
      <c r="H6860" s="31"/>
    </row>
    <row r="6861" spans="2:8" hidden="1">
      <c r="B6861" s="200"/>
      <c r="C6861" s="31"/>
      <c r="D6861" s="75"/>
      <c r="E6861" s="771"/>
      <c r="F6861" s="772"/>
      <c r="G6861" s="33"/>
      <c r="H6861" s="31"/>
    </row>
    <row r="6862" spans="2:8" hidden="1">
      <c r="B6862" s="200"/>
      <c r="C6862" s="31"/>
      <c r="D6862" s="75"/>
      <c r="E6862" s="771"/>
      <c r="F6862" s="771"/>
      <c r="G6862" s="31"/>
      <c r="H6862" s="31"/>
    </row>
    <row r="6863" spans="2:8" hidden="1">
      <c r="B6863" s="200"/>
      <c r="C6863" s="31"/>
      <c r="D6863" s="75"/>
      <c r="E6863" s="771"/>
      <c r="F6863" s="771"/>
      <c r="G6863" s="31"/>
      <c r="H6863" s="31"/>
    </row>
    <row r="6864" spans="2:8" hidden="1">
      <c r="B6864" s="200"/>
      <c r="C6864" s="31"/>
      <c r="D6864" s="75"/>
      <c r="E6864" s="771"/>
      <c r="F6864" s="771"/>
      <c r="G6864" s="31"/>
      <c r="H6864" s="31"/>
    </row>
    <row r="6865" spans="2:8" hidden="1">
      <c r="B6865" s="200"/>
      <c r="C6865" s="31"/>
      <c r="D6865" s="75"/>
      <c r="E6865" s="771"/>
      <c r="F6865" s="771"/>
      <c r="G6865" s="31"/>
      <c r="H6865" s="31"/>
    </row>
    <row r="6866" spans="2:8" hidden="1">
      <c r="B6866" s="200"/>
      <c r="C6866" s="31"/>
      <c r="D6866" s="75"/>
      <c r="E6866" s="771"/>
      <c r="F6866" s="772"/>
      <c r="G6866" s="33"/>
      <c r="H6866" s="31"/>
    </row>
    <row r="6867" spans="2:8" hidden="1">
      <c r="B6867" s="200"/>
      <c r="C6867" s="31"/>
      <c r="D6867" s="75"/>
      <c r="E6867" s="771"/>
      <c r="F6867" s="771"/>
      <c r="G6867" s="31"/>
      <c r="H6867" s="31"/>
    </row>
    <row r="6868" spans="2:8" hidden="1">
      <c r="B6868" s="200"/>
      <c r="C6868" s="31"/>
      <c r="D6868" s="75"/>
      <c r="E6868" s="771"/>
      <c r="F6868" s="771"/>
      <c r="G6868" s="31"/>
      <c r="H6868" s="31"/>
    </row>
    <row r="6869" spans="2:8" hidden="1">
      <c r="B6869" s="200"/>
      <c r="C6869" s="31"/>
      <c r="D6869" s="75"/>
      <c r="E6869" s="771"/>
      <c r="F6869" s="772"/>
      <c r="G6869" s="33"/>
      <c r="H6869" s="31"/>
    </row>
    <row r="6870" spans="2:8" hidden="1">
      <c r="B6870" s="200"/>
      <c r="C6870" s="31"/>
      <c r="D6870" s="75"/>
      <c r="E6870" s="771"/>
      <c r="F6870" s="771"/>
      <c r="G6870" s="31"/>
      <c r="H6870" s="31"/>
    </row>
    <row r="6871" spans="2:8" hidden="1">
      <c r="B6871" s="200"/>
      <c r="C6871" s="31"/>
      <c r="D6871" s="75"/>
      <c r="E6871" s="771"/>
      <c r="F6871" s="771"/>
      <c r="G6871" s="31"/>
      <c r="H6871" s="31"/>
    </row>
    <row r="6872" spans="2:8" hidden="1">
      <c r="B6872" s="200"/>
      <c r="C6872" s="31"/>
      <c r="D6872" s="75"/>
      <c r="E6872" s="771"/>
      <c r="F6872" s="771"/>
      <c r="G6872" s="31"/>
      <c r="H6872" s="31"/>
    </row>
    <row r="6873" spans="2:8" hidden="1">
      <c r="B6873" s="200"/>
      <c r="C6873" s="31"/>
      <c r="D6873" s="75"/>
      <c r="E6873" s="772"/>
      <c r="F6873" s="772"/>
      <c r="G6873" s="33"/>
      <c r="H6873" s="31"/>
    </row>
    <row r="6874" spans="2:8" hidden="1">
      <c r="B6874" s="200"/>
      <c r="C6874" s="31"/>
      <c r="D6874" s="75"/>
      <c r="E6874" s="771"/>
      <c r="F6874" s="772"/>
      <c r="G6874" s="33"/>
      <c r="H6874" s="31"/>
    </row>
    <row r="6875" spans="2:8" hidden="1">
      <c r="B6875" s="200"/>
      <c r="C6875" s="31"/>
      <c r="D6875" s="75"/>
      <c r="E6875" s="772"/>
      <c r="F6875" s="772"/>
      <c r="G6875" s="33"/>
      <c r="H6875" s="31"/>
    </row>
    <row r="6876" spans="2:8" hidden="1">
      <c r="B6876" s="200"/>
      <c r="C6876" s="31"/>
      <c r="D6876" s="75"/>
      <c r="E6876" s="771"/>
      <c r="F6876" s="772"/>
      <c r="G6876" s="33"/>
      <c r="H6876" s="31"/>
    </row>
    <row r="6877" spans="2:8" hidden="1">
      <c r="B6877" s="200"/>
      <c r="C6877" s="31"/>
      <c r="D6877" s="75"/>
      <c r="E6877" s="771"/>
      <c r="F6877" s="772"/>
      <c r="G6877" s="33"/>
      <c r="H6877" s="31"/>
    </row>
    <row r="6878" spans="2:8" hidden="1">
      <c r="B6878" s="200"/>
      <c r="C6878" s="31"/>
      <c r="D6878" s="75"/>
      <c r="E6878" s="772"/>
      <c r="F6878" s="772"/>
      <c r="G6878" s="33"/>
      <c r="H6878" s="31"/>
    </row>
    <row r="6879" spans="2:8" hidden="1">
      <c r="B6879" s="200"/>
      <c r="C6879" s="31"/>
      <c r="D6879" s="75"/>
      <c r="E6879" s="772"/>
      <c r="F6879" s="772"/>
      <c r="G6879" s="33"/>
      <c r="H6879" s="31"/>
    </row>
    <row r="6880" spans="2:8" hidden="1">
      <c r="B6880" s="200"/>
      <c r="C6880" s="31"/>
      <c r="D6880" s="75"/>
      <c r="E6880" s="771"/>
      <c r="F6880" s="771"/>
      <c r="G6880" s="31"/>
      <c r="H6880" s="31"/>
    </row>
    <row r="6881" spans="2:8" hidden="1">
      <c r="B6881" s="200"/>
      <c r="C6881" s="31"/>
      <c r="D6881" s="75"/>
      <c r="E6881" s="771"/>
      <c r="F6881" s="771"/>
      <c r="G6881" s="31"/>
      <c r="H6881" s="31"/>
    </row>
    <row r="6882" spans="2:8" hidden="1">
      <c r="B6882" s="200"/>
      <c r="C6882" s="31"/>
      <c r="D6882" s="75"/>
      <c r="E6882" s="771"/>
      <c r="F6882" s="771"/>
      <c r="G6882" s="31"/>
      <c r="H6882" s="31"/>
    </row>
    <row r="6883" spans="2:8" hidden="1">
      <c r="B6883" s="33"/>
      <c r="C6883" s="31"/>
      <c r="D6883" s="31"/>
      <c r="E6883" s="31"/>
      <c r="F6883" s="31"/>
      <c r="G6883" s="31"/>
      <c r="H6883" s="31"/>
    </row>
    <row r="6884" spans="2:8" hidden="1">
      <c r="B6884" s="200"/>
      <c r="C6884" s="31"/>
      <c r="D6884" s="75"/>
      <c r="E6884" s="771"/>
      <c r="F6884" s="772"/>
      <c r="G6884" s="33"/>
      <c r="H6884" s="31"/>
    </row>
    <row r="6885" spans="2:8" hidden="1">
      <c r="B6885" s="200"/>
      <c r="C6885" s="31"/>
      <c r="D6885" s="75"/>
      <c r="E6885" s="771"/>
      <c r="F6885" s="772"/>
      <c r="G6885" s="33"/>
      <c r="H6885" s="31"/>
    </row>
    <row r="6886" spans="2:8" hidden="1">
      <c r="B6886" s="200"/>
      <c r="C6886" s="31"/>
      <c r="D6886" s="75"/>
      <c r="E6886" s="771"/>
      <c r="F6886" s="771"/>
      <c r="G6886" s="31"/>
      <c r="H6886" s="31"/>
    </row>
    <row r="6887" spans="2:8" hidden="1">
      <c r="B6887" s="200"/>
      <c r="C6887" s="31"/>
      <c r="D6887" s="75"/>
      <c r="E6887" s="771"/>
      <c r="F6887" s="771"/>
      <c r="G6887" s="31"/>
      <c r="H6887" s="31"/>
    </row>
    <row r="6888" spans="2:8" hidden="1">
      <c r="B6888" s="200"/>
      <c r="C6888" s="31"/>
      <c r="D6888" s="75"/>
      <c r="E6888" s="771"/>
      <c r="F6888" s="771"/>
      <c r="G6888" s="31"/>
      <c r="H6888" s="31"/>
    </row>
    <row r="6889" spans="2:8" hidden="1">
      <c r="B6889" s="200"/>
      <c r="C6889" s="31"/>
      <c r="D6889" s="75"/>
      <c r="E6889" s="771"/>
      <c r="F6889" s="771"/>
      <c r="G6889" s="31"/>
      <c r="H6889" s="31"/>
    </row>
    <row r="6890" spans="2:8" hidden="1">
      <c r="B6890" s="200"/>
      <c r="C6890" s="31"/>
      <c r="D6890" s="75"/>
      <c r="E6890" s="771"/>
      <c r="F6890" s="771"/>
      <c r="G6890" s="31"/>
      <c r="H6890" s="31"/>
    </row>
    <row r="6891" spans="2:8" hidden="1">
      <c r="B6891" s="200"/>
      <c r="C6891" s="31"/>
      <c r="D6891" s="75"/>
      <c r="E6891" s="771"/>
      <c r="F6891" s="771"/>
      <c r="G6891" s="31"/>
      <c r="H6891" s="31"/>
    </row>
    <row r="6892" spans="2:8" hidden="1">
      <c r="B6892" s="200"/>
      <c r="C6892" s="31"/>
      <c r="D6892" s="75"/>
      <c r="E6892" s="771"/>
      <c r="F6892" s="771"/>
      <c r="G6892" s="31"/>
      <c r="H6892" s="31"/>
    </row>
    <row r="6893" spans="2:8" hidden="1">
      <c r="B6893" s="200"/>
      <c r="C6893" s="31"/>
      <c r="D6893" s="75"/>
      <c r="E6893" s="771"/>
      <c r="F6893" s="771"/>
      <c r="G6893" s="31"/>
      <c r="H6893" s="31"/>
    </row>
    <row r="6894" spans="2:8" hidden="1">
      <c r="B6894" s="200"/>
      <c r="C6894" s="31"/>
      <c r="D6894" s="75"/>
      <c r="E6894" s="771"/>
      <c r="F6894" s="771"/>
      <c r="G6894" s="31"/>
      <c r="H6894" s="31"/>
    </row>
    <row r="6895" spans="2:8" hidden="1">
      <c r="B6895" s="200"/>
      <c r="C6895" s="31"/>
      <c r="D6895" s="75"/>
      <c r="E6895" s="771"/>
      <c r="F6895" s="771"/>
      <c r="G6895" s="31"/>
      <c r="H6895" s="31"/>
    </row>
    <row r="6896" spans="2:8" hidden="1">
      <c r="B6896" s="200"/>
      <c r="C6896" s="31"/>
      <c r="D6896" s="75"/>
      <c r="E6896" s="771"/>
      <c r="F6896" s="771"/>
      <c r="G6896" s="31"/>
      <c r="H6896" s="31"/>
    </row>
    <row r="6897" spans="2:8" hidden="1">
      <c r="B6897" s="200"/>
      <c r="C6897" s="31"/>
      <c r="D6897" s="75"/>
      <c r="E6897" s="771"/>
      <c r="F6897" s="771"/>
      <c r="G6897" s="31"/>
      <c r="H6897" s="31"/>
    </row>
    <row r="6898" spans="2:8" hidden="1">
      <c r="B6898" s="200"/>
      <c r="C6898" s="31"/>
      <c r="D6898" s="75"/>
      <c r="E6898" s="771"/>
      <c r="F6898" s="771"/>
      <c r="G6898" s="31"/>
      <c r="H6898" s="31"/>
    </row>
    <row r="6899" spans="2:8" hidden="1">
      <c r="B6899" s="200"/>
      <c r="C6899" s="31"/>
      <c r="D6899" s="75"/>
      <c r="E6899" s="771"/>
      <c r="F6899" s="771"/>
      <c r="G6899" s="31"/>
      <c r="H6899" s="31"/>
    </row>
    <row r="6900" spans="2:8" hidden="1">
      <c r="B6900" s="200"/>
      <c r="C6900" s="31"/>
      <c r="D6900" s="75"/>
      <c r="E6900" s="771"/>
      <c r="F6900" s="771"/>
      <c r="G6900" s="31"/>
      <c r="H6900" s="31"/>
    </row>
    <row r="6901" spans="2:8" hidden="1">
      <c r="B6901" s="200"/>
      <c r="C6901" s="31"/>
      <c r="D6901" s="75"/>
      <c r="E6901" s="771"/>
      <c r="F6901" s="771"/>
      <c r="G6901" s="31"/>
      <c r="H6901" s="31"/>
    </row>
    <row r="6902" spans="2:8" hidden="1">
      <c r="B6902" s="200"/>
      <c r="C6902" s="31"/>
      <c r="D6902" s="75"/>
      <c r="E6902" s="771"/>
      <c r="F6902" s="771"/>
      <c r="G6902" s="31"/>
      <c r="H6902" s="31"/>
    </row>
    <row r="6903" spans="2:8" hidden="1">
      <c r="B6903" s="200"/>
      <c r="C6903" s="31"/>
      <c r="D6903" s="75"/>
      <c r="E6903" s="771"/>
      <c r="F6903" s="771"/>
      <c r="G6903" s="31"/>
      <c r="H6903" s="31"/>
    </row>
    <row r="6904" spans="2:8" hidden="1">
      <c r="B6904" s="200"/>
      <c r="C6904" s="31"/>
      <c r="D6904" s="75"/>
      <c r="E6904" s="771"/>
      <c r="F6904" s="771"/>
      <c r="G6904" s="31"/>
      <c r="H6904" s="31"/>
    </row>
    <row r="6905" spans="2:8" hidden="1">
      <c r="B6905" s="200"/>
      <c r="C6905" s="31"/>
      <c r="D6905" s="75"/>
      <c r="E6905" s="771"/>
      <c r="F6905" s="771"/>
      <c r="G6905" s="31"/>
      <c r="H6905" s="31"/>
    </row>
    <row r="6906" spans="2:8" hidden="1">
      <c r="B6906" s="200"/>
      <c r="C6906" s="31"/>
      <c r="D6906" s="75"/>
      <c r="E6906" s="771"/>
      <c r="F6906" s="771"/>
      <c r="G6906" s="31"/>
      <c r="H6906" s="31"/>
    </row>
    <row r="6907" spans="2:8" hidden="1">
      <c r="B6907" s="200"/>
      <c r="C6907" s="31"/>
      <c r="D6907" s="75"/>
      <c r="E6907" s="771"/>
      <c r="F6907" s="772"/>
      <c r="G6907" s="33"/>
      <c r="H6907" s="31"/>
    </row>
    <row r="6908" spans="2:8" hidden="1">
      <c r="B6908" s="200"/>
      <c r="C6908" s="31"/>
      <c r="D6908" s="75"/>
      <c r="E6908" s="772"/>
      <c r="F6908" s="772"/>
      <c r="G6908" s="33"/>
      <c r="H6908" s="31"/>
    </row>
    <row r="6909" spans="2:8" hidden="1">
      <c r="B6909" s="33"/>
      <c r="C6909" s="31"/>
      <c r="D6909" s="31"/>
      <c r="E6909" s="33"/>
      <c r="F6909" s="772"/>
      <c r="G6909" s="31"/>
      <c r="H6909" s="31"/>
    </row>
    <row r="6910" spans="2:8" hidden="1">
      <c r="B6910" s="200"/>
      <c r="C6910" s="31"/>
      <c r="D6910" s="75"/>
      <c r="E6910" s="772"/>
      <c r="F6910" s="772"/>
      <c r="G6910" s="772"/>
      <c r="H6910" s="31"/>
    </row>
    <row r="6911" spans="2:8" hidden="1">
      <c r="B6911" s="200"/>
      <c r="C6911" s="31"/>
      <c r="D6911" s="75"/>
      <c r="E6911" s="772"/>
      <c r="F6911" s="772"/>
      <c r="G6911" s="772"/>
      <c r="H6911" s="31"/>
    </row>
    <row r="6912" spans="2:8" hidden="1">
      <c r="B6912" s="200"/>
      <c r="C6912" s="31"/>
      <c r="D6912" s="75"/>
      <c r="E6912" s="772"/>
      <c r="F6912" s="772"/>
      <c r="G6912" s="772"/>
      <c r="H6912" s="31"/>
    </row>
    <row r="6913" spans="2:8" hidden="1">
      <c r="B6913" s="200"/>
      <c r="C6913" s="31"/>
      <c r="D6913" s="75"/>
      <c r="E6913" s="772"/>
      <c r="F6913" s="772"/>
      <c r="G6913" s="772"/>
      <c r="H6913" s="31"/>
    </row>
    <row r="6914" spans="2:8" hidden="1">
      <c r="B6914" s="200"/>
      <c r="C6914" s="31"/>
      <c r="D6914" s="75"/>
      <c r="E6914" s="772"/>
      <c r="F6914" s="772"/>
      <c r="G6914" s="772"/>
      <c r="H6914" s="31"/>
    </row>
    <row r="6915" spans="2:8" hidden="1">
      <c r="B6915" s="200"/>
      <c r="C6915" s="31"/>
      <c r="D6915" s="75"/>
      <c r="E6915" s="772"/>
      <c r="F6915" s="772"/>
      <c r="G6915" s="772"/>
      <c r="H6915" s="31"/>
    </row>
    <row r="6916" spans="2:8" hidden="1">
      <c r="B6916" s="200"/>
      <c r="C6916" s="31"/>
      <c r="D6916" s="75"/>
      <c r="E6916" s="772"/>
      <c r="F6916" s="772"/>
      <c r="G6916" s="772"/>
      <c r="H6916" s="31"/>
    </row>
    <row r="6917" spans="2:8" hidden="1">
      <c r="B6917" s="200"/>
      <c r="C6917" s="31"/>
      <c r="D6917" s="75"/>
      <c r="E6917" s="772"/>
      <c r="F6917" s="772"/>
      <c r="G6917" s="772"/>
      <c r="H6917" s="31"/>
    </row>
    <row r="6918" spans="2:8" hidden="1">
      <c r="B6918" s="200"/>
      <c r="C6918" s="31"/>
      <c r="D6918" s="75"/>
      <c r="E6918" s="772"/>
      <c r="F6918" s="772"/>
      <c r="G6918" s="772"/>
      <c r="H6918" s="31"/>
    </row>
    <row r="6919" spans="2:8" hidden="1">
      <c r="B6919" s="200"/>
      <c r="C6919" s="31"/>
      <c r="D6919" s="75"/>
      <c r="E6919" s="772"/>
      <c r="F6919" s="772"/>
      <c r="G6919" s="772"/>
      <c r="H6919" s="31"/>
    </row>
    <row r="6920" spans="2:8" hidden="1">
      <c r="B6920" s="200"/>
      <c r="C6920" s="31"/>
      <c r="D6920" s="75"/>
      <c r="E6920" s="772"/>
      <c r="F6920" s="772"/>
      <c r="G6920" s="772"/>
      <c r="H6920" s="31"/>
    </row>
    <row r="6921" spans="2:8" hidden="1">
      <c r="B6921" s="200"/>
      <c r="C6921" s="31"/>
      <c r="D6921" s="75"/>
      <c r="E6921" s="772"/>
      <c r="F6921" s="772"/>
      <c r="G6921" s="772"/>
      <c r="H6921" s="31"/>
    </row>
    <row r="6922" spans="2:8" hidden="1">
      <c r="B6922" s="200"/>
      <c r="C6922" s="31"/>
      <c r="D6922" s="75"/>
      <c r="E6922" s="771"/>
      <c r="F6922" s="772"/>
      <c r="G6922" s="772"/>
      <c r="H6922" s="31"/>
    </row>
    <row r="6923" spans="2:8" hidden="1">
      <c r="B6923" s="200"/>
      <c r="C6923" s="31"/>
      <c r="D6923" s="75"/>
      <c r="E6923" s="771"/>
      <c r="F6923" s="772"/>
      <c r="G6923" s="772"/>
      <c r="H6923" s="31"/>
    </row>
    <row r="6924" spans="2:8" hidden="1">
      <c r="B6924" s="200"/>
      <c r="C6924" s="31"/>
      <c r="D6924" s="75"/>
      <c r="E6924" s="771"/>
      <c r="F6924" s="772"/>
      <c r="G6924" s="772"/>
      <c r="H6924" s="31"/>
    </row>
    <row r="6925" spans="2:8" hidden="1">
      <c r="B6925" s="200"/>
      <c r="C6925" s="31"/>
      <c r="D6925" s="75"/>
      <c r="E6925" s="772"/>
      <c r="F6925" s="772"/>
      <c r="G6925" s="772"/>
      <c r="H6925" s="31"/>
    </row>
    <row r="6926" spans="2:8" hidden="1">
      <c r="B6926" s="200"/>
      <c r="C6926" s="31"/>
      <c r="D6926" s="75"/>
      <c r="E6926" s="772"/>
      <c r="F6926" s="772"/>
      <c r="G6926" s="772"/>
      <c r="H6926" s="31"/>
    </row>
    <row r="6927" spans="2:8" hidden="1">
      <c r="B6927" s="200"/>
      <c r="C6927" s="31"/>
      <c r="D6927" s="75"/>
      <c r="E6927" s="772"/>
      <c r="F6927" s="772"/>
      <c r="G6927" s="772"/>
      <c r="H6927" s="31"/>
    </row>
    <row r="6928" spans="2:8" hidden="1">
      <c r="B6928" s="33"/>
      <c r="C6928" s="31"/>
      <c r="D6928" s="31"/>
      <c r="E6928" s="33"/>
      <c r="F6928" s="31"/>
      <c r="G6928" s="31"/>
      <c r="H6928" s="31"/>
    </row>
    <row r="6929" spans="2:8" hidden="1">
      <c r="B6929" s="200"/>
      <c r="C6929" s="31"/>
      <c r="D6929" s="75"/>
      <c r="E6929" s="772"/>
      <c r="F6929" s="772"/>
      <c r="G6929" s="772"/>
      <c r="H6929" s="31"/>
    </row>
    <row r="6930" spans="2:8" hidden="1">
      <c r="B6930" s="200"/>
      <c r="C6930" s="31"/>
      <c r="D6930" s="75"/>
      <c r="E6930" s="772"/>
      <c r="F6930" s="772"/>
      <c r="G6930" s="772"/>
      <c r="H6930" s="31"/>
    </row>
    <row r="6931" spans="2:8" hidden="1">
      <c r="B6931" s="200"/>
      <c r="C6931" s="31"/>
      <c r="D6931" s="75"/>
      <c r="E6931" s="772"/>
      <c r="F6931" s="772"/>
      <c r="G6931" s="772"/>
      <c r="H6931" s="31"/>
    </row>
    <row r="6932" spans="2:8" hidden="1">
      <c r="B6932" s="33"/>
      <c r="C6932" s="31"/>
      <c r="D6932" s="31"/>
      <c r="E6932" s="31"/>
      <c r="F6932" s="31"/>
      <c r="G6932" s="31"/>
      <c r="H6932" s="31"/>
    </row>
    <row r="6933" spans="2:8" hidden="1">
      <c r="B6933" s="200"/>
      <c r="C6933" s="31"/>
      <c r="D6933" s="75"/>
      <c r="E6933" s="771"/>
      <c r="F6933" s="771"/>
      <c r="G6933" s="31"/>
      <c r="H6933" s="31"/>
    </row>
    <row r="6934" spans="2:8" hidden="1">
      <c r="B6934" s="200"/>
      <c r="C6934" s="31"/>
      <c r="D6934" s="75"/>
      <c r="E6934" s="771"/>
      <c r="F6934" s="771"/>
      <c r="G6934" s="31"/>
      <c r="H6934" s="31"/>
    </row>
    <row r="6935" spans="2:8" hidden="1">
      <c r="B6935" s="200"/>
      <c r="C6935" s="31"/>
      <c r="D6935" s="75"/>
      <c r="E6935" s="771"/>
      <c r="F6935" s="771"/>
      <c r="G6935" s="31"/>
      <c r="H6935" s="31"/>
    </row>
    <row r="6936" spans="2:8" hidden="1">
      <c r="B6936" s="200"/>
      <c r="C6936" s="31"/>
      <c r="D6936" s="75"/>
      <c r="E6936" s="771"/>
      <c r="F6936" s="771"/>
      <c r="G6936" s="31"/>
      <c r="H6936" s="31"/>
    </row>
    <row r="6937" spans="2:8" hidden="1">
      <c r="B6937" s="200"/>
      <c r="C6937" s="31"/>
      <c r="D6937" s="75"/>
      <c r="E6937" s="771"/>
      <c r="F6937" s="771"/>
      <c r="G6937" s="31"/>
      <c r="H6937" s="31"/>
    </row>
    <row r="6938" spans="2:8" hidden="1">
      <c r="B6938" s="200"/>
      <c r="C6938" s="31"/>
      <c r="D6938" s="75"/>
      <c r="E6938" s="771"/>
      <c r="F6938" s="771"/>
      <c r="G6938" s="31"/>
      <c r="H6938" s="31"/>
    </row>
    <row r="6939" spans="2:8" hidden="1">
      <c r="B6939" s="200"/>
      <c r="C6939" s="31"/>
      <c r="D6939" s="75"/>
      <c r="E6939" s="771"/>
      <c r="F6939" s="771"/>
      <c r="G6939" s="31"/>
      <c r="H6939" s="31"/>
    </row>
    <row r="6940" spans="2:8" hidden="1">
      <c r="B6940" s="200"/>
      <c r="C6940" s="31"/>
      <c r="D6940" s="75"/>
      <c r="E6940" s="771"/>
      <c r="F6940" s="771"/>
      <c r="G6940" s="31"/>
      <c r="H6940" s="31"/>
    </row>
    <row r="6941" spans="2:8" hidden="1">
      <c r="B6941" s="200"/>
      <c r="C6941" s="31"/>
      <c r="D6941" s="75"/>
      <c r="E6941" s="771"/>
      <c r="F6941" s="771"/>
      <c r="G6941" s="31"/>
      <c r="H6941" s="31"/>
    </row>
    <row r="6942" spans="2:8" hidden="1">
      <c r="B6942" s="200"/>
      <c r="C6942" s="31"/>
      <c r="D6942" s="75"/>
      <c r="E6942" s="771"/>
      <c r="F6942" s="771"/>
      <c r="G6942" s="31"/>
      <c r="H6942" s="31"/>
    </row>
    <row r="6943" spans="2:8" hidden="1">
      <c r="B6943" s="200"/>
      <c r="C6943" s="31"/>
      <c r="D6943" s="75"/>
      <c r="E6943" s="771"/>
      <c r="F6943" s="771"/>
      <c r="G6943" s="31"/>
      <c r="H6943" s="31"/>
    </row>
    <row r="6944" spans="2:8" hidden="1">
      <c r="B6944" s="200"/>
      <c r="C6944" s="31"/>
      <c r="D6944" s="75"/>
      <c r="E6944" s="771"/>
      <c r="F6944" s="772"/>
      <c r="G6944" s="33"/>
      <c r="H6944" s="31"/>
    </row>
    <row r="6945" spans="2:8" hidden="1">
      <c r="B6945" s="200"/>
      <c r="C6945" s="31"/>
      <c r="D6945" s="75"/>
      <c r="E6945" s="771"/>
      <c r="F6945" s="771"/>
      <c r="G6945" s="31"/>
      <c r="H6945" s="31"/>
    </row>
    <row r="6946" spans="2:8" hidden="1">
      <c r="B6946" s="200"/>
      <c r="C6946" s="31"/>
      <c r="D6946" s="75"/>
      <c r="E6946" s="771"/>
      <c r="F6946" s="771"/>
      <c r="G6946" s="31"/>
      <c r="H6946" s="31"/>
    </row>
    <row r="6947" spans="2:8" hidden="1">
      <c r="B6947" s="200"/>
      <c r="C6947" s="31"/>
      <c r="D6947" s="75"/>
      <c r="E6947" s="771"/>
      <c r="F6947" s="771"/>
      <c r="G6947" s="31"/>
      <c r="H6947" s="31"/>
    </row>
    <row r="6948" spans="2:8" hidden="1">
      <c r="B6948" s="200"/>
      <c r="C6948" s="31"/>
      <c r="D6948" s="75"/>
      <c r="E6948" s="771"/>
      <c r="F6948" s="771"/>
      <c r="G6948" s="31"/>
      <c r="H6948" s="31"/>
    </row>
    <row r="6949" spans="2:8" hidden="1">
      <c r="B6949" s="200"/>
      <c r="C6949" s="31"/>
      <c r="D6949" s="75"/>
      <c r="E6949" s="771"/>
      <c r="F6949" s="771"/>
      <c r="G6949" s="31"/>
      <c r="H6949" s="31"/>
    </row>
    <row r="6950" spans="2:8" hidden="1">
      <c r="B6950" s="200"/>
      <c r="C6950" s="31"/>
      <c r="D6950" s="75"/>
      <c r="E6950" s="771"/>
      <c r="F6950" s="771"/>
      <c r="G6950" s="31"/>
      <c r="H6950" s="31"/>
    </row>
    <row r="6951" spans="2:8" hidden="1">
      <c r="B6951" s="200"/>
      <c r="C6951" s="31"/>
      <c r="D6951" s="75"/>
      <c r="E6951" s="771"/>
      <c r="F6951" s="771"/>
      <c r="G6951" s="31"/>
      <c r="H6951" s="31"/>
    </row>
    <row r="6952" spans="2:8" hidden="1">
      <c r="B6952" s="200"/>
      <c r="C6952" s="31"/>
      <c r="D6952" s="75"/>
      <c r="E6952" s="771"/>
      <c r="F6952" s="771"/>
      <c r="G6952" s="31"/>
      <c r="H6952" s="31"/>
    </row>
    <row r="6953" spans="2:8" hidden="1">
      <c r="B6953" s="200"/>
      <c r="C6953" s="31"/>
      <c r="D6953" s="75"/>
      <c r="E6953" s="771"/>
      <c r="F6953" s="772"/>
      <c r="G6953" s="33"/>
      <c r="H6953" s="31"/>
    </row>
    <row r="6954" spans="2:8" hidden="1">
      <c r="B6954" s="200"/>
      <c r="C6954" s="31"/>
      <c r="D6954" s="75"/>
      <c r="E6954" s="771"/>
      <c r="F6954" s="771"/>
      <c r="G6954" s="31"/>
      <c r="H6954" s="31"/>
    </row>
    <row r="6955" spans="2:8" hidden="1">
      <c r="B6955" s="200"/>
      <c r="C6955" s="31"/>
      <c r="D6955" s="75"/>
      <c r="E6955" s="771"/>
      <c r="F6955" s="771"/>
      <c r="G6955" s="31"/>
      <c r="H6955" s="31"/>
    </row>
    <row r="6956" spans="2:8" hidden="1">
      <c r="B6956" s="200"/>
      <c r="C6956" s="31"/>
      <c r="D6956" s="75"/>
      <c r="E6956" s="771"/>
      <c r="F6956" s="771"/>
      <c r="G6956" s="31"/>
      <c r="H6956" s="31"/>
    </row>
    <row r="6957" spans="2:8" hidden="1">
      <c r="B6957" s="200"/>
      <c r="C6957" s="31"/>
      <c r="D6957" s="75"/>
      <c r="E6957" s="771"/>
      <c r="F6957" s="771"/>
      <c r="G6957" s="31"/>
      <c r="H6957" s="31"/>
    </row>
    <row r="6958" spans="2:8" hidden="1">
      <c r="B6958" s="200"/>
      <c r="C6958" s="31"/>
      <c r="D6958" s="75"/>
      <c r="E6958" s="771"/>
      <c r="F6958" s="771"/>
      <c r="G6958" s="31"/>
      <c r="H6958" s="31"/>
    </row>
    <row r="6959" spans="2:8" hidden="1">
      <c r="B6959" s="200"/>
      <c r="C6959" s="31"/>
      <c r="D6959" s="75"/>
      <c r="E6959" s="771"/>
      <c r="F6959" s="771"/>
      <c r="G6959" s="31"/>
      <c r="H6959" s="31"/>
    </row>
    <row r="6960" spans="2:8" hidden="1">
      <c r="B6960" s="200"/>
      <c r="C6960" s="31"/>
      <c r="D6960" s="75"/>
      <c r="E6960" s="771"/>
      <c r="F6960" s="771"/>
      <c r="G6960" s="31"/>
      <c r="H6960" s="31"/>
    </row>
    <row r="6961" spans="2:8" hidden="1">
      <c r="B6961" s="200"/>
      <c r="C6961" s="31"/>
      <c r="D6961" s="75"/>
      <c r="E6961" s="771"/>
      <c r="F6961" s="771"/>
      <c r="G6961" s="31"/>
      <c r="H6961" s="31"/>
    </row>
    <row r="6962" spans="2:8" hidden="1">
      <c r="B6962" s="200"/>
      <c r="C6962" s="31"/>
      <c r="D6962" s="75"/>
      <c r="E6962" s="771"/>
      <c r="F6962" s="771"/>
      <c r="G6962" s="31"/>
      <c r="H6962" s="31"/>
    </row>
    <row r="6963" spans="2:8" hidden="1">
      <c r="B6963" s="200"/>
      <c r="C6963" s="31"/>
      <c r="D6963" s="75"/>
      <c r="E6963" s="771"/>
      <c r="F6963" s="771"/>
      <c r="G6963" s="31"/>
      <c r="H6963" s="31"/>
    </row>
    <row r="6964" spans="2:8" hidden="1">
      <c r="B6964" s="200"/>
      <c r="C6964" s="31"/>
      <c r="D6964" s="75"/>
      <c r="E6964" s="771"/>
      <c r="F6964" s="771"/>
      <c r="G6964" s="31"/>
      <c r="H6964" s="31"/>
    </row>
    <row r="6965" spans="2:8" hidden="1">
      <c r="B6965" s="200"/>
      <c r="C6965" s="31"/>
      <c r="D6965" s="75"/>
      <c r="E6965" s="771"/>
      <c r="F6965" s="771"/>
      <c r="G6965" s="31"/>
      <c r="H6965" s="31"/>
    </row>
    <row r="6966" spans="2:8" hidden="1">
      <c r="B6966" s="200"/>
      <c r="C6966" s="31"/>
      <c r="D6966" s="75"/>
      <c r="E6966" s="771"/>
      <c r="F6966" s="771"/>
      <c r="G6966" s="31"/>
      <c r="H6966" s="31"/>
    </row>
    <row r="6967" spans="2:8" hidden="1">
      <c r="B6967" s="200"/>
      <c r="C6967" s="31"/>
      <c r="D6967" s="75"/>
      <c r="E6967" s="771"/>
      <c r="F6967" s="771"/>
      <c r="G6967" s="31"/>
      <c r="H6967" s="31"/>
    </row>
    <row r="6968" spans="2:8" hidden="1">
      <c r="B6968" s="200"/>
      <c r="C6968" s="31"/>
      <c r="D6968" s="75"/>
      <c r="E6968" s="771"/>
      <c r="F6968" s="771"/>
      <c r="G6968" s="31"/>
      <c r="H6968" s="31"/>
    </row>
    <row r="6969" spans="2:8" hidden="1">
      <c r="B6969" s="200"/>
      <c r="C6969" s="31"/>
      <c r="D6969" s="75"/>
      <c r="E6969" s="771"/>
      <c r="F6969" s="771"/>
      <c r="G6969" s="31"/>
      <c r="H6969" s="31"/>
    </row>
    <row r="6970" spans="2:8" hidden="1">
      <c r="B6970" s="200"/>
      <c r="C6970" s="31"/>
      <c r="D6970" s="75"/>
      <c r="E6970" s="771"/>
      <c r="F6970" s="771"/>
      <c r="G6970" s="31"/>
      <c r="H6970" s="31"/>
    </row>
    <row r="6971" spans="2:8" hidden="1">
      <c r="B6971" s="200"/>
      <c r="C6971" s="31"/>
      <c r="D6971" s="75"/>
      <c r="E6971" s="771"/>
      <c r="F6971" s="771"/>
      <c r="G6971" s="31"/>
      <c r="H6971" s="31"/>
    </row>
    <row r="6972" spans="2:8" hidden="1">
      <c r="B6972" s="200"/>
      <c r="C6972" s="31"/>
      <c r="D6972" s="75"/>
      <c r="E6972" s="771"/>
      <c r="F6972" s="771"/>
      <c r="G6972" s="31"/>
      <c r="H6972" s="31"/>
    </row>
    <row r="6973" spans="2:8" hidden="1">
      <c r="B6973" s="33"/>
      <c r="C6973" s="31"/>
      <c r="D6973" s="31"/>
      <c r="E6973" s="31"/>
      <c r="F6973" s="31"/>
      <c r="G6973" s="31"/>
      <c r="H6973" s="31"/>
    </row>
    <row r="6974" spans="2:8" hidden="1">
      <c r="B6974" s="200"/>
      <c r="C6974" s="31"/>
      <c r="D6974" s="75"/>
      <c r="E6974" s="771"/>
      <c r="F6974" s="771"/>
      <c r="G6974" s="31"/>
      <c r="H6974" s="31"/>
    </row>
    <row r="6975" spans="2:8" hidden="1">
      <c r="B6975" s="200"/>
      <c r="C6975" s="31"/>
      <c r="D6975" s="75"/>
      <c r="E6975" s="771"/>
      <c r="F6975" s="772"/>
      <c r="G6975" s="33"/>
      <c r="H6975" s="31"/>
    </row>
    <row r="6976" spans="2:8" hidden="1">
      <c r="B6976" s="200"/>
      <c r="C6976" s="31"/>
      <c r="D6976" s="75"/>
      <c r="E6976" s="771"/>
      <c r="F6976" s="771"/>
      <c r="G6976" s="31"/>
      <c r="H6976" s="31"/>
    </row>
    <row r="6977" spans="2:8" hidden="1">
      <c r="B6977" s="200"/>
      <c r="C6977" s="31"/>
      <c r="D6977" s="75"/>
      <c r="E6977" s="771"/>
      <c r="F6977" s="771"/>
      <c r="G6977" s="31"/>
      <c r="H6977" s="31"/>
    </row>
    <row r="6978" spans="2:8" hidden="1">
      <c r="B6978" s="200"/>
      <c r="C6978" s="31"/>
      <c r="D6978" s="75"/>
      <c r="E6978" s="771"/>
      <c r="F6978" s="771"/>
      <c r="G6978" s="31"/>
      <c r="H6978" s="31"/>
    </row>
    <row r="6979" spans="2:8" hidden="1">
      <c r="B6979" s="200"/>
      <c r="C6979" s="31"/>
      <c r="D6979" s="75"/>
      <c r="E6979" s="771"/>
      <c r="F6979" s="771"/>
      <c r="G6979" s="31"/>
      <c r="H6979" s="31"/>
    </row>
    <row r="6980" spans="2:8" hidden="1">
      <c r="B6980" s="200"/>
      <c r="C6980" s="31"/>
      <c r="D6980" s="75"/>
      <c r="E6980" s="771"/>
      <c r="F6980" s="771"/>
      <c r="G6980" s="31"/>
      <c r="H6980" s="31"/>
    </row>
    <row r="6981" spans="2:8" hidden="1">
      <c r="B6981" s="200"/>
      <c r="C6981" s="31"/>
      <c r="D6981" s="75"/>
      <c r="E6981" s="771"/>
      <c r="F6981" s="771"/>
      <c r="G6981" s="31"/>
      <c r="H6981" s="31"/>
    </row>
    <row r="6982" spans="2:8" hidden="1">
      <c r="B6982" s="200"/>
      <c r="C6982" s="31"/>
      <c r="D6982" s="75"/>
      <c r="E6982" s="771"/>
      <c r="F6982" s="771"/>
      <c r="G6982" s="31"/>
      <c r="H6982" s="31"/>
    </row>
    <row r="6983" spans="2:8" hidden="1">
      <c r="B6983" s="200"/>
      <c r="C6983" s="31"/>
      <c r="D6983" s="75"/>
      <c r="E6983" s="771"/>
      <c r="F6983" s="771"/>
      <c r="G6983" s="31"/>
      <c r="H6983" s="31"/>
    </row>
    <row r="6984" spans="2:8" hidden="1">
      <c r="B6984" s="200"/>
      <c r="C6984" s="31"/>
      <c r="D6984" s="75"/>
      <c r="E6984" s="771"/>
      <c r="F6984" s="771"/>
      <c r="G6984" s="31"/>
      <c r="H6984" s="31"/>
    </row>
    <row r="6985" spans="2:8" hidden="1">
      <c r="B6985" s="200"/>
      <c r="C6985" s="31"/>
      <c r="D6985" s="75"/>
      <c r="E6985" s="771"/>
      <c r="F6985" s="771"/>
      <c r="G6985" s="31"/>
      <c r="H6985" s="31"/>
    </row>
    <row r="6986" spans="2:8" hidden="1">
      <c r="B6986" s="200"/>
      <c r="C6986" s="31"/>
      <c r="D6986" s="75"/>
      <c r="E6986" s="771"/>
      <c r="F6986" s="771"/>
      <c r="G6986" s="31"/>
      <c r="H6986" s="31"/>
    </row>
    <row r="6987" spans="2:8" hidden="1">
      <c r="B6987" s="200"/>
      <c r="C6987" s="31"/>
      <c r="D6987" s="75"/>
      <c r="E6987" s="771"/>
      <c r="F6987" s="771"/>
      <c r="G6987" s="31"/>
      <c r="H6987" s="31"/>
    </row>
    <row r="6988" spans="2:8" hidden="1">
      <c r="B6988" s="200"/>
      <c r="C6988" s="31"/>
      <c r="D6988" s="75"/>
      <c r="E6988" s="771"/>
      <c r="F6988" s="771"/>
      <c r="G6988" s="31"/>
      <c r="H6988" s="31"/>
    </row>
    <row r="6989" spans="2:8" hidden="1">
      <c r="B6989" s="200"/>
      <c r="C6989" s="31"/>
      <c r="D6989" s="75"/>
      <c r="E6989" s="771"/>
      <c r="F6989" s="771"/>
      <c r="G6989" s="31"/>
      <c r="H6989" s="31"/>
    </row>
    <row r="6990" spans="2:8" hidden="1">
      <c r="B6990" s="200"/>
      <c r="C6990" s="31"/>
      <c r="D6990" s="75"/>
      <c r="E6990" s="771"/>
      <c r="F6990" s="771"/>
      <c r="G6990" s="31"/>
      <c r="H6990" s="31"/>
    </row>
    <row r="6991" spans="2:8" hidden="1">
      <c r="B6991" s="200"/>
      <c r="C6991" s="31"/>
      <c r="D6991" s="75"/>
      <c r="E6991" s="771"/>
      <c r="F6991" s="771"/>
      <c r="G6991" s="31"/>
      <c r="H6991" s="31"/>
    </row>
    <row r="6992" spans="2:8" hidden="1">
      <c r="B6992" s="200"/>
      <c r="C6992" s="31"/>
      <c r="D6992" s="75"/>
      <c r="E6992" s="771"/>
      <c r="F6992" s="771"/>
      <c r="G6992" s="31"/>
      <c r="H6992" s="31"/>
    </row>
    <row r="6993" spans="2:8" hidden="1">
      <c r="B6993" s="33"/>
      <c r="C6993" s="31"/>
      <c r="D6993" s="31"/>
      <c r="E6993" s="31"/>
      <c r="F6993" s="31"/>
      <c r="G6993" s="31"/>
      <c r="H6993" s="31"/>
    </row>
    <row r="6994" spans="2:8" hidden="1">
      <c r="B6994" s="200"/>
      <c r="C6994" s="31"/>
      <c r="D6994" s="75"/>
      <c r="E6994" s="772"/>
      <c r="F6994" s="772"/>
      <c r="G6994" s="772"/>
      <c r="H6994" s="31"/>
    </row>
    <row r="6995" spans="2:8" hidden="1">
      <c r="B6995" s="200"/>
      <c r="C6995" s="31"/>
      <c r="D6995" s="75"/>
      <c r="E6995" s="772"/>
      <c r="F6995" s="772"/>
      <c r="G6995" s="772"/>
      <c r="H6995" s="31"/>
    </row>
    <row r="6996" spans="2:8" hidden="1">
      <c r="B6996" s="200"/>
      <c r="C6996" s="31"/>
      <c r="D6996" s="75"/>
      <c r="E6996" s="772"/>
      <c r="F6996" s="772"/>
      <c r="G6996" s="772"/>
      <c r="H6996" s="31"/>
    </row>
    <row r="6997" spans="2:8" hidden="1">
      <c r="B6997" s="200"/>
      <c r="C6997" s="31"/>
      <c r="D6997" s="75"/>
      <c r="E6997" s="772"/>
      <c r="F6997" s="772"/>
      <c r="G6997" s="772"/>
      <c r="H6997" s="31"/>
    </row>
    <row r="6998" spans="2:8" hidden="1">
      <c r="B6998" s="200"/>
      <c r="C6998" s="31"/>
      <c r="D6998" s="75"/>
      <c r="E6998" s="772"/>
      <c r="F6998" s="772"/>
      <c r="G6998" s="772"/>
      <c r="H6998" s="31"/>
    </row>
    <row r="6999" spans="2:8" hidden="1">
      <c r="B6999" s="200"/>
      <c r="C6999" s="31"/>
      <c r="D6999" s="75"/>
      <c r="E6999" s="772"/>
      <c r="F6999" s="772"/>
      <c r="G6999" s="772"/>
      <c r="H6999" s="31"/>
    </row>
    <row r="7000" spans="2:8" hidden="1">
      <c r="B7000" s="200"/>
      <c r="C7000" s="31"/>
      <c r="D7000" s="75"/>
      <c r="E7000" s="772"/>
      <c r="F7000" s="772"/>
      <c r="G7000" s="772"/>
      <c r="H7000" s="31"/>
    </row>
    <row r="7001" spans="2:8" hidden="1">
      <c r="B7001" s="200"/>
      <c r="C7001" s="31"/>
      <c r="D7001" s="75"/>
      <c r="E7001" s="772"/>
      <c r="F7001" s="772"/>
      <c r="G7001" s="772"/>
      <c r="H7001" s="31"/>
    </row>
    <row r="7002" spans="2:8" hidden="1">
      <c r="B7002" s="200"/>
      <c r="C7002" s="31"/>
      <c r="D7002" s="75"/>
      <c r="E7002" s="772"/>
      <c r="F7002" s="772"/>
      <c r="G7002" s="772"/>
      <c r="H7002" s="31"/>
    </row>
    <row r="7003" spans="2:8" hidden="1">
      <c r="B7003" s="200"/>
      <c r="C7003" s="31"/>
      <c r="D7003" s="75"/>
      <c r="E7003" s="772"/>
      <c r="F7003" s="772"/>
      <c r="G7003" s="772"/>
      <c r="H7003" s="31"/>
    </row>
    <row r="7004" spans="2:8" hidden="1">
      <c r="B7004" s="200"/>
      <c r="C7004" s="31"/>
      <c r="D7004" s="75"/>
      <c r="E7004" s="772"/>
      <c r="F7004" s="772"/>
      <c r="G7004" s="772"/>
      <c r="H7004" s="31"/>
    </row>
    <row r="7005" spans="2:8" hidden="1">
      <c r="B7005" s="200"/>
      <c r="C7005" s="31"/>
      <c r="D7005" s="75"/>
      <c r="E7005" s="772"/>
      <c r="F7005" s="772"/>
      <c r="G7005" s="772"/>
      <c r="H7005" s="31"/>
    </row>
    <row r="7006" spans="2:8" hidden="1">
      <c r="B7006" s="200"/>
      <c r="C7006" s="31"/>
      <c r="D7006" s="75"/>
      <c r="E7006" s="772"/>
      <c r="F7006" s="772"/>
      <c r="G7006" s="772"/>
      <c r="H7006" s="31"/>
    </row>
    <row r="7007" spans="2:8" hidden="1">
      <c r="B7007" s="200"/>
      <c r="C7007" s="31"/>
      <c r="D7007" s="75"/>
      <c r="E7007" s="772"/>
      <c r="F7007" s="772"/>
      <c r="G7007" s="772"/>
      <c r="H7007" s="31"/>
    </row>
    <row r="7008" spans="2:8" hidden="1">
      <c r="B7008" s="200"/>
      <c r="C7008" s="31"/>
      <c r="D7008" s="75"/>
      <c r="E7008" s="772"/>
      <c r="F7008" s="772"/>
      <c r="G7008" s="772"/>
      <c r="H7008" s="31"/>
    </row>
    <row r="7009" spans="2:8" hidden="1">
      <c r="B7009" s="33"/>
      <c r="C7009" s="31"/>
      <c r="D7009" s="31"/>
      <c r="E7009" s="31"/>
      <c r="F7009" s="31"/>
      <c r="G7009" s="31"/>
      <c r="H7009" s="31"/>
    </row>
    <row r="7010" spans="2:8" hidden="1">
      <c r="B7010" s="200"/>
      <c r="C7010" s="31"/>
      <c r="D7010" s="75"/>
      <c r="E7010" s="772"/>
      <c r="F7010" s="772"/>
      <c r="G7010" s="772"/>
      <c r="H7010" s="31"/>
    </row>
    <row r="7011" spans="2:8" hidden="1">
      <c r="B7011" s="200"/>
      <c r="C7011" s="31"/>
      <c r="D7011" s="75"/>
      <c r="E7011" s="772"/>
      <c r="F7011" s="772"/>
      <c r="G7011" s="772"/>
      <c r="H7011" s="31"/>
    </row>
    <row r="7012" spans="2:8" hidden="1">
      <c r="B7012" s="200"/>
      <c r="C7012" s="31"/>
      <c r="D7012" s="75"/>
      <c r="E7012" s="772"/>
      <c r="F7012" s="772"/>
      <c r="G7012" s="772"/>
      <c r="H7012" s="31"/>
    </row>
    <row r="7013" spans="2:8" hidden="1">
      <c r="B7013" s="200"/>
      <c r="C7013" s="31"/>
      <c r="D7013" s="75"/>
      <c r="E7013" s="33"/>
      <c r="F7013" s="33"/>
      <c r="G7013" s="33"/>
      <c r="H7013" s="31"/>
    </row>
    <row r="7014" spans="2:8" hidden="1">
      <c r="B7014" s="200"/>
      <c r="C7014" s="31"/>
      <c r="D7014" s="75"/>
      <c r="E7014" s="33"/>
      <c r="F7014" s="33"/>
      <c r="G7014" s="33"/>
      <c r="H7014" s="31"/>
    </row>
    <row r="7015" spans="2:8" hidden="1">
      <c r="B7015" s="200"/>
      <c r="C7015" s="31"/>
      <c r="D7015" s="75"/>
      <c r="E7015" s="33"/>
      <c r="F7015" s="33"/>
      <c r="G7015" s="33"/>
      <c r="H7015" s="31"/>
    </row>
    <row r="7016" spans="2:8" hidden="1">
      <c r="B7016" s="200"/>
      <c r="C7016" s="31"/>
      <c r="D7016" s="75"/>
      <c r="E7016" s="33"/>
      <c r="F7016" s="33"/>
      <c r="G7016" s="33"/>
      <c r="H7016" s="31"/>
    </row>
    <row r="7017" spans="2:8" hidden="1">
      <c r="B7017" s="200"/>
      <c r="C7017" s="31"/>
      <c r="D7017" s="75"/>
      <c r="E7017" s="33"/>
      <c r="F7017" s="33"/>
      <c r="G7017" s="33"/>
      <c r="H7017" s="31"/>
    </row>
    <row r="7018" spans="2:8" hidden="1">
      <c r="B7018" s="200"/>
      <c r="C7018" s="31"/>
      <c r="D7018" s="75"/>
      <c r="E7018" s="33"/>
      <c r="F7018" s="33"/>
      <c r="G7018" s="33"/>
      <c r="H7018" s="31"/>
    </row>
    <row r="7019" spans="2:8" hidden="1">
      <c r="B7019" s="200"/>
      <c r="C7019" s="31"/>
      <c r="D7019" s="75"/>
      <c r="E7019" s="33"/>
      <c r="F7019" s="33"/>
      <c r="G7019" s="33"/>
      <c r="H7019" s="31"/>
    </row>
    <row r="7020" spans="2:8" hidden="1">
      <c r="B7020" s="200"/>
      <c r="C7020" s="31"/>
      <c r="D7020" s="75"/>
      <c r="E7020" s="33"/>
      <c r="F7020" s="33"/>
      <c r="G7020" s="33"/>
      <c r="H7020" s="31"/>
    </row>
    <row r="7021" spans="2:8" hidden="1">
      <c r="B7021" s="200"/>
      <c r="C7021" s="31"/>
      <c r="D7021" s="75"/>
      <c r="E7021" s="33"/>
      <c r="F7021" s="33"/>
      <c r="G7021" s="33"/>
      <c r="H7021" s="31"/>
    </row>
    <row r="7022" spans="2:8" hidden="1">
      <c r="B7022" s="200"/>
      <c r="C7022" s="31"/>
      <c r="D7022" s="75"/>
      <c r="E7022" s="33"/>
      <c r="F7022" s="33"/>
      <c r="G7022" s="33"/>
      <c r="H7022" s="31"/>
    </row>
    <row r="7023" spans="2:8" hidden="1">
      <c r="B7023" s="200"/>
      <c r="C7023" s="31"/>
      <c r="D7023" s="75"/>
      <c r="E7023" s="31"/>
      <c r="F7023" s="33"/>
      <c r="G7023" s="33"/>
      <c r="H7023" s="31"/>
    </row>
    <row r="7024" spans="2:8" hidden="1">
      <c r="B7024" s="200"/>
      <c r="C7024" s="31"/>
      <c r="D7024" s="75"/>
      <c r="E7024" s="33"/>
      <c r="F7024" s="33"/>
      <c r="G7024" s="33"/>
      <c r="H7024" s="31"/>
    </row>
    <row r="7025" spans="2:8" hidden="1">
      <c r="B7025" s="200"/>
      <c r="C7025" s="31"/>
      <c r="D7025" s="75"/>
      <c r="E7025" s="33"/>
      <c r="F7025" s="33"/>
      <c r="G7025" s="33"/>
      <c r="H7025" s="31"/>
    </row>
    <row r="7026" spans="2:8" hidden="1">
      <c r="B7026" s="200"/>
      <c r="C7026" s="31"/>
      <c r="D7026" s="75"/>
      <c r="E7026" s="33"/>
      <c r="F7026" s="33"/>
      <c r="G7026" s="33"/>
      <c r="H7026" s="31"/>
    </row>
    <row r="7027" spans="2:8" hidden="1">
      <c r="B7027" s="200"/>
      <c r="C7027" s="31"/>
      <c r="D7027" s="75"/>
      <c r="E7027" s="31"/>
      <c r="F7027" s="33"/>
      <c r="G7027" s="33"/>
      <c r="H7027" s="31"/>
    </row>
    <row r="7028" spans="2:8" hidden="1">
      <c r="B7028" s="200"/>
      <c r="C7028" s="31"/>
      <c r="D7028" s="31"/>
      <c r="E7028" s="31"/>
      <c r="F7028" s="31"/>
      <c r="G7028" s="31"/>
      <c r="H7028" s="31"/>
    </row>
    <row r="7029" spans="2:8" hidden="1">
      <c r="B7029" s="200"/>
      <c r="C7029" s="31"/>
      <c r="D7029" s="75"/>
      <c r="E7029" s="771"/>
      <c r="F7029" s="33"/>
      <c r="G7029" s="33"/>
      <c r="H7029" s="31"/>
    </row>
    <row r="7030" spans="2:8" hidden="1">
      <c r="B7030" s="200"/>
      <c r="C7030" s="31"/>
      <c r="D7030" s="75"/>
      <c r="E7030" s="771"/>
      <c r="F7030" s="31"/>
      <c r="G7030" s="31"/>
      <c r="H7030" s="31"/>
    </row>
    <row r="7031" spans="2:8" hidden="1">
      <c r="B7031" s="200"/>
      <c r="C7031" s="31"/>
      <c r="D7031" s="75"/>
      <c r="E7031" s="772"/>
      <c r="F7031" s="33"/>
      <c r="G7031" s="33"/>
      <c r="H7031" s="31"/>
    </row>
    <row r="7032" spans="2:8" hidden="1">
      <c r="B7032" s="200"/>
      <c r="C7032" s="31"/>
      <c r="D7032" s="75"/>
      <c r="E7032" s="771"/>
      <c r="F7032" s="31"/>
      <c r="G7032" s="31"/>
      <c r="H7032" s="31"/>
    </row>
    <row r="7033" spans="2:8" hidden="1">
      <c r="B7033" s="200"/>
      <c r="C7033" s="31"/>
      <c r="D7033" s="75"/>
      <c r="E7033" s="771"/>
      <c r="F7033" s="31"/>
      <c r="G7033" s="31"/>
      <c r="H7033" s="31"/>
    </row>
    <row r="7034" spans="2:8" hidden="1">
      <c r="B7034" s="200"/>
      <c r="C7034" s="31"/>
      <c r="D7034" s="75"/>
      <c r="E7034" s="33"/>
      <c r="F7034" s="33"/>
      <c r="G7034" s="33"/>
      <c r="H7034" s="31"/>
    </row>
    <row r="7035" spans="2:8" hidden="1">
      <c r="B7035" s="200"/>
      <c r="C7035" s="31"/>
      <c r="D7035" s="75"/>
      <c r="E7035" s="33"/>
      <c r="F7035" s="33"/>
      <c r="G7035" s="33"/>
      <c r="H7035" s="31"/>
    </row>
    <row r="7036" spans="2:8" hidden="1">
      <c r="B7036" s="200"/>
      <c r="C7036" s="31"/>
      <c r="D7036" s="75"/>
      <c r="E7036" s="33"/>
      <c r="F7036" s="33"/>
      <c r="G7036" s="33"/>
      <c r="H7036" s="31"/>
    </row>
    <row r="7037" spans="2:8" hidden="1">
      <c r="B7037" s="200"/>
      <c r="C7037" s="31"/>
      <c r="D7037" s="75"/>
      <c r="E7037" s="33"/>
      <c r="F7037" s="33"/>
      <c r="G7037" s="33"/>
      <c r="H7037" s="31"/>
    </row>
    <row r="7038" spans="2:8" hidden="1">
      <c r="B7038" s="200"/>
      <c r="C7038" s="31"/>
      <c r="D7038" s="75"/>
      <c r="E7038" s="33"/>
      <c r="F7038" s="33"/>
      <c r="G7038" s="33"/>
      <c r="H7038" s="31"/>
    </row>
    <row r="7039" spans="2:8" hidden="1">
      <c r="B7039" s="200"/>
      <c r="C7039" s="31"/>
      <c r="D7039" s="75"/>
      <c r="E7039" s="33"/>
      <c r="F7039" s="33"/>
      <c r="G7039" s="33"/>
      <c r="H7039" s="31"/>
    </row>
    <row r="7040" spans="2:8" hidden="1">
      <c r="B7040" s="200"/>
      <c r="C7040" s="31"/>
      <c r="D7040" s="75"/>
      <c r="E7040" s="33"/>
      <c r="F7040" s="33"/>
      <c r="G7040" s="33"/>
      <c r="H7040" s="31"/>
    </row>
    <row r="7041" spans="2:8" hidden="1">
      <c r="B7041" s="200"/>
      <c r="C7041" s="31"/>
      <c r="D7041" s="75"/>
      <c r="E7041" s="33"/>
      <c r="F7041" s="33"/>
      <c r="G7041" s="33"/>
      <c r="H7041" s="31"/>
    </row>
    <row r="7042" spans="2:8" hidden="1">
      <c r="B7042" s="200"/>
      <c r="C7042" s="31"/>
      <c r="D7042" s="75"/>
      <c r="E7042" s="33"/>
      <c r="F7042" s="33"/>
      <c r="G7042" s="33"/>
      <c r="H7042" s="31"/>
    </row>
    <row r="7043" spans="2:8" hidden="1">
      <c r="B7043" s="200"/>
      <c r="C7043" s="31"/>
      <c r="D7043" s="75"/>
      <c r="E7043" s="31"/>
      <c r="F7043" s="33"/>
      <c r="G7043" s="33"/>
      <c r="H7043" s="31"/>
    </row>
    <row r="7044" spans="2:8" hidden="1">
      <c r="B7044" s="200"/>
      <c r="C7044" s="31"/>
      <c r="D7044" s="75"/>
      <c r="E7044" s="31"/>
      <c r="F7044" s="31"/>
      <c r="G7044" s="31"/>
      <c r="H7044" s="31"/>
    </row>
    <row r="7045" spans="2:8" hidden="1">
      <c r="B7045" s="200"/>
      <c r="C7045" s="31"/>
      <c r="D7045" s="75"/>
      <c r="E7045" s="33"/>
      <c r="F7045" s="33"/>
      <c r="G7045" s="33"/>
      <c r="H7045" s="31"/>
    </row>
    <row r="7046" spans="2:8" hidden="1">
      <c r="B7046" s="200"/>
      <c r="C7046" s="31"/>
      <c r="D7046" s="75"/>
      <c r="E7046" s="33"/>
      <c r="F7046" s="33"/>
      <c r="G7046" s="33"/>
      <c r="H7046" s="31"/>
    </row>
    <row r="7047" spans="2:8" hidden="1">
      <c r="B7047" s="33"/>
      <c r="C7047" s="31"/>
      <c r="D7047" s="31"/>
      <c r="E7047" s="33"/>
      <c r="F7047" s="31"/>
      <c r="G7047" s="31"/>
      <c r="H7047" s="31"/>
    </row>
    <row r="7048" spans="2:8" hidden="1">
      <c r="B7048" s="200"/>
      <c r="C7048" s="31"/>
      <c r="D7048" s="75"/>
      <c r="E7048" s="33"/>
      <c r="F7048" s="33"/>
      <c r="G7048" s="33"/>
      <c r="H7048" s="31"/>
    </row>
    <row r="7049" spans="2:8" hidden="1">
      <c r="B7049" s="200"/>
      <c r="C7049" s="31"/>
      <c r="D7049" s="75"/>
      <c r="E7049" s="33"/>
      <c r="F7049" s="33"/>
      <c r="G7049" s="33"/>
      <c r="H7049" s="31"/>
    </row>
    <row r="7050" spans="2:8" hidden="1">
      <c r="B7050" s="200"/>
      <c r="C7050" s="31"/>
      <c r="D7050" s="75"/>
      <c r="E7050" s="33"/>
      <c r="F7050" s="33"/>
      <c r="G7050" s="33"/>
      <c r="H7050" s="31"/>
    </row>
    <row r="7051" spans="2:8" hidden="1">
      <c r="B7051" s="200"/>
      <c r="C7051" s="31"/>
      <c r="D7051" s="75"/>
      <c r="E7051" s="33"/>
      <c r="F7051" s="33"/>
      <c r="G7051" s="33"/>
      <c r="H7051" s="31"/>
    </row>
    <row r="7052" spans="2:8" hidden="1">
      <c r="B7052" s="200"/>
      <c r="C7052" s="31"/>
      <c r="D7052" s="75"/>
      <c r="E7052" s="33"/>
      <c r="F7052" s="33"/>
      <c r="G7052" s="33"/>
      <c r="H7052" s="31"/>
    </row>
    <row r="7053" spans="2:8" hidden="1">
      <c r="B7053" s="200"/>
      <c r="C7053" s="31"/>
      <c r="D7053" s="75"/>
      <c r="E7053" s="33"/>
      <c r="F7053" s="33"/>
      <c r="G7053" s="33"/>
      <c r="H7053" s="31"/>
    </row>
    <row r="7054" spans="2:8" hidden="1">
      <c r="B7054" s="33"/>
      <c r="C7054" s="31"/>
      <c r="D7054" s="31"/>
      <c r="E7054" s="31"/>
      <c r="F7054" s="31"/>
      <c r="G7054" s="31"/>
      <c r="H7054" s="31"/>
    </row>
    <row r="7055" spans="2:8" hidden="1">
      <c r="B7055" s="200"/>
      <c r="C7055" s="31"/>
      <c r="D7055" s="75"/>
      <c r="E7055" s="771"/>
      <c r="F7055" s="771"/>
      <c r="G7055" s="31"/>
      <c r="H7055" s="31"/>
    </row>
    <row r="7056" spans="2:8" hidden="1">
      <c r="B7056" s="200"/>
      <c r="C7056" s="31"/>
      <c r="D7056" s="75"/>
      <c r="E7056" s="771"/>
      <c r="F7056" s="771"/>
      <c r="G7056" s="31"/>
      <c r="H7056" s="31"/>
    </row>
    <row r="7057" spans="2:8" hidden="1">
      <c r="B7057" s="200"/>
      <c r="C7057" s="31"/>
      <c r="D7057" s="75"/>
      <c r="E7057" s="772"/>
      <c r="F7057" s="772"/>
      <c r="G7057" s="33"/>
      <c r="H7057" s="31"/>
    </row>
    <row r="7058" spans="2:8" hidden="1">
      <c r="B7058" s="200"/>
      <c r="C7058" s="31"/>
      <c r="D7058" s="75"/>
      <c r="E7058" s="771"/>
      <c r="F7058" s="771"/>
      <c r="G7058" s="31"/>
      <c r="H7058" s="31"/>
    </row>
    <row r="7059" spans="2:8" hidden="1">
      <c r="B7059" s="200"/>
      <c r="C7059" s="31"/>
      <c r="D7059" s="75"/>
      <c r="E7059" s="31"/>
      <c r="F7059" s="31"/>
      <c r="G7059" s="31"/>
      <c r="H7059" s="31"/>
    </row>
    <row r="7060" spans="2:8" hidden="1">
      <c r="B7060" s="33"/>
      <c r="C7060" s="31"/>
      <c r="D7060" s="75"/>
      <c r="E7060" s="31"/>
      <c r="F7060" s="771"/>
      <c r="G7060" s="31"/>
      <c r="H7060" s="31"/>
    </row>
    <row r="7061" spans="2:8" hidden="1">
      <c r="B7061" s="33"/>
      <c r="C7061" s="31"/>
      <c r="D7061" s="104"/>
      <c r="E7061" s="33"/>
      <c r="F7061" s="33"/>
      <c r="G7061" s="33"/>
      <c r="H7061" s="31"/>
    </row>
    <row r="7062" spans="2:8" hidden="1">
      <c r="B7062" s="33"/>
      <c r="C7062" s="31"/>
      <c r="D7062" s="31"/>
      <c r="E7062" s="31"/>
      <c r="F7062" s="31"/>
      <c r="G7062" s="31"/>
      <c r="H7062" s="31"/>
    </row>
    <row r="7063" spans="2:8" hidden="1">
      <c r="B7063" s="405"/>
      <c r="C7063" s="31"/>
      <c r="D7063" s="31"/>
      <c r="E7063" s="31"/>
      <c r="F7063" s="31"/>
      <c r="G7063" s="31"/>
      <c r="H7063" s="31"/>
    </row>
    <row r="7064" spans="2:8" hidden="1">
      <c r="B7064" s="405"/>
      <c r="C7064" s="31"/>
      <c r="D7064" s="31"/>
      <c r="E7064" s="31"/>
      <c r="F7064" s="691"/>
      <c r="G7064" s="75"/>
      <c r="H7064" s="31"/>
    </row>
    <row r="7065" spans="2:8" hidden="1">
      <c r="B7065" s="405"/>
      <c r="C7065" s="31"/>
      <c r="D7065" s="31"/>
      <c r="E7065" s="31"/>
      <c r="F7065" s="691"/>
      <c r="G7065" s="75"/>
      <c r="H7065" s="31"/>
    </row>
    <row r="7066" spans="2:8" hidden="1">
      <c r="B7066" s="405"/>
      <c r="C7066" s="31"/>
      <c r="D7066" s="31"/>
      <c r="E7066" s="31"/>
      <c r="F7066" s="691"/>
      <c r="G7066" s="75"/>
      <c r="H7066" s="31"/>
    </row>
    <row r="7067" spans="2:8" hidden="1">
      <c r="B7067" s="405"/>
      <c r="C7067" s="31"/>
      <c r="D7067" s="31"/>
      <c r="E7067" s="31"/>
      <c r="F7067" s="691"/>
      <c r="G7067" s="75"/>
      <c r="H7067" s="31"/>
    </row>
    <row r="7068" spans="2:8" hidden="1">
      <c r="B7068" s="405"/>
      <c r="C7068" s="31"/>
      <c r="D7068" s="31"/>
      <c r="E7068" s="31"/>
      <c r="F7068" s="691"/>
      <c r="G7068" s="75"/>
      <c r="H7068" s="31"/>
    </row>
    <row r="7069" spans="2:8" hidden="1">
      <c r="B7069" s="405"/>
      <c r="C7069" s="31"/>
      <c r="D7069" s="31"/>
      <c r="E7069" s="31"/>
      <c r="F7069" s="691"/>
      <c r="G7069" s="75"/>
      <c r="H7069" s="31"/>
    </row>
    <row r="7070" spans="2:8" hidden="1">
      <c r="B7070" s="405"/>
      <c r="C7070" s="31"/>
      <c r="D7070" s="31"/>
      <c r="E7070" s="31"/>
      <c r="F7070" s="691"/>
      <c r="G7070" s="75"/>
      <c r="H7070" s="31"/>
    </row>
    <row r="7071" spans="2:8" hidden="1">
      <c r="B7071" s="405"/>
      <c r="C7071" s="31"/>
      <c r="D7071" s="31"/>
      <c r="E7071" s="31"/>
      <c r="F7071" s="691"/>
      <c r="G7071" s="75"/>
      <c r="H7071" s="31"/>
    </row>
    <row r="7072" spans="2:8" hidden="1">
      <c r="B7072" s="405"/>
      <c r="C7072" s="31"/>
      <c r="D7072" s="31"/>
      <c r="E7072" s="31"/>
      <c r="F7072" s="691"/>
      <c r="G7072" s="75"/>
      <c r="H7072" s="31"/>
    </row>
    <row r="7073" spans="2:8" hidden="1">
      <c r="B7073" s="405"/>
      <c r="C7073" s="31"/>
      <c r="D7073" s="31"/>
      <c r="E7073" s="31"/>
      <c r="F7073" s="691"/>
      <c r="G7073" s="75"/>
      <c r="H7073" s="31"/>
    </row>
    <row r="7074" spans="2:8" hidden="1">
      <c r="B7074" s="405"/>
      <c r="C7074" s="31"/>
      <c r="D7074" s="31"/>
      <c r="E7074" s="31"/>
      <c r="F7074" s="691"/>
      <c r="G7074" s="75"/>
      <c r="H7074" s="31"/>
    </row>
    <row r="7075" spans="2:8" hidden="1">
      <c r="B7075" s="405"/>
      <c r="C7075" s="31"/>
      <c r="D7075" s="31"/>
      <c r="E7075" s="31"/>
      <c r="F7075" s="691"/>
      <c r="G7075" s="75"/>
      <c r="H7075" s="31"/>
    </row>
    <row r="7076" spans="2:8" hidden="1">
      <c r="B7076" s="405"/>
      <c r="C7076" s="31"/>
      <c r="D7076" s="31"/>
      <c r="E7076" s="31"/>
      <c r="F7076" s="691"/>
      <c r="G7076" s="75"/>
      <c r="H7076" s="31"/>
    </row>
    <row r="7077" spans="2:8" hidden="1">
      <c r="B7077" s="405"/>
      <c r="C7077" s="31"/>
      <c r="D7077" s="31"/>
      <c r="E7077" s="31"/>
      <c r="F7077" s="691"/>
      <c r="G7077" s="75"/>
      <c r="H7077" s="31"/>
    </row>
    <row r="7078" spans="2:8" hidden="1">
      <c r="B7078" s="405"/>
      <c r="C7078" s="31"/>
      <c r="D7078" s="31"/>
      <c r="E7078" s="31"/>
      <c r="F7078" s="691"/>
      <c r="G7078" s="75"/>
      <c r="H7078" s="31"/>
    </row>
    <row r="7079" spans="2:8" hidden="1">
      <c r="B7079" s="405"/>
      <c r="C7079" s="31"/>
      <c r="D7079" s="31"/>
      <c r="E7079" s="31"/>
      <c r="F7079" s="691"/>
      <c r="G7079" s="75"/>
      <c r="H7079" s="31"/>
    </row>
    <row r="7080" spans="2:8" hidden="1">
      <c r="B7080" s="405"/>
      <c r="C7080" s="31"/>
      <c r="D7080" s="31"/>
      <c r="E7080" s="31"/>
      <c r="F7080" s="691"/>
      <c r="G7080" s="75"/>
      <c r="H7080" s="31"/>
    </row>
    <row r="7081" spans="2:8" hidden="1">
      <c r="B7081" s="405"/>
      <c r="C7081" s="31"/>
      <c r="D7081" s="31"/>
      <c r="E7081" s="31"/>
      <c r="F7081" s="691"/>
      <c r="G7081" s="75"/>
      <c r="H7081" s="31"/>
    </row>
    <row r="7082" spans="2:8" hidden="1">
      <c r="B7082" s="405"/>
      <c r="C7082" s="31"/>
      <c r="D7082" s="31"/>
      <c r="E7082" s="31"/>
      <c r="F7082" s="691"/>
      <c r="G7082" s="31"/>
      <c r="H7082" s="31"/>
    </row>
    <row r="7083" spans="2:8" hidden="1">
      <c r="B7083" s="405"/>
      <c r="C7083" s="31"/>
      <c r="D7083" s="31"/>
      <c r="E7083" s="31"/>
      <c r="F7083" s="691"/>
      <c r="G7083" s="75"/>
      <c r="H7083" s="31"/>
    </row>
    <row r="7084" spans="2:8" hidden="1">
      <c r="B7084" s="405"/>
      <c r="C7084" s="31"/>
      <c r="D7084" s="31"/>
      <c r="E7084" s="31"/>
      <c r="F7084" s="691"/>
      <c r="G7084" s="31"/>
      <c r="H7084" s="31"/>
    </row>
    <row r="7085" spans="2:8" hidden="1">
      <c r="B7085" s="405"/>
      <c r="C7085" s="31"/>
      <c r="D7085" s="31"/>
      <c r="E7085" s="31"/>
      <c r="F7085" s="691"/>
      <c r="G7085" s="75"/>
      <c r="H7085" s="31"/>
    </row>
    <row r="7086" spans="2:8" hidden="1">
      <c r="B7086" s="405"/>
      <c r="C7086" s="31"/>
      <c r="D7086" s="31"/>
      <c r="E7086" s="31"/>
      <c r="F7086" s="691"/>
      <c r="G7086" s="31"/>
      <c r="H7086" s="31"/>
    </row>
    <row r="7087" spans="2:8" hidden="1">
      <c r="B7087" s="405"/>
      <c r="C7087" s="31"/>
      <c r="D7087" s="31"/>
      <c r="E7087" s="31"/>
      <c r="F7087" s="691"/>
      <c r="G7087" s="31"/>
      <c r="H7087" s="31"/>
    </row>
    <row r="7088" spans="2:8" hidden="1">
      <c r="B7088" s="405"/>
      <c r="C7088" s="31"/>
      <c r="D7088" s="31"/>
      <c r="E7088" s="31"/>
      <c r="F7088" s="691"/>
      <c r="G7088" s="31"/>
      <c r="H7088" s="31"/>
    </row>
    <row r="7089" spans="2:8" hidden="1">
      <c r="B7089" s="405"/>
      <c r="C7089" s="31"/>
      <c r="D7089" s="31"/>
      <c r="E7089" s="31"/>
      <c r="F7089" s="691"/>
      <c r="G7089" s="31"/>
      <c r="H7089" s="31"/>
    </row>
    <row r="7090" spans="2:8" hidden="1">
      <c r="B7090" s="405"/>
      <c r="C7090" s="31"/>
      <c r="D7090" s="31"/>
      <c r="E7090" s="31"/>
      <c r="F7090" s="691"/>
      <c r="G7090" s="31"/>
      <c r="H7090" s="31"/>
    </row>
    <row r="7091" spans="2:8" hidden="1">
      <c r="B7091" s="405"/>
      <c r="C7091" s="31"/>
      <c r="D7091" s="31"/>
      <c r="E7091" s="31"/>
      <c r="F7091" s="691"/>
      <c r="G7091" s="31"/>
      <c r="H7091" s="31"/>
    </row>
    <row r="7092" spans="2:8" hidden="1">
      <c r="B7092" s="405"/>
      <c r="C7092" s="31"/>
      <c r="D7092" s="31"/>
      <c r="E7092" s="31"/>
      <c r="F7092" s="691"/>
      <c r="G7092" s="75"/>
      <c r="H7092" s="31"/>
    </row>
    <row r="7093" spans="2:8" hidden="1">
      <c r="B7093" s="405"/>
      <c r="C7093" s="31"/>
      <c r="D7093" s="31"/>
      <c r="E7093" s="31"/>
      <c r="F7093" s="691"/>
      <c r="G7093" s="31"/>
      <c r="H7093" s="31"/>
    </row>
    <row r="7094" spans="2:8" hidden="1">
      <c r="B7094" s="405"/>
      <c r="C7094" s="31"/>
      <c r="D7094" s="31"/>
      <c r="E7094" s="31"/>
      <c r="F7094" s="691"/>
      <c r="G7094" s="75"/>
      <c r="H7094" s="31"/>
    </row>
    <row r="7095" spans="2:8" hidden="1">
      <c r="B7095" s="405"/>
      <c r="C7095" s="31"/>
      <c r="D7095" s="31"/>
      <c r="E7095" s="31"/>
      <c r="F7095" s="691"/>
      <c r="G7095" s="75"/>
      <c r="H7095" s="31"/>
    </row>
    <row r="7096" spans="2:8" hidden="1">
      <c r="B7096" s="405"/>
      <c r="C7096" s="31"/>
      <c r="D7096" s="31"/>
      <c r="E7096" s="31"/>
      <c r="F7096" s="691"/>
      <c r="G7096" s="31"/>
      <c r="H7096" s="31"/>
    </row>
    <row r="7097" spans="2:8" hidden="1">
      <c r="B7097" s="33"/>
      <c r="C7097" s="31"/>
      <c r="D7097" s="31"/>
      <c r="E7097" s="31"/>
      <c r="F7097" s="31"/>
      <c r="G7097" s="31"/>
      <c r="H7097" s="31"/>
    </row>
    <row r="7098" spans="2:8" hidden="1">
      <c r="B7098" s="33"/>
      <c r="C7098" s="31"/>
      <c r="D7098" s="31"/>
      <c r="E7098" s="31"/>
      <c r="F7098" s="31"/>
      <c r="G7098" s="31"/>
      <c r="H7098" s="31"/>
    </row>
    <row r="7099" spans="2:8" hidden="1">
      <c r="B7099" s="33"/>
      <c r="C7099" s="31"/>
      <c r="D7099" s="31"/>
      <c r="E7099" s="31"/>
      <c r="F7099" s="31"/>
      <c r="G7099" s="31"/>
      <c r="H7099" s="31"/>
    </row>
    <row r="7100" spans="2:8" hidden="1">
      <c r="B7100" s="33"/>
      <c r="C7100" s="31"/>
      <c r="D7100" s="31"/>
      <c r="E7100" s="31"/>
      <c r="F7100" s="31"/>
      <c r="G7100" s="31"/>
      <c r="H7100" s="31"/>
    </row>
    <row r="7101" spans="2:8" hidden="1">
      <c r="B7101" s="33"/>
      <c r="C7101" s="31"/>
      <c r="D7101" s="31"/>
      <c r="E7101" s="31"/>
      <c r="F7101" s="31"/>
      <c r="G7101" s="31"/>
      <c r="H7101" s="31"/>
    </row>
    <row r="7102" spans="2:8" hidden="1">
      <c r="B7102" s="33"/>
      <c r="C7102" s="31"/>
      <c r="D7102" s="31"/>
      <c r="E7102" s="31"/>
      <c r="F7102" s="31"/>
      <c r="G7102" s="31"/>
      <c r="H7102" s="31"/>
    </row>
    <row r="7103" spans="2:8" hidden="1">
      <c r="B7103" s="33"/>
      <c r="C7103" s="31"/>
      <c r="D7103" s="31"/>
      <c r="E7103" s="31"/>
      <c r="F7103" s="31"/>
      <c r="G7103" s="31"/>
      <c r="H7103" s="31"/>
    </row>
    <row r="7104" spans="2:8" hidden="1">
      <c r="B7104" s="33"/>
      <c r="C7104" s="31"/>
      <c r="D7104" s="31"/>
      <c r="E7104" s="31"/>
      <c r="F7104" s="31"/>
      <c r="G7104" s="31"/>
      <c r="H7104" s="31"/>
    </row>
    <row r="7105" spans="2:8" hidden="1">
      <c r="B7105" s="33"/>
      <c r="C7105" s="31"/>
      <c r="D7105" s="33"/>
      <c r="E7105" s="31"/>
      <c r="F7105" s="33"/>
      <c r="G7105" s="33"/>
      <c r="H7105" s="31"/>
    </row>
    <row r="7106" spans="2:8" hidden="1">
      <c r="B7106" s="33"/>
      <c r="C7106" s="31"/>
      <c r="D7106" s="33"/>
      <c r="E7106" s="33"/>
      <c r="F7106" s="33"/>
      <c r="G7106" s="33"/>
      <c r="H7106" s="31"/>
    </row>
    <row r="7107" spans="2:8" hidden="1">
      <c r="B7107" s="200"/>
      <c r="C7107" s="31"/>
      <c r="D7107" s="75"/>
      <c r="E7107" s="33"/>
      <c r="F7107" s="33"/>
      <c r="G7107" s="33"/>
      <c r="H7107" s="31"/>
    </row>
    <row r="7108" spans="2:8" hidden="1">
      <c r="B7108" s="200"/>
      <c r="C7108" s="31"/>
      <c r="D7108" s="75"/>
      <c r="E7108" s="771"/>
      <c r="F7108" s="31"/>
      <c r="G7108" s="31"/>
      <c r="H7108" s="31"/>
    </row>
    <row r="7109" spans="2:8" hidden="1">
      <c r="B7109" s="200"/>
      <c r="C7109" s="31"/>
      <c r="D7109" s="75"/>
      <c r="E7109" s="771"/>
      <c r="F7109" s="33"/>
      <c r="G7109" s="31"/>
      <c r="H7109" s="31"/>
    </row>
    <row r="7110" spans="2:8" hidden="1">
      <c r="B7110" s="200"/>
      <c r="C7110" s="31"/>
      <c r="D7110" s="75"/>
      <c r="E7110" s="771"/>
      <c r="F7110" s="31"/>
      <c r="G7110" s="31"/>
      <c r="H7110" s="31"/>
    </row>
    <row r="7111" spans="2:8" hidden="1">
      <c r="B7111" s="200"/>
      <c r="C7111" s="31"/>
      <c r="D7111" s="75"/>
      <c r="E7111" s="771"/>
      <c r="F7111" s="31"/>
      <c r="G7111" s="31"/>
      <c r="H7111" s="31"/>
    </row>
    <row r="7112" spans="2:8" hidden="1">
      <c r="B7112" s="200"/>
      <c r="C7112" s="31"/>
      <c r="D7112" s="75"/>
      <c r="E7112" s="772"/>
      <c r="F7112" s="33"/>
      <c r="G7112" s="33"/>
      <c r="H7112" s="31"/>
    </row>
    <row r="7113" spans="2:8" hidden="1">
      <c r="B7113" s="200"/>
      <c r="C7113" s="31"/>
      <c r="D7113" s="75"/>
      <c r="E7113" s="771"/>
      <c r="F7113" s="31"/>
      <c r="G7113" s="31"/>
      <c r="H7113" s="31"/>
    </row>
    <row r="7114" spans="2:8" hidden="1">
      <c r="B7114" s="200"/>
      <c r="C7114" s="31"/>
      <c r="D7114" s="75"/>
      <c r="E7114" s="31"/>
      <c r="F7114" s="31"/>
      <c r="G7114" s="31"/>
      <c r="H7114" s="31"/>
    </row>
    <row r="7115" spans="2:8" hidden="1">
      <c r="B7115" s="33"/>
      <c r="C7115" s="200"/>
      <c r="D7115" s="75"/>
      <c r="E7115" s="31"/>
      <c r="F7115" s="31"/>
      <c r="G7115" s="31"/>
      <c r="H7115" s="31"/>
    </row>
    <row r="7116" spans="2:8" hidden="1">
      <c r="B7116" s="33"/>
      <c r="C7116" s="31"/>
      <c r="D7116" s="104"/>
      <c r="E7116" s="33"/>
      <c r="F7116" s="33"/>
      <c r="G7116" s="33"/>
      <c r="H7116" s="31"/>
    </row>
    <row r="7117" spans="2:8" hidden="1">
      <c r="B7117" s="33"/>
      <c r="C7117" s="31"/>
      <c r="D7117" s="31"/>
      <c r="E7117" s="31"/>
      <c r="F7117" s="31"/>
      <c r="G7117" s="31"/>
      <c r="H7117" s="31"/>
    </row>
    <row r="7118" spans="2:8" hidden="1">
      <c r="B7118" s="405"/>
      <c r="C7118" s="31"/>
      <c r="D7118" s="31"/>
      <c r="E7118" s="31"/>
      <c r="F7118" s="31"/>
      <c r="G7118" s="31"/>
      <c r="H7118" s="31"/>
    </row>
    <row r="7119" spans="2:8" hidden="1">
      <c r="B7119" s="405"/>
      <c r="C7119" s="31"/>
      <c r="D7119" s="31"/>
      <c r="E7119" s="31"/>
      <c r="F7119" s="691"/>
      <c r="G7119" s="75"/>
      <c r="H7119" s="31"/>
    </row>
    <row r="7120" spans="2:8" hidden="1">
      <c r="B7120" s="405"/>
      <c r="C7120" s="31"/>
      <c r="D7120" s="31"/>
      <c r="E7120" s="31"/>
      <c r="F7120" s="691"/>
      <c r="G7120" s="75"/>
      <c r="H7120" s="31"/>
    </row>
    <row r="7121" spans="2:8" hidden="1">
      <c r="B7121" s="405"/>
      <c r="C7121" s="31"/>
      <c r="D7121" s="31"/>
      <c r="E7121" s="31"/>
      <c r="F7121" s="691"/>
      <c r="G7121" s="75"/>
      <c r="H7121" s="31"/>
    </row>
    <row r="7122" spans="2:8" hidden="1">
      <c r="B7122" s="405"/>
      <c r="C7122" s="31"/>
      <c r="D7122" s="31"/>
      <c r="E7122" s="31"/>
      <c r="F7122" s="691"/>
      <c r="G7122" s="75"/>
      <c r="H7122" s="31"/>
    </row>
    <row r="7123" spans="2:8" hidden="1">
      <c r="B7123" s="405"/>
      <c r="C7123" s="31"/>
      <c r="D7123" s="31"/>
      <c r="E7123" s="31"/>
      <c r="F7123" s="691"/>
      <c r="G7123" s="75"/>
      <c r="H7123" s="31"/>
    </row>
    <row r="7124" spans="2:8" hidden="1">
      <c r="B7124" s="405"/>
      <c r="C7124" s="31"/>
      <c r="D7124" s="31"/>
      <c r="E7124" s="31"/>
      <c r="F7124" s="691"/>
      <c r="G7124" s="75"/>
      <c r="H7124" s="31"/>
    </row>
    <row r="7125" spans="2:8" hidden="1">
      <c r="B7125" s="405"/>
      <c r="C7125" s="31"/>
      <c r="D7125" s="31"/>
      <c r="E7125" s="31"/>
      <c r="F7125" s="691"/>
      <c r="G7125" s="31"/>
      <c r="H7125" s="31"/>
    </row>
    <row r="7126" spans="2:8" hidden="1">
      <c r="B7126" s="33"/>
      <c r="C7126" s="31"/>
      <c r="D7126" s="31"/>
      <c r="E7126" s="31"/>
      <c r="F7126" s="691"/>
      <c r="G7126" s="75"/>
      <c r="H7126" s="31"/>
    </row>
    <row r="7127" spans="2:8" hidden="1">
      <c r="B7127" s="33"/>
      <c r="C7127" s="31"/>
      <c r="D7127" s="31"/>
      <c r="E7127" s="31"/>
      <c r="F7127" s="691"/>
      <c r="G7127" s="75"/>
      <c r="H7127" s="31"/>
    </row>
    <row r="7128" spans="2:8" hidden="1">
      <c r="B7128" s="33"/>
      <c r="C7128" s="31"/>
      <c r="D7128" s="31"/>
      <c r="E7128" s="31"/>
      <c r="F7128" s="691"/>
      <c r="G7128" s="31"/>
      <c r="H7128" s="31"/>
    </row>
    <row r="7129" spans="2:8" hidden="1">
      <c r="B7129" s="33"/>
      <c r="C7129" s="31"/>
      <c r="D7129" s="31"/>
      <c r="E7129" s="31"/>
      <c r="F7129" s="31"/>
      <c r="G7129" s="31"/>
      <c r="H7129" s="31"/>
    </row>
    <row r="7130" spans="2:8" hidden="1">
      <c r="B7130" s="33"/>
      <c r="C7130" s="31"/>
      <c r="D7130" s="31"/>
      <c r="E7130" s="31"/>
      <c r="F7130" s="31"/>
      <c r="G7130" s="31"/>
      <c r="H7130" s="31"/>
    </row>
    <row r="7131" spans="2:8" hidden="1">
      <c r="B7131" s="33"/>
      <c r="C7131" s="31"/>
      <c r="D7131" s="31"/>
      <c r="E7131" s="31"/>
      <c r="F7131" s="31"/>
      <c r="G7131" s="31"/>
      <c r="H7131" s="31"/>
    </row>
    <row r="7132" spans="2:8" hidden="1">
      <c r="B7132" s="33"/>
      <c r="C7132" s="31"/>
      <c r="D7132" s="31"/>
      <c r="E7132" s="31"/>
      <c r="F7132" s="31"/>
      <c r="G7132" s="31"/>
      <c r="H7132" s="31"/>
    </row>
    <row r="7133" spans="2:8" hidden="1">
      <c r="B7133" s="33"/>
      <c r="C7133" s="31"/>
      <c r="D7133" s="31"/>
      <c r="E7133" s="31"/>
      <c r="F7133" s="31"/>
      <c r="G7133" s="31"/>
      <c r="H7133" s="31"/>
    </row>
    <row r="7134" spans="2:8" hidden="1">
      <c r="B7134" s="33"/>
      <c r="C7134" s="31"/>
      <c r="D7134" s="31"/>
      <c r="E7134" s="31"/>
      <c r="F7134" s="31"/>
      <c r="G7134" s="31"/>
      <c r="H7134" s="31"/>
    </row>
    <row r="7135" spans="2:8" hidden="1">
      <c r="B7135" s="33"/>
      <c r="C7135" s="31"/>
      <c r="D7135" s="31"/>
      <c r="E7135" s="31"/>
      <c r="F7135" s="31"/>
      <c r="G7135" s="31"/>
      <c r="H7135" s="31"/>
    </row>
    <row r="7136" spans="2:8" hidden="1">
      <c r="B7136" s="33"/>
      <c r="C7136" s="31"/>
      <c r="D7136" s="33"/>
      <c r="E7136" s="31"/>
      <c r="F7136" s="33"/>
      <c r="G7136" s="33"/>
      <c r="H7136" s="31"/>
    </row>
    <row r="7137" spans="2:8" hidden="1">
      <c r="B7137" s="33"/>
      <c r="C7137" s="31"/>
      <c r="D7137" s="33"/>
      <c r="E7137" s="33"/>
      <c r="F7137" s="33"/>
      <c r="G7137" s="33"/>
      <c r="H7137" s="31"/>
    </row>
    <row r="7138" spans="2:8" hidden="1">
      <c r="B7138" s="33"/>
      <c r="C7138" s="31"/>
      <c r="D7138" s="31"/>
      <c r="E7138" s="31"/>
      <c r="F7138" s="31"/>
      <c r="G7138" s="31"/>
      <c r="H7138" s="31"/>
    </row>
    <row r="7139" spans="2:8" hidden="1">
      <c r="B7139" s="200"/>
      <c r="C7139" s="31"/>
      <c r="D7139" s="75"/>
      <c r="E7139" s="771"/>
      <c r="F7139" s="771"/>
      <c r="G7139" s="31"/>
      <c r="H7139" s="31"/>
    </row>
    <row r="7140" spans="2:8" hidden="1">
      <c r="B7140" s="200"/>
      <c r="C7140" s="31"/>
      <c r="D7140" s="75"/>
      <c r="E7140" s="771"/>
      <c r="F7140" s="771"/>
      <c r="G7140" s="31"/>
      <c r="H7140" s="31"/>
    </row>
    <row r="7141" spans="2:8" hidden="1">
      <c r="B7141" s="200"/>
      <c r="C7141" s="31"/>
      <c r="D7141" s="75"/>
      <c r="E7141" s="771"/>
      <c r="F7141" s="771"/>
      <c r="G7141" s="31"/>
      <c r="H7141" s="31"/>
    </row>
    <row r="7142" spans="2:8" hidden="1">
      <c r="B7142" s="200"/>
      <c r="C7142" s="31"/>
      <c r="D7142" s="75"/>
      <c r="E7142" s="771"/>
      <c r="F7142" s="771"/>
      <c r="G7142" s="31"/>
      <c r="H7142" s="31"/>
    </row>
    <row r="7143" spans="2:8" hidden="1">
      <c r="B7143" s="200"/>
      <c r="C7143" s="31"/>
      <c r="D7143" s="75"/>
      <c r="E7143" s="771"/>
      <c r="F7143" s="771"/>
      <c r="G7143" s="31"/>
      <c r="H7143" s="31"/>
    </row>
    <row r="7144" spans="2:8" hidden="1">
      <c r="B7144" s="200"/>
      <c r="C7144" s="31"/>
      <c r="D7144" s="75"/>
      <c r="E7144" s="771"/>
      <c r="F7144" s="771"/>
      <c r="G7144" s="31"/>
      <c r="H7144" s="31"/>
    </row>
    <row r="7145" spans="2:8" hidden="1">
      <c r="B7145" s="200"/>
      <c r="C7145" s="31"/>
      <c r="D7145" s="75"/>
      <c r="E7145" s="771"/>
      <c r="F7145" s="772"/>
      <c r="G7145" s="33"/>
      <c r="H7145" s="31"/>
    </row>
    <row r="7146" spans="2:8" hidden="1">
      <c r="B7146" s="200"/>
      <c r="C7146" s="31"/>
      <c r="D7146" s="75"/>
      <c r="E7146" s="771"/>
      <c r="F7146" s="771"/>
      <c r="G7146" s="31"/>
      <c r="H7146" s="31"/>
    </row>
    <row r="7147" spans="2:8" hidden="1">
      <c r="B7147" s="200"/>
      <c r="C7147" s="31"/>
      <c r="D7147" s="75"/>
      <c r="E7147" s="771"/>
      <c r="F7147" s="772"/>
      <c r="G7147" s="33"/>
      <c r="H7147" s="31"/>
    </row>
    <row r="7148" spans="2:8" hidden="1">
      <c r="B7148" s="200"/>
      <c r="C7148" s="31"/>
      <c r="D7148" s="75"/>
      <c r="E7148" s="771"/>
      <c r="F7148" s="771"/>
      <c r="G7148" s="31"/>
      <c r="H7148" s="31"/>
    </row>
    <row r="7149" spans="2:8" hidden="1">
      <c r="B7149" s="200"/>
      <c r="C7149" s="31"/>
      <c r="D7149" s="75"/>
      <c r="E7149" s="771"/>
      <c r="F7149" s="772"/>
      <c r="G7149" s="33"/>
      <c r="H7149" s="31"/>
    </row>
    <row r="7150" spans="2:8" hidden="1">
      <c r="B7150" s="200"/>
      <c r="C7150" s="31"/>
      <c r="D7150" s="75"/>
      <c r="E7150" s="771"/>
      <c r="F7150" s="771"/>
      <c r="G7150" s="31"/>
      <c r="H7150" s="31"/>
    </row>
    <row r="7151" spans="2:8" hidden="1">
      <c r="B7151" s="33"/>
      <c r="C7151" s="31"/>
      <c r="D7151" s="31"/>
      <c r="E7151" s="31"/>
      <c r="F7151" s="31"/>
      <c r="G7151" s="31"/>
      <c r="H7151" s="31"/>
    </row>
    <row r="7152" spans="2:8" hidden="1">
      <c r="B7152" s="200"/>
      <c r="C7152" s="31"/>
      <c r="D7152" s="75"/>
      <c r="E7152" s="771"/>
      <c r="F7152" s="771"/>
      <c r="G7152" s="31"/>
      <c r="H7152" s="31"/>
    </row>
    <row r="7153" spans="2:8" hidden="1">
      <c r="B7153" s="200"/>
      <c r="C7153" s="31"/>
      <c r="D7153" s="75"/>
      <c r="E7153" s="771"/>
      <c r="F7153" s="771"/>
      <c r="G7153" s="31"/>
      <c r="H7153" s="31"/>
    </row>
    <row r="7154" spans="2:8" hidden="1">
      <c r="B7154" s="200"/>
      <c r="C7154" s="31"/>
      <c r="D7154" s="75"/>
      <c r="E7154" s="771"/>
      <c r="F7154" s="771"/>
      <c r="G7154" s="31"/>
      <c r="H7154" s="31"/>
    </row>
    <row r="7155" spans="2:8" hidden="1">
      <c r="B7155" s="200"/>
      <c r="C7155" s="31"/>
      <c r="D7155" s="75"/>
      <c r="E7155" s="771"/>
      <c r="F7155" s="771"/>
      <c r="G7155" s="31"/>
      <c r="H7155" s="31"/>
    </row>
    <row r="7156" spans="2:8" hidden="1">
      <c r="B7156" s="200"/>
      <c r="C7156" s="31"/>
      <c r="D7156" s="75"/>
      <c r="E7156" s="771"/>
      <c r="F7156" s="772"/>
      <c r="G7156" s="33"/>
      <c r="H7156" s="31"/>
    </row>
    <row r="7157" spans="2:8" hidden="1">
      <c r="B7157" s="200"/>
      <c r="C7157" s="31"/>
      <c r="D7157" s="75"/>
      <c r="E7157" s="771"/>
      <c r="F7157" s="772"/>
      <c r="G7157" s="33"/>
      <c r="H7157" s="31"/>
    </row>
    <row r="7158" spans="2:8" hidden="1">
      <c r="B7158" s="200"/>
      <c r="C7158" s="31"/>
      <c r="D7158" s="75"/>
      <c r="E7158" s="771"/>
      <c r="F7158" s="772"/>
      <c r="G7158" s="33"/>
      <c r="H7158" s="31"/>
    </row>
    <row r="7159" spans="2:8" hidden="1">
      <c r="B7159" s="200"/>
      <c r="C7159" s="31"/>
      <c r="D7159" s="75"/>
      <c r="E7159" s="771"/>
      <c r="F7159" s="771"/>
      <c r="G7159" s="31"/>
      <c r="H7159" s="31"/>
    </row>
    <row r="7160" spans="2:8" hidden="1">
      <c r="B7160" s="200"/>
      <c r="C7160" s="31"/>
      <c r="D7160" s="75"/>
      <c r="E7160" s="772"/>
      <c r="F7160" s="772"/>
      <c r="G7160" s="31"/>
      <c r="H7160" s="31"/>
    </row>
    <row r="7161" spans="2:8" hidden="1">
      <c r="B7161" s="200"/>
      <c r="C7161" s="31"/>
      <c r="D7161" s="75"/>
      <c r="E7161" s="771"/>
      <c r="F7161" s="771"/>
      <c r="G7161" s="31"/>
      <c r="H7161" s="31"/>
    </row>
    <row r="7162" spans="2:8" hidden="1">
      <c r="B7162" s="200"/>
      <c r="C7162" s="31"/>
      <c r="D7162" s="75"/>
      <c r="E7162" s="771"/>
      <c r="F7162" s="771"/>
      <c r="G7162" s="31"/>
      <c r="H7162" s="31"/>
    </row>
    <row r="7163" spans="2:8" hidden="1">
      <c r="B7163" s="200"/>
      <c r="C7163" s="31"/>
      <c r="D7163" s="75"/>
      <c r="E7163" s="771"/>
      <c r="F7163" s="772"/>
      <c r="G7163" s="33"/>
      <c r="H7163" s="31"/>
    </row>
    <row r="7164" spans="2:8" hidden="1">
      <c r="B7164" s="200"/>
      <c r="C7164" s="31"/>
      <c r="D7164" s="75"/>
      <c r="E7164" s="771"/>
      <c r="F7164" s="772"/>
      <c r="G7164" s="33"/>
      <c r="H7164" s="31"/>
    </row>
    <row r="7165" spans="2:8" hidden="1">
      <c r="B7165" s="200"/>
      <c r="C7165" s="31"/>
      <c r="D7165" s="75"/>
      <c r="E7165" s="771"/>
      <c r="F7165" s="771"/>
      <c r="G7165" s="31"/>
      <c r="H7165" s="31"/>
    </row>
    <row r="7166" spans="2:8" hidden="1">
      <c r="B7166" s="200"/>
      <c r="C7166" s="31"/>
      <c r="D7166" s="75"/>
      <c r="E7166" s="771"/>
      <c r="F7166" s="771"/>
      <c r="G7166" s="31"/>
      <c r="H7166" s="31"/>
    </row>
    <row r="7167" spans="2:8" hidden="1">
      <c r="B7167" s="200"/>
      <c r="C7167" s="31"/>
      <c r="D7167" s="75"/>
      <c r="E7167" s="771"/>
      <c r="F7167" s="772"/>
      <c r="G7167" s="33"/>
      <c r="H7167" s="31"/>
    </row>
    <row r="7168" spans="2:8" hidden="1">
      <c r="B7168" s="200"/>
      <c r="C7168" s="31"/>
      <c r="D7168" s="75"/>
      <c r="E7168" s="771"/>
      <c r="F7168" s="771"/>
      <c r="G7168" s="31"/>
      <c r="H7168" s="31"/>
    </row>
    <row r="7169" spans="2:8" hidden="1">
      <c r="B7169" s="200"/>
      <c r="C7169" s="31"/>
      <c r="D7169" s="75"/>
      <c r="E7169" s="771"/>
      <c r="F7169" s="771"/>
      <c r="G7169" s="31"/>
      <c r="H7169" s="31"/>
    </row>
    <row r="7170" spans="2:8" hidden="1">
      <c r="B7170" s="200"/>
      <c r="C7170" s="31"/>
      <c r="D7170" s="75"/>
      <c r="E7170" s="31"/>
      <c r="F7170" s="33"/>
      <c r="G7170" s="33"/>
      <c r="H7170" s="31"/>
    </row>
    <row r="7171" spans="2:8" hidden="1">
      <c r="B7171" s="200"/>
      <c r="C7171" s="31"/>
      <c r="D7171" s="75"/>
      <c r="E7171" s="31"/>
      <c r="F7171" s="33"/>
      <c r="G7171" s="33"/>
      <c r="H7171" s="31"/>
    </row>
    <row r="7172" spans="2:8" hidden="1">
      <c r="B7172" s="200"/>
      <c r="C7172" s="31"/>
      <c r="D7172" s="75"/>
      <c r="E7172" s="31"/>
      <c r="F7172" s="33"/>
      <c r="G7172" s="33"/>
      <c r="H7172" s="31"/>
    </row>
    <row r="7173" spans="2:8" hidden="1">
      <c r="B7173" s="200"/>
      <c r="C7173" s="31"/>
      <c r="D7173" s="75"/>
      <c r="E7173" s="31"/>
      <c r="F7173" s="31"/>
      <c r="G7173" s="31"/>
      <c r="H7173" s="31"/>
    </row>
    <row r="7174" spans="2:8" hidden="1">
      <c r="B7174" s="200"/>
      <c r="C7174" s="31"/>
      <c r="D7174" s="75"/>
      <c r="E7174" s="31"/>
      <c r="F7174" s="31"/>
      <c r="G7174" s="31"/>
      <c r="H7174" s="31"/>
    </row>
    <row r="7175" spans="2:8" hidden="1">
      <c r="B7175" s="200"/>
      <c r="C7175" s="31"/>
      <c r="D7175" s="75"/>
      <c r="E7175" s="31"/>
      <c r="F7175" s="31"/>
      <c r="G7175" s="31"/>
      <c r="H7175" s="31"/>
    </row>
    <row r="7176" spans="2:8" hidden="1">
      <c r="B7176" s="200"/>
      <c r="C7176" s="31"/>
      <c r="D7176" s="75"/>
      <c r="E7176" s="31"/>
      <c r="F7176" s="771"/>
      <c r="G7176" s="31"/>
      <c r="H7176" s="31"/>
    </row>
    <row r="7177" spans="2:8" hidden="1">
      <c r="B7177" s="200"/>
      <c r="C7177" s="31"/>
      <c r="D7177" s="75"/>
      <c r="E7177" s="31"/>
      <c r="F7177" s="31"/>
      <c r="G7177" s="31"/>
      <c r="H7177" s="31"/>
    </row>
    <row r="7178" spans="2:8" hidden="1">
      <c r="B7178" s="200"/>
      <c r="C7178" s="31"/>
      <c r="D7178" s="75"/>
      <c r="E7178" s="33"/>
      <c r="F7178" s="33"/>
      <c r="G7178" s="33"/>
      <c r="H7178" s="31"/>
    </row>
    <row r="7179" spans="2:8" hidden="1">
      <c r="B7179" s="200"/>
      <c r="C7179" s="31"/>
      <c r="D7179" s="75"/>
      <c r="E7179" s="33"/>
      <c r="F7179" s="33"/>
      <c r="G7179" s="33"/>
      <c r="H7179" s="31"/>
    </row>
    <row r="7180" spans="2:8" hidden="1">
      <c r="B7180" s="33"/>
      <c r="C7180" s="200"/>
      <c r="D7180" s="75"/>
      <c r="E7180" s="31"/>
      <c r="F7180" s="31"/>
      <c r="G7180" s="31"/>
      <c r="H7180" s="31"/>
    </row>
    <row r="7181" spans="2:8" hidden="1">
      <c r="B7181" s="33"/>
      <c r="C7181" s="31"/>
      <c r="D7181" s="104"/>
      <c r="E7181" s="33"/>
      <c r="F7181" s="33"/>
      <c r="G7181" s="33"/>
      <c r="H7181" s="31"/>
    </row>
    <row r="7182" spans="2:8" hidden="1">
      <c r="B7182" s="33"/>
      <c r="C7182" s="31"/>
      <c r="D7182" s="31"/>
      <c r="E7182" s="31"/>
      <c r="F7182" s="31"/>
      <c r="G7182" s="31"/>
      <c r="H7182" s="31"/>
    </row>
    <row r="7183" spans="2:8" hidden="1">
      <c r="B7183" s="405"/>
      <c r="C7183" s="31"/>
      <c r="D7183" s="31"/>
      <c r="E7183" s="31"/>
      <c r="F7183" s="31"/>
      <c r="G7183" s="31"/>
      <c r="H7183" s="31"/>
    </row>
    <row r="7184" spans="2:8" hidden="1">
      <c r="B7184" s="405"/>
      <c r="C7184" s="31"/>
      <c r="D7184" s="31"/>
      <c r="E7184" s="31"/>
      <c r="F7184" s="691"/>
      <c r="G7184" s="75"/>
      <c r="H7184" s="31"/>
    </row>
    <row r="7185" spans="2:8" hidden="1">
      <c r="B7185" s="405"/>
      <c r="C7185" s="31"/>
      <c r="D7185" s="31"/>
      <c r="E7185" s="31"/>
      <c r="F7185" s="691"/>
      <c r="G7185" s="75"/>
      <c r="H7185" s="31"/>
    </row>
    <row r="7186" spans="2:8" hidden="1">
      <c r="B7186" s="405"/>
      <c r="C7186" s="31"/>
      <c r="D7186" s="31"/>
      <c r="E7186" s="31"/>
      <c r="F7186" s="691"/>
      <c r="G7186" s="75"/>
      <c r="H7186" s="31"/>
    </row>
    <row r="7187" spans="2:8" hidden="1">
      <c r="B7187" s="405"/>
      <c r="C7187" s="31"/>
      <c r="D7187" s="31"/>
      <c r="E7187" s="31"/>
      <c r="F7187" s="691"/>
      <c r="G7187" s="75"/>
      <c r="H7187" s="31"/>
    </row>
    <row r="7188" spans="2:8" hidden="1">
      <c r="B7188" s="405"/>
      <c r="C7188" s="31"/>
      <c r="D7188" s="31"/>
      <c r="E7188" s="31"/>
      <c r="F7188" s="691"/>
      <c r="G7188" s="75"/>
      <c r="H7188" s="31"/>
    </row>
    <row r="7189" spans="2:8" hidden="1">
      <c r="B7189" s="405"/>
      <c r="C7189" s="31"/>
      <c r="D7189" s="31"/>
      <c r="E7189" s="31"/>
      <c r="F7189" s="691"/>
      <c r="G7189" s="75"/>
      <c r="H7189" s="31"/>
    </row>
    <row r="7190" spans="2:8" hidden="1">
      <c r="B7190" s="405"/>
      <c r="C7190" s="31"/>
      <c r="D7190" s="31"/>
      <c r="E7190" s="31"/>
      <c r="F7190" s="691"/>
      <c r="G7190" s="31"/>
      <c r="H7190" s="31"/>
    </row>
    <row r="7191" spans="2:8" hidden="1">
      <c r="B7191" s="33"/>
      <c r="C7191" s="31"/>
      <c r="D7191" s="31"/>
      <c r="E7191" s="31"/>
      <c r="F7191" s="691"/>
      <c r="G7191" s="31"/>
      <c r="H7191" s="31"/>
    </row>
    <row r="7192" spans="2:8" hidden="1">
      <c r="B7192" s="33"/>
      <c r="C7192" s="31"/>
      <c r="D7192" s="31"/>
      <c r="E7192" s="31"/>
      <c r="F7192" s="691"/>
      <c r="G7192" s="31"/>
      <c r="H7192" s="31"/>
    </row>
    <row r="7193" spans="2:8" hidden="1">
      <c r="B7193" s="33"/>
      <c r="C7193" s="31"/>
      <c r="D7193" s="31"/>
      <c r="E7193" s="31"/>
      <c r="F7193" s="691"/>
      <c r="G7193" s="31"/>
      <c r="H7193" s="31"/>
    </row>
    <row r="7194" spans="2:8" hidden="1">
      <c r="B7194" s="33"/>
      <c r="C7194" s="31"/>
      <c r="D7194" s="31"/>
      <c r="E7194" s="31"/>
      <c r="F7194" s="691"/>
      <c r="G7194" s="31"/>
      <c r="H7194" s="31"/>
    </row>
    <row r="7195" spans="2:8" hidden="1">
      <c r="B7195" s="33"/>
      <c r="C7195" s="31"/>
      <c r="D7195" s="31"/>
      <c r="E7195" s="31"/>
      <c r="F7195" s="31"/>
      <c r="G7195" s="31"/>
      <c r="H7195" s="31"/>
    </row>
    <row r="7196" spans="2:8" hidden="1">
      <c r="B7196" s="33"/>
      <c r="C7196" s="31"/>
      <c r="D7196" s="31"/>
      <c r="E7196" s="31"/>
      <c r="F7196" s="31"/>
      <c r="G7196" s="31"/>
      <c r="H7196" s="31"/>
    </row>
    <row r="7197" spans="2:8" hidden="1">
      <c r="B7197" s="33"/>
      <c r="C7197" s="31"/>
      <c r="D7197" s="31"/>
      <c r="E7197" s="31"/>
      <c r="F7197" s="31"/>
      <c r="G7197" s="31"/>
      <c r="H7197" s="31"/>
    </row>
    <row r="7198" spans="2:8" hidden="1">
      <c r="B7198" s="33"/>
      <c r="C7198" s="31"/>
      <c r="D7198" s="31"/>
      <c r="E7198" s="31"/>
      <c r="F7198" s="31"/>
      <c r="G7198" s="31"/>
      <c r="H7198" s="31"/>
    </row>
    <row r="7199" spans="2:8" hidden="1">
      <c r="B7199" s="33"/>
      <c r="C7199" s="31"/>
      <c r="D7199" s="31"/>
      <c r="E7199" s="31"/>
      <c r="F7199" s="31"/>
      <c r="G7199" s="31"/>
      <c r="H7199" s="31"/>
    </row>
    <row r="7200" spans="2:8" hidden="1">
      <c r="B7200" s="33"/>
      <c r="C7200" s="31"/>
      <c r="D7200" s="31"/>
      <c r="E7200" s="31"/>
      <c r="F7200" s="31"/>
      <c r="G7200" s="31"/>
      <c r="H7200" s="31"/>
    </row>
    <row r="7201" spans="2:8" hidden="1">
      <c r="B7201" s="33"/>
      <c r="C7201" s="31"/>
      <c r="D7201" s="31"/>
      <c r="E7201" s="31"/>
      <c r="F7201" s="31"/>
      <c r="G7201" s="31"/>
      <c r="H7201" s="31"/>
    </row>
    <row r="7202" spans="2:8" hidden="1">
      <c r="B7202" s="33"/>
      <c r="C7202" s="31"/>
      <c r="D7202" s="31"/>
      <c r="E7202" s="31"/>
      <c r="F7202" s="31"/>
      <c r="G7202" s="31"/>
      <c r="H7202" s="31"/>
    </row>
    <row r="7203" spans="2:8" hidden="1">
      <c r="B7203" s="33"/>
      <c r="C7203" s="31"/>
      <c r="D7203" s="33"/>
      <c r="E7203" s="31"/>
      <c r="F7203" s="33"/>
      <c r="G7203" s="33"/>
      <c r="H7203" s="31"/>
    </row>
    <row r="7204" spans="2:8" hidden="1">
      <c r="B7204" s="33"/>
      <c r="C7204" s="31"/>
      <c r="D7204" s="33"/>
      <c r="E7204" s="33"/>
      <c r="F7204" s="33"/>
      <c r="G7204" s="33"/>
      <c r="H7204" s="31"/>
    </row>
    <row r="7205" spans="2:8" hidden="1">
      <c r="B7205" s="33"/>
      <c r="C7205" s="31"/>
      <c r="D7205" s="31"/>
      <c r="E7205" s="31"/>
      <c r="F7205" s="31"/>
      <c r="G7205" s="31"/>
      <c r="H7205" s="31"/>
    </row>
    <row r="7206" spans="2:8" hidden="1">
      <c r="B7206" s="200"/>
      <c r="C7206" s="31"/>
      <c r="D7206" s="75"/>
      <c r="E7206" s="771"/>
      <c r="F7206" s="33"/>
      <c r="G7206" s="33"/>
      <c r="H7206" s="31"/>
    </row>
    <row r="7207" spans="2:8" hidden="1">
      <c r="B7207" s="200"/>
      <c r="C7207" s="31"/>
      <c r="D7207" s="75"/>
      <c r="E7207" s="771"/>
      <c r="F7207" s="31"/>
      <c r="G7207" s="31"/>
      <c r="H7207" s="31"/>
    </row>
    <row r="7208" spans="2:8" hidden="1">
      <c r="B7208" s="200"/>
      <c r="C7208" s="31"/>
      <c r="D7208" s="75"/>
      <c r="E7208" s="771"/>
      <c r="F7208" s="33"/>
      <c r="G7208" s="33"/>
      <c r="H7208" s="31"/>
    </row>
    <row r="7209" spans="2:8" hidden="1">
      <c r="B7209" s="200"/>
      <c r="C7209" s="31"/>
      <c r="D7209" s="75"/>
      <c r="E7209" s="771"/>
      <c r="F7209" s="31"/>
      <c r="G7209" s="31"/>
      <c r="H7209" s="31"/>
    </row>
    <row r="7210" spans="2:8" hidden="1">
      <c r="B7210" s="33"/>
      <c r="C7210" s="31"/>
      <c r="D7210" s="31"/>
      <c r="E7210" s="31"/>
      <c r="F7210" s="31"/>
      <c r="G7210" s="31"/>
      <c r="H7210" s="31"/>
    </row>
    <row r="7211" spans="2:8" hidden="1">
      <c r="B7211" s="200"/>
      <c r="C7211" s="31"/>
      <c r="D7211" s="75"/>
      <c r="E7211" s="771"/>
      <c r="F7211" s="31"/>
      <c r="G7211" s="31"/>
      <c r="H7211" s="31"/>
    </row>
    <row r="7212" spans="2:8" hidden="1">
      <c r="B7212" s="200"/>
      <c r="C7212" s="31"/>
      <c r="D7212" s="75"/>
      <c r="E7212" s="771"/>
      <c r="F7212" s="33"/>
      <c r="G7212" s="33"/>
      <c r="H7212" s="31"/>
    </row>
    <row r="7213" spans="2:8" hidden="1">
      <c r="B7213" s="200"/>
      <c r="C7213" s="31"/>
      <c r="D7213" s="75"/>
      <c r="E7213" s="771"/>
      <c r="F7213" s="771"/>
      <c r="G7213" s="31"/>
      <c r="H7213" s="31"/>
    </row>
    <row r="7214" spans="2:8" hidden="1">
      <c r="B7214" s="200"/>
      <c r="C7214" s="31"/>
      <c r="D7214" s="75"/>
      <c r="E7214" s="771"/>
      <c r="F7214" s="771"/>
      <c r="G7214" s="31"/>
      <c r="H7214" s="31"/>
    </row>
    <row r="7215" spans="2:8" hidden="1">
      <c r="B7215" s="200"/>
      <c r="C7215" s="31"/>
      <c r="D7215" s="75"/>
      <c r="E7215" s="771"/>
      <c r="F7215" s="771"/>
      <c r="G7215" s="31"/>
      <c r="H7215" s="31"/>
    </row>
    <row r="7216" spans="2:8" hidden="1">
      <c r="B7216" s="200"/>
      <c r="C7216" s="31"/>
      <c r="D7216" s="75"/>
      <c r="E7216" s="771"/>
      <c r="F7216" s="771"/>
      <c r="G7216" s="31"/>
      <c r="H7216" s="31"/>
    </row>
    <row r="7217" spans="2:8" hidden="1">
      <c r="B7217" s="200"/>
      <c r="C7217" s="31"/>
      <c r="D7217" s="75"/>
      <c r="E7217" s="771"/>
      <c r="F7217" s="771"/>
      <c r="G7217" s="31"/>
      <c r="H7217" s="31"/>
    </row>
    <row r="7218" spans="2:8" hidden="1">
      <c r="B7218" s="200"/>
      <c r="C7218" s="31"/>
      <c r="D7218" s="75"/>
      <c r="E7218" s="771"/>
      <c r="F7218" s="771"/>
      <c r="G7218" s="31"/>
      <c r="H7218" s="31"/>
    </row>
    <row r="7219" spans="2:8" hidden="1">
      <c r="B7219" s="200"/>
      <c r="C7219" s="31"/>
      <c r="D7219" s="75"/>
      <c r="E7219" s="771"/>
      <c r="F7219" s="771"/>
      <c r="G7219" s="31"/>
      <c r="H7219" s="31"/>
    </row>
    <row r="7220" spans="2:8" hidden="1">
      <c r="B7220" s="200"/>
      <c r="C7220" s="31"/>
      <c r="D7220" s="75"/>
      <c r="E7220" s="771"/>
      <c r="F7220" s="772"/>
      <c r="G7220" s="33"/>
      <c r="H7220" s="31"/>
    </row>
    <row r="7221" spans="2:8" hidden="1">
      <c r="B7221" s="200"/>
      <c r="C7221" s="31"/>
      <c r="D7221" s="75"/>
      <c r="E7221" s="771"/>
      <c r="F7221" s="771"/>
      <c r="G7221" s="31"/>
      <c r="H7221" s="31"/>
    </row>
    <row r="7222" spans="2:8" hidden="1">
      <c r="B7222" s="200"/>
      <c r="C7222" s="31"/>
      <c r="D7222" s="75"/>
      <c r="E7222" s="771"/>
      <c r="F7222" s="771"/>
      <c r="G7222" s="31"/>
      <c r="H7222" s="31"/>
    </row>
    <row r="7223" spans="2:8" hidden="1">
      <c r="B7223" s="200"/>
      <c r="C7223" s="31"/>
      <c r="D7223" s="75"/>
      <c r="E7223" s="771"/>
      <c r="F7223" s="771"/>
      <c r="G7223" s="31"/>
      <c r="H7223" s="31"/>
    </row>
    <row r="7224" spans="2:8" hidden="1">
      <c r="B7224" s="200"/>
      <c r="C7224" s="31"/>
      <c r="D7224" s="75"/>
      <c r="E7224" s="771"/>
      <c r="F7224" s="771"/>
      <c r="G7224" s="31"/>
      <c r="H7224" s="31"/>
    </row>
    <row r="7225" spans="2:8" hidden="1">
      <c r="B7225" s="200"/>
      <c r="C7225" s="31"/>
      <c r="D7225" s="75"/>
      <c r="E7225" s="771"/>
      <c r="F7225" s="771"/>
      <c r="G7225" s="31"/>
      <c r="H7225" s="31"/>
    </row>
    <row r="7226" spans="2:8" hidden="1">
      <c r="B7226" s="200"/>
      <c r="C7226" s="31"/>
      <c r="D7226" s="75"/>
      <c r="E7226" s="771"/>
      <c r="F7226" s="771"/>
      <c r="G7226" s="31"/>
      <c r="H7226" s="31"/>
    </row>
    <row r="7227" spans="2:8" hidden="1">
      <c r="B7227" s="200"/>
      <c r="C7227" s="31"/>
      <c r="D7227" s="75"/>
      <c r="E7227" s="771"/>
      <c r="F7227" s="771"/>
      <c r="G7227" s="31"/>
      <c r="H7227" s="31"/>
    </row>
    <row r="7228" spans="2:8" hidden="1">
      <c r="B7228" s="200"/>
      <c r="C7228" s="31"/>
      <c r="D7228" s="75"/>
      <c r="E7228" s="771"/>
      <c r="F7228" s="31"/>
      <c r="G7228" s="31"/>
      <c r="H7228" s="31"/>
    </row>
    <row r="7229" spans="2:8" hidden="1">
      <c r="B7229" s="200"/>
      <c r="C7229" s="31"/>
      <c r="D7229" s="75"/>
      <c r="E7229" s="771"/>
      <c r="F7229" s="31"/>
      <c r="G7229" s="31"/>
      <c r="H7229" s="31"/>
    </row>
    <row r="7230" spans="2:8" hidden="1">
      <c r="B7230" s="200"/>
      <c r="C7230" s="31"/>
      <c r="D7230" s="75"/>
      <c r="E7230" s="771"/>
      <c r="F7230" s="31"/>
      <c r="G7230" s="31"/>
      <c r="H7230" s="31"/>
    </row>
    <row r="7231" spans="2:8" hidden="1">
      <c r="B7231" s="200"/>
      <c r="C7231" s="31"/>
      <c r="D7231" s="75"/>
      <c r="E7231" s="771"/>
      <c r="F7231" s="31"/>
      <c r="G7231" s="31"/>
      <c r="H7231" s="31"/>
    </row>
    <row r="7232" spans="2:8" hidden="1">
      <c r="B7232" s="200"/>
      <c r="C7232" s="31"/>
      <c r="D7232" s="75"/>
      <c r="E7232" s="771"/>
      <c r="F7232" s="31"/>
      <c r="G7232" s="31"/>
      <c r="H7232" s="31"/>
    </row>
    <row r="7233" spans="2:8" hidden="1">
      <c r="B7233" s="200"/>
      <c r="C7233" s="31"/>
      <c r="D7233" s="75"/>
      <c r="E7233" s="771"/>
      <c r="F7233" s="31"/>
      <c r="G7233" s="31"/>
      <c r="H7233" s="31"/>
    </row>
    <row r="7234" spans="2:8" hidden="1">
      <c r="B7234" s="200"/>
      <c r="C7234" s="31"/>
      <c r="D7234" s="75"/>
      <c r="E7234" s="771"/>
      <c r="F7234" s="771"/>
      <c r="G7234" s="31"/>
      <c r="H7234" s="31"/>
    </row>
    <row r="7235" spans="2:8" hidden="1">
      <c r="B7235" s="200"/>
      <c r="C7235" s="31"/>
      <c r="D7235" s="75"/>
      <c r="E7235" s="771"/>
      <c r="F7235" s="771"/>
      <c r="G7235" s="31"/>
      <c r="H7235" s="31"/>
    </row>
    <row r="7236" spans="2:8" hidden="1">
      <c r="B7236" s="200"/>
      <c r="C7236" s="31"/>
      <c r="D7236" s="75"/>
      <c r="E7236" s="771"/>
      <c r="F7236" s="771"/>
      <c r="G7236" s="31"/>
      <c r="H7236" s="31"/>
    </row>
    <row r="7237" spans="2:8" hidden="1">
      <c r="B7237" s="200"/>
      <c r="C7237" s="31"/>
      <c r="D7237" s="75"/>
      <c r="E7237" s="772"/>
      <c r="F7237" s="772"/>
      <c r="G7237" s="33"/>
      <c r="H7237" s="31"/>
    </row>
    <row r="7238" spans="2:8" hidden="1">
      <c r="B7238" s="200"/>
      <c r="C7238" s="31"/>
      <c r="D7238" s="75"/>
      <c r="E7238" s="771"/>
      <c r="F7238" s="772"/>
      <c r="G7238" s="33"/>
      <c r="H7238" s="31"/>
    </row>
    <row r="7239" spans="2:8" hidden="1">
      <c r="B7239" s="200"/>
      <c r="C7239" s="31"/>
      <c r="D7239" s="75"/>
      <c r="E7239" s="771"/>
      <c r="F7239" s="771"/>
      <c r="G7239" s="31"/>
      <c r="H7239" s="31"/>
    </row>
    <row r="7240" spans="2:8" hidden="1">
      <c r="B7240" s="200"/>
      <c r="C7240" s="31"/>
      <c r="D7240" s="75"/>
      <c r="E7240" s="771"/>
      <c r="F7240" s="771"/>
      <c r="G7240" s="31"/>
      <c r="H7240" s="31"/>
    </row>
    <row r="7241" spans="2:8" hidden="1">
      <c r="B7241" s="200"/>
      <c r="C7241" s="31"/>
      <c r="D7241" s="75"/>
      <c r="E7241" s="772"/>
      <c r="F7241" s="772"/>
      <c r="G7241" s="33"/>
      <c r="H7241" s="31"/>
    </row>
    <row r="7242" spans="2:8" hidden="1">
      <c r="B7242" s="200"/>
      <c r="C7242" s="31"/>
      <c r="D7242" s="75"/>
      <c r="E7242" s="771"/>
      <c r="F7242" s="772"/>
      <c r="G7242" s="33"/>
      <c r="H7242" s="31"/>
    </row>
    <row r="7243" spans="2:8" hidden="1">
      <c r="B7243" s="200"/>
      <c r="C7243" s="31"/>
      <c r="D7243" s="75"/>
      <c r="E7243" s="771"/>
      <c r="F7243" s="771"/>
      <c r="G7243" s="31"/>
      <c r="H7243" s="31"/>
    </row>
    <row r="7244" spans="2:8" hidden="1">
      <c r="B7244" s="200"/>
      <c r="C7244" s="31"/>
      <c r="D7244" s="75"/>
      <c r="E7244" s="771"/>
      <c r="F7244" s="771"/>
      <c r="G7244" s="31"/>
      <c r="H7244" s="31"/>
    </row>
    <row r="7245" spans="2:8" hidden="1">
      <c r="B7245" s="200"/>
      <c r="C7245" s="31"/>
      <c r="D7245" s="75"/>
      <c r="E7245" s="771"/>
      <c r="F7245" s="771"/>
      <c r="G7245" s="31"/>
      <c r="H7245" s="31"/>
    </row>
    <row r="7246" spans="2:8" hidden="1">
      <c r="B7246" s="200"/>
      <c r="C7246" s="31"/>
      <c r="D7246" s="75"/>
      <c r="E7246" s="771"/>
      <c r="F7246" s="771"/>
      <c r="G7246" s="31"/>
      <c r="H7246" s="31"/>
    </row>
    <row r="7247" spans="2:8" hidden="1">
      <c r="B7247" s="200"/>
      <c r="C7247" s="31"/>
      <c r="D7247" s="75"/>
      <c r="E7247" s="771"/>
      <c r="F7247" s="771"/>
      <c r="G7247" s="31"/>
      <c r="H7247" s="31"/>
    </row>
    <row r="7248" spans="2:8" hidden="1">
      <c r="B7248" s="200"/>
      <c r="C7248" s="31"/>
      <c r="D7248" s="75"/>
      <c r="E7248" s="771"/>
      <c r="F7248" s="771"/>
      <c r="G7248" s="31"/>
      <c r="H7248" s="31"/>
    </row>
    <row r="7249" spans="2:8" hidden="1">
      <c r="B7249" s="200"/>
      <c r="C7249" s="31"/>
      <c r="D7249" s="75"/>
      <c r="E7249" s="771"/>
      <c r="F7249" s="771"/>
      <c r="G7249" s="31"/>
      <c r="H7249" s="31"/>
    </row>
    <row r="7250" spans="2:8" hidden="1">
      <c r="B7250" s="200"/>
      <c r="C7250" s="31"/>
      <c r="D7250" s="75"/>
      <c r="E7250" s="771"/>
      <c r="F7250" s="771"/>
      <c r="G7250" s="31"/>
      <c r="H7250" s="31"/>
    </row>
    <row r="7251" spans="2:8" hidden="1">
      <c r="B7251" s="200"/>
      <c r="C7251" s="31"/>
      <c r="D7251" s="75"/>
      <c r="E7251" s="771"/>
      <c r="F7251" s="771"/>
      <c r="G7251" s="31"/>
      <c r="H7251" s="31"/>
    </row>
    <row r="7252" spans="2:8" hidden="1">
      <c r="B7252" s="200"/>
      <c r="C7252" s="31"/>
      <c r="D7252" s="75"/>
      <c r="E7252" s="771"/>
      <c r="F7252" s="771"/>
      <c r="G7252" s="31"/>
      <c r="H7252" s="31"/>
    </row>
    <row r="7253" spans="2:8" hidden="1">
      <c r="B7253" s="200"/>
      <c r="C7253" s="31"/>
      <c r="D7253" s="75"/>
      <c r="E7253" s="771"/>
      <c r="F7253" s="771"/>
      <c r="G7253" s="31"/>
      <c r="H7253" s="31"/>
    </row>
    <row r="7254" spans="2:8" hidden="1">
      <c r="B7254" s="200"/>
      <c r="C7254" s="31"/>
      <c r="D7254" s="75"/>
      <c r="E7254" s="771"/>
      <c r="F7254" s="771"/>
      <c r="G7254" s="31"/>
      <c r="H7254" s="31"/>
    </row>
    <row r="7255" spans="2:8" hidden="1">
      <c r="B7255" s="200"/>
      <c r="C7255" s="31"/>
      <c r="D7255" s="75"/>
      <c r="E7255" s="771"/>
      <c r="F7255" s="771"/>
      <c r="G7255" s="31"/>
      <c r="H7255" s="31"/>
    </row>
    <row r="7256" spans="2:8" hidden="1">
      <c r="B7256" s="200"/>
      <c r="C7256" s="31"/>
      <c r="D7256" s="75"/>
      <c r="E7256" s="771"/>
      <c r="F7256" s="771"/>
      <c r="G7256" s="31"/>
      <c r="H7256" s="31"/>
    </row>
    <row r="7257" spans="2:8" hidden="1">
      <c r="B7257" s="200"/>
      <c r="C7257" s="31"/>
      <c r="D7257" s="75"/>
      <c r="E7257" s="771"/>
      <c r="F7257" s="771"/>
      <c r="G7257" s="31"/>
      <c r="H7257" s="31"/>
    </row>
    <row r="7258" spans="2:8" hidden="1">
      <c r="B7258" s="200"/>
      <c r="C7258" s="31"/>
      <c r="D7258" s="75"/>
      <c r="E7258" s="771"/>
      <c r="F7258" s="771"/>
      <c r="G7258" s="31"/>
      <c r="H7258" s="31"/>
    </row>
    <row r="7259" spans="2:8" hidden="1">
      <c r="B7259" s="200"/>
      <c r="C7259" s="31"/>
      <c r="D7259" s="75"/>
      <c r="E7259" s="771"/>
      <c r="F7259" s="771"/>
      <c r="G7259" s="31"/>
      <c r="H7259" s="31"/>
    </row>
    <row r="7260" spans="2:8" hidden="1">
      <c r="B7260" s="200"/>
      <c r="C7260" s="31"/>
      <c r="D7260" s="75"/>
      <c r="E7260" s="771"/>
      <c r="F7260" s="771"/>
      <c r="G7260" s="31"/>
      <c r="H7260" s="31"/>
    </row>
    <row r="7261" spans="2:8" hidden="1">
      <c r="B7261" s="200"/>
      <c r="C7261" s="31"/>
      <c r="D7261" s="75"/>
      <c r="E7261" s="771"/>
      <c r="F7261" s="771"/>
      <c r="G7261" s="31"/>
      <c r="H7261" s="31"/>
    </row>
    <row r="7262" spans="2:8" hidden="1">
      <c r="B7262" s="200"/>
      <c r="C7262" s="31"/>
      <c r="D7262" s="75"/>
      <c r="E7262" s="771"/>
      <c r="F7262" s="771"/>
      <c r="G7262" s="31"/>
      <c r="H7262" s="31"/>
    </row>
    <row r="7263" spans="2:8" hidden="1">
      <c r="B7263" s="200"/>
      <c r="C7263" s="31"/>
      <c r="D7263" s="75"/>
      <c r="E7263" s="771"/>
      <c r="F7263" s="771"/>
      <c r="G7263" s="31"/>
      <c r="H7263" s="31"/>
    </row>
    <row r="7264" spans="2:8" hidden="1">
      <c r="B7264" s="200"/>
      <c r="C7264" s="31"/>
      <c r="D7264" s="75"/>
      <c r="E7264" s="771"/>
      <c r="F7264" s="771"/>
      <c r="G7264" s="31"/>
      <c r="H7264" s="31"/>
    </row>
    <row r="7265" spans="2:8" hidden="1">
      <c r="B7265" s="200"/>
      <c r="C7265" s="31"/>
      <c r="D7265" s="75"/>
      <c r="E7265" s="771"/>
      <c r="F7265" s="771"/>
      <c r="G7265" s="31"/>
      <c r="H7265" s="31"/>
    </row>
    <row r="7266" spans="2:8" hidden="1">
      <c r="B7266" s="200"/>
      <c r="C7266" s="31"/>
      <c r="D7266" s="75"/>
      <c r="E7266" s="771"/>
      <c r="F7266" s="771"/>
      <c r="G7266" s="31"/>
      <c r="H7266" s="31"/>
    </row>
    <row r="7267" spans="2:8" hidden="1">
      <c r="B7267" s="200"/>
      <c r="C7267" s="31"/>
      <c r="D7267" s="75"/>
      <c r="E7267" s="771"/>
      <c r="F7267" s="771"/>
      <c r="G7267" s="31"/>
      <c r="H7267" s="31"/>
    </row>
    <row r="7268" spans="2:8" hidden="1">
      <c r="B7268" s="200"/>
      <c r="C7268" s="31"/>
      <c r="D7268" s="75"/>
      <c r="E7268" s="771"/>
      <c r="F7268" s="771"/>
      <c r="G7268" s="31"/>
      <c r="H7268" s="31"/>
    </row>
    <row r="7269" spans="2:8" hidden="1">
      <c r="B7269" s="200"/>
      <c r="C7269" s="31"/>
      <c r="D7269" s="75"/>
      <c r="E7269" s="771"/>
      <c r="F7269" s="771"/>
      <c r="G7269" s="31"/>
      <c r="H7269" s="31"/>
    </row>
    <row r="7270" spans="2:8" hidden="1">
      <c r="B7270" s="200"/>
      <c r="C7270" s="31"/>
      <c r="D7270" s="75"/>
      <c r="E7270" s="771"/>
      <c r="F7270" s="771"/>
      <c r="G7270" s="31"/>
      <c r="H7270" s="31"/>
    </row>
    <row r="7271" spans="2:8" hidden="1">
      <c r="B7271" s="200"/>
      <c r="C7271" s="31"/>
      <c r="D7271" s="75"/>
      <c r="E7271" s="771"/>
      <c r="F7271" s="771"/>
      <c r="G7271" s="31"/>
      <c r="H7271" s="31"/>
    </row>
    <row r="7272" spans="2:8" hidden="1">
      <c r="B7272" s="200"/>
      <c r="C7272" s="31"/>
      <c r="D7272" s="75"/>
      <c r="E7272" s="772"/>
      <c r="F7272" s="772"/>
      <c r="G7272" s="33"/>
      <c r="H7272" s="31"/>
    </row>
    <row r="7273" spans="2:8" hidden="1">
      <c r="B7273" s="200"/>
      <c r="C7273" s="31"/>
      <c r="D7273" s="75"/>
      <c r="E7273" s="771"/>
      <c r="F7273" s="771"/>
      <c r="G7273" s="31"/>
      <c r="H7273" s="31"/>
    </row>
    <row r="7274" spans="2:8" hidden="1">
      <c r="B7274" s="200"/>
      <c r="C7274" s="31"/>
      <c r="D7274" s="75"/>
      <c r="E7274" s="771"/>
      <c r="F7274" s="771"/>
      <c r="G7274" s="31"/>
      <c r="H7274" s="31"/>
    </row>
    <row r="7275" spans="2:8" hidden="1">
      <c r="B7275" s="200"/>
      <c r="C7275" s="31"/>
      <c r="D7275" s="75"/>
      <c r="E7275" s="771"/>
      <c r="F7275" s="771"/>
      <c r="G7275" s="31"/>
      <c r="H7275" s="31"/>
    </row>
    <row r="7276" spans="2:8" hidden="1">
      <c r="B7276" s="33"/>
      <c r="C7276" s="200"/>
      <c r="D7276" s="75"/>
      <c r="E7276" s="771"/>
      <c r="F7276" s="771"/>
      <c r="G7276" s="31"/>
      <c r="H7276" s="31"/>
    </row>
    <row r="7277" spans="2:8" hidden="1">
      <c r="B7277" s="33"/>
      <c r="C7277" s="31"/>
      <c r="D7277" s="104"/>
      <c r="E7277" s="772"/>
      <c r="F7277" s="772"/>
      <c r="G7277" s="33"/>
      <c r="H7277" s="31"/>
    </row>
    <row r="7278" spans="2:8" hidden="1">
      <c r="B7278" s="33"/>
      <c r="C7278" s="31"/>
      <c r="D7278" s="31"/>
      <c r="E7278" s="31"/>
      <c r="F7278" s="31"/>
      <c r="G7278" s="31"/>
      <c r="H7278" s="31"/>
    </row>
    <row r="7279" spans="2:8" hidden="1">
      <c r="B7279" s="405"/>
      <c r="C7279" s="31"/>
      <c r="D7279" s="31"/>
      <c r="E7279" s="31"/>
      <c r="F7279" s="31"/>
      <c r="G7279" s="31"/>
      <c r="H7279" s="31"/>
    </row>
    <row r="7280" spans="2:8" hidden="1">
      <c r="B7280" s="405"/>
      <c r="C7280" s="31"/>
      <c r="D7280" s="31"/>
      <c r="E7280" s="31"/>
      <c r="F7280" s="691"/>
      <c r="G7280" s="75"/>
      <c r="H7280" s="31"/>
    </row>
    <row r="7281" spans="2:8" hidden="1">
      <c r="B7281" s="405"/>
      <c r="C7281" s="31"/>
      <c r="D7281" s="31"/>
      <c r="E7281" s="31"/>
      <c r="F7281" s="691"/>
      <c r="G7281" s="75"/>
      <c r="H7281" s="31"/>
    </row>
    <row r="7282" spans="2:8" hidden="1">
      <c r="B7282" s="405"/>
      <c r="C7282" s="31"/>
      <c r="D7282" s="31"/>
      <c r="E7282" s="31"/>
      <c r="F7282" s="691"/>
      <c r="G7282" s="75"/>
      <c r="H7282" s="31"/>
    </row>
    <row r="7283" spans="2:8" hidden="1">
      <c r="B7283" s="405"/>
      <c r="C7283" s="31"/>
      <c r="D7283" s="31"/>
      <c r="E7283" s="31"/>
      <c r="F7283" s="691"/>
      <c r="G7283" s="75"/>
      <c r="H7283" s="31"/>
    </row>
    <row r="7284" spans="2:8" hidden="1">
      <c r="B7284" s="405"/>
      <c r="C7284" s="31"/>
      <c r="D7284" s="31"/>
      <c r="E7284" s="31"/>
      <c r="F7284" s="691"/>
      <c r="G7284" s="75"/>
      <c r="H7284" s="31"/>
    </row>
    <row r="7285" spans="2:8" hidden="1">
      <c r="B7285" s="405"/>
      <c r="C7285" s="31"/>
      <c r="D7285" s="31"/>
      <c r="E7285" s="31"/>
      <c r="F7285" s="691"/>
      <c r="G7285" s="75"/>
      <c r="H7285" s="31"/>
    </row>
    <row r="7286" spans="2:8" hidden="1">
      <c r="B7286" s="405"/>
      <c r="C7286" s="31"/>
      <c r="D7286" s="31"/>
      <c r="E7286" s="31"/>
      <c r="F7286" s="691"/>
      <c r="G7286" s="31"/>
      <c r="H7286" s="31"/>
    </row>
    <row r="7287" spans="2:8" hidden="1">
      <c r="B7287" s="33"/>
      <c r="C7287" s="31"/>
      <c r="D7287" s="31"/>
      <c r="E7287" s="31"/>
      <c r="F7287" s="691"/>
      <c r="G7287" s="75"/>
      <c r="H7287" s="31"/>
    </row>
    <row r="7288" spans="2:8" hidden="1">
      <c r="B7288" s="33"/>
      <c r="C7288" s="31"/>
      <c r="D7288" s="31"/>
      <c r="E7288" s="31"/>
      <c r="F7288" s="691"/>
      <c r="G7288" s="75"/>
      <c r="H7288" s="31"/>
    </row>
    <row r="7289" spans="2:8" hidden="1">
      <c r="B7289" s="33"/>
      <c r="C7289" s="31"/>
      <c r="D7289" s="31"/>
      <c r="E7289" s="31"/>
      <c r="F7289" s="691"/>
      <c r="G7289" s="31"/>
      <c r="H7289" s="31"/>
    </row>
    <row r="7290" spans="2:8" hidden="1">
      <c r="B7290" s="33"/>
      <c r="C7290" s="31"/>
      <c r="D7290" s="31"/>
      <c r="E7290" s="31"/>
      <c r="F7290" s="691"/>
      <c r="G7290" s="31"/>
      <c r="H7290" s="31"/>
    </row>
    <row r="7291" spans="2:8" hidden="1">
      <c r="B7291" s="33"/>
      <c r="C7291" s="31"/>
      <c r="D7291" s="31"/>
      <c r="E7291" s="31"/>
      <c r="F7291" s="31"/>
      <c r="G7291" s="31"/>
      <c r="H7291" s="31"/>
    </row>
    <row r="7292" spans="2:8" hidden="1">
      <c r="B7292" s="33"/>
      <c r="C7292" s="31"/>
      <c r="D7292" s="31"/>
      <c r="E7292" s="31"/>
      <c r="F7292" s="31"/>
      <c r="G7292" s="31"/>
      <c r="H7292" s="31"/>
    </row>
    <row r="7293" spans="2:8" hidden="1">
      <c r="B7293" s="33"/>
      <c r="C7293" s="31"/>
      <c r="D7293" s="31"/>
      <c r="E7293" s="31"/>
      <c r="F7293" s="31"/>
      <c r="G7293" s="31"/>
      <c r="H7293" s="31"/>
    </row>
    <row r="7294" spans="2:8" hidden="1">
      <c r="B7294" s="33"/>
      <c r="C7294" s="31"/>
      <c r="D7294" s="31"/>
      <c r="E7294" s="31"/>
      <c r="F7294" s="31"/>
      <c r="G7294" s="31"/>
      <c r="H7294" s="31"/>
    </row>
    <row r="7295" spans="2:8" hidden="1">
      <c r="B7295" s="33"/>
      <c r="C7295" s="31"/>
      <c r="D7295" s="31"/>
      <c r="E7295" s="31"/>
      <c r="F7295" s="31"/>
      <c r="G7295" s="31"/>
      <c r="H7295" s="31"/>
    </row>
    <row r="7296" spans="2:8" hidden="1">
      <c r="B7296" s="33"/>
      <c r="C7296" s="31"/>
      <c r="D7296" s="31"/>
      <c r="E7296" s="31"/>
      <c r="F7296" s="31"/>
      <c r="G7296" s="31"/>
      <c r="H7296" s="31"/>
    </row>
    <row r="7297" spans="2:8" hidden="1">
      <c r="B7297" s="33"/>
      <c r="C7297" s="31"/>
      <c r="D7297" s="31"/>
      <c r="E7297" s="31"/>
      <c r="F7297" s="31"/>
      <c r="G7297" s="31"/>
      <c r="H7297" s="31"/>
    </row>
    <row r="7298" spans="2:8" hidden="1">
      <c r="B7298" s="33"/>
      <c r="C7298" s="31"/>
      <c r="D7298" s="31"/>
      <c r="E7298" s="31"/>
      <c r="F7298" s="31"/>
      <c r="G7298" s="31"/>
      <c r="H7298" s="31"/>
    </row>
    <row r="7299" spans="2:8" hidden="1">
      <c r="B7299" s="33"/>
      <c r="C7299" s="31"/>
      <c r="D7299" s="31"/>
      <c r="E7299" s="31"/>
      <c r="F7299" s="31"/>
      <c r="G7299" s="31"/>
      <c r="H7299" s="31"/>
    </row>
    <row r="7300" spans="2:8" hidden="1">
      <c r="B7300" s="33"/>
      <c r="C7300" s="31"/>
      <c r="D7300" s="33"/>
      <c r="E7300" s="31"/>
      <c r="F7300" s="33"/>
      <c r="G7300" s="33"/>
      <c r="H7300" s="31"/>
    </row>
    <row r="7301" spans="2:8" hidden="1">
      <c r="B7301" s="33"/>
      <c r="C7301" s="31"/>
      <c r="D7301" s="33"/>
      <c r="E7301" s="33"/>
      <c r="F7301" s="33"/>
      <c r="G7301" s="33"/>
      <c r="H7301" s="31"/>
    </row>
    <row r="7302" spans="2:8" hidden="1">
      <c r="B7302" s="33"/>
      <c r="C7302" s="31"/>
      <c r="D7302" s="31"/>
      <c r="E7302" s="31"/>
      <c r="F7302" s="31"/>
      <c r="G7302" s="31"/>
      <c r="H7302" s="31"/>
    </row>
    <row r="7303" spans="2:8" hidden="1">
      <c r="B7303" s="200"/>
      <c r="C7303" s="31"/>
      <c r="D7303" s="75"/>
      <c r="E7303" s="771"/>
      <c r="F7303" s="771"/>
      <c r="G7303" s="31"/>
      <c r="H7303" s="31"/>
    </row>
    <row r="7304" spans="2:8" hidden="1">
      <c r="B7304" s="200"/>
      <c r="C7304" s="31"/>
      <c r="D7304" s="75"/>
      <c r="E7304" s="771"/>
      <c r="F7304" s="771"/>
      <c r="G7304" s="31"/>
      <c r="H7304" s="31"/>
    </row>
    <row r="7305" spans="2:8" hidden="1">
      <c r="B7305" s="200"/>
      <c r="C7305" s="31"/>
      <c r="D7305" s="75"/>
      <c r="E7305" s="771"/>
      <c r="F7305" s="771"/>
      <c r="G7305" s="31"/>
      <c r="H7305" s="31"/>
    </row>
    <row r="7306" spans="2:8" hidden="1">
      <c r="B7306" s="200"/>
      <c r="C7306" s="31"/>
      <c r="D7306" s="75"/>
      <c r="E7306" s="771"/>
      <c r="F7306" s="771"/>
      <c r="G7306" s="31"/>
      <c r="H7306" s="31"/>
    </row>
    <row r="7307" spans="2:8" hidden="1">
      <c r="B7307" s="200"/>
      <c r="C7307" s="31"/>
      <c r="D7307" s="75"/>
      <c r="E7307" s="771"/>
      <c r="F7307" s="771"/>
      <c r="G7307" s="31"/>
      <c r="H7307" s="31"/>
    </row>
    <row r="7308" spans="2:8" hidden="1">
      <c r="B7308" s="200"/>
      <c r="C7308" s="31"/>
      <c r="D7308" s="75"/>
      <c r="E7308" s="771"/>
      <c r="F7308" s="771"/>
      <c r="G7308" s="31"/>
      <c r="H7308" s="31"/>
    </row>
    <row r="7309" spans="2:8" hidden="1">
      <c r="B7309" s="200"/>
      <c r="C7309" s="31"/>
      <c r="D7309" s="75"/>
      <c r="E7309" s="771"/>
      <c r="F7309" s="771"/>
      <c r="G7309" s="31"/>
      <c r="H7309" s="31"/>
    </row>
    <row r="7310" spans="2:8" hidden="1">
      <c r="B7310" s="200"/>
      <c r="C7310" s="31"/>
      <c r="D7310" s="75"/>
      <c r="E7310" s="771"/>
      <c r="F7310" s="771"/>
      <c r="G7310" s="31"/>
      <c r="H7310" s="31"/>
    </row>
    <row r="7311" spans="2:8" hidden="1">
      <c r="B7311" s="200"/>
      <c r="C7311" s="31"/>
      <c r="D7311" s="75"/>
      <c r="E7311" s="771"/>
      <c r="F7311" s="771"/>
      <c r="G7311" s="31"/>
      <c r="H7311" s="31"/>
    </row>
    <row r="7312" spans="2:8" hidden="1">
      <c r="B7312" s="200"/>
      <c r="C7312" s="31"/>
      <c r="D7312" s="75"/>
      <c r="E7312" s="771"/>
      <c r="F7312" s="771"/>
      <c r="G7312" s="31"/>
      <c r="H7312" s="31"/>
    </row>
    <row r="7313" spans="2:8" hidden="1">
      <c r="B7313" s="200"/>
      <c r="C7313" s="31"/>
      <c r="D7313" s="75"/>
      <c r="E7313" s="771"/>
      <c r="F7313" s="771"/>
      <c r="G7313" s="31"/>
      <c r="H7313" s="31"/>
    </row>
    <row r="7314" spans="2:8" hidden="1">
      <c r="B7314" s="200"/>
      <c r="C7314" s="31"/>
      <c r="D7314" s="75"/>
      <c r="E7314" s="771"/>
      <c r="F7314" s="771"/>
      <c r="G7314" s="31"/>
      <c r="H7314" s="31"/>
    </row>
    <row r="7315" spans="2:8" hidden="1">
      <c r="B7315" s="200"/>
      <c r="C7315" s="31"/>
      <c r="D7315" s="75"/>
      <c r="E7315" s="771"/>
      <c r="F7315" s="771"/>
      <c r="G7315" s="31"/>
      <c r="H7315" s="31"/>
    </row>
    <row r="7316" spans="2:8" hidden="1">
      <c r="B7316" s="200"/>
      <c r="C7316" s="31"/>
      <c r="D7316" s="75"/>
      <c r="E7316" s="771"/>
      <c r="F7316" s="771"/>
      <c r="G7316" s="31"/>
      <c r="H7316" s="31"/>
    </row>
    <row r="7317" spans="2:8" hidden="1">
      <c r="B7317" s="200"/>
      <c r="C7317" s="31"/>
      <c r="D7317" s="75"/>
      <c r="E7317" s="771"/>
      <c r="F7317" s="771"/>
      <c r="G7317" s="31"/>
      <c r="H7317" s="31"/>
    </row>
    <row r="7318" spans="2:8" hidden="1">
      <c r="B7318" s="200"/>
      <c r="C7318" s="31"/>
      <c r="D7318" s="75"/>
      <c r="E7318" s="771"/>
      <c r="F7318" s="771"/>
      <c r="G7318" s="31"/>
      <c r="H7318" s="31"/>
    </row>
    <row r="7319" spans="2:8" hidden="1">
      <c r="B7319" s="33"/>
      <c r="C7319" s="200"/>
      <c r="D7319" s="75"/>
      <c r="E7319" s="771"/>
      <c r="F7319" s="771"/>
      <c r="G7319" s="31"/>
      <c r="H7319" s="31"/>
    </row>
    <row r="7320" spans="2:8" hidden="1">
      <c r="B7320" s="33"/>
      <c r="C7320" s="31"/>
      <c r="D7320" s="104"/>
      <c r="E7320" s="772"/>
      <c r="F7320" s="772"/>
      <c r="G7320" s="33"/>
      <c r="H7320" s="31"/>
    </row>
    <row r="7321" spans="2:8" hidden="1">
      <c r="B7321" s="33"/>
      <c r="C7321" s="31"/>
      <c r="D7321" s="31"/>
      <c r="E7321" s="31"/>
      <c r="F7321" s="31"/>
      <c r="G7321" s="31"/>
      <c r="H7321" s="31"/>
    </row>
    <row r="7322" spans="2:8" hidden="1">
      <c r="B7322" s="405"/>
      <c r="C7322" s="31"/>
      <c r="D7322" s="31"/>
      <c r="E7322" s="31"/>
      <c r="F7322" s="31"/>
      <c r="G7322" s="31"/>
      <c r="H7322" s="31"/>
    </row>
    <row r="7323" spans="2:8" hidden="1">
      <c r="B7323" s="405"/>
      <c r="C7323" s="31"/>
      <c r="D7323" s="31"/>
      <c r="E7323" s="31"/>
      <c r="F7323" s="691"/>
      <c r="G7323" s="75"/>
      <c r="H7323" s="31"/>
    </row>
    <row r="7324" spans="2:8" hidden="1">
      <c r="B7324" s="405"/>
      <c r="C7324" s="31"/>
      <c r="D7324" s="31"/>
      <c r="E7324" s="31"/>
      <c r="F7324" s="691"/>
      <c r="G7324" s="31"/>
      <c r="H7324" s="31"/>
    </row>
    <row r="7325" spans="2:8" hidden="1">
      <c r="B7325" s="33"/>
      <c r="C7325" s="31"/>
      <c r="D7325" s="31"/>
      <c r="E7325" s="31"/>
      <c r="F7325" s="691"/>
      <c r="G7325" s="75"/>
      <c r="H7325" s="31"/>
    </row>
    <row r="7326" spans="2:8" hidden="1">
      <c r="B7326" s="33"/>
      <c r="C7326" s="31"/>
      <c r="D7326" s="31"/>
      <c r="E7326" s="31"/>
      <c r="F7326" s="691"/>
      <c r="G7326" s="75"/>
      <c r="H7326" s="31"/>
    </row>
    <row r="7327" spans="2:8" hidden="1">
      <c r="B7327" s="33"/>
      <c r="C7327" s="31"/>
      <c r="D7327" s="31"/>
      <c r="E7327" s="31"/>
      <c r="F7327" s="691"/>
      <c r="G7327" s="31"/>
      <c r="H7327" s="31"/>
    </row>
    <row r="7328" spans="2:8" hidden="1">
      <c r="B7328" s="33"/>
      <c r="C7328" s="31"/>
      <c r="D7328" s="31"/>
      <c r="E7328" s="31"/>
      <c r="F7328" s="31"/>
      <c r="G7328" s="31"/>
      <c r="H7328" s="31"/>
    </row>
    <row r="7329" spans="2:8" hidden="1">
      <c r="B7329" s="33"/>
      <c r="C7329" s="31"/>
      <c r="D7329" s="31"/>
      <c r="E7329" s="31"/>
      <c r="F7329" s="31"/>
      <c r="G7329" s="31"/>
      <c r="H7329" s="31"/>
    </row>
    <row r="7330" spans="2:8" hidden="1">
      <c r="B7330" s="33"/>
      <c r="C7330" s="31"/>
      <c r="D7330" s="31"/>
      <c r="E7330" s="31"/>
      <c r="F7330" s="31"/>
      <c r="G7330" s="31"/>
      <c r="H7330" s="31"/>
    </row>
    <row r="7331" spans="2:8" hidden="1">
      <c r="B7331" s="33"/>
      <c r="C7331" s="31"/>
      <c r="D7331" s="31"/>
      <c r="E7331" s="31"/>
      <c r="F7331" s="31"/>
      <c r="G7331" s="31"/>
      <c r="H7331" s="31"/>
    </row>
    <row r="7332" spans="2:8" hidden="1">
      <c r="B7332" s="33"/>
      <c r="C7332" s="31"/>
      <c r="D7332" s="31"/>
      <c r="E7332" s="31"/>
      <c r="F7332" s="31"/>
      <c r="G7332" s="31"/>
      <c r="H7332" s="31"/>
    </row>
    <row r="7333" spans="2:8" hidden="1">
      <c r="B7333" s="33"/>
      <c r="C7333" s="31"/>
      <c r="D7333" s="31"/>
      <c r="E7333" s="31"/>
      <c r="F7333" s="31"/>
      <c r="G7333" s="31"/>
      <c r="H7333" s="31"/>
    </row>
    <row r="7334" spans="2:8" hidden="1">
      <c r="B7334" s="33"/>
      <c r="C7334" s="31"/>
      <c r="D7334" s="31"/>
      <c r="E7334" s="31"/>
      <c r="F7334" s="31"/>
      <c r="G7334" s="31"/>
      <c r="H7334" s="31"/>
    </row>
    <row r="7335" spans="2:8" hidden="1">
      <c r="B7335" s="33"/>
      <c r="C7335" s="31"/>
      <c r="D7335" s="31"/>
      <c r="E7335" s="31"/>
      <c r="F7335" s="31"/>
      <c r="G7335" s="31"/>
      <c r="H7335" s="31"/>
    </row>
    <row r="7336" spans="2:8" hidden="1">
      <c r="B7336" s="33"/>
      <c r="C7336" s="31"/>
      <c r="D7336" s="33"/>
      <c r="E7336" s="31"/>
      <c r="F7336" s="33"/>
      <c r="G7336" s="33"/>
      <c r="H7336" s="31"/>
    </row>
    <row r="7337" spans="2:8" hidden="1">
      <c r="B7337" s="33"/>
      <c r="C7337" s="31"/>
      <c r="D7337" s="33"/>
      <c r="E7337" s="33"/>
      <c r="F7337" s="33"/>
      <c r="G7337" s="33"/>
      <c r="H7337" s="31"/>
    </row>
    <row r="7338" spans="2:8" hidden="1">
      <c r="B7338" s="33"/>
      <c r="C7338" s="31"/>
      <c r="D7338" s="31"/>
      <c r="E7338" s="31"/>
      <c r="F7338" s="31"/>
      <c r="G7338" s="31"/>
      <c r="H7338" s="31"/>
    </row>
    <row r="7339" spans="2:8" hidden="1">
      <c r="B7339" s="200"/>
      <c r="C7339" s="31"/>
      <c r="D7339" s="75"/>
      <c r="E7339" s="771"/>
      <c r="F7339" s="33"/>
      <c r="G7339" s="33"/>
      <c r="H7339" s="31"/>
    </row>
    <row r="7340" spans="2:8" hidden="1">
      <c r="B7340" s="200"/>
      <c r="C7340" s="31"/>
      <c r="D7340" s="75"/>
      <c r="E7340" s="771"/>
      <c r="F7340" s="771"/>
      <c r="G7340" s="31"/>
      <c r="H7340" s="31"/>
    </row>
    <row r="7341" spans="2:8" hidden="1">
      <c r="B7341" s="200"/>
      <c r="C7341" s="31"/>
      <c r="D7341" s="75"/>
      <c r="E7341" s="771"/>
      <c r="F7341" s="771"/>
      <c r="G7341" s="31"/>
      <c r="H7341" s="31"/>
    </row>
    <row r="7342" spans="2:8" hidden="1">
      <c r="B7342" s="200"/>
      <c r="C7342" s="31"/>
      <c r="D7342" s="75"/>
      <c r="E7342" s="771"/>
      <c r="F7342" s="771"/>
      <c r="G7342" s="31"/>
      <c r="H7342" s="31"/>
    </row>
    <row r="7343" spans="2:8" hidden="1">
      <c r="B7343" s="200"/>
      <c r="C7343" s="31"/>
      <c r="D7343" s="75"/>
      <c r="E7343" s="771"/>
      <c r="F7343" s="771"/>
      <c r="G7343" s="31"/>
      <c r="H7343" s="31"/>
    </row>
    <row r="7344" spans="2:8" hidden="1">
      <c r="B7344" s="200"/>
      <c r="C7344" s="31"/>
      <c r="D7344" s="75"/>
      <c r="E7344" s="771"/>
      <c r="F7344" s="771"/>
      <c r="G7344" s="31"/>
      <c r="H7344" s="31"/>
    </row>
    <row r="7345" spans="2:8" hidden="1">
      <c r="B7345" s="200"/>
      <c r="C7345" s="31"/>
      <c r="D7345" s="75"/>
      <c r="E7345" s="771"/>
      <c r="F7345" s="771"/>
      <c r="G7345" s="31"/>
      <c r="H7345" s="31"/>
    </row>
    <row r="7346" spans="2:8" hidden="1">
      <c r="B7346" s="200"/>
      <c r="C7346" s="31"/>
      <c r="D7346" s="75"/>
      <c r="E7346" s="771"/>
      <c r="F7346" s="771"/>
      <c r="G7346" s="31"/>
      <c r="H7346" s="31"/>
    </row>
    <row r="7347" spans="2:8" hidden="1">
      <c r="B7347" s="200"/>
      <c r="C7347" s="31"/>
      <c r="D7347" s="75"/>
      <c r="E7347" s="771"/>
      <c r="F7347" s="771"/>
      <c r="G7347" s="31"/>
      <c r="H7347" s="31"/>
    </row>
    <row r="7348" spans="2:8" hidden="1">
      <c r="B7348" s="200"/>
      <c r="C7348" s="31"/>
      <c r="D7348" s="75"/>
      <c r="E7348" s="771"/>
      <c r="F7348" s="771"/>
      <c r="G7348" s="31"/>
      <c r="H7348" s="31"/>
    </row>
    <row r="7349" spans="2:8" hidden="1">
      <c r="B7349" s="200"/>
      <c r="C7349" s="31"/>
      <c r="D7349" s="75"/>
      <c r="E7349" s="771"/>
      <c r="F7349" s="771"/>
      <c r="G7349" s="31"/>
      <c r="H7349" s="31"/>
    </row>
    <row r="7350" spans="2:8" hidden="1">
      <c r="B7350" s="200"/>
      <c r="C7350" s="31"/>
      <c r="D7350" s="75"/>
      <c r="E7350" s="771"/>
      <c r="F7350" s="771"/>
      <c r="G7350" s="31"/>
      <c r="H7350" s="31"/>
    </row>
    <row r="7351" spans="2:8" hidden="1">
      <c r="B7351" s="200"/>
      <c r="C7351" s="31"/>
      <c r="D7351" s="75"/>
      <c r="E7351" s="771"/>
      <c r="F7351" s="771"/>
      <c r="G7351" s="31"/>
      <c r="H7351" s="31"/>
    </row>
    <row r="7352" spans="2:8" hidden="1">
      <c r="B7352" s="200"/>
      <c r="C7352" s="31"/>
      <c r="D7352" s="75"/>
      <c r="E7352" s="771"/>
      <c r="F7352" s="771"/>
      <c r="G7352" s="31"/>
      <c r="H7352" s="31"/>
    </row>
    <row r="7353" spans="2:8" hidden="1">
      <c r="B7353" s="200"/>
      <c r="C7353" s="31"/>
      <c r="D7353" s="75"/>
      <c r="E7353" s="771"/>
      <c r="F7353" s="771"/>
      <c r="G7353" s="31"/>
      <c r="H7353" s="31"/>
    </row>
    <row r="7354" spans="2:8" hidden="1">
      <c r="B7354" s="200"/>
      <c r="C7354" s="31"/>
      <c r="D7354" s="75"/>
      <c r="E7354" s="771"/>
      <c r="F7354" s="771"/>
      <c r="G7354" s="31"/>
      <c r="H7354" s="31"/>
    </row>
    <row r="7355" spans="2:8" hidden="1">
      <c r="B7355" s="200"/>
      <c r="C7355" s="31"/>
      <c r="D7355" s="75"/>
      <c r="E7355" s="771"/>
      <c r="F7355" s="771"/>
      <c r="G7355" s="31"/>
      <c r="H7355" s="31"/>
    </row>
    <row r="7356" spans="2:8" hidden="1">
      <c r="B7356" s="200"/>
      <c r="C7356" s="31"/>
      <c r="D7356" s="75"/>
      <c r="E7356" s="771"/>
      <c r="F7356" s="771"/>
      <c r="G7356" s="31"/>
      <c r="H7356" s="31"/>
    </row>
    <row r="7357" spans="2:8" hidden="1">
      <c r="B7357" s="200"/>
      <c r="C7357" s="31"/>
      <c r="D7357" s="75"/>
      <c r="E7357" s="771"/>
      <c r="F7357" s="771"/>
      <c r="G7357" s="31"/>
      <c r="H7357" s="31"/>
    </row>
    <row r="7358" spans="2:8" hidden="1">
      <c r="B7358" s="200"/>
      <c r="C7358" s="31"/>
      <c r="D7358" s="75"/>
      <c r="E7358" s="771"/>
      <c r="F7358" s="772"/>
      <c r="G7358" s="33"/>
      <c r="H7358" s="31"/>
    </row>
    <row r="7359" spans="2:8" hidden="1">
      <c r="B7359" s="200"/>
      <c r="C7359" s="31"/>
      <c r="D7359" s="75"/>
      <c r="E7359" s="771"/>
      <c r="F7359" s="771"/>
      <c r="G7359" s="31"/>
      <c r="H7359" s="31"/>
    </row>
    <row r="7360" spans="2:8" hidden="1">
      <c r="B7360" s="200"/>
      <c r="C7360" s="31"/>
      <c r="D7360" s="75"/>
      <c r="E7360" s="771"/>
      <c r="F7360" s="772"/>
      <c r="G7360" s="33"/>
      <c r="H7360" s="31"/>
    </row>
    <row r="7361" spans="2:8" hidden="1">
      <c r="B7361" s="200"/>
      <c r="C7361" s="31"/>
      <c r="D7361" s="75"/>
      <c r="E7361" s="771"/>
      <c r="F7361" s="771"/>
      <c r="G7361" s="31"/>
      <c r="H7361" s="31"/>
    </row>
    <row r="7362" spans="2:8" hidden="1">
      <c r="B7362" s="200"/>
      <c r="C7362" s="31"/>
      <c r="D7362" s="75"/>
      <c r="E7362" s="771"/>
      <c r="F7362" s="772"/>
      <c r="G7362" s="33"/>
      <c r="H7362" s="31"/>
    </row>
    <row r="7363" spans="2:8" hidden="1">
      <c r="B7363" s="200"/>
      <c r="C7363" s="31"/>
      <c r="D7363" s="75"/>
      <c r="E7363" s="771"/>
      <c r="F7363" s="772"/>
      <c r="G7363" s="33"/>
      <c r="H7363" s="31"/>
    </row>
    <row r="7364" spans="2:8" hidden="1">
      <c r="B7364" s="200"/>
      <c r="C7364" s="31"/>
      <c r="D7364" s="75"/>
      <c r="E7364" s="771"/>
      <c r="F7364" s="771"/>
      <c r="G7364" s="31"/>
      <c r="H7364" s="31"/>
    </row>
    <row r="7365" spans="2:8" hidden="1">
      <c r="B7365" s="200"/>
      <c r="C7365" s="31"/>
      <c r="D7365" s="75"/>
      <c r="E7365" s="771"/>
      <c r="F7365" s="771"/>
      <c r="G7365" s="31"/>
      <c r="H7365" s="31"/>
    </row>
    <row r="7366" spans="2:8" hidden="1">
      <c r="B7366" s="200"/>
      <c r="C7366" s="31"/>
      <c r="D7366" s="75"/>
      <c r="E7366" s="771"/>
      <c r="F7366" s="771"/>
      <c r="G7366" s="31"/>
      <c r="H7366" s="31"/>
    </row>
    <row r="7367" spans="2:8" hidden="1">
      <c r="B7367" s="200"/>
      <c r="C7367" s="31"/>
      <c r="D7367" s="75"/>
      <c r="E7367" s="771"/>
      <c r="F7367" s="771"/>
      <c r="G7367" s="31"/>
      <c r="H7367" s="31"/>
    </row>
    <row r="7368" spans="2:8" hidden="1">
      <c r="B7368" s="200"/>
      <c r="C7368" s="31"/>
      <c r="D7368" s="75"/>
      <c r="E7368" s="771"/>
      <c r="F7368" s="771"/>
      <c r="G7368" s="31"/>
      <c r="H7368" s="31"/>
    </row>
    <row r="7369" spans="2:8" hidden="1">
      <c r="B7369" s="200"/>
      <c r="C7369" s="31"/>
      <c r="D7369" s="75"/>
      <c r="E7369" s="771"/>
      <c r="F7369" s="771"/>
      <c r="G7369" s="31"/>
      <c r="H7369" s="31"/>
    </row>
    <row r="7370" spans="2:8" hidden="1">
      <c r="B7370" s="200"/>
      <c r="C7370" s="31"/>
      <c r="D7370" s="75"/>
      <c r="E7370" s="772"/>
      <c r="F7370" s="772"/>
      <c r="G7370" s="33"/>
      <c r="H7370" s="31"/>
    </row>
    <row r="7371" spans="2:8" hidden="1">
      <c r="B7371" s="200"/>
      <c r="C7371" s="31"/>
      <c r="D7371" s="75"/>
      <c r="E7371" s="772"/>
      <c r="F7371" s="772"/>
      <c r="G7371" s="33"/>
      <c r="H7371" s="31"/>
    </row>
    <row r="7372" spans="2:8" hidden="1">
      <c r="B7372" s="200"/>
      <c r="C7372" s="31"/>
      <c r="D7372" s="75"/>
      <c r="E7372" s="771"/>
      <c r="F7372" s="771"/>
      <c r="G7372" s="31"/>
      <c r="H7372" s="31"/>
    </row>
    <row r="7373" spans="2:8" hidden="1">
      <c r="B7373" s="200"/>
      <c r="C7373" s="31"/>
      <c r="D7373" s="75"/>
      <c r="E7373" s="772"/>
      <c r="F7373" s="772"/>
      <c r="G7373" s="33"/>
      <c r="H7373" s="31"/>
    </row>
    <row r="7374" spans="2:8" hidden="1">
      <c r="B7374" s="33"/>
      <c r="C7374" s="31"/>
      <c r="D7374" s="31"/>
      <c r="E7374" s="31"/>
      <c r="F7374" s="33"/>
      <c r="G7374" s="33"/>
      <c r="H7374" s="31"/>
    </row>
    <row r="7375" spans="2:8" hidden="1">
      <c r="B7375" s="200"/>
      <c r="C7375" s="31"/>
      <c r="D7375" s="75"/>
      <c r="E7375" s="772"/>
      <c r="F7375" s="772"/>
      <c r="G7375" s="33"/>
      <c r="H7375" s="31"/>
    </row>
    <row r="7376" spans="2:8" hidden="1">
      <c r="B7376" s="200"/>
      <c r="C7376" s="31"/>
      <c r="D7376" s="75"/>
      <c r="E7376" s="772"/>
      <c r="F7376" s="772"/>
      <c r="G7376" s="33"/>
      <c r="H7376" s="31"/>
    </row>
    <row r="7377" spans="2:8" hidden="1">
      <c r="B7377" s="200"/>
      <c r="C7377" s="31"/>
      <c r="D7377" s="75"/>
      <c r="E7377" s="772"/>
      <c r="F7377" s="772"/>
      <c r="G7377" s="33"/>
      <c r="H7377" s="31"/>
    </row>
    <row r="7378" spans="2:8" hidden="1">
      <c r="B7378" s="200"/>
      <c r="C7378" s="31"/>
      <c r="D7378" s="75"/>
      <c r="E7378" s="772"/>
      <c r="F7378" s="772"/>
      <c r="G7378" s="33"/>
      <c r="H7378" s="31"/>
    </row>
    <row r="7379" spans="2:8" hidden="1">
      <c r="B7379" s="200"/>
      <c r="C7379" s="31"/>
      <c r="D7379" s="75"/>
      <c r="E7379" s="772"/>
      <c r="F7379" s="772"/>
      <c r="G7379" s="33"/>
      <c r="H7379" s="31"/>
    </row>
    <row r="7380" spans="2:8" hidden="1">
      <c r="B7380" s="200"/>
      <c r="C7380" s="31"/>
      <c r="D7380" s="75"/>
      <c r="E7380" s="772"/>
      <c r="F7380" s="772"/>
      <c r="G7380" s="33"/>
      <c r="H7380" s="31"/>
    </row>
    <row r="7381" spans="2:8" hidden="1">
      <c r="B7381" s="200"/>
      <c r="C7381" s="31"/>
      <c r="D7381" s="75"/>
      <c r="E7381" s="771"/>
      <c r="F7381" s="772"/>
      <c r="G7381" s="33"/>
      <c r="H7381" s="31"/>
    </row>
    <row r="7382" spans="2:8" hidden="1">
      <c r="B7382" s="200"/>
      <c r="C7382" s="31"/>
      <c r="D7382" s="75"/>
      <c r="E7382" s="772"/>
      <c r="F7382" s="772"/>
      <c r="G7382" s="33"/>
      <c r="H7382" s="31"/>
    </row>
    <row r="7383" spans="2:8" hidden="1">
      <c r="B7383" s="200"/>
      <c r="C7383" s="31"/>
      <c r="D7383" s="75"/>
      <c r="E7383" s="772"/>
      <c r="F7383" s="772"/>
      <c r="G7383" s="33"/>
      <c r="H7383" s="31"/>
    </row>
    <row r="7384" spans="2:8" hidden="1">
      <c r="B7384" s="33"/>
      <c r="C7384" s="31"/>
      <c r="D7384" s="31"/>
      <c r="E7384" s="31"/>
      <c r="F7384" s="33"/>
      <c r="G7384" s="33"/>
      <c r="H7384" s="31"/>
    </row>
    <row r="7385" spans="2:8" hidden="1">
      <c r="B7385" s="200"/>
      <c r="C7385" s="31"/>
      <c r="D7385" s="104"/>
      <c r="E7385" s="772"/>
      <c r="F7385" s="772"/>
      <c r="G7385" s="33"/>
      <c r="H7385" s="31"/>
    </row>
    <row r="7386" spans="2:8" hidden="1">
      <c r="B7386" s="200"/>
      <c r="C7386" s="31"/>
      <c r="D7386" s="104"/>
      <c r="E7386" s="772"/>
      <c r="F7386" s="772"/>
      <c r="G7386" s="33"/>
      <c r="H7386" s="31"/>
    </row>
    <row r="7387" spans="2:8" hidden="1">
      <c r="B7387" s="200"/>
      <c r="C7387" s="31"/>
      <c r="D7387" s="104"/>
      <c r="E7387" s="772"/>
      <c r="F7387" s="772"/>
      <c r="G7387" s="33"/>
      <c r="H7387" s="31"/>
    </row>
    <row r="7388" spans="2:8" hidden="1">
      <c r="B7388" s="200"/>
      <c r="C7388" s="31"/>
      <c r="D7388" s="104"/>
      <c r="E7388" s="772"/>
      <c r="F7388" s="772"/>
      <c r="G7388" s="33"/>
      <c r="H7388" s="31"/>
    </row>
    <row r="7389" spans="2:8" hidden="1">
      <c r="B7389" s="200"/>
      <c r="C7389" s="31"/>
      <c r="D7389" s="75"/>
      <c r="E7389" s="771"/>
      <c r="F7389" s="772"/>
      <c r="G7389" s="33"/>
      <c r="H7389" s="31"/>
    </row>
    <row r="7390" spans="2:8" hidden="1">
      <c r="B7390" s="200"/>
      <c r="C7390" s="31"/>
      <c r="D7390" s="75"/>
      <c r="E7390" s="771"/>
      <c r="F7390" s="772"/>
      <c r="G7390" s="33"/>
      <c r="H7390" s="31"/>
    </row>
    <row r="7391" spans="2:8" hidden="1">
      <c r="B7391" s="200"/>
      <c r="C7391" s="31"/>
      <c r="D7391" s="75"/>
      <c r="E7391" s="771"/>
      <c r="F7391" s="772"/>
      <c r="G7391" s="33"/>
      <c r="H7391" s="31"/>
    </row>
    <row r="7392" spans="2:8" hidden="1">
      <c r="B7392" s="33"/>
      <c r="C7392" s="31"/>
      <c r="D7392" s="75"/>
      <c r="E7392" s="33"/>
      <c r="F7392" s="772"/>
      <c r="G7392" s="33"/>
      <c r="H7392" s="31"/>
    </row>
    <row r="7393" spans="2:8" hidden="1">
      <c r="B7393" s="33"/>
      <c r="C7393" s="31"/>
      <c r="D7393" s="75"/>
      <c r="E7393" s="31"/>
      <c r="F7393" s="33"/>
      <c r="G7393" s="33"/>
      <c r="H7393" s="31"/>
    </row>
    <row r="7394" spans="2:8" hidden="1">
      <c r="B7394" s="33"/>
      <c r="C7394" s="31"/>
      <c r="D7394" s="75"/>
      <c r="E7394" s="33"/>
      <c r="F7394" s="33"/>
      <c r="G7394" s="33"/>
      <c r="H7394" s="31"/>
    </row>
    <row r="7395" spans="2:8" hidden="1">
      <c r="B7395" s="33"/>
      <c r="C7395" s="31"/>
      <c r="D7395" s="75"/>
      <c r="E7395" s="33"/>
      <c r="F7395" s="33"/>
      <c r="G7395" s="33"/>
      <c r="H7395" s="31"/>
    </row>
    <row r="7396" spans="2:8" hidden="1">
      <c r="B7396" s="33"/>
      <c r="C7396" s="200"/>
      <c r="D7396" s="75"/>
      <c r="E7396" s="31"/>
      <c r="F7396" s="31"/>
      <c r="G7396" s="31"/>
      <c r="H7396" s="31"/>
    </row>
    <row r="7397" spans="2:8" hidden="1">
      <c r="B7397" s="33"/>
      <c r="C7397" s="31"/>
      <c r="D7397" s="104"/>
      <c r="E7397" s="33"/>
      <c r="F7397" s="33"/>
      <c r="G7397" s="33"/>
      <c r="H7397" s="31"/>
    </row>
    <row r="7398" spans="2:8" hidden="1">
      <c r="B7398" s="33"/>
      <c r="C7398" s="31"/>
      <c r="D7398" s="31"/>
      <c r="E7398" s="31"/>
      <c r="F7398" s="31"/>
      <c r="G7398" s="31"/>
      <c r="H7398" s="31"/>
    </row>
    <row r="7399" spans="2:8" hidden="1">
      <c r="B7399" s="405"/>
      <c r="C7399" s="31"/>
      <c r="D7399" s="31"/>
      <c r="E7399" s="31"/>
      <c r="F7399" s="31"/>
      <c r="G7399" s="31"/>
      <c r="H7399" s="31"/>
    </row>
    <row r="7400" spans="2:8" hidden="1">
      <c r="B7400" s="405"/>
      <c r="C7400" s="31"/>
      <c r="D7400" s="31"/>
      <c r="E7400" s="31"/>
      <c r="F7400" s="691"/>
      <c r="G7400" s="75"/>
      <c r="H7400" s="31"/>
    </row>
    <row r="7401" spans="2:8" hidden="1">
      <c r="B7401" s="405"/>
      <c r="C7401" s="31"/>
      <c r="D7401" s="31"/>
      <c r="E7401" s="31"/>
      <c r="F7401" s="691"/>
      <c r="G7401" s="75"/>
      <c r="H7401" s="31"/>
    </row>
    <row r="7402" spans="2:8" hidden="1">
      <c r="B7402" s="405"/>
      <c r="C7402" s="31"/>
      <c r="D7402" s="31"/>
      <c r="E7402" s="31"/>
      <c r="F7402" s="691"/>
      <c r="G7402" s="75"/>
      <c r="H7402" s="31"/>
    </row>
    <row r="7403" spans="2:8" hidden="1">
      <c r="B7403" s="405"/>
      <c r="C7403" s="31"/>
      <c r="D7403" s="31"/>
      <c r="E7403" s="31"/>
      <c r="F7403" s="691"/>
      <c r="G7403" s="75"/>
      <c r="H7403" s="31"/>
    </row>
    <row r="7404" spans="2:8" hidden="1">
      <c r="B7404" s="405"/>
      <c r="C7404" s="31"/>
      <c r="D7404" s="31"/>
      <c r="E7404" s="31"/>
      <c r="F7404" s="691"/>
      <c r="G7404" s="75"/>
      <c r="H7404" s="31"/>
    </row>
    <row r="7405" spans="2:8" hidden="1">
      <c r="B7405" s="405"/>
      <c r="C7405" s="31"/>
      <c r="D7405" s="31"/>
      <c r="E7405" s="31"/>
      <c r="F7405" s="691"/>
      <c r="G7405" s="75"/>
      <c r="H7405" s="31"/>
    </row>
    <row r="7406" spans="2:8" hidden="1">
      <c r="B7406" s="405"/>
      <c r="C7406" s="31"/>
      <c r="D7406" s="31"/>
      <c r="E7406" s="31"/>
      <c r="F7406" s="691"/>
      <c r="G7406" s="75"/>
      <c r="H7406" s="31"/>
    </row>
    <row r="7407" spans="2:8" hidden="1">
      <c r="B7407" s="405"/>
      <c r="C7407" s="31"/>
      <c r="D7407" s="31"/>
      <c r="E7407" s="31"/>
      <c r="F7407" s="691"/>
      <c r="G7407" s="75"/>
      <c r="H7407" s="31"/>
    </row>
    <row r="7408" spans="2:8" hidden="1">
      <c r="B7408" s="405"/>
      <c r="C7408" s="31"/>
      <c r="D7408" s="31"/>
      <c r="E7408" s="31"/>
      <c r="F7408" s="691"/>
      <c r="G7408" s="75"/>
      <c r="H7408" s="31"/>
    </row>
    <row r="7409" spans="2:8" hidden="1">
      <c r="B7409" s="405"/>
      <c r="C7409" s="31"/>
      <c r="D7409" s="31"/>
      <c r="E7409" s="31"/>
      <c r="F7409" s="691"/>
      <c r="G7409" s="75"/>
      <c r="H7409" s="31"/>
    </row>
    <row r="7410" spans="2:8" hidden="1">
      <c r="B7410" s="405"/>
      <c r="C7410" s="31"/>
      <c r="D7410" s="31"/>
      <c r="E7410" s="31"/>
      <c r="F7410" s="691"/>
      <c r="G7410" s="75"/>
      <c r="H7410" s="31"/>
    </row>
    <row r="7411" spans="2:8" hidden="1">
      <c r="B7411" s="405"/>
      <c r="C7411" s="31"/>
      <c r="D7411" s="31"/>
      <c r="E7411" s="31"/>
      <c r="F7411" s="691"/>
      <c r="G7411" s="31"/>
      <c r="H7411" s="31"/>
    </row>
    <row r="7412" spans="2:8" hidden="1">
      <c r="B7412" s="405"/>
      <c r="C7412" s="31"/>
      <c r="D7412" s="31"/>
      <c r="E7412" s="31"/>
      <c r="F7412" s="691"/>
      <c r="G7412" s="31"/>
      <c r="H7412" s="31"/>
    </row>
    <row r="7413" spans="2:8" hidden="1">
      <c r="B7413" s="405"/>
      <c r="C7413" s="31"/>
      <c r="D7413" s="31"/>
      <c r="E7413" s="31"/>
      <c r="F7413" s="691"/>
      <c r="G7413" s="75"/>
      <c r="H7413" s="31"/>
    </row>
    <row r="7414" spans="2:8" hidden="1">
      <c r="B7414" s="405"/>
      <c r="C7414" s="31"/>
      <c r="D7414" s="31"/>
      <c r="E7414" s="31"/>
      <c r="F7414" s="691"/>
      <c r="G7414" s="75"/>
      <c r="H7414" s="31"/>
    </row>
    <row r="7415" spans="2:8" hidden="1">
      <c r="B7415" s="405"/>
      <c r="C7415" s="31"/>
      <c r="D7415" s="31"/>
      <c r="E7415" s="31"/>
      <c r="F7415" s="691"/>
      <c r="G7415" s="75"/>
      <c r="H7415" s="31"/>
    </row>
    <row r="7416" spans="2:8" hidden="1">
      <c r="B7416" s="405"/>
      <c r="C7416" s="31"/>
      <c r="D7416" s="31"/>
      <c r="E7416" s="31"/>
      <c r="F7416" s="691"/>
      <c r="G7416" s="75"/>
      <c r="H7416" s="31"/>
    </row>
    <row r="7417" spans="2:8" hidden="1">
      <c r="B7417" s="405"/>
      <c r="C7417" s="31"/>
      <c r="D7417" s="31"/>
      <c r="E7417" s="31"/>
      <c r="F7417" s="691"/>
      <c r="G7417" s="75"/>
      <c r="H7417" s="31"/>
    </row>
    <row r="7418" spans="2:8" hidden="1">
      <c r="B7418" s="405"/>
      <c r="C7418" s="31"/>
      <c r="D7418" s="31"/>
      <c r="E7418" s="31"/>
      <c r="F7418" s="691"/>
      <c r="G7418" s="75"/>
      <c r="H7418" s="31"/>
    </row>
    <row r="7419" spans="2:8" hidden="1">
      <c r="B7419" s="33"/>
      <c r="C7419" s="31"/>
      <c r="D7419" s="31"/>
      <c r="E7419" s="31"/>
      <c r="F7419" s="691"/>
      <c r="G7419" s="75"/>
      <c r="H7419" s="31"/>
    </row>
    <row r="7420" spans="2:8" hidden="1">
      <c r="B7420" s="33"/>
      <c r="C7420" s="31"/>
      <c r="D7420" s="31"/>
      <c r="E7420" s="31"/>
      <c r="F7420" s="691"/>
      <c r="G7420" s="31"/>
      <c r="H7420" s="31"/>
    </row>
    <row r="7421" spans="2:8" hidden="1">
      <c r="B7421" s="33"/>
      <c r="C7421" s="31"/>
      <c r="D7421" s="31"/>
      <c r="E7421" s="31"/>
      <c r="F7421" s="31"/>
      <c r="G7421" s="31"/>
      <c r="H7421" s="31"/>
    </row>
    <row r="7422" spans="2:8" hidden="1">
      <c r="B7422" s="33"/>
      <c r="C7422" s="31"/>
      <c r="D7422" s="31"/>
      <c r="E7422" s="31"/>
      <c r="F7422" s="31"/>
      <c r="G7422" s="31"/>
      <c r="H7422" s="31"/>
    </row>
    <row r="7423" spans="2:8" hidden="1">
      <c r="B7423" s="33"/>
      <c r="C7423" s="31"/>
      <c r="D7423" s="31"/>
      <c r="E7423" s="31"/>
      <c r="F7423" s="31"/>
      <c r="G7423" s="31"/>
      <c r="H7423" s="31"/>
    </row>
    <row r="7424" spans="2:8" hidden="1">
      <c r="B7424" s="33"/>
      <c r="C7424" s="31"/>
      <c r="D7424" s="31"/>
      <c r="E7424" s="31"/>
      <c r="F7424" s="31"/>
      <c r="G7424" s="31"/>
      <c r="H7424" s="31"/>
    </row>
    <row r="7425" spans="2:8" hidden="1">
      <c r="B7425" s="33"/>
      <c r="C7425" s="31"/>
      <c r="D7425" s="31"/>
      <c r="E7425" s="31"/>
      <c r="F7425" s="31"/>
      <c r="G7425" s="31"/>
      <c r="H7425" s="31"/>
    </row>
    <row r="7426" spans="2:8" hidden="1">
      <c r="B7426" s="33"/>
      <c r="C7426" s="31"/>
      <c r="D7426" s="31"/>
      <c r="E7426" s="31"/>
      <c r="F7426" s="31"/>
      <c r="G7426" s="31"/>
      <c r="H7426" s="31"/>
    </row>
    <row r="7427" spans="2:8" hidden="1">
      <c r="B7427" s="33"/>
      <c r="C7427" s="31"/>
      <c r="D7427" s="31"/>
      <c r="E7427" s="31"/>
      <c r="F7427" s="31"/>
      <c r="G7427" s="31"/>
      <c r="H7427" s="31"/>
    </row>
    <row r="7428" spans="2:8" hidden="1">
      <c r="B7428" s="33"/>
      <c r="C7428" s="31"/>
      <c r="D7428" s="31"/>
      <c r="E7428" s="31"/>
      <c r="F7428" s="31"/>
      <c r="G7428" s="31"/>
      <c r="H7428" s="31"/>
    </row>
    <row r="7429" spans="2:8" hidden="1">
      <c r="B7429" s="33"/>
      <c r="C7429" s="31"/>
      <c r="D7429" s="33"/>
      <c r="E7429" s="31"/>
      <c r="F7429" s="33"/>
      <c r="G7429" s="33"/>
      <c r="H7429" s="31"/>
    </row>
    <row r="7430" spans="2:8" hidden="1">
      <c r="B7430" s="33"/>
      <c r="C7430" s="31"/>
      <c r="D7430" s="33"/>
      <c r="E7430" s="33"/>
      <c r="F7430" s="33"/>
      <c r="G7430" s="33"/>
      <c r="H7430" s="31"/>
    </row>
    <row r="7431" spans="2:8" hidden="1">
      <c r="B7431" s="33"/>
      <c r="C7431" s="31"/>
      <c r="D7431" s="31"/>
      <c r="E7431" s="31"/>
      <c r="F7431" s="31"/>
      <c r="G7431" s="31"/>
      <c r="H7431" s="31"/>
    </row>
    <row r="7432" spans="2:8" hidden="1">
      <c r="B7432" s="200"/>
      <c r="C7432" s="31"/>
      <c r="D7432" s="75"/>
      <c r="E7432" s="771"/>
      <c r="F7432" s="33"/>
      <c r="G7432" s="33"/>
      <c r="H7432" s="31"/>
    </row>
    <row r="7433" spans="2:8" hidden="1">
      <c r="B7433" s="200"/>
      <c r="C7433" s="31"/>
      <c r="D7433" s="75"/>
      <c r="E7433" s="771"/>
      <c r="F7433" s="33"/>
      <c r="G7433" s="33"/>
      <c r="H7433" s="31"/>
    </row>
    <row r="7434" spans="2:8" hidden="1">
      <c r="B7434" s="200"/>
      <c r="C7434" s="31"/>
      <c r="D7434" s="75"/>
      <c r="E7434" s="771"/>
      <c r="F7434" s="33"/>
      <c r="G7434" s="33"/>
      <c r="H7434" s="31"/>
    </row>
    <row r="7435" spans="2:8" hidden="1">
      <c r="B7435" s="200"/>
      <c r="C7435" s="31"/>
      <c r="D7435" s="75"/>
      <c r="E7435" s="771"/>
      <c r="F7435" s="33"/>
      <c r="G7435" s="33"/>
      <c r="H7435" s="31"/>
    </row>
    <row r="7436" spans="2:8" hidden="1">
      <c r="B7436" s="200"/>
      <c r="C7436" s="31"/>
      <c r="D7436" s="75"/>
      <c r="E7436" s="771"/>
      <c r="F7436" s="33"/>
      <c r="G7436" s="33"/>
      <c r="H7436" s="31"/>
    </row>
    <row r="7437" spans="2:8" hidden="1">
      <c r="B7437" s="200"/>
      <c r="C7437" s="31"/>
      <c r="D7437" s="75"/>
      <c r="E7437" s="771"/>
      <c r="F7437" s="33"/>
      <c r="G7437" s="33"/>
      <c r="H7437" s="31"/>
    </row>
    <row r="7438" spans="2:8" hidden="1">
      <c r="B7438" s="200"/>
      <c r="C7438" s="31"/>
      <c r="D7438" s="75"/>
      <c r="E7438" s="771"/>
      <c r="F7438" s="771"/>
      <c r="G7438" s="31"/>
      <c r="H7438" s="31"/>
    </row>
    <row r="7439" spans="2:8" hidden="1">
      <c r="B7439" s="200"/>
      <c r="C7439" s="31"/>
      <c r="D7439" s="75"/>
      <c r="E7439" s="771"/>
      <c r="F7439" s="771"/>
      <c r="G7439" s="31"/>
      <c r="H7439" s="31"/>
    </row>
    <row r="7440" spans="2:8" hidden="1">
      <c r="B7440" s="200"/>
      <c r="C7440" s="31"/>
      <c r="D7440" s="75"/>
      <c r="E7440" s="771"/>
      <c r="F7440" s="771"/>
      <c r="G7440" s="31"/>
      <c r="H7440" s="31"/>
    </row>
    <row r="7441" spans="2:8" hidden="1">
      <c r="B7441" s="200"/>
      <c r="C7441" s="31"/>
      <c r="D7441" s="75"/>
      <c r="E7441" s="771"/>
      <c r="F7441" s="771"/>
      <c r="G7441" s="31"/>
      <c r="H7441" s="31"/>
    </row>
    <row r="7442" spans="2:8" hidden="1">
      <c r="B7442" s="200"/>
      <c r="C7442" s="31"/>
      <c r="D7442" s="75"/>
      <c r="E7442" s="771"/>
      <c r="F7442" s="771"/>
      <c r="G7442" s="31"/>
      <c r="H7442" s="31"/>
    </row>
    <row r="7443" spans="2:8" hidden="1">
      <c r="B7443" s="200"/>
      <c r="C7443" s="31"/>
      <c r="D7443" s="75"/>
      <c r="E7443" s="771"/>
      <c r="F7443" s="771"/>
      <c r="G7443" s="31"/>
      <c r="H7443" s="31"/>
    </row>
    <row r="7444" spans="2:8" hidden="1">
      <c r="B7444" s="200"/>
      <c r="C7444" s="31"/>
      <c r="D7444" s="75"/>
      <c r="E7444" s="771"/>
      <c r="F7444" s="771"/>
      <c r="G7444" s="31"/>
      <c r="H7444" s="31"/>
    </row>
    <row r="7445" spans="2:8" hidden="1">
      <c r="B7445" s="200"/>
      <c r="C7445" s="31"/>
      <c r="D7445" s="75"/>
      <c r="E7445" s="771"/>
      <c r="F7445" s="771"/>
      <c r="G7445" s="31"/>
      <c r="H7445" s="31"/>
    </row>
    <row r="7446" spans="2:8" hidden="1">
      <c r="B7446" s="200"/>
      <c r="C7446" s="31"/>
      <c r="D7446" s="75"/>
      <c r="E7446" s="771"/>
      <c r="F7446" s="771"/>
      <c r="G7446" s="31"/>
      <c r="H7446" s="31"/>
    </row>
    <row r="7447" spans="2:8" hidden="1">
      <c r="B7447" s="200"/>
      <c r="C7447" s="31"/>
      <c r="D7447" s="75"/>
      <c r="E7447" s="771"/>
      <c r="F7447" s="771"/>
      <c r="G7447" s="31"/>
      <c r="H7447" s="31"/>
    </row>
    <row r="7448" spans="2:8" hidden="1">
      <c r="B7448" s="200"/>
      <c r="C7448" s="31"/>
      <c r="D7448" s="75"/>
      <c r="E7448" s="771"/>
      <c r="F7448" s="771"/>
      <c r="G7448" s="31"/>
      <c r="H7448" s="31"/>
    </row>
    <row r="7449" spans="2:8" hidden="1">
      <c r="B7449" s="200"/>
      <c r="C7449" s="31"/>
      <c r="D7449" s="75"/>
      <c r="E7449" s="31"/>
      <c r="F7449" s="31"/>
      <c r="G7449" s="31"/>
      <c r="H7449" s="31"/>
    </row>
    <row r="7450" spans="2:8" hidden="1">
      <c r="B7450" s="200"/>
      <c r="C7450" s="31"/>
      <c r="D7450" s="75"/>
      <c r="E7450" s="31"/>
      <c r="F7450" s="31"/>
      <c r="G7450" s="31"/>
      <c r="H7450" s="31"/>
    </row>
    <row r="7451" spans="2:8" hidden="1">
      <c r="B7451" s="200"/>
      <c r="C7451" s="31"/>
      <c r="D7451" s="75"/>
      <c r="E7451" s="31"/>
      <c r="F7451" s="31"/>
      <c r="G7451" s="31"/>
      <c r="H7451" s="31"/>
    </row>
    <row r="7452" spans="2:8" hidden="1">
      <c r="B7452" s="200"/>
      <c r="C7452" s="31"/>
      <c r="D7452" s="75"/>
      <c r="E7452" s="31"/>
      <c r="F7452" s="31"/>
      <c r="G7452" s="31"/>
      <c r="H7452" s="31"/>
    </row>
    <row r="7453" spans="2:8" hidden="1">
      <c r="B7453" s="200"/>
      <c r="C7453" s="31"/>
      <c r="D7453" s="75"/>
      <c r="E7453" s="31"/>
      <c r="F7453" s="33"/>
      <c r="G7453" s="33"/>
      <c r="H7453" s="31"/>
    </row>
    <row r="7454" spans="2:8" hidden="1">
      <c r="B7454" s="200"/>
      <c r="C7454" s="31"/>
      <c r="D7454" s="75"/>
      <c r="E7454" s="31"/>
      <c r="F7454" s="31"/>
      <c r="G7454" s="31"/>
      <c r="H7454" s="31"/>
    </row>
    <row r="7455" spans="2:8" hidden="1">
      <c r="B7455" s="200"/>
      <c r="C7455" s="31"/>
      <c r="D7455" s="75"/>
      <c r="E7455" s="31"/>
      <c r="F7455" s="31"/>
      <c r="G7455" s="31"/>
      <c r="H7455" s="31"/>
    </row>
    <row r="7456" spans="2:8" hidden="1">
      <c r="B7456" s="200"/>
      <c r="C7456" s="31"/>
      <c r="D7456" s="75"/>
      <c r="E7456" s="31"/>
      <c r="F7456" s="771"/>
      <c r="G7456" s="31"/>
      <c r="H7456" s="31"/>
    </row>
    <row r="7457" spans="2:8" hidden="1">
      <c r="B7457" s="200"/>
      <c r="C7457" s="31"/>
      <c r="D7457" s="75"/>
      <c r="E7457" s="33"/>
      <c r="F7457" s="772"/>
      <c r="G7457" s="33"/>
      <c r="H7457" s="31"/>
    </row>
    <row r="7458" spans="2:8" hidden="1">
      <c r="B7458" s="200"/>
      <c r="C7458" s="31"/>
      <c r="D7458" s="75"/>
      <c r="E7458" s="771"/>
      <c r="F7458" s="772"/>
      <c r="G7458" s="33"/>
      <c r="H7458" s="31"/>
    </row>
    <row r="7459" spans="2:8" hidden="1">
      <c r="B7459" s="200"/>
      <c r="C7459" s="31"/>
      <c r="D7459" s="75"/>
      <c r="E7459" s="772"/>
      <c r="F7459" s="772"/>
      <c r="G7459" s="33"/>
      <c r="H7459" s="31"/>
    </row>
    <row r="7460" spans="2:8" hidden="1">
      <c r="B7460" s="200"/>
      <c r="C7460" s="31"/>
      <c r="D7460" s="75"/>
      <c r="E7460" s="772"/>
      <c r="F7460" s="772"/>
      <c r="G7460" s="33"/>
      <c r="H7460" s="31"/>
    </row>
    <row r="7461" spans="2:8" hidden="1">
      <c r="B7461" s="200"/>
      <c r="C7461" s="31"/>
      <c r="D7461" s="75"/>
      <c r="E7461" s="772"/>
      <c r="F7461" s="772"/>
      <c r="G7461" s="33"/>
      <c r="H7461" s="31"/>
    </row>
    <row r="7462" spans="2:8" hidden="1">
      <c r="B7462" s="200"/>
      <c r="C7462" s="31"/>
      <c r="D7462" s="75"/>
      <c r="E7462" s="772"/>
      <c r="F7462" s="772"/>
      <c r="G7462" s="33"/>
      <c r="H7462" s="31"/>
    </row>
    <row r="7463" spans="2:8" hidden="1">
      <c r="B7463" s="200"/>
      <c r="C7463" s="31"/>
      <c r="D7463" s="75"/>
      <c r="E7463" s="772"/>
      <c r="F7463" s="772"/>
      <c r="G7463" s="33"/>
      <c r="H7463" s="31"/>
    </row>
    <row r="7464" spans="2:8" hidden="1">
      <c r="B7464" s="200"/>
      <c r="C7464" s="31"/>
      <c r="D7464" s="75"/>
      <c r="E7464" s="771"/>
      <c r="F7464" s="772"/>
      <c r="G7464" s="33"/>
      <c r="H7464" s="31"/>
    </row>
    <row r="7465" spans="2:8" hidden="1">
      <c r="B7465" s="200"/>
      <c r="C7465" s="31"/>
      <c r="D7465" s="75"/>
      <c r="E7465" s="771"/>
      <c r="F7465" s="772"/>
      <c r="G7465" s="33"/>
      <c r="H7465" s="31"/>
    </row>
    <row r="7466" spans="2:8" hidden="1">
      <c r="B7466" s="200"/>
      <c r="C7466" s="31"/>
      <c r="D7466" s="75"/>
      <c r="E7466" s="771"/>
      <c r="F7466" s="771"/>
      <c r="G7466" s="31"/>
      <c r="H7466" s="31"/>
    </row>
    <row r="7467" spans="2:8" hidden="1">
      <c r="B7467" s="200"/>
      <c r="C7467" s="31"/>
      <c r="D7467" s="75"/>
      <c r="E7467" s="771"/>
      <c r="F7467" s="33"/>
      <c r="G7467" s="33"/>
      <c r="H7467" s="31"/>
    </row>
    <row r="7468" spans="2:8" hidden="1">
      <c r="B7468" s="33"/>
      <c r="C7468" s="31"/>
      <c r="D7468" s="31"/>
      <c r="E7468" s="31"/>
      <c r="F7468" s="31"/>
      <c r="G7468" s="31"/>
      <c r="H7468" s="31"/>
    </row>
    <row r="7469" spans="2:8" hidden="1">
      <c r="B7469" s="200"/>
      <c r="C7469" s="31"/>
      <c r="D7469" s="75"/>
      <c r="E7469" s="33"/>
      <c r="F7469" s="33"/>
      <c r="G7469" s="33"/>
      <c r="H7469" s="31"/>
    </row>
    <row r="7470" spans="2:8" hidden="1">
      <c r="B7470" s="200"/>
      <c r="C7470" s="31"/>
      <c r="D7470" s="75"/>
      <c r="E7470" s="33"/>
      <c r="F7470" s="33"/>
      <c r="G7470" s="33"/>
      <c r="H7470" s="31"/>
    </row>
    <row r="7471" spans="2:8" hidden="1">
      <c r="B7471" s="200"/>
      <c r="C7471" s="31"/>
      <c r="D7471" s="75"/>
      <c r="E7471" s="33"/>
      <c r="F7471" s="33"/>
      <c r="G7471" s="33"/>
      <c r="H7471" s="31"/>
    </row>
    <row r="7472" spans="2:8" hidden="1">
      <c r="B7472" s="200"/>
      <c r="C7472" s="31"/>
      <c r="D7472" s="75"/>
      <c r="E7472" s="33"/>
      <c r="F7472" s="33"/>
      <c r="G7472" s="33"/>
      <c r="H7472" s="31"/>
    </row>
    <row r="7473" spans="2:8" hidden="1">
      <c r="B7473" s="200"/>
      <c r="C7473" s="31"/>
      <c r="D7473" s="31"/>
      <c r="E7473" s="31"/>
      <c r="F7473" s="31"/>
      <c r="G7473" s="31"/>
      <c r="H7473" s="31"/>
    </row>
    <row r="7474" spans="2:8" hidden="1">
      <c r="B7474" s="200"/>
      <c r="C7474" s="31"/>
      <c r="D7474" s="75"/>
      <c r="E7474" s="33"/>
      <c r="F7474" s="33"/>
      <c r="G7474" s="33"/>
      <c r="H7474" s="31"/>
    </row>
    <row r="7475" spans="2:8" hidden="1">
      <c r="B7475" s="200"/>
      <c r="C7475" s="31"/>
      <c r="D7475" s="75"/>
      <c r="E7475" s="33"/>
      <c r="F7475" s="33"/>
      <c r="G7475" s="33"/>
      <c r="H7475" s="31"/>
    </row>
    <row r="7476" spans="2:8" hidden="1">
      <c r="B7476" s="200"/>
      <c r="C7476" s="31"/>
      <c r="D7476" s="75"/>
      <c r="E7476" s="33"/>
      <c r="F7476" s="33"/>
      <c r="G7476" s="33"/>
      <c r="H7476" s="31"/>
    </row>
    <row r="7477" spans="2:8" hidden="1">
      <c r="B7477" s="200"/>
      <c r="C7477" s="31"/>
      <c r="D7477" s="31"/>
      <c r="E7477" s="31"/>
      <c r="F7477" s="31"/>
      <c r="G7477" s="31"/>
      <c r="H7477" s="31"/>
    </row>
    <row r="7478" spans="2:8" hidden="1">
      <c r="B7478" s="200"/>
      <c r="C7478" s="31"/>
      <c r="D7478" s="75"/>
      <c r="E7478" s="33"/>
      <c r="F7478" s="33"/>
      <c r="G7478" s="33"/>
      <c r="H7478" s="31"/>
    </row>
    <row r="7479" spans="2:8" hidden="1">
      <c r="B7479" s="200"/>
      <c r="C7479" s="31"/>
      <c r="D7479" s="75"/>
      <c r="E7479" s="33"/>
      <c r="F7479" s="33"/>
      <c r="G7479" s="33"/>
      <c r="H7479" s="31"/>
    </row>
    <row r="7480" spans="2:8" hidden="1">
      <c r="B7480" s="200"/>
      <c r="C7480" s="31"/>
      <c r="D7480" s="75"/>
      <c r="E7480" s="33"/>
      <c r="F7480" s="33"/>
      <c r="G7480" s="33"/>
      <c r="H7480" s="31"/>
    </row>
    <row r="7481" spans="2:8" hidden="1">
      <c r="B7481" s="200"/>
      <c r="C7481" s="31"/>
      <c r="D7481" s="75"/>
      <c r="E7481" s="33"/>
      <c r="F7481" s="33"/>
      <c r="G7481" s="33"/>
      <c r="H7481" s="31"/>
    </row>
    <row r="7482" spans="2:8" hidden="1">
      <c r="B7482" s="200"/>
      <c r="C7482" s="31"/>
      <c r="D7482" s="75"/>
      <c r="E7482" s="33"/>
      <c r="F7482" s="33"/>
      <c r="G7482" s="33"/>
      <c r="H7482" s="31"/>
    </row>
    <row r="7483" spans="2:8" hidden="1">
      <c r="B7483" s="200"/>
      <c r="C7483" s="31"/>
      <c r="D7483" s="75"/>
      <c r="E7483" s="31"/>
      <c r="F7483" s="33"/>
      <c r="G7483" s="33"/>
      <c r="H7483" s="31"/>
    </row>
    <row r="7484" spans="2:8" hidden="1">
      <c r="B7484" s="200"/>
      <c r="C7484" s="31"/>
      <c r="D7484" s="75"/>
      <c r="E7484" s="31"/>
      <c r="F7484" s="33"/>
      <c r="G7484" s="33"/>
      <c r="H7484" s="31"/>
    </row>
    <row r="7485" spans="2:8" hidden="1">
      <c r="B7485" s="200"/>
      <c r="C7485" s="31"/>
      <c r="D7485" s="75"/>
      <c r="E7485" s="33"/>
      <c r="F7485" s="33"/>
      <c r="G7485" s="33"/>
      <c r="H7485" s="31"/>
    </row>
    <row r="7486" spans="2:8" hidden="1">
      <c r="B7486" s="200"/>
      <c r="C7486" s="31"/>
      <c r="D7486" s="31"/>
      <c r="E7486" s="31"/>
      <c r="F7486" s="31"/>
      <c r="G7486" s="31"/>
      <c r="H7486" s="31"/>
    </row>
    <row r="7487" spans="2:8" hidden="1">
      <c r="B7487" s="200"/>
      <c r="C7487" s="31"/>
      <c r="D7487" s="75"/>
      <c r="E7487" s="33"/>
      <c r="F7487" s="33"/>
      <c r="G7487" s="33"/>
      <c r="H7487" s="31"/>
    </row>
    <row r="7488" spans="2:8" hidden="1">
      <c r="B7488" s="200"/>
      <c r="C7488" s="31"/>
      <c r="D7488" s="75"/>
      <c r="E7488" s="33"/>
      <c r="F7488" s="33"/>
      <c r="G7488" s="33"/>
      <c r="H7488" s="31"/>
    </row>
    <row r="7489" spans="2:8" hidden="1">
      <c r="B7489" s="200"/>
      <c r="C7489" s="31"/>
      <c r="D7489" s="75"/>
      <c r="E7489" s="33"/>
      <c r="F7489" s="33"/>
      <c r="G7489" s="33"/>
      <c r="H7489" s="31"/>
    </row>
    <row r="7490" spans="2:8" hidden="1">
      <c r="B7490" s="200"/>
      <c r="C7490" s="31"/>
      <c r="D7490" s="75"/>
      <c r="E7490" s="33"/>
      <c r="F7490" s="33"/>
      <c r="G7490" s="33"/>
      <c r="H7490" s="31"/>
    </row>
    <row r="7491" spans="2:8" hidden="1">
      <c r="B7491" s="200"/>
      <c r="C7491" s="31"/>
      <c r="D7491" s="31"/>
      <c r="E7491" s="31"/>
      <c r="F7491" s="31"/>
      <c r="G7491" s="31"/>
      <c r="H7491" s="31"/>
    </row>
    <row r="7492" spans="2:8" hidden="1">
      <c r="B7492" s="200"/>
      <c r="C7492" s="31"/>
      <c r="D7492" s="75"/>
      <c r="E7492" s="33"/>
      <c r="F7492" s="33"/>
      <c r="G7492" s="33"/>
      <c r="H7492" s="31"/>
    </row>
    <row r="7493" spans="2:8" hidden="1">
      <c r="B7493" s="200"/>
      <c r="C7493" s="31"/>
      <c r="D7493" s="75"/>
      <c r="E7493" s="33"/>
      <c r="F7493" s="33"/>
      <c r="G7493" s="33"/>
      <c r="H7493" s="31"/>
    </row>
    <row r="7494" spans="2:8" hidden="1">
      <c r="B7494" s="200"/>
      <c r="C7494" s="31"/>
      <c r="D7494" s="75"/>
      <c r="E7494" s="33"/>
      <c r="F7494" s="33"/>
      <c r="G7494" s="33"/>
      <c r="H7494" s="31"/>
    </row>
    <row r="7495" spans="2:8" hidden="1">
      <c r="B7495" s="200"/>
      <c r="C7495" s="31"/>
      <c r="D7495" s="75"/>
      <c r="E7495" s="33"/>
      <c r="F7495" s="33"/>
      <c r="G7495" s="33"/>
      <c r="H7495" s="31"/>
    </row>
    <row r="7496" spans="2:8" hidden="1">
      <c r="B7496" s="200"/>
      <c r="C7496" s="31"/>
      <c r="D7496" s="75"/>
      <c r="E7496" s="31"/>
      <c r="F7496" s="33"/>
      <c r="G7496" s="33"/>
      <c r="H7496" s="31"/>
    </row>
    <row r="7497" spans="2:8" hidden="1">
      <c r="B7497" s="200"/>
      <c r="C7497" s="31"/>
      <c r="D7497" s="75"/>
      <c r="E7497" s="33"/>
      <c r="F7497" s="33"/>
      <c r="G7497" s="33"/>
      <c r="H7497" s="31"/>
    </row>
    <row r="7498" spans="2:8" hidden="1">
      <c r="B7498" s="200"/>
      <c r="C7498" s="31"/>
      <c r="D7498" s="75"/>
      <c r="E7498" s="33"/>
      <c r="F7498" s="33"/>
      <c r="G7498" s="33"/>
      <c r="H7498" s="31"/>
    </row>
    <row r="7499" spans="2:8" hidden="1">
      <c r="B7499" s="200"/>
      <c r="C7499" s="31"/>
      <c r="D7499" s="75"/>
      <c r="E7499" s="33"/>
      <c r="F7499" s="33"/>
      <c r="G7499" s="33"/>
      <c r="H7499" s="31"/>
    </row>
    <row r="7500" spans="2:8" hidden="1">
      <c r="B7500" s="200"/>
      <c r="C7500" s="31"/>
      <c r="D7500" s="75"/>
      <c r="E7500" s="33"/>
      <c r="F7500" s="33"/>
      <c r="G7500" s="33"/>
      <c r="H7500" s="31"/>
    </row>
    <row r="7501" spans="2:8" hidden="1">
      <c r="B7501" s="200"/>
      <c r="C7501" s="31"/>
      <c r="D7501" s="75"/>
      <c r="E7501" s="31"/>
      <c r="F7501" s="33"/>
      <c r="G7501" s="33"/>
      <c r="H7501" s="31"/>
    </row>
    <row r="7502" spans="2:8" hidden="1">
      <c r="B7502" s="200"/>
      <c r="C7502" s="31"/>
      <c r="D7502" s="31"/>
      <c r="E7502" s="31"/>
      <c r="F7502" s="31"/>
      <c r="G7502" s="31"/>
      <c r="H7502" s="31"/>
    </row>
    <row r="7503" spans="2:8" hidden="1">
      <c r="B7503" s="200"/>
      <c r="C7503" s="31"/>
      <c r="D7503" s="75"/>
      <c r="E7503" s="33"/>
      <c r="F7503" s="33"/>
      <c r="G7503" s="33"/>
      <c r="H7503" s="31"/>
    </row>
    <row r="7504" spans="2:8" hidden="1">
      <c r="B7504" s="200"/>
      <c r="C7504" s="31"/>
      <c r="D7504" s="75"/>
      <c r="E7504" s="33"/>
      <c r="F7504" s="33"/>
      <c r="G7504" s="33"/>
      <c r="H7504" s="31"/>
    </row>
    <row r="7505" spans="2:8" hidden="1">
      <c r="B7505" s="200"/>
      <c r="C7505" s="31"/>
      <c r="D7505" s="75"/>
      <c r="E7505" s="33"/>
      <c r="F7505" s="33"/>
      <c r="G7505" s="33"/>
      <c r="H7505" s="31"/>
    </row>
    <row r="7506" spans="2:8" hidden="1">
      <c r="B7506" s="200"/>
      <c r="C7506" s="31"/>
      <c r="D7506" s="75"/>
      <c r="E7506" s="33"/>
      <c r="F7506" s="33"/>
      <c r="G7506" s="33"/>
      <c r="H7506" s="31"/>
    </row>
    <row r="7507" spans="2:8" hidden="1">
      <c r="B7507" s="200"/>
      <c r="C7507" s="31"/>
      <c r="D7507" s="75"/>
      <c r="E7507" s="33"/>
      <c r="F7507" s="33"/>
      <c r="G7507" s="33"/>
      <c r="H7507" s="31"/>
    </row>
    <row r="7508" spans="2:8" hidden="1">
      <c r="B7508" s="200"/>
      <c r="C7508" s="31"/>
      <c r="D7508" s="75"/>
      <c r="E7508" s="33"/>
      <c r="F7508" s="33"/>
      <c r="G7508" s="33"/>
      <c r="H7508" s="31"/>
    </row>
    <row r="7509" spans="2:8" hidden="1">
      <c r="B7509" s="200"/>
      <c r="C7509" s="31"/>
      <c r="D7509" s="75"/>
      <c r="E7509" s="33"/>
      <c r="F7509" s="33"/>
      <c r="G7509" s="33"/>
      <c r="H7509" s="31"/>
    </row>
    <row r="7510" spans="2:8" hidden="1">
      <c r="B7510" s="33"/>
      <c r="C7510" s="200"/>
      <c r="D7510" s="75"/>
      <c r="E7510" s="31"/>
      <c r="F7510" s="31"/>
      <c r="G7510" s="31"/>
      <c r="H7510" s="31"/>
    </row>
    <row r="7511" spans="2:8" hidden="1">
      <c r="B7511" s="33"/>
      <c r="C7511" s="31"/>
      <c r="D7511" s="104"/>
      <c r="E7511" s="33"/>
      <c r="F7511" s="33"/>
      <c r="G7511" s="33"/>
      <c r="H7511" s="31"/>
    </row>
    <row r="7512" spans="2:8" hidden="1">
      <c r="B7512" s="33"/>
      <c r="C7512" s="31"/>
      <c r="D7512" s="31"/>
      <c r="E7512" s="31"/>
      <c r="F7512" s="31"/>
      <c r="G7512" s="31"/>
      <c r="H7512" s="31"/>
    </row>
    <row r="7513" spans="2:8" hidden="1">
      <c r="B7513" s="405"/>
      <c r="C7513" s="31"/>
      <c r="D7513" s="31"/>
      <c r="E7513" s="31"/>
      <c r="F7513" s="31"/>
      <c r="G7513" s="31"/>
      <c r="H7513" s="31"/>
    </row>
    <row r="7514" spans="2:8" hidden="1">
      <c r="B7514" s="405"/>
      <c r="C7514" s="31"/>
      <c r="D7514" s="31"/>
      <c r="E7514" s="31"/>
      <c r="F7514" s="691"/>
      <c r="G7514" s="75"/>
      <c r="H7514" s="31"/>
    </row>
    <row r="7515" spans="2:8" hidden="1">
      <c r="B7515" s="405"/>
      <c r="C7515" s="31"/>
      <c r="D7515" s="31"/>
      <c r="E7515" s="31"/>
      <c r="F7515" s="691"/>
      <c r="G7515" s="75"/>
      <c r="H7515" s="31"/>
    </row>
    <row r="7516" spans="2:8" hidden="1">
      <c r="B7516" s="405"/>
      <c r="C7516" s="31"/>
      <c r="D7516" s="31"/>
      <c r="E7516" s="31"/>
      <c r="F7516" s="691"/>
      <c r="G7516" s="75"/>
      <c r="H7516" s="31"/>
    </row>
    <row r="7517" spans="2:8" hidden="1">
      <c r="B7517" s="405"/>
      <c r="C7517" s="31"/>
      <c r="D7517" s="31"/>
      <c r="E7517" s="31"/>
      <c r="F7517" s="31"/>
      <c r="G7517" s="75"/>
      <c r="H7517" s="31"/>
    </row>
    <row r="7518" spans="2:8" hidden="1">
      <c r="B7518" s="405"/>
      <c r="C7518" s="31"/>
      <c r="D7518" s="31"/>
      <c r="E7518" s="31"/>
      <c r="F7518" s="691"/>
      <c r="G7518" s="75"/>
      <c r="H7518" s="31"/>
    </row>
    <row r="7519" spans="2:8" hidden="1">
      <c r="B7519" s="405"/>
      <c r="C7519" s="31"/>
      <c r="D7519" s="31"/>
      <c r="E7519" s="31"/>
      <c r="F7519" s="691"/>
      <c r="G7519" s="75"/>
      <c r="H7519" s="31"/>
    </row>
    <row r="7520" spans="2:8" hidden="1">
      <c r="B7520" s="405"/>
      <c r="C7520" s="31"/>
      <c r="D7520" s="31"/>
      <c r="E7520" s="31"/>
      <c r="F7520" s="691"/>
      <c r="G7520" s="75"/>
      <c r="H7520" s="31"/>
    </row>
    <row r="7521" spans="2:8" hidden="1">
      <c r="B7521" s="405"/>
      <c r="C7521" s="31"/>
      <c r="D7521" s="31"/>
      <c r="E7521" s="31"/>
      <c r="F7521" s="691"/>
      <c r="G7521" s="75"/>
      <c r="H7521" s="31"/>
    </row>
    <row r="7522" spans="2:8" hidden="1">
      <c r="B7522" s="405"/>
      <c r="C7522" s="31"/>
      <c r="D7522" s="31"/>
      <c r="E7522" s="31"/>
      <c r="F7522" s="691"/>
      <c r="G7522" s="75"/>
      <c r="H7522" s="31"/>
    </row>
    <row r="7523" spans="2:8" hidden="1">
      <c r="B7523" s="405"/>
      <c r="C7523" s="31"/>
      <c r="D7523" s="31"/>
      <c r="E7523" s="31"/>
      <c r="F7523" s="691"/>
      <c r="G7523" s="75"/>
      <c r="H7523" s="31"/>
    </row>
    <row r="7524" spans="2:8" hidden="1">
      <c r="B7524" s="405"/>
      <c r="C7524" s="31"/>
      <c r="D7524" s="31"/>
      <c r="E7524" s="31"/>
      <c r="F7524" s="691"/>
      <c r="G7524" s="75"/>
      <c r="H7524" s="31"/>
    </row>
    <row r="7525" spans="2:8" hidden="1">
      <c r="B7525" s="405"/>
      <c r="C7525" s="31"/>
      <c r="D7525" s="31"/>
      <c r="E7525" s="31"/>
      <c r="F7525" s="691"/>
      <c r="G7525" s="75"/>
      <c r="H7525" s="31"/>
    </row>
    <row r="7526" spans="2:8" hidden="1">
      <c r="B7526" s="405"/>
      <c r="C7526" s="31"/>
      <c r="D7526" s="31"/>
      <c r="E7526" s="31"/>
      <c r="F7526" s="691"/>
      <c r="G7526" s="75"/>
      <c r="H7526" s="31"/>
    </row>
    <row r="7527" spans="2:8" hidden="1">
      <c r="B7527" s="405"/>
      <c r="C7527" s="31"/>
      <c r="D7527" s="31"/>
      <c r="E7527" s="31"/>
      <c r="F7527" s="691"/>
      <c r="G7527" s="75"/>
      <c r="H7527" s="31"/>
    </row>
    <row r="7528" spans="2:8" hidden="1">
      <c r="B7528" s="405"/>
      <c r="C7528" s="31"/>
      <c r="D7528" s="31"/>
      <c r="E7528" s="31"/>
      <c r="F7528" s="691"/>
      <c r="G7528" s="31"/>
      <c r="H7528" s="31"/>
    </row>
    <row r="7529" spans="2:8" hidden="1">
      <c r="B7529" s="405"/>
      <c r="C7529" s="31"/>
      <c r="D7529" s="31"/>
      <c r="E7529" s="31"/>
      <c r="F7529" s="691"/>
      <c r="G7529" s="75"/>
      <c r="H7529" s="31"/>
    </row>
    <row r="7530" spans="2:8" hidden="1">
      <c r="B7530" s="405"/>
      <c r="C7530" s="31"/>
      <c r="D7530" s="31"/>
      <c r="E7530" s="31"/>
      <c r="F7530" s="691"/>
      <c r="G7530" s="31"/>
      <c r="H7530" s="31"/>
    </row>
    <row r="7531" spans="2:8" hidden="1">
      <c r="B7531" s="405"/>
      <c r="C7531" s="31"/>
      <c r="D7531" s="31"/>
      <c r="E7531" s="31"/>
      <c r="F7531" s="691"/>
      <c r="G7531" s="75"/>
      <c r="H7531" s="31"/>
    </row>
    <row r="7532" spans="2:8" hidden="1">
      <c r="B7532" s="405"/>
      <c r="C7532" s="31"/>
      <c r="D7532" s="31"/>
      <c r="E7532" s="31"/>
      <c r="F7532" s="691"/>
      <c r="G7532" s="31"/>
      <c r="H7532" s="31"/>
    </row>
    <row r="7533" spans="2:8" hidden="1">
      <c r="B7533" s="405"/>
      <c r="C7533" s="31"/>
      <c r="D7533" s="31"/>
      <c r="E7533" s="31"/>
      <c r="F7533" s="691"/>
      <c r="G7533" s="31"/>
      <c r="H7533" s="31"/>
    </row>
    <row r="7534" spans="2:8" hidden="1">
      <c r="B7534" s="405"/>
      <c r="C7534" s="31"/>
      <c r="D7534" s="31"/>
      <c r="E7534" s="31"/>
      <c r="F7534" s="691"/>
      <c r="G7534" s="31"/>
      <c r="H7534" s="31"/>
    </row>
    <row r="7535" spans="2:8" hidden="1">
      <c r="B7535" s="405"/>
      <c r="C7535" s="31"/>
      <c r="D7535" s="31"/>
      <c r="E7535" s="31"/>
      <c r="F7535" s="691"/>
      <c r="G7535" s="31"/>
      <c r="H7535" s="31"/>
    </row>
    <row r="7536" spans="2:8" hidden="1">
      <c r="B7536" s="405"/>
      <c r="C7536" s="31"/>
      <c r="D7536" s="31"/>
      <c r="E7536" s="31"/>
      <c r="F7536" s="691"/>
      <c r="G7536" s="31"/>
      <c r="H7536" s="31"/>
    </row>
    <row r="7537" spans="2:8" hidden="1">
      <c r="B7537" s="405"/>
      <c r="C7537" s="31"/>
      <c r="D7537" s="31"/>
      <c r="E7537" s="31"/>
      <c r="F7537" s="691"/>
      <c r="G7537" s="31"/>
      <c r="H7537" s="31"/>
    </row>
    <row r="7538" spans="2:8" hidden="1">
      <c r="B7538" s="405"/>
      <c r="C7538" s="31"/>
      <c r="D7538" s="31"/>
      <c r="E7538" s="31"/>
      <c r="F7538" s="691"/>
      <c r="G7538" s="31"/>
      <c r="H7538" s="31"/>
    </row>
    <row r="7539" spans="2:8" hidden="1">
      <c r="B7539" s="405"/>
      <c r="C7539" s="31"/>
      <c r="D7539" s="31"/>
      <c r="E7539" s="31"/>
      <c r="F7539" s="691"/>
      <c r="G7539" s="75"/>
      <c r="H7539" s="31"/>
    </row>
    <row r="7540" spans="2:8" hidden="1">
      <c r="B7540" s="405"/>
      <c r="C7540" s="31"/>
      <c r="D7540" s="31"/>
      <c r="E7540" s="31"/>
      <c r="F7540" s="691"/>
      <c r="G7540" s="75"/>
      <c r="H7540" s="31"/>
    </row>
    <row r="7541" spans="2:8" hidden="1">
      <c r="B7541" s="405"/>
      <c r="C7541" s="31"/>
      <c r="D7541" s="31"/>
      <c r="E7541" s="31"/>
      <c r="F7541" s="691"/>
      <c r="G7541" s="31"/>
      <c r="H7541" s="31"/>
    </row>
    <row r="7542" spans="2:8" hidden="1">
      <c r="B7542" s="33"/>
      <c r="C7542" s="31"/>
      <c r="D7542" s="31"/>
      <c r="E7542" s="31"/>
      <c r="F7542" s="31"/>
      <c r="G7542" s="31"/>
      <c r="H7542" s="31"/>
    </row>
    <row r="7543" spans="2:8" hidden="1">
      <c r="B7543" s="33"/>
      <c r="C7543" s="31"/>
      <c r="D7543" s="31"/>
      <c r="E7543" s="31"/>
      <c r="F7543" s="31"/>
      <c r="G7543" s="31"/>
      <c r="H7543" s="31"/>
    </row>
    <row r="7544" spans="2:8" hidden="1">
      <c r="B7544" s="33"/>
      <c r="C7544" s="31"/>
      <c r="D7544" s="31"/>
      <c r="E7544" s="31"/>
      <c r="F7544" s="31"/>
      <c r="G7544" s="31"/>
      <c r="H7544" s="31"/>
    </row>
    <row r="7545" spans="2:8" hidden="1">
      <c r="B7545" s="33"/>
      <c r="C7545" s="31"/>
      <c r="D7545" s="31"/>
      <c r="E7545" s="31"/>
      <c r="F7545" s="31"/>
      <c r="G7545" s="31"/>
      <c r="H7545" s="31"/>
    </row>
    <row r="7546" spans="2:8" hidden="1">
      <c r="B7546" s="33"/>
      <c r="C7546" s="31"/>
      <c r="D7546" s="31"/>
      <c r="E7546" s="31"/>
      <c r="F7546" s="31"/>
      <c r="G7546" s="31"/>
      <c r="H7546" s="31"/>
    </row>
    <row r="7547" spans="2:8" hidden="1">
      <c r="B7547" s="33"/>
      <c r="C7547" s="31"/>
      <c r="D7547" s="31"/>
      <c r="E7547" s="31"/>
      <c r="F7547" s="31"/>
      <c r="G7547" s="31"/>
      <c r="H7547" s="31"/>
    </row>
    <row r="7548" spans="2:8" hidden="1">
      <c r="B7548" s="33"/>
      <c r="C7548" s="31"/>
      <c r="D7548" s="31"/>
      <c r="E7548" s="31"/>
      <c r="F7548" s="31"/>
      <c r="G7548" s="31"/>
      <c r="H7548" s="31"/>
    </row>
    <row r="7549" spans="2:8" hidden="1">
      <c r="B7549" s="33"/>
      <c r="C7549" s="31"/>
      <c r="D7549" s="31"/>
      <c r="E7549" s="31"/>
      <c r="F7549" s="31"/>
      <c r="G7549" s="31"/>
      <c r="H7549" s="31"/>
    </row>
    <row r="7550" spans="2:8" hidden="1">
      <c r="B7550" s="33"/>
      <c r="C7550" s="31"/>
      <c r="D7550" s="33"/>
      <c r="E7550" s="31"/>
      <c r="F7550" s="33"/>
      <c r="G7550" s="33"/>
      <c r="H7550" s="31"/>
    </row>
    <row r="7551" spans="2:8" hidden="1">
      <c r="B7551" s="33"/>
      <c r="C7551" s="31"/>
      <c r="D7551" s="33"/>
      <c r="E7551" s="33"/>
      <c r="F7551" s="33"/>
      <c r="G7551" s="33"/>
      <c r="H7551" s="31"/>
    </row>
    <row r="7552" spans="2:8" hidden="1">
      <c r="B7552" s="33"/>
      <c r="C7552" s="31"/>
      <c r="D7552" s="31"/>
      <c r="E7552" s="31"/>
      <c r="F7552" s="31"/>
      <c r="G7552" s="31"/>
      <c r="H7552" s="31"/>
    </row>
    <row r="7553" spans="2:8" hidden="1">
      <c r="B7553" s="200"/>
      <c r="C7553" s="31"/>
      <c r="D7553" s="75"/>
      <c r="E7553" s="771"/>
      <c r="F7553" s="771"/>
      <c r="G7553" s="31"/>
      <c r="H7553" s="31"/>
    </row>
    <row r="7554" spans="2:8" hidden="1">
      <c r="B7554" s="200"/>
      <c r="C7554" s="31"/>
      <c r="D7554" s="75"/>
      <c r="E7554" s="771"/>
      <c r="F7554" s="771"/>
      <c r="G7554" s="31"/>
      <c r="H7554" s="31"/>
    </row>
    <row r="7555" spans="2:8" hidden="1">
      <c r="B7555" s="200"/>
      <c r="C7555" s="31"/>
      <c r="D7555" s="75"/>
      <c r="E7555" s="771"/>
      <c r="F7555" s="771"/>
      <c r="G7555" s="31"/>
      <c r="H7555" s="31"/>
    </row>
    <row r="7556" spans="2:8" hidden="1">
      <c r="B7556" s="200"/>
      <c r="C7556" s="31"/>
      <c r="D7556" s="75"/>
      <c r="E7556" s="771"/>
      <c r="F7556" s="771"/>
      <c r="G7556" s="31"/>
      <c r="H7556" s="31"/>
    </row>
    <row r="7557" spans="2:8" hidden="1">
      <c r="B7557" s="200"/>
      <c r="C7557" s="31"/>
      <c r="D7557" s="75"/>
      <c r="E7557" s="771"/>
      <c r="F7557" s="771"/>
      <c r="G7557" s="31"/>
      <c r="H7557" s="31"/>
    </row>
    <row r="7558" spans="2:8" hidden="1">
      <c r="B7558" s="200"/>
      <c r="C7558" s="31"/>
      <c r="D7558" s="75"/>
      <c r="E7558" s="771"/>
      <c r="F7558" s="771"/>
      <c r="G7558" s="31"/>
      <c r="H7558" s="31"/>
    </row>
    <row r="7559" spans="2:8" hidden="1">
      <c r="B7559" s="200"/>
      <c r="C7559" s="31"/>
      <c r="D7559" s="75"/>
      <c r="E7559" s="771"/>
      <c r="F7559" s="772"/>
      <c r="G7559" s="33"/>
      <c r="H7559" s="31"/>
    </row>
    <row r="7560" spans="2:8" hidden="1">
      <c r="B7560" s="200"/>
      <c r="C7560" s="31"/>
      <c r="D7560" s="75"/>
      <c r="E7560" s="771"/>
      <c r="F7560" s="771"/>
      <c r="G7560" s="31"/>
      <c r="H7560" s="31"/>
    </row>
    <row r="7561" spans="2:8" hidden="1">
      <c r="B7561" s="200"/>
      <c r="C7561" s="31"/>
      <c r="D7561" s="75"/>
      <c r="E7561" s="771"/>
      <c r="F7561" s="772"/>
      <c r="G7561" s="33"/>
      <c r="H7561" s="31"/>
    </row>
    <row r="7562" spans="2:8" hidden="1">
      <c r="B7562" s="200"/>
      <c r="C7562" s="31"/>
      <c r="D7562" s="75"/>
      <c r="E7562" s="771"/>
      <c r="F7562" s="31"/>
      <c r="G7562" s="31"/>
      <c r="H7562" s="31"/>
    </row>
    <row r="7563" spans="2:8" hidden="1">
      <c r="B7563" s="200"/>
      <c r="C7563" s="31"/>
      <c r="D7563" s="75"/>
      <c r="E7563" s="771"/>
      <c r="F7563" s="33"/>
      <c r="G7563" s="33"/>
      <c r="H7563" s="31"/>
    </row>
    <row r="7564" spans="2:8" hidden="1">
      <c r="B7564" s="200"/>
      <c r="C7564" s="31"/>
      <c r="D7564" s="75"/>
      <c r="E7564" s="771"/>
      <c r="F7564" s="31"/>
      <c r="G7564" s="31"/>
      <c r="H7564" s="31"/>
    </row>
    <row r="7565" spans="2:8" hidden="1">
      <c r="B7565" s="33"/>
      <c r="C7565" s="31"/>
      <c r="D7565" s="31"/>
      <c r="E7565" s="31"/>
      <c r="F7565" s="31"/>
      <c r="G7565" s="31"/>
      <c r="H7565" s="31"/>
    </row>
    <row r="7566" spans="2:8" hidden="1">
      <c r="B7566" s="200"/>
      <c r="C7566" s="31"/>
      <c r="D7566" s="75"/>
      <c r="E7566" s="771"/>
      <c r="F7566" s="771"/>
      <c r="G7566" s="31"/>
      <c r="H7566" s="31"/>
    </row>
    <row r="7567" spans="2:8" hidden="1">
      <c r="B7567" s="200"/>
      <c r="C7567" s="31"/>
      <c r="D7567" s="75"/>
      <c r="E7567" s="771"/>
      <c r="F7567" s="771"/>
      <c r="G7567" s="31"/>
      <c r="H7567" s="31"/>
    </row>
    <row r="7568" spans="2:8" hidden="1">
      <c r="B7568" s="200"/>
      <c r="C7568" s="31"/>
      <c r="D7568" s="75"/>
      <c r="E7568" s="771"/>
      <c r="F7568" s="771"/>
      <c r="G7568" s="31"/>
      <c r="H7568" s="31"/>
    </row>
    <row r="7569" spans="2:8" hidden="1">
      <c r="B7569" s="200"/>
      <c r="C7569" s="31"/>
      <c r="D7569" s="75"/>
      <c r="E7569" s="771"/>
      <c r="F7569" s="771"/>
      <c r="G7569" s="31"/>
      <c r="H7569" s="31"/>
    </row>
    <row r="7570" spans="2:8" hidden="1">
      <c r="B7570" s="200"/>
      <c r="C7570" s="31"/>
      <c r="D7570" s="75"/>
      <c r="E7570" s="771"/>
      <c r="F7570" s="772"/>
      <c r="G7570" s="33"/>
      <c r="H7570" s="31"/>
    </row>
    <row r="7571" spans="2:8" hidden="1">
      <c r="B7571" s="200"/>
      <c r="C7571" s="31"/>
      <c r="D7571" s="75"/>
      <c r="E7571" s="771"/>
      <c r="F7571" s="772"/>
      <c r="G7571" s="33"/>
      <c r="H7571" s="31"/>
    </row>
    <row r="7572" spans="2:8" hidden="1">
      <c r="B7572" s="200"/>
      <c r="C7572" s="31"/>
      <c r="D7572" s="75"/>
      <c r="E7572" s="771"/>
      <c r="F7572" s="772"/>
      <c r="G7572" s="33"/>
      <c r="H7572" s="31"/>
    </row>
    <row r="7573" spans="2:8" hidden="1">
      <c r="B7573" s="200"/>
      <c r="C7573" s="31"/>
      <c r="D7573" s="75"/>
      <c r="E7573" s="771"/>
      <c r="F7573" s="771"/>
      <c r="G7573" s="31"/>
      <c r="H7573" s="31"/>
    </row>
    <row r="7574" spans="2:8" hidden="1">
      <c r="B7574" s="200"/>
      <c r="C7574" s="31"/>
      <c r="D7574" s="75"/>
      <c r="E7574" s="772"/>
      <c r="F7574" s="772"/>
      <c r="G7574" s="33"/>
      <c r="H7574" s="31"/>
    </row>
    <row r="7575" spans="2:8" hidden="1">
      <c r="B7575" s="200"/>
      <c r="C7575" s="31"/>
      <c r="D7575" s="75"/>
      <c r="E7575" s="771"/>
      <c r="F7575" s="771"/>
      <c r="G7575" s="31"/>
      <c r="H7575" s="31"/>
    </row>
    <row r="7576" spans="2:8" hidden="1">
      <c r="B7576" s="200"/>
      <c r="C7576" s="31"/>
      <c r="D7576" s="75"/>
      <c r="E7576" s="771"/>
      <c r="F7576" s="771"/>
      <c r="G7576" s="31"/>
      <c r="H7576" s="31"/>
    </row>
    <row r="7577" spans="2:8" hidden="1">
      <c r="B7577" s="200"/>
      <c r="C7577" s="31"/>
      <c r="D7577" s="75"/>
      <c r="E7577" s="771"/>
      <c r="F7577" s="772"/>
      <c r="G7577" s="33"/>
      <c r="H7577" s="31"/>
    </row>
    <row r="7578" spans="2:8" hidden="1">
      <c r="B7578" s="200"/>
      <c r="C7578" s="31"/>
      <c r="D7578" s="75"/>
      <c r="E7578" s="771"/>
      <c r="F7578" s="772"/>
      <c r="G7578" s="33"/>
      <c r="H7578" s="31"/>
    </row>
    <row r="7579" spans="2:8" hidden="1">
      <c r="B7579" s="200"/>
      <c r="C7579" s="31"/>
      <c r="D7579" s="75"/>
      <c r="E7579" s="771"/>
      <c r="F7579" s="771"/>
      <c r="G7579" s="31"/>
      <c r="H7579" s="31"/>
    </row>
    <row r="7580" spans="2:8" hidden="1">
      <c r="B7580" s="200"/>
      <c r="C7580" s="31"/>
      <c r="D7580" s="75"/>
      <c r="E7580" s="771"/>
      <c r="F7580" s="771"/>
      <c r="G7580" s="31"/>
      <c r="H7580" s="31"/>
    </row>
    <row r="7581" spans="2:8" hidden="1">
      <c r="B7581" s="200"/>
      <c r="C7581" s="31"/>
      <c r="D7581" s="75"/>
      <c r="E7581" s="771"/>
      <c r="F7581" s="771"/>
      <c r="G7581" s="31"/>
      <c r="H7581" s="31"/>
    </row>
    <row r="7582" spans="2:8" hidden="1">
      <c r="B7582" s="200"/>
      <c r="C7582" s="31"/>
      <c r="D7582" s="75"/>
      <c r="E7582" s="771"/>
      <c r="F7582" s="771"/>
      <c r="G7582" s="31"/>
      <c r="H7582" s="31"/>
    </row>
    <row r="7583" spans="2:8" hidden="1">
      <c r="B7583" s="200"/>
      <c r="C7583" s="31"/>
      <c r="D7583" s="75"/>
      <c r="E7583" s="771"/>
      <c r="F7583" s="772"/>
      <c r="G7583" s="33"/>
      <c r="H7583" s="31"/>
    </row>
    <row r="7584" spans="2:8" hidden="1">
      <c r="B7584" s="200"/>
      <c r="C7584" s="31"/>
      <c r="D7584" s="75"/>
      <c r="E7584" s="771"/>
      <c r="F7584" s="772"/>
      <c r="G7584" s="33"/>
      <c r="H7584" s="31"/>
    </row>
    <row r="7585" spans="2:8" hidden="1">
      <c r="B7585" s="200"/>
      <c r="C7585" s="31"/>
      <c r="D7585" s="75"/>
      <c r="E7585" s="771"/>
      <c r="F7585" s="772"/>
      <c r="G7585" s="33"/>
      <c r="H7585" s="31"/>
    </row>
    <row r="7586" spans="2:8" hidden="1">
      <c r="B7586" s="200"/>
      <c r="C7586" s="31"/>
      <c r="D7586" s="75"/>
      <c r="E7586" s="771"/>
      <c r="F7586" s="771"/>
      <c r="G7586" s="31"/>
      <c r="H7586" s="31"/>
    </row>
    <row r="7587" spans="2:8" hidden="1">
      <c r="B7587" s="200"/>
      <c r="C7587" s="31"/>
      <c r="D7587" s="75"/>
      <c r="E7587" s="771"/>
      <c r="F7587" s="771"/>
      <c r="G7587" s="31"/>
      <c r="H7587" s="31"/>
    </row>
    <row r="7588" spans="2:8" hidden="1">
      <c r="B7588" s="200"/>
      <c r="C7588" s="31"/>
      <c r="D7588" s="75"/>
      <c r="E7588" s="771"/>
      <c r="F7588" s="771"/>
      <c r="G7588" s="31"/>
      <c r="H7588" s="31"/>
    </row>
    <row r="7589" spans="2:8" hidden="1">
      <c r="B7589" s="200"/>
      <c r="C7589" s="31"/>
      <c r="D7589" s="75"/>
      <c r="E7589" s="771"/>
      <c r="F7589" s="771"/>
      <c r="G7589" s="31"/>
      <c r="H7589" s="31"/>
    </row>
    <row r="7590" spans="2:8" hidden="1">
      <c r="B7590" s="200"/>
      <c r="C7590" s="31"/>
      <c r="D7590" s="75"/>
      <c r="E7590" s="772"/>
      <c r="F7590" s="772"/>
      <c r="G7590" s="33"/>
      <c r="H7590" s="31"/>
    </row>
    <row r="7591" spans="2:8" hidden="1">
      <c r="B7591" s="33"/>
      <c r="C7591" s="200"/>
      <c r="D7591" s="75"/>
      <c r="E7591" s="771"/>
      <c r="F7591" s="771"/>
      <c r="G7591" s="31"/>
      <c r="H7591" s="31"/>
    </row>
    <row r="7592" spans="2:8" hidden="1">
      <c r="B7592" s="33"/>
      <c r="C7592" s="31"/>
      <c r="D7592" s="104"/>
      <c r="E7592" s="772"/>
      <c r="F7592" s="772"/>
      <c r="G7592" s="33"/>
      <c r="H7592" s="31"/>
    </row>
    <row r="7593" spans="2:8" hidden="1">
      <c r="B7593" s="33"/>
      <c r="C7593" s="31"/>
      <c r="D7593" s="31"/>
      <c r="E7593" s="31"/>
      <c r="F7593" s="31"/>
      <c r="G7593" s="31"/>
      <c r="H7593" s="31"/>
    </row>
    <row r="7594" spans="2:8" hidden="1">
      <c r="B7594" s="33"/>
      <c r="C7594" s="31"/>
      <c r="D7594" s="31"/>
      <c r="E7594" s="31"/>
      <c r="F7594" s="31"/>
      <c r="G7594" s="31"/>
      <c r="H7594" s="31"/>
    </row>
    <row r="7595" spans="2:8" hidden="1">
      <c r="B7595" s="33"/>
      <c r="C7595" s="31"/>
      <c r="D7595" s="31"/>
      <c r="E7595" s="31"/>
      <c r="F7595" s="691"/>
      <c r="G7595" s="75"/>
      <c r="H7595" s="31"/>
    </row>
    <row r="7596" spans="2:8" hidden="1">
      <c r="B7596" s="33"/>
      <c r="C7596" s="31"/>
      <c r="D7596" s="31"/>
      <c r="E7596" s="31"/>
      <c r="F7596" s="691"/>
      <c r="G7596" s="75"/>
      <c r="H7596" s="31"/>
    </row>
    <row r="7597" spans="2:8" hidden="1">
      <c r="B7597" s="33"/>
      <c r="C7597" s="31"/>
      <c r="D7597" s="31"/>
      <c r="E7597" s="31"/>
      <c r="F7597" s="691"/>
      <c r="G7597" s="75"/>
      <c r="H7597" s="31"/>
    </row>
    <row r="7598" spans="2:8" hidden="1">
      <c r="B7598" s="33"/>
      <c r="C7598" s="31"/>
      <c r="D7598" s="31"/>
      <c r="E7598" s="31"/>
      <c r="F7598" s="691"/>
      <c r="G7598" s="75"/>
      <c r="H7598" s="31"/>
    </row>
    <row r="7599" spans="2:8" hidden="1">
      <c r="B7599" s="33"/>
      <c r="C7599" s="31"/>
      <c r="D7599" s="31"/>
      <c r="E7599" s="31"/>
      <c r="F7599" s="691"/>
      <c r="G7599" s="75"/>
      <c r="H7599" s="31"/>
    </row>
    <row r="7600" spans="2:8" hidden="1">
      <c r="B7600" s="33"/>
      <c r="C7600" s="31"/>
      <c r="D7600" s="31"/>
      <c r="E7600" s="31"/>
      <c r="F7600" s="691"/>
      <c r="G7600" s="75"/>
      <c r="H7600" s="31"/>
    </row>
    <row r="7601" spans="2:8" hidden="1">
      <c r="B7601" s="33"/>
      <c r="C7601" s="31"/>
      <c r="D7601" s="31"/>
      <c r="E7601" s="31"/>
      <c r="F7601" s="691"/>
      <c r="G7601" s="31"/>
      <c r="H7601" s="31"/>
    </row>
    <row r="7602" spans="2:8" hidden="1">
      <c r="B7602" s="33"/>
      <c r="C7602" s="31"/>
      <c r="D7602" s="31"/>
      <c r="E7602" s="31"/>
      <c r="F7602" s="691"/>
      <c r="G7602" s="75"/>
      <c r="H7602" s="31"/>
    </row>
    <row r="7603" spans="2:8" hidden="1">
      <c r="B7603" s="33"/>
      <c r="C7603" s="31"/>
      <c r="D7603" s="31"/>
      <c r="E7603" s="31"/>
      <c r="F7603" s="691"/>
      <c r="G7603" s="75"/>
      <c r="H7603" s="31"/>
    </row>
    <row r="7604" spans="2:8" hidden="1">
      <c r="B7604" s="33"/>
      <c r="C7604" s="31"/>
      <c r="D7604" s="31"/>
      <c r="E7604" s="31"/>
      <c r="F7604" s="691"/>
      <c r="G7604" s="31"/>
      <c r="H7604" s="31"/>
    </row>
    <row r="7605" spans="2:8" hidden="1">
      <c r="B7605" s="33"/>
      <c r="C7605" s="31"/>
      <c r="D7605" s="31"/>
      <c r="E7605" s="31"/>
      <c r="F7605" s="691"/>
      <c r="G7605" s="31"/>
      <c r="H7605" s="31"/>
    </row>
    <row r="7606" spans="2:8" hidden="1">
      <c r="B7606" s="33"/>
      <c r="C7606" s="31"/>
      <c r="D7606" s="31"/>
      <c r="E7606" s="31"/>
      <c r="F7606" s="31"/>
      <c r="G7606" s="31"/>
      <c r="H7606" s="31"/>
    </row>
    <row r="7607" spans="2:8" hidden="1">
      <c r="B7607" s="33"/>
      <c r="C7607" s="31"/>
      <c r="D7607" s="31"/>
      <c r="E7607" s="31"/>
      <c r="F7607" s="31"/>
      <c r="G7607" s="31"/>
      <c r="H7607" s="31"/>
    </row>
    <row r="7608" spans="2:8" hidden="1">
      <c r="B7608" s="33"/>
      <c r="C7608" s="31"/>
      <c r="D7608" s="31"/>
      <c r="E7608" s="31"/>
      <c r="F7608" s="31"/>
      <c r="G7608" s="31"/>
      <c r="H7608" s="31"/>
    </row>
    <row r="7609" spans="2:8" hidden="1">
      <c r="B7609" s="33"/>
      <c r="C7609" s="31"/>
      <c r="D7609" s="31"/>
      <c r="E7609" s="31"/>
      <c r="F7609" s="31"/>
      <c r="G7609" s="31"/>
      <c r="H7609" s="31"/>
    </row>
    <row r="7610" spans="2:8" hidden="1">
      <c r="B7610" s="33"/>
      <c r="C7610" s="31"/>
      <c r="D7610" s="31"/>
      <c r="E7610" s="31"/>
      <c r="F7610" s="31"/>
      <c r="G7610" s="31"/>
      <c r="H7610" s="31"/>
    </row>
    <row r="7611" spans="2:8" hidden="1">
      <c r="B7611" s="33"/>
      <c r="C7611" s="31"/>
      <c r="D7611" s="31"/>
      <c r="E7611" s="31"/>
      <c r="F7611" s="31"/>
      <c r="G7611" s="31"/>
      <c r="H7611" s="31"/>
    </row>
    <row r="7612" spans="2:8" hidden="1">
      <c r="B7612" s="33"/>
      <c r="C7612" s="31"/>
      <c r="D7612" s="31"/>
      <c r="E7612" s="31"/>
      <c r="F7612" s="31"/>
      <c r="G7612" s="31"/>
      <c r="H7612" s="31"/>
    </row>
    <row r="7613" spans="2:8" hidden="1">
      <c r="B7613" s="33"/>
      <c r="C7613" s="31"/>
      <c r="D7613" s="33"/>
      <c r="E7613" s="31"/>
      <c r="F7613" s="33"/>
      <c r="G7613" s="33"/>
      <c r="H7613" s="31"/>
    </row>
    <row r="7614" spans="2:8" hidden="1">
      <c r="B7614" s="33"/>
      <c r="C7614" s="31"/>
      <c r="D7614" s="33"/>
      <c r="E7614" s="33"/>
      <c r="F7614" s="33"/>
      <c r="G7614" s="33"/>
      <c r="H7614" s="31"/>
    </row>
    <row r="7615" spans="2:8" hidden="1">
      <c r="B7615" s="33"/>
      <c r="C7615" s="31"/>
      <c r="D7615" s="31"/>
      <c r="E7615" s="31"/>
      <c r="F7615" s="31"/>
      <c r="G7615" s="31"/>
      <c r="H7615" s="31"/>
    </row>
    <row r="7616" spans="2:8" hidden="1">
      <c r="B7616" s="200"/>
      <c r="C7616" s="31"/>
      <c r="D7616" s="75"/>
      <c r="E7616" s="31"/>
      <c r="F7616" s="33"/>
      <c r="G7616" s="33"/>
      <c r="H7616" s="31"/>
    </row>
    <row r="7617" spans="2:8" hidden="1">
      <c r="B7617" s="200"/>
      <c r="C7617" s="31"/>
      <c r="D7617" s="75"/>
      <c r="E7617" s="31"/>
      <c r="F7617" s="31"/>
      <c r="G7617" s="31"/>
      <c r="H7617" s="31"/>
    </row>
    <row r="7618" spans="2:8" hidden="1">
      <c r="B7618" s="200"/>
      <c r="C7618" s="31"/>
      <c r="D7618" s="75"/>
      <c r="E7618" s="31"/>
      <c r="F7618" s="33"/>
      <c r="G7618" s="33"/>
      <c r="H7618" s="31"/>
    </row>
    <row r="7619" spans="2:8" hidden="1">
      <c r="B7619" s="200"/>
      <c r="C7619" s="31"/>
      <c r="D7619" s="75"/>
      <c r="E7619" s="31"/>
      <c r="F7619" s="31"/>
      <c r="G7619" s="31"/>
      <c r="H7619" s="31"/>
    </row>
    <row r="7620" spans="2:8" hidden="1">
      <c r="B7620" s="33"/>
      <c r="C7620" s="31"/>
      <c r="D7620" s="31"/>
      <c r="E7620" s="31"/>
      <c r="F7620" s="31"/>
      <c r="G7620" s="31"/>
      <c r="H7620" s="31"/>
    </row>
    <row r="7621" spans="2:8" hidden="1">
      <c r="B7621" s="200"/>
      <c r="C7621" s="31"/>
      <c r="D7621" s="75"/>
      <c r="E7621" s="771"/>
      <c r="F7621" s="31"/>
      <c r="G7621" s="31"/>
      <c r="H7621" s="31"/>
    </row>
    <row r="7622" spans="2:8" hidden="1">
      <c r="B7622" s="200"/>
      <c r="C7622" s="31"/>
      <c r="D7622" s="75"/>
      <c r="E7622" s="771"/>
      <c r="F7622" s="33"/>
      <c r="G7622" s="33"/>
      <c r="H7622" s="31"/>
    </row>
    <row r="7623" spans="2:8" hidden="1">
      <c r="B7623" s="200"/>
      <c r="C7623" s="31"/>
      <c r="D7623" s="75"/>
      <c r="E7623" s="771"/>
      <c r="F7623" s="771"/>
      <c r="G7623" s="31"/>
      <c r="H7623" s="31"/>
    </row>
    <row r="7624" spans="2:8" hidden="1">
      <c r="B7624" s="200"/>
      <c r="C7624" s="31"/>
      <c r="D7624" s="75"/>
      <c r="E7624" s="771"/>
      <c r="F7624" s="771"/>
      <c r="G7624" s="31"/>
      <c r="H7624" s="31"/>
    </row>
    <row r="7625" spans="2:8" hidden="1">
      <c r="B7625" s="200"/>
      <c r="C7625" s="31"/>
      <c r="D7625" s="75"/>
      <c r="E7625" s="771"/>
      <c r="F7625" s="771"/>
      <c r="G7625" s="31"/>
      <c r="H7625" s="31"/>
    </row>
    <row r="7626" spans="2:8" hidden="1">
      <c r="B7626" s="200"/>
      <c r="C7626" s="31"/>
      <c r="D7626" s="75"/>
      <c r="E7626" s="771"/>
      <c r="F7626" s="771"/>
      <c r="G7626" s="31"/>
      <c r="H7626" s="31"/>
    </row>
    <row r="7627" spans="2:8" hidden="1">
      <c r="B7627" s="200"/>
      <c r="C7627" s="31"/>
      <c r="D7627" s="75"/>
      <c r="E7627" s="771"/>
      <c r="F7627" s="771"/>
      <c r="G7627" s="31"/>
      <c r="H7627" s="31"/>
    </row>
    <row r="7628" spans="2:8" hidden="1">
      <c r="B7628" s="200"/>
      <c r="C7628" s="31"/>
      <c r="D7628" s="75"/>
      <c r="E7628" s="771"/>
      <c r="F7628" s="772"/>
      <c r="G7628" s="33"/>
      <c r="H7628" s="31"/>
    </row>
    <row r="7629" spans="2:8" hidden="1">
      <c r="B7629" s="200"/>
      <c r="C7629" s="31"/>
      <c r="D7629" s="75"/>
      <c r="E7629" s="771"/>
      <c r="F7629" s="771"/>
      <c r="G7629" s="31"/>
      <c r="H7629" s="31"/>
    </row>
    <row r="7630" spans="2:8" hidden="1">
      <c r="B7630" s="200"/>
      <c r="C7630" s="31"/>
      <c r="D7630" s="75"/>
      <c r="E7630" s="771"/>
      <c r="F7630" s="771"/>
      <c r="G7630" s="31"/>
      <c r="H7630" s="31"/>
    </row>
    <row r="7631" spans="2:8" hidden="1">
      <c r="B7631" s="200"/>
      <c r="C7631" s="31"/>
      <c r="D7631" s="75"/>
      <c r="E7631" s="771"/>
      <c r="F7631" s="771"/>
      <c r="G7631" s="31"/>
      <c r="H7631" s="31"/>
    </row>
    <row r="7632" spans="2:8" hidden="1">
      <c r="B7632" s="200"/>
      <c r="C7632" s="31"/>
      <c r="D7632" s="75"/>
      <c r="E7632" s="771"/>
      <c r="F7632" s="772"/>
      <c r="G7632" s="33"/>
      <c r="H7632" s="31"/>
    </row>
    <row r="7633" spans="2:8" hidden="1">
      <c r="B7633" s="200"/>
      <c r="C7633" s="31"/>
      <c r="D7633" s="75"/>
      <c r="E7633" s="771"/>
      <c r="F7633" s="771"/>
      <c r="G7633" s="31"/>
      <c r="H7633" s="31"/>
    </row>
    <row r="7634" spans="2:8" hidden="1">
      <c r="B7634" s="200"/>
      <c r="C7634" s="31"/>
      <c r="D7634" s="75"/>
      <c r="E7634" s="771"/>
      <c r="F7634" s="771"/>
      <c r="G7634" s="31"/>
      <c r="H7634" s="31"/>
    </row>
    <row r="7635" spans="2:8" hidden="1">
      <c r="B7635" s="200"/>
      <c r="C7635" s="31"/>
      <c r="D7635" s="75"/>
      <c r="E7635" s="771"/>
      <c r="F7635" s="771"/>
      <c r="G7635" s="31"/>
      <c r="H7635" s="31"/>
    </row>
    <row r="7636" spans="2:8" hidden="1">
      <c r="B7636" s="200"/>
      <c r="C7636" s="31"/>
      <c r="D7636" s="75"/>
      <c r="E7636" s="771"/>
      <c r="F7636" s="771"/>
      <c r="G7636" s="31"/>
      <c r="H7636" s="31"/>
    </row>
    <row r="7637" spans="2:8" hidden="1">
      <c r="B7637" s="200"/>
      <c r="C7637" s="31"/>
      <c r="D7637" s="75"/>
      <c r="E7637" s="771"/>
      <c r="F7637" s="771"/>
      <c r="G7637" s="31"/>
      <c r="H7637" s="31"/>
    </row>
    <row r="7638" spans="2:8" hidden="1">
      <c r="B7638" s="200"/>
      <c r="C7638" s="31"/>
      <c r="D7638" s="75"/>
      <c r="E7638" s="771"/>
      <c r="F7638" s="772"/>
      <c r="G7638" s="33"/>
      <c r="H7638" s="31"/>
    </row>
    <row r="7639" spans="2:8" hidden="1">
      <c r="B7639" s="200"/>
      <c r="C7639" s="31"/>
      <c r="D7639" s="75"/>
      <c r="E7639" s="771"/>
      <c r="F7639" s="771"/>
      <c r="G7639" s="31"/>
      <c r="H7639" s="31"/>
    </row>
    <row r="7640" spans="2:8" hidden="1">
      <c r="B7640" s="200"/>
      <c r="C7640" s="31"/>
      <c r="D7640" s="75"/>
      <c r="E7640" s="771"/>
      <c r="F7640" s="771"/>
      <c r="G7640" s="31"/>
      <c r="H7640" s="31"/>
    </row>
    <row r="7641" spans="2:8" hidden="1">
      <c r="B7641" s="200"/>
      <c r="C7641" s="31"/>
      <c r="D7641" s="75"/>
      <c r="E7641" s="771"/>
      <c r="F7641" s="771"/>
      <c r="G7641" s="31"/>
      <c r="H7641" s="31"/>
    </row>
    <row r="7642" spans="2:8" hidden="1">
      <c r="B7642" s="200"/>
      <c r="C7642" s="31"/>
      <c r="D7642" s="75"/>
      <c r="E7642" s="772"/>
      <c r="F7642" s="772"/>
      <c r="G7642" s="33"/>
      <c r="H7642" s="31"/>
    </row>
    <row r="7643" spans="2:8" hidden="1">
      <c r="B7643" s="200"/>
      <c r="C7643" s="31"/>
      <c r="D7643" s="75"/>
      <c r="E7643" s="771"/>
      <c r="F7643" s="771"/>
      <c r="G7643" s="31"/>
      <c r="H7643" s="31"/>
    </row>
    <row r="7644" spans="2:8" hidden="1">
      <c r="B7644" s="200"/>
      <c r="C7644" s="31"/>
      <c r="D7644" s="75"/>
      <c r="E7644" s="771"/>
      <c r="F7644" s="771"/>
      <c r="G7644" s="31"/>
      <c r="H7644" s="31"/>
    </row>
    <row r="7645" spans="2:8" hidden="1">
      <c r="B7645" s="200"/>
      <c r="C7645" s="31"/>
      <c r="D7645" s="75"/>
      <c r="E7645" s="771"/>
      <c r="F7645" s="772"/>
      <c r="G7645" s="33"/>
      <c r="H7645" s="31"/>
    </row>
    <row r="7646" spans="2:8" hidden="1">
      <c r="B7646" s="200"/>
      <c r="C7646" s="31"/>
      <c r="D7646" s="75"/>
      <c r="E7646" s="771"/>
      <c r="F7646" s="771"/>
      <c r="G7646" s="31"/>
      <c r="H7646" s="31"/>
    </row>
    <row r="7647" spans="2:8" hidden="1">
      <c r="B7647" s="200"/>
      <c r="C7647" s="31"/>
      <c r="D7647" s="75"/>
      <c r="E7647" s="772"/>
      <c r="F7647" s="772"/>
      <c r="G7647" s="33"/>
      <c r="H7647" s="31"/>
    </row>
    <row r="7648" spans="2:8" hidden="1">
      <c r="B7648" s="200"/>
      <c r="C7648" s="31"/>
      <c r="D7648" s="75"/>
      <c r="E7648" s="771"/>
      <c r="F7648" s="772"/>
      <c r="G7648" s="33"/>
      <c r="H7648" s="31"/>
    </row>
    <row r="7649" spans="2:8" hidden="1">
      <c r="B7649" s="200"/>
      <c r="C7649" s="31"/>
      <c r="D7649" s="75"/>
      <c r="E7649" s="771"/>
      <c r="F7649" s="771"/>
      <c r="G7649" s="31"/>
      <c r="H7649" s="31"/>
    </row>
    <row r="7650" spans="2:8" hidden="1">
      <c r="B7650" s="200"/>
      <c r="C7650" s="31"/>
      <c r="D7650" s="75"/>
      <c r="E7650" s="771"/>
      <c r="F7650" s="771"/>
      <c r="G7650" s="31"/>
      <c r="H7650" s="31"/>
    </row>
    <row r="7651" spans="2:8" hidden="1">
      <c r="B7651" s="200"/>
      <c r="C7651" s="31"/>
      <c r="D7651" s="75"/>
      <c r="E7651" s="771"/>
      <c r="F7651" s="771"/>
      <c r="G7651" s="31"/>
      <c r="H7651" s="31"/>
    </row>
    <row r="7652" spans="2:8" hidden="1">
      <c r="B7652" s="200"/>
      <c r="C7652" s="31"/>
      <c r="D7652" s="75"/>
      <c r="E7652" s="771"/>
      <c r="F7652" s="771"/>
      <c r="G7652" s="31"/>
      <c r="H7652" s="31"/>
    </row>
    <row r="7653" spans="2:8" hidden="1">
      <c r="B7653" s="200"/>
      <c r="C7653" s="31"/>
      <c r="D7653" s="75"/>
      <c r="E7653" s="771"/>
      <c r="F7653" s="771"/>
      <c r="G7653" s="31"/>
      <c r="H7653" s="31"/>
    </row>
    <row r="7654" spans="2:8" hidden="1">
      <c r="B7654" s="200"/>
      <c r="C7654" s="31"/>
      <c r="D7654" s="75"/>
      <c r="E7654" s="771"/>
      <c r="F7654" s="771"/>
      <c r="G7654" s="31"/>
      <c r="H7654" s="31"/>
    </row>
    <row r="7655" spans="2:8" hidden="1">
      <c r="B7655" s="200"/>
      <c r="C7655" s="31"/>
      <c r="D7655" s="75"/>
      <c r="E7655" s="771"/>
      <c r="F7655" s="771"/>
      <c r="G7655" s="31"/>
      <c r="H7655" s="31"/>
    </row>
    <row r="7656" spans="2:8" hidden="1">
      <c r="B7656" s="200"/>
      <c r="C7656" s="31"/>
      <c r="D7656" s="75"/>
      <c r="E7656" s="771"/>
      <c r="F7656" s="771"/>
      <c r="G7656" s="31"/>
      <c r="H7656" s="31"/>
    </row>
    <row r="7657" spans="2:8" hidden="1">
      <c r="B7657" s="200"/>
      <c r="C7657" s="31"/>
      <c r="D7657" s="75"/>
      <c r="E7657" s="771"/>
      <c r="F7657" s="772"/>
      <c r="G7657" s="33"/>
      <c r="H7657" s="31"/>
    </row>
    <row r="7658" spans="2:8" hidden="1">
      <c r="B7658" s="200"/>
      <c r="C7658" s="31"/>
      <c r="D7658" s="75"/>
      <c r="E7658" s="771"/>
      <c r="F7658" s="771"/>
      <c r="G7658" s="31"/>
      <c r="H7658" s="31"/>
    </row>
    <row r="7659" spans="2:8" hidden="1">
      <c r="B7659" s="200"/>
      <c r="C7659" s="31"/>
      <c r="D7659" s="75"/>
      <c r="E7659" s="771"/>
      <c r="F7659" s="771"/>
      <c r="G7659" s="31"/>
      <c r="H7659" s="31"/>
    </row>
    <row r="7660" spans="2:8" hidden="1">
      <c r="B7660" s="200"/>
      <c r="C7660" s="31"/>
      <c r="D7660" s="75"/>
      <c r="E7660" s="771"/>
      <c r="F7660" s="771"/>
      <c r="G7660" s="31"/>
      <c r="H7660" s="31"/>
    </row>
    <row r="7661" spans="2:8" hidden="1">
      <c r="B7661" s="200"/>
      <c r="C7661" s="31"/>
      <c r="D7661" s="75"/>
      <c r="E7661" s="771"/>
      <c r="F7661" s="771"/>
      <c r="G7661" s="31"/>
      <c r="H7661" s="31"/>
    </row>
    <row r="7662" spans="2:8" hidden="1">
      <c r="B7662" s="200"/>
      <c r="C7662" s="31"/>
      <c r="D7662" s="75"/>
      <c r="E7662" s="771"/>
      <c r="F7662" s="771"/>
      <c r="G7662" s="31"/>
      <c r="H7662" s="31"/>
    </row>
    <row r="7663" spans="2:8" hidden="1">
      <c r="B7663" s="200"/>
      <c r="C7663" s="31"/>
      <c r="D7663" s="75"/>
      <c r="E7663" s="771"/>
      <c r="F7663" s="771"/>
      <c r="G7663" s="31"/>
      <c r="H7663" s="31"/>
    </row>
    <row r="7664" spans="2:8" hidden="1">
      <c r="B7664" s="200"/>
      <c r="C7664" s="31"/>
      <c r="D7664" s="75"/>
      <c r="E7664" s="771"/>
      <c r="F7664" s="771"/>
      <c r="G7664" s="31"/>
      <c r="H7664" s="31"/>
    </row>
    <row r="7665" spans="2:8" hidden="1">
      <c r="B7665" s="200"/>
      <c r="C7665" s="31"/>
      <c r="D7665" s="75"/>
      <c r="E7665" s="771"/>
      <c r="F7665" s="772"/>
      <c r="G7665" s="33"/>
      <c r="H7665" s="31"/>
    </row>
    <row r="7666" spans="2:8" hidden="1">
      <c r="B7666" s="200"/>
      <c r="C7666" s="31"/>
      <c r="D7666" s="75"/>
      <c r="E7666" s="771"/>
      <c r="F7666" s="771"/>
      <c r="G7666" s="31"/>
      <c r="H7666" s="31"/>
    </row>
    <row r="7667" spans="2:8" hidden="1">
      <c r="B7667" s="200"/>
      <c r="C7667" s="31"/>
      <c r="D7667" s="75"/>
      <c r="E7667" s="771"/>
      <c r="F7667" s="771"/>
      <c r="G7667" s="31"/>
      <c r="H7667" s="31"/>
    </row>
    <row r="7668" spans="2:8" hidden="1">
      <c r="B7668" s="200"/>
      <c r="C7668" s="31"/>
      <c r="D7668" s="75"/>
      <c r="E7668" s="771"/>
      <c r="F7668" s="771"/>
      <c r="G7668" s="31"/>
      <c r="H7668" s="31"/>
    </row>
    <row r="7669" spans="2:8" hidden="1">
      <c r="B7669" s="200"/>
      <c r="C7669" s="31"/>
      <c r="D7669" s="75"/>
      <c r="E7669" s="771"/>
      <c r="F7669" s="771"/>
      <c r="G7669" s="31"/>
      <c r="H7669" s="31"/>
    </row>
    <row r="7670" spans="2:8" hidden="1">
      <c r="B7670" s="200"/>
      <c r="C7670" s="31"/>
      <c r="D7670" s="75"/>
      <c r="E7670" s="771"/>
      <c r="F7670" s="771"/>
      <c r="G7670" s="31"/>
      <c r="H7670" s="31"/>
    </row>
    <row r="7671" spans="2:8" hidden="1">
      <c r="B7671" s="200"/>
      <c r="C7671" s="31"/>
      <c r="D7671" s="75"/>
      <c r="E7671" s="771"/>
      <c r="F7671" s="771"/>
      <c r="G7671" s="31"/>
      <c r="H7671" s="31"/>
    </row>
    <row r="7672" spans="2:8" hidden="1">
      <c r="B7672" s="200"/>
      <c r="C7672" s="31"/>
      <c r="D7672" s="75"/>
      <c r="E7672" s="771"/>
      <c r="F7672" s="771"/>
      <c r="G7672" s="31"/>
      <c r="H7672" s="31"/>
    </row>
    <row r="7673" spans="2:8" hidden="1">
      <c r="B7673" s="200"/>
      <c r="C7673" s="31"/>
      <c r="D7673" s="75"/>
      <c r="E7673" s="771"/>
      <c r="F7673" s="771"/>
      <c r="G7673" s="31"/>
      <c r="H7673" s="31"/>
    </row>
    <row r="7674" spans="2:8" hidden="1">
      <c r="B7674" s="200"/>
      <c r="C7674" s="31"/>
      <c r="D7674" s="75"/>
      <c r="E7674" s="31"/>
      <c r="F7674" s="771"/>
      <c r="G7674" s="31"/>
      <c r="H7674" s="31"/>
    </row>
    <row r="7675" spans="2:8" hidden="1">
      <c r="B7675" s="200"/>
      <c r="C7675" s="31"/>
      <c r="D7675" s="75"/>
      <c r="E7675" s="31"/>
      <c r="F7675" s="771"/>
      <c r="G7675" s="31"/>
      <c r="H7675" s="31"/>
    </row>
    <row r="7676" spans="2:8" hidden="1">
      <c r="B7676" s="200"/>
      <c r="C7676" s="31"/>
      <c r="D7676" s="75"/>
      <c r="E7676" s="31"/>
      <c r="F7676" s="771"/>
      <c r="G7676" s="31"/>
      <c r="H7676" s="31"/>
    </row>
    <row r="7677" spans="2:8" hidden="1">
      <c r="B7677" s="200"/>
      <c r="C7677" s="31"/>
      <c r="D7677" s="75"/>
      <c r="E7677" s="31"/>
      <c r="F7677" s="771"/>
      <c r="G7677" s="31"/>
      <c r="H7677" s="31"/>
    </row>
    <row r="7678" spans="2:8" hidden="1">
      <c r="B7678" s="200"/>
      <c r="C7678" s="31"/>
      <c r="D7678" s="75"/>
      <c r="E7678" s="33"/>
      <c r="F7678" s="772"/>
      <c r="G7678" s="33"/>
      <c r="H7678" s="31"/>
    </row>
    <row r="7679" spans="2:8" hidden="1">
      <c r="B7679" s="200"/>
      <c r="C7679" s="31"/>
      <c r="D7679" s="75"/>
      <c r="E7679" s="31"/>
      <c r="F7679" s="771"/>
      <c r="G7679" s="31"/>
      <c r="H7679" s="31"/>
    </row>
    <row r="7680" spans="2:8" hidden="1">
      <c r="B7680" s="200"/>
      <c r="C7680" s="31"/>
      <c r="D7680" s="75"/>
      <c r="E7680" s="31"/>
      <c r="F7680" s="771"/>
      <c r="G7680" s="31"/>
      <c r="H7680" s="31"/>
    </row>
    <row r="7681" spans="2:8" hidden="1">
      <c r="B7681" s="200"/>
      <c r="C7681" s="31"/>
      <c r="D7681" s="75"/>
      <c r="E7681" s="33"/>
      <c r="F7681" s="772"/>
      <c r="G7681" s="33"/>
      <c r="H7681" s="31"/>
    </row>
    <row r="7682" spans="2:8" hidden="1">
      <c r="B7682" s="200"/>
      <c r="C7682" s="31"/>
      <c r="D7682" s="75"/>
      <c r="E7682" s="31"/>
      <c r="F7682" s="771"/>
      <c r="G7682" s="31"/>
      <c r="H7682" s="31"/>
    </row>
    <row r="7683" spans="2:8" hidden="1">
      <c r="B7683" s="33"/>
      <c r="C7683" s="200"/>
      <c r="D7683" s="75"/>
      <c r="E7683" s="31"/>
      <c r="F7683" s="771"/>
      <c r="G7683" s="31"/>
      <c r="H7683" s="31"/>
    </row>
    <row r="7684" spans="2:8" hidden="1">
      <c r="B7684" s="33"/>
      <c r="C7684" s="31"/>
      <c r="D7684" s="104"/>
      <c r="E7684" s="33"/>
      <c r="F7684" s="772"/>
      <c r="G7684" s="33"/>
      <c r="H7684" s="31"/>
    </row>
    <row r="7685" spans="2:8" hidden="1">
      <c r="B7685" s="33"/>
      <c r="C7685" s="31"/>
      <c r="D7685" s="33"/>
      <c r="E7685" s="33"/>
      <c r="F7685" s="33"/>
      <c r="G7685" s="33"/>
      <c r="H7685" s="31"/>
    </row>
    <row r="7686" spans="2:8" hidden="1">
      <c r="B7686" s="405"/>
      <c r="C7686" s="31"/>
      <c r="D7686" s="31"/>
      <c r="E7686" s="31"/>
      <c r="F7686" s="31"/>
      <c r="G7686" s="31"/>
      <c r="H7686" s="31"/>
    </row>
    <row r="7687" spans="2:8" hidden="1">
      <c r="B7687" s="405"/>
      <c r="C7687" s="31"/>
      <c r="D7687" s="31"/>
      <c r="E7687" s="31"/>
      <c r="F7687" s="691"/>
      <c r="G7687" s="75"/>
      <c r="H7687" s="31"/>
    </row>
    <row r="7688" spans="2:8" hidden="1">
      <c r="B7688" s="405"/>
      <c r="C7688" s="31"/>
      <c r="D7688" s="31"/>
      <c r="E7688" s="31"/>
      <c r="F7688" s="691"/>
      <c r="G7688" s="75"/>
      <c r="H7688" s="31"/>
    </row>
    <row r="7689" spans="2:8" hidden="1">
      <c r="B7689" s="405"/>
      <c r="C7689" s="31"/>
      <c r="D7689" s="31"/>
      <c r="E7689" s="31"/>
      <c r="F7689" s="691"/>
      <c r="G7689" s="75"/>
      <c r="H7689" s="31"/>
    </row>
    <row r="7690" spans="2:8" hidden="1">
      <c r="B7690" s="405"/>
      <c r="C7690" s="31"/>
      <c r="D7690" s="31"/>
      <c r="E7690" s="31"/>
      <c r="F7690" s="691"/>
      <c r="G7690" s="75"/>
      <c r="H7690" s="31"/>
    </row>
    <row r="7691" spans="2:8" hidden="1">
      <c r="B7691" s="405"/>
      <c r="C7691" s="31"/>
      <c r="D7691" s="31"/>
      <c r="E7691" s="31"/>
      <c r="F7691" s="691"/>
      <c r="G7691" s="75"/>
      <c r="H7691" s="31"/>
    </row>
    <row r="7692" spans="2:8" hidden="1">
      <c r="B7692" s="405"/>
      <c r="C7692" s="31"/>
      <c r="D7692" s="31"/>
      <c r="E7692" s="31"/>
      <c r="F7692" s="691"/>
      <c r="G7692" s="75"/>
      <c r="H7692" s="31"/>
    </row>
    <row r="7693" spans="2:8" hidden="1">
      <c r="B7693" s="405"/>
      <c r="C7693" s="31"/>
      <c r="D7693" s="31"/>
      <c r="E7693" s="31"/>
      <c r="F7693" s="691"/>
      <c r="G7693" s="31"/>
      <c r="H7693" s="31"/>
    </row>
    <row r="7694" spans="2:8" hidden="1">
      <c r="B7694" s="33"/>
      <c r="C7694" s="31"/>
      <c r="D7694" s="31"/>
      <c r="E7694" s="31"/>
      <c r="F7694" s="691"/>
      <c r="G7694" s="75"/>
      <c r="H7694" s="31"/>
    </row>
    <row r="7695" spans="2:8" hidden="1">
      <c r="B7695" s="33"/>
      <c r="C7695" s="31"/>
      <c r="D7695" s="31"/>
      <c r="E7695" s="31"/>
      <c r="F7695" s="691"/>
      <c r="G7695" s="75"/>
      <c r="H7695" s="31"/>
    </row>
    <row r="7696" spans="2:8" hidden="1">
      <c r="B7696" s="33"/>
      <c r="C7696" s="31"/>
      <c r="D7696" s="31"/>
      <c r="E7696" s="31"/>
      <c r="F7696" s="691"/>
      <c r="G7696" s="31"/>
      <c r="H7696" s="31"/>
    </row>
    <row r="7697" spans="2:8" hidden="1">
      <c r="B7697" s="33"/>
      <c r="C7697" s="31"/>
      <c r="D7697" s="31"/>
      <c r="E7697" s="31"/>
      <c r="F7697" s="691"/>
      <c r="G7697" s="31"/>
      <c r="H7697" s="31"/>
    </row>
    <row r="7698" spans="2:8" hidden="1">
      <c r="B7698" s="33"/>
      <c r="C7698" s="31"/>
      <c r="D7698" s="31"/>
      <c r="E7698" s="31"/>
      <c r="F7698" s="31"/>
      <c r="G7698" s="31"/>
      <c r="H7698" s="31"/>
    </row>
    <row r="7699" spans="2:8" hidden="1">
      <c r="B7699" s="33"/>
      <c r="C7699" s="31"/>
      <c r="D7699" s="31"/>
      <c r="E7699" s="31"/>
      <c r="F7699" s="31"/>
      <c r="G7699" s="31"/>
      <c r="H7699" s="31"/>
    </row>
    <row r="7700" spans="2:8" hidden="1">
      <c r="B7700" s="33"/>
      <c r="C7700" s="31"/>
      <c r="D7700" s="31"/>
      <c r="E7700" s="31"/>
      <c r="F7700" s="31"/>
      <c r="G7700" s="31"/>
      <c r="H7700" s="31"/>
    </row>
    <row r="7701" spans="2:8" hidden="1">
      <c r="B7701" s="33"/>
      <c r="C7701" s="31"/>
      <c r="D7701" s="31"/>
      <c r="E7701" s="31"/>
      <c r="F7701" s="31"/>
      <c r="G7701" s="31"/>
      <c r="H7701" s="31"/>
    </row>
    <row r="7702" spans="2:8" hidden="1">
      <c r="B7702" s="33"/>
      <c r="C7702" s="31"/>
      <c r="D7702" s="31"/>
      <c r="E7702" s="31"/>
      <c r="F7702" s="31"/>
      <c r="G7702" s="31"/>
      <c r="H7702" s="31"/>
    </row>
    <row r="7703" spans="2:8" hidden="1">
      <c r="B7703" s="33"/>
      <c r="C7703" s="31"/>
      <c r="D7703" s="31"/>
      <c r="E7703" s="31"/>
      <c r="F7703" s="31"/>
      <c r="G7703" s="31"/>
      <c r="H7703" s="31"/>
    </row>
    <row r="7704" spans="2:8" hidden="1">
      <c r="B7704" s="33"/>
      <c r="C7704" s="31"/>
      <c r="D7704" s="31"/>
      <c r="E7704" s="31"/>
      <c r="F7704" s="31"/>
      <c r="G7704" s="31"/>
      <c r="H7704" s="31"/>
    </row>
    <row r="7705" spans="2:8" hidden="1">
      <c r="B7705" s="33"/>
      <c r="C7705" s="31"/>
      <c r="D7705" s="31"/>
      <c r="E7705" s="31"/>
      <c r="F7705" s="31"/>
      <c r="G7705" s="31"/>
      <c r="H7705" s="31"/>
    </row>
    <row r="7706" spans="2:8" hidden="1">
      <c r="B7706" s="33"/>
      <c r="C7706" s="31"/>
      <c r="D7706" s="33"/>
      <c r="E7706" s="31"/>
      <c r="F7706" s="33"/>
      <c r="G7706" s="33"/>
      <c r="H7706" s="31"/>
    </row>
    <row r="7707" spans="2:8" hidden="1">
      <c r="B7707" s="33"/>
      <c r="C7707" s="31"/>
      <c r="D7707" s="33"/>
      <c r="E7707" s="33"/>
      <c r="F7707" s="33"/>
      <c r="G7707" s="33"/>
      <c r="H7707" s="31"/>
    </row>
    <row r="7708" spans="2:8" hidden="1">
      <c r="B7708" s="33"/>
      <c r="C7708" s="31"/>
      <c r="D7708" s="31"/>
      <c r="E7708" s="31"/>
      <c r="F7708" s="31"/>
      <c r="G7708" s="31"/>
      <c r="H7708" s="31"/>
    </row>
    <row r="7709" spans="2:8" hidden="1">
      <c r="B7709" s="30"/>
      <c r="C7709" s="31"/>
      <c r="D7709" s="75"/>
      <c r="E7709" s="771"/>
      <c r="F7709" s="33"/>
      <c r="G7709" s="33"/>
      <c r="H7709" s="31"/>
    </row>
    <row r="7710" spans="2:8" hidden="1">
      <c r="B7710" s="30"/>
      <c r="C7710" s="31"/>
      <c r="D7710" s="75"/>
      <c r="E7710" s="771"/>
      <c r="F7710" s="771"/>
      <c r="G7710" s="31"/>
      <c r="H7710" s="31"/>
    </row>
    <row r="7711" spans="2:8" hidden="1">
      <c r="B7711" s="30"/>
      <c r="C7711" s="31"/>
      <c r="D7711" s="75"/>
      <c r="E7711" s="771"/>
      <c r="F7711" s="771"/>
      <c r="G7711" s="31"/>
      <c r="H7711" s="31"/>
    </row>
    <row r="7712" spans="2:8" hidden="1">
      <c r="B7712" s="30"/>
      <c r="C7712" s="31"/>
      <c r="D7712" s="75"/>
      <c r="E7712" s="771"/>
      <c r="F7712" s="771"/>
      <c r="G7712" s="31"/>
      <c r="H7712" s="31"/>
    </row>
    <row r="7713" spans="2:8" hidden="1">
      <c r="B7713" s="30"/>
      <c r="C7713" s="31"/>
      <c r="D7713" s="75"/>
      <c r="E7713" s="771"/>
      <c r="F7713" s="771"/>
      <c r="G7713" s="31"/>
      <c r="H7713" s="31"/>
    </row>
    <row r="7714" spans="2:8" hidden="1">
      <c r="B7714" s="30"/>
      <c r="C7714" s="31"/>
      <c r="D7714" s="75"/>
      <c r="E7714" s="771"/>
      <c r="F7714" s="771"/>
      <c r="G7714" s="31"/>
      <c r="H7714" s="31"/>
    </row>
    <row r="7715" spans="2:8" hidden="1">
      <c r="B7715" s="30"/>
      <c r="C7715" s="31"/>
      <c r="D7715" s="75"/>
      <c r="E7715" s="771"/>
      <c r="F7715" s="771"/>
      <c r="G7715" s="31"/>
      <c r="H7715" s="31"/>
    </row>
    <row r="7716" spans="2:8" hidden="1">
      <c r="B7716" s="30"/>
      <c r="C7716" s="31"/>
      <c r="D7716" s="75"/>
      <c r="E7716" s="771"/>
      <c r="F7716" s="771"/>
      <c r="G7716" s="31"/>
      <c r="H7716" s="31"/>
    </row>
    <row r="7717" spans="2:8" hidden="1">
      <c r="B7717" s="30"/>
      <c r="C7717" s="31"/>
      <c r="D7717" s="75"/>
      <c r="E7717" s="771"/>
      <c r="F7717" s="771"/>
      <c r="G7717" s="31"/>
      <c r="H7717" s="31"/>
    </row>
    <row r="7718" spans="2:8" hidden="1">
      <c r="B7718" s="30"/>
      <c r="C7718" s="31"/>
      <c r="D7718" s="75"/>
      <c r="E7718" s="771"/>
      <c r="F7718" s="771"/>
      <c r="G7718" s="31"/>
      <c r="H7718" s="31"/>
    </row>
    <row r="7719" spans="2:8" hidden="1">
      <c r="B7719" s="30"/>
      <c r="C7719" s="31"/>
      <c r="D7719" s="75"/>
      <c r="E7719" s="771"/>
      <c r="F7719" s="771"/>
      <c r="G7719" s="31"/>
      <c r="H7719" s="31"/>
    </row>
    <row r="7720" spans="2:8" hidden="1">
      <c r="B7720" s="30"/>
      <c r="C7720" s="31"/>
      <c r="D7720" s="75"/>
      <c r="E7720" s="771"/>
      <c r="F7720" s="771"/>
      <c r="G7720" s="31"/>
      <c r="H7720" s="31"/>
    </row>
    <row r="7721" spans="2:8" hidden="1">
      <c r="B7721" s="30"/>
      <c r="C7721" s="31"/>
      <c r="D7721" s="75"/>
      <c r="E7721" s="771"/>
      <c r="F7721" s="771"/>
      <c r="G7721" s="31"/>
      <c r="H7721" s="31"/>
    </row>
    <row r="7722" spans="2:8" hidden="1">
      <c r="B7722" s="30"/>
      <c r="C7722" s="31"/>
      <c r="D7722" s="75"/>
      <c r="E7722" s="771"/>
      <c r="F7722" s="771"/>
      <c r="G7722" s="31"/>
      <c r="H7722" s="31"/>
    </row>
    <row r="7723" spans="2:8" hidden="1">
      <c r="B7723" s="30"/>
      <c r="C7723" s="31"/>
      <c r="D7723" s="75"/>
      <c r="E7723" s="771"/>
      <c r="F7723" s="771"/>
      <c r="G7723" s="31"/>
      <c r="H7723" s="31"/>
    </row>
    <row r="7724" spans="2:8" hidden="1">
      <c r="B7724" s="30"/>
      <c r="C7724" s="31"/>
      <c r="D7724" s="75"/>
      <c r="E7724" s="771"/>
      <c r="F7724" s="771"/>
      <c r="G7724" s="31"/>
      <c r="H7724" s="31"/>
    </row>
    <row r="7725" spans="2:8" hidden="1">
      <c r="B7725" s="30"/>
      <c r="C7725" s="31"/>
      <c r="D7725" s="75"/>
      <c r="E7725" s="771"/>
      <c r="F7725" s="771"/>
      <c r="G7725" s="31"/>
      <c r="H7725" s="31"/>
    </row>
    <row r="7726" spans="2:8" hidden="1">
      <c r="B7726" s="30"/>
      <c r="C7726" s="31"/>
      <c r="D7726" s="75"/>
      <c r="E7726" s="771"/>
      <c r="F7726" s="771"/>
      <c r="G7726" s="31"/>
      <c r="H7726" s="31"/>
    </row>
    <row r="7727" spans="2:8" hidden="1">
      <c r="B7727" s="30"/>
      <c r="C7727" s="31"/>
      <c r="D7727" s="75"/>
      <c r="E7727" s="771"/>
      <c r="F7727" s="771"/>
      <c r="G7727" s="31"/>
      <c r="H7727" s="31"/>
    </row>
    <row r="7728" spans="2:8" hidden="1">
      <c r="B7728" s="30"/>
      <c r="C7728" s="31"/>
      <c r="D7728" s="75"/>
      <c r="E7728" s="771"/>
      <c r="F7728" s="772"/>
      <c r="G7728" s="33"/>
      <c r="H7728" s="31"/>
    </row>
    <row r="7729" spans="2:8" hidden="1">
      <c r="B7729" s="30"/>
      <c r="C7729" s="31"/>
      <c r="D7729" s="75"/>
      <c r="E7729" s="771"/>
      <c r="F7729" s="771"/>
      <c r="G7729" s="31"/>
      <c r="H7729" s="31"/>
    </row>
    <row r="7730" spans="2:8" hidden="1">
      <c r="B7730" s="30"/>
      <c r="C7730" s="31"/>
      <c r="D7730" s="75"/>
      <c r="E7730" s="771"/>
      <c r="F7730" s="772"/>
      <c r="G7730" s="33"/>
      <c r="H7730" s="31"/>
    </row>
    <row r="7731" spans="2:8" hidden="1">
      <c r="B7731" s="30"/>
      <c r="C7731" s="31"/>
      <c r="D7731" s="75"/>
      <c r="E7731" s="771"/>
      <c r="F7731" s="31"/>
      <c r="G7731" s="31"/>
      <c r="H7731" s="31"/>
    </row>
    <row r="7732" spans="2:8" hidden="1">
      <c r="B7732" s="30"/>
      <c r="C7732" s="31"/>
      <c r="D7732" s="75"/>
      <c r="E7732" s="771"/>
      <c r="F7732" s="33"/>
      <c r="G7732" s="33"/>
      <c r="H7732" s="31"/>
    </row>
    <row r="7733" spans="2:8" hidden="1">
      <c r="B7733" s="30"/>
      <c r="C7733" s="31"/>
      <c r="D7733" s="75"/>
      <c r="E7733" s="771"/>
      <c r="F7733" s="33"/>
      <c r="G7733" s="33"/>
      <c r="H7733" s="31"/>
    </row>
    <row r="7734" spans="2:8" hidden="1">
      <c r="B7734" s="30"/>
      <c r="C7734" s="31"/>
      <c r="D7734" s="75"/>
      <c r="E7734" s="771"/>
      <c r="F7734" s="31"/>
      <c r="G7734" s="31"/>
      <c r="H7734" s="31"/>
    </row>
    <row r="7735" spans="2:8" hidden="1">
      <c r="B7735" s="30"/>
      <c r="C7735" s="31"/>
      <c r="D7735" s="75"/>
      <c r="E7735" s="771"/>
      <c r="F7735" s="31"/>
      <c r="G7735" s="31"/>
      <c r="H7735" s="31"/>
    </row>
    <row r="7736" spans="2:8" hidden="1">
      <c r="B7736" s="30"/>
      <c r="C7736" s="31"/>
      <c r="D7736" s="75"/>
      <c r="E7736" s="771"/>
      <c r="F7736" s="31"/>
      <c r="G7736" s="31"/>
      <c r="H7736" s="31"/>
    </row>
    <row r="7737" spans="2:8" hidden="1">
      <c r="B7737" s="30"/>
      <c r="C7737" s="31"/>
      <c r="D7737" s="75"/>
      <c r="E7737" s="772"/>
      <c r="F7737" s="33"/>
      <c r="G7737" s="33"/>
      <c r="H7737" s="31"/>
    </row>
    <row r="7738" spans="2:8" hidden="1">
      <c r="B7738" s="30"/>
      <c r="C7738" s="31"/>
      <c r="D7738" s="75"/>
      <c r="E7738" s="771"/>
      <c r="F7738" s="31"/>
      <c r="G7738" s="31"/>
      <c r="H7738" s="31"/>
    </row>
    <row r="7739" spans="2:8" hidden="1">
      <c r="B7739" s="30"/>
      <c r="C7739" s="31"/>
      <c r="D7739" s="75"/>
      <c r="E7739" s="771"/>
      <c r="F7739" s="31"/>
      <c r="G7739" s="31"/>
      <c r="H7739" s="31"/>
    </row>
    <row r="7740" spans="2:8" hidden="1">
      <c r="B7740" s="30"/>
      <c r="C7740" s="31"/>
      <c r="D7740" s="75"/>
      <c r="E7740" s="772"/>
      <c r="F7740" s="33"/>
      <c r="G7740" s="33"/>
      <c r="H7740" s="31"/>
    </row>
    <row r="7741" spans="2:8" hidden="1">
      <c r="B7741" s="30"/>
      <c r="C7741" s="31"/>
      <c r="D7741" s="75"/>
      <c r="E7741" s="772"/>
      <c r="F7741" s="33"/>
      <c r="G7741" s="33"/>
      <c r="H7741" s="31"/>
    </row>
    <row r="7742" spans="2:8" hidden="1">
      <c r="B7742" s="30"/>
      <c r="C7742" s="31"/>
      <c r="D7742" s="75"/>
      <c r="E7742" s="771"/>
      <c r="F7742" s="31"/>
      <c r="G7742" s="31"/>
      <c r="H7742" s="31"/>
    </row>
    <row r="7743" spans="2:8" hidden="1">
      <c r="B7743" s="30"/>
      <c r="C7743" s="31"/>
      <c r="D7743" s="75"/>
      <c r="E7743" s="772"/>
      <c r="F7743" s="772"/>
      <c r="G7743" s="772"/>
      <c r="H7743" s="31"/>
    </row>
    <row r="7744" spans="2:8" hidden="1">
      <c r="B7744" s="33"/>
      <c r="C7744" s="31"/>
      <c r="D7744" s="31"/>
      <c r="E7744" s="31"/>
      <c r="F7744" s="31"/>
      <c r="G7744" s="31"/>
      <c r="H7744" s="31"/>
    </row>
    <row r="7745" spans="2:8" hidden="1">
      <c r="B7745" s="30"/>
      <c r="C7745" s="31"/>
      <c r="D7745" s="75"/>
      <c r="E7745" s="772"/>
      <c r="F7745" s="772"/>
      <c r="G7745" s="772"/>
      <c r="H7745" s="31"/>
    </row>
    <row r="7746" spans="2:8" hidden="1">
      <c r="B7746" s="30"/>
      <c r="C7746" s="31"/>
      <c r="D7746" s="75"/>
      <c r="E7746" s="772"/>
      <c r="F7746" s="772"/>
      <c r="G7746" s="772"/>
      <c r="H7746" s="31"/>
    </row>
    <row r="7747" spans="2:8" hidden="1">
      <c r="B7747" s="30"/>
      <c r="C7747" s="31"/>
      <c r="D7747" s="75"/>
      <c r="E7747" s="772"/>
      <c r="F7747" s="772"/>
      <c r="G7747" s="772"/>
      <c r="H7747" s="31"/>
    </row>
    <row r="7748" spans="2:8" hidden="1">
      <c r="B7748" s="30"/>
      <c r="C7748" s="31"/>
      <c r="D7748" s="75"/>
      <c r="E7748" s="772"/>
      <c r="F7748" s="772"/>
      <c r="G7748" s="772"/>
      <c r="H7748" s="31"/>
    </row>
    <row r="7749" spans="2:8" hidden="1">
      <c r="B7749" s="30"/>
      <c r="C7749" s="31"/>
      <c r="D7749" s="75"/>
      <c r="E7749" s="772"/>
      <c r="F7749" s="772"/>
      <c r="G7749" s="772"/>
      <c r="H7749" s="31"/>
    </row>
    <row r="7750" spans="2:8" hidden="1">
      <c r="B7750" s="30"/>
      <c r="C7750" s="31"/>
      <c r="D7750" s="75"/>
      <c r="E7750" s="772"/>
      <c r="F7750" s="772"/>
      <c r="G7750" s="772"/>
      <c r="H7750" s="31"/>
    </row>
    <row r="7751" spans="2:8" hidden="1">
      <c r="B7751" s="30"/>
      <c r="C7751" s="31"/>
      <c r="D7751" s="75"/>
      <c r="E7751" s="31"/>
      <c r="F7751" s="772"/>
      <c r="G7751" s="772"/>
      <c r="H7751" s="31"/>
    </row>
    <row r="7752" spans="2:8" hidden="1">
      <c r="B7752" s="30"/>
      <c r="C7752" s="31"/>
      <c r="D7752" s="75"/>
      <c r="E7752" s="772"/>
      <c r="F7752" s="772"/>
      <c r="G7752" s="772"/>
      <c r="H7752" s="31"/>
    </row>
    <row r="7753" spans="2:8" hidden="1">
      <c r="B7753" s="30"/>
      <c r="C7753" s="31"/>
      <c r="D7753" s="75"/>
      <c r="E7753" s="772"/>
      <c r="F7753" s="772"/>
      <c r="G7753" s="772"/>
      <c r="H7753" s="31"/>
    </row>
    <row r="7754" spans="2:8" hidden="1">
      <c r="B7754" s="33"/>
      <c r="C7754" s="31"/>
      <c r="D7754" s="31"/>
      <c r="E7754" s="31"/>
      <c r="F7754" s="31"/>
      <c r="G7754" s="31"/>
      <c r="H7754" s="31"/>
    </row>
    <row r="7755" spans="2:8" hidden="1">
      <c r="B7755" s="30"/>
      <c r="C7755" s="31"/>
      <c r="D7755" s="33"/>
      <c r="E7755" s="33"/>
      <c r="F7755" s="33"/>
      <c r="G7755" s="33"/>
      <c r="H7755" s="31"/>
    </row>
    <row r="7756" spans="2:8" hidden="1">
      <c r="B7756" s="30"/>
      <c r="C7756" s="31"/>
      <c r="D7756" s="33"/>
      <c r="E7756" s="33"/>
      <c r="F7756" s="33"/>
      <c r="G7756" s="33"/>
      <c r="H7756" s="31"/>
    </row>
    <row r="7757" spans="2:8" hidden="1">
      <c r="B7757" s="30"/>
      <c r="C7757" s="31"/>
      <c r="D7757" s="33"/>
      <c r="E7757" s="33"/>
      <c r="F7757" s="33"/>
      <c r="G7757" s="33"/>
      <c r="H7757" s="31"/>
    </row>
    <row r="7758" spans="2:8" hidden="1">
      <c r="B7758" s="30"/>
      <c r="C7758" s="31"/>
      <c r="D7758" s="33"/>
      <c r="E7758" s="33"/>
      <c r="F7758" s="33"/>
      <c r="G7758" s="33"/>
      <c r="H7758" s="31"/>
    </row>
    <row r="7759" spans="2:8" hidden="1">
      <c r="B7759" s="30"/>
      <c r="C7759" s="31"/>
      <c r="D7759" s="75"/>
      <c r="E7759" s="31"/>
      <c r="F7759" s="33"/>
      <c r="G7759" s="33"/>
      <c r="H7759" s="31"/>
    </row>
    <row r="7760" spans="2:8" hidden="1">
      <c r="B7760" s="30"/>
      <c r="C7760" s="31"/>
      <c r="D7760" s="75"/>
      <c r="E7760" s="31"/>
      <c r="F7760" s="33"/>
      <c r="G7760" s="33"/>
      <c r="H7760" s="31"/>
    </row>
    <row r="7761" spans="2:8" hidden="1">
      <c r="B7761" s="30"/>
      <c r="C7761" s="31"/>
      <c r="D7761" s="75"/>
      <c r="E7761" s="31"/>
      <c r="F7761" s="33"/>
      <c r="G7761" s="33"/>
      <c r="H7761" s="31"/>
    </row>
    <row r="7762" spans="2:8" hidden="1">
      <c r="B7762" s="30"/>
      <c r="C7762" s="31"/>
      <c r="D7762" s="75"/>
      <c r="E7762" s="33"/>
      <c r="F7762" s="33"/>
      <c r="G7762" s="33"/>
      <c r="H7762" s="31"/>
    </row>
    <row r="7763" spans="2:8" hidden="1">
      <c r="B7763" s="30"/>
      <c r="C7763" s="31"/>
      <c r="D7763" s="75"/>
      <c r="E7763" s="31"/>
      <c r="F7763" s="33"/>
      <c r="G7763" s="33"/>
      <c r="H7763" s="31"/>
    </row>
    <row r="7764" spans="2:8" hidden="1">
      <c r="B7764" s="30"/>
      <c r="C7764" s="31"/>
      <c r="D7764" s="75"/>
      <c r="E7764" s="33"/>
      <c r="F7764" s="33"/>
      <c r="G7764" s="33"/>
      <c r="H7764" s="31"/>
    </row>
    <row r="7765" spans="2:8" hidden="1">
      <c r="B7765" s="30"/>
      <c r="C7765" s="31"/>
      <c r="D7765" s="75"/>
      <c r="E7765" s="33"/>
      <c r="F7765" s="33"/>
      <c r="G7765" s="33"/>
      <c r="H7765" s="31"/>
    </row>
    <row r="7766" spans="2:8" hidden="1">
      <c r="B7766" s="33"/>
      <c r="C7766" s="200"/>
      <c r="D7766" s="75"/>
      <c r="E7766" s="31"/>
      <c r="F7766" s="31"/>
      <c r="G7766" s="31"/>
      <c r="H7766" s="31"/>
    </row>
    <row r="7767" spans="2:8" hidden="1">
      <c r="B7767" s="33"/>
      <c r="C7767" s="31"/>
      <c r="D7767" s="75"/>
      <c r="E7767" s="31"/>
      <c r="F7767" s="31"/>
      <c r="G7767" s="31"/>
      <c r="H7767" s="31"/>
    </row>
    <row r="7768" spans="2:8" hidden="1">
      <c r="B7768" s="33"/>
      <c r="C7768" s="31"/>
      <c r="D7768" s="31"/>
      <c r="E7768" s="31"/>
      <c r="F7768" s="31"/>
      <c r="G7768" s="31"/>
      <c r="H7768" s="31"/>
    </row>
    <row r="7769" spans="2:8" hidden="1">
      <c r="B7769" s="405"/>
      <c r="C7769" s="31"/>
      <c r="D7769" s="31"/>
      <c r="E7769" s="31"/>
      <c r="F7769" s="31"/>
      <c r="G7769" s="31"/>
      <c r="H7769" s="31"/>
    </row>
    <row r="7770" spans="2:8" hidden="1">
      <c r="B7770" s="405"/>
      <c r="C7770" s="31"/>
      <c r="D7770" s="31"/>
      <c r="E7770" s="31"/>
      <c r="F7770" s="691"/>
      <c r="G7770" s="75"/>
      <c r="H7770" s="31"/>
    </row>
    <row r="7771" spans="2:8" hidden="1">
      <c r="B7771" s="405"/>
      <c r="C7771" s="31"/>
      <c r="D7771" s="31"/>
      <c r="E7771" s="31"/>
      <c r="F7771" s="691"/>
      <c r="G7771" s="75"/>
      <c r="H7771" s="31"/>
    </row>
    <row r="7772" spans="2:8" hidden="1">
      <c r="B7772" s="405"/>
      <c r="C7772" s="31"/>
      <c r="D7772" s="31"/>
      <c r="E7772" s="31"/>
      <c r="F7772" s="691"/>
      <c r="G7772" s="75"/>
      <c r="H7772" s="31"/>
    </row>
    <row r="7773" spans="2:8" hidden="1">
      <c r="B7773" s="405"/>
      <c r="C7773" s="31"/>
      <c r="D7773" s="31"/>
      <c r="E7773" s="31"/>
      <c r="F7773" s="691"/>
      <c r="G7773" s="75"/>
      <c r="H7773" s="31"/>
    </row>
    <row r="7774" spans="2:8" hidden="1">
      <c r="B7774" s="405"/>
      <c r="C7774" s="31"/>
      <c r="D7774" s="31"/>
      <c r="E7774" s="31"/>
      <c r="F7774" s="691"/>
      <c r="G7774" s="75"/>
      <c r="H7774" s="31"/>
    </row>
    <row r="7775" spans="2:8" hidden="1">
      <c r="B7775" s="405"/>
      <c r="C7775" s="31"/>
      <c r="D7775" s="31"/>
      <c r="E7775" s="31"/>
      <c r="F7775" s="691"/>
      <c r="G7775" s="75"/>
      <c r="H7775" s="31"/>
    </row>
    <row r="7776" spans="2:8" hidden="1">
      <c r="B7776" s="33"/>
      <c r="C7776" s="31"/>
      <c r="D7776" s="31"/>
      <c r="E7776" s="31"/>
      <c r="F7776" s="691"/>
      <c r="G7776" s="75"/>
      <c r="H7776" s="31"/>
    </row>
    <row r="7777" spans="2:8" hidden="1">
      <c r="B7777" s="405"/>
      <c r="C7777" s="31"/>
      <c r="D7777" s="31"/>
      <c r="E7777" s="31"/>
      <c r="F7777" s="31"/>
      <c r="G7777" s="75"/>
      <c r="H7777" s="31"/>
    </row>
    <row r="7778" spans="2:8" hidden="1">
      <c r="B7778" s="405"/>
      <c r="C7778" s="31"/>
      <c r="D7778" s="31"/>
      <c r="E7778" s="31"/>
      <c r="F7778" s="691"/>
      <c r="G7778" s="75"/>
      <c r="H7778" s="31"/>
    </row>
    <row r="7779" spans="2:8" hidden="1">
      <c r="B7779" s="405"/>
      <c r="C7779" s="31"/>
      <c r="D7779" s="31"/>
      <c r="E7779" s="31"/>
      <c r="F7779" s="691"/>
      <c r="G7779" s="75"/>
      <c r="H7779" s="31"/>
    </row>
    <row r="7780" spans="2:8" hidden="1">
      <c r="B7780" s="405"/>
      <c r="C7780" s="31"/>
      <c r="D7780" s="31"/>
      <c r="E7780" s="31"/>
      <c r="F7780" s="691"/>
      <c r="G7780" s="75"/>
      <c r="H7780" s="31"/>
    </row>
    <row r="7781" spans="2:8" hidden="1">
      <c r="B7781" s="405"/>
      <c r="C7781" s="31"/>
      <c r="D7781" s="31"/>
      <c r="E7781" s="31"/>
      <c r="F7781" s="691"/>
      <c r="G7781" s="31"/>
      <c r="H7781" s="31"/>
    </row>
    <row r="7782" spans="2:8" hidden="1">
      <c r="B7782" s="405"/>
      <c r="C7782" s="31"/>
      <c r="D7782" s="31"/>
      <c r="E7782" s="31"/>
      <c r="F7782" s="691"/>
      <c r="G7782" s="31"/>
      <c r="H7782" s="31"/>
    </row>
    <row r="7783" spans="2:8" hidden="1">
      <c r="B7783" s="405"/>
      <c r="C7783" s="31"/>
      <c r="D7783" s="31"/>
      <c r="E7783" s="31"/>
      <c r="F7783" s="691"/>
      <c r="G7783" s="75"/>
      <c r="H7783" s="31"/>
    </row>
    <row r="7784" spans="2:8" hidden="1">
      <c r="B7784" s="405"/>
      <c r="C7784" s="31"/>
      <c r="D7784" s="31"/>
      <c r="E7784" s="31"/>
      <c r="F7784" s="691"/>
      <c r="G7784" s="75"/>
      <c r="H7784" s="31"/>
    </row>
    <row r="7785" spans="2:8" hidden="1">
      <c r="B7785" s="405"/>
      <c r="C7785" s="31"/>
      <c r="D7785" s="31"/>
      <c r="E7785" s="31"/>
      <c r="F7785" s="691"/>
      <c r="G7785" s="75"/>
      <c r="H7785" s="31"/>
    </row>
    <row r="7786" spans="2:8" hidden="1">
      <c r="B7786" s="405"/>
      <c r="C7786" s="31"/>
      <c r="D7786" s="31"/>
      <c r="E7786" s="31"/>
      <c r="F7786" s="691"/>
      <c r="G7786" s="75"/>
      <c r="H7786" s="31"/>
    </row>
    <row r="7787" spans="2:8" hidden="1">
      <c r="B7787" s="405"/>
      <c r="C7787" s="31"/>
      <c r="D7787" s="31"/>
      <c r="E7787" s="31"/>
      <c r="F7787" s="691"/>
      <c r="G7787" s="75"/>
      <c r="H7787" s="31"/>
    </row>
    <row r="7788" spans="2:8" hidden="1">
      <c r="B7788" s="405"/>
      <c r="C7788" s="31"/>
      <c r="D7788" s="31"/>
      <c r="E7788" s="31"/>
      <c r="F7788" s="691"/>
      <c r="G7788" s="75"/>
      <c r="H7788" s="31"/>
    </row>
    <row r="7789" spans="2:8" hidden="1">
      <c r="B7789" s="33"/>
      <c r="C7789" s="31"/>
      <c r="D7789" s="31"/>
      <c r="E7789" s="31"/>
      <c r="F7789" s="691"/>
      <c r="G7789" s="75"/>
      <c r="H7789" s="31"/>
    </row>
    <row r="7790" spans="2:8" hidden="1">
      <c r="B7790" s="33"/>
      <c r="C7790" s="31"/>
      <c r="D7790" s="31"/>
      <c r="E7790" s="31"/>
      <c r="F7790" s="691"/>
      <c r="G7790" s="75"/>
      <c r="H7790" s="31"/>
    </row>
    <row r="7791" spans="2:8" hidden="1">
      <c r="B7791" s="33"/>
      <c r="C7791" s="31"/>
      <c r="D7791" s="31"/>
      <c r="E7791" s="31"/>
      <c r="F7791" s="691"/>
      <c r="G7791" s="31"/>
      <c r="H7791" s="31"/>
    </row>
    <row r="7792" spans="2:8" hidden="1">
      <c r="B7792" s="33"/>
      <c r="C7792" s="31"/>
      <c r="D7792" s="31"/>
      <c r="E7792" s="31"/>
      <c r="F7792" s="31"/>
      <c r="G7792" s="31"/>
      <c r="H7792" s="31"/>
    </row>
    <row r="7793" spans="2:8" hidden="1">
      <c r="B7793" s="33"/>
      <c r="C7793" s="31"/>
      <c r="D7793" s="31"/>
      <c r="E7793" s="31"/>
      <c r="F7793" s="31"/>
      <c r="G7793" s="31"/>
      <c r="H7793" s="31"/>
    </row>
    <row r="7794" spans="2:8" hidden="1">
      <c r="B7794" s="33"/>
      <c r="C7794" s="31"/>
      <c r="D7794" s="31"/>
      <c r="E7794" s="31"/>
      <c r="F7794" s="31"/>
      <c r="G7794" s="31"/>
      <c r="H7794" s="31"/>
    </row>
    <row r="7795" spans="2:8" hidden="1">
      <c r="B7795" s="33"/>
      <c r="C7795" s="31"/>
      <c r="D7795" s="31"/>
      <c r="E7795" s="31"/>
      <c r="F7795" s="31"/>
      <c r="G7795" s="31"/>
      <c r="H7795" s="31"/>
    </row>
    <row r="7796" spans="2:8" hidden="1">
      <c r="B7796" s="33"/>
      <c r="C7796" s="31"/>
      <c r="D7796" s="31"/>
      <c r="E7796" s="31"/>
      <c r="F7796" s="31"/>
      <c r="G7796" s="31"/>
      <c r="H7796" s="31"/>
    </row>
    <row r="7797" spans="2:8" hidden="1">
      <c r="B7797" s="33"/>
      <c r="C7797" s="31"/>
      <c r="D7797" s="31"/>
      <c r="E7797" s="31"/>
      <c r="F7797" s="31"/>
      <c r="G7797" s="31"/>
      <c r="H7797" s="31"/>
    </row>
    <row r="7798" spans="2:8" hidden="1">
      <c r="B7798" s="33"/>
      <c r="C7798" s="31"/>
      <c r="D7798" s="31"/>
      <c r="E7798" s="31"/>
      <c r="F7798" s="31"/>
      <c r="G7798" s="31"/>
      <c r="H7798" s="31"/>
    </row>
    <row r="7799" spans="2:8" hidden="1">
      <c r="B7799" s="33"/>
      <c r="C7799" s="31"/>
      <c r="D7799" s="31"/>
      <c r="E7799" s="31"/>
      <c r="F7799" s="31"/>
      <c r="G7799" s="31"/>
      <c r="H7799" s="31"/>
    </row>
    <row r="7800" spans="2:8" hidden="1">
      <c r="B7800" s="33"/>
      <c r="C7800" s="31"/>
      <c r="D7800" s="33"/>
      <c r="E7800" s="31"/>
      <c r="F7800" s="33"/>
      <c r="G7800" s="33"/>
      <c r="H7800" s="31"/>
    </row>
    <row r="7801" spans="2:8" hidden="1">
      <c r="B7801" s="33"/>
      <c r="C7801" s="31"/>
      <c r="D7801" s="33"/>
      <c r="E7801" s="33"/>
      <c r="F7801" s="33"/>
      <c r="G7801" s="33"/>
      <c r="H7801" s="31"/>
    </row>
    <row r="7802" spans="2:8" hidden="1">
      <c r="B7802" s="200"/>
      <c r="C7802" s="31"/>
      <c r="D7802" s="75"/>
      <c r="E7802" s="771"/>
      <c r="F7802" s="771"/>
      <c r="G7802" s="31"/>
      <c r="H7802" s="31"/>
    </row>
    <row r="7803" spans="2:8" hidden="1">
      <c r="B7803" s="200"/>
      <c r="C7803" s="31"/>
      <c r="D7803" s="75"/>
      <c r="E7803" s="771"/>
      <c r="F7803" s="771"/>
      <c r="G7803" s="31"/>
      <c r="H7803" s="31"/>
    </row>
    <row r="7804" spans="2:8" hidden="1">
      <c r="B7804" s="200"/>
      <c r="C7804" s="31"/>
      <c r="D7804" s="75"/>
      <c r="E7804" s="771"/>
      <c r="F7804" s="771"/>
      <c r="G7804" s="31"/>
      <c r="H7804" s="31"/>
    </row>
    <row r="7805" spans="2:8" hidden="1">
      <c r="B7805" s="200"/>
      <c r="C7805" s="31"/>
      <c r="D7805" s="75"/>
      <c r="E7805" s="771"/>
      <c r="F7805" s="771"/>
      <c r="G7805" s="31"/>
      <c r="H7805" s="31"/>
    </row>
    <row r="7806" spans="2:8" hidden="1">
      <c r="B7806" s="200"/>
      <c r="C7806" s="31"/>
      <c r="D7806" s="75"/>
      <c r="E7806" s="771"/>
      <c r="F7806" s="771"/>
      <c r="G7806" s="31"/>
      <c r="H7806" s="31"/>
    </row>
    <row r="7807" spans="2:8" hidden="1">
      <c r="B7807" s="200"/>
      <c r="C7807" s="31"/>
      <c r="D7807" s="75"/>
      <c r="E7807" s="771"/>
      <c r="F7807" s="771"/>
      <c r="G7807" s="31"/>
      <c r="H7807" s="31"/>
    </row>
    <row r="7808" spans="2:8" hidden="1">
      <c r="B7808" s="200"/>
      <c r="C7808" s="31"/>
      <c r="D7808" s="75"/>
      <c r="E7808" s="771"/>
      <c r="F7808" s="771"/>
      <c r="G7808" s="31"/>
      <c r="H7808" s="31"/>
    </row>
    <row r="7809" spans="2:8" hidden="1">
      <c r="B7809" s="200"/>
      <c r="C7809" s="31"/>
      <c r="D7809" s="75"/>
      <c r="E7809" s="772"/>
      <c r="F7809" s="771"/>
      <c r="G7809" s="31"/>
      <c r="H7809" s="31"/>
    </row>
    <row r="7810" spans="2:8" hidden="1">
      <c r="B7810" s="200"/>
      <c r="C7810" s="31"/>
      <c r="D7810" s="75"/>
      <c r="E7810" s="771"/>
      <c r="F7810" s="772"/>
      <c r="G7810" s="33"/>
      <c r="H7810" s="31"/>
    </row>
    <row r="7811" spans="2:8" hidden="1">
      <c r="B7811" s="200"/>
      <c r="C7811" s="31"/>
      <c r="D7811" s="75"/>
      <c r="E7811" s="771"/>
      <c r="F7811" s="771"/>
      <c r="G7811" s="31"/>
      <c r="H7811" s="31"/>
    </row>
    <row r="7812" spans="2:8" hidden="1">
      <c r="B7812" s="200"/>
      <c r="C7812" s="31"/>
      <c r="D7812" s="75"/>
      <c r="E7812" s="771"/>
      <c r="F7812" s="771"/>
      <c r="G7812" s="31"/>
      <c r="H7812" s="31"/>
    </row>
    <row r="7813" spans="2:8" hidden="1">
      <c r="B7813" s="200"/>
      <c r="C7813" s="31"/>
      <c r="D7813" s="75"/>
      <c r="E7813" s="772"/>
      <c r="F7813" s="772"/>
      <c r="G7813" s="33"/>
      <c r="H7813" s="31"/>
    </row>
    <row r="7814" spans="2:8" hidden="1">
      <c r="B7814" s="200"/>
      <c r="C7814" s="31"/>
      <c r="D7814" s="75"/>
      <c r="E7814" s="771"/>
      <c r="F7814" s="771"/>
      <c r="G7814" s="31"/>
      <c r="H7814" s="31"/>
    </row>
    <row r="7815" spans="2:8" hidden="1">
      <c r="B7815" s="200"/>
      <c r="C7815" s="31"/>
      <c r="D7815" s="75"/>
      <c r="E7815" s="772"/>
      <c r="F7815" s="772"/>
      <c r="G7815" s="33"/>
      <c r="H7815" s="31"/>
    </row>
    <row r="7816" spans="2:8" hidden="1">
      <c r="B7816" s="200"/>
      <c r="C7816" s="31"/>
      <c r="D7816" s="75"/>
      <c r="E7816" s="772"/>
      <c r="F7816" s="772"/>
      <c r="G7816" s="33"/>
      <c r="H7816" s="31"/>
    </row>
    <row r="7817" spans="2:8" hidden="1">
      <c r="B7817" s="200"/>
      <c r="C7817" s="31"/>
      <c r="D7817" s="75"/>
      <c r="E7817" s="771"/>
      <c r="F7817" s="772"/>
      <c r="G7817" s="33"/>
      <c r="H7817" s="31"/>
    </row>
    <row r="7818" spans="2:8" hidden="1">
      <c r="B7818" s="200"/>
      <c r="C7818" s="31"/>
      <c r="D7818" s="75"/>
      <c r="E7818" s="771"/>
      <c r="F7818" s="771"/>
      <c r="G7818" s="31"/>
      <c r="H7818" s="31"/>
    </row>
    <row r="7819" spans="2:8" hidden="1">
      <c r="B7819" s="200"/>
      <c r="C7819" s="31"/>
      <c r="D7819" s="75"/>
      <c r="E7819" s="771"/>
      <c r="F7819" s="772"/>
      <c r="G7819" s="33"/>
      <c r="H7819" s="31"/>
    </row>
    <row r="7820" spans="2:8" hidden="1">
      <c r="B7820" s="200"/>
      <c r="C7820" s="31"/>
      <c r="D7820" s="75"/>
      <c r="E7820" s="771"/>
      <c r="F7820" s="772"/>
      <c r="G7820" s="33"/>
      <c r="H7820" s="31"/>
    </row>
    <row r="7821" spans="2:8" hidden="1">
      <c r="B7821" s="200"/>
      <c r="C7821" s="31"/>
      <c r="D7821" s="75"/>
      <c r="E7821" s="771"/>
      <c r="F7821" s="772"/>
      <c r="G7821" s="33"/>
      <c r="H7821" s="31"/>
    </row>
    <row r="7822" spans="2:8" hidden="1">
      <c r="B7822" s="200"/>
      <c r="C7822" s="31"/>
      <c r="D7822" s="75"/>
      <c r="E7822" s="772"/>
      <c r="F7822" s="772"/>
      <c r="G7822" s="33"/>
      <c r="H7822" s="31"/>
    </row>
    <row r="7823" spans="2:8" hidden="1">
      <c r="B7823" s="200"/>
      <c r="C7823" s="31"/>
      <c r="D7823" s="75"/>
      <c r="E7823" s="772"/>
      <c r="F7823" s="772"/>
      <c r="G7823" s="33"/>
      <c r="H7823" s="31"/>
    </row>
    <row r="7824" spans="2:8" hidden="1">
      <c r="B7824" s="200"/>
      <c r="C7824" s="31"/>
      <c r="D7824" s="75"/>
      <c r="E7824" s="772"/>
      <c r="F7824" s="772"/>
      <c r="G7824" s="33"/>
      <c r="H7824" s="31"/>
    </row>
    <row r="7825" spans="2:8" hidden="1">
      <c r="B7825" s="200"/>
      <c r="C7825" s="31"/>
      <c r="D7825" s="75"/>
      <c r="E7825" s="771"/>
      <c r="F7825" s="772"/>
      <c r="G7825" s="33"/>
      <c r="H7825" s="31"/>
    </row>
    <row r="7826" spans="2:8" hidden="1">
      <c r="B7826" s="200"/>
      <c r="C7826" s="31"/>
      <c r="D7826" s="75"/>
      <c r="E7826" s="771"/>
      <c r="F7826" s="771"/>
      <c r="G7826" s="31"/>
      <c r="H7826" s="31"/>
    </row>
    <row r="7827" spans="2:8" hidden="1">
      <c r="B7827" s="200"/>
      <c r="C7827" s="31"/>
      <c r="D7827" s="75"/>
      <c r="E7827" s="771"/>
      <c r="F7827" s="771"/>
      <c r="G7827" s="31"/>
      <c r="H7827" s="31"/>
    </row>
    <row r="7828" spans="2:8" hidden="1">
      <c r="B7828" s="200"/>
      <c r="C7828" s="31"/>
      <c r="D7828" s="75"/>
      <c r="E7828" s="771"/>
      <c r="F7828" s="771"/>
      <c r="G7828" s="31"/>
      <c r="H7828" s="31"/>
    </row>
    <row r="7829" spans="2:8" hidden="1">
      <c r="B7829" s="200"/>
      <c r="C7829" s="31"/>
      <c r="D7829" s="75"/>
      <c r="E7829" s="772"/>
      <c r="F7829" s="772"/>
      <c r="G7829" s="33"/>
      <c r="H7829" s="31"/>
    </row>
    <row r="7830" spans="2:8" hidden="1">
      <c r="B7830" s="200"/>
      <c r="C7830" s="31"/>
      <c r="D7830" s="75"/>
      <c r="E7830" s="772"/>
      <c r="F7830" s="772"/>
      <c r="G7830" s="33"/>
      <c r="H7830" s="31"/>
    </row>
    <row r="7831" spans="2:8" hidden="1">
      <c r="B7831" s="200"/>
      <c r="C7831" s="31"/>
      <c r="D7831" s="75"/>
      <c r="E7831" s="771"/>
      <c r="F7831" s="772"/>
      <c r="G7831" s="33"/>
      <c r="H7831" s="31"/>
    </row>
    <row r="7832" spans="2:8" hidden="1">
      <c r="B7832" s="200"/>
      <c r="C7832" s="31"/>
      <c r="D7832" s="75"/>
      <c r="E7832" s="771"/>
      <c r="F7832" s="771"/>
      <c r="G7832" s="31"/>
      <c r="H7832" s="31"/>
    </row>
    <row r="7833" spans="2:8" hidden="1">
      <c r="B7833" s="200"/>
      <c r="C7833" s="31"/>
      <c r="D7833" s="75"/>
      <c r="E7833" s="772"/>
      <c r="F7833" s="772"/>
      <c r="G7833" s="33"/>
      <c r="H7833" s="31"/>
    </row>
    <row r="7834" spans="2:8" hidden="1">
      <c r="B7834" s="200"/>
      <c r="C7834" s="31"/>
      <c r="D7834" s="75"/>
      <c r="E7834" s="31"/>
      <c r="F7834" s="31"/>
      <c r="G7834" s="31"/>
      <c r="H7834" s="31"/>
    </row>
    <row r="7835" spans="2:8" hidden="1">
      <c r="B7835" s="33"/>
      <c r="C7835" s="200"/>
      <c r="D7835" s="75"/>
      <c r="E7835" s="31"/>
      <c r="F7835" s="31"/>
      <c r="G7835" s="31"/>
      <c r="H7835" s="31"/>
    </row>
    <row r="7836" spans="2:8" hidden="1">
      <c r="B7836" s="33"/>
      <c r="C7836" s="31"/>
      <c r="D7836" s="104"/>
      <c r="E7836" s="33"/>
      <c r="F7836" s="33"/>
      <c r="G7836" s="33"/>
      <c r="H7836" s="31"/>
    </row>
    <row r="7837" spans="2:8" hidden="1">
      <c r="B7837" s="33"/>
      <c r="C7837" s="31"/>
      <c r="D7837" s="31"/>
      <c r="E7837" s="31"/>
      <c r="F7837" s="31"/>
      <c r="G7837" s="31"/>
      <c r="H7837" s="31"/>
    </row>
    <row r="7838" spans="2:8" hidden="1">
      <c r="B7838" s="405"/>
      <c r="C7838" s="31"/>
      <c r="D7838" s="31"/>
      <c r="E7838" s="31"/>
      <c r="F7838" s="31"/>
      <c r="G7838" s="31"/>
      <c r="H7838" s="31"/>
    </row>
    <row r="7839" spans="2:8" hidden="1">
      <c r="B7839" s="405"/>
      <c r="C7839" s="31"/>
      <c r="D7839" s="31"/>
      <c r="E7839" s="31"/>
      <c r="F7839" s="691"/>
      <c r="G7839" s="75"/>
      <c r="H7839" s="31"/>
    </row>
    <row r="7840" spans="2:8" hidden="1">
      <c r="B7840" s="405"/>
      <c r="C7840" s="31"/>
      <c r="D7840" s="31"/>
      <c r="E7840" s="31"/>
      <c r="F7840" s="691"/>
      <c r="G7840" s="75"/>
      <c r="H7840" s="31"/>
    </row>
    <row r="7841" spans="2:8" hidden="1">
      <c r="B7841" s="405"/>
      <c r="C7841" s="31"/>
      <c r="D7841" s="31"/>
      <c r="E7841" s="31"/>
      <c r="F7841" s="691"/>
      <c r="G7841" s="75"/>
      <c r="H7841" s="31"/>
    </row>
    <row r="7842" spans="2:8" hidden="1">
      <c r="B7842" s="405"/>
      <c r="C7842" s="31"/>
      <c r="D7842" s="31"/>
      <c r="E7842" s="31"/>
      <c r="F7842" s="691"/>
      <c r="G7842" s="75"/>
      <c r="H7842" s="31"/>
    </row>
    <row r="7843" spans="2:8" hidden="1">
      <c r="B7843" s="405"/>
      <c r="C7843" s="31"/>
      <c r="D7843" s="31"/>
      <c r="E7843" s="31"/>
      <c r="F7843" s="691"/>
      <c r="G7843" s="75"/>
      <c r="H7843" s="31"/>
    </row>
    <row r="7844" spans="2:8" hidden="1">
      <c r="B7844" s="405"/>
      <c r="C7844" s="31"/>
      <c r="D7844" s="31"/>
      <c r="E7844" s="31"/>
      <c r="F7844" s="691"/>
      <c r="G7844" s="75"/>
      <c r="H7844" s="31"/>
    </row>
    <row r="7845" spans="2:8" hidden="1">
      <c r="B7845" s="405"/>
      <c r="C7845" s="31"/>
      <c r="D7845" s="31"/>
      <c r="E7845" s="31"/>
      <c r="F7845" s="691"/>
      <c r="G7845" s="75"/>
      <c r="H7845" s="31"/>
    </row>
    <row r="7846" spans="2:8" hidden="1">
      <c r="B7846" s="405"/>
      <c r="C7846" s="31"/>
      <c r="D7846" s="31"/>
      <c r="E7846" s="31"/>
      <c r="F7846" s="691"/>
      <c r="G7846" s="75"/>
      <c r="H7846" s="31"/>
    </row>
    <row r="7847" spans="2:8" hidden="1">
      <c r="B7847" s="405"/>
      <c r="C7847" s="31"/>
      <c r="D7847" s="31"/>
      <c r="E7847" s="31"/>
      <c r="F7847" s="691"/>
      <c r="G7847" s="75"/>
      <c r="H7847" s="31"/>
    </row>
    <row r="7848" spans="2:8" hidden="1">
      <c r="B7848" s="405"/>
      <c r="C7848" s="31"/>
      <c r="D7848" s="31"/>
      <c r="E7848" s="31"/>
      <c r="F7848" s="691"/>
      <c r="G7848" s="75"/>
      <c r="H7848" s="31"/>
    </row>
    <row r="7849" spans="2:8" hidden="1">
      <c r="B7849" s="405"/>
      <c r="C7849" s="31"/>
      <c r="D7849" s="31"/>
      <c r="E7849" s="31"/>
      <c r="F7849" s="691"/>
      <c r="G7849" s="75"/>
      <c r="H7849" s="31"/>
    </row>
    <row r="7850" spans="2:8" hidden="1">
      <c r="B7850" s="405"/>
      <c r="C7850" s="31"/>
      <c r="D7850" s="31"/>
      <c r="E7850" s="31"/>
      <c r="F7850" s="691"/>
      <c r="G7850" s="75"/>
      <c r="H7850" s="31"/>
    </row>
    <row r="7851" spans="2:8" hidden="1">
      <c r="B7851" s="405"/>
      <c r="C7851" s="31"/>
      <c r="D7851" s="31"/>
      <c r="E7851" s="31"/>
      <c r="F7851" s="691"/>
      <c r="G7851" s="75"/>
      <c r="H7851" s="31"/>
    </row>
    <row r="7852" spans="2:8" hidden="1">
      <c r="B7852" s="33"/>
      <c r="C7852" s="31"/>
      <c r="D7852" s="31"/>
      <c r="E7852" s="31"/>
      <c r="F7852" s="691"/>
      <c r="G7852" s="75"/>
      <c r="H7852" s="31"/>
    </row>
    <row r="7853" spans="2:8" hidden="1">
      <c r="B7853" s="33"/>
      <c r="C7853" s="31"/>
      <c r="D7853" s="31"/>
      <c r="E7853" s="31"/>
      <c r="F7853" s="691"/>
      <c r="G7853" s="75"/>
      <c r="H7853" s="31"/>
    </row>
    <row r="7854" spans="2:8" hidden="1">
      <c r="B7854" s="33"/>
      <c r="C7854" s="31"/>
      <c r="D7854" s="31"/>
      <c r="E7854" s="31"/>
      <c r="F7854" s="691"/>
      <c r="G7854" s="31"/>
      <c r="H7854" s="31"/>
    </row>
    <row r="7855" spans="2:8" hidden="1">
      <c r="B7855" s="33"/>
      <c r="C7855" s="31"/>
      <c r="D7855" s="31"/>
      <c r="E7855" s="31"/>
      <c r="F7855" s="31"/>
      <c r="G7855" s="31"/>
      <c r="H7855" s="31"/>
    </row>
    <row r="7856" spans="2:8" hidden="1">
      <c r="B7856" s="33"/>
      <c r="C7856" s="31"/>
      <c r="D7856" s="31"/>
      <c r="E7856" s="31"/>
      <c r="F7856" s="31"/>
      <c r="G7856" s="31"/>
      <c r="H7856" s="31"/>
    </row>
    <row r="7857" spans="2:8" hidden="1">
      <c r="B7857" s="33"/>
      <c r="C7857" s="31"/>
      <c r="D7857" s="31"/>
      <c r="E7857" s="31"/>
      <c r="F7857" s="31"/>
      <c r="G7857" s="31"/>
      <c r="H7857" s="31"/>
    </row>
    <row r="7858" spans="2:8" hidden="1">
      <c r="B7858" s="33"/>
      <c r="C7858" s="31"/>
      <c r="D7858" s="31"/>
      <c r="E7858" s="31"/>
      <c r="F7858" s="31"/>
      <c r="G7858" s="31"/>
      <c r="H7858" s="31"/>
    </row>
    <row r="7859" spans="2:8" hidden="1">
      <c r="B7859" s="33"/>
      <c r="C7859" s="31"/>
      <c r="D7859" s="31"/>
      <c r="E7859" s="31"/>
      <c r="F7859" s="31"/>
      <c r="G7859" s="31"/>
      <c r="H7859" s="31"/>
    </row>
    <row r="7860" spans="2:8" hidden="1">
      <c r="B7860" s="33"/>
      <c r="C7860" s="31"/>
      <c r="D7860" s="31"/>
      <c r="E7860" s="31"/>
      <c r="F7860" s="31"/>
      <c r="G7860" s="31"/>
      <c r="H7860" s="31"/>
    </row>
    <row r="7861" spans="2:8" hidden="1">
      <c r="B7861" s="33"/>
      <c r="C7861" s="31"/>
      <c r="D7861" s="31"/>
      <c r="E7861" s="31"/>
      <c r="F7861" s="31"/>
      <c r="G7861" s="31"/>
      <c r="H7861" s="31"/>
    </row>
    <row r="7862" spans="2:8" hidden="1">
      <c r="B7862" s="33"/>
      <c r="C7862" s="31"/>
      <c r="D7862" s="31"/>
      <c r="E7862" s="31"/>
      <c r="F7862" s="31"/>
      <c r="G7862" s="31"/>
      <c r="H7862" s="31"/>
    </row>
    <row r="7863" spans="2:8" hidden="1">
      <c r="B7863" s="33"/>
      <c r="C7863" s="31"/>
      <c r="D7863" s="33"/>
      <c r="E7863" s="31"/>
      <c r="F7863" s="33"/>
      <c r="G7863" s="33"/>
      <c r="H7863" s="31"/>
    </row>
    <row r="7864" spans="2:8" hidden="1">
      <c r="B7864" s="33"/>
      <c r="C7864" s="31"/>
      <c r="D7864" s="33"/>
      <c r="E7864" s="33"/>
      <c r="F7864" s="33"/>
      <c r="G7864" s="33"/>
      <c r="H7864" s="31"/>
    </row>
    <row r="7865" spans="2:8" hidden="1">
      <c r="B7865" s="200"/>
      <c r="C7865" s="31"/>
      <c r="D7865" s="75"/>
      <c r="E7865" s="771"/>
      <c r="F7865" s="771"/>
      <c r="G7865" s="31"/>
      <c r="H7865" s="31"/>
    </row>
    <row r="7866" spans="2:8" hidden="1">
      <c r="B7866" s="200"/>
      <c r="C7866" s="31"/>
      <c r="D7866" s="75"/>
      <c r="E7866" s="771"/>
      <c r="F7866" s="771"/>
      <c r="G7866" s="31"/>
      <c r="H7866" s="31"/>
    </row>
    <row r="7867" spans="2:8" hidden="1">
      <c r="B7867" s="200"/>
      <c r="C7867" s="31"/>
      <c r="D7867" s="75"/>
      <c r="E7867" s="771"/>
      <c r="F7867" s="772"/>
      <c r="G7867" s="33"/>
      <c r="H7867" s="31"/>
    </row>
    <row r="7868" spans="2:8" hidden="1">
      <c r="B7868" s="200"/>
      <c r="C7868" s="31"/>
      <c r="D7868" s="75"/>
      <c r="E7868" s="771"/>
      <c r="F7868" s="772"/>
      <c r="G7868" s="33"/>
      <c r="H7868" s="31"/>
    </row>
    <row r="7869" spans="2:8" hidden="1">
      <c r="B7869" s="200"/>
      <c r="C7869" s="31"/>
      <c r="D7869" s="75"/>
      <c r="E7869" s="771"/>
      <c r="F7869" s="771"/>
      <c r="G7869" s="31"/>
      <c r="H7869" s="31"/>
    </row>
    <row r="7870" spans="2:8" hidden="1">
      <c r="B7870" s="200"/>
      <c r="C7870" s="31"/>
      <c r="D7870" s="75"/>
      <c r="E7870" s="771"/>
      <c r="F7870" s="771"/>
      <c r="G7870" s="31"/>
      <c r="H7870" s="31"/>
    </row>
    <row r="7871" spans="2:8" hidden="1">
      <c r="B7871" s="200"/>
      <c r="C7871" s="31"/>
      <c r="D7871" s="75"/>
      <c r="E7871" s="771"/>
      <c r="F7871" s="772"/>
      <c r="G7871" s="33"/>
      <c r="H7871" s="31"/>
    </row>
    <row r="7872" spans="2:8" hidden="1">
      <c r="B7872" s="200"/>
      <c r="C7872" s="31"/>
      <c r="D7872" s="75"/>
      <c r="E7872" s="771"/>
      <c r="F7872" s="772"/>
      <c r="G7872" s="33"/>
      <c r="H7872" s="31"/>
    </row>
    <row r="7873" spans="2:8" hidden="1">
      <c r="B7873" s="200"/>
      <c r="C7873" s="31"/>
      <c r="D7873" s="75"/>
      <c r="E7873" s="771"/>
      <c r="F7873" s="771"/>
      <c r="G7873" s="31"/>
      <c r="H7873" s="31"/>
    </row>
    <row r="7874" spans="2:8" hidden="1">
      <c r="B7874" s="200"/>
      <c r="C7874" s="31"/>
      <c r="D7874" s="75"/>
      <c r="E7874" s="771"/>
      <c r="F7874" s="771"/>
      <c r="G7874" s="31"/>
      <c r="H7874" s="31"/>
    </row>
    <row r="7875" spans="2:8" hidden="1">
      <c r="B7875" s="200"/>
      <c r="C7875" s="31"/>
      <c r="D7875" s="75"/>
      <c r="E7875" s="771"/>
      <c r="F7875" s="771"/>
      <c r="G7875" s="31"/>
      <c r="H7875" s="31"/>
    </row>
    <row r="7876" spans="2:8" hidden="1">
      <c r="B7876" s="200"/>
      <c r="C7876" s="31"/>
      <c r="D7876" s="75"/>
      <c r="E7876" s="771"/>
      <c r="F7876" s="771"/>
      <c r="G7876" s="31"/>
      <c r="H7876" s="31"/>
    </row>
    <row r="7877" spans="2:8" hidden="1">
      <c r="B7877" s="200"/>
      <c r="C7877" s="31"/>
      <c r="D7877" s="75"/>
      <c r="E7877" s="771"/>
      <c r="F7877" s="771"/>
      <c r="G7877" s="31"/>
      <c r="H7877" s="31"/>
    </row>
    <row r="7878" spans="2:8" hidden="1">
      <c r="B7878" s="200"/>
      <c r="C7878" s="31"/>
      <c r="D7878" s="75"/>
      <c r="E7878" s="771"/>
      <c r="F7878" s="772"/>
      <c r="G7878" s="33"/>
      <c r="H7878" s="31"/>
    </row>
    <row r="7879" spans="2:8" hidden="1">
      <c r="B7879" s="200"/>
      <c r="C7879" s="31"/>
      <c r="D7879" s="75"/>
      <c r="E7879" s="771"/>
      <c r="F7879" s="772"/>
      <c r="G7879" s="33"/>
      <c r="H7879" s="31"/>
    </row>
    <row r="7880" spans="2:8" hidden="1">
      <c r="B7880" s="200"/>
      <c r="C7880" s="31"/>
      <c r="D7880" s="75"/>
      <c r="E7880" s="771"/>
      <c r="F7880" s="771"/>
      <c r="G7880" s="31"/>
      <c r="H7880" s="31"/>
    </row>
    <row r="7881" spans="2:8" hidden="1">
      <c r="B7881" s="200"/>
      <c r="C7881" s="31"/>
      <c r="D7881" s="75"/>
      <c r="E7881" s="771"/>
      <c r="F7881" s="772"/>
      <c r="G7881" s="33"/>
      <c r="H7881" s="31"/>
    </row>
    <row r="7882" spans="2:8" hidden="1">
      <c r="B7882" s="200"/>
      <c r="C7882" s="31"/>
      <c r="D7882" s="75"/>
      <c r="E7882" s="771"/>
      <c r="F7882" s="772"/>
      <c r="G7882" s="33"/>
      <c r="H7882" s="31"/>
    </row>
    <row r="7883" spans="2:8" hidden="1">
      <c r="B7883" s="200"/>
      <c r="C7883" s="31"/>
      <c r="D7883" s="75"/>
      <c r="E7883" s="771"/>
      <c r="F7883" s="771"/>
      <c r="G7883" s="31"/>
      <c r="H7883" s="31"/>
    </row>
    <row r="7884" spans="2:8" hidden="1">
      <c r="B7884" s="200"/>
      <c r="C7884" s="31"/>
      <c r="D7884" s="75"/>
      <c r="E7884" s="771"/>
      <c r="F7884" s="771"/>
      <c r="G7884" s="31"/>
      <c r="H7884" s="31"/>
    </row>
    <row r="7885" spans="2:8" hidden="1">
      <c r="B7885" s="200"/>
      <c r="C7885" s="31"/>
      <c r="D7885" s="75"/>
      <c r="E7885" s="771"/>
      <c r="F7885" s="771"/>
      <c r="G7885" s="31"/>
      <c r="H7885" s="31"/>
    </row>
    <row r="7886" spans="2:8" hidden="1">
      <c r="B7886" s="200"/>
      <c r="C7886" s="31"/>
      <c r="D7886" s="75"/>
      <c r="E7886" s="771"/>
      <c r="F7886" s="771"/>
      <c r="G7886" s="31"/>
      <c r="H7886" s="31"/>
    </row>
    <row r="7887" spans="2:8" hidden="1">
      <c r="B7887" s="200"/>
      <c r="C7887" s="31"/>
      <c r="D7887" s="75"/>
      <c r="E7887" s="771"/>
      <c r="F7887" s="771"/>
      <c r="G7887" s="31"/>
      <c r="H7887" s="31"/>
    </row>
    <row r="7888" spans="2:8" hidden="1">
      <c r="B7888" s="200"/>
      <c r="C7888" s="31"/>
      <c r="D7888" s="75"/>
      <c r="E7888" s="771"/>
      <c r="F7888" s="771"/>
      <c r="G7888" s="31"/>
      <c r="H7888" s="31"/>
    </row>
    <row r="7889" spans="2:8" hidden="1">
      <c r="B7889" s="200"/>
      <c r="C7889" s="31"/>
      <c r="D7889" s="75"/>
      <c r="E7889" s="772"/>
      <c r="F7889" s="772"/>
      <c r="G7889" s="33"/>
      <c r="H7889" s="31"/>
    </row>
    <row r="7890" spans="2:8" hidden="1">
      <c r="B7890" s="200"/>
      <c r="C7890" s="31"/>
      <c r="D7890" s="75"/>
      <c r="E7890" s="771"/>
      <c r="F7890" s="771"/>
      <c r="G7890" s="31"/>
      <c r="H7890" s="31"/>
    </row>
    <row r="7891" spans="2:8" hidden="1">
      <c r="B7891" s="200"/>
      <c r="C7891" s="31"/>
      <c r="D7891" s="75"/>
      <c r="E7891" s="771"/>
      <c r="F7891" s="33"/>
      <c r="G7891" s="33"/>
      <c r="H7891" s="31"/>
    </row>
    <row r="7892" spans="2:8" hidden="1">
      <c r="B7892" s="200"/>
      <c r="C7892" s="31"/>
      <c r="D7892" s="75"/>
      <c r="E7892" s="771"/>
      <c r="F7892" s="33"/>
      <c r="G7892" s="33"/>
      <c r="H7892" s="31"/>
    </row>
    <row r="7893" spans="2:8" hidden="1">
      <c r="B7893" s="200"/>
      <c r="C7893" s="31"/>
      <c r="D7893" s="75"/>
      <c r="E7893" s="772"/>
      <c r="F7893" s="33"/>
      <c r="G7893" s="33"/>
      <c r="H7893" s="31"/>
    </row>
    <row r="7894" spans="2:8" hidden="1">
      <c r="B7894" s="200"/>
      <c r="C7894" s="31"/>
      <c r="D7894" s="75"/>
      <c r="E7894" s="772"/>
      <c r="F7894" s="33"/>
      <c r="G7894" s="33"/>
      <c r="H7894" s="31"/>
    </row>
    <row r="7895" spans="2:8" hidden="1">
      <c r="B7895" s="33"/>
      <c r="C7895" s="200"/>
      <c r="D7895" s="75"/>
      <c r="E7895" s="771"/>
      <c r="F7895" s="31"/>
      <c r="G7895" s="31"/>
      <c r="H7895" s="31"/>
    </row>
    <row r="7896" spans="2:8" hidden="1">
      <c r="B7896" s="33"/>
      <c r="C7896" s="31"/>
      <c r="D7896" s="104"/>
      <c r="E7896" s="772"/>
      <c r="F7896" s="33"/>
      <c r="G7896" s="33"/>
      <c r="H7896" s="31"/>
    </row>
    <row r="7897" spans="2:8" hidden="1">
      <c r="B7897" s="33"/>
      <c r="C7897" s="31"/>
      <c r="D7897" s="31"/>
      <c r="E7897" s="31"/>
      <c r="F7897" s="31"/>
      <c r="G7897" s="31"/>
      <c r="H7897" s="31"/>
    </row>
    <row r="7898" spans="2:8" hidden="1">
      <c r="B7898" s="405"/>
      <c r="C7898" s="31"/>
      <c r="D7898" s="31"/>
      <c r="E7898" s="31"/>
      <c r="F7898" s="31"/>
      <c r="G7898" s="31"/>
      <c r="H7898" s="31"/>
    </row>
    <row r="7899" spans="2:8" hidden="1">
      <c r="B7899" s="405"/>
      <c r="C7899" s="31"/>
      <c r="D7899" s="31"/>
      <c r="E7899" s="31"/>
      <c r="F7899" s="691"/>
      <c r="G7899" s="75"/>
      <c r="H7899" s="31"/>
    </row>
    <row r="7900" spans="2:8" hidden="1">
      <c r="B7900" s="405"/>
      <c r="C7900" s="31"/>
      <c r="D7900" s="31"/>
      <c r="E7900" s="31"/>
      <c r="F7900" s="691"/>
      <c r="G7900" s="75"/>
      <c r="H7900" s="31"/>
    </row>
    <row r="7901" spans="2:8" hidden="1">
      <c r="B7901" s="405"/>
      <c r="C7901" s="31"/>
      <c r="D7901" s="31"/>
      <c r="E7901" s="31"/>
      <c r="F7901" s="691"/>
      <c r="G7901" s="75"/>
      <c r="H7901" s="31"/>
    </row>
    <row r="7902" spans="2:8" hidden="1">
      <c r="B7902" s="405"/>
      <c r="C7902" s="31"/>
      <c r="D7902" s="31"/>
      <c r="E7902" s="31"/>
      <c r="F7902" s="691"/>
      <c r="G7902" s="75"/>
      <c r="H7902" s="31"/>
    </row>
    <row r="7903" spans="2:8" hidden="1">
      <c r="B7903" s="405"/>
      <c r="C7903" s="31"/>
      <c r="D7903" s="31"/>
      <c r="E7903" s="31"/>
      <c r="F7903" s="691"/>
      <c r="G7903" s="75"/>
      <c r="H7903" s="31"/>
    </row>
    <row r="7904" spans="2:8" hidden="1">
      <c r="B7904" s="405"/>
      <c r="C7904" s="31"/>
      <c r="D7904" s="31"/>
      <c r="E7904" s="31"/>
      <c r="F7904" s="691"/>
      <c r="G7904" s="75"/>
      <c r="H7904" s="31"/>
    </row>
    <row r="7905" spans="2:8" hidden="1">
      <c r="B7905" s="405"/>
      <c r="C7905" s="31"/>
      <c r="D7905" s="31"/>
      <c r="E7905" s="31"/>
      <c r="F7905" s="691"/>
      <c r="G7905" s="75"/>
      <c r="H7905" s="31"/>
    </row>
    <row r="7906" spans="2:8" hidden="1">
      <c r="B7906" s="405"/>
      <c r="C7906" s="31"/>
      <c r="D7906" s="31"/>
      <c r="E7906" s="31"/>
      <c r="F7906" s="691"/>
      <c r="G7906" s="75"/>
      <c r="H7906" s="31"/>
    </row>
    <row r="7907" spans="2:8" hidden="1">
      <c r="B7907" s="33"/>
      <c r="C7907" s="31"/>
      <c r="D7907" s="31"/>
      <c r="E7907" s="31"/>
      <c r="F7907" s="691"/>
      <c r="G7907" s="75"/>
      <c r="H7907" s="31"/>
    </row>
    <row r="7908" spans="2:8" hidden="1">
      <c r="B7908" s="33"/>
      <c r="C7908" s="31"/>
      <c r="D7908" s="31"/>
      <c r="E7908" s="31"/>
      <c r="F7908" s="691"/>
      <c r="G7908" s="75"/>
      <c r="H7908" s="31"/>
    </row>
    <row r="7909" spans="2:8" hidden="1">
      <c r="B7909" s="33"/>
      <c r="C7909" s="31"/>
      <c r="D7909" s="31"/>
      <c r="E7909" s="31"/>
      <c r="F7909" s="691"/>
      <c r="G7909" s="31"/>
      <c r="H7909" s="31"/>
    </row>
    <row r="7910" spans="2:8" hidden="1">
      <c r="B7910" s="33"/>
      <c r="C7910" s="31"/>
      <c r="D7910" s="31"/>
      <c r="E7910" s="31"/>
      <c r="F7910" s="691"/>
      <c r="G7910" s="31"/>
      <c r="H7910" s="31"/>
    </row>
    <row r="7911" spans="2:8" hidden="1">
      <c r="B7911" s="33"/>
      <c r="C7911" s="31"/>
      <c r="D7911" s="31"/>
      <c r="E7911" s="31"/>
      <c r="F7911" s="691"/>
      <c r="G7911" s="31"/>
      <c r="H7911" s="31"/>
    </row>
    <row r="7912" spans="2:8" hidden="1">
      <c r="B7912" s="33"/>
      <c r="C7912" s="31"/>
      <c r="D7912" s="31"/>
      <c r="E7912" s="31"/>
      <c r="F7912" s="31"/>
      <c r="G7912" s="31"/>
      <c r="H7912" s="31"/>
    </row>
    <row r="7913" spans="2:8" hidden="1">
      <c r="B7913" s="33"/>
      <c r="C7913" s="31"/>
      <c r="D7913" s="31"/>
      <c r="E7913" s="31"/>
      <c r="F7913" s="31"/>
      <c r="G7913" s="31"/>
      <c r="H7913" s="31"/>
    </row>
    <row r="7914" spans="2:8" hidden="1">
      <c r="B7914" s="33"/>
      <c r="C7914" s="31"/>
      <c r="D7914" s="31"/>
      <c r="E7914" s="31"/>
      <c r="F7914" s="31"/>
      <c r="G7914" s="31"/>
      <c r="H7914" s="31"/>
    </row>
    <row r="7915" spans="2:8" hidden="1">
      <c r="B7915" s="33"/>
      <c r="C7915" s="31"/>
      <c r="D7915" s="31"/>
      <c r="E7915" s="31"/>
      <c r="F7915" s="31"/>
      <c r="G7915" s="31"/>
      <c r="H7915" s="31"/>
    </row>
    <row r="7916" spans="2:8" hidden="1">
      <c r="B7916" s="33"/>
      <c r="C7916" s="31"/>
      <c r="D7916" s="31"/>
      <c r="E7916" s="31"/>
      <c r="F7916" s="31"/>
      <c r="G7916" s="31"/>
      <c r="H7916" s="31"/>
    </row>
    <row r="7917" spans="2:8" hidden="1">
      <c r="B7917" s="33"/>
      <c r="C7917" s="31"/>
      <c r="D7917" s="31"/>
      <c r="E7917" s="31"/>
      <c r="F7917" s="31"/>
      <c r="G7917" s="31"/>
      <c r="H7917" s="31"/>
    </row>
    <row r="7918" spans="2:8" hidden="1">
      <c r="B7918" s="33"/>
      <c r="C7918" s="31"/>
      <c r="D7918" s="31"/>
      <c r="E7918" s="31"/>
      <c r="F7918" s="31"/>
      <c r="G7918" s="31"/>
      <c r="H7918" s="31"/>
    </row>
    <row r="7919" spans="2:8" hidden="1">
      <c r="B7919" s="33"/>
      <c r="C7919" s="31"/>
      <c r="D7919" s="31"/>
      <c r="E7919" s="31"/>
      <c r="F7919" s="31"/>
      <c r="G7919" s="31"/>
      <c r="H7919" s="31"/>
    </row>
    <row r="7920" spans="2:8" hidden="1">
      <c r="B7920" s="33"/>
      <c r="C7920" s="31"/>
      <c r="D7920" s="33"/>
      <c r="E7920" s="31"/>
      <c r="F7920" s="33"/>
      <c r="G7920" s="33"/>
      <c r="H7920" s="31"/>
    </row>
    <row r="7921" spans="2:8" hidden="1">
      <c r="B7921" s="33"/>
      <c r="C7921" s="31"/>
      <c r="D7921" s="33"/>
      <c r="E7921" s="33"/>
      <c r="F7921" s="33"/>
      <c r="G7921" s="33"/>
      <c r="H7921" s="31"/>
    </row>
    <row r="7922" spans="2:8" hidden="1">
      <c r="B7922" s="33"/>
      <c r="C7922" s="31"/>
      <c r="D7922" s="31"/>
      <c r="E7922" s="31"/>
      <c r="F7922" s="31"/>
      <c r="G7922" s="31"/>
      <c r="H7922" s="31"/>
    </row>
    <row r="7923" spans="2:8" hidden="1">
      <c r="B7923" s="200"/>
      <c r="C7923" s="31"/>
      <c r="D7923" s="75"/>
      <c r="E7923" s="771"/>
      <c r="F7923" s="771"/>
      <c r="G7923" s="31"/>
      <c r="H7923" s="31"/>
    </row>
    <row r="7924" spans="2:8" hidden="1">
      <c r="B7924" s="200"/>
      <c r="C7924" s="31"/>
      <c r="D7924" s="75"/>
      <c r="E7924" s="771"/>
      <c r="F7924" s="771"/>
      <c r="G7924" s="31"/>
      <c r="H7924" s="31"/>
    </row>
    <row r="7925" spans="2:8" hidden="1">
      <c r="B7925" s="200"/>
      <c r="C7925" s="31"/>
      <c r="D7925" s="75"/>
      <c r="E7925" s="771"/>
      <c r="F7925" s="771"/>
      <c r="G7925" s="31"/>
      <c r="H7925" s="31"/>
    </row>
    <row r="7926" spans="2:8" hidden="1">
      <c r="B7926" s="200"/>
      <c r="C7926" s="31"/>
      <c r="D7926" s="75"/>
      <c r="E7926" s="771"/>
      <c r="F7926" s="771"/>
      <c r="G7926" s="31"/>
      <c r="H7926" s="31"/>
    </row>
    <row r="7927" spans="2:8" hidden="1">
      <c r="B7927" s="200"/>
      <c r="C7927" s="31"/>
      <c r="D7927" s="75"/>
      <c r="E7927" s="771"/>
      <c r="F7927" s="771"/>
      <c r="G7927" s="31"/>
      <c r="H7927" s="31"/>
    </row>
    <row r="7928" spans="2:8" hidden="1">
      <c r="B7928" s="200"/>
      <c r="C7928" s="31"/>
      <c r="D7928" s="75"/>
      <c r="E7928" s="771"/>
      <c r="F7928" s="771"/>
      <c r="G7928" s="31"/>
      <c r="H7928" s="31"/>
    </row>
    <row r="7929" spans="2:8" hidden="1">
      <c r="B7929" s="200"/>
      <c r="C7929" s="31"/>
      <c r="D7929" s="75"/>
      <c r="E7929" s="771"/>
      <c r="F7929" s="771"/>
      <c r="G7929" s="31"/>
      <c r="H7929" s="31"/>
    </row>
    <row r="7930" spans="2:8" hidden="1">
      <c r="B7930" s="200"/>
      <c r="C7930" s="31"/>
      <c r="D7930" s="75"/>
      <c r="E7930" s="771"/>
      <c r="F7930" s="772"/>
      <c r="G7930" s="33"/>
      <c r="H7930" s="31"/>
    </row>
    <row r="7931" spans="2:8" hidden="1">
      <c r="B7931" s="200"/>
      <c r="C7931" s="31"/>
      <c r="D7931" s="75"/>
      <c r="E7931" s="771"/>
      <c r="F7931" s="771"/>
      <c r="G7931" s="31"/>
      <c r="H7931" s="31"/>
    </row>
    <row r="7932" spans="2:8" hidden="1">
      <c r="B7932" s="200"/>
      <c r="C7932" s="31"/>
      <c r="D7932" s="75"/>
      <c r="E7932" s="771"/>
      <c r="F7932" s="771"/>
      <c r="G7932" s="31"/>
      <c r="H7932" s="31"/>
    </row>
    <row r="7933" spans="2:8" hidden="1">
      <c r="B7933" s="200"/>
      <c r="C7933" s="31"/>
      <c r="D7933" s="75"/>
      <c r="E7933" s="771"/>
      <c r="F7933" s="771"/>
      <c r="G7933" s="31"/>
      <c r="H7933" s="31"/>
    </row>
    <row r="7934" spans="2:8" hidden="1">
      <c r="B7934" s="200"/>
      <c r="C7934" s="31"/>
      <c r="D7934" s="75"/>
      <c r="E7934" s="771"/>
      <c r="F7934" s="771"/>
      <c r="G7934" s="31"/>
      <c r="H7934" s="31"/>
    </row>
    <row r="7935" spans="2:8" hidden="1">
      <c r="B7935" s="200"/>
      <c r="C7935" s="31"/>
      <c r="D7935" s="75"/>
      <c r="E7935" s="771"/>
      <c r="F7935" s="771"/>
      <c r="G7935" s="31"/>
      <c r="H7935" s="31"/>
    </row>
    <row r="7936" spans="2:8" hidden="1">
      <c r="B7936" s="200"/>
      <c r="C7936" s="31"/>
      <c r="D7936" s="75"/>
      <c r="E7936" s="771"/>
      <c r="F7936" s="771"/>
      <c r="G7936" s="31"/>
      <c r="H7936" s="31"/>
    </row>
    <row r="7937" spans="2:8" hidden="1">
      <c r="B7937" s="200"/>
      <c r="C7937" s="31"/>
      <c r="D7937" s="75"/>
      <c r="E7937" s="771"/>
      <c r="F7937" s="771"/>
      <c r="G7937" s="31"/>
      <c r="H7937" s="31"/>
    </row>
    <row r="7938" spans="2:8" hidden="1">
      <c r="B7938" s="200"/>
      <c r="C7938" s="31"/>
      <c r="D7938" s="75"/>
      <c r="E7938" s="771"/>
      <c r="F7938" s="771"/>
      <c r="G7938" s="31"/>
      <c r="H7938" s="31"/>
    </row>
    <row r="7939" spans="2:8" hidden="1">
      <c r="B7939" s="200"/>
      <c r="C7939" s="31"/>
      <c r="D7939" s="75"/>
      <c r="E7939" s="771"/>
      <c r="F7939" s="771"/>
      <c r="G7939" s="31"/>
      <c r="H7939" s="31"/>
    </row>
    <row r="7940" spans="2:8" hidden="1">
      <c r="B7940" s="200"/>
      <c r="C7940" s="31"/>
      <c r="D7940" s="75"/>
      <c r="E7940" s="771"/>
      <c r="F7940" s="771"/>
      <c r="G7940" s="31"/>
      <c r="H7940" s="31"/>
    </row>
    <row r="7941" spans="2:8" hidden="1">
      <c r="B7941" s="200"/>
      <c r="C7941" s="31"/>
      <c r="D7941" s="75"/>
      <c r="E7941" s="771"/>
      <c r="F7941" s="771"/>
      <c r="G7941" s="31"/>
      <c r="H7941" s="31"/>
    </row>
    <row r="7942" spans="2:8" hidden="1">
      <c r="B7942" s="200"/>
      <c r="C7942" s="31"/>
      <c r="D7942" s="75"/>
      <c r="E7942" s="771"/>
      <c r="F7942" s="771"/>
      <c r="G7942" s="31"/>
      <c r="H7942" s="31"/>
    </row>
    <row r="7943" spans="2:8" hidden="1">
      <c r="B7943" s="200"/>
      <c r="C7943" s="31"/>
      <c r="D7943" s="75"/>
      <c r="E7943" s="771"/>
      <c r="F7943" s="771"/>
      <c r="G7943" s="31"/>
      <c r="H7943" s="31"/>
    </row>
    <row r="7944" spans="2:8" hidden="1">
      <c r="B7944" s="200"/>
      <c r="C7944" s="31"/>
      <c r="D7944" s="75"/>
      <c r="E7944" s="771"/>
      <c r="F7944" s="771"/>
      <c r="G7944" s="31"/>
      <c r="H7944" s="31"/>
    </row>
    <row r="7945" spans="2:8" hidden="1">
      <c r="B7945" s="200"/>
      <c r="C7945" s="31"/>
      <c r="D7945" s="75"/>
      <c r="E7945" s="771"/>
      <c r="F7945" s="771"/>
      <c r="G7945" s="31"/>
      <c r="H7945" s="31"/>
    </row>
    <row r="7946" spans="2:8" hidden="1">
      <c r="B7946" s="200"/>
      <c r="C7946" s="31"/>
      <c r="D7946" s="75"/>
      <c r="E7946" s="771"/>
      <c r="F7946" s="771"/>
      <c r="G7946" s="31"/>
      <c r="H7946" s="31"/>
    </row>
    <row r="7947" spans="2:8" hidden="1">
      <c r="B7947" s="200"/>
      <c r="C7947" s="31"/>
      <c r="D7947" s="75"/>
      <c r="E7947" s="771"/>
      <c r="F7947" s="31"/>
      <c r="G7947" s="31"/>
      <c r="H7947" s="31"/>
    </row>
    <row r="7948" spans="2:8" hidden="1">
      <c r="B7948" s="200"/>
      <c r="C7948" s="31"/>
      <c r="D7948" s="75"/>
      <c r="E7948" s="771"/>
      <c r="F7948" s="31"/>
      <c r="G7948" s="31"/>
      <c r="H7948" s="31"/>
    </row>
    <row r="7949" spans="2:8" hidden="1">
      <c r="B7949" s="200"/>
      <c r="C7949" s="31"/>
      <c r="D7949" s="75"/>
      <c r="E7949" s="771"/>
      <c r="F7949" s="31"/>
      <c r="G7949" s="31"/>
      <c r="H7949" s="31"/>
    </row>
    <row r="7950" spans="2:8" hidden="1">
      <c r="B7950" s="200"/>
      <c r="C7950" s="31"/>
      <c r="D7950" s="75"/>
      <c r="E7950" s="771"/>
      <c r="F7950" s="31"/>
      <c r="G7950" s="31"/>
      <c r="H7950" s="31"/>
    </row>
    <row r="7951" spans="2:8" hidden="1">
      <c r="B7951" s="200"/>
      <c r="C7951" s="31"/>
      <c r="D7951" s="75"/>
      <c r="E7951" s="771"/>
      <c r="F7951" s="31"/>
      <c r="G7951" s="31"/>
      <c r="H7951" s="31"/>
    </row>
    <row r="7952" spans="2:8" hidden="1">
      <c r="B7952" s="200"/>
      <c r="C7952" s="31"/>
      <c r="D7952" s="75"/>
      <c r="E7952" s="771"/>
      <c r="F7952" s="31"/>
      <c r="G7952" s="31"/>
      <c r="H7952" s="31"/>
    </row>
    <row r="7953" spans="2:8" hidden="1">
      <c r="B7953" s="200"/>
      <c r="C7953" s="31"/>
      <c r="D7953" s="75"/>
      <c r="E7953" s="771"/>
      <c r="F7953" s="31"/>
      <c r="G7953" s="31"/>
      <c r="H7953" s="31"/>
    </row>
    <row r="7954" spans="2:8" hidden="1">
      <c r="B7954" s="200"/>
      <c r="C7954" s="31"/>
      <c r="D7954" s="75"/>
      <c r="E7954" s="771"/>
      <c r="F7954" s="31"/>
      <c r="G7954" s="31"/>
      <c r="H7954" s="31"/>
    </row>
    <row r="7955" spans="2:8" hidden="1">
      <c r="B7955" s="200"/>
      <c r="C7955" s="31"/>
      <c r="D7955" s="75"/>
      <c r="E7955" s="771"/>
      <c r="F7955" s="31"/>
      <c r="G7955" s="31"/>
      <c r="H7955" s="31"/>
    </row>
    <row r="7956" spans="2:8" hidden="1">
      <c r="B7956" s="200"/>
      <c r="C7956" s="31"/>
      <c r="D7956" s="75"/>
      <c r="E7956" s="771"/>
      <c r="F7956" s="31"/>
      <c r="G7956" s="31"/>
      <c r="H7956" s="31"/>
    </row>
    <row r="7957" spans="2:8" hidden="1">
      <c r="B7957" s="200"/>
      <c r="C7957" s="31"/>
      <c r="D7957" s="75"/>
      <c r="E7957" s="771"/>
      <c r="F7957" s="31"/>
      <c r="G7957" s="31"/>
      <c r="H7957" s="31"/>
    </row>
    <row r="7958" spans="2:8" hidden="1">
      <c r="B7958" s="200"/>
      <c r="C7958" s="31"/>
      <c r="D7958" s="75"/>
      <c r="E7958" s="771"/>
      <c r="F7958" s="33"/>
      <c r="G7958" s="33"/>
      <c r="H7958" s="31"/>
    </row>
    <row r="7959" spans="2:8" hidden="1">
      <c r="B7959" s="33"/>
      <c r="C7959" s="31"/>
      <c r="D7959" s="31"/>
      <c r="E7959" s="31"/>
      <c r="F7959" s="33"/>
      <c r="G7959" s="33"/>
      <c r="H7959" s="31"/>
    </row>
    <row r="7960" spans="2:8" hidden="1">
      <c r="B7960" s="200"/>
      <c r="C7960" s="31"/>
      <c r="D7960" s="75"/>
      <c r="E7960" s="771"/>
      <c r="F7960" s="33"/>
      <c r="G7960" s="33"/>
      <c r="H7960" s="31"/>
    </row>
    <row r="7961" spans="2:8" hidden="1">
      <c r="B7961" s="200"/>
      <c r="C7961" s="31"/>
      <c r="D7961" s="75"/>
      <c r="E7961" s="771"/>
      <c r="F7961" s="771"/>
      <c r="G7961" s="31"/>
      <c r="H7961" s="31"/>
    </row>
    <row r="7962" spans="2:8" hidden="1">
      <c r="B7962" s="200"/>
      <c r="C7962" s="31"/>
      <c r="D7962" s="75"/>
      <c r="E7962" s="771"/>
      <c r="F7962" s="771"/>
      <c r="G7962" s="31"/>
      <c r="H7962" s="31"/>
    </row>
    <row r="7963" spans="2:8" hidden="1">
      <c r="B7963" s="200"/>
      <c r="C7963" s="31"/>
      <c r="D7963" s="75"/>
      <c r="E7963" s="771"/>
      <c r="F7963" s="771"/>
      <c r="G7963" s="31"/>
      <c r="H7963" s="31"/>
    </row>
    <row r="7964" spans="2:8" hidden="1">
      <c r="B7964" s="200"/>
      <c r="C7964" s="31"/>
      <c r="D7964" s="75"/>
      <c r="E7964" s="771"/>
      <c r="F7964" s="771"/>
      <c r="G7964" s="31"/>
      <c r="H7964" s="31"/>
    </row>
    <row r="7965" spans="2:8" hidden="1">
      <c r="B7965" s="200"/>
      <c r="C7965" s="31"/>
      <c r="D7965" s="75"/>
      <c r="E7965" s="771"/>
      <c r="F7965" s="771"/>
      <c r="G7965" s="31"/>
      <c r="H7965" s="31"/>
    </row>
    <row r="7966" spans="2:8" hidden="1">
      <c r="B7966" s="200"/>
      <c r="C7966" s="31"/>
      <c r="D7966" s="75"/>
      <c r="E7966" s="771"/>
      <c r="F7966" s="771"/>
      <c r="G7966" s="31"/>
      <c r="H7966" s="31"/>
    </row>
    <row r="7967" spans="2:8" hidden="1">
      <c r="B7967" s="200"/>
      <c r="C7967" s="31"/>
      <c r="D7967" s="75"/>
      <c r="E7967" s="771"/>
      <c r="F7967" s="771"/>
      <c r="G7967" s="31"/>
      <c r="H7967" s="31"/>
    </row>
    <row r="7968" spans="2:8" hidden="1">
      <c r="B7968" s="200"/>
      <c r="C7968" s="31"/>
      <c r="D7968" s="75"/>
      <c r="E7968" s="771"/>
      <c r="F7968" s="771"/>
      <c r="G7968" s="31"/>
      <c r="H7968" s="31"/>
    </row>
    <row r="7969" spans="2:8" hidden="1">
      <c r="B7969" s="200"/>
      <c r="C7969" s="31"/>
      <c r="D7969" s="75"/>
      <c r="E7969" s="771"/>
      <c r="F7969" s="771"/>
      <c r="G7969" s="31"/>
      <c r="H7969" s="31"/>
    </row>
    <row r="7970" spans="2:8" hidden="1">
      <c r="B7970" s="200"/>
      <c r="C7970" s="31"/>
      <c r="D7970" s="75"/>
      <c r="E7970" s="771"/>
      <c r="F7970" s="771"/>
      <c r="G7970" s="31"/>
      <c r="H7970" s="31"/>
    </row>
    <row r="7971" spans="2:8" hidden="1">
      <c r="B7971" s="200"/>
      <c r="C7971" s="31"/>
      <c r="D7971" s="75"/>
      <c r="E7971" s="771"/>
      <c r="F7971" s="771"/>
      <c r="G7971" s="31"/>
      <c r="H7971" s="31"/>
    </row>
    <row r="7972" spans="2:8" hidden="1">
      <c r="B7972" s="200"/>
      <c r="C7972" s="31"/>
      <c r="D7972" s="75"/>
      <c r="E7972" s="771"/>
      <c r="F7972" s="771"/>
      <c r="G7972" s="31"/>
      <c r="H7972" s="31"/>
    </row>
    <row r="7973" spans="2:8" hidden="1">
      <c r="B7973" s="200"/>
      <c r="C7973" s="31"/>
      <c r="D7973" s="75"/>
      <c r="E7973" s="771"/>
      <c r="F7973" s="771"/>
      <c r="G7973" s="31"/>
      <c r="H7973" s="31"/>
    </row>
    <row r="7974" spans="2:8" hidden="1">
      <c r="B7974" s="200"/>
      <c r="C7974" s="31"/>
      <c r="D7974" s="75"/>
      <c r="E7974" s="771"/>
      <c r="F7974" s="771"/>
      <c r="G7974" s="31"/>
      <c r="H7974" s="31"/>
    </row>
    <row r="7975" spans="2:8" hidden="1">
      <c r="B7975" s="200"/>
      <c r="C7975" s="31"/>
      <c r="D7975" s="75"/>
      <c r="E7975" s="771"/>
      <c r="F7975" s="771"/>
      <c r="G7975" s="31"/>
      <c r="H7975" s="31"/>
    </row>
    <row r="7976" spans="2:8" hidden="1">
      <c r="B7976" s="200"/>
      <c r="C7976" s="31"/>
      <c r="D7976" s="75"/>
      <c r="E7976" s="771"/>
      <c r="F7976" s="771"/>
      <c r="G7976" s="31"/>
      <c r="H7976" s="31"/>
    </row>
    <row r="7977" spans="2:8" hidden="1">
      <c r="B7977" s="200"/>
      <c r="C7977" s="31"/>
      <c r="D7977" s="75"/>
      <c r="E7977" s="771"/>
      <c r="F7977" s="771"/>
      <c r="G7977" s="31"/>
      <c r="H7977" s="31"/>
    </row>
    <row r="7978" spans="2:8" hidden="1">
      <c r="B7978" s="200"/>
      <c r="C7978" s="31"/>
      <c r="D7978" s="75"/>
      <c r="E7978" s="771"/>
      <c r="F7978" s="771"/>
      <c r="G7978" s="31"/>
      <c r="H7978" s="31"/>
    </row>
    <row r="7979" spans="2:8" hidden="1">
      <c r="B7979" s="200"/>
      <c r="C7979" s="31"/>
      <c r="D7979" s="75"/>
      <c r="E7979" s="771"/>
      <c r="F7979" s="771"/>
      <c r="G7979" s="31"/>
      <c r="H7979" s="31"/>
    </row>
    <row r="7980" spans="2:8" hidden="1">
      <c r="B7980" s="200"/>
      <c r="C7980" s="31"/>
      <c r="D7980" s="75"/>
      <c r="E7980" s="771"/>
      <c r="F7980" s="771"/>
      <c r="G7980" s="31"/>
      <c r="H7980" s="31"/>
    </row>
    <row r="7981" spans="2:8" hidden="1">
      <c r="B7981" s="200"/>
      <c r="C7981" s="31"/>
      <c r="D7981" s="75"/>
      <c r="E7981" s="771"/>
      <c r="F7981" s="771"/>
      <c r="G7981" s="31"/>
      <c r="H7981" s="31"/>
    </row>
    <row r="7982" spans="2:8" hidden="1">
      <c r="B7982" s="200"/>
      <c r="C7982" s="31"/>
      <c r="D7982" s="75"/>
      <c r="E7982" s="771"/>
      <c r="F7982" s="771"/>
      <c r="G7982" s="31"/>
      <c r="H7982" s="31"/>
    </row>
    <row r="7983" spans="2:8" hidden="1">
      <c r="B7983" s="200"/>
      <c r="C7983" s="31"/>
      <c r="D7983" s="75"/>
      <c r="E7983" s="771"/>
      <c r="F7983" s="771"/>
      <c r="G7983" s="31"/>
      <c r="H7983" s="31"/>
    </row>
    <row r="7984" spans="2:8" hidden="1">
      <c r="B7984" s="200"/>
      <c r="C7984" s="31"/>
      <c r="D7984" s="75"/>
      <c r="E7984" s="771"/>
      <c r="F7984" s="771"/>
      <c r="G7984" s="31"/>
      <c r="H7984" s="31"/>
    </row>
    <row r="7985" spans="2:8" hidden="1">
      <c r="B7985" s="200"/>
      <c r="C7985" s="31"/>
      <c r="D7985" s="75"/>
      <c r="E7985" s="771"/>
      <c r="F7985" s="772"/>
      <c r="G7985" s="33"/>
      <c r="H7985" s="31"/>
    </row>
    <row r="7986" spans="2:8" hidden="1">
      <c r="B7986" s="200"/>
      <c r="C7986" s="31"/>
      <c r="D7986" s="75"/>
      <c r="E7986" s="771"/>
      <c r="F7986" s="771"/>
      <c r="G7986" s="31"/>
      <c r="H7986" s="31"/>
    </row>
    <row r="7987" spans="2:8" hidden="1">
      <c r="B7987" s="200"/>
      <c r="C7987" s="31"/>
      <c r="D7987" s="75"/>
      <c r="E7987" s="771"/>
      <c r="F7987" s="771"/>
      <c r="G7987" s="31"/>
      <c r="H7987" s="31"/>
    </row>
    <row r="7988" spans="2:8" hidden="1">
      <c r="B7988" s="200"/>
      <c r="C7988" s="31"/>
      <c r="D7988" s="75"/>
      <c r="E7988" s="771"/>
      <c r="F7988" s="771"/>
      <c r="G7988" s="31"/>
      <c r="H7988" s="31"/>
    </row>
    <row r="7989" spans="2:8" hidden="1">
      <c r="B7989" s="200"/>
      <c r="C7989" s="31"/>
      <c r="D7989" s="75"/>
      <c r="E7989" s="771"/>
      <c r="F7989" s="771"/>
      <c r="G7989" s="31"/>
      <c r="H7989" s="31"/>
    </row>
    <row r="7990" spans="2:8" hidden="1">
      <c r="B7990" s="200"/>
      <c r="C7990" s="31"/>
      <c r="D7990" s="75"/>
      <c r="E7990" s="771"/>
      <c r="F7990" s="771"/>
      <c r="G7990" s="31"/>
      <c r="H7990" s="31"/>
    </row>
    <row r="7991" spans="2:8" hidden="1">
      <c r="B7991" s="200"/>
      <c r="C7991" s="31"/>
      <c r="D7991" s="75"/>
      <c r="E7991" s="771"/>
      <c r="F7991" s="771"/>
      <c r="G7991" s="31"/>
      <c r="H7991" s="31"/>
    </row>
    <row r="7992" spans="2:8" hidden="1">
      <c r="B7992" s="200"/>
      <c r="C7992" s="31"/>
      <c r="D7992" s="75"/>
      <c r="E7992" s="771"/>
      <c r="F7992" s="771"/>
      <c r="G7992" s="31"/>
      <c r="H7992" s="31"/>
    </row>
    <row r="7993" spans="2:8" hidden="1">
      <c r="B7993" s="200"/>
      <c r="C7993" s="31"/>
      <c r="D7993" s="75"/>
      <c r="E7993" s="771"/>
      <c r="F7993" s="771"/>
      <c r="G7993" s="31"/>
      <c r="H7993" s="31"/>
    </row>
    <row r="7994" spans="2:8" hidden="1">
      <c r="B7994" s="200"/>
      <c r="C7994" s="31"/>
      <c r="D7994" s="75"/>
      <c r="E7994" s="771"/>
      <c r="F7994" s="771"/>
      <c r="G7994" s="31"/>
      <c r="H7994" s="31"/>
    </row>
    <row r="7995" spans="2:8" hidden="1">
      <c r="B7995" s="200"/>
      <c r="C7995" s="31"/>
      <c r="D7995" s="75"/>
      <c r="E7995" s="771"/>
      <c r="F7995" s="771"/>
      <c r="G7995" s="31"/>
      <c r="H7995" s="31"/>
    </row>
    <row r="7996" spans="2:8" hidden="1">
      <c r="B7996" s="200"/>
      <c r="C7996" s="31"/>
      <c r="D7996" s="75"/>
      <c r="E7996" s="771"/>
      <c r="F7996" s="771"/>
      <c r="G7996" s="31"/>
      <c r="H7996" s="31"/>
    </row>
    <row r="7997" spans="2:8" hidden="1">
      <c r="B7997" s="200"/>
      <c r="C7997" s="31"/>
      <c r="D7997" s="75"/>
      <c r="E7997" s="771"/>
      <c r="F7997" s="771"/>
      <c r="G7997" s="31"/>
      <c r="H7997" s="31"/>
    </row>
    <row r="7998" spans="2:8" hidden="1">
      <c r="B7998" s="200"/>
      <c r="C7998" s="31"/>
      <c r="D7998" s="75"/>
      <c r="E7998" s="771"/>
      <c r="F7998" s="771"/>
      <c r="G7998" s="31"/>
      <c r="H7998" s="31"/>
    </row>
    <row r="7999" spans="2:8" hidden="1">
      <c r="B7999" s="200"/>
      <c r="C7999" s="31"/>
      <c r="D7999" s="75"/>
      <c r="E7999" s="771"/>
      <c r="F7999" s="771"/>
      <c r="G7999" s="31"/>
      <c r="H7999" s="31"/>
    </row>
    <row r="8000" spans="2:8" hidden="1">
      <c r="B8000" s="200"/>
      <c r="C8000" s="31"/>
      <c r="D8000" s="75"/>
      <c r="E8000" s="771"/>
      <c r="F8000" s="771"/>
      <c r="G8000" s="31"/>
      <c r="H8000" s="31"/>
    </row>
    <row r="8001" spans="2:8" hidden="1">
      <c r="B8001" s="200"/>
      <c r="C8001" s="31"/>
      <c r="D8001" s="75"/>
      <c r="E8001" s="771"/>
      <c r="F8001" s="771"/>
      <c r="G8001" s="31"/>
      <c r="H8001" s="31"/>
    </row>
    <row r="8002" spans="2:8" hidden="1">
      <c r="B8002" s="200"/>
      <c r="C8002" s="31"/>
      <c r="D8002" s="75"/>
      <c r="E8002" s="771"/>
      <c r="F8002" s="771"/>
      <c r="G8002" s="31"/>
      <c r="H8002" s="31"/>
    </row>
    <row r="8003" spans="2:8" hidden="1">
      <c r="B8003" s="200"/>
      <c r="C8003" s="31"/>
      <c r="D8003" s="75"/>
      <c r="E8003" s="771"/>
      <c r="F8003" s="771"/>
      <c r="G8003" s="31"/>
      <c r="H8003" s="31"/>
    </row>
    <row r="8004" spans="2:8" hidden="1">
      <c r="B8004" s="200"/>
      <c r="C8004" s="31"/>
      <c r="D8004" s="75"/>
      <c r="E8004" s="771"/>
      <c r="F8004" s="771"/>
      <c r="G8004" s="31"/>
      <c r="H8004" s="31"/>
    </row>
    <row r="8005" spans="2:8" hidden="1">
      <c r="B8005" s="200"/>
      <c r="C8005" s="31"/>
      <c r="D8005" s="75"/>
      <c r="E8005" s="771"/>
      <c r="F8005" s="771"/>
      <c r="G8005" s="31"/>
      <c r="H8005" s="31"/>
    </row>
    <row r="8006" spans="2:8" hidden="1">
      <c r="B8006" s="200"/>
      <c r="C8006" s="31"/>
      <c r="D8006" s="75"/>
      <c r="E8006" s="771"/>
      <c r="F8006" s="771"/>
      <c r="G8006" s="31"/>
      <c r="H8006" s="31"/>
    </row>
    <row r="8007" spans="2:8" hidden="1">
      <c r="B8007" s="200"/>
      <c r="C8007" s="31"/>
      <c r="D8007" s="75"/>
      <c r="E8007" s="771"/>
      <c r="F8007" s="771"/>
      <c r="G8007" s="31"/>
      <c r="H8007" s="31"/>
    </row>
    <row r="8008" spans="2:8" hidden="1">
      <c r="B8008" s="200"/>
      <c r="C8008" s="31"/>
      <c r="D8008" s="75"/>
      <c r="E8008" s="771"/>
      <c r="F8008" s="771"/>
      <c r="G8008" s="31"/>
      <c r="H8008" s="31"/>
    </row>
    <row r="8009" spans="2:8" hidden="1">
      <c r="B8009" s="200"/>
      <c r="C8009" s="31"/>
      <c r="D8009" s="75"/>
      <c r="E8009" s="771"/>
      <c r="F8009" s="771"/>
      <c r="G8009" s="31"/>
      <c r="H8009" s="31"/>
    </row>
    <row r="8010" spans="2:8" hidden="1">
      <c r="B8010" s="200"/>
      <c r="C8010" s="31"/>
      <c r="D8010" s="75"/>
      <c r="E8010" s="771"/>
      <c r="F8010" s="771"/>
      <c r="G8010" s="31"/>
      <c r="H8010" s="31"/>
    </row>
    <row r="8011" spans="2:8" hidden="1">
      <c r="B8011" s="200"/>
      <c r="C8011" s="31"/>
      <c r="D8011" s="75"/>
      <c r="E8011" s="771"/>
      <c r="F8011" s="771"/>
      <c r="G8011" s="31"/>
      <c r="H8011" s="31"/>
    </row>
    <row r="8012" spans="2:8" hidden="1">
      <c r="B8012" s="200"/>
      <c r="C8012" s="31"/>
      <c r="D8012" s="75"/>
      <c r="E8012" s="771"/>
      <c r="F8012" s="771"/>
      <c r="G8012" s="31"/>
      <c r="H8012" s="31"/>
    </row>
    <row r="8013" spans="2:8" hidden="1">
      <c r="B8013" s="200"/>
      <c r="C8013" s="31"/>
      <c r="D8013" s="75"/>
      <c r="E8013" s="771"/>
      <c r="F8013" s="771"/>
      <c r="G8013" s="31"/>
      <c r="H8013" s="31"/>
    </row>
    <row r="8014" spans="2:8" hidden="1">
      <c r="B8014" s="200"/>
      <c r="C8014" s="31"/>
      <c r="D8014" s="75"/>
      <c r="E8014" s="771"/>
      <c r="F8014" s="771"/>
      <c r="G8014" s="31"/>
      <c r="H8014" s="31"/>
    </row>
    <row r="8015" spans="2:8" hidden="1">
      <c r="B8015" s="200"/>
      <c r="C8015" s="31"/>
      <c r="D8015" s="75"/>
      <c r="E8015" s="771"/>
      <c r="F8015" s="771"/>
      <c r="G8015" s="31"/>
      <c r="H8015" s="31"/>
    </row>
    <row r="8016" spans="2:8" hidden="1">
      <c r="B8016" s="200"/>
      <c r="C8016" s="31"/>
      <c r="D8016" s="75"/>
      <c r="E8016" s="771"/>
      <c r="F8016" s="771"/>
      <c r="G8016" s="31"/>
      <c r="H8016" s="31"/>
    </row>
    <row r="8017" spans="2:8" hidden="1">
      <c r="B8017" s="200"/>
      <c r="C8017" s="31"/>
      <c r="D8017" s="75"/>
      <c r="E8017" s="771"/>
      <c r="F8017" s="772"/>
      <c r="G8017" s="33"/>
      <c r="H8017" s="31"/>
    </row>
    <row r="8018" spans="2:8" hidden="1">
      <c r="B8018" s="200"/>
      <c r="C8018" s="31"/>
      <c r="D8018" s="75"/>
      <c r="E8018" s="771"/>
      <c r="F8018" s="771"/>
      <c r="G8018" s="31"/>
      <c r="H8018" s="31"/>
    </row>
    <row r="8019" spans="2:8" hidden="1">
      <c r="B8019" s="200"/>
      <c r="C8019" s="31"/>
      <c r="D8019" s="75"/>
      <c r="E8019" s="771"/>
      <c r="F8019" s="771"/>
      <c r="G8019" s="31"/>
      <c r="H8019" s="31"/>
    </row>
    <row r="8020" spans="2:8" hidden="1">
      <c r="B8020" s="200"/>
      <c r="C8020" s="31"/>
      <c r="D8020" s="75"/>
      <c r="E8020" s="771"/>
      <c r="F8020" s="772"/>
      <c r="G8020" s="33"/>
      <c r="H8020" s="31"/>
    </row>
    <row r="8021" spans="2:8" hidden="1">
      <c r="B8021" s="200"/>
      <c r="C8021" s="31"/>
      <c r="D8021" s="75"/>
      <c r="E8021" s="771"/>
      <c r="F8021" s="771"/>
      <c r="G8021" s="31"/>
      <c r="H8021" s="31"/>
    </row>
    <row r="8022" spans="2:8" hidden="1">
      <c r="B8022" s="200"/>
      <c r="C8022" s="31"/>
      <c r="D8022" s="75"/>
      <c r="E8022" s="771"/>
      <c r="F8022" s="771"/>
      <c r="G8022" s="31"/>
      <c r="H8022" s="31"/>
    </row>
    <row r="8023" spans="2:8" hidden="1">
      <c r="B8023" s="200"/>
      <c r="C8023" s="31"/>
      <c r="D8023" s="75"/>
      <c r="E8023" s="771"/>
      <c r="F8023" s="771"/>
      <c r="G8023" s="31"/>
      <c r="H8023" s="31"/>
    </row>
    <row r="8024" spans="2:8" hidden="1">
      <c r="B8024" s="200"/>
      <c r="C8024" s="31"/>
      <c r="D8024" s="75"/>
      <c r="E8024" s="771"/>
      <c r="F8024" s="771"/>
      <c r="G8024" s="31"/>
      <c r="H8024" s="31"/>
    </row>
    <row r="8025" spans="2:8" hidden="1">
      <c r="B8025" s="200"/>
      <c r="C8025" s="31"/>
      <c r="D8025" s="75"/>
      <c r="E8025" s="771"/>
      <c r="F8025" s="771"/>
      <c r="G8025" s="31"/>
      <c r="H8025" s="31"/>
    </row>
    <row r="8026" spans="2:8" hidden="1">
      <c r="B8026" s="200"/>
      <c r="C8026" s="31"/>
      <c r="D8026" s="75"/>
      <c r="E8026" s="771"/>
      <c r="F8026" s="771"/>
      <c r="G8026" s="31"/>
      <c r="H8026" s="31"/>
    </row>
    <row r="8027" spans="2:8" hidden="1">
      <c r="B8027" s="200"/>
      <c r="C8027" s="31"/>
      <c r="D8027" s="75"/>
      <c r="E8027" s="771"/>
      <c r="F8027" s="771"/>
      <c r="G8027" s="31"/>
      <c r="H8027" s="31"/>
    </row>
    <row r="8028" spans="2:8" hidden="1">
      <c r="B8028" s="200"/>
      <c r="C8028" s="31"/>
      <c r="D8028" s="75"/>
      <c r="E8028" s="772"/>
      <c r="F8028" s="772"/>
      <c r="G8028" s="33"/>
      <c r="H8028" s="31"/>
    </row>
    <row r="8029" spans="2:8" hidden="1">
      <c r="B8029" s="200"/>
      <c r="C8029" s="31"/>
      <c r="D8029" s="75"/>
      <c r="E8029" s="772"/>
      <c r="F8029" s="772"/>
      <c r="G8029" s="33"/>
      <c r="H8029" s="31"/>
    </row>
    <row r="8030" spans="2:8" hidden="1">
      <c r="B8030" s="200"/>
      <c r="C8030" s="31"/>
      <c r="D8030" s="75"/>
      <c r="E8030" s="772"/>
      <c r="F8030" s="772"/>
      <c r="G8030" s="33"/>
      <c r="H8030" s="31"/>
    </row>
    <row r="8031" spans="2:8" hidden="1">
      <c r="B8031" s="200"/>
      <c r="C8031" s="31"/>
      <c r="D8031" s="75"/>
      <c r="E8031" s="772"/>
      <c r="F8031" s="772"/>
      <c r="G8031" s="33"/>
      <c r="H8031" s="31"/>
    </row>
    <row r="8032" spans="2:8" hidden="1">
      <c r="B8032" s="200"/>
      <c r="C8032" s="31"/>
      <c r="D8032" s="75"/>
      <c r="E8032" s="771"/>
      <c r="F8032" s="771"/>
      <c r="G8032" s="31"/>
      <c r="H8032" s="31"/>
    </row>
    <row r="8033" spans="2:8" hidden="1">
      <c r="B8033" s="200"/>
      <c r="C8033" s="31"/>
      <c r="D8033" s="75"/>
      <c r="E8033" s="771"/>
      <c r="F8033" s="771"/>
      <c r="G8033" s="31"/>
      <c r="H8033" s="31"/>
    </row>
    <row r="8034" spans="2:8" hidden="1">
      <c r="B8034" s="200"/>
      <c r="C8034" s="31"/>
      <c r="D8034" s="75"/>
      <c r="E8034" s="771"/>
      <c r="F8034" s="771"/>
      <c r="G8034" s="31"/>
      <c r="H8034" s="31"/>
    </row>
    <row r="8035" spans="2:8" hidden="1">
      <c r="B8035" s="33"/>
      <c r="C8035" s="31"/>
      <c r="D8035" s="31"/>
      <c r="E8035" s="31"/>
      <c r="F8035" s="31"/>
      <c r="G8035" s="31"/>
      <c r="H8035" s="31"/>
    </row>
    <row r="8036" spans="2:8" hidden="1">
      <c r="B8036" s="200"/>
      <c r="C8036" s="31"/>
      <c r="D8036" s="104"/>
      <c r="E8036" s="772"/>
      <c r="F8036" s="33"/>
      <c r="G8036" s="33"/>
      <c r="H8036" s="31"/>
    </row>
    <row r="8037" spans="2:8" hidden="1">
      <c r="B8037" s="200"/>
      <c r="C8037" s="31"/>
      <c r="D8037" s="104"/>
      <c r="E8037" s="772"/>
      <c r="F8037" s="33"/>
      <c r="G8037" s="33"/>
      <c r="H8037" s="31"/>
    </row>
    <row r="8038" spans="2:8" hidden="1">
      <c r="B8038" s="200"/>
      <c r="C8038" s="31"/>
      <c r="D8038" s="75"/>
      <c r="E8038" s="771"/>
      <c r="F8038" s="33"/>
      <c r="G8038" s="33"/>
      <c r="H8038" s="31"/>
    </row>
    <row r="8039" spans="2:8" hidden="1">
      <c r="B8039" s="200"/>
      <c r="C8039" s="31"/>
      <c r="D8039" s="75"/>
      <c r="E8039" s="771"/>
      <c r="F8039" s="33"/>
      <c r="G8039" s="33"/>
      <c r="H8039" s="31"/>
    </row>
    <row r="8040" spans="2:8" hidden="1">
      <c r="B8040" s="200"/>
      <c r="C8040" s="31"/>
      <c r="D8040" s="75"/>
      <c r="E8040" s="771"/>
      <c r="F8040" s="33"/>
      <c r="G8040" s="33"/>
      <c r="H8040" s="31"/>
    </row>
    <row r="8041" spans="2:8" hidden="1">
      <c r="B8041" s="200"/>
      <c r="C8041" s="31"/>
      <c r="D8041" s="75"/>
      <c r="E8041" s="771"/>
      <c r="F8041" s="33"/>
      <c r="G8041" s="33"/>
      <c r="H8041" s="31"/>
    </row>
    <row r="8042" spans="2:8" hidden="1">
      <c r="B8042" s="200"/>
      <c r="C8042" s="31"/>
      <c r="D8042" s="75"/>
      <c r="E8042" s="772"/>
      <c r="F8042" s="33"/>
      <c r="G8042" s="33"/>
      <c r="H8042" s="31"/>
    </row>
    <row r="8043" spans="2:8" hidden="1">
      <c r="B8043" s="33"/>
      <c r="C8043" s="31"/>
      <c r="D8043" s="31"/>
      <c r="E8043" s="31"/>
      <c r="F8043" s="31"/>
      <c r="G8043" s="31"/>
      <c r="H8043" s="31"/>
    </row>
    <row r="8044" spans="2:8" hidden="1">
      <c r="B8044" s="200"/>
      <c r="C8044" s="31"/>
      <c r="D8044" s="75"/>
      <c r="E8044" s="772"/>
      <c r="F8044" s="33"/>
      <c r="G8044" s="33"/>
      <c r="H8044" s="31"/>
    </row>
    <row r="8045" spans="2:8" hidden="1">
      <c r="B8045" s="200"/>
      <c r="C8045" s="31"/>
      <c r="D8045" s="75"/>
      <c r="E8045" s="772"/>
      <c r="F8045" s="33"/>
      <c r="G8045" s="33"/>
      <c r="H8045" s="31"/>
    </row>
    <row r="8046" spans="2:8" hidden="1">
      <c r="B8046" s="200"/>
      <c r="C8046" s="31"/>
      <c r="D8046" s="75"/>
      <c r="E8046" s="772"/>
      <c r="F8046" s="33"/>
      <c r="G8046" s="33"/>
      <c r="H8046" s="31"/>
    </row>
    <row r="8047" spans="2:8" hidden="1">
      <c r="B8047" s="200"/>
      <c r="C8047" s="31"/>
      <c r="D8047" s="75"/>
      <c r="E8047" s="772"/>
      <c r="F8047" s="33"/>
      <c r="G8047" s="33"/>
      <c r="H8047" s="31"/>
    </row>
    <row r="8048" spans="2:8" hidden="1">
      <c r="B8048" s="200"/>
      <c r="C8048" s="31"/>
      <c r="D8048" s="75"/>
      <c r="E8048" s="771"/>
      <c r="F8048" s="33"/>
      <c r="G8048" s="33"/>
      <c r="H8048" s="31"/>
    </row>
    <row r="8049" spans="2:8" hidden="1">
      <c r="B8049" s="200"/>
      <c r="C8049" s="31"/>
      <c r="D8049" s="75"/>
      <c r="E8049" s="771"/>
      <c r="F8049" s="33"/>
      <c r="G8049" s="33"/>
      <c r="H8049" s="31"/>
    </row>
    <row r="8050" spans="2:8" hidden="1">
      <c r="B8050" s="200"/>
      <c r="C8050" s="31"/>
      <c r="D8050" s="75"/>
      <c r="E8050" s="771"/>
      <c r="F8050" s="33"/>
      <c r="G8050" s="33"/>
      <c r="H8050" s="31"/>
    </row>
    <row r="8051" spans="2:8" hidden="1">
      <c r="B8051" s="200"/>
      <c r="C8051" s="31"/>
      <c r="D8051" s="75"/>
      <c r="E8051" s="772"/>
      <c r="F8051" s="33"/>
      <c r="G8051" s="33"/>
      <c r="H8051" s="31"/>
    </row>
    <row r="8052" spans="2:8" hidden="1">
      <c r="B8052" s="200"/>
      <c r="C8052" s="31"/>
      <c r="D8052" s="75"/>
      <c r="E8052" s="771"/>
      <c r="F8052" s="33"/>
      <c r="G8052" s="33"/>
      <c r="H8052" s="31"/>
    </row>
    <row r="8053" spans="2:8" hidden="1">
      <c r="B8053" s="200"/>
      <c r="C8053" s="31"/>
      <c r="D8053" s="75"/>
      <c r="E8053" s="772"/>
      <c r="F8053" s="33"/>
      <c r="G8053" s="33"/>
      <c r="H8053" s="31"/>
    </row>
    <row r="8054" spans="2:8" hidden="1">
      <c r="B8054" s="200"/>
      <c r="C8054" s="31"/>
      <c r="D8054" s="75"/>
      <c r="E8054" s="772"/>
      <c r="F8054" s="33"/>
      <c r="G8054" s="33"/>
      <c r="H8054" s="31"/>
    </row>
    <row r="8055" spans="2:8" hidden="1">
      <c r="B8055" s="33"/>
      <c r="C8055" s="31"/>
      <c r="D8055" s="31"/>
      <c r="E8055" s="31"/>
      <c r="F8055" s="31"/>
      <c r="G8055" s="31"/>
      <c r="H8055" s="31"/>
    </row>
    <row r="8056" spans="2:8" hidden="1">
      <c r="B8056" s="200"/>
      <c r="C8056" s="31"/>
      <c r="D8056" s="75"/>
      <c r="E8056" s="771"/>
      <c r="F8056" s="33"/>
      <c r="G8056" s="33"/>
      <c r="H8056" s="31"/>
    </row>
    <row r="8057" spans="2:8" hidden="1">
      <c r="B8057" s="200"/>
      <c r="C8057" s="31"/>
      <c r="D8057" s="75"/>
      <c r="E8057" s="771"/>
      <c r="F8057" s="31"/>
      <c r="G8057" s="31"/>
      <c r="H8057" s="31"/>
    </row>
    <row r="8058" spans="2:8" hidden="1">
      <c r="B8058" s="200"/>
      <c r="C8058" s="31"/>
      <c r="D8058" s="75"/>
      <c r="E8058" s="771"/>
      <c r="F8058" s="31"/>
      <c r="G8058" s="31"/>
      <c r="H8058" s="31"/>
    </row>
    <row r="8059" spans="2:8" hidden="1">
      <c r="B8059" s="200"/>
      <c r="C8059" s="31"/>
      <c r="D8059" s="75"/>
      <c r="E8059" s="31"/>
      <c r="F8059" s="31"/>
      <c r="G8059" s="31"/>
      <c r="H8059" s="31"/>
    </row>
    <row r="8060" spans="2:8" hidden="1">
      <c r="B8060" s="200"/>
      <c r="C8060" s="31"/>
      <c r="D8060" s="75"/>
      <c r="E8060" s="33"/>
      <c r="F8060" s="33"/>
      <c r="G8060" s="33"/>
      <c r="H8060" s="31"/>
    </row>
    <row r="8061" spans="2:8" hidden="1">
      <c r="B8061" s="200"/>
      <c r="C8061" s="31"/>
      <c r="D8061" s="75"/>
      <c r="E8061" s="33"/>
      <c r="F8061" s="33"/>
      <c r="G8061" s="33"/>
      <c r="H8061" s="31"/>
    </row>
    <row r="8062" spans="2:8" hidden="1">
      <c r="B8062" s="33"/>
      <c r="C8062" s="200"/>
      <c r="D8062" s="75"/>
      <c r="E8062" s="31"/>
      <c r="F8062" s="31"/>
      <c r="G8062" s="31"/>
      <c r="H8062" s="31"/>
    </row>
    <row r="8063" spans="2:8" hidden="1">
      <c r="B8063" s="33"/>
      <c r="C8063" s="31"/>
      <c r="D8063" s="104"/>
      <c r="E8063" s="33"/>
      <c r="F8063" s="33"/>
      <c r="G8063" s="33"/>
      <c r="H8063" s="31"/>
    </row>
    <row r="8064" spans="2:8" hidden="1">
      <c r="B8064" s="33"/>
      <c r="C8064" s="31"/>
      <c r="D8064" s="31"/>
      <c r="E8064" s="31"/>
      <c r="F8064" s="31"/>
      <c r="G8064" s="31"/>
      <c r="H8064" s="31"/>
    </row>
    <row r="8065" spans="2:8" hidden="1">
      <c r="B8065" s="405"/>
      <c r="C8065" s="31"/>
      <c r="D8065" s="31"/>
      <c r="E8065" s="31"/>
      <c r="F8065" s="31"/>
      <c r="G8065" s="31"/>
      <c r="H8065" s="31"/>
    </row>
    <row r="8066" spans="2:8" hidden="1">
      <c r="B8066" s="405"/>
      <c r="C8066" s="31"/>
      <c r="D8066" s="31"/>
      <c r="E8066" s="31"/>
      <c r="F8066" s="691"/>
      <c r="G8066" s="75"/>
      <c r="H8066" s="31"/>
    </row>
    <row r="8067" spans="2:8" hidden="1">
      <c r="B8067" s="405"/>
      <c r="C8067" s="31"/>
      <c r="D8067" s="31"/>
      <c r="E8067" s="31"/>
      <c r="F8067" s="691"/>
      <c r="G8067" s="75"/>
      <c r="H8067" s="31"/>
    </row>
    <row r="8068" spans="2:8" hidden="1">
      <c r="B8068" s="405"/>
      <c r="C8068" s="31"/>
      <c r="D8068" s="31"/>
      <c r="E8068" s="31"/>
      <c r="F8068" s="691"/>
      <c r="G8068" s="75"/>
      <c r="H8068" s="31"/>
    </row>
    <row r="8069" spans="2:8" hidden="1">
      <c r="B8069" s="405"/>
      <c r="C8069" s="31"/>
      <c r="D8069" s="31"/>
      <c r="E8069" s="31"/>
      <c r="F8069" s="691"/>
      <c r="G8069" s="75"/>
      <c r="H8069" s="31"/>
    </row>
    <row r="8070" spans="2:8" hidden="1">
      <c r="B8070" s="405"/>
      <c r="C8070" s="31"/>
      <c r="D8070" s="31"/>
      <c r="E8070" s="31"/>
      <c r="F8070" s="691"/>
      <c r="G8070" s="75"/>
      <c r="H8070" s="31"/>
    </row>
    <row r="8071" spans="2:8" hidden="1">
      <c r="B8071" s="405"/>
      <c r="C8071" s="31"/>
      <c r="D8071" s="31"/>
      <c r="E8071" s="31"/>
      <c r="F8071" s="691"/>
      <c r="G8071" s="75"/>
      <c r="H8071" s="31"/>
    </row>
    <row r="8072" spans="2:8" hidden="1">
      <c r="B8072" s="405"/>
      <c r="C8072" s="31"/>
      <c r="D8072" s="31"/>
      <c r="E8072" s="31"/>
      <c r="F8072" s="691"/>
      <c r="G8072" s="75"/>
      <c r="H8072" s="31"/>
    </row>
    <row r="8073" spans="2:8" hidden="1">
      <c r="B8073" s="405"/>
      <c r="C8073" s="31"/>
      <c r="D8073" s="31"/>
      <c r="E8073" s="31"/>
      <c r="F8073" s="691"/>
      <c r="G8073" s="75"/>
      <c r="H8073" s="31"/>
    </row>
    <row r="8074" spans="2:8" hidden="1">
      <c r="B8074" s="405"/>
      <c r="C8074" s="31"/>
      <c r="D8074" s="31"/>
      <c r="E8074" s="31"/>
      <c r="F8074" s="691"/>
      <c r="G8074" s="75"/>
      <c r="H8074" s="31"/>
    </row>
    <row r="8075" spans="2:8" hidden="1">
      <c r="B8075" s="405"/>
      <c r="C8075" s="31"/>
      <c r="D8075" s="31"/>
      <c r="E8075" s="31"/>
      <c r="F8075" s="691"/>
      <c r="G8075" s="75"/>
      <c r="H8075" s="31"/>
    </row>
    <row r="8076" spans="2:8" hidden="1">
      <c r="B8076" s="405"/>
      <c r="C8076" s="31"/>
      <c r="D8076" s="31"/>
      <c r="E8076" s="31"/>
      <c r="F8076" s="691"/>
      <c r="G8076" s="75"/>
      <c r="H8076" s="31"/>
    </row>
    <row r="8077" spans="2:8" hidden="1">
      <c r="B8077" s="405"/>
      <c r="C8077" s="31"/>
      <c r="D8077" s="31"/>
      <c r="E8077" s="31"/>
      <c r="F8077" s="691"/>
      <c r="G8077" s="75"/>
      <c r="H8077" s="31"/>
    </row>
    <row r="8078" spans="2:8" hidden="1">
      <c r="B8078" s="405"/>
      <c r="C8078" s="31"/>
      <c r="D8078" s="31"/>
      <c r="E8078" s="31"/>
      <c r="F8078" s="691"/>
      <c r="G8078" s="75"/>
      <c r="H8078" s="31"/>
    </row>
    <row r="8079" spans="2:8" hidden="1">
      <c r="B8079" s="405"/>
      <c r="C8079" s="31"/>
      <c r="D8079" s="31"/>
      <c r="E8079" s="31"/>
      <c r="F8079" s="691"/>
      <c r="G8079" s="75"/>
      <c r="H8079" s="31"/>
    </row>
    <row r="8080" spans="2:8" hidden="1">
      <c r="B8080" s="405"/>
      <c r="C8080" s="31"/>
      <c r="D8080" s="31"/>
      <c r="E8080" s="31"/>
      <c r="F8080" s="691"/>
      <c r="G8080" s="75"/>
      <c r="H8080" s="31"/>
    </row>
    <row r="8081" spans="2:8" hidden="1">
      <c r="B8081" s="33"/>
      <c r="C8081" s="31"/>
      <c r="D8081" s="31"/>
      <c r="E8081" s="31"/>
      <c r="F8081" s="691"/>
      <c r="G8081" s="75"/>
      <c r="H8081" s="31"/>
    </row>
    <row r="8082" spans="2:8" hidden="1">
      <c r="B8082" s="33"/>
      <c r="C8082" s="31"/>
      <c r="D8082" s="31"/>
      <c r="E8082" s="31"/>
      <c r="F8082" s="691"/>
      <c r="G8082" s="75"/>
      <c r="H8082" s="31"/>
    </row>
    <row r="8083" spans="2:8" hidden="1">
      <c r="B8083" s="33"/>
      <c r="C8083" s="31"/>
      <c r="D8083" s="31"/>
      <c r="E8083" s="31"/>
      <c r="F8083" s="691"/>
      <c r="G8083" s="31"/>
      <c r="H8083" s="31"/>
    </row>
    <row r="8084" spans="2:8" hidden="1">
      <c r="B8084" s="33"/>
      <c r="C8084" s="31"/>
      <c r="D8084" s="31"/>
      <c r="E8084" s="31"/>
      <c r="F8084" s="31"/>
      <c r="G8084" s="31"/>
      <c r="H8084" s="31"/>
    </row>
    <row r="8085" spans="2:8" hidden="1">
      <c r="B8085" s="33"/>
      <c r="C8085" s="31"/>
      <c r="D8085" s="31"/>
      <c r="E8085" s="31"/>
      <c r="F8085" s="31"/>
      <c r="G8085" s="31"/>
      <c r="H8085" s="31"/>
    </row>
    <row r="8086" spans="2:8" hidden="1">
      <c r="B8086" s="33"/>
      <c r="C8086" s="31"/>
      <c r="D8086" s="31"/>
      <c r="E8086" s="31"/>
      <c r="F8086" s="31"/>
      <c r="G8086" s="31"/>
      <c r="H8086" s="31"/>
    </row>
    <row r="8087" spans="2:8" hidden="1">
      <c r="B8087" s="33"/>
      <c r="C8087" s="31"/>
      <c r="D8087" s="31"/>
      <c r="E8087" s="31"/>
      <c r="F8087" s="31"/>
      <c r="G8087" s="31"/>
      <c r="H8087" s="31"/>
    </row>
    <row r="8088" spans="2:8" hidden="1">
      <c r="B8088" s="33"/>
      <c r="C8088" s="31"/>
      <c r="D8088" s="31"/>
      <c r="E8088" s="31"/>
      <c r="F8088" s="31"/>
      <c r="G8088" s="31"/>
      <c r="H8088" s="31"/>
    </row>
    <row r="8089" spans="2:8" hidden="1">
      <c r="B8089" s="33"/>
      <c r="C8089" s="31"/>
      <c r="D8089" s="31"/>
      <c r="E8089" s="31"/>
      <c r="F8089" s="31"/>
      <c r="G8089" s="31"/>
      <c r="H8089" s="31"/>
    </row>
    <row r="8090" spans="2:8" hidden="1">
      <c r="B8090" s="33"/>
      <c r="C8090" s="31"/>
      <c r="D8090" s="31"/>
      <c r="E8090" s="31"/>
      <c r="F8090" s="31"/>
      <c r="G8090" s="31"/>
      <c r="H8090" s="31"/>
    </row>
    <row r="8091" spans="2:8" hidden="1">
      <c r="B8091" s="33"/>
      <c r="C8091" s="31"/>
      <c r="D8091" s="31"/>
      <c r="E8091" s="31"/>
      <c r="F8091" s="31"/>
      <c r="G8091" s="31"/>
      <c r="H8091" s="31"/>
    </row>
    <row r="8092" spans="2:8" hidden="1">
      <c r="B8092" s="33"/>
      <c r="C8092" s="31"/>
      <c r="D8092" s="33"/>
      <c r="E8092" s="31"/>
      <c r="F8092" s="33"/>
      <c r="G8092" s="33"/>
      <c r="H8092" s="31"/>
    </row>
    <row r="8093" spans="2:8" hidden="1">
      <c r="B8093" s="33"/>
      <c r="C8093" s="31"/>
      <c r="D8093" s="33"/>
      <c r="E8093" s="33"/>
      <c r="F8093" s="33"/>
      <c r="G8093" s="33"/>
      <c r="H8093" s="31"/>
    </row>
    <row r="8094" spans="2:8" hidden="1">
      <c r="B8094" s="33"/>
      <c r="C8094" s="31"/>
      <c r="D8094" s="31"/>
      <c r="E8094" s="31"/>
      <c r="F8094" s="31"/>
      <c r="G8094" s="31"/>
      <c r="H8094" s="31"/>
    </row>
    <row r="8095" spans="2:8" hidden="1">
      <c r="B8095" s="200"/>
      <c r="C8095" s="31"/>
      <c r="D8095" s="75"/>
      <c r="E8095" s="771"/>
      <c r="F8095" s="773"/>
      <c r="G8095" s="200"/>
      <c r="H8095" s="31"/>
    </row>
    <row r="8096" spans="2:8" hidden="1">
      <c r="B8096" s="200"/>
      <c r="C8096" s="31"/>
      <c r="D8096" s="75"/>
      <c r="E8096" s="771"/>
      <c r="F8096" s="773"/>
      <c r="G8096" s="200"/>
      <c r="H8096" s="31"/>
    </row>
    <row r="8097" spans="2:8" hidden="1">
      <c r="B8097" s="200"/>
      <c r="C8097" s="31"/>
      <c r="D8097" s="75"/>
      <c r="E8097" s="771"/>
      <c r="F8097" s="773"/>
      <c r="G8097" s="200"/>
      <c r="H8097" s="31"/>
    </row>
    <row r="8098" spans="2:8" hidden="1">
      <c r="B8098" s="200"/>
      <c r="C8098" s="31"/>
      <c r="D8098" s="75"/>
      <c r="E8098" s="771"/>
      <c r="F8098" s="773"/>
      <c r="G8098" s="200"/>
      <c r="H8098" s="31"/>
    </row>
    <row r="8099" spans="2:8" hidden="1">
      <c r="B8099" s="200"/>
      <c r="C8099" s="31"/>
      <c r="D8099" s="75"/>
      <c r="E8099" s="771"/>
      <c r="F8099" s="773"/>
      <c r="G8099" s="200"/>
      <c r="H8099" s="31"/>
    </row>
    <row r="8100" spans="2:8" hidden="1">
      <c r="B8100" s="200"/>
      <c r="C8100" s="31"/>
      <c r="D8100" s="75"/>
      <c r="E8100" s="771"/>
      <c r="F8100" s="773"/>
      <c r="G8100" s="200"/>
      <c r="H8100" s="31"/>
    </row>
    <row r="8101" spans="2:8" hidden="1">
      <c r="B8101" s="200"/>
      <c r="C8101" s="31"/>
      <c r="D8101" s="75"/>
      <c r="E8101" s="771"/>
      <c r="F8101" s="773"/>
      <c r="G8101" s="200"/>
      <c r="H8101" s="31"/>
    </row>
    <row r="8102" spans="2:8" hidden="1">
      <c r="B8102" s="200"/>
      <c r="C8102" s="31"/>
      <c r="D8102" s="75"/>
      <c r="E8102" s="771"/>
      <c r="F8102" s="773"/>
      <c r="G8102" s="200"/>
      <c r="H8102" s="31"/>
    </row>
    <row r="8103" spans="2:8" hidden="1">
      <c r="B8103" s="200"/>
      <c r="C8103" s="31"/>
      <c r="D8103" s="75"/>
      <c r="E8103" s="771"/>
      <c r="F8103" s="773"/>
      <c r="G8103" s="200"/>
      <c r="H8103" s="31"/>
    </row>
    <row r="8104" spans="2:8" hidden="1">
      <c r="B8104" s="200"/>
      <c r="C8104" s="31"/>
      <c r="D8104" s="75"/>
      <c r="E8104" s="771"/>
      <c r="F8104" s="773"/>
      <c r="G8104" s="200"/>
      <c r="H8104" s="31"/>
    </row>
    <row r="8105" spans="2:8" hidden="1">
      <c r="B8105" s="200"/>
      <c r="C8105" s="31"/>
      <c r="D8105" s="75"/>
      <c r="E8105" s="771"/>
      <c r="F8105" s="773"/>
      <c r="G8105" s="200"/>
      <c r="H8105" s="31"/>
    </row>
    <row r="8106" spans="2:8" hidden="1">
      <c r="B8106" s="200"/>
      <c r="C8106" s="31"/>
      <c r="D8106" s="75"/>
      <c r="E8106" s="771"/>
      <c r="F8106" s="773"/>
      <c r="G8106" s="200"/>
      <c r="H8106" s="31"/>
    </row>
    <row r="8107" spans="2:8" hidden="1">
      <c r="B8107" s="200"/>
      <c r="C8107" s="31"/>
      <c r="D8107" s="75"/>
      <c r="E8107" s="771"/>
      <c r="F8107" s="773"/>
      <c r="G8107" s="200"/>
      <c r="H8107" s="31"/>
    </row>
    <row r="8108" spans="2:8" hidden="1">
      <c r="B8108" s="200"/>
      <c r="C8108" s="31"/>
      <c r="D8108" s="75"/>
      <c r="E8108" s="771"/>
      <c r="F8108" s="772"/>
      <c r="G8108" s="33"/>
      <c r="H8108" s="31"/>
    </row>
    <row r="8109" spans="2:8" hidden="1">
      <c r="B8109" s="200"/>
      <c r="C8109" s="31"/>
      <c r="D8109" s="75"/>
      <c r="E8109" s="771"/>
      <c r="F8109" s="773"/>
      <c r="G8109" s="200"/>
      <c r="H8109" s="31"/>
    </row>
    <row r="8110" spans="2:8" hidden="1">
      <c r="B8110" s="200"/>
      <c r="C8110" s="31"/>
      <c r="D8110" s="75"/>
      <c r="E8110" s="771"/>
      <c r="F8110" s="773"/>
      <c r="G8110" s="200"/>
      <c r="H8110" s="31"/>
    </row>
    <row r="8111" spans="2:8" hidden="1">
      <c r="B8111" s="200"/>
      <c r="C8111" s="31"/>
      <c r="D8111" s="75"/>
      <c r="E8111" s="771"/>
      <c r="F8111" s="773"/>
      <c r="G8111" s="200"/>
      <c r="H8111" s="31"/>
    </row>
    <row r="8112" spans="2:8" hidden="1">
      <c r="B8112" s="200"/>
      <c r="C8112" s="31"/>
      <c r="D8112" s="75"/>
      <c r="E8112" s="771"/>
      <c r="F8112" s="773"/>
      <c r="G8112" s="200"/>
      <c r="H8112" s="31"/>
    </row>
    <row r="8113" spans="2:8" hidden="1">
      <c r="B8113" s="200"/>
      <c r="C8113" s="31"/>
      <c r="D8113" s="75"/>
      <c r="E8113" s="771"/>
      <c r="F8113" s="772"/>
      <c r="G8113" s="33"/>
      <c r="H8113" s="31"/>
    </row>
    <row r="8114" spans="2:8" hidden="1">
      <c r="B8114" s="200"/>
      <c r="C8114" s="31"/>
      <c r="D8114" s="75"/>
      <c r="E8114" s="772"/>
      <c r="F8114" s="772"/>
      <c r="G8114" s="33"/>
      <c r="H8114" s="31"/>
    </row>
    <row r="8115" spans="2:8" hidden="1">
      <c r="B8115" s="200"/>
      <c r="C8115" s="31"/>
      <c r="D8115" s="75"/>
      <c r="E8115" s="771"/>
      <c r="F8115" s="772"/>
      <c r="G8115" s="33"/>
      <c r="H8115" s="31"/>
    </row>
    <row r="8116" spans="2:8" hidden="1">
      <c r="B8116" s="200"/>
      <c r="C8116" s="31"/>
      <c r="D8116" s="75"/>
      <c r="E8116" s="33"/>
      <c r="F8116" s="33"/>
      <c r="G8116" s="33"/>
      <c r="H8116" s="31"/>
    </row>
    <row r="8117" spans="2:8" hidden="1">
      <c r="B8117" s="200"/>
      <c r="C8117" s="31"/>
      <c r="D8117" s="75"/>
      <c r="E8117" s="33"/>
      <c r="F8117" s="33"/>
      <c r="G8117" s="33"/>
      <c r="H8117" s="31"/>
    </row>
    <row r="8118" spans="2:8" hidden="1">
      <c r="B8118" s="200"/>
      <c r="C8118" s="31"/>
      <c r="D8118" s="75"/>
      <c r="E8118" s="31"/>
      <c r="F8118" s="31"/>
      <c r="G8118" s="31"/>
      <c r="H8118" s="31"/>
    </row>
    <row r="8119" spans="2:8" hidden="1">
      <c r="B8119" s="200"/>
      <c r="C8119" s="31"/>
      <c r="D8119" s="75"/>
      <c r="E8119" s="31"/>
      <c r="F8119" s="31"/>
      <c r="G8119" s="31"/>
      <c r="H8119" s="31"/>
    </row>
    <row r="8120" spans="2:8" hidden="1">
      <c r="B8120" s="200"/>
      <c r="C8120" s="31"/>
      <c r="D8120" s="75"/>
      <c r="E8120" s="31"/>
      <c r="F8120" s="31"/>
      <c r="G8120" s="31"/>
      <c r="H8120" s="31"/>
    </row>
    <row r="8121" spans="2:8" hidden="1">
      <c r="B8121" s="33"/>
      <c r="C8121" s="31"/>
      <c r="D8121" s="31"/>
      <c r="E8121" s="31"/>
      <c r="F8121" s="31"/>
      <c r="G8121" s="31"/>
      <c r="H8121" s="31"/>
    </row>
    <row r="8122" spans="2:8" hidden="1">
      <c r="B8122" s="200"/>
      <c r="C8122" s="31"/>
      <c r="D8122" s="75"/>
      <c r="E8122" s="771"/>
      <c r="F8122" s="33"/>
      <c r="G8122" s="33"/>
      <c r="H8122" s="31"/>
    </row>
    <row r="8123" spans="2:8" hidden="1">
      <c r="B8123" s="200"/>
      <c r="C8123" s="31"/>
      <c r="D8123" s="75"/>
      <c r="E8123" s="771"/>
      <c r="F8123" s="33"/>
      <c r="G8123" s="33"/>
      <c r="H8123" s="31"/>
    </row>
    <row r="8124" spans="2:8" hidden="1">
      <c r="B8124" s="200"/>
      <c r="C8124" s="31"/>
      <c r="D8124" s="75"/>
      <c r="E8124" s="771"/>
      <c r="F8124" s="31"/>
      <c r="G8124" s="31"/>
      <c r="H8124" s="31"/>
    </row>
    <row r="8125" spans="2:8" hidden="1">
      <c r="B8125" s="200"/>
      <c r="C8125" s="31"/>
      <c r="D8125" s="75"/>
      <c r="E8125" s="771"/>
      <c r="F8125" s="31"/>
      <c r="G8125" s="31"/>
      <c r="H8125" s="31"/>
    </row>
    <row r="8126" spans="2:8" hidden="1">
      <c r="B8126" s="200"/>
      <c r="C8126" s="31"/>
      <c r="D8126" s="75"/>
      <c r="E8126" s="771"/>
      <c r="F8126" s="31"/>
      <c r="G8126" s="31"/>
      <c r="H8126" s="31"/>
    </row>
    <row r="8127" spans="2:8" hidden="1">
      <c r="B8127" s="200"/>
      <c r="C8127" s="31"/>
      <c r="D8127" s="75"/>
      <c r="E8127" s="771"/>
      <c r="F8127" s="31"/>
      <c r="G8127" s="31"/>
      <c r="H8127" s="31"/>
    </row>
    <row r="8128" spans="2:8" hidden="1">
      <c r="B8128" s="200"/>
      <c r="C8128" s="31"/>
      <c r="D8128" s="75"/>
      <c r="E8128" s="771"/>
      <c r="F8128" s="31"/>
      <c r="G8128" s="31"/>
      <c r="H8128" s="31"/>
    </row>
    <row r="8129" spans="2:8" hidden="1">
      <c r="B8129" s="200"/>
      <c r="C8129" s="31"/>
      <c r="D8129" s="75"/>
      <c r="E8129" s="771"/>
      <c r="F8129" s="31"/>
      <c r="G8129" s="31"/>
      <c r="H8129" s="31"/>
    </row>
    <row r="8130" spans="2:8" hidden="1">
      <c r="B8130" s="200"/>
      <c r="C8130" s="31"/>
      <c r="D8130" s="75"/>
      <c r="E8130" s="771"/>
      <c r="F8130" s="31"/>
      <c r="G8130" s="31"/>
      <c r="H8130" s="31"/>
    </row>
    <row r="8131" spans="2:8" hidden="1">
      <c r="B8131" s="200"/>
      <c r="C8131" s="31"/>
      <c r="D8131" s="75"/>
      <c r="E8131" s="771"/>
      <c r="F8131" s="31"/>
      <c r="G8131" s="31"/>
      <c r="H8131" s="31"/>
    </row>
    <row r="8132" spans="2:8" hidden="1">
      <c r="B8132" s="200"/>
      <c r="C8132" s="31"/>
      <c r="D8132" s="75"/>
      <c r="E8132" s="771"/>
      <c r="F8132" s="31"/>
      <c r="G8132" s="31"/>
      <c r="H8132" s="31"/>
    </row>
    <row r="8133" spans="2:8" hidden="1">
      <c r="B8133" s="200"/>
      <c r="C8133" s="31"/>
      <c r="D8133" s="75"/>
      <c r="E8133" s="771"/>
      <c r="F8133" s="31"/>
      <c r="G8133" s="31"/>
      <c r="H8133" s="31"/>
    </row>
    <row r="8134" spans="2:8" hidden="1">
      <c r="B8134" s="200"/>
      <c r="C8134" s="31"/>
      <c r="D8134" s="75"/>
      <c r="E8134" s="771"/>
      <c r="F8134" s="31"/>
      <c r="G8134" s="31"/>
      <c r="H8134" s="31"/>
    </row>
    <row r="8135" spans="2:8" hidden="1">
      <c r="B8135" s="200"/>
      <c r="C8135" s="31"/>
      <c r="D8135" s="75"/>
      <c r="E8135" s="771"/>
      <c r="F8135" s="31"/>
      <c r="G8135" s="31"/>
      <c r="H8135" s="31"/>
    </row>
    <row r="8136" spans="2:8" hidden="1">
      <c r="B8136" s="200"/>
      <c r="C8136" s="31"/>
      <c r="D8136" s="75"/>
      <c r="E8136" s="771"/>
      <c r="F8136" s="31"/>
      <c r="G8136" s="31"/>
      <c r="H8136" s="31"/>
    </row>
    <row r="8137" spans="2:8" hidden="1">
      <c r="B8137" s="200"/>
      <c r="C8137" s="31"/>
      <c r="D8137" s="75"/>
      <c r="E8137" s="771"/>
      <c r="F8137" s="31"/>
      <c r="G8137" s="31"/>
      <c r="H8137" s="31"/>
    </row>
    <row r="8138" spans="2:8" hidden="1">
      <c r="B8138" s="200"/>
      <c r="C8138" s="31"/>
      <c r="D8138" s="75"/>
      <c r="E8138" s="771"/>
      <c r="F8138" s="31"/>
      <c r="G8138" s="31"/>
      <c r="H8138" s="31"/>
    </row>
    <row r="8139" spans="2:8" hidden="1">
      <c r="B8139" s="200"/>
      <c r="C8139" s="31"/>
      <c r="D8139" s="75"/>
      <c r="E8139" s="771"/>
      <c r="F8139" s="31"/>
      <c r="G8139" s="31"/>
      <c r="H8139" s="31"/>
    </row>
    <row r="8140" spans="2:8" hidden="1">
      <c r="B8140" s="200"/>
      <c r="C8140" s="31"/>
      <c r="D8140" s="75"/>
      <c r="E8140" s="771"/>
      <c r="F8140" s="31"/>
      <c r="G8140" s="31"/>
      <c r="H8140" s="31"/>
    </row>
    <row r="8141" spans="2:8" hidden="1">
      <c r="B8141" s="200"/>
      <c r="C8141" s="31"/>
      <c r="D8141" s="75"/>
      <c r="E8141" s="771"/>
      <c r="F8141" s="31"/>
      <c r="G8141" s="31"/>
      <c r="H8141" s="31"/>
    </row>
    <row r="8142" spans="2:8" hidden="1">
      <c r="B8142" s="200"/>
      <c r="C8142" s="31"/>
      <c r="D8142" s="75"/>
      <c r="E8142" s="771"/>
      <c r="F8142" s="31"/>
      <c r="G8142" s="31"/>
      <c r="H8142" s="31"/>
    </row>
    <row r="8143" spans="2:8" hidden="1">
      <c r="B8143" s="200"/>
      <c r="C8143" s="31"/>
      <c r="D8143" s="75"/>
      <c r="E8143" s="771"/>
      <c r="F8143" s="31"/>
      <c r="G8143" s="31"/>
      <c r="H8143" s="31"/>
    </row>
    <row r="8144" spans="2:8" hidden="1">
      <c r="B8144" s="200"/>
      <c r="C8144" s="31"/>
      <c r="D8144" s="75"/>
      <c r="E8144" s="771"/>
      <c r="F8144" s="31"/>
      <c r="G8144" s="31"/>
      <c r="H8144" s="31"/>
    </row>
    <row r="8145" spans="2:8" hidden="1">
      <c r="B8145" s="200"/>
      <c r="C8145" s="31"/>
      <c r="D8145" s="75"/>
      <c r="E8145" s="771"/>
      <c r="F8145" s="31"/>
      <c r="G8145" s="31"/>
      <c r="H8145" s="31"/>
    </row>
    <row r="8146" spans="2:8" hidden="1">
      <c r="B8146" s="200"/>
      <c r="C8146" s="31"/>
      <c r="D8146" s="75"/>
      <c r="E8146" s="771"/>
      <c r="F8146" s="31"/>
      <c r="G8146" s="31"/>
      <c r="H8146" s="31"/>
    </row>
    <row r="8147" spans="2:8" hidden="1">
      <c r="B8147" s="200"/>
      <c r="C8147" s="31"/>
      <c r="D8147" s="75"/>
      <c r="E8147" s="772"/>
      <c r="F8147" s="31"/>
      <c r="G8147" s="31"/>
      <c r="H8147" s="31"/>
    </row>
    <row r="8148" spans="2:8" hidden="1">
      <c r="B8148" s="200"/>
      <c r="C8148" s="31"/>
      <c r="D8148" s="75"/>
      <c r="E8148" s="772"/>
      <c r="F8148" s="33"/>
      <c r="G8148" s="33"/>
      <c r="H8148" s="31"/>
    </row>
    <row r="8149" spans="2:8" hidden="1">
      <c r="B8149" s="200"/>
      <c r="C8149" s="31"/>
      <c r="D8149" s="75"/>
      <c r="E8149" s="771"/>
      <c r="F8149" s="31"/>
      <c r="G8149" s="31"/>
      <c r="H8149" s="31"/>
    </row>
    <row r="8150" spans="2:8" hidden="1">
      <c r="B8150" s="200"/>
      <c r="C8150" s="31"/>
      <c r="D8150" s="75"/>
      <c r="E8150" s="771"/>
      <c r="F8150" s="31"/>
      <c r="G8150" s="31"/>
      <c r="H8150" s="31"/>
    </row>
    <row r="8151" spans="2:8" hidden="1">
      <c r="B8151" s="200"/>
      <c r="C8151" s="31"/>
      <c r="D8151" s="75"/>
      <c r="E8151" s="771"/>
      <c r="F8151" s="31"/>
      <c r="G8151" s="31"/>
      <c r="H8151" s="31"/>
    </row>
    <row r="8152" spans="2:8" hidden="1">
      <c r="B8152" s="200"/>
      <c r="C8152" s="31"/>
      <c r="D8152" s="75"/>
      <c r="E8152" s="771"/>
      <c r="F8152" s="31"/>
      <c r="G8152" s="31"/>
      <c r="H8152" s="31"/>
    </row>
    <row r="8153" spans="2:8" hidden="1">
      <c r="B8153" s="200"/>
      <c r="C8153" s="31"/>
      <c r="D8153" s="75"/>
      <c r="E8153" s="771"/>
      <c r="F8153" s="31"/>
      <c r="G8153" s="31"/>
      <c r="H8153" s="31"/>
    </row>
    <row r="8154" spans="2:8" hidden="1">
      <c r="B8154" s="200"/>
      <c r="C8154" s="31"/>
      <c r="D8154" s="75"/>
      <c r="E8154" s="771"/>
      <c r="F8154" s="31"/>
      <c r="G8154" s="31"/>
      <c r="H8154" s="31"/>
    </row>
    <row r="8155" spans="2:8" hidden="1">
      <c r="B8155" s="200"/>
      <c r="C8155" s="31"/>
      <c r="D8155" s="75"/>
      <c r="E8155" s="771"/>
      <c r="F8155" s="31"/>
      <c r="G8155" s="31"/>
      <c r="H8155" s="31"/>
    </row>
    <row r="8156" spans="2:8" hidden="1">
      <c r="B8156" s="200"/>
      <c r="C8156" s="31"/>
      <c r="D8156" s="75"/>
      <c r="E8156" s="771"/>
      <c r="F8156" s="31"/>
      <c r="G8156" s="31"/>
      <c r="H8156" s="31"/>
    </row>
    <row r="8157" spans="2:8" hidden="1">
      <c r="B8157" s="200"/>
      <c r="C8157" s="31"/>
      <c r="D8157" s="75"/>
      <c r="E8157" s="771"/>
      <c r="F8157" s="31"/>
      <c r="G8157" s="31"/>
      <c r="H8157" s="31"/>
    </row>
    <row r="8158" spans="2:8" hidden="1">
      <c r="B8158" s="200"/>
      <c r="C8158" s="31"/>
      <c r="D8158" s="75"/>
      <c r="E8158" s="771"/>
      <c r="F8158" s="31"/>
      <c r="G8158" s="31"/>
      <c r="H8158" s="31"/>
    </row>
    <row r="8159" spans="2:8" hidden="1">
      <c r="B8159" s="200"/>
      <c r="C8159" s="31"/>
      <c r="D8159" s="75"/>
      <c r="E8159" s="771"/>
      <c r="F8159" s="31"/>
      <c r="G8159" s="31"/>
      <c r="H8159" s="31"/>
    </row>
    <row r="8160" spans="2:8" hidden="1">
      <c r="B8160" s="200"/>
      <c r="C8160" s="31"/>
      <c r="D8160" s="75"/>
      <c r="E8160" s="771"/>
      <c r="F8160" s="31"/>
      <c r="G8160" s="31"/>
      <c r="H8160" s="31"/>
    </row>
    <row r="8161" spans="2:8" hidden="1">
      <c r="B8161" s="200"/>
      <c r="C8161" s="31"/>
      <c r="D8161" s="75"/>
      <c r="E8161" s="771"/>
      <c r="F8161" s="31"/>
      <c r="G8161" s="31"/>
      <c r="H8161" s="31"/>
    </row>
    <row r="8162" spans="2:8" hidden="1">
      <c r="B8162" s="200"/>
      <c r="C8162" s="31"/>
      <c r="D8162" s="75"/>
      <c r="E8162" s="772"/>
      <c r="F8162" s="33"/>
      <c r="G8162" s="33"/>
      <c r="H8162" s="31"/>
    </row>
    <row r="8163" spans="2:8" hidden="1">
      <c r="B8163" s="33"/>
      <c r="C8163" s="200"/>
      <c r="D8163" s="75"/>
      <c r="E8163" s="771"/>
      <c r="F8163" s="31"/>
      <c r="G8163" s="31"/>
      <c r="H8163" s="31"/>
    </row>
    <row r="8164" spans="2:8" hidden="1">
      <c r="B8164" s="33"/>
      <c r="C8164" s="31"/>
      <c r="D8164" s="104"/>
      <c r="E8164" s="772"/>
      <c r="F8164" s="33"/>
      <c r="G8164" s="33"/>
      <c r="H8164" s="31"/>
    </row>
    <row r="8165" spans="2:8" hidden="1">
      <c r="B8165" s="33"/>
      <c r="C8165" s="31"/>
      <c r="D8165" s="31"/>
      <c r="E8165" s="31"/>
      <c r="F8165" s="31"/>
      <c r="G8165" s="31"/>
      <c r="H8165" s="31"/>
    </row>
    <row r="8166" spans="2:8" hidden="1">
      <c r="B8166" s="33"/>
      <c r="C8166" s="31"/>
      <c r="D8166" s="31"/>
      <c r="E8166" s="31"/>
      <c r="F8166" s="31"/>
      <c r="G8166" s="31"/>
      <c r="H8166" s="31"/>
    </row>
    <row r="8167" spans="2:8" hidden="1">
      <c r="B8167" s="33"/>
      <c r="C8167" s="31"/>
      <c r="D8167" s="31"/>
      <c r="E8167" s="31"/>
      <c r="F8167" s="31"/>
      <c r="G8167" s="31"/>
      <c r="H8167" s="31"/>
    </row>
    <row r="8168" spans="2:8" hidden="1">
      <c r="B8168" s="33"/>
      <c r="C8168" s="31"/>
      <c r="D8168" s="31"/>
      <c r="E8168" s="31"/>
      <c r="F8168" s="691"/>
      <c r="G8168" s="75"/>
      <c r="H8168" s="31"/>
    </row>
    <row r="8169" spans="2:8" hidden="1">
      <c r="B8169" s="33"/>
      <c r="C8169" s="31"/>
      <c r="D8169" s="31"/>
      <c r="E8169" s="31"/>
      <c r="F8169" s="691"/>
      <c r="G8169" s="75"/>
      <c r="H8169" s="31"/>
    </row>
    <row r="8170" spans="2:8" hidden="1">
      <c r="B8170" s="33"/>
      <c r="C8170" s="31"/>
      <c r="D8170" s="31"/>
      <c r="E8170" s="31"/>
      <c r="F8170" s="691"/>
      <c r="G8170" s="75"/>
      <c r="H8170" s="31"/>
    </row>
    <row r="8171" spans="2:8" hidden="1">
      <c r="B8171" s="33"/>
      <c r="C8171" s="31"/>
      <c r="D8171" s="31"/>
      <c r="E8171" s="31"/>
      <c r="F8171" s="691"/>
      <c r="G8171" s="75"/>
      <c r="H8171" s="31"/>
    </row>
    <row r="8172" spans="2:8" hidden="1">
      <c r="B8172" s="33"/>
      <c r="C8172" s="31"/>
      <c r="D8172" s="31"/>
      <c r="E8172" s="31"/>
      <c r="F8172" s="691"/>
      <c r="G8172" s="75"/>
      <c r="H8172" s="31"/>
    </row>
    <row r="8173" spans="2:8" hidden="1">
      <c r="B8173" s="33"/>
      <c r="C8173" s="31"/>
      <c r="D8173" s="31"/>
      <c r="E8173" s="31"/>
      <c r="F8173" s="691"/>
      <c r="G8173" s="75"/>
      <c r="H8173" s="31"/>
    </row>
    <row r="8174" spans="2:8" hidden="1">
      <c r="B8174" s="33"/>
      <c r="C8174" s="31"/>
      <c r="D8174" s="31"/>
      <c r="E8174" s="31"/>
      <c r="F8174" s="691"/>
      <c r="G8174" s="75"/>
      <c r="H8174" s="31"/>
    </row>
    <row r="8175" spans="2:8" hidden="1">
      <c r="B8175" s="33"/>
      <c r="C8175" s="31"/>
      <c r="D8175" s="31"/>
      <c r="E8175" s="31"/>
      <c r="F8175" s="691"/>
      <c r="G8175" s="75"/>
      <c r="H8175" s="31"/>
    </row>
    <row r="8176" spans="2:8" hidden="1">
      <c r="B8176" s="33"/>
      <c r="C8176" s="31"/>
      <c r="D8176" s="31"/>
      <c r="E8176" s="31"/>
      <c r="F8176" s="691"/>
      <c r="G8176" s="75"/>
      <c r="H8176" s="31"/>
    </row>
    <row r="8177" spans="2:8" hidden="1">
      <c r="B8177" s="33"/>
      <c r="C8177" s="31"/>
      <c r="D8177" s="31"/>
      <c r="E8177" s="31"/>
      <c r="F8177" s="691"/>
      <c r="G8177" s="75"/>
      <c r="H8177" s="31"/>
    </row>
    <row r="8178" spans="2:8" hidden="1">
      <c r="B8178" s="33"/>
      <c r="C8178" s="31"/>
      <c r="D8178" s="31"/>
      <c r="E8178" s="31"/>
      <c r="F8178" s="691"/>
      <c r="G8178" s="75"/>
      <c r="H8178" s="31"/>
    </row>
    <row r="8179" spans="2:8" hidden="1">
      <c r="B8179" s="33"/>
      <c r="C8179" s="31"/>
      <c r="D8179" s="31"/>
      <c r="E8179" s="31"/>
      <c r="F8179" s="691"/>
      <c r="G8179" s="31"/>
      <c r="H8179" s="31"/>
    </row>
    <row r="8180" spans="2:8" hidden="1">
      <c r="B8180" s="33"/>
      <c r="C8180" s="31"/>
      <c r="D8180" s="31"/>
      <c r="E8180" s="31"/>
      <c r="F8180" s="31"/>
      <c r="G8180" s="31"/>
      <c r="H8180" s="31"/>
    </row>
    <row r="8181" spans="2:8" hidden="1">
      <c r="B8181" s="33"/>
      <c r="C8181" s="31"/>
      <c r="D8181" s="31"/>
      <c r="E8181" s="31"/>
      <c r="F8181" s="31"/>
      <c r="G8181" s="31"/>
      <c r="H8181" s="31"/>
    </row>
    <row r="8182" spans="2:8" hidden="1">
      <c r="B8182" s="33"/>
      <c r="C8182" s="31"/>
      <c r="D8182" s="31"/>
      <c r="E8182" s="31"/>
      <c r="F8182" s="31"/>
      <c r="G8182" s="31"/>
      <c r="H8182" s="31"/>
    </row>
    <row r="8183" spans="2:8" hidden="1">
      <c r="B8183" s="33"/>
      <c r="C8183" s="31"/>
      <c r="D8183" s="31"/>
      <c r="E8183" s="31"/>
      <c r="F8183" s="31"/>
      <c r="G8183" s="31"/>
      <c r="H8183" s="31"/>
    </row>
    <row r="8184" spans="2:8" hidden="1">
      <c r="B8184" s="33"/>
      <c r="C8184" s="31"/>
      <c r="D8184" s="31"/>
      <c r="E8184" s="31"/>
      <c r="F8184" s="31"/>
      <c r="G8184" s="31"/>
      <c r="H8184" s="31"/>
    </row>
    <row r="8185" spans="2:8" hidden="1">
      <c r="B8185" s="33"/>
      <c r="C8185" s="31"/>
      <c r="D8185" s="31"/>
      <c r="E8185" s="31"/>
      <c r="F8185" s="31"/>
      <c r="G8185" s="31"/>
      <c r="H8185" s="31"/>
    </row>
    <row r="8186" spans="2:8" hidden="1">
      <c r="B8186" s="33"/>
      <c r="C8186" s="31"/>
      <c r="D8186" s="31"/>
      <c r="E8186" s="31"/>
      <c r="F8186" s="31"/>
      <c r="G8186" s="31"/>
      <c r="H8186" s="31"/>
    </row>
    <row r="8187" spans="2:8" hidden="1">
      <c r="B8187" s="33"/>
      <c r="C8187" s="31"/>
      <c r="D8187" s="31"/>
      <c r="E8187" s="31"/>
      <c r="F8187" s="31"/>
      <c r="G8187" s="31"/>
      <c r="H8187" s="31"/>
    </row>
    <row r="8188" spans="2:8" hidden="1">
      <c r="B8188" s="33"/>
      <c r="C8188" s="31"/>
      <c r="D8188" s="33"/>
      <c r="E8188" s="31"/>
      <c r="F8188" s="33"/>
      <c r="G8188" s="33"/>
      <c r="H8188" s="31"/>
    </row>
    <row r="8189" spans="2:8" hidden="1">
      <c r="B8189" s="33"/>
      <c r="C8189" s="31"/>
      <c r="D8189" s="33"/>
      <c r="E8189" s="33"/>
      <c r="F8189" s="33"/>
      <c r="G8189" s="33"/>
      <c r="H8189" s="31"/>
    </row>
    <row r="8190" spans="2:8" hidden="1">
      <c r="B8190" s="33"/>
      <c r="C8190" s="31"/>
      <c r="D8190" s="31"/>
      <c r="E8190" s="31"/>
      <c r="F8190" s="31"/>
      <c r="G8190" s="31"/>
      <c r="H8190" s="31"/>
    </row>
    <row r="8191" spans="2:8" hidden="1">
      <c r="B8191" s="200"/>
      <c r="C8191" s="31"/>
      <c r="D8191" s="75"/>
      <c r="E8191" s="771"/>
      <c r="F8191" s="33"/>
      <c r="G8191" s="33"/>
      <c r="H8191" s="31"/>
    </row>
    <row r="8192" spans="2:8" hidden="1">
      <c r="B8192" s="200"/>
      <c r="C8192" s="31"/>
      <c r="D8192" s="75"/>
      <c r="E8192" s="771"/>
      <c r="F8192" s="33"/>
      <c r="G8192" s="33"/>
      <c r="H8192" s="31"/>
    </row>
    <row r="8193" spans="2:8" hidden="1">
      <c r="B8193" s="200"/>
      <c r="C8193" s="31"/>
      <c r="D8193" s="75"/>
      <c r="E8193" s="771"/>
      <c r="F8193" s="771"/>
      <c r="G8193" s="31"/>
      <c r="H8193" s="31"/>
    </row>
    <row r="8194" spans="2:8" hidden="1">
      <c r="B8194" s="200"/>
      <c r="C8194" s="31"/>
      <c r="D8194" s="75"/>
      <c r="E8194" s="771"/>
      <c r="F8194" s="771"/>
      <c r="G8194" s="31"/>
      <c r="H8194" s="31"/>
    </row>
    <row r="8195" spans="2:8" hidden="1">
      <c r="B8195" s="200"/>
      <c r="C8195" s="31"/>
      <c r="D8195" s="75"/>
      <c r="E8195" s="771"/>
      <c r="F8195" s="771"/>
      <c r="G8195" s="31"/>
      <c r="H8195" s="31"/>
    </row>
    <row r="8196" spans="2:8" hidden="1">
      <c r="B8196" s="200"/>
      <c r="C8196" s="31"/>
      <c r="D8196" s="75"/>
      <c r="E8196" s="771"/>
      <c r="F8196" s="771"/>
      <c r="G8196" s="31"/>
      <c r="H8196" s="31"/>
    </row>
    <row r="8197" spans="2:8" hidden="1">
      <c r="B8197" s="200"/>
      <c r="C8197" s="31"/>
      <c r="D8197" s="75"/>
      <c r="E8197" s="771"/>
      <c r="F8197" s="771"/>
      <c r="G8197" s="31"/>
      <c r="H8197" s="31"/>
    </row>
    <row r="8198" spans="2:8" hidden="1">
      <c r="B8198" s="200"/>
      <c r="C8198" s="31"/>
      <c r="D8198" s="75"/>
      <c r="E8198" s="771"/>
      <c r="F8198" s="771"/>
      <c r="G8198" s="31"/>
      <c r="H8198" s="31"/>
    </row>
    <row r="8199" spans="2:8" hidden="1">
      <c r="B8199" s="200"/>
      <c r="C8199" s="31"/>
      <c r="D8199" s="75"/>
      <c r="E8199" s="771"/>
      <c r="F8199" s="771"/>
      <c r="G8199" s="31"/>
      <c r="H8199" s="31"/>
    </row>
    <row r="8200" spans="2:8" hidden="1">
      <c r="B8200" s="200"/>
      <c r="C8200" s="31"/>
      <c r="D8200" s="75"/>
      <c r="E8200" s="771"/>
      <c r="F8200" s="771"/>
      <c r="G8200" s="31"/>
      <c r="H8200" s="31"/>
    </row>
    <row r="8201" spans="2:8" hidden="1">
      <c r="B8201" s="200"/>
      <c r="C8201" s="31"/>
      <c r="D8201" s="75"/>
      <c r="E8201" s="33"/>
      <c r="F8201" s="33"/>
      <c r="G8201" s="33"/>
      <c r="H8201" s="31"/>
    </row>
    <row r="8202" spans="2:8" hidden="1">
      <c r="B8202" s="200"/>
      <c r="C8202" s="31"/>
      <c r="D8202" s="31"/>
      <c r="E8202" s="31"/>
      <c r="F8202" s="31"/>
      <c r="G8202" s="31"/>
      <c r="H8202" s="31"/>
    </row>
    <row r="8203" spans="2:8" hidden="1">
      <c r="B8203" s="200"/>
      <c r="C8203" s="31"/>
      <c r="D8203" s="75"/>
      <c r="E8203" s="33"/>
      <c r="F8203" s="33"/>
      <c r="G8203" s="33"/>
      <c r="H8203" s="31"/>
    </row>
    <row r="8204" spans="2:8" hidden="1">
      <c r="B8204" s="200"/>
      <c r="C8204" s="31"/>
      <c r="D8204" s="75"/>
      <c r="E8204" s="33"/>
      <c r="F8204" s="33"/>
      <c r="G8204" s="33"/>
      <c r="H8204" s="31"/>
    </row>
    <row r="8205" spans="2:8" hidden="1">
      <c r="B8205" s="200"/>
      <c r="C8205" s="31"/>
      <c r="D8205" s="75"/>
      <c r="E8205" s="33"/>
      <c r="F8205" s="33"/>
      <c r="G8205" s="33"/>
      <c r="H8205" s="31"/>
    </row>
    <row r="8206" spans="2:8" hidden="1">
      <c r="B8206" s="200"/>
      <c r="C8206" s="31"/>
      <c r="D8206" s="75"/>
      <c r="E8206" s="33"/>
      <c r="F8206" s="33"/>
      <c r="G8206" s="33"/>
      <c r="H8206" s="31"/>
    </row>
    <row r="8207" spans="2:8" hidden="1">
      <c r="B8207" s="200"/>
      <c r="C8207" s="31"/>
      <c r="D8207" s="75"/>
      <c r="E8207" s="33"/>
      <c r="F8207" s="33"/>
      <c r="G8207" s="33"/>
      <c r="H8207" s="31"/>
    </row>
    <row r="8208" spans="2:8" hidden="1">
      <c r="B8208" s="200"/>
      <c r="C8208" s="31"/>
      <c r="D8208" s="75"/>
      <c r="E8208" s="33"/>
      <c r="F8208" s="33"/>
      <c r="G8208" s="33"/>
      <c r="H8208" s="31"/>
    </row>
    <row r="8209" spans="2:8" hidden="1">
      <c r="B8209" s="200"/>
      <c r="C8209" s="31"/>
      <c r="D8209" s="75"/>
      <c r="E8209" s="33"/>
      <c r="F8209" s="33"/>
      <c r="G8209" s="33"/>
      <c r="H8209" s="31"/>
    </row>
    <row r="8210" spans="2:8" hidden="1">
      <c r="B8210" s="33"/>
      <c r="C8210" s="31"/>
      <c r="D8210" s="31"/>
      <c r="E8210" s="31"/>
      <c r="F8210" s="31"/>
      <c r="G8210" s="31"/>
      <c r="H8210" s="31"/>
    </row>
    <row r="8211" spans="2:8" hidden="1">
      <c r="B8211" s="33"/>
      <c r="C8211" s="31"/>
      <c r="D8211" s="75"/>
      <c r="E8211" s="33"/>
      <c r="F8211" s="33"/>
      <c r="G8211" s="33"/>
      <c r="H8211" s="31"/>
    </row>
    <row r="8212" spans="2:8" hidden="1">
      <c r="B8212" s="33"/>
      <c r="C8212" s="31"/>
      <c r="D8212" s="75"/>
      <c r="E8212" s="33"/>
      <c r="F8212" s="33"/>
      <c r="G8212" s="33"/>
      <c r="H8212" s="31"/>
    </row>
    <row r="8213" spans="2:8" hidden="1">
      <c r="B8213" s="33"/>
      <c r="C8213" s="31"/>
      <c r="D8213" s="75"/>
      <c r="E8213" s="33"/>
      <c r="F8213" s="33"/>
      <c r="G8213" s="33"/>
      <c r="H8213" s="31"/>
    </row>
    <row r="8214" spans="2:8" hidden="1">
      <c r="B8214" s="33"/>
      <c r="C8214" s="31"/>
      <c r="D8214" s="75"/>
      <c r="E8214" s="33"/>
      <c r="F8214" s="33"/>
      <c r="G8214" s="33"/>
      <c r="H8214" s="31"/>
    </row>
    <row r="8215" spans="2:8" hidden="1">
      <c r="B8215" s="33"/>
      <c r="C8215" s="31"/>
      <c r="D8215" s="31"/>
      <c r="E8215" s="31"/>
      <c r="F8215" s="31"/>
      <c r="G8215" s="31"/>
      <c r="H8215" s="31"/>
    </row>
    <row r="8216" spans="2:8" hidden="1">
      <c r="B8216" s="33"/>
      <c r="C8216" s="31"/>
      <c r="D8216" s="75"/>
      <c r="E8216" s="33"/>
      <c r="F8216" s="33"/>
      <c r="G8216" s="33"/>
      <c r="H8216" s="31"/>
    </row>
    <row r="8217" spans="2:8" hidden="1">
      <c r="B8217" s="33"/>
      <c r="C8217" s="31"/>
      <c r="D8217" s="75"/>
      <c r="E8217" s="33"/>
      <c r="F8217" s="33"/>
      <c r="G8217" s="33"/>
      <c r="H8217" s="31"/>
    </row>
    <row r="8218" spans="2:8" hidden="1">
      <c r="B8218" s="33"/>
      <c r="C8218" s="31"/>
      <c r="D8218" s="75"/>
      <c r="E8218" s="33"/>
      <c r="F8218" s="33"/>
      <c r="G8218" s="33"/>
      <c r="H8218" s="31"/>
    </row>
    <row r="8219" spans="2:8" hidden="1">
      <c r="B8219" s="33"/>
      <c r="C8219" s="31"/>
      <c r="D8219" s="75"/>
      <c r="E8219" s="33"/>
      <c r="F8219" s="33"/>
      <c r="G8219" s="33"/>
      <c r="H8219" s="31"/>
    </row>
    <row r="8220" spans="2:8" hidden="1">
      <c r="B8220" s="33"/>
      <c r="C8220" s="31"/>
      <c r="D8220" s="75"/>
      <c r="E8220" s="33"/>
      <c r="F8220" s="33"/>
      <c r="G8220" s="33"/>
      <c r="H8220" s="31"/>
    </row>
    <row r="8221" spans="2:8" hidden="1">
      <c r="B8221" s="33"/>
      <c r="C8221" s="31"/>
      <c r="D8221" s="75"/>
      <c r="E8221" s="33"/>
      <c r="F8221" s="33"/>
      <c r="G8221" s="33"/>
      <c r="H8221" s="31"/>
    </row>
    <row r="8222" spans="2:8" hidden="1">
      <c r="B8222" s="33"/>
      <c r="C8222" s="31"/>
      <c r="D8222" s="75"/>
      <c r="E8222" s="33"/>
      <c r="F8222" s="33"/>
      <c r="G8222" s="33"/>
      <c r="H8222" s="31"/>
    </row>
    <row r="8223" spans="2:8" hidden="1">
      <c r="B8223" s="33"/>
      <c r="C8223" s="31"/>
      <c r="D8223" s="31"/>
      <c r="E8223" s="31"/>
      <c r="F8223" s="31"/>
      <c r="G8223" s="31"/>
      <c r="H8223" s="31"/>
    </row>
    <row r="8224" spans="2:8" hidden="1">
      <c r="B8224" s="33"/>
      <c r="C8224" s="31"/>
      <c r="D8224" s="75"/>
      <c r="E8224" s="33"/>
      <c r="F8224" s="33"/>
      <c r="G8224" s="33"/>
      <c r="H8224" s="31"/>
    </row>
    <row r="8225" spans="2:8" hidden="1">
      <c r="B8225" s="33"/>
      <c r="C8225" s="31"/>
      <c r="D8225" s="75"/>
      <c r="E8225" s="771"/>
      <c r="F8225" s="31"/>
      <c r="G8225" s="31"/>
      <c r="H8225" s="31"/>
    </row>
    <row r="8226" spans="2:8" hidden="1">
      <c r="B8226" s="33"/>
      <c r="C8226" s="31"/>
      <c r="D8226" s="75"/>
      <c r="E8226" s="771"/>
      <c r="F8226" s="31"/>
      <c r="G8226" s="31"/>
      <c r="H8226" s="31"/>
    </row>
    <row r="8227" spans="2:8" hidden="1">
      <c r="B8227" s="33"/>
      <c r="C8227" s="31"/>
      <c r="D8227" s="75"/>
      <c r="E8227" s="772"/>
      <c r="F8227" s="31"/>
      <c r="G8227" s="31"/>
      <c r="H8227" s="31"/>
    </row>
    <row r="8228" spans="2:8" hidden="1">
      <c r="B8228" s="33"/>
      <c r="C8228" s="31"/>
      <c r="D8228" s="75"/>
      <c r="E8228" s="771"/>
      <c r="F8228" s="771"/>
      <c r="G8228" s="31"/>
      <c r="H8228" s="31"/>
    </row>
    <row r="8229" spans="2:8" hidden="1">
      <c r="B8229" s="33"/>
      <c r="C8229" s="31"/>
      <c r="D8229" s="75"/>
      <c r="E8229" s="31"/>
      <c r="F8229" s="31"/>
      <c r="G8229" s="31"/>
      <c r="H8229" s="31"/>
    </row>
    <row r="8230" spans="2:8" hidden="1">
      <c r="B8230" s="33"/>
      <c r="C8230" s="31"/>
      <c r="D8230" s="75"/>
      <c r="E8230" s="31"/>
      <c r="F8230" s="31"/>
      <c r="G8230" s="31"/>
      <c r="H8230" s="31"/>
    </row>
    <row r="8231" spans="2:8" hidden="1">
      <c r="B8231" s="33"/>
      <c r="C8231" s="31"/>
      <c r="D8231" s="31"/>
      <c r="E8231" s="31"/>
      <c r="F8231" s="31"/>
      <c r="G8231" s="31"/>
      <c r="H8231" s="31"/>
    </row>
    <row r="8232" spans="2:8" hidden="1">
      <c r="B8232" s="33"/>
      <c r="C8232" s="31"/>
      <c r="D8232" s="75"/>
      <c r="E8232" s="33"/>
      <c r="F8232" s="33"/>
      <c r="G8232" s="33"/>
      <c r="H8232" s="31"/>
    </row>
    <row r="8233" spans="2:8" hidden="1">
      <c r="B8233" s="33"/>
      <c r="C8233" s="31"/>
      <c r="D8233" s="75"/>
      <c r="E8233" s="33"/>
      <c r="F8233" s="33"/>
      <c r="G8233" s="33"/>
      <c r="H8233" s="31"/>
    </row>
    <row r="8234" spans="2:8" hidden="1">
      <c r="B8234" s="33"/>
      <c r="C8234" s="31"/>
      <c r="D8234" s="75"/>
      <c r="E8234" s="33"/>
      <c r="F8234" s="33"/>
      <c r="G8234" s="33"/>
      <c r="H8234" s="31"/>
    </row>
    <row r="8235" spans="2:8" hidden="1">
      <c r="B8235" s="33"/>
      <c r="C8235" s="31"/>
      <c r="D8235" s="75"/>
      <c r="E8235" s="33"/>
      <c r="F8235" s="33"/>
      <c r="G8235" s="33"/>
      <c r="H8235" s="31"/>
    </row>
    <row r="8236" spans="2:8" hidden="1">
      <c r="B8236" s="33"/>
      <c r="C8236" s="31"/>
      <c r="D8236" s="75"/>
      <c r="E8236" s="33"/>
      <c r="F8236" s="33"/>
      <c r="G8236" s="33"/>
      <c r="H8236" s="31"/>
    </row>
    <row r="8237" spans="2:8" hidden="1">
      <c r="B8237" s="33"/>
      <c r="C8237" s="31"/>
      <c r="D8237" s="75"/>
      <c r="E8237" s="33"/>
      <c r="F8237" s="33"/>
      <c r="G8237" s="33"/>
      <c r="H8237" s="31"/>
    </row>
    <row r="8238" spans="2:8" hidden="1">
      <c r="B8238" s="33"/>
      <c r="C8238" s="31"/>
      <c r="D8238" s="75"/>
      <c r="E8238" s="33"/>
      <c r="F8238" s="33"/>
      <c r="G8238" s="33"/>
      <c r="H8238" s="31"/>
    </row>
    <row r="8239" spans="2:8" hidden="1">
      <c r="B8239" s="33"/>
      <c r="C8239" s="31"/>
      <c r="D8239" s="75"/>
      <c r="E8239" s="33"/>
      <c r="F8239" s="33"/>
      <c r="G8239" s="33"/>
      <c r="H8239" s="31"/>
    </row>
    <row r="8240" spans="2:8" hidden="1">
      <c r="B8240" s="33"/>
      <c r="C8240" s="31"/>
      <c r="D8240" s="75"/>
      <c r="E8240" s="33"/>
      <c r="F8240" s="33"/>
      <c r="G8240" s="33"/>
      <c r="H8240" s="31"/>
    </row>
    <row r="8241" spans="2:8" hidden="1">
      <c r="B8241" s="33"/>
      <c r="C8241" s="31"/>
      <c r="D8241" s="31"/>
      <c r="E8241" s="31"/>
      <c r="F8241" s="31"/>
      <c r="G8241" s="31"/>
      <c r="H8241" s="31"/>
    </row>
    <row r="8242" spans="2:8" hidden="1">
      <c r="B8242" s="33"/>
      <c r="C8242" s="31"/>
      <c r="D8242" s="75"/>
      <c r="E8242" s="33"/>
      <c r="F8242" s="33"/>
      <c r="G8242" s="33"/>
      <c r="H8242" s="31"/>
    </row>
    <row r="8243" spans="2:8" hidden="1">
      <c r="B8243" s="33"/>
      <c r="C8243" s="31"/>
      <c r="D8243" s="75"/>
      <c r="E8243" s="33"/>
      <c r="F8243" s="33"/>
      <c r="G8243" s="33"/>
      <c r="H8243" s="31"/>
    </row>
    <row r="8244" spans="2:8" hidden="1">
      <c r="B8244" s="33"/>
      <c r="C8244" s="31"/>
      <c r="D8244" s="75"/>
      <c r="E8244" s="33"/>
      <c r="F8244" s="33"/>
      <c r="G8244" s="33"/>
      <c r="H8244" s="31"/>
    </row>
    <row r="8245" spans="2:8" hidden="1">
      <c r="B8245" s="33"/>
      <c r="C8245" s="31"/>
      <c r="D8245" s="75"/>
      <c r="E8245" s="33"/>
      <c r="F8245" s="33"/>
      <c r="G8245" s="33"/>
      <c r="H8245" s="31"/>
    </row>
    <row r="8246" spans="2:8" hidden="1">
      <c r="B8246" s="33"/>
      <c r="C8246" s="31"/>
      <c r="D8246" s="75"/>
      <c r="E8246" s="33"/>
      <c r="F8246" s="33"/>
      <c r="G8246" s="33"/>
      <c r="H8246" s="31"/>
    </row>
    <row r="8247" spans="2:8" hidden="1">
      <c r="B8247" s="33"/>
      <c r="C8247" s="31"/>
      <c r="D8247" s="75"/>
      <c r="E8247" s="33"/>
      <c r="F8247" s="33"/>
      <c r="G8247" s="33"/>
      <c r="H8247" s="31"/>
    </row>
    <row r="8248" spans="2:8" hidden="1">
      <c r="B8248" s="33"/>
      <c r="C8248" s="31"/>
      <c r="D8248" s="75"/>
      <c r="E8248" s="33"/>
      <c r="F8248" s="33"/>
      <c r="G8248" s="33"/>
      <c r="H8248" s="31"/>
    </row>
    <row r="8249" spans="2:8" hidden="1">
      <c r="B8249" s="33"/>
      <c r="C8249" s="31"/>
      <c r="D8249" s="75"/>
      <c r="E8249" s="33"/>
      <c r="F8249" s="33"/>
      <c r="G8249" s="33"/>
      <c r="H8249" s="31"/>
    </row>
    <row r="8250" spans="2:8" hidden="1">
      <c r="B8250" s="33"/>
      <c r="C8250" s="31"/>
      <c r="D8250" s="75"/>
      <c r="E8250" s="33"/>
      <c r="F8250" s="33"/>
      <c r="G8250" s="33"/>
      <c r="H8250" s="31"/>
    </row>
    <row r="8251" spans="2:8" hidden="1">
      <c r="B8251" s="33"/>
      <c r="C8251" s="200"/>
      <c r="D8251" s="75"/>
      <c r="E8251" s="31"/>
      <c r="F8251" s="31"/>
      <c r="G8251" s="31"/>
      <c r="H8251" s="31"/>
    </row>
    <row r="8252" spans="2:8" hidden="1">
      <c r="B8252" s="33"/>
      <c r="C8252" s="31"/>
      <c r="D8252" s="104"/>
      <c r="E8252" s="33"/>
      <c r="F8252" s="33"/>
      <c r="G8252" s="33"/>
      <c r="H8252" s="31"/>
    </row>
    <row r="8253" spans="2:8" hidden="1">
      <c r="B8253" s="33"/>
      <c r="C8253" s="31"/>
      <c r="D8253" s="31"/>
      <c r="E8253" s="31"/>
      <c r="F8253" s="31"/>
      <c r="G8253" s="31"/>
      <c r="H8253" s="31"/>
    </row>
    <row r="8254" spans="2:8" hidden="1">
      <c r="B8254" s="405"/>
      <c r="C8254" s="31"/>
      <c r="D8254" s="31"/>
      <c r="E8254" s="31"/>
      <c r="F8254" s="31"/>
      <c r="G8254" s="31"/>
      <c r="H8254" s="31"/>
    </row>
    <row r="8255" spans="2:8" hidden="1">
      <c r="B8255" s="405"/>
      <c r="C8255" s="31"/>
      <c r="D8255" s="31"/>
      <c r="E8255" s="31"/>
      <c r="F8255" s="691"/>
      <c r="G8255" s="75"/>
      <c r="H8255" s="31"/>
    </row>
    <row r="8256" spans="2:8" hidden="1">
      <c r="B8256" s="405"/>
      <c r="C8256" s="31"/>
      <c r="D8256" s="31"/>
      <c r="E8256" s="31"/>
      <c r="F8256" s="691"/>
      <c r="G8256" s="75"/>
      <c r="H8256" s="31"/>
    </row>
    <row r="8257" spans="2:8" hidden="1">
      <c r="B8257" s="405"/>
      <c r="C8257" s="31"/>
      <c r="D8257" s="31"/>
      <c r="E8257" s="31"/>
      <c r="F8257" s="691"/>
      <c r="G8257" s="75"/>
      <c r="H8257" s="31"/>
    </row>
    <row r="8258" spans="2:8" hidden="1">
      <c r="B8258" s="405"/>
      <c r="C8258" s="31"/>
      <c r="D8258" s="31"/>
      <c r="E8258" s="31"/>
      <c r="F8258" s="691"/>
      <c r="G8258" s="75"/>
      <c r="H8258" s="31"/>
    </row>
    <row r="8259" spans="2:8" hidden="1">
      <c r="B8259" s="405"/>
      <c r="C8259" s="31"/>
      <c r="D8259" s="31"/>
      <c r="E8259" s="31"/>
      <c r="F8259" s="691"/>
      <c r="G8259" s="75"/>
      <c r="H8259" s="31"/>
    </row>
    <row r="8260" spans="2:8" hidden="1">
      <c r="B8260" s="405"/>
      <c r="C8260" s="31"/>
      <c r="D8260" s="31"/>
      <c r="E8260" s="31"/>
      <c r="F8260" s="691"/>
      <c r="G8260" s="75"/>
      <c r="H8260" s="31"/>
    </row>
    <row r="8261" spans="2:8" hidden="1">
      <c r="B8261" s="405"/>
      <c r="C8261" s="31"/>
      <c r="D8261" s="31"/>
      <c r="E8261" s="31"/>
      <c r="F8261" s="691"/>
      <c r="G8261" s="75"/>
      <c r="H8261" s="31"/>
    </row>
    <row r="8262" spans="2:8" hidden="1">
      <c r="B8262" s="405"/>
      <c r="C8262" s="31"/>
      <c r="D8262" s="31"/>
      <c r="E8262" s="31"/>
      <c r="F8262" s="691"/>
      <c r="G8262" s="75"/>
      <c r="H8262" s="31"/>
    </row>
    <row r="8263" spans="2:8" hidden="1">
      <c r="B8263" s="405"/>
      <c r="C8263" s="31"/>
      <c r="D8263" s="31"/>
      <c r="E8263" s="31"/>
      <c r="F8263" s="691"/>
      <c r="G8263" s="75"/>
      <c r="H8263" s="31"/>
    </row>
    <row r="8264" spans="2:8" hidden="1">
      <c r="B8264" s="405"/>
      <c r="C8264" s="31"/>
      <c r="D8264" s="31"/>
      <c r="E8264" s="31"/>
      <c r="F8264" s="691"/>
      <c r="G8264" s="75"/>
      <c r="H8264" s="31"/>
    </row>
    <row r="8265" spans="2:8" hidden="1">
      <c r="B8265" s="405"/>
      <c r="C8265" s="31"/>
      <c r="D8265" s="31"/>
      <c r="E8265" s="31"/>
      <c r="F8265" s="691"/>
      <c r="G8265" s="75"/>
      <c r="H8265" s="31"/>
    </row>
    <row r="8266" spans="2:8" hidden="1">
      <c r="B8266" s="405"/>
      <c r="C8266" s="31"/>
      <c r="D8266" s="31"/>
      <c r="E8266" s="31"/>
      <c r="F8266" s="691"/>
      <c r="G8266" s="75"/>
      <c r="H8266" s="31"/>
    </row>
    <row r="8267" spans="2:8" hidden="1">
      <c r="B8267" s="405"/>
      <c r="C8267" s="31"/>
      <c r="D8267" s="31"/>
      <c r="E8267" s="31"/>
      <c r="F8267" s="691"/>
      <c r="G8267" s="75"/>
      <c r="H8267" s="31"/>
    </row>
    <row r="8268" spans="2:8" hidden="1">
      <c r="B8268" s="405"/>
      <c r="C8268" s="31"/>
      <c r="D8268" s="31"/>
      <c r="E8268" s="31"/>
      <c r="F8268" s="691"/>
      <c r="G8268" s="75"/>
      <c r="H8268" s="31"/>
    </row>
    <row r="8269" spans="2:8" hidden="1">
      <c r="B8269" s="405"/>
      <c r="C8269" s="31"/>
      <c r="D8269" s="31"/>
      <c r="E8269" s="31"/>
      <c r="F8269" s="691"/>
      <c r="G8269" s="75"/>
      <c r="H8269" s="31"/>
    </row>
    <row r="8270" spans="2:8" hidden="1">
      <c r="B8270" s="405"/>
      <c r="C8270" s="31"/>
      <c r="D8270" s="31"/>
      <c r="E8270" s="31"/>
      <c r="F8270" s="691"/>
      <c r="G8270" s="75"/>
      <c r="H8270" s="31"/>
    </row>
    <row r="8271" spans="2:8" hidden="1">
      <c r="B8271" s="405"/>
      <c r="C8271" s="31"/>
      <c r="D8271" s="31"/>
      <c r="E8271" s="31"/>
      <c r="F8271" s="691"/>
      <c r="G8271" s="31"/>
      <c r="H8271" s="31"/>
    </row>
    <row r="8272" spans="2:8" hidden="1">
      <c r="B8272" s="405"/>
      <c r="C8272" s="31"/>
      <c r="D8272" s="31"/>
      <c r="E8272" s="31"/>
      <c r="F8272" s="691"/>
      <c r="G8272" s="31"/>
      <c r="H8272" s="31"/>
    </row>
    <row r="8273" spans="2:8" hidden="1">
      <c r="B8273" s="405"/>
      <c r="C8273" s="31"/>
      <c r="D8273" s="31"/>
      <c r="E8273" s="31"/>
      <c r="F8273" s="691"/>
      <c r="G8273" s="31"/>
      <c r="H8273" s="31"/>
    </row>
    <row r="8274" spans="2:8" hidden="1">
      <c r="B8274" s="405"/>
      <c r="C8274" s="31"/>
      <c r="D8274" s="31"/>
      <c r="E8274" s="31"/>
      <c r="F8274" s="691"/>
      <c r="G8274" s="31"/>
      <c r="H8274" s="31"/>
    </row>
    <row r="8275" spans="2:8" hidden="1">
      <c r="B8275" s="405"/>
      <c r="C8275" s="31"/>
      <c r="D8275" s="31"/>
      <c r="E8275" s="31"/>
      <c r="F8275" s="691"/>
      <c r="G8275" s="31"/>
      <c r="H8275" s="31"/>
    </row>
    <row r="8276" spans="2:8" hidden="1">
      <c r="B8276" s="405"/>
      <c r="C8276" s="31"/>
      <c r="D8276" s="31"/>
      <c r="E8276" s="31"/>
      <c r="F8276" s="691"/>
      <c r="G8276" s="31"/>
      <c r="H8276" s="31"/>
    </row>
    <row r="8277" spans="2:8" hidden="1">
      <c r="B8277" s="405"/>
      <c r="C8277" s="31"/>
      <c r="D8277" s="31"/>
      <c r="E8277" s="31"/>
      <c r="F8277" s="691"/>
      <c r="G8277" s="31"/>
      <c r="H8277" s="31"/>
    </row>
    <row r="8278" spans="2:8" hidden="1">
      <c r="B8278" s="405"/>
      <c r="C8278" s="31"/>
      <c r="D8278" s="31"/>
      <c r="E8278" s="31"/>
      <c r="F8278" s="691"/>
      <c r="G8278" s="768"/>
      <c r="H8278" s="31"/>
    </row>
    <row r="8279" spans="2:8" hidden="1">
      <c r="B8279" s="33"/>
      <c r="C8279" s="31"/>
      <c r="D8279" s="31"/>
      <c r="E8279" s="31"/>
      <c r="F8279" s="691"/>
      <c r="G8279" s="768"/>
      <c r="H8279" s="31"/>
    </row>
    <row r="8280" spans="2:8" hidden="1">
      <c r="B8280" s="33"/>
      <c r="C8280" s="31"/>
      <c r="D8280" s="31"/>
      <c r="E8280" s="31"/>
      <c r="F8280" s="691"/>
      <c r="G8280" s="31"/>
      <c r="H8280" s="31"/>
    </row>
    <row r="8281" spans="2:8" hidden="1">
      <c r="B8281" s="33"/>
      <c r="C8281" s="31"/>
      <c r="D8281" s="31"/>
      <c r="E8281" s="31"/>
      <c r="F8281" s="31"/>
      <c r="G8281" s="31"/>
      <c r="H8281" s="31"/>
    </row>
    <row r="8282" spans="2:8" hidden="1">
      <c r="B8282" s="33"/>
      <c r="C8282" s="31"/>
      <c r="D8282" s="31"/>
      <c r="E8282" s="31"/>
      <c r="F8282" s="31"/>
      <c r="G8282" s="31"/>
      <c r="H8282" s="31"/>
    </row>
    <row r="8283" spans="2:8" hidden="1">
      <c r="B8283" s="33"/>
      <c r="C8283" s="31"/>
      <c r="D8283" s="31"/>
      <c r="E8283" s="31"/>
      <c r="F8283" s="31"/>
      <c r="G8283" s="31"/>
      <c r="H8283" s="31"/>
    </row>
    <row r="8284" spans="2:8" hidden="1">
      <c r="B8284" s="33"/>
      <c r="C8284" s="31"/>
      <c r="D8284" s="31"/>
      <c r="E8284" s="31"/>
      <c r="F8284" s="31"/>
      <c r="G8284" s="31"/>
      <c r="H8284" s="31"/>
    </row>
    <row r="8285" spans="2:8" hidden="1">
      <c r="B8285" s="33"/>
      <c r="C8285" s="31"/>
      <c r="D8285" s="31"/>
      <c r="E8285" s="31"/>
      <c r="F8285" s="31"/>
      <c r="G8285" s="31"/>
      <c r="H8285" s="31"/>
    </row>
    <row r="8286" spans="2:8" hidden="1">
      <c r="B8286" s="33"/>
      <c r="C8286" s="31"/>
      <c r="D8286" s="31"/>
      <c r="E8286" s="31"/>
      <c r="F8286" s="31"/>
      <c r="G8286" s="31"/>
      <c r="H8286" s="31"/>
    </row>
    <row r="8287" spans="2:8" hidden="1">
      <c r="B8287" s="33"/>
      <c r="C8287" s="31"/>
      <c r="D8287" s="31"/>
      <c r="E8287" s="31"/>
      <c r="F8287" s="31"/>
      <c r="G8287" s="31"/>
      <c r="H8287" s="31"/>
    </row>
    <row r="8288" spans="2:8" hidden="1">
      <c r="B8288" s="33"/>
      <c r="C8288" s="31"/>
      <c r="D8288" s="31"/>
      <c r="E8288" s="31"/>
      <c r="F8288" s="31"/>
      <c r="G8288" s="31"/>
      <c r="H8288" s="31"/>
    </row>
    <row r="8289" spans="2:8" hidden="1">
      <c r="B8289" s="33"/>
      <c r="C8289" s="31"/>
      <c r="D8289" s="33"/>
      <c r="E8289" s="31"/>
      <c r="F8289" s="33"/>
      <c r="G8289" s="33"/>
      <c r="H8289" s="31"/>
    </row>
    <row r="8290" spans="2:8" hidden="1">
      <c r="B8290" s="33"/>
      <c r="C8290" s="31"/>
      <c r="D8290" s="33"/>
      <c r="E8290" s="33"/>
      <c r="F8290" s="33"/>
      <c r="G8290" s="33"/>
      <c r="H8290" s="31"/>
    </row>
    <row r="8291" spans="2:8" hidden="1">
      <c r="B8291" s="33"/>
      <c r="C8291" s="31"/>
      <c r="D8291" s="31"/>
      <c r="E8291" s="31"/>
      <c r="F8291" s="31"/>
      <c r="G8291" s="31"/>
      <c r="H8291" s="31"/>
    </row>
    <row r="8292" spans="2:8" hidden="1">
      <c r="B8292" s="200"/>
      <c r="C8292" s="31"/>
      <c r="D8292" s="75"/>
      <c r="E8292" s="31"/>
      <c r="F8292" s="33"/>
      <c r="G8292" s="33"/>
      <c r="H8292" s="31"/>
    </row>
    <row r="8293" spans="2:8" hidden="1">
      <c r="B8293" s="200"/>
      <c r="C8293" s="31"/>
      <c r="D8293" s="75"/>
      <c r="E8293" s="31"/>
      <c r="F8293" s="31"/>
      <c r="G8293" s="31"/>
      <c r="H8293" s="31"/>
    </row>
    <row r="8294" spans="2:8" hidden="1">
      <c r="B8294" s="200"/>
      <c r="C8294" s="31"/>
      <c r="D8294" s="75"/>
      <c r="E8294" s="31"/>
      <c r="F8294" s="33"/>
      <c r="G8294" s="33"/>
      <c r="H8294" s="31"/>
    </row>
    <row r="8295" spans="2:8" hidden="1">
      <c r="B8295" s="200"/>
      <c r="C8295" s="31"/>
      <c r="D8295" s="75"/>
      <c r="E8295" s="31"/>
      <c r="F8295" s="31"/>
      <c r="G8295" s="31"/>
      <c r="H8295" s="31"/>
    </row>
    <row r="8296" spans="2:8" hidden="1">
      <c r="B8296" s="33"/>
      <c r="C8296" s="31"/>
      <c r="D8296" s="31"/>
      <c r="E8296" s="31"/>
      <c r="F8296" s="31"/>
      <c r="G8296" s="31"/>
      <c r="H8296" s="31"/>
    </row>
    <row r="8297" spans="2:8" hidden="1">
      <c r="B8297" s="200"/>
      <c r="C8297" s="31"/>
      <c r="D8297" s="75"/>
      <c r="E8297" s="31"/>
      <c r="F8297" s="33"/>
      <c r="G8297" s="33"/>
      <c r="H8297" s="31"/>
    </row>
    <row r="8298" spans="2:8" hidden="1">
      <c r="B8298" s="200"/>
      <c r="C8298" s="31"/>
      <c r="D8298" s="75"/>
      <c r="E8298" s="31"/>
      <c r="F8298" s="31"/>
      <c r="G8298" s="31"/>
      <c r="H8298" s="31"/>
    </row>
    <row r="8299" spans="2:8" hidden="1">
      <c r="B8299" s="200"/>
      <c r="C8299" s="31"/>
      <c r="D8299" s="75"/>
      <c r="E8299" s="31"/>
      <c r="F8299" s="31"/>
      <c r="G8299" s="31"/>
      <c r="H8299" s="31"/>
    </row>
    <row r="8300" spans="2:8" hidden="1">
      <c r="B8300" s="200"/>
      <c r="C8300" s="31"/>
      <c r="D8300" s="75"/>
      <c r="E8300" s="31"/>
      <c r="F8300" s="31"/>
      <c r="G8300" s="31"/>
      <c r="H8300" s="31"/>
    </row>
    <row r="8301" spans="2:8" hidden="1">
      <c r="B8301" s="200"/>
      <c r="C8301" s="31"/>
      <c r="D8301" s="75"/>
      <c r="E8301" s="31"/>
      <c r="F8301" s="31"/>
      <c r="G8301" s="31"/>
      <c r="H8301" s="31"/>
    </row>
    <row r="8302" spans="2:8" hidden="1">
      <c r="B8302" s="200"/>
      <c r="C8302" s="31"/>
      <c r="D8302" s="75"/>
      <c r="E8302" s="33"/>
      <c r="F8302" s="31"/>
      <c r="G8302" s="31"/>
      <c r="H8302" s="31"/>
    </row>
    <row r="8303" spans="2:8" hidden="1">
      <c r="B8303" s="200"/>
      <c r="C8303" s="31"/>
      <c r="D8303" s="75"/>
      <c r="E8303" s="31"/>
      <c r="F8303" s="31"/>
      <c r="G8303" s="31"/>
      <c r="H8303" s="31"/>
    </row>
    <row r="8304" spans="2:8" hidden="1">
      <c r="B8304" s="33"/>
      <c r="C8304" s="31"/>
      <c r="D8304" s="31"/>
      <c r="E8304" s="31"/>
      <c r="F8304" s="31"/>
      <c r="G8304" s="31"/>
      <c r="H8304" s="31"/>
    </row>
    <row r="8305" spans="2:8" hidden="1">
      <c r="B8305" s="200"/>
      <c r="C8305" s="31"/>
      <c r="D8305" s="75"/>
      <c r="E8305" s="31"/>
      <c r="F8305" s="31"/>
      <c r="G8305" s="31"/>
      <c r="H8305" s="31"/>
    </row>
    <row r="8306" spans="2:8" hidden="1">
      <c r="B8306" s="200"/>
      <c r="C8306" s="31"/>
      <c r="D8306" s="75"/>
      <c r="E8306" s="31"/>
      <c r="F8306" s="31"/>
      <c r="G8306" s="31"/>
      <c r="H8306" s="31"/>
    </row>
    <row r="8307" spans="2:8" hidden="1">
      <c r="B8307" s="200"/>
      <c r="C8307" s="31"/>
      <c r="D8307" s="75"/>
      <c r="E8307" s="31"/>
      <c r="F8307" s="31"/>
      <c r="G8307" s="31"/>
      <c r="H8307" s="31"/>
    </row>
    <row r="8308" spans="2:8" hidden="1">
      <c r="B8308" s="200"/>
      <c r="C8308" s="31"/>
      <c r="D8308" s="75"/>
      <c r="E8308" s="31"/>
      <c r="F8308" s="771"/>
      <c r="G8308" s="31"/>
      <c r="H8308" s="31"/>
    </row>
    <row r="8309" spans="2:8" hidden="1">
      <c r="B8309" s="200"/>
      <c r="C8309" s="31"/>
      <c r="D8309" s="75"/>
      <c r="E8309" s="31"/>
      <c r="F8309" s="31"/>
      <c r="G8309" s="31"/>
      <c r="H8309" s="31"/>
    </row>
    <row r="8310" spans="2:8" hidden="1">
      <c r="B8310" s="200"/>
      <c r="C8310" s="31"/>
      <c r="D8310" s="75"/>
      <c r="E8310" s="33"/>
      <c r="F8310" s="31"/>
      <c r="G8310" s="31"/>
      <c r="H8310" s="31"/>
    </row>
    <row r="8311" spans="2:8" hidden="1">
      <c r="B8311" s="33"/>
      <c r="C8311" s="31"/>
      <c r="D8311" s="31"/>
      <c r="E8311" s="31"/>
      <c r="F8311" s="31"/>
      <c r="G8311" s="31"/>
      <c r="H8311" s="31"/>
    </row>
    <row r="8312" spans="2:8" hidden="1">
      <c r="B8312" s="200"/>
      <c r="C8312" s="31"/>
      <c r="D8312" s="75"/>
      <c r="E8312" s="771"/>
      <c r="F8312" s="33"/>
      <c r="G8312" s="33"/>
      <c r="H8312" s="31"/>
    </row>
    <row r="8313" spans="2:8" hidden="1">
      <c r="B8313" s="200"/>
      <c r="C8313" s="31"/>
      <c r="D8313" s="75"/>
      <c r="E8313" s="771"/>
      <c r="F8313" s="771"/>
      <c r="G8313" s="31"/>
      <c r="H8313" s="31"/>
    </row>
    <row r="8314" spans="2:8" hidden="1">
      <c r="B8314" s="200"/>
      <c r="C8314" s="31"/>
      <c r="D8314" s="75"/>
      <c r="E8314" s="771"/>
      <c r="F8314" s="771"/>
      <c r="G8314" s="31"/>
      <c r="H8314" s="31"/>
    </row>
    <row r="8315" spans="2:8" hidden="1">
      <c r="B8315" s="200"/>
      <c r="C8315" s="31"/>
      <c r="D8315" s="75"/>
      <c r="E8315" s="771"/>
      <c r="F8315" s="771"/>
      <c r="G8315" s="31"/>
      <c r="H8315" s="31"/>
    </row>
    <row r="8316" spans="2:8" hidden="1">
      <c r="B8316" s="200"/>
      <c r="C8316" s="31"/>
      <c r="D8316" s="75"/>
      <c r="E8316" s="771"/>
      <c r="F8316" s="771"/>
      <c r="G8316" s="31"/>
      <c r="H8316" s="31"/>
    </row>
    <row r="8317" spans="2:8" hidden="1">
      <c r="B8317" s="200"/>
      <c r="C8317" s="31"/>
      <c r="D8317" s="75"/>
      <c r="E8317" s="771"/>
      <c r="F8317" s="771"/>
      <c r="G8317" s="31"/>
      <c r="H8317" s="31"/>
    </row>
    <row r="8318" spans="2:8" hidden="1">
      <c r="B8318" s="200"/>
      <c r="C8318" s="31"/>
      <c r="D8318" s="75"/>
      <c r="E8318" s="771"/>
      <c r="F8318" s="771"/>
      <c r="G8318" s="31"/>
      <c r="H8318" s="31"/>
    </row>
    <row r="8319" spans="2:8" hidden="1">
      <c r="B8319" s="200"/>
      <c r="C8319" s="31"/>
      <c r="D8319" s="75"/>
      <c r="E8319" s="772"/>
      <c r="F8319" s="33"/>
      <c r="G8319" s="33"/>
      <c r="H8319" s="31"/>
    </row>
    <row r="8320" spans="2:8" hidden="1">
      <c r="B8320" s="200"/>
      <c r="C8320" s="31"/>
      <c r="D8320" s="31"/>
      <c r="E8320" s="33"/>
      <c r="F8320" s="33"/>
      <c r="G8320" s="33"/>
      <c r="H8320" s="31"/>
    </row>
    <row r="8321" spans="2:8" hidden="1">
      <c r="B8321" s="200"/>
      <c r="C8321" s="31"/>
      <c r="D8321" s="75"/>
      <c r="E8321" s="771"/>
      <c r="F8321" s="33"/>
      <c r="G8321" s="33"/>
      <c r="H8321" s="31"/>
    </row>
    <row r="8322" spans="2:8" hidden="1">
      <c r="B8322" s="200"/>
      <c r="C8322" s="31"/>
      <c r="D8322" s="75"/>
      <c r="E8322" s="771"/>
      <c r="F8322" s="771"/>
      <c r="G8322" s="31"/>
      <c r="H8322" s="31"/>
    </row>
    <row r="8323" spans="2:8" hidden="1">
      <c r="B8323" s="200"/>
      <c r="C8323" s="31"/>
      <c r="D8323" s="75"/>
      <c r="E8323" s="771"/>
      <c r="F8323" s="772"/>
      <c r="G8323" s="33"/>
      <c r="H8323" s="31"/>
    </row>
    <row r="8324" spans="2:8" hidden="1">
      <c r="B8324" s="200"/>
      <c r="C8324" s="31"/>
      <c r="D8324" s="75"/>
      <c r="E8324" s="771"/>
      <c r="F8324" s="771"/>
      <c r="G8324" s="31"/>
      <c r="H8324" s="31"/>
    </row>
    <row r="8325" spans="2:8" hidden="1">
      <c r="B8325" s="200"/>
      <c r="C8325" s="31"/>
      <c r="D8325" s="75"/>
      <c r="E8325" s="771"/>
      <c r="F8325" s="772"/>
      <c r="G8325" s="33"/>
      <c r="H8325" s="31"/>
    </row>
    <row r="8326" spans="2:8" hidden="1">
      <c r="B8326" s="200"/>
      <c r="C8326" s="31"/>
      <c r="D8326" s="75"/>
      <c r="E8326" s="771"/>
      <c r="F8326" s="771"/>
      <c r="G8326" s="31"/>
      <c r="H8326" s="31"/>
    </row>
    <row r="8327" spans="2:8" hidden="1">
      <c r="B8327" s="200"/>
      <c r="C8327" s="31"/>
      <c r="D8327" s="75"/>
      <c r="E8327" s="771"/>
      <c r="F8327" s="771"/>
      <c r="G8327" s="31"/>
      <c r="H8327" s="31"/>
    </row>
    <row r="8328" spans="2:8" hidden="1">
      <c r="B8328" s="200"/>
      <c r="C8328" s="31"/>
      <c r="D8328" s="75"/>
      <c r="E8328" s="771"/>
      <c r="F8328" s="771"/>
      <c r="G8328" s="31"/>
      <c r="H8328" s="31"/>
    </row>
    <row r="8329" spans="2:8" hidden="1">
      <c r="B8329" s="200"/>
      <c r="C8329" s="31"/>
      <c r="D8329" s="75"/>
      <c r="E8329" s="771"/>
      <c r="F8329" s="771"/>
      <c r="G8329" s="31"/>
      <c r="H8329" s="31"/>
    </row>
    <row r="8330" spans="2:8" hidden="1">
      <c r="B8330" s="200"/>
      <c r="C8330" s="31"/>
      <c r="D8330" s="75"/>
      <c r="E8330" s="771"/>
      <c r="F8330" s="771"/>
      <c r="G8330" s="31"/>
      <c r="H8330" s="31"/>
    </row>
    <row r="8331" spans="2:8" hidden="1">
      <c r="B8331" s="200"/>
      <c r="C8331" s="31"/>
      <c r="D8331" s="75"/>
      <c r="E8331" s="31"/>
      <c r="F8331" s="31"/>
      <c r="G8331" s="31"/>
      <c r="H8331" s="31"/>
    </row>
    <row r="8332" spans="2:8" hidden="1">
      <c r="B8332" s="33"/>
      <c r="C8332" s="200"/>
      <c r="D8332" s="75"/>
      <c r="E8332" s="31"/>
      <c r="F8332" s="31"/>
      <c r="G8332" s="31"/>
      <c r="H8332" s="31"/>
    </row>
    <row r="8333" spans="2:8" hidden="1">
      <c r="B8333" s="33"/>
      <c r="C8333" s="31"/>
      <c r="D8333" s="33"/>
      <c r="E8333" s="33"/>
      <c r="F8333" s="33"/>
      <c r="G8333" s="33"/>
      <c r="H8333" s="31"/>
    </row>
    <row r="8334" spans="2:8" hidden="1">
      <c r="B8334" s="33"/>
      <c r="C8334" s="31"/>
      <c r="D8334" s="31"/>
      <c r="E8334" s="31"/>
      <c r="F8334" s="31"/>
      <c r="G8334" s="31"/>
      <c r="H8334" s="31"/>
    </row>
    <row r="8335" spans="2:8" hidden="1">
      <c r="B8335" s="405"/>
      <c r="C8335" s="31"/>
      <c r="D8335" s="31"/>
      <c r="E8335" s="31"/>
      <c r="F8335" s="31"/>
      <c r="G8335" s="31"/>
      <c r="H8335" s="31"/>
    </row>
    <row r="8336" spans="2:8" hidden="1">
      <c r="B8336" s="405"/>
      <c r="C8336" s="31"/>
      <c r="D8336" s="31"/>
      <c r="E8336" s="31"/>
      <c r="F8336" s="691"/>
      <c r="G8336" s="75"/>
      <c r="H8336" s="31"/>
    </row>
    <row r="8337" spans="2:8" hidden="1">
      <c r="B8337" s="405"/>
      <c r="C8337" s="31"/>
      <c r="D8337" s="31"/>
      <c r="E8337" s="31"/>
      <c r="F8337" s="691"/>
      <c r="G8337" s="75"/>
      <c r="H8337" s="31"/>
    </row>
    <row r="8338" spans="2:8" hidden="1">
      <c r="B8338" s="405"/>
      <c r="C8338" s="31"/>
      <c r="D8338" s="31"/>
      <c r="E8338" s="31"/>
      <c r="F8338" s="691"/>
      <c r="G8338" s="75"/>
      <c r="H8338" s="31"/>
    </row>
    <row r="8339" spans="2:8" hidden="1">
      <c r="B8339" s="405"/>
      <c r="C8339" s="31"/>
      <c r="D8339" s="31"/>
      <c r="E8339" s="31"/>
      <c r="F8339" s="691"/>
      <c r="G8339" s="75"/>
      <c r="H8339" s="31"/>
    </row>
    <row r="8340" spans="2:8" hidden="1">
      <c r="B8340" s="405"/>
      <c r="C8340" s="31"/>
      <c r="D8340" s="31"/>
      <c r="E8340" s="31"/>
      <c r="F8340" s="691"/>
      <c r="G8340" s="75"/>
      <c r="H8340" s="31"/>
    </row>
    <row r="8341" spans="2:8" hidden="1">
      <c r="B8341" s="405"/>
      <c r="C8341" s="31"/>
      <c r="D8341" s="31"/>
      <c r="E8341" s="31"/>
      <c r="F8341" s="691"/>
      <c r="G8341" s="75"/>
      <c r="H8341" s="31"/>
    </row>
    <row r="8342" spans="2:8" hidden="1">
      <c r="B8342" s="405"/>
      <c r="C8342" s="31"/>
      <c r="D8342" s="31"/>
      <c r="E8342" s="31"/>
      <c r="F8342" s="691"/>
      <c r="G8342" s="75"/>
      <c r="H8342" s="31"/>
    </row>
    <row r="8343" spans="2:8" hidden="1">
      <c r="B8343" s="33"/>
      <c r="C8343" s="31"/>
      <c r="D8343" s="31"/>
      <c r="E8343" s="31"/>
      <c r="F8343" s="691"/>
      <c r="G8343" s="75"/>
      <c r="H8343" s="31"/>
    </row>
    <row r="8344" spans="2:8" hidden="1">
      <c r="B8344" s="33"/>
      <c r="C8344" s="31"/>
      <c r="D8344" s="31"/>
      <c r="E8344" s="31"/>
      <c r="F8344" s="691"/>
      <c r="G8344" s="75"/>
      <c r="H8344" s="31"/>
    </row>
    <row r="8345" spans="2:8" hidden="1">
      <c r="B8345" s="33"/>
      <c r="C8345" s="31"/>
      <c r="D8345" s="31"/>
      <c r="E8345" s="31"/>
      <c r="F8345" s="691"/>
      <c r="G8345" s="31"/>
      <c r="H8345" s="31"/>
    </row>
    <row r="8346" spans="2:8" hidden="1">
      <c r="B8346" s="33"/>
      <c r="C8346" s="31"/>
      <c r="D8346" s="31"/>
      <c r="E8346" s="31"/>
      <c r="F8346" s="31"/>
      <c r="G8346" s="31"/>
      <c r="H8346" s="31"/>
    </row>
    <row r="8347" spans="2:8" hidden="1">
      <c r="B8347" s="33"/>
      <c r="C8347" s="31"/>
      <c r="D8347" s="31"/>
      <c r="E8347" s="31"/>
      <c r="F8347" s="31"/>
      <c r="G8347" s="31"/>
      <c r="H8347" s="31"/>
    </row>
    <row r="8348" spans="2:8" hidden="1">
      <c r="B8348" s="33"/>
      <c r="C8348" s="31"/>
      <c r="D8348" s="31"/>
      <c r="E8348" s="31"/>
      <c r="F8348" s="31"/>
      <c r="G8348" s="31"/>
      <c r="H8348" s="31"/>
    </row>
    <row r="8349" spans="2:8" hidden="1">
      <c r="B8349" s="33"/>
      <c r="C8349" s="31"/>
      <c r="D8349" s="31"/>
      <c r="E8349" s="31"/>
      <c r="F8349" s="31"/>
      <c r="G8349" s="31"/>
      <c r="H8349" s="31"/>
    </row>
    <row r="8350" spans="2:8" hidden="1">
      <c r="B8350" s="33"/>
      <c r="C8350" s="31"/>
      <c r="D8350" s="31"/>
      <c r="E8350" s="31"/>
      <c r="F8350" s="31"/>
      <c r="G8350" s="31"/>
      <c r="H8350" s="31"/>
    </row>
    <row r="8351" spans="2:8" hidden="1">
      <c r="B8351" s="33"/>
      <c r="C8351" s="31"/>
      <c r="D8351" s="31"/>
      <c r="E8351" s="31"/>
      <c r="F8351" s="31"/>
      <c r="G8351" s="31"/>
      <c r="H8351" s="31"/>
    </row>
    <row r="8352" spans="2:8" hidden="1">
      <c r="B8352" s="33"/>
      <c r="C8352" s="31"/>
      <c r="D8352" s="31"/>
      <c r="E8352" s="31"/>
      <c r="F8352" s="31"/>
      <c r="G8352" s="31"/>
      <c r="H8352" s="31"/>
    </row>
    <row r="8353" spans="2:8" hidden="1">
      <c r="B8353" s="33"/>
      <c r="C8353" s="31"/>
      <c r="D8353" s="31"/>
      <c r="E8353" s="31"/>
      <c r="F8353" s="31"/>
      <c r="G8353" s="31"/>
      <c r="H8353" s="31"/>
    </row>
    <row r="8354" spans="2:8" hidden="1">
      <c r="B8354" s="33"/>
      <c r="C8354" s="31"/>
      <c r="D8354" s="33"/>
      <c r="E8354" s="31"/>
      <c r="F8354" s="33"/>
      <c r="G8354" s="33"/>
      <c r="H8354" s="31"/>
    </row>
    <row r="8355" spans="2:8" hidden="1">
      <c r="B8355" s="33"/>
      <c r="C8355" s="31"/>
      <c r="D8355" s="33"/>
      <c r="E8355" s="33"/>
      <c r="F8355" s="33"/>
      <c r="G8355" s="33"/>
      <c r="H8355" s="31"/>
    </row>
    <row r="8356" spans="2:8" hidden="1">
      <c r="B8356" s="33"/>
      <c r="C8356" s="31"/>
      <c r="D8356" s="31"/>
      <c r="E8356" s="31"/>
      <c r="F8356" s="31"/>
      <c r="G8356" s="31"/>
      <c r="H8356" s="31"/>
    </row>
    <row r="8357" spans="2:8" hidden="1">
      <c r="B8357" s="200"/>
      <c r="C8357" s="31"/>
      <c r="D8357" s="75"/>
      <c r="E8357" s="31"/>
      <c r="F8357" s="31"/>
      <c r="G8357" s="31"/>
      <c r="H8357" s="31"/>
    </row>
    <row r="8358" spans="2:8" hidden="1">
      <c r="B8358" s="200"/>
      <c r="C8358" s="31"/>
      <c r="D8358" s="75"/>
      <c r="E8358" s="31"/>
      <c r="F8358" s="31"/>
      <c r="G8358" s="31"/>
      <c r="H8358" s="31"/>
    </row>
    <row r="8359" spans="2:8" hidden="1">
      <c r="B8359" s="200"/>
      <c r="C8359" s="31"/>
      <c r="D8359" s="75"/>
      <c r="E8359" s="33"/>
      <c r="F8359" s="33"/>
      <c r="G8359" s="33"/>
      <c r="H8359" s="31"/>
    </row>
    <row r="8360" spans="2:8" hidden="1">
      <c r="B8360" s="200"/>
      <c r="C8360" s="31"/>
      <c r="D8360" s="75"/>
      <c r="E8360" s="33"/>
      <c r="F8360" s="33"/>
      <c r="G8360" s="33"/>
      <c r="H8360" s="31"/>
    </row>
    <row r="8361" spans="2:8" hidden="1">
      <c r="B8361" s="200"/>
      <c r="C8361" s="31"/>
      <c r="D8361" s="75"/>
      <c r="E8361" s="33"/>
      <c r="F8361" s="33"/>
      <c r="G8361" s="33"/>
      <c r="H8361" s="31"/>
    </row>
    <row r="8362" spans="2:8" hidden="1">
      <c r="B8362" s="200"/>
      <c r="C8362" s="31"/>
      <c r="D8362" s="75"/>
      <c r="E8362" s="31"/>
      <c r="F8362" s="31"/>
      <c r="G8362" s="31"/>
      <c r="H8362" s="31"/>
    </row>
    <row r="8363" spans="2:8" hidden="1">
      <c r="B8363" s="200"/>
      <c r="C8363" s="31"/>
      <c r="D8363" s="75"/>
      <c r="E8363" s="31"/>
      <c r="F8363" s="771"/>
      <c r="G8363" s="31"/>
      <c r="H8363" s="31"/>
    </row>
    <row r="8364" spans="2:8" hidden="1">
      <c r="B8364" s="200"/>
      <c r="C8364" s="31"/>
      <c r="D8364" s="75"/>
      <c r="E8364" s="31"/>
      <c r="F8364" s="31"/>
      <c r="G8364" s="31"/>
      <c r="H8364" s="31"/>
    </row>
    <row r="8365" spans="2:8" hidden="1">
      <c r="B8365" s="200"/>
      <c r="C8365" s="31"/>
      <c r="D8365" s="75"/>
      <c r="E8365" s="33"/>
      <c r="F8365" s="33"/>
      <c r="G8365" s="33"/>
      <c r="H8365" s="31"/>
    </row>
    <row r="8366" spans="2:8" hidden="1">
      <c r="B8366" s="200"/>
      <c r="C8366" s="31"/>
      <c r="D8366" s="75"/>
      <c r="E8366" s="31"/>
      <c r="F8366" s="33"/>
      <c r="G8366" s="33"/>
      <c r="H8366" s="31"/>
    </row>
    <row r="8367" spans="2:8" hidden="1">
      <c r="B8367" s="200"/>
      <c r="C8367" s="31"/>
      <c r="D8367" s="75"/>
      <c r="E8367" s="31"/>
      <c r="F8367" s="31"/>
      <c r="G8367" s="31"/>
      <c r="H8367" s="31"/>
    </row>
    <row r="8368" spans="2:8" hidden="1">
      <c r="B8368" s="200"/>
      <c r="C8368" s="31"/>
      <c r="D8368" s="75"/>
      <c r="E8368" s="31"/>
      <c r="F8368" s="31"/>
      <c r="G8368" s="31"/>
      <c r="H8368" s="31"/>
    </row>
    <row r="8369" spans="2:8" hidden="1">
      <c r="B8369" s="200"/>
      <c r="C8369" s="31"/>
      <c r="D8369" s="75"/>
      <c r="E8369" s="31"/>
      <c r="F8369" s="31"/>
      <c r="G8369" s="31"/>
      <c r="H8369" s="31"/>
    </row>
    <row r="8370" spans="2:8" hidden="1">
      <c r="B8370" s="200"/>
      <c r="C8370" s="31"/>
      <c r="D8370" s="75"/>
      <c r="E8370" s="31"/>
      <c r="F8370" s="33"/>
      <c r="G8370" s="33"/>
      <c r="H8370" s="31"/>
    </row>
    <row r="8371" spans="2:8" hidden="1">
      <c r="B8371" s="200"/>
      <c r="C8371" s="31"/>
      <c r="D8371" s="75"/>
      <c r="E8371" s="33"/>
      <c r="F8371" s="33"/>
      <c r="G8371" s="33"/>
      <c r="H8371" s="31"/>
    </row>
    <row r="8372" spans="2:8" hidden="1">
      <c r="B8372" s="200"/>
      <c r="C8372" s="31"/>
      <c r="D8372" s="75"/>
      <c r="E8372" s="33"/>
      <c r="F8372" s="33"/>
      <c r="G8372" s="33"/>
      <c r="H8372" s="31"/>
    </row>
    <row r="8373" spans="2:8" hidden="1">
      <c r="B8373" s="33"/>
      <c r="C8373" s="31"/>
      <c r="D8373" s="31"/>
      <c r="E8373" s="31"/>
      <c r="F8373" s="33"/>
      <c r="G8373" s="33"/>
      <c r="H8373" s="31"/>
    </row>
    <row r="8374" spans="2:8" hidden="1">
      <c r="B8374" s="200"/>
      <c r="C8374" s="31"/>
      <c r="D8374" s="75"/>
      <c r="E8374" s="771"/>
      <c r="F8374" s="33"/>
      <c r="G8374" s="33"/>
      <c r="H8374" s="31"/>
    </row>
    <row r="8375" spans="2:8" hidden="1">
      <c r="B8375" s="200"/>
      <c r="C8375" s="31"/>
      <c r="D8375" s="75"/>
      <c r="E8375" s="771"/>
      <c r="F8375" s="771"/>
      <c r="G8375" s="31"/>
      <c r="H8375" s="31"/>
    </row>
    <row r="8376" spans="2:8" hidden="1">
      <c r="B8376" s="200"/>
      <c r="C8376" s="31"/>
      <c r="D8376" s="75"/>
      <c r="E8376" s="771"/>
      <c r="F8376" s="771"/>
      <c r="G8376" s="31"/>
      <c r="H8376" s="31"/>
    </row>
    <row r="8377" spans="2:8" hidden="1">
      <c r="B8377" s="200"/>
      <c r="C8377" s="31"/>
      <c r="D8377" s="75"/>
      <c r="E8377" s="771"/>
      <c r="F8377" s="771"/>
      <c r="G8377" s="31"/>
      <c r="H8377" s="31"/>
    </row>
    <row r="8378" spans="2:8" hidden="1">
      <c r="B8378" s="200"/>
      <c r="C8378" s="31"/>
      <c r="D8378" s="75"/>
      <c r="E8378" s="771"/>
      <c r="F8378" s="771"/>
      <c r="G8378" s="31"/>
      <c r="H8378" s="31"/>
    </row>
    <row r="8379" spans="2:8" hidden="1">
      <c r="B8379" s="200"/>
      <c r="C8379" s="31"/>
      <c r="D8379" s="75"/>
      <c r="E8379" s="771"/>
      <c r="F8379" s="771"/>
      <c r="G8379" s="31"/>
      <c r="H8379" s="31"/>
    </row>
    <row r="8380" spans="2:8" hidden="1">
      <c r="B8380" s="200"/>
      <c r="C8380" s="31"/>
      <c r="D8380" s="75"/>
      <c r="E8380" s="771"/>
      <c r="F8380" s="771"/>
      <c r="G8380" s="31"/>
      <c r="H8380" s="31"/>
    </row>
    <row r="8381" spans="2:8" hidden="1">
      <c r="B8381" s="200"/>
      <c r="C8381" s="31"/>
      <c r="D8381" s="75"/>
      <c r="E8381" s="771"/>
      <c r="F8381" s="771"/>
      <c r="G8381" s="31"/>
      <c r="H8381" s="31"/>
    </row>
    <row r="8382" spans="2:8" hidden="1">
      <c r="B8382" s="200"/>
      <c r="C8382" s="31"/>
      <c r="D8382" s="75"/>
      <c r="E8382" s="771"/>
      <c r="F8382" s="771"/>
      <c r="G8382" s="31"/>
      <c r="H8382" s="31"/>
    </row>
    <row r="8383" spans="2:8" hidden="1">
      <c r="B8383" s="200"/>
      <c r="C8383" s="31"/>
      <c r="D8383" s="75"/>
      <c r="E8383" s="771"/>
      <c r="F8383" s="771"/>
      <c r="G8383" s="31"/>
      <c r="H8383" s="31"/>
    </row>
    <row r="8384" spans="2:8" hidden="1">
      <c r="B8384" s="200"/>
      <c r="C8384" s="31"/>
      <c r="D8384" s="75"/>
      <c r="E8384" s="771"/>
      <c r="F8384" s="771"/>
      <c r="G8384" s="31"/>
      <c r="H8384" s="31"/>
    </row>
    <row r="8385" spans="2:8" hidden="1">
      <c r="B8385" s="200"/>
      <c r="C8385" s="31"/>
      <c r="D8385" s="75"/>
      <c r="E8385" s="771"/>
      <c r="F8385" s="771"/>
      <c r="G8385" s="31"/>
      <c r="H8385" s="31"/>
    </row>
    <row r="8386" spans="2:8" hidden="1">
      <c r="B8386" s="200"/>
      <c r="C8386" s="31"/>
      <c r="D8386" s="75"/>
      <c r="E8386" s="771"/>
      <c r="F8386" s="771"/>
      <c r="G8386" s="31"/>
      <c r="H8386" s="31"/>
    </row>
    <row r="8387" spans="2:8" hidden="1">
      <c r="B8387" s="200"/>
      <c r="C8387" s="31"/>
      <c r="D8387" s="75"/>
      <c r="E8387" s="772"/>
      <c r="F8387" s="772"/>
      <c r="G8387" s="33"/>
      <c r="H8387" s="31"/>
    </row>
    <row r="8388" spans="2:8" hidden="1">
      <c r="B8388" s="200"/>
      <c r="C8388" s="31"/>
      <c r="D8388" s="75"/>
      <c r="E8388" s="31"/>
      <c r="F8388" s="33"/>
      <c r="G8388" s="33"/>
      <c r="H8388" s="31"/>
    </row>
    <row r="8389" spans="2:8" hidden="1">
      <c r="B8389" s="200"/>
      <c r="C8389" s="31"/>
      <c r="D8389" s="75"/>
      <c r="E8389" s="31"/>
      <c r="F8389" s="31"/>
      <c r="G8389" s="31"/>
      <c r="H8389" s="31"/>
    </row>
    <row r="8390" spans="2:8" hidden="1">
      <c r="B8390" s="200"/>
      <c r="C8390" s="31"/>
      <c r="D8390" s="75"/>
      <c r="E8390" s="31"/>
      <c r="F8390" s="31"/>
      <c r="G8390" s="31"/>
      <c r="H8390" s="31"/>
    </row>
    <row r="8391" spans="2:8" hidden="1">
      <c r="B8391" s="200"/>
      <c r="C8391" s="31"/>
      <c r="D8391" s="75"/>
      <c r="E8391" s="33"/>
      <c r="F8391" s="33"/>
      <c r="G8391" s="33"/>
      <c r="H8391" s="31"/>
    </row>
    <row r="8392" spans="2:8" hidden="1">
      <c r="B8392" s="200"/>
      <c r="C8392" s="31"/>
      <c r="D8392" s="75"/>
      <c r="E8392" s="31"/>
      <c r="F8392" s="31"/>
      <c r="G8392" s="31"/>
      <c r="H8392" s="31"/>
    </row>
    <row r="8393" spans="2:8" hidden="1">
      <c r="B8393" s="200"/>
      <c r="C8393" s="31"/>
      <c r="D8393" s="75"/>
      <c r="E8393" s="31"/>
      <c r="F8393" s="31"/>
      <c r="G8393" s="31"/>
      <c r="H8393" s="31"/>
    </row>
    <row r="8394" spans="2:8" hidden="1">
      <c r="B8394" s="200"/>
      <c r="C8394" s="31"/>
      <c r="D8394" s="75"/>
      <c r="E8394" s="31"/>
      <c r="F8394" s="31"/>
      <c r="G8394" s="31"/>
      <c r="H8394" s="31"/>
    </row>
    <row r="8395" spans="2:8" hidden="1">
      <c r="B8395" s="200"/>
      <c r="C8395" s="31"/>
      <c r="D8395" s="75"/>
      <c r="E8395" s="31"/>
      <c r="F8395" s="31"/>
      <c r="G8395" s="31"/>
      <c r="H8395" s="31"/>
    </row>
    <row r="8396" spans="2:8" hidden="1">
      <c r="B8396" s="200"/>
      <c r="C8396" s="31"/>
      <c r="D8396" s="75"/>
      <c r="E8396" s="31"/>
      <c r="F8396" s="31"/>
      <c r="G8396" s="31"/>
      <c r="H8396" s="31"/>
    </row>
    <row r="8397" spans="2:8" hidden="1">
      <c r="B8397" s="33"/>
      <c r="C8397" s="31"/>
      <c r="D8397" s="31"/>
      <c r="E8397" s="31"/>
      <c r="F8397" s="31"/>
      <c r="G8397" s="31"/>
      <c r="H8397" s="31"/>
    </row>
    <row r="8398" spans="2:8" hidden="1">
      <c r="B8398" s="200"/>
      <c r="C8398" s="31"/>
      <c r="D8398" s="75"/>
      <c r="E8398" s="771"/>
      <c r="F8398" s="771"/>
      <c r="G8398" s="31"/>
      <c r="H8398" s="31"/>
    </row>
    <row r="8399" spans="2:8" hidden="1">
      <c r="B8399" s="200"/>
      <c r="C8399" s="31"/>
      <c r="D8399" s="75"/>
      <c r="E8399" s="771"/>
      <c r="F8399" s="771"/>
      <c r="G8399" s="31"/>
      <c r="H8399" s="31"/>
    </row>
    <row r="8400" spans="2:8" hidden="1">
      <c r="B8400" s="200"/>
      <c r="C8400" s="31"/>
      <c r="D8400" s="75"/>
      <c r="E8400" s="771"/>
      <c r="F8400" s="771"/>
      <c r="G8400" s="31"/>
      <c r="H8400" s="31"/>
    </row>
    <row r="8401" spans="2:8" hidden="1">
      <c r="B8401" s="200"/>
      <c r="C8401" s="31"/>
      <c r="D8401" s="75"/>
      <c r="E8401" s="771"/>
      <c r="F8401" s="771"/>
      <c r="G8401" s="31"/>
      <c r="H8401" s="31"/>
    </row>
    <row r="8402" spans="2:8" hidden="1">
      <c r="B8402" s="200"/>
      <c r="C8402" s="31"/>
      <c r="D8402" s="75"/>
      <c r="E8402" s="771"/>
      <c r="F8402" s="771"/>
      <c r="G8402" s="31"/>
      <c r="H8402" s="31"/>
    </row>
    <row r="8403" spans="2:8" hidden="1">
      <c r="B8403" s="200"/>
      <c r="C8403" s="31"/>
      <c r="D8403" s="75"/>
      <c r="E8403" s="772"/>
      <c r="F8403" s="771"/>
      <c r="G8403" s="31"/>
      <c r="H8403" s="31"/>
    </row>
    <row r="8404" spans="2:8" hidden="1">
      <c r="B8404" s="200"/>
      <c r="C8404" s="31"/>
      <c r="D8404" s="75"/>
      <c r="E8404" s="771"/>
      <c r="F8404" s="772"/>
      <c r="G8404" s="33"/>
      <c r="H8404" s="31"/>
    </row>
    <row r="8405" spans="2:8" hidden="1">
      <c r="B8405" s="200"/>
      <c r="C8405" s="31"/>
      <c r="D8405" s="75"/>
      <c r="E8405" s="771"/>
      <c r="F8405" s="772"/>
      <c r="G8405" s="33"/>
      <c r="H8405" s="31"/>
    </row>
    <row r="8406" spans="2:8" hidden="1">
      <c r="B8406" s="200"/>
      <c r="C8406" s="31"/>
      <c r="D8406" s="104"/>
      <c r="E8406" s="772"/>
      <c r="F8406" s="772"/>
      <c r="G8406" s="33"/>
      <c r="H8406" s="31"/>
    </row>
    <row r="8407" spans="2:8" hidden="1">
      <c r="B8407" s="200"/>
      <c r="C8407" s="31"/>
      <c r="D8407" s="104"/>
      <c r="E8407" s="772"/>
      <c r="F8407" s="772"/>
      <c r="G8407" s="33"/>
      <c r="H8407" s="31"/>
    </row>
    <row r="8408" spans="2:8" hidden="1">
      <c r="B8408" s="200"/>
      <c r="C8408" s="31"/>
      <c r="D8408" s="75"/>
      <c r="E8408" s="772"/>
      <c r="F8408" s="771"/>
      <c r="G8408" s="31"/>
      <c r="H8408" s="31"/>
    </row>
    <row r="8409" spans="2:8" hidden="1">
      <c r="B8409" s="200"/>
      <c r="C8409" s="31"/>
      <c r="D8409" s="75"/>
      <c r="E8409" s="772"/>
      <c r="F8409" s="772"/>
      <c r="G8409" s="33"/>
      <c r="H8409" s="31"/>
    </row>
    <row r="8410" spans="2:8" hidden="1">
      <c r="B8410" s="33"/>
      <c r="C8410" s="31"/>
      <c r="D8410" s="31"/>
      <c r="E8410" s="31"/>
      <c r="F8410" s="31"/>
      <c r="G8410" s="31"/>
      <c r="H8410" s="31"/>
    </row>
    <row r="8411" spans="2:8" hidden="1">
      <c r="B8411" s="200"/>
      <c r="C8411" s="31"/>
      <c r="D8411" s="75"/>
      <c r="E8411" s="31"/>
      <c r="F8411" s="31"/>
      <c r="G8411" s="31"/>
      <c r="H8411" s="31"/>
    </row>
    <row r="8412" spans="2:8" hidden="1">
      <c r="B8412" s="200"/>
      <c r="C8412" s="31"/>
      <c r="D8412" s="75"/>
      <c r="E8412" s="33"/>
      <c r="F8412" s="33"/>
      <c r="G8412" s="33"/>
      <c r="H8412" s="31"/>
    </row>
    <row r="8413" spans="2:8" hidden="1">
      <c r="B8413" s="200"/>
      <c r="C8413" s="31"/>
      <c r="D8413" s="75"/>
      <c r="E8413" s="33"/>
      <c r="F8413" s="33"/>
      <c r="G8413" s="33"/>
      <c r="H8413" s="31"/>
    </row>
    <row r="8414" spans="2:8" hidden="1">
      <c r="B8414" s="200"/>
      <c r="C8414" s="31"/>
      <c r="D8414" s="75"/>
      <c r="E8414" s="33"/>
      <c r="F8414" s="33"/>
      <c r="G8414" s="33"/>
      <c r="H8414" s="31"/>
    </row>
    <row r="8415" spans="2:8" hidden="1">
      <c r="B8415" s="200"/>
      <c r="C8415" s="31"/>
      <c r="D8415" s="75"/>
      <c r="E8415" s="33"/>
      <c r="F8415" s="33"/>
      <c r="G8415" s="33"/>
      <c r="H8415" s="31"/>
    </row>
    <row r="8416" spans="2:8" hidden="1">
      <c r="B8416" s="33"/>
      <c r="C8416" s="31"/>
      <c r="D8416" s="31"/>
      <c r="E8416" s="31"/>
      <c r="F8416" s="31"/>
      <c r="G8416" s="31"/>
      <c r="H8416" s="31"/>
    </row>
    <row r="8417" spans="2:8" hidden="1">
      <c r="B8417" s="200"/>
      <c r="C8417" s="31"/>
      <c r="D8417" s="75"/>
      <c r="E8417" s="771"/>
      <c r="F8417" s="31"/>
      <c r="G8417" s="31"/>
      <c r="H8417" s="31"/>
    </row>
    <row r="8418" spans="2:8" hidden="1">
      <c r="B8418" s="200"/>
      <c r="C8418" s="31"/>
      <c r="D8418" s="75"/>
      <c r="E8418" s="771"/>
      <c r="F8418" s="31"/>
      <c r="G8418" s="31"/>
      <c r="H8418" s="31"/>
    </row>
    <row r="8419" spans="2:8" hidden="1">
      <c r="B8419" s="200"/>
      <c r="C8419" s="31"/>
      <c r="D8419" s="75"/>
      <c r="E8419" s="771"/>
      <c r="F8419" s="31"/>
      <c r="G8419" s="31"/>
      <c r="H8419" s="31"/>
    </row>
    <row r="8420" spans="2:8" hidden="1">
      <c r="B8420" s="200"/>
      <c r="C8420" s="31"/>
      <c r="D8420" s="75"/>
      <c r="E8420" s="771"/>
      <c r="F8420" s="31"/>
      <c r="G8420" s="31"/>
      <c r="H8420" s="31"/>
    </row>
    <row r="8421" spans="2:8" hidden="1">
      <c r="B8421" s="200"/>
      <c r="C8421" s="31"/>
      <c r="D8421" s="75"/>
      <c r="E8421" s="771"/>
      <c r="F8421" s="31"/>
      <c r="G8421" s="31"/>
      <c r="H8421" s="31"/>
    </row>
    <row r="8422" spans="2:8" hidden="1">
      <c r="B8422" s="200"/>
      <c r="C8422" s="200"/>
      <c r="D8422" s="75"/>
      <c r="E8422" s="771"/>
      <c r="F8422" s="31"/>
      <c r="G8422" s="31"/>
      <c r="H8422" s="31"/>
    </row>
    <row r="8423" spans="2:8" hidden="1">
      <c r="B8423" s="33"/>
      <c r="C8423" s="31"/>
      <c r="D8423" s="104"/>
      <c r="E8423" s="772"/>
      <c r="F8423" s="33"/>
      <c r="G8423" s="33"/>
      <c r="H8423" s="31"/>
    </row>
    <row r="8424" spans="2:8" hidden="1">
      <c r="B8424" s="33"/>
      <c r="C8424" s="31"/>
      <c r="D8424" s="31"/>
      <c r="E8424" s="31"/>
      <c r="F8424" s="31"/>
      <c r="G8424" s="31"/>
      <c r="H8424" s="31"/>
    </row>
    <row r="8425" spans="2:8" hidden="1">
      <c r="B8425" s="33"/>
      <c r="C8425" s="31"/>
      <c r="D8425" s="31"/>
      <c r="E8425" s="31"/>
      <c r="F8425" s="31"/>
      <c r="G8425" s="31"/>
      <c r="H8425" s="31"/>
    </row>
    <row r="8426" spans="2:8" hidden="1">
      <c r="B8426" s="33"/>
      <c r="C8426" s="31"/>
      <c r="D8426" s="31"/>
      <c r="E8426" s="31"/>
      <c r="F8426" s="691"/>
      <c r="G8426" s="75"/>
      <c r="H8426" s="31"/>
    </row>
    <row r="8427" spans="2:8" hidden="1">
      <c r="B8427" s="33"/>
      <c r="C8427" s="31"/>
      <c r="D8427" s="31"/>
      <c r="E8427" s="31"/>
      <c r="F8427" s="691"/>
      <c r="G8427" s="75"/>
      <c r="H8427" s="31"/>
    </row>
    <row r="8428" spans="2:8" hidden="1">
      <c r="B8428" s="33"/>
      <c r="C8428" s="31"/>
      <c r="D8428" s="31"/>
      <c r="E8428" s="31"/>
      <c r="F8428" s="691"/>
      <c r="G8428" s="75"/>
      <c r="H8428" s="31"/>
    </row>
    <row r="8429" spans="2:8" hidden="1">
      <c r="B8429" s="33"/>
      <c r="C8429" s="31"/>
      <c r="D8429" s="31"/>
      <c r="E8429" s="31"/>
      <c r="F8429" s="691"/>
      <c r="G8429" s="75"/>
      <c r="H8429" s="31"/>
    </row>
    <row r="8430" spans="2:8" hidden="1">
      <c r="B8430" s="33"/>
      <c r="C8430" s="31"/>
      <c r="D8430" s="31"/>
      <c r="E8430" s="31"/>
      <c r="F8430" s="691"/>
      <c r="G8430" s="75"/>
      <c r="H8430" s="31"/>
    </row>
    <row r="8431" spans="2:8" hidden="1">
      <c r="B8431" s="33"/>
      <c r="C8431" s="31"/>
      <c r="D8431" s="31"/>
      <c r="E8431" s="31"/>
      <c r="F8431" s="691"/>
      <c r="G8431" s="75"/>
      <c r="H8431" s="31"/>
    </row>
    <row r="8432" spans="2:8" hidden="1">
      <c r="B8432" s="33"/>
      <c r="C8432" s="31"/>
      <c r="D8432" s="31"/>
      <c r="E8432" s="31"/>
      <c r="F8432" s="691"/>
      <c r="G8432" s="75"/>
      <c r="H8432" s="31"/>
    </row>
    <row r="8433" spans="2:8" hidden="1">
      <c r="B8433" s="33"/>
      <c r="C8433" s="31"/>
      <c r="D8433" s="31"/>
      <c r="E8433" s="31"/>
      <c r="F8433" s="691"/>
      <c r="G8433" s="75"/>
      <c r="H8433" s="31"/>
    </row>
    <row r="8434" spans="2:8" hidden="1">
      <c r="B8434" s="33"/>
      <c r="C8434" s="31"/>
      <c r="D8434" s="31"/>
      <c r="E8434" s="31"/>
      <c r="F8434" s="691"/>
      <c r="G8434" s="75"/>
      <c r="H8434" s="31"/>
    </row>
    <row r="8435" spans="2:8" hidden="1">
      <c r="B8435" s="33"/>
      <c r="C8435" s="31"/>
      <c r="D8435" s="31"/>
      <c r="E8435" s="31"/>
      <c r="F8435" s="691"/>
      <c r="G8435" s="75"/>
      <c r="H8435" s="31"/>
    </row>
    <row r="8436" spans="2:8" hidden="1">
      <c r="B8436" s="33"/>
      <c r="C8436" s="31"/>
      <c r="D8436" s="31"/>
      <c r="E8436" s="31"/>
      <c r="F8436" s="691"/>
      <c r="G8436" s="75"/>
      <c r="H8436" s="31"/>
    </row>
    <row r="8437" spans="2:8" hidden="1">
      <c r="B8437" s="33"/>
      <c r="C8437" s="31"/>
      <c r="D8437" s="31"/>
      <c r="E8437" s="31"/>
      <c r="F8437" s="691"/>
      <c r="G8437" s="75"/>
      <c r="H8437" s="31"/>
    </row>
    <row r="8438" spans="2:8" hidden="1">
      <c r="B8438" s="33"/>
      <c r="C8438" s="31"/>
      <c r="D8438" s="31"/>
      <c r="E8438" s="31"/>
      <c r="F8438" s="691"/>
      <c r="G8438" s="75"/>
      <c r="H8438" s="31"/>
    </row>
    <row r="8439" spans="2:8" hidden="1">
      <c r="B8439" s="33"/>
      <c r="C8439" s="31"/>
      <c r="D8439" s="31"/>
      <c r="E8439" s="31"/>
      <c r="F8439" s="691"/>
      <c r="G8439" s="75"/>
      <c r="H8439" s="31"/>
    </row>
    <row r="8440" spans="2:8" hidden="1">
      <c r="B8440" s="33"/>
      <c r="C8440" s="31"/>
      <c r="D8440" s="31"/>
      <c r="E8440" s="31"/>
      <c r="F8440" s="691"/>
      <c r="G8440" s="75"/>
      <c r="H8440" s="31"/>
    </row>
    <row r="8441" spans="2:8" hidden="1">
      <c r="B8441" s="33"/>
      <c r="C8441" s="31"/>
      <c r="D8441" s="31"/>
      <c r="E8441" s="31"/>
      <c r="F8441" s="691"/>
      <c r="G8441" s="75"/>
      <c r="H8441" s="31"/>
    </row>
    <row r="8442" spans="2:8" hidden="1">
      <c r="B8442" s="33"/>
      <c r="C8442" s="31"/>
      <c r="D8442" s="31"/>
      <c r="E8442" s="31"/>
      <c r="F8442" s="691"/>
      <c r="G8442" s="75"/>
      <c r="H8442" s="31"/>
    </row>
    <row r="8443" spans="2:8" hidden="1">
      <c r="B8443" s="33"/>
      <c r="C8443" s="31"/>
      <c r="D8443" s="31"/>
      <c r="E8443" s="31"/>
      <c r="F8443" s="691"/>
      <c r="G8443" s="31"/>
      <c r="H8443" s="31"/>
    </row>
    <row r="8444" spans="2:8" hidden="1">
      <c r="B8444" s="33"/>
      <c r="C8444" s="31"/>
      <c r="D8444" s="31"/>
      <c r="E8444" s="31"/>
      <c r="F8444" s="31"/>
      <c r="G8444" s="31"/>
      <c r="H8444" s="31"/>
    </row>
    <row r="8445" spans="2:8" hidden="1">
      <c r="B8445" s="33"/>
      <c r="C8445" s="31"/>
      <c r="D8445" s="31"/>
      <c r="E8445" s="31"/>
      <c r="F8445" s="31"/>
      <c r="G8445" s="31"/>
      <c r="H8445" s="31"/>
    </row>
    <row r="8446" spans="2:8" hidden="1">
      <c r="B8446" s="33"/>
      <c r="C8446" s="31"/>
      <c r="D8446" s="31"/>
      <c r="E8446" s="31"/>
      <c r="F8446" s="31"/>
      <c r="G8446" s="31"/>
      <c r="H8446" s="31"/>
    </row>
    <row r="8447" spans="2:8" hidden="1">
      <c r="B8447" s="33"/>
      <c r="C8447" s="31"/>
      <c r="D8447" s="31"/>
      <c r="E8447" s="31"/>
      <c r="F8447" s="31"/>
      <c r="G8447" s="31"/>
      <c r="H8447" s="31"/>
    </row>
    <row r="8448" spans="2:8" hidden="1">
      <c r="B8448" s="33"/>
      <c r="C8448" s="31"/>
      <c r="D8448" s="31"/>
      <c r="E8448" s="31"/>
      <c r="F8448" s="31"/>
      <c r="G8448" s="31"/>
      <c r="H8448" s="31"/>
    </row>
    <row r="8449" spans="2:8" hidden="1">
      <c r="B8449" s="33"/>
      <c r="C8449" s="31"/>
      <c r="D8449" s="31"/>
      <c r="E8449" s="31"/>
      <c r="F8449" s="31"/>
      <c r="G8449" s="31"/>
      <c r="H8449" s="31"/>
    </row>
    <row r="8450" spans="2:8" hidden="1">
      <c r="B8450" s="33"/>
      <c r="C8450" s="31"/>
      <c r="D8450" s="31"/>
      <c r="E8450" s="31"/>
      <c r="F8450" s="31"/>
      <c r="G8450" s="31"/>
      <c r="H8450" s="31"/>
    </row>
    <row r="8451" spans="2:8" hidden="1">
      <c r="B8451" s="33"/>
      <c r="C8451" s="31"/>
      <c r="D8451" s="31"/>
      <c r="E8451" s="31"/>
      <c r="F8451" s="31"/>
      <c r="G8451" s="31"/>
      <c r="H8451" s="31"/>
    </row>
    <row r="8452" spans="2:8" hidden="1">
      <c r="B8452" s="33"/>
      <c r="C8452" s="31"/>
      <c r="D8452" s="33"/>
      <c r="E8452" s="31"/>
      <c r="F8452" s="33"/>
      <c r="G8452" s="33"/>
      <c r="H8452" s="31"/>
    </row>
    <row r="8453" spans="2:8" hidden="1">
      <c r="B8453" s="33"/>
      <c r="C8453" s="31"/>
      <c r="D8453" s="33"/>
      <c r="E8453" s="33"/>
      <c r="F8453" s="33"/>
      <c r="G8453" s="33"/>
      <c r="H8453" s="31"/>
    </row>
    <row r="8454" spans="2:8" hidden="1">
      <c r="B8454" s="33"/>
      <c r="C8454" s="31"/>
      <c r="D8454" s="31"/>
      <c r="E8454" s="31"/>
      <c r="F8454" s="31"/>
      <c r="G8454" s="31"/>
      <c r="H8454" s="31"/>
    </row>
    <row r="8455" spans="2:8" hidden="1">
      <c r="B8455" s="200"/>
      <c r="C8455" s="31"/>
      <c r="D8455" s="75"/>
      <c r="E8455" s="771"/>
      <c r="F8455" s="771"/>
      <c r="G8455" s="31"/>
      <c r="H8455" s="31"/>
    </row>
    <row r="8456" spans="2:8" hidden="1">
      <c r="B8456" s="200"/>
      <c r="C8456" s="31"/>
      <c r="D8456" s="75"/>
      <c r="E8456" s="772"/>
      <c r="F8456" s="772"/>
      <c r="G8456" s="33"/>
      <c r="H8456" s="31"/>
    </row>
    <row r="8457" spans="2:8" hidden="1">
      <c r="B8457" s="200"/>
      <c r="C8457" s="31"/>
      <c r="D8457" s="75"/>
      <c r="E8457" s="771"/>
      <c r="F8457" s="772"/>
      <c r="G8457" s="33"/>
      <c r="H8457" s="31"/>
    </row>
    <row r="8458" spans="2:8" hidden="1">
      <c r="B8458" s="33"/>
      <c r="C8458" s="31"/>
      <c r="D8458" s="31"/>
      <c r="E8458" s="31"/>
      <c r="F8458" s="31"/>
      <c r="G8458" s="31"/>
      <c r="H8458" s="31"/>
    </row>
    <row r="8459" spans="2:8" hidden="1">
      <c r="B8459" s="200"/>
      <c r="C8459" s="31"/>
      <c r="D8459" s="75"/>
      <c r="E8459" s="771"/>
      <c r="F8459" s="33"/>
      <c r="G8459" s="33"/>
      <c r="H8459" s="31"/>
    </row>
    <row r="8460" spans="2:8" hidden="1">
      <c r="B8460" s="200"/>
      <c r="C8460" s="31"/>
      <c r="D8460" s="75"/>
      <c r="E8460" s="771"/>
      <c r="F8460" s="771"/>
      <c r="G8460" s="31"/>
      <c r="H8460" s="31"/>
    </row>
    <row r="8461" spans="2:8" hidden="1">
      <c r="B8461" s="200"/>
      <c r="C8461" s="31"/>
      <c r="D8461" s="75"/>
      <c r="E8461" s="771"/>
      <c r="F8461" s="771"/>
      <c r="G8461" s="31"/>
      <c r="H8461" s="31"/>
    </row>
    <row r="8462" spans="2:8" hidden="1">
      <c r="B8462" s="200"/>
      <c r="C8462" s="31"/>
      <c r="D8462" s="75"/>
      <c r="E8462" s="771"/>
      <c r="F8462" s="771"/>
      <c r="G8462" s="31"/>
      <c r="H8462" s="31"/>
    </row>
    <row r="8463" spans="2:8" hidden="1">
      <c r="B8463" s="200"/>
      <c r="C8463" s="31"/>
      <c r="D8463" s="75"/>
      <c r="E8463" s="771"/>
      <c r="F8463" s="771"/>
      <c r="G8463" s="31"/>
      <c r="H8463" s="31"/>
    </row>
    <row r="8464" spans="2:8" hidden="1">
      <c r="B8464" s="200"/>
      <c r="C8464" s="31"/>
      <c r="D8464" s="75"/>
      <c r="E8464" s="771"/>
      <c r="F8464" s="771"/>
      <c r="G8464" s="31"/>
      <c r="H8464" s="31"/>
    </row>
    <row r="8465" spans="2:8" hidden="1">
      <c r="B8465" s="200"/>
      <c r="C8465" s="31"/>
      <c r="D8465" s="75"/>
      <c r="E8465" s="771"/>
      <c r="F8465" s="771"/>
      <c r="G8465" s="31"/>
      <c r="H8465" s="31"/>
    </row>
    <row r="8466" spans="2:8" hidden="1">
      <c r="B8466" s="200"/>
      <c r="C8466" s="31"/>
      <c r="D8466" s="75"/>
      <c r="E8466" s="772"/>
      <c r="F8466" s="771"/>
      <c r="G8466" s="31"/>
      <c r="H8466" s="31"/>
    </row>
    <row r="8467" spans="2:8" hidden="1">
      <c r="B8467" s="200"/>
      <c r="C8467" s="31"/>
      <c r="D8467" s="75"/>
      <c r="E8467" s="771"/>
      <c r="F8467" s="771"/>
      <c r="G8467" s="31"/>
      <c r="H8467" s="31"/>
    </row>
    <row r="8468" spans="2:8" hidden="1">
      <c r="B8468" s="200"/>
      <c r="C8468" s="31"/>
      <c r="D8468" s="75"/>
      <c r="E8468" s="771"/>
      <c r="F8468" s="772"/>
      <c r="G8468" s="33"/>
      <c r="H8468" s="31"/>
    </row>
    <row r="8469" spans="2:8" hidden="1">
      <c r="B8469" s="200"/>
      <c r="C8469" s="31"/>
      <c r="D8469" s="75"/>
      <c r="E8469" s="771"/>
      <c r="F8469" s="771"/>
      <c r="G8469" s="31"/>
      <c r="H8469" s="31"/>
    </row>
    <row r="8470" spans="2:8" hidden="1">
      <c r="B8470" s="200"/>
      <c r="C8470" s="31"/>
      <c r="D8470" s="75"/>
      <c r="E8470" s="772"/>
      <c r="F8470" s="772"/>
      <c r="G8470" s="33"/>
      <c r="H8470" s="31"/>
    </row>
    <row r="8471" spans="2:8" hidden="1">
      <c r="B8471" s="200"/>
      <c r="C8471" s="31"/>
      <c r="D8471" s="75"/>
      <c r="E8471" s="771"/>
      <c r="F8471" s="771"/>
      <c r="G8471" s="31"/>
      <c r="H8471" s="31"/>
    </row>
    <row r="8472" spans="2:8" hidden="1">
      <c r="B8472" s="200"/>
      <c r="C8472" s="31"/>
      <c r="D8472" s="75"/>
      <c r="E8472" s="771"/>
      <c r="F8472" s="771"/>
      <c r="G8472" s="31"/>
      <c r="H8472" s="31"/>
    </row>
    <row r="8473" spans="2:8" hidden="1">
      <c r="B8473" s="200"/>
      <c r="C8473" s="31"/>
      <c r="D8473" s="75"/>
      <c r="E8473" s="771"/>
      <c r="F8473" s="771"/>
      <c r="G8473" s="31"/>
      <c r="H8473" s="31"/>
    </row>
    <row r="8474" spans="2:8" hidden="1">
      <c r="B8474" s="200"/>
      <c r="C8474" s="31"/>
      <c r="D8474" s="75"/>
      <c r="E8474" s="771"/>
      <c r="F8474" s="771"/>
      <c r="G8474" s="31"/>
      <c r="H8474" s="31"/>
    </row>
    <row r="8475" spans="2:8" hidden="1">
      <c r="B8475" s="200"/>
      <c r="C8475" s="31"/>
      <c r="D8475" s="75"/>
      <c r="E8475" s="771"/>
      <c r="F8475" s="771"/>
      <c r="G8475" s="31"/>
      <c r="H8475" s="31"/>
    </row>
    <row r="8476" spans="2:8" hidden="1">
      <c r="B8476" s="200"/>
      <c r="C8476" s="31"/>
      <c r="D8476" s="75"/>
      <c r="E8476" s="771"/>
      <c r="F8476" s="771"/>
      <c r="G8476" s="31"/>
      <c r="H8476" s="31"/>
    </row>
    <row r="8477" spans="2:8" hidden="1">
      <c r="B8477" s="200"/>
      <c r="C8477" s="31"/>
      <c r="D8477" s="75"/>
      <c r="E8477" s="771"/>
      <c r="F8477" s="771"/>
      <c r="G8477" s="31"/>
      <c r="H8477" s="31"/>
    </row>
    <row r="8478" spans="2:8" hidden="1">
      <c r="B8478" s="200"/>
      <c r="C8478" s="31"/>
      <c r="D8478" s="75"/>
      <c r="E8478" s="771"/>
      <c r="F8478" s="771"/>
      <c r="G8478" s="31"/>
      <c r="H8478" s="31"/>
    </row>
    <row r="8479" spans="2:8" hidden="1">
      <c r="B8479" s="200"/>
      <c r="C8479" s="31"/>
      <c r="D8479" s="75"/>
      <c r="E8479" s="771"/>
      <c r="F8479" s="771"/>
      <c r="G8479" s="31"/>
      <c r="H8479" s="31"/>
    </row>
    <row r="8480" spans="2:8" hidden="1">
      <c r="B8480" s="200"/>
      <c r="C8480" s="31"/>
      <c r="D8480" s="75"/>
      <c r="E8480" s="771"/>
      <c r="F8480" s="771"/>
      <c r="G8480" s="31"/>
      <c r="H8480" s="31"/>
    </row>
    <row r="8481" spans="2:8" hidden="1">
      <c r="B8481" s="33"/>
      <c r="C8481" s="31"/>
      <c r="D8481" s="31"/>
      <c r="E8481" s="31"/>
      <c r="F8481" s="31"/>
      <c r="G8481" s="31"/>
      <c r="H8481" s="31"/>
    </row>
    <row r="8482" spans="2:8" hidden="1">
      <c r="B8482" s="200"/>
      <c r="C8482" s="31"/>
      <c r="D8482" s="75"/>
      <c r="E8482" s="33"/>
      <c r="F8482" s="33"/>
      <c r="G8482" s="33"/>
      <c r="H8482" s="31"/>
    </row>
    <row r="8483" spans="2:8" hidden="1">
      <c r="B8483" s="200"/>
      <c r="C8483" s="31"/>
      <c r="D8483" s="75"/>
      <c r="E8483" s="33"/>
      <c r="F8483" s="33"/>
      <c r="G8483" s="33"/>
      <c r="H8483" s="31"/>
    </row>
    <row r="8484" spans="2:8" hidden="1">
      <c r="B8484" s="200"/>
      <c r="C8484" s="31"/>
      <c r="D8484" s="75"/>
      <c r="E8484" s="33"/>
      <c r="F8484" s="33"/>
      <c r="G8484" s="33"/>
      <c r="H8484" s="31"/>
    </row>
    <row r="8485" spans="2:8" hidden="1">
      <c r="B8485" s="200"/>
      <c r="C8485" s="31"/>
      <c r="D8485" s="75"/>
      <c r="E8485" s="31"/>
      <c r="F8485" s="33"/>
      <c r="G8485" s="33"/>
      <c r="H8485" s="31"/>
    </row>
    <row r="8486" spans="2:8" hidden="1">
      <c r="B8486" s="200"/>
      <c r="C8486" s="31"/>
      <c r="D8486" s="75"/>
      <c r="E8486" s="33"/>
      <c r="F8486" s="33"/>
      <c r="G8486" s="33"/>
      <c r="H8486" s="31"/>
    </row>
    <row r="8487" spans="2:8" hidden="1">
      <c r="B8487" s="200"/>
      <c r="C8487" s="31"/>
      <c r="D8487" s="75"/>
      <c r="E8487" s="33"/>
      <c r="F8487" s="33"/>
      <c r="G8487" s="33"/>
      <c r="H8487" s="31"/>
    </row>
    <row r="8488" spans="2:8" hidden="1">
      <c r="B8488" s="200"/>
      <c r="C8488" s="31"/>
      <c r="D8488" s="75"/>
      <c r="E8488" s="33"/>
      <c r="F8488" s="33"/>
      <c r="G8488" s="33"/>
      <c r="H8488" s="31"/>
    </row>
    <row r="8489" spans="2:8" hidden="1">
      <c r="B8489" s="200"/>
      <c r="C8489" s="31"/>
      <c r="D8489" s="75"/>
      <c r="E8489" s="33"/>
      <c r="F8489" s="33"/>
      <c r="G8489" s="33"/>
      <c r="H8489" s="31"/>
    </row>
    <row r="8490" spans="2:8" hidden="1">
      <c r="B8490" s="200"/>
      <c r="C8490" s="31"/>
      <c r="D8490" s="75"/>
      <c r="E8490" s="33"/>
      <c r="F8490" s="33"/>
      <c r="G8490" s="33"/>
      <c r="H8490" s="31"/>
    </row>
    <row r="8491" spans="2:8" hidden="1">
      <c r="B8491" s="200"/>
      <c r="C8491" s="31"/>
      <c r="D8491" s="75"/>
      <c r="E8491" s="33"/>
      <c r="F8491" s="33"/>
      <c r="G8491" s="33"/>
      <c r="H8491" s="31"/>
    </row>
    <row r="8492" spans="2:8" hidden="1">
      <c r="B8492" s="200"/>
      <c r="C8492" s="31"/>
      <c r="D8492" s="75"/>
      <c r="E8492" s="33"/>
      <c r="F8492" s="33"/>
      <c r="G8492" s="33"/>
      <c r="H8492" s="31"/>
    </row>
    <row r="8493" spans="2:8" hidden="1">
      <c r="B8493" s="33"/>
      <c r="C8493" s="31"/>
      <c r="D8493" s="31"/>
      <c r="E8493" s="31"/>
      <c r="F8493" s="31"/>
      <c r="G8493" s="31"/>
      <c r="H8493" s="31"/>
    </row>
    <row r="8494" spans="2:8" hidden="1">
      <c r="B8494" s="200"/>
      <c r="C8494" s="31"/>
      <c r="D8494" s="75"/>
      <c r="E8494" s="771"/>
      <c r="F8494" s="33"/>
      <c r="G8494" s="33"/>
      <c r="H8494" s="31"/>
    </row>
    <row r="8495" spans="2:8" hidden="1">
      <c r="B8495" s="200"/>
      <c r="C8495" s="31"/>
      <c r="D8495" s="75"/>
      <c r="E8495" s="771"/>
      <c r="F8495" s="31"/>
      <c r="G8495" s="31"/>
      <c r="H8495" s="31"/>
    </row>
    <row r="8496" spans="2:8" hidden="1">
      <c r="B8496" s="200"/>
      <c r="C8496" s="31"/>
      <c r="D8496" s="75"/>
      <c r="E8496" s="771"/>
      <c r="F8496" s="31"/>
      <c r="G8496" s="31"/>
      <c r="H8496" s="31"/>
    </row>
    <row r="8497" spans="2:8" hidden="1">
      <c r="B8497" s="200"/>
      <c r="C8497" s="31"/>
      <c r="D8497" s="75"/>
      <c r="E8497" s="771"/>
      <c r="F8497" s="31"/>
      <c r="G8497" s="31"/>
      <c r="H8497" s="31"/>
    </row>
    <row r="8498" spans="2:8" hidden="1">
      <c r="B8498" s="200"/>
      <c r="C8498" s="31"/>
      <c r="D8498" s="75"/>
      <c r="E8498" s="771"/>
      <c r="F8498" s="31"/>
      <c r="G8498" s="31"/>
      <c r="H8498" s="31"/>
    </row>
    <row r="8499" spans="2:8" hidden="1">
      <c r="B8499" s="200"/>
      <c r="C8499" s="31"/>
      <c r="D8499" s="75"/>
      <c r="E8499" s="771"/>
      <c r="F8499" s="771"/>
      <c r="G8499" s="31"/>
      <c r="H8499" s="31"/>
    </row>
    <row r="8500" spans="2:8" hidden="1">
      <c r="B8500" s="200"/>
      <c r="C8500" s="31"/>
      <c r="D8500" s="75"/>
      <c r="E8500" s="771"/>
      <c r="F8500" s="771"/>
      <c r="G8500" s="31"/>
      <c r="H8500" s="31"/>
    </row>
    <row r="8501" spans="2:8" hidden="1">
      <c r="B8501" s="200"/>
      <c r="C8501" s="31"/>
      <c r="D8501" s="75"/>
      <c r="E8501" s="771"/>
      <c r="F8501" s="771"/>
      <c r="G8501" s="31"/>
      <c r="H8501" s="31"/>
    </row>
    <row r="8502" spans="2:8" hidden="1">
      <c r="B8502" s="200"/>
      <c r="C8502" s="31"/>
      <c r="D8502" s="75"/>
      <c r="E8502" s="771"/>
      <c r="F8502" s="771"/>
      <c r="G8502" s="31"/>
      <c r="H8502" s="31"/>
    </row>
    <row r="8503" spans="2:8" hidden="1">
      <c r="B8503" s="200"/>
      <c r="C8503" s="31"/>
      <c r="D8503" s="75"/>
      <c r="E8503" s="771"/>
      <c r="F8503" s="771"/>
      <c r="G8503" s="31"/>
      <c r="H8503" s="31"/>
    </row>
    <row r="8504" spans="2:8" hidden="1">
      <c r="B8504" s="200"/>
      <c r="C8504" s="31"/>
      <c r="D8504" s="75"/>
      <c r="E8504" s="771"/>
      <c r="F8504" s="771"/>
      <c r="G8504" s="31"/>
      <c r="H8504" s="31"/>
    </row>
    <row r="8505" spans="2:8" hidden="1">
      <c r="B8505" s="200"/>
      <c r="C8505" s="31"/>
      <c r="D8505" s="75"/>
      <c r="E8505" s="771"/>
      <c r="F8505" s="771"/>
      <c r="G8505" s="31"/>
      <c r="H8505" s="31"/>
    </row>
    <row r="8506" spans="2:8" hidden="1">
      <c r="B8506" s="200"/>
      <c r="C8506" s="31"/>
      <c r="D8506" s="75"/>
      <c r="E8506" s="771"/>
      <c r="F8506" s="771"/>
      <c r="G8506" s="31"/>
      <c r="H8506" s="31"/>
    </row>
    <row r="8507" spans="2:8" hidden="1">
      <c r="B8507" s="33"/>
      <c r="C8507" s="31"/>
      <c r="D8507" s="31"/>
      <c r="E8507" s="31"/>
      <c r="F8507" s="31"/>
      <c r="G8507" s="31"/>
      <c r="H8507" s="31"/>
    </row>
    <row r="8508" spans="2:8" hidden="1">
      <c r="B8508" s="200"/>
      <c r="C8508" s="31"/>
      <c r="D8508" s="75"/>
      <c r="E8508" s="31"/>
      <c r="F8508" s="33"/>
      <c r="G8508" s="33"/>
      <c r="H8508" s="31"/>
    </row>
    <row r="8509" spans="2:8" hidden="1">
      <c r="B8509" s="200"/>
      <c r="C8509" s="31"/>
      <c r="D8509" s="75"/>
      <c r="E8509" s="31"/>
      <c r="F8509" s="771"/>
      <c r="G8509" s="31"/>
      <c r="H8509" s="31"/>
    </row>
    <row r="8510" spans="2:8" hidden="1">
      <c r="B8510" s="200"/>
      <c r="C8510" s="31"/>
      <c r="D8510" s="75"/>
      <c r="E8510" s="31"/>
      <c r="F8510" s="771"/>
      <c r="G8510" s="31"/>
      <c r="H8510" s="31"/>
    </row>
    <row r="8511" spans="2:8" hidden="1">
      <c r="B8511" s="200"/>
      <c r="C8511" s="31"/>
      <c r="D8511" s="75"/>
      <c r="E8511" s="31"/>
      <c r="F8511" s="771"/>
      <c r="G8511" s="31"/>
      <c r="H8511" s="31"/>
    </row>
    <row r="8512" spans="2:8" hidden="1">
      <c r="B8512" s="200"/>
      <c r="C8512" s="31"/>
      <c r="D8512" s="75"/>
      <c r="E8512" s="31"/>
      <c r="F8512" s="771"/>
      <c r="G8512" s="31"/>
      <c r="H8512" s="31"/>
    </row>
    <row r="8513" spans="2:8" hidden="1">
      <c r="B8513" s="200"/>
      <c r="C8513" s="31"/>
      <c r="D8513" s="75"/>
      <c r="E8513" s="31"/>
      <c r="F8513" s="771"/>
      <c r="G8513" s="31"/>
      <c r="H8513" s="31"/>
    </row>
    <row r="8514" spans="2:8" hidden="1">
      <c r="B8514" s="200"/>
      <c r="C8514" s="31"/>
      <c r="D8514" s="75"/>
      <c r="E8514" s="33"/>
      <c r="F8514" s="33"/>
      <c r="G8514" s="33"/>
      <c r="H8514" s="31"/>
    </row>
    <row r="8515" spans="2:8" hidden="1">
      <c r="B8515" s="200"/>
      <c r="C8515" s="31"/>
      <c r="D8515" s="75"/>
      <c r="E8515" s="33"/>
      <c r="F8515" s="33"/>
      <c r="G8515" s="33"/>
      <c r="H8515" s="31"/>
    </row>
    <row r="8516" spans="2:8" hidden="1">
      <c r="B8516" s="200"/>
      <c r="C8516" s="31"/>
      <c r="D8516" s="75"/>
      <c r="E8516" s="33"/>
      <c r="F8516" s="33"/>
      <c r="G8516" s="33"/>
      <c r="H8516" s="31"/>
    </row>
    <row r="8517" spans="2:8" hidden="1">
      <c r="B8517" s="200"/>
      <c r="C8517" s="31"/>
      <c r="D8517" s="75"/>
      <c r="E8517" s="33"/>
      <c r="F8517" s="33"/>
      <c r="G8517" s="33"/>
      <c r="H8517" s="31"/>
    </row>
    <row r="8518" spans="2:8" hidden="1">
      <c r="B8518" s="200"/>
      <c r="C8518" s="31"/>
      <c r="D8518" s="75"/>
      <c r="E8518" s="33"/>
      <c r="F8518" s="33"/>
      <c r="G8518" s="33"/>
      <c r="H8518" s="31"/>
    </row>
    <row r="8519" spans="2:8" hidden="1">
      <c r="B8519" s="200"/>
      <c r="C8519" s="31"/>
      <c r="D8519" s="75"/>
      <c r="E8519" s="33"/>
      <c r="F8519" s="33"/>
      <c r="G8519" s="33"/>
      <c r="H8519" s="31"/>
    </row>
    <row r="8520" spans="2:8" hidden="1">
      <c r="B8520" s="33"/>
      <c r="C8520" s="31"/>
      <c r="D8520" s="31"/>
      <c r="E8520" s="31"/>
      <c r="F8520" s="31"/>
      <c r="G8520" s="31"/>
      <c r="H8520" s="31"/>
    </row>
    <row r="8521" spans="2:8" hidden="1">
      <c r="B8521" s="33"/>
      <c r="C8521" s="31"/>
      <c r="D8521" s="31"/>
      <c r="E8521" s="31"/>
      <c r="F8521" s="31"/>
      <c r="G8521" s="31"/>
      <c r="H8521" s="31"/>
    </row>
    <row r="8522" spans="2:8" hidden="1">
      <c r="B8522" s="200"/>
      <c r="C8522" s="31"/>
      <c r="D8522" s="75"/>
      <c r="E8522" s="33"/>
      <c r="F8522" s="33"/>
      <c r="G8522" s="33"/>
      <c r="H8522" s="31"/>
    </row>
    <row r="8523" spans="2:8" hidden="1">
      <c r="B8523" s="200"/>
      <c r="C8523" s="31"/>
      <c r="D8523" s="75"/>
      <c r="E8523" s="33"/>
      <c r="F8523" s="33"/>
      <c r="G8523" s="33"/>
      <c r="H8523" s="31"/>
    </row>
    <row r="8524" spans="2:8" hidden="1">
      <c r="B8524" s="200"/>
      <c r="C8524" s="31"/>
      <c r="D8524" s="75"/>
      <c r="E8524" s="33"/>
      <c r="F8524" s="33"/>
      <c r="G8524" s="33"/>
      <c r="H8524" s="31"/>
    </row>
    <row r="8525" spans="2:8" hidden="1">
      <c r="B8525" s="200"/>
      <c r="C8525" s="31"/>
      <c r="D8525" s="75"/>
      <c r="E8525" s="33"/>
      <c r="F8525" s="33"/>
      <c r="G8525" s="33"/>
      <c r="H8525" s="31"/>
    </row>
    <row r="8526" spans="2:8" hidden="1">
      <c r="B8526" s="200"/>
      <c r="C8526" s="31"/>
      <c r="D8526" s="75"/>
      <c r="E8526" s="33"/>
      <c r="F8526" s="33"/>
      <c r="G8526" s="33"/>
      <c r="H8526" s="31"/>
    </row>
    <row r="8527" spans="2:8" hidden="1">
      <c r="B8527" s="200"/>
      <c r="C8527" s="31"/>
      <c r="D8527" s="75"/>
      <c r="E8527" s="33"/>
      <c r="F8527" s="33"/>
      <c r="G8527" s="33"/>
      <c r="H8527" s="31"/>
    </row>
    <row r="8528" spans="2:8" hidden="1">
      <c r="B8528" s="200"/>
      <c r="C8528" s="31"/>
      <c r="D8528" s="75"/>
      <c r="E8528" s="33"/>
      <c r="F8528" s="33"/>
      <c r="G8528" s="33"/>
      <c r="H8528" s="31"/>
    </row>
    <row r="8529" spans="2:8" hidden="1">
      <c r="B8529" s="200"/>
      <c r="C8529" s="31"/>
      <c r="D8529" s="75"/>
      <c r="E8529" s="33"/>
      <c r="F8529" s="33"/>
      <c r="G8529" s="33"/>
      <c r="H8529" s="31"/>
    </row>
    <row r="8530" spans="2:8" hidden="1">
      <c r="B8530" s="200"/>
      <c r="C8530" s="31"/>
      <c r="D8530" s="75"/>
      <c r="E8530" s="33"/>
      <c r="F8530" s="33"/>
      <c r="G8530" s="33"/>
      <c r="H8530" s="31"/>
    </row>
    <row r="8531" spans="2:8" hidden="1">
      <c r="B8531" s="200"/>
      <c r="C8531" s="31"/>
      <c r="D8531" s="75"/>
      <c r="E8531" s="200"/>
      <c r="F8531" s="33"/>
      <c r="G8531" s="33"/>
      <c r="H8531" s="31"/>
    </row>
    <row r="8532" spans="2:8" hidden="1">
      <c r="B8532" s="200"/>
      <c r="C8532" s="31"/>
      <c r="D8532" s="75"/>
      <c r="E8532" s="33"/>
      <c r="F8532" s="33"/>
      <c r="G8532" s="33"/>
      <c r="H8532" s="31"/>
    </row>
    <row r="8533" spans="2:8" hidden="1">
      <c r="B8533" s="200"/>
      <c r="C8533" s="31"/>
      <c r="D8533" s="75"/>
      <c r="E8533" s="33"/>
      <c r="F8533" s="33"/>
      <c r="G8533" s="33"/>
      <c r="H8533" s="31"/>
    </row>
    <row r="8534" spans="2:8" hidden="1">
      <c r="B8534" s="200"/>
      <c r="C8534" s="31"/>
      <c r="D8534" s="75"/>
      <c r="E8534" s="33"/>
      <c r="F8534" s="33"/>
      <c r="G8534" s="33"/>
      <c r="H8534" s="31"/>
    </row>
    <row r="8535" spans="2:8" hidden="1">
      <c r="B8535" s="200"/>
      <c r="C8535" s="31"/>
      <c r="D8535" s="75"/>
      <c r="E8535" s="33"/>
      <c r="F8535" s="33"/>
      <c r="G8535" s="33"/>
      <c r="H8535" s="31"/>
    </row>
    <row r="8536" spans="2:8" hidden="1">
      <c r="B8536" s="200"/>
      <c r="C8536" s="31"/>
      <c r="D8536" s="75"/>
      <c r="E8536" s="31"/>
      <c r="F8536" s="31"/>
      <c r="G8536" s="31"/>
      <c r="H8536" s="31"/>
    </row>
    <row r="8537" spans="2:8" hidden="1">
      <c r="B8537" s="33"/>
      <c r="C8537" s="31"/>
      <c r="D8537" s="31"/>
      <c r="E8537" s="31"/>
      <c r="F8537" s="31"/>
      <c r="G8537" s="31"/>
      <c r="H8537" s="31"/>
    </row>
    <row r="8538" spans="2:8" hidden="1">
      <c r="B8538" s="200"/>
      <c r="C8538" s="31"/>
      <c r="D8538" s="75"/>
      <c r="E8538" s="771"/>
      <c r="F8538" s="771"/>
      <c r="G8538" s="31"/>
      <c r="H8538" s="31"/>
    </row>
    <row r="8539" spans="2:8" hidden="1">
      <c r="B8539" s="200"/>
      <c r="C8539" s="31"/>
      <c r="D8539" s="75"/>
      <c r="E8539" s="771"/>
      <c r="F8539" s="771"/>
      <c r="G8539" s="31"/>
      <c r="H8539" s="31"/>
    </row>
    <row r="8540" spans="2:8" hidden="1">
      <c r="B8540" s="200"/>
      <c r="C8540" s="31"/>
      <c r="D8540" s="75"/>
      <c r="E8540" s="771"/>
      <c r="F8540" s="771"/>
      <c r="G8540" s="31"/>
      <c r="H8540" s="31"/>
    </row>
    <row r="8541" spans="2:8" hidden="1">
      <c r="B8541" s="200"/>
      <c r="C8541" s="31"/>
      <c r="D8541" s="75"/>
      <c r="E8541" s="771"/>
      <c r="F8541" s="771"/>
      <c r="G8541" s="31"/>
      <c r="H8541" s="31"/>
    </row>
    <row r="8542" spans="2:8" hidden="1">
      <c r="B8542" s="200"/>
      <c r="C8542" s="31"/>
      <c r="D8542" s="75"/>
      <c r="E8542" s="771"/>
      <c r="F8542" s="771"/>
      <c r="G8542" s="31"/>
      <c r="H8542" s="31"/>
    </row>
    <row r="8543" spans="2:8" hidden="1">
      <c r="B8543" s="200"/>
      <c r="C8543" s="31"/>
      <c r="D8543" s="75"/>
      <c r="E8543" s="771"/>
      <c r="F8543" s="771"/>
      <c r="G8543" s="31"/>
      <c r="H8543" s="31"/>
    </row>
    <row r="8544" spans="2:8" hidden="1">
      <c r="B8544" s="200"/>
      <c r="C8544" s="31"/>
      <c r="D8544" s="75"/>
      <c r="E8544" s="771"/>
      <c r="F8544" s="771"/>
      <c r="G8544" s="31"/>
      <c r="H8544" s="31"/>
    </row>
    <row r="8545" spans="2:8" hidden="1">
      <c r="B8545" s="200"/>
      <c r="C8545" s="31"/>
      <c r="D8545" s="75"/>
      <c r="E8545" s="771"/>
      <c r="F8545" s="771"/>
      <c r="G8545" s="31"/>
      <c r="H8545" s="31"/>
    </row>
    <row r="8546" spans="2:8" hidden="1">
      <c r="B8546" s="200"/>
      <c r="C8546" s="31"/>
      <c r="D8546" s="75"/>
      <c r="E8546" s="771"/>
      <c r="F8546" s="771"/>
      <c r="G8546" s="31"/>
      <c r="H8546" s="31"/>
    </row>
    <row r="8547" spans="2:8" hidden="1">
      <c r="B8547" s="200"/>
      <c r="C8547" s="31"/>
      <c r="D8547" s="75"/>
      <c r="E8547" s="771"/>
      <c r="F8547" s="772"/>
      <c r="G8547" s="33"/>
      <c r="H8547" s="31"/>
    </row>
    <row r="8548" spans="2:8" hidden="1">
      <c r="B8548" s="200"/>
      <c r="C8548" s="31"/>
      <c r="D8548" s="75"/>
      <c r="E8548" s="771"/>
      <c r="F8548" s="771"/>
      <c r="G8548" s="31"/>
      <c r="H8548" s="31"/>
    </row>
    <row r="8549" spans="2:8" hidden="1">
      <c r="B8549" s="33"/>
      <c r="C8549" s="31"/>
      <c r="D8549" s="31"/>
      <c r="E8549" s="31"/>
      <c r="F8549" s="31"/>
      <c r="G8549" s="31"/>
      <c r="H8549" s="31"/>
    </row>
    <row r="8550" spans="2:8" hidden="1">
      <c r="B8550" s="200"/>
      <c r="C8550" s="31"/>
      <c r="D8550" s="774"/>
      <c r="E8550" s="31"/>
      <c r="F8550" s="31"/>
      <c r="G8550" s="31"/>
      <c r="H8550" s="31"/>
    </row>
    <row r="8551" spans="2:8" hidden="1">
      <c r="B8551" s="200"/>
      <c r="C8551" s="31"/>
      <c r="D8551" s="774"/>
      <c r="E8551" s="31"/>
      <c r="F8551" s="31"/>
      <c r="G8551" s="31"/>
      <c r="H8551" s="31"/>
    </row>
    <row r="8552" spans="2:8" hidden="1">
      <c r="B8552" s="200"/>
      <c r="C8552" s="31"/>
      <c r="D8552" s="774"/>
      <c r="E8552" s="31"/>
      <c r="F8552" s="31"/>
      <c r="G8552" s="31"/>
      <c r="H8552" s="31"/>
    </row>
    <row r="8553" spans="2:8" hidden="1">
      <c r="B8553" s="200"/>
      <c r="C8553" s="31"/>
      <c r="D8553" s="774"/>
      <c r="E8553" s="31"/>
      <c r="F8553" s="31"/>
      <c r="G8553" s="31"/>
      <c r="H8553" s="31"/>
    </row>
    <row r="8554" spans="2:8" hidden="1">
      <c r="B8554" s="200"/>
      <c r="C8554" s="31"/>
      <c r="D8554" s="774"/>
      <c r="E8554" s="31"/>
      <c r="F8554" s="31"/>
      <c r="G8554" s="31"/>
      <c r="H8554" s="31"/>
    </row>
    <row r="8555" spans="2:8" hidden="1">
      <c r="B8555" s="200"/>
      <c r="C8555" s="31"/>
      <c r="D8555" s="75"/>
      <c r="E8555" s="31"/>
      <c r="F8555" s="771"/>
      <c r="G8555" s="31"/>
      <c r="H8555" s="31"/>
    </row>
    <row r="8556" spans="2:8" hidden="1">
      <c r="B8556" s="200"/>
      <c r="C8556" s="31"/>
      <c r="D8556" s="75"/>
      <c r="E8556" s="31"/>
      <c r="F8556" s="771"/>
      <c r="G8556" s="31"/>
      <c r="H8556" s="31"/>
    </row>
    <row r="8557" spans="2:8" hidden="1">
      <c r="B8557" s="200"/>
      <c r="C8557" s="31"/>
      <c r="D8557" s="75"/>
      <c r="E8557" s="31"/>
      <c r="F8557" s="771"/>
      <c r="G8557" s="31"/>
      <c r="H8557" s="31"/>
    </row>
    <row r="8558" spans="2:8" hidden="1">
      <c r="B8558" s="200"/>
      <c r="C8558" s="31"/>
      <c r="D8558" s="75"/>
      <c r="E8558" s="31"/>
      <c r="F8558" s="771"/>
      <c r="G8558" s="31"/>
      <c r="H8558" s="31"/>
    </row>
    <row r="8559" spans="2:8" hidden="1">
      <c r="B8559" s="200"/>
      <c r="C8559" s="31"/>
      <c r="D8559" s="75"/>
      <c r="E8559" s="31"/>
      <c r="F8559" s="771"/>
      <c r="G8559" s="31"/>
      <c r="H8559" s="31"/>
    </row>
    <row r="8560" spans="2:8" hidden="1">
      <c r="B8560" s="200"/>
      <c r="C8560" s="31"/>
      <c r="D8560" s="75"/>
      <c r="E8560" s="31"/>
      <c r="F8560" s="771"/>
      <c r="G8560" s="31"/>
      <c r="H8560" s="31"/>
    </row>
    <row r="8561" spans="2:8" hidden="1">
      <c r="B8561" s="200"/>
      <c r="C8561" s="31"/>
      <c r="D8561" s="75"/>
      <c r="E8561" s="31"/>
      <c r="F8561" s="772"/>
      <c r="G8561" s="33"/>
      <c r="H8561" s="31"/>
    </row>
    <row r="8562" spans="2:8" hidden="1">
      <c r="B8562" s="200"/>
      <c r="C8562" s="31"/>
      <c r="D8562" s="75"/>
      <c r="E8562" s="31"/>
      <c r="F8562" s="771"/>
      <c r="G8562" s="31"/>
      <c r="H8562" s="31"/>
    </row>
    <row r="8563" spans="2:8" hidden="1">
      <c r="B8563" s="200"/>
      <c r="C8563" s="31"/>
      <c r="D8563" s="75"/>
      <c r="E8563" s="31"/>
      <c r="F8563" s="771"/>
      <c r="G8563" s="31"/>
      <c r="H8563" s="31"/>
    </row>
    <row r="8564" spans="2:8" hidden="1">
      <c r="B8564" s="200"/>
      <c r="C8564" s="31"/>
      <c r="D8564" s="75"/>
      <c r="E8564" s="31"/>
      <c r="F8564" s="771"/>
      <c r="G8564" s="31"/>
      <c r="H8564" s="31"/>
    </row>
    <row r="8565" spans="2:8" hidden="1">
      <c r="B8565" s="200"/>
      <c r="C8565" s="31"/>
      <c r="D8565" s="75"/>
      <c r="E8565" s="31"/>
      <c r="F8565" s="771"/>
      <c r="G8565" s="31"/>
      <c r="H8565" s="31"/>
    </row>
    <row r="8566" spans="2:8" hidden="1">
      <c r="B8566" s="200"/>
      <c r="C8566" s="31"/>
      <c r="D8566" s="75"/>
      <c r="E8566" s="31"/>
      <c r="F8566" s="771"/>
      <c r="G8566" s="31"/>
      <c r="H8566" s="31"/>
    </row>
    <row r="8567" spans="2:8" hidden="1">
      <c r="B8567" s="200"/>
      <c r="C8567" s="31"/>
      <c r="D8567" s="75"/>
      <c r="E8567" s="31"/>
      <c r="F8567" s="771"/>
      <c r="G8567" s="31"/>
      <c r="H8567" s="31"/>
    </row>
    <row r="8568" spans="2:8" hidden="1">
      <c r="B8568" s="200"/>
      <c r="C8568" s="31"/>
      <c r="D8568" s="75"/>
      <c r="E8568" s="33"/>
      <c r="F8568" s="771"/>
      <c r="G8568" s="31"/>
      <c r="H8568" s="31"/>
    </row>
    <row r="8569" spans="2:8" hidden="1">
      <c r="B8569" s="200"/>
      <c r="C8569" s="31"/>
      <c r="D8569" s="75"/>
      <c r="E8569" s="33"/>
      <c r="F8569" s="772"/>
      <c r="G8569" s="33"/>
      <c r="H8569" s="31"/>
    </row>
    <row r="8570" spans="2:8" hidden="1">
      <c r="B8570" s="200"/>
      <c r="C8570" s="31"/>
      <c r="D8570" s="75"/>
      <c r="E8570" s="33"/>
      <c r="F8570" s="772"/>
      <c r="G8570" s="33"/>
      <c r="H8570" s="31"/>
    </row>
    <row r="8571" spans="2:8" hidden="1">
      <c r="B8571" s="33"/>
      <c r="C8571" s="31"/>
      <c r="D8571" s="31"/>
      <c r="E8571" s="31"/>
      <c r="F8571" s="31"/>
      <c r="G8571" s="31"/>
      <c r="H8571" s="31"/>
    </row>
    <row r="8572" spans="2:8" hidden="1">
      <c r="B8572" s="200"/>
      <c r="C8572" s="31"/>
      <c r="D8572" s="75"/>
      <c r="E8572" s="33"/>
      <c r="F8572" s="33"/>
      <c r="G8572" s="33"/>
      <c r="H8572" s="31"/>
    </row>
    <row r="8573" spans="2:8" hidden="1">
      <c r="B8573" s="200"/>
      <c r="C8573" s="31"/>
      <c r="D8573" s="75"/>
      <c r="E8573" s="33"/>
      <c r="F8573" s="33"/>
      <c r="G8573" s="33"/>
      <c r="H8573" s="31"/>
    </row>
    <row r="8574" spans="2:8" hidden="1">
      <c r="B8574" s="200"/>
      <c r="C8574" s="31"/>
      <c r="D8574" s="75"/>
      <c r="E8574" s="33"/>
      <c r="F8574" s="33"/>
      <c r="G8574" s="33"/>
      <c r="H8574" s="31"/>
    </row>
    <row r="8575" spans="2:8" hidden="1">
      <c r="B8575" s="200"/>
      <c r="C8575" s="31"/>
      <c r="D8575" s="75"/>
      <c r="E8575" s="33"/>
      <c r="F8575" s="33"/>
      <c r="G8575" s="33"/>
      <c r="H8575" s="31"/>
    </row>
    <row r="8576" spans="2:8" hidden="1">
      <c r="B8576" s="200"/>
      <c r="C8576" s="31"/>
      <c r="D8576" s="75"/>
      <c r="E8576" s="33"/>
      <c r="F8576" s="33"/>
      <c r="G8576" s="33"/>
      <c r="H8576" s="31"/>
    </row>
    <row r="8577" spans="2:8" hidden="1">
      <c r="B8577" s="200"/>
      <c r="C8577" s="31"/>
      <c r="D8577" s="75"/>
      <c r="E8577" s="33"/>
      <c r="F8577" s="33"/>
      <c r="G8577" s="33"/>
      <c r="H8577" s="31"/>
    </row>
    <row r="8578" spans="2:8" hidden="1">
      <c r="B8578" s="33"/>
      <c r="C8578" s="200"/>
      <c r="D8578" s="75"/>
      <c r="E8578" s="31"/>
      <c r="F8578" s="31"/>
      <c r="G8578" s="31"/>
      <c r="H8578" s="31"/>
    </row>
    <row r="8579" spans="2:8" hidden="1">
      <c r="B8579" s="33"/>
      <c r="C8579" s="31"/>
      <c r="D8579" s="104"/>
      <c r="E8579" s="33"/>
      <c r="F8579" s="33"/>
      <c r="G8579" s="33"/>
      <c r="H8579" s="31"/>
    </row>
    <row r="8580" spans="2:8" hidden="1">
      <c r="B8580" s="33"/>
      <c r="C8580" s="31"/>
      <c r="D8580" s="33"/>
      <c r="E8580" s="33"/>
      <c r="F8580" s="33"/>
      <c r="G8580" s="33"/>
      <c r="H8580" s="31"/>
    </row>
    <row r="8581" spans="2:8" hidden="1">
      <c r="B8581" s="33"/>
      <c r="C8581" s="31"/>
      <c r="D8581" s="31"/>
      <c r="E8581" s="31"/>
      <c r="F8581" s="31"/>
      <c r="G8581" s="31"/>
      <c r="H8581" s="31"/>
    </row>
    <row r="8582" spans="2:8" hidden="1">
      <c r="B8582" s="200"/>
      <c r="C8582" s="31"/>
      <c r="D8582" s="75"/>
      <c r="E8582" s="31"/>
      <c r="F8582" s="31"/>
      <c r="G8582" s="31"/>
      <c r="H8582" s="31"/>
    </row>
    <row r="8583" spans="2:8" hidden="1">
      <c r="B8583" s="200"/>
      <c r="C8583" s="31"/>
      <c r="D8583" s="75"/>
      <c r="E8583" s="33"/>
      <c r="F8583" s="33"/>
      <c r="G8583" s="33"/>
      <c r="H8583" s="31"/>
    </row>
    <row r="8584" spans="2:8" hidden="1">
      <c r="B8584" s="200"/>
      <c r="C8584" s="31"/>
      <c r="D8584" s="75"/>
      <c r="E8584" s="33"/>
      <c r="F8584" s="33"/>
      <c r="G8584" s="33"/>
      <c r="H8584" s="31"/>
    </row>
    <row r="8585" spans="2:8" hidden="1">
      <c r="B8585" s="200"/>
      <c r="C8585" s="31"/>
      <c r="D8585" s="75"/>
      <c r="E8585" s="33"/>
      <c r="F8585" s="33"/>
      <c r="G8585" s="33"/>
      <c r="H8585" s="31"/>
    </row>
    <row r="8586" spans="2:8" hidden="1">
      <c r="B8586" s="200"/>
      <c r="C8586" s="31"/>
      <c r="D8586" s="75"/>
      <c r="E8586" s="31"/>
      <c r="F8586" s="31"/>
      <c r="G8586" s="31"/>
      <c r="H8586" s="31"/>
    </row>
    <row r="8587" spans="2:8" hidden="1">
      <c r="B8587" s="200"/>
      <c r="C8587" s="31"/>
      <c r="D8587" s="75"/>
      <c r="E8587" s="31"/>
      <c r="F8587" s="31"/>
      <c r="G8587" s="31"/>
      <c r="H8587" s="31"/>
    </row>
    <row r="8588" spans="2:8" hidden="1">
      <c r="B8588" s="200"/>
      <c r="C8588" s="31"/>
      <c r="D8588" s="75"/>
      <c r="E8588" s="33"/>
      <c r="F8588" s="33"/>
      <c r="G8588" s="33"/>
      <c r="H8588" s="31"/>
    </row>
    <row r="8589" spans="2:8" hidden="1">
      <c r="B8589" s="200"/>
      <c r="C8589" s="31"/>
      <c r="D8589" s="75"/>
      <c r="E8589" s="33"/>
      <c r="F8589" s="33"/>
      <c r="G8589" s="33"/>
      <c r="H8589" s="31"/>
    </row>
    <row r="8590" spans="2:8" hidden="1">
      <c r="B8590" s="200"/>
      <c r="C8590" s="31"/>
      <c r="D8590" s="75"/>
      <c r="E8590" s="33"/>
      <c r="F8590" s="33"/>
      <c r="G8590" s="33"/>
      <c r="H8590" s="31"/>
    </row>
    <row r="8591" spans="2:8" hidden="1">
      <c r="B8591" s="200"/>
      <c r="C8591" s="31"/>
      <c r="D8591" s="75"/>
      <c r="E8591" s="33"/>
      <c r="F8591" s="33"/>
      <c r="G8591" s="33"/>
      <c r="H8591" s="31"/>
    </row>
    <row r="8592" spans="2:8" hidden="1">
      <c r="B8592" s="200"/>
      <c r="C8592" s="31"/>
      <c r="D8592" s="75"/>
      <c r="E8592" s="33"/>
      <c r="F8592" s="33"/>
      <c r="G8592" s="33"/>
      <c r="H8592" s="31"/>
    </row>
    <row r="8593" spans="2:8" hidden="1">
      <c r="B8593" s="200"/>
      <c r="C8593" s="31"/>
      <c r="D8593" s="75"/>
      <c r="E8593" s="33"/>
      <c r="F8593" s="33"/>
      <c r="G8593" s="33"/>
      <c r="H8593" s="31"/>
    </row>
    <row r="8594" spans="2:8" hidden="1">
      <c r="B8594" s="33"/>
      <c r="C8594" s="31"/>
      <c r="D8594" s="75"/>
      <c r="E8594" s="31"/>
      <c r="F8594" s="31"/>
      <c r="G8594" s="31"/>
      <c r="H8594" s="31"/>
    </row>
    <row r="8595" spans="2:8" hidden="1">
      <c r="B8595" s="33"/>
      <c r="C8595" s="31"/>
      <c r="D8595" s="31"/>
      <c r="E8595" s="31"/>
      <c r="F8595" s="31"/>
      <c r="G8595" s="31"/>
      <c r="H8595" s="31"/>
    </row>
    <row r="8596" spans="2:8" hidden="1">
      <c r="B8596" s="405"/>
      <c r="C8596" s="31"/>
      <c r="D8596" s="31"/>
      <c r="E8596" s="31"/>
      <c r="F8596" s="31"/>
      <c r="G8596" s="31"/>
      <c r="H8596" s="31"/>
    </row>
    <row r="8597" spans="2:8" hidden="1">
      <c r="B8597" s="405"/>
      <c r="C8597" s="31"/>
      <c r="D8597" s="31"/>
      <c r="E8597" s="31"/>
      <c r="F8597" s="691"/>
      <c r="G8597" s="75"/>
      <c r="H8597" s="31"/>
    </row>
    <row r="8598" spans="2:8" hidden="1">
      <c r="B8598" s="405"/>
      <c r="C8598" s="31"/>
      <c r="D8598" s="31"/>
      <c r="E8598" s="31"/>
      <c r="F8598" s="691"/>
      <c r="G8598" s="75"/>
      <c r="H8598" s="31"/>
    </row>
    <row r="8599" spans="2:8" hidden="1">
      <c r="B8599" s="405"/>
      <c r="C8599" s="31"/>
      <c r="D8599" s="31"/>
      <c r="E8599" s="31"/>
      <c r="F8599" s="691"/>
      <c r="G8599" s="75"/>
      <c r="H8599" s="31"/>
    </row>
    <row r="8600" spans="2:8" hidden="1">
      <c r="B8600" s="405"/>
      <c r="C8600" s="31"/>
      <c r="D8600" s="31"/>
      <c r="E8600" s="31"/>
      <c r="F8600" s="691"/>
      <c r="G8600" s="75"/>
      <c r="H8600" s="31"/>
    </row>
    <row r="8601" spans="2:8" hidden="1">
      <c r="B8601" s="405"/>
      <c r="C8601" s="31"/>
      <c r="D8601" s="31"/>
      <c r="E8601" s="31"/>
      <c r="F8601" s="691"/>
      <c r="G8601" s="75"/>
      <c r="H8601" s="31"/>
    </row>
    <row r="8602" spans="2:8" hidden="1">
      <c r="B8602" s="405"/>
      <c r="C8602" s="31"/>
      <c r="D8602" s="31"/>
      <c r="E8602" s="31"/>
      <c r="F8602" s="691"/>
      <c r="G8602" s="75"/>
      <c r="H8602" s="31"/>
    </row>
    <row r="8603" spans="2:8" hidden="1">
      <c r="B8603" s="405"/>
      <c r="C8603" s="31"/>
      <c r="D8603" s="31"/>
      <c r="E8603" s="31"/>
      <c r="F8603" s="691"/>
      <c r="G8603" s="75"/>
      <c r="H8603" s="31"/>
    </row>
    <row r="8604" spans="2:8" hidden="1">
      <c r="B8604" s="405"/>
      <c r="C8604" s="31"/>
      <c r="D8604" s="31"/>
      <c r="E8604" s="31"/>
      <c r="F8604" s="691"/>
      <c r="G8604" s="75"/>
      <c r="H8604" s="31"/>
    </row>
    <row r="8605" spans="2:8" hidden="1">
      <c r="B8605" s="405"/>
      <c r="C8605" s="31"/>
      <c r="D8605" s="31"/>
      <c r="E8605" s="31"/>
      <c r="F8605" s="691"/>
      <c r="G8605" s="75"/>
      <c r="H8605" s="31"/>
    </row>
    <row r="8606" spans="2:8" hidden="1">
      <c r="B8606" s="33"/>
      <c r="C8606" s="31"/>
      <c r="D8606" s="31"/>
      <c r="E8606" s="31"/>
      <c r="F8606" s="691"/>
      <c r="G8606" s="75"/>
      <c r="H8606" s="31"/>
    </row>
    <row r="8607" spans="2:8" hidden="1">
      <c r="B8607" s="33"/>
      <c r="C8607" s="31"/>
      <c r="D8607" s="31"/>
      <c r="E8607" s="31"/>
      <c r="F8607" s="691"/>
      <c r="G8607" s="75"/>
      <c r="H8607" s="31"/>
    </row>
    <row r="8608" spans="2:8" hidden="1">
      <c r="B8608" s="405"/>
      <c r="C8608" s="31"/>
      <c r="D8608" s="31"/>
      <c r="E8608" s="31"/>
      <c r="F8608" s="691"/>
      <c r="G8608" s="75"/>
      <c r="H8608" s="31"/>
    </row>
    <row r="8609" spans="2:8" hidden="1">
      <c r="B8609" s="405"/>
      <c r="C8609" s="31"/>
      <c r="D8609" s="31"/>
      <c r="E8609" s="31"/>
      <c r="F8609" s="691"/>
      <c r="G8609" s="75"/>
      <c r="H8609" s="31"/>
    </row>
    <row r="8610" spans="2:8" hidden="1">
      <c r="B8610" s="405"/>
      <c r="C8610" s="31"/>
      <c r="D8610" s="31"/>
      <c r="E8610" s="31"/>
      <c r="F8610" s="691"/>
      <c r="G8610" s="75"/>
      <c r="H8610" s="31"/>
    </row>
    <row r="8611" spans="2:8" hidden="1">
      <c r="B8611" s="405"/>
      <c r="C8611" s="31"/>
      <c r="D8611" s="31"/>
      <c r="E8611" s="31"/>
      <c r="F8611" s="691"/>
      <c r="G8611" s="75"/>
      <c r="H8611" s="31"/>
    </row>
    <row r="8612" spans="2:8" hidden="1">
      <c r="B8612" s="405"/>
      <c r="C8612" s="31"/>
      <c r="D8612" s="31"/>
      <c r="E8612" s="31"/>
      <c r="F8612" s="691"/>
      <c r="G8612" s="75"/>
      <c r="H8612" s="31"/>
    </row>
    <row r="8613" spans="2:8" hidden="1">
      <c r="B8613" s="405"/>
      <c r="C8613" s="31"/>
      <c r="D8613" s="31"/>
      <c r="E8613" s="31"/>
      <c r="F8613" s="691"/>
      <c r="G8613" s="75"/>
      <c r="H8613" s="31"/>
    </row>
    <row r="8614" spans="2:8" hidden="1">
      <c r="B8614" s="405"/>
      <c r="C8614" s="31"/>
      <c r="D8614" s="31"/>
      <c r="E8614" s="31"/>
      <c r="F8614" s="691"/>
      <c r="G8614" s="31"/>
      <c r="H8614" s="31"/>
    </row>
    <row r="8615" spans="2:8" hidden="1">
      <c r="B8615" s="405"/>
      <c r="C8615" s="31"/>
      <c r="D8615" s="31"/>
      <c r="E8615" s="31"/>
      <c r="F8615" s="691"/>
      <c r="G8615" s="31"/>
      <c r="H8615" s="31"/>
    </row>
    <row r="8616" spans="2:8" hidden="1">
      <c r="B8616" s="405"/>
      <c r="C8616" s="31"/>
      <c r="D8616" s="31"/>
      <c r="E8616" s="31"/>
      <c r="F8616" s="691"/>
      <c r="G8616" s="31"/>
      <c r="H8616" s="31"/>
    </row>
    <row r="8617" spans="2:8" hidden="1">
      <c r="B8617" s="405"/>
      <c r="C8617" s="31"/>
      <c r="D8617" s="31"/>
      <c r="E8617" s="31"/>
      <c r="F8617" s="691"/>
      <c r="G8617" s="31"/>
      <c r="H8617" s="31"/>
    </row>
    <row r="8618" spans="2:8" hidden="1">
      <c r="B8618" s="405"/>
      <c r="C8618" s="31"/>
      <c r="D8618" s="31"/>
      <c r="E8618" s="31"/>
      <c r="F8618" s="691"/>
      <c r="G8618" s="31"/>
      <c r="H8618" s="31"/>
    </row>
    <row r="8619" spans="2:8" hidden="1">
      <c r="B8619" s="405"/>
      <c r="C8619" s="31"/>
      <c r="D8619" s="31"/>
      <c r="E8619" s="31"/>
      <c r="F8619" s="691"/>
      <c r="G8619" s="31"/>
      <c r="H8619" s="31"/>
    </row>
    <row r="8620" spans="2:8" hidden="1">
      <c r="B8620" s="405"/>
      <c r="C8620" s="31"/>
      <c r="D8620" s="31"/>
      <c r="E8620" s="31"/>
      <c r="F8620" s="691"/>
      <c r="G8620" s="75"/>
      <c r="H8620" s="31"/>
    </row>
    <row r="8621" spans="2:8" hidden="1">
      <c r="B8621" s="405"/>
      <c r="C8621" s="31"/>
      <c r="D8621" s="31"/>
      <c r="E8621" s="31"/>
      <c r="F8621" s="691"/>
      <c r="G8621" s="75"/>
      <c r="H8621" s="31"/>
    </row>
    <row r="8622" spans="2:8" hidden="1">
      <c r="B8622" s="405"/>
      <c r="C8622" s="31"/>
      <c r="D8622" s="31"/>
      <c r="E8622" s="31"/>
      <c r="F8622" s="691"/>
      <c r="G8622" s="75"/>
      <c r="H8622" s="31"/>
    </row>
    <row r="8623" spans="2:8" hidden="1">
      <c r="B8623" s="405"/>
      <c r="C8623" s="31"/>
      <c r="D8623" s="31"/>
      <c r="E8623" s="31"/>
      <c r="F8623" s="691"/>
      <c r="G8623" s="75"/>
      <c r="H8623" s="31"/>
    </row>
    <row r="8624" spans="2:8" hidden="1">
      <c r="B8624" s="405"/>
      <c r="C8624" s="31"/>
      <c r="D8624" s="31"/>
      <c r="E8624" s="31"/>
      <c r="F8624" s="691"/>
      <c r="G8624" s="31"/>
      <c r="H8624" s="31"/>
    </row>
    <row r="8625" spans="2:8" hidden="1">
      <c r="B8625" s="33"/>
      <c r="C8625" s="31"/>
      <c r="D8625" s="31"/>
      <c r="E8625" s="31"/>
      <c r="F8625" s="31"/>
      <c r="G8625" s="31"/>
      <c r="H8625" s="31"/>
    </row>
    <row r="8626" spans="2:8" hidden="1">
      <c r="B8626" s="33"/>
      <c r="C8626" s="31"/>
      <c r="D8626" s="31"/>
      <c r="E8626" s="31"/>
      <c r="F8626" s="31"/>
      <c r="G8626" s="31"/>
      <c r="H8626" s="31"/>
    </row>
    <row r="8627" spans="2:8" hidden="1">
      <c r="B8627" s="33"/>
      <c r="C8627" s="31"/>
      <c r="D8627" s="31"/>
      <c r="E8627" s="31"/>
      <c r="F8627" s="31"/>
      <c r="G8627" s="31"/>
      <c r="H8627" s="31"/>
    </row>
    <row r="8628" spans="2:8" hidden="1">
      <c r="B8628" s="33"/>
      <c r="C8628" s="31"/>
      <c r="D8628" s="31"/>
      <c r="E8628" s="31"/>
      <c r="F8628" s="31"/>
      <c r="G8628" s="31"/>
      <c r="H8628" s="31"/>
    </row>
    <row r="8629" spans="2:8" hidden="1">
      <c r="B8629" s="33"/>
      <c r="C8629" s="31"/>
      <c r="D8629" s="31"/>
      <c r="E8629" s="31"/>
      <c r="F8629" s="31"/>
      <c r="G8629" s="31"/>
      <c r="H8629" s="31"/>
    </row>
    <row r="8630" spans="2:8" hidden="1">
      <c r="B8630" s="33"/>
      <c r="C8630" s="31"/>
      <c r="D8630" s="31"/>
      <c r="E8630" s="31"/>
      <c r="F8630" s="31"/>
      <c r="G8630" s="31"/>
      <c r="H8630" s="31"/>
    </row>
    <row r="8631" spans="2:8" hidden="1">
      <c r="B8631" s="33"/>
      <c r="C8631" s="31"/>
      <c r="D8631" s="31"/>
      <c r="E8631" s="31"/>
      <c r="F8631" s="31"/>
      <c r="G8631" s="31"/>
      <c r="H8631" s="31"/>
    </row>
    <row r="8632" spans="2:8" hidden="1">
      <c r="B8632" s="33"/>
      <c r="C8632" s="31"/>
      <c r="D8632" s="31"/>
      <c r="E8632" s="31"/>
      <c r="F8632" s="31"/>
      <c r="G8632" s="31"/>
      <c r="H8632" s="31"/>
    </row>
    <row r="8633" spans="2:8" hidden="1">
      <c r="B8633" s="33"/>
      <c r="C8633" s="31"/>
      <c r="D8633" s="31"/>
      <c r="E8633" s="31"/>
      <c r="F8633" s="31"/>
      <c r="G8633" s="31"/>
      <c r="H8633" s="31"/>
    </row>
    <row r="8634" spans="2:8" hidden="1">
      <c r="B8634" s="33"/>
      <c r="C8634" s="31"/>
      <c r="D8634" s="33"/>
      <c r="E8634" s="31"/>
      <c r="F8634" s="33"/>
      <c r="G8634" s="33"/>
      <c r="H8634" s="31"/>
    </row>
    <row r="8635" spans="2:8" hidden="1">
      <c r="B8635" s="33"/>
      <c r="C8635" s="31"/>
      <c r="D8635" s="33"/>
      <c r="E8635" s="33"/>
      <c r="F8635" s="33"/>
      <c r="G8635" s="33"/>
      <c r="H8635" s="31"/>
    </row>
    <row r="8636" spans="2:8" hidden="1">
      <c r="B8636" s="33"/>
      <c r="C8636" s="31"/>
      <c r="D8636" s="31"/>
      <c r="E8636" s="31"/>
      <c r="F8636" s="31"/>
      <c r="G8636" s="31"/>
      <c r="H8636" s="31"/>
    </row>
    <row r="8637" spans="2:8" hidden="1">
      <c r="B8637" s="200"/>
      <c r="C8637" s="31"/>
      <c r="D8637" s="75"/>
      <c r="E8637" s="771"/>
      <c r="F8637" s="771"/>
      <c r="G8637" s="31"/>
      <c r="H8637" s="31"/>
    </row>
    <row r="8638" spans="2:8" hidden="1">
      <c r="B8638" s="200"/>
      <c r="C8638" s="31"/>
      <c r="D8638" s="75"/>
      <c r="E8638" s="772"/>
      <c r="F8638" s="772"/>
      <c r="G8638" s="33"/>
      <c r="H8638" s="31"/>
    </row>
    <row r="8639" spans="2:8" hidden="1">
      <c r="B8639" s="200"/>
      <c r="C8639" s="31"/>
      <c r="D8639" s="75"/>
      <c r="E8639" s="771"/>
      <c r="F8639" s="772"/>
      <c r="G8639" s="33"/>
      <c r="H8639" s="31"/>
    </row>
    <row r="8640" spans="2:8" hidden="1">
      <c r="B8640" s="200"/>
      <c r="C8640" s="31"/>
      <c r="D8640" s="31"/>
      <c r="E8640" s="31"/>
      <c r="F8640" s="31"/>
      <c r="G8640" s="31"/>
      <c r="H8640" s="31"/>
    </row>
    <row r="8641" spans="2:8" hidden="1">
      <c r="B8641" s="200"/>
      <c r="C8641" s="31"/>
      <c r="D8641" s="75"/>
      <c r="E8641" s="771"/>
      <c r="F8641" s="33"/>
      <c r="G8641" s="33"/>
      <c r="H8641" s="31"/>
    </row>
    <row r="8642" spans="2:8" hidden="1">
      <c r="B8642" s="200"/>
      <c r="C8642" s="31"/>
      <c r="D8642" s="75"/>
      <c r="E8642" s="771"/>
      <c r="F8642" s="771"/>
      <c r="G8642" s="31"/>
      <c r="H8642" s="31"/>
    </row>
    <row r="8643" spans="2:8" hidden="1">
      <c r="B8643" s="200"/>
      <c r="C8643" s="31"/>
      <c r="D8643" s="75"/>
      <c r="E8643" s="771"/>
      <c r="F8643" s="771"/>
      <c r="G8643" s="31"/>
      <c r="H8643" s="31"/>
    </row>
    <row r="8644" spans="2:8" hidden="1">
      <c r="B8644" s="200"/>
      <c r="C8644" s="31"/>
      <c r="D8644" s="75"/>
      <c r="E8644" s="771"/>
      <c r="F8644" s="771"/>
      <c r="G8644" s="31"/>
      <c r="H8644" s="31"/>
    </row>
    <row r="8645" spans="2:8" hidden="1">
      <c r="B8645" s="200"/>
      <c r="C8645" s="31"/>
      <c r="D8645" s="75"/>
      <c r="E8645" s="771"/>
      <c r="F8645" s="771"/>
      <c r="G8645" s="31"/>
      <c r="H8645" s="31"/>
    </row>
    <row r="8646" spans="2:8" hidden="1">
      <c r="B8646" s="200"/>
      <c r="C8646" s="31"/>
      <c r="D8646" s="75"/>
      <c r="E8646" s="771"/>
      <c r="F8646" s="771"/>
      <c r="G8646" s="31"/>
      <c r="H8646" s="31"/>
    </row>
    <row r="8647" spans="2:8" hidden="1">
      <c r="B8647" s="200"/>
      <c r="C8647" s="31"/>
      <c r="D8647" s="75"/>
      <c r="E8647" s="771"/>
      <c r="F8647" s="771"/>
      <c r="G8647" s="31"/>
      <c r="H8647" s="31"/>
    </row>
    <row r="8648" spans="2:8" hidden="1">
      <c r="B8648" s="200"/>
      <c r="C8648" s="31"/>
      <c r="D8648" s="75"/>
      <c r="E8648" s="33"/>
      <c r="F8648" s="771"/>
      <c r="G8648" s="31"/>
      <c r="H8648" s="31"/>
    </row>
    <row r="8649" spans="2:8" hidden="1">
      <c r="B8649" s="200"/>
      <c r="C8649" s="31"/>
      <c r="D8649" s="75"/>
      <c r="E8649" s="771"/>
      <c r="F8649" s="771"/>
      <c r="G8649" s="31"/>
      <c r="H8649" s="31"/>
    </row>
    <row r="8650" spans="2:8" hidden="1">
      <c r="B8650" s="200"/>
      <c r="C8650" s="31"/>
      <c r="D8650" s="75"/>
      <c r="E8650" s="771"/>
      <c r="F8650" s="33"/>
      <c r="G8650" s="33"/>
      <c r="H8650" s="31"/>
    </row>
    <row r="8651" spans="2:8" hidden="1">
      <c r="B8651" s="200"/>
      <c r="C8651" s="31"/>
      <c r="D8651" s="75"/>
      <c r="E8651" s="771"/>
      <c r="F8651" s="771"/>
      <c r="G8651" s="31"/>
      <c r="H8651" s="31"/>
    </row>
    <row r="8652" spans="2:8" hidden="1">
      <c r="B8652" s="200"/>
      <c r="C8652" s="31"/>
      <c r="D8652" s="75"/>
      <c r="E8652" s="33"/>
      <c r="F8652" s="33"/>
      <c r="G8652" s="33"/>
      <c r="H8652" s="31"/>
    </row>
    <row r="8653" spans="2:8" hidden="1">
      <c r="B8653" s="200"/>
      <c r="C8653" s="31"/>
      <c r="D8653" s="75"/>
      <c r="E8653" s="771"/>
      <c r="F8653" s="771"/>
      <c r="G8653" s="31"/>
      <c r="H8653" s="31"/>
    </row>
    <row r="8654" spans="2:8" hidden="1">
      <c r="B8654" s="200"/>
      <c r="C8654" s="31"/>
      <c r="D8654" s="75"/>
      <c r="E8654" s="771"/>
      <c r="F8654" s="771"/>
      <c r="G8654" s="31"/>
      <c r="H8654" s="31"/>
    </row>
    <row r="8655" spans="2:8" hidden="1">
      <c r="B8655" s="200"/>
      <c r="C8655" s="31"/>
      <c r="D8655" s="75"/>
      <c r="E8655" s="771"/>
      <c r="F8655" s="771"/>
      <c r="G8655" s="31"/>
      <c r="H8655" s="31"/>
    </row>
    <row r="8656" spans="2:8" hidden="1">
      <c r="B8656" s="200"/>
      <c r="C8656" s="31"/>
      <c r="D8656" s="75"/>
      <c r="E8656" s="771"/>
      <c r="F8656" s="771"/>
      <c r="G8656" s="31"/>
      <c r="H8656" s="31"/>
    </row>
    <row r="8657" spans="2:8" hidden="1">
      <c r="B8657" s="200"/>
      <c r="C8657" s="31"/>
      <c r="D8657" s="75"/>
      <c r="E8657" s="771"/>
      <c r="F8657" s="771"/>
      <c r="G8657" s="31"/>
      <c r="H8657" s="31"/>
    </row>
    <row r="8658" spans="2:8" hidden="1">
      <c r="B8658" s="200"/>
      <c r="C8658" s="31"/>
      <c r="D8658" s="75"/>
      <c r="E8658" s="771"/>
      <c r="F8658" s="771"/>
      <c r="G8658" s="31"/>
      <c r="H8658" s="31"/>
    </row>
    <row r="8659" spans="2:8" hidden="1">
      <c r="B8659" s="200"/>
      <c r="C8659" s="31"/>
      <c r="D8659" s="75"/>
      <c r="E8659" s="771"/>
      <c r="F8659" s="771"/>
      <c r="G8659" s="31"/>
      <c r="H8659" s="31"/>
    </row>
    <row r="8660" spans="2:8" hidden="1">
      <c r="B8660" s="200"/>
      <c r="C8660" s="31"/>
      <c r="D8660" s="75"/>
      <c r="E8660" s="771"/>
      <c r="F8660" s="771"/>
      <c r="G8660" s="31"/>
      <c r="H8660" s="31"/>
    </row>
    <row r="8661" spans="2:8" hidden="1">
      <c r="B8661" s="200"/>
      <c r="C8661" s="31"/>
      <c r="D8661" s="75"/>
      <c r="E8661" s="771"/>
      <c r="F8661" s="771"/>
      <c r="G8661" s="31"/>
      <c r="H8661" s="31"/>
    </row>
    <row r="8662" spans="2:8" hidden="1">
      <c r="B8662" s="200"/>
      <c r="C8662" s="31"/>
      <c r="D8662" s="75"/>
      <c r="E8662" s="771"/>
      <c r="F8662" s="771"/>
      <c r="G8662" s="31"/>
      <c r="H8662" s="31"/>
    </row>
    <row r="8663" spans="2:8" hidden="1">
      <c r="B8663" s="33"/>
      <c r="C8663" s="31"/>
      <c r="D8663" s="31"/>
      <c r="E8663" s="31"/>
      <c r="F8663" s="31"/>
      <c r="G8663" s="31"/>
      <c r="H8663" s="31"/>
    </row>
    <row r="8664" spans="2:8" hidden="1">
      <c r="B8664" s="200"/>
      <c r="C8664" s="31"/>
      <c r="D8664" s="75"/>
      <c r="E8664" s="33"/>
      <c r="F8664" s="33"/>
      <c r="G8664" s="33"/>
      <c r="H8664" s="31"/>
    </row>
    <row r="8665" spans="2:8" hidden="1">
      <c r="B8665" s="200"/>
      <c r="C8665" s="31"/>
      <c r="D8665" s="75"/>
      <c r="E8665" s="33"/>
      <c r="F8665" s="33"/>
      <c r="G8665" s="33"/>
      <c r="H8665" s="31"/>
    </row>
    <row r="8666" spans="2:8" hidden="1">
      <c r="B8666" s="200"/>
      <c r="C8666" s="31"/>
      <c r="D8666" s="75"/>
      <c r="E8666" s="33"/>
      <c r="F8666" s="33"/>
      <c r="G8666" s="33"/>
      <c r="H8666" s="31"/>
    </row>
    <row r="8667" spans="2:8" hidden="1">
      <c r="B8667" s="200"/>
      <c r="C8667" s="31"/>
      <c r="D8667" s="75"/>
      <c r="E8667" s="31"/>
      <c r="F8667" s="33"/>
      <c r="G8667" s="33"/>
      <c r="H8667" s="31"/>
    </row>
    <row r="8668" spans="2:8" hidden="1">
      <c r="B8668" s="200"/>
      <c r="C8668" s="31"/>
      <c r="D8668" s="75"/>
      <c r="E8668" s="33"/>
      <c r="F8668" s="33"/>
      <c r="G8668" s="33"/>
      <c r="H8668" s="31"/>
    </row>
    <row r="8669" spans="2:8" hidden="1">
      <c r="B8669" s="200"/>
      <c r="C8669" s="31"/>
      <c r="D8669" s="75"/>
      <c r="E8669" s="33"/>
      <c r="F8669" s="33"/>
      <c r="G8669" s="33"/>
      <c r="H8669" s="31"/>
    </row>
    <row r="8670" spans="2:8" hidden="1">
      <c r="B8670" s="200"/>
      <c r="C8670" s="31"/>
      <c r="D8670" s="75"/>
      <c r="E8670" s="33"/>
      <c r="F8670" s="33"/>
      <c r="G8670" s="33"/>
      <c r="H8670" s="31"/>
    </row>
    <row r="8671" spans="2:8" hidden="1">
      <c r="B8671" s="200"/>
      <c r="C8671" s="31"/>
      <c r="D8671" s="75"/>
      <c r="E8671" s="33"/>
      <c r="F8671" s="33"/>
      <c r="G8671" s="33"/>
      <c r="H8671" s="31"/>
    </row>
    <row r="8672" spans="2:8" hidden="1">
      <c r="B8672" s="200"/>
      <c r="C8672" s="31"/>
      <c r="D8672" s="75"/>
      <c r="E8672" s="33"/>
      <c r="F8672" s="33"/>
      <c r="G8672" s="33"/>
      <c r="H8672" s="31"/>
    </row>
    <row r="8673" spans="2:8" hidden="1">
      <c r="B8673" s="200"/>
      <c r="C8673" s="31"/>
      <c r="D8673" s="75"/>
      <c r="E8673" s="33"/>
      <c r="F8673" s="33"/>
      <c r="G8673" s="33"/>
      <c r="H8673" s="31"/>
    </row>
    <row r="8674" spans="2:8" hidden="1">
      <c r="B8674" s="200"/>
      <c r="C8674" s="31"/>
      <c r="D8674" s="75"/>
      <c r="E8674" s="33"/>
      <c r="F8674" s="33"/>
      <c r="G8674" s="33"/>
      <c r="H8674" s="31"/>
    </row>
    <row r="8675" spans="2:8" hidden="1">
      <c r="B8675" s="33"/>
      <c r="C8675" s="31"/>
      <c r="D8675" s="31"/>
      <c r="E8675" s="31"/>
      <c r="F8675" s="31"/>
      <c r="G8675" s="31"/>
      <c r="H8675" s="31"/>
    </row>
    <row r="8676" spans="2:8" hidden="1">
      <c r="B8676" s="200"/>
      <c r="C8676" s="31"/>
      <c r="D8676" s="75"/>
      <c r="E8676" s="771"/>
      <c r="F8676" s="33"/>
      <c r="G8676" s="33"/>
      <c r="H8676" s="31"/>
    </row>
    <row r="8677" spans="2:8" hidden="1">
      <c r="B8677" s="200"/>
      <c r="C8677" s="31"/>
      <c r="D8677" s="75"/>
      <c r="E8677" s="771"/>
      <c r="F8677" s="31"/>
      <c r="G8677" s="31"/>
      <c r="H8677" s="31"/>
    </row>
    <row r="8678" spans="2:8" hidden="1">
      <c r="B8678" s="200"/>
      <c r="C8678" s="31"/>
      <c r="D8678" s="75"/>
      <c r="E8678" s="771"/>
      <c r="F8678" s="31"/>
      <c r="G8678" s="31"/>
      <c r="H8678" s="31"/>
    </row>
    <row r="8679" spans="2:8" hidden="1">
      <c r="B8679" s="200"/>
      <c r="C8679" s="31"/>
      <c r="D8679" s="75"/>
      <c r="E8679" s="771"/>
      <c r="F8679" s="31"/>
      <c r="G8679" s="31"/>
      <c r="H8679" s="31"/>
    </row>
    <row r="8680" spans="2:8" hidden="1">
      <c r="B8680" s="200"/>
      <c r="C8680" s="31"/>
      <c r="D8680" s="75"/>
      <c r="E8680" s="771"/>
      <c r="F8680" s="31"/>
      <c r="G8680" s="31"/>
      <c r="H8680" s="31"/>
    </row>
    <row r="8681" spans="2:8" hidden="1">
      <c r="B8681" s="200"/>
      <c r="C8681" s="31"/>
      <c r="D8681" s="75"/>
      <c r="E8681" s="771"/>
      <c r="F8681" s="31"/>
      <c r="G8681" s="31"/>
      <c r="H8681" s="31"/>
    </row>
    <row r="8682" spans="2:8" hidden="1">
      <c r="B8682" s="200"/>
      <c r="C8682" s="31"/>
      <c r="D8682" s="75"/>
      <c r="E8682" s="771"/>
      <c r="F8682" s="31"/>
      <c r="G8682" s="31"/>
      <c r="H8682" s="31"/>
    </row>
    <row r="8683" spans="2:8" hidden="1">
      <c r="B8683" s="200"/>
      <c r="C8683" s="31"/>
      <c r="D8683" s="75"/>
      <c r="E8683" s="771"/>
      <c r="F8683" s="31"/>
      <c r="G8683" s="31"/>
      <c r="H8683" s="31"/>
    </row>
    <row r="8684" spans="2:8" hidden="1">
      <c r="B8684" s="200"/>
      <c r="C8684" s="31"/>
      <c r="D8684" s="75"/>
      <c r="E8684" s="771"/>
      <c r="F8684" s="31"/>
      <c r="G8684" s="31"/>
      <c r="H8684" s="31"/>
    </row>
    <row r="8685" spans="2:8" hidden="1">
      <c r="B8685" s="200"/>
      <c r="C8685" s="31"/>
      <c r="D8685" s="75"/>
      <c r="E8685" s="771"/>
      <c r="F8685" s="771"/>
      <c r="G8685" s="31"/>
      <c r="H8685" s="31"/>
    </row>
    <row r="8686" spans="2:8" hidden="1">
      <c r="B8686" s="200"/>
      <c r="C8686" s="31"/>
      <c r="D8686" s="75"/>
      <c r="E8686" s="771"/>
      <c r="F8686" s="771"/>
      <c r="G8686" s="31"/>
      <c r="H8686" s="31"/>
    </row>
    <row r="8687" spans="2:8" hidden="1">
      <c r="B8687" s="200"/>
      <c r="C8687" s="31"/>
      <c r="D8687" s="75"/>
      <c r="E8687" s="771"/>
      <c r="F8687" s="771"/>
      <c r="G8687" s="31"/>
      <c r="H8687" s="31"/>
    </row>
    <row r="8688" spans="2:8" hidden="1">
      <c r="B8688" s="200"/>
      <c r="C8688" s="31"/>
      <c r="D8688" s="75"/>
      <c r="E8688" s="771"/>
      <c r="F8688" s="771"/>
      <c r="G8688" s="31"/>
      <c r="H8688" s="31"/>
    </row>
    <row r="8689" spans="2:8" hidden="1">
      <c r="B8689" s="33"/>
      <c r="C8689" s="31"/>
      <c r="D8689" s="31"/>
      <c r="E8689" s="31"/>
      <c r="F8689" s="31"/>
      <c r="G8689" s="31"/>
      <c r="H8689" s="31"/>
    </row>
    <row r="8690" spans="2:8" hidden="1">
      <c r="B8690" s="200"/>
      <c r="C8690" s="31"/>
      <c r="D8690" s="75"/>
      <c r="E8690" s="31"/>
      <c r="F8690" s="33"/>
      <c r="G8690" s="33"/>
      <c r="H8690" s="31"/>
    </row>
    <row r="8691" spans="2:8" hidden="1">
      <c r="B8691" s="200"/>
      <c r="C8691" s="31"/>
      <c r="D8691" s="75"/>
      <c r="E8691" s="31"/>
      <c r="F8691" s="771"/>
      <c r="G8691" s="31"/>
      <c r="H8691" s="31"/>
    </row>
    <row r="8692" spans="2:8" hidden="1">
      <c r="B8692" s="200"/>
      <c r="C8692" s="31"/>
      <c r="D8692" s="75"/>
      <c r="E8692" s="31"/>
      <c r="F8692" s="31"/>
      <c r="G8692" s="31"/>
      <c r="H8692" s="31"/>
    </row>
    <row r="8693" spans="2:8" hidden="1">
      <c r="B8693" s="200"/>
      <c r="C8693" s="31"/>
      <c r="D8693" s="75"/>
      <c r="E8693" s="31"/>
      <c r="F8693" s="31"/>
      <c r="G8693" s="31"/>
      <c r="H8693" s="31"/>
    </row>
    <row r="8694" spans="2:8" hidden="1">
      <c r="B8694" s="200"/>
      <c r="C8694" s="31"/>
      <c r="D8694" s="75"/>
      <c r="E8694" s="31"/>
      <c r="F8694" s="31"/>
      <c r="G8694" s="31"/>
      <c r="H8694" s="31"/>
    </row>
    <row r="8695" spans="2:8" hidden="1">
      <c r="B8695" s="200"/>
      <c r="C8695" s="31"/>
      <c r="D8695" s="75"/>
      <c r="E8695" s="31"/>
      <c r="F8695" s="31"/>
      <c r="G8695" s="31"/>
      <c r="H8695" s="31"/>
    </row>
    <row r="8696" spans="2:8" hidden="1">
      <c r="B8696" s="200"/>
      <c r="C8696" s="31"/>
      <c r="D8696" s="75"/>
      <c r="E8696" s="33"/>
      <c r="F8696" s="33"/>
      <c r="G8696" s="33"/>
      <c r="H8696" s="31"/>
    </row>
    <row r="8697" spans="2:8" hidden="1">
      <c r="B8697" s="200"/>
      <c r="C8697" s="31"/>
      <c r="D8697" s="75"/>
      <c r="E8697" s="33"/>
      <c r="F8697" s="33"/>
      <c r="G8697" s="33"/>
      <c r="H8697" s="31"/>
    </row>
    <row r="8698" spans="2:8" hidden="1">
      <c r="B8698" s="200"/>
      <c r="C8698" s="31"/>
      <c r="D8698" s="75"/>
      <c r="E8698" s="33"/>
      <c r="F8698" s="33"/>
      <c r="G8698" s="33"/>
      <c r="H8698" s="31"/>
    </row>
    <row r="8699" spans="2:8" hidden="1">
      <c r="B8699" s="200"/>
      <c r="C8699" s="31"/>
      <c r="D8699" s="75"/>
      <c r="E8699" s="33"/>
      <c r="F8699" s="33"/>
      <c r="G8699" s="33"/>
      <c r="H8699" s="31"/>
    </row>
    <row r="8700" spans="2:8" hidden="1">
      <c r="B8700" s="200"/>
      <c r="C8700" s="31"/>
      <c r="D8700" s="75"/>
      <c r="E8700" s="33"/>
      <c r="F8700" s="33"/>
      <c r="G8700" s="33"/>
      <c r="H8700" s="31"/>
    </row>
    <row r="8701" spans="2:8" hidden="1">
      <c r="B8701" s="200"/>
      <c r="C8701" s="31"/>
      <c r="D8701" s="75"/>
      <c r="E8701" s="33"/>
      <c r="F8701" s="33"/>
      <c r="G8701" s="33"/>
      <c r="H8701" s="31"/>
    </row>
    <row r="8702" spans="2:8" hidden="1">
      <c r="B8702" s="200"/>
      <c r="C8702" s="31"/>
      <c r="D8702" s="31"/>
      <c r="E8702" s="31"/>
      <c r="F8702" s="31"/>
      <c r="G8702" s="31"/>
      <c r="H8702" s="31"/>
    </row>
    <row r="8703" spans="2:8" hidden="1">
      <c r="B8703" s="33"/>
      <c r="C8703" s="31"/>
      <c r="D8703" s="31"/>
      <c r="E8703" s="31"/>
      <c r="F8703" s="31"/>
      <c r="G8703" s="31"/>
      <c r="H8703" s="31"/>
    </row>
    <row r="8704" spans="2:8" hidden="1">
      <c r="B8704" s="200"/>
      <c r="C8704" s="31"/>
      <c r="D8704" s="75"/>
      <c r="E8704" s="33"/>
      <c r="F8704" s="33"/>
      <c r="G8704" s="33"/>
      <c r="H8704" s="31"/>
    </row>
    <row r="8705" spans="2:8" hidden="1">
      <c r="B8705" s="200"/>
      <c r="C8705" s="31"/>
      <c r="D8705" s="75"/>
      <c r="E8705" s="33"/>
      <c r="F8705" s="33"/>
      <c r="G8705" s="33"/>
      <c r="H8705" s="31"/>
    </row>
    <row r="8706" spans="2:8" hidden="1">
      <c r="B8706" s="200"/>
      <c r="C8706" s="31"/>
      <c r="D8706" s="75"/>
      <c r="E8706" s="33"/>
      <c r="F8706" s="33"/>
      <c r="G8706" s="33"/>
      <c r="H8706" s="31"/>
    </row>
    <row r="8707" spans="2:8" hidden="1">
      <c r="B8707" s="200"/>
      <c r="C8707" s="31"/>
      <c r="D8707" s="75"/>
      <c r="E8707" s="33"/>
      <c r="F8707" s="33"/>
      <c r="G8707" s="33"/>
      <c r="H8707" s="31"/>
    </row>
    <row r="8708" spans="2:8" hidden="1">
      <c r="B8708" s="200"/>
      <c r="C8708" s="31"/>
      <c r="D8708" s="75"/>
      <c r="E8708" s="33"/>
      <c r="F8708" s="33"/>
      <c r="G8708" s="33"/>
      <c r="H8708" s="31"/>
    </row>
    <row r="8709" spans="2:8" hidden="1">
      <c r="B8709" s="200"/>
      <c r="C8709" s="31"/>
      <c r="D8709" s="75"/>
      <c r="E8709" s="33"/>
      <c r="F8709" s="33"/>
      <c r="G8709" s="33"/>
      <c r="H8709" s="31"/>
    </row>
    <row r="8710" spans="2:8" hidden="1">
      <c r="B8710" s="200"/>
      <c r="C8710" s="31"/>
      <c r="D8710" s="75"/>
      <c r="E8710" s="33"/>
      <c r="F8710" s="33"/>
      <c r="G8710" s="33"/>
      <c r="H8710" s="31"/>
    </row>
    <row r="8711" spans="2:8" hidden="1">
      <c r="B8711" s="200"/>
      <c r="C8711" s="31"/>
      <c r="D8711" s="75"/>
      <c r="E8711" s="33"/>
      <c r="F8711" s="33"/>
      <c r="G8711" s="33"/>
      <c r="H8711" s="31"/>
    </row>
    <row r="8712" spans="2:8" hidden="1">
      <c r="B8712" s="200"/>
      <c r="C8712" s="31"/>
      <c r="D8712" s="75"/>
      <c r="E8712" s="33"/>
      <c r="F8712" s="33"/>
      <c r="G8712" s="33"/>
      <c r="H8712" s="31"/>
    </row>
    <row r="8713" spans="2:8" hidden="1">
      <c r="B8713" s="200"/>
      <c r="C8713" s="31"/>
      <c r="D8713" s="75"/>
      <c r="E8713" s="31"/>
      <c r="F8713" s="33"/>
      <c r="G8713" s="33"/>
      <c r="H8713" s="31"/>
    </row>
    <row r="8714" spans="2:8" hidden="1">
      <c r="B8714" s="200"/>
      <c r="C8714" s="31"/>
      <c r="D8714" s="75"/>
      <c r="E8714" s="33"/>
      <c r="F8714" s="33"/>
      <c r="G8714" s="33"/>
      <c r="H8714" s="31"/>
    </row>
    <row r="8715" spans="2:8" hidden="1">
      <c r="B8715" s="200"/>
      <c r="C8715" s="31"/>
      <c r="D8715" s="75"/>
      <c r="E8715" s="33"/>
      <c r="F8715" s="33"/>
      <c r="G8715" s="33"/>
      <c r="H8715" s="31"/>
    </row>
    <row r="8716" spans="2:8" hidden="1">
      <c r="B8716" s="200"/>
      <c r="C8716" s="31"/>
      <c r="D8716" s="75"/>
      <c r="E8716" s="33"/>
      <c r="F8716" s="33"/>
      <c r="G8716" s="33"/>
      <c r="H8716" s="31"/>
    </row>
    <row r="8717" spans="2:8" hidden="1">
      <c r="B8717" s="200"/>
      <c r="C8717" s="31"/>
      <c r="D8717" s="75"/>
      <c r="E8717" s="33"/>
      <c r="F8717" s="33"/>
      <c r="G8717" s="33"/>
      <c r="H8717" s="31"/>
    </row>
    <row r="8718" spans="2:8" hidden="1">
      <c r="B8718" s="200"/>
      <c r="C8718" s="31"/>
      <c r="D8718" s="75"/>
      <c r="E8718" s="31"/>
      <c r="F8718" s="31"/>
      <c r="G8718" s="31"/>
      <c r="H8718" s="31"/>
    </row>
    <row r="8719" spans="2:8" hidden="1">
      <c r="B8719" s="33"/>
      <c r="C8719" s="31"/>
      <c r="D8719" s="75"/>
      <c r="E8719" s="31"/>
      <c r="F8719" s="31"/>
      <c r="G8719" s="31"/>
      <c r="H8719" s="31"/>
    </row>
    <row r="8720" spans="2:8" hidden="1">
      <c r="B8720" s="200"/>
      <c r="C8720" s="31"/>
      <c r="D8720" s="75"/>
      <c r="E8720" s="31"/>
      <c r="F8720" s="31"/>
      <c r="G8720" s="31"/>
      <c r="H8720" s="31"/>
    </row>
    <row r="8721" spans="2:8" hidden="1">
      <c r="B8721" s="200"/>
      <c r="C8721" s="31"/>
      <c r="D8721" s="75"/>
      <c r="E8721" s="771"/>
      <c r="F8721" s="771"/>
      <c r="G8721" s="31"/>
      <c r="H8721" s="31"/>
    </row>
    <row r="8722" spans="2:8" hidden="1">
      <c r="B8722" s="200"/>
      <c r="C8722" s="31"/>
      <c r="D8722" s="75"/>
      <c r="E8722" s="771"/>
      <c r="F8722" s="771"/>
      <c r="G8722" s="31"/>
      <c r="H8722" s="31"/>
    </row>
    <row r="8723" spans="2:8" hidden="1">
      <c r="B8723" s="200"/>
      <c r="C8723" s="31"/>
      <c r="D8723" s="75"/>
      <c r="E8723" s="771"/>
      <c r="F8723" s="771"/>
      <c r="G8723" s="31"/>
      <c r="H8723" s="31"/>
    </row>
    <row r="8724" spans="2:8" hidden="1">
      <c r="B8724" s="200"/>
      <c r="C8724" s="31"/>
      <c r="D8724" s="75"/>
      <c r="E8724" s="771"/>
      <c r="F8724" s="771"/>
      <c r="G8724" s="31"/>
      <c r="H8724" s="31"/>
    </row>
    <row r="8725" spans="2:8" hidden="1">
      <c r="B8725" s="200"/>
      <c r="C8725" s="31"/>
      <c r="D8725" s="75"/>
      <c r="E8725" s="771"/>
      <c r="F8725" s="771"/>
      <c r="G8725" s="31"/>
      <c r="H8725" s="31"/>
    </row>
    <row r="8726" spans="2:8" hidden="1">
      <c r="B8726" s="200"/>
      <c r="C8726" s="31"/>
      <c r="D8726" s="75"/>
      <c r="E8726" s="771"/>
      <c r="F8726" s="771"/>
      <c r="G8726" s="31"/>
      <c r="H8726" s="31"/>
    </row>
    <row r="8727" spans="2:8" hidden="1">
      <c r="B8727" s="200"/>
      <c r="C8727" s="31"/>
      <c r="D8727" s="75"/>
      <c r="E8727" s="771"/>
      <c r="F8727" s="771"/>
      <c r="G8727" s="31"/>
      <c r="H8727" s="31"/>
    </row>
    <row r="8728" spans="2:8" hidden="1">
      <c r="B8728" s="200"/>
      <c r="C8728" s="31"/>
      <c r="D8728" s="75"/>
      <c r="E8728" s="771"/>
      <c r="F8728" s="771"/>
      <c r="G8728" s="31"/>
      <c r="H8728" s="31"/>
    </row>
    <row r="8729" spans="2:8" hidden="1">
      <c r="B8729" s="200"/>
      <c r="C8729" s="31"/>
      <c r="D8729" s="75"/>
      <c r="E8729" s="771"/>
      <c r="F8729" s="772"/>
      <c r="G8729" s="33"/>
      <c r="H8729" s="31"/>
    </row>
    <row r="8730" spans="2:8" hidden="1">
      <c r="B8730" s="200"/>
      <c r="C8730" s="31"/>
      <c r="D8730" s="75"/>
      <c r="E8730" s="771"/>
      <c r="F8730" s="771"/>
      <c r="G8730" s="31"/>
      <c r="H8730" s="31"/>
    </row>
    <row r="8731" spans="2:8" hidden="1">
      <c r="B8731" s="33"/>
      <c r="C8731" s="31"/>
      <c r="D8731" s="31"/>
      <c r="E8731" s="31"/>
      <c r="F8731" s="31"/>
      <c r="G8731" s="31"/>
      <c r="H8731" s="31"/>
    </row>
    <row r="8732" spans="2:8" hidden="1">
      <c r="B8732" s="200"/>
      <c r="C8732" s="31"/>
      <c r="D8732" s="75"/>
      <c r="E8732" s="33"/>
      <c r="F8732" s="33"/>
      <c r="G8732" s="33"/>
      <c r="H8732" s="31"/>
    </row>
    <row r="8733" spans="2:8" hidden="1">
      <c r="B8733" s="200"/>
      <c r="C8733" s="31"/>
      <c r="D8733" s="75"/>
      <c r="E8733" s="33"/>
      <c r="F8733" s="33"/>
      <c r="G8733" s="33"/>
      <c r="H8733" s="31"/>
    </row>
    <row r="8734" spans="2:8" hidden="1">
      <c r="B8734" s="200"/>
      <c r="C8734" s="31"/>
      <c r="D8734" s="75"/>
      <c r="E8734" s="33"/>
      <c r="F8734" s="33"/>
      <c r="G8734" s="33"/>
      <c r="H8734" s="31"/>
    </row>
    <row r="8735" spans="2:8" hidden="1">
      <c r="B8735" s="33"/>
      <c r="C8735" s="200"/>
      <c r="D8735" s="75"/>
      <c r="E8735" s="31"/>
      <c r="F8735" s="31"/>
      <c r="G8735" s="31"/>
      <c r="H8735" s="31"/>
    </row>
    <row r="8736" spans="2:8" hidden="1">
      <c r="B8736" s="33"/>
      <c r="C8736" s="31"/>
      <c r="D8736" s="104"/>
      <c r="E8736" s="33"/>
      <c r="F8736" s="33"/>
      <c r="G8736" s="33"/>
      <c r="H8736" s="31"/>
    </row>
    <row r="8737" spans="2:8" hidden="1">
      <c r="B8737" s="33"/>
      <c r="C8737" s="31"/>
      <c r="D8737" s="31"/>
      <c r="E8737" s="31"/>
      <c r="F8737" s="31"/>
      <c r="G8737" s="31"/>
      <c r="H8737" s="31"/>
    </row>
    <row r="8738" spans="2:8" hidden="1">
      <c r="B8738" s="200"/>
      <c r="C8738" s="31"/>
      <c r="D8738" s="75"/>
      <c r="E8738" s="31"/>
      <c r="F8738" s="31"/>
      <c r="G8738" s="31"/>
      <c r="H8738" s="31"/>
    </row>
    <row r="8739" spans="2:8" hidden="1">
      <c r="B8739" s="200"/>
      <c r="C8739" s="31"/>
      <c r="D8739" s="75"/>
      <c r="E8739" s="33"/>
      <c r="F8739" s="33"/>
      <c r="G8739" s="33"/>
      <c r="H8739" s="31"/>
    </row>
    <row r="8740" spans="2:8" hidden="1">
      <c r="B8740" s="200"/>
      <c r="C8740" s="31"/>
      <c r="D8740" s="75"/>
      <c r="E8740" s="33"/>
      <c r="F8740" s="33"/>
      <c r="G8740" s="33"/>
      <c r="H8740" s="31"/>
    </row>
    <row r="8741" spans="2:8" hidden="1">
      <c r="B8741" s="200"/>
      <c r="C8741" s="31"/>
      <c r="D8741" s="75"/>
      <c r="E8741" s="33"/>
      <c r="F8741" s="33"/>
      <c r="G8741" s="33"/>
      <c r="H8741" s="31"/>
    </row>
    <row r="8742" spans="2:8" hidden="1">
      <c r="B8742" s="200"/>
      <c r="C8742" s="31"/>
      <c r="D8742" s="75"/>
      <c r="E8742" s="31"/>
      <c r="F8742" s="31"/>
      <c r="G8742" s="31"/>
      <c r="H8742" s="31"/>
    </row>
    <row r="8743" spans="2:8" hidden="1">
      <c r="B8743" s="200"/>
      <c r="C8743" s="31"/>
      <c r="D8743" s="75"/>
      <c r="E8743" s="31"/>
      <c r="F8743" s="31"/>
      <c r="G8743" s="31"/>
      <c r="H8743" s="31"/>
    </row>
    <row r="8744" spans="2:8" hidden="1">
      <c r="B8744" s="200"/>
      <c r="C8744" s="31"/>
      <c r="D8744" s="75"/>
      <c r="E8744" s="33"/>
      <c r="F8744" s="33"/>
      <c r="G8744" s="33"/>
      <c r="H8744" s="31"/>
    </row>
    <row r="8745" spans="2:8" hidden="1">
      <c r="B8745" s="200"/>
      <c r="C8745" s="31"/>
      <c r="D8745" s="75"/>
      <c r="E8745" s="33"/>
      <c r="F8745" s="33"/>
      <c r="G8745" s="33"/>
      <c r="H8745" s="31"/>
    </row>
    <row r="8746" spans="2:8" hidden="1">
      <c r="B8746" s="200"/>
      <c r="C8746" s="31"/>
      <c r="D8746" s="75"/>
      <c r="E8746" s="33"/>
      <c r="F8746" s="33"/>
      <c r="G8746" s="33"/>
      <c r="H8746" s="31"/>
    </row>
    <row r="8747" spans="2:8" hidden="1">
      <c r="B8747" s="200"/>
      <c r="C8747" s="31"/>
      <c r="D8747" s="75"/>
      <c r="E8747" s="33"/>
      <c r="F8747" s="33"/>
      <c r="G8747" s="33"/>
      <c r="H8747" s="31"/>
    </row>
    <row r="8748" spans="2:8" hidden="1">
      <c r="B8748" s="200"/>
      <c r="C8748" s="31"/>
      <c r="D8748" s="75"/>
      <c r="E8748" s="33"/>
      <c r="F8748" s="33"/>
      <c r="G8748" s="33"/>
      <c r="H8748" s="31"/>
    </row>
    <row r="8749" spans="2:8" hidden="1">
      <c r="B8749" s="200"/>
      <c r="C8749" s="31"/>
      <c r="D8749" s="75"/>
      <c r="E8749" s="33"/>
      <c r="F8749" s="33"/>
      <c r="G8749" s="33"/>
      <c r="H8749" s="31"/>
    </row>
    <row r="8750" spans="2:8" hidden="1">
      <c r="B8750" s="33"/>
      <c r="C8750" s="31"/>
      <c r="D8750" s="75"/>
      <c r="E8750" s="31"/>
      <c r="F8750" s="31"/>
      <c r="G8750" s="31"/>
      <c r="H8750" s="31"/>
    </row>
    <row r="8751" spans="2:8" hidden="1">
      <c r="B8751" s="33"/>
      <c r="C8751" s="31"/>
      <c r="D8751" s="31"/>
      <c r="E8751" s="31"/>
      <c r="F8751" s="31"/>
      <c r="G8751" s="31"/>
      <c r="H8751" s="31"/>
    </row>
    <row r="8752" spans="2:8" hidden="1">
      <c r="B8752" s="405"/>
      <c r="C8752" s="31"/>
      <c r="D8752" s="31"/>
      <c r="E8752" s="31"/>
      <c r="F8752" s="31"/>
      <c r="G8752" s="31"/>
      <c r="H8752" s="31"/>
    </row>
    <row r="8753" spans="2:8" hidden="1">
      <c r="B8753" s="405"/>
      <c r="C8753" s="31"/>
      <c r="D8753" s="31"/>
      <c r="E8753" s="31"/>
      <c r="F8753" s="691"/>
      <c r="G8753" s="75"/>
      <c r="H8753" s="31"/>
    </row>
    <row r="8754" spans="2:8" hidden="1">
      <c r="B8754" s="405"/>
      <c r="C8754" s="31"/>
      <c r="D8754" s="31"/>
      <c r="E8754" s="31"/>
      <c r="F8754" s="691"/>
      <c r="G8754" s="75"/>
      <c r="H8754" s="31"/>
    </row>
    <row r="8755" spans="2:8" hidden="1">
      <c r="B8755" s="405"/>
      <c r="C8755" s="31"/>
      <c r="D8755" s="31"/>
      <c r="E8755" s="31"/>
      <c r="F8755" s="691"/>
      <c r="G8755" s="75"/>
      <c r="H8755" s="31"/>
    </row>
    <row r="8756" spans="2:8" hidden="1">
      <c r="B8756" s="405"/>
      <c r="C8756" s="31"/>
      <c r="D8756" s="31"/>
      <c r="E8756" s="31"/>
      <c r="F8756" s="691"/>
      <c r="G8756" s="75"/>
      <c r="H8756" s="31"/>
    </row>
    <row r="8757" spans="2:8" hidden="1">
      <c r="B8757" s="405"/>
      <c r="C8757" s="31"/>
      <c r="D8757" s="31"/>
      <c r="E8757" s="31"/>
      <c r="F8757" s="691"/>
      <c r="G8757" s="75"/>
      <c r="H8757" s="31"/>
    </row>
    <row r="8758" spans="2:8" hidden="1">
      <c r="B8758" s="405"/>
      <c r="C8758" s="31"/>
      <c r="D8758" s="31"/>
      <c r="E8758" s="31"/>
      <c r="F8758" s="691"/>
      <c r="G8758" s="75"/>
      <c r="H8758" s="31"/>
    </row>
    <row r="8759" spans="2:8" hidden="1">
      <c r="B8759" s="405"/>
      <c r="C8759" s="31"/>
      <c r="D8759" s="31"/>
      <c r="E8759" s="31"/>
      <c r="F8759" s="691"/>
      <c r="G8759" s="75"/>
      <c r="H8759" s="31"/>
    </row>
    <row r="8760" spans="2:8" hidden="1">
      <c r="B8760" s="405"/>
      <c r="C8760" s="31"/>
      <c r="D8760" s="31"/>
      <c r="E8760" s="31"/>
      <c r="F8760" s="691"/>
      <c r="G8760" s="75"/>
      <c r="H8760" s="31"/>
    </row>
    <row r="8761" spans="2:8" hidden="1">
      <c r="B8761" s="405"/>
      <c r="C8761" s="31"/>
      <c r="D8761" s="31"/>
      <c r="E8761" s="31"/>
      <c r="F8761" s="691"/>
      <c r="G8761" s="75"/>
      <c r="H8761" s="31"/>
    </row>
    <row r="8762" spans="2:8" hidden="1">
      <c r="B8762" s="405"/>
      <c r="C8762" s="31"/>
      <c r="D8762" s="31"/>
      <c r="E8762" s="31"/>
      <c r="F8762" s="691"/>
      <c r="G8762" s="75"/>
      <c r="H8762" s="31"/>
    </row>
    <row r="8763" spans="2:8" hidden="1">
      <c r="B8763" s="405"/>
      <c r="C8763" s="31"/>
      <c r="D8763" s="31"/>
      <c r="E8763" s="31"/>
      <c r="F8763" s="691"/>
      <c r="G8763" s="75"/>
      <c r="H8763" s="31"/>
    </row>
    <row r="8764" spans="2:8" hidden="1">
      <c r="B8764" s="405"/>
      <c r="C8764" s="31"/>
      <c r="D8764" s="31"/>
      <c r="E8764" s="31"/>
      <c r="F8764" s="691"/>
      <c r="G8764" s="75"/>
      <c r="H8764" s="31"/>
    </row>
    <row r="8765" spans="2:8" hidden="1">
      <c r="B8765" s="405"/>
      <c r="C8765" s="31"/>
      <c r="D8765" s="31"/>
      <c r="E8765" s="31"/>
      <c r="F8765" s="691"/>
      <c r="G8765" s="75"/>
      <c r="H8765" s="31"/>
    </row>
    <row r="8766" spans="2:8" hidden="1">
      <c r="B8766" s="405"/>
      <c r="C8766" s="31"/>
      <c r="D8766" s="31"/>
      <c r="E8766" s="31"/>
      <c r="F8766" s="691"/>
      <c r="G8766" s="75"/>
      <c r="H8766" s="31"/>
    </row>
    <row r="8767" spans="2:8" hidden="1">
      <c r="B8767" s="405"/>
      <c r="C8767" s="31"/>
      <c r="D8767" s="31"/>
      <c r="E8767" s="31"/>
      <c r="F8767" s="691"/>
      <c r="G8767" s="75"/>
      <c r="H8767" s="31"/>
    </row>
    <row r="8768" spans="2:8" hidden="1">
      <c r="B8768" s="405"/>
      <c r="C8768" s="31"/>
      <c r="D8768" s="31"/>
      <c r="E8768" s="31"/>
      <c r="F8768" s="691"/>
      <c r="G8768" s="75"/>
      <c r="H8768" s="31"/>
    </row>
    <row r="8769" spans="2:8" hidden="1">
      <c r="B8769" s="405"/>
      <c r="C8769" s="31"/>
      <c r="D8769" s="31"/>
      <c r="E8769" s="31"/>
      <c r="F8769" s="691"/>
      <c r="G8769" s="75"/>
      <c r="H8769" s="31"/>
    </row>
    <row r="8770" spans="2:8" hidden="1">
      <c r="B8770" s="405"/>
      <c r="C8770" s="31"/>
      <c r="D8770" s="31"/>
      <c r="E8770" s="31"/>
      <c r="F8770" s="691"/>
      <c r="G8770" s="31"/>
      <c r="H8770" s="31"/>
    </row>
    <row r="8771" spans="2:8" hidden="1">
      <c r="B8771" s="405"/>
      <c r="C8771" s="31"/>
      <c r="D8771" s="31"/>
      <c r="E8771" s="31"/>
      <c r="F8771" s="691"/>
      <c r="G8771" s="31"/>
      <c r="H8771" s="31"/>
    </row>
    <row r="8772" spans="2:8" hidden="1">
      <c r="B8772" s="405"/>
      <c r="C8772" s="31"/>
      <c r="D8772" s="31"/>
      <c r="E8772" s="31"/>
      <c r="F8772" s="691"/>
      <c r="G8772" s="31"/>
      <c r="H8772" s="31"/>
    </row>
    <row r="8773" spans="2:8" hidden="1">
      <c r="B8773" s="405"/>
      <c r="C8773" s="31"/>
      <c r="D8773" s="31"/>
      <c r="E8773" s="31"/>
      <c r="F8773" s="691"/>
      <c r="G8773" s="31"/>
      <c r="H8773" s="31"/>
    </row>
    <row r="8774" spans="2:8" hidden="1">
      <c r="B8774" s="405"/>
      <c r="C8774" s="31"/>
      <c r="D8774" s="31"/>
      <c r="E8774" s="31"/>
      <c r="F8774" s="691"/>
      <c r="G8774" s="75"/>
      <c r="H8774" s="31"/>
    </row>
    <row r="8775" spans="2:8" hidden="1">
      <c r="B8775" s="405"/>
      <c r="C8775" s="31"/>
      <c r="D8775" s="31"/>
      <c r="E8775" s="31"/>
      <c r="F8775" s="691"/>
      <c r="G8775" s="75"/>
      <c r="H8775" s="31"/>
    </row>
    <row r="8776" spans="2:8" hidden="1">
      <c r="B8776" s="33"/>
      <c r="C8776" s="31"/>
      <c r="D8776" s="31"/>
      <c r="E8776" s="31"/>
      <c r="F8776" s="691"/>
      <c r="G8776" s="75"/>
      <c r="H8776" s="31"/>
    </row>
    <row r="8777" spans="2:8" hidden="1">
      <c r="B8777" s="33"/>
      <c r="C8777" s="31"/>
      <c r="D8777" s="31"/>
      <c r="E8777" s="31"/>
      <c r="F8777" s="691"/>
      <c r="G8777" s="75"/>
      <c r="H8777" s="31"/>
    </row>
    <row r="8778" spans="2:8" hidden="1">
      <c r="B8778" s="33"/>
      <c r="C8778" s="31"/>
      <c r="D8778" s="31"/>
      <c r="E8778" s="31"/>
      <c r="F8778" s="691"/>
      <c r="G8778" s="31"/>
      <c r="H8778" s="31"/>
    </row>
    <row r="8779" spans="2:8" hidden="1">
      <c r="B8779" s="33"/>
      <c r="C8779" s="31"/>
      <c r="D8779" s="31"/>
      <c r="E8779" s="31"/>
      <c r="F8779" s="31"/>
      <c r="G8779" s="31"/>
      <c r="H8779" s="31"/>
    </row>
    <row r="8780" spans="2:8" hidden="1">
      <c r="B8780" s="33"/>
      <c r="C8780" s="31"/>
      <c r="D8780" s="31"/>
      <c r="E8780" s="31"/>
      <c r="F8780" s="31"/>
      <c r="G8780" s="31"/>
      <c r="H8780" s="31"/>
    </row>
    <row r="8781" spans="2:8" hidden="1">
      <c r="B8781" s="33"/>
      <c r="C8781" s="31"/>
      <c r="D8781" s="31"/>
      <c r="E8781" s="31"/>
      <c r="F8781" s="31"/>
      <c r="G8781" s="31"/>
      <c r="H8781" s="31"/>
    </row>
    <row r="8782" spans="2:8" hidden="1">
      <c r="B8782" s="33"/>
      <c r="C8782" s="31"/>
      <c r="D8782" s="31"/>
      <c r="E8782" s="31"/>
      <c r="F8782" s="31"/>
      <c r="G8782" s="31"/>
      <c r="H8782" s="31"/>
    </row>
    <row r="8783" spans="2:8" hidden="1">
      <c r="B8783" s="33"/>
      <c r="C8783" s="31"/>
      <c r="D8783" s="31"/>
      <c r="E8783" s="31"/>
      <c r="F8783" s="31"/>
      <c r="G8783" s="31"/>
      <c r="H8783" s="31"/>
    </row>
    <row r="8784" spans="2:8" hidden="1">
      <c r="B8784" s="33"/>
      <c r="C8784" s="31"/>
      <c r="D8784" s="31"/>
      <c r="E8784" s="31"/>
      <c r="F8784" s="31"/>
      <c r="G8784" s="31"/>
      <c r="H8784" s="31"/>
    </row>
    <row r="8785" spans="2:8" hidden="1">
      <c r="B8785" s="33"/>
      <c r="C8785" s="31"/>
      <c r="D8785" s="31"/>
      <c r="E8785" s="31"/>
      <c r="F8785" s="31"/>
      <c r="G8785" s="31"/>
      <c r="H8785" s="31"/>
    </row>
    <row r="8786" spans="2:8" hidden="1">
      <c r="B8786" s="33"/>
      <c r="C8786" s="31"/>
      <c r="D8786" s="31"/>
      <c r="E8786" s="31"/>
      <c r="F8786" s="31"/>
      <c r="G8786" s="31"/>
      <c r="H8786" s="31"/>
    </row>
    <row r="8787" spans="2:8" hidden="1">
      <c r="B8787" s="33"/>
      <c r="C8787" s="31"/>
      <c r="D8787" s="31"/>
      <c r="E8787" s="31"/>
      <c r="F8787" s="31"/>
      <c r="G8787" s="31"/>
      <c r="H8787" s="31"/>
    </row>
    <row r="8788" spans="2:8" hidden="1">
      <c r="B8788" s="33"/>
      <c r="C8788" s="31"/>
      <c r="D8788" s="33"/>
      <c r="E8788" s="31"/>
      <c r="F8788" s="33"/>
      <c r="G8788" s="33"/>
      <c r="H8788" s="31"/>
    </row>
    <row r="8789" spans="2:8" hidden="1">
      <c r="B8789" s="33"/>
      <c r="C8789" s="31"/>
      <c r="D8789" s="33"/>
      <c r="E8789" s="33"/>
      <c r="F8789" s="33"/>
      <c r="G8789" s="33"/>
      <c r="H8789" s="31"/>
    </row>
    <row r="8790" spans="2:8" hidden="1">
      <c r="B8790" s="33"/>
      <c r="C8790" s="31"/>
      <c r="D8790" s="31"/>
      <c r="E8790" s="31"/>
      <c r="F8790" s="31"/>
      <c r="G8790" s="31"/>
      <c r="H8790" s="31"/>
    </row>
    <row r="8791" spans="2:8" hidden="1">
      <c r="B8791" s="200"/>
      <c r="C8791" s="31"/>
      <c r="D8791" s="294"/>
      <c r="E8791" s="771"/>
      <c r="F8791" s="200"/>
      <c r="G8791" s="31"/>
      <c r="H8791" s="31"/>
    </row>
    <row r="8792" spans="2:8" hidden="1">
      <c r="B8792" s="200"/>
      <c r="C8792" s="31"/>
      <c r="D8792" s="294"/>
      <c r="E8792" s="771"/>
      <c r="F8792" s="33"/>
      <c r="G8792" s="33"/>
      <c r="H8792" s="31"/>
    </row>
    <row r="8793" spans="2:8" hidden="1">
      <c r="B8793" s="200"/>
      <c r="C8793" s="31"/>
      <c r="D8793" s="294"/>
      <c r="E8793" s="771"/>
      <c r="F8793" s="31"/>
      <c r="G8793" s="31"/>
      <c r="H8793" s="31"/>
    </row>
    <row r="8794" spans="2:8" hidden="1">
      <c r="B8794" s="200"/>
      <c r="C8794" s="31"/>
      <c r="D8794" s="294"/>
      <c r="E8794" s="771"/>
      <c r="F8794" s="31"/>
      <c r="G8794" s="31"/>
      <c r="H8794" s="31"/>
    </row>
    <row r="8795" spans="2:8" hidden="1">
      <c r="B8795" s="33"/>
      <c r="C8795" s="31"/>
      <c r="D8795" s="31"/>
      <c r="E8795" s="31"/>
      <c r="F8795" s="31"/>
      <c r="G8795" s="31"/>
      <c r="H8795" s="31"/>
    </row>
    <row r="8796" spans="2:8" hidden="1">
      <c r="B8796" s="200"/>
      <c r="C8796" s="31"/>
      <c r="D8796" s="294"/>
      <c r="E8796" s="771"/>
      <c r="F8796" s="200"/>
      <c r="G8796" s="31"/>
      <c r="H8796" s="31"/>
    </row>
    <row r="8797" spans="2:8" hidden="1">
      <c r="B8797" s="200"/>
      <c r="C8797" s="31"/>
      <c r="D8797" s="294"/>
      <c r="E8797" s="771"/>
      <c r="F8797" s="31"/>
      <c r="G8797" s="31"/>
      <c r="H8797" s="31"/>
    </row>
    <row r="8798" spans="2:8" hidden="1">
      <c r="B8798" s="200"/>
      <c r="C8798" s="31"/>
      <c r="D8798" s="294"/>
      <c r="E8798" s="771"/>
      <c r="F8798" s="31"/>
      <c r="G8798" s="31"/>
      <c r="H8798" s="31"/>
    </row>
    <row r="8799" spans="2:8" hidden="1">
      <c r="B8799" s="200"/>
      <c r="C8799" s="31"/>
      <c r="D8799" s="294"/>
      <c r="E8799" s="771"/>
      <c r="F8799" s="31"/>
      <c r="G8799" s="31"/>
      <c r="H8799" s="31"/>
    </row>
    <row r="8800" spans="2:8" hidden="1">
      <c r="B8800" s="200"/>
      <c r="C8800" s="31"/>
      <c r="D8800" s="294"/>
      <c r="E8800" s="771"/>
      <c r="F8800" s="31"/>
      <c r="G8800" s="31"/>
      <c r="H8800" s="31"/>
    </row>
    <row r="8801" spans="2:8" hidden="1">
      <c r="B8801" s="200"/>
      <c r="C8801" s="31"/>
      <c r="D8801" s="294"/>
      <c r="E8801" s="771"/>
      <c r="F8801" s="771"/>
      <c r="G8801" s="31"/>
      <c r="H8801" s="31"/>
    </row>
    <row r="8802" spans="2:8" hidden="1">
      <c r="B8802" s="33"/>
      <c r="C8802" s="31"/>
      <c r="D8802" s="31"/>
      <c r="E8802" s="31"/>
      <c r="F8802" s="31"/>
      <c r="G8802" s="31"/>
      <c r="H8802" s="31"/>
    </row>
    <row r="8803" spans="2:8" hidden="1">
      <c r="B8803" s="200"/>
      <c r="C8803" s="31"/>
      <c r="D8803" s="294"/>
      <c r="E8803" s="771"/>
      <c r="F8803" s="773"/>
      <c r="G8803" s="31"/>
      <c r="H8803" s="31"/>
    </row>
    <row r="8804" spans="2:8" hidden="1">
      <c r="B8804" s="200"/>
      <c r="C8804" s="31"/>
      <c r="D8804" s="294"/>
      <c r="E8804" s="771"/>
      <c r="F8804" s="771"/>
      <c r="G8804" s="31"/>
      <c r="H8804" s="31"/>
    </row>
    <row r="8805" spans="2:8" hidden="1">
      <c r="B8805" s="200"/>
      <c r="C8805" s="31"/>
      <c r="D8805" s="294"/>
      <c r="E8805" s="771"/>
      <c r="F8805" s="771"/>
      <c r="G8805" s="31"/>
      <c r="H8805" s="31"/>
    </row>
    <row r="8806" spans="2:8" hidden="1">
      <c r="B8806" s="200"/>
      <c r="C8806" s="31"/>
      <c r="D8806" s="294"/>
      <c r="E8806" s="771"/>
      <c r="F8806" s="771"/>
      <c r="G8806" s="31"/>
      <c r="H8806" s="31"/>
    </row>
    <row r="8807" spans="2:8" hidden="1">
      <c r="B8807" s="33"/>
      <c r="C8807" s="31"/>
      <c r="D8807" s="31"/>
      <c r="E8807" s="31"/>
      <c r="F8807" s="31"/>
      <c r="G8807" s="31"/>
      <c r="H8807" s="31"/>
    </row>
    <row r="8808" spans="2:8" hidden="1">
      <c r="B8808" s="200"/>
      <c r="C8808" s="31"/>
      <c r="D8808" s="294"/>
      <c r="E8808" s="771"/>
      <c r="F8808" s="771"/>
      <c r="G8808" s="31"/>
      <c r="H8808" s="31"/>
    </row>
    <row r="8809" spans="2:8" hidden="1">
      <c r="B8809" s="200"/>
      <c r="C8809" s="31"/>
      <c r="D8809" s="294"/>
      <c r="E8809" s="771"/>
      <c r="F8809" s="771"/>
      <c r="G8809" s="31"/>
      <c r="H8809" s="31"/>
    </row>
    <row r="8810" spans="2:8" hidden="1">
      <c r="B8810" s="200"/>
      <c r="C8810" s="31"/>
      <c r="D8810" s="294"/>
      <c r="E8810" s="771"/>
      <c r="F8810" s="771"/>
      <c r="G8810" s="31"/>
      <c r="H8810" s="31"/>
    </row>
    <row r="8811" spans="2:8" hidden="1">
      <c r="B8811" s="33"/>
      <c r="C8811" s="31"/>
      <c r="D8811" s="31"/>
      <c r="E8811" s="31"/>
      <c r="F8811" s="31"/>
      <c r="G8811" s="31"/>
      <c r="H8811" s="31"/>
    </row>
    <row r="8812" spans="2:8" hidden="1">
      <c r="B8812" s="200"/>
      <c r="C8812" s="31"/>
      <c r="D8812" s="294"/>
      <c r="E8812" s="771"/>
      <c r="F8812" s="773"/>
      <c r="G8812" s="31"/>
      <c r="H8812" s="31"/>
    </row>
    <row r="8813" spans="2:8" hidden="1">
      <c r="B8813" s="200"/>
      <c r="C8813" s="31"/>
      <c r="D8813" s="294"/>
      <c r="E8813" s="771"/>
      <c r="F8813" s="771"/>
      <c r="G8813" s="31"/>
      <c r="H8813" s="31"/>
    </row>
    <row r="8814" spans="2:8" hidden="1">
      <c r="B8814" s="200"/>
      <c r="C8814" s="31"/>
      <c r="D8814" s="294"/>
      <c r="E8814" s="771"/>
      <c r="F8814" s="771"/>
      <c r="G8814" s="31"/>
      <c r="H8814" s="31"/>
    </row>
    <row r="8815" spans="2:8" hidden="1">
      <c r="B8815" s="200"/>
      <c r="C8815" s="31"/>
      <c r="D8815" s="294"/>
      <c r="E8815" s="771"/>
      <c r="F8815" s="771"/>
      <c r="G8815" s="31"/>
      <c r="H8815" s="31"/>
    </row>
    <row r="8816" spans="2:8" hidden="1">
      <c r="B8816" s="200"/>
      <c r="C8816" s="31"/>
      <c r="D8816" s="294"/>
      <c r="E8816" s="771"/>
      <c r="F8816" s="771"/>
      <c r="G8816" s="31"/>
      <c r="H8816" s="31"/>
    </row>
    <row r="8817" spans="2:8" hidden="1">
      <c r="B8817" s="200"/>
      <c r="C8817" s="31"/>
      <c r="D8817" s="294"/>
      <c r="E8817" s="772"/>
      <c r="F8817" s="772"/>
      <c r="G8817" s="31"/>
      <c r="H8817" s="31"/>
    </row>
    <row r="8818" spans="2:8" hidden="1">
      <c r="B8818" s="33"/>
      <c r="C8818" s="200"/>
      <c r="D8818" s="294"/>
      <c r="E8818" s="771"/>
      <c r="F8818" s="771"/>
      <c r="G8818" s="31"/>
      <c r="H8818" s="31"/>
    </row>
    <row r="8819" spans="2:8" hidden="1">
      <c r="B8819" s="33"/>
      <c r="C8819" s="31"/>
      <c r="D8819" s="104"/>
      <c r="E8819" s="772"/>
      <c r="F8819" s="772"/>
      <c r="G8819" s="33"/>
      <c r="H8819" s="31"/>
    </row>
    <row r="8820" spans="2:8" hidden="1">
      <c r="B8820" s="33"/>
      <c r="C8820" s="31"/>
      <c r="D8820" s="31"/>
      <c r="E8820" s="31"/>
      <c r="F8820" s="31"/>
      <c r="G8820" s="31"/>
      <c r="H8820" s="31"/>
    </row>
    <row r="8821" spans="2:8" hidden="1">
      <c r="B8821" s="33"/>
      <c r="C8821" s="31"/>
      <c r="D8821" s="31"/>
      <c r="E8821" s="31"/>
      <c r="F8821" s="31"/>
      <c r="G8821" s="31"/>
      <c r="H8821" s="31"/>
    </row>
    <row r="8822" spans="2:8" hidden="1">
      <c r="B8822" s="405"/>
      <c r="C8822" s="31"/>
      <c r="D8822" s="31"/>
      <c r="E8822" s="31"/>
      <c r="F8822" s="31"/>
      <c r="G8822" s="31"/>
      <c r="H8822" s="31"/>
    </row>
    <row r="8823" spans="2:8" hidden="1">
      <c r="B8823" s="405"/>
      <c r="C8823" s="31"/>
      <c r="D8823" s="31"/>
      <c r="E8823" s="31"/>
      <c r="F8823" s="691"/>
      <c r="G8823" s="75"/>
      <c r="H8823" s="31"/>
    </row>
    <row r="8824" spans="2:8" hidden="1">
      <c r="B8824" s="405"/>
      <c r="C8824" s="31"/>
      <c r="D8824" s="31"/>
      <c r="E8824" s="31"/>
      <c r="F8824" s="691"/>
      <c r="G8824" s="75"/>
      <c r="H8824" s="31"/>
    </row>
    <row r="8825" spans="2:8" hidden="1">
      <c r="B8825" s="405"/>
      <c r="C8825" s="31"/>
      <c r="D8825" s="31"/>
      <c r="E8825" s="31"/>
      <c r="F8825" s="691"/>
      <c r="G8825" s="75"/>
      <c r="H8825" s="31"/>
    </row>
    <row r="8826" spans="2:8" hidden="1">
      <c r="B8826" s="405"/>
      <c r="C8826" s="31"/>
      <c r="D8826" s="31"/>
      <c r="E8826" s="31"/>
      <c r="F8826" s="691"/>
      <c r="G8826" s="75"/>
      <c r="H8826" s="31"/>
    </row>
    <row r="8827" spans="2:8" hidden="1">
      <c r="B8827" s="405"/>
      <c r="C8827" s="31"/>
      <c r="D8827" s="31"/>
      <c r="E8827" s="31"/>
      <c r="F8827" s="691"/>
      <c r="G8827" s="75"/>
      <c r="H8827" s="31"/>
    </row>
    <row r="8828" spans="2:8" hidden="1">
      <c r="B8828" s="33"/>
      <c r="C8828" s="31"/>
      <c r="D8828" s="31"/>
      <c r="E8828" s="31"/>
      <c r="F8828" s="691"/>
      <c r="G8828" s="75"/>
      <c r="H8828" s="31"/>
    </row>
    <row r="8829" spans="2:8" hidden="1">
      <c r="B8829" s="405"/>
      <c r="C8829" s="31"/>
      <c r="D8829" s="31"/>
      <c r="E8829" s="31"/>
      <c r="F8829" s="691"/>
      <c r="G8829" s="75"/>
      <c r="H8829" s="31"/>
    </row>
    <row r="8830" spans="2:8" hidden="1">
      <c r="B8830" s="33"/>
      <c r="C8830" s="31"/>
      <c r="D8830" s="31"/>
      <c r="E8830" s="31"/>
      <c r="F8830" s="691"/>
      <c r="G8830" s="75"/>
      <c r="H8830" s="31"/>
    </row>
    <row r="8831" spans="2:8" hidden="1">
      <c r="B8831" s="33"/>
      <c r="C8831" s="31"/>
      <c r="D8831" s="31"/>
      <c r="E8831" s="31"/>
      <c r="F8831" s="691"/>
      <c r="G8831" s="75"/>
      <c r="H8831" s="31"/>
    </row>
    <row r="8832" spans="2:8" hidden="1">
      <c r="B8832" s="33"/>
      <c r="C8832" s="31"/>
      <c r="D8832" s="31"/>
      <c r="E8832" s="31"/>
      <c r="F8832" s="691"/>
      <c r="G8832" s="31"/>
      <c r="H8832" s="31"/>
    </row>
    <row r="8833" spans="2:8" hidden="1">
      <c r="B8833" s="33"/>
      <c r="C8833" s="31"/>
      <c r="D8833" s="31"/>
      <c r="E8833" s="31"/>
      <c r="F8833" s="691"/>
      <c r="G8833" s="31"/>
      <c r="H8833" s="31"/>
    </row>
    <row r="8834" spans="2:8" hidden="1">
      <c r="B8834" s="33"/>
      <c r="C8834" s="31"/>
      <c r="D8834" s="31"/>
      <c r="E8834" s="31"/>
      <c r="F8834" s="31"/>
      <c r="G8834" s="31"/>
      <c r="H8834" s="31"/>
    </row>
    <row r="8835" spans="2:8" hidden="1">
      <c r="B8835" s="33"/>
      <c r="C8835" s="31"/>
      <c r="D8835" s="31"/>
      <c r="E8835" s="31"/>
      <c r="F8835" s="31"/>
      <c r="G8835" s="31"/>
      <c r="H8835" s="31"/>
    </row>
    <row r="8836" spans="2:8" hidden="1">
      <c r="B8836" s="33"/>
      <c r="C8836" s="31"/>
      <c r="D8836" s="31"/>
      <c r="E8836" s="31"/>
      <c r="F8836" s="31"/>
      <c r="G8836" s="31"/>
      <c r="H8836" s="31"/>
    </row>
    <row r="8837" spans="2:8" hidden="1">
      <c r="B8837" s="33"/>
      <c r="C8837" s="31"/>
      <c r="D8837" s="31"/>
      <c r="E8837" s="31"/>
      <c r="F8837" s="31"/>
      <c r="G8837" s="31"/>
      <c r="H8837" s="31"/>
    </row>
    <row r="8838" spans="2:8" hidden="1">
      <c r="B8838" s="33"/>
      <c r="C8838" s="31"/>
      <c r="D8838" s="31"/>
      <c r="E8838" s="31"/>
      <c r="F8838" s="31"/>
      <c r="G8838" s="31"/>
      <c r="H8838" s="31"/>
    </row>
    <row r="8839" spans="2:8" hidden="1">
      <c r="B8839" s="33"/>
      <c r="C8839" s="31"/>
      <c r="D8839" s="31"/>
      <c r="E8839" s="31"/>
      <c r="F8839" s="31"/>
      <c r="G8839" s="31"/>
      <c r="H8839" s="31"/>
    </row>
    <row r="8840" spans="2:8" hidden="1">
      <c r="B8840" s="33"/>
      <c r="C8840" s="31"/>
      <c r="D8840" s="31"/>
      <c r="E8840" s="31"/>
      <c r="F8840" s="31"/>
      <c r="G8840" s="31"/>
      <c r="H8840" s="31"/>
    </row>
    <row r="8841" spans="2:8" hidden="1">
      <c r="B8841" s="33"/>
      <c r="C8841" s="31"/>
      <c r="D8841" s="31"/>
      <c r="E8841" s="31"/>
      <c r="F8841" s="31"/>
      <c r="G8841" s="31"/>
      <c r="H8841" s="31"/>
    </row>
    <row r="8842" spans="2:8" hidden="1">
      <c r="B8842" s="33"/>
      <c r="C8842" s="31"/>
      <c r="D8842" s="31"/>
      <c r="E8842" s="31"/>
      <c r="F8842" s="31"/>
      <c r="G8842" s="31"/>
      <c r="H8842" s="31"/>
    </row>
    <row r="8843" spans="2:8" hidden="1">
      <c r="B8843" s="33"/>
      <c r="C8843" s="31"/>
      <c r="D8843" s="33"/>
      <c r="E8843" s="31"/>
      <c r="F8843" s="33"/>
      <c r="G8843" s="33"/>
      <c r="H8843" s="31"/>
    </row>
    <row r="8844" spans="2:8" hidden="1">
      <c r="B8844" s="33"/>
      <c r="C8844" s="31"/>
      <c r="D8844" s="33"/>
      <c r="E8844" s="33"/>
      <c r="F8844" s="33"/>
      <c r="G8844" s="33"/>
      <c r="H8844" s="31"/>
    </row>
    <row r="8845" spans="2:8" hidden="1">
      <c r="B8845" s="200"/>
      <c r="C8845" s="31"/>
      <c r="D8845" s="75"/>
      <c r="E8845" s="771"/>
      <c r="F8845" s="33"/>
      <c r="G8845" s="33"/>
      <c r="H8845" s="31"/>
    </row>
    <row r="8846" spans="2:8" hidden="1">
      <c r="B8846" s="200"/>
      <c r="C8846" s="31"/>
      <c r="D8846" s="75"/>
      <c r="E8846" s="771"/>
      <c r="F8846" s="31"/>
      <c r="G8846" s="31"/>
      <c r="H8846" s="31"/>
    </row>
    <row r="8847" spans="2:8" hidden="1">
      <c r="B8847" s="200"/>
      <c r="C8847" s="31"/>
      <c r="D8847" s="75"/>
      <c r="E8847" s="771"/>
      <c r="F8847" s="31"/>
      <c r="G8847" s="31"/>
      <c r="H8847" s="31"/>
    </row>
    <row r="8848" spans="2:8" hidden="1">
      <c r="B8848" s="200"/>
      <c r="C8848" s="31"/>
      <c r="D8848" s="75"/>
      <c r="E8848" s="771"/>
      <c r="F8848" s="31"/>
      <c r="G8848" s="31"/>
      <c r="H8848" s="31"/>
    </row>
    <row r="8849" spans="2:8" hidden="1">
      <c r="B8849" s="200"/>
      <c r="C8849" s="31"/>
      <c r="D8849" s="75"/>
      <c r="E8849" s="771"/>
      <c r="F8849" s="31"/>
      <c r="G8849" s="31"/>
      <c r="H8849" s="31"/>
    </row>
    <row r="8850" spans="2:8" hidden="1">
      <c r="B8850" s="200"/>
      <c r="C8850" s="31"/>
      <c r="D8850" s="75"/>
      <c r="E8850" s="771"/>
      <c r="F8850" s="771"/>
      <c r="G8850" s="31"/>
      <c r="H8850" s="31"/>
    </row>
    <row r="8851" spans="2:8" hidden="1">
      <c r="B8851" s="200"/>
      <c r="C8851" s="31"/>
      <c r="D8851" s="75"/>
      <c r="E8851" s="771"/>
      <c r="F8851" s="31"/>
      <c r="G8851" s="31"/>
      <c r="H8851" s="31"/>
    </row>
    <row r="8852" spans="2:8" hidden="1">
      <c r="B8852" s="200"/>
      <c r="C8852" s="31"/>
      <c r="D8852" s="75"/>
      <c r="E8852" s="771"/>
      <c r="F8852" s="31"/>
      <c r="G8852" s="31"/>
      <c r="H8852" s="31"/>
    </row>
    <row r="8853" spans="2:8" hidden="1">
      <c r="B8853" s="200"/>
      <c r="C8853" s="31"/>
      <c r="D8853" s="75"/>
      <c r="E8853" s="771"/>
      <c r="F8853" s="31"/>
      <c r="G8853" s="31"/>
      <c r="H8853" s="31"/>
    </row>
    <row r="8854" spans="2:8" hidden="1">
      <c r="B8854" s="200"/>
      <c r="C8854" s="31"/>
      <c r="D8854" s="75"/>
      <c r="E8854" s="771"/>
      <c r="F8854" s="31"/>
      <c r="G8854" s="31"/>
      <c r="H8854" s="31"/>
    </row>
    <row r="8855" spans="2:8" hidden="1">
      <c r="B8855" s="200"/>
      <c r="C8855" s="31"/>
      <c r="D8855" s="75"/>
      <c r="E8855" s="771"/>
      <c r="F8855" s="31"/>
      <c r="G8855" s="31"/>
      <c r="H8855" s="31"/>
    </row>
    <row r="8856" spans="2:8" hidden="1">
      <c r="B8856" s="200"/>
      <c r="C8856" s="31"/>
      <c r="D8856" s="75"/>
      <c r="E8856" s="771"/>
      <c r="F8856" s="31"/>
      <c r="G8856" s="31"/>
      <c r="H8856" s="31"/>
    </row>
    <row r="8857" spans="2:8" hidden="1">
      <c r="B8857" s="200"/>
      <c r="C8857" s="31"/>
      <c r="D8857" s="75"/>
      <c r="E8857" s="771"/>
      <c r="F8857" s="31"/>
      <c r="G8857" s="31"/>
      <c r="H8857" s="31"/>
    </row>
    <row r="8858" spans="2:8" hidden="1">
      <c r="B8858" s="200"/>
      <c r="C8858" s="31"/>
      <c r="D8858" s="75"/>
      <c r="E8858" s="771"/>
      <c r="F8858" s="33"/>
      <c r="G8858" s="33"/>
      <c r="H8858" s="31"/>
    </row>
    <row r="8859" spans="2:8" hidden="1">
      <c r="B8859" s="200"/>
      <c r="C8859" s="31"/>
      <c r="D8859" s="75"/>
      <c r="E8859" s="771"/>
      <c r="F8859" s="33"/>
      <c r="G8859" s="33"/>
      <c r="H8859" s="31"/>
    </row>
    <row r="8860" spans="2:8" hidden="1">
      <c r="B8860" s="200"/>
      <c r="C8860" s="31"/>
      <c r="D8860" s="75"/>
      <c r="E8860" s="771"/>
      <c r="F8860" s="33"/>
      <c r="G8860" s="33"/>
      <c r="H8860" s="31"/>
    </row>
    <row r="8861" spans="2:8" hidden="1">
      <c r="B8861" s="200"/>
      <c r="C8861" s="31"/>
      <c r="D8861" s="75"/>
      <c r="E8861" s="771"/>
      <c r="F8861" s="31"/>
      <c r="G8861" s="31"/>
      <c r="H8861" s="31"/>
    </row>
    <row r="8862" spans="2:8" hidden="1">
      <c r="B8862" s="200"/>
      <c r="C8862" s="31"/>
      <c r="D8862" s="75"/>
      <c r="E8862" s="771"/>
      <c r="F8862" s="33"/>
      <c r="G8862" s="33"/>
      <c r="H8862" s="31"/>
    </row>
    <row r="8863" spans="2:8" hidden="1">
      <c r="B8863" s="200"/>
      <c r="C8863" s="31"/>
      <c r="D8863" s="31"/>
      <c r="E8863" s="772"/>
      <c r="F8863" s="33"/>
      <c r="G8863" s="33"/>
      <c r="H8863" s="31"/>
    </row>
    <row r="8864" spans="2:8" hidden="1">
      <c r="B8864" s="200"/>
      <c r="C8864" s="31"/>
      <c r="D8864" s="75"/>
      <c r="E8864" s="771"/>
      <c r="F8864" s="33"/>
      <c r="G8864" s="33"/>
      <c r="H8864" s="31"/>
    </row>
    <row r="8865" spans="2:8" hidden="1">
      <c r="B8865" s="200"/>
      <c r="C8865" s="31"/>
      <c r="D8865" s="75"/>
      <c r="E8865" s="771"/>
      <c r="F8865" s="31"/>
      <c r="G8865" s="31"/>
      <c r="H8865" s="31"/>
    </row>
    <row r="8866" spans="2:8" hidden="1">
      <c r="B8866" s="200"/>
      <c r="C8866" s="31"/>
      <c r="D8866" s="31"/>
      <c r="E8866" s="772"/>
      <c r="F8866" s="33"/>
      <c r="G8866" s="33"/>
      <c r="H8866" s="31"/>
    </row>
    <row r="8867" spans="2:8" hidden="1">
      <c r="B8867" s="200"/>
      <c r="C8867" s="31"/>
      <c r="D8867" s="31"/>
      <c r="E8867" s="772"/>
      <c r="F8867" s="33"/>
      <c r="G8867" s="33"/>
      <c r="H8867" s="31"/>
    </row>
    <row r="8868" spans="2:8" hidden="1">
      <c r="B8868" s="200"/>
      <c r="C8868" s="31"/>
      <c r="D8868" s="75"/>
      <c r="E8868" s="772"/>
      <c r="F8868" s="33"/>
      <c r="G8868" s="33"/>
      <c r="H8868" s="31"/>
    </row>
    <row r="8869" spans="2:8" hidden="1">
      <c r="B8869" s="200"/>
      <c r="C8869" s="31"/>
      <c r="D8869" s="75"/>
      <c r="E8869" s="772"/>
      <c r="F8869" s="31"/>
      <c r="G8869" s="31"/>
      <c r="H8869" s="31"/>
    </row>
    <row r="8870" spans="2:8" hidden="1">
      <c r="B8870" s="200"/>
      <c r="C8870" s="31"/>
      <c r="D8870" s="75"/>
      <c r="E8870" s="771"/>
      <c r="F8870" s="31"/>
      <c r="G8870" s="31"/>
      <c r="H8870" s="31"/>
    </row>
    <row r="8871" spans="2:8" hidden="1">
      <c r="B8871" s="200"/>
      <c r="C8871" s="31"/>
      <c r="D8871" s="75"/>
      <c r="E8871" s="31"/>
      <c r="F8871" s="31"/>
      <c r="G8871" s="31"/>
      <c r="H8871" s="31"/>
    </row>
    <row r="8872" spans="2:8" hidden="1">
      <c r="B8872" s="200"/>
      <c r="C8872" s="31"/>
      <c r="D8872" s="75"/>
      <c r="E8872" s="33"/>
      <c r="F8872" s="33"/>
      <c r="G8872" s="33"/>
      <c r="H8872" s="31"/>
    </row>
    <row r="8873" spans="2:8" hidden="1">
      <c r="B8873" s="200"/>
      <c r="C8873" s="31"/>
      <c r="D8873" s="75"/>
      <c r="E8873" s="33"/>
      <c r="F8873" s="33"/>
      <c r="G8873" s="33"/>
      <c r="H8873" s="31"/>
    </row>
    <row r="8874" spans="2:8" hidden="1">
      <c r="B8874" s="200"/>
      <c r="C8874" s="31"/>
      <c r="D8874" s="75"/>
      <c r="E8874" s="33"/>
      <c r="F8874" s="33"/>
      <c r="G8874" s="33"/>
      <c r="H8874" s="31"/>
    </row>
    <row r="8875" spans="2:8" hidden="1">
      <c r="B8875" s="200"/>
      <c r="C8875" s="31"/>
      <c r="D8875" s="75"/>
      <c r="E8875" s="33"/>
      <c r="F8875" s="33"/>
      <c r="G8875" s="33"/>
      <c r="H8875" s="31"/>
    </row>
    <row r="8876" spans="2:8" hidden="1">
      <c r="B8876" s="200"/>
      <c r="C8876" s="31"/>
      <c r="D8876" s="31"/>
      <c r="E8876" s="33"/>
      <c r="F8876" s="33"/>
      <c r="G8876" s="33"/>
      <c r="H8876" s="31"/>
    </row>
    <row r="8877" spans="2:8" hidden="1">
      <c r="B8877" s="200"/>
      <c r="C8877" s="31"/>
      <c r="D8877" s="75"/>
      <c r="E8877" s="33"/>
      <c r="F8877" s="33"/>
      <c r="G8877" s="33"/>
      <c r="H8877" s="31"/>
    </row>
    <row r="8878" spans="2:8" hidden="1">
      <c r="B8878" s="200"/>
      <c r="C8878" s="31"/>
      <c r="D8878" s="75"/>
      <c r="E8878" s="33"/>
      <c r="F8878" s="33"/>
      <c r="G8878" s="33"/>
      <c r="H8878" s="31"/>
    </row>
    <row r="8879" spans="2:8" hidden="1">
      <c r="B8879" s="200"/>
      <c r="C8879" s="31"/>
      <c r="D8879" s="75"/>
      <c r="E8879" s="33"/>
      <c r="F8879" s="33"/>
      <c r="G8879" s="33"/>
      <c r="H8879" s="31"/>
    </row>
    <row r="8880" spans="2:8" hidden="1">
      <c r="B8880" s="200"/>
      <c r="C8880" s="31"/>
      <c r="D8880" s="75"/>
      <c r="E8880" s="33"/>
      <c r="F8880" s="33"/>
      <c r="G8880" s="33"/>
      <c r="H8880" s="31"/>
    </row>
    <row r="8881" spans="2:8" hidden="1">
      <c r="B8881" s="200"/>
      <c r="C8881" s="31"/>
      <c r="D8881" s="75"/>
      <c r="E8881" s="33"/>
      <c r="F8881" s="33"/>
      <c r="G8881" s="33"/>
      <c r="H8881" s="31"/>
    </row>
    <row r="8882" spans="2:8" hidden="1">
      <c r="B8882" s="33"/>
      <c r="C8882" s="200"/>
      <c r="D8882" s="75"/>
      <c r="E8882" s="31"/>
      <c r="F8882" s="31"/>
      <c r="G8882" s="31"/>
      <c r="H8882" s="31"/>
    </row>
    <row r="8883" spans="2:8" hidden="1">
      <c r="B8883" s="33"/>
      <c r="C8883" s="31"/>
      <c r="D8883" s="104"/>
      <c r="E8883" s="33"/>
      <c r="F8883" s="33"/>
      <c r="G8883" s="33"/>
      <c r="H8883" s="31"/>
    </row>
    <row r="8884" spans="2:8" hidden="1">
      <c r="B8884" s="33"/>
      <c r="C8884" s="31"/>
      <c r="D8884" s="31"/>
      <c r="E8884" s="31"/>
      <c r="F8884" s="31"/>
      <c r="G8884" s="31"/>
      <c r="H8884" s="31"/>
    </row>
    <row r="8885" spans="2:8" hidden="1">
      <c r="B8885" s="405"/>
      <c r="C8885" s="31"/>
      <c r="D8885" s="31"/>
      <c r="E8885" s="31"/>
      <c r="F8885" s="31"/>
      <c r="G8885" s="31"/>
      <c r="H8885" s="31"/>
    </row>
    <row r="8886" spans="2:8" hidden="1">
      <c r="B8886" s="405"/>
      <c r="C8886" s="31"/>
      <c r="D8886" s="31"/>
      <c r="E8886" s="31"/>
      <c r="F8886" s="691"/>
      <c r="G8886" s="75"/>
      <c r="H8886" s="31"/>
    </row>
    <row r="8887" spans="2:8" hidden="1">
      <c r="B8887" s="405"/>
      <c r="C8887" s="31"/>
      <c r="D8887" s="31"/>
      <c r="E8887" s="31"/>
      <c r="F8887" s="691"/>
      <c r="G8887" s="75"/>
      <c r="H8887" s="31"/>
    </row>
    <row r="8888" spans="2:8" hidden="1">
      <c r="B8888" s="405"/>
      <c r="C8888" s="31"/>
      <c r="D8888" s="31"/>
      <c r="E8888" s="31"/>
      <c r="F8888" s="691"/>
      <c r="G8888" s="75"/>
      <c r="H8888" s="31"/>
    </row>
    <row r="8889" spans="2:8" hidden="1">
      <c r="B8889" s="405"/>
      <c r="C8889" s="31"/>
      <c r="D8889" s="31"/>
      <c r="E8889" s="31"/>
      <c r="F8889" s="691"/>
      <c r="G8889" s="75"/>
      <c r="H8889" s="31"/>
    </row>
    <row r="8890" spans="2:8" hidden="1">
      <c r="B8890" s="405"/>
      <c r="C8890" s="31"/>
      <c r="D8890" s="31"/>
      <c r="E8890" s="31"/>
      <c r="F8890" s="691"/>
      <c r="G8890" s="75"/>
      <c r="H8890" s="31"/>
    </row>
    <row r="8891" spans="2:8" hidden="1">
      <c r="B8891" s="405"/>
      <c r="C8891" s="31"/>
      <c r="D8891" s="31"/>
      <c r="E8891" s="31"/>
      <c r="F8891" s="691"/>
      <c r="G8891" s="75"/>
      <c r="H8891" s="31"/>
    </row>
    <row r="8892" spans="2:8" hidden="1">
      <c r="B8892" s="405"/>
      <c r="C8892" s="31"/>
      <c r="D8892" s="31"/>
      <c r="E8892" s="31"/>
      <c r="F8892" s="691"/>
      <c r="G8892" s="75"/>
      <c r="H8892" s="31"/>
    </row>
    <row r="8893" spans="2:8" hidden="1">
      <c r="B8893" s="405"/>
      <c r="C8893" s="31"/>
      <c r="D8893" s="31"/>
      <c r="E8893" s="31"/>
      <c r="F8893" s="691"/>
      <c r="G8893" s="75"/>
      <c r="H8893" s="31"/>
    </row>
    <row r="8894" spans="2:8" hidden="1">
      <c r="B8894" s="405"/>
      <c r="C8894" s="31"/>
      <c r="D8894" s="31"/>
      <c r="E8894" s="31"/>
      <c r="F8894" s="691"/>
      <c r="G8894" s="75"/>
      <c r="H8894" s="31"/>
    </row>
    <row r="8895" spans="2:8" hidden="1">
      <c r="B8895" s="405"/>
      <c r="C8895" s="31"/>
      <c r="D8895" s="31"/>
      <c r="E8895" s="31"/>
      <c r="F8895" s="691"/>
      <c r="G8895" s="75"/>
      <c r="H8895" s="31"/>
    </row>
    <row r="8896" spans="2:8" hidden="1">
      <c r="B8896" s="405"/>
      <c r="C8896" s="31"/>
      <c r="D8896" s="31"/>
      <c r="E8896" s="31"/>
      <c r="F8896" s="691"/>
      <c r="G8896" s="75"/>
      <c r="H8896" s="31"/>
    </row>
    <row r="8897" spans="2:8" hidden="1">
      <c r="B8897" s="405"/>
      <c r="C8897" s="31"/>
      <c r="D8897" s="31"/>
      <c r="E8897" s="31"/>
      <c r="F8897" s="691"/>
      <c r="G8897" s="75"/>
      <c r="H8897" s="31"/>
    </row>
    <row r="8898" spans="2:8" hidden="1">
      <c r="B8898" s="405"/>
      <c r="C8898" s="31"/>
      <c r="D8898" s="31"/>
      <c r="E8898" s="31"/>
      <c r="F8898" s="691"/>
      <c r="G8898" s="75"/>
      <c r="H8898" s="31"/>
    </row>
    <row r="8899" spans="2:8" hidden="1">
      <c r="B8899" s="405"/>
      <c r="C8899" s="31"/>
      <c r="D8899" s="31"/>
      <c r="E8899" s="31"/>
      <c r="F8899" s="691"/>
      <c r="G8899" s="75"/>
      <c r="H8899" s="31"/>
    </row>
    <row r="8900" spans="2:8" hidden="1">
      <c r="B8900" s="405"/>
      <c r="C8900" s="31"/>
      <c r="D8900" s="31"/>
      <c r="E8900" s="31"/>
      <c r="F8900" s="691"/>
      <c r="G8900" s="75"/>
      <c r="H8900" s="31"/>
    </row>
    <row r="8901" spans="2:8" hidden="1">
      <c r="B8901" s="405"/>
      <c r="C8901" s="31"/>
      <c r="D8901" s="31"/>
      <c r="E8901" s="31"/>
      <c r="F8901" s="691"/>
      <c r="G8901" s="75"/>
      <c r="H8901" s="31"/>
    </row>
    <row r="8902" spans="2:8" hidden="1">
      <c r="B8902" s="33"/>
      <c r="C8902" s="31"/>
      <c r="D8902" s="31"/>
      <c r="E8902" s="31"/>
      <c r="F8902" s="691"/>
      <c r="G8902" s="75"/>
      <c r="H8902" s="31"/>
    </row>
    <row r="8903" spans="2:8" hidden="1">
      <c r="B8903" s="33"/>
      <c r="C8903" s="31"/>
      <c r="D8903" s="31"/>
      <c r="E8903" s="31"/>
      <c r="F8903" s="691"/>
      <c r="G8903" s="75"/>
      <c r="H8903" s="31"/>
    </row>
    <row r="8904" spans="2:8" hidden="1">
      <c r="B8904" s="33"/>
      <c r="C8904" s="31"/>
      <c r="D8904" s="31"/>
      <c r="E8904" s="31"/>
      <c r="F8904" s="691"/>
      <c r="G8904" s="31"/>
      <c r="H8904" s="31"/>
    </row>
    <row r="8905" spans="2:8" hidden="1">
      <c r="B8905" s="33"/>
      <c r="C8905" s="31"/>
      <c r="D8905" s="31"/>
      <c r="E8905" s="31"/>
      <c r="F8905" s="31"/>
      <c r="G8905" s="31"/>
      <c r="H8905" s="31"/>
    </row>
    <row r="8906" spans="2:8" hidden="1">
      <c r="B8906" s="33"/>
      <c r="C8906" s="31"/>
      <c r="D8906" s="31"/>
      <c r="E8906" s="31"/>
      <c r="F8906" s="31"/>
      <c r="G8906" s="31"/>
      <c r="H8906" s="31"/>
    </row>
    <row r="8907" spans="2:8" hidden="1">
      <c r="B8907" s="33"/>
      <c r="C8907" s="31"/>
      <c r="D8907" s="31"/>
      <c r="E8907" s="31"/>
      <c r="F8907" s="31"/>
      <c r="G8907" s="31"/>
      <c r="H8907" s="31"/>
    </row>
    <row r="8908" spans="2:8" hidden="1">
      <c r="B8908" s="33"/>
      <c r="C8908" s="31"/>
      <c r="D8908" s="31"/>
      <c r="E8908" s="31"/>
      <c r="F8908" s="31"/>
      <c r="G8908" s="31"/>
      <c r="H8908" s="31"/>
    </row>
    <row r="8909" spans="2:8" hidden="1">
      <c r="B8909" s="33"/>
      <c r="C8909" s="31"/>
      <c r="D8909" s="31"/>
      <c r="E8909" s="31"/>
      <c r="F8909" s="31"/>
      <c r="G8909" s="31"/>
      <c r="H8909" s="31"/>
    </row>
    <row r="8910" spans="2:8" hidden="1">
      <c r="B8910" s="33"/>
      <c r="C8910" s="31"/>
      <c r="D8910" s="31"/>
      <c r="E8910" s="31"/>
      <c r="F8910" s="31"/>
      <c r="G8910" s="31"/>
      <c r="H8910" s="31"/>
    </row>
    <row r="8911" spans="2:8" hidden="1">
      <c r="B8911" s="33"/>
      <c r="C8911" s="31"/>
      <c r="D8911" s="31"/>
      <c r="E8911" s="31"/>
      <c r="F8911" s="31"/>
      <c r="G8911" s="31"/>
      <c r="H8911" s="31"/>
    </row>
    <row r="8912" spans="2:8" hidden="1">
      <c r="B8912" s="33"/>
      <c r="C8912" s="31"/>
      <c r="D8912" s="31"/>
      <c r="E8912" s="31"/>
      <c r="F8912" s="31"/>
      <c r="G8912" s="31"/>
      <c r="H8912" s="31"/>
    </row>
    <row r="8913" spans="2:8" hidden="1">
      <c r="B8913" s="33"/>
      <c r="C8913" s="31"/>
      <c r="D8913" s="33"/>
      <c r="E8913" s="31"/>
      <c r="F8913" s="33"/>
      <c r="G8913" s="33"/>
      <c r="H8913" s="31"/>
    </row>
    <row r="8914" spans="2:8" hidden="1">
      <c r="B8914" s="33"/>
      <c r="C8914" s="31"/>
      <c r="D8914" s="33"/>
      <c r="E8914" s="33"/>
      <c r="F8914" s="33"/>
      <c r="G8914" s="33"/>
      <c r="H8914" s="31"/>
    </row>
    <row r="8915" spans="2:8" hidden="1">
      <c r="B8915" s="33"/>
      <c r="C8915" s="31"/>
      <c r="D8915" s="31"/>
      <c r="E8915" s="31"/>
      <c r="F8915" s="31"/>
      <c r="G8915" s="31"/>
      <c r="H8915" s="31"/>
    </row>
    <row r="8916" spans="2:8" hidden="1">
      <c r="B8916" s="200"/>
      <c r="C8916" s="31"/>
      <c r="D8916" s="75"/>
      <c r="E8916" s="771"/>
      <c r="F8916" s="33"/>
      <c r="G8916" s="33"/>
      <c r="H8916" s="31"/>
    </row>
    <row r="8917" spans="2:8" hidden="1">
      <c r="B8917" s="200"/>
      <c r="C8917" s="31"/>
      <c r="D8917" s="75"/>
      <c r="E8917" s="771"/>
      <c r="F8917" s="33"/>
      <c r="G8917" s="33"/>
      <c r="H8917" s="31"/>
    </row>
    <row r="8918" spans="2:8" hidden="1">
      <c r="B8918" s="200"/>
      <c r="C8918" s="31"/>
      <c r="D8918" s="75"/>
      <c r="E8918" s="771"/>
      <c r="F8918" s="33"/>
      <c r="G8918" s="33"/>
      <c r="H8918" s="31"/>
    </row>
    <row r="8919" spans="2:8" hidden="1">
      <c r="B8919" s="200"/>
      <c r="C8919" s="31"/>
      <c r="D8919" s="75"/>
      <c r="E8919" s="771"/>
      <c r="F8919" s="31"/>
      <c r="G8919" s="31"/>
      <c r="H8919" s="31"/>
    </row>
    <row r="8920" spans="2:8" hidden="1">
      <c r="B8920" s="200"/>
      <c r="C8920" s="31"/>
      <c r="D8920" s="75"/>
      <c r="E8920" s="771"/>
      <c r="F8920" s="31"/>
      <c r="G8920" s="31"/>
      <c r="H8920" s="31"/>
    </row>
    <row r="8921" spans="2:8" hidden="1">
      <c r="B8921" s="200"/>
      <c r="C8921" s="31"/>
      <c r="D8921" s="75"/>
      <c r="E8921" s="771"/>
      <c r="F8921" s="33"/>
      <c r="G8921" s="33"/>
      <c r="H8921" s="31"/>
    </row>
    <row r="8922" spans="2:8" hidden="1">
      <c r="B8922" s="200"/>
      <c r="C8922" s="31"/>
      <c r="D8922" s="75"/>
      <c r="E8922" s="771"/>
      <c r="F8922" s="31"/>
      <c r="G8922" s="31"/>
      <c r="H8922" s="31"/>
    </row>
    <row r="8923" spans="2:8" hidden="1">
      <c r="B8923" s="200"/>
      <c r="C8923" s="31"/>
      <c r="D8923" s="75"/>
      <c r="E8923" s="771"/>
      <c r="F8923" s="771"/>
      <c r="G8923" s="31"/>
      <c r="H8923" s="31"/>
    </row>
    <row r="8924" spans="2:8" hidden="1">
      <c r="B8924" s="200"/>
      <c r="C8924" s="31"/>
      <c r="D8924" s="75"/>
      <c r="E8924" s="771"/>
      <c r="F8924" s="772"/>
      <c r="G8924" s="33"/>
      <c r="H8924" s="31"/>
    </row>
    <row r="8925" spans="2:8" hidden="1">
      <c r="B8925" s="200"/>
      <c r="C8925" s="31"/>
      <c r="D8925" s="75"/>
      <c r="E8925" s="771"/>
      <c r="F8925" s="771"/>
      <c r="G8925" s="31"/>
      <c r="H8925" s="31"/>
    </row>
    <row r="8926" spans="2:8" hidden="1">
      <c r="B8926" s="200"/>
      <c r="C8926" s="31"/>
      <c r="D8926" s="75"/>
      <c r="E8926" s="772"/>
      <c r="F8926" s="33"/>
      <c r="G8926" s="33"/>
      <c r="H8926" s="31"/>
    </row>
    <row r="8927" spans="2:8" hidden="1">
      <c r="B8927" s="200"/>
      <c r="C8927" s="31"/>
      <c r="D8927" s="75"/>
      <c r="E8927" s="771"/>
      <c r="F8927" s="33"/>
      <c r="G8927" s="33"/>
      <c r="H8927" s="31"/>
    </row>
    <row r="8928" spans="2:8" hidden="1">
      <c r="B8928" s="200"/>
      <c r="C8928" s="31"/>
      <c r="D8928" s="75"/>
      <c r="E8928" s="772"/>
      <c r="F8928" s="33"/>
      <c r="G8928" s="33"/>
      <c r="H8928" s="31"/>
    </row>
    <row r="8929" spans="2:8" hidden="1">
      <c r="B8929" s="33"/>
      <c r="C8929" s="31"/>
      <c r="D8929" s="31"/>
      <c r="E8929" s="31"/>
      <c r="F8929" s="31"/>
      <c r="G8929" s="31"/>
      <c r="H8929" s="31"/>
    </row>
    <row r="8930" spans="2:8" hidden="1">
      <c r="B8930" s="200"/>
      <c r="C8930" s="31"/>
      <c r="D8930" s="75"/>
      <c r="E8930" s="772"/>
      <c r="F8930" s="772"/>
      <c r="G8930" s="772"/>
      <c r="H8930" s="31"/>
    </row>
    <row r="8931" spans="2:8" hidden="1">
      <c r="B8931" s="200"/>
      <c r="C8931" s="31"/>
      <c r="D8931" s="75"/>
      <c r="E8931" s="772"/>
      <c r="F8931" s="772"/>
      <c r="G8931" s="772"/>
      <c r="H8931" s="31"/>
    </row>
    <row r="8932" spans="2:8" hidden="1">
      <c r="B8932" s="200"/>
      <c r="C8932" s="31"/>
      <c r="D8932" s="75"/>
      <c r="E8932" s="772"/>
      <c r="F8932" s="772"/>
      <c r="G8932" s="772"/>
      <c r="H8932" s="31"/>
    </row>
    <row r="8933" spans="2:8" hidden="1">
      <c r="B8933" s="200"/>
      <c r="C8933" s="31"/>
      <c r="D8933" s="75"/>
      <c r="E8933" s="772"/>
      <c r="F8933" s="772"/>
      <c r="G8933" s="772"/>
      <c r="H8933" s="31"/>
    </row>
    <row r="8934" spans="2:8" hidden="1">
      <c r="B8934" s="200"/>
      <c r="C8934" s="31"/>
      <c r="D8934" s="75"/>
      <c r="E8934" s="772"/>
      <c r="F8934" s="772"/>
      <c r="G8934" s="772"/>
      <c r="H8934" s="31"/>
    </row>
    <row r="8935" spans="2:8" hidden="1">
      <c r="B8935" s="200"/>
      <c r="C8935" s="31"/>
      <c r="D8935" s="75"/>
      <c r="E8935" s="771"/>
      <c r="F8935" s="772"/>
      <c r="G8935" s="772"/>
      <c r="H8935" s="31"/>
    </row>
    <row r="8936" spans="2:8" hidden="1">
      <c r="B8936" s="200"/>
      <c r="C8936" s="31"/>
      <c r="D8936" s="75"/>
      <c r="E8936" s="771"/>
      <c r="F8936" s="31"/>
      <c r="G8936" s="31"/>
      <c r="H8936" s="31"/>
    </row>
    <row r="8937" spans="2:8" hidden="1">
      <c r="B8937" s="33"/>
      <c r="C8937" s="200"/>
      <c r="D8937" s="75"/>
      <c r="E8937" s="771"/>
      <c r="F8937" s="771"/>
      <c r="G8937" s="31"/>
      <c r="H8937" s="31"/>
    </row>
    <row r="8938" spans="2:8" hidden="1">
      <c r="B8938" s="33"/>
      <c r="C8938" s="31"/>
      <c r="D8938" s="104"/>
      <c r="E8938" s="772"/>
      <c r="F8938" s="33"/>
      <c r="G8938" s="33"/>
      <c r="H8938" s="31"/>
    </row>
    <row r="8939" spans="2:8" hidden="1">
      <c r="B8939" s="33"/>
      <c r="C8939" s="31"/>
      <c r="D8939" s="31"/>
      <c r="E8939" s="31"/>
      <c r="F8939" s="31"/>
      <c r="G8939" s="31"/>
      <c r="H8939" s="31"/>
    </row>
    <row r="8940" spans="2:8" hidden="1">
      <c r="B8940" s="405"/>
      <c r="C8940" s="31"/>
      <c r="D8940" s="31"/>
      <c r="E8940" s="31"/>
      <c r="F8940" s="31"/>
      <c r="G8940" s="31"/>
      <c r="H8940" s="31"/>
    </row>
    <row r="8941" spans="2:8" hidden="1">
      <c r="B8941" s="405"/>
      <c r="C8941" s="31"/>
      <c r="D8941" s="31"/>
      <c r="E8941" s="31"/>
      <c r="F8941" s="691"/>
      <c r="G8941" s="75"/>
      <c r="H8941" s="31"/>
    </row>
    <row r="8942" spans="2:8" hidden="1">
      <c r="B8942" s="405"/>
      <c r="C8942" s="31"/>
      <c r="D8942" s="31"/>
      <c r="E8942" s="31"/>
      <c r="F8942" s="691"/>
      <c r="G8942" s="75"/>
      <c r="H8942" s="31"/>
    </row>
    <row r="8943" spans="2:8" hidden="1">
      <c r="B8943" s="405"/>
      <c r="C8943" s="31"/>
      <c r="D8943" s="31"/>
      <c r="E8943" s="31"/>
      <c r="F8943" s="691"/>
      <c r="G8943" s="75"/>
      <c r="H8943" s="31"/>
    </row>
    <row r="8944" spans="2:8" hidden="1">
      <c r="B8944" s="405"/>
      <c r="C8944" s="31"/>
      <c r="D8944" s="31"/>
      <c r="E8944" s="31"/>
      <c r="F8944" s="691"/>
      <c r="G8944" s="75"/>
      <c r="H8944" s="31"/>
    </row>
    <row r="8945" spans="2:8" hidden="1">
      <c r="B8945" s="405"/>
      <c r="C8945" s="31"/>
      <c r="D8945" s="31"/>
      <c r="E8945" s="31"/>
      <c r="F8945" s="691"/>
      <c r="G8945" s="75"/>
      <c r="H8945" s="31"/>
    </row>
    <row r="8946" spans="2:8" hidden="1">
      <c r="B8946" s="405"/>
      <c r="C8946" s="31"/>
      <c r="D8946" s="31"/>
      <c r="E8946" s="31"/>
      <c r="F8946" s="691"/>
      <c r="G8946" s="75"/>
      <c r="H8946" s="31"/>
    </row>
    <row r="8947" spans="2:8" hidden="1">
      <c r="B8947" s="405"/>
      <c r="C8947" s="31"/>
      <c r="D8947" s="31"/>
      <c r="E8947" s="31"/>
      <c r="F8947" s="691"/>
      <c r="G8947" s="75"/>
      <c r="H8947" s="31"/>
    </row>
    <row r="8948" spans="2:8" hidden="1">
      <c r="B8948" s="405"/>
      <c r="C8948" s="31"/>
      <c r="D8948" s="31"/>
      <c r="E8948" s="31"/>
      <c r="F8948" s="691"/>
      <c r="G8948" s="75"/>
      <c r="H8948" s="31"/>
    </row>
    <row r="8949" spans="2:8" hidden="1">
      <c r="B8949" s="405"/>
      <c r="C8949" s="31"/>
      <c r="D8949" s="31"/>
      <c r="E8949" s="31"/>
      <c r="F8949" s="691"/>
      <c r="G8949" s="75"/>
      <c r="H8949" s="31"/>
    </row>
    <row r="8950" spans="2:8" hidden="1">
      <c r="B8950" s="405"/>
      <c r="C8950" s="31"/>
      <c r="D8950" s="31"/>
      <c r="E8950" s="31"/>
      <c r="F8950" s="691"/>
      <c r="G8950" s="75"/>
      <c r="H8950" s="31"/>
    </row>
    <row r="8951" spans="2:8" hidden="1">
      <c r="B8951" s="405"/>
      <c r="C8951" s="31"/>
      <c r="D8951" s="31"/>
      <c r="E8951" s="31"/>
      <c r="F8951" s="691"/>
      <c r="G8951" s="75"/>
      <c r="H8951" s="31"/>
    </row>
    <row r="8952" spans="2:8" hidden="1">
      <c r="B8952" s="405"/>
      <c r="C8952" s="31"/>
      <c r="D8952" s="31"/>
      <c r="E8952" s="31"/>
      <c r="F8952" s="691"/>
      <c r="G8952" s="75"/>
      <c r="H8952" s="31"/>
    </row>
    <row r="8953" spans="2:8" hidden="1">
      <c r="B8953" s="405"/>
      <c r="C8953" s="31"/>
      <c r="D8953" s="31"/>
      <c r="E8953" s="31"/>
      <c r="F8953" s="691"/>
      <c r="G8953" s="75"/>
      <c r="H8953" s="31"/>
    </row>
    <row r="8954" spans="2:8" hidden="1">
      <c r="B8954" s="405"/>
      <c r="C8954" s="31"/>
      <c r="D8954" s="31"/>
      <c r="E8954" s="31"/>
      <c r="F8954" s="691"/>
      <c r="G8954" s="75"/>
      <c r="H8954" s="31"/>
    </row>
    <row r="8955" spans="2:8" hidden="1">
      <c r="B8955" s="405"/>
      <c r="C8955" s="31"/>
      <c r="D8955" s="31"/>
      <c r="E8955" s="31"/>
      <c r="F8955" s="691"/>
      <c r="G8955" s="75"/>
      <c r="H8955" s="31"/>
    </row>
    <row r="8956" spans="2:8" hidden="1">
      <c r="B8956" s="405"/>
      <c r="C8956" s="31"/>
      <c r="D8956" s="31"/>
      <c r="E8956" s="31"/>
      <c r="F8956" s="691"/>
      <c r="G8956" s="75"/>
      <c r="H8956" s="31"/>
    </row>
    <row r="8957" spans="2:8" hidden="1">
      <c r="B8957" s="33"/>
      <c r="C8957" s="31"/>
      <c r="D8957" s="31"/>
      <c r="E8957" s="31"/>
      <c r="F8957" s="691"/>
      <c r="G8957" s="31"/>
      <c r="H8957" s="31"/>
    </row>
    <row r="8958" spans="2:8" hidden="1">
      <c r="B8958" s="33"/>
      <c r="C8958" s="31"/>
      <c r="D8958" s="31"/>
      <c r="E8958" s="31"/>
      <c r="F8958" s="31"/>
      <c r="G8958" s="31"/>
      <c r="H8958" s="31"/>
    </row>
    <row r="8959" spans="2:8" hidden="1">
      <c r="B8959" s="33"/>
      <c r="C8959" s="31"/>
      <c r="D8959" s="31"/>
      <c r="E8959" s="31"/>
      <c r="F8959" s="31"/>
      <c r="G8959" s="31"/>
      <c r="H8959" s="31"/>
    </row>
    <row r="8960" spans="2:8" hidden="1">
      <c r="B8960" s="33"/>
      <c r="C8960" s="31"/>
      <c r="D8960" s="31"/>
      <c r="E8960" s="31"/>
      <c r="F8960" s="31"/>
      <c r="G8960" s="31"/>
      <c r="H8960" s="31"/>
    </row>
    <row r="8961" spans="2:8" hidden="1">
      <c r="B8961" s="33"/>
      <c r="C8961" s="31"/>
      <c r="D8961" s="31"/>
      <c r="E8961" s="31"/>
      <c r="F8961" s="31"/>
      <c r="G8961" s="31"/>
      <c r="H8961" s="31"/>
    </row>
    <row r="8962" spans="2:8" hidden="1">
      <c r="B8962" s="33"/>
      <c r="C8962" s="31"/>
      <c r="D8962" s="31"/>
      <c r="E8962" s="31"/>
      <c r="F8962" s="31"/>
      <c r="G8962" s="31"/>
      <c r="H8962" s="31"/>
    </row>
    <row r="8963" spans="2:8" hidden="1">
      <c r="B8963" s="33"/>
      <c r="C8963" s="31"/>
      <c r="D8963" s="31"/>
      <c r="E8963" s="31"/>
      <c r="F8963" s="31"/>
      <c r="G8963" s="31"/>
      <c r="H8963" s="31"/>
    </row>
    <row r="8964" spans="2:8" hidden="1">
      <c r="B8964" s="33"/>
      <c r="C8964" s="31"/>
      <c r="D8964" s="31"/>
      <c r="E8964" s="31"/>
      <c r="F8964" s="31"/>
      <c r="G8964" s="31"/>
      <c r="H8964" s="31"/>
    </row>
    <row r="8965" spans="2:8" hidden="1">
      <c r="B8965" s="33"/>
      <c r="C8965" s="31"/>
      <c r="D8965" s="31"/>
      <c r="E8965" s="31"/>
      <c r="F8965" s="31"/>
      <c r="G8965" s="31"/>
      <c r="H8965" s="31"/>
    </row>
    <row r="8966" spans="2:8" hidden="1">
      <c r="B8966" s="33"/>
      <c r="C8966" s="31"/>
      <c r="D8966" s="33"/>
      <c r="E8966" s="31"/>
      <c r="F8966" s="33"/>
      <c r="G8966" s="33"/>
      <c r="H8966" s="31"/>
    </row>
    <row r="8967" spans="2:8" hidden="1">
      <c r="B8967" s="33"/>
      <c r="C8967" s="31"/>
      <c r="D8967" s="33"/>
      <c r="E8967" s="33"/>
      <c r="F8967" s="33"/>
      <c r="G8967" s="33"/>
      <c r="H8967" s="31"/>
    </row>
    <row r="8968" spans="2:8" hidden="1">
      <c r="B8968" s="33"/>
      <c r="C8968" s="31"/>
      <c r="D8968" s="31"/>
      <c r="E8968" s="31"/>
      <c r="F8968" s="31"/>
      <c r="G8968" s="31"/>
      <c r="H8968" s="31"/>
    </row>
    <row r="8969" spans="2:8" hidden="1">
      <c r="B8969" s="200"/>
      <c r="C8969" s="31"/>
      <c r="D8969" s="75"/>
      <c r="E8969" s="771"/>
      <c r="F8969" s="200"/>
      <c r="G8969" s="31"/>
      <c r="H8969" s="31"/>
    </row>
    <row r="8970" spans="2:8" hidden="1">
      <c r="B8970" s="200"/>
      <c r="C8970" s="31"/>
      <c r="D8970" s="75"/>
      <c r="E8970" s="771"/>
      <c r="F8970" s="33"/>
      <c r="G8970" s="31"/>
      <c r="H8970" s="31"/>
    </row>
    <row r="8971" spans="2:8" hidden="1">
      <c r="B8971" s="200"/>
      <c r="C8971" s="31"/>
      <c r="D8971" s="75"/>
      <c r="E8971" s="771"/>
      <c r="F8971" s="31"/>
      <c r="G8971" s="31"/>
      <c r="H8971" s="31"/>
    </row>
    <row r="8972" spans="2:8" hidden="1">
      <c r="B8972" s="200"/>
      <c r="C8972" s="31"/>
      <c r="D8972" s="75"/>
      <c r="E8972" s="771"/>
      <c r="F8972" s="31"/>
      <c r="G8972" s="31"/>
      <c r="H8972" s="31"/>
    </row>
    <row r="8973" spans="2:8" hidden="1">
      <c r="B8973" s="33"/>
      <c r="C8973" s="31"/>
      <c r="D8973" s="31"/>
      <c r="E8973" s="31"/>
      <c r="F8973" s="31"/>
      <c r="G8973" s="31"/>
      <c r="H8973" s="31"/>
    </row>
    <row r="8974" spans="2:8" hidden="1">
      <c r="B8974" s="200"/>
      <c r="C8974" s="31"/>
      <c r="D8974" s="75"/>
      <c r="E8974" s="771"/>
      <c r="F8974" s="200"/>
      <c r="G8974" s="31"/>
      <c r="H8974" s="31"/>
    </row>
    <row r="8975" spans="2:8" hidden="1">
      <c r="B8975" s="200"/>
      <c r="C8975" s="31"/>
      <c r="D8975" s="75"/>
      <c r="E8975" s="771"/>
      <c r="F8975" s="31"/>
      <c r="G8975" s="31"/>
      <c r="H8975" s="31"/>
    </row>
    <row r="8976" spans="2:8" hidden="1">
      <c r="B8976" s="200"/>
      <c r="C8976" s="31"/>
      <c r="D8976" s="75"/>
      <c r="E8976" s="771"/>
      <c r="F8976" s="31"/>
      <c r="G8976" s="31"/>
      <c r="H8976" s="31"/>
    </row>
    <row r="8977" spans="2:8" hidden="1">
      <c r="B8977" s="200"/>
      <c r="C8977" s="31"/>
      <c r="D8977" s="75"/>
      <c r="E8977" s="771"/>
      <c r="F8977" s="31"/>
      <c r="G8977" s="31"/>
      <c r="H8977" s="31"/>
    </row>
    <row r="8978" spans="2:8" hidden="1">
      <c r="B8978" s="200"/>
      <c r="C8978" s="31"/>
      <c r="D8978" s="75"/>
      <c r="E8978" s="771"/>
      <c r="F8978" s="31"/>
      <c r="G8978" s="31"/>
      <c r="H8978" s="31"/>
    </row>
    <row r="8979" spans="2:8" hidden="1">
      <c r="B8979" s="200"/>
      <c r="C8979" s="31"/>
      <c r="D8979" s="75"/>
      <c r="E8979" s="771"/>
      <c r="F8979" s="31"/>
      <c r="G8979" s="31"/>
      <c r="H8979" s="31"/>
    </row>
    <row r="8980" spans="2:8" hidden="1">
      <c r="B8980" s="33"/>
      <c r="C8980" s="31"/>
      <c r="D8980" s="31"/>
      <c r="E8980" s="31"/>
      <c r="F8980" s="31"/>
      <c r="G8980" s="31"/>
      <c r="H8980" s="31"/>
    </row>
    <row r="8981" spans="2:8" hidden="1">
      <c r="B8981" s="200"/>
      <c r="C8981" s="31"/>
      <c r="D8981" s="75"/>
      <c r="E8981" s="771"/>
      <c r="F8981" s="200"/>
      <c r="G8981" s="31"/>
      <c r="H8981" s="31"/>
    </row>
    <row r="8982" spans="2:8" hidden="1">
      <c r="B8982" s="200"/>
      <c r="C8982" s="31"/>
      <c r="D8982" s="75"/>
      <c r="E8982" s="771"/>
      <c r="F8982" s="31"/>
      <c r="G8982" s="31"/>
      <c r="H8982" s="31"/>
    </row>
    <row r="8983" spans="2:8" hidden="1">
      <c r="B8983" s="200"/>
      <c r="C8983" s="31"/>
      <c r="D8983" s="75"/>
      <c r="E8983" s="771"/>
      <c r="F8983" s="31"/>
      <c r="G8983" s="31"/>
      <c r="H8983" s="31"/>
    </row>
    <row r="8984" spans="2:8" hidden="1">
      <c r="B8984" s="200"/>
      <c r="C8984" s="31"/>
      <c r="D8984" s="75"/>
      <c r="E8984" s="771"/>
      <c r="F8984" s="31"/>
      <c r="G8984" s="31"/>
      <c r="H8984" s="31"/>
    </row>
    <row r="8985" spans="2:8" hidden="1">
      <c r="B8985" s="33"/>
      <c r="C8985" s="31"/>
      <c r="D8985" s="31"/>
      <c r="E8985" s="31"/>
      <c r="F8985" s="31"/>
      <c r="G8985" s="31"/>
      <c r="H8985" s="31"/>
    </row>
    <row r="8986" spans="2:8" hidden="1">
      <c r="B8986" s="200"/>
      <c r="C8986" s="31"/>
      <c r="D8986" s="75"/>
      <c r="E8986" s="771"/>
      <c r="F8986" s="31"/>
      <c r="G8986" s="31"/>
      <c r="H8986" s="31"/>
    </row>
    <row r="8987" spans="2:8" hidden="1">
      <c r="B8987" s="200"/>
      <c r="C8987" s="31"/>
      <c r="D8987" s="75"/>
      <c r="E8987" s="771"/>
      <c r="F8987" s="31"/>
      <c r="G8987" s="31"/>
      <c r="H8987" s="31"/>
    </row>
    <row r="8988" spans="2:8" hidden="1">
      <c r="B8988" s="200"/>
      <c r="C8988" s="31"/>
      <c r="D8988" s="75"/>
      <c r="E8988" s="771"/>
      <c r="F8988" s="31"/>
      <c r="G8988" s="31"/>
      <c r="H8988" s="31"/>
    </row>
    <row r="8989" spans="2:8" hidden="1">
      <c r="B8989" s="33"/>
      <c r="C8989" s="200"/>
      <c r="D8989" s="75"/>
      <c r="E8989" s="771"/>
      <c r="F8989" s="31"/>
      <c r="G8989" s="31"/>
      <c r="H8989" s="31"/>
    </row>
    <row r="8990" spans="2:8" hidden="1">
      <c r="B8990" s="33"/>
      <c r="C8990" s="31"/>
      <c r="D8990" s="104"/>
      <c r="E8990" s="772"/>
      <c r="F8990" s="33"/>
      <c r="G8990" s="33"/>
      <c r="H8990" s="31"/>
    </row>
    <row r="8991" spans="2:8" hidden="1">
      <c r="B8991" s="33"/>
      <c r="C8991" s="31"/>
      <c r="D8991" s="31"/>
      <c r="E8991" s="31"/>
      <c r="F8991" s="31"/>
      <c r="G8991" s="31"/>
      <c r="H8991" s="31"/>
    </row>
    <row r="8992" spans="2:8" hidden="1">
      <c r="B8992" s="33"/>
      <c r="C8992" s="31"/>
      <c r="D8992" s="31"/>
      <c r="E8992" s="31"/>
      <c r="F8992" s="31"/>
      <c r="G8992" s="31"/>
      <c r="H8992" s="31"/>
    </row>
    <row r="8993" spans="2:8" hidden="1">
      <c r="B8993" s="33"/>
      <c r="C8993" s="31"/>
      <c r="D8993" s="31"/>
      <c r="E8993" s="31"/>
      <c r="F8993" s="691"/>
      <c r="G8993" s="75"/>
      <c r="H8993" s="31"/>
    </row>
    <row r="8994" spans="2:8" hidden="1">
      <c r="B8994" s="33"/>
      <c r="C8994" s="31"/>
      <c r="D8994" s="31"/>
      <c r="E8994" s="31"/>
      <c r="F8994" s="691"/>
      <c r="G8994" s="75"/>
      <c r="H8994" s="31"/>
    </row>
    <row r="8995" spans="2:8" hidden="1">
      <c r="B8995" s="33"/>
      <c r="C8995" s="31"/>
      <c r="D8995" s="31"/>
      <c r="E8995" s="31"/>
      <c r="F8995" s="691"/>
      <c r="G8995" s="75"/>
      <c r="H8995" s="31"/>
    </row>
    <row r="8996" spans="2:8" hidden="1">
      <c r="B8996" s="33"/>
      <c r="C8996" s="31"/>
      <c r="D8996" s="31"/>
      <c r="E8996" s="31"/>
      <c r="F8996" s="691"/>
      <c r="G8996" s="75"/>
      <c r="H8996" s="31"/>
    </row>
    <row r="8997" spans="2:8" hidden="1">
      <c r="B8997" s="33"/>
      <c r="C8997" s="31"/>
      <c r="D8997" s="31"/>
      <c r="E8997" s="31"/>
      <c r="F8997" s="691"/>
      <c r="G8997" s="75"/>
      <c r="H8997" s="31"/>
    </row>
    <row r="8998" spans="2:8" hidden="1">
      <c r="B8998" s="33"/>
      <c r="C8998" s="31"/>
      <c r="D8998" s="31"/>
      <c r="E8998" s="31"/>
      <c r="F8998" s="691"/>
      <c r="G8998" s="75"/>
      <c r="H8998" s="31"/>
    </row>
    <row r="8999" spans="2:8" hidden="1">
      <c r="B8999" s="33"/>
      <c r="C8999" s="31"/>
      <c r="D8999" s="31"/>
      <c r="E8999" s="31"/>
      <c r="F8999" s="691"/>
      <c r="G8999" s="75"/>
      <c r="H8999" s="31"/>
    </row>
    <row r="9000" spans="2:8" hidden="1">
      <c r="B9000" s="33"/>
      <c r="C9000" s="31"/>
      <c r="D9000" s="31"/>
      <c r="E9000" s="31"/>
      <c r="F9000" s="691"/>
      <c r="G9000" s="31"/>
      <c r="H9000" s="31"/>
    </row>
    <row r="9001" spans="2:8" hidden="1">
      <c r="B9001" s="33"/>
      <c r="C9001" s="31"/>
      <c r="D9001" s="31"/>
      <c r="E9001" s="31"/>
      <c r="F9001" s="691"/>
      <c r="G9001" s="31"/>
      <c r="H9001" s="31"/>
    </row>
    <row r="9002" spans="2:8" hidden="1">
      <c r="B9002" s="33"/>
      <c r="C9002" s="31"/>
      <c r="D9002" s="31"/>
      <c r="E9002" s="31"/>
      <c r="F9002" s="31"/>
      <c r="G9002" s="31"/>
      <c r="H9002" s="31"/>
    </row>
    <row r="9003" spans="2:8" hidden="1">
      <c r="B9003" s="33"/>
      <c r="C9003" s="31"/>
      <c r="D9003" s="31"/>
      <c r="E9003" s="31"/>
      <c r="F9003" s="31"/>
      <c r="G9003" s="31"/>
      <c r="H9003" s="31"/>
    </row>
    <row r="9004" spans="2:8" hidden="1">
      <c r="B9004" s="33"/>
      <c r="C9004" s="31"/>
      <c r="D9004" s="31"/>
      <c r="E9004" s="31"/>
      <c r="F9004" s="31"/>
      <c r="G9004" s="31"/>
      <c r="H9004" s="31"/>
    </row>
    <row r="9005" spans="2:8" hidden="1">
      <c r="B9005" s="33"/>
      <c r="C9005" s="31"/>
      <c r="D9005" s="31"/>
      <c r="E9005" s="31"/>
      <c r="F9005" s="31"/>
      <c r="G9005" s="31"/>
      <c r="H9005" s="31"/>
    </row>
    <row r="9006" spans="2:8" hidden="1">
      <c r="B9006" s="33"/>
      <c r="C9006" s="31"/>
      <c r="D9006" s="31"/>
      <c r="E9006" s="31"/>
      <c r="F9006" s="31"/>
      <c r="G9006" s="31"/>
      <c r="H9006" s="31"/>
    </row>
    <row r="9007" spans="2:8" hidden="1">
      <c r="B9007" s="33"/>
      <c r="C9007" s="31"/>
      <c r="D9007" s="31"/>
      <c r="E9007" s="31"/>
      <c r="F9007" s="31"/>
      <c r="G9007" s="31"/>
      <c r="H9007" s="31"/>
    </row>
    <row r="9008" spans="2:8" hidden="1">
      <c r="B9008" s="33"/>
      <c r="C9008" s="31"/>
      <c r="D9008" s="31"/>
      <c r="E9008" s="31"/>
      <c r="F9008" s="31"/>
      <c r="G9008" s="31"/>
      <c r="H9008" s="31"/>
    </row>
    <row r="9009" spans="2:8" hidden="1">
      <c r="B9009" s="33"/>
      <c r="C9009" s="31"/>
      <c r="D9009" s="31"/>
      <c r="E9009" s="31"/>
      <c r="F9009" s="31"/>
      <c r="G9009" s="31"/>
      <c r="H9009" s="31"/>
    </row>
    <row r="9010" spans="2:8" hidden="1">
      <c r="B9010" s="33"/>
      <c r="C9010" s="31"/>
      <c r="D9010" s="31"/>
      <c r="E9010" s="31"/>
      <c r="F9010" s="31"/>
      <c r="G9010" s="31"/>
      <c r="H9010" s="31"/>
    </row>
    <row r="9011" spans="2:8" hidden="1">
      <c r="B9011" s="33"/>
      <c r="C9011" s="31"/>
      <c r="D9011" s="33"/>
      <c r="E9011" s="31"/>
      <c r="F9011" s="33"/>
      <c r="G9011" s="33"/>
      <c r="H9011" s="31"/>
    </row>
    <row r="9012" spans="2:8" hidden="1">
      <c r="B9012" s="33"/>
      <c r="C9012" s="31"/>
      <c r="D9012" s="33"/>
      <c r="E9012" s="33"/>
      <c r="F9012" s="33"/>
      <c r="G9012" s="33"/>
      <c r="H9012" s="31"/>
    </row>
    <row r="9013" spans="2:8" hidden="1">
      <c r="B9013" s="200"/>
      <c r="C9013" s="31"/>
      <c r="D9013" s="75"/>
      <c r="E9013" s="771"/>
      <c r="F9013" s="33"/>
      <c r="G9013" s="33"/>
      <c r="H9013" s="31"/>
    </row>
    <row r="9014" spans="2:8" hidden="1">
      <c r="B9014" s="200"/>
      <c r="C9014" s="31"/>
      <c r="D9014" s="75"/>
      <c r="E9014" s="771"/>
      <c r="F9014" s="771"/>
      <c r="G9014" s="31"/>
      <c r="H9014" s="31"/>
    </row>
    <row r="9015" spans="2:8" hidden="1">
      <c r="B9015" s="200"/>
      <c r="C9015" s="31"/>
      <c r="D9015" s="75"/>
      <c r="E9015" s="771"/>
      <c r="F9015" s="771"/>
      <c r="G9015" s="31"/>
      <c r="H9015" s="31"/>
    </row>
    <row r="9016" spans="2:8" hidden="1">
      <c r="B9016" s="200"/>
      <c r="C9016" s="31"/>
      <c r="D9016" s="75"/>
      <c r="E9016" s="771"/>
      <c r="F9016" s="771"/>
      <c r="G9016" s="31"/>
      <c r="H9016" s="31"/>
    </row>
    <row r="9017" spans="2:8" hidden="1">
      <c r="B9017" s="200"/>
      <c r="C9017" s="31"/>
      <c r="D9017" s="75"/>
      <c r="E9017" s="771"/>
      <c r="F9017" s="771"/>
      <c r="G9017" s="31"/>
      <c r="H9017" s="31"/>
    </row>
    <row r="9018" spans="2:8" hidden="1">
      <c r="B9018" s="200"/>
      <c r="C9018" s="31"/>
      <c r="D9018" s="75"/>
      <c r="E9018" s="771"/>
      <c r="F9018" s="771"/>
      <c r="G9018" s="31"/>
      <c r="H9018" s="31"/>
    </row>
    <row r="9019" spans="2:8" hidden="1">
      <c r="B9019" s="200"/>
      <c r="C9019" s="31"/>
      <c r="D9019" s="75"/>
      <c r="E9019" s="771"/>
      <c r="F9019" s="771"/>
      <c r="G9019" s="31"/>
      <c r="H9019" s="31"/>
    </row>
    <row r="9020" spans="2:8" hidden="1">
      <c r="B9020" s="200"/>
      <c r="C9020" s="31"/>
      <c r="D9020" s="75"/>
      <c r="E9020" s="771"/>
      <c r="F9020" s="771"/>
      <c r="G9020" s="31"/>
      <c r="H9020" s="31"/>
    </row>
    <row r="9021" spans="2:8" hidden="1">
      <c r="B9021" s="200"/>
      <c r="C9021" s="31"/>
      <c r="D9021" s="75"/>
      <c r="E9021" s="771"/>
      <c r="F9021" s="771"/>
      <c r="G9021" s="31"/>
      <c r="H9021" s="31"/>
    </row>
    <row r="9022" spans="2:8" hidden="1">
      <c r="B9022" s="200"/>
      <c r="C9022" s="31"/>
      <c r="D9022" s="75"/>
      <c r="E9022" s="771"/>
      <c r="F9022" s="771"/>
      <c r="G9022" s="31"/>
      <c r="H9022" s="31"/>
    </row>
    <row r="9023" spans="2:8" hidden="1">
      <c r="B9023" s="200"/>
      <c r="C9023" s="31"/>
      <c r="D9023" s="75"/>
      <c r="E9023" s="771"/>
      <c r="F9023" s="772"/>
      <c r="G9023" s="33"/>
      <c r="H9023" s="31"/>
    </row>
    <row r="9024" spans="2:8" hidden="1">
      <c r="B9024" s="200"/>
      <c r="C9024" s="31"/>
      <c r="D9024" s="75"/>
      <c r="E9024" s="771"/>
      <c r="F9024" s="771"/>
      <c r="G9024" s="31"/>
      <c r="H9024" s="31"/>
    </row>
    <row r="9025" spans="2:8" hidden="1">
      <c r="B9025" s="200"/>
      <c r="C9025" s="31"/>
      <c r="D9025" s="75"/>
      <c r="E9025" s="771"/>
      <c r="F9025" s="771"/>
      <c r="G9025" s="31"/>
      <c r="H9025" s="31"/>
    </row>
    <row r="9026" spans="2:8" hidden="1">
      <c r="B9026" s="200"/>
      <c r="C9026" s="31"/>
      <c r="D9026" s="75"/>
      <c r="E9026" s="772"/>
      <c r="F9026" s="771"/>
      <c r="G9026" s="31"/>
      <c r="H9026" s="31"/>
    </row>
    <row r="9027" spans="2:8" hidden="1">
      <c r="B9027" s="200"/>
      <c r="C9027" s="31"/>
      <c r="D9027" s="75"/>
      <c r="E9027" s="771"/>
      <c r="F9027" s="771"/>
      <c r="G9027" s="31"/>
      <c r="H9027" s="31"/>
    </row>
    <row r="9028" spans="2:8" hidden="1">
      <c r="B9028" s="200"/>
      <c r="C9028" s="31"/>
      <c r="D9028" s="75"/>
      <c r="E9028" s="771"/>
      <c r="F9028" s="771"/>
      <c r="G9028" s="31"/>
      <c r="H9028" s="31"/>
    </row>
    <row r="9029" spans="2:8" hidden="1">
      <c r="B9029" s="200"/>
      <c r="C9029" s="31"/>
      <c r="D9029" s="75"/>
      <c r="E9029" s="771"/>
      <c r="F9029" s="771"/>
      <c r="G9029" s="31"/>
      <c r="H9029" s="31"/>
    </row>
    <row r="9030" spans="2:8" hidden="1">
      <c r="B9030" s="200"/>
      <c r="C9030" s="31"/>
      <c r="D9030" s="75"/>
      <c r="E9030" s="772"/>
      <c r="F9030" s="772"/>
      <c r="G9030" s="33"/>
      <c r="H9030" s="31"/>
    </row>
    <row r="9031" spans="2:8" hidden="1">
      <c r="B9031" s="200"/>
      <c r="C9031" s="31"/>
      <c r="D9031" s="75"/>
      <c r="E9031" s="771"/>
      <c r="F9031" s="771"/>
      <c r="G9031" s="31"/>
      <c r="H9031" s="31"/>
    </row>
    <row r="9032" spans="2:8" hidden="1">
      <c r="B9032" s="200"/>
      <c r="C9032" s="31"/>
      <c r="D9032" s="75"/>
      <c r="E9032" s="771"/>
      <c r="F9032" s="772"/>
      <c r="G9032" s="33"/>
      <c r="H9032" s="31"/>
    </row>
    <row r="9033" spans="2:8" hidden="1">
      <c r="B9033" s="200"/>
      <c r="C9033" s="31"/>
      <c r="D9033" s="31"/>
      <c r="E9033" s="772"/>
      <c r="F9033" s="772"/>
      <c r="G9033" s="33"/>
      <c r="H9033" s="31"/>
    </row>
    <row r="9034" spans="2:8" hidden="1">
      <c r="B9034" s="200"/>
      <c r="C9034" s="31"/>
      <c r="D9034" s="75"/>
      <c r="E9034" s="772"/>
      <c r="F9034" s="771"/>
      <c r="G9034" s="31"/>
      <c r="H9034" s="31"/>
    </row>
    <row r="9035" spans="2:8" hidden="1">
      <c r="B9035" s="200"/>
      <c r="C9035" s="31"/>
      <c r="D9035" s="75"/>
      <c r="E9035" s="771"/>
      <c r="F9035" s="772"/>
      <c r="G9035" s="33"/>
      <c r="H9035" s="31"/>
    </row>
    <row r="9036" spans="2:8" hidden="1">
      <c r="B9036" s="200"/>
      <c r="C9036" s="31"/>
      <c r="D9036" s="31"/>
      <c r="E9036" s="772"/>
      <c r="F9036" s="772"/>
      <c r="G9036" s="33"/>
      <c r="H9036" s="31"/>
    </row>
    <row r="9037" spans="2:8" hidden="1">
      <c r="B9037" s="200"/>
      <c r="C9037" s="31"/>
      <c r="D9037" s="75"/>
      <c r="E9037" s="771"/>
      <c r="F9037" s="771"/>
      <c r="G9037" s="31"/>
      <c r="H9037" s="31"/>
    </row>
    <row r="9038" spans="2:8" hidden="1">
      <c r="B9038" s="200"/>
      <c r="C9038" s="31"/>
      <c r="D9038" s="75"/>
      <c r="E9038" s="772"/>
      <c r="F9038" s="772"/>
      <c r="G9038" s="33"/>
      <c r="H9038" s="31"/>
    </row>
    <row r="9039" spans="2:8" hidden="1">
      <c r="B9039" s="200"/>
      <c r="C9039" s="31"/>
      <c r="D9039" s="75"/>
      <c r="E9039" s="772"/>
      <c r="F9039" s="772"/>
      <c r="G9039" s="33"/>
      <c r="H9039" s="31"/>
    </row>
    <row r="9040" spans="2:8" hidden="1">
      <c r="B9040" s="200"/>
      <c r="C9040" s="31"/>
      <c r="D9040" s="75"/>
      <c r="E9040" s="772"/>
      <c r="F9040" s="772"/>
      <c r="G9040" s="33"/>
      <c r="H9040" s="31"/>
    </row>
    <row r="9041" spans="2:8" hidden="1">
      <c r="B9041" s="33"/>
      <c r="C9041" s="200"/>
      <c r="D9041" s="75"/>
      <c r="E9041" s="771"/>
      <c r="F9041" s="771"/>
      <c r="G9041" s="31"/>
      <c r="H9041" s="31"/>
    </row>
    <row r="9042" spans="2:8" hidden="1">
      <c r="B9042" s="33"/>
      <c r="C9042" s="200"/>
      <c r="D9042" s="75"/>
      <c r="E9042" s="771"/>
      <c r="F9042" s="771"/>
      <c r="G9042" s="31"/>
      <c r="H9042" s="31"/>
    </row>
    <row r="9043" spans="2:8" hidden="1">
      <c r="B9043" s="33"/>
      <c r="C9043" s="31"/>
      <c r="D9043" s="33"/>
      <c r="E9043" s="772"/>
      <c r="F9043" s="772"/>
      <c r="G9043" s="33"/>
      <c r="H9043" s="31"/>
    </row>
    <row r="9044" spans="2:8" hidden="1">
      <c r="B9044" s="33"/>
      <c r="C9044" s="31"/>
      <c r="D9044" s="31"/>
      <c r="E9044" s="31"/>
      <c r="F9044" s="31"/>
      <c r="G9044" s="31"/>
      <c r="H9044" s="31"/>
    </row>
    <row r="9045" spans="2:8" hidden="1">
      <c r="B9045" s="405"/>
      <c r="C9045" s="31"/>
      <c r="D9045" s="31"/>
      <c r="E9045" s="31"/>
      <c r="F9045" s="31"/>
      <c r="G9045" s="31"/>
      <c r="H9045" s="31"/>
    </row>
    <row r="9046" spans="2:8" hidden="1">
      <c r="B9046" s="405"/>
      <c r="C9046" s="31"/>
      <c r="D9046" s="31"/>
      <c r="E9046" s="31"/>
      <c r="F9046" s="691"/>
      <c r="G9046" s="75"/>
      <c r="H9046" s="31"/>
    </row>
    <row r="9047" spans="2:8" hidden="1">
      <c r="B9047" s="405"/>
      <c r="C9047" s="31"/>
      <c r="D9047" s="31"/>
      <c r="E9047" s="31"/>
      <c r="F9047" s="691"/>
      <c r="G9047" s="75"/>
      <c r="H9047" s="31"/>
    </row>
    <row r="9048" spans="2:8" hidden="1">
      <c r="B9048" s="405"/>
      <c r="C9048" s="31"/>
      <c r="D9048" s="31"/>
      <c r="E9048" s="31"/>
      <c r="F9048" s="691"/>
      <c r="G9048" s="75"/>
      <c r="H9048" s="31"/>
    </row>
    <row r="9049" spans="2:8" hidden="1">
      <c r="B9049" s="405"/>
      <c r="C9049" s="31"/>
      <c r="D9049" s="31"/>
      <c r="E9049" s="31"/>
      <c r="F9049" s="691"/>
      <c r="G9049" s="75"/>
      <c r="H9049" s="31"/>
    </row>
    <row r="9050" spans="2:8" hidden="1">
      <c r="B9050" s="405"/>
      <c r="C9050" s="31"/>
      <c r="D9050" s="31"/>
      <c r="E9050" s="31"/>
      <c r="F9050" s="691"/>
      <c r="G9050" s="75"/>
      <c r="H9050" s="31"/>
    </row>
    <row r="9051" spans="2:8" hidden="1">
      <c r="B9051" s="405"/>
      <c r="C9051" s="31"/>
      <c r="D9051" s="31"/>
      <c r="E9051" s="31"/>
      <c r="F9051" s="691"/>
      <c r="G9051" s="75"/>
      <c r="H9051" s="31"/>
    </row>
    <row r="9052" spans="2:8" hidden="1">
      <c r="B9052" s="405"/>
      <c r="C9052" s="31"/>
      <c r="D9052" s="31"/>
      <c r="E9052" s="31"/>
      <c r="F9052" s="691"/>
      <c r="G9052" s="75"/>
      <c r="H9052" s="31"/>
    </row>
    <row r="9053" spans="2:8" hidden="1">
      <c r="B9053" s="405"/>
      <c r="C9053" s="31"/>
      <c r="D9053" s="31"/>
      <c r="E9053" s="31"/>
      <c r="F9053" s="691"/>
      <c r="G9053" s="75"/>
      <c r="H9053" s="31"/>
    </row>
    <row r="9054" spans="2:8" hidden="1">
      <c r="B9054" s="405"/>
      <c r="C9054" s="31"/>
      <c r="D9054" s="31"/>
      <c r="E9054" s="31"/>
      <c r="F9054" s="691"/>
      <c r="G9054" s="75"/>
      <c r="H9054" s="31"/>
    </row>
    <row r="9055" spans="2:8" hidden="1">
      <c r="B9055" s="405"/>
      <c r="C9055" s="31"/>
      <c r="D9055" s="31"/>
      <c r="E9055" s="31"/>
      <c r="F9055" s="691"/>
      <c r="G9055" s="75"/>
      <c r="H9055" s="31"/>
    </row>
    <row r="9056" spans="2:8" hidden="1">
      <c r="B9056" s="405"/>
      <c r="C9056" s="31"/>
      <c r="D9056" s="31"/>
      <c r="E9056" s="31"/>
      <c r="F9056" s="691"/>
      <c r="G9056" s="75"/>
      <c r="H9056" s="31"/>
    </row>
    <row r="9057" spans="2:8" hidden="1">
      <c r="B9057" s="405"/>
      <c r="C9057" s="31"/>
      <c r="D9057" s="31"/>
      <c r="E9057" s="31"/>
      <c r="F9057" s="691"/>
      <c r="G9057" s="75"/>
      <c r="H9057" s="31"/>
    </row>
    <row r="9058" spans="2:8" hidden="1">
      <c r="B9058" s="33"/>
      <c r="C9058" s="31"/>
      <c r="D9058" s="31"/>
      <c r="E9058" s="31"/>
      <c r="F9058" s="691"/>
      <c r="G9058" s="75"/>
      <c r="H9058" s="31"/>
    </row>
    <row r="9059" spans="2:8" hidden="1">
      <c r="B9059" s="33"/>
      <c r="C9059" s="31"/>
      <c r="D9059" s="31"/>
      <c r="E9059" s="31"/>
      <c r="F9059" s="691"/>
      <c r="G9059" s="31"/>
      <c r="H9059" s="31"/>
    </row>
    <row r="9060" spans="2:8" hidden="1">
      <c r="B9060" s="33"/>
      <c r="C9060" s="31"/>
      <c r="D9060" s="31"/>
      <c r="E9060" s="31"/>
      <c r="F9060" s="31"/>
      <c r="G9060" s="31"/>
      <c r="H9060" s="31"/>
    </row>
    <row r="9061" spans="2:8" hidden="1">
      <c r="B9061" s="33"/>
      <c r="C9061" s="31"/>
      <c r="D9061" s="31"/>
      <c r="E9061" s="31"/>
      <c r="F9061" s="31"/>
      <c r="G9061" s="31"/>
      <c r="H9061" s="31"/>
    </row>
    <row r="9062" spans="2:8" hidden="1">
      <c r="B9062" s="33"/>
      <c r="C9062" s="31"/>
      <c r="D9062" s="31"/>
      <c r="E9062" s="31"/>
      <c r="F9062" s="31"/>
      <c r="G9062" s="31"/>
      <c r="H9062" s="31"/>
    </row>
    <row r="9063" spans="2:8" hidden="1">
      <c r="B9063" s="33"/>
      <c r="C9063" s="31"/>
      <c r="D9063" s="31"/>
      <c r="E9063" s="31"/>
      <c r="F9063" s="31"/>
      <c r="G9063" s="31"/>
      <c r="H9063" s="31"/>
    </row>
    <row r="9064" spans="2:8" hidden="1">
      <c r="B9064" s="33"/>
      <c r="C9064" s="31"/>
      <c r="D9064" s="31"/>
      <c r="E9064" s="31"/>
      <c r="F9064" s="31"/>
      <c r="G9064" s="31"/>
      <c r="H9064" s="31"/>
    </row>
    <row r="9065" spans="2:8" hidden="1">
      <c r="B9065" s="33"/>
      <c r="C9065" s="31"/>
      <c r="D9065" s="31"/>
      <c r="E9065" s="31"/>
      <c r="F9065" s="31"/>
      <c r="G9065" s="31"/>
      <c r="H9065" s="31"/>
    </row>
    <row r="9066" spans="2:8" hidden="1">
      <c r="B9066" s="33"/>
      <c r="C9066" s="31"/>
      <c r="D9066" s="31"/>
      <c r="E9066" s="31"/>
      <c r="F9066" s="31"/>
      <c r="G9066" s="31"/>
      <c r="H9066" s="31"/>
    </row>
    <row r="9067" spans="2:8" hidden="1">
      <c r="B9067" s="33"/>
      <c r="C9067" s="31"/>
      <c r="D9067" s="31"/>
      <c r="E9067" s="31"/>
      <c r="F9067" s="31"/>
      <c r="G9067" s="31"/>
      <c r="H9067" s="31"/>
    </row>
    <row r="9068" spans="2:8" hidden="1">
      <c r="B9068" s="33"/>
      <c r="C9068" s="31"/>
      <c r="D9068" s="31"/>
      <c r="E9068" s="31"/>
      <c r="F9068" s="31"/>
      <c r="G9068" s="31"/>
      <c r="H9068" s="31"/>
    </row>
    <row r="9069" spans="2:8" hidden="1">
      <c r="B9069" s="33"/>
      <c r="C9069" s="31"/>
      <c r="D9069" s="31"/>
      <c r="E9069" s="31"/>
      <c r="F9069" s="31"/>
      <c r="G9069" s="31"/>
      <c r="H9069" s="31"/>
    </row>
    <row r="9070" spans="2:8" hidden="1">
      <c r="B9070" s="33"/>
      <c r="C9070" s="31"/>
      <c r="D9070" s="31"/>
      <c r="E9070" s="31"/>
      <c r="F9070" s="31"/>
      <c r="G9070" s="31"/>
      <c r="H9070" s="31"/>
    </row>
    <row r="9071" spans="2:8" hidden="1">
      <c r="B9071" s="33"/>
      <c r="C9071" s="31"/>
      <c r="D9071" s="31"/>
      <c r="E9071" s="31"/>
      <c r="F9071" s="31"/>
      <c r="G9071" s="31"/>
      <c r="H9071" s="31"/>
    </row>
    <row r="9072" spans="2:8" hidden="1">
      <c r="B9072" s="33"/>
      <c r="C9072" s="31"/>
      <c r="D9072" s="31"/>
      <c r="E9072" s="31"/>
      <c r="F9072" s="31"/>
      <c r="G9072" s="31"/>
      <c r="H9072" s="31"/>
    </row>
    <row r="9073" spans="2:8" hidden="1">
      <c r="B9073" s="33"/>
      <c r="C9073" s="31"/>
      <c r="D9073" s="31"/>
      <c r="E9073" s="31"/>
      <c r="F9073" s="31"/>
      <c r="G9073" s="31"/>
      <c r="H9073" s="31"/>
    </row>
    <row r="9074" spans="2:8" hidden="1">
      <c r="B9074" s="33"/>
      <c r="C9074" s="31"/>
      <c r="D9074" s="31"/>
      <c r="E9074" s="31"/>
      <c r="F9074" s="31"/>
      <c r="G9074" s="31"/>
      <c r="H9074" s="31"/>
    </row>
    <row r="9075" spans="2:8" hidden="1">
      <c r="B9075" s="33"/>
      <c r="C9075" s="31"/>
      <c r="D9075" s="31"/>
      <c r="E9075" s="31"/>
      <c r="F9075" s="31"/>
      <c r="G9075" s="31"/>
      <c r="H9075" s="31"/>
    </row>
    <row r="9076" spans="2:8" hidden="1">
      <c r="B9076" s="33"/>
      <c r="C9076" s="31"/>
      <c r="D9076" s="31"/>
      <c r="E9076" s="31"/>
      <c r="F9076" s="31"/>
      <c r="G9076" s="31"/>
      <c r="H9076" s="31"/>
    </row>
    <row r="9077" spans="2:8" hidden="1">
      <c r="B9077" s="33"/>
      <c r="C9077" s="31"/>
      <c r="D9077" s="31"/>
      <c r="E9077" s="31"/>
      <c r="F9077" s="31"/>
      <c r="G9077" s="31"/>
      <c r="H9077" s="31"/>
    </row>
    <row r="9078" spans="2:8" hidden="1">
      <c r="B9078" s="33"/>
      <c r="C9078" s="31"/>
      <c r="D9078" s="31"/>
      <c r="E9078" s="31"/>
      <c r="F9078" s="31"/>
      <c r="G9078" s="31"/>
      <c r="H9078" s="31"/>
    </row>
    <row r="9079" spans="2:8" hidden="1">
      <c r="B9079" s="33"/>
      <c r="C9079" s="31"/>
      <c r="D9079" s="31"/>
      <c r="E9079" s="31"/>
      <c r="F9079" s="31"/>
      <c r="G9079" s="31"/>
      <c r="H9079" s="31"/>
    </row>
    <row r="9080" spans="2:8" hidden="1">
      <c r="B9080" s="33"/>
      <c r="C9080" s="31"/>
      <c r="D9080" s="31"/>
      <c r="E9080" s="31"/>
      <c r="F9080" s="31"/>
      <c r="G9080" s="31"/>
      <c r="H9080" s="31"/>
    </row>
    <row r="9081" spans="2:8" hidden="1">
      <c r="B9081" s="33"/>
      <c r="C9081" s="31"/>
      <c r="D9081" s="31"/>
      <c r="E9081" s="31"/>
      <c r="F9081" s="31"/>
      <c r="G9081" s="31"/>
      <c r="H9081" s="31"/>
    </row>
    <row r="9082" spans="2:8" hidden="1">
      <c r="B9082" s="33"/>
      <c r="C9082" s="31"/>
      <c r="D9082" s="31"/>
      <c r="E9082" s="31"/>
      <c r="F9082" s="31"/>
      <c r="G9082" s="31"/>
      <c r="H9082" s="31"/>
    </row>
    <row r="9083" spans="2:8" hidden="1">
      <c r="B9083" s="33"/>
      <c r="C9083" s="31"/>
      <c r="D9083" s="31"/>
      <c r="E9083" s="31"/>
      <c r="F9083" s="31"/>
      <c r="G9083" s="31"/>
      <c r="H9083" s="31"/>
    </row>
    <row r="9084" spans="2:8" hidden="1">
      <c r="B9084" s="33"/>
      <c r="C9084" s="31"/>
      <c r="D9084" s="31"/>
      <c r="E9084" s="31"/>
      <c r="F9084" s="31"/>
      <c r="G9084" s="31"/>
      <c r="H9084" s="31"/>
    </row>
    <row r="9085" spans="2:8" hidden="1">
      <c r="B9085" s="33"/>
      <c r="C9085" s="31"/>
      <c r="D9085" s="31"/>
      <c r="E9085" s="31"/>
      <c r="F9085" s="31"/>
      <c r="G9085" s="31"/>
      <c r="H9085" s="31"/>
    </row>
    <row r="9086" spans="2:8" hidden="1">
      <c r="B9086" s="33"/>
      <c r="C9086" s="31"/>
      <c r="D9086" s="31"/>
      <c r="E9086" s="31"/>
      <c r="F9086" s="31"/>
      <c r="G9086" s="31"/>
      <c r="H9086" s="31"/>
    </row>
    <row r="9087" spans="2:8" hidden="1">
      <c r="B9087" s="33"/>
      <c r="C9087" s="31"/>
      <c r="D9087" s="31"/>
      <c r="E9087" s="31"/>
      <c r="F9087" s="31"/>
      <c r="G9087" s="31"/>
      <c r="H9087" s="31"/>
    </row>
    <row r="9088" spans="2:8" hidden="1">
      <c r="B9088" s="33"/>
      <c r="C9088" s="31"/>
      <c r="D9088" s="31"/>
      <c r="E9088" s="31"/>
      <c r="F9088" s="31"/>
      <c r="G9088" s="31"/>
      <c r="H9088" s="31"/>
    </row>
    <row r="9089" spans="2:8" hidden="1">
      <c r="B9089" s="33"/>
      <c r="C9089" s="31"/>
      <c r="D9089" s="31"/>
      <c r="E9089" s="31"/>
      <c r="F9089" s="31"/>
      <c r="G9089" s="31"/>
      <c r="H9089" s="31"/>
    </row>
    <row r="9090" spans="2:8" hidden="1">
      <c r="B9090" s="33"/>
      <c r="C9090" s="31"/>
      <c r="D9090" s="31"/>
      <c r="E9090" s="31"/>
      <c r="F9090" s="31"/>
      <c r="G9090" s="31"/>
      <c r="H9090" s="31"/>
    </row>
    <row r="9091" spans="2:8" hidden="1">
      <c r="B9091" s="33"/>
      <c r="C9091" s="31"/>
      <c r="D9091" s="31"/>
      <c r="E9091" s="31"/>
      <c r="F9091" s="31"/>
      <c r="G9091" s="31"/>
      <c r="H9091" s="31"/>
    </row>
    <row r="9092" spans="2:8" hidden="1">
      <c r="B9092" s="33"/>
      <c r="C9092" s="31"/>
      <c r="D9092" s="31"/>
      <c r="E9092" s="31"/>
      <c r="F9092" s="31"/>
      <c r="G9092" s="31"/>
      <c r="H9092" s="31"/>
    </row>
    <row r="9093" spans="2:8" hidden="1">
      <c r="B9093" s="33"/>
      <c r="C9093" s="31"/>
      <c r="D9093" s="31"/>
      <c r="E9093" s="31"/>
      <c r="F9093" s="31"/>
      <c r="G9093" s="31"/>
      <c r="H9093" s="31"/>
    </row>
    <row r="9094" spans="2:8" hidden="1">
      <c r="B9094" s="33"/>
      <c r="C9094" s="31"/>
      <c r="D9094" s="31"/>
      <c r="E9094" s="31"/>
      <c r="F9094" s="31"/>
      <c r="G9094" s="31"/>
      <c r="H9094" s="31"/>
    </row>
    <row r="9095" spans="2:8" hidden="1">
      <c r="B9095" s="33"/>
      <c r="C9095" s="31"/>
      <c r="D9095" s="31"/>
      <c r="E9095" s="31"/>
      <c r="F9095" s="31"/>
      <c r="G9095" s="31"/>
      <c r="H9095" s="31"/>
    </row>
    <row r="9096" spans="2:8" hidden="1">
      <c r="B9096" s="33"/>
      <c r="C9096" s="31"/>
      <c r="D9096" s="31"/>
      <c r="E9096" s="31"/>
      <c r="F9096" s="31"/>
      <c r="G9096" s="31"/>
      <c r="H9096" s="31"/>
    </row>
    <row r="9097" spans="2:8" hidden="1">
      <c r="B9097" s="33"/>
      <c r="C9097" s="31"/>
      <c r="D9097" s="31"/>
      <c r="E9097" s="31"/>
      <c r="F9097" s="31"/>
      <c r="G9097" s="31"/>
      <c r="H9097" s="31"/>
    </row>
    <row r="9098" spans="2:8" hidden="1">
      <c r="B9098" s="33"/>
      <c r="C9098" s="31"/>
      <c r="D9098" s="31"/>
      <c r="E9098" s="31"/>
      <c r="F9098" s="31"/>
      <c r="G9098" s="31"/>
      <c r="H9098" s="31"/>
    </row>
    <row r="9099" spans="2:8" hidden="1">
      <c r="B9099" s="33"/>
      <c r="C9099" s="31"/>
      <c r="D9099" s="31"/>
      <c r="E9099" s="31"/>
      <c r="F9099" s="31"/>
      <c r="G9099" s="31"/>
      <c r="H9099" s="31"/>
    </row>
    <row r="9100" spans="2:8" hidden="1">
      <c r="B9100" s="33"/>
      <c r="C9100" s="31"/>
      <c r="D9100" s="31"/>
      <c r="E9100" s="31"/>
      <c r="F9100" s="31"/>
      <c r="G9100" s="31"/>
      <c r="H9100" s="31"/>
    </row>
    <row r="9101" spans="2:8" hidden="1">
      <c r="B9101" s="33"/>
      <c r="C9101" s="31"/>
      <c r="D9101" s="31"/>
      <c r="E9101" s="31"/>
      <c r="F9101" s="31"/>
      <c r="G9101" s="31"/>
      <c r="H9101" s="31"/>
    </row>
    <row r="9102" spans="2:8" hidden="1">
      <c r="B9102" s="33"/>
      <c r="C9102" s="31"/>
      <c r="D9102" s="31"/>
      <c r="E9102" s="31"/>
      <c r="F9102" s="31"/>
      <c r="G9102" s="31"/>
      <c r="H9102" s="31"/>
    </row>
    <row r="9103" spans="2:8" hidden="1">
      <c r="B9103" s="33"/>
      <c r="C9103" s="31"/>
      <c r="D9103" s="31"/>
      <c r="E9103" s="31"/>
      <c r="F9103" s="31"/>
      <c r="G9103" s="31"/>
      <c r="H9103" s="31"/>
    </row>
    <row r="9104" spans="2:8" hidden="1">
      <c r="B9104" s="33"/>
      <c r="C9104" s="31"/>
      <c r="D9104" s="31"/>
      <c r="E9104" s="31"/>
      <c r="F9104" s="31"/>
      <c r="G9104" s="31"/>
      <c r="H9104" s="31"/>
    </row>
    <row r="9105" spans="2:8" hidden="1">
      <c r="B9105" s="33"/>
      <c r="C9105" s="31"/>
      <c r="D9105" s="31"/>
      <c r="E9105" s="31"/>
      <c r="F9105" s="31"/>
      <c r="G9105" s="31"/>
      <c r="H9105" s="31"/>
    </row>
    <row r="9106" spans="2:8" hidden="1">
      <c r="B9106" s="33"/>
      <c r="C9106" s="31"/>
      <c r="D9106" s="31"/>
      <c r="E9106" s="31"/>
      <c r="F9106" s="31"/>
      <c r="G9106" s="31"/>
      <c r="H9106" s="31"/>
    </row>
    <row r="9107" spans="2:8" hidden="1">
      <c r="B9107" s="33"/>
      <c r="C9107" s="31"/>
      <c r="D9107" s="31"/>
      <c r="E9107" s="31"/>
      <c r="F9107" s="31"/>
      <c r="G9107" s="31"/>
      <c r="H9107" s="31"/>
    </row>
    <row r="9108" spans="2:8" hidden="1">
      <c r="B9108" s="33"/>
      <c r="C9108" s="31"/>
      <c r="D9108" s="31"/>
      <c r="E9108" s="31"/>
      <c r="F9108" s="31"/>
      <c r="G9108" s="31"/>
      <c r="H9108" s="31"/>
    </row>
    <row r="9109" spans="2:8" hidden="1">
      <c r="B9109" s="33"/>
      <c r="C9109" s="31"/>
      <c r="D9109" s="31"/>
      <c r="E9109" s="31"/>
      <c r="F9109" s="31"/>
      <c r="G9109" s="31"/>
      <c r="H9109" s="31"/>
    </row>
    <row r="9110" spans="2:8" hidden="1">
      <c r="B9110" s="33"/>
      <c r="C9110" s="31"/>
      <c r="D9110" s="31"/>
      <c r="E9110" s="31"/>
      <c r="F9110" s="31"/>
      <c r="G9110" s="31"/>
      <c r="H9110" s="31"/>
    </row>
    <row r="9111" spans="2:8" hidden="1">
      <c r="B9111" s="33"/>
      <c r="C9111" s="31"/>
      <c r="D9111" s="31"/>
      <c r="E9111" s="31"/>
      <c r="F9111" s="31"/>
      <c r="G9111" s="31"/>
      <c r="H9111" s="31"/>
    </row>
    <row r="9112" spans="2:8" hidden="1">
      <c r="B9112" s="33"/>
      <c r="C9112" s="31"/>
      <c r="D9112" s="31"/>
      <c r="E9112" s="31"/>
      <c r="F9112" s="31"/>
      <c r="G9112" s="31"/>
      <c r="H9112" s="31"/>
    </row>
    <row r="9113" spans="2:8" hidden="1">
      <c r="B9113" s="33"/>
      <c r="C9113" s="31"/>
      <c r="D9113" s="31"/>
      <c r="E9113" s="31"/>
      <c r="F9113" s="31"/>
      <c r="G9113" s="31"/>
      <c r="H9113" s="31"/>
    </row>
    <row r="9114" spans="2:8" hidden="1">
      <c r="B9114" s="33"/>
      <c r="C9114" s="31"/>
      <c r="D9114" s="31"/>
      <c r="E9114" s="31"/>
      <c r="F9114" s="31"/>
      <c r="G9114" s="31"/>
      <c r="H9114" s="31"/>
    </row>
    <row r="9115" spans="2:8" hidden="1">
      <c r="B9115" s="33"/>
      <c r="C9115" s="31"/>
      <c r="D9115" s="31"/>
      <c r="E9115" s="31"/>
      <c r="F9115" s="31"/>
      <c r="G9115" s="31"/>
      <c r="H9115" s="31"/>
    </row>
    <row r="9116" spans="2:8" hidden="1">
      <c r="B9116" s="33"/>
      <c r="C9116" s="31"/>
      <c r="D9116" s="31"/>
      <c r="E9116" s="31"/>
      <c r="F9116" s="31"/>
      <c r="G9116" s="31"/>
      <c r="H9116" s="31"/>
    </row>
    <row r="9117" spans="2:8" hidden="1">
      <c r="B9117" s="33"/>
      <c r="C9117" s="31"/>
      <c r="D9117" s="31"/>
      <c r="E9117" s="31"/>
      <c r="F9117" s="31"/>
      <c r="G9117" s="31"/>
      <c r="H9117" s="31"/>
    </row>
    <row r="9118" spans="2:8" hidden="1">
      <c r="B9118" s="33"/>
      <c r="C9118" s="31"/>
      <c r="D9118" s="31"/>
      <c r="E9118" s="31"/>
      <c r="F9118" s="31"/>
      <c r="G9118" s="31"/>
      <c r="H9118" s="31"/>
    </row>
    <row r="9119" spans="2:8" hidden="1">
      <c r="B9119" s="33"/>
      <c r="C9119" s="31"/>
      <c r="D9119" s="31"/>
      <c r="E9119" s="31"/>
      <c r="F9119" s="31"/>
      <c r="G9119" s="31"/>
      <c r="H9119" s="31"/>
    </row>
    <row r="9120" spans="2:8" hidden="1">
      <c r="B9120" s="33"/>
      <c r="C9120" s="31"/>
      <c r="D9120" s="31"/>
      <c r="E9120" s="31"/>
      <c r="F9120" s="31"/>
      <c r="G9120" s="31"/>
      <c r="H9120" s="31"/>
    </row>
    <row r="9121" spans="2:8" hidden="1">
      <c r="B9121" s="33"/>
      <c r="C9121" s="31"/>
      <c r="D9121" s="31"/>
      <c r="E9121" s="31"/>
      <c r="F9121" s="31"/>
      <c r="G9121" s="31"/>
      <c r="H9121" s="31"/>
    </row>
    <row r="9122" spans="2:8" hidden="1">
      <c r="B9122" s="33"/>
      <c r="C9122" s="31"/>
      <c r="D9122" s="31"/>
      <c r="E9122" s="31"/>
      <c r="F9122" s="31"/>
      <c r="G9122" s="31"/>
      <c r="H9122" s="31"/>
    </row>
    <row r="9123" spans="2:8" hidden="1">
      <c r="B9123" s="33"/>
      <c r="C9123" s="31"/>
      <c r="D9123" s="31"/>
      <c r="E9123" s="31"/>
      <c r="F9123" s="31"/>
      <c r="G9123" s="31"/>
      <c r="H9123" s="31"/>
    </row>
    <row r="9124" spans="2:8" hidden="1">
      <c r="B9124" s="33"/>
      <c r="C9124" s="31"/>
      <c r="D9124" s="31"/>
      <c r="E9124" s="31"/>
      <c r="F9124" s="31"/>
      <c r="G9124" s="31"/>
      <c r="H9124" s="31"/>
    </row>
    <row r="9125" spans="2:8" hidden="1">
      <c r="B9125" s="33"/>
      <c r="C9125" s="31"/>
      <c r="D9125" s="31"/>
      <c r="E9125" s="31"/>
      <c r="F9125" s="31"/>
      <c r="G9125" s="31"/>
      <c r="H9125" s="31"/>
    </row>
    <row r="9126" spans="2:8" hidden="1">
      <c r="B9126" s="33"/>
      <c r="C9126" s="31"/>
      <c r="D9126" s="31"/>
      <c r="E9126" s="31"/>
      <c r="F9126" s="31"/>
      <c r="G9126" s="31"/>
      <c r="H9126" s="31"/>
    </row>
    <row r="9127" spans="2:8" hidden="1">
      <c r="B9127" s="33"/>
      <c r="C9127" s="31"/>
      <c r="D9127" s="31"/>
      <c r="E9127" s="31"/>
      <c r="F9127" s="31"/>
      <c r="G9127" s="31"/>
      <c r="H9127" s="31"/>
    </row>
    <row r="9128" spans="2:8" hidden="1">
      <c r="B9128" s="33"/>
      <c r="C9128" s="31"/>
      <c r="D9128" s="31"/>
      <c r="E9128" s="31"/>
      <c r="F9128" s="31"/>
      <c r="G9128" s="31"/>
      <c r="H9128" s="31"/>
    </row>
    <row r="9129" spans="2:8" hidden="1">
      <c r="B9129" s="33"/>
      <c r="C9129" s="31"/>
      <c r="D9129" s="31"/>
      <c r="E9129" s="31"/>
      <c r="F9129" s="31"/>
      <c r="G9129" s="31"/>
      <c r="H9129" s="31"/>
    </row>
    <row r="9130" spans="2:8" hidden="1">
      <c r="B9130" s="33"/>
      <c r="C9130" s="31"/>
      <c r="D9130" s="31"/>
      <c r="E9130" s="31"/>
      <c r="F9130" s="31"/>
      <c r="G9130" s="31"/>
      <c r="H9130" s="31"/>
    </row>
    <row r="9131" spans="2:8" hidden="1">
      <c r="B9131" s="33"/>
      <c r="C9131" s="31"/>
      <c r="D9131" s="31"/>
      <c r="E9131" s="31"/>
      <c r="F9131" s="31"/>
      <c r="G9131" s="31"/>
      <c r="H9131" s="31"/>
    </row>
    <row r="9132" spans="2:8" hidden="1">
      <c r="B9132" s="33"/>
      <c r="C9132" s="31"/>
      <c r="D9132" s="31"/>
      <c r="E9132" s="31"/>
      <c r="F9132" s="31"/>
      <c r="G9132" s="31"/>
      <c r="H9132" s="31"/>
    </row>
    <row r="9133" spans="2:8" hidden="1">
      <c r="B9133" s="33"/>
      <c r="C9133" s="31"/>
      <c r="D9133" s="31"/>
      <c r="E9133" s="31"/>
      <c r="F9133" s="31"/>
      <c r="G9133" s="31"/>
      <c r="H9133" s="31"/>
    </row>
    <row r="9134" spans="2:8" hidden="1">
      <c r="B9134" s="33"/>
      <c r="C9134" s="31"/>
      <c r="D9134" s="31"/>
      <c r="E9134" s="31"/>
      <c r="F9134" s="31"/>
      <c r="G9134" s="31"/>
      <c r="H9134" s="31"/>
    </row>
    <row r="9135" spans="2:8" hidden="1">
      <c r="B9135" s="33"/>
      <c r="C9135" s="31"/>
      <c r="D9135" s="31"/>
      <c r="E9135" s="31"/>
      <c r="F9135" s="31"/>
      <c r="G9135" s="31"/>
      <c r="H9135" s="31"/>
    </row>
    <row r="9136" spans="2:8" hidden="1">
      <c r="B9136" s="33"/>
      <c r="C9136" s="31"/>
      <c r="D9136" s="31"/>
      <c r="E9136" s="31"/>
      <c r="F9136" s="31"/>
      <c r="G9136" s="31"/>
      <c r="H9136" s="31"/>
    </row>
    <row r="9137" spans="2:8" hidden="1">
      <c r="B9137" s="33"/>
      <c r="C9137" s="31"/>
      <c r="D9137" s="31"/>
      <c r="E9137" s="31"/>
      <c r="F9137" s="31"/>
      <c r="G9137" s="31"/>
      <c r="H9137" s="31"/>
    </row>
    <row r="9138" spans="2:8" hidden="1">
      <c r="B9138" s="33"/>
      <c r="C9138" s="31"/>
      <c r="D9138" s="31"/>
      <c r="E9138" s="31"/>
      <c r="F9138" s="31"/>
      <c r="G9138" s="31"/>
      <c r="H9138" s="31"/>
    </row>
    <row r="9139" spans="2:8" hidden="1">
      <c r="B9139" s="33"/>
      <c r="C9139" s="31"/>
      <c r="D9139" s="31"/>
      <c r="E9139" s="31"/>
      <c r="F9139" s="31"/>
      <c r="G9139" s="31"/>
      <c r="H9139" s="31"/>
    </row>
    <row r="9140" spans="2:8" hidden="1">
      <c r="B9140" s="33"/>
      <c r="C9140" s="31"/>
      <c r="D9140" s="31"/>
      <c r="E9140" s="31"/>
      <c r="F9140" s="31"/>
      <c r="G9140" s="31"/>
      <c r="H9140" s="31"/>
    </row>
    <row r="9141" spans="2:8" hidden="1">
      <c r="B9141" s="33"/>
      <c r="C9141" s="31"/>
      <c r="D9141" s="31"/>
      <c r="E9141" s="31"/>
      <c r="F9141" s="31"/>
      <c r="G9141" s="31"/>
      <c r="H9141" s="31"/>
    </row>
    <row r="9142" spans="2:8" hidden="1">
      <c r="B9142" s="33"/>
      <c r="C9142" s="31"/>
      <c r="D9142" s="31"/>
      <c r="E9142" s="31"/>
      <c r="F9142" s="31"/>
      <c r="G9142" s="31"/>
      <c r="H9142" s="31"/>
    </row>
    <row r="9143" spans="2:8" hidden="1">
      <c r="B9143" s="33"/>
      <c r="C9143" s="31"/>
      <c r="D9143" s="31"/>
      <c r="E9143" s="31"/>
      <c r="F9143" s="31"/>
      <c r="G9143" s="31"/>
      <c r="H9143" s="31"/>
    </row>
    <row r="9144" spans="2:8" hidden="1">
      <c r="B9144" s="33"/>
      <c r="C9144" s="31"/>
      <c r="D9144" s="31"/>
      <c r="E9144" s="31"/>
      <c r="F9144" s="31"/>
      <c r="G9144" s="31"/>
      <c r="H9144" s="31"/>
    </row>
    <row r="9145" spans="2:8" hidden="1">
      <c r="B9145" s="33"/>
      <c r="C9145" s="31"/>
      <c r="D9145" s="31"/>
      <c r="E9145" s="31"/>
      <c r="F9145" s="31"/>
      <c r="G9145" s="31"/>
      <c r="H9145" s="31"/>
    </row>
    <row r="9146" spans="2:8" hidden="1">
      <c r="B9146" s="33"/>
      <c r="C9146" s="31"/>
      <c r="D9146" s="31"/>
      <c r="E9146" s="31"/>
      <c r="F9146" s="31"/>
      <c r="G9146" s="31"/>
      <c r="H9146" s="31"/>
    </row>
    <row r="9147" spans="2:8" hidden="1">
      <c r="B9147" s="33"/>
      <c r="C9147" s="31"/>
      <c r="D9147" s="31"/>
      <c r="E9147" s="31"/>
      <c r="F9147" s="31"/>
      <c r="G9147" s="31"/>
      <c r="H9147" s="31"/>
    </row>
    <row r="9148" spans="2:8" hidden="1">
      <c r="B9148" s="33"/>
      <c r="C9148" s="31"/>
      <c r="D9148" s="31"/>
      <c r="E9148" s="31"/>
      <c r="F9148" s="31"/>
      <c r="G9148" s="31"/>
      <c r="H9148" s="31"/>
    </row>
    <row r="9149" spans="2:8" hidden="1">
      <c r="B9149" s="33"/>
      <c r="C9149" s="31"/>
      <c r="D9149" s="31"/>
      <c r="E9149" s="31"/>
      <c r="F9149" s="31"/>
      <c r="G9149" s="31"/>
      <c r="H9149" s="31"/>
    </row>
    <row r="9150" spans="2:8" hidden="1">
      <c r="B9150" s="33"/>
      <c r="C9150" s="31"/>
      <c r="D9150" s="31"/>
      <c r="E9150" s="31"/>
      <c r="F9150" s="31"/>
      <c r="G9150" s="31"/>
      <c r="H9150" s="31"/>
    </row>
    <row r="9151" spans="2:8" hidden="1">
      <c r="B9151" s="33"/>
      <c r="C9151" s="31"/>
      <c r="D9151" s="31"/>
      <c r="E9151" s="31"/>
      <c r="F9151" s="31"/>
      <c r="G9151" s="31"/>
      <c r="H9151" s="31"/>
    </row>
    <row r="9152" spans="2:8" hidden="1">
      <c r="B9152" s="33"/>
      <c r="C9152" s="31"/>
      <c r="D9152" s="31"/>
      <c r="E9152" s="31"/>
      <c r="F9152" s="31"/>
      <c r="G9152" s="31"/>
      <c r="H9152" s="31"/>
    </row>
    <row r="9153" spans="2:8" hidden="1">
      <c r="B9153" s="33"/>
      <c r="C9153" s="31"/>
      <c r="D9153" s="31"/>
      <c r="E9153" s="31"/>
      <c r="F9153" s="31"/>
      <c r="G9153" s="31"/>
      <c r="H9153" s="31"/>
    </row>
    <row r="9154" spans="2:8" hidden="1">
      <c r="B9154" s="33"/>
      <c r="C9154" s="31"/>
      <c r="D9154" s="31"/>
      <c r="E9154" s="31"/>
      <c r="F9154" s="31"/>
      <c r="G9154" s="31"/>
      <c r="H9154" s="31"/>
    </row>
    <row r="9155" spans="2:8" hidden="1">
      <c r="B9155" s="33"/>
      <c r="C9155" s="31"/>
      <c r="D9155" s="31"/>
      <c r="E9155" s="31"/>
      <c r="F9155" s="31"/>
      <c r="G9155" s="31"/>
      <c r="H9155" s="31"/>
    </row>
    <row r="9156" spans="2:8" hidden="1">
      <c r="B9156" s="33"/>
      <c r="C9156" s="31"/>
      <c r="D9156" s="31"/>
      <c r="E9156" s="31"/>
      <c r="F9156" s="31"/>
      <c r="G9156" s="31"/>
      <c r="H9156" s="31"/>
    </row>
    <row r="9157" spans="2:8" hidden="1">
      <c r="B9157" s="33"/>
      <c r="C9157" s="31"/>
      <c r="D9157" s="31"/>
      <c r="E9157" s="31"/>
      <c r="F9157" s="31"/>
      <c r="G9157" s="31"/>
      <c r="H9157" s="31"/>
    </row>
    <row r="9158" spans="2:8" hidden="1">
      <c r="B9158" s="33"/>
      <c r="C9158" s="31"/>
      <c r="D9158" s="31"/>
      <c r="E9158" s="31"/>
      <c r="F9158" s="31"/>
      <c r="G9158" s="31"/>
      <c r="H9158" s="31"/>
    </row>
    <row r="9159" spans="2:8" hidden="1">
      <c r="B9159" s="33"/>
      <c r="C9159" s="31"/>
      <c r="D9159" s="31"/>
      <c r="E9159" s="31"/>
      <c r="F9159" s="31"/>
      <c r="G9159" s="31"/>
      <c r="H9159" s="31"/>
    </row>
    <row r="9160" spans="2:8" hidden="1">
      <c r="B9160" s="33"/>
      <c r="C9160" s="31"/>
      <c r="D9160" s="31"/>
      <c r="E9160" s="31"/>
      <c r="F9160" s="31"/>
      <c r="G9160" s="31"/>
      <c r="H9160" s="31"/>
    </row>
    <row r="9161" spans="2:8" hidden="1">
      <c r="B9161" s="33"/>
      <c r="C9161" s="31"/>
      <c r="D9161" s="31"/>
      <c r="E9161" s="31"/>
      <c r="F9161" s="31"/>
      <c r="G9161" s="31"/>
      <c r="H9161" s="31"/>
    </row>
    <row r="9162" spans="2:8" hidden="1">
      <c r="B9162" s="33"/>
      <c r="C9162" s="31"/>
      <c r="D9162" s="31"/>
      <c r="E9162" s="31"/>
      <c r="F9162" s="31"/>
      <c r="G9162" s="31"/>
      <c r="H9162" s="31"/>
    </row>
    <row r="9163" spans="2:8" hidden="1">
      <c r="B9163" s="33"/>
      <c r="C9163" s="31"/>
      <c r="D9163" s="31"/>
      <c r="E9163" s="31"/>
      <c r="F9163" s="31"/>
      <c r="G9163" s="31"/>
      <c r="H9163" s="31"/>
    </row>
    <row r="9164" spans="2:8" hidden="1">
      <c r="B9164" s="33"/>
      <c r="C9164" s="31"/>
      <c r="D9164" s="31"/>
      <c r="E9164" s="31"/>
      <c r="F9164" s="31"/>
      <c r="G9164" s="31"/>
      <c r="H9164" s="31"/>
    </row>
    <row r="9165" spans="2:8" hidden="1">
      <c r="B9165" s="33"/>
      <c r="C9165" s="31"/>
      <c r="D9165" s="31"/>
      <c r="E9165" s="31"/>
      <c r="F9165" s="31"/>
      <c r="G9165" s="31"/>
      <c r="H9165" s="31"/>
    </row>
    <row r="9166" spans="2:8" hidden="1">
      <c r="B9166" s="33"/>
      <c r="C9166" s="31"/>
      <c r="D9166" s="31"/>
      <c r="E9166" s="31"/>
      <c r="F9166" s="31"/>
      <c r="G9166" s="31"/>
      <c r="H9166" s="31"/>
    </row>
    <row r="9167" spans="2:8" hidden="1">
      <c r="B9167" s="33"/>
      <c r="C9167" s="31"/>
      <c r="D9167" s="31"/>
      <c r="E9167" s="31"/>
      <c r="F9167" s="31"/>
      <c r="G9167" s="31"/>
      <c r="H9167" s="31"/>
    </row>
    <row r="9168" spans="2:8" hidden="1">
      <c r="B9168" s="33"/>
      <c r="C9168" s="31"/>
      <c r="D9168" s="31"/>
      <c r="E9168" s="31"/>
      <c r="F9168" s="31"/>
      <c r="G9168" s="31"/>
      <c r="H9168" s="31"/>
    </row>
    <row r="9169" spans="2:8" hidden="1">
      <c r="B9169" s="33"/>
      <c r="C9169" s="31"/>
      <c r="D9169" s="31"/>
      <c r="E9169" s="31"/>
      <c r="F9169" s="31"/>
      <c r="G9169" s="31"/>
      <c r="H9169" s="31"/>
    </row>
    <row r="9170" spans="2:8" hidden="1">
      <c r="B9170" s="33"/>
      <c r="C9170" s="31"/>
      <c r="D9170" s="31"/>
      <c r="E9170" s="31"/>
      <c r="F9170" s="31"/>
      <c r="G9170" s="31"/>
      <c r="H9170" s="31"/>
    </row>
    <row r="9171" spans="2:8" hidden="1">
      <c r="B9171" s="33"/>
      <c r="C9171" s="31"/>
      <c r="D9171" s="31"/>
      <c r="E9171" s="31"/>
      <c r="F9171" s="31"/>
      <c r="G9171" s="31"/>
      <c r="H9171" s="31"/>
    </row>
    <row r="9172" spans="2:8" hidden="1">
      <c r="B9172" s="33"/>
      <c r="C9172" s="31"/>
      <c r="D9172" s="31"/>
      <c r="E9172" s="31"/>
      <c r="F9172" s="31"/>
      <c r="G9172" s="31"/>
      <c r="H9172" s="31"/>
    </row>
    <row r="9173" spans="2:8" hidden="1">
      <c r="B9173" s="33"/>
      <c r="C9173" s="31"/>
      <c r="D9173" s="31"/>
      <c r="E9173" s="31"/>
      <c r="F9173" s="31"/>
      <c r="G9173" s="31"/>
      <c r="H9173" s="31"/>
    </row>
    <row r="9174" spans="2:8" hidden="1">
      <c r="B9174" s="33"/>
      <c r="C9174" s="31"/>
      <c r="D9174" s="31"/>
      <c r="E9174" s="31"/>
      <c r="F9174" s="31"/>
      <c r="G9174" s="31"/>
      <c r="H9174" s="31"/>
    </row>
    <row r="9175" spans="2:8" hidden="1">
      <c r="B9175" s="33"/>
      <c r="C9175" s="31"/>
      <c r="D9175" s="31"/>
      <c r="E9175" s="31"/>
      <c r="F9175" s="31"/>
      <c r="G9175" s="31"/>
      <c r="H9175" s="31"/>
    </row>
    <row r="9176" spans="2:8" hidden="1">
      <c r="B9176" s="33"/>
      <c r="C9176" s="31"/>
      <c r="D9176" s="31"/>
      <c r="E9176" s="31"/>
      <c r="F9176" s="31"/>
      <c r="G9176" s="31"/>
      <c r="H9176" s="31"/>
    </row>
    <row r="9177" spans="2:8" hidden="1">
      <c r="B9177" s="33"/>
      <c r="C9177" s="31"/>
      <c r="D9177" s="31"/>
      <c r="E9177" s="31"/>
      <c r="F9177" s="31"/>
      <c r="G9177" s="31"/>
      <c r="H9177" s="31"/>
    </row>
    <row r="9178" spans="2:8" hidden="1">
      <c r="B9178" s="33"/>
      <c r="C9178" s="31"/>
      <c r="D9178" s="31"/>
      <c r="E9178" s="31"/>
      <c r="F9178" s="31"/>
      <c r="G9178" s="31"/>
      <c r="H9178" s="31"/>
    </row>
    <row r="9179" spans="2:8" hidden="1">
      <c r="B9179" s="33"/>
      <c r="C9179" s="31"/>
      <c r="D9179" s="31"/>
      <c r="E9179" s="31"/>
      <c r="F9179" s="31"/>
      <c r="G9179" s="31"/>
      <c r="H9179" s="31"/>
    </row>
    <row r="9180" spans="2:8" hidden="1">
      <c r="B9180" s="33"/>
      <c r="C9180" s="31"/>
      <c r="D9180" s="31"/>
      <c r="E9180" s="31"/>
      <c r="F9180" s="31"/>
      <c r="G9180" s="31"/>
      <c r="H9180" s="31"/>
    </row>
    <row r="9181" spans="2:8" hidden="1">
      <c r="B9181" s="33"/>
      <c r="C9181" s="31"/>
      <c r="D9181" s="31"/>
      <c r="E9181" s="31"/>
      <c r="F9181" s="31"/>
      <c r="G9181" s="31"/>
      <c r="H9181" s="31"/>
    </row>
    <row r="9182" spans="2:8" hidden="1">
      <c r="B9182" s="33"/>
      <c r="C9182" s="31"/>
      <c r="D9182" s="31"/>
      <c r="E9182" s="31"/>
      <c r="F9182" s="31"/>
      <c r="G9182" s="31"/>
      <c r="H9182" s="31"/>
    </row>
    <row r="9183" spans="2:8" hidden="1">
      <c r="B9183" s="33"/>
      <c r="C9183" s="31"/>
      <c r="D9183" s="31"/>
      <c r="E9183" s="31"/>
      <c r="F9183" s="31"/>
      <c r="G9183" s="31"/>
      <c r="H9183" s="31"/>
    </row>
    <row r="9184" spans="2:8" hidden="1">
      <c r="B9184" s="33"/>
      <c r="C9184" s="31"/>
      <c r="D9184" s="31"/>
      <c r="E9184" s="31"/>
      <c r="F9184" s="31"/>
      <c r="G9184" s="31"/>
      <c r="H9184" s="31"/>
    </row>
    <row r="9185" spans="2:8" hidden="1">
      <c r="B9185" s="33"/>
      <c r="C9185" s="31"/>
      <c r="D9185" s="31"/>
      <c r="E9185" s="31"/>
      <c r="F9185" s="31"/>
      <c r="G9185" s="31"/>
      <c r="H9185" s="31"/>
    </row>
    <row r="9186" spans="2:8" hidden="1">
      <c r="B9186" s="33"/>
      <c r="C9186" s="31"/>
      <c r="D9186" s="31"/>
      <c r="E9186" s="31"/>
      <c r="F9186" s="31"/>
      <c r="G9186" s="31"/>
      <c r="H9186" s="31"/>
    </row>
    <row r="9187" spans="2:8" hidden="1">
      <c r="B9187" s="33"/>
      <c r="C9187" s="31"/>
      <c r="D9187" s="31"/>
      <c r="E9187" s="31"/>
      <c r="F9187" s="31"/>
      <c r="G9187" s="31"/>
      <c r="H9187" s="31"/>
    </row>
    <row r="9188" spans="2:8" hidden="1">
      <c r="B9188" s="33"/>
      <c r="C9188" s="31"/>
      <c r="D9188" s="31"/>
      <c r="E9188" s="31"/>
      <c r="F9188" s="31"/>
      <c r="G9188" s="31"/>
      <c r="H9188" s="31"/>
    </row>
    <row r="9189" spans="2:8" hidden="1">
      <c r="B9189" s="33"/>
      <c r="C9189" s="31"/>
      <c r="D9189" s="31"/>
      <c r="E9189" s="31"/>
      <c r="F9189" s="31"/>
      <c r="G9189" s="31"/>
      <c r="H9189" s="31"/>
    </row>
    <row r="9190" spans="2:8" hidden="1">
      <c r="B9190" s="33"/>
      <c r="C9190" s="31"/>
      <c r="D9190" s="31"/>
      <c r="E9190" s="31"/>
      <c r="F9190" s="31"/>
      <c r="G9190" s="31"/>
      <c r="H9190" s="31"/>
    </row>
    <row r="9191" spans="2:8" hidden="1">
      <c r="B9191" s="33"/>
      <c r="C9191" s="31"/>
      <c r="D9191" s="31"/>
      <c r="E9191" s="31"/>
      <c r="F9191" s="31"/>
      <c r="G9191" s="31"/>
      <c r="H9191" s="31"/>
    </row>
    <row r="9192" spans="2:8" hidden="1">
      <c r="B9192" s="33"/>
      <c r="C9192" s="31"/>
      <c r="D9192" s="31"/>
      <c r="E9192" s="31"/>
      <c r="F9192" s="31"/>
      <c r="G9192" s="31"/>
      <c r="H9192" s="31"/>
    </row>
    <row r="9193" spans="2:8" hidden="1">
      <c r="B9193" s="33"/>
      <c r="C9193" s="31"/>
      <c r="D9193" s="31"/>
      <c r="E9193" s="31"/>
      <c r="F9193" s="31"/>
      <c r="G9193" s="31"/>
      <c r="H9193" s="31"/>
    </row>
    <row r="9194" spans="2:8" hidden="1">
      <c r="B9194" s="33"/>
      <c r="C9194" s="31"/>
      <c r="D9194" s="31"/>
      <c r="E9194" s="31"/>
      <c r="F9194" s="31"/>
      <c r="G9194" s="31"/>
      <c r="H9194" s="31"/>
    </row>
    <row r="9195" spans="2:8" hidden="1">
      <c r="B9195" s="33"/>
      <c r="C9195" s="31"/>
      <c r="D9195" s="31"/>
      <c r="E9195" s="31"/>
      <c r="F9195" s="31"/>
      <c r="G9195" s="31"/>
      <c r="H9195" s="31"/>
    </row>
    <row r="9196" spans="2:8" hidden="1">
      <c r="B9196" s="33"/>
      <c r="C9196" s="31"/>
      <c r="D9196" s="31"/>
      <c r="E9196" s="31"/>
      <c r="F9196" s="31"/>
      <c r="G9196" s="31"/>
      <c r="H9196" s="31"/>
    </row>
    <row r="9197" spans="2:8" hidden="1">
      <c r="B9197" s="33"/>
      <c r="C9197" s="31"/>
      <c r="D9197" s="31"/>
      <c r="E9197" s="31"/>
      <c r="F9197" s="31"/>
      <c r="G9197" s="31"/>
      <c r="H9197" s="31"/>
    </row>
    <row r="9198" spans="2:8" hidden="1">
      <c r="B9198" s="33"/>
      <c r="C9198" s="31"/>
      <c r="D9198" s="31"/>
      <c r="E9198" s="31"/>
      <c r="F9198" s="31"/>
      <c r="G9198" s="31"/>
      <c r="H9198" s="31"/>
    </row>
    <row r="9199" spans="2:8" hidden="1">
      <c r="B9199" s="33"/>
      <c r="C9199" s="31"/>
      <c r="D9199" s="31"/>
      <c r="E9199" s="31"/>
      <c r="F9199" s="31"/>
      <c r="G9199" s="31"/>
      <c r="H9199" s="31"/>
    </row>
    <row r="9200" spans="2:8" hidden="1">
      <c r="B9200" s="33"/>
      <c r="C9200" s="31"/>
      <c r="D9200" s="31"/>
      <c r="E9200" s="31"/>
      <c r="F9200" s="31"/>
      <c r="G9200" s="31"/>
      <c r="H9200" s="31"/>
    </row>
    <row r="9201" spans="2:8" hidden="1">
      <c r="B9201" s="33"/>
      <c r="C9201" s="31"/>
      <c r="D9201" s="31"/>
      <c r="E9201" s="31"/>
      <c r="F9201" s="31"/>
      <c r="G9201" s="31"/>
      <c r="H9201" s="31"/>
    </row>
    <row r="9202" spans="2:8" hidden="1">
      <c r="B9202" s="33"/>
      <c r="C9202" s="31"/>
      <c r="D9202" s="31"/>
      <c r="E9202" s="31"/>
      <c r="F9202" s="31"/>
      <c r="G9202" s="31"/>
      <c r="H9202" s="31"/>
    </row>
    <row r="9203" spans="2:8" hidden="1">
      <c r="B9203" s="33"/>
      <c r="C9203" s="31"/>
      <c r="D9203" s="31"/>
      <c r="E9203" s="31"/>
      <c r="F9203" s="31"/>
      <c r="G9203" s="31"/>
      <c r="H9203" s="31"/>
    </row>
    <row r="9204" spans="2:8" hidden="1">
      <c r="B9204" s="33"/>
      <c r="C9204" s="31"/>
      <c r="D9204" s="31"/>
      <c r="E9204" s="31"/>
      <c r="F9204" s="31"/>
      <c r="G9204" s="31"/>
      <c r="H9204" s="31"/>
    </row>
    <row r="9205" spans="2:8" hidden="1">
      <c r="B9205" s="33"/>
      <c r="C9205" s="31"/>
      <c r="D9205" s="31"/>
      <c r="E9205" s="31"/>
      <c r="F9205" s="31"/>
      <c r="G9205" s="31"/>
      <c r="H9205" s="31"/>
    </row>
    <row r="9206" spans="2:8" hidden="1">
      <c r="B9206" s="33"/>
      <c r="C9206" s="31"/>
      <c r="D9206" s="31"/>
      <c r="E9206" s="31"/>
      <c r="F9206" s="31"/>
      <c r="G9206" s="31"/>
      <c r="H9206" s="31"/>
    </row>
    <row r="9207" spans="2:8" hidden="1">
      <c r="B9207" s="33"/>
      <c r="C9207" s="31"/>
      <c r="D9207" s="31"/>
      <c r="E9207" s="31"/>
      <c r="F9207" s="31"/>
      <c r="G9207" s="31"/>
      <c r="H9207" s="31"/>
    </row>
    <row r="9208" spans="2:8" hidden="1">
      <c r="B9208" s="33"/>
      <c r="C9208" s="31"/>
      <c r="D9208" s="31"/>
      <c r="E9208" s="31"/>
      <c r="F9208" s="31"/>
      <c r="G9208" s="31"/>
      <c r="H9208" s="31"/>
    </row>
    <row r="9209" spans="2:8" hidden="1">
      <c r="B9209" s="33"/>
      <c r="C9209" s="31"/>
      <c r="D9209" s="31"/>
      <c r="E9209" s="31"/>
      <c r="F9209" s="31"/>
      <c r="G9209" s="31"/>
      <c r="H9209" s="31"/>
    </row>
    <row r="9210" spans="2:8" hidden="1">
      <c r="B9210" s="33"/>
      <c r="C9210" s="31"/>
      <c r="D9210" s="31"/>
      <c r="E9210" s="31"/>
      <c r="F9210" s="31"/>
      <c r="G9210" s="31"/>
      <c r="H9210" s="31"/>
    </row>
    <row r="9211" spans="2:8" hidden="1">
      <c r="B9211" s="33"/>
      <c r="C9211" s="31"/>
      <c r="D9211" s="31"/>
      <c r="E9211" s="31"/>
      <c r="F9211" s="31"/>
      <c r="G9211" s="31"/>
      <c r="H9211" s="31"/>
    </row>
    <row r="9212" spans="2:8" hidden="1">
      <c r="B9212" s="33"/>
      <c r="C9212" s="31"/>
      <c r="D9212" s="31"/>
      <c r="E9212" s="31"/>
      <c r="F9212" s="31"/>
      <c r="G9212" s="31"/>
      <c r="H9212" s="31"/>
    </row>
    <row r="9213" spans="2:8" hidden="1">
      <c r="B9213" s="33"/>
      <c r="C9213" s="31"/>
      <c r="D9213" s="31"/>
      <c r="E9213" s="31"/>
      <c r="F9213" s="31"/>
      <c r="G9213" s="31"/>
      <c r="H9213" s="31"/>
    </row>
    <row r="9214" spans="2:8" hidden="1">
      <c r="B9214" s="33"/>
      <c r="C9214" s="31"/>
      <c r="D9214" s="31"/>
      <c r="E9214" s="31"/>
      <c r="F9214" s="31"/>
      <c r="G9214" s="31"/>
      <c r="H9214" s="31"/>
    </row>
    <row r="9215" spans="2:8" hidden="1">
      <c r="B9215" s="33"/>
      <c r="C9215" s="31"/>
      <c r="D9215" s="31"/>
      <c r="E9215" s="31"/>
      <c r="F9215" s="31"/>
      <c r="G9215" s="31"/>
      <c r="H9215" s="31"/>
    </row>
    <row r="9216" spans="2:8" hidden="1">
      <c r="B9216" s="33"/>
      <c r="C9216" s="31"/>
      <c r="D9216" s="31"/>
      <c r="E9216" s="31"/>
      <c r="F9216" s="31"/>
      <c r="G9216" s="31"/>
      <c r="H9216" s="31"/>
    </row>
    <row r="9217" spans="2:8" hidden="1">
      <c r="B9217" s="33"/>
      <c r="C9217" s="31"/>
      <c r="D9217" s="31"/>
      <c r="E9217" s="31"/>
      <c r="F9217" s="31"/>
      <c r="G9217" s="31"/>
      <c r="H9217" s="31"/>
    </row>
    <row r="9218" spans="2:8" hidden="1">
      <c r="B9218" s="33"/>
      <c r="C9218" s="31"/>
      <c r="D9218" s="31"/>
      <c r="E9218" s="31"/>
      <c r="F9218" s="31"/>
      <c r="G9218" s="31"/>
      <c r="H9218" s="31"/>
    </row>
    <row r="9219" spans="2:8" hidden="1">
      <c r="B9219" s="33"/>
      <c r="C9219" s="31"/>
      <c r="D9219" s="31"/>
      <c r="E9219" s="31"/>
      <c r="F9219" s="31"/>
      <c r="G9219" s="31"/>
      <c r="H9219" s="31"/>
    </row>
    <row r="9220" spans="2:8" hidden="1">
      <c r="B9220" s="33"/>
      <c r="C9220" s="31"/>
      <c r="D9220" s="31"/>
      <c r="E9220" s="31"/>
      <c r="F9220" s="31"/>
      <c r="G9220" s="31"/>
      <c r="H9220" s="31"/>
    </row>
    <row r="9221" spans="2:8" hidden="1">
      <c r="B9221" s="33"/>
      <c r="C9221" s="31"/>
      <c r="D9221" s="31"/>
      <c r="E9221" s="31"/>
      <c r="F9221" s="31"/>
      <c r="G9221" s="31"/>
      <c r="H9221" s="31"/>
    </row>
    <row r="9222" spans="2:8" hidden="1">
      <c r="B9222" s="33"/>
      <c r="C9222" s="31"/>
      <c r="D9222" s="31"/>
      <c r="E9222" s="31"/>
      <c r="F9222" s="31"/>
      <c r="G9222" s="31"/>
      <c r="H9222" s="31"/>
    </row>
    <row r="9223" spans="2:8" hidden="1">
      <c r="B9223" s="33"/>
      <c r="C9223" s="31"/>
      <c r="D9223" s="31"/>
      <c r="E9223" s="31"/>
      <c r="F9223" s="31"/>
      <c r="G9223" s="31"/>
      <c r="H9223" s="31"/>
    </row>
    <row r="9224" spans="2:8" hidden="1">
      <c r="B9224" s="33"/>
      <c r="C9224" s="31"/>
      <c r="D9224" s="31"/>
      <c r="E9224" s="31"/>
      <c r="F9224" s="31"/>
      <c r="G9224" s="31"/>
      <c r="H9224" s="31"/>
    </row>
    <row r="9225" spans="2:8" hidden="1">
      <c r="B9225" s="33"/>
      <c r="C9225" s="31"/>
      <c r="D9225" s="31"/>
      <c r="E9225" s="31"/>
      <c r="F9225" s="31"/>
      <c r="G9225" s="31"/>
      <c r="H9225" s="31"/>
    </row>
    <row r="9226" spans="2:8" hidden="1">
      <c r="B9226" s="33"/>
      <c r="C9226" s="31"/>
      <c r="D9226" s="31"/>
      <c r="E9226" s="31"/>
      <c r="F9226" s="31"/>
      <c r="G9226" s="31"/>
      <c r="H9226" s="31"/>
    </row>
    <row r="9227" spans="2:8" hidden="1">
      <c r="B9227" s="33"/>
      <c r="C9227" s="31"/>
      <c r="D9227" s="31"/>
      <c r="E9227" s="31"/>
      <c r="F9227" s="31"/>
      <c r="G9227" s="31"/>
      <c r="H9227" s="31"/>
    </row>
    <row r="9228" spans="2:8" hidden="1">
      <c r="B9228" s="33"/>
      <c r="C9228" s="31"/>
      <c r="D9228" s="31"/>
      <c r="E9228" s="31"/>
      <c r="F9228" s="31"/>
      <c r="G9228" s="31"/>
      <c r="H9228" s="31"/>
    </row>
    <row r="9229" spans="2:8" hidden="1">
      <c r="B9229" s="33"/>
      <c r="C9229" s="31"/>
      <c r="D9229" s="31"/>
      <c r="E9229" s="31"/>
      <c r="F9229" s="31"/>
      <c r="G9229" s="31"/>
      <c r="H9229" s="31"/>
    </row>
    <row r="9230" spans="2:8" hidden="1">
      <c r="B9230" s="33"/>
      <c r="C9230" s="31"/>
      <c r="D9230" s="31"/>
      <c r="E9230" s="31"/>
      <c r="F9230" s="31"/>
      <c r="G9230" s="31"/>
      <c r="H9230" s="31"/>
    </row>
    <row r="9231" spans="2:8" hidden="1">
      <c r="B9231" s="33"/>
      <c r="C9231" s="31"/>
      <c r="D9231" s="31"/>
      <c r="E9231" s="31"/>
      <c r="F9231" s="31"/>
      <c r="G9231" s="31"/>
      <c r="H9231" s="31"/>
    </row>
    <row r="9232" spans="2:8" hidden="1">
      <c r="B9232" s="33"/>
      <c r="C9232" s="31"/>
      <c r="D9232" s="31"/>
      <c r="E9232" s="31"/>
      <c r="F9232" s="31"/>
      <c r="G9232" s="31"/>
      <c r="H9232" s="31"/>
    </row>
    <row r="9233" spans="2:8" hidden="1">
      <c r="B9233" s="33"/>
      <c r="C9233" s="31"/>
      <c r="D9233" s="31"/>
      <c r="E9233" s="31"/>
      <c r="F9233" s="31"/>
      <c r="G9233" s="31"/>
      <c r="H9233" s="31"/>
    </row>
    <row r="9234" spans="2:8" hidden="1">
      <c r="B9234" s="33"/>
      <c r="C9234" s="31"/>
      <c r="D9234" s="31"/>
      <c r="E9234" s="31"/>
      <c r="F9234" s="31"/>
      <c r="G9234" s="31"/>
      <c r="H9234" s="31"/>
    </row>
    <row r="9235" spans="2:8" hidden="1">
      <c r="B9235" s="33"/>
      <c r="C9235" s="31"/>
      <c r="D9235" s="31"/>
      <c r="E9235" s="31"/>
      <c r="F9235" s="31"/>
      <c r="G9235" s="31"/>
      <c r="H9235" s="31"/>
    </row>
    <row r="9236" spans="2:8" hidden="1">
      <c r="B9236" s="33"/>
      <c r="C9236" s="31"/>
      <c r="D9236" s="31"/>
      <c r="E9236" s="31"/>
      <c r="F9236" s="31"/>
      <c r="G9236" s="31"/>
      <c r="H9236" s="31"/>
    </row>
    <row r="9237" spans="2:8" hidden="1">
      <c r="B9237" s="33"/>
      <c r="C9237" s="31"/>
      <c r="D9237" s="31"/>
      <c r="E9237" s="31"/>
      <c r="F9237" s="31"/>
      <c r="G9237" s="31"/>
      <c r="H9237" s="31"/>
    </row>
    <row r="9238" spans="2:8" hidden="1">
      <c r="B9238" s="33"/>
      <c r="C9238" s="31"/>
      <c r="D9238" s="31"/>
      <c r="E9238" s="31"/>
      <c r="F9238" s="31"/>
      <c r="G9238" s="31"/>
      <c r="H9238" s="31"/>
    </row>
    <row r="9239" spans="2:8" hidden="1">
      <c r="B9239" s="33"/>
      <c r="C9239" s="31"/>
      <c r="D9239" s="31"/>
      <c r="E9239" s="31"/>
      <c r="F9239" s="31"/>
      <c r="G9239" s="31"/>
      <c r="H9239" s="31"/>
    </row>
    <row r="9240" spans="2:8" hidden="1">
      <c r="B9240" s="33"/>
      <c r="C9240" s="31"/>
      <c r="D9240" s="31"/>
      <c r="E9240" s="31"/>
      <c r="F9240" s="31"/>
      <c r="G9240" s="31"/>
      <c r="H9240" s="31"/>
    </row>
    <row r="9241" spans="2:8" hidden="1">
      <c r="B9241" s="33"/>
      <c r="C9241" s="31"/>
      <c r="D9241" s="31"/>
      <c r="E9241" s="31"/>
      <c r="F9241" s="31"/>
      <c r="G9241" s="31"/>
      <c r="H9241" s="31"/>
    </row>
    <row r="9242" spans="2:8" hidden="1">
      <c r="B9242" s="33"/>
      <c r="C9242" s="31"/>
      <c r="D9242" s="31"/>
      <c r="E9242" s="31"/>
      <c r="F9242" s="31"/>
      <c r="G9242" s="31"/>
      <c r="H9242" s="31"/>
    </row>
    <row r="9243" spans="2:8" hidden="1">
      <c r="B9243" s="33"/>
      <c r="C9243" s="31"/>
      <c r="D9243" s="31"/>
      <c r="E9243" s="31"/>
      <c r="F9243" s="31"/>
      <c r="G9243" s="31"/>
      <c r="H9243" s="31"/>
    </row>
    <row r="9244" spans="2:8" hidden="1">
      <c r="B9244" s="33"/>
      <c r="C9244" s="31"/>
      <c r="D9244" s="31"/>
      <c r="E9244" s="31"/>
      <c r="F9244" s="31"/>
      <c r="G9244" s="31"/>
      <c r="H9244" s="31"/>
    </row>
    <row r="9245" spans="2:8" hidden="1">
      <c r="B9245" s="33"/>
      <c r="C9245" s="31"/>
      <c r="D9245" s="31"/>
      <c r="E9245" s="31"/>
      <c r="F9245" s="31"/>
      <c r="G9245" s="31"/>
      <c r="H9245" s="31"/>
    </row>
    <row r="9246" spans="2:8" hidden="1">
      <c r="B9246" s="33"/>
      <c r="C9246" s="31"/>
      <c r="D9246" s="31"/>
      <c r="E9246" s="31"/>
      <c r="F9246" s="31"/>
      <c r="G9246" s="31"/>
      <c r="H9246" s="31"/>
    </row>
    <row r="9247" spans="2:8" hidden="1">
      <c r="B9247" s="33"/>
      <c r="C9247" s="31"/>
      <c r="D9247" s="31"/>
      <c r="E9247" s="31"/>
      <c r="F9247" s="31"/>
      <c r="G9247" s="31"/>
      <c r="H9247" s="31"/>
    </row>
    <row r="9248" spans="2:8" hidden="1">
      <c r="B9248" s="33"/>
      <c r="C9248" s="31"/>
      <c r="D9248" s="31"/>
      <c r="E9248" s="31"/>
      <c r="F9248" s="31"/>
      <c r="G9248" s="31"/>
      <c r="H9248" s="31"/>
    </row>
    <row r="9249" spans="2:8" hidden="1">
      <c r="B9249" s="33"/>
      <c r="C9249" s="31"/>
      <c r="D9249" s="31"/>
      <c r="E9249" s="31"/>
      <c r="F9249" s="31"/>
      <c r="G9249" s="31"/>
      <c r="H9249" s="31"/>
    </row>
    <row r="9250" spans="2:8" hidden="1">
      <c r="B9250" s="33"/>
      <c r="C9250" s="31"/>
      <c r="D9250" s="31"/>
      <c r="E9250" s="31"/>
      <c r="F9250" s="31"/>
      <c r="G9250" s="31"/>
      <c r="H9250" s="31"/>
    </row>
    <row r="9251" spans="2:8" hidden="1">
      <c r="B9251" s="33"/>
      <c r="C9251" s="31"/>
      <c r="D9251" s="31"/>
      <c r="E9251" s="31"/>
      <c r="F9251" s="31"/>
      <c r="G9251" s="31"/>
      <c r="H9251" s="31"/>
    </row>
    <row r="9252" spans="2:8" hidden="1">
      <c r="B9252" s="33"/>
      <c r="C9252" s="31"/>
      <c r="D9252" s="31"/>
      <c r="E9252" s="31"/>
      <c r="F9252" s="31"/>
      <c r="G9252" s="31"/>
      <c r="H9252" s="31"/>
    </row>
    <row r="9253" spans="2:8" hidden="1">
      <c r="B9253" s="33"/>
      <c r="C9253" s="31"/>
      <c r="D9253" s="31"/>
      <c r="E9253" s="31"/>
      <c r="F9253" s="31"/>
      <c r="G9253" s="31"/>
      <c r="H9253" s="31"/>
    </row>
    <row r="9254" spans="2:8" hidden="1">
      <c r="B9254" s="33"/>
      <c r="C9254" s="31"/>
      <c r="D9254" s="31"/>
      <c r="E9254" s="31"/>
      <c r="F9254" s="31"/>
      <c r="G9254" s="31"/>
      <c r="H9254" s="31"/>
    </row>
    <row r="9255" spans="2:8" hidden="1">
      <c r="B9255" s="33"/>
      <c r="C9255" s="31"/>
      <c r="D9255" s="31"/>
      <c r="E9255" s="31"/>
      <c r="F9255" s="31"/>
      <c r="G9255" s="31"/>
      <c r="H9255" s="31"/>
    </row>
    <row r="9256" spans="2:8" hidden="1">
      <c r="B9256" s="33"/>
      <c r="C9256" s="31"/>
      <c r="D9256" s="31"/>
      <c r="E9256" s="31"/>
      <c r="F9256" s="31"/>
      <c r="G9256" s="31"/>
      <c r="H9256" s="31"/>
    </row>
    <row r="9257" spans="2:8" hidden="1">
      <c r="B9257" s="33"/>
      <c r="C9257" s="31"/>
      <c r="D9257" s="31"/>
      <c r="E9257" s="31"/>
      <c r="F9257" s="31"/>
      <c r="G9257" s="31"/>
      <c r="H9257" s="31"/>
    </row>
    <row r="9258" spans="2:8" hidden="1">
      <c r="B9258" s="33"/>
      <c r="C9258" s="31"/>
      <c r="D9258" s="31"/>
      <c r="E9258" s="31"/>
      <c r="F9258" s="31"/>
      <c r="G9258" s="31"/>
      <c r="H9258" s="31"/>
    </row>
    <row r="9259" spans="2:8" hidden="1">
      <c r="B9259" s="33"/>
      <c r="C9259" s="31"/>
      <c r="D9259" s="31"/>
      <c r="E9259" s="31"/>
      <c r="F9259" s="31"/>
      <c r="G9259" s="31"/>
      <c r="H9259" s="31"/>
    </row>
    <row r="9260" spans="2:8" hidden="1">
      <c r="B9260" s="33"/>
      <c r="C9260" s="31"/>
      <c r="D9260" s="31"/>
      <c r="E9260" s="31"/>
      <c r="F9260" s="31"/>
      <c r="G9260" s="31"/>
      <c r="H9260" s="31"/>
    </row>
    <row r="9261" spans="2:8" hidden="1">
      <c r="B9261" s="33"/>
      <c r="C9261" s="31"/>
      <c r="D9261" s="31"/>
      <c r="E9261" s="31"/>
      <c r="F9261" s="31"/>
      <c r="G9261" s="31"/>
      <c r="H9261" s="31"/>
    </row>
    <row r="9262" spans="2:8" hidden="1">
      <c r="B9262" s="33"/>
      <c r="C9262" s="31"/>
      <c r="D9262" s="31"/>
      <c r="E9262" s="31"/>
      <c r="F9262" s="31"/>
      <c r="G9262" s="31"/>
      <c r="H9262" s="31"/>
    </row>
    <row r="9263" spans="2:8" hidden="1">
      <c r="B9263" s="33"/>
      <c r="C9263" s="31"/>
      <c r="D9263" s="31"/>
      <c r="E9263" s="31"/>
      <c r="F9263" s="31"/>
      <c r="G9263" s="31"/>
      <c r="H9263" s="31"/>
    </row>
    <row r="9264" spans="2:8" hidden="1">
      <c r="B9264" s="33"/>
      <c r="C9264" s="31"/>
      <c r="D9264" s="31"/>
      <c r="E9264" s="31"/>
      <c r="F9264" s="31"/>
      <c r="G9264" s="31"/>
      <c r="H9264" s="31"/>
    </row>
    <row r="9265" spans="2:8" hidden="1">
      <c r="B9265" s="33"/>
      <c r="C9265" s="31"/>
      <c r="D9265" s="31"/>
      <c r="E9265" s="31"/>
      <c r="F9265" s="31"/>
      <c r="G9265" s="31"/>
      <c r="H9265" s="31"/>
    </row>
    <row r="9266" spans="2:8" hidden="1">
      <c r="B9266" s="33"/>
      <c r="C9266" s="31"/>
      <c r="D9266" s="31"/>
      <c r="E9266" s="31"/>
      <c r="F9266" s="31"/>
      <c r="G9266" s="31"/>
      <c r="H9266" s="31"/>
    </row>
    <row r="9267" spans="2:8" hidden="1">
      <c r="B9267" s="33"/>
      <c r="C9267" s="31"/>
      <c r="D9267" s="31"/>
      <c r="E9267" s="31"/>
      <c r="F9267" s="31"/>
      <c r="G9267" s="31"/>
      <c r="H9267" s="31"/>
    </row>
    <row r="9268" spans="2:8" hidden="1">
      <c r="B9268" s="33"/>
      <c r="C9268" s="31"/>
      <c r="D9268" s="31"/>
      <c r="E9268" s="31"/>
      <c r="F9268" s="31"/>
      <c r="G9268" s="31"/>
      <c r="H9268" s="31"/>
    </row>
    <row r="9269" spans="2:8" hidden="1">
      <c r="B9269" s="33"/>
      <c r="C9269" s="31"/>
      <c r="D9269" s="31"/>
      <c r="E9269" s="31"/>
      <c r="F9269" s="31"/>
      <c r="G9269" s="31"/>
      <c r="H9269" s="31"/>
    </row>
    <row r="9270" spans="2:8" hidden="1">
      <c r="B9270" s="33"/>
      <c r="C9270" s="31"/>
      <c r="D9270" s="31"/>
      <c r="E9270" s="31"/>
      <c r="F9270" s="31"/>
      <c r="G9270" s="31"/>
      <c r="H9270" s="31"/>
    </row>
    <row r="9271" spans="2:8" hidden="1">
      <c r="B9271" s="33"/>
      <c r="C9271" s="31"/>
      <c r="D9271" s="31"/>
      <c r="E9271" s="31"/>
      <c r="F9271" s="31"/>
      <c r="G9271" s="31"/>
      <c r="H9271" s="31"/>
    </row>
    <row r="9272" spans="2:8" hidden="1">
      <c r="B9272" s="33"/>
      <c r="C9272" s="31"/>
      <c r="D9272" s="31"/>
      <c r="E9272" s="31"/>
      <c r="F9272" s="31"/>
      <c r="G9272" s="31"/>
      <c r="H9272" s="31"/>
    </row>
    <row r="9273" spans="2:8" hidden="1">
      <c r="B9273" s="33"/>
      <c r="C9273" s="31"/>
      <c r="D9273" s="31"/>
      <c r="E9273" s="31"/>
      <c r="F9273" s="31"/>
      <c r="G9273" s="31"/>
      <c r="H9273" s="31"/>
    </row>
    <row r="9274" spans="2:8" hidden="1">
      <c r="B9274" s="33"/>
      <c r="C9274" s="31"/>
      <c r="D9274" s="31"/>
      <c r="E9274" s="31"/>
      <c r="F9274" s="31"/>
      <c r="G9274" s="31"/>
      <c r="H9274" s="31"/>
    </row>
    <row r="9275" spans="2:8" hidden="1">
      <c r="B9275" s="33"/>
      <c r="C9275" s="31"/>
      <c r="D9275" s="31"/>
      <c r="E9275" s="31"/>
      <c r="F9275" s="31"/>
      <c r="G9275" s="31"/>
      <c r="H9275" s="31"/>
    </row>
    <row r="9276" spans="2:8" hidden="1">
      <c r="B9276" s="33"/>
      <c r="C9276" s="31"/>
      <c r="D9276" s="31"/>
      <c r="E9276" s="31"/>
      <c r="F9276" s="31"/>
      <c r="G9276" s="31"/>
      <c r="H9276" s="31"/>
    </row>
    <row r="9277" spans="2:8" hidden="1">
      <c r="B9277" s="33"/>
      <c r="C9277" s="31"/>
      <c r="D9277" s="31"/>
      <c r="E9277" s="31"/>
      <c r="F9277" s="31"/>
      <c r="G9277" s="31"/>
      <c r="H9277" s="31"/>
    </row>
    <row r="9278" spans="2:8" hidden="1">
      <c r="B9278" s="33"/>
      <c r="C9278" s="31"/>
      <c r="D9278" s="31"/>
      <c r="E9278" s="31"/>
      <c r="F9278" s="31"/>
      <c r="G9278" s="31"/>
      <c r="H9278" s="31"/>
    </row>
    <row r="9279" spans="2:8" hidden="1">
      <c r="B9279" s="33"/>
      <c r="C9279" s="31"/>
      <c r="D9279" s="31"/>
      <c r="E9279" s="31"/>
      <c r="F9279" s="31"/>
      <c r="G9279" s="31"/>
      <c r="H9279" s="31"/>
    </row>
    <row r="9280" spans="2:8" hidden="1">
      <c r="B9280" s="33"/>
      <c r="C9280" s="31"/>
      <c r="D9280" s="31"/>
      <c r="E9280" s="31"/>
      <c r="F9280" s="31"/>
      <c r="G9280" s="31"/>
      <c r="H9280" s="31"/>
    </row>
    <row r="9281" spans="2:8" hidden="1">
      <c r="B9281" s="33"/>
      <c r="C9281" s="31"/>
      <c r="D9281" s="31"/>
      <c r="E9281" s="31"/>
      <c r="F9281" s="31"/>
      <c r="G9281" s="31"/>
      <c r="H9281" s="31"/>
    </row>
    <row r="9282" spans="2:8" hidden="1">
      <c r="B9282" s="33"/>
      <c r="C9282" s="31"/>
      <c r="D9282" s="31"/>
      <c r="E9282" s="31"/>
      <c r="F9282" s="31"/>
      <c r="G9282" s="31"/>
      <c r="H9282" s="31"/>
    </row>
    <row r="9283" spans="2:8" hidden="1">
      <c r="B9283" s="33"/>
      <c r="C9283" s="31"/>
      <c r="D9283" s="31"/>
      <c r="E9283" s="31"/>
      <c r="F9283" s="31"/>
      <c r="G9283" s="31"/>
      <c r="H9283" s="31"/>
    </row>
    <row r="9284" spans="2:8" hidden="1">
      <c r="B9284" s="33"/>
      <c r="C9284" s="31"/>
      <c r="D9284" s="31"/>
      <c r="E9284" s="31"/>
      <c r="F9284" s="31"/>
      <c r="G9284" s="31"/>
      <c r="H9284" s="31"/>
    </row>
    <row r="9285" spans="2:8" hidden="1">
      <c r="B9285" s="33"/>
      <c r="C9285" s="31"/>
      <c r="D9285" s="31"/>
      <c r="E9285" s="31"/>
      <c r="F9285" s="31"/>
      <c r="G9285" s="31"/>
      <c r="H9285" s="31"/>
    </row>
    <row r="9286" spans="2:8" hidden="1">
      <c r="B9286" s="33"/>
      <c r="C9286" s="31"/>
      <c r="D9286" s="31"/>
      <c r="E9286" s="31"/>
      <c r="F9286" s="31"/>
      <c r="G9286" s="31"/>
      <c r="H9286" s="31"/>
    </row>
    <row r="9287" spans="2:8" hidden="1">
      <c r="B9287" s="33"/>
      <c r="C9287" s="31"/>
      <c r="D9287" s="31"/>
      <c r="E9287" s="31"/>
      <c r="F9287" s="31"/>
      <c r="G9287" s="31"/>
      <c r="H9287" s="31"/>
    </row>
    <row r="9288" spans="2:8" hidden="1">
      <c r="B9288" s="33"/>
      <c r="C9288" s="31"/>
      <c r="D9288" s="31"/>
      <c r="E9288" s="31"/>
      <c r="F9288" s="31"/>
      <c r="G9288" s="31"/>
      <c r="H9288" s="31"/>
    </row>
    <row r="9289" spans="2:8" hidden="1">
      <c r="B9289" s="33"/>
      <c r="C9289" s="31"/>
      <c r="D9289" s="31"/>
      <c r="E9289" s="31"/>
      <c r="F9289" s="31"/>
      <c r="G9289" s="31"/>
      <c r="H9289" s="31"/>
    </row>
    <row r="9290" spans="2:8" hidden="1">
      <c r="B9290" s="33"/>
      <c r="C9290" s="31"/>
      <c r="D9290" s="31"/>
      <c r="E9290" s="31"/>
      <c r="F9290" s="31"/>
      <c r="G9290" s="31"/>
      <c r="H9290" s="31"/>
    </row>
    <row r="9291" spans="2:8" hidden="1">
      <c r="B9291" s="33"/>
      <c r="C9291" s="31"/>
      <c r="D9291" s="31"/>
      <c r="E9291" s="31"/>
      <c r="F9291" s="31"/>
      <c r="G9291" s="31"/>
      <c r="H9291" s="31"/>
    </row>
    <row r="9292" spans="2:8" hidden="1">
      <c r="B9292" s="33"/>
      <c r="C9292" s="31"/>
      <c r="D9292" s="31"/>
      <c r="E9292" s="31"/>
      <c r="F9292" s="31"/>
      <c r="G9292" s="31"/>
      <c r="H9292" s="31"/>
    </row>
    <row r="9293" spans="2:8" hidden="1">
      <c r="B9293" s="33"/>
      <c r="C9293" s="31"/>
      <c r="D9293" s="31"/>
      <c r="E9293" s="31"/>
      <c r="F9293" s="31"/>
      <c r="G9293" s="31"/>
      <c r="H9293" s="31"/>
    </row>
    <row r="9294" spans="2:8" hidden="1">
      <c r="B9294" s="33"/>
      <c r="C9294" s="31"/>
      <c r="D9294" s="31"/>
      <c r="E9294" s="31"/>
      <c r="F9294" s="31"/>
      <c r="G9294" s="31"/>
      <c r="H9294" s="31"/>
    </row>
    <row r="9295" spans="2:8" hidden="1">
      <c r="B9295" s="33"/>
      <c r="C9295" s="31"/>
      <c r="D9295" s="31"/>
      <c r="E9295" s="31"/>
      <c r="F9295" s="31"/>
      <c r="G9295" s="31"/>
      <c r="H9295" s="31"/>
    </row>
    <row r="9296" spans="2:8" hidden="1">
      <c r="B9296" s="33"/>
      <c r="C9296" s="31"/>
      <c r="D9296" s="31"/>
      <c r="E9296" s="31"/>
      <c r="F9296" s="31"/>
      <c r="G9296" s="31"/>
      <c r="H9296" s="31"/>
    </row>
    <row r="9297" spans="2:8" hidden="1">
      <c r="B9297" s="33"/>
      <c r="C9297" s="31"/>
      <c r="D9297" s="31"/>
      <c r="E9297" s="31"/>
      <c r="F9297" s="31"/>
      <c r="G9297" s="31"/>
      <c r="H9297" s="31"/>
    </row>
    <row r="9298" spans="2:8" hidden="1">
      <c r="B9298" s="33"/>
      <c r="C9298" s="31"/>
      <c r="D9298" s="31"/>
      <c r="E9298" s="31"/>
      <c r="F9298" s="31"/>
      <c r="G9298" s="31"/>
      <c r="H9298" s="31"/>
    </row>
    <row r="9299" spans="2:8" hidden="1">
      <c r="B9299" s="33"/>
      <c r="C9299" s="31"/>
      <c r="D9299" s="31"/>
      <c r="E9299" s="31"/>
      <c r="F9299" s="31"/>
      <c r="G9299" s="31"/>
      <c r="H9299" s="31"/>
    </row>
    <row r="9300" spans="2:8" hidden="1">
      <c r="B9300" s="33"/>
      <c r="C9300" s="31"/>
      <c r="D9300" s="31"/>
      <c r="E9300" s="31"/>
      <c r="F9300" s="31"/>
      <c r="G9300" s="31"/>
      <c r="H9300" s="31"/>
    </row>
    <row r="9301" spans="2:8" hidden="1">
      <c r="B9301" s="33"/>
      <c r="C9301" s="31"/>
      <c r="D9301" s="31"/>
      <c r="E9301" s="31"/>
      <c r="F9301" s="31"/>
      <c r="G9301" s="31"/>
      <c r="H9301" s="31"/>
    </row>
    <row r="9302" spans="2:8" hidden="1">
      <c r="B9302" s="33"/>
      <c r="C9302" s="31"/>
      <c r="D9302" s="31"/>
      <c r="E9302" s="31"/>
      <c r="F9302" s="31"/>
      <c r="G9302" s="31"/>
      <c r="H9302" s="31"/>
    </row>
    <row r="9303" spans="2:8" hidden="1">
      <c r="B9303" s="33"/>
      <c r="C9303" s="31"/>
      <c r="D9303" s="31"/>
      <c r="E9303" s="31"/>
      <c r="F9303" s="31"/>
      <c r="G9303" s="31"/>
      <c r="H9303" s="31"/>
    </row>
    <row r="9304" spans="2:8" hidden="1">
      <c r="B9304" s="33"/>
      <c r="C9304" s="31"/>
      <c r="D9304" s="31"/>
      <c r="E9304" s="31"/>
      <c r="F9304" s="31"/>
      <c r="G9304" s="31"/>
      <c r="H9304" s="31"/>
    </row>
    <row r="9305" spans="2:8" hidden="1">
      <c r="B9305" s="33"/>
      <c r="C9305" s="31"/>
      <c r="D9305" s="31"/>
      <c r="E9305" s="31"/>
      <c r="F9305" s="31"/>
      <c r="G9305" s="31"/>
      <c r="H9305" s="31"/>
    </row>
    <row r="9306" spans="2:8" hidden="1">
      <c r="B9306" s="33"/>
      <c r="C9306" s="31"/>
      <c r="D9306" s="31"/>
      <c r="E9306" s="31"/>
      <c r="F9306" s="31"/>
      <c r="G9306" s="31"/>
      <c r="H9306" s="31"/>
    </row>
    <row r="9307" spans="2:8" hidden="1">
      <c r="B9307" s="33"/>
      <c r="C9307" s="31"/>
      <c r="D9307" s="31"/>
      <c r="E9307" s="31"/>
      <c r="F9307" s="31"/>
      <c r="G9307" s="31"/>
      <c r="H9307" s="31"/>
    </row>
    <row r="9308" spans="2:8" hidden="1">
      <c r="B9308" s="33"/>
      <c r="C9308" s="31"/>
      <c r="D9308" s="31"/>
      <c r="E9308" s="31"/>
      <c r="F9308" s="31"/>
      <c r="G9308" s="31"/>
      <c r="H9308" s="31"/>
    </row>
    <row r="9309" spans="2:8" hidden="1">
      <c r="B9309" s="33"/>
      <c r="C9309" s="31"/>
      <c r="D9309" s="31"/>
      <c r="E9309" s="31"/>
      <c r="F9309" s="31"/>
      <c r="G9309" s="31"/>
      <c r="H9309" s="31"/>
    </row>
    <row r="9310" spans="2:8" hidden="1">
      <c r="B9310" s="33"/>
      <c r="C9310" s="31"/>
      <c r="D9310" s="31"/>
      <c r="E9310" s="31"/>
      <c r="F9310" s="31"/>
      <c r="G9310" s="31"/>
      <c r="H9310" s="31"/>
    </row>
    <row r="9311" spans="2:8" ht="18" hidden="1" customHeight="1"/>
    <row r="9312" spans="2:8" ht="18" hidden="1" customHeight="1"/>
    <row r="9313" ht="18" hidden="1" customHeight="1"/>
    <row r="9314" ht="18" hidden="1" customHeight="1"/>
    <row r="9315" ht="18" hidden="1" customHeight="1"/>
    <row r="9316" ht="18" hidden="1" customHeight="1"/>
    <row r="9317" ht="18" hidden="1" customHeight="1"/>
    <row r="9318" ht="18" hidden="1" customHeight="1"/>
    <row r="9319" ht="18" hidden="1" customHeight="1"/>
    <row r="9320" ht="18" hidden="1" customHeight="1"/>
    <row r="9321" ht="18" hidden="1" customHeight="1"/>
    <row r="9322" ht="18" hidden="1" customHeight="1"/>
    <row r="9323" ht="18" hidden="1" customHeight="1"/>
    <row r="9324" ht="18" hidden="1" customHeight="1"/>
    <row r="9325" ht="18" hidden="1" customHeight="1"/>
    <row r="9326" ht="18" hidden="1" customHeight="1"/>
    <row r="9327" ht="18" hidden="1" customHeight="1"/>
    <row r="9328" ht="18" hidden="1" customHeight="1"/>
    <row r="9329" ht="18" hidden="1" customHeight="1"/>
    <row r="9330" ht="18" hidden="1" customHeight="1"/>
    <row r="9331" ht="18" hidden="1" customHeight="1"/>
    <row r="9332" ht="18" hidden="1" customHeight="1"/>
    <row r="9333" ht="18" hidden="1" customHeight="1"/>
    <row r="9334" ht="18" hidden="1" customHeight="1"/>
    <row r="9335" ht="18" hidden="1" customHeight="1"/>
    <row r="9336" ht="18" hidden="1" customHeight="1"/>
    <row r="9337" ht="18" hidden="1" customHeight="1"/>
    <row r="9338" ht="18" hidden="1" customHeight="1"/>
    <row r="9339" ht="18" hidden="1" customHeight="1"/>
    <row r="9340" ht="18" hidden="1" customHeight="1"/>
    <row r="9341" ht="18" hidden="1" customHeight="1"/>
    <row r="9342" ht="18" hidden="1" customHeight="1"/>
    <row r="9343" ht="18" hidden="1" customHeight="1"/>
    <row r="9344" ht="18" hidden="1" customHeight="1"/>
    <row r="9345" ht="18" hidden="1" customHeight="1"/>
    <row r="9346" ht="18" hidden="1" customHeight="1"/>
    <row r="9347" ht="18" hidden="1" customHeight="1"/>
    <row r="9348" ht="18" hidden="1" customHeight="1"/>
    <row r="9349" ht="18" hidden="1" customHeight="1"/>
    <row r="9350" ht="18" hidden="1" customHeight="1"/>
    <row r="9351" ht="18" hidden="1" customHeight="1"/>
    <row r="9352" ht="18" hidden="1" customHeight="1"/>
    <row r="9353" ht="18" hidden="1" customHeight="1"/>
    <row r="9354" ht="18" hidden="1" customHeight="1"/>
    <row r="9355" ht="18" hidden="1" customHeight="1"/>
    <row r="9356" ht="18" hidden="1" customHeight="1"/>
    <row r="9357" ht="18" hidden="1" customHeight="1"/>
    <row r="9358" ht="18" hidden="1" customHeight="1"/>
    <row r="9359" ht="18" hidden="1" customHeight="1"/>
    <row r="9360" ht="18" hidden="1" customHeight="1"/>
    <row r="9361" ht="18" hidden="1" customHeight="1"/>
    <row r="9362" ht="18" hidden="1" customHeight="1"/>
    <row r="9363" ht="18" hidden="1" customHeight="1"/>
    <row r="9364" ht="18" hidden="1" customHeight="1"/>
    <row r="9365" ht="18" hidden="1" customHeight="1"/>
    <row r="9366" ht="18" hidden="1" customHeight="1"/>
    <row r="9367" ht="18" hidden="1" customHeight="1"/>
    <row r="9368" ht="18" hidden="1" customHeight="1"/>
    <row r="9369" ht="18" hidden="1" customHeight="1"/>
    <row r="9370" ht="18" hidden="1" customHeight="1"/>
    <row r="9371" ht="18" hidden="1" customHeight="1"/>
    <row r="9372" ht="18" hidden="1" customHeight="1"/>
    <row r="9373" ht="18" hidden="1" customHeight="1"/>
    <row r="9374" ht="18" hidden="1" customHeight="1"/>
    <row r="9375" ht="18" hidden="1" customHeight="1"/>
    <row r="9376" ht="18" hidden="1" customHeight="1"/>
    <row r="9377" ht="18" hidden="1" customHeight="1"/>
    <row r="9378" ht="18" hidden="1" customHeight="1"/>
    <row r="9379" ht="18" hidden="1" customHeight="1"/>
    <row r="9380" ht="18" hidden="1" customHeight="1"/>
    <row r="9381" ht="18" hidden="1" customHeight="1"/>
    <row r="9382" ht="18" hidden="1" customHeight="1"/>
    <row r="9383" ht="18" hidden="1" customHeight="1"/>
    <row r="9384" ht="18" hidden="1" customHeight="1"/>
    <row r="9385" ht="18" hidden="1" customHeight="1"/>
    <row r="9386" ht="18" hidden="1" customHeight="1"/>
    <row r="9387" ht="18" hidden="1" customHeight="1"/>
    <row r="9388" ht="18" hidden="1" customHeight="1"/>
    <row r="9389" ht="18" hidden="1" customHeight="1"/>
    <row r="9390" ht="18" hidden="1" customHeight="1"/>
    <row r="9391" ht="18" hidden="1" customHeight="1"/>
    <row r="9392" ht="18" hidden="1" customHeight="1"/>
    <row r="9393" ht="18" hidden="1" customHeight="1"/>
    <row r="9394" ht="18" hidden="1" customHeight="1"/>
    <row r="9395" ht="18" hidden="1" customHeight="1"/>
    <row r="9396" ht="18" hidden="1" customHeight="1"/>
    <row r="9397" ht="18" hidden="1" customHeight="1"/>
    <row r="9398" ht="18" hidden="1" customHeight="1"/>
    <row r="9399" ht="18" hidden="1" customHeight="1"/>
    <row r="9400" ht="18" hidden="1" customHeight="1"/>
    <row r="9401" ht="18" hidden="1" customHeight="1"/>
    <row r="9402" ht="18" hidden="1" customHeight="1"/>
    <row r="9403" ht="18" hidden="1" customHeight="1"/>
    <row r="9404" ht="18" hidden="1" customHeight="1"/>
    <row r="9405" ht="18" hidden="1" customHeight="1"/>
    <row r="9406" ht="18" hidden="1" customHeight="1"/>
    <row r="9407" ht="18" hidden="1" customHeight="1"/>
    <row r="9408" ht="18" hidden="1" customHeight="1"/>
    <row r="9409" ht="18" hidden="1" customHeight="1"/>
    <row r="9410" ht="18" hidden="1" customHeight="1"/>
    <row r="9411" ht="18" hidden="1" customHeight="1"/>
    <row r="9412" ht="18" hidden="1" customHeight="1"/>
    <row r="9413" ht="18" hidden="1" customHeight="1"/>
    <row r="9414" ht="18" hidden="1" customHeight="1"/>
    <row r="9415" ht="18" hidden="1" customHeight="1"/>
    <row r="9416" ht="18" hidden="1" customHeight="1"/>
    <row r="9417" ht="18" hidden="1" customHeight="1"/>
    <row r="9418" ht="18" hidden="1" customHeight="1"/>
    <row r="9419" ht="18" hidden="1" customHeight="1"/>
    <row r="9420" ht="18" hidden="1" customHeight="1"/>
    <row r="9421" ht="18" hidden="1" customHeight="1"/>
    <row r="9422" ht="18" hidden="1" customHeight="1"/>
    <row r="9423" ht="18" hidden="1" customHeight="1"/>
    <row r="9424" ht="18" hidden="1" customHeight="1"/>
    <row r="9425" ht="18" hidden="1" customHeight="1"/>
    <row r="9426" ht="18" hidden="1" customHeight="1"/>
    <row r="9427" ht="18" hidden="1" customHeight="1"/>
    <row r="9428" ht="18" hidden="1" customHeight="1"/>
    <row r="9429" ht="18" hidden="1" customHeight="1"/>
    <row r="9430" ht="18" hidden="1" customHeight="1"/>
    <row r="9431" ht="18" hidden="1" customHeight="1"/>
    <row r="9432" ht="18" hidden="1" customHeight="1"/>
    <row r="9433" ht="18" hidden="1" customHeight="1"/>
    <row r="9434" ht="18" hidden="1" customHeight="1"/>
    <row r="9435" ht="18" hidden="1" customHeight="1"/>
    <row r="9436" ht="18" hidden="1" customHeight="1"/>
    <row r="9437" ht="18" hidden="1" customHeight="1"/>
    <row r="9438" ht="18" hidden="1" customHeight="1"/>
    <row r="9439" ht="18" hidden="1" customHeight="1"/>
    <row r="9440" ht="18" hidden="1" customHeight="1"/>
    <row r="9441" ht="18" hidden="1" customHeight="1"/>
    <row r="9442" ht="18" hidden="1" customHeight="1"/>
    <row r="9443" ht="18" hidden="1" customHeight="1"/>
    <row r="9444" ht="18" hidden="1" customHeight="1"/>
    <row r="9445" ht="18" hidden="1" customHeight="1"/>
    <row r="9446" ht="18" hidden="1" customHeight="1"/>
    <row r="9447" ht="18" hidden="1" customHeight="1"/>
    <row r="9448" ht="18" hidden="1" customHeight="1"/>
    <row r="9449" ht="18" hidden="1" customHeight="1"/>
    <row r="9450" ht="18" hidden="1" customHeight="1"/>
    <row r="9451" ht="18" hidden="1" customHeight="1"/>
    <row r="9452" ht="18" hidden="1" customHeight="1"/>
    <row r="9453" ht="18" hidden="1" customHeight="1"/>
    <row r="9454" ht="18" hidden="1" customHeight="1"/>
    <row r="9455" ht="18" hidden="1" customHeight="1"/>
    <row r="9456" ht="18" hidden="1" customHeight="1"/>
    <row r="9457" ht="18" hidden="1" customHeight="1"/>
    <row r="9458" ht="18" hidden="1" customHeight="1"/>
    <row r="9459" ht="18" hidden="1" customHeight="1"/>
    <row r="9460" ht="18" hidden="1" customHeight="1"/>
    <row r="9461" ht="18" hidden="1" customHeight="1"/>
    <row r="9462" ht="18" hidden="1" customHeight="1"/>
    <row r="9463" ht="18" hidden="1" customHeight="1"/>
    <row r="9464" ht="18" hidden="1" customHeight="1"/>
    <row r="9465" ht="18" hidden="1" customHeight="1"/>
    <row r="9466" ht="18" hidden="1" customHeight="1"/>
    <row r="9467" ht="18" hidden="1" customHeight="1"/>
    <row r="9468" ht="18" hidden="1" customHeight="1"/>
    <row r="9469" ht="18" hidden="1" customHeight="1"/>
    <row r="9470" ht="18" hidden="1" customHeight="1"/>
    <row r="9471" ht="18" hidden="1" customHeight="1"/>
    <row r="9472" ht="18" hidden="1" customHeight="1"/>
    <row r="9473" ht="18" hidden="1" customHeight="1"/>
    <row r="9474" ht="18" hidden="1" customHeight="1"/>
    <row r="9475" ht="18" hidden="1" customHeight="1"/>
    <row r="9476" ht="18" hidden="1" customHeight="1"/>
    <row r="9477" ht="18" hidden="1" customHeight="1"/>
    <row r="9478" ht="18" hidden="1" customHeight="1"/>
    <row r="9479" ht="18" hidden="1" customHeight="1"/>
    <row r="9480" ht="18" hidden="1" customHeight="1"/>
    <row r="9481" ht="18" hidden="1" customHeight="1"/>
    <row r="9482" ht="18" hidden="1" customHeight="1"/>
    <row r="9483" ht="18" hidden="1" customHeight="1"/>
    <row r="9484" ht="18" hidden="1" customHeight="1"/>
    <row r="9485" ht="18" hidden="1" customHeight="1"/>
    <row r="9486" ht="18" hidden="1" customHeight="1"/>
    <row r="9487" ht="18" hidden="1" customHeight="1"/>
    <row r="9488" ht="18" hidden="1" customHeight="1"/>
    <row r="9489" ht="18" hidden="1" customHeight="1"/>
    <row r="9490" ht="18" hidden="1" customHeight="1"/>
    <row r="9491" ht="18" hidden="1" customHeight="1"/>
    <row r="9492" ht="18" hidden="1" customHeight="1"/>
    <row r="9493" ht="18" hidden="1" customHeight="1"/>
    <row r="9494" ht="18" hidden="1" customHeight="1"/>
    <row r="9495" ht="18" hidden="1" customHeight="1"/>
    <row r="9496" ht="18" hidden="1" customHeight="1"/>
    <row r="9497" ht="18" hidden="1" customHeight="1"/>
    <row r="9498" ht="18" hidden="1" customHeight="1"/>
    <row r="9499" ht="18" hidden="1" customHeight="1"/>
    <row r="9500" ht="18" hidden="1" customHeight="1"/>
    <row r="9501" ht="18" hidden="1" customHeight="1"/>
    <row r="9502" ht="18" hidden="1" customHeight="1"/>
    <row r="9503" ht="18" hidden="1" customHeight="1"/>
    <row r="9504" ht="18" hidden="1" customHeight="1"/>
    <row r="9505" ht="18" hidden="1" customHeight="1"/>
    <row r="9506" ht="18" hidden="1" customHeight="1"/>
    <row r="9507" ht="18" hidden="1" customHeight="1"/>
    <row r="9508" ht="18" hidden="1" customHeight="1"/>
    <row r="9509" ht="18" hidden="1" customHeight="1"/>
    <row r="9510" ht="18" hidden="1" customHeight="1"/>
    <row r="9511" ht="18" hidden="1" customHeight="1"/>
    <row r="9512" ht="18" hidden="1" customHeight="1"/>
    <row r="9513" ht="18" hidden="1" customHeight="1"/>
    <row r="9514" ht="18" hidden="1" customHeight="1"/>
    <row r="9515" ht="18" hidden="1" customHeight="1"/>
    <row r="9516" ht="18" hidden="1" customHeight="1"/>
    <row r="9517" ht="18" hidden="1" customHeight="1"/>
    <row r="9518" ht="18" hidden="1" customHeight="1"/>
    <row r="9519" ht="18" hidden="1" customHeight="1"/>
    <row r="9520" ht="18" hidden="1" customHeight="1"/>
    <row r="9521" ht="18" hidden="1" customHeight="1"/>
    <row r="9522" ht="18" hidden="1" customHeight="1"/>
    <row r="9523" ht="18" hidden="1" customHeight="1"/>
    <row r="9524" ht="18" hidden="1" customHeight="1"/>
    <row r="9525" ht="18" hidden="1" customHeight="1"/>
    <row r="9526" ht="18" hidden="1" customHeight="1"/>
    <row r="9527" ht="18" hidden="1" customHeight="1"/>
    <row r="9528" ht="18" hidden="1" customHeight="1"/>
    <row r="9529" ht="18" hidden="1" customHeight="1"/>
    <row r="9530" ht="18" hidden="1" customHeight="1"/>
    <row r="9531" ht="18" hidden="1" customHeight="1"/>
    <row r="9532" ht="18" hidden="1" customHeight="1"/>
    <row r="9533" ht="18" hidden="1" customHeight="1"/>
    <row r="9534" ht="18" hidden="1" customHeight="1"/>
    <row r="9535" ht="18" hidden="1" customHeight="1"/>
    <row r="9536" ht="18" hidden="1" customHeight="1"/>
    <row r="9537" ht="18" hidden="1" customHeight="1"/>
    <row r="9538" ht="18" hidden="1" customHeight="1"/>
    <row r="9539" ht="18" hidden="1" customHeight="1"/>
    <row r="9540" ht="18" hidden="1" customHeight="1"/>
    <row r="9541" ht="18" hidden="1" customHeight="1"/>
    <row r="9542" ht="18" hidden="1" customHeight="1"/>
    <row r="9543" ht="18" hidden="1" customHeight="1"/>
    <row r="9544" ht="18" hidden="1" customHeight="1"/>
    <row r="9545" ht="18" hidden="1" customHeight="1"/>
    <row r="9546" ht="18" hidden="1" customHeight="1"/>
    <row r="9547" ht="18" hidden="1" customHeight="1"/>
    <row r="9548" ht="18" hidden="1" customHeight="1"/>
    <row r="9549" ht="18" hidden="1" customHeight="1"/>
    <row r="9550" ht="18" hidden="1" customHeight="1"/>
    <row r="9551" ht="18" hidden="1" customHeight="1"/>
    <row r="9552" ht="18" hidden="1" customHeight="1"/>
    <row r="9553" ht="18" hidden="1" customHeight="1"/>
    <row r="9554" ht="18" hidden="1" customHeight="1"/>
    <row r="9555" ht="18" hidden="1" customHeight="1"/>
    <row r="9556" ht="18" hidden="1" customHeight="1"/>
    <row r="9557" ht="18" hidden="1" customHeight="1"/>
    <row r="9558" ht="18" hidden="1" customHeight="1"/>
    <row r="9559" ht="18" hidden="1" customHeight="1"/>
    <row r="9560" ht="18" hidden="1" customHeight="1"/>
    <row r="9561" ht="18" hidden="1" customHeight="1"/>
    <row r="9562" ht="18" hidden="1" customHeight="1"/>
    <row r="9563" ht="18" hidden="1" customHeight="1"/>
    <row r="9564" ht="18" hidden="1" customHeight="1"/>
    <row r="9565" ht="18" hidden="1" customHeight="1"/>
    <row r="9566" ht="18" hidden="1" customHeight="1"/>
    <row r="9567" ht="18" hidden="1" customHeight="1"/>
    <row r="9568" ht="18" hidden="1" customHeight="1"/>
    <row r="9569" ht="18" hidden="1" customHeight="1"/>
    <row r="9570" ht="18" hidden="1" customHeight="1"/>
    <row r="9571" ht="18" hidden="1" customHeight="1"/>
    <row r="9572" ht="18" hidden="1" customHeight="1"/>
    <row r="9573" ht="18" hidden="1" customHeight="1"/>
    <row r="9574" ht="18" hidden="1" customHeight="1"/>
    <row r="9575" ht="18" hidden="1" customHeight="1"/>
    <row r="9576" ht="18" hidden="1" customHeight="1"/>
    <row r="9577" ht="18" hidden="1" customHeight="1"/>
    <row r="9578" ht="18" hidden="1" customHeight="1"/>
    <row r="9579" ht="18" hidden="1" customHeight="1"/>
    <row r="9580" ht="18" hidden="1" customHeight="1"/>
    <row r="9581" ht="18" hidden="1" customHeight="1"/>
    <row r="9582" ht="18" hidden="1" customHeight="1"/>
    <row r="9583" ht="18" hidden="1" customHeight="1"/>
    <row r="9584" ht="18" hidden="1" customHeight="1"/>
    <row r="9585" ht="18" hidden="1" customHeight="1"/>
    <row r="9586" ht="18" hidden="1" customHeight="1"/>
    <row r="9587" ht="18" hidden="1" customHeight="1"/>
    <row r="9588" ht="18" hidden="1" customHeight="1"/>
    <row r="9589" ht="18" hidden="1" customHeight="1"/>
    <row r="9590" ht="18" hidden="1" customHeight="1"/>
    <row r="9591" ht="18" hidden="1" customHeight="1"/>
    <row r="9592" ht="18" hidden="1" customHeight="1"/>
    <row r="9593" ht="18" hidden="1" customHeight="1"/>
    <row r="9594" ht="18" hidden="1" customHeight="1"/>
    <row r="9595" ht="18" hidden="1" customHeight="1"/>
    <row r="9596" ht="18" hidden="1" customHeight="1"/>
    <row r="9597" ht="18" hidden="1" customHeight="1"/>
    <row r="9598" ht="18" hidden="1" customHeight="1"/>
    <row r="9599" ht="18" hidden="1" customHeight="1"/>
    <row r="9600" ht="18" hidden="1" customHeight="1"/>
    <row r="9601" ht="18" hidden="1" customHeight="1"/>
    <row r="9602" ht="18" hidden="1" customHeight="1"/>
    <row r="9603" ht="18" hidden="1" customHeight="1"/>
    <row r="9604" ht="18" hidden="1" customHeight="1"/>
    <row r="9605" ht="18" hidden="1" customHeight="1"/>
    <row r="9606" ht="18" hidden="1" customHeight="1"/>
    <row r="9607" ht="18" hidden="1" customHeight="1"/>
    <row r="9608" ht="18" hidden="1" customHeight="1"/>
    <row r="9609" ht="18" hidden="1" customHeight="1"/>
    <row r="9610" ht="18" hidden="1" customHeight="1"/>
    <row r="9611" ht="18" hidden="1" customHeight="1"/>
    <row r="9612" ht="18" hidden="1" customHeight="1"/>
    <row r="9613" ht="18" hidden="1" customHeight="1"/>
    <row r="9614" ht="18" hidden="1" customHeight="1"/>
    <row r="9615" ht="18" hidden="1" customHeight="1"/>
    <row r="9616" ht="18" hidden="1" customHeight="1"/>
    <row r="9617" ht="18" hidden="1" customHeight="1"/>
    <row r="9618" ht="18" hidden="1" customHeight="1"/>
    <row r="9619" ht="18" hidden="1" customHeight="1"/>
    <row r="9620" ht="18" hidden="1" customHeight="1"/>
    <row r="9621" ht="18" hidden="1" customHeight="1"/>
    <row r="9622" ht="18" hidden="1" customHeight="1"/>
    <row r="9623" ht="18" hidden="1" customHeight="1"/>
    <row r="9624" ht="18" hidden="1" customHeight="1"/>
    <row r="9625" ht="18" hidden="1" customHeight="1"/>
    <row r="9626" ht="18" hidden="1" customHeight="1"/>
    <row r="9627" ht="18" hidden="1" customHeight="1"/>
    <row r="9628" ht="18" hidden="1" customHeight="1"/>
    <row r="9629" ht="18" hidden="1" customHeight="1"/>
    <row r="9630" ht="18" hidden="1" customHeight="1"/>
    <row r="9631" ht="18" hidden="1" customHeight="1"/>
    <row r="9632" ht="18" hidden="1" customHeight="1"/>
    <row r="9633" ht="18" hidden="1" customHeight="1"/>
    <row r="9634" ht="18" hidden="1" customHeight="1"/>
    <row r="9635" ht="18" hidden="1" customHeight="1"/>
    <row r="9636" ht="18" hidden="1" customHeight="1"/>
    <row r="9637" ht="18" hidden="1" customHeight="1"/>
    <row r="9638" ht="18" hidden="1" customHeight="1"/>
    <row r="9639" ht="18" hidden="1" customHeight="1"/>
    <row r="9640" ht="18" hidden="1" customHeight="1"/>
    <row r="9641" ht="18" hidden="1" customHeight="1"/>
    <row r="9642" ht="18" hidden="1" customHeight="1"/>
    <row r="9643" ht="18" hidden="1" customHeight="1"/>
    <row r="9644" ht="18" hidden="1" customHeight="1"/>
    <row r="9645" ht="18" hidden="1" customHeight="1"/>
    <row r="9646" ht="18" hidden="1" customHeight="1"/>
    <row r="9647" ht="18" hidden="1" customHeight="1"/>
    <row r="9648" ht="18" hidden="1" customHeight="1"/>
    <row r="9649" ht="18" hidden="1" customHeight="1"/>
    <row r="9650" ht="18" hidden="1" customHeight="1"/>
    <row r="9651" ht="18" hidden="1" customHeight="1"/>
    <row r="9652" ht="18" hidden="1" customHeight="1"/>
    <row r="9653" ht="18" hidden="1" customHeight="1"/>
    <row r="9654" ht="18" hidden="1" customHeight="1"/>
    <row r="9655" ht="18" hidden="1" customHeight="1"/>
    <row r="9656" ht="18" hidden="1" customHeight="1"/>
    <row r="9657" ht="18" hidden="1" customHeight="1"/>
    <row r="9658" ht="18" hidden="1" customHeight="1"/>
    <row r="9659" ht="18" hidden="1" customHeight="1"/>
    <row r="9660" ht="18" hidden="1" customHeight="1"/>
    <row r="9661" ht="18" hidden="1" customHeight="1"/>
    <row r="9662" ht="18" hidden="1" customHeight="1"/>
    <row r="9663" ht="18" hidden="1" customHeight="1"/>
    <row r="9664" ht="18" hidden="1" customHeight="1"/>
    <row r="9665" ht="18" hidden="1" customHeight="1"/>
    <row r="9666" ht="18" hidden="1" customHeight="1"/>
    <row r="9667" ht="18" hidden="1" customHeight="1"/>
    <row r="9668" ht="18" hidden="1" customHeight="1"/>
    <row r="9669" ht="18" hidden="1" customHeight="1"/>
    <row r="9670" ht="18" hidden="1" customHeight="1"/>
    <row r="9671" ht="18" hidden="1" customHeight="1"/>
    <row r="9672" ht="18" hidden="1" customHeight="1"/>
    <row r="9673" ht="18" hidden="1" customHeight="1"/>
    <row r="9674" ht="18" hidden="1" customHeight="1"/>
    <row r="9675" ht="18" hidden="1" customHeight="1"/>
    <row r="9676" ht="18" hidden="1" customHeight="1"/>
    <row r="9677" ht="18" hidden="1" customHeight="1"/>
    <row r="9678" ht="18" hidden="1" customHeight="1"/>
    <row r="9679" ht="18" hidden="1" customHeight="1"/>
    <row r="9680" ht="18" hidden="1" customHeight="1"/>
    <row r="9681" ht="18" hidden="1" customHeight="1"/>
    <row r="9682" ht="18" hidden="1" customHeight="1"/>
    <row r="9683" ht="18" hidden="1" customHeight="1"/>
    <row r="9684" ht="18" hidden="1" customHeight="1"/>
    <row r="9685" ht="18" hidden="1" customHeight="1"/>
    <row r="9686" ht="18" hidden="1" customHeight="1"/>
    <row r="9687" ht="18" hidden="1" customHeight="1"/>
    <row r="9688" ht="18" hidden="1" customHeight="1"/>
    <row r="9689" ht="18" hidden="1" customHeight="1"/>
    <row r="9690" ht="18" hidden="1" customHeight="1"/>
    <row r="9691" ht="18" hidden="1" customHeight="1"/>
    <row r="9692" ht="18" hidden="1" customHeight="1"/>
    <row r="9693" ht="18" hidden="1" customHeight="1"/>
    <row r="9694" ht="18" hidden="1" customHeight="1"/>
    <row r="9695" ht="18" hidden="1" customHeight="1"/>
    <row r="9696" ht="18" hidden="1" customHeight="1"/>
    <row r="9697" ht="18" hidden="1" customHeight="1"/>
    <row r="9698" ht="18" hidden="1" customHeight="1"/>
    <row r="9699" ht="18" hidden="1" customHeight="1"/>
    <row r="9700" ht="18" hidden="1" customHeight="1"/>
    <row r="9701" ht="18" hidden="1" customHeight="1"/>
    <row r="9702" ht="18" hidden="1" customHeight="1"/>
    <row r="9703" ht="18" hidden="1" customHeight="1"/>
    <row r="9704" ht="18" hidden="1" customHeight="1"/>
    <row r="9705" ht="18" hidden="1" customHeight="1"/>
    <row r="9706" ht="18" hidden="1" customHeight="1"/>
    <row r="9707" ht="18" hidden="1" customHeight="1"/>
    <row r="9708" ht="18" hidden="1" customHeight="1"/>
    <row r="9709" ht="18" hidden="1" customHeight="1"/>
    <row r="9710" ht="18" hidden="1" customHeight="1"/>
    <row r="9711" ht="18" hidden="1" customHeight="1"/>
    <row r="9712" ht="18" hidden="1" customHeight="1"/>
    <row r="9713" ht="18" hidden="1" customHeight="1"/>
    <row r="9714" ht="18" hidden="1" customHeight="1"/>
    <row r="9715" ht="18" hidden="1" customHeight="1"/>
    <row r="9716" ht="18" hidden="1" customHeight="1"/>
    <row r="9717" ht="18" hidden="1" customHeight="1"/>
    <row r="9718" ht="18" hidden="1" customHeight="1"/>
    <row r="9719" ht="18" hidden="1" customHeight="1"/>
    <row r="9720" ht="18" hidden="1" customHeight="1"/>
    <row r="9721" ht="18" hidden="1" customHeight="1"/>
    <row r="9722" ht="18" hidden="1" customHeight="1"/>
    <row r="9723" ht="18" hidden="1" customHeight="1"/>
    <row r="9724" ht="18" hidden="1" customHeight="1"/>
    <row r="9725" ht="18" hidden="1" customHeight="1"/>
    <row r="9726" ht="18" hidden="1" customHeight="1"/>
    <row r="9727" ht="18" hidden="1" customHeight="1"/>
    <row r="9728" ht="18" hidden="1" customHeight="1"/>
    <row r="9729" ht="18" hidden="1" customHeight="1"/>
    <row r="9730" ht="18" hidden="1" customHeight="1"/>
    <row r="9731" ht="18" hidden="1" customHeight="1"/>
    <row r="9732" ht="18" hidden="1" customHeight="1"/>
    <row r="9733" ht="18" hidden="1" customHeight="1"/>
    <row r="9734" ht="18" hidden="1" customHeight="1"/>
    <row r="9735" ht="18" hidden="1" customHeight="1"/>
    <row r="9736" ht="18" hidden="1" customHeight="1"/>
    <row r="9737" ht="18" hidden="1" customHeight="1"/>
    <row r="9738" ht="18" hidden="1" customHeight="1"/>
    <row r="9739" ht="18" hidden="1" customHeight="1"/>
    <row r="9740" ht="18" hidden="1" customHeight="1"/>
    <row r="9741" ht="18" hidden="1" customHeight="1"/>
    <row r="9742" ht="18" hidden="1" customHeight="1"/>
    <row r="9743" ht="18" hidden="1" customHeight="1"/>
    <row r="9744" ht="18" hidden="1" customHeight="1"/>
    <row r="9745" ht="18" hidden="1" customHeight="1"/>
    <row r="9746" ht="18" hidden="1" customHeight="1"/>
    <row r="9747" ht="18" hidden="1" customHeight="1"/>
    <row r="9748" ht="18" hidden="1" customHeight="1"/>
    <row r="9749" ht="18" hidden="1" customHeight="1"/>
    <row r="9750" ht="18" hidden="1" customHeight="1"/>
    <row r="9751" ht="18" hidden="1" customHeight="1"/>
    <row r="9752" ht="18" hidden="1" customHeight="1"/>
    <row r="9753" ht="18" hidden="1" customHeight="1"/>
    <row r="9754" ht="18" hidden="1" customHeight="1"/>
    <row r="9755" ht="18" hidden="1" customHeight="1"/>
    <row r="9756" ht="18" hidden="1" customHeight="1"/>
    <row r="9757" ht="18" hidden="1" customHeight="1"/>
    <row r="9758" ht="18" hidden="1" customHeight="1"/>
    <row r="9759" ht="18" hidden="1" customHeight="1"/>
    <row r="9760" ht="18" hidden="1" customHeight="1"/>
    <row r="9761" ht="18" hidden="1" customHeight="1"/>
    <row r="9762" ht="18" hidden="1" customHeight="1"/>
    <row r="9763" ht="18" hidden="1" customHeight="1"/>
    <row r="9764" ht="18" hidden="1" customHeight="1"/>
    <row r="9765" ht="18" hidden="1" customHeight="1"/>
    <row r="9766" ht="18" hidden="1" customHeight="1"/>
    <row r="9767" ht="18" hidden="1" customHeight="1"/>
    <row r="9768" ht="18" hidden="1" customHeight="1"/>
    <row r="9769" ht="18" hidden="1" customHeight="1"/>
    <row r="9770" ht="18" hidden="1" customHeight="1"/>
    <row r="9771" ht="18" hidden="1" customHeight="1"/>
    <row r="9772" ht="18" hidden="1" customHeight="1"/>
    <row r="9773" ht="18" hidden="1" customHeight="1"/>
    <row r="9774" ht="18" hidden="1" customHeight="1"/>
    <row r="9775" ht="18" hidden="1" customHeight="1"/>
    <row r="9776" ht="18" hidden="1" customHeight="1"/>
    <row r="9777" ht="18" hidden="1" customHeight="1"/>
    <row r="9778" ht="18" hidden="1" customHeight="1"/>
    <row r="9779" ht="18" hidden="1" customHeight="1"/>
    <row r="9780" ht="18" hidden="1" customHeight="1"/>
    <row r="9781" ht="18" hidden="1" customHeight="1"/>
    <row r="9782" ht="18" hidden="1" customHeight="1"/>
    <row r="9783" ht="18" hidden="1" customHeight="1"/>
    <row r="9784" ht="18" hidden="1" customHeight="1"/>
    <row r="9785" ht="18" hidden="1" customHeight="1"/>
    <row r="9786" ht="18" hidden="1" customHeight="1"/>
    <row r="9787" ht="18" hidden="1" customHeight="1"/>
    <row r="9788" ht="18" hidden="1" customHeight="1"/>
    <row r="9789" ht="18" hidden="1" customHeight="1"/>
    <row r="9790" ht="18" hidden="1" customHeight="1"/>
    <row r="9791" ht="18" hidden="1" customHeight="1"/>
    <row r="9792" ht="18" hidden="1" customHeight="1"/>
    <row r="9793" ht="18" hidden="1" customHeight="1"/>
    <row r="9794" ht="18" hidden="1" customHeight="1"/>
    <row r="9795" ht="18" hidden="1" customHeight="1"/>
    <row r="9796" ht="18" hidden="1" customHeight="1"/>
    <row r="9797" ht="18" hidden="1" customHeight="1"/>
    <row r="9798" ht="18" hidden="1" customHeight="1"/>
    <row r="9799" ht="18" hidden="1" customHeight="1"/>
    <row r="9800" ht="18" hidden="1" customHeight="1"/>
    <row r="9801" ht="18" hidden="1" customHeight="1"/>
    <row r="9802" ht="18" hidden="1" customHeight="1"/>
    <row r="9803" ht="18" hidden="1" customHeight="1"/>
    <row r="9804" ht="18" hidden="1" customHeight="1"/>
    <row r="9805" ht="18" hidden="1" customHeight="1"/>
    <row r="9806" ht="18" hidden="1" customHeight="1"/>
    <row r="9807" ht="18" hidden="1" customHeight="1"/>
    <row r="9808" ht="18" hidden="1" customHeight="1"/>
    <row r="9809" ht="18" hidden="1" customHeight="1"/>
    <row r="9810" ht="18" hidden="1" customHeight="1"/>
    <row r="9811" ht="18" hidden="1" customHeight="1"/>
    <row r="9812" ht="18" hidden="1" customHeight="1"/>
    <row r="9813" ht="18" hidden="1" customHeight="1"/>
    <row r="9814" ht="18" hidden="1" customHeight="1"/>
    <row r="9815" ht="18" hidden="1" customHeight="1"/>
    <row r="9816" ht="18" hidden="1" customHeight="1"/>
    <row r="9817" ht="18" hidden="1" customHeight="1"/>
    <row r="9818" ht="18" hidden="1" customHeight="1"/>
    <row r="9819" ht="18" hidden="1" customHeight="1"/>
    <row r="9820" ht="18" hidden="1" customHeight="1"/>
    <row r="9821" ht="18" hidden="1" customHeight="1"/>
    <row r="9822" ht="18" hidden="1" customHeight="1"/>
    <row r="9823" ht="18" hidden="1" customHeight="1"/>
    <row r="9824" ht="18" hidden="1" customHeight="1"/>
    <row r="9825" ht="18" hidden="1" customHeight="1"/>
    <row r="9826" ht="18" hidden="1" customHeight="1"/>
    <row r="9827" ht="18" hidden="1" customHeight="1"/>
    <row r="9828" ht="18" hidden="1" customHeight="1"/>
    <row r="9829" ht="18" hidden="1" customHeight="1"/>
    <row r="9830" ht="18" hidden="1" customHeight="1"/>
    <row r="9831" ht="18" hidden="1" customHeight="1"/>
    <row r="9832" ht="18" hidden="1" customHeight="1"/>
    <row r="9833" ht="18" hidden="1" customHeight="1"/>
    <row r="9834" ht="18" hidden="1" customHeight="1"/>
    <row r="9835" ht="18" hidden="1" customHeight="1"/>
    <row r="9836" ht="18" hidden="1" customHeight="1"/>
    <row r="9837" ht="18" hidden="1" customHeight="1"/>
    <row r="9838" ht="18" hidden="1" customHeight="1"/>
    <row r="9839" ht="18" hidden="1" customHeight="1"/>
    <row r="9840" ht="18" hidden="1" customHeight="1"/>
    <row r="9841" ht="18" hidden="1" customHeight="1"/>
    <row r="9842" ht="18" hidden="1" customHeight="1"/>
    <row r="9843" ht="18" hidden="1" customHeight="1"/>
    <row r="9844" ht="18" hidden="1" customHeight="1"/>
    <row r="9845" ht="18" hidden="1" customHeight="1"/>
    <row r="9846" ht="18" hidden="1" customHeight="1"/>
    <row r="9847" ht="18" hidden="1" customHeight="1"/>
    <row r="9848" ht="18" hidden="1" customHeight="1"/>
    <row r="9849" ht="18" hidden="1" customHeight="1"/>
    <row r="9850" ht="18" hidden="1" customHeight="1"/>
    <row r="9851" ht="18" hidden="1" customHeight="1"/>
    <row r="9852" ht="18" hidden="1" customHeight="1"/>
    <row r="9853" ht="18" hidden="1" customHeight="1"/>
    <row r="9854" ht="18" hidden="1" customHeight="1"/>
    <row r="9855" ht="18" hidden="1" customHeight="1"/>
    <row r="9856" ht="18" hidden="1" customHeight="1"/>
    <row r="9857" ht="18" hidden="1" customHeight="1"/>
    <row r="9858" ht="18" hidden="1" customHeight="1"/>
    <row r="9859" ht="18" hidden="1" customHeight="1"/>
    <row r="9860" ht="18" hidden="1" customHeight="1"/>
    <row r="9861" ht="18" hidden="1" customHeight="1"/>
    <row r="9862" ht="18" hidden="1" customHeight="1"/>
    <row r="9863" ht="18" hidden="1" customHeight="1"/>
    <row r="9864" ht="18" hidden="1" customHeight="1"/>
    <row r="9865" ht="18" hidden="1" customHeight="1"/>
    <row r="9866" ht="18" hidden="1" customHeight="1"/>
    <row r="9867" ht="18" hidden="1" customHeight="1"/>
    <row r="9868" ht="18" hidden="1" customHeight="1"/>
    <row r="9869" ht="18" hidden="1" customHeight="1"/>
    <row r="9870" ht="18" hidden="1" customHeight="1"/>
    <row r="9871" ht="18" hidden="1" customHeight="1"/>
    <row r="9872" ht="18" hidden="1" customHeight="1"/>
    <row r="9873" ht="18" hidden="1" customHeight="1"/>
    <row r="9874" ht="18" hidden="1" customHeight="1"/>
    <row r="9875" ht="18" hidden="1" customHeight="1"/>
    <row r="9876" ht="18" hidden="1" customHeight="1"/>
    <row r="9877" ht="18" hidden="1" customHeight="1"/>
    <row r="9878" ht="18" hidden="1" customHeight="1"/>
    <row r="9879" ht="18" hidden="1" customHeight="1"/>
    <row r="9880" ht="18" hidden="1" customHeight="1"/>
    <row r="9881" ht="18" hidden="1" customHeight="1"/>
    <row r="9882" ht="18" hidden="1" customHeight="1"/>
    <row r="9883" ht="18" hidden="1" customHeight="1"/>
    <row r="9884" ht="18" hidden="1" customHeight="1"/>
    <row r="9885" ht="18" hidden="1" customHeight="1"/>
    <row r="9886" ht="18" hidden="1" customHeight="1"/>
    <row r="9887" ht="18" hidden="1" customHeight="1"/>
    <row r="9888" ht="18" hidden="1" customHeight="1"/>
    <row r="9889" ht="18" hidden="1" customHeight="1"/>
    <row r="9890" ht="18" hidden="1" customHeight="1"/>
    <row r="9891" ht="18" hidden="1" customHeight="1"/>
    <row r="9892" ht="18" hidden="1" customHeight="1"/>
    <row r="9893" ht="18" hidden="1" customHeight="1"/>
    <row r="9894" ht="18" hidden="1" customHeight="1"/>
    <row r="9895" ht="18" hidden="1" customHeight="1"/>
    <row r="9896" ht="18" hidden="1" customHeight="1"/>
    <row r="9897" ht="18" hidden="1" customHeight="1"/>
    <row r="9898" ht="18" hidden="1" customHeight="1"/>
    <row r="9899" ht="18" hidden="1" customHeight="1"/>
    <row r="9900" ht="18" hidden="1" customHeight="1"/>
    <row r="9901" ht="18" hidden="1" customHeight="1"/>
    <row r="9902" ht="18" hidden="1" customHeight="1"/>
    <row r="9903" ht="18" hidden="1" customHeight="1"/>
    <row r="9904" ht="18" hidden="1" customHeight="1"/>
    <row r="9905" ht="18" hidden="1" customHeight="1"/>
    <row r="9906" ht="18" hidden="1" customHeight="1"/>
    <row r="9907" ht="18" hidden="1" customHeight="1"/>
    <row r="9908" ht="18" hidden="1" customHeight="1"/>
    <row r="9909" ht="18" hidden="1" customHeight="1"/>
    <row r="9910" ht="18" hidden="1" customHeight="1"/>
    <row r="9911" ht="18" hidden="1" customHeight="1"/>
    <row r="9912" ht="18" hidden="1" customHeight="1"/>
    <row r="9913" ht="18" hidden="1" customHeight="1"/>
    <row r="9914" ht="18" hidden="1" customHeight="1"/>
    <row r="9915" ht="18" hidden="1" customHeight="1"/>
    <row r="9916" ht="18" hidden="1" customHeight="1"/>
    <row r="9917" ht="18" hidden="1" customHeight="1"/>
    <row r="9918" ht="18" hidden="1" customHeight="1"/>
    <row r="9919" ht="18" hidden="1" customHeight="1"/>
    <row r="9920" ht="18" hidden="1" customHeight="1"/>
    <row r="9921" ht="18" hidden="1" customHeight="1"/>
    <row r="9922" ht="18" hidden="1" customHeight="1"/>
    <row r="9923" ht="18" hidden="1" customHeight="1"/>
    <row r="9924" ht="18" hidden="1" customHeight="1"/>
    <row r="9925" ht="18" hidden="1" customHeight="1"/>
    <row r="9926" ht="18" hidden="1" customHeight="1"/>
    <row r="9927" ht="18" hidden="1" customHeight="1"/>
    <row r="9928" ht="18" hidden="1" customHeight="1"/>
    <row r="9929" ht="18" hidden="1" customHeight="1"/>
    <row r="9930" ht="18" hidden="1" customHeight="1"/>
    <row r="9931" ht="18" hidden="1" customHeight="1"/>
    <row r="9932" ht="18" hidden="1" customHeight="1"/>
    <row r="9933" ht="18" hidden="1" customHeight="1"/>
    <row r="9934" ht="18" hidden="1" customHeight="1"/>
    <row r="9935" ht="18" hidden="1" customHeight="1"/>
    <row r="9936" ht="18" hidden="1" customHeight="1"/>
    <row r="9937" ht="18" hidden="1" customHeight="1"/>
    <row r="9938" ht="18" hidden="1" customHeight="1"/>
    <row r="9939" ht="18" hidden="1" customHeight="1"/>
    <row r="9940" ht="18" hidden="1" customHeight="1"/>
    <row r="9941" ht="18" hidden="1" customHeight="1"/>
    <row r="9942" ht="18" hidden="1" customHeight="1"/>
    <row r="9943" ht="18" hidden="1" customHeight="1"/>
    <row r="9944" ht="18" hidden="1" customHeight="1"/>
    <row r="9945" ht="18" hidden="1" customHeight="1"/>
    <row r="9946" ht="18" hidden="1" customHeight="1"/>
    <row r="9947" ht="18" hidden="1" customHeight="1"/>
    <row r="9948" ht="18" hidden="1" customHeight="1"/>
    <row r="9949" ht="18" hidden="1" customHeight="1"/>
    <row r="9950" ht="18" hidden="1" customHeight="1"/>
    <row r="9951" ht="18" hidden="1" customHeight="1"/>
    <row r="9952" ht="18" hidden="1" customHeight="1"/>
    <row r="9953" ht="18" hidden="1" customHeight="1"/>
    <row r="9954" ht="18" hidden="1" customHeight="1"/>
    <row r="9955" ht="18" hidden="1" customHeight="1"/>
    <row r="9956" ht="18" hidden="1" customHeight="1"/>
    <row r="9957" ht="18" hidden="1" customHeight="1"/>
    <row r="9958" ht="18" hidden="1" customHeight="1"/>
    <row r="9959" ht="18" hidden="1" customHeight="1"/>
    <row r="9960" ht="18" hidden="1" customHeight="1"/>
    <row r="9961" ht="18" hidden="1" customHeight="1"/>
    <row r="9962" ht="18" hidden="1" customHeight="1"/>
    <row r="9963" ht="18" hidden="1" customHeight="1"/>
    <row r="9964" ht="18" hidden="1" customHeight="1"/>
    <row r="9965" ht="18" hidden="1" customHeight="1"/>
    <row r="9966" ht="18" hidden="1" customHeight="1"/>
    <row r="9967" ht="18" hidden="1" customHeight="1"/>
    <row r="9968" ht="18" hidden="1" customHeight="1"/>
    <row r="9969" ht="18" hidden="1" customHeight="1"/>
    <row r="9970" ht="18" hidden="1" customHeight="1"/>
    <row r="9971" ht="18" hidden="1" customHeight="1"/>
    <row r="9972" ht="18" hidden="1" customHeight="1"/>
    <row r="9973" ht="18" hidden="1" customHeight="1"/>
    <row r="9974" ht="18" hidden="1" customHeight="1"/>
    <row r="9975" ht="18" hidden="1" customHeight="1"/>
    <row r="9976" ht="18" hidden="1" customHeight="1"/>
    <row r="9977" ht="18" hidden="1" customHeight="1"/>
    <row r="9978" ht="18" hidden="1" customHeight="1"/>
    <row r="9979" ht="18" hidden="1" customHeight="1"/>
    <row r="9980" ht="18" hidden="1" customHeight="1"/>
    <row r="9981" ht="18" hidden="1" customHeight="1"/>
    <row r="9982" ht="18" hidden="1" customHeight="1"/>
    <row r="9983" ht="18" hidden="1" customHeight="1"/>
    <row r="9984" ht="18" hidden="1" customHeight="1"/>
    <row r="9985" ht="18" hidden="1" customHeight="1"/>
    <row r="9986" ht="18" hidden="1" customHeight="1"/>
    <row r="9987" ht="18" hidden="1" customHeight="1"/>
    <row r="9988" ht="18" hidden="1" customHeight="1"/>
    <row r="9989" ht="18" hidden="1" customHeight="1"/>
    <row r="9990" ht="18" hidden="1" customHeight="1"/>
    <row r="9991" ht="18" hidden="1" customHeight="1"/>
    <row r="9992" ht="18" hidden="1" customHeight="1"/>
    <row r="9993" ht="18" hidden="1" customHeight="1"/>
    <row r="9994" ht="18" hidden="1" customHeight="1"/>
    <row r="9995" ht="18" hidden="1" customHeight="1"/>
    <row r="9996" ht="18" hidden="1" customHeight="1"/>
    <row r="9997" ht="18" hidden="1" customHeight="1"/>
    <row r="9998" ht="18" hidden="1" customHeight="1"/>
    <row r="9999" ht="18" hidden="1" customHeight="1"/>
    <row r="10000" ht="18" hidden="1" customHeight="1"/>
    <row r="10001" ht="18" hidden="1" customHeight="1"/>
    <row r="10002" ht="18" hidden="1" customHeight="1"/>
    <row r="10003" ht="18" hidden="1" customHeight="1"/>
    <row r="10004" ht="18" hidden="1" customHeight="1"/>
    <row r="10005" ht="18" hidden="1" customHeight="1"/>
    <row r="10006" ht="18" hidden="1" customHeight="1"/>
    <row r="10007" ht="18" hidden="1" customHeight="1"/>
    <row r="10008" ht="18" hidden="1" customHeight="1"/>
    <row r="10009" ht="18" hidden="1" customHeight="1"/>
    <row r="10010" ht="18" hidden="1" customHeight="1"/>
    <row r="10011" ht="18" hidden="1" customHeight="1"/>
    <row r="10012" ht="18" hidden="1" customHeight="1"/>
    <row r="10013" ht="18" hidden="1" customHeight="1"/>
    <row r="10014" ht="18" hidden="1" customHeight="1"/>
    <row r="10015" ht="18" hidden="1" customHeight="1"/>
    <row r="10016" ht="18" hidden="1" customHeight="1"/>
    <row r="10017" ht="18" hidden="1" customHeight="1"/>
    <row r="10018" ht="18" hidden="1" customHeight="1"/>
    <row r="10019" ht="18" hidden="1" customHeight="1"/>
    <row r="10020" ht="18" hidden="1" customHeight="1"/>
    <row r="10021" ht="18" hidden="1" customHeight="1"/>
    <row r="10022" ht="18" hidden="1" customHeight="1"/>
    <row r="10023" ht="18" hidden="1" customHeight="1"/>
    <row r="10024" ht="18" hidden="1" customHeight="1"/>
    <row r="10025" ht="18" hidden="1" customHeight="1"/>
    <row r="10026" ht="18" hidden="1" customHeight="1"/>
    <row r="10027" ht="18" hidden="1" customHeight="1"/>
    <row r="10028" ht="18" hidden="1" customHeight="1"/>
    <row r="10029" ht="18" hidden="1" customHeight="1"/>
    <row r="10030" ht="18" hidden="1" customHeight="1"/>
    <row r="10031" ht="18" hidden="1" customHeight="1"/>
    <row r="10032" ht="18" hidden="1" customHeight="1"/>
    <row r="10033" ht="18" hidden="1" customHeight="1"/>
    <row r="10034" ht="18" hidden="1" customHeight="1"/>
    <row r="10035" ht="18" hidden="1" customHeight="1"/>
    <row r="10036" ht="18" hidden="1" customHeight="1"/>
    <row r="10037" ht="18" hidden="1" customHeight="1"/>
    <row r="10038" ht="18" hidden="1" customHeight="1"/>
    <row r="10039" ht="18" hidden="1" customHeight="1"/>
    <row r="10040" ht="18" hidden="1" customHeight="1"/>
    <row r="10041" ht="18" hidden="1" customHeight="1"/>
    <row r="10042" ht="18" hidden="1" customHeight="1"/>
    <row r="10043" ht="18" hidden="1" customHeight="1"/>
    <row r="10044" ht="18" hidden="1" customHeight="1"/>
    <row r="10045" ht="18" hidden="1" customHeight="1"/>
    <row r="10046" ht="18" hidden="1" customHeight="1"/>
    <row r="10047" ht="18" hidden="1" customHeight="1"/>
    <row r="10048" ht="18" hidden="1" customHeight="1"/>
    <row r="10049" ht="18" hidden="1" customHeight="1"/>
    <row r="10050" ht="18" hidden="1" customHeight="1"/>
    <row r="10051" ht="18" hidden="1" customHeight="1"/>
    <row r="10052" ht="18" hidden="1" customHeight="1"/>
    <row r="10053" ht="18" hidden="1" customHeight="1"/>
    <row r="10054" ht="18" hidden="1" customHeight="1"/>
    <row r="10055" ht="18" hidden="1" customHeight="1"/>
    <row r="10056" ht="18" hidden="1" customHeight="1"/>
    <row r="10057" ht="18" hidden="1" customHeight="1"/>
    <row r="10058" ht="18" hidden="1" customHeight="1"/>
    <row r="10059" ht="18" hidden="1" customHeight="1"/>
    <row r="10060" ht="18" hidden="1" customHeight="1"/>
    <row r="10061" ht="18" hidden="1" customHeight="1"/>
    <row r="10062" ht="18" hidden="1" customHeight="1"/>
    <row r="10063" ht="18" hidden="1" customHeight="1"/>
    <row r="10064" ht="18" hidden="1" customHeight="1"/>
    <row r="10065" ht="18" hidden="1" customHeight="1"/>
    <row r="10066" ht="18" hidden="1" customHeight="1"/>
    <row r="10067" ht="18" hidden="1" customHeight="1"/>
    <row r="10068" ht="18" hidden="1" customHeight="1"/>
    <row r="10069" ht="18" hidden="1" customHeight="1"/>
    <row r="10070" ht="18" hidden="1" customHeight="1"/>
    <row r="10071" ht="18" hidden="1" customHeight="1"/>
    <row r="10072" ht="18" hidden="1" customHeight="1"/>
    <row r="10073" ht="18" hidden="1" customHeight="1"/>
    <row r="10074" ht="18" hidden="1" customHeight="1"/>
    <row r="10075" ht="18" hidden="1" customHeight="1"/>
    <row r="10076" ht="18" hidden="1" customHeight="1"/>
    <row r="10077" ht="18" hidden="1" customHeight="1"/>
    <row r="10078" ht="18" hidden="1" customHeight="1"/>
    <row r="10079" ht="18" hidden="1" customHeight="1"/>
    <row r="10080" ht="18" hidden="1" customHeight="1"/>
    <row r="10081" ht="18" hidden="1" customHeight="1"/>
    <row r="10082" ht="18" hidden="1" customHeight="1"/>
    <row r="10083" ht="18" hidden="1" customHeight="1"/>
    <row r="10084" ht="18" hidden="1" customHeight="1"/>
    <row r="10085" ht="18" hidden="1" customHeight="1"/>
    <row r="10086" ht="18" hidden="1" customHeight="1"/>
    <row r="10087" ht="18" hidden="1" customHeight="1"/>
    <row r="10088" ht="18" hidden="1" customHeight="1"/>
    <row r="10089" ht="18" hidden="1" customHeight="1"/>
    <row r="10090" ht="18" hidden="1" customHeight="1"/>
    <row r="10091" ht="18" hidden="1" customHeight="1"/>
    <row r="10092" ht="18" hidden="1" customHeight="1"/>
    <row r="10093" ht="18" hidden="1" customHeight="1"/>
    <row r="10094" ht="18" hidden="1" customHeight="1"/>
    <row r="10095" ht="18" hidden="1" customHeight="1"/>
    <row r="10096" ht="18" hidden="1" customHeight="1"/>
    <row r="10097" ht="18" hidden="1" customHeight="1"/>
    <row r="10098" ht="18" hidden="1" customHeight="1"/>
    <row r="10099" ht="18" hidden="1" customHeight="1"/>
    <row r="10100" ht="18" hidden="1" customHeight="1"/>
    <row r="10101" ht="18" hidden="1" customHeight="1"/>
    <row r="10102" ht="18" hidden="1" customHeight="1"/>
    <row r="10103" ht="18" hidden="1" customHeight="1"/>
    <row r="10104" ht="18" hidden="1" customHeight="1"/>
    <row r="10105" ht="18" hidden="1" customHeight="1"/>
    <row r="10106" ht="18" hidden="1" customHeight="1"/>
    <row r="10107" ht="18" hidden="1" customHeight="1"/>
    <row r="10108" ht="18" hidden="1" customHeight="1"/>
    <row r="10109" ht="18" hidden="1" customHeight="1"/>
    <row r="10110" ht="18" hidden="1" customHeight="1"/>
    <row r="10111" ht="18" hidden="1" customHeight="1"/>
    <row r="10112" ht="18" hidden="1" customHeight="1"/>
    <row r="10113" ht="18" hidden="1" customHeight="1"/>
    <row r="10114" ht="18" hidden="1" customHeight="1"/>
    <row r="10115" ht="18" hidden="1" customHeight="1"/>
    <row r="10116" ht="18" hidden="1" customHeight="1"/>
    <row r="10117" ht="18" hidden="1" customHeight="1"/>
    <row r="10118" ht="18" hidden="1" customHeight="1"/>
    <row r="10119" ht="18" hidden="1" customHeight="1"/>
    <row r="10120" ht="18" hidden="1" customHeight="1"/>
    <row r="10121" ht="18" hidden="1" customHeight="1"/>
    <row r="10122" ht="18" hidden="1" customHeight="1"/>
    <row r="10123" ht="18" hidden="1" customHeight="1"/>
    <row r="10124" ht="18" hidden="1" customHeight="1"/>
    <row r="10125" ht="18" hidden="1" customHeight="1"/>
    <row r="10126" ht="18" hidden="1" customHeight="1"/>
    <row r="10127" ht="18" hidden="1" customHeight="1"/>
    <row r="10128" ht="18" hidden="1" customHeight="1"/>
    <row r="10129" ht="18" hidden="1" customHeight="1"/>
    <row r="10130" ht="18" hidden="1" customHeight="1"/>
    <row r="10131" ht="18" hidden="1" customHeight="1"/>
    <row r="10132" ht="18" hidden="1" customHeight="1"/>
    <row r="10133" ht="18" hidden="1" customHeight="1"/>
    <row r="10134" ht="18" hidden="1" customHeight="1"/>
    <row r="10135" ht="18" hidden="1" customHeight="1"/>
    <row r="10136" ht="18" hidden="1" customHeight="1"/>
    <row r="10137" ht="18" hidden="1" customHeight="1"/>
    <row r="10138" ht="18" hidden="1" customHeight="1"/>
    <row r="10139" ht="18" hidden="1" customHeight="1"/>
    <row r="10140" ht="18" hidden="1" customHeight="1"/>
    <row r="10141" ht="18" hidden="1" customHeight="1"/>
    <row r="10142" ht="18" hidden="1" customHeight="1"/>
    <row r="10143" ht="18" hidden="1" customHeight="1"/>
    <row r="10144" ht="18" hidden="1" customHeight="1"/>
    <row r="10145" ht="18" hidden="1" customHeight="1"/>
    <row r="10146" ht="18" hidden="1" customHeight="1"/>
    <row r="10147" ht="18" hidden="1" customHeight="1"/>
    <row r="10148" ht="18" hidden="1" customHeight="1"/>
    <row r="10149" ht="18" hidden="1" customHeight="1"/>
    <row r="10150" ht="18" hidden="1" customHeight="1"/>
    <row r="10151" ht="18" hidden="1" customHeight="1"/>
    <row r="10152" ht="18" hidden="1" customHeight="1"/>
    <row r="10153" ht="18" hidden="1" customHeight="1"/>
    <row r="10154" ht="18" hidden="1" customHeight="1"/>
    <row r="10155" ht="18" hidden="1" customHeight="1"/>
    <row r="10156" ht="18" hidden="1" customHeight="1"/>
    <row r="10157" ht="18" hidden="1" customHeight="1"/>
    <row r="10158" ht="18" hidden="1" customHeight="1"/>
    <row r="10159" ht="18" hidden="1" customHeight="1"/>
    <row r="10160" ht="18" hidden="1" customHeight="1"/>
    <row r="10161" ht="18" hidden="1" customHeight="1"/>
    <row r="10162" ht="18" hidden="1" customHeight="1"/>
    <row r="10163" ht="18" hidden="1" customHeight="1"/>
    <row r="10164" ht="18" hidden="1" customHeight="1"/>
    <row r="10165" ht="18" hidden="1" customHeight="1"/>
    <row r="10166" ht="18" hidden="1" customHeight="1"/>
    <row r="10167" ht="18" hidden="1" customHeight="1"/>
    <row r="10168" ht="18" hidden="1" customHeight="1"/>
    <row r="10169" ht="18" hidden="1" customHeight="1"/>
    <row r="10170" ht="18" hidden="1" customHeight="1"/>
    <row r="10171" ht="18" hidden="1" customHeight="1"/>
    <row r="10172" ht="18" hidden="1" customHeight="1"/>
    <row r="10173" ht="18" hidden="1" customHeight="1"/>
    <row r="10174" ht="18" hidden="1" customHeight="1"/>
    <row r="10175" ht="18" hidden="1" customHeight="1"/>
    <row r="10176" ht="18" hidden="1" customHeight="1"/>
    <row r="10177" ht="18" hidden="1" customHeight="1"/>
    <row r="10178" ht="18" hidden="1" customHeight="1"/>
    <row r="10179" ht="18" hidden="1" customHeight="1"/>
    <row r="10180" ht="18" hidden="1" customHeight="1"/>
    <row r="10181" ht="18" hidden="1" customHeight="1"/>
    <row r="10182" ht="18" hidden="1" customHeight="1"/>
    <row r="10183" ht="18" hidden="1" customHeight="1"/>
    <row r="10184" ht="18" hidden="1" customHeight="1"/>
    <row r="10185" ht="18" hidden="1" customHeight="1"/>
    <row r="10186" ht="18" hidden="1" customHeight="1"/>
    <row r="10187" ht="18" hidden="1" customHeight="1"/>
    <row r="10188" ht="18" hidden="1" customHeight="1"/>
    <row r="10189" ht="18" hidden="1" customHeight="1"/>
    <row r="10190" ht="18" hidden="1" customHeight="1"/>
    <row r="10191" ht="18" hidden="1" customHeight="1"/>
    <row r="10192" ht="18" hidden="1" customHeight="1"/>
    <row r="10193" ht="18" hidden="1" customHeight="1"/>
    <row r="10194" ht="18" hidden="1" customHeight="1"/>
    <row r="10195" ht="18" hidden="1" customHeight="1"/>
    <row r="10196" ht="18" hidden="1" customHeight="1"/>
    <row r="10197" ht="18" hidden="1" customHeight="1"/>
    <row r="10198" ht="18" hidden="1" customHeight="1"/>
    <row r="10199" ht="18" hidden="1" customHeight="1"/>
    <row r="10200" ht="18" hidden="1" customHeight="1"/>
    <row r="10201" ht="18" hidden="1" customHeight="1"/>
    <row r="10202" ht="18" hidden="1" customHeight="1"/>
    <row r="10203" ht="18" hidden="1" customHeight="1"/>
    <row r="10204" ht="18" hidden="1" customHeight="1"/>
    <row r="10205" ht="18" hidden="1" customHeight="1"/>
    <row r="10206" ht="18" hidden="1" customHeight="1"/>
    <row r="10207" ht="18" hidden="1" customHeight="1"/>
    <row r="10208" ht="18" hidden="1" customHeight="1"/>
    <row r="10209" ht="18" hidden="1" customHeight="1"/>
    <row r="10210" ht="18" hidden="1" customHeight="1"/>
    <row r="10211" ht="18" hidden="1" customHeight="1"/>
    <row r="10212" ht="18" hidden="1" customHeight="1"/>
    <row r="10213" ht="18" hidden="1" customHeight="1"/>
    <row r="10214" ht="18" hidden="1" customHeight="1"/>
    <row r="10215" ht="18" hidden="1" customHeight="1"/>
    <row r="10216" ht="18" hidden="1" customHeight="1"/>
    <row r="10217" ht="18" hidden="1" customHeight="1"/>
    <row r="10218" ht="18" hidden="1" customHeight="1"/>
    <row r="10219" ht="18" hidden="1" customHeight="1"/>
    <row r="10220" ht="18" hidden="1" customHeight="1"/>
    <row r="10221" ht="18" hidden="1" customHeight="1"/>
    <row r="10222" ht="18" hidden="1" customHeight="1"/>
    <row r="10223" ht="18" hidden="1" customHeight="1"/>
    <row r="10224" ht="18" hidden="1" customHeight="1"/>
    <row r="10225" ht="18" hidden="1" customHeight="1"/>
    <row r="10226" ht="18" hidden="1" customHeight="1"/>
    <row r="10227" ht="18" hidden="1" customHeight="1"/>
    <row r="10228" ht="18" hidden="1" customHeight="1"/>
    <row r="10229" ht="18" hidden="1" customHeight="1"/>
    <row r="10230" ht="18" hidden="1" customHeight="1"/>
    <row r="10231" ht="18" hidden="1" customHeight="1"/>
    <row r="10232" ht="18" hidden="1" customHeight="1"/>
    <row r="10233" ht="18" hidden="1" customHeight="1"/>
    <row r="10234" ht="18" hidden="1" customHeight="1"/>
    <row r="10235" ht="18" hidden="1" customHeight="1"/>
    <row r="10236" ht="18" hidden="1" customHeight="1"/>
    <row r="10237" ht="18" hidden="1" customHeight="1"/>
    <row r="10238" ht="18" hidden="1" customHeight="1"/>
    <row r="10239" ht="18" hidden="1" customHeight="1"/>
    <row r="10240" ht="18" hidden="1" customHeight="1"/>
    <row r="10241" ht="18" hidden="1" customHeight="1"/>
    <row r="10242" ht="18" hidden="1" customHeight="1"/>
    <row r="10243" ht="18" hidden="1" customHeight="1"/>
    <row r="10244" ht="18" hidden="1" customHeight="1"/>
    <row r="10245" ht="18" hidden="1" customHeight="1"/>
    <row r="10246" ht="18" hidden="1" customHeight="1"/>
    <row r="10247" ht="18" hidden="1" customHeight="1"/>
    <row r="10248" ht="18" hidden="1" customHeight="1"/>
    <row r="10249" ht="18" hidden="1" customHeight="1"/>
    <row r="10250" ht="18" hidden="1" customHeight="1"/>
    <row r="10251" ht="18" hidden="1" customHeight="1"/>
    <row r="10252" ht="18" hidden="1" customHeight="1"/>
    <row r="10253" ht="18" hidden="1" customHeight="1"/>
    <row r="10254" ht="18" hidden="1" customHeight="1"/>
    <row r="10255" ht="18" hidden="1" customHeight="1"/>
    <row r="10256" ht="18" hidden="1" customHeight="1"/>
    <row r="10257" ht="18" hidden="1" customHeight="1"/>
    <row r="10258" ht="18" hidden="1" customHeight="1"/>
    <row r="10259" ht="18" hidden="1" customHeight="1"/>
    <row r="10260" ht="18" hidden="1" customHeight="1"/>
    <row r="10261" ht="18" hidden="1" customHeight="1"/>
    <row r="10262" ht="18" hidden="1" customHeight="1"/>
    <row r="10263" ht="18" hidden="1" customHeight="1"/>
    <row r="10264" ht="18" hidden="1" customHeight="1"/>
    <row r="10265" ht="18" hidden="1" customHeight="1"/>
    <row r="10266" ht="18" hidden="1" customHeight="1"/>
    <row r="10267" ht="18" hidden="1" customHeight="1"/>
    <row r="10268" ht="18" hidden="1" customHeight="1"/>
    <row r="10269" ht="18" hidden="1" customHeight="1"/>
    <row r="10270" ht="18" hidden="1" customHeight="1"/>
    <row r="10271" ht="18" hidden="1" customHeight="1"/>
    <row r="10272" ht="18" hidden="1" customHeight="1"/>
    <row r="10273" ht="18" hidden="1" customHeight="1"/>
    <row r="10274" ht="18" hidden="1" customHeight="1"/>
    <row r="10275" ht="18" hidden="1" customHeight="1"/>
    <row r="10276" ht="18" hidden="1" customHeight="1"/>
    <row r="10277" ht="18" hidden="1" customHeight="1"/>
    <row r="10278" ht="18" hidden="1" customHeight="1"/>
    <row r="10279" ht="18" hidden="1" customHeight="1"/>
    <row r="10280" ht="18" hidden="1" customHeight="1"/>
    <row r="10281" ht="18" hidden="1" customHeight="1"/>
    <row r="10282" ht="18" hidden="1" customHeight="1"/>
    <row r="10283" ht="18" hidden="1" customHeight="1"/>
    <row r="10284" ht="18" hidden="1" customHeight="1"/>
    <row r="10285" ht="18" hidden="1" customHeight="1"/>
    <row r="10286" ht="18" hidden="1" customHeight="1"/>
    <row r="10287" ht="18" hidden="1" customHeight="1"/>
    <row r="10288" ht="18" hidden="1" customHeight="1"/>
    <row r="10289" ht="18" hidden="1" customHeight="1"/>
    <row r="10290" ht="18" hidden="1" customHeight="1"/>
    <row r="10291" ht="18" hidden="1" customHeight="1"/>
    <row r="10292" ht="18" hidden="1" customHeight="1"/>
    <row r="10293" ht="18" hidden="1" customHeight="1"/>
    <row r="10294" ht="18" hidden="1" customHeight="1"/>
    <row r="10295" ht="18" hidden="1" customHeight="1"/>
    <row r="10296" ht="18" hidden="1" customHeight="1"/>
    <row r="10297" ht="18" hidden="1" customHeight="1"/>
    <row r="10298" ht="18" hidden="1" customHeight="1"/>
    <row r="10299" ht="18" hidden="1" customHeight="1"/>
    <row r="10300" ht="18" hidden="1" customHeight="1"/>
    <row r="10301" ht="18" hidden="1" customHeight="1"/>
    <row r="10302" ht="18" hidden="1" customHeight="1"/>
    <row r="10303" ht="18" hidden="1" customHeight="1"/>
    <row r="10304" ht="18" hidden="1" customHeight="1"/>
    <row r="10305" ht="18" hidden="1" customHeight="1"/>
    <row r="10306" ht="18" hidden="1" customHeight="1"/>
    <row r="10307" ht="18" hidden="1" customHeight="1"/>
    <row r="10308" ht="18" hidden="1" customHeight="1"/>
    <row r="10309" ht="18" hidden="1" customHeight="1"/>
    <row r="10310" ht="18" hidden="1" customHeight="1"/>
    <row r="10311" ht="18" hidden="1" customHeight="1"/>
    <row r="10312" ht="18" hidden="1" customHeight="1"/>
    <row r="10313" ht="18" hidden="1" customHeight="1"/>
    <row r="10314" ht="18" hidden="1" customHeight="1"/>
    <row r="10315" ht="18" hidden="1" customHeight="1"/>
    <row r="10316" ht="18" hidden="1" customHeight="1"/>
    <row r="10317" ht="18" hidden="1" customHeight="1"/>
    <row r="10318" ht="18" hidden="1" customHeight="1"/>
    <row r="10319" ht="18" hidden="1" customHeight="1"/>
    <row r="10320" ht="18" hidden="1" customHeight="1"/>
    <row r="10321" ht="18" hidden="1" customHeight="1"/>
    <row r="10322" ht="18" hidden="1" customHeight="1"/>
    <row r="10323" ht="18" hidden="1" customHeight="1"/>
    <row r="10324" ht="18" hidden="1" customHeight="1"/>
    <row r="10325" ht="18" hidden="1" customHeight="1"/>
    <row r="10326" ht="18" hidden="1" customHeight="1"/>
    <row r="10327" ht="18" hidden="1" customHeight="1"/>
    <row r="10328" ht="18" hidden="1" customHeight="1"/>
    <row r="10329" ht="18" hidden="1" customHeight="1"/>
    <row r="10330" ht="18" hidden="1" customHeight="1"/>
    <row r="10331" ht="18" hidden="1" customHeight="1"/>
    <row r="10332" ht="18" hidden="1" customHeight="1"/>
    <row r="10333" ht="18" hidden="1" customHeight="1"/>
    <row r="10334" ht="18" hidden="1" customHeight="1"/>
    <row r="10335" ht="18" hidden="1" customHeight="1"/>
    <row r="10336" ht="18" hidden="1" customHeight="1"/>
    <row r="10337" ht="18" hidden="1" customHeight="1"/>
    <row r="10338" ht="18" hidden="1" customHeight="1"/>
    <row r="10339" ht="18" hidden="1" customHeight="1"/>
    <row r="10340" ht="18" hidden="1" customHeight="1"/>
    <row r="10341" ht="18" hidden="1" customHeight="1"/>
    <row r="10342" ht="18" hidden="1" customHeight="1"/>
    <row r="10343" ht="18" hidden="1" customHeight="1"/>
    <row r="10344" ht="18" hidden="1" customHeight="1"/>
    <row r="10345" ht="18" hidden="1" customHeight="1"/>
    <row r="10346" ht="18" hidden="1" customHeight="1"/>
    <row r="10347" ht="18" hidden="1" customHeight="1"/>
    <row r="10348" ht="18" hidden="1" customHeight="1"/>
    <row r="10349" ht="18" hidden="1" customHeight="1"/>
    <row r="10350" ht="18" hidden="1" customHeight="1"/>
    <row r="10351" ht="18" hidden="1" customHeight="1"/>
    <row r="10352" ht="18" hidden="1" customHeight="1"/>
    <row r="10353" ht="18" hidden="1" customHeight="1"/>
    <row r="10354" ht="18" hidden="1" customHeight="1"/>
    <row r="10355" ht="18" hidden="1" customHeight="1"/>
    <row r="10356" ht="18" hidden="1" customHeight="1"/>
    <row r="10357" ht="18" hidden="1" customHeight="1"/>
    <row r="10358" ht="18" hidden="1" customHeight="1"/>
    <row r="10359" ht="18" hidden="1" customHeight="1"/>
    <row r="10360" ht="18" hidden="1" customHeight="1"/>
    <row r="10361" ht="18" hidden="1" customHeight="1"/>
    <row r="10362" ht="18" hidden="1" customHeight="1"/>
    <row r="10363" ht="18" hidden="1" customHeight="1"/>
    <row r="10364" ht="18" hidden="1" customHeight="1"/>
    <row r="10365" ht="18" hidden="1" customHeight="1"/>
    <row r="10366" ht="18" hidden="1" customHeight="1"/>
    <row r="10367" ht="18" hidden="1" customHeight="1"/>
    <row r="10368" ht="18" hidden="1" customHeight="1"/>
    <row r="10369" ht="18" hidden="1" customHeight="1"/>
    <row r="10370" ht="18" hidden="1" customHeight="1"/>
    <row r="10371" ht="18" hidden="1" customHeight="1"/>
    <row r="10372" ht="18" hidden="1" customHeight="1"/>
    <row r="10373" ht="18" hidden="1" customHeight="1"/>
    <row r="10374" ht="18" hidden="1" customHeight="1"/>
    <row r="10375" ht="18" hidden="1" customHeight="1"/>
    <row r="10376" ht="18" hidden="1" customHeight="1"/>
    <row r="10377" ht="18" hidden="1" customHeight="1"/>
    <row r="10378" ht="18" hidden="1" customHeight="1"/>
    <row r="10379" ht="18" hidden="1" customHeight="1"/>
    <row r="10380" ht="18" hidden="1" customHeight="1"/>
    <row r="10381" ht="18" hidden="1" customHeight="1"/>
    <row r="10382" ht="18" hidden="1" customHeight="1"/>
    <row r="10383" ht="18" hidden="1" customHeight="1"/>
    <row r="10384" ht="18" hidden="1" customHeight="1"/>
    <row r="10385" ht="18" hidden="1" customHeight="1"/>
    <row r="10386" ht="18" hidden="1" customHeight="1"/>
    <row r="10387" ht="18" hidden="1" customHeight="1"/>
    <row r="10388" ht="18" hidden="1" customHeight="1"/>
    <row r="10389" ht="18" hidden="1" customHeight="1"/>
    <row r="10390" ht="18" hidden="1" customHeight="1"/>
    <row r="10391" ht="18" hidden="1" customHeight="1"/>
    <row r="10392" ht="18" hidden="1" customHeight="1"/>
    <row r="10393" ht="18" hidden="1" customHeight="1"/>
    <row r="10394" ht="18" hidden="1" customHeight="1"/>
    <row r="10395" ht="18" hidden="1" customHeight="1"/>
    <row r="10396" ht="18" hidden="1" customHeight="1"/>
    <row r="10397" ht="18" hidden="1" customHeight="1"/>
    <row r="10398" ht="18" hidden="1" customHeight="1"/>
    <row r="10399" ht="18" hidden="1" customHeight="1"/>
    <row r="10400" ht="18" hidden="1" customHeight="1"/>
    <row r="10401" ht="18" hidden="1" customHeight="1"/>
    <row r="10402" ht="18" hidden="1" customHeight="1"/>
    <row r="10403" ht="18" hidden="1" customHeight="1"/>
    <row r="10404" ht="18" hidden="1" customHeight="1"/>
    <row r="10405" ht="18" hidden="1" customHeight="1"/>
    <row r="10406" ht="18" hidden="1" customHeight="1"/>
    <row r="10407" ht="18" hidden="1" customHeight="1"/>
    <row r="10408" ht="18" hidden="1" customHeight="1"/>
    <row r="10409" ht="18" hidden="1" customHeight="1"/>
    <row r="10410" ht="18" hidden="1" customHeight="1"/>
    <row r="10411" ht="18" hidden="1" customHeight="1"/>
    <row r="10412" ht="18" hidden="1" customHeight="1"/>
    <row r="10413" ht="18" hidden="1" customHeight="1"/>
    <row r="10414" ht="18" hidden="1" customHeight="1"/>
    <row r="10415" ht="18" hidden="1" customHeight="1"/>
    <row r="10416" ht="18" hidden="1" customHeight="1"/>
    <row r="10417" ht="18" hidden="1" customHeight="1"/>
    <row r="10418" ht="18" hidden="1" customHeight="1"/>
    <row r="10419" ht="18" hidden="1" customHeight="1"/>
    <row r="10420" ht="18" hidden="1" customHeight="1"/>
    <row r="10421" ht="18" hidden="1" customHeight="1"/>
    <row r="10422" ht="18" hidden="1" customHeight="1"/>
    <row r="10423" ht="18" hidden="1" customHeight="1"/>
    <row r="10424" ht="18" hidden="1" customHeight="1"/>
    <row r="10425" ht="18" hidden="1" customHeight="1"/>
    <row r="10426" ht="18" hidden="1" customHeight="1"/>
    <row r="10427" ht="18" hidden="1" customHeight="1"/>
    <row r="10428" ht="18" hidden="1" customHeight="1"/>
    <row r="10429" ht="18" hidden="1" customHeight="1"/>
    <row r="10430" ht="18" hidden="1" customHeight="1"/>
    <row r="10431" ht="18" hidden="1" customHeight="1"/>
    <row r="10432" ht="18" hidden="1" customHeight="1"/>
    <row r="10433" ht="18" hidden="1" customHeight="1"/>
    <row r="10434" ht="18" hidden="1" customHeight="1"/>
    <row r="10435" ht="18" hidden="1" customHeight="1"/>
    <row r="10436" ht="18" hidden="1" customHeight="1"/>
    <row r="10437" ht="18" hidden="1" customHeight="1"/>
    <row r="10438" ht="18" hidden="1" customHeight="1"/>
    <row r="10439" ht="18" hidden="1" customHeight="1"/>
    <row r="10440" ht="18" hidden="1" customHeight="1"/>
    <row r="10441" ht="18" hidden="1" customHeight="1"/>
    <row r="10442" ht="18" hidden="1" customHeight="1"/>
    <row r="10443" ht="18" hidden="1" customHeight="1"/>
    <row r="10444" ht="18" hidden="1" customHeight="1"/>
    <row r="10445" ht="18" hidden="1" customHeight="1"/>
    <row r="10446" ht="18" hidden="1" customHeight="1"/>
    <row r="10447" ht="18" hidden="1" customHeight="1"/>
    <row r="10448" ht="18" hidden="1" customHeight="1"/>
    <row r="10449" ht="18" hidden="1" customHeight="1"/>
    <row r="10450" ht="18" hidden="1" customHeight="1"/>
    <row r="10451" ht="18" hidden="1" customHeight="1"/>
    <row r="10452" ht="18" hidden="1" customHeight="1"/>
    <row r="10453" ht="18" hidden="1" customHeight="1"/>
    <row r="10454" ht="18" hidden="1" customHeight="1"/>
    <row r="10455" ht="18" hidden="1" customHeight="1"/>
    <row r="10456" ht="18" hidden="1" customHeight="1"/>
    <row r="10457" ht="18" hidden="1" customHeight="1"/>
    <row r="10458" ht="18" hidden="1" customHeight="1"/>
    <row r="10459" ht="18" hidden="1" customHeight="1"/>
    <row r="10460" ht="18" hidden="1" customHeight="1"/>
    <row r="10461" ht="18" hidden="1" customHeight="1"/>
    <row r="10462" ht="18" hidden="1" customHeight="1"/>
    <row r="10463" ht="18" hidden="1" customHeight="1"/>
    <row r="10464" ht="18" hidden="1" customHeight="1"/>
    <row r="10465" ht="18" hidden="1" customHeight="1"/>
    <row r="10466" ht="18" hidden="1" customHeight="1"/>
    <row r="10467" ht="18" hidden="1" customHeight="1"/>
    <row r="10468" ht="18" hidden="1" customHeight="1"/>
    <row r="10469" ht="18" hidden="1" customHeight="1"/>
    <row r="10470" ht="18" hidden="1" customHeight="1"/>
    <row r="10471" ht="18" hidden="1" customHeight="1"/>
    <row r="10472" ht="18" hidden="1" customHeight="1"/>
    <row r="10473" ht="18" hidden="1" customHeight="1"/>
    <row r="10474" ht="18" hidden="1" customHeight="1"/>
    <row r="10475" ht="18" hidden="1" customHeight="1"/>
    <row r="10476" ht="18" hidden="1" customHeight="1"/>
    <row r="10477" ht="18" hidden="1" customHeight="1"/>
    <row r="10478" ht="18" hidden="1" customHeight="1"/>
    <row r="10479" ht="18" hidden="1" customHeight="1"/>
    <row r="10480" ht="18" hidden="1" customHeight="1"/>
    <row r="10481" ht="18" hidden="1" customHeight="1"/>
    <row r="10482" ht="18" hidden="1" customHeight="1"/>
    <row r="10483" ht="18" hidden="1" customHeight="1"/>
    <row r="10484" ht="18" hidden="1" customHeight="1"/>
    <row r="10485" ht="18" hidden="1" customHeight="1"/>
    <row r="10486" ht="18" hidden="1" customHeight="1"/>
    <row r="10487" ht="18" hidden="1" customHeight="1"/>
    <row r="10488" ht="18" hidden="1" customHeight="1"/>
    <row r="10489" ht="18" hidden="1" customHeight="1"/>
    <row r="10490" ht="18" hidden="1" customHeight="1"/>
    <row r="10491" ht="18" hidden="1" customHeight="1"/>
    <row r="10492" ht="18" hidden="1" customHeight="1"/>
    <row r="10493" ht="18" hidden="1" customHeight="1"/>
    <row r="10494" ht="18" hidden="1" customHeight="1"/>
    <row r="10495" ht="18" hidden="1" customHeight="1"/>
    <row r="10496" ht="18" hidden="1" customHeight="1"/>
    <row r="10497" ht="18" hidden="1" customHeight="1"/>
    <row r="10498" ht="18" hidden="1" customHeight="1"/>
    <row r="10499" ht="18" hidden="1" customHeight="1"/>
    <row r="10500" ht="18" hidden="1" customHeight="1"/>
    <row r="10501" ht="18" hidden="1" customHeight="1"/>
    <row r="10502" ht="18" hidden="1" customHeight="1"/>
    <row r="10503" ht="18" hidden="1" customHeight="1"/>
    <row r="10504" ht="18" hidden="1" customHeight="1"/>
    <row r="10505" ht="18" hidden="1" customHeight="1"/>
    <row r="10506" ht="18" hidden="1" customHeight="1"/>
    <row r="10507" ht="18" hidden="1" customHeight="1"/>
    <row r="10508" ht="18" hidden="1" customHeight="1"/>
    <row r="10509" ht="18" hidden="1" customHeight="1"/>
    <row r="10510" ht="18" hidden="1" customHeight="1"/>
    <row r="10511" ht="18" hidden="1" customHeight="1"/>
    <row r="10512" ht="18" hidden="1" customHeight="1"/>
    <row r="10513" ht="18" hidden="1" customHeight="1"/>
    <row r="10514" ht="18" hidden="1" customHeight="1"/>
    <row r="10515" ht="18" hidden="1" customHeight="1"/>
    <row r="10516" ht="18" hidden="1" customHeight="1"/>
    <row r="10517" ht="18" hidden="1" customHeight="1"/>
    <row r="10518" ht="18" hidden="1" customHeight="1"/>
    <row r="10519" ht="18" hidden="1" customHeight="1"/>
    <row r="10520" ht="18" hidden="1" customHeight="1"/>
    <row r="10521" ht="18" hidden="1" customHeight="1"/>
    <row r="10522" ht="18" hidden="1" customHeight="1"/>
    <row r="10523" ht="18" hidden="1" customHeight="1"/>
    <row r="10524" ht="18" hidden="1" customHeight="1"/>
    <row r="10525" ht="18" hidden="1" customHeight="1"/>
    <row r="10526" ht="18" hidden="1" customHeight="1"/>
    <row r="10527" ht="18" hidden="1" customHeight="1"/>
    <row r="10528" ht="18" hidden="1" customHeight="1"/>
    <row r="10529" ht="18" hidden="1" customHeight="1"/>
    <row r="10530" ht="18" hidden="1" customHeight="1"/>
    <row r="10531" ht="18" hidden="1" customHeight="1"/>
    <row r="10532" ht="18" hidden="1" customHeight="1"/>
    <row r="10533" ht="18" hidden="1" customHeight="1"/>
    <row r="10534" ht="18" hidden="1" customHeight="1"/>
    <row r="10535" ht="18" hidden="1" customHeight="1"/>
    <row r="10536" ht="18" hidden="1" customHeight="1"/>
    <row r="10537" ht="18" hidden="1" customHeight="1"/>
    <row r="10538" ht="18" hidden="1" customHeight="1"/>
    <row r="10539" ht="18" hidden="1" customHeight="1"/>
    <row r="10540" ht="18" hidden="1" customHeight="1"/>
    <row r="10541" ht="18" hidden="1" customHeight="1"/>
    <row r="10542" ht="18" hidden="1" customHeight="1"/>
    <row r="10543" ht="18" hidden="1" customHeight="1"/>
    <row r="10544" ht="18" hidden="1" customHeight="1"/>
    <row r="10545" ht="18" hidden="1" customHeight="1"/>
    <row r="10546" ht="18" hidden="1" customHeight="1"/>
    <row r="10547" ht="18" hidden="1" customHeight="1"/>
    <row r="10548" ht="18" hidden="1" customHeight="1"/>
    <row r="10549" ht="18" hidden="1" customHeight="1"/>
    <row r="10550" ht="18" hidden="1" customHeight="1"/>
    <row r="10551" ht="18" hidden="1" customHeight="1"/>
    <row r="10552" ht="18" hidden="1" customHeight="1"/>
    <row r="10553" ht="18" hidden="1" customHeight="1"/>
    <row r="10554" ht="18" hidden="1" customHeight="1"/>
    <row r="10555" ht="18" hidden="1" customHeight="1"/>
    <row r="10556" ht="18" hidden="1" customHeight="1"/>
    <row r="10557" ht="18" hidden="1" customHeight="1"/>
    <row r="10558" ht="18" hidden="1" customHeight="1"/>
    <row r="10559" ht="18" hidden="1" customHeight="1"/>
    <row r="10560" ht="18" hidden="1" customHeight="1"/>
    <row r="10561" ht="18" hidden="1" customHeight="1"/>
    <row r="10562" ht="18" hidden="1" customHeight="1"/>
    <row r="10563" ht="18" hidden="1" customHeight="1"/>
    <row r="10564" ht="18" hidden="1" customHeight="1"/>
    <row r="10565" ht="18" hidden="1" customHeight="1"/>
    <row r="10566" ht="18" hidden="1" customHeight="1"/>
    <row r="10567" ht="18" hidden="1" customHeight="1"/>
    <row r="10568" ht="18" hidden="1" customHeight="1"/>
    <row r="10569" ht="18" hidden="1" customHeight="1"/>
    <row r="10570" ht="18" hidden="1" customHeight="1"/>
    <row r="10571" ht="18" hidden="1" customHeight="1"/>
    <row r="10572" ht="18" hidden="1" customHeight="1"/>
    <row r="10573" ht="18" hidden="1" customHeight="1"/>
    <row r="10574" ht="18" hidden="1" customHeight="1"/>
    <row r="10575" ht="18" hidden="1" customHeight="1"/>
    <row r="10576" ht="18" hidden="1" customHeight="1"/>
    <row r="10577" ht="18" hidden="1" customHeight="1"/>
    <row r="10578" ht="18" hidden="1" customHeight="1"/>
    <row r="10579" ht="18" hidden="1" customHeight="1"/>
    <row r="10580" ht="18" hidden="1" customHeight="1"/>
    <row r="10581" ht="18" hidden="1" customHeight="1"/>
    <row r="10582" ht="18" hidden="1" customHeight="1"/>
    <row r="10583" ht="18" hidden="1" customHeight="1"/>
    <row r="10584" ht="18" hidden="1" customHeight="1"/>
    <row r="10585" ht="18" hidden="1" customHeight="1"/>
    <row r="10586" ht="18" hidden="1" customHeight="1"/>
    <row r="10587" ht="18" hidden="1" customHeight="1"/>
    <row r="10588" ht="18" hidden="1" customHeight="1"/>
    <row r="10589" ht="18" hidden="1" customHeight="1"/>
    <row r="10590" ht="18" hidden="1" customHeight="1"/>
    <row r="10591" ht="18" hidden="1" customHeight="1"/>
    <row r="10592" ht="18" hidden="1" customHeight="1"/>
    <row r="10593" ht="18" hidden="1" customHeight="1"/>
    <row r="10594" ht="18" hidden="1" customHeight="1"/>
    <row r="10595" ht="18" hidden="1" customHeight="1"/>
    <row r="10596" ht="18" hidden="1" customHeight="1"/>
    <row r="10597" ht="18" hidden="1" customHeight="1"/>
    <row r="10598" ht="18" hidden="1" customHeight="1"/>
    <row r="10599" ht="18" hidden="1" customHeight="1"/>
    <row r="10600" ht="18" hidden="1" customHeight="1"/>
    <row r="10601" ht="18" hidden="1" customHeight="1"/>
    <row r="10602" ht="18" hidden="1" customHeight="1"/>
    <row r="10603" ht="18" hidden="1" customHeight="1"/>
    <row r="10604" ht="18" hidden="1" customHeight="1"/>
    <row r="10605" ht="18" hidden="1" customHeight="1"/>
    <row r="10606" ht="18" hidden="1" customHeight="1"/>
    <row r="10607" ht="18" hidden="1" customHeight="1"/>
    <row r="10608" ht="18" hidden="1" customHeight="1"/>
    <row r="10609" ht="18" hidden="1" customHeight="1"/>
    <row r="10610" ht="18" hidden="1" customHeight="1"/>
    <row r="10611" ht="18" hidden="1" customHeight="1"/>
    <row r="10612" ht="18" hidden="1" customHeight="1"/>
    <row r="10613" ht="18" hidden="1" customHeight="1"/>
    <row r="10614" ht="18" hidden="1" customHeight="1"/>
    <row r="10615" ht="18" hidden="1" customHeight="1"/>
    <row r="10616" ht="18" hidden="1" customHeight="1"/>
    <row r="10617" ht="18" hidden="1" customHeight="1"/>
    <row r="10618" ht="18" hidden="1" customHeight="1"/>
    <row r="10619" ht="18" hidden="1" customHeight="1"/>
    <row r="10620" ht="18" hidden="1" customHeight="1"/>
    <row r="10621" ht="18" hidden="1" customHeight="1"/>
    <row r="10622" ht="18" hidden="1" customHeight="1"/>
    <row r="10623" ht="18" hidden="1" customHeight="1"/>
    <row r="10624" ht="18" hidden="1" customHeight="1"/>
    <row r="10625" ht="18" hidden="1" customHeight="1"/>
    <row r="10626" ht="18" hidden="1" customHeight="1"/>
    <row r="10627" ht="18" hidden="1" customHeight="1"/>
    <row r="10628" ht="18" hidden="1" customHeight="1"/>
    <row r="10629" ht="18" hidden="1" customHeight="1"/>
    <row r="10630" ht="18" hidden="1" customHeight="1"/>
    <row r="10631" ht="18" hidden="1" customHeight="1"/>
    <row r="10632" ht="18" hidden="1" customHeight="1"/>
    <row r="10633" ht="18" hidden="1" customHeight="1"/>
    <row r="10634" ht="18" hidden="1" customHeight="1"/>
    <row r="10635" ht="18" hidden="1" customHeight="1"/>
    <row r="10636" ht="18" hidden="1" customHeight="1"/>
    <row r="10637" ht="18" hidden="1" customHeight="1"/>
    <row r="10638" ht="18" hidden="1" customHeight="1"/>
    <row r="10639" ht="18" hidden="1" customHeight="1"/>
    <row r="10640" ht="18" hidden="1" customHeight="1"/>
    <row r="10641" ht="18" hidden="1" customHeight="1"/>
    <row r="10642" ht="18" hidden="1" customHeight="1"/>
    <row r="10643" ht="18" hidden="1" customHeight="1"/>
    <row r="10644" ht="18" hidden="1" customHeight="1"/>
    <row r="10645" ht="18" hidden="1" customHeight="1"/>
    <row r="10646" ht="18" hidden="1" customHeight="1"/>
    <row r="10647" ht="18" hidden="1" customHeight="1"/>
    <row r="10648" ht="18" hidden="1" customHeight="1"/>
    <row r="10649" ht="18" hidden="1" customHeight="1"/>
    <row r="10650" ht="18" hidden="1" customHeight="1"/>
    <row r="10651" ht="18" hidden="1" customHeight="1"/>
    <row r="10652" ht="18" hidden="1" customHeight="1"/>
    <row r="10653" ht="18" hidden="1" customHeight="1"/>
    <row r="10654" ht="18" hidden="1" customHeight="1"/>
    <row r="10655" ht="18" hidden="1" customHeight="1"/>
    <row r="10656" ht="18" hidden="1" customHeight="1"/>
    <row r="10657" ht="18" hidden="1" customHeight="1"/>
    <row r="10658" ht="18" hidden="1" customHeight="1"/>
    <row r="10659" ht="18" hidden="1" customHeight="1"/>
    <row r="10660" ht="18" hidden="1" customHeight="1"/>
    <row r="10661" ht="18" hidden="1" customHeight="1"/>
    <row r="10662" ht="18" hidden="1" customHeight="1"/>
    <row r="10663" ht="18" hidden="1" customHeight="1"/>
    <row r="10664" ht="18" hidden="1" customHeight="1"/>
    <row r="10665" ht="18" hidden="1" customHeight="1"/>
    <row r="10666" ht="18" hidden="1" customHeight="1"/>
    <row r="10667" ht="18" hidden="1" customHeight="1"/>
    <row r="10668" ht="18" hidden="1" customHeight="1"/>
    <row r="10669" ht="18" hidden="1" customHeight="1"/>
    <row r="10670" ht="18" hidden="1" customHeight="1"/>
    <row r="10671" ht="18" hidden="1" customHeight="1"/>
    <row r="10672" ht="18" hidden="1" customHeight="1"/>
    <row r="10673" ht="18" hidden="1" customHeight="1"/>
    <row r="10674" ht="18" hidden="1" customHeight="1"/>
    <row r="10675" ht="18" hidden="1" customHeight="1"/>
    <row r="10676" ht="18" hidden="1" customHeight="1"/>
    <row r="10677" ht="18" hidden="1" customHeight="1"/>
    <row r="10678" ht="18" hidden="1" customHeight="1"/>
    <row r="10679" ht="18" hidden="1" customHeight="1"/>
    <row r="10680" ht="18" hidden="1" customHeight="1"/>
    <row r="10681" ht="18" hidden="1" customHeight="1"/>
    <row r="10682" ht="18" hidden="1" customHeight="1"/>
    <row r="10683" ht="18" hidden="1" customHeight="1"/>
    <row r="10684" ht="18" hidden="1" customHeight="1"/>
    <row r="10685" ht="18" hidden="1" customHeight="1"/>
    <row r="10686" ht="18" hidden="1" customHeight="1"/>
    <row r="10687" ht="18" hidden="1" customHeight="1"/>
    <row r="10688" ht="18" hidden="1" customHeight="1"/>
    <row r="10689" ht="18" hidden="1" customHeight="1"/>
    <row r="10690" ht="18" hidden="1" customHeight="1"/>
    <row r="10691" ht="18" hidden="1" customHeight="1"/>
    <row r="10692" ht="18" hidden="1" customHeight="1"/>
    <row r="10693" ht="18" hidden="1" customHeight="1"/>
    <row r="10694" ht="18" hidden="1" customHeight="1"/>
    <row r="10695" ht="18" hidden="1" customHeight="1"/>
    <row r="10696" ht="18" hidden="1" customHeight="1"/>
    <row r="10697" ht="18" hidden="1" customHeight="1"/>
    <row r="10698" ht="18" hidden="1" customHeight="1"/>
    <row r="10699" ht="18" hidden="1" customHeight="1"/>
    <row r="10700" ht="18" hidden="1" customHeight="1"/>
    <row r="10701" ht="18" hidden="1" customHeight="1"/>
    <row r="10702" ht="18" hidden="1" customHeight="1"/>
    <row r="10703" ht="18" hidden="1" customHeight="1"/>
    <row r="10704" ht="18" hidden="1" customHeight="1"/>
    <row r="10705" ht="18" hidden="1" customHeight="1"/>
    <row r="10706" ht="18" hidden="1" customHeight="1"/>
    <row r="10707" ht="18" hidden="1" customHeight="1"/>
    <row r="10708" ht="18" hidden="1" customHeight="1"/>
    <row r="10709" ht="18" hidden="1" customHeight="1"/>
    <row r="10710" ht="18" hidden="1" customHeight="1"/>
    <row r="10711" ht="18" hidden="1" customHeight="1"/>
    <row r="10712" ht="18" hidden="1" customHeight="1"/>
    <row r="10713" ht="18" hidden="1" customHeight="1"/>
    <row r="10714" ht="18" hidden="1" customHeight="1"/>
    <row r="10715" ht="18" hidden="1" customHeight="1"/>
    <row r="10716" ht="18" hidden="1" customHeight="1"/>
    <row r="10717" ht="18" hidden="1" customHeight="1"/>
    <row r="10718" ht="18" hidden="1" customHeight="1"/>
    <row r="10719" ht="18" hidden="1" customHeight="1"/>
    <row r="10720" ht="18" hidden="1" customHeight="1"/>
    <row r="10721" ht="18" hidden="1" customHeight="1"/>
    <row r="10722" ht="18" hidden="1" customHeight="1"/>
    <row r="10723" ht="18" hidden="1" customHeight="1"/>
    <row r="10724" ht="18" hidden="1" customHeight="1"/>
    <row r="10725" ht="18" hidden="1" customHeight="1"/>
    <row r="10726" ht="18" hidden="1" customHeight="1"/>
    <row r="10727" ht="18" hidden="1" customHeight="1"/>
    <row r="10728" ht="18" hidden="1" customHeight="1"/>
    <row r="10729" ht="18" hidden="1" customHeight="1"/>
    <row r="10730" ht="18" hidden="1" customHeight="1"/>
    <row r="10731" ht="18" hidden="1" customHeight="1"/>
    <row r="10732" ht="18" hidden="1" customHeight="1"/>
    <row r="10733" ht="18" hidden="1" customHeight="1"/>
    <row r="10734" ht="18" hidden="1" customHeight="1"/>
    <row r="10735" ht="18" hidden="1" customHeight="1"/>
    <row r="10736" ht="18" hidden="1" customHeight="1"/>
    <row r="10737" ht="18" hidden="1" customHeight="1"/>
    <row r="10738" ht="18" hidden="1" customHeight="1"/>
    <row r="10739" ht="18" hidden="1" customHeight="1"/>
    <row r="10740" ht="18" hidden="1" customHeight="1"/>
    <row r="10741" ht="18" hidden="1" customHeight="1"/>
    <row r="10742" ht="18" hidden="1" customHeight="1"/>
    <row r="10743" ht="18" hidden="1" customHeight="1"/>
    <row r="10744" ht="18" hidden="1" customHeight="1"/>
    <row r="10745" ht="18" hidden="1" customHeight="1"/>
    <row r="10746" ht="18" hidden="1" customHeight="1"/>
    <row r="10747" ht="18" hidden="1" customHeight="1"/>
    <row r="10748" ht="18" hidden="1" customHeight="1"/>
    <row r="10749" ht="18" hidden="1" customHeight="1"/>
    <row r="10750" ht="18" hidden="1" customHeight="1"/>
    <row r="10751" ht="18" hidden="1" customHeight="1"/>
    <row r="10752" ht="18" hidden="1" customHeight="1"/>
    <row r="10753" ht="18" hidden="1" customHeight="1"/>
    <row r="10754" ht="18" hidden="1" customHeight="1"/>
    <row r="10755" ht="18" hidden="1" customHeight="1"/>
    <row r="10756" ht="18" hidden="1" customHeight="1"/>
    <row r="10757" ht="18" hidden="1" customHeight="1"/>
    <row r="10758" ht="18" hidden="1" customHeight="1"/>
    <row r="10759" ht="18" hidden="1" customHeight="1"/>
    <row r="10760" ht="18" hidden="1" customHeight="1"/>
    <row r="10761" ht="18" hidden="1" customHeight="1"/>
    <row r="10762" ht="18" hidden="1" customHeight="1"/>
    <row r="10763" ht="18" hidden="1" customHeight="1"/>
    <row r="10764" ht="18" hidden="1" customHeight="1"/>
    <row r="10765" ht="18" hidden="1" customHeight="1"/>
    <row r="10766" ht="18" hidden="1" customHeight="1"/>
    <row r="10767" ht="18" hidden="1" customHeight="1"/>
    <row r="10768" ht="18" hidden="1" customHeight="1"/>
    <row r="10769" ht="18" hidden="1" customHeight="1"/>
    <row r="10770" ht="18" hidden="1" customHeight="1"/>
    <row r="10771" ht="18" hidden="1" customHeight="1"/>
    <row r="10772" ht="18" hidden="1" customHeight="1"/>
    <row r="10773" ht="18" hidden="1" customHeight="1"/>
    <row r="10774" ht="18" hidden="1" customHeight="1"/>
    <row r="10775" ht="18" hidden="1" customHeight="1"/>
    <row r="10776" ht="18" hidden="1" customHeight="1"/>
    <row r="10777" ht="18" hidden="1" customHeight="1"/>
    <row r="10778" ht="18" hidden="1" customHeight="1"/>
    <row r="10779" ht="18" hidden="1" customHeight="1"/>
    <row r="10780" ht="18" hidden="1" customHeight="1"/>
    <row r="10781" ht="18" hidden="1" customHeight="1"/>
    <row r="10782" ht="18" hidden="1" customHeight="1"/>
    <row r="10783" ht="18" hidden="1" customHeight="1"/>
    <row r="10784" ht="18" hidden="1" customHeight="1"/>
    <row r="10785" ht="18" hidden="1" customHeight="1"/>
    <row r="10786" ht="18" hidden="1" customHeight="1"/>
    <row r="10787" ht="18" hidden="1" customHeight="1"/>
    <row r="10788" ht="18" hidden="1" customHeight="1"/>
    <row r="10789" ht="18" hidden="1" customHeight="1"/>
    <row r="10790" ht="18" hidden="1" customHeight="1"/>
    <row r="10791" ht="18" hidden="1" customHeight="1"/>
    <row r="10792" ht="18" hidden="1" customHeight="1"/>
    <row r="10793" ht="18" hidden="1" customHeight="1"/>
    <row r="10794" ht="18" hidden="1" customHeight="1"/>
    <row r="10795" ht="18" hidden="1" customHeight="1"/>
    <row r="10796" ht="18" hidden="1" customHeight="1"/>
    <row r="10797" ht="18" hidden="1" customHeight="1"/>
    <row r="10798" ht="18" hidden="1" customHeight="1"/>
    <row r="10799" ht="18" hidden="1" customHeight="1"/>
    <row r="10800" ht="18" hidden="1" customHeight="1"/>
    <row r="10801" ht="18" hidden="1" customHeight="1"/>
    <row r="10802" ht="18" hidden="1" customHeight="1"/>
    <row r="10803" ht="18" hidden="1" customHeight="1"/>
    <row r="10804" ht="18" hidden="1" customHeight="1"/>
    <row r="10805" ht="18" hidden="1" customHeight="1"/>
    <row r="10806" ht="18" hidden="1" customHeight="1"/>
    <row r="10807" ht="18" hidden="1" customHeight="1"/>
    <row r="10808" ht="18" hidden="1" customHeight="1"/>
    <row r="10809" ht="18" hidden="1" customHeight="1"/>
    <row r="10810" ht="18" hidden="1" customHeight="1"/>
    <row r="10811" ht="18" hidden="1" customHeight="1"/>
    <row r="10812" ht="18" hidden="1" customHeight="1"/>
    <row r="10813" ht="18" hidden="1" customHeight="1"/>
    <row r="10814" ht="18" hidden="1" customHeight="1"/>
    <row r="10815" ht="18" hidden="1" customHeight="1"/>
    <row r="10816" ht="18" hidden="1" customHeight="1"/>
    <row r="10817" ht="18" hidden="1" customHeight="1"/>
    <row r="10818" ht="18" hidden="1" customHeight="1"/>
    <row r="10819" ht="18" hidden="1" customHeight="1"/>
    <row r="10820" ht="18" hidden="1" customHeight="1"/>
    <row r="10821" ht="18" hidden="1" customHeight="1"/>
    <row r="10822" ht="18" hidden="1" customHeight="1"/>
    <row r="10823" ht="18" hidden="1" customHeight="1"/>
    <row r="10824" ht="18" hidden="1" customHeight="1"/>
    <row r="10825" ht="18" hidden="1" customHeight="1"/>
    <row r="10826" ht="18" hidden="1" customHeight="1"/>
    <row r="10827" ht="18" hidden="1" customHeight="1"/>
    <row r="10828" ht="18" hidden="1" customHeight="1"/>
    <row r="10829" ht="18" hidden="1" customHeight="1"/>
    <row r="10830" ht="18" hidden="1" customHeight="1"/>
    <row r="10831" ht="18" hidden="1" customHeight="1"/>
    <row r="10832" ht="18" hidden="1" customHeight="1"/>
    <row r="10833" ht="18" hidden="1" customHeight="1"/>
    <row r="10834" ht="18" hidden="1" customHeight="1"/>
    <row r="10835" ht="18" hidden="1" customHeight="1"/>
    <row r="10836" ht="18" hidden="1" customHeight="1"/>
    <row r="10837" ht="18" hidden="1" customHeight="1"/>
    <row r="10838" ht="18" hidden="1" customHeight="1"/>
    <row r="10839" ht="18" hidden="1" customHeight="1"/>
    <row r="10840" ht="18" hidden="1" customHeight="1"/>
    <row r="10841" ht="18" hidden="1" customHeight="1"/>
    <row r="10842" ht="18" hidden="1" customHeight="1"/>
    <row r="10843" ht="18" hidden="1" customHeight="1"/>
    <row r="10844" ht="18" hidden="1" customHeight="1"/>
    <row r="10845" ht="18" hidden="1" customHeight="1"/>
    <row r="10846" ht="18" hidden="1" customHeight="1"/>
    <row r="10847" ht="18" hidden="1" customHeight="1"/>
    <row r="10848" ht="18" hidden="1" customHeight="1"/>
    <row r="10849" ht="18" hidden="1" customHeight="1"/>
    <row r="10850" ht="18" hidden="1" customHeight="1"/>
    <row r="10851" ht="18" hidden="1" customHeight="1"/>
    <row r="10852" ht="18" hidden="1" customHeight="1"/>
    <row r="10853" ht="18" hidden="1" customHeight="1"/>
    <row r="10854" ht="18" hidden="1" customHeight="1"/>
    <row r="10855" ht="18" hidden="1" customHeight="1"/>
    <row r="10856" ht="18" hidden="1" customHeight="1"/>
    <row r="10857" ht="18" hidden="1" customHeight="1"/>
    <row r="10858" ht="18" hidden="1" customHeight="1"/>
    <row r="10859" ht="18" hidden="1" customHeight="1"/>
    <row r="10860" ht="18" hidden="1" customHeight="1"/>
    <row r="10861" ht="18" hidden="1" customHeight="1"/>
    <row r="10862" ht="18" hidden="1" customHeight="1"/>
    <row r="10863" ht="18" hidden="1" customHeight="1"/>
    <row r="10864" ht="18" hidden="1" customHeight="1"/>
    <row r="10865" ht="18" hidden="1" customHeight="1"/>
    <row r="10866" ht="18" hidden="1" customHeight="1"/>
    <row r="10867" ht="18" hidden="1" customHeight="1"/>
    <row r="10868" ht="18" hidden="1" customHeight="1"/>
    <row r="10869" ht="18" hidden="1" customHeight="1"/>
    <row r="10870" ht="18" hidden="1" customHeight="1"/>
    <row r="10871" ht="18" hidden="1" customHeight="1"/>
    <row r="10872" ht="18" hidden="1" customHeight="1"/>
    <row r="10873" ht="18" hidden="1" customHeight="1"/>
    <row r="10874" ht="18" hidden="1" customHeight="1"/>
    <row r="10875" ht="18" hidden="1" customHeight="1"/>
    <row r="10876" ht="18" hidden="1" customHeight="1"/>
    <row r="10877" ht="18" hidden="1" customHeight="1"/>
    <row r="10878" ht="18" hidden="1" customHeight="1"/>
    <row r="10879" ht="18" hidden="1" customHeight="1"/>
    <row r="10880" ht="18" hidden="1" customHeight="1"/>
    <row r="10881" ht="18" hidden="1" customHeight="1"/>
    <row r="10882" ht="18" hidden="1" customHeight="1"/>
    <row r="10883" ht="18" hidden="1" customHeight="1"/>
    <row r="10884" ht="18" hidden="1" customHeight="1"/>
    <row r="10885" ht="18" hidden="1" customHeight="1"/>
    <row r="10886" ht="18" hidden="1" customHeight="1"/>
    <row r="10887" ht="18" hidden="1" customHeight="1"/>
    <row r="10888" ht="18" hidden="1" customHeight="1"/>
    <row r="10889" ht="18" hidden="1" customHeight="1"/>
    <row r="10890" ht="18" hidden="1" customHeight="1"/>
    <row r="10891" ht="18" hidden="1" customHeight="1"/>
    <row r="10892" ht="18" hidden="1" customHeight="1"/>
    <row r="10893" ht="18" hidden="1" customHeight="1"/>
    <row r="10894" ht="18" hidden="1" customHeight="1"/>
    <row r="10895" ht="18" hidden="1" customHeight="1"/>
    <row r="10896" ht="18" hidden="1" customHeight="1"/>
    <row r="10897" ht="18" hidden="1" customHeight="1"/>
    <row r="10898" ht="18" hidden="1" customHeight="1"/>
    <row r="10899" ht="18" hidden="1" customHeight="1"/>
    <row r="10900" ht="18" hidden="1" customHeight="1"/>
    <row r="10901" ht="18" hidden="1" customHeight="1"/>
    <row r="10902" ht="18" hidden="1" customHeight="1"/>
    <row r="10903" ht="18" hidden="1" customHeight="1"/>
    <row r="10904" ht="18" hidden="1" customHeight="1"/>
    <row r="10905" ht="18" hidden="1" customHeight="1"/>
    <row r="10906" ht="18" hidden="1" customHeight="1"/>
    <row r="10907" ht="18" hidden="1" customHeight="1"/>
    <row r="10908" ht="18" hidden="1" customHeight="1"/>
    <row r="10909" ht="18" hidden="1" customHeight="1"/>
    <row r="10910" ht="18" hidden="1" customHeight="1"/>
    <row r="10911" ht="18" hidden="1" customHeight="1"/>
    <row r="10912" ht="18" hidden="1" customHeight="1"/>
    <row r="10913" ht="18" hidden="1" customHeight="1"/>
    <row r="10914" ht="18" hidden="1" customHeight="1"/>
    <row r="10915" ht="18" hidden="1" customHeight="1"/>
    <row r="10916" ht="18" hidden="1" customHeight="1"/>
    <row r="10917" ht="18" hidden="1" customHeight="1"/>
    <row r="10918" ht="18" hidden="1" customHeight="1"/>
    <row r="10919" ht="18" hidden="1" customHeight="1"/>
    <row r="10920" ht="18" hidden="1" customHeight="1"/>
    <row r="10921" ht="18" hidden="1" customHeight="1"/>
    <row r="10922" ht="18" hidden="1" customHeight="1"/>
    <row r="10923" ht="18" hidden="1" customHeight="1"/>
    <row r="10924" ht="18" hidden="1" customHeight="1"/>
    <row r="10925" ht="18" hidden="1" customHeight="1"/>
    <row r="10926" ht="18" hidden="1" customHeight="1"/>
    <row r="10927" ht="18" hidden="1" customHeight="1"/>
    <row r="10928" ht="18" hidden="1" customHeight="1"/>
    <row r="10929" ht="18" hidden="1" customHeight="1"/>
    <row r="10930" ht="18" hidden="1" customHeight="1"/>
    <row r="10931" ht="18" hidden="1" customHeight="1"/>
    <row r="10932" ht="18" hidden="1" customHeight="1"/>
    <row r="10933" ht="18" hidden="1" customHeight="1"/>
    <row r="10934" ht="18" hidden="1" customHeight="1"/>
    <row r="10935" ht="18" hidden="1" customHeight="1"/>
    <row r="10936" ht="18" hidden="1" customHeight="1"/>
    <row r="10937" ht="18" hidden="1" customHeight="1"/>
    <row r="10938" ht="18" hidden="1" customHeight="1"/>
    <row r="10939" ht="18" hidden="1" customHeight="1"/>
    <row r="10940" ht="18" hidden="1" customHeight="1"/>
    <row r="10941" ht="18" hidden="1" customHeight="1"/>
    <row r="10942" ht="18" hidden="1" customHeight="1"/>
    <row r="10943" ht="18" hidden="1" customHeight="1"/>
    <row r="10944" ht="18" hidden="1" customHeight="1"/>
    <row r="10945" ht="18" hidden="1" customHeight="1"/>
    <row r="10946" ht="18" hidden="1" customHeight="1"/>
    <row r="10947" ht="18" hidden="1" customHeight="1"/>
    <row r="10948" ht="18" hidden="1" customHeight="1"/>
    <row r="10949" ht="18" hidden="1" customHeight="1"/>
    <row r="10950" ht="18" hidden="1" customHeight="1"/>
    <row r="10951" ht="18" hidden="1" customHeight="1"/>
    <row r="10952" ht="18" hidden="1" customHeight="1"/>
    <row r="10953" ht="18" hidden="1" customHeight="1"/>
    <row r="10954" ht="18" hidden="1" customHeight="1"/>
    <row r="10955" ht="18" hidden="1" customHeight="1"/>
    <row r="10956" ht="18" hidden="1" customHeight="1"/>
    <row r="10957" ht="18" hidden="1" customHeight="1"/>
    <row r="10958" ht="18" hidden="1" customHeight="1"/>
    <row r="10959" ht="18" hidden="1" customHeight="1"/>
    <row r="10960" ht="18" hidden="1" customHeight="1"/>
    <row r="10961" ht="18" hidden="1" customHeight="1"/>
    <row r="10962" ht="18" hidden="1" customHeight="1"/>
    <row r="10963" ht="18" hidden="1" customHeight="1"/>
    <row r="10964" ht="18" hidden="1" customHeight="1"/>
    <row r="10965" ht="18" hidden="1" customHeight="1"/>
    <row r="10966" ht="18" hidden="1" customHeight="1"/>
    <row r="10967" ht="18" hidden="1" customHeight="1"/>
    <row r="10968" ht="18" hidden="1" customHeight="1"/>
    <row r="10969" ht="18" hidden="1" customHeight="1"/>
    <row r="10970" ht="18" hidden="1" customHeight="1"/>
    <row r="10971" ht="18" hidden="1" customHeight="1"/>
    <row r="10972" ht="18" hidden="1" customHeight="1"/>
    <row r="10973" ht="18" hidden="1" customHeight="1"/>
    <row r="10974" ht="18" hidden="1" customHeight="1"/>
    <row r="10975" ht="18" hidden="1" customHeight="1"/>
    <row r="10976" ht="18" hidden="1" customHeight="1"/>
    <row r="10977" ht="18" hidden="1" customHeight="1"/>
    <row r="10978" ht="18" hidden="1" customHeight="1"/>
  </sheetData>
  <mergeCells count="37">
    <mergeCell ref="B2972:C2972"/>
    <mergeCell ref="B3034:C3034"/>
    <mergeCell ref="B2594:C2594"/>
    <mergeCell ref="B2659:C2659"/>
    <mergeCell ref="B1411:C1411"/>
    <mergeCell ref="B1498:C1500"/>
    <mergeCell ref="B1613:C1613"/>
    <mergeCell ref="B1708:C1708"/>
    <mergeCell ref="B1793:C1795"/>
    <mergeCell ref="B2904:C2904"/>
    <mergeCell ref="B2718:C2718"/>
    <mergeCell ref="B2779:C2779"/>
    <mergeCell ref="B2147:C2147"/>
    <mergeCell ref="B2256:C2256"/>
    <mergeCell ref="B2429:C2429"/>
    <mergeCell ref="B2346:C2346"/>
    <mergeCell ref="B378:C380"/>
    <mergeCell ref="B2838:C2838"/>
    <mergeCell ref="B953:C953"/>
    <mergeCell ref="B1041:C1043"/>
    <mergeCell ref="B1163:C1163"/>
    <mergeCell ref="B1218:C1220"/>
    <mergeCell ref="B2512:C2512"/>
    <mergeCell ref="B494:C494"/>
    <mergeCell ref="B589:C589"/>
    <mergeCell ref="B689:C689"/>
    <mergeCell ref="B2058:C2058"/>
    <mergeCell ref="B1906:C1906"/>
    <mergeCell ref="B1973:C1975"/>
    <mergeCell ref="B1299:C1299"/>
    <mergeCell ref="B792:C792"/>
    <mergeCell ref="B860:C862"/>
    <mergeCell ref="C2:E2"/>
    <mergeCell ref="C7:E7"/>
    <mergeCell ref="C9:F9"/>
    <mergeCell ref="B165:C165"/>
    <mergeCell ref="B281:C281"/>
  </mergeCells>
  <hyperlinks>
    <hyperlink ref="C2686" r:id="rId1"/>
    <hyperlink ref="C2688" r:id="rId2"/>
    <hyperlink ref="C2745" r:id="rId3"/>
    <hyperlink ref="C2747" r:id="rId4"/>
    <hyperlink ref="C2749" r:id="rId5"/>
    <hyperlink ref="C2806" r:id="rId6"/>
    <hyperlink ref="C2808" r:id="rId7"/>
    <hyperlink ref="C2869" r:id="rId8"/>
    <hyperlink ref="C2871" r:id="rId9"/>
    <hyperlink ref="C2937" r:id="rId10"/>
    <hyperlink ref="C2939" r:id="rId11"/>
    <hyperlink ref="C2999" r:id="rId12"/>
    <hyperlink ref="C3001" r:id="rId13"/>
  </hyperlinks>
  <printOptions horizontalCentered="1"/>
  <pageMargins left="0.511811023622047" right="0.511811023622047" top="0.66929133858267698" bottom="0.47244094488188998" header="0.59055118110236204" footer="0.43307086614173201"/>
  <pageSetup paperSize="9" scale="61" firstPageNumber="273" orientation="portrait" useFirstPageNumber="1" r:id="rId14"/>
  <headerFooter alignWithMargins="0">
    <oddHeader>&amp;R&amp;9Gates and Allied Works - Item Unit Rates 2016-17</oddHeader>
    <oddFooter>&amp;R&amp;18&amp;P</oddFooter>
  </headerFooter>
</worksheet>
</file>

<file path=xl/worksheets/sheet11.xml><?xml version="1.0" encoding="utf-8"?>
<worksheet xmlns="http://schemas.openxmlformats.org/spreadsheetml/2006/main" xmlns:r="http://schemas.openxmlformats.org/officeDocument/2006/relationships">
  <sheetPr codeName="Sheet13"/>
  <dimension ref="A1:J4795"/>
  <sheetViews>
    <sheetView showGridLines="0" view="pageBreakPreview" zoomScale="60" zoomScaleNormal="75" workbookViewId="0">
      <selection activeCell="H3" sqref="H3"/>
    </sheetView>
  </sheetViews>
  <sheetFormatPr defaultColWidth="0" defaultRowHeight="18" customHeight="1" zeroHeight="1"/>
  <cols>
    <col min="1" max="1" width="22.85546875" style="865" customWidth="1"/>
    <col min="2" max="2" width="13.7109375" style="78" customWidth="1"/>
    <col min="3" max="3" width="39.85546875" style="26" customWidth="1"/>
    <col min="4" max="4" width="15.28515625" style="26" customWidth="1"/>
    <col min="5" max="5" width="12" style="26" customWidth="1"/>
    <col min="6" max="6" width="14.85546875" style="26" customWidth="1"/>
    <col min="7" max="7" width="17.7109375" style="26" customWidth="1"/>
    <col min="8" max="8" width="14.5703125" style="26" customWidth="1"/>
    <col min="9" max="9" width="8.5703125" style="26" hidden="1" customWidth="1"/>
    <col min="10" max="16384" width="0" style="26" hidden="1"/>
  </cols>
  <sheetData>
    <row r="1" spans="1:8">
      <c r="A1" s="863"/>
      <c r="B1" s="109"/>
      <c r="C1" s="108" t="s">
        <v>6602</v>
      </c>
      <c r="D1" s="165"/>
      <c r="E1" s="109"/>
      <c r="F1" s="109"/>
      <c r="G1" s="109"/>
      <c r="H1" s="109"/>
    </row>
    <row r="2" spans="1:8">
      <c r="A2" s="862"/>
      <c r="B2" s="109"/>
      <c r="C2" s="109"/>
      <c r="D2" s="109"/>
      <c r="E2" s="109"/>
      <c r="F2" s="109"/>
      <c r="G2" s="109"/>
      <c r="H2" s="109"/>
    </row>
    <row r="3" spans="1:8">
      <c r="A3" s="862"/>
      <c r="B3" s="109"/>
      <c r="C3" s="347" t="s">
        <v>8030</v>
      </c>
      <c r="D3" s="347"/>
      <c r="E3" s="109"/>
      <c r="F3" s="109"/>
      <c r="G3" s="109"/>
      <c r="H3" s="109"/>
    </row>
    <row r="4" spans="1:8">
      <c r="A4" s="822"/>
      <c r="C4" s="78"/>
      <c r="D4" s="78"/>
      <c r="E4" s="78"/>
      <c r="F4" s="78"/>
      <c r="G4" s="78"/>
      <c r="H4" s="78"/>
    </row>
    <row r="5" spans="1:8">
      <c r="A5" s="822"/>
      <c r="C5" s="26" t="s">
        <v>75</v>
      </c>
    </row>
    <row r="6" spans="1:8">
      <c r="A6" s="822"/>
    </row>
    <row r="7" spans="1:8" ht="18.75" thickBot="1">
      <c r="A7" s="822"/>
      <c r="C7" s="1080" t="s">
        <v>9897</v>
      </c>
    </row>
    <row r="8" spans="1:8" ht="18.75" thickBot="1">
      <c r="A8" s="883" t="s">
        <v>7038</v>
      </c>
    </row>
    <row r="9" spans="1:8">
      <c r="A9" s="822" t="s">
        <v>7188</v>
      </c>
      <c r="C9" s="162" t="s">
        <v>3881</v>
      </c>
      <c r="D9" s="47"/>
      <c r="E9" s="47"/>
      <c r="F9" s="47"/>
      <c r="G9" s="47"/>
      <c r="H9" s="47"/>
    </row>
    <row r="10" spans="1:8">
      <c r="B10" s="26"/>
    </row>
    <row r="11" spans="1:8" ht="23.25">
      <c r="A11" s="868" t="s">
        <v>9633</v>
      </c>
      <c r="B11" s="26"/>
      <c r="C11" s="78"/>
      <c r="F11" s="47"/>
    </row>
    <row r="12" spans="1:8">
      <c r="A12" s="869" t="s">
        <v>9603</v>
      </c>
      <c r="B12" s="26"/>
      <c r="C12" s="27"/>
    </row>
    <row r="13" spans="1:8">
      <c r="A13" s="822" t="s">
        <v>9604</v>
      </c>
      <c r="B13" s="26"/>
      <c r="C13" s="27"/>
    </row>
    <row r="14" spans="1:8">
      <c r="A14" s="822" t="s">
        <v>9651</v>
      </c>
      <c r="B14" s="26"/>
      <c r="C14" s="27"/>
    </row>
    <row r="15" spans="1:8">
      <c r="A15" s="822" t="s">
        <v>9652</v>
      </c>
      <c r="B15" s="26"/>
      <c r="C15" s="27"/>
    </row>
    <row r="16" spans="1:8">
      <c r="A16" s="822" t="s">
        <v>9636</v>
      </c>
      <c r="B16" s="26"/>
      <c r="C16" s="27"/>
    </row>
    <row r="17" spans="1:8">
      <c r="A17" s="822" t="s">
        <v>9637</v>
      </c>
      <c r="B17" s="26"/>
      <c r="C17" s="27"/>
    </row>
    <row r="18" spans="1:8">
      <c r="A18" s="869" t="s">
        <v>9608</v>
      </c>
      <c r="B18" s="26"/>
      <c r="C18" s="27"/>
    </row>
    <row r="19" spans="1:8">
      <c r="A19" s="822" t="s">
        <v>9609</v>
      </c>
      <c r="B19" s="26"/>
      <c r="C19" s="27"/>
    </row>
    <row r="20" spans="1:8">
      <c r="A20" s="846" t="s">
        <v>9663</v>
      </c>
      <c r="B20" s="26"/>
      <c r="C20" s="27"/>
    </row>
    <row r="21" spans="1:8">
      <c r="A21" s="846" t="s">
        <v>9664</v>
      </c>
      <c r="B21" s="26"/>
      <c r="C21" s="27"/>
    </row>
    <row r="22" spans="1:8">
      <c r="A22" s="846" t="s">
        <v>9876</v>
      </c>
      <c r="B22" s="26"/>
      <c r="C22" s="27"/>
    </row>
    <row r="23" spans="1:8">
      <c r="A23" s="846" t="s">
        <v>9645</v>
      </c>
      <c r="B23" s="26"/>
      <c r="C23" s="27"/>
    </row>
    <row r="24" spans="1:8">
      <c r="A24" s="822" t="s">
        <v>9646</v>
      </c>
      <c r="B24" s="26"/>
      <c r="C24" s="27"/>
    </row>
    <row r="25" spans="1:8">
      <c r="A25" s="822" t="s">
        <v>9647</v>
      </c>
      <c r="B25" s="26"/>
      <c r="C25" s="27"/>
    </row>
    <row r="26" spans="1:8">
      <c r="A26" s="822" t="s">
        <v>9648</v>
      </c>
      <c r="B26" s="26"/>
      <c r="C26" s="27"/>
    </row>
    <row r="27" spans="1:8">
      <c r="A27" s="822" t="s">
        <v>9618</v>
      </c>
      <c r="B27" s="26"/>
      <c r="C27" s="27"/>
    </row>
    <row r="28" spans="1:8">
      <c r="A28" s="822"/>
      <c r="B28" s="26" t="s">
        <v>9619</v>
      </c>
      <c r="C28" s="27"/>
      <c r="G28" s="26">
        <v>15</v>
      </c>
      <c r="H28" s="26" t="s">
        <v>9620</v>
      </c>
    </row>
    <row r="29" spans="1:8">
      <c r="A29" s="822"/>
      <c r="B29" s="26" t="s">
        <v>9621</v>
      </c>
      <c r="C29" s="27"/>
      <c r="G29" s="26">
        <v>1</v>
      </c>
      <c r="H29" s="26" t="s">
        <v>9620</v>
      </c>
    </row>
    <row r="30" spans="1:8">
      <c r="A30" s="822"/>
      <c r="B30" s="26" t="s">
        <v>9622</v>
      </c>
      <c r="C30" s="27"/>
      <c r="E30" s="26" t="s">
        <v>9623</v>
      </c>
      <c r="F30" s="26" t="s">
        <v>4108</v>
      </c>
      <c r="G30" s="68">
        <f>leadcharges!$D$69</f>
        <v>84</v>
      </c>
    </row>
    <row r="31" spans="1:8">
      <c r="A31" s="822"/>
      <c r="B31" s="26"/>
      <c r="C31" s="27"/>
      <c r="D31" s="26" t="s">
        <v>9624</v>
      </c>
      <c r="F31" s="26" t="s">
        <v>4108</v>
      </c>
      <c r="G31" s="26">
        <f>(15-5)*leadcharges!$D$70</f>
        <v>126</v>
      </c>
    </row>
    <row r="32" spans="1:8">
      <c r="A32" s="822"/>
      <c r="B32" s="26"/>
      <c r="C32" s="27"/>
      <c r="D32" s="26" t="s">
        <v>9625</v>
      </c>
      <c r="F32" s="26" t="s">
        <v>4108</v>
      </c>
      <c r="G32" s="68">
        <f>SUM(G30:G31)</f>
        <v>210</v>
      </c>
    </row>
    <row r="33" spans="1:8">
      <c r="A33" s="822"/>
      <c r="B33" s="26"/>
      <c r="C33" s="27"/>
      <c r="D33" s="26" t="s">
        <v>9626</v>
      </c>
      <c r="F33" s="26" t="s">
        <v>4108</v>
      </c>
      <c r="G33" s="68">
        <f>leadcharges!$D$65</f>
        <v>31.5</v>
      </c>
      <c r="H33" s="26" t="s">
        <v>9628</v>
      </c>
    </row>
    <row r="34" spans="1:8">
      <c r="A34" s="822"/>
      <c r="B34" s="26"/>
      <c r="C34" s="27"/>
      <c r="D34" s="26" t="s">
        <v>9627</v>
      </c>
      <c r="F34" s="26" t="s">
        <v>4108</v>
      </c>
      <c r="G34" s="68">
        <f>G32-G33</f>
        <v>178.5</v>
      </c>
    </row>
    <row r="35" spans="1:8">
      <c r="A35" s="822"/>
      <c r="B35" s="26"/>
      <c r="C35" s="27"/>
    </row>
    <row r="36" spans="1:8">
      <c r="A36" s="822"/>
      <c r="B36" s="26"/>
      <c r="C36" s="27"/>
    </row>
    <row r="37" spans="1:8">
      <c r="A37" s="822" t="s">
        <v>9874</v>
      </c>
      <c r="B37" s="26"/>
      <c r="C37" s="27"/>
    </row>
    <row r="38" spans="1:8">
      <c r="A38" s="822"/>
      <c r="B38" s="26"/>
      <c r="C38" s="27"/>
    </row>
    <row r="39" spans="1:8">
      <c r="A39" s="846" t="s">
        <v>9669</v>
      </c>
      <c r="B39" s="26"/>
      <c r="C39" s="27"/>
    </row>
    <row r="40" spans="1:8">
      <c r="A40" s="846" t="s">
        <v>9662</v>
      </c>
      <c r="B40" s="26"/>
      <c r="C40" s="27"/>
    </row>
    <row r="41" spans="1:8">
      <c r="A41" s="846" t="s">
        <v>9644</v>
      </c>
      <c r="B41" s="26"/>
      <c r="C41" s="27"/>
    </row>
    <row r="42" spans="1:8">
      <c r="A42" s="846" t="s">
        <v>9649</v>
      </c>
      <c r="B42" s="26"/>
      <c r="C42" s="27"/>
    </row>
    <row r="43" spans="1:8">
      <c r="A43" s="846" t="s">
        <v>9650</v>
      </c>
      <c r="B43" s="26"/>
      <c r="C43" s="27"/>
    </row>
    <row r="44" spans="1:8">
      <c r="A44" s="822" t="s">
        <v>9618</v>
      </c>
      <c r="B44" s="26"/>
      <c r="C44" s="27"/>
    </row>
    <row r="45" spans="1:8">
      <c r="A45" s="822"/>
      <c r="B45" s="26" t="s">
        <v>9631</v>
      </c>
      <c r="C45" s="27"/>
      <c r="G45" s="26">
        <v>15</v>
      </c>
      <c r="H45" s="26" t="s">
        <v>9620</v>
      </c>
    </row>
    <row r="46" spans="1:8">
      <c r="A46" s="822"/>
      <c r="B46" s="26" t="s">
        <v>9621</v>
      </c>
      <c r="C46" s="27"/>
      <c r="G46" s="26">
        <v>1</v>
      </c>
      <c r="H46" s="26" t="s">
        <v>9620</v>
      </c>
    </row>
    <row r="47" spans="1:8">
      <c r="A47" s="822"/>
      <c r="B47" s="26" t="s">
        <v>9622</v>
      </c>
      <c r="C47" s="27"/>
      <c r="E47" s="26" t="s">
        <v>9623</v>
      </c>
      <c r="F47" s="26" t="s">
        <v>4108</v>
      </c>
      <c r="G47" s="68">
        <f>leadcharges!$D$69</f>
        <v>84</v>
      </c>
    </row>
    <row r="48" spans="1:8">
      <c r="A48" s="822"/>
      <c r="B48" s="26"/>
      <c r="C48" s="27"/>
      <c r="D48" s="26" t="s">
        <v>9624</v>
      </c>
      <c r="F48" s="26" t="s">
        <v>4108</v>
      </c>
      <c r="G48" s="26">
        <f>(15-5)*leadcharges!$D$70</f>
        <v>126</v>
      </c>
    </row>
    <row r="49" spans="1:8">
      <c r="A49" s="822"/>
      <c r="B49" s="26"/>
      <c r="C49" s="27"/>
      <c r="D49" s="26" t="s">
        <v>9625</v>
      </c>
      <c r="F49" s="26" t="s">
        <v>4108</v>
      </c>
      <c r="G49" s="68">
        <f>SUM(G47:G48)</f>
        <v>210</v>
      </c>
    </row>
    <row r="50" spans="1:8">
      <c r="A50" s="822"/>
      <c r="B50" s="26"/>
      <c r="C50" s="27"/>
      <c r="D50" s="26" t="s">
        <v>9626</v>
      </c>
      <c r="F50" s="26" t="s">
        <v>4108</v>
      </c>
      <c r="G50" s="68">
        <f>leadcharges!$D$65</f>
        <v>31.5</v>
      </c>
      <c r="H50" s="26" t="s">
        <v>9628</v>
      </c>
    </row>
    <row r="51" spans="1:8">
      <c r="A51" s="822"/>
      <c r="B51" s="26"/>
      <c r="C51" s="27"/>
      <c r="D51" s="26" t="s">
        <v>9627</v>
      </c>
      <c r="F51" s="26" t="s">
        <v>4108</v>
      </c>
      <c r="G51" s="68">
        <f>G49-G50</f>
        <v>178.5</v>
      </c>
    </row>
    <row r="52" spans="1:8">
      <c r="A52" s="822"/>
      <c r="B52" s="26"/>
      <c r="C52" s="27"/>
      <c r="G52" s="68"/>
    </row>
    <row r="53" spans="1:8">
      <c r="A53" s="822" t="s">
        <v>9687</v>
      </c>
      <c r="B53" s="26"/>
      <c r="C53" s="27"/>
      <c r="G53" s="68"/>
    </row>
    <row r="54" spans="1:8">
      <c r="A54" s="822" t="s">
        <v>9688</v>
      </c>
      <c r="B54" s="26"/>
      <c r="C54" s="27"/>
      <c r="G54" s="68"/>
    </row>
    <row r="55" spans="1:8">
      <c r="A55" s="822" t="s">
        <v>9689</v>
      </c>
      <c r="B55" s="26"/>
      <c r="C55" s="27"/>
      <c r="G55" s="68"/>
    </row>
    <row r="56" spans="1:8">
      <c r="A56" s="822"/>
      <c r="B56" s="26"/>
      <c r="C56" s="27"/>
      <c r="G56" s="68"/>
    </row>
    <row r="57" spans="1:8">
      <c r="A57" s="822"/>
      <c r="B57" s="26"/>
      <c r="C57" s="27"/>
      <c r="G57" s="68"/>
    </row>
    <row r="58" spans="1:8">
      <c r="A58" s="822"/>
      <c r="B58" s="26"/>
      <c r="D58" s="325" t="s">
        <v>9655</v>
      </c>
      <c r="G58" s="68"/>
    </row>
    <row r="59" spans="1:8">
      <c r="B59" s="26"/>
    </row>
    <row r="60" spans="1:8">
      <c r="A60" s="865" t="s">
        <v>7189</v>
      </c>
      <c r="B60" s="170" t="s">
        <v>1225</v>
      </c>
    </row>
    <row r="61" spans="1:8"/>
    <row r="62" spans="1:8">
      <c r="A62" s="865" t="s">
        <v>7190</v>
      </c>
      <c r="B62" s="170" t="s">
        <v>9139</v>
      </c>
    </row>
    <row r="63" spans="1:8">
      <c r="B63" s="26" t="s">
        <v>9140</v>
      </c>
    </row>
    <row r="64" spans="1:8">
      <c r="B64" s="26" t="s">
        <v>9141</v>
      </c>
    </row>
    <row r="65" spans="1:8">
      <c r="B65" s="26"/>
    </row>
    <row r="66" spans="1:8" hidden="1">
      <c r="A66" s="865" t="s">
        <v>3984</v>
      </c>
      <c r="B66" s="26" t="s">
        <v>1718</v>
      </c>
      <c r="E66" s="26" t="s">
        <v>2223</v>
      </c>
      <c r="F66" s="26">
        <v>1000</v>
      </c>
      <c r="G66" s="26" t="s">
        <v>3479</v>
      </c>
    </row>
    <row r="67" spans="1:8">
      <c r="A67" s="822"/>
    </row>
    <row r="68" spans="1:8">
      <c r="A68" s="822" t="s">
        <v>3984</v>
      </c>
      <c r="C68" s="203" t="s">
        <v>2367</v>
      </c>
      <c r="D68" s="171"/>
      <c r="F68" s="171" t="s">
        <v>297</v>
      </c>
      <c r="G68" s="162">
        <v>1000</v>
      </c>
      <c r="H68" s="26" t="s">
        <v>3883</v>
      </c>
    </row>
    <row r="69" spans="1:8">
      <c r="A69" s="822"/>
      <c r="B69" s="79" t="s">
        <v>2368</v>
      </c>
    </row>
    <row r="70" spans="1:8">
      <c r="A70" s="822"/>
      <c r="B70" s="95" t="s">
        <v>2369</v>
      </c>
      <c r="C70" s="157" t="s">
        <v>6374</v>
      </c>
      <c r="D70" s="195"/>
      <c r="E70" s="95" t="s">
        <v>2370</v>
      </c>
      <c r="F70" s="95" t="s">
        <v>1166</v>
      </c>
      <c r="G70" s="95" t="s">
        <v>2371</v>
      </c>
      <c r="H70" s="95" t="s">
        <v>2372</v>
      </c>
    </row>
    <row r="71" spans="1:8">
      <c r="A71" s="822"/>
      <c r="B71" s="114"/>
      <c r="C71" s="154"/>
      <c r="D71" s="192"/>
      <c r="E71" s="114"/>
      <c r="F71" s="114"/>
      <c r="G71" s="114" t="s">
        <v>3485</v>
      </c>
      <c r="H71" s="114" t="s">
        <v>3485</v>
      </c>
    </row>
    <row r="72" spans="1:8">
      <c r="A72" s="822"/>
      <c r="B72" s="95">
        <v>1</v>
      </c>
      <c r="C72" s="157" t="s">
        <v>6976</v>
      </c>
      <c r="D72" s="195"/>
      <c r="E72" s="107"/>
      <c r="F72" s="179">
        <v>0</v>
      </c>
      <c r="G72" s="179">
        <v>0</v>
      </c>
      <c r="H72" s="179">
        <f>F72*G72</f>
        <v>0</v>
      </c>
    </row>
    <row r="73" spans="1:8">
      <c r="A73" s="822"/>
      <c r="B73" s="114"/>
      <c r="C73" s="154"/>
      <c r="D73" s="192"/>
      <c r="E73" s="191"/>
      <c r="F73" s="182">
        <v>0</v>
      </c>
      <c r="G73" s="182">
        <v>0</v>
      </c>
      <c r="H73" s="182">
        <f>F73*G73</f>
        <v>0</v>
      </c>
    </row>
    <row r="74" spans="1:8">
      <c r="A74" s="822"/>
      <c r="B74" s="176"/>
      <c r="C74" s="174"/>
      <c r="D74" s="174" t="s">
        <v>2376</v>
      </c>
      <c r="E74" s="174"/>
      <c r="F74" s="192"/>
      <c r="G74" s="275" t="s">
        <v>1698</v>
      </c>
      <c r="H74" s="318">
        <f>SUM(H72:H73)</f>
        <v>0</v>
      </c>
    </row>
    <row r="75" spans="1:8">
      <c r="A75" s="822"/>
    </row>
    <row r="76" spans="1:8">
      <c r="A76" s="822"/>
      <c r="B76" s="79" t="s">
        <v>2377</v>
      </c>
    </row>
    <row r="77" spans="1:8">
      <c r="A77" s="822"/>
      <c r="B77" s="95" t="s">
        <v>2369</v>
      </c>
      <c r="C77" s="157" t="s">
        <v>2378</v>
      </c>
      <c r="D77" s="195"/>
      <c r="E77" s="95" t="s">
        <v>2370</v>
      </c>
      <c r="F77" s="95" t="s">
        <v>1166</v>
      </c>
      <c r="G77" s="95" t="s">
        <v>2371</v>
      </c>
      <c r="H77" s="95" t="s">
        <v>2372</v>
      </c>
    </row>
    <row r="78" spans="1:8">
      <c r="A78" s="822"/>
      <c r="B78" s="114"/>
      <c r="C78" s="154"/>
      <c r="D78" s="192"/>
      <c r="E78" s="114"/>
      <c r="F78" s="114"/>
      <c r="G78" s="114" t="s">
        <v>3485</v>
      </c>
      <c r="H78" s="114" t="s">
        <v>3485</v>
      </c>
    </row>
    <row r="79" spans="1:8">
      <c r="A79" s="822"/>
      <c r="B79" s="95">
        <v>1</v>
      </c>
      <c r="C79" s="157" t="s">
        <v>6976</v>
      </c>
      <c r="D79" s="195"/>
      <c r="E79" s="107"/>
      <c r="F79" s="179">
        <v>0</v>
      </c>
      <c r="G79" s="179">
        <v>0</v>
      </c>
      <c r="H79" s="179">
        <f>F79*G79</f>
        <v>0</v>
      </c>
    </row>
    <row r="80" spans="1:8">
      <c r="A80" s="822"/>
      <c r="B80" s="114"/>
      <c r="C80" s="154"/>
      <c r="D80" s="192"/>
      <c r="E80" s="191"/>
      <c r="F80" s="182">
        <v>0</v>
      </c>
      <c r="G80" s="182">
        <v>0</v>
      </c>
      <c r="H80" s="182">
        <f>F80*G80</f>
        <v>0</v>
      </c>
    </row>
    <row r="81" spans="1:8">
      <c r="A81" s="822"/>
      <c r="B81" s="176"/>
      <c r="C81" s="174"/>
      <c r="D81" s="174" t="s">
        <v>2380</v>
      </c>
      <c r="E81" s="174"/>
      <c r="F81" s="192"/>
      <c r="G81" s="236" t="s">
        <v>1698</v>
      </c>
      <c r="H81" s="318">
        <f>SUM(H79:H80)</f>
        <v>0</v>
      </c>
    </row>
    <row r="82" spans="1:8">
      <c r="A82" s="822"/>
    </row>
    <row r="83" spans="1:8">
      <c r="A83" s="822"/>
      <c r="B83" s="79" t="s">
        <v>2381</v>
      </c>
    </row>
    <row r="84" spans="1:8">
      <c r="A84" s="822"/>
      <c r="B84" s="95" t="s">
        <v>2369</v>
      </c>
      <c r="C84" s="157" t="s">
        <v>2378</v>
      </c>
      <c r="D84" s="195"/>
      <c r="E84" s="95" t="s">
        <v>2370</v>
      </c>
      <c r="F84" s="95" t="s">
        <v>1166</v>
      </c>
      <c r="G84" s="95" t="s">
        <v>2371</v>
      </c>
      <c r="H84" s="95" t="s">
        <v>2372</v>
      </c>
    </row>
    <row r="85" spans="1:8">
      <c r="A85" s="822"/>
      <c r="B85" s="114"/>
      <c r="C85" s="154"/>
      <c r="D85" s="192"/>
      <c r="E85" s="114"/>
      <c r="F85" s="114"/>
      <c r="G85" s="114" t="s">
        <v>3485</v>
      </c>
      <c r="H85" s="114" t="s">
        <v>3485</v>
      </c>
    </row>
    <row r="86" spans="1:8">
      <c r="A86" s="822"/>
      <c r="B86" s="95">
        <v>1</v>
      </c>
      <c r="C86" s="148" t="s">
        <v>4206</v>
      </c>
      <c r="D86" s="195"/>
      <c r="E86" s="107" t="s">
        <v>1172</v>
      </c>
      <c r="F86" s="179">
        <v>0.5</v>
      </c>
      <c r="G86" s="179">
        <f>'BASIC DATA'!C473</f>
        <v>450</v>
      </c>
      <c r="H86" s="179">
        <f>F86*G86</f>
        <v>225</v>
      </c>
    </row>
    <row r="87" spans="1:8">
      <c r="A87" s="822"/>
      <c r="B87" s="114">
        <v>2</v>
      </c>
      <c r="C87" s="89" t="s">
        <v>2697</v>
      </c>
      <c r="D87" s="192"/>
      <c r="E87" s="191" t="s">
        <v>1172</v>
      </c>
      <c r="F87" s="182">
        <v>3</v>
      </c>
      <c r="G87" s="190">
        <f>'BASIC DATA'!C552</f>
        <v>350</v>
      </c>
      <c r="H87" s="190">
        <f>F87*G87</f>
        <v>1050</v>
      </c>
    </row>
    <row r="88" spans="1:8">
      <c r="A88" s="822"/>
      <c r="B88" s="176"/>
      <c r="C88" s="174"/>
      <c r="D88" s="174" t="s">
        <v>1174</v>
      </c>
      <c r="E88" s="174"/>
      <c r="F88" s="192"/>
      <c r="G88" s="236" t="s">
        <v>1698</v>
      </c>
      <c r="H88" s="318">
        <f>SUM(H86:H87)</f>
        <v>1275</v>
      </c>
    </row>
    <row r="89" spans="1:8">
      <c r="A89" s="822"/>
      <c r="B89" s="60" t="s">
        <v>5948</v>
      </c>
      <c r="C89" s="31"/>
      <c r="D89" s="31"/>
      <c r="E89" s="85">
        <f>ROUND(H88/G68,1)</f>
        <v>1.3</v>
      </c>
    </row>
    <row r="90" spans="1:8">
      <c r="A90" s="822"/>
      <c r="B90" s="60" t="s">
        <v>3163</v>
      </c>
      <c r="C90" s="31"/>
      <c r="D90" s="922">
        <f>'BASIC DATA'!$C$577</f>
        <v>0.13614999999999999</v>
      </c>
      <c r="E90" s="85">
        <f>ROUND(E89*D90,1)</f>
        <v>0.2</v>
      </c>
    </row>
    <row r="91" spans="1:8">
      <c r="A91" s="822"/>
      <c r="B91" s="60" t="s">
        <v>5949</v>
      </c>
      <c r="C91" s="31"/>
      <c r="D91" s="31"/>
      <c r="E91" s="739">
        <f>E90+E89</f>
        <v>1.5</v>
      </c>
    </row>
    <row r="92" spans="1:8">
      <c r="A92" s="822"/>
      <c r="B92" s="26"/>
    </row>
    <row r="93" spans="1:8">
      <c r="A93" s="822"/>
      <c r="B93" s="170" t="s">
        <v>1175</v>
      </c>
    </row>
    <row r="94" spans="1:8">
      <c r="A94" s="822"/>
      <c r="B94" s="26" t="s">
        <v>1176</v>
      </c>
      <c r="F94" s="171" t="s">
        <v>1698</v>
      </c>
      <c r="G94" s="68">
        <f>H74</f>
        <v>0</v>
      </c>
    </row>
    <row r="95" spans="1:8">
      <c r="A95" s="822"/>
      <c r="B95" s="26" t="s">
        <v>1186</v>
      </c>
      <c r="F95" s="171" t="s">
        <v>1698</v>
      </c>
      <c r="G95" s="68">
        <f>H81</f>
        <v>0</v>
      </c>
    </row>
    <row r="96" spans="1:8">
      <c r="A96" s="822"/>
      <c r="B96" s="26" t="s">
        <v>2660</v>
      </c>
      <c r="F96" s="171" t="s">
        <v>1698</v>
      </c>
      <c r="G96" s="75">
        <f>H88</f>
        <v>1275</v>
      </c>
    </row>
    <row r="97" spans="1:8">
      <c r="A97" s="822"/>
      <c r="E97" s="26" t="s">
        <v>1518</v>
      </c>
      <c r="F97" s="171" t="s">
        <v>1698</v>
      </c>
      <c r="G97" s="205">
        <f>SUM(G94:G96)</f>
        <v>1275</v>
      </c>
    </row>
    <row r="98" spans="1:8" ht="38.25" customHeight="1">
      <c r="A98" s="822"/>
      <c r="B98" s="1207" t="s">
        <v>1379</v>
      </c>
      <c r="C98" s="1207"/>
      <c r="E98" s="922">
        <f>'BASIC DATA'!$C$577</f>
        <v>0.13614999999999999</v>
      </c>
      <c r="F98" s="26" t="s">
        <v>1698</v>
      </c>
      <c r="G98" s="26">
        <f>G97*E98</f>
        <v>173.59125</v>
      </c>
      <c r="H98" s="75"/>
    </row>
    <row r="99" spans="1:8">
      <c r="A99" s="822"/>
      <c r="B99" s="26" t="s">
        <v>1191</v>
      </c>
      <c r="D99" s="68">
        <f>G68</f>
        <v>1000</v>
      </c>
      <c r="E99" s="68" t="str">
        <f>H68</f>
        <v xml:space="preserve"> sqm</v>
      </c>
      <c r="F99" s="26" t="s">
        <v>1698</v>
      </c>
      <c r="G99" s="211">
        <f>G98+G97</f>
        <v>1448.5912499999999</v>
      </c>
      <c r="H99" s="68"/>
    </row>
    <row r="100" spans="1:8">
      <c r="A100" s="822"/>
      <c r="B100" s="170" t="s">
        <v>1584</v>
      </c>
      <c r="C100" s="211" t="str">
        <f>E99</f>
        <v xml:space="preserve"> sqm</v>
      </c>
      <c r="D100" s="26" t="s">
        <v>5886</v>
      </c>
      <c r="F100" s="26" t="s">
        <v>4108</v>
      </c>
      <c r="G100" s="211">
        <f>ROUND(G99/D99,1)</f>
        <v>1.4</v>
      </c>
      <c r="H100" s="68"/>
    </row>
    <row r="101" spans="1:8">
      <c r="A101" s="822"/>
    </row>
    <row r="102" spans="1:8">
      <c r="A102" s="822"/>
    </row>
    <row r="103" spans="1:8">
      <c r="A103" s="865" t="s">
        <v>7191</v>
      </c>
      <c r="B103" s="170" t="s">
        <v>7657</v>
      </c>
    </row>
    <row r="104" spans="1:8">
      <c r="B104" s="26" t="s">
        <v>9084</v>
      </c>
    </row>
    <row r="105" spans="1:8">
      <c r="B105" s="26" t="s">
        <v>1851</v>
      </c>
    </row>
    <row r="106" spans="1:8">
      <c r="B106" s="26"/>
    </row>
    <row r="107" spans="1:8" hidden="1">
      <c r="A107" s="865" t="s">
        <v>3984</v>
      </c>
      <c r="B107" s="26" t="s">
        <v>4799</v>
      </c>
      <c r="E107" s="26" t="s">
        <v>2223</v>
      </c>
      <c r="F107" s="26">
        <v>1000</v>
      </c>
      <c r="G107" s="26" t="s">
        <v>3479</v>
      </c>
    </row>
    <row r="108" spans="1:8">
      <c r="A108" s="822"/>
    </row>
    <row r="109" spans="1:8">
      <c r="A109" s="822"/>
    </row>
    <row r="110" spans="1:8">
      <c r="A110" s="822" t="s">
        <v>3984</v>
      </c>
      <c r="C110" s="203" t="s">
        <v>2367</v>
      </c>
      <c r="D110" s="171"/>
      <c r="F110" s="171" t="s">
        <v>297</v>
      </c>
      <c r="G110" s="162">
        <v>1000</v>
      </c>
      <c r="H110" s="26" t="s">
        <v>3883</v>
      </c>
    </row>
    <row r="111" spans="1:8">
      <c r="A111" s="822"/>
      <c r="B111" s="79" t="s">
        <v>2368</v>
      </c>
    </row>
    <row r="112" spans="1:8">
      <c r="A112" s="822"/>
      <c r="B112" s="95" t="s">
        <v>2369</v>
      </c>
      <c r="C112" s="157" t="s">
        <v>6374</v>
      </c>
      <c r="D112" s="195"/>
      <c r="E112" s="95" t="s">
        <v>2370</v>
      </c>
      <c r="F112" s="95" t="s">
        <v>1166</v>
      </c>
      <c r="G112" s="95" t="s">
        <v>2371</v>
      </c>
      <c r="H112" s="95" t="s">
        <v>2372</v>
      </c>
    </row>
    <row r="113" spans="1:8">
      <c r="A113" s="822"/>
      <c r="B113" s="114"/>
      <c r="C113" s="154"/>
      <c r="D113" s="192"/>
      <c r="E113" s="114"/>
      <c r="F113" s="114"/>
      <c r="G113" s="114" t="s">
        <v>3485</v>
      </c>
      <c r="H113" s="114" t="s">
        <v>3485</v>
      </c>
    </row>
    <row r="114" spans="1:8">
      <c r="A114" s="822"/>
      <c r="B114" s="95">
        <v>1</v>
      </c>
      <c r="C114" s="157" t="s">
        <v>6976</v>
      </c>
      <c r="D114" s="195"/>
      <c r="E114" s="107"/>
      <c r="F114" s="179">
        <v>0</v>
      </c>
      <c r="G114" s="179">
        <v>0</v>
      </c>
      <c r="H114" s="179">
        <f>F114*G114</f>
        <v>0</v>
      </c>
    </row>
    <row r="115" spans="1:8">
      <c r="A115" s="822"/>
      <c r="B115" s="114"/>
      <c r="C115" s="154"/>
      <c r="D115" s="192"/>
      <c r="E115" s="191"/>
      <c r="F115" s="182">
        <v>0</v>
      </c>
      <c r="G115" s="182">
        <v>0</v>
      </c>
      <c r="H115" s="182">
        <f>F115*G115</f>
        <v>0</v>
      </c>
    </row>
    <row r="116" spans="1:8">
      <c r="A116" s="822"/>
      <c r="B116" s="176"/>
      <c r="C116" s="174"/>
      <c r="D116" s="174" t="s">
        <v>2376</v>
      </c>
      <c r="E116" s="174"/>
      <c r="F116" s="192"/>
      <c r="G116" s="275" t="s">
        <v>1698</v>
      </c>
      <c r="H116" s="318">
        <f>SUM(H114:H115)</f>
        <v>0</v>
      </c>
    </row>
    <row r="117" spans="1:8">
      <c r="A117" s="822"/>
    </row>
    <row r="118" spans="1:8">
      <c r="A118" s="822"/>
    </row>
    <row r="119" spans="1:8">
      <c r="A119" s="822"/>
      <c r="B119" s="79" t="s">
        <v>2377</v>
      </c>
    </row>
    <row r="120" spans="1:8">
      <c r="A120" s="822"/>
      <c r="B120" s="95" t="s">
        <v>2369</v>
      </c>
      <c r="C120" s="157" t="s">
        <v>2378</v>
      </c>
      <c r="D120" s="195"/>
      <c r="E120" s="95" t="s">
        <v>2370</v>
      </c>
      <c r="F120" s="95" t="s">
        <v>1166</v>
      </c>
      <c r="G120" s="95" t="s">
        <v>2371</v>
      </c>
      <c r="H120" s="95" t="s">
        <v>2372</v>
      </c>
    </row>
    <row r="121" spans="1:8">
      <c r="A121" s="822"/>
      <c r="B121" s="114"/>
      <c r="C121" s="154"/>
      <c r="D121" s="192"/>
      <c r="E121" s="114"/>
      <c r="F121" s="114"/>
      <c r="G121" s="114" t="s">
        <v>3485</v>
      </c>
      <c r="H121" s="114" t="s">
        <v>3485</v>
      </c>
    </row>
    <row r="122" spans="1:8">
      <c r="A122" s="822"/>
      <c r="B122" s="95">
        <v>1</v>
      </c>
      <c r="C122" s="157" t="s">
        <v>6976</v>
      </c>
      <c r="D122" s="195"/>
      <c r="E122" s="107"/>
      <c r="F122" s="179">
        <v>0</v>
      </c>
      <c r="G122" s="179">
        <v>0</v>
      </c>
      <c r="H122" s="179">
        <f>F122*G122</f>
        <v>0</v>
      </c>
    </row>
    <row r="123" spans="1:8">
      <c r="A123" s="822"/>
      <c r="B123" s="114"/>
      <c r="C123" s="154"/>
      <c r="D123" s="192"/>
      <c r="E123" s="191"/>
      <c r="F123" s="182">
        <v>0</v>
      </c>
      <c r="G123" s="182">
        <v>0</v>
      </c>
      <c r="H123" s="182">
        <f>F123*G123</f>
        <v>0</v>
      </c>
    </row>
    <row r="124" spans="1:8">
      <c r="A124" s="822"/>
      <c r="B124" s="176"/>
      <c r="C124" s="174"/>
      <c r="D124" s="174" t="s">
        <v>2380</v>
      </c>
      <c r="E124" s="174"/>
      <c r="F124" s="192"/>
      <c r="G124" s="275" t="s">
        <v>1698</v>
      </c>
      <c r="H124" s="318">
        <f>SUM(H122:H123)</f>
        <v>0</v>
      </c>
    </row>
    <row r="125" spans="1:8">
      <c r="A125" s="822"/>
    </row>
    <row r="126" spans="1:8">
      <c r="A126" s="822"/>
    </row>
    <row r="127" spans="1:8">
      <c r="A127" s="822"/>
      <c r="B127" s="79" t="s">
        <v>2381</v>
      </c>
    </row>
    <row r="128" spans="1:8">
      <c r="A128" s="822"/>
      <c r="B128" s="95" t="s">
        <v>2369</v>
      </c>
      <c r="C128" s="157" t="s">
        <v>2378</v>
      </c>
      <c r="D128" s="195"/>
      <c r="E128" s="95" t="s">
        <v>2370</v>
      </c>
      <c r="F128" s="95" t="s">
        <v>1166</v>
      </c>
      <c r="G128" s="95" t="s">
        <v>2371</v>
      </c>
      <c r="H128" s="95" t="s">
        <v>2372</v>
      </c>
    </row>
    <row r="129" spans="1:8">
      <c r="A129" s="822"/>
      <c r="B129" s="114"/>
      <c r="C129" s="154"/>
      <c r="D129" s="192"/>
      <c r="E129" s="114"/>
      <c r="F129" s="114"/>
      <c r="G129" s="114" t="s">
        <v>3485</v>
      </c>
      <c r="H129" s="114" t="s">
        <v>3485</v>
      </c>
    </row>
    <row r="130" spans="1:8">
      <c r="A130" s="822"/>
      <c r="B130" s="95">
        <v>1</v>
      </c>
      <c r="C130" s="131" t="s">
        <v>4206</v>
      </c>
      <c r="D130" s="195"/>
      <c r="E130" s="107" t="s">
        <v>1172</v>
      </c>
      <c r="F130" s="179">
        <v>0.5</v>
      </c>
      <c r="G130" s="179">
        <f>'BASIC DATA'!C473</f>
        <v>450</v>
      </c>
      <c r="H130" s="179">
        <f>F130*G130</f>
        <v>225</v>
      </c>
    </row>
    <row r="131" spans="1:8">
      <c r="A131" s="822"/>
      <c r="B131" s="176">
        <v>2</v>
      </c>
      <c r="C131" s="89" t="s">
        <v>2697</v>
      </c>
      <c r="D131" s="192"/>
      <c r="E131" s="191" t="s">
        <v>1172</v>
      </c>
      <c r="F131" s="182">
        <v>5</v>
      </c>
      <c r="G131" s="190">
        <f>'BASIC DATA'!C552</f>
        <v>350</v>
      </c>
      <c r="H131" s="190">
        <f>F131*G131</f>
        <v>1750</v>
      </c>
    </row>
    <row r="132" spans="1:8">
      <c r="A132" s="822"/>
      <c r="B132" s="176"/>
      <c r="C132" s="174"/>
      <c r="D132" s="174" t="s">
        <v>1174</v>
      </c>
      <c r="E132" s="174"/>
      <c r="F132" s="192"/>
      <c r="G132" s="236" t="s">
        <v>1698</v>
      </c>
      <c r="H132" s="318">
        <f>SUM(H130:H131)</f>
        <v>1975</v>
      </c>
    </row>
    <row r="133" spans="1:8">
      <c r="A133" s="822"/>
      <c r="B133" s="60" t="s">
        <v>5948</v>
      </c>
      <c r="C133" s="31"/>
      <c r="D133" s="31"/>
      <c r="E133" s="85">
        <f>ROUND(H132/G110,1)</f>
        <v>2</v>
      </c>
      <c r="F133" s="85"/>
    </row>
    <row r="134" spans="1:8">
      <c r="A134" s="822"/>
      <c r="B134" s="60" t="s">
        <v>3163</v>
      </c>
      <c r="C134" s="31"/>
      <c r="D134" s="922">
        <f>'BASIC DATA'!$C$577</f>
        <v>0.13614999999999999</v>
      </c>
      <c r="E134" s="85">
        <f>ROUND(E133*D134,1)</f>
        <v>0.3</v>
      </c>
      <c r="F134" s="85"/>
    </row>
    <row r="135" spans="1:8">
      <c r="A135" s="822"/>
      <c r="B135" s="60" t="s">
        <v>5949</v>
      </c>
      <c r="C135" s="31"/>
      <c r="D135" s="31"/>
      <c r="E135" s="199">
        <f>E134+E133</f>
        <v>2.2999999999999998</v>
      </c>
      <c r="F135" s="85"/>
    </row>
    <row r="136" spans="1:8">
      <c r="A136" s="822"/>
      <c r="B136" s="26"/>
    </row>
    <row r="137" spans="1:8">
      <c r="A137" s="822"/>
      <c r="B137" s="170" t="s">
        <v>1175</v>
      </c>
    </row>
    <row r="138" spans="1:8">
      <c r="A138" s="822"/>
      <c r="B138" s="26" t="s">
        <v>1176</v>
      </c>
      <c r="F138" s="171" t="s">
        <v>1698</v>
      </c>
      <c r="G138" s="68">
        <f>H116</f>
        <v>0</v>
      </c>
    </row>
    <row r="139" spans="1:8">
      <c r="A139" s="822"/>
      <c r="B139" s="26" t="s">
        <v>1186</v>
      </c>
      <c r="F139" s="171" t="s">
        <v>1698</v>
      </c>
      <c r="G139" s="68">
        <f>H124</f>
        <v>0</v>
      </c>
    </row>
    <row r="140" spans="1:8">
      <c r="A140" s="822"/>
      <c r="B140" s="26" t="s">
        <v>2660</v>
      </c>
      <c r="F140" s="171" t="s">
        <v>1698</v>
      </c>
      <c r="G140" s="75">
        <f>H132</f>
        <v>1975</v>
      </c>
    </row>
    <row r="141" spans="1:8">
      <c r="A141" s="822"/>
      <c r="E141" s="26" t="s">
        <v>1518</v>
      </c>
      <c r="F141" s="171" t="s">
        <v>1698</v>
      </c>
      <c r="G141" s="205">
        <f>SUM(G138:G140)</f>
        <v>1975</v>
      </c>
    </row>
    <row r="142" spans="1:8" ht="33.75" customHeight="1">
      <c r="A142" s="822"/>
      <c r="B142" s="1207" t="s">
        <v>1379</v>
      </c>
      <c r="C142" s="1207"/>
      <c r="E142" s="922">
        <f>'BASIC DATA'!$C$577</f>
        <v>0.13614999999999999</v>
      </c>
      <c r="F142" s="26" t="s">
        <v>1698</v>
      </c>
      <c r="G142" s="26">
        <f>G141*E142</f>
        <v>268.89625000000001</v>
      </c>
    </row>
    <row r="143" spans="1:8">
      <c r="A143" s="822"/>
      <c r="B143" s="26" t="s">
        <v>1191</v>
      </c>
      <c r="D143" s="68">
        <f>G110</f>
        <v>1000</v>
      </c>
      <c r="E143" s="68" t="str">
        <f>H110</f>
        <v xml:space="preserve"> sqm</v>
      </c>
      <c r="F143" s="26" t="s">
        <v>1698</v>
      </c>
      <c r="G143" s="211">
        <f>G142+G141</f>
        <v>2243.8962499999998</v>
      </c>
    </row>
    <row r="144" spans="1:8">
      <c r="A144" s="822"/>
      <c r="B144" s="170" t="s">
        <v>1584</v>
      </c>
      <c r="C144" s="211" t="str">
        <f>E143</f>
        <v xml:space="preserve"> sqm</v>
      </c>
      <c r="D144" s="26" t="s">
        <v>5886</v>
      </c>
      <c r="F144" s="26" t="s">
        <v>4108</v>
      </c>
      <c r="G144" s="211">
        <f>ROUND(G143/D143,1)</f>
        <v>2.2000000000000002</v>
      </c>
    </row>
    <row r="145" spans="1:8">
      <c r="A145" s="822"/>
    </row>
    <row r="146" spans="1:8">
      <c r="A146" s="822"/>
    </row>
    <row r="147" spans="1:8">
      <c r="A147" s="865" t="s">
        <v>7192</v>
      </c>
      <c r="B147" s="170" t="s">
        <v>9142</v>
      </c>
    </row>
    <row r="148" spans="1:8">
      <c r="B148" s="26" t="s">
        <v>9143</v>
      </c>
    </row>
    <row r="149" spans="1:8">
      <c r="B149" s="170" t="s">
        <v>3639</v>
      </c>
    </row>
    <row r="150" spans="1:8">
      <c r="A150" s="865" t="s">
        <v>3984</v>
      </c>
      <c r="B150" s="26"/>
    </row>
    <row r="151" spans="1:8" hidden="1">
      <c r="A151" s="865" t="s">
        <v>3984</v>
      </c>
      <c r="B151" s="26" t="s">
        <v>6877</v>
      </c>
      <c r="E151" s="78" t="s">
        <v>1697</v>
      </c>
      <c r="F151" s="26">
        <v>0.3</v>
      </c>
      <c r="G151" s="26" t="s">
        <v>2602</v>
      </c>
    </row>
    <row r="152" spans="1:8" hidden="1">
      <c r="B152" s="26" t="s">
        <v>5852</v>
      </c>
    </row>
    <row r="153" spans="1:8" hidden="1">
      <c r="B153" s="26" t="s">
        <v>1719</v>
      </c>
      <c r="E153" s="78" t="s">
        <v>1697</v>
      </c>
      <c r="F153" s="26">
        <v>18</v>
      </c>
      <c r="G153" s="26" t="s">
        <v>4041</v>
      </c>
    </row>
    <row r="154" spans="1:8" hidden="1">
      <c r="B154" s="26" t="s">
        <v>4800</v>
      </c>
    </row>
    <row r="155" spans="1:8">
      <c r="A155" s="822"/>
    </row>
    <row r="156" spans="1:8">
      <c r="A156" s="822"/>
      <c r="C156" s="203" t="s">
        <v>2367</v>
      </c>
      <c r="D156" s="171"/>
      <c r="F156" s="171" t="s">
        <v>297</v>
      </c>
      <c r="G156" s="162">
        <v>18</v>
      </c>
      <c r="H156" s="26" t="s">
        <v>4041</v>
      </c>
    </row>
    <row r="157" spans="1:8">
      <c r="A157" s="822"/>
    </row>
    <row r="158" spans="1:8">
      <c r="A158" s="822"/>
      <c r="B158" s="79" t="s">
        <v>2368</v>
      </c>
    </row>
    <row r="159" spans="1:8">
      <c r="A159" s="822"/>
      <c r="B159" s="95" t="s">
        <v>2369</v>
      </c>
      <c r="C159" s="157" t="s">
        <v>6374</v>
      </c>
      <c r="D159" s="195"/>
      <c r="E159" s="95" t="s">
        <v>2370</v>
      </c>
      <c r="F159" s="95" t="s">
        <v>1166</v>
      </c>
      <c r="G159" s="95" t="s">
        <v>2371</v>
      </c>
      <c r="H159" s="95" t="s">
        <v>2372</v>
      </c>
    </row>
    <row r="160" spans="1:8">
      <c r="A160" s="822"/>
      <c r="B160" s="114"/>
      <c r="C160" s="154"/>
      <c r="D160" s="192"/>
      <c r="E160" s="114"/>
      <c r="F160" s="114"/>
      <c r="G160" s="114" t="s">
        <v>3485</v>
      </c>
      <c r="H160" s="114" t="s">
        <v>3485</v>
      </c>
    </row>
    <row r="161" spans="1:8">
      <c r="A161" s="822"/>
      <c r="B161" s="95">
        <v>1</v>
      </c>
      <c r="C161" s="157" t="s">
        <v>6976</v>
      </c>
      <c r="D161" s="195"/>
      <c r="E161" s="107"/>
      <c r="F161" s="179">
        <v>0</v>
      </c>
      <c r="G161" s="179">
        <v>0</v>
      </c>
      <c r="H161" s="179">
        <f>F161*G161</f>
        <v>0</v>
      </c>
    </row>
    <row r="162" spans="1:8">
      <c r="A162" s="822"/>
      <c r="B162" s="114"/>
      <c r="C162" s="154"/>
      <c r="D162" s="192"/>
      <c r="E162" s="191"/>
      <c r="F162" s="182">
        <v>0</v>
      </c>
      <c r="G162" s="182">
        <v>0</v>
      </c>
      <c r="H162" s="182">
        <f>F162*G162</f>
        <v>0</v>
      </c>
    </row>
    <row r="163" spans="1:8">
      <c r="A163" s="822"/>
      <c r="B163" s="176"/>
      <c r="C163" s="174"/>
      <c r="D163" s="174" t="s">
        <v>2376</v>
      </c>
      <c r="E163" s="174"/>
      <c r="F163" s="192"/>
      <c r="G163" s="236" t="s">
        <v>1698</v>
      </c>
      <c r="H163" s="318">
        <f>SUM(H161:H162)</f>
        <v>0</v>
      </c>
    </row>
    <row r="164" spans="1:8">
      <c r="A164" s="822"/>
    </row>
    <row r="165" spans="1:8">
      <c r="A165" s="822"/>
      <c r="B165" s="79" t="s">
        <v>2377</v>
      </c>
    </row>
    <row r="166" spans="1:8">
      <c r="A166" s="822"/>
      <c r="B166" s="95" t="s">
        <v>2369</v>
      </c>
      <c r="C166" s="157" t="s">
        <v>2378</v>
      </c>
      <c r="D166" s="195"/>
      <c r="E166" s="95" t="s">
        <v>2370</v>
      </c>
      <c r="F166" s="95" t="s">
        <v>1166</v>
      </c>
      <c r="G166" s="95" t="s">
        <v>2371</v>
      </c>
      <c r="H166" s="95" t="s">
        <v>2372</v>
      </c>
    </row>
    <row r="167" spans="1:8">
      <c r="A167" s="822"/>
      <c r="B167" s="114"/>
      <c r="C167" s="154"/>
      <c r="D167" s="192"/>
      <c r="E167" s="114"/>
      <c r="F167" s="114"/>
      <c r="G167" s="114" t="s">
        <v>3485</v>
      </c>
      <c r="H167" s="114" t="s">
        <v>3485</v>
      </c>
    </row>
    <row r="168" spans="1:8">
      <c r="A168" s="822"/>
      <c r="B168" s="95">
        <v>1</v>
      </c>
      <c r="C168" s="157" t="s">
        <v>6976</v>
      </c>
      <c r="D168" s="195"/>
      <c r="E168" s="107"/>
      <c r="F168" s="179">
        <v>0</v>
      </c>
      <c r="G168" s="179">
        <v>0</v>
      </c>
      <c r="H168" s="179">
        <f>F168*G168</f>
        <v>0</v>
      </c>
    </row>
    <row r="169" spans="1:8">
      <c r="A169" s="822"/>
      <c r="B169" s="114"/>
      <c r="C169" s="154"/>
      <c r="D169" s="192"/>
      <c r="E169" s="191"/>
      <c r="F169" s="182">
        <v>0</v>
      </c>
      <c r="G169" s="182">
        <v>0</v>
      </c>
      <c r="H169" s="182">
        <f>F169*G169</f>
        <v>0</v>
      </c>
    </row>
    <row r="170" spans="1:8">
      <c r="A170" s="822"/>
      <c r="B170" s="176"/>
      <c r="C170" s="174"/>
      <c r="D170" s="174" t="s">
        <v>2380</v>
      </c>
      <c r="E170" s="174"/>
      <c r="F170" s="192"/>
      <c r="G170" s="275" t="s">
        <v>1698</v>
      </c>
      <c r="H170" s="318">
        <f>SUM(H168:H169)</f>
        <v>0</v>
      </c>
    </row>
    <row r="171" spans="1:8">
      <c r="A171" s="822"/>
    </row>
    <row r="172" spans="1:8">
      <c r="A172" s="822"/>
      <c r="B172" s="79" t="s">
        <v>2381</v>
      </c>
    </row>
    <row r="173" spans="1:8">
      <c r="A173" s="822"/>
      <c r="B173" s="95" t="s">
        <v>2369</v>
      </c>
      <c r="C173" s="157" t="s">
        <v>2378</v>
      </c>
      <c r="D173" s="195"/>
      <c r="E173" s="95" t="s">
        <v>2370</v>
      </c>
      <c r="F173" s="95" t="s">
        <v>1166</v>
      </c>
      <c r="G173" s="95" t="s">
        <v>2371</v>
      </c>
      <c r="H173" s="95" t="s">
        <v>2372</v>
      </c>
    </row>
    <row r="174" spans="1:8">
      <c r="A174" s="822"/>
      <c r="B174" s="114"/>
      <c r="C174" s="154"/>
      <c r="D174" s="192"/>
      <c r="E174" s="114"/>
      <c r="F174" s="114"/>
      <c r="G174" s="114" t="s">
        <v>3485</v>
      </c>
      <c r="H174" s="114" t="s">
        <v>3485</v>
      </c>
    </row>
    <row r="175" spans="1:8">
      <c r="A175" s="822"/>
      <c r="B175" s="95">
        <v>1</v>
      </c>
      <c r="C175" s="148" t="s">
        <v>4206</v>
      </c>
      <c r="D175" s="195"/>
      <c r="E175" s="107" t="s">
        <v>1172</v>
      </c>
      <c r="F175" s="179">
        <v>0.25</v>
      </c>
      <c r="G175" s="179">
        <f>'BASIC DATA'!C473</f>
        <v>450</v>
      </c>
      <c r="H175" s="179">
        <f>F175*G175</f>
        <v>112.5</v>
      </c>
    </row>
    <row r="176" spans="1:8">
      <c r="A176" s="822"/>
      <c r="B176" s="114">
        <v>2</v>
      </c>
      <c r="C176" s="89" t="s">
        <v>2697</v>
      </c>
      <c r="D176" s="192"/>
      <c r="E176" s="191" t="s">
        <v>1172</v>
      </c>
      <c r="F176" s="182">
        <v>2</v>
      </c>
      <c r="G176" s="190">
        <f>'BASIC DATA'!C552</f>
        <v>350</v>
      </c>
      <c r="H176" s="190">
        <f>F176*G176</f>
        <v>700</v>
      </c>
    </row>
    <row r="177" spans="1:8">
      <c r="A177" s="822"/>
      <c r="B177" s="176"/>
      <c r="C177" s="174"/>
      <c r="D177" s="174" t="s">
        <v>1174</v>
      </c>
      <c r="E177" s="174"/>
      <c r="F177" s="192"/>
      <c r="G177" s="236" t="s">
        <v>1698</v>
      </c>
      <c r="H177" s="318">
        <f>SUM(H175:H176)</f>
        <v>812.5</v>
      </c>
    </row>
    <row r="178" spans="1:8">
      <c r="A178" s="822"/>
      <c r="B178" s="60" t="s">
        <v>5948</v>
      </c>
      <c r="C178" s="31"/>
      <c r="D178" s="31"/>
      <c r="E178" s="85">
        <f>ROUND(H177/G156,1)</f>
        <v>45.1</v>
      </c>
      <c r="G178" s="31"/>
    </row>
    <row r="179" spans="1:8">
      <c r="A179" s="822"/>
      <c r="B179" s="60" t="s">
        <v>3163</v>
      </c>
      <c r="C179" s="31"/>
      <c r="D179" s="922">
        <f>'BASIC DATA'!$C$577</f>
        <v>0.13614999999999999</v>
      </c>
      <c r="E179" s="85">
        <f>ROUND(E178*D179,1)</f>
        <v>6.1</v>
      </c>
      <c r="G179" s="31"/>
    </row>
    <row r="180" spans="1:8">
      <c r="A180" s="822"/>
      <c r="B180" s="60" t="s">
        <v>5949</v>
      </c>
      <c r="C180" s="31"/>
      <c r="D180" s="31"/>
      <c r="E180" s="739">
        <f>E179+E178</f>
        <v>51.2</v>
      </c>
      <c r="G180" s="31"/>
    </row>
    <row r="181" spans="1:8">
      <c r="A181" s="822"/>
    </row>
    <row r="182" spans="1:8">
      <c r="A182" s="822"/>
      <c r="B182" s="170" t="s">
        <v>1175</v>
      </c>
    </row>
    <row r="183" spans="1:8">
      <c r="A183" s="822"/>
      <c r="B183" s="26" t="s">
        <v>1176</v>
      </c>
      <c r="F183" s="171" t="s">
        <v>1698</v>
      </c>
      <c r="G183" s="68">
        <f>H163</f>
        <v>0</v>
      </c>
    </row>
    <row r="184" spans="1:8">
      <c r="A184" s="822"/>
      <c r="B184" s="26" t="s">
        <v>1186</v>
      </c>
      <c r="F184" s="171" t="s">
        <v>1698</v>
      </c>
      <c r="G184" s="68">
        <f>H170</f>
        <v>0</v>
      </c>
    </row>
    <row r="185" spans="1:8">
      <c r="A185" s="822"/>
      <c r="B185" s="26" t="s">
        <v>2660</v>
      </c>
      <c r="F185" s="171" t="s">
        <v>1698</v>
      </c>
      <c r="G185" s="75">
        <f>H177</f>
        <v>812.5</v>
      </c>
    </row>
    <row r="186" spans="1:8">
      <c r="A186" s="822"/>
      <c r="E186" s="26" t="s">
        <v>1518</v>
      </c>
      <c r="F186" s="171" t="s">
        <v>1698</v>
      </c>
      <c r="G186" s="205">
        <f>SUM(G183:G185)</f>
        <v>812.5</v>
      </c>
    </row>
    <row r="187" spans="1:8" ht="36.75" customHeight="1">
      <c r="A187" s="822"/>
      <c r="B187" s="1207" t="s">
        <v>1379</v>
      </c>
      <c r="C187" s="1207"/>
      <c r="E187" s="922">
        <f>'BASIC DATA'!$C$577</f>
        <v>0.13614999999999999</v>
      </c>
      <c r="F187" s="26" t="s">
        <v>1698</v>
      </c>
      <c r="G187" s="26">
        <f>G186*E187</f>
        <v>110.62187499999999</v>
      </c>
    </row>
    <row r="188" spans="1:8">
      <c r="A188" s="822"/>
      <c r="B188" s="26" t="s">
        <v>1191</v>
      </c>
      <c r="D188" s="68">
        <f>G156</f>
        <v>18</v>
      </c>
      <c r="E188" s="68" t="str">
        <f>H156</f>
        <v>Nos.</v>
      </c>
      <c r="F188" s="26" t="s">
        <v>1698</v>
      </c>
      <c r="G188" s="211">
        <f>G187+G186</f>
        <v>923.12187500000005</v>
      </c>
    </row>
    <row r="189" spans="1:8">
      <c r="A189" s="822"/>
      <c r="B189" s="170" t="s">
        <v>1584</v>
      </c>
      <c r="C189" s="211" t="s">
        <v>4935</v>
      </c>
      <c r="D189" s="26" t="s">
        <v>6785</v>
      </c>
      <c r="F189" s="26" t="s">
        <v>4108</v>
      </c>
      <c r="G189" s="211">
        <f>ROUND(G188/D188,1)</f>
        <v>51.3</v>
      </c>
    </row>
    <row r="190" spans="1:8">
      <c r="A190" s="822"/>
    </row>
    <row r="191" spans="1:8">
      <c r="A191" s="822"/>
    </row>
    <row r="192" spans="1:8">
      <c r="A192" s="865" t="s">
        <v>7193</v>
      </c>
      <c r="B192" s="26" t="s">
        <v>9144</v>
      </c>
    </row>
    <row r="193" spans="1:8">
      <c r="B193" s="26" t="s">
        <v>9145</v>
      </c>
    </row>
    <row r="194" spans="1:8">
      <c r="B194" s="170" t="s">
        <v>3978</v>
      </c>
    </row>
    <row r="195" spans="1:8">
      <c r="A195" s="865" t="s">
        <v>3984</v>
      </c>
      <c r="B195" s="26"/>
    </row>
    <row r="196" spans="1:8" hidden="1">
      <c r="A196" s="865" t="s">
        <v>3984</v>
      </c>
      <c r="B196" s="26" t="s">
        <v>6878</v>
      </c>
      <c r="E196" s="78" t="s">
        <v>1697</v>
      </c>
      <c r="F196" s="26">
        <v>0.72</v>
      </c>
      <c r="G196" s="26" t="s">
        <v>2602</v>
      </c>
    </row>
    <row r="197" spans="1:8" hidden="1">
      <c r="B197" s="26" t="s">
        <v>5852</v>
      </c>
    </row>
    <row r="198" spans="1:8" hidden="1">
      <c r="B198" s="26" t="s">
        <v>1720</v>
      </c>
      <c r="E198" s="78" t="s">
        <v>1697</v>
      </c>
      <c r="F198" s="26">
        <v>8</v>
      </c>
      <c r="G198" s="26" t="s">
        <v>2059</v>
      </c>
    </row>
    <row r="199" spans="1:8" hidden="1">
      <c r="B199" s="26" t="s">
        <v>4800</v>
      </c>
    </row>
    <row r="200" spans="1:8">
      <c r="A200" s="822"/>
    </row>
    <row r="201" spans="1:8">
      <c r="A201" s="822"/>
      <c r="C201" s="203" t="s">
        <v>2367</v>
      </c>
      <c r="D201" s="171"/>
      <c r="F201" s="171" t="s">
        <v>297</v>
      </c>
      <c r="G201" s="162">
        <v>8</v>
      </c>
      <c r="H201" s="26" t="s">
        <v>4041</v>
      </c>
    </row>
    <row r="202" spans="1:8">
      <c r="A202" s="822"/>
    </row>
    <row r="203" spans="1:8">
      <c r="A203" s="822"/>
      <c r="B203" s="79" t="s">
        <v>2368</v>
      </c>
    </row>
    <row r="204" spans="1:8">
      <c r="A204" s="822"/>
      <c r="B204" s="95" t="s">
        <v>2369</v>
      </c>
      <c r="C204" s="157" t="s">
        <v>6374</v>
      </c>
      <c r="D204" s="195"/>
      <c r="E204" s="95" t="s">
        <v>2370</v>
      </c>
      <c r="F204" s="95" t="s">
        <v>1166</v>
      </c>
      <c r="G204" s="95" t="s">
        <v>2371</v>
      </c>
      <c r="H204" s="95" t="s">
        <v>2372</v>
      </c>
    </row>
    <row r="205" spans="1:8">
      <c r="A205" s="822"/>
      <c r="B205" s="114"/>
      <c r="C205" s="154"/>
      <c r="D205" s="192"/>
      <c r="E205" s="114"/>
      <c r="F205" s="114"/>
      <c r="G205" s="114" t="s">
        <v>3485</v>
      </c>
      <c r="H205" s="114" t="s">
        <v>3485</v>
      </c>
    </row>
    <row r="206" spans="1:8">
      <c r="A206" s="822"/>
      <c r="B206" s="95">
        <v>1</v>
      </c>
      <c r="C206" s="157" t="s">
        <v>6976</v>
      </c>
      <c r="D206" s="195"/>
      <c r="E206" s="107"/>
      <c r="F206" s="179">
        <v>0</v>
      </c>
      <c r="G206" s="179">
        <v>0</v>
      </c>
      <c r="H206" s="179">
        <f>F206*G206</f>
        <v>0</v>
      </c>
    </row>
    <row r="207" spans="1:8">
      <c r="A207" s="822"/>
      <c r="B207" s="114"/>
      <c r="C207" s="154"/>
      <c r="D207" s="192"/>
      <c r="E207" s="191"/>
      <c r="F207" s="182">
        <v>0</v>
      </c>
      <c r="G207" s="182">
        <v>0</v>
      </c>
      <c r="H207" s="182">
        <f>F207*G207</f>
        <v>0</v>
      </c>
    </row>
    <row r="208" spans="1:8">
      <c r="A208" s="822"/>
      <c r="B208" s="176"/>
      <c r="C208" s="174"/>
      <c r="D208" s="174" t="s">
        <v>2376</v>
      </c>
      <c r="E208" s="174"/>
      <c r="F208" s="192"/>
      <c r="G208" s="275" t="s">
        <v>1698</v>
      </c>
      <c r="H208" s="318">
        <f>SUM(H206:H207)</f>
        <v>0</v>
      </c>
    </row>
    <row r="209" spans="1:8">
      <c r="A209" s="822"/>
    </row>
    <row r="210" spans="1:8">
      <c r="A210" s="822"/>
      <c r="B210" s="79" t="s">
        <v>2377</v>
      </c>
    </row>
    <row r="211" spans="1:8">
      <c r="A211" s="822"/>
      <c r="B211" s="95" t="s">
        <v>2369</v>
      </c>
      <c r="C211" s="157" t="s">
        <v>2378</v>
      </c>
      <c r="D211" s="195"/>
      <c r="E211" s="95" t="s">
        <v>2370</v>
      </c>
      <c r="F211" s="95" t="s">
        <v>1166</v>
      </c>
      <c r="G211" s="95" t="s">
        <v>2371</v>
      </c>
      <c r="H211" s="95" t="s">
        <v>2372</v>
      </c>
    </row>
    <row r="212" spans="1:8">
      <c r="A212" s="822"/>
      <c r="B212" s="114"/>
      <c r="C212" s="154"/>
      <c r="D212" s="192"/>
      <c r="E212" s="114"/>
      <c r="F212" s="114"/>
      <c r="G212" s="114" t="s">
        <v>3485</v>
      </c>
      <c r="H212" s="114" t="s">
        <v>3485</v>
      </c>
    </row>
    <row r="213" spans="1:8">
      <c r="A213" s="822"/>
      <c r="B213" s="95">
        <v>1</v>
      </c>
      <c r="C213" s="157" t="s">
        <v>6976</v>
      </c>
      <c r="D213" s="195"/>
      <c r="E213" s="107"/>
      <c r="F213" s="179">
        <v>0</v>
      </c>
      <c r="G213" s="179">
        <v>0</v>
      </c>
      <c r="H213" s="179">
        <f>F213*G213</f>
        <v>0</v>
      </c>
    </row>
    <row r="214" spans="1:8">
      <c r="A214" s="822"/>
      <c r="B214" s="114"/>
      <c r="C214" s="154"/>
      <c r="D214" s="192"/>
      <c r="E214" s="191"/>
      <c r="F214" s="182">
        <v>0</v>
      </c>
      <c r="G214" s="182">
        <v>0</v>
      </c>
      <c r="H214" s="182">
        <f>F214*G214</f>
        <v>0</v>
      </c>
    </row>
    <row r="215" spans="1:8">
      <c r="A215" s="822"/>
      <c r="B215" s="176"/>
      <c r="C215" s="174"/>
      <c r="D215" s="174" t="s">
        <v>2380</v>
      </c>
      <c r="E215" s="174"/>
      <c r="F215" s="192"/>
      <c r="G215" s="275" t="s">
        <v>1698</v>
      </c>
      <c r="H215" s="318">
        <f>SUM(H213:H214)</f>
        <v>0</v>
      </c>
    </row>
    <row r="216" spans="1:8">
      <c r="A216" s="822"/>
    </row>
    <row r="217" spans="1:8">
      <c r="A217" s="822"/>
      <c r="B217" s="79" t="s">
        <v>2381</v>
      </c>
    </row>
    <row r="218" spans="1:8">
      <c r="A218" s="822"/>
      <c r="B218" s="95" t="s">
        <v>2369</v>
      </c>
      <c r="C218" s="157" t="s">
        <v>2378</v>
      </c>
      <c r="D218" s="195"/>
      <c r="E218" s="95" t="s">
        <v>2370</v>
      </c>
      <c r="F218" s="95" t="s">
        <v>1166</v>
      </c>
      <c r="G218" s="95" t="s">
        <v>2371</v>
      </c>
      <c r="H218" s="95" t="s">
        <v>2372</v>
      </c>
    </row>
    <row r="219" spans="1:8">
      <c r="A219" s="822"/>
      <c r="B219" s="114"/>
      <c r="C219" s="154"/>
      <c r="D219" s="192"/>
      <c r="E219" s="114"/>
      <c r="F219" s="114"/>
      <c r="G219" s="114" t="s">
        <v>3485</v>
      </c>
      <c r="H219" s="114" t="s">
        <v>3485</v>
      </c>
    </row>
    <row r="220" spans="1:8">
      <c r="A220" s="822"/>
      <c r="B220" s="95">
        <v>1</v>
      </c>
      <c r="C220" s="148" t="s">
        <v>4206</v>
      </c>
      <c r="D220" s="195"/>
      <c r="E220" s="107" t="s">
        <v>1172</v>
      </c>
      <c r="F220" s="179">
        <v>0.25</v>
      </c>
      <c r="G220" s="179">
        <f>'BASIC DATA'!C473</f>
        <v>450</v>
      </c>
      <c r="H220" s="179">
        <f>F220*G220</f>
        <v>112.5</v>
      </c>
    </row>
    <row r="221" spans="1:8">
      <c r="A221" s="822"/>
      <c r="B221" s="114">
        <v>2</v>
      </c>
      <c r="C221" s="89" t="s">
        <v>2697</v>
      </c>
      <c r="D221" s="192"/>
      <c r="E221" s="191" t="s">
        <v>1172</v>
      </c>
      <c r="F221" s="182">
        <v>2</v>
      </c>
      <c r="G221" s="190">
        <f>'BASIC DATA'!C552</f>
        <v>350</v>
      </c>
      <c r="H221" s="190">
        <f>F221*G221</f>
        <v>700</v>
      </c>
    </row>
    <row r="222" spans="1:8">
      <c r="A222" s="822"/>
      <c r="B222" s="176"/>
      <c r="C222" s="174"/>
      <c r="D222" s="174" t="s">
        <v>1174</v>
      </c>
      <c r="E222" s="174"/>
      <c r="F222" s="192"/>
      <c r="G222" s="236" t="s">
        <v>1698</v>
      </c>
      <c r="H222" s="318">
        <f>SUM(H220:H221)</f>
        <v>812.5</v>
      </c>
    </row>
    <row r="223" spans="1:8">
      <c r="A223" s="822"/>
      <c r="B223" s="60" t="s">
        <v>5948</v>
      </c>
      <c r="D223" s="31"/>
      <c r="E223" s="85">
        <f>H222/G201</f>
        <v>101.5625</v>
      </c>
      <c r="G223" s="31"/>
    </row>
    <row r="224" spans="1:8">
      <c r="A224" s="822"/>
      <c r="B224" s="60" t="s">
        <v>3163</v>
      </c>
      <c r="D224" s="922">
        <f>'BASIC DATA'!$C$577</f>
        <v>0.13614999999999999</v>
      </c>
      <c r="E224" s="85">
        <f>E223*D224</f>
        <v>13.827734374999999</v>
      </c>
      <c r="G224" s="31"/>
    </row>
    <row r="225" spans="1:7">
      <c r="A225" s="822"/>
      <c r="B225" s="60" t="s">
        <v>5949</v>
      </c>
      <c r="D225" s="31"/>
      <c r="E225" s="739">
        <f>ROUND(E224+E223,1)</f>
        <v>115.4</v>
      </c>
      <c r="G225" s="31"/>
    </row>
    <row r="226" spans="1:7">
      <c r="A226" s="822"/>
      <c r="B226" s="26"/>
    </row>
    <row r="227" spans="1:7">
      <c r="A227" s="822"/>
      <c r="B227" s="170" t="s">
        <v>1175</v>
      </c>
    </row>
    <row r="228" spans="1:7">
      <c r="A228" s="822"/>
      <c r="B228" s="26" t="s">
        <v>1176</v>
      </c>
      <c r="F228" s="171" t="s">
        <v>1698</v>
      </c>
      <c r="G228" s="68">
        <f>H208</f>
        <v>0</v>
      </c>
    </row>
    <row r="229" spans="1:7">
      <c r="A229" s="822"/>
      <c r="B229" s="26" t="s">
        <v>1186</v>
      </c>
      <c r="F229" s="171" t="s">
        <v>1698</v>
      </c>
      <c r="G229" s="68">
        <f>H215</f>
        <v>0</v>
      </c>
    </row>
    <row r="230" spans="1:7">
      <c r="A230" s="822"/>
      <c r="B230" s="26" t="s">
        <v>2660</v>
      </c>
      <c r="F230" s="171" t="s">
        <v>1698</v>
      </c>
      <c r="G230" s="75">
        <f>H222</f>
        <v>812.5</v>
      </c>
    </row>
    <row r="231" spans="1:7">
      <c r="A231" s="822"/>
      <c r="E231" s="26" t="s">
        <v>1518</v>
      </c>
      <c r="F231" s="171" t="s">
        <v>1698</v>
      </c>
      <c r="G231" s="205">
        <f>SUM(G228:G230)</f>
        <v>812.5</v>
      </c>
    </row>
    <row r="232" spans="1:7" ht="39" customHeight="1">
      <c r="A232" s="822"/>
      <c r="B232" s="1207" t="s">
        <v>1379</v>
      </c>
      <c r="C232" s="1207"/>
      <c r="E232" s="922">
        <f>'BASIC DATA'!$C$577</f>
        <v>0.13614999999999999</v>
      </c>
      <c r="F232" s="26" t="s">
        <v>1698</v>
      </c>
      <c r="G232" s="26">
        <f>G231*E232</f>
        <v>110.62187499999999</v>
      </c>
    </row>
    <row r="233" spans="1:7">
      <c r="A233" s="822"/>
      <c r="B233" s="26" t="s">
        <v>1191</v>
      </c>
      <c r="D233" s="68">
        <f>G201</f>
        <v>8</v>
      </c>
      <c r="E233" s="68" t="str">
        <f>H201</f>
        <v>Nos.</v>
      </c>
      <c r="F233" s="26" t="s">
        <v>1698</v>
      </c>
      <c r="G233" s="211">
        <f>ROUND(G232+G231,1)</f>
        <v>923.1</v>
      </c>
    </row>
    <row r="234" spans="1:7">
      <c r="A234" s="822"/>
      <c r="B234" s="170" t="s">
        <v>1584</v>
      </c>
      <c r="C234" s="211" t="s">
        <v>4935</v>
      </c>
      <c r="D234" s="26" t="s">
        <v>4718</v>
      </c>
      <c r="F234" s="26" t="s">
        <v>4108</v>
      </c>
      <c r="G234" s="211">
        <f>ROUND(G233/D233,1)</f>
        <v>115.4</v>
      </c>
    </row>
    <row r="235" spans="1:7">
      <c r="A235" s="822"/>
    </row>
    <row r="236" spans="1:7">
      <c r="A236" s="822"/>
    </row>
    <row r="237" spans="1:7">
      <c r="A237" s="865" t="s">
        <v>7194</v>
      </c>
      <c r="B237" s="170" t="s">
        <v>9138</v>
      </c>
    </row>
    <row r="238" spans="1:7">
      <c r="B238" s="26" t="s">
        <v>9146</v>
      </c>
    </row>
    <row r="239" spans="1:7">
      <c r="B239" s="170" t="s">
        <v>9147</v>
      </c>
    </row>
    <row r="240" spans="1:7">
      <c r="A240" s="822"/>
      <c r="B240" s="26"/>
    </row>
    <row r="241" spans="1:8" hidden="1">
      <c r="A241" s="865" t="s">
        <v>3984</v>
      </c>
      <c r="B241" s="26" t="s">
        <v>6879</v>
      </c>
      <c r="E241" s="78" t="s">
        <v>1697</v>
      </c>
      <c r="F241" s="26">
        <v>1.3</v>
      </c>
      <c r="G241" s="26" t="s">
        <v>2602</v>
      </c>
    </row>
    <row r="242" spans="1:8" hidden="1">
      <c r="B242" s="26" t="s">
        <v>5852</v>
      </c>
    </row>
    <row r="243" spans="1:8" hidden="1">
      <c r="B243" s="26" t="s">
        <v>1721</v>
      </c>
      <c r="E243" s="78" t="s">
        <v>1697</v>
      </c>
      <c r="F243" s="26">
        <v>5</v>
      </c>
      <c r="G243" s="26" t="s">
        <v>2059</v>
      </c>
    </row>
    <row r="244" spans="1:8" hidden="1">
      <c r="B244" s="26" t="s">
        <v>4801</v>
      </c>
    </row>
    <row r="245" spans="1:8">
      <c r="A245" s="822"/>
    </row>
    <row r="246" spans="1:8">
      <c r="A246" s="865" t="s">
        <v>3984</v>
      </c>
      <c r="C246" s="203" t="s">
        <v>2367</v>
      </c>
      <c r="D246" s="171"/>
      <c r="F246" s="171" t="s">
        <v>297</v>
      </c>
      <c r="G246" s="162">
        <v>5</v>
      </c>
      <c r="H246" s="26" t="s">
        <v>4041</v>
      </c>
    </row>
    <row r="247" spans="1:8">
      <c r="A247" s="822"/>
    </row>
    <row r="248" spans="1:8">
      <c r="A248" s="822"/>
      <c r="B248" s="79" t="s">
        <v>2368</v>
      </c>
    </row>
    <row r="249" spans="1:8">
      <c r="A249" s="822"/>
      <c r="B249" s="95" t="s">
        <v>2369</v>
      </c>
      <c r="C249" s="157" t="s">
        <v>6374</v>
      </c>
      <c r="D249" s="195"/>
      <c r="E249" s="95" t="s">
        <v>2370</v>
      </c>
      <c r="F249" s="95" t="s">
        <v>1166</v>
      </c>
      <c r="G249" s="95" t="s">
        <v>2371</v>
      </c>
      <c r="H249" s="95" t="s">
        <v>2372</v>
      </c>
    </row>
    <row r="250" spans="1:8">
      <c r="A250" s="822"/>
      <c r="B250" s="114"/>
      <c r="C250" s="154"/>
      <c r="D250" s="192"/>
      <c r="E250" s="114"/>
      <c r="F250" s="114"/>
      <c r="G250" s="114" t="s">
        <v>3485</v>
      </c>
      <c r="H250" s="114" t="s">
        <v>3485</v>
      </c>
    </row>
    <row r="251" spans="1:8">
      <c r="A251" s="822"/>
      <c r="B251" s="95">
        <v>1</v>
      </c>
      <c r="C251" s="157" t="s">
        <v>6976</v>
      </c>
      <c r="D251" s="195"/>
      <c r="E251" s="107"/>
      <c r="F251" s="179">
        <v>0</v>
      </c>
      <c r="G251" s="179">
        <v>0</v>
      </c>
      <c r="H251" s="179">
        <f>F251*G251</f>
        <v>0</v>
      </c>
    </row>
    <row r="252" spans="1:8">
      <c r="A252" s="822"/>
      <c r="B252" s="114"/>
      <c r="C252" s="154"/>
      <c r="D252" s="192"/>
      <c r="E252" s="191"/>
      <c r="F252" s="182">
        <v>0</v>
      </c>
      <c r="G252" s="182">
        <v>0</v>
      </c>
      <c r="H252" s="182">
        <f>F252*G252</f>
        <v>0</v>
      </c>
    </row>
    <row r="253" spans="1:8">
      <c r="A253" s="822"/>
      <c r="B253" s="176"/>
      <c r="C253" s="174"/>
      <c r="D253" s="174" t="s">
        <v>2376</v>
      </c>
      <c r="E253" s="174"/>
      <c r="F253" s="192"/>
      <c r="G253" s="275" t="s">
        <v>1698</v>
      </c>
      <c r="H253" s="318">
        <f>SUM(H251:H252)</f>
        <v>0</v>
      </c>
    </row>
    <row r="254" spans="1:8">
      <c r="A254" s="822"/>
    </row>
    <row r="255" spans="1:8">
      <c r="A255" s="822"/>
      <c r="B255" s="79" t="s">
        <v>2377</v>
      </c>
    </row>
    <row r="256" spans="1:8">
      <c r="A256" s="822"/>
      <c r="B256" s="95" t="s">
        <v>2369</v>
      </c>
      <c r="C256" s="157" t="s">
        <v>2378</v>
      </c>
      <c r="D256" s="195"/>
      <c r="E256" s="95" t="s">
        <v>2370</v>
      </c>
      <c r="F256" s="95" t="s">
        <v>1166</v>
      </c>
      <c r="G256" s="95" t="s">
        <v>2371</v>
      </c>
      <c r="H256" s="95" t="s">
        <v>2372</v>
      </c>
    </row>
    <row r="257" spans="1:8">
      <c r="A257" s="822"/>
      <c r="B257" s="114"/>
      <c r="C257" s="154"/>
      <c r="D257" s="192"/>
      <c r="E257" s="114"/>
      <c r="F257" s="114"/>
      <c r="G257" s="114" t="s">
        <v>3485</v>
      </c>
      <c r="H257" s="114" t="s">
        <v>3485</v>
      </c>
    </row>
    <row r="258" spans="1:8">
      <c r="A258" s="822"/>
      <c r="B258" s="95">
        <v>1</v>
      </c>
      <c r="C258" s="157" t="s">
        <v>6976</v>
      </c>
      <c r="D258" s="195"/>
      <c r="E258" s="107"/>
      <c r="F258" s="179">
        <v>0</v>
      </c>
      <c r="G258" s="179">
        <v>0</v>
      </c>
      <c r="H258" s="179">
        <f>F258*G258</f>
        <v>0</v>
      </c>
    </row>
    <row r="259" spans="1:8">
      <c r="A259" s="822"/>
      <c r="B259" s="114"/>
      <c r="C259" s="154"/>
      <c r="D259" s="192"/>
      <c r="E259" s="191"/>
      <c r="F259" s="182">
        <v>0</v>
      </c>
      <c r="G259" s="182">
        <v>0</v>
      </c>
      <c r="H259" s="182">
        <f>F259*G259</f>
        <v>0</v>
      </c>
    </row>
    <row r="260" spans="1:8">
      <c r="A260" s="822"/>
      <c r="B260" s="176"/>
      <c r="C260" s="174"/>
      <c r="D260" s="174" t="s">
        <v>2380</v>
      </c>
      <c r="E260" s="174"/>
      <c r="F260" s="192"/>
      <c r="G260" s="236" t="s">
        <v>1698</v>
      </c>
      <c r="H260" s="318">
        <f>SUM(H258:H259)</f>
        <v>0</v>
      </c>
    </row>
    <row r="261" spans="1:8">
      <c r="A261" s="822"/>
    </row>
    <row r="262" spans="1:8">
      <c r="A262" s="822"/>
      <c r="B262" s="79" t="s">
        <v>2381</v>
      </c>
    </row>
    <row r="263" spans="1:8">
      <c r="A263" s="822"/>
      <c r="B263" s="95" t="s">
        <v>2369</v>
      </c>
      <c r="C263" s="157" t="s">
        <v>2378</v>
      </c>
      <c r="D263" s="195"/>
      <c r="E263" s="95" t="s">
        <v>2370</v>
      </c>
      <c r="F263" s="95" t="s">
        <v>1166</v>
      </c>
      <c r="G263" s="95" t="s">
        <v>2371</v>
      </c>
      <c r="H263" s="95" t="s">
        <v>2372</v>
      </c>
    </row>
    <row r="264" spans="1:8">
      <c r="A264" s="822"/>
      <c r="B264" s="114"/>
      <c r="C264" s="154"/>
      <c r="D264" s="192"/>
      <c r="E264" s="114"/>
      <c r="F264" s="114"/>
      <c r="G264" s="114" t="s">
        <v>3485</v>
      </c>
      <c r="H264" s="114" t="s">
        <v>3485</v>
      </c>
    </row>
    <row r="265" spans="1:8">
      <c r="A265" s="822"/>
      <c r="B265" s="95">
        <v>1</v>
      </c>
      <c r="C265" s="148" t="s">
        <v>4206</v>
      </c>
      <c r="D265" s="195"/>
      <c r="E265" s="107" t="s">
        <v>1172</v>
      </c>
      <c r="F265" s="179">
        <v>0.5</v>
      </c>
      <c r="G265" s="179">
        <f>'BASIC DATA'!C473</f>
        <v>450</v>
      </c>
      <c r="H265" s="179">
        <f>F265*G265</f>
        <v>225</v>
      </c>
    </row>
    <row r="266" spans="1:8">
      <c r="A266" s="822"/>
      <c r="B266" s="114">
        <v>2</v>
      </c>
      <c r="C266" s="89" t="s">
        <v>2697</v>
      </c>
      <c r="D266" s="192"/>
      <c r="E266" s="191" t="s">
        <v>1172</v>
      </c>
      <c r="F266" s="182">
        <v>4</v>
      </c>
      <c r="G266" s="182">
        <f>'BASIC DATA'!C552</f>
        <v>350</v>
      </c>
      <c r="H266" s="190">
        <f>F266*G266</f>
        <v>1400</v>
      </c>
    </row>
    <row r="267" spans="1:8">
      <c r="A267" s="822"/>
      <c r="B267" s="176"/>
      <c r="C267" s="174"/>
      <c r="D267" s="174" t="s">
        <v>1174</v>
      </c>
      <c r="E267" s="174"/>
      <c r="F267" s="192"/>
      <c r="G267" s="275" t="s">
        <v>1698</v>
      </c>
      <c r="H267" s="318">
        <f>SUM(H265:H266)</f>
        <v>1625</v>
      </c>
    </row>
    <row r="268" spans="1:8">
      <c r="A268" s="822"/>
      <c r="B268" s="60" t="s">
        <v>5948</v>
      </c>
      <c r="C268" s="31"/>
      <c r="D268" s="31"/>
      <c r="E268" s="85">
        <f>ROUND(H267/G246,1)</f>
        <v>325</v>
      </c>
      <c r="G268" s="31"/>
    </row>
    <row r="269" spans="1:8">
      <c r="A269" s="822"/>
      <c r="B269" s="60" t="s">
        <v>3163</v>
      </c>
      <c r="C269" s="31"/>
      <c r="D269" s="922">
        <f>'BASIC DATA'!$C$577</f>
        <v>0.13614999999999999</v>
      </c>
      <c r="E269" s="85">
        <f>ROUND(E268*D269,1)</f>
        <v>44.2</v>
      </c>
      <c r="G269" s="31"/>
    </row>
    <row r="270" spans="1:8">
      <c r="A270" s="822"/>
      <c r="B270" s="60" t="s">
        <v>5949</v>
      </c>
      <c r="C270" s="31"/>
      <c r="D270" s="31"/>
      <c r="E270" s="739">
        <f>E269+E268</f>
        <v>369.2</v>
      </c>
      <c r="G270" s="31"/>
    </row>
    <row r="271" spans="1:8">
      <c r="A271" s="822"/>
      <c r="B271" s="26"/>
    </row>
    <row r="272" spans="1:8">
      <c r="A272" s="822"/>
      <c r="B272" s="170" t="s">
        <v>1175</v>
      </c>
    </row>
    <row r="273" spans="1:8">
      <c r="A273" s="822"/>
      <c r="B273" s="26" t="s">
        <v>1176</v>
      </c>
      <c r="F273" s="171" t="s">
        <v>1698</v>
      </c>
      <c r="G273" s="68">
        <f>H253</f>
        <v>0</v>
      </c>
    </row>
    <row r="274" spans="1:8">
      <c r="A274" s="822"/>
      <c r="B274" s="26" t="s">
        <v>1186</v>
      </c>
      <c r="F274" s="171" t="s">
        <v>1698</v>
      </c>
      <c r="G274" s="68">
        <f>H260</f>
        <v>0</v>
      </c>
    </row>
    <row r="275" spans="1:8">
      <c r="A275" s="822"/>
      <c r="B275" s="26" t="s">
        <v>2660</v>
      </c>
      <c r="F275" s="171" t="s">
        <v>1698</v>
      </c>
      <c r="G275" s="68">
        <f>H267</f>
        <v>1625</v>
      </c>
    </row>
    <row r="276" spans="1:8">
      <c r="A276" s="822"/>
      <c r="E276" s="26" t="s">
        <v>1518</v>
      </c>
      <c r="F276" s="171" t="s">
        <v>1698</v>
      </c>
      <c r="G276" s="205">
        <f>SUM(G273:G275)</f>
        <v>1625</v>
      </c>
    </row>
    <row r="277" spans="1:8" ht="36" customHeight="1">
      <c r="A277" s="822"/>
      <c r="B277" s="1207" t="s">
        <v>1379</v>
      </c>
      <c r="C277" s="1207"/>
      <c r="E277" s="922">
        <f>'BASIC DATA'!$C$577</f>
        <v>0.13614999999999999</v>
      </c>
      <c r="F277" s="26" t="s">
        <v>1698</v>
      </c>
      <c r="G277" s="26">
        <f>G276*E277</f>
        <v>221.24374999999998</v>
      </c>
    </row>
    <row r="278" spans="1:8">
      <c r="A278" s="822"/>
      <c r="B278" s="26" t="s">
        <v>1191</v>
      </c>
      <c r="D278" s="68">
        <f>G246</f>
        <v>5</v>
      </c>
      <c r="E278" s="68" t="str">
        <f>H246</f>
        <v>Nos.</v>
      </c>
      <c r="F278" s="26" t="s">
        <v>1698</v>
      </c>
      <c r="G278" s="211">
        <f>G277+G276</f>
        <v>1846.2437500000001</v>
      </c>
    </row>
    <row r="279" spans="1:8">
      <c r="A279" s="822"/>
      <c r="B279" s="170" t="s">
        <v>1584</v>
      </c>
      <c r="C279" s="211" t="s">
        <v>4935</v>
      </c>
      <c r="D279" s="26" t="s">
        <v>4719</v>
      </c>
      <c r="F279" s="26" t="s">
        <v>4108</v>
      </c>
      <c r="G279" s="211">
        <f>ROUND(G278/D278,1)</f>
        <v>369.2</v>
      </c>
    </row>
    <row r="280" spans="1:8">
      <c r="A280" s="822"/>
    </row>
    <row r="281" spans="1:8">
      <c r="A281" s="822"/>
    </row>
    <row r="282" spans="1:8">
      <c r="A282" s="865" t="s">
        <v>7195</v>
      </c>
      <c r="B282" s="26" t="s">
        <v>9085</v>
      </c>
    </row>
    <row r="283" spans="1:8">
      <c r="B283" s="26" t="s">
        <v>5031</v>
      </c>
    </row>
    <row r="284" spans="1:8">
      <c r="A284" s="822"/>
      <c r="B284" s="26"/>
    </row>
    <row r="285" spans="1:8" hidden="1">
      <c r="A285" s="865" t="s">
        <v>3984</v>
      </c>
      <c r="B285" s="26" t="s">
        <v>5032</v>
      </c>
      <c r="F285" s="78" t="s">
        <v>1697</v>
      </c>
      <c r="G285" s="26">
        <v>1.59</v>
      </c>
      <c r="H285" s="26" t="s">
        <v>2602</v>
      </c>
    </row>
    <row r="286" spans="1:8" hidden="1">
      <c r="B286" s="26" t="s">
        <v>5033</v>
      </c>
      <c r="F286" s="78" t="s">
        <v>1697</v>
      </c>
      <c r="G286" s="26">
        <v>1.75</v>
      </c>
      <c r="H286" s="26" t="s">
        <v>2602</v>
      </c>
    </row>
    <row r="287" spans="1:8" hidden="1">
      <c r="B287" s="26" t="s">
        <v>5852</v>
      </c>
    </row>
    <row r="288" spans="1:8" hidden="1">
      <c r="B288" s="26" t="s">
        <v>3638</v>
      </c>
      <c r="F288" s="78" t="s">
        <v>1697</v>
      </c>
      <c r="G288" s="26">
        <v>1.75</v>
      </c>
      <c r="H288" s="26" t="s">
        <v>3477</v>
      </c>
    </row>
    <row r="289" spans="1:8" hidden="1">
      <c r="B289" s="26" t="s">
        <v>1722</v>
      </c>
      <c r="C289" s="26" t="s">
        <v>4802</v>
      </c>
      <c r="F289" s="78" t="s">
        <v>1697</v>
      </c>
      <c r="G289" s="26">
        <f>1.75*2/4</f>
        <v>0.875</v>
      </c>
      <c r="H289" s="26" t="s">
        <v>4089</v>
      </c>
    </row>
    <row r="290" spans="1:8">
      <c r="A290" s="822"/>
    </row>
    <row r="291" spans="1:8">
      <c r="A291" s="822"/>
    </row>
    <row r="292" spans="1:8">
      <c r="A292" s="865" t="s">
        <v>3984</v>
      </c>
      <c r="C292" s="203" t="s">
        <v>2367</v>
      </c>
      <c r="D292" s="171"/>
      <c r="F292" s="171" t="s">
        <v>297</v>
      </c>
      <c r="G292" s="203">
        <v>7</v>
      </c>
      <c r="H292" s="26" t="s">
        <v>4041</v>
      </c>
    </row>
    <row r="293" spans="1:8">
      <c r="A293" s="822"/>
    </row>
    <row r="294" spans="1:8">
      <c r="A294" s="822"/>
      <c r="B294" s="79" t="s">
        <v>2368</v>
      </c>
    </row>
    <row r="295" spans="1:8">
      <c r="A295" s="822"/>
      <c r="B295" s="95" t="s">
        <v>2369</v>
      </c>
      <c r="C295" s="157" t="s">
        <v>6374</v>
      </c>
      <c r="D295" s="195"/>
      <c r="E295" s="95" t="s">
        <v>2370</v>
      </c>
      <c r="F295" s="95" t="s">
        <v>1166</v>
      </c>
      <c r="G295" s="95" t="s">
        <v>2371</v>
      </c>
      <c r="H295" s="95" t="s">
        <v>2372</v>
      </c>
    </row>
    <row r="296" spans="1:8">
      <c r="A296" s="822"/>
      <c r="B296" s="114"/>
      <c r="C296" s="154"/>
      <c r="D296" s="192"/>
      <c r="E296" s="114"/>
      <c r="F296" s="114"/>
      <c r="G296" s="114" t="s">
        <v>3485</v>
      </c>
      <c r="H296" s="114" t="s">
        <v>3485</v>
      </c>
    </row>
    <row r="297" spans="1:8">
      <c r="A297" s="822"/>
      <c r="B297" s="95">
        <v>1</v>
      </c>
      <c r="C297" s="157" t="s">
        <v>6976</v>
      </c>
      <c r="D297" s="195"/>
      <c r="E297" s="107"/>
      <c r="F297" s="179">
        <v>0</v>
      </c>
      <c r="G297" s="179">
        <v>0</v>
      </c>
      <c r="H297" s="179">
        <f>F297*G297</f>
        <v>0</v>
      </c>
    </row>
    <row r="298" spans="1:8">
      <c r="A298" s="822"/>
      <c r="B298" s="114"/>
      <c r="C298" s="154"/>
      <c r="D298" s="192"/>
      <c r="E298" s="191"/>
      <c r="F298" s="182">
        <v>0</v>
      </c>
      <c r="G298" s="182">
        <v>0</v>
      </c>
      <c r="H298" s="182">
        <f>F298*G298</f>
        <v>0</v>
      </c>
    </row>
    <row r="299" spans="1:8">
      <c r="A299" s="822"/>
      <c r="B299" s="176"/>
      <c r="C299" s="174"/>
      <c r="D299" s="174" t="s">
        <v>2376</v>
      </c>
      <c r="E299" s="174"/>
      <c r="F299" s="192"/>
      <c r="G299" s="275" t="s">
        <v>1698</v>
      </c>
      <c r="H299" s="318">
        <f>SUM(H297:H298)</f>
        <v>0</v>
      </c>
    </row>
    <row r="300" spans="1:8">
      <c r="A300" s="822"/>
    </row>
    <row r="301" spans="1:8">
      <c r="A301" s="822"/>
      <c r="B301" s="79" t="s">
        <v>2377</v>
      </c>
    </row>
    <row r="302" spans="1:8">
      <c r="A302" s="822"/>
      <c r="B302" s="95" t="s">
        <v>2369</v>
      </c>
      <c r="C302" s="157" t="s">
        <v>2378</v>
      </c>
      <c r="D302" s="195"/>
      <c r="E302" s="95" t="s">
        <v>2370</v>
      </c>
      <c r="F302" s="95" t="s">
        <v>1166</v>
      </c>
      <c r="G302" s="95" t="s">
        <v>2371</v>
      </c>
      <c r="H302" s="95" t="s">
        <v>2372</v>
      </c>
    </row>
    <row r="303" spans="1:8">
      <c r="A303" s="822"/>
      <c r="B303" s="114"/>
      <c r="C303" s="154"/>
      <c r="D303" s="192"/>
      <c r="E303" s="114"/>
      <c r="F303" s="114"/>
      <c r="G303" s="114" t="s">
        <v>3485</v>
      </c>
      <c r="H303" s="114" t="s">
        <v>3485</v>
      </c>
    </row>
    <row r="304" spans="1:8">
      <c r="A304" s="822"/>
      <c r="B304" s="95">
        <v>1</v>
      </c>
      <c r="C304" s="157" t="s">
        <v>6976</v>
      </c>
      <c r="D304" s="195"/>
      <c r="E304" s="107"/>
      <c r="F304" s="179">
        <v>0</v>
      </c>
      <c r="G304" s="179">
        <v>0</v>
      </c>
      <c r="H304" s="179">
        <f>F304*G304</f>
        <v>0</v>
      </c>
    </row>
    <row r="305" spans="1:8">
      <c r="A305" s="822"/>
      <c r="B305" s="114"/>
      <c r="C305" s="154"/>
      <c r="D305" s="192"/>
      <c r="E305" s="191"/>
      <c r="F305" s="182">
        <v>0</v>
      </c>
      <c r="G305" s="182">
        <v>0</v>
      </c>
      <c r="H305" s="182">
        <f>F305*G305</f>
        <v>0</v>
      </c>
    </row>
    <row r="306" spans="1:8">
      <c r="A306" s="822"/>
      <c r="B306" s="176"/>
      <c r="C306" s="174"/>
      <c r="D306" s="174" t="s">
        <v>2380</v>
      </c>
      <c r="E306" s="174"/>
      <c r="F306" s="192"/>
      <c r="G306" s="275" t="s">
        <v>1698</v>
      </c>
      <c r="H306" s="318">
        <f>SUM(H304:H305)</f>
        <v>0</v>
      </c>
    </row>
    <row r="307" spans="1:8">
      <c r="A307" s="822"/>
    </row>
    <row r="308" spans="1:8">
      <c r="A308" s="822"/>
      <c r="B308" s="79" t="s">
        <v>2381</v>
      </c>
    </row>
    <row r="309" spans="1:8">
      <c r="A309" s="822"/>
      <c r="B309" s="95" t="s">
        <v>2369</v>
      </c>
      <c r="C309" s="157" t="s">
        <v>2378</v>
      </c>
      <c r="D309" s="195"/>
      <c r="E309" s="95" t="s">
        <v>2370</v>
      </c>
      <c r="F309" s="95" t="s">
        <v>1166</v>
      </c>
      <c r="G309" s="95" t="s">
        <v>2371</v>
      </c>
      <c r="H309" s="95" t="s">
        <v>2372</v>
      </c>
    </row>
    <row r="310" spans="1:8">
      <c r="A310" s="822"/>
      <c r="B310" s="114"/>
      <c r="C310" s="154"/>
      <c r="D310" s="192"/>
      <c r="E310" s="114"/>
      <c r="F310" s="114"/>
      <c r="G310" s="114" t="s">
        <v>3485</v>
      </c>
      <c r="H310" s="114" t="s">
        <v>3485</v>
      </c>
    </row>
    <row r="311" spans="1:8">
      <c r="A311" s="822"/>
      <c r="B311" s="95">
        <v>1</v>
      </c>
      <c r="C311" s="148" t="s">
        <v>4206</v>
      </c>
      <c r="D311" s="195"/>
      <c r="E311" s="107" t="s">
        <v>1172</v>
      </c>
      <c r="F311" s="179">
        <v>0.22</v>
      </c>
      <c r="G311" s="179">
        <f>'BASIC DATA'!C473</f>
        <v>450</v>
      </c>
      <c r="H311" s="179">
        <f>F311*G311</f>
        <v>99</v>
      </c>
    </row>
    <row r="312" spans="1:8">
      <c r="A312" s="822"/>
      <c r="B312" s="114">
        <v>2</v>
      </c>
      <c r="C312" s="89" t="s">
        <v>2697</v>
      </c>
      <c r="D312" s="192"/>
      <c r="E312" s="191" t="s">
        <v>1172</v>
      </c>
      <c r="F312" s="182">
        <f>G289</f>
        <v>0.875</v>
      </c>
      <c r="G312" s="182">
        <f>'BASIC DATA'!C552</f>
        <v>350</v>
      </c>
      <c r="H312" s="190">
        <f>F312*G312</f>
        <v>306.25</v>
      </c>
    </row>
    <row r="313" spans="1:8">
      <c r="A313" s="822"/>
      <c r="B313" s="176"/>
      <c r="C313" s="174"/>
      <c r="D313" s="174" t="s">
        <v>1174</v>
      </c>
      <c r="E313" s="174"/>
      <c r="F313" s="192"/>
      <c r="G313" s="275" t="s">
        <v>1698</v>
      </c>
      <c r="H313" s="318">
        <f>SUM(H311:H312)</f>
        <v>405.25</v>
      </c>
    </row>
    <row r="314" spans="1:8">
      <c r="A314" s="822"/>
      <c r="B314" s="60" t="s">
        <v>5948</v>
      </c>
      <c r="C314" s="31"/>
      <c r="D314" s="31"/>
      <c r="E314" s="85">
        <f>ROUND(H313/G292,1)</f>
        <v>57.9</v>
      </c>
      <c r="G314" s="31"/>
    </row>
    <row r="315" spans="1:8">
      <c r="A315" s="822"/>
      <c r="B315" s="60" t="s">
        <v>3163</v>
      </c>
      <c r="C315" s="31"/>
      <c r="D315" s="922">
        <f>'BASIC DATA'!$C$577</f>
        <v>0.13614999999999999</v>
      </c>
      <c r="E315" s="85">
        <f>ROUND(E314*D315,1)</f>
        <v>7.9</v>
      </c>
      <c r="G315" s="31"/>
    </row>
    <row r="316" spans="1:8">
      <c r="A316" s="822"/>
      <c r="B316" s="60" t="s">
        <v>5949</v>
      </c>
      <c r="C316" s="31"/>
      <c r="D316" s="31"/>
      <c r="E316" s="739">
        <f>E315+E314</f>
        <v>65.8</v>
      </c>
      <c r="G316" s="31"/>
    </row>
    <row r="317" spans="1:8">
      <c r="A317" s="822"/>
      <c r="B317" s="26"/>
    </row>
    <row r="318" spans="1:8">
      <c r="A318" s="822"/>
      <c r="B318" s="170" t="s">
        <v>1175</v>
      </c>
    </row>
    <row r="319" spans="1:8">
      <c r="A319" s="822"/>
      <c r="B319" s="26" t="s">
        <v>1176</v>
      </c>
      <c r="F319" s="171" t="s">
        <v>1698</v>
      </c>
      <c r="G319" s="68">
        <f>H299</f>
        <v>0</v>
      </c>
    </row>
    <row r="320" spans="1:8">
      <c r="A320" s="822"/>
      <c r="B320" s="26" t="s">
        <v>1186</v>
      </c>
      <c r="F320" s="171" t="s">
        <v>1698</v>
      </c>
      <c r="G320" s="68">
        <f>H306</f>
        <v>0</v>
      </c>
    </row>
    <row r="321" spans="1:8">
      <c r="A321" s="822"/>
      <c r="B321" s="26" t="s">
        <v>2660</v>
      </c>
      <c r="F321" s="171" t="s">
        <v>1698</v>
      </c>
      <c r="G321" s="75">
        <f>H313</f>
        <v>405.25</v>
      </c>
    </row>
    <row r="322" spans="1:8">
      <c r="A322" s="822"/>
      <c r="E322" s="26" t="s">
        <v>1518</v>
      </c>
      <c r="F322" s="171" t="s">
        <v>1698</v>
      </c>
      <c r="G322" s="205">
        <f>SUM(G319:G321)</f>
        <v>405.25</v>
      </c>
    </row>
    <row r="323" spans="1:8" ht="39.75" customHeight="1">
      <c r="A323" s="822"/>
      <c r="B323" s="1207" t="s">
        <v>1379</v>
      </c>
      <c r="C323" s="1207"/>
      <c r="E323" s="922">
        <f>'BASIC DATA'!$C$577</f>
        <v>0.13614999999999999</v>
      </c>
      <c r="F323" s="26" t="s">
        <v>1698</v>
      </c>
      <c r="G323" s="26">
        <f>G322*E323</f>
        <v>55.174787500000001</v>
      </c>
    </row>
    <row r="324" spans="1:8">
      <c r="A324" s="822"/>
      <c r="B324" s="26" t="s">
        <v>1191</v>
      </c>
      <c r="D324" s="68">
        <f>G292</f>
        <v>7</v>
      </c>
      <c r="E324" s="68" t="str">
        <f>H292</f>
        <v>Nos.</v>
      </c>
      <c r="F324" s="26" t="s">
        <v>1698</v>
      </c>
      <c r="G324" s="211">
        <f>G323+G322</f>
        <v>460.42478749999998</v>
      </c>
    </row>
    <row r="325" spans="1:8">
      <c r="A325" s="822"/>
      <c r="B325" s="170" t="s">
        <v>1584</v>
      </c>
      <c r="C325" s="211" t="s">
        <v>4935</v>
      </c>
      <c r="D325" s="26" t="s">
        <v>4720</v>
      </c>
      <c r="F325" s="26" t="s">
        <v>4108</v>
      </c>
      <c r="G325" s="211">
        <f>ROUND(G324/D324,1)</f>
        <v>65.8</v>
      </c>
    </row>
    <row r="326" spans="1:8">
      <c r="A326" s="822"/>
    </row>
    <row r="327" spans="1:8">
      <c r="A327" s="822"/>
    </row>
    <row r="328" spans="1:8">
      <c r="A328" s="865" t="s">
        <v>7196</v>
      </c>
      <c r="B328" s="26" t="s">
        <v>9086</v>
      </c>
    </row>
    <row r="329" spans="1:8">
      <c r="B329" s="170" t="s">
        <v>3639</v>
      </c>
    </row>
    <row r="330" spans="1:8">
      <c r="B330" s="26"/>
    </row>
    <row r="331" spans="1:8" hidden="1">
      <c r="A331" s="865" t="s">
        <v>3984</v>
      </c>
      <c r="B331" s="26" t="s">
        <v>4745</v>
      </c>
      <c r="F331" s="78" t="s">
        <v>1697</v>
      </c>
      <c r="G331" s="26">
        <v>150</v>
      </c>
      <c r="H331" s="26" t="s">
        <v>2059</v>
      </c>
    </row>
    <row r="332" spans="1:8">
      <c r="A332" s="822"/>
    </row>
    <row r="333" spans="1:8">
      <c r="A333" s="822" t="s">
        <v>3984</v>
      </c>
      <c r="C333" s="203" t="s">
        <v>2367</v>
      </c>
      <c r="D333" s="171"/>
      <c r="F333" s="171" t="s">
        <v>297</v>
      </c>
      <c r="G333" s="162">
        <v>150</v>
      </c>
      <c r="H333" s="26" t="s">
        <v>4041</v>
      </c>
    </row>
    <row r="334" spans="1:8">
      <c r="A334" s="822"/>
    </row>
    <row r="335" spans="1:8">
      <c r="A335" s="822"/>
      <c r="B335" s="79" t="s">
        <v>2368</v>
      </c>
    </row>
    <row r="336" spans="1:8">
      <c r="A336" s="822"/>
      <c r="B336" s="95" t="s">
        <v>2369</v>
      </c>
      <c r="C336" s="157" t="s">
        <v>6374</v>
      </c>
      <c r="D336" s="195"/>
      <c r="E336" s="95" t="s">
        <v>2370</v>
      </c>
      <c r="F336" s="95" t="s">
        <v>1166</v>
      </c>
      <c r="G336" s="95" t="s">
        <v>2371</v>
      </c>
      <c r="H336" s="95" t="s">
        <v>2372</v>
      </c>
    </row>
    <row r="337" spans="1:8">
      <c r="A337" s="822"/>
      <c r="B337" s="114"/>
      <c r="C337" s="154"/>
      <c r="D337" s="192"/>
      <c r="E337" s="114"/>
      <c r="F337" s="114"/>
      <c r="G337" s="114" t="s">
        <v>3485</v>
      </c>
      <c r="H337" s="114" t="s">
        <v>3485</v>
      </c>
    </row>
    <row r="338" spans="1:8">
      <c r="A338" s="822"/>
      <c r="B338" s="95">
        <v>1</v>
      </c>
      <c r="C338" s="157" t="s">
        <v>6976</v>
      </c>
      <c r="D338" s="195"/>
      <c r="E338" s="107"/>
      <c r="F338" s="179">
        <v>0</v>
      </c>
      <c r="G338" s="179">
        <v>0</v>
      </c>
      <c r="H338" s="179">
        <f>F338*G338</f>
        <v>0</v>
      </c>
    </row>
    <row r="339" spans="1:8">
      <c r="A339" s="822"/>
      <c r="B339" s="114"/>
      <c r="C339" s="154"/>
      <c r="D339" s="192"/>
      <c r="E339" s="191"/>
      <c r="F339" s="182">
        <v>0</v>
      </c>
      <c r="G339" s="182">
        <v>0</v>
      </c>
      <c r="H339" s="182">
        <f>F339*G339</f>
        <v>0</v>
      </c>
    </row>
    <row r="340" spans="1:8">
      <c r="A340" s="822"/>
      <c r="B340" s="176"/>
      <c r="C340" s="174"/>
      <c r="D340" s="174" t="s">
        <v>2376</v>
      </c>
      <c r="E340" s="174"/>
      <c r="F340" s="192"/>
      <c r="G340" s="275" t="s">
        <v>1698</v>
      </c>
      <c r="H340" s="318">
        <f>SUM(H338:H339)</f>
        <v>0</v>
      </c>
    </row>
    <row r="341" spans="1:8">
      <c r="A341" s="822"/>
    </row>
    <row r="342" spans="1:8">
      <c r="A342" s="822"/>
    </row>
    <row r="343" spans="1:8">
      <c r="A343" s="822"/>
      <c r="B343" s="79" t="s">
        <v>2377</v>
      </c>
    </row>
    <row r="344" spans="1:8">
      <c r="A344" s="822"/>
      <c r="B344" s="95" t="s">
        <v>2369</v>
      </c>
      <c r="C344" s="157" t="s">
        <v>2378</v>
      </c>
      <c r="D344" s="195"/>
      <c r="E344" s="95" t="s">
        <v>2370</v>
      </c>
      <c r="F344" s="95" t="s">
        <v>1166</v>
      </c>
      <c r="G344" s="95" t="s">
        <v>2371</v>
      </c>
      <c r="H344" s="95" t="s">
        <v>2372</v>
      </c>
    </row>
    <row r="345" spans="1:8">
      <c r="A345" s="822"/>
      <c r="B345" s="114"/>
      <c r="C345" s="154"/>
      <c r="D345" s="192"/>
      <c r="E345" s="114"/>
      <c r="F345" s="114"/>
      <c r="G345" s="114" t="s">
        <v>3485</v>
      </c>
      <c r="H345" s="114" t="s">
        <v>3485</v>
      </c>
    </row>
    <row r="346" spans="1:8">
      <c r="A346" s="822"/>
      <c r="B346" s="95">
        <v>1</v>
      </c>
      <c r="C346" s="157" t="s">
        <v>6976</v>
      </c>
      <c r="D346" s="195"/>
      <c r="E346" s="107"/>
      <c r="F346" s="179">
        <v>0</v>
      </c>
      <c r="G346" s="179">
        <v>0</v>
      </c>
      <c r="H346" s="179">
        <f>F346*G346</f>
        <v>0</v>
      </c>
    </row>
    <row r="347" spans="1:8">
      <c r="A347" s="822"/>
      <c r="B347" s="114"/>
      <c r="C347" s="154"/>
      <c r="D347" s="192"/>
      <c r="E347" s="191"/>
      <c r="F347" s="182">
        <v>0</v>
      </c>
      <c r="G347" s="182">
        <v>0</v>
      </c>
      <c r="H347" s="182">
        <f>F347*G347</f>
        <v>0</v>
      </c>
    </row>
    <row r="348" spans="1:8">
      <c r="A348" s="822"/>
      <c r="B348" s="176"/>
      <c r="C348" s="174"/>
      <c r="D348" s="174" t="s">
        <v>2380</v>
      </c>
      <c r="E348" s="174"/>
      <c r="F348" s="192"/>
      <c r="G348" s="275" t="s">
        <v>1698</v>
      </c>
      <c r="H348" s="318">
        <f>SUM(H346:H347)</f>
        <v>0</v>
      </c>
    </row>
    <row r="349" spans="1:8">
      <c r="A349" s="822"/>
    </row>
    <row r="350" spans="1:8">
      <c r="A350" s="822"/>
    </row>
    <row r="351" spans="1:8">
      <c r="A351" s="822"/>
      <c r="B351" s="79" t="s">
        <v>2381</v>
      </c>
    </row>
    <row r="352" spans="1:8">
      <c r="A352" s="822"/>
      <c r="B352" s="95" t="s">
        <v>2369</v>
      </c>
      <c r="C352" s="157" t="s">
        <v>2378</v>
      </c>
      <c r="D352" s="195"/>
      <c r="E352" s="95" t="s">
        <v>2370</v>
      </c>
      <c r="F352" s="95" t="s">
        <v>1166</v>
      </c>
      <c r="G352" s="95" t="s">
        <v>2371</v>
      </c>
      <c r="H352" s="95" t="s">
        <v>2372</v>
      </c>
    </row>
    <row r="353" spans="1:8">
      <c r="A353" s="822"/>
      <c r="B353" s="114"/>
      <c r="C353" s="154"/>
      <c r="D353" s="192"/>
      <c r="E353" s="114"/>
      <c r="F353" s="114"/>
      <c r="G353" s="114" t="s">
        <v>3485</v>
      </c>
      <c r="H353" s="114" t="s">
        <v>3485</v>
      </c>
    </row>
    <row r="354" spans="1:8">
      <c r="A354" s="822"/>
      <c r="B354" s="95">
        <v>1</v>
      </c>
      <c r="C354" s="148" t="s">
        <v>4206</v>
      </c>
      <c r="D354" s="195"/>
      <c r="E354" s="107" t="s">
        <v>1172</v>
      </c>
      <c r="F354" s="179">
        <v>0.5</v>
      </c>
      <c r="G354" s="179">
        <f>'BASIC DATA'!C473</f>
        <v>450</v>
      </c>
      <c r="H354" s="179">
        <f>F354*G354</f>
        <v>225</v>
      </c>
    </row>
    <row r="355" spans="1:8">
      <c r="A355" s="822"/>
      <c r="B355" s="114">
        <v>2</v>
      </c>
      <c r="C355" s="89" t="s">
        <v>2697</v>
      </c>
      <c r="D355" s="192"/>
      <c r="E355" s="191" t="s">
        <v>1172</v>
      </c>
      <c r="F355" s="182">
        <v>5</v>
      </c>
      <c r="G355" s="182">
        <f>'BASIC DATA'!C552</f>
        <v>350</v>
      </c>
      <c r="H355" s="182">
        <f>F355*G355</f>
        <v>1750</v>
      </c>
    </row>
    <row r="356" spans="1:8">
      <c r="A356" s="822"/>
      <c r="B356" s="176"/>
      <c r="C356" s="174"/>
      <c r="D356" s="174" t="s">
        <v>1174</v>
      </c>
      <c r="E356" s="174"/>
      <c r="F356" s="192"/>
      <c r="G356" s="275" t="s">
        <v>1698</v>
      </c>
      <c r="H356" s="318">
        <f>SUM(H354:H355)</f>
        <v>1975</v>
      </c>
    </row>
    <row r="357" spans="1:8">
      <c r="A357" s="822"/>
      <c r="B357" s="60" t="s">
        <v>5948</v>
      </c>
      <c r="C357" s="31"/>
      <c r="D357" s="31"/>
      <c r="E357" s="85">
        <f>H356/G333</f>
        <v>13.166666666666666</v>
      </c>
      <c r="G357" s="31"/>
    </row>
    <row r="358" spans="1:8">
      <c r="A358" s="822"/>
      <c r="B358" s="60" t="s">
        <v>3163</v>
      </c>
      <c r="C358" s="31"/>
      <c r="D358" s="922">
        <f>'BASIC DATA'!$C$577</f>
        <v>0.13614999999999999</v>
      </c>
      <c r="E358" s="85">
        <f>E357*D358</f>
        <v>1.7926416666666665</v>
      </c>
      <c r="G358" s="31"/>
    </row>
    <row r="359" spans="1:8">
      <c r="A359" s="822"/>
      <c r="B359" s="60" t="s">
        <v>5949</v>
      </c>
      <c r="C359" s="31"/>
      <c r="D359" s="31"/>
      <c r="E359" s="739">
        <f>ROUND(E358+E357,1)</f>
        <v>15</v>
      </c>
      <c r="G359" s="31"/>
    </row>
    <row r="360" spans="1:8">
      <c r="A360" s="822"/>
      <c r="B360" s="26"/>
    </row>
    <row r="361" spans="1:8">
      <c r="A361" s="822"/>
      <c r="B361" s="170" t="s">
        <v>1175</v>
      </c>
    </row>
    <row r="362" spans="1:8">
      <c r="A362" s="822"/>
      <c r="B362" s="26" t="s">
        <v>1176</v>
      </c>
      <c r="F362" s="171" t="s">
        <v>1698</v>
      </c>
      <c r="G362" s="68">
        <f>H340</f>
        <v>0</v>
      </c>
    </row>
    <row r="363" spans="1:8">
      <c r="A363" s="822"/>
      <c r="B363" s="26" t="s">
        <v>1186</v>
      </c>
      <c r="F363" s="171" t="s">
        <v>1698</v>
      </c>
      <c r="G363" s="68">
        <f>H348</f>
        <v>0</v>
      </c>
    </row>
    <row r="364" spans="1:8">
      <c r="A364" s="822"/>
      <c r="B364" s="26" t="s">
        <v>2660</v>
      </c>
      <c r="F364" s="171" t="s">
        <v>1698</v>
      </c>
      <c r="G364" s="75">
        <f>H356</f>
        <v>1975</v>
      </c>
    </row>
    <row r="365" spans="1:8">
      <c r="A365" s="822"/>
      <c r="E365" s="26" t="s">
        <v>1518</v>
      </c>
      <c r="F365" s="171" t="s">
        <v>1698</v>
      </c>
      <c r="G365" s="205">
        <f>SUM(G362:G364)</f>
        <v>1975</v>
      </c>
    </row>
    <row r="366" spans="1:8" ht="33.75" customHeight="1">
      <c r="A366" s="822"/>
      <c r="B366" s="1207" t="s">
        <v>1379</v>
      </c>
      <c r="C366" s="1207"/>
      <c r="E366" s="922">
        <f>'BASIC DATA'!$C$577</f>
        <v>0.13614999999999999</v>
      </c>
      <c r="F366" s="26" t="s">
        <v>1698</v>
      </c>
      <c r="G366" s="26">
        <f>G365*E366</f>
        <v>268.89625000000001</v>
      </c>
    </row>
    <row r="367" spans="1:8">
      <c r="A367" s="822"/>
      <c r="B367" s="26" t="s">
        <v>1191</v>
      </c>
      <c r="D367" s="68">
        <f>G333</f>
        <v>150</v>
      </c>
      <c r="E367" s="68" t="str">
        <f>H333</f>
        <v>Nos.</v>
      </c>
      <c r="F367" s="26" t="s">
        <v>1698</v>
      </c>
      <c r="G367" s="211">
        <f>G366+G365</f>
        <v>2243.8962499999998</v>
      </c>
    </row>
    <row r="368" spans="1:8">
      <c r="A368" s="822"/>
      <c r="B368" s="170" t="s">
        <v>1584</v>
      </c>
      <c r="C368" s="211" t="s">
        <v>4935</v>
      </c>
      <c r="D368" s="26" t="s">
        <v>4721</v>
      </c>
      <c r="F368" s="26" t="s">
        <v>4108</v>
      </c>
      <c r="G368" s="211">
        <f>ROUND(G367/D367,1)</f>
        <v>15</v>
      </c>
    </row>
    <row r="369" spans="1:8">
      <c r="A369" s="822"/>
    </row>
    <row r="370" spans="1:8">
      <c r="A370" s="822"/>
    </row>
    <row r="371" spans="1:8">
      <c r="A371" s="865" t="s">
        <v>7197</v>
      </c>
      <c r="B371" s="26" t="s">
        <v>9087</v>
      </c>
    </row>
    <row r="372" spans="1:8">
      <c r="B372" s="26" t="s">
        <v>9088</v>
      </c>
    </row>
    <row r="373" spans="1:8">
      <c r="B373" s="170" t="s">
        <v>3441</v>
      </c>
    </row>
    <row r="374" spans="1:8" hidden="1">
      <c r="A374" s="865" t="s">
        <v>3984</v>
      </c>
      <c r="B374" s="26" t="s">
        <v>4803</v>
      </c>
      <c r="F374" s="78" t="s">
        <v>1697</v>
      </c>
      <c r="G374" s="26">
        <v>100</v>
      </c>
      <c r="H374" s="26" t="s">
        <v>2059</v>
      </c>
    </row>
    <row r="375" spans="1:8">
      <c r="A375" s="822"/>
    </row>
    <row r="376" spans="1:8">
      <c r="A376" s="822" t="s">
        <v>3984</v>
      </c>
      <c r="C376" s="203" t="s">
        <v>2367</v>
      </c>
      <c r="D376" s="171"/>
      <c r="F376" s="171" t="s">
        <v>297</v>
      </c>
      <c r="G376" s="162">
        <v>100</v>
      </c>
      <c r="H376" s="26" t="s">
        <v>4041</v>
      </c>
    </row>
    <row r="377" spans="1:8">
      <c r="A377" s="822"/>
    </row>
    <row r="378" spans="1:8">
      <c r="A378" s="822"/>
      <c r="B378" s="79" t="s">
        <v>2368</v>
      </c>
    </row>
    <row r="379" spans="1:8">
      <c r="A379" s="822"/>
      <c r="B379" s="95" t="s">
        <v>2369</v>
      </c>
      <c r="C379" s="157" t="s">
        <v>6374</v>
      </c>
      <c r="D379" s="195"/>
      <c r="E379" s="95" t="s">
        <v>2370</v>
      </c>
      <c r="F379" s="95" t="s">
        <v>1166</v>
      </c>
      <c r="G379" s="95" t="s">
        <v>2371</v>
      </c>
      <c r="H379" s="95" t="s">
        <v>2372</v>
      </c>
    </row>
    <row r="380" spans="1:8">
      <c r="A380" s="822"/>
      <c r="B380" s="114"/>
      <c r="C380" s="154"/>
      <c r="D380" s="192"/>
      <c r="E380" s="114"/>
      <c r="F380" s="114"/>
      <c r="G380" s="114" t="s">
        <v>3485</v>
      </c>
      <c r="H380" s="114" t="s">
        <v>3485</v>
      </c>
    </row>
    <row r="381" spans="1:8">
      <c r="A381" s="822"/>
      <c r="B381" s="95">
        <v>1</v>
      </c>
      <c r="C381" s="157" t="s">
        <v>6976</v>
      </c>
      <c r="D381" s="195"/>
      <c r="E381" s="107"/>
      <c r="F381" s="179">
        <v>0</v>
      </c>
      <c r="G381" s="179">
        <v>0</v>
      </c>
      <c r="H381" s="179">
        <f>F381*G381</f>
        <v>0</v>
      </c>
    </row>
    <row r="382" spans="1:8">
      <c r="A382" s="822"/>
      <c r="B382" s="114"/>
      <c r="C382" s="154"/>
      <c r="D382" s="192"/>
      <c r="E382" s="191"/>
      <c r="F382" s="182">
        <v>0</v>
      </c>
      <c r="G382" s="182">
        <v>0</v>
      </c>
      <c r="H382" s="182">
        <f>F382*G382</f>
        <v>0</v>
      </c>
    </row>
    <row r="383" spans="1:8">
      <c r="A383" s="822"/>
      <c r="B383" s="176"/>
      <c r="C383" s="174"/>
      <c r="D383" s="174" t="s">
        <v>2376</v>
      </c>
      <c r="E383" s="174"/>
      <c r="F383" s="192"/>
      <c r="G383" s="275" t="s">
        <v>1698</v>
      </c>
      <c r="H383" s="318">
        <f>SUM(H381:H382)</f>
        <v>0</v>
      </c>
    </row>
    <row r="384" spans="1:8">
      <c r="A384" s="822"/>
    </row>
    <row r="385" spans="1:8">
      <c r="A385" s="822"/>
      <c r="B385" s="79" t="s">
        <v>2377</v>
      </c>
    </row>
    <row r="386" spans="1:8">
      <c r="A386" s="822"/>
      <c r="B386" s="95" t="s">
        <v>2369</v>
      </c>
      <c r="C386" s="157" t="s">
        <v>2378</v>
      </c>
      <c r="D386" s="195"/>
      <c r="E386" s="95" t="s">
        <v>2370</v>
      </c>
      <c r="F386" s="95" t="s">
        <v>1166</v>
      </c>
      <c r="G386" s="95" t="s">
        <v>2371</v>
      </c>
      <c r="H386" s="95" t="s">
        <v>2372</v>
      </c>
    </row>
    <row r="387" spans="1:8">
      <c r="A387" s="822"/>
      <c r="B387" s="114"/>
      <c r="C387" s="154"/>
      <c r="D387" s="192"/>
      <c r="E387" s="114"/>
      <c r="F387" s="114"/>
      <c r="G387" s="114" t="s">
        <v>3485</v>
      </c>
      <c r="H387" s="114" t="s">
        <v>3485</v>
      </c>
    </row>
    <row r="388" spans="1:8">
      <c r="A388" s="822"/>
      <c r="B388" s="95">
        <v>1</v>
      </c>
      <c r="C388" s="157" t="s">
        <v>6976</v>
      </c>
      <c r="D388" s="195"/>
      <c r="E388" s="107"/>
      <c r="F388" s="179">
        <v>0</v>
      </c>
      <c r="G388" s="179">
        <v>0</v>
      </c>
      <c r="H388" s="179">
        <f>F388*G388</f>
        <v>0</v>
      </c>
    </row>
    <row r="389" spans="1:8">
      <c r="A389" s="822"/>
      <c r="B389" s="114"/>
      <c r="C389" s="154"/>
      <c r="D389" s="192"/>
      <c r="E389" s="191"/>
      <c r="F389" s="182">
        <v>0</v>
      </c>
      <c r="G389" s="182">
        <v>0</v>
      </c>
      <c r="H389" s="182">
        <f>F389*G389</f>
        <v>0</v>
      </c>
    </row>
    <row r="390" spans="1:8">
      <c r="A390" s="822"/>
      <c r="B390" s="176"/>
      <c r="C390" s="174"/>
      <c r="D390" s="174" t="s">
        <v>2380</v>
      </c>
      <c r="E390" s="174"/>
      <c r="F390" s="192"/>
      <c r="G390" s="275" t="s">
        <v>1698</v>
      </c>
      <c r="H390" s="318">
        <f>SUM(H388:H389)</f>
        <v>0</v>
      </c>
    </row>
    <row r="391" spans="1:8">
      <c r="A391" s="822"/>
    </row>
    <row r="392" spans="1:8">
      <c r="A392" s="822"/>
      <c r="B392" s="79" t="s">
        <v>2381</v>
      </c>
    </row>
    <row r="393" spans="1:8">
      <c r="A393" s="822"/>
      <c r="B393" s="95" t="s">
        <v>2369</v>
      </c>
      <c r="C393" s="157" t="s">
        <v>2378</v>
      </c>
      <c r="D393" s="195"/>
      <c r="E393" s="95" t="s">
        <v>2370</v>
      </c>
      <c r="F393" s="95" t="s">
        <v>1166</v>
      </c>
      <c r="G393" s="95" t="s">
        <v>2371</v>
      </c>
      <c r="H393" s="95" t="s">
        <v>2372</v>
      </c>
    </row>
    <row r="394" spans="1:8">
      <c r="A394" s="822"/>
      <c r="B394" s="114"/>
      <c r="C394" s="154"/>
      <c r="D394" s="192"/>
      <c r="E394" s="105"/>
      <c r="F394" s="114"/>
      <c r="G394" s="114" t="s">
        <v>3485</v>
      </c>
      <c r="H394" s="114" t="s">
        <v>3485</v>
      </c>
    </row>
    <row r="395" spans="1:8">
      <c r="A395" s="822"/>
      <c r="B395" s="95">
        <v>1</v>
      </c>
      <c r="C395" s="148" t="s">
        <v>4206</v>
      </c>
      <c r="D395" s="187"/>
      <c r="E395" s="107" t="s">
        <v>1172</v>
      </c>
      <c r="F395" s="178">
        <v>0.5</v>
      </c>
      <c r="G395" s="179">
        <f>'BASIC DATA'!C473</f>
        <v>450</v>
      </c>
      <c r="H395" s="179">
        <f>F395*G395</f>
        <v>225</v>
      </c>
    </row>
    <row r="396" spans="1:8">
      <c r="A396" s="822"/>
      <c r="B396" s="114">
        <v>2</v>
      </c>
      <c r="C396" s="89" t="s">
        <v>2697</v>
      </c>
      <c r="D396" s="174"/>
      <c r="E396" s="191" t="s">
        <v>1172</v>
      </c>
      <c r="F396" s="181">
        <v>3</v>
      </c>
      <c r="G396" s="182">
        <f>'BASIC DATA'!C552</f>
        <v>350</v>
      </c>
      <c r="H396" s="190">
        <f>F396*G396</f>
        <v>1050</v>
      </c>
    </row>
    <row r="397" spans="1:8">
      <c r="A397" s="822"/>
      <c r="B397" s="176"/>
      <c r="C397" s="174"/>
      <c r="D397" s="174" t="s">
        <v>1174</v>
      </c>
      <c r="E397" s="174"/>
      <c r="F397" s="192"/>
      <c r="G397" s="275" t="s">
        <v>1698</v>
      </c>
      <c r="H397" s="318">
        <f>SUM(H395:H396)</f>
        <v>1275</v>
      </c>
    </row>
    <row r="398" spans="1:8">
      <c r="A398" s="822"/>
      <c r="B398" s="60" t="s">
        <v>5948</v>
      </c>
      <c r="C398" s="31"/>
      <c r="D398" s="31"/>
      <c r="E398" s="85">
        <f>ROUND(H397/G376,1)</f>
        <v>12.8</v>
      </c>
      <c r="G398" s="31"/>
    </row>
    <row r="399" spans="1:8">
      <c r="A399" s="822"/>
      <c r="B399" s="60" t="s">
        <v>3163</v>
      </c>
      <c r="C399" s="31"/>
      <c r="D399" s="922">
        <f>'BASIC DATA'!$C$577</f>
        <v>0.13614999999999999</v>
      </c>
      <c r="E399" s="85">
        <f>ROUND(E398*D399,1)</f>
        <v>1.7</v>
      </c>
      <c r="G399" s="31"/>
    </row>
    <row r="400" spans="1:8">
      <c r="A400" s="822"/>
      <c r="B400" s="60" t="s">
        <v>5949</v>
      </c>
      <c r="C400" s="31"/>
      <c r="D400" s="31"/>
      <c r="E400" s="739">
        <f>E399+E398</f>
        <v>14.5</v>
      </c>
      <c r="G400" s="31"/>
    </row>
    <row r="401" spans="1:8">
      <c r="A401" s="822"/>
      <c r="B401" s="26"/>
    </row>
    <row r="402" spans="1:8">
      <c r="A402" s="822"/>
      <c r="B402" s="170" t="s">
        <v>1175</v>
      </c>
    </row>
    <row r="403" spans="1:8">
      <c r="A403" s="822"/>
      <c r="B403" s="26" t="s">
        <v>1176</v>
      </c>
      <c r="F403" s="171" t="s">
        <v>1698</v>
      </c>
      <c r="G403" s="68">
        <f>H383</f>
        <v>0</v>
      </c>
    </row>
    <row r="404" spans="1:8">
      <c r="A404" s="822"/>
      <c r="B404" s="26" t="s">
        <v>1186</v>
      </c>
      <c r="F404" s="171" t="s">
        <v>1698</v>
      </c>
      <c r="G404" s="68">
        <f>H390</f>
        <v>0</v>
      </c>
    </row>
    <row r="405" spans="1:8">
      <c r="A405" s="822"/>
      <c r="B405" s="26" t="s">
        <v>2660</v>
      </c>
      <c r="F405" s="171" t="s">
        <v>1698</v>
      </c>
      <c r="G405" s="75">
        <f>H397</f>
        <v>1275</v>
      </c>
    </row>
    <row r="406" spans="1:8">
      <c r="A406" s="822"/>
      <c r="E406" s="26" t="s">
        <v>1518</v>
      </c>
      <c r="F406" s="171" t="s">
        <v>1698</v>
      </c>
      <c r="G406" s="205">
        <f>SUM(G403:G405)</f>
        <v>1275</v>
      </c>
    </row>
    <row r="407" spans="1:8" ht="41.25" customHeight="1">
      <c r="A407" s="822"/>
      <c r="B407" s="1207" t="s">
        <v>1379</v>
      </c>
      <c r="C407" s="1207"/>
      <c r="E407" s="922">
        <f>'BASIC DATA'!$C$577</f>
        <v>0.13614999999999999</v>
      </c>
      <c r="F407" s="26" t="s">
        <v>1698</v>
      </c>
      <c r="G407" s="26">
        <f>G406*E407</f>
        <v>173.59125</v>
      </c>
    </row>
    <row r="408" spans="1:8">
      <c r="A408" s="822"/>
      <c r="B408" s="26" t="s">
        <v>1191</v>
      </c>
      <c r="D408" s="68">
        <f>G374</f>
        <v>100</v>
      </c>
      <c r="E408" s="68" t="str">
        <f>H374</f>
        <v>Nos</v>
      </c>
      <c r="F408" s="26" t="s">
        <v>1698</v>
      </c>
      <c r="G408" s="211">
        <f>G407+G406</f>
        <v>1448.5912499999999</v>
      </c>
    </row>
    <row r="409" spans="1:8">
      <c r="A409" s="822"/>
      <c r="B409" s="170" t="s">
        <v>1584</v>
      </c>
      <c r="C409" s="211" t="s">
        <v>4935</v>
      </c>
      <c r="D409" s="26" t="s">
        <v>5882</v>
      </c>
      <c r="F409" s="26" t="s">
        <v>4108</v>
      </c>
      <c r="G409" s="211">
        <f>ROUND(G408/D408,1)</f>
        <v>14.5</v>
      </c>
    </row>
    <row r="410" spans="1:8">
      <c r="A410" s="822"/>
    </row>
    <row r="411" spans="1:8">
      <c r="A411" s="822"/>
    </row>
    <row r="412" spans="1:8">
      <c r="A412" s="865" t="s">
        <v>7198</v>
      </c>
      <c r="B412" s="26" t="s">
        <v>9148</v>
      </c>
    </row>
    <row r="413" spans="1:8">
      <c r="B413" s="26" t="s">
        <v>9149</v>
      </c>
    </row>
    <row r="414" spans="1:8">
      <c r="B414" s="170" t="s">
        <v>890</v>
      </c>
    </row>
    <row r="415" spans="1:8">
      <c r="B415" s="26"/>
    </row>
    <row r="416" spans="1:8" hidden="1">
      <c r="A416" s="865" t="s">
        <v>3984</v>
      </c>
      <c r="B416" s="26" t="s">
        <v>4803</v>
      </c>
      <c r="F416" s="78" t="s">
        <v>1697</v>
      </c>
      <c r="G416" s="26">
        <v>50</v>
      </c>
      <c r="H416" s="26" t="s">
        <v>2059</v>
      </c>
    </row>
    <row r="417" spans="1:8">
      <c r="A417" s="822"/>
    </row>
    <row r="418" spans="1:8">
      <c r="A418" s="822" t="s">
        <v>3984</v>
      </c>
      <c r="C418" s="203" t="s">
        <v>2367</v>
      </c>
      <c r="D418" s="171"/>
      <c r="F418" s="171" t="s">
        <v>297</v>
      </c>
      <c r="G418" s="162">
        <v>50</v>
      </c>
      <c r="H418" s="26" t="s">
        <v>2059</v>
      </c>
    </row>
    <row r="419" spans="1:8">
      <c r="A419" s="822"/>
    </row>
    <row r="420" spans="1:8">
      <c r="A420" s="822"/>
      <c r="B420" s="79" t="s">
        <v>2368</v>
      </c>
    </row>
    <row r="421" spans="1:8">
      <c r="A421" s="822"/>
      <c r="B421" s="95" t="s">
        <v>2369</v>
      </c>
      <c r="C421" s="157" t="s">
        <v>6374</v>
      </c>
      <c r="D421" s="195"/>
      <c r="E421" s="95" t="s">
        <v>2370</v>
      </c>
      <c r="F421" s="95" t="s">
        <v>1166</v>
      </c>
      <c r="G421" s="95" t="s">
        <v>2371</v>
      </c>
      <c r="H421" s="95" t="s">
        <v>2372</v>
      </c>
    </row>
    <row r="422" spans="1:8">
      <c r="A422" s="822"/>
      <c r="B422" s="114"/>
      <c r="C422" s="154"/>
      <c r="D422" s="192"/>
      <c r="E422" s="114"/>
      <c r="F422" s="114"/>
      <c r="G422" s="114" t="s">
        <v>3485</v>
      </c>
      <c r="H422" s="114" t="s">
        <v>3485</v>
      </c>
    </row>
    <row r="423" spans="1:8">
      <c r="A423" s="822"/>
      <c r="B423" s="95">
        <v>1</v>
      </c>
      <c r="C423" s="157" t="s">
        <v>6976</v>
      </c>
      <c r="D423" s="195"/>
      <c r="E423" s="107"/>
      <c r="F423" s="179">
        <v>0</v>
      </c>
      <c r="G423" s="179">
        <v>0</v>
      </c>
      <c r="H423" s="179">
        <f>F423*G423</f>
        <v>0</v>
      </c>
    </row>
    <row r="424" spans="1:8">
      <c r="A424" s="822"/>
      <c r="B424" s="114"/>
      <c r="C424" s="154"/>
      <c r="D424" s="192"/>
      <c r="E424" s="191"/>
      <c r="F424" s="182">
        <v>0</v>
      </c>
      <c r="G424" s="182">
        <v>0</v>
      </c>
      <c r="H424" s="182">
        <f>F424*G424</f>
        <v>0</v>
      </c>
    </row>
    <row r="425" spans="1:8">
      <c r="A425" s="822"/>
      <c r="B425" s="176"/>
      <c r="C425" s="174"/>
      <c r="D425" s="174" t="s">
        <v>2376</v>
      </c>
      <c r="E425" s="174"/>
      <c r="F425" s="192"/>
      <c r="G425" s="275" t="s">
        <v>1698</v>
      </c>
      <c r="H425" s="318">
        <f>SUM(H423:H424)</f>
        <v>0</v>
      </c>
    </row>
    <row r="426" spans="1:8">
      <c r="A426" s="822"/>
    </row>
    <row r="427" spans="1:8">
      <c r="A427" s="822"/>
      <c r="B427" s="79" t="s">
        <v>2377</v>
      </c>
    </row>
    <row r="428" spans="1:8">
      <c r="A428" s="822"/>
      <c r="B428" s="95" t="s">
        <v>2369</v>
      </c>
      <c r="C428" s="157" t="s">
        <v>2378</v>
      </c>
      <c r="D428" s="195"/>
      <c r="E428" s="95" t="s">
        <v>2370</v>
      </c>
      <c r="F428" s="95" t="s">
        <v>1166</v>
      </c>
      <c r="G428" s="95" t="s">
        <v>2371</v>
      </c>
      <c r="H428" s="95" t="s">
        <v>2372</v>
      </c>
    </row>
    <row r="429" spans="1:8">
      <c r="A429" s="822"/>
      <c r="B429" s="114"/>
      <c r="C429" s="154"/>
      <c r="D429" s="192"/>
      <c r="E429" s="114"/>
      <c r="F429" s="114"/>
      <c r="G429" s="114" t="s">
        <v>3485</v>
      </c>
      <c r="H429" s="114" t="s">
        <v>3485</v>
      </c>
    </row>
    <row r="430" spans="1:8">
      <c r="A430" s="822"/>
      <c r="B430" s="95">
        <v>1</v>
      </c>
      <c r="C430" s="157" t="s">
        <v>6976</v>
      </c>
      <c r="D430" s="195"/>
      <c r="E430" s="107"/>
      <c r="F430" s="179">
        <v>0</v>
      </c>
      <c r="G430" s="179">
        <v>0</v>
      </c>
      <c r="H430" s="179">
        <f>F430*G430</f>
        <v>0</v>
      </c>
    </row>
    <row r="431" spans="1:8">
      <c r="A431" s="822"/>
      <c r="B431" s="114"/>
      <c r="C431" s="154"/>
      <c r="D431" s="192"/>
      <c r="E431" s="191"/>
      <c r="F431" s="182">
        <v>0</v>
      </c>
      <c r="G431" s="182">
        <v>0</v>
      </c>
      <c r="H431" s="182">
        <f>F431*G431</f>
        <v>0</v>
      </c>
    </row>
    <row r="432" spans="1:8">
      <c r="A432" s="822"/>
      <c r="B432" s="176"/>
      <c r="C432" s="174"/>
      <c r="D432" s="174" t="s">
        <v>2380</v>
      </c>
      <c r="E432" s="174"/>
      <c r="F432" s="192"/>
      <c r="G432" s="275" t="s">
        <v>1698</v>
      </c>
      <c r="H432" s="318">
        <f>SUM(H430:H431)</f>
        <v>0</v>
      </c>
    </row>
    <row r="433" spans="1:8">
      <c r="A433" s="822"/>
    </row>
    <row r="434" spans="1:8">
      <c r="A434" s="822"/>
      <c r="B434" s="79" t="s">
        <v>2381</v>
      </c>
    </row>
    <row r="435" spans="1:8">
      <c r="A435" s="822"/>
      <c r="B435" s="95" t="s">
        <v>2369</v>
      </c>
      <c r="C435" s="157" t="s">
        <v>2378</v>
      </c>
      <c r="D435" s="195"/>
      <c r="E435" s="95" t="s">
        <v>2370</v>
      </c>
      <c r="F435" s="95" t="s">
        <v>1166</v>
      </c>
      <c r="G435" s="95" t="s">
        <v>2371</v>
      </c>
      <c r="H435" s="95" t="s">
        <v>2372</v>
      </c>
    </row>
    <row r="436" spans="1:8">
      <c r="A436" s="822"/>
      <c r="B436" s="114"/>
      <c r="C436" s="154"/>
      <c r="D436" s="192"/>
      <c r="E436" s="105"/>
      <c r="F436" s="114"/>
      <c r="G436" s="114" t="s">
        <v>3485</v>
      </c>
      <c r="H436" s="114" t="s">
        <v>3485</v>
      </c>
    </row>
    <row r="437" spans="1:8">
      <c r="A437" s="822"/>
      <c r="B437" s="95">
        <v>1</v>
      </c>
      <c r="C437" s="148" t="s">
        <v>4206</v>
      </c>
      <c r="D437" s="187"/>
      <c r="E437" s="107" t="s">
        <v>1172</v>
      </c>
      <c r="F437" s="178">
        <v>0.5</v>
      </c>
      <c r="G437" s="179">
        <f>'BASIC DATA'!C473</f>
        <v>450</v>
      </c>
      <c r="H437" s="179">
        <f>F437*G437</f>
        <v>225</v>
      </c>
    </row>
    <row r="438" spans="1:8">
      <c r="A438" s="822"/>
      <c r="B438" s="114">
        <v>2</v>
      </c>
      <c r="C438" s="89" t="s">
        <v>2697</v>
      </c>
      <c r="D438" s="174"/>
      <c r="E438" s="191" t="s">
        <v>1172</v>
      </c>
      <c r="F438" s="181">
        <v>3</v>
      </c>
      <c r="G438" s="182">
        <f>'BASIC DATA'!C552</f>
        <v>350</v>
      </c>
      <c r="H438" s="190">
        <f>F438*G438</f>
        <v>1050</v>
      </c>
    </row>
    <row r="439" spans="1:8">
      <c r="A439" s="822"/>
      <c r="B439" s="176"/>
      <c r="C439" s="174"/>
      <c r="D439" s="174" t="s">
        <v>1174</v>
      </c>
      <c r="E439" s="174"/>
      <c r="F439" s="192"/>
      <c r="G439" s="275" t="s">
        <v>1698</v>
      </c>
      <c r="H439" s="318">
        <f>SUM(H437:H438)</f>
        <v>1275</v>
      </c>
    </row>
    <row r="440" spans="1:8">
      <c r="A440" s="822"/>
      <c r="B440" s="60" t="s">
        <v>5948</v>
      </c>
      <c r="C440" s="31"/>
      <c r="D440" s="31"/>
      <c r="E440" s="85">
        <f>ROUND(H439/G418,1)</f>
        <v>25.5</v>
      </c>
      <c r="G440" s="31"/>
    </row>
    <row r="441" spans="1:8">
      <c r="A441" s="822"/>
      <c r="B441" s="60" t="s">
        <v>3163</v>
      </c>
      <c r="C441" s="31"/>
      <c r="D441" s="922">
        <f>'BASIC DATA'!$C$577</f>
        <v>0.13614999999999999</v>
      </c>
      <c r="E441" s="85">
        <f>ROUND(E440*D441,1)</f>
        <v>3.5</v>
      </c>
      <c r="G441" s="31"/>
    </row>
    <row r="442" spans="1:8">
      <c r="A442" s="822"/>
      <c r="B442" s="60" t="s">
        <v>5949</v>
      </c>
      <c r="C442" s="31"/>
      <c r="D442" s="31"/>
      <c r="E442" s="739">
        <f>E441+E440</f>
        <v>29</v>
      </c>
      <c r="G442" s="31"/>
    </row>
    <row r="443" spans="1:8">
      <c r="A443" s="822"/>
      <c r="B443" s="26"/>
    </row>
    <row r="444" spans="1:8">
      <c r="A444" s="822"/>
      <c r="B444" s="170" t="s">
        <v>1175</v>
      </c>
    </row>
    <row r="445" spans="1:8">
      <c r="A445" s="822"/>
      <c r="B445" s="26" t="s">
        <v>1176</v>
      </c>
      <c r="F445" s="171" t="s">
        <v>1698</v>
      </c>
      <c r="G445" s="68">
        <f>H425</f>
        <v>0</v>
      </c>
    </row>
    <row r="446" spans="1:8">
      <c r="A446" s="822"/>
      <c r="B446" s="26" t="s">
        <v>1186</v>
      </c>
      <c r="F446" s="171" t="s">
        <v>1698</v>
      </c>
      <c r="G446" s="68">
        <f>H432</f>
        <v>0</v>
      </c>
    </row>
    <row r="447" spans="1:8">
      <c r="A447" s="822"/>
      <c r="B447" s="26" t="s">
        <v>2660</v>
      </c>
      <c r="F447" s="171" t="s">
        <v>1698</v>
      </c>
      <c r="G447" s="75">
        <f>H439</f>
        <v>1275</v>
      </c>
    </row>
    <row r="448" spans="1:8">
      <c r="A448" s="822"/>
      <c r="E448" s="26" t="s">
        <v>1518</v>
      </c>
      <c r="F448" s="171" t="s">
        <v>1698</v>
      </c>
      <c r="G448" s="205">
        <f>SUM(G445:G447)</f>
        <v>1275</v>
      </c>
    </row>
    <row r="449" spans="1:8" ht="42.75" customHeight="1">
      <c r="A449" s="822"/>
      <c r="B449" s="1207" t="s">
        <v>1379</v>
      </c>
      <c r="C449" s="1207"/>
      <c r="E449" s="922">
        <f>'BASIC DATA'!$C$577</f>
        <v>0.13614999999999999</v>
      </c>
      <c r="F449" s="26" t="s">
        <v>1698</v>
      </c>
      <c r="G449" s="26">
        <f>G448*E449</f>
        <v>173.59125</v>
      </c>
    </row>
    <row r="450" spans="1:8">
      <c r="A450" s="822"/>
      <c r="B450" s="26" t="s">
        <v>1191</v>
      </c>
      <c r="D450" s="68">
        <f>G418</f>
        <v>50</v>
      </c>
      <c r="E450" s="68" t="str">
        <f>H418</f>
        <v>Nos</v>
      </c>
      <c r="F450" s="26" t="s">
        <v>1698</v>
      </c>
      <c r="G450" s="211">
        <f>G449+G448</f>
        <v>1448.5912499999999</v>
      </c>
    </row>
    <row r="451" spans="1:8">
      <c r="A451" s="822"/>
      <c r="B451" s="170" t="s">
        <v>1584</v>
      </c>
      <c r="C451" s="211" t="s">
        <v>4935</v>
      </c>
      <c r="D451" s="26" t="s">
        <v>4722</v>
      </c>
      <c r="F451" s="26" t="s">
        <v>4108</v>
      </c>
      <c r="G451" s="211">
        <f>ROUND(G450/D450,1)</f>
        <v>29</v>
      </c>
    </row>
    <row r="452" spans="1:8">
      <c r="A452" s="822"/>
    </row>
    <row r="453" spans="1:8">
      <c r="A453" s="822"/>
    </row>
    <row r="454" spans="1:8">
      <c r="A454" s="865" t="s">
        <v>7199</v>
      </c>
      <c r="B454" s="26" t="s">
        <v>9089</v>
      </c>
    </row>
    <row r="455" spans="1:8">
      <c r="B455" s="26" t="s">
        <v>9090</v>
      </c>
    </row>
    <row r="456" spans="1:8">
      <c r="B456" s="26"/>
    </row>
    <row r="457" spans="1:8" hidden="1">
      <c r="A457" s="865" t="s">
        <v>3984</v>
      </c>
      <c r="B457" s="26" t="s">
        <v>3369</v>
      </c>
      <c r="F457" s="78" t="s">
        <v>1697</v>
      </c>
      <c r="G457" s="26">
        <v>0.15</v>
      </c>
      <c r="H457" s="26" t="s">
        <v>2602</v>
      </c>
    </row>
    <row r="458" spans="1:8" hidden="1">
      <c r="B458" s="26" t="s">
        <v>3885</v>
      </c>
      <c r="F458" s="78" t="s">
        <v>1697</v>
      </c>
      <c r="G458" s="26">
        <v>14</v>
      </c>
      <c r="H458" s="26" t="s">
        <v>2059</v>
      </c>
    </row>
    <row r="459" spans="1:8" hidden="1">
      <c r="B459" s="26" t="s">
        <v>3886</v>
      </c>
    </row>
    <row r="460" spans="1:8">
      <c r="A460" s="822"/>
    </row>
    <row r="461" spans="1:8">
      <c r="A461" s="822" t="s">
        <v>3984</v>
      </c>
      <c r="C461" s="203" t="s">
        <v>2367</v>
      </c>
      <c r="D461" s="171"/>
      <c r="F461" s="171" t="s">
        <v>297</v>
      </c>
      <c r="G461" s="162">
        <v>14</v>
      </c>
      <c r="H461" s="26" t="s">
        <v>4041</v>
      </c>
    </row>
    <row r="462" spans="1:8">
      <c r="A462" s="822"/>
    </row>
    <row r="463" spans="1:8">
      <c r="A463" s="822"/>
      <c r="B463" s="79" t="s">
        <v>2368</v>
      </c>
    </row>
    <row r="464" spans="1:8">
      <c r="A464" s="822"/>
      <c r="B464" s="95" t="s">
        <v>2369</v>
      </c>
      <c r="C464" s="157" t="s">
        <v>6374</v>
      </c>
      <c r="D464" s="195"/>
      <c r="E464" s="95" t="s">
        <v>2370</v>
      </c>
      <c r="F464" s="95" t="s">
        <v>1166</v>
      </c>
      <c r="G464" s="95" t="s">
        <v>2371</v>
      </c>
      <c r="H464" s="95" t="s">
        <v>2372</v>
      </c>
    </row>
    <row r="465" spans="1:8">
      <c r="A465" s="822"/>
      <c r="B465" s="114"/>
      <c r="C465" s="154"/>
      <c r="D465" s="192"/>
      <c r="E465" s="114"/>
      <c r="F465" s="114"/>
      <c r="G465" s="114" t="s">
        <v>3485</v>
      </c>
      <c r="H465" s="114" t="s">
        <v>3485</v>
      </c>
    </row>
    <row r="466" spans="1:8">
      <c r="A466" s="822"/>
      <c r="B466" s="95">
        <v>1</v>
      </c>
      <c r="C466" s="131" t="s">
        <v>3053</v>
      </c>
      <c r="D466" s="195"/>
      <c r="E466" s="107" t="s">
        <v>2173</v>
      </c>
      <c r="F466" s="179">
        <v>0.25</v>
      </c>
      <c r="G466" s="179">
        <f>'BASIC DATA'!D374</f>
        <v>150</v>
      </c>
      <c r="H466" s="179">
        <f>F466*G466</f>
        <v>37.5</v>
      </c>
    </row>
    <row r="467" spans="1:8">
      <c r="A467" s="822"/>
      <c r="B467" s="114"/>
      <c r="C467" s="154"/>
      <c r="D467" s="192"/>
      <c r="E467" s="191"/>
      <c r="F467" s="182">
        <v>0</v>
      </c>
      <c r="G467" s="182">
        <v>0</v>
      </c>
      <c r="H467" s="182">
        <f>F467*G467</f>
        <v>0</v>
      </c>
    </row>
    <row r="468" spans="1:8">
      <c r="A468" s="822"/>
      <c r="B468" s="176"/>
      <c r="C468" s="174"/>
      <c r="D468" s="174" t="s">
        <v>2376</v>
      </c>
      <c r="E468" s="174"/>
      <c r="F468" s="192"/>
      <c r="G468" s="275" t="s">
        <v>1698</v>
      </c>
      <c r="H468" s="318">
        <f>SUM(H466:H467)</f>
        <v>37.5</v>
      </c>
    </row>
    <row r="469" spans="1:8">
      <c r="A469" s="822"/>
    </row>
    <row r="470" spans="1:8">
      <c r="A470" s="822"/>
      <c r="B470" s="79" t="s">
        <v>2377</v>
      </c>
    </row>
    <row r="471" spans="1:8">
      <c r="A471" s="822"/>
      <c r="B471" s="95" t="s">
        <v>2369</v>
      </c>
      <c r="C471" s="157" t="s">
        <v>2378</v>
      </c>
      <c r="D471" s="195"/>
      <c r="E471" s="95" t="s">
        <v>2370</v>
      </c>
      <c r="F471" s="95" t="s">
        <v>1166</v>
      </c>
      <c r="G471" s="95" t="s">
        <v>2371</v>
      </c>
      <c r="H471" s="95" t="s">
        <v>2372</v>
      </c>
    </row>
    <row r="472" spans="1:8">
      <c r="A472" s="822"/>
      <c r="B472" s="114"/>
      <c r="C472" s="154"/>
      <c r="D472" s="192"/>
      <c r="E472" s="114"/>
      <c r="F472" s="114"/>
      <c r="G472" s="114" t="s">
        <v>3485</v>
      </c>
      <c r="H472" s="114" t="s">
        <v>3485</v>
      </c>
    </row>
    <row r="473" spans="1:8">
      <c r="A473" s="822"/>
      <c r="B473" s="95">
        <v>1</v>
      </c>
      <c r="C473" s="157" t="s">
        <v>6976</v>
      </c>
      <c r="D473" s="195"/>
      <c r="E473" s="107"/>
      <c r="F473" s="179">
        <v>0</v>
      </c>
      <c r="G473" s="179">
        <v>0</v>
      </c>
      <c r="H473" s="179">
        <f>F473*G473</f>
        <v>0</v>
      </c>
    </row>
    <row r="474" spans="1:8">
      <c r="A474" s="822"/>
      <c r="B474" s="114"/>
      <c r="C474" s="154"/>
      <c r="D474" s="192"/>
      <c r="E474" s="191"/>
      <c r="F474" s="182">
        <v>0</v>
      </c>
      <c r="G474" s="182">
        <v>0</v>
      </c>
      <c r="H474" s="182">
        <f>F474*G474</f>
        <v>0</v>
      </c>
    </row>
    <row r="475" spans="1:8">
      <c r="A475" s="822"/>
      <c r="B475" s="176"/>
      <c r="C475" s="174"/>
      <c r="D475" s="174" t="s">
        <v>2380</v>
      </c>
      <c r="E475" s="174"/>
      <c r="F475" s="192"/>
      <c r="G475" s="275" t="s">
        <v>1698</v>
      </c>
      <c r="H475" s="318">
        <f>SUM(H473:H474)</f>
        <v>0</v>
      </c>
    </row>
    <row r="476" spans="1:8">
      <c r="A476" s="822"/>
    </row>
    <row r="477" spans="1:8">
      <c r="A477" s="822"/>
      <c r="B477" s="79" t="s">
        <v>2381</v>
      </c>
    </row>
    <row r="478" spans="1:8">
      <c r="A478" s="822"/>
      <c r="B478" s="95" t="s">
        <v>2369</v>
      </c>
      <c r="C478" s="157" t="s">
        <v>2378</v>
      </c>
      <c r="D478" s="195"/>
      <c r="E478" s="95" t="s">
        <v>2370</v>
      </c>
      <c r="F478" s="95" t="s">
        <v>1166</v>
      </c>
      <c r="G478" s="95" t="s">
        <v>2371</v>
      </c>
      <c r="H478" s="95" t="s">
        <v>2372</v>
      </c>
    </row>
    <row r="479" spans="1:8">
      <c r="A479" s="822"/>
      <c r="B479" s="114"/>
      <c r="C479" s="154"/>
      <c r="D479" s="192"/>
      <c r="E479" s="105"/>
      <c r="F479" s="114"/>
      <c r="G479" s="114" t="s">
        <v>3485</v>
      </c>
      <c r="H479" s="114" t="s">
        <v>3485</v>
      </c>
    </row>
    <row r="480" spans="1:8">
      <c r="A480" s="822"/>
      <c r="B480" s="95">
        <v>1</v>
      </c>
      <c r="C480" s="148" t="s">
        <v>4206</v>
      </c>
      <c r="D480" s="187"/>
      <c r="E480" s="107" t="s">
        <v>1172</v>
      </c>
      <c r="F480" s="178">
        <v>0.25</v>
      </c>
      <c r="G480" s="179">
        <f>'BASIC DATA'!C473</f>
        <v>450</v>
      </c>
      <c r="H480" s="179">
        <f>F480*G480</f>
        <v>112.5</v>
      </c>
    </row>
    <row r="481" spans="1:8">
      <c r="A481" s="822"/>
      <c r="B481" s="114">
        <v>2</v>
      </c>
      <c r="C481" s="89" t="s">
        <v>2697</v>
      </c>
      <c r="D481" s="174"/>
      <c r="E481" s="191" t="s">
        <v>1172</v>
      </c>
      <c r="F481" s="181">
        <v>3</v>
      </c>
      <c r="G481" s="182">
        <f>'BASIC DATA'!C552</f>
        <v>350</v>
      </c>
      <c r="H481" s="190">
        <f>F481*G481</f>
        <v>1050</v>
      </c>
    </row>
    <row r="482" spans="1:8">
      <c r="A482" s="822"/>
      <c r="B482" s="176"/>
      <c r="C482" s="174"/>
      <c r="D482" s="174" t="s">
        <v>1174</v>
      </c>
      <c r="E482" s="174"/>
      <c r="F482" s="192"/>
      <c r="G482" s="275" t="s">
        <v>1698</v>
      </c>
      <c r="H482" s="318">
        <f>SUM(H480:H481)</f>
        <v>1162.5</v>
      </c>
    </row>
    <row r="483" spans="1:8">
      <c r="A483" s="822"/>
      <c r="B483" s="60" t="s">
        <v>5948</v>
      </c>
      <c r="C483" s="31"/>
      <c r="D483" s="31"/>
      <c r="E483" s="85">
        <f>ROUND(H482/G461,1)</f>
        <v>83</v>
      </c>
      <c r="G483" s="31"/>
    </row>
    <row r="484" spans="1:8">
      <c r="A484" s="822"/>
      <c r="B484" s="60" t="s">
        <v>3163</v>
      </c>
      <c r="C484" s="31"/>
      <c r="D484" s="922">
        <f>'BASIC DATA'!$C$577</f>
        <v>0.13614999999999999</v>
      </c>
      <c r="E484" s="85">
        <f>ROUND(E483*D484,1)</f>
        <v>11.3</v>
      </c>
      <c r="G484" s="31"/>
    </row>
    <row r="485" spans="1:8">
      <c r="A485" s="822"/>
      <c r="B485" s="60" t="s">
        <v>5949</v>
      </c>
      <c r="C485" s="31"/>
      <c r="D485" s="31"/>
      <c r="E485" s="739">
        <f>E484+E483</f>
        <v>94.3</v>
      </c>
      <c r="G485" s="31"/>
    </row>
    <row r="486" spans="1:8">
      <c r="A486" s="822"/>
      <c r="B486" s="26"/>
    </row>
    <row r="487" spans="1:8">
      <c r="A487" s="822"/>
      <c r="B487" s="170" t="s">
        <v>1175</v>
      </c>
    </row>
    <row r="488" spans="1:8">
      <c r="A488" s="822"/>
      <c r="B488" s="26" t="s">
        <v>1176</v>
      </c>
      <c r="F488" s="171" t="s">
        <v>1698</v>
      </c>
      <c r="G488" s="68">
        <f>H468</f>
        <v>37.5</v>
      </c>
    </row>
    <row r="489" spans="1:8">
      <c r="A489" s="822"/>
      <c r="B489" s="26" t="s">
        <v>1186</v>
      </c>
      <c r="F489" s="171" t="s">
        <v>1698</v>
      </c>
      <c r="G489" s="68">
        <f>H475</f>
        <v>0</v>
      </c>
    </row>
    <row r="490" spans="1:8">
      <c r="A490" s="822"/>
      <c r="B490" s="26" t="s">
        <v>2660</v>
      </c>
      <c r="F490" s="171" t="s">
        <v>1698</v>
      </c>
      <c r="G490" s="75">
        <f>H482</f>
        <v>1162.5</v>
      </c>
    </row>
    <row r="491" spans="1:8">
      <c r="A491" s="822"/>
      <c r="E491" s="26" t="s">
        <v>1518</v>
      </c>
      <c r="F491" s="171" t="s">
        <v>1698</v>
      </c>
      <c r="G491" s="205">
        <f>SUM(G488:G490)</f>
        <v>1200</v>
      </c>
    </row>
    <row r="492" spans="1:8" ht="36" customHeight="1">
      <c r="A492" s="822"/>
      <c r="B492" s="1207" t="s">
        <v>1379</v>
      </c>
      <c r="C492" s="1207"/>
      <c r="E492" s="922">
        <f>'BASIC DATA'!$C$577</f>
        <v>0.13614999999999999</v>
      </c>
      <c r="F492" s="26" t="s">
        <v>1698</v>
      </c>
      <c r="G492" s="26">
        <f>G491*E492</f>
        <v>163.38</v>
      </c>
    </row>
    <row r="493" spans="1:8">
      <c r="A493" s="822"/>
      <c r="B493" s="26" t="s">
        <v>1191</v>
      </c>
      <c r="D493" s="68">
        <f>G461</f>
        <v>14</v>
      </c>
      <c r="E493" s="68" t="str">
        <f>H461</f>
        <v>Nos.</v>
      </c>
      <c r="F493" s="26" t="s">
        <v>1698</v>
      </c>
      <c r="G493" s="211">
        <f>G492+G491</f>
        <v>1363.38</v>
      </c>
    </row>
    <row r="494" spans="1:8">
      <c r="A494" s="822"/>
      <c r="B494" s="170" t="s">
        <v>1584</v>
      </c>
      <c r="C494" s="211" t="s">
        <v>4935</v>
      </c>
      <c r="D494" s="26" t="s">
        <v>4710</v>
      </c>
      <c r="F494" s="26" t="s">
        <v>4108</v>
      </c>
      <c r="G494" s="211">
        <f>ROUND(G493/D493,1)</f>
        <v>97.4</v>
      </c>
    </row>
    <row r="495" spans="1:8">
      <c r="A495" s="822"/>
    </row>
    <row r="496" spans="1:8">
      <c r="A496" s="822"/>
    </row>
    <row r="497" spans="1:8">
      <c r="A497" s="865" t="s">
        <v>7200</v>
      </c>
      <c r="B497" s="26" t="s">
        <v>9091</v>
      </c>
    </row>
    <row r="498" spans="1:8">
      <c r="B498" s="26" t="s">
        <v>9090</v>
      </c>
    </row>
    <row r="499" spans="1:8">
      <c r="B499" s="26"/>
    </row>
    <row r="500" spans="1:8" hidden="1">
      <c r="A500" s="865" t="s">
        <v>3984</v>
      </c>
      <c r="B500" s="26" t="s">
        <v>2935</v>
      </c>
      <c r="F500" s="78" t="s">
        <v>1697</v>
      </c>
      <c r="G500" s="26">
        <v>0.3</v>
      </c>
      <c r="H500" s="26" t="s">
        <v>2602</v>
      </c>
    </row>
    <row r="501" spans="1:8" hidden="1">
      <c r="B501" s="26" t="s">
        <v>3885</v>
      </c>
      <c r="F501" s="78" t="s">
        <v>1697</v>
      </c>
      <c r="G501" s="26">
        <v>4</v>
      </c>
      <c r="H501" s="26" t="s">
        <v>2059</v>
      </c>
    </row>
    <row r="502" spans="1:8" hidden="1">
      <c r="B502" s="26" t="s">
        <v>3886</v>
      </c>
    </row>
    <row r="503" spans="1:8">
      <c r="A503" s="822"/>
    </row>
    <row r="504" spans="1:8">
      <c r="A504" s="822" t="s">
        <v>3984</v>
      </c>
      <c r="C504" s="203" t="s">
        <v>2367</v>
      </c>
      <c r="D504" s="171"/>
      <c r="F504" s="171" t="s">
        <v>297</v>
      </c>
      <c r="G504" s="162">
        <v>4</v>
      </c>
      <c r="H504" s="26" t="s">
        <v>4041</v>
      </c>
    </row>
    <row r="505" spans="1:8">
      <c r="A505" s="822"/>
    </row>
    <row r="506" spans="1:8">
      <c r="A506" s="822"/>
      <c r="B506" s="79" t="s">
        <v>2368</v>
      </c>
    </row>
    <row r="507" spans="1:8">
      <c r="A507" s="822"/>
      <c r="B507" s="95" t="s">
        <v>2369</v>
      </c>
      <c r="C507" s="157" t="s">
        <v>6374</v>
      </c>
      <c r="D507" s="195"/>
      <c r="E507" s="95" t="s">
        <v>2370</v>
      </c>
      <c r="F507" s="95" t="s">
        <v>1166</v>
      </c>
      <c r="G507" s="95" t="s">
        <v>2371</v>
      </c>
      <c r="H507" s="95" t="s">
        <v>2372</v>
      </c>
    </row>
    <row r="508" spans="1:8">
      <c r="A508" s="822"/>
      <c r="B508" s="114"/>
      <c r="C508" s="154"/>
      <c r="D508" s="192"/>
      <c r="E508" s="114"/>
      <c r="F508" s="114"/>
      <c r="G508" s="114" t="s">
        <v>3485</v>
      </c>
      <c r="H508" s="114" t="s">
        <v>3485</v>
      </c>
    </row>
    <row r="509" spans="1:8">
      <c r="A509" s="822"/>
      <c r="B509" s="95">
        <v>1</v>
      </c>
      <c r="C509" s="131" t="s">
        <v>3053</v>
      </c>
      <c r="D509" s="195"/>
      <c r="E509" s="107" t="s">
        <v>2173</v>
      </c>
      <c r="F509" s="179">
        <v>0.25</v>
      </c>
      <c r="G509" s="212">
        <f>'BASIC DATA'!D374</f>
        <v>150</v>
      </c>
      <c r="H509" s="179">
        <f>F509*G509</f>
        <v>37.5</v>
      </c>
    </row>
    <row r="510" spans="1:8">
      <c r="A510" s="822"/>
      <c r="B510" s="114"/>
      <c r="C510" s="154"/>
      <c r="D510" s="192"/>
      <c r="E510" s="191"/>
      <c r="F510" s="182">
        <v>0</v>
      </c>
      <c r="G510" s="215">
        <v>0</v>
      </c>
      <c r="H510" s="182">
        <f>F510*G510</f>
        <v>0</v>
      </c>
    </row>
    <row r="511" spans="1:8">
      <c r="A511" s="822"/>
      <c r="B511" s="176"/>
      <c r="C511" s="174"/>
      <c r="D511" s="174" t="s">
        <v>2376</v>
      </c>
      <c r="E511" s="174"/>
      <c r="F511" s="192"/>
      <c r="G511" s="275" t="s">
        <v>1698</v>
      </c>
      <c r="H511" s="318">
        <f>SUM(H509:H510)</f>
        <v>37.5</v>
      </c>
    </row>
    <row r="512" spans="1:8">
      <c r="A512" s="822"/>
    </row>
    <row r="513" spans="1:8">
      <c r="A513" s="822"/>
      <c r="B513" s="79" t="s">
        <v>2377</v>
      </c>
    </row>
    <row r="514" spans="1:8">
      <c r="A514" s="822"/>
      <c r="B514" s="95" t="s">
        <v>2369</v>
      </c>
      <c r="C514" s="157" t="s">
        <v>2378</v>
      </c>
      <c r="D514" s="195"/>
      <c r="E514" s="95" t="s">
        <v>2370</v>
      </c>
      <c r="F514" s="95" t="s">
        <v>1166</v>
      </c>
      <c r="G514" s="95" t="s">
        <v>2371</v>
      </c>
      <c r="H514" s="95" t="s">
        <v>2372</v>
      </c>
    </row>
    <row r="515" spans="1:8">
      <c r="A515" s="822"/>
      <c r="B515" s="114"/>
      <c r="C515" s="154"/>
      <c r="D515" s="192"/>
      <c r="E515" s="114"/>
      <c r="F515" s="114"/>
      <c r="G515" s="114" t="s">
        <v>3485</v>
      </c>
      <c r="H515" s="114" t="s">
        <v>3485</v>
      </c>
    </row>
    <row r="516" spans="1:8">
      <c r="A516" s="822"/>
      <c r="B516" s="95">
        <v>1</v>
      </c>
      <c r="C516" s="157" t="s">
        <v>6976</v>
      </c>
      <c r="D516" s="195"/>
      <c r="E516" s="107"/>
      <c r="F516" s="179">
        <v>0</v>
      </c>
      <c r="G516" s="179">
        <v>0</v>
      </c>
      <c r="H516" s="179">
        <f>F516*G516</f>
        <v>0</v>
      </c>
    </row>
    <row r="517" spans="1:8">
      <c r="A517" s="822"/>
      <c r="B517" s="114"/>
      <c r="C517" s="154"/>
      <c r="D517" s="192"/>
      <c r="E517" s="191"/>
      <c r="F517" s="182">
        <v>0</v>
      </c>
      <c r="G517" s="182">
        <v>0</v>
      </c>
      <c r="H517" s="182">
        <f>F517*G517</f>
        <v>0</v>
      </c>
    </row>
    <row r="518" spans="1:8">
      <c r="A518" s="822"/>
      <c r="B518" s="176"/>
      <c r="C518" s="174"/>
      <c r="D518" s="174" t="s">
        <v>2380</v>
      </c>
      <c r="E518" s="174"/>
      <c r="F518" s="192"/>
      <c r="G518" s="275" t="s">
        <v>1698</v>
      </c>
      <c r="H518" s="318">
        <f>SUM(H516:H517)</f>
        <v>0</v>
      </c>
    </row>
    <row r="519" spans="1:8">
      <c r="A519" s="822"/>
    </row>
    <row r="520" spans="1:8">
      <c r="A520" s="822"/>
      <c r="B520" s="79" t="s">
        <v>2381</v>
      </c>
    </row>
    <row r="521" spans="1:8">
      <c r="A521" s="822"/>
      <c r="B521" s="95" t="s">
        <v>2369</v>
      </c>
      <c r="C521" s="157" t="s">
        <v>2378</v>
      </c>
      <c r="D521" s="195"/>
      <c r="E521" s="95" t="s">
        <v>2370</v>
      </c>
      <c r="F521" s="95" t="s">
        <v>1166</v>
      </c>
      <c r="G521" s="95" t="s">
        <v>2371</v>
      </c>
      <c r="H521" s="95" t="s">
        <v>2372</v>
      </c>
    </row>
    <row r="522" spans="1:8">
      <c r="A522" s="822"/>
      <c r="B522" s="114"/>
      <c r="C522" s="154"/>
      <c r="D522" s="192"/>
      <c r="E522" s="105"/>
      <c r="F522" s="114"/>
      <c r="G522" s="114" t="s">
        <v>3485</v>
      </c>
      <c r="H522" s="114" t="s">
        <v>3485</v>
      </c>
    </row>
    <row r="523" spans="1:8">
      <c r="A523" s="822"/>
      <c r="B523" s="95">
        <v>1</v>
      </c>
      <c r="C523" s="148" t="s">
        <v>4206</v>
      </c>
      <c r="D523" s="187"/>
      <c r="E523" s="107" t="s">
        <v>1172</v>
      </c>
      <c r="F523" s="178">
        <v>0.25</v>
      </c>
      <c r="G523" s="179">
        <f>'BASIC DATA'!C473</f>
        <v>450</v>
      </c>
      <c r="H523" s="179">
        <f>F523*G523</f>
        <v>112.5</v>
      </c>
    </row>
    <row r="524" spans="1:8">
      <c r="A524" s="822"/>
      <c r="B524" s="114">
        <v>2</v>
      </c>
      <c r="C524" s="89" t="s">
        <v>2697</v>
      </c>
      <c r="D524" s="174"/>
      <c r="E524" s="191" t="s">
        <v>1172</v>
      </c>
      <c r="F524" s="181">
        <v>3</v>
      </c>
      <c r="G524" s="182">
        <f>'BASIC DATA'!C552</f>
        <v>350</v>
      </c>
      <c r="H524" s="190">
        <f>F524*G524</f>
        <v>1050</v>
      </c>
    </row>
    <row r="525" spans="1:8">
      <c r="A525" s="822"/>
      <c r="B525" s="176"/>
      <c r="C525" s="174"/>
      <c r="D525" s="174" t="s">
        <v>1174</v>
      </c>
      <c r="E525" s="174"/>
      <c r="F525" s="192"/>
      <c r="G525" s="275" t="s">
        <v>1698</v>
      </c>
      <c r="H525" s="318">
        <f>SUM(H523:H524)</f>
        <v>1162.5</v>
      </c>
    </row>
    <row r="526" spans="1:8">
      <c r="A526" s="822"/>
      <c r="B526" s="60" t="s">
        <v>5948</v>
      </c>
      <c r="C526" s="31"/>
      <c r="D526" s="31"/>
      <c r="E526" s="85">
        <f>ROUND(H525/G504,1)</f>
        <v>290.60000000000002</v>
      </c>
      <c r="G526" s="31"/>
    </row>
    <row r="527" spans="1:8">
      <c r="A527" s="822"/>
      <c r="B527" s="60" t="s">
        <v>3163</v>
      </c>
      <c r="C527" s="31"/>
      <c r="D527" s="922">
        <f>'BASIC DATA'!$C$577</f>
        <v>0.13614999999999999</v>
      </c>
      <c r="E527" s="85">
        <f>ROUND(E526*D527,1)</f>
        <v>39.6</v>
      </c>
      <c r="G527" s="31"/>
    </row>
    <row r="528" spans="1:8">
      <c r="A528" s="822"/>
      <c r="B528" s="60" t="s">
        <v>5949</v>
      </c>
      <c r="C528" s="31"/>
      <c r="D528" s="31"/>
      <c r="E528" s="739">
        <f>E527+E526</f>
        <v>330.20000000000005</v>
      </c>
      <c r="G528" s="31"/>
    </row>
    <row r="529" spans="1:8">
      <c r="A529" s="822"/>
    </row>
    <row r="530" spans="1:8">
      <c r="A530" s="822"/>
      <c r="B530" s="170" t="s">
        <v>1175</v>
      </c>
    </row>
    <row r="531" spans="1:8">
      <c r="A531" s="822"/>
      <c r="B531" s="26" t="s">
        <v>1176</v>
      </c>
      <c r="F531" s="171" t="s">
        <v>1698</v>
      </c>
      <c r="G531" s="68">
        <f>H511</f>
        <v>37.5</v>
      </c>
    </row>
    <row r="532" spans="1:8">
      <c r="A532" s="822"/>
      <c r="B532" s="26" t="s">
        <v>1186</v>
      </c>
      <c r="F532" s="171" t="s">
        <v>1698</v>
      </c>
      <c r="G532" s="68">
        <f>H518</f>
        <v>0</v>
      </c>
    </row>
    <row r="533" spans="1:8">
      <c r="A533" s="822"/>
      <c r="B533" s="26" t="s">
        <v>2660</v>
      </c>
      <c r="F533" s="171" t="s">
        <v>1698</v>
      </c>
      <c r="G533" s="68">
        <f>H525</f>
        <v>1162.5</v>
      </c>
    </row>
    <row r="534" spans="1:8">
      <c r="A534" s="822"/>
      <c r="E534" s="26" t="s">
        <v>1518</v>
      </c>
      <c r="F534" s="171" t="s">
        <v>1698</v>
      </c>
      <c r="G534" s="205">
        <f>SUM(G531:G533)</f>
        <v>1200</v>
      </c>
    </row>
    <row r="535" spans="1:8" ht="38.25" customHeight="1">
      <c r="A535" s="822"/>
      <c r="B535" s="1207" t="s">
        <v>1379</v>
      </c>
      <c r="C535" s="1207"/>
      <c r="E535" s="922">
        <f>'BASIC DATA'!$C$577</f>
        <v>0.13614999999999999</v>
      </c>
      <c r="F535" s="26" t="s">
        <v>1698</v>
      </c>
      <c r="G535" s="26">
        <f>G534*E535</f>
        <v>163.38</v>
      </c>
    </row>
    <row r="536" spans="1:8">
      <c r="A536" s="822"/>
      <c r="B536" s="26" t="s">
        <v>1191</v>
      </c>
      <c r="D536" s="68">
        <f>G504</f>
        <v>4</v>
      </c>
      <c r="E536" s="68" t="str">
        <f>H504</f>
        <v>Nos.</v>
      </c>
      <c r="F536" s="26" t="s">
        <v>1698</v>
      </c>
      <c r="G536" s="211">
        <f>G535+G534</f>
        <v>1363.38</v>
      </c>
    </row>
    <row r="537" spans="1:8">
      <c r="A537" s="822"/>
      <c r="B537" s="170" t="s">
        <v>1584</v>
      </c>
      <c r="C537" s="211" t="s">
        <v>4935</v>
      </c>
      <c r="D537" s="26" t="s">
        <v>4715</v>
      </c>
      <c r="F537" s="26" t="s">
        <v>4108</v>
      </c>
      <c r="G537" s="211">
        <f>ROUND(G536/D536,1)</f>
        <v>340.8</v>
      </c>
    </row>
    <row r="538" spans="1:8">
      <c r="A538" s="822"/>
    </row>
    <row r="539" spans="1:8">
      <c r="A539" s="822"/>
    </row>
    <row r="540" spans="1:8">
      <c r="A540" s="865" t="s">
        <v>7201</v>
      </c>
      <c r="B540" s="26" t="s">
        <v>9092</v>
      </c>
    </row>
    <row r="541" spans="1:8">
      <c r="B541" s="26" t="s">
        <v>9090</v>
      </c>
    </row>
    <row r="542" spans="1:8">
      <c r="A542" s="822"/>
    </row>
    <row r="543" spans="1:8" hidden="1">
      <c r="A543" s="865" t="s">
        <v>3984</v>
      </c>
      <c r="C543" s="26" t="s">
        <v>2936</v>
      </c>
      <c r="F543" s="78" t="s">
        <v>1697</v>
      </c>
      <c r="G543" s="26">
        <v>0.5</v>
      </c>
      <c r="H543" s="26" t="s">
        <v>2602</v>
      </c>
    </row>
    <row r="544" spans="1:8" hidden="1">
      <c r="A544" s="822"/>
      <c r="C544" s="26" t="s">
        <v>3885</v>
      </c>
      <c r="F544" s="78" t="s">
        <v>1697</v>
      </c>
      <c r="G544" s="26">
        <v>2</v>
      </c>
      <c r="H544" s="26" t="s">
        <v>2059</v>
      </c>
    </row>
    <row r="545" spans="1:8" hidden="1">
      <c r="A545" s="822"/>
      <c r="C545" s="26" t="s">
        <v>3887</v>
      </c>
    </row>
    <row r="546" spans="1:8">
      <c r="A546" s="822"/>
    </row>
    <row r="547" spans="1:8">
      <c r="A547" s="822" t="s">
        <v>3984</v>
      </c>
      <c r="C547" s="203" t="s">
        <v>2367</v>
      </c>
      <c r="D547" s="171"/>
      <c r="F547" s="171" t="s">
        <v>297</v>
      </c>
      <c r="G547" s="162">
        <v>2</v>
      </c>
      <c r="H547" s="26" t="s">
        <v>4041</v>
      </c>
    </row>
    <row r="548" spans="1:8">
      <c r="A548" s="822"/>
    </row>
    <row r="549" spans="1:8">
      <c r="A549" s="822"/>
      <c r="B549" s="79" t="s">
        <v>2368</v>
      </c>
    </row>
    <row r="550" spans="1:8">
      <c r="A550" s="822"/>
      <c r="B550" s="95" t="s">
        <v>2369</v>
      </c>
      <c r="C550" s="157" t="s">
        <v>6374</v>
      </c>
      <c r="D550" s="195"/>
      <c r="E550" s="95" t="s">
        <v>2370</v>
      </c>
      <c r="F550" s="95" t="s">
        <v>1166</v>
      </c>
      <c r="G550" s="95" t="s">
        <v>2371</v>
      </c>
      <c r="H550" s="95" t="s">
        <v>2372</v>
      </c>
    </row>
    <row r="551" spans="1:8">
      <c r="A551" s="822"/>
      <c r="B551" s="114"/>
      <c r="C551" s="154"/>
      <c r="D551" s="192"/>
      <c r="E551" s="114"/>
      <c r="F551" s="114"/>
      <c r="G551" s="114" t="s">
        <v>3485</v>
      </c>
      <c r="H551" s="114" t="s">
        <v>3485</v>
      </c>
    </row>
    <row r="552" spans="1:8">
      <c r="A552" s="822"/>
      <c r="B552" s="95">
        <v>1</v>
      </c>
      <c r="C552" s="131" t="s">
        <v>3053</v>
      </c>
      <c r="D552" s="195"/>
      <c r="E552" s="107" t="s">
        <v>2173</v>
      </c>
      <c r="F552" s="179">
        <v>0.25</v>
      </c>
      <c r="G552" s="212">
        <f>'BASIC DATA'!D374</f>
        <v>150</v>
      </c>
      <c r="H552" s="179">
        <f>F552*G552</f>
        <v>37.5</v>
      </c>
    </row>
    <row r="553" spans="1:8">
      <c r="A553" s="822"/>
      <c r="B553" s="114"/>
      <c r="C553" s="154"/>
      <c r="D553" s="192"/>
      <c r="E553" s="191"/>
      <c r="F553" s="182">
        <v>0</v>
      </c>
      <c r="G553" s="215">
        <v>0</v>
      </c>
      <c r="H553" s="182">
        <f>F553*G553</f>
        <v>0</v>
      </c>
    </row>
    <row r="554" spans="1:8">
      <c r="A554" s="822"/>
      <c r="B554" s="176"/>
      <c r="C554" s="174"/>
      <c r="D554" s="174" t="s">
        <v>2376</v>
      </c>
      <c r="E554" s="174"/>
      <c r="F554" s="192"/>
      <c r="G554" s="275" t="s">
        <v>1698</v>
      </c>
      <c r="H554" s="318">
        <f>SUM(H552:H553)</f>
        <v>37.5</v>
      </c>
    </row>
    <row r="555" spans="1:8">
      <c r="A555" s="822"/>
    </row>
    <row r="556" spans="1:8">
      <c r="A556" s="822"/>
      <c r="B556" s="79" t="s">
        <v>2377</v>
      </c>
    </row>
    <row r="557" spans="1:8">
      <c r="A557" s="822"/>
      <c r="B557" s="95" t="s">
        <v>2369</v>
      </c>
      <c r="C557" s="157" t="s">
        <v>2378</v>
      </c>
      <c r="D557" s="195"/>
      <c r="E557" s="95" t="s">
        <v>2370</v>
      </c>
      <c r="F557" s="95" t="s">
        <v>1166</v>
      </c>
      <c r="G557" s="95" t="s">
        <v>2371</v>
      </c>
      <c r="H557" s="95" t="s">
        <v>2372</v>
      </c>
    </row>
    <row r="558" spans="1:8">
      <c r="A558" s="822"/>
      <c r="B558" s="114"/>
      <c r="C558" s="154"/>
      <c r="D558" s="192"/>
      <c r="E558" s="114"/>
      <c r="F558" s="114"/>
      <c r="G558" s="114" t="s">
        <v>3485</v>
      </c>
      <c r="H558" s="114" t="s">
        <v>3485</v>
      </c>
    </row>
    <row r="559" spans="1:8">
      <c r="A559" s="822"/>
      <c r="B559" s="95">
        <v>1</v>
      </c>
      <c r="C559" s="157" t="s">
        <v>6976</v>
      </c>
      <c r="D559" s="195"/>
      <c r="E559" s="107"/>
      <c r="F559" s="179">
        <v>0</v>
      </c>
      <c r="G559" s="179">
        <v>0</v>
      </c>
      <c r="H559" s="179">
        <f>F559*G559</f>
        <v>0</v>
      </c>
    </row>
    <row r="560" spans="1:8">
      <c r="A560" s="822"/>
      <c r="B560" s="114"/>
      <c r="C560" s="154"/>
      <c r="D560" s="192"/>
      <c r="E560" s="191"/>
      <c r="F560" s="182">
        <v>0</v>
      </c>
      <c r="G560" s="182">
        <v>0</v>
      </c>
      <c r="H560" s="182">
        <f>F560*G560</f>
        <v>0</v>
      </c>
    </row>
    <row r="561" spans="1:8">
      <c r="A561" s="822"/>
      <c r="B561" s="176"/>
      <c r="C561" s="174"/>
      <c r="D561" s="174" t="s">
        <v>2380</v>
      </c>
      <c r="E561" s="174"/>
      <c r="F561" s="192"/>
      <c r="G561" s="275" t="s">
        <v>1698</v>
      </c>
      <c r="H561" s="318">
        <f>SUM(H559:H560)</f>
        <v>0</v>
      </c>
    </row>
    <row r="562" spans="1:8">
      <c r="A562" s="822"/>
    </row>
    <row r="563" spans="1:8">
      <c r="A563" s="822"/>
      <c r="B563" s="79" t="s">
        <v>2381</v>
      </c>
    </row>
    <row r="564" spans="1:8">
      <c r="A564" s="822"/>
      <c r="B564" s="95" t="s">
        <v>2369</v>
      </c>
      <c r="C564" s="157" t="s">
        <v>2378</v>
      </c>
      <c r="D564" s="195"/>
      <c r="E564" s="95" t="s">
        <v>2370</v>
      </c>
      <c r="F564" s="95" t="s">
        <v>1166</v>
      </c>
      <c r="G564" s="95" t="s">
        <v>2371</v>
      </c>
      <c r="H564" s="95" t="s">
        <v>2372</v>
      </c>
    </row>
    <row r="565" spans="1:8">
      <c r="A565" s="822"/>
      <c r="B565" s="114"/>
      <c r="C565" s="154"/>
      <c r="D565" s="192"/>
      <c r="E565" s="105"/>
      <c r="F565" s="114"/>
      <c r="G565" s="114" t="s">
        <v>3485</v>
      </c>
      <c r="H565" s="114" t="s">
        <v>3485</v>
      </c>
    </row>
    <row r="566" spans="1:8">
      <c r="A566" s="822"/>
      <c r="B566" s="95">
        <v>1</v>
      </c>
      <c r="C566" s="148" t="s">
        <v>4206</v>
      </c>
      <c r="D566" s="187"/>
      <c r="E566" s="107" t="s">
        <v>1172</v>
      </c>
      <c r="F566" s="178">
        <v>0.25</v>
      </c>
      <c r="G566" s="179">
        <f>'BASIC DATA'!C473</f>
        <v>450</v>
      </c>
      <c r="H566" s="179">
        <f>F566*G566</f>
        <v>112.5</v>
      </c>
    </row>
    <row r="567" spans="1:8">
      <c r="A567" s="822"/>
      <c r="B567" s="114">
        <v>2</v>
      </c>
      <c r="C567" s="89" t="s">
        <v>2697</v>
      </c>
      <c r="D567" s="174"/>
      <c r="E567" s="191" t="s">
        <v>1172</v>
      </c>
      <c r="F567" s="181">
        <v>3</v>
      </c>
      <c r="G567" s="182">
        <f>'BASIC DATA'!C552</f>
        <v>350</v>
      </c>
      <c r="H567" s="190">
        <f>F567*G567</f>
        <v>1050</v>
      </c>
    </row>
    <row r="568" spans="1:8">
      <c r="A568" s="822"/>
      <c r="B568" s="176"/>
      <c r="C568" s="174"/>
      <c r="D568" s="174" t="s">
        <v>1174</v>
      </c>
      <c r="E568" s="174"/>
      <c r="F568" s="192"/>
      <c r="G568" s="275" t="s">
        <v>1698</v>
      </c>
      <c r="H568" s="318">
        <f>SUM(H566:H567)</f>
        <v>1162.5</v>
      </c>
    </row>
    <row r="569" spans="1:8">
      <c r="A569" s="822"/>
      <c r="B569" s="60" t="s">
        <v>5948</v>
      </c>
      <c r="C569" s="31"/>
      <c r="D569" s="31"/>
      <c r="E569" s="85">
        <f>ROUND(H568/G547,1)</f>
        <v>581.29999999999995</v>
      </c>
      <c r="G569" s="31"/>
    </row>
    <row r="570" spans="1:8">
      <c r="A570" s="822"/>
      <c r="B570" s="60" t="s">
        <v>3163</v>
      </c>
      <c r="C570" s="31"/>
      <c r="D570" s="922">
        <f>'BASIC DATA'!$C$577</f>
        <v>0.13614999999999999</v>
      </c>
      <c r="E570" s="85">
        <f>ROUND(E569*D570,1)</f>
        <v>79.099999999999994</v>
      </c>
      <c r="G570" s="31"/>
    </row>
    <row r="571" spans="1:8">
      <c r="A571" s="822"/>
      <c r="B571" s="60" t="s">
        <v>5949</v>
      </c>
      <c r="C571" s="31"/>
      <c r="D571" s="31"/>
      <c r="E571" s="739">
        <f>E570+E569</f>
        <v>660.4</v>
      </c>
      <c r="G571" s="31"/>
    </row>
    <row r="572" spans="1:8">
      <c r="A572" s="822"/>
    </row>
    <row r="573" spans="1:8">
      <c r="A573" s="822"/>
      <c r="B573" s="170" t="s">
        <v>1175</v>
      </c>
    </row>
    <row r="574" spans="1:8">
      <c r="A574" s="822"/>
      <c r="B574" s="26" t="s">
        <v>1176</v>
      </c>
      <c r="F574" s="171" t="s">
        <v>1698</v>
      </c>
      <c r="G574" s="68">
        <f>H554</f>
        <v>37.5</v>
      </c>
    </row>
    <row r="575" spans="1:8">
      <c r="A575" s="822"/>
      <c r="B575" s="26" t="s">
        <v>1186</v>
      </c>
      <c r="F575" s="171" t="s">
        <v>1698</v>
      </c>
      <c r="G575" s="68">
        <f>H561</f>
        <v>0</v>
      </c>
    </row>
    <row r="576" spans="1:8">
      <c r="A576" s="822"/>
      <c r="B576" s="26" t="s">
        <v>2660</v>
      </c>
      <c r="F576" s="171" t="s">
        <v>1698</v>
      </c>
      <c r="G576" s="75">
        <f>H568</f>
        <v>1162.5</v>
      </c>
    </row>
    <row r="577" spans="1:8">
      <c r="A577" s="822"/>
      <c r="E577" s="26" t="s">
        <v>1518</v>
      </c>
      <c r="F577" s="171" t="s">
        <v>1698</v>
      </c>
      <c r="G577" s="205">
        <f>SUM(G574:G576)</f>
        <v>1200</v>
      </c>
    </row>
    <row r="578" spans="1:8" ht="43.5" customHeight="1">
      <c r="A578" s="822"/>
      <c r="B578" s="1207" t="s">
        <v>1379</v>
      </c>
      <c r="C578" s="1207"/>
      <c r="E578" s="922">
        <f>'BASIC DATA'!$C$577</f>
        <v>0.13614999999999999</v>
      </c>
      <c r="F578" s="26" t="s">
        <v>1698</v>
      </c>
      <c r="G578" s="26">
        <f>G577*E578</f>
        <v>163.38</v>
      </c>
    </row>
    <row r="579" spans="1:8">
      <c r="A579" s="822"/>
      <c r="B579" s="26" t="s">
        <v>1191</v>
      </c>
      <c r="D579" s="68">
        <f>G547</f>
        <v>2</v>
      </c>
      <c r="E579" s="68" t="str">
        <f>H547</f>
        <v>Nos.</v>
      </c>
      <c r="F579" s="26" t="s">
        <v>1698</v>
      </c>
      <c r="G579" s="211">
        <f>G578+G577</f>
        <v>1363.38</v>
      </c>
    </row>
    <row r="580" spans="1:8">
      <c r="A580" s="822"/>
      <c r="B580" s="170" t="s">
        <v>1584</v>
      </c>
      <c r="C580" s="211" t="s">
        <v>4935</v>
      </c>
      <c r="D580" s="26" t="s">
        <v>4723</v>
      </c>
      <c r="F580" s="26" t="s">
        <v>4108</v>
      </c>
      <c r="G580" s="211">
        <f>ROUND(G579/D579,1)</f>
        <v>681.7</v>
      </c>
    </row>
    <row r="581" spans="1:8">
      <c r="A581" s="822"/>
    </row>
    <row r="582" spans="1:8">
      <c r="A582" s="822"/>
    </row>
    <row r="583" spans="1:8">
      <c r="A583" s="865" t="s">
        <v>7202</v>
      </c>
      <c r="B583" s="26" t="s">
        <v>9093</v>
      </c>
    </row>
    <row r="584" spans="1:8">
      <c r="B584" s="26" t="s">
        <v>9090</v>
      </c>
    </row>
    <row r="585" spans="1:8">
      <c r="B585" s="26"/>
    </row>
    <row r="586" spans="1:8" hidden="1">
      <c r="A586" s="865" t="s">
        <v>3984</v>
      </c>
      <c r="B586" s="26" t="s">
        <v>2937</v>
      </c>
      <c r="F586" s="78" t="s">
        <v>1697</v>
      </c>
      <c r="G586" s="26">
        <v>0.7</v>
      </c>
      <c r="H586" s="26" t="s">
        <v>2602</v>
      </c>
    </row>
    <row r="587" spans="1:8" hidden="1">
      <c r="B587" s="26" t="s">
        <v>3888</v>
      </c>
      <c r="F587" s="78" t="s">
        <v>1697</v>
      </c>
      <c r="G587" s="26">
        <v>1</v>
      </c>
      <c r="H587" s="26" t="s">
        <v>3518</v>
      </c>
    </row>
    <row r="588" spans="1:8" hidden="1">
      <c r="B588" s="26" t="s">
        <v>3886</v>
      </c>
    </row>
    <row r="589" spans="1:8">
      <c r="A589" s="822"/>
    </row>
    <row r="590" spans="1:8">
      <c r="A590" s="822" t="s">
        <v>3984</v>
      </c>
      <c r="C590" s="203" t="s">
        <v>2367</v>
      </c>
      <c r="D590" s="171"/>
      <c r="F590" s="171" t="s">
        <v>297</v>
      </c>
      <c r="G590" s="162">
        <v>1</v>
      </c>
      <c r="H590" s="26" t="s">
        <v>4089</v>
      </c>
    </row>
    <row r="591" spans="1:8">
      <c r="A591" s="822"/>
    </row>
    <row r="592" spans="1:8">
      <c r="A592" s="822"/>
      <c r="B592" s="79" t="s">
        <v>2368</v>
      </c>
    </row>
    <row r="593" spans="1:8">
      <c r="A593" s="822"/>
      <c r="B593" s="95" t="s">
        <v>2369</v>
      </c>
      <c r="C593" s="157" t="s">
        <v>6374</v>
      </c>
      <c r="D593" s="195"/>
      <c r="E593" s="95" t="s">
        <v>2370</v>
      </c>
      <c r="F593" s="95" t="s">
        <v>1166</v>
      </c>
      <c r="G593" s="95" t="s">
        <v>2371</v>
      </c>
      <c r="H593" s="95" t="s">
        <v>2372</v>
      </c>
    </row>
    <row r="594" spans="1:8">
      <c r="A594" s="822"/>
      <c r="B594" s="114"/>
      <c r="C594" s="154"/>
      <c r="D594" s="192"/>
      <c r="E594" s="114"/>
      <c r="F594" s="114"/>
      <c r="G594" s="114" t="s">
        <v>3485</v>
      </c>
      <c r="H594" s="114" t="s">
        <v>3485</v>
      </c>
    </row>
    <row r="595" spans="1:8">
      <c r="A595" s="822"/>
      <c r="B595" s="95">
        <v>1</v>
      </c>
      <c r="C595" s="131" t="s">
        <v>3053</v>
      </c>
      <c r="D595" s="195"/>
      <c r="E595" s="107" t="s">
        <v>2173</v>
      </c>
      <c r="F595" s="179">
        <v>0.25</v>
      </c>
      <c r="G595" s="212">
        <f>'BASIC DATA'!D374</f>
        <v>150</v>
      </c>
      <c r="H595" s="179">
        <f>F595*G595</f>
        <v>37.5</v>
      </c>
    </row>
    <row r="596" spans="1:8">
      <c r="A596" s="822"/>
      <c r="B596" s="114"/>
      <c r="C596" s="154"/>
      <c r="D596" s="192"/>
      <c r="E596" s="191"/>
      <c r="F596" s="182">
        <v>0</v>
      </c>
      <c r="G596" s="215">
        <v>0</v>
      </c>
      <c r="H596" s="182">
        <f>F596*G596</f>
        <v>0</v>
      </c>
    </row>
    <row r="597" spans="1:8">
      <c r="A597" s="822"/>
      <c r="B597" s="176"/>
      <c r="C597" s="174"/>
      <c r="D597" s="174" t="s">
        <v>2376</v>
      </c>
      <c r="E597" s="174"/>
      <c r="F597" s="192"/>
      <c r="G597" s="275" t="s">
        <v>1698</v>
      </c>
      <c r="H597" s="318">
        <f>SUM(H595:H596)</f>
        <v>37.5</v>
      </c>
    </row>
    <row r="598" spans="1:8">
      <c r="A598" s="822"/>
    </row>
    <row r="599" spans="1:8">
      <c r="A599" s="822"/>
      <c r="B599" s="79" t="s">
        <v>2377</v>
      </c>
    </row>
    <row r="600" spans="1:8">
      <c r="A600" s="822"/>
      <c r="B600" s="95" t="s">
        <v>2369</v>
      </c>
      <c r="C600" s="157" t="s">
        <v>2378</v>
      </c>
      <c r="D600" s="195"/>
      <c r="E600" s="95" t="s">
        <v>2370</v>
      </c>
      <c r="F600" s="95" t="s">
        <v>1166</v>
      </c>
      <c r="G600" s="95" t="s">
        <v>2371</v>
      </c>
      <c r="H600" s="95" t="s">
        <v>2372</v>
      </c>
    </row>
    <row r="601" spans="1:8">
      <c r="A601" s="822"/>
      <c r="B601" s="114"/>
      <c r="C601" s="154"/>
      <c r="D601" s="192"/>
      <c r="E601" s="114"/>
      <c r="F601" s="114"/>
      <c r="G601" s="114" t="s">
        <v>3485</v>
      </c>
      <c r="H601" s="114" t="s">
        <v>3485</v>
      </c>
    </row>
    <row r="602" spans="1:8">
      <c r="A602" s="822"/>
      <c r="B602" s="95">
        <v>1</v>
      </c>
      <c r="C602" s="157" t="s">
        <v>6976</v>
      </c>
      <c r="D602" s="195"/>
      <c r="E602" s="107"/>
      <c r="F602" s="179">
        <v>0</v>
      </c>
      <c r="G602" s="179">
        <v>0</v>
      </c>
      <c r="H602" s="179">
        <f>F602*G602</f>
        <v>0</v>
      </c>
    </row>
    <row r="603" spans="1:8">
      <c r="A603" s="822"/>
      <c r="B603" s="114"/>
      <c r="C603" s="154"/>
      <c r="D603" s="192"/>
      <c r="E603" s="191"/>
      <c r="F603" s="182">
        <v>0</v>
      </c>
      <c r="G603" s="182">
        <v>0</v>
      </c>
      <c r="H603" s="182">
        <f>F603*G603</f>
        <v>0</v>
      </c>
    </row>
    <row r="604" spans="1:8">
      <c r="A604" s="822"/>
      <c r="B604" s="176"/>
      <c r="C604" s="174"/>
      <c r="D604" s="174" t="s">
        <v>2380</v>
      </c>
      <c r="E604" s="174"/>
      <c r="F604" s="192"/>
      <c r="G604" s="236" t="s">
        <v>1698</v>
      </c>
      <c r="H604" s="318">
        <f>SUM(H602:H603)</f>
        <v>0</v>
      </c>
    </row>
    <row r="605" spans="1:8">
      <c r="A605" s="822"/>
    </row>
    <row r="606" spans="1:8">
      <c r="A606" s="822"/>
      <c r="B606" s="79" t="s">
        <v>2381</v>
      </c>
    </row>
    <row r="607" spans="1:8">
      <c r="A607" s="822"/>
      <c r="B607" s="95" t="s">
        <v>2369</v>
      </c>
      <c r="C607" s="157" t="s">
        <v>2378</v>
      </c>
      <c r="D607" s="195"/>
      <c r="E607" s="95" t="s">
        <v>2370</v>
      </c>
      <c r="F607" s="95" t="s">
        <v>1166</v>
      </c>
      <c r="G607" s="95" t="s">
        <v>2371</v>
      </c>
      <c r="H607" s="95" t="s">
        <v>2372</v>
      </c>
    </row>
    <row r="608" spans="1:8">
      <c r="A608" s="822"/>
      <c r="B608" s="114"/>
      <c r="C608" s="154"/>
      <c r="D608" s="192"/>
      <c r="E608" s="105"/>
      <c r="F608" s="114"/>
      <c r="G608" s="114" t="s">
        <v>3485</v>
      </c>
      <c r="H608" s="114" t="s">
        <v>3485</v>
      </c>
    </row>
    <row r="609" spans="1:8">
      <c r="A609" s="822"/>
      <c r="B609" s="95">
        <v>1</v>
      </c>
      <c r="C609" s="148" t="s">
        <v>4206</v>
      </c>
      <c r="D609" s="187"/>
      <c r="E609" s="107" t="s">
        <v>1172</v>
      </c>
      <c r="F609" s="178">
        <v>0.25</v>
      </c>
      <c r="G609" s="179">
        <f>'BASIC DATA'!C473</f>
        <v>450</v>
      </c>
      <c r="H609" s="179">
        <f>F609*G609</f>
        <v>112.5</v>
      </c>
    </row>
    <row r="610" spans="1:8">
      <c r="A610" s="822"/>
      <c r="B610" s="114">
        <v>2</v>
      </c>
      <c r="C610" s="89" t="s">
        <v>2697</v>
      </c>
      <c r="D610" s="174"/>
      <c r="E610" s="191" t="s">
        <v>1172</v>
      </c>
      <c r="F610" s="181">
        <v>3</v>
      </c>
      <c r="G610" s="182">
        <f>'BASIC DATA'!C552</f>
        <v>350</v>
      </c>
      <c r="H610" s="190">
        <f>F610*G610</f>
        <v>1050</v>
      </c>
    </row>
    <row r="611" spans="1:8">
      <c r="A611" s="822"/>
      <c r="B611" s="176"/>
      <c r="C611" s="174"/>
      <c r="D611" s="174" t="s">
        <v>1174</v>
      </c>
      <c r="E611" s="174"/>
      <c r="F611" s="192"/>
      <c r="G611" s="275" t="s">
        <v>1698</v>
      </c>
      <c r="H611" s="318">
        <f>SUM(H609:H610)</f>
        <v>1162.5</v>
      </c>
    </row>
    <row r="612" spans="1:8">
      <c r="A612" s="822"/>
      <c r="B612" s="60" t="s">
        <v>5948</v>
      </c>
      <c r="C612" s="31"/>
      <c r="D612" s="31"/>
      <c r="E612" s="85">
        <f>ROUND(H611/G590,1)</f>
        <v>1162.5</v>
      </c>
      <c r="G612" s="31"/>
    </row>
    <row r="613" spans="1:8">
      <c r="A613" s="822"/>
      <c r="B613" s="60" t="s">
        <v>3163</v>
      </c>
      <c r="C613" s="31"/>
      <c r="D613" s="922">
        <f>'BASIC DATA'!$C$577</f>
        <v>0.13614999999999999</v>
      </c>
      <c r="E613" s="85">
        <f>ROUND(E612*D613,1)</f>
        <v>158.30000000000001</v>
      </c>
      <c r="G613" s="31"/>
    </row>
    <row r="614" spans="1:8">
      <c r="A614" s="822"/>
      <c r="B614" s="60" t="s">
        <v>5949</v>
      </c>
      <c r="C614" s="31"/>
      <c r="D614" s="31"/>
      <c r="E614" s="739">
        <f>E613+E612</f>
        <v>1320.8</v>
      </c>
      <c r="G614" s="31"/>
    </row>
    <row r="615" spans="1:8">
      <c r="A615" s="822"/>
      <c r="B615" s="26"/>
    </row>
    <row r="616" spans="1:8">
      <c r="A616" s="822"/>
      <c r="B616" s="170" t="s">
        <v>1175</v>
      </c>
    </row>
    <row r="617" spans="1:8">
      <c r="A617" s="822"/>
      <c r="B617" s="26" t="s">
        <v>1176</v>
      </c>
      <c r="F617" s="171" t="s">
        <v>1698</v>
      </c>
      <c r="G617" s="68">
        <f>H597</f>
        <v>37.5</v>
      </c>
    </row>
    <row r="618" spans="1:8">
      <c r="A618" s="822"/>
      <c r="B618" s="26" t="s">
        <v>1186</v>
      </c>
      <c r="F618" s="171" t="s">
        <v>1698</v>
      </c>
      <c r="G618" s="68">
        <f>H604</f>
        <v>0</v>
      </c>
    </row>
    <row r="619" spans="1:8">
      <c r="A619" s="822"/>
      <c r="B619" s="26" t="s">
        <v>2660</v>
      </c>
      <c r="F619" s="171" t="s">
        <v>1698</v>
      </c>
      <c r="G619" s="75">
        <f>H611</f>
        <v>1162.5</v>
      </c>
    </row>
    <row r="620" spans="1:8">
      <c r="A620" s="822"/>
      <c r="E620" s="26" t="s">
        <v>1518</v>
      </c>
      <c r="F620" s="171" t="s">
        <v>1698</v>
      </c>
      <c r="G620" s="205">
        <f>SUM(G617:G619)</f>
        <v>1200</v>
      </c>
    </row>
    <row r="621" spans="1:8" ht="41.25" customHeight="1">
      <c r="A621" s="822"/>
      <c r="B621" s="1207" t="s">
        <v>1379</v>
      </c>
      <c r="C621" s="1207"/>
      <c r="E621" s="922">
        <f>'BASIC DATA'!$C$577</f>
        <v>0.13614999999999999</v>
      </c>
      <c r="F621" s="26" t="s">
        <v>1698</v>
      </c>
      <c r="G621" s="26">
        <f>G620*E621</f>
        <v>163.38</v>
      </c>
    </row>
    <row r="622" spans="1:8">
      <c r="A622" s="822"/>
      <c r="B622" s="26" t="s">
        <v>1191</v>
      </c>
      <c r="D622" s="68">
        <f>G590</f>
        <v>1</v>
      </c>
      <c r="E622" s="68" t="str">
        <f>H590</f>
        <v>No.</v>
      </c>
      <c r="F622" s="26" t="s">
        <v>1698</v>
      </c>
      <c r="G622" s="211">
        <f>G621+G620</f>
        <v>1363.38</v>
      </c>
    </row>
    <row r="623" spans="1:8">
      <c r="A623" s="822"/>
      <c r="B623" s="170" t="s">
        <v>1584</v>
      </c>
      <c r="C623" s="211" t="s">
        <v>4935</v>
      </c>
      <c r="D623" s="26" t="s">
        <v>1324</v>
      </c>
      <c r="F623" s="26" t="s">
        <v>4108</v>
      </c>
      <c r="G623" s="211">
        <f>ROUND(G622/D622,1)</f>
        <v>1363.4</v>
      </c>
    </row>
    <row r="624" spans="1:8">
      <c r="A624" s="822"/>
    </row>
    <row r="625" spans="1:8">
      <c r="A625" s="822"/>
    </row>
    <row r="626" spans="1:8">
      <c r="A626" s="865" t="s">
        <v>7203</v>
      </c>
      <c r="B626" s="26" t="s">
        <v>9094</v>
      </c>
    </row>
    <row r="627" spans="1:8">
      <c r="B627" s="26" t="s">
        <v>9095</v>
      </c>
    </row>
    <row r="628" spans="1:8">
      <c r="B628" s="26"/>
    </row>
    <row r="629" spans="1:8" hidden="1">
      <c r="A629" s="865" t="s">
        <v>3984</v>
      </c>
      <c r="B629" s="26" t="s">
        <v>3771</v>
      </c>
      <c r="F629" s="78" t="s">
        <v>1697</v>
      </c>
      <c r="G629" s="26">
        <v>0.9</v>
      </c>
      <c r="H629" s="26" t="s">
        <v>2602</v>
      </c>
    </row>
    <row r="630" spans="1:8" hidden="1">
      <c r="B630" s="26" t="s">
        <v>2098</v>
      </c>
      <c r="F630" s="78" t="s">
        <v>1697</v>
      </c>
      <c r="G630" s="26">
        <v>1</v>
      </c>
      <c r="H630" s="26" t="s">
        <v>3518</v>
      </c>
    </row>
    <row r="631" spans="1:8" hidden="1">
      <c r="B631" s="26" t="s">
        <v>2099</v>
      </c>
    </row>
    <row r="632" spans="1:8">
      <c r="A632" s="822"/>
    </row>
    <row r="633" spans="1:8">
      <c r="A633" s="822" t="s">
        <v>3984</v>
      </c>
      <c r="C633" s="203" t="s">
        <v>2367</v>
      </c>
      <c r="D633" s="171"/>
      <c r="F633" s="171" t="s">
        <v>297</v>
      </c>
      <c r="G633" s="162">
        <v>1</v>
      </c>
      <c r="H633" s="26" t="s">
        <v>4041</v>
      </c>
    </row>
    <row r="634" spans="1:8">
      <c r="A634" s="822"/>
    </row>
    <row r="635" spans="1:8">
      <c r="A635" s="822"/>
      <c r="B635" s="79" t="s">
        <v>2368</v>
      </c>
    </row>
    <row r="636" spans="1:8">
      <c r="A636" s="822"/>
      <c r="B636" s="95" t="s">
        <v>2369</v>
      </c>
      <c r="C636" s="157" t="s">
        <v>6374</v>
      </c>
      <c r="D636" s="195"/>
      <c r="E636" s="95" t="s">
        <v>2370</v>
      </c>
      <c r="F636" s="95" t="s">
        <v>1166</v>
      </c>
      <c r="G636" s="95" t="s">
        <v>2371</v>
      </c>
      <c r="H636" s="95" t="s">
        <v>2372</v>
      </c>
    </row>
    <row r="637" spans="1:8">
      <c r="A637" s="822"/>
      <c r="B637" s="114"/>
      <c r="C637" s="154"/>
      <c r="D637" s="192"/>
      <c r="E637" s="114"/>
      <c r="F637" s="114"/>
      <c r="G637" s="114" t="s">
        <v>3485</v>
      </c>
      <c r="H637" s="114" t="s">
        <v>3485</v>
      </c>
    </row>
    <row r="638" spans="1:8">
      <c r="A638" s="822"/>
      <c r="B638" s="95">
        <v>1</v>
      </c>
      <c r="C638" s="131" t="s">
        <v>3053</v>
      </c>
      <c r="D638" s="195"/>
      <c r="E638" s="107" t="s">
        <v>2173</v>
      </c>
      <c r="F638" s="179">
        <v>0.5</v>
      </c>
      <c r="G638" s="212">
        <f>'BASIC DATA'!D374</f>
        <v>150</v>
      </c>
      <c r="H638" s="179">
        <f>F638*G638</f>
        <v>75</v>
      </c>
    </row>
    <row r="639" spans="1:8">
      <c r="A639" s="822"/>
      <c r="B639" s="114"/>
      <c r="C639" s="154"/>
      <c r="D639" s="192"/>
      <c r="E639" s="191"/>
      <c r="F639" s="182">
        <v>0</v>
      </c>
      <c r="G639" s="215">
        <v>0</v>
      </c>
      <c r="H639" s="182">
        <f>F639*G639</f>
        <v>0</v>
      </c>
    </row>
    <row r="640" spans="1:8">
      <c r="A640" s="822"/>
      <c r="B640" s="176"/>
      <c r="C640" s="174"/>
      <c r="D640" s="174" t="s">
        <v>2376</v>
      </c>
      <c r="E640" s="174"/>
      <c r="F640" s="192"/>
      <c r="G640" s="275" t="s">
        <v>1698</v>
      </c>
      <c r="H640" s="318">
        <f>SUM(H638:H639)</f>
        <v>75</v>
      </c>
    </row>
    <row r="641" spans="1:8">
      <c r="A641" s="822"/>
    </row>
    <row r="642" spans="1:8">
      <c r="A642" s="822"/>
    </row>
    <row r="643" spans="1:8">
      <c r="A643" s="822"/>
      <c r="B643" s="79" t="s">
        <v>2377</v>
      </c>
    </row>
    <row r="644" spans="1:8">
      <c r="A644" s="822"/>
      <c r="B644" s="95" t="s">
        <v>2369</v>
      </c>
      <c r="C644" s="157" t="s">
        <v>2378</v>
      </c>
      <c r="D644" s="195"/>
      <c r="E644" s="95" t="s">
        <v>2370</v>
      </c>
      <c r="F644" s="95" t="s">
        <v>1166</v>
      </c>
      <c r="G644" s="95" t="s">
        <v>2371</v>
      </c>
      <c r="H644" s="95" t="s">
        <v>2372</v>
      </c>
    </row>
    <row r="645" spans="1:8">
      <c r="A645" s="822"/>
      <c r="B645" s="114"/>
      <c r="C645" s="154"/>
      <c r="D645" s="192"/>
      <c r="E645" s="114"/>
      <c r="F645" s="114"/>
      <c r="G645" s="114" t="s">
        <v>3485</v>
      </c>
      <c r="H645" s="114" t="s">
        <v>3485</v>
      </c>
    </row>
    <row r="646" spans="1:8">
      <c r="A646" s="822"/>
      <c r="B646" s="95">
        <v>1</v>
      </c>
      <c r="C646" s="157" t="s">
        <v>6976</v>
      </c>
      <c r="D646" s="195"/>
      <c r="E646" s="107"/>
      <c r="F646" s="179">
        <v>0</v>
      </c>
      <c r="G646" s="179">
        <v>0</v>
      </c>
      <c r="H646" s="179">
        <f>F646*G646</f>
        <v>0</v>
      </c>
    </row>
    <row r="647" spans="1:8">
      <c r="A647" s="822"/>
      <c r="B647" s="114"/>
      <c r="C647" s="154"/>
      <c r="D647" s="192"/>
      <c r="E647" s="191"/>
      <c r="F647" s="182">
        <v>0</v>
      </c>
      <c r="G647" s="182">
        <v>0</v>
      </c>
      <c r="H647" s="182">
        <f>F647*G647</f>
        <v>0</v>
      </c>
    </row>
    <row r="648" spans="1:8">
      <c r="A648" s="822"/>
      <c r="B648" s="176"/>
      <c r="C648" s="174"/>
      <c r="D648" s="174" t="s">
        <v>2380</v>
      </c>
      <c r="E648" s="174"/>
      <c r="F648" s="192"/>
      <c r="G648" s="275" t="s">
        <v>1698</v>
      </c>
      <c r="H648" s="318">
        <f>SUM(H646:H647)</f>
        <v>0</v>
      </c>
    </row>
    <row r="649" spans="1:8">
      <c r="A649" s="822"/>
    </row>
    <row r="650" spans="1:8">
      <c r="A650" s="822"/>
    </row>
    <row r="651" spans="1:8">
      <c r="A651" s="822"/>
      <c r="B651" s="79" t="s">
        <v>2381</v>
      </c>
    </row>
    <row r="652" spans="1:8">
      <c r="A652" s="822"/>
      <c r="B652" s="95" t="s">
        <v>2369</v>
      </c>
      <c r="C652" s="157" t="s">
        <v>2378</v>
      </c>
      <c r="D652" s="195"/>
      <c r="E652" s="95" t="s">
        <v>2370</v>
      </c>
      <c r="F652" s="95" t="s">
        <v>1166</v>
      </c>
      <c r="G652" s="95" t="s">
        <v>2371</v>
      </c>
      <c r="H652" s="95" t="s">
        <v>2372</v>
      </c>
    </row>
    <row r="653" spans="1:8">
      <c r="A653" s="822"/>
      <c r="B653" s="114"/>
      <c r="C653" s="154"/>
      <c r="D653" s="192"/>
      <c r="E653" s="105"/>
      <c r="F653" s="114"/>
      <c r="G653" s="114" t="s">
        <v>3485</v>
      </c>
      <c r="H653" s="114" t="s">
        <v>3485</v>
      </c>
    </row>
    <row r="654" spans="1:8">
      <c r="A654" s="822"/>
      <c r="B654" s="95">
        <v>1</v>
      </c>
      <c r="C654" s="148" t="s">
        <v>4206</v>
      </c>
      <c r="D654" s="187"/>
      <c r="E654" s="107" t="s">
        <v>1172</v>
      </c>
      <c r="F654" s="178">
        <v>0.25</v>
      </c>
      <c r="G654" s="179">
        <f>'BASIC DATA'!C473</f>
        <v>450</v>
      </c>
      <c r="H654" s="179">
        <f>F654*G654</f>
        <v>112.5</v>
      </c>
    </row>
    <row r="655" spans="1:8">
      <c r="A655" s="822"/>
      <c r="B655" s="114">
        <v>2</v>
      </c>
      <c r="C655" s="89" t="s">
        <v>2697</v>
      </c>
      <c r="D655" s="174"/>
      <c r="E655" s="191" t="s">
        <v>1172</v>
      </c>
      <c r="F655" s="181">
        <v>5</v>
      </c>
      <c r="G655" s="182">
        <f>'BASIC DATA'!C552</f>
        <v>350</v>
      </c>
      <c r="H655" s="190">
        <f>F655*G655</f>
        <v>1750</v>
      </c>
    </row>
    <row r="656" spans="1:8">
      <c r="A656" s="822"/>
      <c r="B656" s="176"/>
      <c r="C656" s="174"/>
      <c r="D656" s="174" t="s">
        <v>1174</v>
      </c>
      <c r="E656" s="174"/>
      <c r="F656" s="192"/>
      <c r="G656" s="275" t="s">
        <v>1698</v>
      </c>
      <c r="H656" s="318">
        <f>SUM(H654:H655)</f>
        <v>1862.5</v>
      </c>
    </row>
    <row r="657" spans="1:7">
      <c r="A657" s="822"/>
      <c r="B657" s="60" t="s">
        <v>5948</v>
      </c>
      <c r="C657" s="31"/>
      <c r="D657" s="31"/>
      <c r="E657" s="85">
        <f>ROUND(H656/G633,1)</f>
        <v>1862.5</v>
      </c>
      <c r="G657" s="31"/>
    </row>
    <row r="658" spans="1:7">
      <c r="A658" s="822"/>
      <c r="B658" s="60" t="s">
        <v>3163</v>
      </c>
      <c r="C658" s="31"/>
      <c r="D658" s="922">
        <f>'BASIC DATA'!$C$577</f>
        <v>0.13614999999999999</v>
      </c>
      <c r="E658" s="85">
        <f>ROUND(E657*D658,1)</f>
        <v>253.6</v>
      </c>
      <c r="G658" s="31"/>
    </row>
    <row r="659" spans="1:7">
      <c r="A659" s="822"/>
      <c r="B659" s="60" t="s">
        <v>5949</v>
      </c>
      <c r="C659" s="31"/>
      <c r="D659" s="31"/>
      <c r="E659" s="739">
        <f>E658+E657</f>
        <v>2116.1</v>
      </c>
      <c r="G659" s="31"/>
    </row>
    <row r="660" spans="1:7">
      <c r="A660" s="822"/>
    </row>
    <row r="661" spans="1:7">
      <c r="A661" s="822"/>
      <c r="B661" s="170" t="s">
        <v>1175</v>
      </c>
    </row>
    <row r="662" spans="1:7">
      <c r="A662" s="822"/>
      <c r="B662" s="26" t="s">
        <v>1176</v>
      </c>
      <c r="F662" s="171" t="s">
        <v>1698</v>
      </c>
      <c r="G662" s="68">
        <f>H640</f>
        <v>75</v>
      </c>
    </row>
    <row r="663" spans="1:7">
      <c r="A663" s="822"/>
      <c r="B663" s="26" t="s">
        <v>1186</v>
      </c>
      <c r="F663" s="171" t="s">
        <v>1698</v>
      </c>
      <c r="G663" s="68">
        <f>H648</f>
        <v>0</v>
      </c>
    </row>
    <row r="664" spans="1:7">
      <c r="A664" s="822"/>
      <c r="B664" s="26" t="s">
        <v>2660</v>
      </c>
      <c r="F664" s="171" t="s">
        <v>1698</v>
      </c>
      <c r="G664" s="75">
        <f>H656</f>
        <v>1862.5</v>
      </c>
    </row>
    <row r="665" spans="1:7">
      <c r="A665" s="822"/>
      <c r="E665" s="26" t="s">
        <v>1518</v>
      </c>
      <c r="F665" s="171" t="s">
        <v>1698</v>
      </c>
      <c r="G665" s="205">
        <f>SUM(G662:G664)</f>
        <v>1937.5</v>
      </c>
    </row>
    <row r="666" spans="1:7" ht="33.75" customHeight="1">
      <c r="A666" s="822"/>
      <c r="B666" s="1207" t="s">
        <v>1379</v>
      </c>
      <c r="C666" s="1207"/>
      <c r="E666" s="922">
        <f>'BASIC DATA'!$C$577</f>
        <v>0.13614999999999999</v>
      </c>
      <c r="F666" s="26" t="s">
        <v>1698</v>
      </c>
      <c r="G666" s="26">
        <f>G665*E666</f>
        <v>263.79062499999998</v>
      </c>
    </row>
    <row r="667" spans="1:7">
      <c r="A667" s="822"/>
      <c r="B667" s="26" t="s">
        <v>1191</v>
      </c>
      <c r="D667" s="68">
        <f>G633</f>
        <v>1</v>
      </c>
      <c r="E667" s="68" t="str">
        <f>H633</f>
        <v>Nos.</v>
      </c>
      <c r="F667" s="26" t="s">
        <v>1698</v>
      </c>
      <c r="G667" s="211">
        <f>G666+G665</f>
        <v>2201.2906250000001</v>
      </c>
    </row>
    <row r="668" spans="1:7">
      <c r="A668" s="822"/>
      <c r="B668" s="170" t="s">
        <v>1584</v>
      </c>
      <c r="C668" s="211" t="s">
        <v>4935</v>
      </c>
      <c r="D668" s="26" t="s">
        <v>1324</v>
      </c>
      <c r="F668" s="26" t="s">
        <v>4108</v>
      </c>
      <c r="G668" s="211">
        <f>ROUND(G667/D667,1)</f>
        <v>2201.3000000000002</v>
      </c>
    </row>
    <row r="669" spans="1:7">
      <c r="A669" s="822"/>
    </row>
    <row r="670" spans="1:7">
      <c r="A670" s="822"/>
    </row>
    <row r="671" spans="1:7">
      <c r="A671" s="865" t="s">
        <v>7204</v>
      </c>
      <c r="B671" s="26" t="s">
        <v>9096</v>
      </c>
    </row>
    <row r="672" spans="1:7">
      <c r="B672" s="26"/>
    </row>
    <row r="673" spans="1:8" hidden="1">
      <c r="A673" s="865" t="s">
        <v>3984</v>
      </c>
      <c r="B673" s="26" t="s">
        <v>3772</v>
      </c>
      <c r="F673" s="78" t="s">
        <v>1697</v>
      </c>
      <c r="G673" s="26">
        <v>0.95499999999999996</v>
      </c>
      <c r="H673" s="26" t="s">
        <v>2602</v>
      </c>
    </row>
    <row r="674" spans="1:8" hidden="1">
      <c r="B674" s="26" t="s">
        <v>3773</v>
      </c>
      <c r="F674" s="78" t="s">
        <v>1697</v>
      </c>
      <c r="G674" s="26">
        <v>1.115</v>
      </c>
      <c r="H674" s="26" t="s">
        <v>2602</v>
      </c>
    </row>
    <row r="675" spans="1:8" hidden="1">
      <c r="B675" s="26" t="s">
        <v>4927</v>
      </c>
      <c r="F675" s="78" t="s">
        <v>1697</v>
      </c>
      <c r="G675" s="201">
        <v>0.35</v>
      </c>
    </row>
    <row r="676" spans="1:8" hidden="1">
      <c r="B676" s="26" t="s">
        <v>2100</v>
      </c>
      <c r="F676" s="78" t="s">
        <v>1697</v>
      </c>
      <c r="G676" s="26">
        <v>1.75</v>
      </c>
      <c r="H676" s="26" t="s">
        <v>2059</v>
      </c>
    </row>
    <row r="677" spans="1:8">
      <c r="A677" s="822"/>
    </row>
    <row r="678" spans="1:8">
      <c r="A678" s="822" t="s">
        <v>3984</v>
      </c>
      <c r="C678" s="203" t="s">
        <v>2367</v>
      </c>
      <c r="D678" s="171"/>
      <c r="F678" s="171" t="s">
        <v>297</v>
      </c>
      <c r="G678" s="162">
        <v>1</v>
      </c>
      <c r="H678" s="26" t="s">
        <v>3518</v>
      </c>
    </row>
    <row r="679" spans="1:8">
      <c r="A679" s="822"/>
    </row>
    <row r="680" spans="1:8">
      <c r="A680" s="822"/>
      <c r="B680" s="79" t="s">
        <v>2368</v>
      </c>
    </row>
    <row r="681" spans="1:8">
      <c r="A681" s="822"/>
      <c r="B681" s="95" t="s">
        <v>2369</v>
      </c>
      <c r="C681" s="157" t="s">
        <v>6374</v>
      </c>
      <c r="D681" s="195"/>
      <c r="E681" s="95" t="s">
        <v>2370</v>
      </c>
      <c r="F681" s="95" t="s">
        <v>1166</v>
      </c>
      <c r="G681" s="95" t="s">
        <v>2371</v>
      </c>
      <c r="H681" s="95" t="s">
        <v>2372</v>
      </c>
    </row>
    <row r="682" spans="1:8">
      <c r="A682" s="822"/>
      <c r="B682" s="114"/>
      <c r="C682" s="154"/>
      <c r="D682" s="192"/>
      <c r="E682" s="114"/>
      <c r="F682" s="114"/>
      <c r="G682" s="114" t="s">
        <v>3485</v>
      </c>
      <c r="H682" s="114" t="s">
        <v>3485</v>
      </c>
    </row>
    <row r="683" spans="1:8">
      <c r="A683" s="822"/>
      <c r="B683" s="95">
        <v>1</v>
      </c>
      <c r="C683" s="131" t="s">
        <v>3053</v>
      </c>
      <c r="D683" s="195"/>
      <c r="E683" s="107" t="s">
        <v>2173</v>
      </c>
      <c r="F683" s="179">
        <v>0.15</v>
      </c>
      <c r="G683" s="212">
        <f>'BASIC DATA'!D374</f>
        <v>150</v>
      </c>
      <c r="H683" s="179">
        <f>F683*G683</f>
        <v>22.5</v>
      </c>
    </row>
    <row r="684" spans="1:8">
      <c r="A684" s="822"/>
      <c r="B684" s="114"/>
      <c r="C684" s="154"/>
      <c r="D684" s="192"/>
      <c r="E684" s="191"/>
      <c r="F684" s="182">
        <v>0</v>
      </c>
      <c r="G684" s="215">
        <v>0</v>
      </c>
      <c r="H684" s="182">
        <f>F684*G684</f>
        <v>0</v>
      </c>
    </row>
    <row r="685" spans="1:8">
      <c r="A685" s="822"/>
      <c r="B685" s="176"/>
      <c r="C685" s="174"/>
      <c r="D685" s="174" t="s">
        <v>2376</v>
      </c>
      <c r="E685" s="174"/>
      <c r="F685" s="192"/>
      <c r="G685" s="275" t="s">
        <v>1698</v>
      </c>
      <c r="H685" s="318">
        <f>SUM(H683:H684)</f>
        <v>22.5</v>
      </c>
    </row>
    <row r="686" spans="1:8">
      <c r="A686" s="822"/>
    </row>
    <row r="687" spans="1:8">
      <c r="A687" s="822"/>
    </row>
    <row r="688" spans="1:8">
      <c r="A688" s="822"/>
      <c r="B688" s="79" t="s">
        <v>2377</v>
      </c>
    </row>
    <row r="689" spans="1:8">
      <c r="A689" s="822"/>
      <c r="B689" s="95" t="s">
        <v>2369</v>
      </c>
      <c r="C689" s="157" t="s">
        <v>2378</v>
      </c>
      <c r="D689" s="195"/>
      <c r="E689" s="95" t="s">
        <v>2370</v>
      </c>
      <c r="F689" s="95" t="s">
        <v>1166</v>
      </c>
      <c r="G689" s="95" t="s">
        <v>2371</v>
      </c>
      <c r="H689" s="95" t="s">
        <v>2372</v>
      </c>
    </row>
    <row r="690" spans="1:8">
      <c r="A690" s="822"/>
      <c r="B690" s="114"/>
      <c r="C690" s="154"/>
      <c r="D690" s="192"/>
      <c r="E690" s="114"/>
      <c r="F690" s="114"/>
      <c r="G690" s="114" t="s">
        <v>3485</v>
      </c>
      <c r="H690" s="114" t="s">
        <v>3485</v>
      </c>
    </row>
    <row r="691" spans="1:8">
      <c r="A691" s="822"/>
      <c r="B691" s="95">
        <v>1</v>
      </c>
      <c r="C691" s="157" t="s">
        <v>6976</v>
      </c>
      <c r="D691" s="195"/>
      <c r="E691" s="107"/>
      <c r="F691" s="179">
        <v>0</v>
      </c>
      <c r="G691" s="179">
        <v>0</v>
      </c>
      <c r="H691" s="179">
        <f>F691*G691</f>
        <v>0</v>
      </c>
    </row>
    <row r="692" spans="1:8">
      <c r="A692" s="822"/>
      <c r="B692" s="114"/>
      <c r="C692" s="154"/>
      <c r="D692" s="192"/>
      <c r="E692" s="191"/>
      <c r="F692" s="182">
        <v>0</v>
      </c>
      <c r="G692" s="182">
        <v>0</v>
      </c>
      <c r="H692" s="182">
        <f>F692*G692</f>
        <v>0</v>
      </c>
    </row>
    <row r="693" spans="1:8">
      <c r="A693" s="822"/>
      <c r="B693" s="176"/>
      <c r="C693" s="174"/>
      <c r="D693" s="174" t="s">
        <v>2380</v>
      </c>
      <c r="E693" s="174"/>
      <c r="F693" s="192"/>
      <c r="G693" s="236" t="s">
        <v>1698</v>
      </c>
      <c r="H693" s="318">
        <f>SUM(H691:H692)</f>
        <v>0</v>
      </c>
    </row>
    <row r="694" spans="1:8">
      <c r="A694" s="822"/>
    </row>
    <row r="695" spans="1:8">
      <c r="A695" s="822"/>
    </row>
    <row r="696" spans="1:8">
      <c r="A696" s="822"/>
      <c r="B696" s="79" t="s">
        <v>2381</v>
      </c>
    </row>
    <row r="697" spans="1:8">
      <c r="A697" s="822"/>
      <c r="B697" s="95" t="s">
        <v>2369</v>
      </c>
      <c r="C697" s="157" t="s">
        <v>2378</v>
      </c>
      <c r="D697" s="195"/>
      <c r="E697" s="95" t="s">
        <v>2370</v>
      </c>
      <c r="F697" s="95" t="s">
        <v>1166</v>
      </c>
      <c r="G697" s="95" t="s">
        <v>2371</v>
      </c>
      <c r="H697" s="95" t="s">
        <v>2372</v>
      </c>
    </row>
    <row r="698" spans="1:8">
      <c r="A698" s="822"/>
      <c r="B698" s="114"/>
      <c r="C698" s="154"/>
      <c r="D698" s="192"/>
      <c r="E698" s="105"/>
      <c r="F698" s="114"/>
      <c r="G698" s="114" t="s">
        <v>3485</v>
      </c>
      <c r="H698" s="114" t="s">
        <v>3485</v>
      </c>
    </row>
    <row r="699" spans="1:8">
      <c r="A699" s="822"/>
      <c r="B699" s="95">
        <v>1</v>
      </c>
      <c r="C699" s="148" t="s">
        <v>4206</v>
      </c>
      <c r="D699" s="187"/>
      <c r="E699" s="107" t="s">
        <v>1172</v>
      </c>
      <c r="F699" s="178">
        <v>0.1</v>
      </c>
      <c r="G699" s="179">
        <f>'BASIC DATA'!C473</f>
        <v>450</v>
      </c>
      <c r="H699" s="179">
        <f>F699*G699</f>
        <v>45</v>
      </c>
    </row>
    <row r="700" spans="1:8">
      <c r="A700" s="822"/>
      <c r="B700" s="114">
        <v>2</v>
      </c>
      <c r="C700" s="89" t="s">
        <v>2697</v>
      </c>
      <c r="D700" s="174"/>
      <c r="E700" s="191" t="s">
        <v>1172</v>
      </c>
      <c r="F700" s="181">
        <v>1.75</v>
      </c>
      <c r="G700" s="182">
        <f>'BASIC DATA'!C552</f>
        <v>350</v>
      </c>
      <c r="H700" s="190">
        <f>F700*G700</f>
        <v>612.5</v>
      </c>
    </row>
    <row r="701" spans="1:8">
      <c r="A701" s="822"/>
      <c r="B701" s="176"/>
      <c r="C701" s="174"/>
      <c r="D701" s="174" t="s">
        <v>1174</v>
      </c>
      <c r="E701" s="174"/>
      <c r="F701" s="192"/>
      <c r="G701" s="275" t="s">
        <v>1698</v>
      </c>
      <c r="H701" s="318">
        <f>SUM(H699:H700)</f>
        <v>657.5</v>
      </c>
    </row>
    <row r="702" spans="1:8">
      <c r="A702" s="822"/>
      <c r="B702" s="60" t="s">
        <v>5948</v>
      </c>
      <c r="C702" s="31"/>
      <c r="D702" s="31"/>
      <c r="E702" s="85">
        <f>ROUND(H701/G678,1)</f>
        <v>657.5</v>
      </c>
      <c r="G702" s="31"/>
    </row>
    <row r="703" spans="1:8">
      <c r="A703" s="822"/>
      <c r="B703" s="60" t="s">
        <v>3163</v>
      </c>
      <c r="C703" s="31"/>
      <c r="D703" s="922">
        <f>'BASIC DATA'!$C$577</f>
        <v>0.13614999999999999</v>
      </c>
      <c r="E703" s="85">
        <f>ROUND(E702*D703,1)</f>
        <v>89.5</v>
      </c>
      <c r="G703" s="31"/>
    </row>
    <row r="704" spans="1:8">
      <c r="A704" s="822"/>
      <c r="B704" s="60" t="s">
        <v>5949</v>
      </c>
      <c r="C704" s="31"/>
      <c r="D704" s="31"/>
      <c r="E704" s="739">
        <f>E703+E702</f>
        <v>747</v>
      </c>
      <c r="G704" s="31"/>
    </row>
    <row r="705" spans="1:8">
      <c r="A705" s="822"/>
      <c r="B705" s="26"/>
    </row>
    <row r="706" spans="1:8">
      <c r="A706" s="822"/>
      <c r="B706" s="170" t="s">
        <v>1175</v>
      </c>
    </row>
    <row r="707" spans="1:8">
      <c r="A707" s="822"/>
      <c r="B707" s="26" t="s">
        <v>1176</v>
      </c>
      <c r="F707" s="171" t="s">
        <v>1698</v>
      </c>
      <c r="G707" s="68">
        <f>H685</f>
        <v>22.5</v>
      </c>
    </row>
    <row r="708" spans="1:8">
      <c r="A708" s="822"/>
      <c r="B708" s="26" t="s">
        <v>1186</v>
      </c>
      <c r="F708" s="171" t="s">
        <v>1698</v>
      </c>
      <c r="G708" s="68">
        <f>H693</f>
        <v>0</v>
      </c>
    </row>
    <row r="709" spans="1:8">
      <c r="A709" s="822"/>
      <c r="B709" s="26" t="s">
        <v>2660</v>
      </c>
      <c r="F709" s="171" t="s">
        <v>1698</v>
      </c>
      <c r="G709" s="75">
        <f>H701</f>
        <v>657.5</v>
      </c>
    </row>
    <row r="710" spans="1:8">
      <c r="A710" s="822"/>
      <c r="E710" s="26" t="s">
        <v>1518</v>
      </c>
      <c r="F710" s="171" t="s">
        <v>1698</v>
      </c>
      <c r="G710" s="205">
        <f>SUM(G707:G709)</f>
        <v>680</v>
      </c>
    </row>
    <row r="711" spans="1:8" ht="36.75" customHeight="1">
      <c r="A711" s="822"/>
      <c r="B711" s="1207" t="s">
        <v>1379</v>
      </c>
      <c r="C711" s="1207"/>
      <c r="E711" s="922">
        <f>'BASIC DATA'!$C$577</f>
        <v>0.13614999999999999</v>
      </c>
      <c r="F711" s="26" t="s">
        <v>1698</v>
      </c>
      <c r="G711" s="26">
        <f>G710*E711</f>
        <v>92.581999999999994</v>
      </c>
    </row>
    <row r="712" spans="1:8">
      <c r="A712" s="822"/>
      <c r="B712" s="26" t="s">
        <v>1191</v>
      </c>
      <c r="D712" s="68">
        <f>G678</f>
        <v>1</v>
      </c>
      <c r="E712" s="68" t="str">
        <f>H678</f>
        <v>No</v>
      </c>
      <c r="F712" s="26" t="s">
        <v>1698</v>
      </c>
      <c r="G712" s="211">
        <f>G711+G710</f>
        <v>772.58199999999999</v>
      </c>
    </row>
    <row r="713" spans="1:8">
      <c r="A713" s="822"/>
      <c r="B713" s="170" t="s">
        <v>1584</v>
      </c>
      <c r="C713" s="211" t="s">
        <v>4935</v>
      </c>
      <c r="D713" s="26" t="s">
        <v>1324</v>
      </c>
      <c r="F713" s="26" t="s">
        <v>4108</v>
      </c>
      <c r="G713" s="211">
        <f>ROUND(G712/D712,1)</f>
        <v>772.6</v>
      </c>
    </row>
    <row r="714" spans="1:8">
      <c r="A714" s="822"/>
    </row>
    <row r="715" spans="1:8">
      <c r="A715" s="822"/>
    </row>
    <row r="716" spans="1:8">
      <c r="A716" s="865" t="s">
        <v>7205</v>
      </c>
      <c r="B716" s="26" t="s">
        <v>9097</v>
      </c>
    </row>
    <row r="717" spans="1:8" ht="18.75">
      <c r="B717" s="26" t="s">
        <v>9098</v>
      </c>
    </row>
    <row r="718" spans="1:8" hidden="1">
      <c r="A718" s="865" t="s">
        <v>3984</v>
      </c>
      <c r="B718" s="26" t="s">
        <v>4803</v>
      </c>
      <c r="F718" s="78" t="s">
        <v>1697</v>
      </c>
      <c r="G718" s="26">
        <v>250</v>
      </c>
      <c r="H718" s="26" t="s">
        <v>3479</v>
      </c>
    </row>
    <row r="719" spans="1:8">
      <c r="A719" s="822"/>
    </row>
    <row r="720" spans="1:8">
      <c r="A720" s="822" t="s">
        <v>3984</v>
      </c>
      <c r="C720" s="203" t="s">
        <v>2367</v>
      </c>
      <c r="D720" s="171"/>
      <c r="F720" s="171" t="s">
        <v>297</v>
      </c>
      <c r="G720" s="162">
        <v>1000</v>
      </c>
      <c r="H720" s="47" t="s">
        <v>3479</v>
      </c>
    </row>
    <row r="721" spans="1:8">
      <c r="A721" s="822"/>
    </row>
    <row r="722" spans="1:8">
      <c r="A722" s="822"/>
      <c r="B722" s="79" t="s">
        <v>2368</v>
      </c>
    </row>
    <row r="723" spans="1:8">
      <c r="A723" s="822"/>
      <c r="B723" s="95" t="s">
        <v>2369</v>
      </c>
      <c r="C723" s="157" t="s">
        <v>6374</v>
      </c>
      <c r="D723" s="195"/>
      <c r="E723" s="95" t="s">
        <v>2370</v>
      </c>
      <c r="F723" s="95" t="s">
        <v>1166</v>
      </c>
      <c r="G723" s="95" t="s">
        <v>2371</v>
      </c>
      <c r="H723" s="95" t="s">
        <v>2372</v>
      </c>
    </row>
    <row r="724" spans="1:8">
      <c r="A724" s="822"/>
      <c r="B724" s="114"/>
      <c r="C724" s="154"/>
      <c r="D724" s="192"/>
      <c r="E724" s="114"/>
      <c r="F724" s="114"/>
      <c r="G724" s="114" t="s">
        <v>3485</v>
      </c>
      <c r="H724" s="114" t="s">
        <v>3485</v>
      </c>
    </row>
    <row r="725" spans="1:8">
      <c r="A725" s="822"/>
      <c r="B725" s="95">
        <v>1</v>
      </c>
      <c r="C725" s="157" t="s">
        <v>6976</v>
      </c>
      <c r="D725" s="195"/>
      <c r="E725" s="107"/>
      <c r="F725" s="190">
        <v>0</v>
      </c>
      <c r="G725" s="190">
        <v>0</v>
      </c>
      <c r="H725" s="179">
        <f>F725*G725</f>
        <v>0</v>
      </c>
    </row>
    <row r="726" spans="1:8">
      <c r="A726" s="822"/>
      <c r="B726" s="114"/>
      <c r="C726" s="154"/>
      <c r="D726" s="192"/>
      <c r="E726" s="191"/>
      <c r="F726" s="182">
        <v>0</v>
      </c>
      <c r="G726" s="190">
        <v>0</v>
      </c>
      <c r="H726" s="182">
        <f>F726*G726</f>
        <v>0</v>
      </c>
    </row>
    <row r="727" spans="1:8">
      <c r="A727" s="822"/>
      <c r="B727" s="176"/>
      <c r="C727" s="174"/>
      <c r="D727" s="174" t="s">
        <v>2376</v>
      </c>
      <c r="E727" s="174"/>
      <c r="F727" s="192"/>
      <c r="G727" s="236" t="s">
        <v>1698</v>
      </c>
      <c r="H727" s="318">
        <f>SUM(H725:H726)</f>
        <v>0</v>
      </c>
    </row>
    <row r="728" spans="1:8">
      <c r="A728" s="822"/>
    </row>
    <row r="729" spans="1:8">
      <c r="A729" s="822"/>
      <c r="B729" s="79" t="s">
        <v>2377</v>
      </c>
    </row>
    <row r="730" spans="1:8">
      <c r="A730" s="822"/>
      <c r="B730" s="95" t="s">
        <v>2369</v>
      </c>
      <c r="C730" s="157" t="s">
        <v>2378</v>
      </c>
      <c r="D730" s="195"/>
      <c r="E730" s="95" t="s">
        <v>2370</v>
      </c>
      <c r="F730" s="95" t="s">
        <v>1166</v>
      </c>
      <c r="G730" s="95" t="s">
        <v>2371</v>
      </c>
      <c r="H730" s="95" t="s">
        <v>2372</v>
      </c>
    </row>
    <row r="731" spans="1:8">
      <c r="A731" s="822"/>
      <c r="B731" s="114"/>
      <c r="C731" s="154"/>
      <c r="D731" s="192"/>
      <c r="E731" s="114"/>
      <c r="F731" s="114"/>
      <c r="G731" s="114" t="s">
        <v>3485</v>
      </c>
      <c r="H731" s="114" t="s">
        <v>3485</v>
      </c>
    </row>
    <row r="732" spans="1:8">
      <c r="A732" s="822"/>
      <c r="B732" s="95">
        <v>1</v>
      </c>
      <c r="C732" s="157" t="s">
        <v>6976</v>
      </c>
      <c r="D732" s="195"/>
      <c r="E732" s="107"/>
      <c r="F732" s="179">
        <v>0</v>
      </c>
      <c r="G732" s="179">
        <v>0</v>
      </c>
      <c r="H732" s="179">
        <f>F732*G732</f>
        <v>0</v>
      </c>
    </row>
    <row r="733" spans="1:8">
      <c r="A733" s="822"/>
      <c r="B733" s="114"/>
      <c r="C733" s="154"/>
      <c r="D733" s="192"/>
      <c r="E733" s="191"/>
      <c r="F733" s="182">
        <v>0</v>
      </c>
      <c r="G733" s="182">
        <v>0</v>
      </c>
      <c r="H733" s="182">
        <f>F733*G733</f>
        <v>0</v>
      </c>
    </row>
    <row r="734" spans="1:8">
      <c r="A734" s="822"/>
      <c r="B734" s="176"/>
      <c r="C734" s="174"/>
      <c r="D734" s="174" t="s">
        <v>2380</v>
      </c>
      <c r="E734" s="174"/>
      <c r="F734" s="192"/>
      <c r="G734" s="236" t="s">
        <v>1698</v>
      </c>
      <c r="H734" s="318">
        <f>SUM(H732:H733)</f>
        <v>0</v>
      </c>
    </row>
    <row r="735" spans="1:8">
      <c r="A735" s="822"/>
    </row>
    <row r="736" spans="1:8">
      <c r="A736" s="822"/>
    </row>
    <row r="737" spans="1:8">
      <c r="A737" s="822"/>
      <c r="B737" s="79" t="s">
        <v>2381</v>
      </c>
    </row>
    <row r="738" spans="1:8">
      <c r="A738" s="822"/>
      <c r="B738" s="95" t="s">
        <v>2369</v>
      </c>
      <c r="C738" s="157" t="s">
        <v>2378</v>
      </c>
      <c r="D738" s="195"/>
      <c r="E738" s="95" t="s">
        <v>2370</v>
      </c>
      <c r="F738" s="95" t="s">
        <v>1166</v>
      </c>
      <c r="G738" s="95" t="s">
        <v>2371</v>
      </c>
      <c r="H738" s="95" t="s">
        <v>2372</v>
      </c>
    </row>
    <row r="739" spans="1:8">
      <c r="A739" s="822"/>
      <c r="B739" s="114"/>
      <c r="C739" s="154"/>
      <c r="D739" s="192"/>
      <c r="E739" s="105"/>
      <c r="F739" s="114"/>
      <c r="G739" s="114" t="s">
        <v>3485</v>
      </c>
      <c r="H739" s="114" t="s">
        <v>3485</v>
      </c>
    </row>
    <row r="740" spans="1:8">
      <c r="A740" s="822"/>
      <c r="B740" s="95">
        <v>1</v>
      </c>
      <c r="C740" s="148" t="s">
        <v>4206</v>
      </c>
      <c r="D740" s="187"/>
      <c r="E740" s="107" t="s">
        <v>1172</v>
      </c>
      <c r="F740" s="178">
        <v>1</v>
      </c>
      <c r="G740" s="179">
        <f>'BASIC DATA'!C473</f>
        <v>450</v>
      </c>
      <c r="H740" s="179">
        <f>F740*G740</f>
        <v>450</v>
      </c>
    </row>
    <row r="741" spans="1:8">
      <c r="A741" s="822"/>
      <c r="B741" s="114">
        <v>2</v>
      </c>
      <c r="C741" s="89" t="s">
        <v>2697</v>
      </c>
      <c r="D741" s="174"/>
      <c r="E741" s="191" t="s">
        <v>1172</v>
      </c>
      <c r="F741" s="181">
        <v>12</v>
      </c>
      <c r="G741" s="182">
        <f>'BASIC DATA'!C552</f>
        <v>350</v>
      </c>
      <c r="H741" s="190">
        <f>F741*G741</f>
        <v>4200</v>
      </c>
    </row>
    <row r="742" spans="1:8">
      <c r="A742" s="822"/>
      <c r="B742" s="176"/>
      <c r="C742" s="174"/>
      <c r="D742" s="174" t="s">
        <v>1174</v>
      </c>
      <c r="E742" s="174"/>
      <c r="F742" s="192"/>
      <c r="G742" s="275" t="s">
        <v>1698</v>
      </c>
      <c r="H742" s="318">
        <f>SUM(H740:H741)</f>
        <v>4650</v>
      </c>
    </row>
    <row r="743" spans="1:8">
      <c r="A743" s="822"/>
      <c r="B743" s="60" t="s">
        <v>5948</v>
      </c>
      <c r="C743" s="31"/>
      <c r="D743" s="31"/>
      <c r="E743" s="85">
        <f>ROUND(H742/G720,1)</f>
        <v>4.7</v>
      </c>
      <c r="G743" s="31"/>
    </row>
    <row r="744" spans="1:8">
      <c r="A744" s="822"/>
      <c r="B744" s="60" t="s">
        <v>3163</v>
      </c>
      <c r="C744" s="31"/>
      <c r="D744" s="922">
        <f>'BASIC DATA'!$C$577</f>
        <v>0.13614999999999999</v>
      </c>
      <c r="E744" s="85">
        <f>ROUND(E743*D744,1)</f>
        <v>0.6</v>
      </c>
      <c r="G744" s="31"/>
    </row>
    <row r="745" spans="1:8">
      <c r="A745" s="822"/>
      <c r="B745" s="60" t="s">
        <v>5949</v>
      </c>
      <c r="C745" s="31"/>
      <c r="D745" s="31"/>
      <c r="E745" s="739">
        <f>E744+E743</f>
        <v>5.3</v>
      </c>
      <c r="G745" s="31"/>
    </row>
    <row r="746" spans="1:8">
      <c r="A746" s="822"/>
      <c r="B746" s="26"/>
    </row>
    <row r="747" spans="1:8">
      <c r="A747" s="822"/>
      <c r="B747" s="170" t="s">
        <v>1175</v>
      </c>
    </row>
    <row r="748" spans="1:8">
      <c r="A748" s="822"/>
      <c r="B748" s="26" t="s">
        <v>1176</v>
      </c>
      <c r="F748" s="171" t="s">
        <v>1698</v>
      </c>
      <c r="G748" s="68">
        <f>H727</f>
        <v>0</v>
      </c>
    </row>
    <row r="749" spans="1:8">
      <c r="A749" s="822"/>
      <c r="B749" s="26" t="s">
        <v>1186</v>
      </c>
      <c r="F749" s="171" t="s">
        <v>1698</v>
      </c>
      <c r="G749" s="68">
        <f>H734</f>
        <v>0</v>
      </c>
    </row>
    <row r="750" spans="1:8">
      <c r="A750" s="822"/>
      <c r="B750" s="26" t="s">
        <v>2660</v>
      </c>
      <c r="F750" s="171" t="s">
        <v>1698</v>
      </c>
      <c r="G750" s="75">
        <f>H742</f>
        <v>4650</v>
      </c>
    </row>
    <row r="751" spans="1:8">
      <c r="A751" s="822"/>
      <c r="E751" s="26" t="s">
        <v>1518</v>
      </c>
      <c r="F751" s="171" t="s">
        <v>1698</v>
      </c>
      <c r="G751" s="205">
        <f>SUM(G748:G750)</f>
        <v>4650</v>
      </c>
    </row>
    <row r="752" spans="1:8" ht="33" customHeight="1">
      <c r="A752" s="822"/>
      <c r="B752" s="1207" t="s">
        <v>1379</v>
      </c>
      <c r="C752" s="1207"/>
      <c r="E752" s="922">
        <f>'BASIC DATA'!$C$577</f>
        <v>0.13614999999999999</v>
      </c>
      <c r="F752" s="26" t="s">
        <v>1698</v>
      </c>
      <c r="G752" s="26">
        <f>G751*E752</f>
        <v>633.09749999999997</v>
      </c>
    </row>
    <row r="753" spans="1:8">
      <c r="A753" s="822"/>
      <c r="B753" s="26" t="s">
        <v>1191</v>
      </c>
      <c r="D753" s="68">
        <f>G720</f>
        <v>1000</v>
      </c>
      <c r="E753" s="68" t="str">
        <f>H720</f>
        <v>sqm</v>
      </c>
      <c r="F753" s="26" t="s">
        <v>1698</v>
      </c>
      <c r="G753" s="211">
        <f>G752+G751</f>
        <v>5283.0974999999999</v>
      </c>
    </row>
    <row r="754" spans="1:8">
      <c r="A754" s="822"/>
      <c r="B754" s="170" t="s">
        <v>1584</v>
      </c>
      <c r="C754" s="211" t="str">
        <f>E753</f>
        <v>sqm</v>
      </c>
      <c r="D754" s="26" t="s">
        <v>5886</v>
      </c>
      <c r="F754" s="26" t="s">
        <v>4108</v>
      </c>
      <c r="G754" s="211">
        <f>ROUND(G753/D753,1)</f>
        <v>5.3</v>
      </c>
    </row>
    <row r="755" spans="1:8">
      <c r="A755" s="822"/>
      <c r="B755" s="26"/>
      <c r="C755" s="68"/>
    </row>
    <row r="756" spans="1:8">
      <c r="A756" s="822"/>
    </row>
    <row r="757" spans="1:8">
      <c r="A757" s="865" t="s">
        <v>7206</v>
      </c>
      <c r="B757" s="170" t="s">
        <v>2176</v>
      </c>
    </row>
    <row r="758" spans="1:8">
      <c r="B758" s="26"/>
    </row>
    <row r="759" spans="1:8">
      <c r="A759" s="865" t="s">
        <v>7207</v>
      </c>
      <c r="B759" s="26" t="s">
        <v>9099</v>
      </c>
    </row>
    <row r="760" spans="1:8">
      <c r="B760" s="26" t="s">
        <v>9100</v>
      </c>
    </row>
    <row r="761" spans="1:8" ht="18.75">
      <c r="B761" s="170" t="s">
        <v>9101</v>
      </c>
    </row>
    <row r="762" spans="1:8">
      <c r="B762" s="26"/>
    </row>
    <row r="763" spans="1:8" hidden="1">
      <c r="A763" s="865" t="s">
        <v>3984</v>
      </c>
      <c r="B763" s="26" t="s">
        <v>2714</v>
      </c>
      <c r="F763" s="78" t="s">
        <v>1697</v>
      </c>
      <c r="G763" s="26">
        <v>4</v>
      </c>
      <c r="H763" s="26" t="s">
        <v>3477</v>
      </c>
    </row>
    <row r="764" spans="1:8">
      <c r="A764" s="822"/>
    </row>
    <row r="765" spans="1:8">
      <c r="A765" s="822" t="s">
        <v>3984</v>
      </c>
      <c r="C765" s="203" t="s">
        <v>2367</v>
      </c>
      <c r="D765" s="171"/>
      <c r="F765" s="171" t="s">
        <v>297</v>
      </c>
      <c r="G765" s="162">
        <v>10</v>
      </c>
      <c r="H765" s="26" t="s">
        <v>3477</v>
      </c>
    </row>
    <row r="766" spans="1:8">
      <c r="A766" s="822"/>
    </row>
    <row r="767" spans="1:8">
      <c r="A767" s="822"/>
      <c r="B767" s="79" t="s">
        <v>2368</v>
      </c>
    </row>
    <row r="768" spans="1:8">
      <c r="A768" s="822"/>
      <c r="B768" s="95" t="s">
        <v>2369</v>
      </c>
      <c r="C768" s="157" t="s">
        <v>6374</v>
      </c>
      <c r="D768" s="195"/>
      <c r="E768" s="95" t="s">
        <v>2370</v>
      </c>
      <c r="F768" s="95" t="s">
        <v>1166</v>
      </c>
      <c r="G768" s="95" t="s">
        <v>2371</v>
      </c>
      <c r="H768" s="95" t="s">
        <v>2372</v>
      </c>
    </row>
    <row r="769" spans="1:8">
      <c r="A769" s="822"/>
      <c r="B769" s="114"/>
      <c r="C769" s="154"/>
      <c r="D769" s="192"/>
      <c r="E769" s="114"/>
      <c r="F769" s="114"/>
      <c r="G769" s="114" t="s">
        <v>3485</v>
      </c>
      <c r="H769" s="114" t="s">
        <v>3485</v>
      </c>
    </row>
    <row r="770" spans="1:8">
      <c r="A770" s="822"/>
      <c r="B770" s="95">
        <v>1</v>
      </c>
      <c r="C770" s="157" t="s">
        <v>6976</v>
      </c>
      <c r="D770" s="195"/>
      <c r="E770" s="107"/>
      <c r="F770" s="190">
        <v>0</v>
      </c>
      <c r="G770" s="190">
        <v>0</v>
      </c>
      <c r="H770" s="179">
        <f>F770*G770</f>
        <v>0</v>
      </c>
    </row>
    <row r="771" spans="1:8">
      <c r="A771" s="822"/>
      <c r="B771" s="114"/>
      <c r="C771" s="154"/>
      <c r="D771" s="192"/>
      <c r="E771" s="191"/>
      <c r="F771" s="182">
        <v>0</v>
      </c>
      <c r="G771" s="190">
        <v>0</v>
      </c>
      <c r="H771" s="182">
        <f>F771*G771</f>
        <v>0</v>
      </c>
    </row>
    <row r="772" spans="1:8">
      <c r="A772" s="822"/>
      <c r="B772" s="176"/>
      <c r="C772" s="174"/>
      <c r="D772" s="174" t="s">
        <v>2376</v>
      </c>
      <c r="E772" s="174"/>
      <c r="F772" s="192"/>
      <c r="G772" s="236" t="s">
        <v>1698</v>
      </c>
      <c r="H772" s="318">
        <f>SUM(H770:H771)</f>
        <v>0</v>
      </c>
    </row>
    <row r="773" spans="1:8">
      <c r="A773" s="822"/>
    </row>
    <row r="774" spans="1:8">
      <c r="A774" s="822"/>
      <c r="B774" s="79" t="s">
        <v>2377</v>
      </c>
    </row>
    <row r="775" spans="1:8">
      <c r="A775" s="822"/>
      <c r="B775" s="95" t="s">
        <v>2369</v>
      </c>
      <c r="C775" s="157" t="s">
        <v>2378</v>
      </c>
      <c r="D775" s="195"/>
      <c r="E775" s="95" t="s">
        <v>2370</v>
      </c>
      <c r="F775" s="95" t="s">
        <v>1166</v>
      </c>
      <c r="G775" s="95" t="s">
        <v>2371</v>
      </c>
      <c r="H775" s="95" t="s">
        <v>2372</v>
      </c>
    </row>
    <row r="776" spans="1:8">
      <c r="A776" s="822"/>
      <c r="B776" s="114"/>
      <c r="C776" s="154"/>
      <c r="D776" s="192"/>
      <c r="E776" s="114"/>
      <c r="F776" s="114"/>
      <c r="G776" s="114" t="s">
        <v>3485</v>
      </c>
      <c r="H776" s="114" t="s">
        <v>3485</v>
      </c>
    </row>
    <row r="777" spans="1:8">
      <c r="A777" s="822"/>
      <c r="B777" s="95">
        <v>1</v>
      </c>
      <c r="C777" s="157" t="s">
        <v>6976</v>
      </c>
      <c r="D777" s="195"/>
      <c r="E777" s="107"/>
      <c r="F777" s="179">
        <v>0</v>
      </c>
      <c r="G777" s="179">
        <v>0</v>
      </c>
      <c r="H777" s="179">
        <f>F777*G777</f>
        <v>0</v>
      </c>
    </row>
    <row r="778" spans="1:8">
      <c r="A778" s="822"/>
      <c r="B778" s="114"/>
      <c r="C778" s="154"/>
      <c r="D778" s="192"/>
      <c r="E778" s="191"/>
      <c r="F778" s="182">
        <v>0</v>
      </c>
      <c r="G778" s="182">
        <v>0</v>
      </c>
      <c r="H778" s="182">
        <f>F778*G778</f>
        <v>0</v>
      </c>
    </row>
    <row r="779" spans="1:8">
      <c r="A779" s="822"/>
      <c r="B779" s="176"/>
      <c r="C779" s="174"/>
      <c r="D779" s="174" t="s">
        <v>2380</v>
      </c>
      <c r="E779" s="174"/>
      <c r="F779" s="192"/>
      <c r="G779" s="236" t="s">
        <v>1698</v>
      </c>
      <c r="H779" s="318">
        <f>SUM(H777:H778)</f>
        <v>0</v>
      </c>
    </row>
    <row r="780" spans="1:8">
      <c r="A780" s="822"/>
    </row>
    <row r="781" spans="1:8">
      <c r="A781" s="822"/>
      <c r="B781" s="79" t="s">
        <v>2381</v>
      </c>
    </row>
    <row r="782" spans="1:8">
      <c r="A782" s="822"/>
      <c r="B782" s="95" t="s">
        <v>2369</v>
      </c>
      <c r="C782" s="157" t="s">
        <v>2378</v>
      </c>
      <c r="D782" s="195"/>
      <c r="E782" s="95" t="s">
        <v>2370</v>
      </c>
      <c r="F782" s="95" t="s">
        <v>1166</v>
      </c>
      <c r="G782" s="95" t="s">
        <v>2371</v>
      </c>
      <c r="H782" s="95" t="s">
        <v>2372</v>
      </c>
    </row>
    <row r="783" spans="1:8">
      <c r="A783" s="822"/>
      <c r="B783" s="114"/>
      <c r="C783" s="154"/>
      <c r="D783" s="192"/>
      <c r="E783" s="105"/>
      <c r="F783" s="114"/>
      <c r="G783" s="114" t="s">
        <v>3485</v>
      </c>
      <c r="H783" s="114" t="s">
        <v>3485</v>
      </c>
    </row>
    <row r="784" spans="1:8">
      <c r="A784" s="822"/>
      <c r="B784" s="95">
        <v>1</v>
      </c>
      <c r="C784" s="148" t="s">
        <v>4206</v>
      </c>
      <c r="D784" s="187"/>
      <c r="E784" s="107" t="s">
        <v>1172</v>
      </c>
      <c r="F784" s="178">
        <v>0.5</v>
      </c>
      <c r="G784" s="179">
        <f>'BASIC DATA'!C473</f>
        <v>450</v>
      </c>
      <c r="H784" s="179">
        <f>F784*G784</f>
        <v>225</v>
      </c>
    </row>
    <row r="785" spans="1:8">
      <c r="A785" s="822"/>
      <c r="B785" s="114">
        <v>2</v>
      </c>
      <c r="C785" s="89" t="s">
        <v>2697</v>
      </c>
      <c r="D785" s="174"/>
      <c r="E785" s="191" t="s">
        <v>1172</v>
      </c>
      <c r="F785" s="181">
        <v>6</v>
      </c>
      <c r="G785" s="190">
        <f>'BASIC DATA'!C552</f>
        <v>350</v>
      </c>
      <c r="H785" s="190">
        <f>F785*G785</f>
        <v>2100</v>
      </c>
    </row>
    <row r="786" spans="1:8">
      <c r="A786" s="822"/>
      <c r="B786" s="176"/>
      <c r="C786" s="174"/>
      <c r="D786" s="174" t="s">
        <v>1174</v>
      </c>
      <c r="E786" s="174"/>
      <c r="F786" s="192"/>
      <c r="G786" s="236" t="s">
        <v>1698</v>
      </c>
      <c r="H786" s="318">
        <f>SUM(H784:H785)</f>
        <v>2325</v>
      </c>
    </row>
    <row r="787" spans="1:8">
      <c r="A787" s="822"/>
      <c r="B787" s="60" t="s">
        <v>5948</v>
      </c>
      <c r="C787" s="31"/>
      <c r="D787" s="31"/>
      <c r="E787" s="85">
        <f>H786/G765</f>
        <v>232.5</v>
      </c>
      <c r="G787" s="31"/>
    </row>
    <row r="788" spans="1:8">
      <c r="A788" s="822"/>
      <c r="B788" s="60" t="s">
        <v>3163</v>
      </c>
      <c r="C788" s="31"/>
      <c r="D788" s="922">
        <f>'BASIC DATA'!$C$577</f>
        <v>0.13614999999999999</v>
      </c>
      <c r="E788" s="85">
        <f>E787*D788</f>
        <v>31.654874999999997</v>
      </c>
      <c r="G788" s="31"/>
    </row>
    <row r="789" spans="1:8">
      <c r="A789" s="822"/>
      <c r="B789" s="60" t="s">
        <v>5949</v>
      </c>
      <c r="C789" s="31"/>
      <c r="D789" s="31"/>
      <c r="E789" s="739">
        <f>ROUND(E788+E787,1)</f>
        <v>264.2</v>
      </c>
      <c r="G789" s="31"/>
    </row>
    <row r="790" spans="1:8">
      <c r="A790" s="822"/>
      <c r="B790" s="26"/>
    </row>
    <row r="791" spans="1:8">
      <c r="A791" s="822"/>
      <c r="B791" s="170" t="s">
        <v>1175</v>
      </c>
    </row>
    <row r="792" spans="1:8">
      <c r="A792" s="822"/>
      <c r="B792" s="26" t="s">
        <v>1176</v>
      </c>
      <c r="F792" s="171" t="s">
        <v>1698</v>
      </c>
      <c r="G792" s="68">
        <f>H772</f>
        <v>0</v>
      </c>
    </row>
    <row r="793" spans="1:8">
      <c r="A793" s="822"/>
      <c r="B793" s="26" t="s">
        <v>1186</v>
      </c>
      <c r="F793" s="171" t="s">
        <v>1698</v>
      </c>
      <c r="G793" s="68">
        <f>H779</f>
        <v>0</v>
      </c>
    </row>
    <row r="794" spans="1:8">
      <c r="A794" s="822"/>
      <c r="B794" s="26" t="s">
        <v>2660</v>
      </c>
      <c r="F794" s="171" t="s">
        <v>1698</v>
      </c>
      <c r="G794" s="75">
        <f>H786</f>
        <v>2325</v>
      </c>
    </row>
    <row r="795" spans="1:8">
      <c r="A795" s="822"/>
      <c r="E795" s="26" t="s">
        <v>1518</v>
      </c>
      <c r="F795" s="171" t="s">
        <v>1698</v>
      </c>
      <c r="G795" s="205">
        <f>SUM(G792:G794)</f>
        <v>2325</v>
      </c>
    </row>
    <row r="796" spans="1:8" ht="33.75" customHeight="1">
      <c r="A796" s="822"/>
      <c r="B796" s="1207" t="s">
        <v>1379</v>
      </c>
      <c r="C796" s="1207"/>
      <c r="E796" s="922">
        <f>'BASIC DATA'!$C$577</f>
        <v>0.13614999999999999</v>
      </c>
      <c r="F796" s="26" t="s">
        <v>1698</v>
      </c>
      <c r="G796" s="26">
        <f>G795*E796</f>
        <v>316.54874999999998</v>
      </c>
    </row>
    <row r="797" spans="1:8">
      <c r="A797" s="822"/>
      <c r="B797" s="26" t="s">
        <v>1191</v>
      </c>
      <c r="D797" s="68">
        <f>G765</f>
        <v>10</v>
      </c>
      <c r="E797" s="68" t="str">
        <f>H765</f>
        <v>cum</v>
      </c>
      <c r="F797" s="26" t="s">
        <v>1698</v>
      </c>
      <c r="G797" s="211">
        <f>G796+G795</f>
        <v>2641.5487499999999</v>
      </c>
    </row>
    <row r="798" spans="1:8">
      <c r="A798" s="822"/>
      <c r="B798" s="170" t="s">
        <v>1584</v>
      </c>
      <c r="C798" s="211" t="str">
        <f>E797</f>
        <v>cum</v>
      </c>
      <c r="D798" s="26" t="s">
        <v>5882</v>
      </c>
      <c r="F798" s="26" t="s">
        <v>4108</v>
      </c>
      <c r="G798" s="211">
        <f>ROUND(G797/D797,1)</f>
        <v>264.2</v>
      </c>
    </row>
    <row r="799" spans="1:8">
      <c r="A799" s="822"/>
      <c r="H799" s="68"/>
    </row>
    <row r="800" spans="1:8">
      <c r="A800" s="865" t="s">
        <v>7208</v>
      </c>
      <c r="B800" s="26" t="s">
        <v>9102</v>
      </c>
    </row>
    <row r="801" spans="1:8" ht="18.75">
      <c r="B801" s="26" t="s">
        <v>9103</v>
      </c>
    </row>
    <row r="802" spans="1:8">
      <c r="B802" s="170" t="s">
        <v>4440</v>
      </c>
    </row>
    <row r="803" spans="1:8">
      <c r="B803" s="26"/>
    </row>
    <row r="804" spans="1:8" hidden="1">
      <c r="A804" s="865" t="s">
        <v>3984</v>
      </c>
      <c r="B804" s="26" t="s">
        <v>6373</v>
      </c>
      <c r="F804" s="78" t="s">
        <v>1697</v>
      </c>
      <c r="G804" s="68">
        <v>2.5</v>
      </c>
      <c r="H804" s="26" t="s">
        <v>3477</v>
      </c>
    </row>
    <row r="805" spans="1:8">
      <c r="A805" s="822"/>
    </row>
    <row r="806" spans="1:8">
      <c r="A806" s="822" t="s">
        <v>3984</v>
      </c>
      <c r="C806" s="203" t="s">
        <v>2367</v>
      </c>
      <c r="D806" s="171"/>
      <c r="F806" s="171" t="s">
        <v>297</v>
      </c>
      <c r="G806" s="162">
        <v>10</v>
      </c>
      <c r="H806" s="26" t="s">
        <v>3477</v>
      </c>
    </row>
    <row r="807" spans="1:8">
      <c r="A807" s="822"/>
    </row>
    <row r="808" spans="1:8">
      <c r="A808" s="822"/>
      <c r="B808" s="79" t="s">
        <v>2368</v>
      </c>
    </row>
    <row r="809" spans="1:8">
      <c r="A809" s="822"/>
      <c r="B809" s="95" t="s">
        <v>2369</v>
      </c>
      <c r="C809" s="157" t="s">
        <v>6374</v>
      </c>
      <c r="D809" s="195"/>
      <c r="E809" s="95" t="s">
        <v>2370</v>
      </c>
      <c r="F809" s="95" t="s">
        <v>1166</v>
      </c>
      <c r="G809" s="95" t="s">
        <v>2371</v>
      </c>
      <c r="H809" s="95" t="s">
        <v>2372</v>
      </c>
    </row>
    <row r="810" spans="1:8">
      <c r="A810" s="822"/>
      <c r="B810" s="114"/>
      <c r="C810" s="154"/>
      <c r="D810" s="192"/>
      <c r="E810" s="114"/>
      <c r="F810" s="114"/>
      <c r="G810" s="114" t="s">
        <v>3485</v>
      </c>
      <c r="H810" s="114" t="s">
        <v>3485</v>
      </c>
    </row>
    <row r="811" spans="1:8">
      <c r="A811" s="822"/>
      <c r="B811" s="95">
        <v>1</v>
      </c>
      <c r="C811" s="157" t="s">
        <v>6976</v>
      </c>
      <c r="D811" s="195"/>
      <c r="E811" s="107"/>
      <c r="F811" s="190">
        <v>0</v>
      </c>
      <c r="G811" s="190">
        <v>0</v>
      </c>
      <c r="H811" s="179">
        <f>F811*G811</f>
        <v>0</v>
      </c>
    </row>
    <row r="812" spans="1:8">
      <c r="A812" s="822"/>
      <c r="B812" s="114"/>
      <c r="C812" s="154"/>
      <c r="D812" s="192"/>
      <c r="E812" s="191"/>
      <c r="F812" s="182">
        <v>0</v>
      </c>
      <c r="G812" s="182">
        <v>0</v>
      </c>
      <c r="H812" s="182">
        <f>F812*G812</f>
        <v>0</v>
      </c>
    </row>
    <row r="813" spans="1:8">
      <c r="A813" s="822"/>
      <c r="B813" s="176"/>
      <c r="C813" s="174"/>
      <c r="D813" s="174" t="s">
        <v>2376</v>
      </c>
      <c r="E813" s="174"/>
      <c r="F813" s="192"/>
      <c r="G813" s="275" t="s">
        <v>1698</v>
      </c>
      <c r="H813" s="318">
        <f>SUM(H811:H812)</f>
        <v>0</v>
      </c>
    </row>
    <row r="814" spans="1:8">
      <c r="A814" s="822"/>
    </row>
    <row r="815" spans="1:8">
      <c r="A815" s="822"/>
      <c r="B815" s="79" t="s">
        <v>2377</v>
      </c>
    </row>
    <row r="816" spans="1:8">
      <c r="A816" s="822"/>
      <c r="B816" s="95" t="s">
        <v>2369</v>
      </c>
      <c r="C816" s="157" t="s">
        <v>2378</v>
      </c>
      <c r="D816" s="195"/>
      <c r="E816" s="95" t="s">
        <v>2370</v>
      </c>
      <c r="F816" s="95" t="s">
        <v>1166</v>
      </c>
      <c r="G816" s="95" t="s">
        <v>2371</v>
      </c>
      <c r="H816" s="95" t="s">
        <v>2372</v>
      </c>
    </row>
    <row r="817" spans="1:8">
      <c r="A817" s="822"/>
      <c r="B817" s="114"/>
      <c r="C817" s="154"/>
      <c r="D817" s="192"/>
      <c r="E817" s="114"/>
      <c r="F817" s="114"/>
      <c r="G817" s="114" t="s">
        <v>3485</v>
      </c>
      <c r="H817" s="114" t="s">
        <v>3485</v>
      </c>
    </row>
    <row r="818" spans="1:8">
      <c r="A818" s="822"/>
      <c r="B818" s="95">
        <v>1</v>
      </c>
      <c r="C818" s="157" t="s">
        <v>6976</v>
      </c>
      <c r="D818" s="195"/>
      <c r="E818" s="107"/>
      <c r="F818" s="179">
        <v>0</v>
      </c>
      <c r="G818" s="179">
        <v>0</v>
      </c>
      <c r="H818" s="179">
        <f>F818*G818</f>
        <v>0</v>
      </c>
    </row>
    <row r="819" spans="1:8">
      <c r="A819" s="822"/>
      <c r="B819" s="114"/>
      <c r="C819" s="154"/>
      <c r="D819" s="192"/>
      <c r="E819" s="191"/>
      <c r="F819" s="182">
        <v>0</v>
      </c>
      <c r="G819" s="182">
        <v>0</v>
      </c>
      <c r="H819" s="182">
        <f>F819*G819</f>
        <v>0</v>
      </c>
    </row>
    <row r="820" spans="1:8">
      <c r="A820" s="822"/>
      <c r="B820" s="176"/>
      <c r="C820" s="174"/>
      <c r="D820" s="174" t="s">
        <v>2380</v>
      </c>
      <c r="E820" s="174"/>
      <c r="F820" s="192"/>
      <c r="G820" s="236" t="s">
        <v>1698</v>
      </c>
      <c r="H820" s="318">
        <f>SUM(H818:H819)</f>
        <v>0</v>
      </c>
    </row>
    <row r="821" spans="1:8">
      <c r="A821" s="822"/>
    </row>
    <row r="822" spans="1:8">
      <c r="A822" s="822"/>
      <c r="B822" s="79" t="s">
        <v>2381</v>
      </c>
    </row>
    <row r="823" spans="1:8">
      <c r="A823" s="822"/>
      <c r="B823" s="95" t="s">
        <v>2369</v>
      </c>
      <c r="C823" s="157" t="s">
        <v>2378</v>
      </c>
      <c r="D823" s="195"/>
      <c r="E823" s="95" t="s">
        <v>2370</v>
      </c>
      <c r="F823" s="95" t="s">
        <v>1166</v>
      </c>
      <c r="G823" s="95" t="s">
        <v>2371</v>
      </c>
      <c r="H823" s="95" t="s">
        <v>2372</v>
      </c>
    </row>
    <row r="824" spans="1:8">
      <c r="A824" s="822"/>
      <c r="B824" s="114"/>
      <c r="C824" s="154"/>
      <c r="D824" s="192"/>
      <c r="E824" s="105"/>
      <c r="F824" s="114"/>
      <c r="G824" s="114" t="s">
        <v>3485</v>
      </c>
      <c r="H824" s="114" t="s">
        <v>3485</v>
      </c>
    </row>
    <row r="825" spans="1:8">
      <c r="A825" s="822"/>
      <c r="B825" s="95">
        <v>1</v>
      </c>
      <c r="C825" s="148" t="s">
        <v>4206</v>
      </c>
      <c r="D825" s="187"/>
      <c r="E825" s="107" t="s">
        <v>1172</v>
      </c>
      <c r="F825" s="178">
        <v>0.5</v>
      </c>
      <c r="G825" s="179">
        <f>'BASIC DATA'!C473</f>
        <v>450</v>
      </c>
      <c r="H825" s="179">
        <f>F825*G825</f>
        <v>225</v>
      </c>
    </row>
    <row r="826" spans="1:8">
      <c r="A826" s="822"/>
      <c r="B826" s="105">
        <v>2</v>
      </c>
      <c r="C826" s="76" t="s">
        <v>5603</v>
      </c>
      <c r="D826" s="31"/>
      <c r="E826" s="210" t="s">
        <v>1172</v>
      </c>
      <c r="F826" s="207">
        <v>1</v>
      </c>
      <c r="G826" s="190">
        <f>'BASIC DATA'!C514</f>
        <v>400</v>
      </c>
      <c r="H826" s="190">
        <f>F826*G826</f>
        <v>400</v>
      </c>
    </row>
    <row r="827" spans="1:8">
      <c r="A827" s="822"/>
      <c r="B827" s="114">
        <v>3</v>
      </c>
      <c r="C827" s="89" t="s">
        <v>2697</v>
      </c>
      <c r="D827" s="174"/>
      <c r="E827" s="191" t="s">
        <v>1172</v>
      </c>
      <c r="F827" s="181">
        <v>7.5</v>
      </c>
      <c r="G827" s="182">
        <f>'BASIC DATA'!C552</f>
        <v>350</v>
      </c>
      <c r="H827" s="190">
        <f>F827*G827</f>
        <v>2625</v>
      </c>
    </row>
    <row r="828" spans="1:8">
      <c r="A828" s="822"/>
      <c r="B828" s="176"/>
      <c r="C828" s="174"/>
      <c r="D828" s="174" t="s">
        <v>1174</v>
      </c>
      <c r="E828" s="174"/>
      <c r="F828" s="192"/>
      <c r="G828" s="275" t="s">
        <v>1698</v>
      </c>
      <c r="H828" s="318">
        <f>SUM(H825:H827)</f>
        <v>3250</v>
      </c>
    </row>
    <row r="829" spans="1:8">
      <c r="A829" s="822"/>
      <c r="B829" s="60" t="s">
        <v>5948</v>
      </c>
      <c r="C829" s="31"/>
      <c r="D829" s="31"/>
      <c r="E829" s="85">
        <f>ROUND(H828/G806,1)</f>
        <v>325</v>
      </c>
      <c r="G829" s="31"/>
    </row>
    <row r="830" spans="1:8">
      <c r="A830" s="822"/>
      <c r="B830" s="60" t="s">
        <v>3163</v>
      </c>
      <c r="C830" s="31"/>
      <c r="D830" s="922">
        <f>'BASIC DATA'!$C$577</f>
        <v>0.13614999999999999</v>
      </c>
      <c r="E830" s="85">
        <f>ROUND(E829*D830,1)</f>
        <v>44.2</v>
      </c>
      <c r="G830" s="31"/>
    </row>
    <row r="831" spans="1:8">
      <c r="A831" s="822"/>
      <c r="B831" s="60" t="s">
        <v>5949</v>
      </c>
      <c r="C831" s="31"/>
      <c r="D831" s="31"/>
      <c r="E831" s="739">
        <f>E830+E829</f>
        <v>369.2</v>
      </c>
      <c r="G831" s="31"/>
    </row>
    <row r="832" spans="1:8">
      <c r="A832" s="822"/>
      <c r="B832" s="26"/>
    </row>
    <row r="833" spans="1:8">
      <c r="A833" s="822"/>
      <c r="B833" s="170" t="s">
        <v>1175</v>
      </c>
    </row>
    <row r="834" spans="1:8">
      <c r="A834" s="822"/>
      <c r="B834" s="26" t="s">
        <v>1176</v>
      </c>
      <c r="F834" s="171" t="s">
        <v>1698</v>
      </c>
      <c r="G834" s="68">
        <f>H813</f>
        <v>0</v>
      </c>
    </row>
    <row r="835" spans="1:8">
      <c r="A835" s="822"/>
      <c r="B835" s="26" t="s">
        <v>1186</v>
      </c>
      <c r="F835" s="171" t="s">
        <v>1698</v>
      </c>
      <c r="G835" s="68">
        <f>H820</f>
        <v>0</v>
      </c>
    </row>
    <row r="836" spans="1:8">
      <c r="A836" s="822"/>
      <c r="B836" s="26" t="s">
        <v>2660</v>
      </c>
      <c r="F836" s="171" t="s">
        <v>1698</v>
      </c>
      <c r="G836" s="75">
        <f>H828</f>
        <v>3250</v>
      </c>
    </row>
    <row r="837" spans="1:8">
      <c r="A837" s="822"/>
      <c r="E837" s="26" t="s">
        <v>1518</v>
      </c>
      <c r="F837" s="171" t="s">
        <v>1698</v>
      </c>
      <c r="G837" s="205">
        <f>SUM(G834:G836)</f>
        <v>3250</v>
      </c>
    </row>
    <row r="838" spans="1:8" ht="35.25" customHeight="1">
      <c r="A838" s="822"/>
      <c r="B838" s="1207" t="s">
        <v>1379</v>
      </c>
      <c r="C838" s="1207"/>
      <c r="E838" s="922">
        <f>'BASIC DATA'!$C$577</f>
        <v>0.13614999999999999</v>
      </c>
      <c r="F838" s="26" t="s">
        <v>1698</v>
      </c>
      <c r="G838" s="26">
        <f>G837*E838</f>
        <v>442.48749999999995</v>
      </c>
    </row>
    <row r="839" spans="1:8">
      <c r="A839" s="822"/>
      <c r="B839" s="26" t="s">
        <v>1191</v>
      </c>
      <c r="D839" s="68">
        <f>G806</f>
        <v>10</v>
      </c>
      <c r="E839" s="68" t="str">
        <f>H806</f>
        <v>cum</v>
      </c>
      <c r="F839" s="26" t="s">
        <v>1698</v>
      </c>
      <c r="G839" s="211">
        <f>G838+G837</f>
        <v>3692.4875000000002</v>
      </c>
    </row>
    <row r="840" spans="1:8">
      <c r="A840" s="822"/>
      <c r="B840" s="170" t="s">
        <v>1584</v>
      </c>
      <c r="C840" s="211" t="str">
        <f>E839</f>
        <v>cum</v>
      </c>
      <c r="D840" s="26" t="s">
        <v>5891</v>
      </c>
      <c r="F840" s="26" t="s">
        <v>4108</v>
      </c>
      <c r="G840" s="211">
        <f>ROUND(G839/D839,1)</f>
        <v>369.2</v>
      </c>
    </row>
    <row r="841" spans="1:8">
      <c r="A841" s="822"/>
    </row>
    <row r="842" spans="1:8">
      <c r="A842" s="865" t="s">
        <v>5490</v>
      </c>
      <c r="B842" s="26" t="s">
        <v>9150</v>
      </c>
    </row>
    <row r="843" spans="1:8">
      <c r="B843" s="26" t="s">
        <v>9151</v>
      </c>
    </row>
    <row r="844" spans="1:8">
      <c r="B844" s="26" t="s">
        <v>9152</v>
      </c>
    </row>
    <row r="845" spans="1:8">
      <c r="B845" s="26" t="s">
        <v>9153</v>
      </c>
    </row>
    <row r="846" spans="1:8">
      <c r="B846" s="26" t="s">
        <v>9154</v>
      </c>
    </row>
    <row r="847" spans="1:8">
      <c r="A847" s="822"/>
      <c r="B847" s="26"/>
    </row>
    <row r="848" spans="1:8" hidden="1">
      <c r="A848" s="865" t="s">
        <v>3984</v>
      </c>
      <c r="B848" s="26" t="s">
        <v>2910</v>
      </c>
      <c r="F848" s="78" t="s">
        <v>1697</v>
      </c>
      <c r="G848" s="68">
        <v>25</v>
      </c>
      <c r="H848" s="26" t="s">
        <v>2602</v>
      </c>
    </row>
    <row r="849" spans="1:8" hidden="1">
      <c r="B849" s="26" t="s">
        <v>2911</v>
      </c>
      <c r="F849" s="78" t="s">
        <v>1697</v>
      </c>
      <c r="G849" s="68">
        <v>5</v>
      </c>
      <c r="H849" s="26" t="s">
        <v>2602</v>
      </c>
    </row>
    <row r="850" spans="1:8" hidden="1">
      <c r="B850" s="26" t="s">
        <v>2912</v>
      </c>
      <c r="F850" s="78" t="s">
        <v>1697</v>
      </c>
      <c r="G850" s="26">
        <v>5</v>
      </c>
      <c r="H850" s="26" t="s">
        <v>4928</v>
      </c>
    </row>
    <row r="851" spans="1:8" hidden="1">
      <c r="B851" s="26" t="s">
        <v>2913</v>
      </c>
      <c r="F851" s="78" t="s">
        <v>1697</v>
      </c>
      <c r="G851" s="26">
        <v>4</v>
      </c>
      <c r="H851" s="26" t="s">
        <v>4929</v>
      </c>
    </row>
    <row r="852" spans="1:8" hidden="1">
      <c r="B852" s="26" t="s">
        <v>2914</v>
      </c>
      <c r="F852" s="78"/>
    </row>
    <row r="853" spans="1:8" hidden="1">
      <c r="B853" s="26" t="s">
        <v>2915</v>
      </c>
      <c r="F853" s="78" t="s">
        <v>1697</v>
      </c>
      <c r="G853" s="26">
        <v>2</v>
      </c>
      <c r="H853" s="26" t="s">
        <v>4041</v>
      </c>
    </row>
    <row r="854" spans="1:8" hidden="1">
      <c r="B854" s="26" t="s">
        <v>1134</v>
      </c>
      <c r="F854" s="78" t="s">
        <v>1697</v>
      </c>
      <c r="G854" s="26">
        <v>1</v>
      </c>
      <c r="H854" s="26" t="s">
        <v>4089</v>
      </c>
    </row>
    <row r="855" spans="1:8" hidden="1">
      <c r="B855" s="26" t="s">
        <v>1135</v>
      </c>
      <c r="F855" s="78" t="s">
        <v>1697</v>
      </c>
      <c r="G855" s="26">
        <v>1</v>
      </c>
      <c r="H855" s="26" t="s">
        <v>4089</v>
      </c>
    </row>
    <row r="856" spans="1:8" hidden="1">
      <c r="B856" s="26" t="s">
        <v>5430</v>
      </c>
      <c r="F856" s="78" t="s">
        <v>1697</v>
      </c>
      <c r="G856" s="26">
        <v>4</v>
      </c>
      <c r="H856" s="26" t="s">
        <v>4041</v>
      </c>
    </row>
    <row r="857" spans="1:8">
      <c r="A857" s="822"/>
    </row>
    <row r="858" spans="1:8">
      <c r="A858" s="865" t="s">
        <v>3984</v>
      </c>
      <c r="C858" s="203" t="s">
        <v>2367</v>
      </c>
      <c r="D858" s="171"/>
      <c r="F858" s="171" t="s">
        <v>297</v>
      </c>
      <c r="G858" s="162">
        <v>20</v>
      </c>
      <c r="H858" s="26" t="s">
        <v>4724</v>
      </c>
    </row>
    <row r="859" spans="1:8">
      <c r="A859" s="822"/>
      <c r="B859" s="79" t="s">
        <v>2368</v>
      </c>
    </row>
    <row r="860" spans="1:8">
      <c r="A860" s="822"/>
      <c r="B860" s="95" t="s">
        <v>2369</v>
      </c>
      <c r="C860" s="157" t="s">
        <v>6374</v>
      </c>
      <c r="D860" s="195"/>
      <c r="E860" s="95" t="s">
        <v>2370</v>
      </c>
      <c r="F860" s="95" t="s">
        <v>1166</v>
      </c>
      <c r="G860" s="95" t="s">
        <v>2371</v>
      </c>
      <c r="H860" s="95" t="s">
        <v>2372</v>
      </c>
    </row>
    <row r="861" spans="1:8">
      <c r="A861" s="822"/>
      <c r="B861" s="114"/>
      <c r="C861" s="154"/>
      <c r="D861" s="192"/>
      <c r="E861" s="114"/>
      <c r="F861" s="114"/>
      <c r="G861" s="114" t="s">
        <v>3485</v>
      </c>
      <c r="H861" s="114" t="s">
        <v>3485</v>
      </c>
    </row>
    <row r="862" spans="1:8">
      <c r="A862" s="822"/>
      <c r="B862" s="95">
        <v>1</v>
      </c>
      <c r="C862" s="131" t="s">
        <v>2916</v>
      </c>
      <c r="D862" s="195"/>
      <c r="E862" s="107"/>
      <c r="F862" s="190">
        <v>5</v>
      </c>
      <c r="G862" s="214">
        <f>'BASIC DATA'!D359</f>
        <v>30</v>
      </c>
      <c r="H862" s="179">
        <f>F862*G862</f>
        <v>150</v>
      </c>
    </row>
    <row r="863" spans="1:8">
      <c r="A863" s="822"/>
      <c r="B863" s="114"/>
      <c r="C863" s="154"/>
      <c r="D863" s="192"/>
      <c r="E863" s="191"/>
      <c r="F863" s="182">
        <v>0</v>
      </c>
      <c r="G863" s="182">
        <v>0</v>
      </c>
      <c r="H863" s="182">
        <f>F863*G863</f>
        <v>0</v>
      </c>
    </row>
    <row r="864" spans="1:8">
      <c r="A864" s="822"/>
      <c r="B864" s="176"/>
      <c r="C864" s="174"/>
      <c r="D864" s="174" t="s">
        <v>2376</v>
      </c>
      <c r="E864" s="174"/>
      <c r="F864" s="192"/>
      <c r="G864" s="275" t="s">
        <v>1698</v>
      </c>
      <c r="H864" s="318">
        <f>SUM(H862:H863)</f>
        <v>150</v>
      </c>
    </row>
    <row r="865" spans="1:8">
      <c r="A865" s="822"/>
    </row>
    <row r="866" spans="1:8">
      <c r="A866" s="822"/>
      <c r="B866" s="79" t="s">
        <v>2377</v>
      </c>
    </row>
    <row r="867" spans="1:8">
      <c r="A867" s="822"/>
      <c r="B867" s="95" t="s">
        <v>2369</v>
      </c>
      <c r="C867" s="157" t="s">
        <v>2378</v>
      </c>
      <c r="D867" s="195"/>
      <c r="E867" s="95" t="s">
        <v>2370</v>
      </c>
      <c r="F867" s="95" t="s">
        <v>1166</v>
      </c>
      <c r="G867" s="95" t="s">
        <v>2371</v>
      </c>
      <c r="H867" s="95" t="s">
        <v>2372</v>
      </c>
    </row>
    <row r="868" spans="1:8">
      <c r="A868" s="822"/>
      <c r="B868" s="114"/>
      <c r="C868" s="154"/>
      <c r="D868" s="192"/>
      <c r="E868" s="114"/>
      <c r="F868" s="114"/>
      <c r="G868" s="114" t="s">
        <v>3485</v>
      </c>
      <c r="H868" s="114" t="s">
        <v>3485</v>
      </c>
    </row>
    <row r="869" spans="1:8">
      <c r="A869" s="822"/>
      <c r="B869" s="95">
        <v>1</v>
      </c>
      <c r="C869" s="131" t="s">
        <v>2917</v>
      </c>
      <c r="E869" s="195" t="s">
        <v>2374</v>
      </c>
      <c r="F869" s="179">
        <v>8</v>
      </c>
      <c r="G869" s="179">
        <f>'HIRE CHARGES'!G526</f>
        <v>99</v>
      </c>
      <c r="H869" s="179">
        <f>F869*G869</f>
        <v>792</v>
      </c>
    </row>
    <row r="870" spans="1:8">
      <c r="A870" s="822"/>
      <c r="B870" s="114"/>
      <c r="C870" s="139" t="s">
        <v>2300</v>
      </c>
      <c r="D870" s="192"/>
      <c r="E870" s="268">
        <v>0.2</v>
      </c>
      <c r="F870" s="182"/>
      <c r="G870" s="182"/>
      <c r="H870" s="182">
        <f>H869*E870</f>
        <v>158.4</v>
      </c>
    </row>
    <row r="871" spans="1:8">
      <c r="A871" s="822"/>
      <c r="B871" s="176"/>
      <c r="C871" s="174"/>
      <c r="D871" s="174" t="s">
        <v>2380</v>
      </c>
      <c r="E871" s="174"/>
      <c r="F871" s="192"/>
      <c r="G871" s="275" t="s">
        <v>1698</v>
      </c>
      <c r="H871" s="318">
        <f>SUM(H869:H870)</f>
        <v>950.4</v>
      </c>
    </row>
    <row r="872" spans="1:8">
      <c r="A872" s="822"/>
    </row>
    <row r="873" spans="1:8">
      <c r="A873" s="822"/>
      <c r="B873" s="79" t="s">
        <v>2381</v>
      </c>
    </row>
    <row r="874" spans="1:8">
      <c r="A874" s="822"/>
      <c r="B874" s="95" t="s">
        <v>2369</v>
      </c>
      <c r="C874" s="157" t="s">
        <v>2378</v>
      </c>
      <c r="D874" s="195"/>
      <c r="E874" s="95" t="s">
        <v>2370</v>
      </c>
      <c r="F874" s="95" t="s">
        <v>1166</v>
      </c>
      <c r="G874" s="95" t="s">
        <v>2371</v>
      </c>
      <c r="H874" s="95" t="s">
        <v>2372</v>
      </c>
    </row>
    <row r="875" spans="1:8">
      <c r="A875" s="822"/>
      <c r="B875" s="114"/>
      <c r="C875" s="154"/>
      <c r="D875" s="192"/>
      <c r="E875" s="105"/>
      <c r="F875" s="114"/>
      <c r="G875" s="114" t="s">
        <v>3485</v>
      </c>
      <c r="H875" s="114" t="s">
        <v>3485</v>
      </c>
    </row>
    <row r="876" spans="1:8">
      <c r="A876" s="822"/>
      <c r="B876" s="95">
        <v>1</v>
      </c>
      <c r="C876" s="148" t="s">
        <v>2915</v>
      </c>
      <c r="D876" s="187"/>
      <c r="E876" s="107" t="s">
        <v>1172</v>
      </c>
      <c r="F876" s="178">
        <v>2</v>
      </c>
      <c r="G876" s="179">
        <f>'BASIC DATA'!C561</f>
        <v>860</v>
      </c>
      <c r="H876" s="179">
        <f>F876*G876</f>
        <v>1720</v>
      </c>
    </row>
    <row r="877" spans="1:8">
      <c r="A877" s="822"/>
      <c r="B877" s="105">
        <v>2</v>
      </c>
      <c r="C877" s="76" t="s">
        <v>1134</v>
      </c>
      <c r="D877" s="31"/>
      <c r="E877" s="210" t="s">
        <v>1172</v>
      </c>
      <c r="F877" s="207">
        <v>1</v>
      </c>
      <c r="G877" s="190">
        <f>'BASIC DATA'!C561</f>
        <v>860</v>
      </c>
      <c r="H877" s="190">
        <f>F877*G877</f>
        <v>860</v>
      </c>
    </row>
    <row r="878" spans="1:8">
      <c r="A878" s="822"/>
      <c r="B878" s="105">
        <v>3</v>
      </c>
      <c r="C878" s="76" t="s">
        <v>1135</v>
      </c>
      <c r="D878" s="31"/>
      <c r="E878" s="210" t="s">
        <v>1172</v>
      </c>
      <c r="F878" s="207">
        <v>1</v>
      </c>
      <c r="G878" s="190">
        <f>'BASIC DATA'!C560</f>
        <v>520</v>
      </c>
      <c r="H878" s="190">
        <f>F878*G878</f>
        <v>520</v>
      </c>
    </row>
    <row r="879" spans="1:8">
      <c r="A879" s="822"/>
      <c r="B879" s="114">
        <v>4</v>
      </c>
      <c r="C879" s="89" t="s">
        <v>2697</v>
      </c>
      <c r="D879" s="174"/>
      <c r="E879" s="191" t="s">
        <v>1172</v>
      </c>
      <c r="F879" s="181">
        <v>4</v>
      </c>
      <c r="G879" s="182">
        <f>'BASIC DATA'!C552</f>
        <v>350</v>
      </c>
      <c r="H879" s="182">
        <f>F879*G879</f>
        <v>1400</v>
      </c>
    </row>
    <row r="880" spans="1:8">
      <c r="A880" s="822"/>
      <c r="B880" s="176"/>
      <c r="C880" s="174"/>
      <c r="D880" s="174" t="s">
        <v>1174</v>
      </c>
      <c r="E880" s="174"/>
      <c r="F880" s="192"/>
      <c r="G880" s="275" t="s">
        <v>1698</v>
      </c>
      <c r="H880" s="318">
        <f>SUM(H876:H879)</f>
        <v>4500</v>
      </c>
    </row>
    <row r="881" spans="1:8">
      <c r="A881" s="822"/>
      <c r="B881" s="60" t="s">
        <v>5948</v>
      </c>
      <c r="C881" s="31"/>
      <c r="D881" s="31"/>
      <c r="E881" s="85">
        <f>ROUND(H880/G858,1)</f>
        <v>225</v>
      </c>
      <c r="G881" s="31"/>
    </row>
    <row r="882" spans="1:8">
      <c r="A882" s="822"/>
      <c r="B882" s="60" t="s">
        <v>3163</v>
      </c>
      <c r="C882" s="31"/>
      <c r="D882" s="922">
        <f>'BASIC DATA'!$C$577</f>
        <v>0.13614999999999999</v>
      </c>
      <c r="E882" s="85">
        <f>ROUND(E881*D882,1)</f>
        <v>30.6</v>
      </c>
      <c r="G882" s="31"/>
    </row>
    <row r="883" spans="1:8">
      <c r="A883" s="822"/>
      <c r="B883" s="60" t="s">
        <v>5949</v>
      </c>
      <c r="C883" s="31"/>
      <c r="D883" s="31"/>
      <c r="E883" s="739">
        <f>E882+E881</f>
        <v>255.6</v>
      </c>
      <c r="G883" s="31"/>
    </row>
    <row r="884" spans="1:8">
      <c r="A884" s="822"/>
      <c r="B884" s="33"/>
      <c r="C884" s="31"/>
      <c r="D884" s="31"/>
      <c r="E884" s="31"/>
      <c r="F884" s="31"/>
      <c r="G884" s="200"/>
      <c r="H884" s="75"/>
    </row>
    <row r="885" spans="1:8">
      <c r="A885" s="822"/>
      <c r="B885" s="170" t="s">
        <v>1175</v>
      </c>
    </row>
    <row r="886" spans="1:8">
      <c r="A886" s="822"/>
      <c r="B886" s="26" t="s">
        <v>1176</v>
      </c>
      <c r="F886" s="171" t="s">
        <v>1698</v>
      </c>
      <c r="G886" s="68">
        <f>H864</f>
        <v>150</v>
      </c>
    </row>
    <row r="887" spans="1:8">
      <c r="A887" s="822"/>
      <c r="B887" s="26" t="s">
        <v>1186</v>
      </c>
      <c r="F887" s="171" t="s">
        <v>1698</v>
      </c>
      <c r="G887" s="68">
        <f>H871</f>
        <v>950.4</v>
      </c>
    </row>
    <row r="888" spans="1:8">
      <c r="A888" s="822"/>
      <c r="B888" s="26" t="s">
        <v>2660</v>
      </c>
      <c r="F888" s="171" t="s">
        <v>1698</v>
      </c>
      <c r="G888" s="68">
        <f>H880</f>
        <v>4500</v>
      </c>
    </row>
    <row r="889" spans="1:8">
      <c r="A889" s="822"/>
      <c r="E889" s="26" t="s">
        <v>1518</v>
      </c>
      <c r="F889" s="171" t="s">
        <v>1698</v>
      </c>
      <c r="G889" s="205">
        <f>SUM(G886:G888)</f>
        <v>5600.4</v>
      </c>
    </row>
    <row r="890" spans="1:8" ht="36.75" customHeight="1">
      <c r="A890" s="822"/>
      <c r="B890" s="1207" t="s">
        <v>1379</v>
      </c>
      <c r="C890" s="1207"/>
      <c r="E890" s="922">
        <f>'BASIC DATA'!$C$577</f>
        <v>0.13614999999999999</v>
      </c>
      <c r="F890" s="26" t="s">
        <v>1698</v>
      </c>
      <c r="G890" s="26">
        <f>G889*E890</f>
        <v>762.49445999999989</v>
      </c>
    </row>
    <row r="891" spans="1:8">
      <c r="A891" s="822"/>
      <c r="B891" s="26" t="s">
        <v>1191</v>
      </c>
      <c r="D891" s="68">
        <f>G858</f>
        <v>20</v>
      </c>
      <c r="E891" s="68" t="str">
        <f>H858</f>
        <v>Stages</v>
      </c>
      <c r="F891" s="26" t="s">
        <v>1698</v>
      </c>
      <c r="G891" s="211">
        <f>G890+G889</f>
        <v>6362.8944599999995</v>
      </c>
    </row>
    <row r="892" spans="1:8">
      <c r="A892" s="822"/>
      <c r="B892" s="170" t="s">
        <v>1584</v>
      </c>
      <c r="C892" s="211" t="s">
        <v>817</v>
      </c>
      <c r="D892" s="26" t="s">
        <v>5890</v>
      </c>
      <c r="F892" s="26" t="s">
        <v>4108</v>
      </c>
      <c r="G892" s="211">
        <f>ROUND(G891/D891,1)</f>
        <v>318.10000000000002</v>
      </c>
    </row>
    <row r="893" spans="1:8">
      <c r="A893" s="822"/>
    </row>
    <row r="894" spans="1:8">
      <c r="A894" s="822"/>
    </row>
    <row r="895" spans="1:8">
      <c r="A895" s="865" t="s">
        <v>5491</v>
      </c>
      <c r="B895" s="26" t="s">
        <v>9155</v>
      </c>
    </row>
    <row r="896" spans="1:8">
      <c r="B896" s="26" t="s">
        <v>9156</v>
      </c>
    </row>
    <row r="897" spans="1:2">
      <c r="B897" s="26" t="s">
        <v>3620</v>
      </c>
    </row>
    <row r="898" spans="1:2">
      <c r="B898" s="26" t="s">
        <v>3621</v>
      </c>
    </row>
    <row r="899" spans="1:2" ht="18.75">
      <c r="B899" s="170" t="s">
        <v>9104</v>
      </c>
    </row>
    <row r="900" spans="1:2">
      <c r="B900" s="47" t="s">
        <v>2587</v>
      </c>
    </row>
    <row r="901" spans="1:2">
      <c r="B901" s="26" t="s">
        <v>2588</v>
      </c>
    </row>
    <row r="902" spans="1:2" hidden="1">
      <c r="A902" s="865" t="s">
        <v>3984</v>
      </c>
      <c r="B902" s="26" t="s">
        <v>6384</v>
      </c>
    </row>
    <row r="903" spans="1:2" hidden="1">
      <c r="B903" s="26" t="s">
        <v>5134</v>
      </c>
    </row>
    <row r="904" spans="1:2" hidden="1">
      <c r="B904" s="26" t="s">
        <v>63</v>
      </c>
    </row>
    <row r="905" spans="1:2" hidden="1">
      <c r="B905" s="26" t="s">
        <v>64</v>
      </c>
    </row>
    <row r="906" spans="1:2" hidden="1">
      <c r="B906" s="26" t="s">
        <v>1423</v>
      </c>
    </row>
    <row r="907" spans="1:2" hidden="1">
      <c r="B907" s="26" t="s">
        <v>1424</v>
      </c>
    </row>
    <row r="908" spans="1:2" hidden="1">
      <c r="B908" s="26" t="s">
        <v>5570</v>
      </c>
    </row>
    <row r="909" spans="1:2" hidden="1">
      <c r="B909" s="26" t="s">
        <v>5571</v>
      </c>
    </row>
    <row r="910" spans="1:2" hidden="1">
      <c r="B910" s="26" t="s">
        <v>3344</v>
      </c>
    </row>
    <row r="911" spans="1:2" hidden="1">
      <c r="B911" s="26" t="s">
        <v>3317</v>
      </c>
    </row>
    <row r="912" spans="1:2" hidden="1">
      <c r="B912" s="26" t="s">
        <v>3318</v>
      </c>
    </row>
    <row r="913" spans="2:8" hidden="1">
      <c r="B913" s="26"/>
    </row>
    <row r="914" spans="2:8" hidden="1">
      <c r="B914" s="26" t="s">
        <v>2366</v>
      </c>
    </row>
    <row r="915" spans="2:8" hidden="1">
      <c r="B915" s="26" t="s">
        <v>3319</v>
      </c>
      <c r="D915" s="68">
        <f>'BASIC DATA'!D302</f>
        <v>10500</v>
      </c>
      <c r="E915" s="26" t="s">
        <v>2290</v>
      </c>
      <c r="G915" s="171" t="s">
        <v>1698</v>
      </c>
      <c r="H915" s="117">
        <f>D915</f>
        <v>10500</v>
      </c>
    </row>
    <row r="916" spans="2:8" hidden="1">
      <c r="B916" s="26" t="s">
        <v>3320</v>
      </c>
      <c r="F916" s="78" t="s">
        <v>1697</v>
      </c>
      <c r="G916" s="26">
        <v>90</v>
      </c>
      <c r="H916" s="26" t="s">
        <v>2602</v>
      </c>
    </row>
    <row r="917" spans="2:8" hidden="1">
      <c r="B917" s="26" t="s">
        <v>4778</v>
      </c>
      <c r="E917" s="26" t="s">
        <v>7593</v>
      </c>
      <c r="F917" s="78"/>
      <c r="G917" s="171" t="s">
        <v>1698</v>
      </c>
      <c r="H917" s="117">
        <f>H915/G916</f>
        <v>116.66666666666667</v>
      </c>
    </row>
    <row r="918" spans="2:8" hidden="1">
      <c r="B918" s="26" t="s">
        <v>4779</v>
      </c>
      <c r="D918" s="68">
        <f>'BASIC DATA'!D312</f>
        <v>5150</v>
      </c>
      <c r="E918" s="26" t="s">
        <v>2290</v>
      </c>
      <c r="F918" s="78"/>
      <c r="G918" s="171" t="s">
        <v>1698</v>
      </c>
      <c r="H918" s="117">
        <f>D918</f>
        <v>5150</v>
      </c>
    </row>
    <row r="919" spans="2:8" hidden="1">
      <c r="B919" s="26" t="s">
        <v>4780</v>
      </c>
      <c r="F919" s="78" t="s">
        <v>1697</v>
      </c>
      <c r="G919" s="26">
        <v>180</v>
      </c>
      <c r="H919" s="26" t="s">
        <v>2602</v>
      </c>
    </row>
    <row r="920" spans="2:8" hidden="1">
      <c r="B920" s="26" t="s">
        <v>174</v>
      </c>
      <c r="E920" s="26" t="s">
        <v>7593</v>
      </c>
      <c r="F920" s="78"/>
      <c r="G920" s="171" t="s">
        <v>1698</v>
      </c>
      <c r="H920" s="117">
        <f>H918/G919</f>
        <v>28.611111111111111</v>
      </c>
    </row>
    <row r="921" spans="2:8" hidden="1">
      <c r="B921" s="26" t="s">
        <v>175</v>
      </c>
      <c r="D921" s="68">
        <f>'BASIC DATA'!D306</f>
        <v>2120</v>
      </c>
      <c r="E921" s="26" t="s">
        <v>2618</v>
      </c>
      <c r="F921" s="78"/>
      <c r="G921" s="171" t="s">
        <v>1698</v>
      </c>
      <c r="H921" s="117">
        <f>D921*16.5</f>
        <v>34980</v>
      </c>
    </row>
    <row r="922" spans="2:8" hidden="1">
      <c r="B922" s="26" t="s">
        <v>176</v>
      </c>
      <c r="F922" s="78" t="s">
        <v>1697</v>
      </c>
      <c r="G922" s="26">
        <v>20000</v>
      </c>
      <c r="H922" s="68" t="s">
        <v>2602</v>
      </c>
    </row>
    <row r="923" spans="2:8" hidden="1">
      <c r="B923" s="26" t="s">
        <v>177</v>
      </c>
      <c r="E923" s="26" t="s">
        <v>7593</v>
      </c>
      <c r="G923" s="171" t="s">
        <v>1698</v>
      </c>
      <c r="H923" s="117">
        <f>H921/G922</f>
        <v>1.7490000000000001</v>
      </c>
    </row>
    <row r="924" spans="2:8" hidden="1">
      <c r="B924" s="26" t="s">
        <v>178</v>
      </c>
    </row>
    <row r="925" spans="2:8" hidden="1">
      <c r="B925" s="26" t="s">
        <v>179</v>
      </c>
      <c r="D925" s="68">
        <f>'BASIC DATA'!D72</f>
        <v>54000</v>
      </c>
      <c r="E925" s="26" t="s">
        <v>3691</v>
      </c>
      <c r="G925" s="171" t="s">
        <v>1698</v>
      </c>
      <c r="H925" s="202">
        <f>D925*0.033</f>
        <v>1782</v>
      </c>
    </row>
    <row r="926" spans="2:8" hidden="1">
      <c r="B926" s="26" t="s">
        <v>1805</v>
      </c>
      <c r="D926" s="201">
        <v>0.1</v>
      </c>
      <c r="G926" s="171" t="s">
        <v>1698</v>
      </c>
      <c r="H926" s="202">
        <f>H925*D926</f>
        <v>178.20000000000002</v>
      </c>
    </row>
    <row r="927" spans="2:8" hidden="1">
      <c r="B927" s="26" t="s">
        <v>1806</v>
      </c>
      <c r="D927" s="201">
        <v>0.15</v>
      </c>
      <c r="G927" s="171" t="s">
        <v>1698</v>
      </c>
      <c r="H927" s="366">
        <f>H925*D927</f>
        <v>267.3</v>
      </c>
    </row>
    <row r="928" spans="2:8" hidden="1">
      <c r="B928" s="26" t="s">
        <v>2064</v>
      </c>
      <c r="D928" s="26">
        <v>9</v>
      </c>
      <c r="E928" s="26" t="s">
        <v>6839</v>
      </c>
      <c r="G928" s="171" t="s">
        <v>1698</v>
      </c>
      <c r="H928" s="202">
        <f>SUM(H925:H927)</f>
        <v>2227.5</v>
      </c>
    </row>
    <row r="929" spans="1:8" hidden="1">
      <c r="B929" s="26" t="s">
        <v>180</v>
      </c>
      <c r="G929" s="171" t="s">
        <v>1698</v>
      </c>
      <c r="H929" s="202">
        <f>H928/D928</f>
        <v>247.5</v>
      </c>
    </row>
    <row r="930" spans="1:8">
      <c r="A930" s="822"/>
    </row>
    <row r="931" spans="1:8">
      <c r="A931" s="822" t="s">
        <v>9215</v>
      </c>
      <c r="C931" s="203" t="s">
        <v>2367</v>
      </c>
      <c r="D931" s="171"/>
      <c r="F931" s="171" t="s">
        <v>297</v>
      </c>
      <c r="G931" s="776">
        <v>3</v>
      </c>
      <c r="H931" s="26" t="s">
        <v>3483</v>
      </c>
    </row>
    <row r="932" spans="1:8">
      <c r="A932" s="822"/>
      <c r="B932" s="79" t="s">
        <v>2368</v>
      </c>
    </row>
    <row r="933" spans="1:8">
      <c r="A933" s="822"/>
      <c r="B933" s="95" t="s">
        <v>2369</v>
      </c>
      <c r="C933" s="157" t="s">
        <v>6374</v>
      </c>
      <c r="D933" s="195"/>
      <c r="E933" s="95" t="s">
        <v>2370</v>
      </c>
      <c r="F933" s="95" t="s">
        <v>1166</v>
      </c>
      <c r="G933" s="95" t="s">
        <v>2371</v>
      </c>
      <c r="H933" s="95" t="s">
        <v>2372</v>
      </c>
    </row>
    <row r="934" spans="1:8">
      <c r="A934" s="822"/>
      <c r="B934" s="105"/>
      <c r="C934" s="154"/>
      <c r="D934" s="192"/>
      <c r="E934" s="114"/>
      <c r="F934" s="114"/>
      <c r="G934" s="114" t="s">
        <v>3485</v>
      </c>
      <c r="H934" s="114" t="s">
        <v>3485</v>
      </c>
    </row>
    <row r="935" spans="1:8">
      <c r="A935" s="822"/>
      <c r="B935" s="95">
        <v>1</v>
      </c>
      <c r="C935" s="148" t="s">
        <v>181</v>
      </c>
      <c r="D935" s="195"/>
      <c r="E935" s="344" t="s">
        <v>3483</v>
      </c>
      <c r="F935" s="190">
        <v>3</v>
      </c>
      <c r="G935" s="190">
        <f>H917</f>
        <v>116.66666666666667</v>
      </c>
      <c r="H935" s="179">
        <f>F935*G935</f>
        <v>350</v>
      </c>
    </row>
    <row r="936" spans="1:8">
      <c r="A936" s="822"/>
      <c r="B936" s="105">
        <v>2</v>
      </c>
      <c r="C936" s="76" t="s">
        <v>182</v>
      </c>
      <c r="D936" s="189"/>
      <c r="E936" s="280" t="s">
        <v>3483</v>
      </c>
      <c r="F936" s="190">
        <v>3</v>
      </c>
      <c r="G936" s="190">
        <f>H920</f>
        <v>28.611111111111111</v>
      </c>
      <c r="H936" s="190">
        <f>F936*G936</f>
        <v>85.833333333333329</v>
      </c>
    </row>
    <row r="937" spans="1:8">
      <c r="A937" s="822"/>
      <c r="B937" s="105">
        <v>3</v>
      </c>
      <c r="C937" s="76" t="s">
        <v>183</v>
      </c>
      <c r="D937" s="189"/>
      <c r="E937" s="280" t="s">
        <v>3483</v>
      </c>
      <c r="F937" s="190">
        <v>3</v>
      </c>
      <c r="G937" s="190">
        <f>H923</f>
        <v>1.7490000000000001</v>
      </c>
      <c r="H937" s="190">
        <f>F937*G937</f>
        <v>5.2469999999999999</v>
      </c>
    </row>
    <row r="938" spans="1:8">
      <c r="A938" s="822"/>
      <c r="B938" s="114">
        <v>4</v>
      </c>
      <c r="C938" s="89" t="s">
        <v>184</v>
      </c>
      <c r="D938" s="192"/>
      <c r="E938" s="275" t="s">
        <v>3483</v>
      </c>
      <c r="F938" s="182">
        <v>3</v>
      </c>
      <c r="G938" s="182">
        <f>H929</f>
        <v>247.5</v>
      </c>
      <c r="H938" s="182">
        <f>F938*G938</f>
        <v>742.5</v>
      </c>
    </row>
    <row r="939" spans="1:8">
      <c r="A939" s="822"/>
      <c r="B939" s="176"/>
      <c r="C939" s="174"/>
      <c r="D939" s="174" t="s">
        <v>2376</v>
      </c>
      <c r="E939" s="174"/>
      <c r="F939" s="192"/>
      <c r="G939" s="275" t="s">
        <v>1698</v>
      </c>
      <c r="H939" s="318">
        <f>SUM(H935:H938)</f>
        <v>1183.5803333333333</v>
      </c>
    </row>
    <row r="940" spans="1:8">
      <c r="A940" s="822"/>
    </row>
    <row r="941" spans="1:8">
      <c r="A941" s="822"/>
      <c r="B941" s="79" t="s">
        <v>2377</v>
      </c>
    </row>
    <row r="942" spans="1:8">
      <c r="A942" s="822"/>
      <c r="B942" s="95" t="s">
        <v>2369</v>
      </c>
      <c r="C942" s="157" t="s">
        <v>2378</v>
      </c>
      <c r="D942" s="195"/>
      <c r="E942" s="95" t="s">
        <v>2370</v>
      </c>
      <c r="F942" s="95" t="s">
        <v>1166</v>
      </c>
      <c r="G942" s="95" t="s">
        <v>2371</v>
      </c>
      <c r="H942" s="95" t="s">
        <v>2372</v>
      </c>
    </row>
    <row r="943" spans="1:8">
      <c r="A943" s="822"/>
      <c r="B943" s="114"/>
      <c r="C943" s="154"/>
      <c r="D943" s="192"/>
      <c r="E943" s="114"/>
      <c r="F943" s="114"/>
      <c r="G943" s="114" t="s">
        <v>3485</v>
      </c>
      <c r="H943" s="114" t="s">
        <v>3485</v>
      </c>
    </row>
    <row r="944" spans="1:8">
      <c r="A944" s="822"/>
      <c r="B944" s="95">
        <v>1</v>
      </c>
      <c r="C944" s="131" t="s">
        <v>2941</v>
      </c>
      <c r="E944" s="107" t="s">
        <v>2374</v>
      </c>
      <c r="F944" s="179">
        <v>1</v>
      </c>
      <c r="G944" s="179">
        <f>'HIRE CHARGES'!D513</f>
        <v>319</v>
      </c>
      <c r="H944" s="179">
        <f>F944*G944</f>
        <v>319</v>
      </c>
    </row>
    <row r="945" spans="1:8">
      <c r="A945" s="822"/>
      <c r="B945" s="280"/>
      <c r="C945" s="135" t="s">
        <v>2379</v>
      </c>
      <c r="E945" s="210" t="s">
        <v>2374</v>
      </c>
      <c r="F945" s="190">
        <v>1</v>
      </c>
      <c r="G945" s="190">
        <f>'HIRE CHARGES'!E513</f>
        <v>238</v>
      </c>
      <c r="H945" s="190">
        <f>F945*G945</f>
        <v>238</v>
      </c>
    </row>
    <row r="946" spans="1:8">
      <c r="A946" s="822"/>
      <c r="B946" s="105">
        <v>2</v>
      </c>
      <c r="C946" s="135" t="s">
        <v>1944</v>
      </c>
      <c r="E946" s="210" t="s">
        <v>2374</v>
      </c>
      <c r="F946" s="190">
        <v>2</v>
      </c>
      <c r="G946" s="190">
        <f>'HIRE CHARGES'!D517</f>
        <v>10.199999999999999</v>
      </c>
      <c r="H946" s="190">
        <f>F946*G946</f>
        <v>20.399999999999999</v>
      </c>
    </row>
    <row r="947" spans="1:8">
      <c r="A947" s="822"/>
      <c r="B947" s="280"/>
      <c r="C947" s="135" t="s">
        <v>2379</v>
      </c>
      <c r="E947" s="210" t="s">
        <v>2374</v>
      </c>
      <c r="F947" s="190">
        <v>2</v>
      </c>
      <c r="G947" s="190">
        <f>'HIRE CHARGES'!E517</f>
        <v>79.3</v>
      </c>
      <c r="H947" s="190">
        <f>F947*G947</f>
        <v>158.6</v>
      </c>
    </row>
    <row r="948" spans="1:8">
      <c r="A948" s="822"/>
      <c r="B948" s="114">
        <v>3</v>
      </c>
      <c r="C948" s="139" t="s">
        <v>1945</v>
      </c>
      <c r="D948" s="174"/>
      <c r="E948" s="191" t="s">
        <v>2173</v>
      </c>
      <c r="F948" s="182">
        <v>2</v>
      </c>
      <c r="G948" s="215">
        <f>'BASIC DATA'!D359</f>
        <v>30</v>
      </c>
      <c r="H948" s="182">
        <f>F948*G948</f>
        <v>60</v>
      </c>
    </row>
    <row r="949" spans="1:8">
      <c r="A949" s="822"/>
      <c r="B949" s="176"/>
      <c r="C949" s="174"/>
      <c r="D949" s="174" t="s">
        <v>2380</v>
      </c>
      <c r="E949" s="174"/>
      <c r="F949" s="192"/>
      <c r="G949" s="275" t="s">
        <v>1698</v>
      </c>
      <c r="H949" s="318">
        <f>SUM(H944:H948)</f>
        <v>796</v>
      </c>
    </row>
    <row r="950" spans="1:8">
      <c r="A950" s="822"/>
    </row>
    <row r="951" spans="1:8">
      <c r="A951" s="822"/>
      <c r="B951" s="79" t="s">
        <v>2381</v>
      </c>
    </row>
    <row r="952" spans="1:8">
      <c r="A952" s="822"/>
      <c r="B952" s="95" t="s">
        <v>2369</v>
      </c>
      <c r="C952" s="157" t="s">
        <v>2378</v>
      </c>
      <c r="D952" s="195"/>
      <c r="E952" s="95" t="s">
        <v>2370</v>
      </c>
      <c r="F952" s="95" t="s">
        <v>1166</v>
      </c>
      <c r="G952" s="95" t="s">
        <v>2371</v>
      </c>
      <c r="H952" s="95" t="s">
        <v>2372</v>
      </c>
    </row>
    <row r="953" spans="1:8">
      <c r="A953" s="822"/>
      <c r="B953" s="114"/>
      <c r="C953" s="154"/>
      <c r="D953" s="192"/>
      <c r="E953" s="105"/>
      <c r="F953" s="114"/>
      <c r="G953" s="114" t="s">
        <v>3485</v>
      </c>
      <c r="H953" s="114" t="s">
        <v>3485</v>
      </c>
    </row>
    <row r="954" spans="1:8">
      <c r="A954" s="822"/>
      <c r="B954" s="95">
        <v>1</v>
      </c>
      <c r="C954" s="148" t="s">
        <v>1946</v>
      </c>
      <c r="D954" s="187"/>
      <c r="E954" s="107" t="s">
        <v>2374</v>
      </c>
      <c r="F954" s="178">
        <v>1</v>
      </c>
      <c r="G954" s="179">
        <f>'HIRE CHARGES'!F513</f>
        <v>283.89999999999998</v>
      </c>
      <c r="H954" s="179">
        <f>F954*G954</f>
        <v>283.89999999999998</v>
      </c>
    </row>
    <row r="955" spans="1:8">
      <c r="A955" s="822"/>
      <c r="B955" s="105">
        <v>2</v>
      </c>
      <c r="C955" s="76" t="s">
        <v>999</v>
      </c>
      <c r="D955" s="31"/>
      <c r="E955" s="210" t="s">
        <v>2374</v>
      </c>
      <c r="F955" s="207">
        <v>2</v>
      </c>
      <c r="G955" s="190">
        <f>'HIRE CHARGES'!F517</f>
        <v>111.1</v>
      </c>
      <c r="H955" s="190">
        <f>F955*G955</f>
        <v>222.2</v>
      </c>
    </row>
    <row r="956" spans="1:8">
      <c r="A956" s="822"/>
      <c r="B956" s="114">
        <v>3</v>
      </c>
      <c r="C956" s="89" t="s">
        <v>2697</v>
      </c>
      <c r="D956" s="174"/>
      <c r="E956" s="191" t="s">
        <v>1172</v>
      </c>
      <c r="F956" s="181">
        <v>2</v>
      </c>
      <c r="G956" s="190">
        <f>'BASIC DATA'!C552</f>
        <v>350</v>
      </c>
      <c r="H956" s="182">
        <f>F956*G956</f>
        <v>700</v>
      </c>
    </row>
    <row r="957" spans="1:8">
      <c r="A957" s="822"/>
      <c r="B957" s="176"/>
      <c r="C957" s="174"/>
      <c r="D957" s="174" t="s">
        <v>1174</v>
      </c>
      <c r="E957" s="174"/>
      <c r="F957" s="192"/>
      <c r="G957" s="236" t="s">
        <v>1698</v>
      </c>
      <c r="H957" s="318">
        <f>SUM(H954:H956)</f>
        <v>1206.0999999999999</v>
      </c>
    </row>
    <row r="958" spans="1:8">
      <c r="A958" s="822"/>
      <c r="B958" s="60" t="s">
        <v>5948</v>
      </c>
      <c r="C958" s="31"/>
      <c r="D958" s="31"/>
      <c r="E958" s="85">
        <f>ROUND(H957/G931,1)</f>
        <v>402</v>
      </c>
      <c r="G958" s="31"/>
    </row>
    <row r="959" spans="1:8">
      <c r="A959" s="822"/>
      <c r="B959" s="60" t="s">
        <v>3163</v>
      </c>
      <c r="C959" s="31"/>
      <c r="D959" s="922">
        <f>'BASIC DATA'!$C$577</f>
        <v>0.13614999999999999</v>
      </c>
      <c r="E959" s="85">
        <f>ROUND(E958*D959,1)</f>
        <v>54.7</v>
      </c>
      <c r="G959" s="31"/>
    </row>
    <row r="960" spans="1:8">
      <c r="A960" s="822"/>
      <c r="B960" s="60" t="s">
        <v>5949</v>
      </c>
      <c r="C960" s="31"/>
      <c r="D960" s="31"/>
      <c r="E960" s="739">
        <f>E959+E958</f>
        <v>456.7</v>
      </c>
      <c r="G960" s="31"/>
    </row>
    <row r="961" spans="1:7">
      <c r="A961" s="822"/>
      <c r="B961" s="26"/>
    </row>
    <row r="962" spans="1:7">
      <c r="A962" s="822"/>
      <c r="B962" s="170" t="s">
        <v>1175</v>
      </c>
    </row>
    <row r="963" spans="1:7">
      <c r="A963" s="822"/>
      <c r="B963" s="26" t="s">
        <v>1176</v>
      </c>
      <c r="F963" s="171" t="s">
        <v>1698</v>
      </c>
      <c r="G963" s="68">
        <f>H939</f>
        <v>1183.5803333333333</v>
      </c>
    </row>
    <row r="964" spans="1:7">
      <c r="A964" s="822"/>
      <c r="B964" s="26" t="s">
        <v>1186</v>
      </c>
      <c r="F964" s="171" t="s">
        <v>1698</v>
      </c>
      <c r="G964" s="68">
        <f>H949</f>
        <v>796</v>
      </c>
    </row>
    <row r="965" spans="1:7">
      <c r="A965" s="822"/>
      <c r="B965" s="26" t="s">
        <v>2660</v>
      </c>
      <c r="F965" s="171" t="s">
        <v>1698</v>
      </c>
      <c r="G965" s="75">
        <f>H957</f>
        <v>1206.0999999999999</v>
      </c>
    </row>
    <row r="966" spans="1:7">
      <c r="A966" s="822"/>
      <c r="E966" s="26" t="s">
        <v>1518</v>
      </c>
      <c r="F966" s="171" t="s">
        <v>1698</v>
      </c>
      <c r="G966" s="205">
        <f>SUM(G963:G965)</f>
        <v>3185.6803333333332</v>
      </c>
    </row>
    <row r="967" spans="1:7" ht="39.75" customHeight="1">
      <c r="A967" s="822"/>
      <c r="B967" s="1207" t="s">
        <v>1379</v>
      </c>
      <c r="C967" s="1207"/>
      <c r="E967" s="922">
        <f>'BASIC DATA'!$C$577</f>
        <v>0.13614999999999999</v>
      </c>
      <c r="F967" s="26" t="s">
        <v>1698</v>
      </c>
      <c r="G967" s="26">
        <f>G966*E967</f>
        <v>433.73037738333329</v>
      </c>
    </row>
    <row r="968" spans="1:7">
      <c r="A968" s="822"/>
      <c r="B968" s="26" t="s">
        <v>1191</v>
      </c>
      <c r="D968" s="68">
        <f>G931</f>
        <v>3</v>
      </c>
      <c r="E968" s="68" t="str">
        <f>H931</f>
        <v>Rm</v>
      </c>
      <c r="F968" s="26" t="s">
        <v>1698</v>
      </c>
      <c r="G968" s="211">
        <f>G967+G966</f>
        <v>3619.4107107166665</v>
      </c>
    </row>
    <row r="969" spans="1:7">
      <c r="A969" s="822"/>
      <c r="B969" s="170" t="s">
        <v>1584</v>
      </c>
      <c r="C969" s="211" t="str">
        <f>E968</f>
        <v>Rm</v>
      </c>
      <c r="D969" s="26" t="s">
        <v>4725</v>
      </c>
      <c r="F969" s="26" t="s">
        <v>4108</v>
      </c>
      <c r="G969" s="211">
        <f>ROUND(G968/D968,1)</f>
        <v>1206.5</v>
      </c>
    </row>
    <row r="970" spans="1:7">
      <c r="A970" s="822"/>
    </row>
    <row r="971" spans="1:7">
      <c r="A971" s="822"/>
    </row>
    <row r="972" spans="1:7">
      <c r="A972" s="865" t="s">
        <v>5492</v>
      </c>
      <c r="B972" s="26" t="s">
        <v>9105</v>
      </c>
    </row>
    <row r="973" spans="1:7">
      <c r="B973" s="26" t="s">
        <v>1094</v>
      </c>
    </row>
    <row r="974" spans="1:7">
      <c r="B974" s="26" t="s">
        <v>195</v>
      </c>
    </row>
    <row r="975" spans="1:7">
      <c r="B975" s="26" t="s">
        <v>9545</v>
      </c>
    </row>
    <row r="976" spans="1:7">
      <c r="B976" s="170"/>
    </row>
    <row r="977" spans="1:8">
      <c r="B977" s="26"/>
    </row>
    <row r="978" spans="1:8" hidden="1">
      <c r="A978" s="865" t="s">
        <v>3984</v>
      </c>
      <c r="B978" s="26" t="s">
        <v>5190</v>
      </c>
    </row>
    <row r="979" spans="1:8" hidden="1">
      <c r="B979" s="26" t="s">
        <v>4657</v>
      </c>
    </row>
    <row r="980" spans="1:8" hidden="1">
      <c r="B980" s="26" t="s">
        <v>4658</v>
      </c>
    </row>
    <row r="981" spans="1:8" hidden="1">
      <c r="B981" s="26"/>
    </row>
    <row r="982" spans="1:8" hidden="1">
      <c r="B982" s="26" t="s">
        <v>3321</v>
      </c>
    </row>
    <row r="983" spans="1:8" hidden="1">
      <c r="B983" s="26" t="s">
        <v>3317</v>
      </c>
    </row>
    <row r="984" spans="1:8" hidden="1">
      <c r="B984" s="26" t="s">
        <v>3318</v>
      </c>
    </row>
    <row r="985" spans="1:8" hidden="1">
      <c r="B985" s="26" t="s">
        <v>2366</v>
      </c>
    </row>
    <row r="986" spans="1:8" hidden="1">
      <c r="B986" s="26" t="s">
        <v>3322</v>
      </c>
      <c r="D986" s="68">
        <f>'BASIC DATA'!$D$304</f>
        <v>12720</v>
      </c>
      <c r="E986" s="26" t="s">
        <v>2290</v>
      </c>
      <c r="G986" s="171" t="s">
        <v>1698</v>
      </c>
      <c r="H986" s="117">
        <f>D986</f>
        <v>12720</v>
      </c>
    </row>
    <row r="987" spans="1:8" hidden="1">
      <c r="B987" s="26" t="s">
        <v>1631</v>
      </c>
      <c r="F987" s="78" t="s">
        <v>1697</v>
      </c>
      <c r="G987" s="26">
        <v>15</v>
      </c>
      <c r="H987" s="26" t="s">
        <v>2602</v>
      </c>
    </row>
    <row r="988" spans="1:8" hidden="1">
      <c r="B988" s="26" t="s">
        <v>1632</v>
      </c>
      <c r="E988" s="26" t="s">
        <v>7593</v>
      </c>
      <c r="F988" s="78"/>
      <c r="G988" s="171" t="s">
        <v>1698</v>
      </c>
      <c r="H988" s="117">
        <f>H986/G987</f>
        <v>848</v>
      </c>
    </row>
    <row r="989" spans="1:8" hidden="1">
      <c r="B989" s="26" t="s">
        <v>4779</v>
      </c>
      <c r="D989" s="68">
        <f>'BASIC DATA'!$D$312</f>
        <v>5150</v>
      </c>
      <c r="E989" s="26" t="s">
        <v>2290</v>
      </c>
      <c r="F989" s="78"/>
      <c r="G989" s="171" t="s">
        <v>1698</v>
      </c>
      <c r="H989" s="117">
        <f>D989</f>
        <v>5150</v>
      </c>
    </row>
    <row r="990" spans="1:8" hidden="1">
      <c r="B990" s="26" t="s">
        <v>5120</v>
      </c>
      <c r="F990" s="78" t="s">
        <v>1697</v>
      </c>
      <c r="G990" s="26">
        <v>60</v>
      </c>
      <c r="H990" s="26" t="s">
        <v>2602</v>
      </c>
    </row>
    <row r="991" spans="1:8" hidden="1">
      <c r="B991" s="26" t="s">
        <v>174</v>
      </c>
      <c r="E991" s="26" t="s">
        <v>7593</v>
      </c>
      <c r="F991" s="78"/>
      <c r="G991" s="171" t="s">
        <v>1698</v>
      </c>
      <c r="H991" s="117">
        <f>H989/G990</f>
        <v>85.833333333333329</v>
      </c>
    </row>
    <row r="992" spans="1:8" hidden="1">
      <c r="B992" s="26" t="s">
        <v>3273</v>
      </c>
      <c r="D992" s="68">
        <f>'BASIC DATA'!$D$305</f>
        <v>13568</v>
      </c>
      <c r="E992" s="26" t="s">
        <v>2290</v>
      </c>
      <c r="F992" s="78"/>
      <c r="G992" s="171" t="s">
        <v>1698</v>
      </c>
      <c r="H992" s="117">
        <f>D992</f>
        <v>13568</v>
      </c>
    </row>
    <row r="993" spans="1:8" hidden="1">
      <c r="B993" s="26" t="s">
        <v>3274</v>
      </c>
      <c r="F993" s="78" t="s">
        <v>1697</v>
      </c>
      <c r="G993" s="26">
        <v>60</v>
      </c>
      <c r="H993" s="26" t="s">
        <v>2602</v>
      </c>
    </row>
    <row r="994" spans="1:8" hidden="1">
      <c r="B994" s="26" t="s">
        <v>3275</v>
      </c>
      <c r="E994" s="26" t="s">
        <v>7593</v>
      </c>
      <c r="F994" s="78"/>
      <c r="G994" s="171" t="s">
        <v>1698</v>
      </c>
      <c r="H994" s="117">
        <f>H992/G993</f>
        <v>226.13333333333333</v>
      </c>
    </row>
    <row r="995" spans="1:8" hidden="1">
      <c r="B995" s="26" t="s">
        <v>3276</v>
      </c>
      <c r="D995" s="68">
        <f>'BASIC DATA'!$D$306</f>
        <v>2120</v>
      </c>
      <c r="E995" s="26" t="s">
        <v>2618</v>
      </c>
      <c r="F995" s="78"/>
      <c r="G995" s="171" t="s">
        <v>1698</v>
      </c>
      <c r="H995" s="117">
        <f>D995*16.5</f>
        <v>34980</v>
      </c>
    </row>
    <row r="996" spans="1:8" hidden="1">
      <c r="B996" s="26" t="s">
        <v>176</v>
      </c>
      <c r="D996" s="68"/>
      <c r="F996" s="78" t="s">
        <v>1697</v>
      </c>
      <c r="G996" s="26">
        <v>1500</v>
      </c>
      <c r="H996" s="26" t="s">
        <v>2602</v>
      </c>
    </row>
    <row r="997" spans="1:8" hidden="1">
      <c r="B997" s="26" t="s">
        <v>177</v>
      </c>
      <c r="D997" s="68"/>
      <c r="E997" s="26" t="s">
        <v>7593</v>
      </c>
      <c r="G997" s="171" t="s">
        <v>1698</v>
      </c>
      <c r="H997" s="117">
        <f>H995/G996</f>
        <v>23.32</v>
      </c>
    </row>
    <row r="998" spans="1:8" hidden="1">
      <c r="B998" s="26" t="s">
        <v>2934</v>
      </c>
      <c r="D998" s="68"/>
    </row>
    <row r="999" spans="1:8" hidden="1">
      <c r="B999" s="26" t="s">
        <v>5921</v>
      </c>
      <c r="D999" s="68">
        <f>'BASIC DATA'!$D$72</f>
        <v>54000</v>
      </c>
      <c r="E999" s="26" t="s">
        <v>3691</v>
      </c>
      <c r="G999" s="171" t="s">
        <v>1698</v>
      </c>
      <c r="H999" s="68">
        <f>D999*0.033</f>
        <v>1782</v>
      </c>
    </row>
    <row r="1000" spans="1:8" hidden="1">
      <c r="B1000" s="26" t="s">
        <v>1805</v>
      </c>
      <c r="D1000" s="201">
        <v>0.1</v>
      </c>
      <c r="G1000" s="171" t="s">
        <v>1698</v>
      </c>
      <c r="H1000" s="68">
        <f>D1000*$H$999</f>
        <v>178.20000000000002</v>
      </c>
    </row>
    <row r="1001" spans="1:8" hidden="1">
      <c r="B1001" s="26" t="s">
        <v>1806</v>
      </c>
      <c r="D1001" s="201">
        <v>0.15</v>
      </c>
      <c r="G1001" s="171" t="s">
        <v>1698</v>
      </c>
      <c r="H1001" s="68">
        <f>D1001*$H$999</f>
        <v>267.3</v>
      </c>
    </row>
    <row r="1002" spans="1:8" hidden="1">
      <c r="B1002" s="26" t="s">
        <v>2064</v>
      </c>
      <c r="D1002" s="26">
        <v>4</v>
      </c>
      <c r="E1002" s="26" t="s">
        <v>6839</v>
      </c>
      <c r="G1002" s="171" t="s">
        <v>1698</v>
      </c>
      <c r="H1002" s="68">
        <f>SUM(H999:H1001)</f>
        <v>2227.5</v>
      </c>
    </row>
    <row r="1003" spans="1:8" hidden="1">
      <c r="B1003" s="26" t="s">
        <v>180</v>
      </c>
      <c r="G1003" s="171" t="s">
        <v>1698</v>
      </c>
      <c r="H1003" s="68">
        <f>H1002/D1002</f>
        <v>556.875</v>
      </c>
    </row>
    <row r="1004" spans="1:8">
      <c r="A1004" s="822"/>
    </row>
    <row r="1005" spans="1:8">
      <c r="A1005" s="822" t="s">
        <v>9215</v>
      </c>
      <c r="C1005" s="203" t="s">
        <v>2367</v>
      </c>
      <c r="D1005" s="171"/>
      <c r="F1005" s="171" t="s">
        <v>297</v>
      </c>
      <c r="G1005" s="776">
        <v>3</v>
      </c>
      <c r="H1005" s="26" t="s">
        <v>3483</v>
      </c>
    </row>
    <row r="1006" spans="1:8">
      <c r="A1006" s="822"/>
    </row>
    <row r="1007" spans="1:8">
      <c r="A1007" s="822"/>
      <c r="B1007" s="79" t="s">
        <v>2368</v>
      </c>
    </row>
    <row r="1008" spans="1:8">
      <c r="A1008" s="822"/>
      <c r="B1008" s="95" t="s">
        <v>2369</v>
      </c>
      <c r="C1008" s="157" t="s">
        <v>6374</v>
      </c>
      <c r="D1008" s="195"/>
      <c r="E1008" s="95" t="s">
        <v>2370</v>
      </c>
      <c r="F1008" s="95" t="s">
        <v>1166</v>
      </c>
      <c r="G1008" s="95" t="s">
        <v>2371</v>
      </c>
      <c r="H1008" s="95" t="s">
        <v>2372</v>
      </c>
    </row>
    <row r="1009" spans="1:8">
      <c r="A1009" s="822"/>
      <c r="B1009" s="105"/>
      <c r="C1009" s="154"/>
      <c r="D1009" s="192"/>
      <c r="E1009" s="114"/>
      <c r="F1009" s="114"/>
      <c r="G1009" s="114" t="s">
        <v>3485</v>
      </c>
      <c r="H1009" s="114" t="s">
        <v>3485</v>
      </c>
    </row>
    <row r="1010" spans="1:8">
      <c r="A1010" s="822"/>
      <c r="B1010" s="95">
        <v>1</v>
      </c>
      <c r="C1010" s="148" t="s">
        <v>5922</v>
      </c>
      <c r="D1010" s="195"/>
      <c r="E1010" s="344" t="s">
        <v>3483</v>
      </c>
      <c r="F1010" s="190">
        <v>3</v>
      </c>
      <c r="G1010" s="190">
        <f>H988</f>
        <v>848</v>
      </c>
      <c r="H1010" s="179">
        <f>F1010*G1010</f>
        <v>2544</v>
      </c>
    </row>
    <row r="1011" spans="1:8">
      <c r="A1011" s="822"/>
      <c r="B1011" s="105">
        <v>2</v>
      </c>
      <c r="C1011" s="76" t="s">
        <v>182</v>
      </c>
      <c r="D1011" s="189"/>
      <c r="E1011" s="280" t="s">
        <v>3483</v>
      </c>
      <c r="F1011" s="190">
        <v>3</v>
      </c>
      <c r="G1011" s="190">
        <f>H991</f>
        <v>85.833333333333329</v>
      </c>
      <c r="H1011" s="190">
        <f>F1011*G1011</f>
        <v>257.5</v>
      </c>
    </row>
    <row r="1012" spans="1:8">
      <c r="A1012" s="822"/>
      <c r="B1012" s="105">
        <v>3</v>
      </c>
      <c r="C1012" s="76" t="s">
        <v>5923</v>
      </c>
      <c r="D1012" s="189"/>
      <c r="E1012" s="280" t="s">
        <v>3483</v>
      </c>
      <c r="F1012" s="190">
        <v>3</v>
      </c>
      <c r="G1012" s="190">
        <f>H994</f>
        <v>226.13333333333333</v>
      </c>
      <c r="H1012" s="190">
        <f>F1012*G1012</f>
        <v>678.4</v>
      </c>
    </row>
    <row r="1013" spans="1:8">
      <c r="A1013" s="822"/>
      <c r="B1013" s="105">
        <v>4</v>
      </c>
      <c r="C1013" s="76" t="s">
        <v>183</v>
      </c>
      <c r="D1013" s="189"/>
      <c r="E1013" s="280" t="s">
        <v>3483</v>
      </c>
      <c r="F1013" s="190">
        <v>3</v>
      </c>
      <c r="G1013" s="190">
        <f>H997</f>
        <v>23.32</v>
      </c>
      <c r="H1013" s="190">
        <f>F1013*G1013</f>
        <v>69.960000000000008</v>
      </c>
    </row>
    <row r="1014" spans="1:8">
      <c r="A1014" s="822"/>
      <c r="B1014" s="114">
        <v>5</v>
      </c>
      <c r="C1014" s="89" t="s">
        <v>184</v>
      </c>
      <c r="D1014" s="192"/>
      <c r="E1014" s="275" t="s">
        <v>3483</v>
      </c>
      <c r="F1014" s="182">
        <v>3</v>
      </c>
      <c r="G1014" s="182">
        <f>H1003</f>
        <v>556.875</v>
      </c>
      <c r="H1014" s="182">
        <f>F1014*G1014</f>
        <v>1670.625</v>
      </c>
    </row>
    <row r="1015" spans="1:8">
      <c r="A1015" s="822"/>
      <c r="B1015" s="176"/>
      <c r="C1015" s="174"/>
      <c r="D1015" s="174" t="s">
        <v>2376</v>
      </c>
      <c r="E1015" s="174"/>
      <c r="F1015" s="192"/>
      <c r="G1015" s="275" t="s">
        <v>1698</v>
      </c>
      <c r="H1015" s="318">
        <f>SUM(H1010:H1014)</f>
        <v>5220.4850000000006</v>
      </c>
    </row>
    <row r="1016" spans="1:8">
      <c r="A1016" s="822"/>
    </row>
    <row r="1017" spans="1:8">
      <c r="A1017" s="822"/>
      <c r="B1017" s="79" t="s">
        <v>2377</v>
      </c>
    </row>
    <row r="1018" spans="1:8">
      <c r="A1018" s="822"/>
      <c r="B1018" s="95" t="s">
        <v>2369</v>
      </c>
      <c r="C1018" s="157" t="s">
        <v>2378</v>
      </c>
      <c r="D1018" s="195"/>
      <c r="E1018" s="95" t="s">
        <v>2370</v>
      </c>
      <c r="F1018" s="95" t="s">
        <v>1166</v>
      </c>
      <c r="G1018" s="95" t="s">
        <v>2371</v>
      </c>
      <c r="H1018" s="95" t="s">
        <v>2372</v>
      </c>
    </row>
    <row r="1019" spans="1:8">
      <c r="A1019" s="822"/>
      <c r="B1019" s="114"/>
      <c r="C1019" s="154"/>
      <c r="D1019" s="192"/>
      <c r="E1019" s="114"/>
      <c r="F1019" s="114"/>
      <c r="G1019" s="114" t="s">
        <v>3485</v>
      </c>
      <c r="H1019" s="114" t="s">
        <v>3485</v>
      </c>
    </row>
    <row r="1020" spans="1:8">
      <c r="A1020" s="822"/>
      <c r="B1020" s="95">
        <v>1</v>
      </c>
      <c r="C1020" s="131" t="s">
        <v>2941</v>
      </c>
      <c r="E1020" s="107" t="s">
        <v>2374</v>
      </c>
      <c r="F1020" s="179">
        <v>8</v>
      </c>
      <c r="G1020" s="179">
        <f>'HIRE CHARGES'!$D$513</f>
        <v>319</v>
      </c>
      <c r="H1020" s="179">
        <f>F1020*G1020</f>
        <v>2552</v>
      </c>
    </row>
    <row r="1021" spans="1:8">
      <c r="A1021" s="822"/>
      <c r="B1021" s="280"/>
      <c r="C1021" s="135" t="s">
        <v>2379</v>
      </c>
      <c r="E1021" s="210" t="s">
        <v>2374</v>
      </c>
      <c r="F1021" s="190">
        <v>8</v>
      </c>
      <c r="G1021" s="190">
        <f>'HIRE CHARGES'!$E$513</f>
        <v>238</v>
      </c>
      <c r="H1021" s="190">
        <f>F1021*G1021</f>
        <v>1904</v>
      </c>
    </row>
    <row r="1022" spans="1:8">
      <c r="A1022" s="822"/>
      <c r="B1022" s="105">
        <v>2</v>
      </c>
      <c r="C1022" s="135" t="s">
        <v>1944</v>
      </c>
      <c r="E1022" s="210" t="s">
        <v>2374</v>
      </c>
      <c r="F1022" s="190">
        <v>16</v>
      </c>
      <c r="G1022" s="190">
        <f>'HIRE CHARGES'!$D$517</f>
        <v>10.199999999999999</v>
      </c>
      <c r="H1022" s="190">
        <f>F1022*G1022</f>
        <v>163.19999999999999</v>
      </c>
    </row>
    <row r="1023" spans="1:8">
      <c r="A1023" s="822"/>
      <c r="B1023" s="280"/>
      <c r="C1023" s="135" t="s">
        <v>2379</v>
      </c>
      <c r="E1023" s="210" t="s">
        <v>2374</v>
      </c>
      <c r="F1023" s="190">
        <v>16</v>
      </c>
      <c r="G1023" s="190">
        <f>'HIRE CHARGES'!$E$517</f>
        <v>79.3</v>
      </c>
      <c r="H1023" s="190">
        <f>F1023*G1023</f>
        <v>1268.8</v>
      </c>
    </row>
    <row r="1024" spans="1:8">
      <c r="A1024" s="822"/>
      <c r="B1024" s="114">
        <v>3</v>
      </c>
      <c r="C1024" s="139" t="s">
        <v>2373</v>
      </c>
      <c r="D1024" s="174"/>
      <c r="E1024" s="191" t="s">
        <v>2173</v>
      </c>
      <c r="F1024" s="182">
        <v>5</v>
      </c>
      <c r="G1024" s="215">
        <f>'BASIC DATA'!$D$359</f>
        <v>30</v>
      </c>
      <c r="H1024" s="182">
        <f>F1024*G1024</f>
        <v>150</v>
      </c>
    </row>
    <row r="1025" spans="1:8">
      <c r="A1025" s="822"/>
      <c r="B1025" s="176"/>
      <c r="C1025" s="174"/>
      <c r="D1025" s="174" t="s">
        <v>2380</v>
      </c>
      <c r="E1025" s="174"/>
      <c r="F1025" s="192"/>
      <c r="G1025" s="275" t="s">
        <v>1698</v>
      </c>
      <c r="H1025" s="318">
        <f>SUM(H1020:H1024)</f>
        <v>6038</v>
      </c>
    </row>
    <row r="1026" spans="1:8">
      <c r="A1026" s="822"/>
    </row>
    <row r="1027" spans="1:8">
      <c r="A1027" s="822"/>
      <c r="B1027" s="79" t="s">
        <v>2381</v>
      </c>
    </row>
    <row r="1028" spans="1:8">
      <c r="A1028" s="822"/>
      <c r="B1028" s="95" t="s">
        <v>2369</v>
      </c>
      <c r="C1028" s="157" t="s">
        <v>2378</v>
      </c>
      <c r="D1028" s="195"/>
      <c r="E1028" s="95" t="s">
        <v>2370</v>
      </c>
      <c r="F1028" s="95" t="s">
        <v>1166</v>
      </c>
      <c r="G1028" s="95" t="s">
        <v>2371</v>
      </c>
      <c r="H1028" s="95" t="s">
        <v>2372</v>
      </c>
    </row>
    <row r="1029" spans="1:8">
      <c r="A1029" s="822"/>
      <c r="B1029" s="114"/>
      <c r="C1029" s="154"/>
      <c r="D1029" s="192"/>
      <c r="E1029" s="105"/>
      <c r="F1029" s="114"/>
      <c r="G1029" s="114" t="s">
        <v>3485</v>
      </c>
      <c r="H1029" s="114" t="s">
        <v>3485</v>
      </c>
    </row>
    <row r="1030" spans="1:8">
      <c r="A1030" s="822"/>
      <c r="B1030" s="95">
        <v>1</v>
      </c>
      <c r="C1030" s="148" t="s">
        <v>1946</v>
      </c>
      <c r="D1030" s="187"/>
      <c r="E1030" s="107" t="s">
        <v>2374</v>
      </c>
      <c r="F1030" s="178">
        <v>8</v>
      </c>
      <c r="G1030" s="179">
        <f>'HIRE CHARGES'!$F$513</f>
        <v>283.89999999999998</v>
      </c>
      <c r="H1030" s="179">
        <f>F1030*G1030</f>
        <v>2271.1999999999998</v>
      </c>
    </row>
    <row r="1031" spans="1:8">
      <c r="A1031" s="822"/>
      <c r="B1031" s="105">
        <v>2</v>
      </c>
      <c r="C1031" s="76" t="s">
        <v>999</v>
      </c>
      <c r="D1031" s="31"/>
      <c r="E1031" s="210" t="s">
        <v>2374</v>
      </c>
      <c r="F1031" s="207">
        <v>16</v>
      </c>
      <c r="G1031" s="190">
        <f>'HIRE CHARGES'!$F$517</f>
        <v>111.1</v>
      </c>
      <c r="H1031" s="190">
        <f>F1031*G1031</f>
        <v>1777.6</v>
      </c>
    </row>
    <row r="1032" spans="1:8">
      <c r="A1032" s="822"/>
      <c r="B1032" s="114">
        <v>3</v>
      </c>
      <c r="C1032" s="89" t="s">
        <v>2697</v>
      </c>
      <c r="D1032" s="174"/>
      <c r="E1032" s="191" t="s">
        <v>1172</v>
      </c>
      <c r="F1032" s="181">
        <v>2</v>
      </c>
      <c r="G1032" s="182">
        <f>'BASIC DATA'!$C$552</f>
        <v>350</v>
      </c>
      <c r="H1032" s="182">
        <f>F1032*G1032</f>
        <v>700</v>
      </c>
    </row>
    <row r="1033" spans="1:8">
      <c r="A1033" s="822"/>
      <c r="B1033" s="176"/>
      <c r="C1033" s="174"/>
      <c r="D1033" s="174" t="s">
        <v>1174</v>
      </c>
      <c r="E1033" s="174"/>
      <c r="F1033" s="192"/>
      <c r="G1033" s="275" t="s">
        <v>1698</v>
      </c>
      <c r="H1033" s="318">
        <f>SUM(H1030:H1032)</f>
        <v>4748.7999999999993</v>
      </c>
    </row>
    <row r="1034" spans="1:8">
      <c r="A1034" s="822"/>
      <c r="B1034" s="60" t="s">
        <v>5948</v>
      </c>
      <c r="C1034" s="31"/>
      <c r="D1034" s="31"/>
      <c r="E1034" s="85">
        <f>ROUND(H1033/G1005,1)</f>
        <v>1582.9</v>
      </c>
      <c r="G1034" s="31"/>
    </row>
    <row r="1035" spans="1:8">
      <c r="A1035" s="822"/>
      <c r="B1035" s="60" t="s">
        <v>3163</v>
      </c>
      <c r="C1035" s="31"/>
      <c r="D1035" s="922">
        <f>'BASIC DATA'!$C$577</f>
        <v>0.13614999999999999</v>
      </c>
      <c r="E1035" s="85">
        <f>ROUND(E1034*D1035,1)</f>
        <v>215.5</v>
      </c>
      <c r="G1035" s="31"/>
    </row>
    <row r="1036" spans="1:8">
      <c r="A1036" s="822"/>
      <c r="B1036" s="60" t="s">
        <v>5949</v>
      </c>
      <c r="C1036" s="31"/>
      <c r="D1036" s="31"/>
      <c r="E1036" s="739">
        <f>E1035+E1034</f>
        <v>1798.4</v>
      </c>
      <c r="G1036" s="31"/>
    </row>
    <row r="1037" spans="1:8">
      <c r="A1037" s="822"/>
      <c r="B1037" s="26"/>
    </row>
    <row r="1038" spans="1:8">
      <c r="A1038" s="822"/>
      <c r="B1038" s="170" t="s">
        <v>1175</v>
      </c>
    </row>
    <row r="1039" spans="1:8">
      <c r="A1039" s="822"/>
      <c r="B1039" s="26" t="s">
        <v>1176</v>
      </c>
      <c r="F1039" s="171" t="s">
        <v>1698</v>
      </c>
      <c r="G1039" s="68">
        <f>H1015</f>
        <v>5220.4850000000006</v>
      </c>
    </row>
    <row r="1040" spans="1:8">
      <c r="A1040" s="822"/>
      <c r="B1040" s="26" t="s">
        <v>1186</v>
      </c>
      <c r="F1040" s="171" t="s">
        <v>1698</v>
      </c>
      <c r="G1040" s="68">
        <f>H1025</f>
        <v>6038</v>
      </c>
    </row>
    <row r="1041" spans="1:7">
      <c r="A1041" s="822"/>
      <c r="B1041" s="26" t="s">
        <v>2660</v>
      </c>
      <c r="F1041" s="171" t="s">
        <v>1698</v>
      </c>
      <c r="G1041" s="75">
        <f>H1033</f>
        <v>4748.7999999999993</v>
      </c>
    </row>
    <row r="1042" spans="1:7">
      <c r="A1042" s="822"/>
      <c r="E1042" s="26" t="s">
        <v>1518</v>
      </c>
      <c r="F1042" s="171" t="s">
        <v>1698</v>
      </c>
      <c r="G1042" s="205">
        <f>SUM(G1039:G1041)</f>
        <v>16007.285</v>
      </c>
    </row>
    <row r="1043" spans="1:7" ht="36" customHeight="1">
      <c r="A1043" s="822"/>
      <c r="B1043" s="1207" t="s">
        <v>1379</v>
      </c>
      <c r="C1043" s="1207"/>
      <c r="E1043" s="922">
        <f>'BASIC DATA'!$C$577</f>
        <v>0.13614999999999999</v>
      </c>
      <c r="F1043" s="26" t="s">
        <v>1698</v>
      </c>
      <c r="G1043" s="26">
        <f>G1042*E1043</f>
        <v>2179.39185275</v>
      </c>
    </row>
    <row r="1044" spans="1:7">
      <c r="A1044" s="822"/>
      <c r="B1044" s="26" t="s">
        <v>1191</v>
      </c>
      <c r="D1044" s="68">
        <f>G1005</f>
        <v>3</v>
      </c>
      <c r="E1044" s="68" t="str">
        <f>H1005</f>
        <v>Rm</v>
      </c>
      <c r="F1044" s="26" t="s">
        <v>1698</v>
      </c>
      <c r="G1044" s="211">
        <f>G1043+G1042</f>
        <v>18186.676852749999</v>
      </c>
    </row>
    <row r="1045" spans="1:7">
      <c r="A1045" s="822"/>
      <c r="B1045" s="170" t="s">
        <v>1584</v>
      </c>
      <c r="C1045" s="211" t="str">
        <f>E1044</f>
        <v>Rm</v>
      </c>
      <c r="D1045" s="26" t="s">
        <v>4725</v>
      </c>
      <c r="F1045" s="26" t="s">
        <v>4108</v>
      </c>
      <c r="G1045" s="211">
        <f>ROUND(G1044/D1044,1)</f>
        <v>6062.2</v>
      </c>
    </row>
    <row r="1046" spans="1:7">
      <c r="A1046" s="822"/>
    </row>
    <row r="1047" spans="1:7" ht="18.75">
      <c r="A1047" s="822"/>
      <c r="B1047" s="78" t="s">
        <v>1237</v>
      </c>
      <c r="C1047" s="26" t="s">
        <v>9157</v>
      </c>
    </row>
    <row r="1048" spans="1:7">
      <c r="A1048" s="822"/>
      <c r="C1048" s="26" t="s">
        <v>9158</v>
      </c>
    </row>
    <row r="1049" spans="1:7">
      <c r="A1049" s="822"/>
      <c r="C1049" s="26" t="s">
        <v>9159</v>
      </c>
    </row>
    <row r="1050" spans="1:7">
      <c r="A1050" s="822"/>
      <c r="C1050" s="26" t="s">
        <v>9160</v>
      </c>
    </row>
    <row r="1051" spans="1:7">
      <c r="A1051" s="822"/>
    </row>
    <row r="1052" spans="1:7" ht="54">
      <c r="A1052" s="841" t="s">
        <v>9749</v>
      </c>
      <c r="B1052" s="170" t="s">
        <v>9549</v>
      </c>
    </row>
    <row r="1053" spans="1:7">
      <c r="B1053" s="26" t="s">
        <v>9569</v>
      </c>
    </row>
    <row r="1054" spans="1:7">
      <c r="B1054" s="26" t="s">
        <v>9551</v>
      </c>
    </row>
    <row r="1055" spans="1:7">
      <c r="B1055" s="26" t="s">
        <v>9552</v>
      </c>
    </row>
    <row r="1056" spans="1:7">
      <c r="B1056" s="170" t="s">
        <v>9553</v>
      </c>
      <c r="E1056" s="26" t="s">
        <v>9568</v>
      </c>
    </row>
    <row r="1057" spans="1:8">
      <c r="B1057" s="26"/>
    </row>
    <row r="1058" spans="1:8">
      <c r="A1058" s="865" t="s">
        <v>3984</v>
      </c>
      <c r="B1058" s="26" t="s">
        <v>9556</v>
      </c>
    </row>
    <row r="1059" spans="1:8">
      <c r="B1059" s="26" t="s">
        <v>3321</v>
      </c>
    </row>
    <row r="1060" spans="1:8">
      <c r="B1060" s="26" t="s">
        <v>3317</v>
      </c>
    </row>
    <row r="1061" spans="1:8">
      <c r="B1061" s="26" t="s">
        <v>3318</v>
      </c>
    </row>
    <row r="1062" spans="1:8">
      <c r="A1062" s="822"/>
      <c r="B1062" s="26" t="s">
        <v>2366</v>
      </c>
    </row>
    <row r="1063" spans="1:8">
      <c r="B1063" s="26" t="s">
        <v>3322</v>
      </c>
      <c r="D1063" s="68">
        <f>'BASIC DATA'!$D$304</f>
        <v>12720</v>
      </c>
      <c r="E1063" s="26" t="s">
        <v>2290</v>
      </c>
      <c r="G1063" s="171" t="s">
        <v>1698</v>
      </c>
      <c r="H1063" s="117">
        <f>D1063</f>
        <v>12720</v>
      </c>
    </row>
    <row r="1064" spans="1:8">
      <c r="B1064" s="26" t="s">
        <v>9548</v>
      </c>
      <c r="F1064" s="78" t="s">
        <v>1697</v>
      </c>
      <c r="G1064" s="26">
        <v>10.57</v>
      </c>
      <c r="H1064" s="26" t="s">
        <v>2602</v>
      </c>
    </row>
    <row r="1065" spans="1:8">
      <c r="B1065" s="26" t="s">
        <v>1632</v>
      </c>
      <c r="E1065" s="26" t="s">
        <v>7593</v>
      </c>
      <c r="F1065" s="78"/>
      <c r="G1065" s="171" t="s">
        <v>1698</v>
      </c>
      <c r="H1065" s="117">
        <f>H1063/G1064</f>
        <v>1203.4058656575212</v>
      </c>
    </row>
    <row r="1066" spans="1:8">
      <c r="B1066" s="26" t="s">
        <v>4779</v>
      </c>
      <c r="D1066" s="68">
        <f>'BASIC DATA'!$D$312</f>
        <v>5150</v>
      </c>
      <c r="E1066" s="26" t="s">
        <v>2290</v>
      </c>
      <c r="F1066" s="78"/>
      <c r="G1066" s="171" t="s">
        <v>1698</v>
      </c>
      <c r="H1066" s="117">
        <f>D1066</f>
        <v>5150</v>
      </c>
    </row>
    <row r="1067" spans="1:8">
      <c r="B1067" s="26" t="s">
        <v>9554</v>
      </c>
      <c r="F1067" s="78" t="s">
        <v>1697</v>
      </c>
      <c r="G1067" s="26">
        <v>100</v>
      </c>
      <c r="H1067" s="26" t="s">
        <v>2602</v>
      </c>
    </row>
    <row r="1068" spans="1:8">
      <c r="B1068" s="26" t="s">
        <v>174</v>
      </c>
      <c r="E1068" s="26" t="s">
        <v>7593</v>
      </c>
      <c r="F1068" s="78"/>
      <c r="G1068" s="171" t="s">
        <v>1698</v>
      </c>
      <c r="H1068" s="117">
        <f>H1066/G1067</f>
        <v>51.5</v>
      </c>
    </row>
    <row r="1069" spans="1:8">
      <c r="B1069" s="26" t="s">
        <v>3276</v>
      </c>
      <c r="D1069" s="68">
        <f>'BASIC DATA'!$D$306</f>
        <v>2120</v>
      </c>
      <c r="E1069" s="26" t="s">
        <v>2618</v>
      </c>
      <c r="F1069" s="78"/>
      <c r="G1069" s="171" t="s">
        <v>1698</v>
      </c>
      <c r="H1069" s="117">
        <f>D1069*16.5</f>
        <v>34980</v>
      </c>
    </row>
    <row r="1070" spans="1:8">
      <c r="B1070" s="26" t="s">
        <v>176</v>
      </c>
      <c r="D1070" s="68"/>
      <c r="F1070" s="78" t="s">
        <v>1697</v>
      </c>
      <c r="G1070" s="26">
        <v>2500</v>
      </c>
      <c r="H1070" s="26" t="s">
        <v>2602</v>
      </c>
    </row>
    <row r="1071" spans="1:8">
      <c r="B1071" s="26" t="s">
        <v>177</v>
      </c>
      <c r="D1071" s="68"/>
      <c r="E1071" s="26" t="s">
        <v>7593</v>
      </c>
      <c r="G1071" s="171" t="s">
        <v>1698</v>
      </c>
      <c r="H1071" s="117">
        <f>H1069/G1070</f>
        <v>13.992000000000001</v>
      </c>
    </row>
    <row r="1072" spans="1:8">
      <c r="A1072" s="822"/>
    </row>
    <row r="1073" spans="1:8">
      <c r="A1073" s="822" t="s">
        <v>9215</v>
      </c>
      <c r="C1073" s="203" t="s">
        <v>2367</v>
      </c>
      <c r="D1073" s="171"/>
      <c r="F1073" s="171" t="s">
        <v>297</v>
      </c>
      <c r="G1073" s="776">
        <v>3</v>
      </c>
      <c r="H1073" s="26" t="s">
        <v>3483</v>
      </c>
    </row>
    <row r="1074" spans="1:8">
      <c r="A1074" s="822"/>
    </row>
    <row r="1075" spans="1:8">
      <c r="A1075" s="822"/>
      <c r="B1075" s="79" t="s">
        <v>2368</v>
      </c>
    </row>
    <row r="1076" spans="1:8">
      <c r="A1076" s="822"/>
      <c r="B1076" s="95" t="s">
        <v>2369</v>
      </c>
      <c r="C1076" s="157" t="s">
        <v>6374</v>
      </c>
      <c r="D1076" s="195"/>
      <c r="E1076" s="95" t="s">
        <v>2370</v>
      </c>
      <c r="F1076" s="95" t="s">
        <v>1166</v>
      </c>
      <c r="G1076" s="95" t="s">
        <v>2371</v>
      </c>
      <c r="H1076" s="95" t="s">
        <v>2372</v>
      </c>
    </row>
    <row r="1077" spans="1:8">
      <c r="A1077" s="822"/>
      <c r="B1077" s="105"/>
      <c r="C1077" s="154"/>
      <c r="D1077" s="192"/>
      <c r="E1077" s="114"/>
      <c r="F1077" s="114"/>
      <c r="G1077" s="114" t="s">
        <v>3485</v>
      </c>
      <c r="H1077" s="114" t="s">
        <v>3485</v>
      </c>
    </row>
    <row r="1078" spans="1:8">
      <c r="A1078" s="822"/>
      <c r="B1078" s="95">
        <v>1</v>
      </c>
      <c r="C1078" s="148" t="s">
        <v>5922</v>
      </c>
      <c r="D1078" s="195"/>
      <c r="E1078" s="344" t="s">
        <v>3483</v>
      </c>
      <c r="F1078" s="190">
        <v>3</v>
      </c>
      <c r="G1078" s="190">
        <f>H1065</f>
        <v>1203.4058656575212</v>
      </c>
      <c r="H1078" s="179">
        <f>F1078*G1078</f>
        <v>3610.2175969725636</v>
      </c>
    </row>
    <row r="1079" spans="1:8">
      <c r="A1079" s="822"/>
      <c r="B1079" s="105">
        <v>2</v>
      </c>
      <c r="C1079" s="76" t="s">
        <v>182</v>
      </c>
      <c r="D1079" s="189"/>
      <c r="E1079" s="280" t="s">
        <v>3483</v>
      </c>
      <c r="F1079" s="190">
        <v>3</v>
      </c>
      <c r="G1079" s="190">
        <f>H1068</f>
        <v>51.5</v>
      </c>
      <c r="H1079" s="190">
        <f>F1079*G1079</f>
        <v>154.5</v>
      </c>
    </row>
    <row r="1080" spans="1:8">
      <c r="A1080" s="822"/>
      <c r="B1080" s="105">
        <v>4</v>
      </c>
      <c r="C1080" s="76" t="s">
        <v>183</v>
      </c>
      <c r="D1080" s="189"/>
      <c r="E1080" s="280" t="s">
        <v>3483</v>
      </c>
      <c r="F1080" s="190">
        <v>3</v>
      </c>
      <c r="G1080" s="190">
        <f>H1071</f>
        <v>13.992000000000001</v>
      </c>
      <c r="H1080" s="190">
        <f>F1080*G1080</f>
        <v>41.975999999999999</v>
      </c>
    </row>
    <row r="1081" spans="1:8">
      <c r="A1081" s="822"/>
      <c r="B1081" s="176"/>
      <c r="C1081" s="174"/>
      <c r="D1081" s="174" t="s">
        <v>2376</v>
      </c>
      <c r="E1081" s="174"/>
      <c r="F1081" s="192"/>
      <c r="G1081" s="275" t="s">
        <v>1698</v>
      </c>
      <c r="H1081" s="318">
        <f>SUM(H1078:H1080)</f>
        <v>3806.6935969725637</v>
      </c>
    </row>
    <row r="1082" spans="1:8">
      <c r="A1082" s="822"/>
    </row>
    <row r="1083" spans="1:8">
      <c r="A1083" s="822"/>
      <c r="B1083" s="79" t="s">
        <v>2377</v>
      </c>
    </row>
    <row r="1084" spans="1:8">
      <c r="A1084" s="822"/>
      <c r="B1084" s="95" t="s">
        <v>2369</v>
      </c>
      <c r="C1084" s="157" t="s">
        <v>2378</v>
      </c>
      <c r="D1084" s="195"/>
      <c r="E1084" s="95" t="s">
        <v>2370</v>
      </c>
      <c r="F1084" s="95" t="s">
        <v>1166</v>
      </c>
      <c r="G1084" s="95" t="s">
        <v>2371</v>
      </c>
      <c r="H1084" s="95" t="s">
        <v>2372</v>
      </c>
    </row>
    <row r="1085" spans="1:8">
      <c r="A1085" s="822"/>
      <c r="B1085" s="114"/>
      <c r="C1085" s="154"/>
      <c r="D1085" s="192"/>
      <c r="E1085" s="114"/>
      <c r="F1085" s="114"/>
      <c r="G1085" s="114" t="s">
        <v>3485</v>
      </c>
      <c r="H1085" s="114" t="s">
        <v>3485</v>
      </c>
    </row>
    <row r="1086" spans="1:8">
      <c r="A1086" s="822"/>
      <c r="B1086" s="95">
        <v>1</v>
      </c>
      <c r="C1086" s="131" t="s">
        <v>2941</v>
      </c>
      <c r="E1086" s="107" t="s">
        <v>2374</v>
      </c>
      <c r="F1086" s="179">
        <v>4.7759999999999998</v>
      </c>
      <c r="G1086" s="179">
        <f>'HIRE CHARGES'!$D$513</f>
        <v>319</v>
      </c>
      <c r="H1086" s="179">
        <f>F1086*G1086</f>
        <v>1523.5439999999999</v>
      </c>
    </row>
    <row r="1087" spans="1:8">
      <c r="A1087" s="822"/>
      <c r="B1087" s="280"/>
      <c r="C1087" s="135" t="s">
        <v>2379</v>
      </c>
      <c r="E1087" s="210" t="s">
        <v>2374</v>
      </c>
      <c r="F1087" s="190">
        <v>4.7759999999999998</v>
      </c>
      <c r="G1087" s="190">
        <f>'HIRE CHARGES'!$E$513</f>
        <v>238</v>
      </c>
      <c r="H1087" s="190">
        <f>F1087*G1087</f>
        <v>1136.6879999999999</v>
      </c>
    </row>
    <row r="1088" spans="1:8">
      <c r="A1088" s="822"/>
      <c r="B1088" s="105">
        <v>2</v>
      </c>
      <c r="C1088" s="135" t="s">
        <v>1944</v>
      </c>
      <c r="E1088" s="210" t="s">
        <v>2374</v>
      </c>
      <c r="F1088" s="190">
        <v>9.5519999999999996</v>
      </c>
      <c r="G1088" s="190">
        <f>'HIRE CHARGES'!$D$517</f>
        <v>10.199999999999999</v>
      </c>
      <c r="H1088" s="190">
        <f>F1088*G1088</f>
        <v>97.430399999999992</v>
      </c>
    </row>
    <row r="1089" spans="1:8">
      <c r="A1089" s="822"/>
      <c r="B1089" s="280"/>
      <c r="C1089" s="135" t="s">
        <v>2379</v>
      </c>
      <c r="E1089" s="210" t="s">
        <v>2374</v>
      </c>
      <c r="F1089" s="190">
        <v>9.5519999999999996</v>
      </c>
      <c r="G1089" s="190">
        <f>'HIRE CHARGES'!$E$517</f>
        <v>79.3</v>
      </c>
      <c r="H1089" s="190">
        <f>F1089*G1089</f>
        <v>757.47359999999992</v>
      </c>
    </row>
    <row r="1090" spans="1:8">
      <c r="A1090" s="822"/>
      <c r="B1090" s="114">
        <v>3</v>
      </c>
      <c r="C1090" s="139" t="s">
        <v>2373</v>
      </c>
      <c r="D1090" s="174"/>
      <c r="E1090" s="191" t="s">
        <v>2173</v>
      </c>
      <c r="F1090" s="182">
        <v>2.99</v>
      </c>
      <c r="G1090" s="215">
        <f>'BASIC DATA'!$D$359</f>
        <v>30</v>
      </c>
      <c r="H1090" s="182">
        <f>F1090*G1090</f>
        <v>89.7</v>
      </c>
    </row>
    <row r="1091" spans="1:8">
      <c r="A1091" s="822"/>
      <c r="B1091" s="176"/>
      <c r="C1091" s="174"/>
      <c r="D1091" s="174" t="s">
        <v>2380</v>
      </c>
      <c r="E1091" s="174"/>
      <c r="F1091" s="192"/>
      <c r="G1091" s="275" t="s">
        <v>1698</v>
      </c>
      <c r="H1091" s="318">
        <f>SUM(H1086:H1090)</f>
        <v>3604.8359999999998</v>
      </c>
    </row>
    <row r="1092" spans="1:8">
      <c r="A1092" s="822"/>
    </row>
    <row r="1093" spans="1:8">
      <c r="A1093" s="822"/>
      <c r="B1093" s="79" t="s">
        <v>2381</v>
      </c>
    </row>
    <row r="1094" spans="1:8">
      <c r="A1094" s="822"/>
      <c r="B1094" s="95" t="s">
        <v>2369</v>
      </c>
      <c r="C1094" s="157" t="s">
        <v>2378</v>
      </c>
      <c r="D1094" s="195"/>
      <c r="E1094" s="95" t="s">
        <v>2370</v>
      </c>
      <c r="F1094" s="95" t="s">
        <v>1166</v>
      </c>
      <c r="G1094" s="95" t="s">
        <v>2371</v>
      </c>
      <c r="H1094" s="95" t="s">
        <v>2372</v>
      </c>
    </row>
    <row r="1095" spans="1:8">
      <c r="A1095" s="822"/>
      <c r="B1095" s="114"/>
      <c r="C1095" s="154"/>
      <c r="D1095" s="192"/>
      <c r="E1095" s="105"/>
      <c r="F1095" s="114"/>
      <c r="G1095" s="114" t="s">
        <v>3485</v>
      </c>
      <c r="H1095" s="114" t="s">
        <v>3485</v>
      </c>
    </row>
    <row r="1096" spans="1:8">
      <c r="A1096" s="822"/>
      <c r="B1096" s="95">
        <v>1</v>
      </c>
      <c r="C1096" s="148" t="s">
        <v>1946</v>
      </c>
      <c r="D1096" s="187"/>
      <c r="E1096" s="107" t="s">
        <v>2374</v>
      </c>
      <c r="F1096" s="178">
        <v>4.7759999999999998</v>
      </c>
      <c r="G1096" s="179">
        <f>'HIRE CHARGES'!$F$513</f>
        <v>283.89999999999998</v>
      </c>
      <c r="H1096" s="179">
        <f>F1096*G1096</f>
        <v>1355.9063999999998</v>
      </c>
    </row>
    <row r="1097" spans="1:8">
      <c r="A1097" s="822"/>
      <c r="B1097" s="105">
        <v>2</v>
      </c>
      <c r="C1097" s="76" t="s">
        <v>999</v>
      </c>
      <c r="D1097" s="31"/>
      <c r="E1097" s="210" t="s">
        <v>2374</v>
      </c>
      <c r="F1097" s="207">
        <v>9.5500000000000007</v>
      </c>
      <c r="G1097" s="190">
        <f>'HIRE CHARGES'!$F$517</f>
        <v>111.1</v>
      </c>
      <c r="H1097" s="190">
        <f>F1097*G1097</f>
        <v>1061.0050000000001</v>
      </c>
    </row>
    <row r="1098" spans="1:8">
      <c r="A1098" s="822"/>
      <c r="B1098" s="114">
        <v>3</v>
      </c>
      <c r="C1098" s="89" t="s">
        <v>2697</v>
      </c>
      <c r="D1098" s="174"/>
      <c r="E1098" s="191" t="s">
        <v>1172</v>
      </c>
      <c r="F1098" s="181">
        <v>1.19</v>
      </c>
      <c r="G1098" s="182">
        <f>'BASIC DATA'!$C$552</f>
        <v>350</v>
      </c>
      <c r="H1098" s="182">
        <f>F1098*G1098</f>
        <v>416.5</v>
      </c>
    </row>
    <row r="1099" spans="1:8">
      <c r="A1099" s="822"/>
      <c r="B1099" s="176"/>
      <c r="C1099" s="174"/>
      <c r="D1099" s="174" t="s">
        <v>1174</v>
      </c>
      <c r="E1099" s="174"/>
      <c r="F1099" s="192"/>
      <c r="G1099" s="275" t="s">
        <v>1698</v>
      </c>
      <c r="H1099" s="318">
        <f>SUM(H1096:H1098)</f>
        <v>2833.4114</v>
      </c>
    </row>
    <row r="1100" spans="1:8">
      <c r="A1100" s="822"/>
      <c r="B1100" s="60" t="s">
        <v>5948</v>
      </c>
      <c r="C1100" s="31"/>
      <c r="D1100" s="31"/>
      <c r="E1100" s="85">
        <f>ROUND(H1099/G1073,1)</f>
        <v>944.5</v>
      </c>
      <c r="G1100" s="31"/>
    </row>
    <row r="1101" spans="1:8">
      <c r="A1101" s="822"/>
      <c r="B1101" s="60" t="s">
        <v>3163</v>
      </c>
      <c r="C1101" s="31"/>
      <c r="D1101" s="922">
        <f>'BASIC DATA'!$C$577</f>
        <v>0.13614999999999999</v>
      </c>
      <c r="E1101" s="85">
        <f>ROUND(E1100*D1101,1)</f>
        <v>128.6</v>
      </c>
      <c r="G1101" s="31"/>
    </row>
    <row r="1102" spans="1:8">
      <c r="A1102" s="822"/>
      <c r="B1102" s="60" t="s">
        <v>5949</v>
      </c>
      <c r="C1102" s="31"/>
      <c r="D1102" s="31"/>
      <c r="E1102" s="739">
        <f>E1101+E1100</f>
        <v>1073.0999999999999</v>
      </c>
      <c r="G1102" s="31"/>
    </row>
    <row r="1103" spans="1:8">
      <c r="A1103" s="822"/>
      <c r="B1103" s="26"/>
    </row>
    <row r="1104" spans="1:8">
      <c r="A1104" s="822"/>
      <c r="B1104" s="170" t="s">
        <v>1175</v>
      </c>
    </row>
    <row r="1105" spans="1:7">
      <c r="A1105" s="822"/>
      <c r="B1105" s="26" t="s">
        <v>1176</v>
      </c>
      <c r="F1105" s="171" t="s">
        <v>1698</v>
      </c>
      <c r="G1105" s="68">
        <f>H1081</f>
        <v>3806.6935969725637</v>
      </c>
    </row>
    <row r="1106" spans="1:7">
      <c r="A1106" s="822"/>
      <c r="B1106" s="26" t="s">
        <v>1186</v>
      </c>
      <c r="F1106" s="171" t="s">
        <v>1698</v>
      </c>
      <c r="G1106" s="68">
        <f>H1091</f>
        <v>3604.8359999999998</v>
      </c>
    </row>
    <row r="1107" spans="1:7">
      <c r="A1107" s="822"/>
      <c r="B1107" s="26" t="s">
        <v>2660</v>
      </c>
      <c r="F1107" s="171" t="s">
        <v>1698</v>
      </c>
      <c r="G1107" s="75">
        <f>H1099</f>
        <v>2833.4114</v>
      </c>
    </row>
    <row r="1108" spans="1:7">
      <c r="A1108" s="822"/>
      <c r="E1108" s="26" t="s">
        <v>1518</v>
      </c>
      <c r="F1108" s="171" t="s">
        <v>1698</v>
      </c>
      <c r="G1108" s="205">
        <f>SUM(G1105:G1107)</f>
        <v>10244.940996972564</v>
      </c>
    </row>
    <row r="1109" spans="1:7">
      <c r="A1109" s="822"/>
      <c r="B1109" s="1207" t="s">
        <v>1379</v>
      </c>
      <c r="C1109" s="1207"/>
      <c r="E1109" s="922">
        <f>'BASIC DATA'!$C$577</f>
        <v>0.13614999999999999</v>
      </c>
      <c r="F1109" s="26" t="s">
        <v>1698</v>
      </c>
      <c r="G1109" s="26">
        <f>G1108*E1109</f>
        <v>1394.8487167378146</v>
      </c>
    </row>
    <row r="1110" spans="1:7">
      <c r="A1110" s="822"/>
      <c r="B1110" s="26" t="s">
        <v>1191</v>
      </c>
      <c r="D1110" s="68">
        <f>G1073</f>
        <v>3</v>
      </c>
      <c r="E1110" s="68" t="str">
        <f>H1073</f>
        <v>Rm</v>
      </c>
      <c r="F1110" s="26" t="s">
        <v>1698</v>
      </c>
      <c r="G1110" s="211">
        <f>G1109+G1108</f>
        <v>11639.789713710379</v>
      </c>
    </row>
    <row r="1111" spans="1:7">
      <c r="A1111" s="822"/>
      <c r="B1111" s="170" t="s">
        <v>1584</v>
      </c>
      <c r="C1111" s="211" t="str">
        <f>E1110</f>
        <v>Rm</v>
      </c>
      <c r="D1111" s="26" t="s">
        <v>4725</v>
      </c>
      <c r="F1111" s="26" t="s">
        <v>4108</v>
      </c>
      <c r="G1111" s="211">
        <f>ROUND(G1110/D1110,1)</f>
        <v>3879.9</v>
      </c>
    </row>
    <row r="1112" spans="1:7">
      <c r="A1112" s="822"/>
    </row>
    <row r="1113" spans="1:7" ht="18.75">
      <c r="A1113" s="822"/>
      <c r="B1113" s="78" t="s">
        <v>1237</v>
      </c>
      <c r="C1113" s="26" t="s">
        <v>9561</v>
      </c>
    </row>
    <row r="1114" spans="1:7">
      <c r="A1114" s="822"/>
      <c r="C1114" s="26" t="s">
        <v>9560</v>
      </c>
    </row>
    <row r="1115" spans="1:7">
      <c r="A1115" s="822"/>
      <c r="C1115" s="26" t="s">
        <v>9562</v>
      </c>
    </row>
    <row r="1116" spans="1:7">
      <c r="A1116" s="822"/>
      <c r="C1116" s="26" t="s">
        <v>9563</v>
      </c>
    </row>
    <row r="1117" spans="1:7">
      <c r="A1117" s="822"/>
    </row>
    <row r="1118" spans="1:7" ht="54">
      <c r="A1118" s="841" t="s">
        <v>9750</v>
      </c>
      <c r="B1118" s="170" t="s">
        <v>9549</v>
      </c>
    </row>
    <row r="1119" spans="1:7">
      <c r="B1119" s="26" t="s">
        <v>9569</v>
      </c>
    </row>
    <row r="1120" spans="1:7">
      <c r="B1120" s="26" t="s">
        <v>9551</v>
      </c>
    </row>
    <row r="1121" spans="1:8">
      <c r="B1121" s="26" t="s">
        <v>9557</v>
      </c>
    </row>
    <row r="1122" spans="1:8">
      <c r="B1122" s="170" t="s">
        <v>9558</v>
      </c>
    </row>
    <row r="1123" spans="1:8">
      <c r="B1123" s="170" t="s">
        <v>9559</v>
      </c>
    </row>
    <row r="1124" spans="1:8">
      <c r="B1124" s="170"/>
    </row>
    <row r="1125" spans="1:8">
      <c r="A1125" s="865" t="s">
        <v>3984</v>
      </c>
      <c r="B1125" s="26" t="s">
        <v>9556</v>
      </c>
    </row>
    <row r="1126" spans="1:8">
      <c r="B1126" s="26" t="s">
        <v>3321</v>
      </c>
    </row>
    <row r="1127" spans="1:8">
      <c r="B1127" s="26" t="s">
        <v>3317</v>
      </c>
    </row>
    <row r="1128" spans="1:8">
      <c r="B1128" s="26" t="s">
        <v>3318</v>
      </c>
    </row>
    <row r="1129" spans="1:8">
      <c r="B1129" s="26" t="s">
        <v>2366</v>
      </c>
    </row>
    <row r="1130" spans="1:8">
      <c r="B1130" s="26" t="s">
        <v>3322</v>
      </c>
      <c r="D1130" s="68">
        <f>'BASIC DATA'!$D$304</f>
        <v>12720</v>
      </c>
      <c r="E1130" s="26" t="s">
        <v>2290</v>
      </c>
      <c r="G1130" s="171" t="s">
        <v>1698</v>
      </c>
      <c r="H1130" s="117">
        <f>D1130</f>
        <v>12720</v>
      </c>
    </row>
    <row r="1131" spans="1:8">
      <c r="B1131" s="26" t="s">
        <v>9548</v>
      </c>
      <c r="F1131" s="78" t="s">
        <v>1697</v>
      </c>
      <c r="G1131" s="26">
        <v>10.57</v>
      </c>
      <c r="H1131" s="26" t="s">
        <v>2602</v>
      </c>
    </row>
    <row r="1132" spans="1:8">
      <c r="B1132" s="26" t="s">
        <v>1632</v>
      </c>
      <c r="E1132" s="26" t="s">
        <v>7593</v>
      </c>
      <c r="F1132" s="78"/>
      <c r="G1132" s="171" t="s">
        <v>1698</v>
      </c>
      <c r="H1132" s="117">
        <f>H1130/G1131</f>
        <v>1203.4058656575212</v>
      </c>
    </row>
    <row r="1133" spans="1:8">
      <c r="B1133" s="26" t="s">
        <v>4779</v>
      </c>
      <c r="D1133" s="68">
        <f>'BASIC DATA'!$D$312</f>
        <v>5150</v>
      </c>
      <c r="E1133" s="26" t="s">
        <v>2290</v>
      </c>
      <c r="F1133" s="78"/>
      <c r="G1133" s="171" t="s">
        <v>1698</v>
      </c>
      <c r="H1133" s="117">
        <f>D1133</f>
        <v>5150</v>
      </c>
    </row>
    <row r="1134" spans="1:8">
      <c r="B1134" s="26" t="s">
        <v>9554</v>
      </c>
      <c r="F1134" s="78" t="s">
        <v>1697</v>
      </c>
      <c r="G1134" s="26">
        <v>100</v>
      </c>
      <c r="H1134" s="26" t="s">
        <v>2602</v>
      </c>
    </row>
    <row r="1135" spans="1:8">
      <c r="B1135" s="26" t="s">
        <v>174</v>
      </c>
      <c r="E1135" s="26" t="s">
        <v>7593</v>
      </c>
      <c r="F1135" s="78"/>
      <c r="G1135" s="171" t="s">
        <v>1698</v>
      </c>
      <c r="H1135" s="117">
        <f>H1133/G1134</f>
        <v>51.5</v>
      </c>
    </row>
    <row r="1136" spans="1:8">
      <c r="B1136" s="26" t="s">
        <v>3273</v>
      </c>
      <c r="D1136" s="68">
        <f>'BASIC DATA'!$D$305</f>
        <v>13568</v>
      </c>
      <c r="E1136" s="26" t="s">
        <v>2290</v>
      </c>
      <c r="F1136" s="78"/>
      <c r="G1136" s="171" t="s">
        <v>1698</v>
      </c>
      <c r="H1136" s="117">
        <f>D1136</f>
        <v>13568</v>
      </c>
    </row>
    <row r="1137" spans="1:8">
      <c r="B1137" s="26" t="s">
        <v>3274</v>
      </c>
      <c r="F1137" s="78" t="s">
        <v>1697</v>
      </c>
      <c r="G1137" s="26">
        <v>100</v>
      </c>
      <c r="H1137" s="26" t="s">
        <v>2602</v>
      </c>
    </row>
    <row r="1138" spans="1:8">
      <c r="B1138" s="26" t="s">
        <v>3275</v>
      </c>
      <c r="E1138" s="26" t="s">
        <v>7593</v>
      </c>
      <c r="F1138" s="78"/>
      <c r="G1138" s="171" t="s">
        <v>1698</v>
      </c>
      <c r="H1138" s="117">
        <f>H1136/G1137</f>
        <v>135.68</v>
      </c>
    </row>
    <row r="1139" spans="1:8">
      <c r="B1139" s="26" t="s">
        <v>3276</v>
      </c>
      <c r="D1139" s="68">
        <f>'BASIC DATA'!$D$306</f>
        <v>2120</v>
      </c>
      <c r="E1139" s="26" t="s">
        <v>2618</v>
      </c>
      <c r="F1139" s="78"/>
      <c r="G1139" s="171" t="s">
        <v>1698</v>
      </c>
      <c r="H1139" s="117">
        <f>D1139*16.5</f>
        <v>34980</v>
      </c>
    </row>
    <row r="1140" spans="1:8">
      <c r="B1140" s="26" t="s">
        <v>176</v>
      </c>
      <c r="D1140" s="68"/>
      <c r="F1140" s="78" t="s">
        <v>1697</v>
      </c>
      <c r="G1140" s="26">
        <v>2500</v>
      </c>
      <c r="H1140" s="26" t="s">
        <v>2602</v>
      </c>
    </row>
    <row r="1141" spans="1:8">
      <c r="B1141" s="26" t="s">
        <v>177</v>
      </c>
      <c r="D1141" s="68"/>
      <c r="E1141" s="26" t="s">
        <v>7593</v>
      </c>
      <c r="G1141" s="171" t="s">
        <v>1698</v>
      </c>
      <c r="H1141" s="117">
        <f>H1139/G1140</f>
        <v>13.992000000000001</v>
      </c>
    </row>
    <row r="1142" spans="1:8">
      <c r="B1142" s="26" t="s">
        <v>2934</v>
      </c>
      <c r="D1142" s="68"/>
    </row>
    <row r="1143" spans="1:8">
      <c r="B1143" s="26" t="s">
        <v>5921</v>
      </c>
      <c r="D1143" s="68">
        <f>'BASIC DATA'!$D$72</f>
        <v>54000</v>
      </c>
      <c r="E1143" s="26" t="s">
        <v>3691</v>
      </c>
      <c r="G1143" s="171" t="s">
        <v>1698</v>
      </c>
      <c r="H1143" s="68">
        <f>D1143*0.033</f>
        <v>1782</v>
      </c>
    </row>
    <row r="1144" spans="1:8">
      <c r="B1144" s="26" t="s">
        <v>1805</v>
      </c>
      <c r="D1144" s="201">
        <v>0.1</v>
      </c>
      <c r="G1144" s="171" t="s">
        <v>1698</v>
      </c>
      <c r="H1144" s="68">
        <f>D1144*$H$999</f>
        <v>178.20000000000002</v>
      </c>
    </row>
    <row r="1145" spans="1:8">
      <c r="B1145" s="26" t="s">
        <v>1806</v>
      </c>
      <c r="D1145" s="201">
        <v>0.15</v>
      </c>
      <c r="G1145" s="171" t="s">
        <v>1698</v>
      </c>
      <c r="H1145" s="68">
        <f>D1145*$H$999</f>
        <v>267.3</v>
      </c>
    </row>
    <row r="1146" spans="1:8">
      <c r="B1146" s="26" t="s">
        <v>2064</v>
      </c>
      <c r="D1146" s="26">
        <v>4</v>
      </c>
      <c r="E1146" s="26" t="s">
        <v>6839</v>
      </c>
      <c r="G1146" s="171" t="s">
        <v>1698</v>
      </c>
      <c r="H1146" s="68">
        <f>SUM(H1143:H1145)</f>
        <v>2227.5</v>
      </c>
    </row>
    <row r="1147" spans="1:8">
      <c r="B1147" s="26" t="s">
        <v>180</v>
      </c>
      <c r="G1147" s="171" t="s">
        <v>1698</v>
      </c>
      <c r="H1147" s="68">
        <f>H1146/D1146</f>
        <v>556.875</v>
      </c>
    </row>
    <row r="1148" spans="1:8">
      <c r="A1148" s="822"/>
    </row>
    <row r="1149" spans="1:8">
      <c r="A1149" s="822" t="s">
        <v>9215</v>
      </c>
      <c r="C1149" s="203" t="s">
        <v>2367</v>
      </c>
      <c r="D1149" s="171"/>
      <c r="F1149" s="171" t="s">
        <v>297</v>
      </c>
      <c r="G1149" s="776">
        <v>3</v>
      </c>
      <c r="H1149" s="26" t="s">
        <v>3483</v>
      </c>
    </row>
    <row r="1150" spans="1:8">
      <c r="A1150" s="822"/>
    </row>
    <row r="1151" spans="1:8">
      <c r="A1151" s="822"/>
      <c r="B1151" s="79" t="s">
        <v>2368</v>
      </c>
    </row>
    <row r="1152" spans="1:8">
      <c r="A1152" s="822"/>
      <c r="B1152" s="95" t="s">
        <v>2369</v>
      </c>
      <c r="C1152" s="157" t="s">
        <v>6374</v>
      </c>
      <c r="D1152" s="195"/>
      <c r="E1152" s="95" t="s">
        <v>2370</v>
      </c>
      <c r="F1152" s="95" t="s">
        <v>1166</v>
      </c>
      <c r="G1152" s="95" t="s">
        <v>2371</v>
      </c>
      <c r="H1152" s="95" t="s">
        <v>2372</v>
      </c>
    </row>
    <row r="1153" spans="1:8">
      <c r="A1153" s="822"/>
      <c r="B1153" s="105"/>
      <c r="C1153" s="154"/>
      <c r="D1153" s="192"/>
      <c r="E1153" s="114"/>
      <c r="F1153" s="114"/>
      <c r="G1153" s="114" t="s">
        <v>3485</v>
      </c>
      <c r="H1153" s="114" t="s">
        <v>3485</v>
      </c>
    </row>
    <row r="1154" spans="1:8">
      <c r="A1154" s="822"/>
      <c r="B1154" s="95">
        <v>1</v>
      </c>
      <c r="C1154" s="148" t="s">
        <v>5922</v>
      </c>
      <c r="D1154" s="195"/>
      <c r="E1154" s="344" t="s">
        <v>3483</v>
      </c>
      <c r="F1154" s="190">
        <v>3</v>
      </c>
      <c r="G1154" s="190">
        <f>H1132</f>
        <v>1203.4058656575212</v>
      </c>
      <c r="H1154" s="179">
        <f>F1154*G1154</f>
        <v>3610.2175969725636</v>
      </c>
    </row>
    <row r="1155" spans="1:8">
      <c r="A1155" s="822"/>
      <c r="B1155" s="105">
        <v>2</v>
      </c>
      <c r="C1155" s="76" t="s">
        <v>182</v>
      </c>
      <c r="D1155" s="189"/>
      <c r="E1155" s="280" t="s">
        <v>3483</v>
      </c>
      <c r="F1155" s="190">
        <v>3</v>
      </c>
      <c r="G1155" s="190">
        <f>H1135</f>
        <v>51.5</v>
      </c>
      <c r="H1155" s="190">
        <f>F1155*G1155</f>
        <v>154.5</v>
      </c>
    </row>
    <row r="1156" spans="1:8">
      <c r="A1156" s="822"/>
      <c r="B1156" s="105">
        <v>3</v>
      </c>
      <c r="C1156" s="76" t="s">
        <v>5923</v>
      </c>
      <c r="D1156" s="189"/>
      <c r="E1156" s="280" t="s">
        <v>3483</v>
      </c>
      <c r="F1156" s="190">
        <v>3</v>
      </c>
      <c r="G1156" s="190">
        <f>H1138</f>
        <v>135.68</v>
      </c>
      <c r="H1156" s="190">
        <f>F1156*G1156</f>
        <v>407.04</v>
      </c>
    </row>
    <row r="1157" spans="1:8">
      <c r="A1157" s="822"/>
      <c r="B1157" s="105">
        <v>4</v>
      </c>
      <c r="C1157" s="76" t="s">
        <v>183</v>
      </c>
      <c r="D1157" s="189"/>
      <c r="E1157" s="280" t="s">
        <v>3483</v>
      </c>
      <c r="F1157" s="190">
        <v>3</v>
      </c>
      <c r="G1157" s="190">
        <f>H1141</f>
        <v>13.992000000000001</v>
      </c>
      <c r="H1157" s="190">
        <f>F1157*G1157</f>
        <v>41.975999999999999</v>
      </c>
    </row>
    <row r="1158" spans="1:8">
      <c r="A1158" s="822"/>
      <c r="B1158" s="114">
        <v>5</v>
      </c>
      <c r="C1158" s="89" t="s">
        <v>184</v>
      </c>
      <c r="D1158" s="192"/>
      <c r="E1158" s="275" t="s">
        <v>3483</v>
      </c>
      <c r="F1158" s="182">
        <v>3</v>
      </c>
      <c r="G1158" s="182">
        <f>H1147</f>
        <v>556.875</v>
      </c>
      <c r="H1158" s="182">
        <f>F1158*G1158</f>
        <v>1670.625</v>
      </c>
    </row>
    <row r="1159" spans="1:8">
      <c r="A1159" s="822"/>
      <c r="B1159" s="176"/>
      <c r="C1159" s="174"/>
      <c r="D1159" s="174" t="s">
        <v>2376</v>
      </c>
      <c r="E1159" s="174"/>
      <c r="F1159" s="192"/>
      <c r="G1159" s="275" t="s">
        <v>1698</v>
      </c>
      <c r="H1159" s="318">
        <f>SUM(H1154:H1158)</f>
        <v>5884.3585969725636</v>
      </c>
    </row>
    <row r="1160" spans="1:8">
      <c r="A1160" s="822"/>
    </row>
    <row r="1161" spans="1:8">
      <c r="A1161" s="822"/>
      <c r="B1161" s="79" t="s">
        <v>2377</v>
      </c>
    </row>
    <row r="1162" spans="1:8">
      <c r="A1162" s="822"/>
      <c r="B1162" s="95" t="s">
        <v>2369</v>
      </c>
      <c r="C1162" s="157" t="s">
        <v>2378</v>
      </c>
      <c r="D1162" s="195"/>
      <c r="E1162" s="95" t="s">
        <v>2370</v>
      </c>
      <c r="F1162" s="95" t="s">
        <v>1166</v>
      </c>
      <c r="G1162" s="95" t="s">
        <v>2371</v>
      </c>
      <c r="H1162" s="95" t="s">
        <v>2372</v>
      </c>
    </row>
    <row r="1163" spans="1:8">
      <c r="A1163" s="822"/>
      <c r="B1163" s="114"/>
      <c r="C1163" s="154"/>
      <c r="D1163" s="192"/>
      <c r="E1163" s="114"/>
      <c r="F1163" s="114"/>
      <c r="G1163" s="114" t="s">
        <v>3485</v>
      </c>
      <c r="H1163" s="114" t="s">
        <v>3485</v>
      </c>
    </row>
    <row r="1164" spans="1:8">
      <c r="A1164" s="822"/>
      <c r="B1164" s="95">
        <v>1</v>
      </c>
      <c r="C1164" s="131" t="s">
        <v>2941</v>
      </c>
      <c r="E1164" s="107" t="s">
        <v>2374</v>
      </c>
      <c r="F1164" s="179">
        <v>4.7759999999999998</v>
      </c>
      <c r="G1164" s="179">
        <f>'HIRE CHARGES'!$D$513</f>
        <v>319</v>
      </c>
      <c r="H1164" s="179">
        <f>F1164*G1164</f>
        <v>1523.5439999999999</v>
      </c>
    </row>
    <row r="1165" spans="1:8">
      <c r="A1165" s="822"/>
      <c r="B1165" s="280"/>
      <c r="C1165" s="135" t="s">
        <v>2379</v>
      </c>
      <c r="E1165" s="210" t="s">
        <v>2374</v>
      </c>
      <c r="F1165" s="190">
        <v>4.7759999999999998</v>
      </c>
      <c r="G1165" s="190">
        <f>'HIRE CHARGES'!$E$513</f>
        <v>238</v>
      </c>
      <c r="H1165" s="190">
        <f>F1165*G1165</f>
        <v>1136.6879999999999</v>
      </c>
    </row>
    <row r="1166" spans="1:8">
      <c r="A1166" s="822"/>
      <c r="B1166" s="105">
        <v>2</v>
      </c>
      <c r="C1166" s="135" t="s">
        <v>1944</v>
      </c>
      <c r="E1166" s="210" t="s">
        <v>2374</v>
      </c>
      <c r="F1166" s="190">
        <v>9.5519999999999996</v>
      </c>
      <c r="G1166" s="190">
        <f>'HIRE CHARGES'!$D$517</f>
        <v>10.199999999999999</v>
      </c>
      <c r="H1166" s="190">
        <f>F1166*G1166</f>
        <v>97.430399999999992</v>
      </c>
    </row>
    <row r="1167" spans="1:8">
      <c r="A1167" s="822"/>
      <c r="B1167" s="280"/>
      <c r="C1167" s="135" t="s">
        <v>2379</v>
      </c>
      <c r="E1167" s="210" t="s">
        <v>2374</v>
      </c>
      <c r="F1167" s="190">
        <v>9.5519999999999996</v>
      </c>
      <c r="G1167" s="190">
        <f>'HIRE CHARGES'!$E$517</f>
        <v>79.3</v>
      </c>
      <c r="H1167" s="190">
        <f>F1167*G1167</f>
        <v>757.47359999999992</v>
      </c>
    </row>
    <row r="1168" spans="1:8">
      <c r="A1168" s="822"/>
      <c r="B1168" s="114">
        <v>3</v>
      </c>
      <c r="C1168" s="139" t="s">
        <v>2373</v>
      </c>
      <c r="D1168" s="174"/>
      <c r="E1168" s="191" t="s">
        <v>2173</v>
      </c>
      <c r="F1168" s="182">
        <v>2.99</v>
      </c>
      <c r="G1168" s="215">
        <f>'BASIC DATA'!$D$359</f>
        <v>30</v>
      </c>
      <c r="H1168" s="182">
        <f>F1168*G1168</f>
        <v>89.7</v>
      </c>
    </row>
    <row r="1169" spans="1:8">
      <c r="A1169" s="822"/>
      <c r="B1169" s="176"/>
      <c r="C1169" s="174"/>
      <c r="D1169" s="174" t="s">
        <v>2380</v>
      </c>
      <c r="E1169" s="174"/>
      <c r="F1169" s="192"/>
      <c r="G1169" s="275" t="s">
        <v>1698</v>
      </c>
      <c r="H1169" s="318">
        <f>SUM(H1164:H1168)</f>
        <v>3604.8359999999998</v>
      </c>
    </row>
    <row r="1170" spans="1:8">
      <c r="A1170" s="822"/>
    </row>
    <row r="1171" spans="1:8">
      <c r="A1171" s="822"/>
      <c r="B1171" s="79" t="s">
        <v>2381</v>
      </c>
    </row>
    <row r="1172" spans="1:8">
      <c r="A1172" s="822"/>
      <c r="B1172" s="95" t="s">
        <v>2369</v>
      </c>
      <c r="C1172" s="157" t="s">
        <v>2378</v>
      </c>
      <c r="D1172" s="195"/>
      <c r="E1172" s="95" t="s">
        <v>2370</v>
      </c>
      <c r="F1172" s="95" t="s">
        <v>1166</v>
      </c>
      <c r="G1172" s="95" t="s">
        <v>2371</v>
      </c>
      <c r="H1172" s="95" t="s">
        <v>2372</v>
      </c>
    </row>
    <row r="1173" spans="1:8">
      <c r="A1173" s="822"/>
      <c r="B1173" s="114"/>
      <c r="C1173" s="154"/>
      <c r="D1173" s="192"/>
      <c r="E1173" s="105"/>
      <c r="F1173" s="114"/>
      <c r="G1173" s="114" t="s">
        <v>3485</v>
      </c>
      <c r="H1173" s="114" t="s">
        <v>3485</v>
      </c>
    </row>
    <row r="1174" spans="1:8">
      <c r="A1174" s="822"/>
      <c r="B1174" s="95">
        <v>1</v>
      </c>
      <c r="C1174" s="148" t="s">
        <v>1946</v>
      </c>
      <c r="D1174" s="187"/>
      <c r="E1174" s="107" t="s">
        <v>2374</v>
      </c>
      <c r="F1174" s="178">
        <v>4.7759999999999998</v>
      </c>
      <c r="G1174" s="179">
        <f>'HIRE CHARGES'!$F$513</f>
        <v>283.89999999999998</v>
      </c>
      <c r="H1174" s="179">
        <f>F1174*G1174</f>
        <v>1355.9063999999998</v>
      </c>
    </row>
    <row r="1175" spans="1:8">
      <c r="A1175" s="822"/>
      <c r="B1175" s="105">
        <v>2</v>
      </c>
      <c r="C1175" s="76" t="s">
        <v>999</v>
      </c>
      <c r="D1175" s="31"/>
      <c r="E1175" s="210" t="s">
        <v>2374</v>
      </c>
      <c r="F1175" s="207">
        <v>9.5519999999999996</v>
      </c>
      <c r="G1175" s="190">
        <f>'HIRE CHARGES'!$F$517</f>
        <v>111.1</v>
      </c>
      <c r="H1175" s="190">
        <f>F1175*G1175</f>
        <v>1061.2271999999998</v>
      </c>
    </row>
    <row r="1176" spans="1:8">
      <c r="A1176" s="822"/>
      <c r="B1176" s="114">
        <v>3</v>
      </c>
      <c r="C1176" s="89" t="s">
        <v>2697</v>
      </c>
      <c r="D1176" s="174"/>
      <c r="E1176" s="191" t="s">
        <v>1172</v>
      </c>
      <c r="F1176" s="181">
        <v>1.194</v>
      </c>
      <c r="G1176" s="182">
        <f>'BASIC DATA'!$C$552</f>
        <v>350</v>
      </c>
      <c r="H1176" s="182">
        <f>F1176*G1176</f>
        <v>417.9</v>
      </c>
    </row>
    <row r="1177" spans="1:8">
      <c r="A1177" s="822"/>
      <c r="B1177" s="176"/>
      <c r="C1177" s="174"/>
      <c r="D1177" s="174" t="s">
        <v>1174</v>
      </c>
      <c r="E1177" s="174"/>
      <c r="F1177" s="192"/>
      <c r="G1177" s="275" t="s">
        <v>1698</v>
      </c>
      <c r="H1177" s="318">
        <f>SUM(H1174:H1176)</f>
        <v>2835.0335999999998</v>
      </c>
    </row>
    <row r="1178" spans="1:8">
      <c r="A1178" s="822"/>
      <c r="B1178" s="60" t="s">
        <v>5948</v>
      </c>
      <c r="C1178" s="31"/>
      <c r="D1178" s="31"/>
      <c r="E1178" s="85">
        <f>ROUND(H1177/G1149,1)</f>
        <v>945</v>
      </c>
      <c r="G1178" s="31"/>
    </row>
    <row r="1179" spans="1:8">
      <c r="A1179" s="822"/>
      <c r="B1179" s="60" t="s">
        <v>3163</v>
      </c>
      <c r="C1179" s="31"/>
      <c r="D1179" s="922">
        <f>'BASIC DATA'!$C$577</f>
        <v>0.13614999999999999</v>
      </c>
      <c r="E1179" s="85">
        <f>ROUND(E1178*D1179,1)</f>
        <v>128.69999999999999</v>
      </c>
      <c r="G1179" s="31"/>
    </row>
    <row r="1180" spans="1:8">
      <c r="A1180" s="822"/>
      <c r="B1180" s="60" t="s">
        <v>5949</v>
      </c>
      <c r="C1180" s="31"/>
      <c r="D1180" s="31"/>
      <c r="E1180" s="739">
        <f>E1179+E1178</f>
        <v>1073.7</v>
      </c>
      <c r="G1180" s="31"/>
    </row>
    <row r="1181" spans="1:8">
      <c r="A1181" s="822"/>
      <c r="B1181" s="26"/>
    </row>
    <row r="1182" spans="1:8">
      <c r="A1182" s="822"/>
      <c r="B1182" s="170" t="s">
        <v>1175</v>
      </c>
    </row>
    <row r="1183" spans="1:8">
      <c r="A1183" s="822"/>
      <c r="B1183" s="26" t="s">
        <v>1176</v>
      </c>
      <c r="F1183" s="171" t="s">
        <v>1698</v>
      </c>
      <c r="G1183" s="68">
        <f>H1159</f>
        <v>5884.3585969725636</v>
      </c>
    </row>
    <row r="1184" spans="1:8">
      <c r="A1184" s="822"/>
      <c r="B1184" s="26" t="s">
        <v>1186</v>
      </c>
      <c r="F1184" s="171" t="s">
        <v>1698</v>
      </c>
      <c r="G1184" s="68">
        <f>H1169</f>
        <v>3604.8359999999998</v>
      </c>
    </row>
    <row r="1185" spans="1:7">
      <c r="A1185" s="822"/>
      <c r="B1185" s="26" t="s">
        <v>2660</v>
      </c>
      <c r="F1185" s="171" t="s">
        <v>1698</v>
      </c>
      <c r="G1185" s="75">
        <f>H1177</f>
        <v>2835.0335999999998</v>
      </c>
    </row>
    <row r="1186" spans="1:7">
      <c r="A1186" s="822"/>
      <c r="E1186" s="26" t="s">
        <v>1518</v>
      </c>
      <c r="F1186" s="171" t="s">
        <v>1698</v>
      </c>
      <c r="G1186" s="205">
        <f>SUM(G1183:G1185)</f>
        <v>12324.228196972563</v>
      </c>
    </row>
    <row r="1187" spans="1:7">
      <c r="A1187" s="822"/>
      <c r="B1187" s="1207" t="s">
        <v>1379</v>
      </c>
      <c r="C1187" s="1207"/>
      <c r="E1187" s="922">
        <f>'BASIC DATA'!$C$577</f>
        <v>0.13614999999999999</v>
      </c>
      <c r="F1187" s="26" t="s">
        <v>1698</v>
      </c>
      <c r="G1187" s="26">
        <f>G1186*E1187</f>
        <v>1677.9436690178143</v>
      </c>
    </row>
    <row r="1188" spans="1:7">
      <c r="A1188" s="822"/>
      <c r="B1188" s="26" t="s">
        <v>1191</v>
      </c>
      <c r="D1188" s="68">
        <f>G1149</f>
        <v>3</v>
      </c>
      <c r="E1188" s="68" t="str">
        <f>H1149</f>
        <v>Rm</v>
      </c>
      <c r="F1188" s="26" t="s">
        <v>1698</v>
      </c>
      <c r="G1188" s="211">
        <f>G1187+G1186</f>
        <v>14002.171865990376</v>
      </c>
    </row>
    <row r="1189" spans="1:7">
      <c r="A1189" s="822"/>
      <c r="B1189" s="170" t="s">
        <v>1584</v>
      </c>
      <c r="C1189" s="211" t="str">
        <f>E1188</f>
        <v>Rm</v>
      </c>
      <c r="D1189" s="26" t="s">
        <v>4725</v>
      </c>
      <c r="F1189" s="26" t="s">
        <v>4108</v>
      </c>
      <c r="G1189" s="211">
        <f>ROUND(G1188/D1188,1)</f>
        <v>4667.3999999999996</v>
      </c>
    </row>
    <row r="1190" spans="1:7">
      <c r="A1190" s="822"/>
    </row>
    <row r="1191" spans="1:7" ht="18.75">
      <c r="A1191" s="822"/>
      <c r="B1191" s="78" t="s">
        <v>1237</v>
      </c>
      <c r="C1191" s="26" t="s">
        <v>9561</v>
      </c>
    </row>
    <row r="1192" spans="1:7">
      <c r="A1192" s="822"/>
      <c r="C1192" s="26" t="s">
        <v>9560</v>
      </c>
    </row>
    <row r="1193" spans="1:7">
      <c r="A1193" s="822"/>
      <c r="C1193" s="26" t="s">
        <v>9562</v>
      </c>
    </row>
    <row r="1194" spans="1:7">
      <c r="A1194" s="822"/>
      <c r="C1194" s="26" t="s">
        <v>9563</v>
      </c>
    </row>
    <row r="1195" spans="1:7">
      <c r="A1195" s="822"/>
    </row>
    <row r="1196" spans="1:7">
      <c r="A1196" s="865" t="s">
        <v>5493</v>
      </c>
      <c r="B1196" s="26" t="s">
        <v>9161</v>
      </c>
    </row>
    <row r="1197" spans="1:7">
      <c r="B1197" s="26" t="s">
        <v>9162</v>
      </c>
    </row>
    <row r="1198" spans="1:7">
      <c r="B1198" s="26" t="s">
        <v>9163</v>
      </c>
    </row>
    <row r="1199" spans="1:7">
      <c r="B1199" s="26" t="s">
        <v>9546</v>
      </c>
    </row>
    <row r="1200" spans="1:7">
      <c r="B1200" s="170"/>
    </row>
    <row r="1201" spans="1:8">
      <c r="B1201" s="26"/>
    </row>
    <row r="1202" spans="1:8" hidden="1">
      <c r="A1202" s="865" t="s">
        <v>3984</v>
      </c>
      <c r="B1202" s="26" t="s">
        <v>3557</v>
      </c>
    </row>
    <row r="1203" spans="1:8" hidden="1">
      <c r="B1203" s="26" t="s">
        <v>9164</v>
      </c>
    </row>
    <row r="1204" spans="1:8" hidden="1">
      <c r="B1204" s="26" t="s">
        <v>9165</v>
      </c>
    </row>
    <row r="1205" spans="1:8" hidden="1">
      <c r="B1205" s="26" t="s">
        <v>3321</v>
      </c>
    </row>
    <row r="1206" spans="1:8" hidden="1">
      <c r="B1206" s="26" t="s">
        <v>3317</v>
      </c>
    </row>
    <row r="1207" spans="1:8" hidden="1">
      <c r="B1207" s="26" t="s">
        <v>3318</v>
      </c>
    </row>
    <row r="1208" spans="1:8" hidden="1">
      <c r="B1208" s="26" t="s">
        <v>4184</v>
      </c>
    </row>
    <row r="1209" spans="1:8" hidden="1">
      <c r="B1209" s="26" t="s">
        <v>4184</v>
      </c>
    </row>
    <row r="1210" spans="1:8" hidden="1">
      <c r="B1210" s="26" t="s">
        <v>1753</v>
      </c>
      <c r="D1210" s="68">
        <f>'BASIC DATA'!$D$303</f>
        <v>10600</v>
      </c>
      <c r="E1210" s="26" t="s">
        <v>2290</v>
      </c>
      <c r="G1210" s="171" t="s">
        <v>1698</v>
      </c>
      <c r="H1210" s="117">
        <f>D1210</f>
        <v>10600</v>
      </c>
    </row>
    <row r="1211" spans="1:8" hidden="1">
      <c r="B1211" s="26" t="s">
        <v>1754</v>
      </c>
      <c r="F1211" s="78" t="s">
        <v>1697</v>
      </c>
      <c r="G1211" s="26">
        <v>15</v>
      </c>
      <c r="H1211" s="26" t="s">
        <v>2602</v>
      </c>
    </row>
    <row r="1212" spans="1:8" hidden="1">
      <c r="B1212" s="26" t="s">
        <v>6137</v>
      </c>
      <c r="E1212" s="26" t="s">
        <v>7593</v>
      </c>
      <c r="F1212" s="78"/>
      <c r="G1212" s="171" t="s">
        <v>1698</v>
      </c>
      <c r="H1212" s="117">
        <f>H1210/G1211</f>
        <v>706.66666666666663</v>
      </c>
    </row>
    <row r="1213" spans="1:8" hidden="1">
      <c r="B1213" s="26" t="s">
        <v>4779</v>
      </c>
      <c r="D1213" s="68">
        <f>'BASIC DATA'!D312</f>
        <v>5150</v>
      </c>
      <c r="E1213" s="26" t="s">
        <v>2290</v>
      </c>
      <c r="F1213" s="78"/>
      <c r="G1213" s="171" t="s">
        <v>1698</v>
      </c>
      <c r="H1213" s="117">
        <f>D1213</f>
        <v>5150</v>
      </c>
    </row>
    <row r="1214" spans="1:8" hidden="1">
      <c r="B1214" s="26" t="s">
        <v>5120</v>
      </c>
      <c r="F1214" s="78" t="s">
        <v>1697</v>
      </c>
      <c r="G1214" s="26">
        <v>60</v>
      </c>
      <c r="H1214" s="26" t="s">
        <v>2602</v>
      </c>
    </row>
    <row r="1215" spans="1:8" hidden="1">
      <c r="B1215" s="26" t="s">
        <v>174</v>
      </c>
      <c r="E1215" s="26" t="s">
        <v>7593</v>
      </c>
      <c r="F1215" s="78"/>
      <c r="G1215" s="171" t="s">
        <v>1698</v>
      </c>
      <c r="H1215" s="117">
        <f>H1213/G1214</f>
        <v>85.833333333333329</v>
      </c>
    </row>
    <row r="1216" spans="1:8" hidden="1">
      <c r="B1216" s="26" t="s">
        <v>3273</v>
      </c>
      <c r="D1216" s="68">
        <f>'BASIC DATA'!D305</f>
        <v>13568</v>
      </c>
      <c r="E1216" s="26" t="s">
        <v>2290</v>
      </c>
      <c r="F1216" s="78"/>
      <c r="G1216" s="171" t="s">
        <v>1698</v>
      </c>
      <c r="H1216" s="117">
        <f>D1216</f>
        <v>13568</v>
      </c>
    </row>
    <row r="1217" spans="1:8" hidden="1">
      <c r="B1217" s="26" t="s">
        <v>3274</v>
      </c>
      <c r="F1217" s="78" t="s">
        <v>1697</v>
      </c>
      <c r="G1217" s="26">
        <v>60</v>
      </c>
      <c r="H1217" s="26" t="s">
        <v>2602</v>
      </c>
    </row>
    <row r="1218" spans="1:8" hidden="1">
      <c r="B1218" s="26" t="s">
        <v>3275</v>
      </c>
      <c r="E1218" s="26" t="s">
        <v>7593</v>
      </c>
      <c r="F1218" s="78"/>
      <c r="G1218" s="171" t="s">
        <v>1698</v>
      </c>
      <c r="H1218" s="117">
        <f>H1216/G1217</f>
        <v>226.13333333333333</v>
      </c>
    </row>
    <row r="1219" spans="1:8" hidden="1">
      <c r="B1219" s="26" t="s">
        <v>3276</v>
      </c>
      <c r="D1219" s="68">
        <f>'BASIC DATA'!D306</f>
        <v>2120</v>
      </c>
      <c r="E1219" s="26" t="s">
        <v>2618</v>
      </c>
      <c r="F1219" s="78"/>
      <c r="G1219" s="171" t="s">
        <v>1698</v>
      </c>
      <c r="H1219" s="117">
        <f>D1219*16.5</f>
        <v>34980</v>
      </c>
    </row>
    <row r="1220" spans="1:8" hidden="1">
      <c r="B1220" s="26" t="s">
        <v>176</v>
      </c>
      <c r="F1220" s="78" t="s">
        <v>1697</v>
      </c>
      <c r="G1220" s="26">
        <v>1500</v>
      </c>
      <c r="H1220" s="26" t="s">
        <v>2602</v>
      </c>
    </row>
    <row r="1221" spans="1:8" hidden="1">
      <c r="B1221" s="26" t="s">
        <v>6138</v>
      </c>
      <c r="E1221" s="26" t="s">
        <v>7593</v>
      </c>
      <c r="G1221" s="171" t="s">
        <v>1698</v>
      </c>
      <c r="H1221" s="117">
        <f>H1219/G1220</f>
        <v>23.32</v>
      </c>
    </row>
    <row r="1222" spans="1:8" hidden="1">
      <c r="B1222" s="26" t="s">
        <v>178</v>
      </c>
      <c r="H1222" s="68"/>
    </row>
    <row r="1223" spans="1:8" hidden="1">
      <c r="B1223" s="26" t="s">
        <v>5921</v>
      </c>
      <c r="D1223" s="68">
        <f>'BASIC DATA'!D72</f>
        <v>54000</v>
      </c>
      <c r="E1223" s="26" t="s">
        <v>3691</v>
      </c>
      <c r="G1223" s="171" t="s">
        <v>1698</v>
      </c>
      <c r="H1223" s="68">
        <f>D1223*0.033</f>
        <v>1782</v>
      </c>
    </row>
    <row r="1224" spans="1:8" hidden="1">
      <c r="B1224" s="26" t="s">
        <v>1805</v>
      </c>
      <c r="D1224" s="201">
        <v>0.1</v>
      </c>
      <c r="G1224" s="171" t="s">
        <v>1698</v>
      </c>
      <c r="H1224" s="68">
        <f>H1223*D1224</f>
        <v>178.20000000000002</v>
      </c>
    </row>
    <row r="1225" spans="1:8" hidden="1">
      <c r="B1225" s="26" t="s">
        <v>1806</v>
      </c>
      <c r="D1225" s="201">
        <v>0.15</v>
      </c>
      <c r="G1225" s="171" t="s">
        <v>1698</v>
      </c>
      <c r="H1225" s="173">
        <f>H1223*D1225</f>
        <v>267.3</v>
      </c>
    </row>
    <row r="1226" spans="1:8" hidden="1">
      <c r="B1226" s="26" t="s">
        <v>2064</v>
      </c>
      <c r="D1226" s="26">
        <v>4</v>
      </c>
      <c r="E1226" s="26" t="s">
        <v>6839</v>
      </c>
      <c r="G1226" s="171" t="s">
        <v>1698</v>
      </c>
      <c r="H1226" s="68">
        <f>SUM(H1223:H1225)</f>
        <v>2227.5</v>
      </c>
    </row>
    <row r="1227" spans="1:8" hidden="1">
      <c r="B1227" s="26" t="s">
        <v>180</v>
      </c>
      <c r="G1227" s="171" t="s">
        <v>1698</v>
      </c>
      <c r="H1227" s="68">
        <f>H1226/D1226</f>
        <v>556.875</v>
      </c>
    </row>
    <row r="1228" spans="1:8">
      <c r="A1228" s="822"/>
    </row>
    <row r="1229" spans="1:8">
      <c r="A1229" s="822" t="s">
        <v>9215</v>
      </c>
      <c r="C1229" s="203" t="s">
        <v>2367</v>
      </c>
      <c r="D1229" s="171"/>
      <c r="F1229" s="171" t="s">
        <v>297</v>
      </c>
      <c r="G1229" s="776">
        <v>3</v>
      </c>
      <c r="H1229" s="26" t="s">
        <v>3483</v>
      </c>
    </row>
    <row r="1230" spans="1:8">
      <c r="A1230" s="822"/>
      <c r="B1230" s="79" t="s">
        <v>2368</v>
      </c>
    </row>
    <row r="1231" spans="1:8">
      <c r="A1231" s="822"/>
      <c r="B1231" s="95" t="s">
        <v>2369</v>
      </c>
      <c r="C1231" s="157" t="s">
        <v>6374</v>
      </c>
      <c r="D1231" s="195"/>
      <c r="E1231" s="95" t="s">
        <v>2370</v>
      </c>
      <c r="F1231" s="95" t="s">
        <v>1166</v>
      </c>
      <c r="G1231" s="95" t="s">
        <v>2371</v>
      </c>
      <c r="H1231" s="95" t="s">
        <v>2372</v>
      </c>
    </row>
    <row r="1232" spans="1:8">
      <c r="A1232" s="822"/>
      <c r="B1232" s="105"/>
      <c r="C1232" s="154"/>
      <c r="D1232" s="192"/>
      <c r="E1232" s="114"/>
      <c r="F1232" s="114"/>
      <c r="G1232" s="114" t="s">
        <v>3485</v>
      </c>
      <c r="H1232" s="114" t="s">
        <v>3485</v>
      </c>
    </row>
    <row r="1233" spans="1:8">
      <c r="A1233" s="822"/>
      <c r="B1233" s="95">
        <v>1</v>
      </c>
      <c r="C1233" s="148" t="s">
        <v>5922</v>
      </c>
      <c r="D1233" s="195"/>
      <c r="E1233" s="344" t="s">
        <v>3483</v>
      </c>
      <c r="F1233" s="190">
        <v>3</v>
      </c>
      <c r="G1233" s="190">
        <f>H1212</f>
        <v>706.66666666666663</v>
      </c>
      <c r="H1233" s="179">
        <f>F1233*G1233</f>
        <v>2120</v>
      </c>
    </row>
    <row r="1234" spans="1:8">
      <c r="A1234" s="822"/>
      <c r="B1234" s="105">
        <v>2</v>
      </c>
      <c r="C1234" s="76" t="s">
        <v>182</v>
      </c>
      <c r="D1234" s="189"/>
      <c r="E1234" s="280" t="s">
        <v>3483</v>
      </c>
      <c r="F1234" s="190">
        <v>3</v>
      </c>
      <c r="G1234" s="190">
        <f>H1215</f>
        <v>85.833333333333329</v>
      </c>
      <c r="H1234" s="190">
        <f>F1234*G1234</f>
        <v>257.5</v>
      </c>
    </row>
    <row r="1235" spans="1:8">
      <c r="A1235" s="822"/>
      <c r="B1235" s="105">
        <v>3</v>
      </c>
      <c r="C1235" s="76" t="s">
        <v>5923</v>
      </c>
      <c r="D1235" s="189"/>
      <c r="E1235" s="280" t="s">
        <v>3483</v>
      </c>
      <c r="F1235" s="190">
        <v>3</v>
      </c>
      <c r="G1235" s="190">
        <f>H1218</f>
        <v>226.13333333333333</v>
      </c>
      <c r="H1235" s="190">
        <f>F1235*G1235</f>
        <v>678.4</v>
      </c>
    </row>
    <row r="1236" spans="1:8">
      <c r="A1236" s="822"/>
      <c r="B1236" s="105">
        <v>4</v>
      </c>
      <c r="C1236" s="76" t="s">
        <v>183</v>
      </c>
      <c r="D1236" s="189"/>
      <c r="E1236" s="280" t="s">
        <v>3483</v>
      </c>
      <c r="F1236" s="190">
        <v>3</v>
      </c>
      <c r="G1236" s="190">
        <f>H1221</f>
        <v>23.32</v>
      </c>
      <c r="H1236" s="190">
        <f>F1236*G1236</f>
        <v>69.960000000000008</v>
      </c>
    </row>
    <row r="1237" spans="1:8">
      <c r="A1237" s="822"/>
      <c r="B1237" s="114">
        <v>5</v>
      </c>
      <c r="C1237" s="89" t="s">
        <v>184</v>
      </c>
      <c r="D1237" s="192"/>
      <c r="E1237" s="275" t="s">
        <v>3483</v>
      </c>
      <c r="F1237" s="182">
        <v>3</v>
      </c>
      <c r="G1237" s="182">
        <f>H1227</f>
        <v>556.875</v>
      </c>
      <c r="H1237" s="182">
        <f>F1237*G1237</f>
        <v>1670.625</v>
      </c>
    </row>
    <row r="1238" spans="1:8">
      <c r="A1238" s="822"/>
      <c r="B1238" s="176"/>
      <c r="C1238" s="174"/>
      <c r="D1238" s="174" t="s">
        <v>2376</v>
      </c>
      <c r="E1238" s="174"/>
      <c r="F1238" s="192"/>
      <c r="G1238" s="275" t="s">
        <v>1698</v>
      </c>
      <c r="H1238" s="318">
        <f>SUM(H1233:H1237)</f>
        <v>4796.4850000000006</v>
      </c>
    </row>
    <row r="1239" spans="1:8">
      <c r="A1239" s="822"/>
    </row>
    <row r="1240" spans="1:8">
      <c r="A1240" s="822"/>
      <c r="B1240" s="79" t="s">
        <v>2377</v>
      </c>
    </row>
    <row r="1241" spans="1:8">
      <c r="A1241" s="822"/>
      <c r="B1241" s="95" t="s">
        <v>2369</v>
      </c>
      <c r="C1241" s="157" t="s">
        <v>2378</v>
      </c>
      <c r="D1241" s="195"/>
      <c r="E1241" s="95" t="s">
        <v>2370</v>
      </c>
      <c r="F1241" s="95" t="s">
        <v>1166</v>
      </c>
      <c r="G1241" s="95" t="s">
        <v>2371</v>
      </c>
      <c r="H1241" s="95" t="s">
        <v>2372</v>
      </c>
    </row>
    <row r="1242" spans="1:8">
      <c r="A1242" s="822"/>
      <c r="B1242" s="114"/>
      <c r="C1242" s="154"/>
      <c r="D1242" s="192"/>
      <c r="E1242" s="114"/>
      <c r="F1242" s="114"/>
      <c r="G1242" s="114" t="s">
        <v>3485</v>
      </c>
      <c r="H1242" s="114" t="s">
        <v>3485</v>
      </c>
    </row>
    <row r="1243" spans="1:8">
      <c r="A1243" s="822"/>
      <c r="B1243" s="95">
        <v>1</v>
      </c>
      <c r="C1243" s="131" t="s">
        <v>2941</v>
      </c>
      <c r="E1243" s="107" t="s">
        <v>2374</v>
      </c>
      <c r="F1243" s="179">
        <v>8</v>
      </c>
      <c r="G1243" s="179">
        <f>'HIRE CHARGES'!D513</f>
        <v>319</v>
      </c>
      <c r="H1243" s="179">
        <f>F1243*G1243</f>
        <v>2552</v>
      </c>
    </row>
    <row r="1244" spans="1:8">
      <c r="A1244" s="822"/>
      <c r="B1244" s="280"/>
      <c r="C1244" s="135" t="s">
        <v>2379</v>
      </c>
      <c r="E1244" s="210" t="s">
        <v>2374</v>
      </c>
      <c r="F1244" s="190">
        <v>8</v>
      </c>
      <c r="G1244" s="190">
        <f>'HIRE CHARGES'!E513</f>
        <v>238</v>
      </c>
      <c r="H1244" s="190">
        <f>F1244*G1244</f>
        <v>1904</v>
      </c>
    </row>
    <row r="1245" spans="1:8">
      <c r="A1245" s="822"/>
      <c r="B1245" s="105">
        <v>2</v>
      </c>
      <c r="C1245" s="135" t="s">
        <v>1944</v>
      </c>
      <c r="E1245" s="210" t="s">
        <v>2374</v>
      </c>
      <c r="F1245" s="190">
        <v>16</v>
      </c>
      <c r="G1245" s="190">
        <f>'HIRE CHARGES'!D517</f>
        <v>10.199999999999999</v>
      </c>
      <c r="H1245" s="190">
        <f>F1245*G1245</f>
        <v>163.19999999999999</v>
      </c>
    </row>
    <row r="1246" spans="1:8">
      <c r="A1246" s="822"/>
      <c r="B1246" s="280"/>
      <c r="C1246" s="135" t="s">
        <v>2379</v>
      </c>
      <c r="E1246" s="210" t="s">
        <v>2374</v>
      </c>
      <c r="F1246" s="190">
        <v>16</v>
      </c>
      <c r="G1246" s="190">
        <f>'HIRE CHARGES'!E517</f>
        <v>79.3</v>
      </c>
      <c r="H1246" s="190">
        <f>F1246*G1246</f>
        <v>1268.8</v>
      </c>
    </row>
    <row r="1247" spans="1:8">
      <c r="A1247" s="822"/>
      <c r="B1247" s="114">
        <v>3</v>
      </c>
      <c r="C1247" s="139" t="s">
        <v>2373</v>
      </c>
      <c r="D1247" s="174"/>
      <c r="E1247" s="191" t="s">
        <v>2173</v>
      </c>
      <c r="F1247" s="182">
        <v>5</v>
      </c>
      <c r="G1247" s="215">
        <f>'BASIC DATA'!D359</f>
        <v>30</v>
      </c>
      <c r="H1247" s="182">
        <f>F1247*G1247</f>
        <v>150</v>
      </c>
    </row>
    <row r="1248" spans="1:8">
      <c r="A1248" s="822"/>
      <c r="B1248" s="176"/>
      <c r="C1248" s="174"/>
      <c r="D1248" s="174" t="s">
        <v>2380</v>
      </c>
      <c r="E1248" s="174"/>
      <c r="F1248" s="192"/>
      <c r="G1248" s="275" t="s">
        <v>1698</v>
      </c>
      <c r="H1248" s="318">
        <f>SUM(H1243:H1247)</f>
        <v>6038</v>
      </c>
    </row>
    <row r="1249" spans="1:8">
      <c r="A1249" s="822"/>
    </row>
    <row r="1250" spans="1:8">
      <c r="A1250" s="822"/>
      <c r="B1250" s="79" t="s">
        <v>2381</v>
      </c>
    </row>
    <row r="1251" spans="1:8">
      <c r="A1251" s="822"/>
      <c r="B1251" s="95" t="s">
        <v>2369</v>
      </c>
      <c r="C1251" s="157" t="s">
        <v>2378</v>
      </c>
      <c r="D1251" s="195"/>
      <c r="E1251" s="95" t="s">
        <v>2370</v>
      </c>
      <c r="F1251" s="95" t="s">
        <v>1166</v>
      </c>
      <c r="G1251" s="95" t="s">
        <v>2371</v>
      </c>
      <c r="H1251" s="95" t="s">
        <v>2372</v>
      </c>
    </row>
    <row r="1252" spans="1:8">
      <c r="A1252" s="822"/>
      <c r="B1252" s="114"/>
      <c r="C1252" s="154"/>
      <c r="D1252" s="192"/>
      <c r="E1252" s="105"/>
      <c r="F1252" s="114"/>
      <c r="G1252" s="114" t="s">
        <v>3485</v>
      </c>
      <c r="H1252" s="114" t="s">
        <v>3485</v>
      </c>
    </row>
    <row r="1253" spans="1:8">
      <c r="A1253" s="822"/>
      <c r="B1253" s="95">
        <v>1</v>
      </c>
      <c r="C1253" s="148" t="s">
        <v>1946</v>
      </c>
      <c r="D1253" s="187"/>
      <c r="E1253" s="107" t="s">
        <v>2374</v>
      </c>
      <c r="F1253" s="178">
        <v>8</v>
      </c>
      <c r="G1253" s="179">
        <f>'HIRE CHARGES'!F513</f>
        <v>283.89999999999998</v>
      </c>
      <c r="H1253" s="179">
        <f>F1253*G1253</f>
        <v>2271.1999999999998</v>
      </c>
    </row>
    <row r="1254" spans="1:8">
      <c r="A1254" s="822"/>
      <c r="B1254" s="105">
        <v>2</v>
      </c>
      <c r="C1254" s="76" t="s">
        <v>999</v>
      </c>
      <c r="D1254" s="31"/>
      <c r="E1254" s="210" t="s">
        <v>2374</v>
      </c>
      <c r="F1254" s="207">
        <v>16</v>
      </c>
      <c r="G1254" s="190">
        <f>'HIRE CHARGES'!F517</f>
        <v>111.1</v>
      </c>
      <c r="H1254" s="190">
        <f>F1254*G1254</f>
        <v>1777.6</v>
      </c>
    </row>
    <row r="1255" spans="1:8">
      <c r="A1255" s="822"/>
      <c r="B1255" s="114">
        <v>3</v>
      </c>
      <c r="C1255" s="89" t="s">
        <v>2697</v>
      </c>
      <c r="D1255" s="174"/>
      <c r="E1255" s="191" t="s">
        <v>1172</v>
      </c>
      <c r="F1255" s="181">
        <v>2</v>
      </c>
      <c r="G1255" s="182">
        <f>'BASIC DATA'!C552</f>
        <v>350</v>
      </c>
      <c r="H1255" s="182">
        <f>F1255*G1255</f>
        <v>700</v>
      </c>
    </row>
    <row r="1256" spans="1:8">
      <c r="A1256" s="822"/>
      <c r="B1256" s="176"/>
      <c r="C1256" s="174"/>
      <c r="D1256" s="174" t="s">
        <v>1174</v>
      </c>
      <c r="E1256" s="174"/>
      <c r="F1256" s="192"/>
      <c r="G1256" s="275" t="s">
        <v>1698</v>
      </c>
      <c r="H1256" s="318">
        <f>SUM(H1253:H1255)</f>
        <v>4748.7999999999993</v>
      </c>
    </row>
    <row r="1257" spans="1:8">
      <c r="A1257" s="822"/>
      <c r="B1257" s="60" t="s">
        <v>5948</v>
      </c>
      <c r="C1257" s="31"/>
      <c r="D1257" s="31"/>
      <c r="E1257" s="85">
        <f>ROUND(H1256/G1229,1)</f>
        <v>1582.9</v>
      </c>
      <c r="G1257" s="31"/>
    </row>
    <row r="1258" spans="1:8">
      <c r="A1258" s="822"/>
      <c r="B1258" s="60" t="s">
        <v>3163</v>
      </c>
      <c r="C1258" s="31"/>
      <c r="D1258" s="922">
        <f>'BASIC DATA'!$C$577</f>
        <v>0.13614999999999999</v>
      </c>
      <c r="E1258" s="85">
        <f>ROUND(E1257*D1258,1)</f>
        <v>215.5</v>
      </c>
      <c r="G1258" s="31"/>
    </row>
    <row r="1259" spans="1:8">
      <c r="A1259" s="822"/>
      <c r="B1259" s="60" t="s">
        <v>5949</v>
      </c>
      <c r="C1259" s="31"/>
      <c r="D1259" s="31"/>
      <c r="E1259" s="739">
        <f>E1258+E1257</f>
        <v>1798.4</v>
      </c>
      <c r="G1259" s="31"/>
    </row>
    <row r="1260" spans="1:8">
      <c r="A1260" s="822"/>
      <c r="B1260" s="26"/>
    </row>
    <row r="1261" spans="1:8">
      <c r="A1261" s="822"/>
      <c r="B1261" s="170" t="s">
        <v>1175</v>
      </c>
    </row>
    <row r="1262" spans="1:8">
      <c r="A1262" s="822"/>
      <c r="B1262" s="26" t="s">
        <v>1176</v>
      </c>
      <c r="F1262" s="171" t="s">
        <v>1698</v>
      </c>
      <c r="G1262" s="68">
        <f>H1238</f>
        <v>4796.4850000000006</v>
      </c>
    </row>
    <row r="1263" spans="1:8">
      <c r="A1263" s="822"/>
      <c r="B1263" s="26" t="s">
        <v>1186</v>
      </c>
      <c r="F1263" s="171" t="s">
        <v>1698</v>
      </c>
      <c r="G1263" s="68">
        <f>H1248</f>
        <v>6038</v>
      </c>
    </row>
    <row r="1264" spans="1:8">
      <c r="A1264" s="822"/>
      <c r="B1264" s="26" t="s">
        <v>2660</v>
      </c>
      <c r="F1264" s="171" t="s">
        <v>1698</v>
      </c>
      <c r="G1264" s="75">
        <f>H1256</f>
        <v>4748.7999999999993</v>
      </c>
    </row>
    <row r="1265" spans="1:7">
      <c r="A1265" s="822"/>
      <c r="E1265" s="26" t="s">
        <v>1518</v>
      </c>
      <c r="F1265" s="171" t="s">
        <v>1698</v>
      </c>
      <c r="G1265" s="205">
        <f>SUM(G1262:G1264)</f>
        <v>15583.285</v>
      </c>
    </row>
    <row r="1266" spans="1:7" ht="40.5" customHeight="1">
      <c r="A1266" s="822"/>
      <c r="B1266" s="1207" t="s">
        <v>1379</v>
      </c>
      <c r="C1266" s="1207"/>
      <c r="E1266" s="922">
        <f>'BASIC DATA'!$C$577</f>
        <v>0.13614999999999999</v>
      </c>
      <c r="F1266" s="26" t="s">
        <v>1698</v>
      </c>
      <c r="G1266" s="26">
        <f>G1265*E1266</f>
        <v>2121.6642527499998</v>
      </c>
    </row>
    <row r="1267" spans="1:7">
      <c r="A1267" s="822"/>
      <c r="B1267" s="26" t="s">
        <v>1191</v>
      </c>
      <c r="D1267" s="68">
        <f>G1229</f>
        <v>3</v>
      </c>
      <c r="E1267" s="68" t="str">
        <f>H1229</f>
        <v>Rm</v>
      </c>
      <c r="F1267" s="26" t="s">
        <v>1698</v>
      </c>
      <c r="G1267" s="211">
        <f>G1266+G1265</f>
        <v>17704.949252750001</v>
      </c>
    </row>
    <row r="1268" spans="1:7">
      <c r="A1268" s="822"/>
      <c r="B1268" s="170" t="s">
        <v>1584</v>
      </c>
      <c r="C1268" s="211" t="str">
        <f>E1267</f>
        <v>Rm</v>
      </c>
      <c r="D1268" s="26" t="s">
        <v>4725</v>
      </c>
      <c r="F1268" s="26" t="s">
        <v>4108</v>
      </c>
      <c r="G1268" s="211">
        <f>ROUND(G1267/D1267,1)</f>
        <v>5901.6</v>
      </c>
    </row>
    <row r="1269" spans="1:7">
      <c r="A1269" s="822"/>
    </row>
    <row r="1270" spans="1:7" ht="18.75">
      <c r="A1270" s="822"/>
      <c r="B1270" s="78" t="s">
        <v>1237</v>
      </c>
      <c r="C1270" s="26" t="s">
        <v>9166</v>
      </c>
    </row>
    <row r="1271" spans="1:7" ht="18.75">
      <c r="A1271" s="822"/>
      <c r="C1271" s="26" t="s">
        <v>9167</v>
      </c>
    </row>
    <row r="1272" spans="1:7" ht="18.75">
      <c r="A1272" s="822"/>
      <c r="C1272" s="26" t="s">
        <v>9168</v>
      </c>
    </row>
    <row r="1273" spans="1:7" ht="18.75">
      <c r="A1273" s="822"/>
      <c r="C1273" s="26" t="s">
        <v>9169</v>
      </c>
    </row>
    <row r="1274" spans="1:7">
      <c r="A1274" s="822"/>
    </row>
    <row r="1275" spans="1:7">
      <c r="A1275" s="822"/>
    </row>
    <row r="1276" spans="1:7" ht="54">
      <c r="A1276" s="841" t="s">
        <v>9751</v>
      </c>
      <c r="B1276" s="170" t="s">
        <v>9565</v>
      </c>
    </row>
    <row r="1277" spans="1:7">
      <c r="B1277" s="26" t="s">
        <v>9569</v>
      </c>
    </row>
    <row r="1278" spans="1:7">
      <c r="B1278" s="26" t="s">
        <v>9551</v>
      </c>
    </row>
    <row r="1279" spans="1:7">
      <c r="B1279" s="26" t="s">
        <v>9566</v>
      </c>
    </row>
    <row r="1280" spans="1:7">
      <c r="B1280" s="170"/>
    </row>
    <row r="1281" spans="1:8">
      <c r="B1281" s="26"/>
    </row>
    <row r="1282" spans="1:8">
      <c r="A1282" s="865" t="s">
        <v>3984</v>
      </c>
      <c r="B1282" s="26" t="s">
        <v>9556</v>
      </c>
    </row>
    <row r="1283" spans="1:8">
      <c r="B1283" s="26" t="s">
        <v>3321</v>
      </c>
    </row>
    <row r="1284" spans="1:8">
      <c r="B1284" s="26" t="s">
        <v>3317</v>
      </c>
    </row>
    <row r="1285" spans="1:8">
      <c r="B1285" s="26" t="s">
        <v>3318</v>
      </c>
    </row>
    <row r="1286" spans="1:8">
      <c r="A1286" s="822"/>
      <c r="B1286" s="26" t="s">
        <v>2366</v>
      </c>
    </row>
    <row r="1287" spans="1:8">
      <c r="B1287" s="26" t="s">
        <v>1753</v>
      </c>
      <c r="D1287" s="68">
        <f>'BASIC DATA'!$D$303</f>
        <v>10600</v>
      </c>
      <c r="E1287" s="26" t="s">
        <v>2290</v>
      </c>
      <c r="G1287" s="171" t="s">
        <v>1698</v>
      </c>
      <c r="H1287" s="117">
        <f>D1287</f>
        <v>10600</v>
      </c>
    </row>
    <row r="1288" spans="1:8">
      <c r="B1288" s="26" t="s">
        <v>9548</v>
      </c>
      <c r="F1288" s="78" t="s">
        <v>1697</v>
      </c>
      <c r="G1288" s="26">
        <v>10.57</v>
      </c>
      <c r="H1288" s="26" t="s">
        <v>2602</v>
      </c>
    </row>
    <row r="1289" spans="1:8">
      <c r="B1289" s="26" t="s">
        <v>1632</v>
      </c>
      <c r="E1289" s="26" t="s">
        <v>7593</v>
      </c>
      <c r="F1289" s="78"/>
      <c r="G1289" s="171" t="s">
        <v>1698</v>
      </c>
      <c r="H1289" s="117">
        <f>H1287/G1288</f>
        <v>1002.8382213812677</v>
      </c>
    </row>
    <row r="1290" spans="1:8">
      <c r="B1290" s="26" t="s">
        <v>4779</v>
      </c>
      <c r="D1290" s="68">
        <f>'BASIC DATA'!$D$312</f>
        <v>5150</v>
      </c>
      <c r="E1290" s="26" t="s">
        <v>2290</v>
      </c>
      <c r="F1290" s="78"/>
      <c r="G1290" s="171" t="s">
        <v>1698</v>
      </c>
      <c r="H1290" s="117">
        <f>D1290</f>
        <v>5150</v>
      </c>
    </row>
    <row r="1291" spans="1:8">
      <c r="B1291" s="26" t="s">
        <v>9554</v>
      </c>
      <c r="F1291" s="78" t="s">
        <v>1697</v>
      </c>
      <c r="G1291" s="26">
        <v>100</v>
      </c>
      <c r="H1291" s="26" t="s">
        <v>2602</v>
      </c>
    </row>
    <row r="1292" spans="1:8">
      <c r="B1292" s="26" t="s">
        <v>174</v>
      </c>
      <c r="E1292" s="26" t="s">
        <v>7593</v>
      </c>
      <c r="F1292" s="78"/>
      <c r="G1292" s="171" t="s">
        <v>1698</v>
      </c>
      <c r="H1292" s="117">
        <f>H1290/G1291</f>
        <v>51.5</v>
      </c>
    </row>
    <row r="1293" spans="1:8">
      <c r="B1293" s="26" t="s">
        <v>3276</v>
      </c>
      <c r="D1293" s="68">
        <f>'BASIC DATA'!$D$306</f>
        <v>2120</v>
      </c>
      <c r="E1293" s="26" t="s">
        <v>2618</v>
      </c>
      <c r="F1293" s="78"/>
      <c r="G1293" s="171" t="s">
        <v>1698</v>
      </c>
      <c r="H1293" s="117">
        <f>D1293*16.5</f>
        <v>34980</v>
      </c>
    </row>
    <row r="1294" spans="1:8">
      <c r="B1294" s="26" t="s">
        <v>176</v>
      </c>
      <c r="D1294" s="68"/>
      <c r="F1294" s="78" t="s">
        <v>1697</v>
      </c>
      <c r="G1294" s="26">
        <v>2500</v>
      </c>
      <c r="H1294" s="26" t="s">
        <v>2602</v>
      </c>
    </row>
    <row r="1295" spans="1:8">
      <c r="B1295" s="26" t="s">
        <v>177</v>
      </c>
      <c r="D1295" s="68"/>
      <c r="E1295" s="26" t="s">
        <v>7593</v>
      </c>
      <c r="G1295" s="171" t="s">
        <v>1698</v>
      </c>
      <c r="H1295" s="117">
        <f>H1293/G1294</f>
        <v>13.992000000000001</v>
      </c>
    </row>
    <row r="1296" spans="1:8">
      <c r="A1296" s="822"/>
    </row>
    <row r="1297" spans="1:8">
      <c r="A1297" s="822" t="s">
        <v>9215</v>
      </c>
      <c r="C1297" s="203" t="s">
        <v>2367</v>
      </c>
      <c r="D1297" s="171"/>
      <c r="F1297" s="171" t="s">
        <v>297</v>
      </c>
      <c r="G1297" s="776">
        <v>3</v>
      </c>
      <c r="H1297" s="26" t="s">
        <v>3483</v>
      </c>
    </row>
    <row r="1298" spans="1:8">
      <c r="A1298" s="822"/>
    </row>
    <row r="1299" spans="1:8">
      <c r="A1299" s="822"/>
      <c r="B1299" s="79" t="s">
        <v>2368</v>
      </c>
    </row>
    <row r="1300" spans="1:8">
      <c r="A1300" s="822"/>
      <c r="B1300" s="95" t="s">
        <v>2369</v>
      </c>
      <c r="C1300" s="157" t="s">
        <v>6374</v>
      </c>
      <c r="D1300" s="195"/>
      <c r="E1300" s="95" t="s">
        <v>2370</v>
      </c>
      <c r="F1300" s="95" t="s">
        <v>1166</v>
      </c>
      <c r="G1300" s="95" t="s">
        <v>2371</v>
      </c>
      <c r="H1300" s="95" t="s">
        <v>2372</v>
      </c>
    </row>
    <row r="1301" spans="1:8">
      <c r="A1301" s="822"/>
      <c r="B1301" s="105"/>
      <c r="C1301" s="154"/>
      <c r="D1301" s="192"/>
      <c r="E1301" s="114"/>
      <c r="F1301" s="114"/>
      <c r="G1301" s="114" t="s">
        <v>3485</v>
      </c>
      <c r="H1301" s="114" t="s">
        <v>3485</v>
      </c>
    </row>
    <row r="1302" spans="1:8">
      <c r="A1302" s="822"/>
      <c r="B1302" s="95">
        <v>1</v>
      </c>
      <c r="C1302" s="148" t="s">
        <v>5922</v>
      </c>
      <c r="D1302" s="195"/>
      <c r="E1302" s="344" t="s">
        <v>3483</v>
      </c>
      <c r="F1302" s="190">
        <v>3</v>
      </c>
      <c r="G1302" s="190">
        <f>H1289</f>
        <v>1002.8382213812677</v>
      </c>
      <c r="H1302" s="179">
        <f>F1302*G1302</f>
        <v>3008.5146641438032</v>
      </c>
    </row>
    <row r="1303" spans="1:8">
      <c r="A1303" s="822"/>
      <c r="B1303" s="105">
        <v>2</v>
      </c>
      <c r="C1303" s="76" t="s">
        <v>182</v>
      </c>
      <c r="D1303" s="189"/>
      <c r="E1303" s="280" t="s">
        <v>3483</v>
      </c>
      <c r="F1303" s="190">
        <v>3</v>
      </c>
      <c r="G1303" s="190">
        <f>H1292</f>
        <v>51.5</v>
      </c>
      <c r="H1303" s="190">
        <f>F1303*G1303</f>
        <v>154.5</v>
      </c>
    </row>
    <row r="1304" spans="1:8">
      <c r="A1304" s="822"/>
      <c r="B1304" s="105">
        <v>4</v>
      </c>
      <c r="C1304" s="76" t="s">
        <v>183</v>
      </c>
      <c r="D1304" s="189"/>
      <c r="E1304" s="280" t="s">
        <v>3483</v>
      </c>
      <c r="F1304" s="190">
        <v>3</v>
      </c>
      <c r="G1304" s="190">
        <f>H1295</f>
        <v>13.992000000000001</v>
      </c>
      <c r="H1304" s="190">
        <f>F1304*G1304</f>
        <v>41.975999999999999</v>
      </c>
    </row>
    <row r="1305" spans="1:8">
      <c r="A1305" s="822"/>
      <c r="B1305" s="176"/>
      <c r="C1305" s="174"/>
      <c r="D1305" s="174" t="s">
        <v>2376</v>
      </c>
      <c r="E1305" s="174"/>
      <c r="F1305" s="192"/>
      <c r="G1305" s="275" t="s">
        <v>1698</v>
      </c>
      <c r="H1305" s="318">
        <f>SUM(H1302:H1304)</f>
        <v>3204.9906641438033</v>
      </c>
    </row>
    <row r="1306" spans="1:8">
      <c r="A1306" s="822"/>
    </row>
    <row r="1307" spans="1:8">
      <c r="A1307" s="822"/>
      <c r="B1307" s="79" t="s">
        <v>2377</v>
      </c>
    </row>
    <row r="1308" spans="1:8">
      <c r="A1308" s="822"/>
      <c r="B1308" s="95" t="s">
        <v>2369</v>
      </c>
      <c r="C1308" s="157" t="s">
        <v>2378</v>
      </c>
      <c r="D1308" s="195"/>
      <c r="E1308" s="95" t="s">
        <v>2370</v>
      </c>
      <c r="F1308" s="95" t="s">
        <v>1166</v>
      </c>
      <c r="G1308" s="95" t="s">
        <v>2371</v>
      </c>
      <c r="H1308" s="95" t="s">
        <v>2372</v>
      </c>
    </row>
    <row r="1309" spans="1:8">
      <c r="A1309" s="822"/>
      <c r="B1309" s="114"/>
      <c r="C1309" s="154"/>
      <c r="D1309" s="192"/>
      <c r="E1309" s="114"/>
      <c r="F1309" s="114"/>
      <c r="G1309" s="114" t="s">
        <v>3485</v>
      </c>
      <c r="H1309" s="114" t="s">
        <v>3485</v>
      </c>
    </row>
    <row r="1310" spans="1:8">
      <c r="A1310" s="822"/>
      <c r="B1310" s="95">
        <v>1</v>
      </c>
      <c r="C1310" s="131" t="s">
        <v>2941</v>
      </c>
      <c r="E1310" s="107" t="s">
        <v>2374</v>
      </c>
      <c r="F1310" s="179">
        <v>4.7759999999999998</v>
      </c>
      <c r="G1310" s="179">
        <f>'HIRE CHARGES'!$D$513</f>
        <v>319</v>
      </c>
      <c r="H1310" s="179">
        <f>F1310*G1310</f>
        <v>1523.5439999999999</v>
      </c>
    </row>
    <row r="1311" spans="1:8">
      <c r="A1311" s="822"/>
      <c r="B1311" s="280"/>
      <c r="C1311" s="135" t="s">
        <v>2379</v>
      </c>
      <c r="E1311" s="210" t="s">
        <v>2374</v>
      </c>
      <c r="F1311" s="190">
        <v>4.7759999999999998</v>
      </c>
      <c r="G1311" s="190">
        <f>'HIRE CHARGES'!$E$513</f>
        <v>238</v>
      </c>
      <c r="H1311" s="190">
        <f>F1311*G1311</f>
        <v>1136.6879999999999</v>
      </c>
    </row>
    <row r="1312" spans="1:8">
      <c r="A1312" s="822"/>
      <c r="B1312" s="105">
        <v>2</v>
      </c>
      <c r="C1312" s="135" t="s">
        <v>1944</v>
      </c>
      <c r="E1312" s="210" t="s">
        <v>2374</v>
      </c>
      <c r="F1312" s="190">
        <v>9.5519999999999996</v>
      </c>
      <c r="G1312" s="190">
        <f>'HIRE CHARGES'!$D$517</f>
        <v>10.199999999999999</v>
      </c>
      <c r="H1312" s="190">
        <f>F1312*G1312</f>
        <v>97.430399999999992</v>
      </c>
    </row>
    <row r="1313" spans="1:8">
      <c r="A1313" s="822"/>
      <c r="B1313" s="280"/>
      <c r="C1313" s="135" t="s">
        <v>2379</v>
      </c>
      <c r="E1313" s="210" t="s">
        <v>2374</v>
      </c>
      <c r="F1313" s="190">
        <v>9.5519999999999996</v>
      </c>
      <c r="G1313" s="190">
        <f>'HIRE CHARGES'!$E$517</f>
        <v>79.3</v>
      </c>
      <c r="H1313" s="190">
        <f>F1313*G1313</f>
        <v>757.47359999999992</v>
      </c>
    </row>
    <row r="1314" spans="1:8">
      <c r="A1314" s="822"/>
      <c r="B1314" s="114">
        <v>3</v>
      </c>
      <c r="C1314" s="139" t="s">
        <v>2373</v>
      </c>
      <c r="D1314" s="174"/>
      <c r="E1314" s="191" t="s">
        <v>2173</v>
      </c>
      <c r="F1314" s="182">
        <v>2.99</v>
      </c>
      <c r="G1314" s="215">
        <f>'BASIC DATA'!$D$359</f>
        <v>30</v>
      </c>
      <c r="H1314" s="182">
        <f>F1314*G1314</f>
        <v>89.7</v>
      </c>
    </row>
    <row r="1315" spans="1:8">
      <c r="A1315" s="822"/>
      <c r="B1315" s="176"/>
      <c r="C1315" s="174"/>
      <c r="D1315" s="174" t="s">
        <v>2380</v>
      </c>
      <c r="E1315" s="174"/>
      <c r="F1315" s="192"/>
      <c r="G1315" s="275" t="s">
        <v>1698</v>
      </c>
      <c r="H1315" s="318">
        <f>SUM(H1310:H1314)</f>
        <v>3604.8359999999998</v>
      </c>
    </row>
    <row r="1316" spans="1:8">
      <c r="A1316" s="822"/>
    </row>
    <row r="1317" spans="1:8">
      <c r="A1317" s="822"/>
      <c r="B1317" s="79" t="s">
        <v>2381</v>
      </c>
    </row>
    <row r="1318" spans="1:8">
      <c r="A1318" s="822"/>
      <c r="B1318" s="95" t="s">
        <v>2369</v>
      </c>
      <c r="C1318" s="157" t="s">
        <v>2378</v>
      </c>
      <c r="D1318" s="195"/>
      <c r="E1318" s="95" t="s">
        <v>2370</v>
      </c>
      <c r="F1318" s="95" t="s">
        <v>1166</v>
      </c>
      <c r="G1318" s="95" t="s">
        <v>2371</v>
      </c>
      <c r="H1318" s="95" t="s">
        <v>2372</v>
      </c>
    </row>
    <row r="1319" spans="1:8">
      <c r="A1319" s="822"/>
      <c r="B1319" s="114"/>
      <c r="C1319" s="154"/>
      <c r="D1319" s="192"/>
      <c r="E1319" s="105"/>
      <c r="F1319" s="114"/>
      <c r="G1319" s="114" t="s">
        <v>3485</v>
      </c>
      <c r="H1319" s="114" t="s">
        <v>3485</v>
      </c>
    </row>
    <row r="1320" spans="1:8">
      <c r="A1320" s="822"/>
      <c r="B1320" s="95">
        <v>1</v>
      </c>
      <c r="C1320" s="148" t="s">
        <v>1946</v>
      </c>
      <c r="D1320" s="187"/>
      <c r="E1320" s="107" t="s">
        <v>2374</v>
      </c>
      <c r="F1320" s="178">
        <v>4.7759999999999998</v>
      </c>
      <c r="G1320" s="179">
        <f>'HIRE CHARGES'!$F$513</f>
        <v>283.89999999999998</v>
      </c>
      <c r="H1320" s="179">
        <f>F1320*G1320</f>
        <v>1355.9063999999998</v>
      </c>
    </row>
    <row r="1321" spans="1:8">
      <c r="A1321" s="822"/>
      <c r="B1321" s="105">
        <v>2</v>
      </c>
      <c r="C1321" s="76" t="s">
        <v>999</v>
      </c>
      <c r="D1321" s="31"/>
      <c r="E1321" s="210" t="s">
        <v>2374</v>
      </c>
      <c r="F1321" s="207">
        <v>9.5500000000000007</v>
      </c>
      <c r="G1321" s="190">
        <f>'HIRE CHARGES'!$F$517</f>
        <v>111.1</v>
      </c>
      <c r="H1321" s="190">
        <f>F1321*G1321</f>
        <v>1061.0050000000001</v>
      </c>
    </row>
    <row r="1322" spans="1:8">
      <c r="A1322" s="822"/>
      <c r="B1322" s="114">
        <v>3</v>
      </c>
      <c r="C1322" s="89" t="s">
        <v>2697</v>
      </c>
      <c r="D1322" s="174"/>
      <c r="E1322" s="191" t="s">
        <v>1172</v>
      </c>
      <c r="F1322" s="181">
        <v>1.19</v>
      </c>
      <c r="G1322" s="182">
        <f>'BASIC DATA'!$C$552</f>
        <v>350</v>
      </c>
      <c r="H1322" s="182">
        <f>F1322*G1322</f>
        <v>416.5</v>
      </c>
    </row>
    <row r="1323" spans="1:8">
      <c r="A1323" s="822"/>
      <c r="B1323" s="176"/>
      <c r="C1323" s="174"/>
      <c r="D1323" s="174" t="s">
        <v>1174</v>
      </c>
      <c r="E1323" s="174"/>
      <c r="F1323" s="192"/>
      <c r="G1323" s="275" t="s">
        <v>1698</v>
      </c>
      <c r="H1323" s="318">
        <f>SUM(H1320:H1322)</f>
        <v>2833.4114</v>
      </c>
    </row>
    <row r="1324" spans="1:8">
      <c r="A1324" s="822"/>
      <c r="B1324" s="60" t="s">
        <v>5948</v>
      </c>
      <c r="C1324" s="31"/>
      <c r="D1324" s="31"/>
      <c r="E1324" s="85">
        <f>ROUND(H1323/G1297,1)</f>
        <v>944.5</v>
      </c>
      <c r="G1324" s="31"/>
    </row>
    <row r="1325" spans="1:8">
      <c r="A1325" s="822"/>
      <c r="B1325" s="60" t="s">
        <v>3163</v>
      </c>
      <c r="C1325" s="31"/>
      <c r="D1325" s="922">
        <f>'BASIC DATA'!$C$577</f>
        <v>0.13614999999999999</v>
      </c>
      <c r="E1325" s="85">
        <f>ROUND(E1324*D1325,1)</f>
        <v>128.6</v>
      </c>
      <c r="G1325" s="31"/>
    </row>
    <row r="1326" spans="1:8">
      <c r="A1326" s="822"/>
      <c r="B1326" s="60" t="s">
        <v>5949</v>
      </c>
      <c r="C1326" s="31"/>
      <c r="D1326" s="31"/>
      <c r="E1326" s="739">
        <f>E1325+E1324</f>
        <v>1073.0999999999999</v>
      </c>
      <c r="G1326" s="31"/>
    </row>
    <row r="1327" spans="1:8">
      <c r="A1327" s="822"/>
      <c r="B1327" s="26"/>
    </row>
    <row r="1328" spans="1:8">
      <c r="A1328" s="822"/>
      <c r="B1328" s="170" t="s">
        <v>1175</v>
      </c>
    </row>
    <row r="1329" spans="1:7">
      <c r="A1329" s="822"/>
      <c r="B1329" s="26" t="s">
        <v>1176</v>
      </c>
      <c r="F1329" s="171" t="s">
        <v>1698</v>
      </c>
      <c r="G1329" s="68">
        <f>H1305</f>
        <v>3204.9906641438033</v>
      </c>
    </row>
    <row r="1330" spans="1:7">
      <c r="A1330" s="822"/>
      <c r="B1330" s="26" t="s">
        <v>1186</v>
      </c>
      <c r="F1330" s="171" t="s">
        <v>1698</v>
      </c>
      <c r="G1330" s="68">
        <f>H1315</f>
        <v>3604.8359999999998</v>
      </c>
    </row>
    <row r="1331" spans="1:7">
      <c r="A1331" s="822"/>
      <c r="B1331" s="26" t="s">
        <v>2660</v>
      </c>
      <c r="F1331" s="171" t="s">
        <v>1698</v>
      </c>
      <c r="G1331" s="75">
        <f>H1323</f>
        <v>2833.4114</v>
      </c>
    </row>
    <row r="1332" spans="1:7">
      <c r="A1332" s="822"/>
      <c r="E1332" s="26" t="s">
        <v>1518</v>
      </c>
      <c r="F1332" s="171" t="s">
        <v>1698</v>
      </c>
      <c r="G1332" s="205">
        <f>SUM(G1329:G1331)</f>
        <v>9643.2380641438031</v>
      </c>
    </row>
    <row r="1333" spans="1:7">
      <c r="A1333" s="822"/>
      <c r="B1333" s="1207" t="s">
        <v>1379</v>
      </c>
      <c r="C1333" s="1207"/>
      <c r="E1333" s="922">
        <f>'BASIC DATA'!$C$577</f>
        <v>0.13614999999999999</v>
      </c>
      <c r="F1333" s="26" t="s">
        <v>1698</v>
      </c>
      <c r="G1333" s="26">
        <f>G1332*E1333</f>
        <v>1312.9268624331787</v>
      </c>
    </row>
    <row r="1334" spans="1:7">
      <c r="A1334" s="822"/>
      <c r="B1334" s="26" t="s">
        <v>1191</v>
      </c>
      <c r="D1334" s="68">
        <f>G1297</f>
        <v>3</v>
      </c>
      <c r="E1334" s="68" t="str">
        <f>H1297</f>
        <v>Rm</v>
      </c>
      <c r="F1334" s="26" t="s">
        <v>1698</v>
      </c>
      <c r="G1334" s="211">
        <f>G1333+G1332</f>
        <v>10956.164926576981</v>
      </c>
    </row>
    <row r="1335" spans="1:7">
      <c r="A1335" s="822"/>
      <c r="B1335" s="170" t="s">
        <v>1584</v>
      </c>
      <c r="C1335" s="211" t="str">
        <f>E1334</f>
        <v>Rm</v>
      </c>
      <c r="D1335" s="26" t="s">
        <v>4725</v>
      </c>
      <c r="F1335" s="26" t="s">
        <v>4108</v>
      </c>
      <c r="G1335" s="211">
        <f>ROUND(G1334/D1334,1)</f>
        <v>3652.1</v>
      </c>
    </row>
    <row r="1336" spans="1:7">
      <c r="A1336" s="822"/>
    </row>
    <row r="1337" spans="1:7" ht="18.75">
      <c r="A1337" s="822"/>
      <c r="B1337" s="78" t="s">
        <v>1237</v>
      </c>
      <c r="C1337" s="26" t="s">
        <v>9561</v>
      </c>
    </row>
    <row r="1338" spans="1:7">
      <c r="A1338" s="822"/>
      <c r="C1338" s="26" t="s">
        <v>9560</v>
      </c>
    </row>
    <row r="1339" spans="1:7">
      <c r="A1339" s="822"/>
      <c r="C1339" s="26" t="s">
        <v>9562</v>
      </c>
    </row>
    <row r="1340" spans="1:7">
      <c r="A1340" s="822"/>
      <c r="C1340" s="26" t="s">
        <v>9563</v>
      </c>
    </row>
    <row r="1341" spans="1:7">
      <c r="A1341" s="822"/>
    </row>
    <row r="1342" spans="1:7">
      <c r="A1342" s="865" t="s">
        <v>5494</v>
      </c>
      <c r="B1342" s="26" t="s">
        <v>9106</v>
      </c>
    </row>
    <row r="1343" spans="1:7">
      <c r="B1343" s="26" t="s">
        <v>9107</v>
      </c>
    </row>
    <row r="1344" spans="1:7">
      <c r="B1344" s="26" t="s">
        <v>9108</v>
      </c>
    </row>
    <row r="1345" spans="1:8">
      <c r="B1345" s="26"/>
    </row>
    <row r="1346" spans="1:8" hidden="1">
      <c r="A1346" s="865" t="s">
        <v>3984</v>
      </c>
      <c r="B1346" s="26" t="s">
        <v>6139</v>
      </c>
    </row>
    <row r="1347" spans="1:8" hidden="1">
      <c r="B1347" s="26" t="s">
        <v>4319</v>
      </c>
    </row>
    <row r="1348" spans="1:8" hidden="1">
      <c r="B1348" s="26" t="s">
        <v>6375</v>
      </c>
    </row>
    <row r="1349" spans="1:8" hidden="1">
      <c r="B1349" s="26" t="s">
        <v>6140</v>
      </c>
    </row>
    <row r="1350" spans="1:8" hidden="1">
      <c r="B1350" s="26" t="s">
        <v>4930</v>
      </c>
      <c r="F1350" s="78" t="s">
        <v>1697</v>
      </c>
      <c r="G1350" s="68">
        <v>1</v>
      </c>
      <c r="H1350" s="26" t="s">
        <v>3477</v>
      </c>
    </row>
    <row r="1351" spans="1:8">
      <c r="A1351" s="822"/>
    </row>
    <row r="1352" spans="1:8">
      <c r="A1352" s="822" t="s">
        <v>9215</v>
      </c>
      <c r="C1352" s="203" t="s">
        <v>2367</v>
      </c>
      <c r="D1352" s="171"/>
      <c r="F1352" s="171" t="s">
        <v>297</v>
      </c>
      <c r="G1352" s="162">
        <v>18</v>
      </c>
      <c r="H1352" s="26" t="s">
        <v>4041</v>
      </c>
    </row>
    <row r="1353" spans="1:8">
      <c r="A1353" s="822"/>
      <c r="B1353" s="79" t="s">
        <v>2368</v>
      </c>
    </row>
    <row r="1354" spans="1:8">
      <c r="A1354" s="822"/>
      <c r="B1354" s="95" t="s">
        <v>2369</v>
      </c>
      <c r="C1354" s="157" t="s">
        <v>6374</v>
      </c>
      <c r="D1354" s="195"/>
      <c r="E1354" s="95" t="s">
        <v>2370</v>
      </c>
      <c r="F1354" s="95" t="s">
        <v>1166</v>
      </c>
      <c r="G1354" s="95" t="s">
        <v>2371</v>
      </c>
      <c r="H1354" s="95" t="s">
        <v>2372</v>
      </c>
    </row>
    <row r="1355" spans="1:8">
      <c r="A1355" s="822"/>
      <c r="B1355" s="105"/>
      <c r="C1355" s="154"/>
      <c r="D1355" s="192"/>
      <c r="E1355" s="114"/>
      <c r="F1355" s="114"/>
      <c r="G1355" s="114" t="s">
        <v>3485</v>
      </c>
      <c r="H1355" s="114" t="s">
        <v>3485</v>
      </c>
    </row>
    <row r="1356" spans="1:8">
      <c r="A1356" s="822"/>
      <c r="B1356" s="95">
        <v>1</v>
      </c>
      <c r="C1356" s="148" t="s">
        <v>4042</v>
      </c>
      <c r="D1356" s="195"/>
      <c r="E1356" s="344" t="s">
        <v>3481</v>
      </c>
      <c r="F1356" s="190">
        <v>18</v>
      </c>
      <c r="G1356" s="214">
        <f>'BASIC DATA'!D93</f>
        <v>23</v>
      </c>
      <c r="H1356" s="179">
        <f>F1356*G1356</f>
        <v>414</v>
      </c>
    </row>
    <row r="1357" spans="1:8">
      <c r="A1357" s="822"/>
      <c r="B1357" s="114">
        <v>2</v>
      </c>
      <c r="C1357" s="89" t="s">
        <v>6141</v>
      </c>
      <c r="D1357" s="192"/>
      <c r="E1357" s="275" t="s">
        <v>3477</v>
      </c>
      <c r="F1357" s="182">
        <v>1</v>
      </c>
      <c r="G1357" s="215">
        <f>'BASIC DATA'!D85</f>
        <v>165</v>
      </c>
      <c r="H1357" s="182">
        <f>F1357*G1357</f>
        <v>165</v>
      </c>
    </row>
    <row r="1358" spans="1:8">
      <c r="A1358" s="822"/>
      <c r="B1358" s="176"/>
      <c r="C1358" s="174"/>
      <c r="D1358" s="174" t="s">
        <v>2376</v>
      </c>
      <c r="E1358" s="174"/>
      <c r="F1358" s="192"/>
      <c r="G1358" s="236" t="s">
        <v>1698</v>
      </c>
      <c r="H1358" s="318">
        <f>SUM(H1356:H1357)</f>
        <v>579</v>
      </c>
    </row>
    <row r="1359" spans="1:8">
      <c r="A1359" s="822"/>
    </row>
    <row r="1360" spans="1:8">
      <c r="A1360" s="822"/>
      <c r="B1360" s="79" t="s">
        <v>2377</v>
      </c>
    </row>
    <row r="1361" spans="1:8">
      <c r="A1361" s="822"/>
      <c r="B1361" s="95" t="s">
        <v>2369</v>
      </c>
      <c r="C1361" s="157" t="s">
        <v>2378</v>
      </c>
      <c r="D1361" s="195"/>
      <c r="E1361" s="95" t="s">
        <v>2370</v>
      </c>
      <c r="F1361" s="95" t="s">
        <v>1166</v>
      </c>
      <c r="G1361" s="95" t="s">
        <v>2371</v>
      </c>
      <c r="H1361" s="95" t="s">
        <v>2372</v>
      </c>
    </row>
    <row r="1362" spans="1:8">
      <c r="A1362" s="822"/>
      <c r="B1362" s="114"/>
      <c r="C1362" s="154"/>
      <c r="D1362" s="192"/>
      <c r="E1362" s="114"/>
      <c r="F1362" s="114"/>
      <c r="G1362" s="114" t="s">
        <v>3485</v>
      </c>
      <c r="H1362" s="114" t="s">
        <v>3485</v>
      </c>
    </row>
    <row r="1363" spans="1:8">
      <c r="A1363" s="822"/>
      <c r="B1363" s="105">
        <v>1</v>
      </c>
      <c r="C1363" s="93" t="s">
        <v>6976</v>
      </c>
      <c r="E1363" s="210"/>
      <c r="F1363" s="190">
        <v>0</v>
      </c>
      <c r="G1363" s="190">
        <v>0</v>
      </c>
      <c r="H1363" s="190">
        <f>F1363*G1363</f>
        <v>0</v>
      </c>
    </row>
    <row r="1364" spans="1:8">
      <c r="A1364" s="822"/>
      <c r="B1364" s="275"/>
      <c r="C1364" s="139"/>
      <c r="D1364" s="174"/>
      <c r="E1364" s="191"/>
      <c r="F1364" s="182">
        <v>0</v>
      </c>
      <c r="G1364" s="182">
        <v>0</v>
      </c>
      <c r="H1364" s="182">
        <f>F1364*G1364</f>
        <v>0</v>
      </c>
    </row>
    <row r="1365" spans="1:8">
      <c r="A1365" s="822"/>
      <c r="B1365" s="176"/>
      <c r="C1365" s="174"/>
      <c r="D1365" s="174" t="s">
        <v>2380</v>
      </c>
      <c r="E1365" s="174"/>
      <c r="F1365" s="192"/>
      <c r="G1365" s="275" t="s">
        <v>1698</v>
      </c>
      <c r="H1365" s="318">
        <f>SUM(H1363:H1364)</f>
        <v>0</v>
      </c>
    </row>
    <row r="1366" spans="1:8">
      <c r="A1366" s="822"/>
    </row>
    <row r="1367" spans="1:8">
      <c r="A1367" s="822"/>
      <c r="B1367" s="79" t="s">
        <v>2381</v>
      </c>
    </row>
    <row r="1368" spans="1:8">
      <c r="A1368" s="822"/>
      <c r="B1368" s="95" t="s">
        <v>2369</v>
      </c>
      <c r="C1368" s="157" t="s">
        <v>2378</v>
      </c>
      <c r="D1368" s="195"/>
      <c r="E1368" s="95" t="s">
        <v>2370</v>
      </c>
      <c r="F1368" s="95" t="s">
        <v>1166</v>
      </c>
      <c r="G1368" s="95" t="s">
        <v>2371</v>
      </c>
      <c r="H1368" s="95" t="s">
        <v>2372</v>
      </c>
    </row>
    <row r="1369" spans="1:8">
      <c r="A1369" s="822"/>
      <c r="B1369" s="114"/>
      <c r="C1369" s="154"/>
      <c r="D1369" s="192"/>
      <c r="E1369" s="105"/>
      <c r="F1369" s="114"/>
      <c r="G1369" s="114" t="s">
        <v>3485</v>
      </c>
      <c r="H1369" s="114" t="s">
        <v>3485</v>
      </c>
    </row>
    <row r="1370" spans="1:8">
      <c r="A1370" s="822"/>
      <c r="B1370" s="95">
        <v>1</v>
      </c>
      <c r="C1370" s="148" t="s">
        <v>4206</v>
      </c>
      <c r="D1370" s="187"/>
      <c r="E1370" s="107" t="s">
        <v>1172</v>
      </c>
      <c r="F1370" s="178">
        <v>1</v>
      </c>
      <c r="G1370" s="179">
        <f>'BASIC DATA'!C473</f>
        <v>450</v>
      </c>
      <c r="H1370" s="179">
        <f>F1370*G1370</f>
        <v>450</v>
      </c>
    </row>
    <row r="1371" spans="1:8">
      <c r="A1371" s="822"/>
      <c r="B1371" s="105">
        <v>2</v>
      </c>
      <c r="C1371" s="76" t="s">
        <v>5609</v>
      </c>
      <c r="D1371" s="31"/>
      <c r="E1371" s="210" t="s">
        <v>1172</v>
      </c>
      <c r="F1371" s="207">
        <v>1</v>
      </c>
      <c r="G1371" s="190">
        <f>'BASIC DATA'!C502</f>
        <v>445</v>
      </c>
      <c r="H1371" s="190">
        <f>F1371*G1371</f>
        <v>445</v>
      </c>
    </row>
    <row r="1372" spans="1:8">
      <c r="A1372" s="822"/>
      <c r="B1372" s="114">
        <v>3</v>
      </c>
      <c r="C1372" s="89" t="s">
        <v>2697</v>
      </c>
      <c r="D1372" s="174"/>
      <c r="E1372" s="191" t="s">
        <v>1172</v>
      </c>
      <c r="F1372" s="181">
        <v>3</v>
      </c>
      <c r="G1372" s="182">
        <f>'BASIC DATA'!C552</f>
        <v>350</v>
      </c>
      <c r="H1372" s="190">
        <f>F1372*G1372</f>
        <v>1050</v>
      </c>
    </row>
    <row r="1373" spans="1:8">
      <c r="A1373" s="822"/>
      <c r="B1373" s="176"/>
      <c r="C1373" s="174"/>
      <c r="D1373" s="174" t="s">
        <v>1174</v>
      </c>
      <c r="E1373" s="174"/>
      <c r="F1373" s="192"/>
      <c r="G1373" s="275" t="s">
        <v>1698</v>
      </c>
      <c r="H1373" s="318">
        <f>SUM(H1370:H1372)</f>
        <v>1945</v>
      </c>
    </row>
    <row r="1374" spans="1:8">
      <c r="A1374" s="822"/>
      <c r="B1374" s="60" t="s">
        <v>5948</v>
      </c>
      <c r="C1374" s="31"/>
      <c r="D1374" s="31"/>
      <c r="E1374" s="85">
        <f>ROUND(H1373/G1352,1)</f>
        <v>108.1</v>
      </c>
      <c r="G1374" s="31"/>
    </row>
    <row r="1375" spans="1:8">
      <c r="A1375" s="822"/>
      <c r="B1375" s="60" t="s">
        <v>3163</v>
      </c>
      <c r="C1375" s="31"/>
      <c r="D1375" s="922">
        <f>'BASIC DATA'!$C$577</f>
        <v>0.13614999999999999</v>
      </c>
      <c r="E1375" s="85">
        <f>ROUND(E1374*D1375,1)</f>
        <v>14.7</v>
      </c>
      <c r="G1375" s="31"/>
    </row>
    <row r="1376" spans="1:8">
      <c r="A1376" s="822"/>
      <c r="B1376" s="60" t="s">
        <v>5949</v>
      </c>
      <c r="C1376" s="31"/>
      <c r="D1376" s="31"/>
      <c r="E1376" s="739">
        <f>E1375+E1374</f>
        <v>122.8</v>
      </c>
      <c r="G1376" s="31"/>
    </row>
    <row r="1377" spans="1:7">
      <c r="A1377" s="822"/>
      <c r="B1377" s="26"/>
    </row>
    <row r="1378" spans="1:7">
      <c r="A1378" s="822"/>
      <c r="B1378" s="170" t="s">
        <v>1175</v>
      </c>
    </row>
    <row r="1379" spans="1:7">
      <c r="A1379" s="822"/>
      <c r="B1379" s="26" t="s">
        <v>1176</v>
      </c>
      <c r="F1379" s="171" t="s">
        <v>1698</v>
      </c>
      <c r="G1379" s="68">
        <f>H1358</f>
        <v>579</v>
      </c>
    </row>
    <row r="1380" spans="1:7">
      <c r="A1380" s="822"/>
      <c r="B1380" s="26" t="s">
        <v>1186</v>
      </c>
      <c r="F1380" s="171" t="s">
        <v>1698</v>
      </c>
      <c r="G1380" s="68">
        <f>H1365</f>
        <v>0</v>
      </c>
    </row>
    <row r="1381" spans="1:7">
      <c r="A1381" s="822"/>
      <c r="B1381" s="26" t="s">
        <v>2660</v>
      </c>
      <c r="F1381" s="171" t="s">
        <v>1698</v>
      </c>
      <c r="G1381" s="75">
        <f>H1373</f>
        <v>1945</v>
      </c>
    </row>
    <row r="1382" spans="1:7">
      <c r="A1382" s="822"/>
      <c r="E1382" s="26" t="s">
        <v>1518</v>
      </c>
      <c r="F1382" s="171" t="s">
        <v>1698</v>
      </c>
      <c r="G1382" s="205">
        <f>SUM(G1379:G1381)</f>
        <v>2524</v>
      </c>
    </row>
    <row r="1383" spans="1:7" ht="36" customHeight="1">
      <c r="A1383" s="822"/>
      <c r="B1383" s="1207" t="s">
        <v>1379</v>
      </c>
      <c r="C1383" s="1207"/>
      <c r="E1383" s="922">
        <f>'BASIC DATA'!$C$577</f>
        <v>0.13614999999999999</v>
      </c>
      <c r="F1383" s="26" t="s">
        <v>1698</v>
      </c>
      <c r="G1383" s="26">
        <f>G1382*E1383</f>
        <v>343.64259999999996</v>
      </c>
    </row>
    <row r="1384" spans="1:7">
      <c r="A1384" s="822"/>
      <c r="B1384" s="26" t="s">
        <v>1191</v>
      </c>
      <c r="D1384" s="68">
        <f>G1352</f>
        <v>18</v>
      </c>
      <c r="E1384" s="68" t="str">
        <f>H1352</f>
        <v>Nos.</v>
      </c>
      <c r="F1384" s="26" t="s">
        <v>1698</v>
      </c>
      <c r="G1384" s="211">
        <f>G1383+G1382</f>
        <v>2867.6426000000001</v>
      </c>
    </row>
    <row r="1385" spans="1:7">
      <c r="A1385" s="822"/>
      <c r="B1385" s="170" t="s">
        <v>1584</v>
      </c>
      <c r="C1385" s="211" t="s">
        <v>4935</v>
      </c>
      <c r="D1385" s="26" t="s">
        <v>6785</v>
      </c>
      <c r="F1385" s="26" t="s">
        <v>4108</v>
      </c>
      <c r="G1385" s="211">
        <f>ROUND(G1384/D1384,1)</f>
        <v>159.30000000000001</v>
      </c>
    </row>
    <row r="1386" spans="1:7">
      <c r="A1386" s="822"/>
    </row>
    <row r="1387" spans="1:7">
      <c r="A1387" s="822"/>
    </row>
    <row r="1388" spans="1:7">
      <c r="A1388" s="865" t="s">
        <v>5495</v>
      </c>
      <c r="B1388" s="26" t="s">
        <v>9109</v>
      </c>
    </row>
    <row r="1389" spans="1:7">
      <c r="B1389" s="26" t="s">
        <v>9110</v>
      </c>
    </row>
    <row r="1390" spans="1:7">
      <c r="B1390" s="26" t="s">
        <v>9111</v>
      </c>
    </row>
    <row r="1391" spans="1:7">
      <c r="B1391" s="26"/>
    </row>
    <row r="1392" spans="1:7" hidden="1">
      <c r="A1392" s="865" t="s">
        <v>3984</v>
      </c>
      <c r="B1392" s="26" t="s">
        <v>6804</v>
      </c>
    </row>
    <row r="1393" spans="1:8" hidden="1">
      <c r="B1393" s="26" t="s">
        <v>6805</v>
      </c>
    </row>
    <row r="1394" spans="1:8" hidden="1">
      <c r="B1394" s="26" t="s">
        <v>4931</v>
      </c>
      <c r="F1394" s="78" t="s">
        <v>1697</v>
      </c>
      <c r="G1394" s="68">
        <v>0.5</v>
      </c>
      <c r="H1394" s="26" t="s">
        <v>3477</v>
      </c>
    </row>
    <row r="1395" spans="1:8" hidden="1">
      <c r="B1395" s="26" t="s">
        <v>6541</v>
      </c>
    </row>
    <row r="1396" spans="1:8" hidden="1">
      <c r="B1396" s="26" t="s">
        <v>6542</v>
      </c>
    </row>
    <row r="1397" spans="1:8" hidden="1">
      <c r="B1397" s="26" t="s">
        <v>4320</v>
      </c>
    </row>
    <row r="1398" spans="1:8" hidden="1">
      <c r="B1398" s="26" t="s">
        <v>6376</v>
      </c>
    </row>
    <row r="1399" spans="1:8" hidden="1">
      <c r="B1399" s="26" t="s">
        <v>6377</v>
      </c>
    </row>
    <row r="1400" spans="1:8">
      <c r="A1400" s="822"/>
    </row>
    <row r="1401" spans="1:8">
      <c r="A1401" s="822" t="s">
        <v>9215</v>
      </c>
      <c r="C1401" s="203" t="s">
        <v>2367</v>
      </c>
      <c r="D1401" s="171"/>
      <c r="F1401" s="171" t="s">
        <v>297</v>
      </c>
      <c r="G1401" s="162">
        <v>10</v>
      </c>
      <c r="H1401" s="26" t="s">
        <v>4041</v>
      </c>
    </row>
    <row r="1402" spans="1:8">
      <c r="A1402" s="822"/>
      <c r="B1402" s="79" t="s">
        <v>2368</v>
      </c>
    </row>
    <row r="1403" spans="1:8">
      <c r="A1403" s="822"/>
      <c r="B1403" s="95" t="s">
        <v>2369</v>
      </c>
      <c r="C1403" s="157" t="s">
        <v>6374</v>
      </c>
      <c r="D1403" s="195"/>
      <c r="E1403" s="95" t="s">
        <v>2370</v>
      </c>
      <c r="F1403" s="95" t="s">
        <v>1166</v>
      </c>
      <c r="G1403" s="95" t="s">
        <v>2371</v>
      </c>
      <c r="H1403" s="95" t="s">
        <v>2372</v>
      </c>
    </row>
    <row r="1404" spans="1:8">
      <c r="A1404" s="822"/>
      <c r="B1404" s="105"/>
      <c r="C1404" s="154"/>
      <c r="D1404" s="192"/>
      <c r="E1404" s="114"/>
      <c r="F1404" s="114"/>
      <c r="G1404" s="114" t="s">
        <v>3485</v>
      </c>
      <c r="H1404" s="114" t="s">
        <v>3485</v>
      </c>
    </row>
    <row r="1405" spans="1:8">
      <c r="A1405" s="822"/>
      <c r="B1405" s="95">
        <v>1</v>
      </c>
      <c r="C1405" s="148" t="s">
        <v>4042</v>
      </c>
      <c r="D1405" s="195"/>
      <c r="E1405" s="95" t="s">
        <v>3481</v>
      </c>
      <c r="F1405" s="190">
        <v>10</v>
      </c>
      <c r="G1405" s="214">
        <f>'BASIC DATA'!D93</f>
        <v>23</v>
      </c>
      <c r="H1405" s="179">
        <f t="shared" ref="H1405:H1410" si="0">F1405*G1405</f>
        <v>230</v>
      </c>
    </row>
    <row r="1406" spans="1:8">
      <c r="A1406" s="822"/>
      <c r="B1406" s="105">
        <v>2</v>
      </c>
      <c r="C1406" s="76" t="s">
        <v>3345</v>
      </c>
      <c r="D1406" s="189"/>
      <c r="E1406" s="105" t="s">
        <v>3478</v>
      </c>
      <c r="F1406" s="190">
        <v>91</v>
      </c>
      <c r="G1406" s="214">
        <f>'BASIC DATA'!D32/1000</f>
        <v>5.35</v>
      </c>
      <c r="H1406" s="190">
        <f t="shared" si="0"/>
        <v>486.84999999999997</v>
      </c>
    </row>
    <row r="1407" spans="1:8">
      <c r="A1407" s="822"/>
      <c r="B1407" s="105">
        <v>3</v>
      </c>
      <c r="C1407" s="76" t="s">
        <v>6996</v>
      </c>
      <c r="D1407" s="189"/>
      <c r="E1407" s="105" t="s">
        <v>3477</v>
      </c>
      <c r="F1407" s="190">
        <v>0.25</v>
      </c>
      <c r="G1407" s="214">
        <f>'BASIC DATA'!D36</f>
        <v>1175</v>
      </c>
      <c r="H1407" s="190">
        <f t="shared" si="0"/>
        <v>293.75</v>
      </c>
    </row>
    <row r="1408" spans="1:8">
      <c r="A1408" s="822"/>
      <c r="B1408" s="280"/>
      <c r="C1408" s="76" t="s">
        <v>6995</v>
      </c>
      <c r="D1408" s="189"/>
      <c r="E1408" s="105" t="s">
        <v>3477</v>
      </c>
      <c r="F1408" s="190">
        <v>0.15</v>
      </c>
      <c r="G1408" s="214">
        <f>'BASIC DATA'!D35</f>
        <v>1225</v>
      </c>
      <c r="H1408" s="190">
        <f t="shared" si="0"/>
        <v>183.75</v>
      </c>
    </row>
    <row r="1409" spans="1:8">
      <c r="A1409" s="822"/>
      <c r="B1409" s="280"/>
      <c r="C1409" s="76" t="s">
        <v>6994</v>
      </c>
      <c r="D1409" s="189"/>
      <c r="E1409" s="105" t="s">
        <v>3477</v>
      </c>
      <c r="F1409" s="190">
        <v>0.1</v>
      </c>
      <c r="G1409" s="214">
        <f>'BASIC DATA'!D34</f>
        <v>900</v>
      </c>
      <c r="H1409" s="190">
        <f t="shared" si="0"/>
        <v>90</v>
      </c>
    </row>
    <row r="1410" spans="1:8" s="61" customFormat="1">
      <c r="A1410" s="853"/>
      <c r="B1410" s="237">
        <v>4</v>
      </c>
      <c r="C1410" s="307" t="s">
        <v>7936</v>
      </c>
      <c r="D1410" s="242"/>
      <c r="E1410" s="237" t="s">
        <v>3477</v>
      </c>
      <c r="F1410" s="289">
        <v>0.25</v>
      </c>
      <c r="G1410" s="284">
        <f>'BASIC DATA'!D55</f>
        <v>95</v>
      </c>
      <c r="H1410" s="289">
        <f t="shared" si="0"/>
        <v>23.75</v>
      </c>
    </row>
    <row r="1411" spans="1:8">
      <c r="A1411" s="822"/>
      <c r="B1411" s="176"/>
      <c r="C1411" s="174"/>
      <c r="D1411" s="174" t="s">
        <v>2376</v>
      </c>
      <c r="E1411" s="174"/>
      <c r="F1411" s="192"/>
      <c r="G1411" s="236" t="s">
        <v>1698</v>
      </c>
      <c r="H1411" s="318">
        <f>SUM(H1405:H1410)</f>
        <v>1308.0999999999999</v>
      </c>
    </row>
    <row r="1412" spans="1:8">
      <c r="A1412" s="822"/>
    </row>
    <row r="1413" spans="1:8">
      <c r="A1413" s="822"/>
      <c r="B1413" s="79" t="s">
        <v>2377</v>
      </c>
    </row>
    <row r="1414" spans="1:8">
      <c r="A1414" s="822"/>
      <c r="B1414" s="95" t="s">
        <v>2369</v>
      </c>
      <c r="C1414" s="157" t="s">
        <v>2378</v>
      </c>
      <c r="D1414" s="195"/>
      <c r="E1414" s="95" t="s">
        <v>2370</v>
      </c>
      <c r="F1414" s="95" t="s">
        <v>1166</v>
      </c>
      <c r="G1414" s="95" t="s">
        <v>2371</v>
      </c>
      <c r="H1414" s="95" t="s">
        <v>2372</v>
      </c>
    </row>
    <row r="1415" spans="1:8">
      <c r="A1415" s="822"/>
      <c r="B1415" s="114"/>
      <c r="C1415" s="154"/>
      <c r="D1415" s="192"/>
      <c r="E1415" s="114"/>
      <c r="F1415" s="114"/>
      <c r="G1415" s="114" t="s">
        <v>3485</v>
      </c>
      <c r="H1415" s="114" t="s">
        <v>3485</v>
      </c>
    </row>
    <row r="1416" spans="1:8">
      <c r="A1416" s="822"/>
      <c r="B1416" s="105">
        <v>1</v>
      </c>
      <c r="C1416" s="93" t="s">
        <v>6976</v>
      </c>
      <c r="E1416" s="210"/>
      <c r="F1416" s="190">
        <v>0</v>
      </c>
      <c r="G1416" s="190">
        <v>0</v>
      </c>
      <c r="H1416" s="190">
        <f>F1416*G1416</f>
        <v>0</v>
      </c>
    </row>
    <row r="1417" spans="1:8">
      <c r="A1417" s="822"/>
      <c r="B1417" s="275"/>
      <c r="C1417" s="139"/>
      <c r="D1417" s="174"/>
      <c r="E1417" s="191"/>
      <c r="F1417" s="182">
        <v>0</v>
      </c>
      <c r="G1417" s="182">
        <v>0</v>
      </c>
      <c r="H1417" s="182">
        <f>F1417*G1417</f>
        <v>0</v>
      </c>
    </row>
    <row r="1418" spans="1:8">
      <c r="A1418" s="822"/>
      <c r="B1418" s="176"/>
      <c r="C1418" s="174"/>
      <c r="D1418" s="174" t="s">
        <v>2380</v>
      </c>
      <c r="E1418" s="174"/>
      <c r="F1418" s="192"/>
      <c r="G1418" s="275" t="s">
        <v>1698</v>
      </c>
      <c r="H1418" s="318">
        <f>SUM(H1416:H1417)</f>
        <v>0</v>
      </c>
    </row>
    <row r="1419" spans="1:8">
      <c r="A1419" s="822"/>
    </row>
    <row r="1420" spans="1:8">
      <c r="A1420" s="822"/>
      <c r="B1420" s="79" t="s">
        <v>2381</v>
      </c>
    </row>
    <row r="1421" spans="1:8">
      <c r="A1421" s="822"/>
      <c r="B1421" s="95" t="s">
        <v>2369</v>
      </c>
      <c r="C1421" s="157" t="s">
        <v>2378</v>
      </c>
      <c r="D1421" s="195"/>
      <c r="E1421" s="95" t="s">
        <v>2370</v>
      </c>
      <c r="F1421" s="95" t="s">
        <v>1166</v>
      </c>
      <c r="G1421" s="95" t="s">
        <v>2371</v>
      </c>
      <c r="H1421" s="95" t="s">
        <v>2372</v>
      </c>
    </row>
    <row r="1422" spans="1:8">
      <c r="A1422" s="822"/>
      <c r="B1422" s="114"/>
      <c r="C1422" s="154"/>
      <c r="D1422" s="192"/>
      <c r="E1422" s="105"/>
      <c r="F1422" s="114"/>
      <c r="G1422" s="114" t="s">
        <v>3485</v>
      </c>
      <c r="H1422" s="114" t="s">
        <v>3485</v>
      </c>
    </row>
    <row r="1423" spans="1:8">
      <c r="A1423" s="822"/>
      <c r="B1423" s="95">
        <v>1</v>
      </c>
      <c r="C1423" s="148" t="s">
        <v>4206</v>
      </c>
      <c r="D1423" s="187"/>
      <c r="E1423" s="107" t="s">
        <v>1172</v>
      </c>
      <c r="F1423" s="178">
        <v>1</v>
      </c>
      <c r="G1423" s="179">
        <f>'BASIC DATA'!C473</f>
        <v>450</v>
      </c>
      <c r="H1423" s="179">
        <f>F1423*G1423</f>
        <v>450</v>
      </c>
    </row>
    <row r="1424" spans="1:8">
      <c r="A1424" s="822"/>
      <c r="B1424" s="105">
        <v>2</v>
      </c>
      <c r="C1424" s="76" t="s">
        <v>5609</v>
      </c>
      <c r="D1424" s="31"/>
      <c r="E1424" s="210" t="s">
        <v>1172</v>
      </c>
      <c r="F1424" s="207">
        <v>3</v>
      </c>
      <c r="G1424" s="190">
        <f>'BASIC DATA'!C502</f>
        <v>445</v>
      </c>
      <c r="H1424" s="190">
        <f>F1424*G1424</f>
        <v>1335</v>
      </c>
    </row>
    <row r="1425" spans="1:8">
      <c r="A1425" s="822"/>
      <c r="B1425" s="114">
        <v>3</v>
      </c>
      <c r="C1425" s="89" t="s">
        <v>2697</v>
      </c>
      <c r="D1425" s="174"/>
      <c r="E1425" s="191" t="s">
        <v>1172</v>
      </c>
      <c r="F1425" s="181">
        <v>4</v>
      </c>
      <c r="G1425" s="182">
        <f>'BASIC DATA'!C552</f>
        <v>350</v>
      </c>
      <c r="H1425" s="190">
        <f>F1425*G1425</f>
        <v>1400</v>
      </c>
    </row>
    <row r="1426" spans="1:8">
      <c r="A1426" s="822"/>
      <c r="B1426" s="176"/>
      <c r="C1426" s="174"/>
      <c r="D1426" s="174" t="s">
        <v>1174</v>
      </c>
      <c r="E1426" s="174"/>
      <c r="F1426" s="192"/>
      <c r="G1426" s="275" t="s">
        <v>1698</v>
      </c>
      <c r="H1426" s="318">
        <f>SUM(H1423:H1425)</f>
        <v>3185</v>
      </c>
    </row>
    <row r="1427" spans="1:8">
      <c r="A1427" s="822"/>
      <c r="B1427" s="60" t="s">
        <v>5948</v>
      </c>
      <c r="C1427" s="31"/>
      <c r="D1427" s="31"/>
      <c r="E1427" s="85">
        <f>ROUND(H1426/G1401,1)</f>
        <v>318.5</v>
      </c>
      <c r="G1427" s="31"/>
    </row>
    <row r="1428" spans="1:8">
      <c r="A1428" s="822"/>
      <c r="B1428" s="60" t="s">
        <v>3163</v>
      </c>
      <c r="C1428" s="31"/>
      <c r="D1428" s="922">
        <f>'BASIC DATA'!$C$577</f>
        <v>0.13614999999999999</v>
      </c>
      <c r="E1428" s="85">
        <f>ROUND(E1427*D1428,1)</f>
        <v>43.4</v>
      </c>
      <c r="G1428" s="31"/>
    </row>
    <row r="1429" spans="1:8">
      <c r="A1429" s="822"/>
      <c r="B1429" s="60" t="s">
        <v>5949</v>
      </c>
      <c r="C1429" s="31"/>
      <c r="D1429" s="31"/>
      <c r="E1429" s="739">
        <f>E1428+E1427</f>
        <v>361.9</v>
      </c>
      <c r="G1429" s="31"/>
    </row>
    <row r="1430" spans="1:8">
      <c r="A1430" s="822"/>
      <c r="B1430" s="26"/>
    </row>
    <row r="1431" spans="1:8">
      <c r="A1431" s="822"/>
      <c r="B1431" s="170" t="s">
        <v>1175</v>
      </c>
    </row>
    <row r="1432" spans="1:8">
      <c r="A1432" s="822"/>
      <c r="B1432" s="26" t="s">
        <v>1176</v>
      </c>
      <c r="F1432" s="171" t="s">
        <v>1698</v>
      </c>
      <c r="G1432" s="68">
        <f>H1411</f>
        <v>1308.0999999999999</v>
      </c>
    </row>
    <row r="1433" spans="1:8">
      <c r="A1433" s="822"/>
      <c r="B1433" s="26" t="s">
        <v>1186</v>
      </c>
      <c r="F1433" s="171" t="s">
        <v>1698</v>
      </c>
      <c r="G1433" s="68">
        <f>H1418</f>
        <v>0</v>
      </c>
    </row>
    <row r="1434" spans="1:8">
      <c r="A1434" s="822"/>
      <c r="B1434" s="26" t="s">
        <v>2660</v>
      </c>
      <c r="F1434" s="171" t="s">
        <v>1698</v>
      </c>
      <c r="G1434" s="75">
        <f>H1426</f>
        <v>3185</v>
      </c>
    </row>
    <row r="1435" spans="1:8">
      <c r="A1435" s="822"/>
      <c r="E1435" s="26" t="s">
        <v>1518</v>
      </c>
      <c r="F1435" s="171" t="s">
        <v>1698</v>
      </c>
      <c r="G1435" s="205">
        <f>SUM(G1432:G1434)</f>
        <v>4493.1000000000004</v>
      </c>
    </row>
    <row r="1436" spans="1:8" ht="34.5" customHeight="1">
      <c r="A1436" s="822"/>
      <c r="B1436" s="1207" t="s">
        <v>1379</v>
      </c>
      <c r="C1436" s="1207"/>
      <c r="E1436" s="922">
        <f>'BASIC DATA'!$C$577</f>
        <v>0.13614999999999999</v>
      </c>
      <c r="F1436" s="26" t="s">
        <v>1698</v>
      </c>
      <c r="G1436" s="26">
        <f>G1435*E1436</f>
        <v>611.73556500000007</v>
      </c>
    </row>
    <row r="1437" spans="1:8">
      <c r="A1437" s="822"/>
      <c r="B1437" s="26" t="s">
        <v>1191</v>
      </c>
      <c r="D1437" s="68">
        <f>G1401</f>
        <v>10</v>
      </c>
      <c r="E1437" s="68" t="str">
        <f>H1401</f>
        <v>Nos.</v>
      </c>
      <c r="F1437" s="26" t="s">
        <v>1698</v>
      </c>
      <c r="G1437" s="211">
        <f>G1436+G1435</f>
        <v>5104.8355650000003</v>
      </c>
    </row>
    <row r="1438" spans="1:8">
      <c r="A1438" s="822"/>
      <c r="B1438" s="170" t="s">
        <v>1584</v>
      </c>
      <c r="C1438" s="211" t="s">
        <v>4935</v>
      </c>
      <c r="D1438" s="26" t="s">
        <v>5891</v>
      </c>
      <c r="F1438" s="26" t="s">
        <v>4108</v>
      </c>
      <c r="G1438" s="211">
        <f>ROUND(G1437/D1437,1)</f>
        <v>510.5</v>
      </c>
    </row>
    <row r="1439" spans="1:8">
      <c r="A1439" s="822"/>
      <c r="B1439" s="78" t="s">
        <v>1237</v>
      </c>
      <c r="C1439" s="26" t="s">
        <v>9170</v>
      </c>
      <c r="G1439" s="171"/>
    </row>
    <row r="1440" spans="1:8">
      <c r="A1440" s="822"/>
      <c r="C1440" s="26" t="s">
        <v>9171</v>
      </c>
      <c r="F1440" s="26" t="s">
        <v>3481</v>
      </c>
      <c r="G1440" s="171" t="s">
        <v>1698</v>
      </c>
      <c r="H1440" s="68">
        <v>4</v>
      </c>
    </row>
    <row r="1441" spans="1:8">
      <c r="A1441" s="822"/>
    </row>
    <row r="1442" spans="1:8">
      <c r="A1442" s="822"/>
    </row>
    <row r="1443" spans="1:8">
      <c r="A1443" s="865" t="s">
        <v>5496</v>
      </c>
      <c r="B1443" s="26" t="s">
        <v>9112</v>
      </c>
    </row>
    <row r="1444" spans="1:8">
      <c r="B1444" s="26" t="s">
        <v>9113</v>
      </c>
    </row>
    <row r="1445" spans="1:8">
      <c r="B1445" s="26" t="s">
        <v>5619</v>
      </c>
    </row>
    <row r="1446" spans="1:8">
      <c r="B1446" s="26" t="s">
        <v>4679</v>
      </c>
    </row>
    <row r="1447" spans="1:8">
      <c r="B1447" s="26" t="s">
        <v>9114</v>
      </c>
    </row>
    <row r="1448" spans="1:8">
      <c r="B1448" s="26"/>
    </row>
    <row r="1449" spans="1:8" hidden="1">
      <c r="A1449" s="865" t="s">
        <v>3984</v>
      </c>
      <c r="B1449" s="26" t="s">
        <v>5144</v>
      </c>
    </row>
    <row r="1450" spans="1:8" hidden="1">
      <c r="B1450" s="26" t="s">
        <v>5145</v>
      </c>
      <c r="F1450" s="78" t="s">
        <v>1697</v>
      </c>
      <c r="G1450" s="202">
        <v>1</v>
      </c>
      <c r="H1450" s="26" t="s">
        <v>3477</v>
      </c>
    </row>
    <row r="1451" spans="1:8" hidden="1">
      <c r="B1451" s="26" t="s">
        <v>5146</v>
      </c>
      <c r="F1451" s="78" t="s">
        <v>1697</v>
      </c>
      <c r="G1451" s="202">
        <v>0.95</v>
      </c>
      <c r="H1451" s="26" t="s">
        <v>3477</v>
      </c>
    </row>
    <row r="1452" spans="1:8" hidden="1">
      <c r="B1452" s="26" t="s">
        <v>5147</v>
      </c>
      <c r="F1452" s="78" t="s">
        <v>1697</v>
      </c>
      <c r="G1452" s="202">
        <v>0.25</v>
      </c>
      <c r="H1452" s="26" t="s">
        <v>3477</v>
      </c>
    </row>
    <row r="1453" spans="1:8" hidden="1">
      <c r="B1453" s="26" t="s">
        <v>4241</v>
      </c>
    </row>
    <row r="1454" spans="1:8" hidden="1">
      <c r="B1454" s="26" t="s">
        <v>4321</v>
      </c>
    </row>
    <row r="1455" spans="1:8" hidden="1">
      <c r="B1455" s="26" t="s">
        <v>6378</v>
      </c>
    </row>
    <row r="1456" spans="1:8" hidden="1">
      <c r="B1456" s="26" t="s">
        <v>6377</v>
      </c>
    </row>
    <row r="1457" spans="1:8">
      <c r="A1457" s="822"/>
    </row>
    <row r="1458" spans="1:8">
      <c r="A1458" s="822" t="s">
        <v>9215</v>
      </c>
      <c r="C1458" s="203" t="s">
        <v>2367</v>
      </c>
      <c r="D1458" s="171"/>
      <c r="F1458" s="171" t="s">
        <v>297</v>
      </c>
      <c r="G1458" s="162">
        <v>1</v>
      </c>
      <c r="H1458" s="26" t="s">
        <v>4089</v>
      </c>
    </row>
    <row r="1459" spans="1:8">
      <c r="A1459" s="822"/>
      <c r="B1459" s="79" t="s">
        <v>2368</v>
      </c>
    </row>
    <row r="1460" spans="1:8">
      <c r="A1460" s="822"/>
      <c r="B1460" s="95" t="s">
        <v>2369</v>
      </c>
      <c r="C1460" s="157" t="s">
        <v>6374</v>
      </c>
      <c r="D1460" s="195"/>
      <c r="E1460" s="95" t="s">
        <v>2370</v>
      </c>
      <c r="F1460" s="95" t="s">
        <v>1166</v>
      </c>
      <c r="G1460" s="95" t="s">
        <v>2371</v>
      </c>
      <c r="H1460" s="95" t="s">
        <v>2372</v>
      </c>
    </row>
    <row r="1461" spans="1:8">
      <c r="A1461" s="822"/>
      <c r="B1461" s="105"/>
      <c r="C1461" s="154"/>
      <c r="D1461" s="192"/>
      <c r="E1461" s="114"/>
      <c r="F1461" s="114"/>
      <c r="G1461" s="114" t="s">
        <v>3485</v>
      </c>
      <c r="H1461" s="114" t="s">
        <v>3485</v>
      </c>
    </row>
    <row r="1462" spans="1:8">
      <c r="A1462" s="822"/>
      <c r="B1462" s="95">
        <v>1</v>
      </c>
      <c r="C1462" s="148" t="s">
        <v>4042</v>
      </c>
      <c r="D1462" s="195"/>
      <c r="E1462" s="95" t="s">
        <v>3481</v>
      </c>
      <c r="F1462" s="190">
        <v>1</v>
      </c>
      <c r="G1462" s="214">
        <f>'BASIC DATA'!D93</f>
        <v>23</v>
      </c>
      <c r="H1462" s="179">
        <f>F1462*G1462</f>
        <v>23</v>
      </c>
    </row>
    <row r="1463" spans="1:8">
      <c r="A1463" s="822"/>
      <c r="B1463" s="105">
        <v>2</v>
      </c>
      <c r="C1463" s="76" t="s">
        <v>5853</v>
      </c>
      <c r="D1463" s="189"/>
      <c r="E1463" s="105" t="s">
        <v>3478</v>
      </c>
      <c r="F1463" s="190">
        <v>262</v>
      </c>
      <c r="G1463" s="214">
        <f>'BASIC DATA'!D32/1000</f>
        <v>5.35</v>
      </c>
      <c r="H1463" s="190">
        <f t="shared" ref="H1463:H1469" si="1">F1463*G1463</f>
        <v>1401.6999999999998</v>
      </c>
    </row>
    <row r="1464" spans="1:8">
      <c r="A1464" s="822"/>
      <c r="B1464" s="105">
        <v>3</v>
      </c>
      <c r="C1464" s="76" t="s">
        <v>6996</v>
      </c>
      <c r="D1464" s="189"/>
      <c r="E1464" s="105" t="s">
        <v>3477</v>
      </c>
      <c r="F1464" s="190">
        <v>0.5</v>
      </c>
      <c r="G1464" s="214">
        <f>'BASIC DATA'!D36</f>
        <v>1175</v>
      </c>
      <c r="H1464" s="190">
        <f t="shared" si="1"/>
        <v>587.5</v>
      </c>
    </row>
    <row r="1465" spans="1:8">
      <c r="A1465" s="822"/>
      <c r="B1465" s="280"/>
      <c r="C1465" s="76" t="s">
        <v>6995</v>
      </c>
      <c r="D1465" s="189"/>
      <c r="E1465" s="105" t="s">
        <v>3477</v>
      </c>
      <c r="F1465" s="190">
        <v>0.3</v>
      </c>
      <c r="G1465" s="214">
        <f>'BASIC DATA'!D35</f>
        <v>1225</v>
      </c>
      <c r="H1465" s="190">
        <f t="shared" si="1"/>
        <v>367.5</v>
      </c>
    </row>
    <row r="1466" spans="1:8">
      <c r="A1466" s="822"/>
      <c r="B1466" s="280"/>
      <c r="C1466" s="76" t="s">
        <v>6994</v>
      </c>
      <c r="D1466" s="189"/>
      <c r="E1466" s="105" t="s">
        <v>3477</v>
      </c>
      <c r="F1466" s="190">
        <v>0.2</v>
      </c>
      <c r="G1466" s="214">
        <f>'BASIC DATA'!D34</f>
        <v>900</v>
      </c>
      <c r="H1466" s="190">
        <f t="shared" si="1"/>
        <v>180</v>
      </c>
    </row>
    <row r="1467" spans="1:8">
      <c r="A1467" s="822"/>
      <c r="B1467" s="105">
        <v>4</v>
      </c>
      <c r="C1467" s="76" t="s">
        <v>4242</v>
      </c>
      <c r="D1467" s="189"/>
      <c r="E1467" s="105" t="s">
        <v>3477</v>
      </c>
      <c r="F1467" s="190">
        <v>0.25</v>
      </c>
      <c r="G1467" s="214">
        <f>'BASIC DATA'!$D$108</f>
        <v>318</v>
      </c>
      <c r="H1467" s="190">
        <f t="shared" si="1"/>
        <v>79.5</v>
      </c>
    </row>
    <row r="1468" spans="1:8">
      <c r="A1468" s="822"/>
      <c r="B1468" s="105">
        <v>5</v>
      </c>
      <c r="C1468" s="76" t="s">
        <v>4080</v>
      </c>
      <c r="D1468" s="189"/>
      <c r="E1468" s="105" t="s">
        <v>3477</v>
      </c>
      <c r="F1468" s="190">
        <v>0.04</v>
      </c>
      <c r="G1468" s="214">
        <f>'BASIC DATA'!D96</f>
        <v>350</v>
      </c>
      <c r="H1468" s="190">
        <f t="shared" si="1"/>
        <v>14</v>
      </c>
    </row>
    <row r="1469" spans="1:8" s="61" customFormat="1">
      <c r="A1469" s="853"/>
      <c r="B1469" s="237">
        <v>6</v>
      </c>
      <c r="C1469" s="307" t="s">
        <v>7936</v>
      </c>
      <c r="D1469" s="242"/>
      <c r="E1469" s="237" t="s">
        <v>3477</v>
      </c>
      <c r="F1469" s="289">
        <v>0.6</v>
      </c>
      <c r="G1469" s="284">
        <f>'BASIC DATA'!D55</f>
        <v>95</v>
      </c>
      <c r="H1469" s="289">
        <f t="shared" si="1"/>
        <v>57</v>
      </c>
    </row>
    <row r="1470" spans="1:8">
      <c r="A1470" s="822"/>
      <c r="B1470" s="176"/>
      <c r="C1470" s="174"/>
      <c r="D1470" s="174" t="s">
        <v>2376</v>
      </c>
      <c r="E1470" s="174"/>
      <c r="F1470" s="192"/>
      <c r="G1470" s="236" t="s">
        <v>1698</v>
      </c>
      <c r="H1470" s="318">
        <f>SUM(H1462:H1469)</f>
        <v>2710.2</v>
      </c>
    </row>
    <row r="1471" spans="1:8">
      <c r="A1471" s="822"/>
    </row>
    <row r="1472" spans="1:8">
      <c r="A1472" s="822"/>
      <c r="B1472" s="79" t="s">
        <v>2377</v>
      </c>
    </row>
    <row r="1473" spans="1:8">
      <c r="A1473" s="822"/>
      <c r="B1473" s="95" t="s">
        <v>2369</v>
      </c>
      <c r="C1473" s="157" t="s">
        <v>2378</v>
      </c>
      <c r="D1473" s="195"/>
      <c r="E1473" s="95" t="s">
        <v>2370</v>
      </c>
      <c r="F1473" s="95" t="s">
        <v>1166</v>
      </c>
      <c r="G1473" s="95" t="s">
        <v>2371</v>
      </c>
      <c r="H1473" s="95" t="s">
        <v>2372</v>
      </c>
    </row>
    <row r="1474" spans="1:8">
      <c r="A1474" s="822"/>
      <c r="B1474" s="114"/>
      <c r="C1474" s="154"/>
      <c r="D1474" s="192"/>
      <c r="E1474" s="114"/>
      <c r="F1474" s="114"/>
      <c r="G1474" s="114" t="s">
        <v>3485</v>
      </c>
      <c r="H1474" s="114" t="s">
        <v>3485</v>
      </c>
    </row>
    <row r="1475" spans="1:8">
      <c r="A1475" s="822"/>
      <c r="B1475" s="105">
        <v>1</v>
      </c>
      <c r="C1475" s="93" t="s">
        <v>6976</v>
      </c>
      <c r="E1475" s="210"/>
      <c r="F1475" s="190">
        <v>0</v>
      </c>
      <c r="G1475" s="190">
        <v>0</v>
      </c>
      <c r="H1475" s="190">
        <f>F1475*G1475</f>
        <v>0</v>
      </c>
    </row>
    <row r="1476" spans="1:8">
      <c r="A1476" s="822"/>
      <c r="B1476" s="275"/>
      <c r="C1476" s="139"/>
      <c r="D1476" s="174"/>
      <c r="E1476" s="191"/>
      <c r="F1476" s="182">
        <v>0</v>
      </c>
      <c r="G1476" s="182">
        <v>0</v>
      </c>
      <c r="H1476" s="182">
        <f>F1476*G1476</f>
        <v>0</v>
      </c>
    </row>
    <row r="1477" spans="1:8">
      <c r="A1477" s="822"/>
      <c r="B1477" s="176"/>
      <c r="C1477" s="174"/>
      <c r="D1477" s="174" t="s">
        <v>2380</v>
      </c>
      <c r="E1477" s="174"/>
      <c r="F1477" s="192"/>
      <c r="G1477" s="275" t="s">
        <v>1698</v>
      </c>
      <c r="H1477" s="434">
        <f>SUM(H1475:H1476)</f>
        <v>0</v>
      </c>
    </row>
    <row r="1478" spans="1:8">
      <c r="A1478" s="822"/>
    </row>
    <row r="1479" spans="1:8">
      <c r="A1479" s="822"/>
      <c r="B1479" s="79" t="s">
        <v>2381</v>
      </c>
    </row>
    <row r="1480" spans="1:8">
      <c r="A1480" s="822"/>
      <c r="B1480" s="95" t="s">
        <v>2369</v>
      </c>
      <c r="C1480" s="157" t="s">
        <v>2378</v>
      </c>
      <c r="D1480" s="195"/>
      <c r="E1480" s="95" t="s">
        <v>2370</v>
      </c>
      <c r="F1480" s="95" t="s">
        <v>1166</v>
      </c>
      <c r="G1480" s="95" t="s">
        <v>2371</v>
      </c>
      <c r="H1480" s="95" t="s">
        <v>2372</v>
      </c>
    </row>
    <row r="1481" spans="1:8">
      <c r="A1481" s="822"/>
      <c r="B1481" s="114"/>
      <c r="C1481" s="154"/>
      <c r="D1481" s="192"/>
      <c r="E1481" s="105"/>
      <c r="F1481" s="114"/>
      <c r="G1481" s="114" t="s">
        <v>3485</v>
      </c>
      <c r="H1481" s="114" t="s">
        <v>3485</v>
      </c>
    </row>
    <row r="1482" spans="1:8">
      <c r="A1482" s="822"/>
      <c r="B1482" s="95">
        <v>1</v>
      </c>
      <c r="C1482" s="148" t="s">
        <v>4206</v>
      </c>
      <c r="D1482" s="187"/>
      <c r="E1482" s="107" t="s">
        <v>1172</v>
      </c>
      <c r="F1482" s="178">
        <v>1</v>
      </c>
      <c r="G1482" s="179">
        <f>'BASIC DATA'!C473</f>
        <v>450</v>
      </c>
      <c r="H1482" s="179">
        <f>F1482*G1482</f>
        <v>450</v>
      </c>
    </row>
    <row r="1483" spans="1:8">
      <c r="A1483" s="822"/>
      <c r="B1483" s="105">
        <v>2</v>
      </c>
      <c r="C1483" s="76" t="s">
        <v>5609</v>
      </c>
      <c r="D1483" s="31"/>
      <c r="E1483" s="210" t="s">
        <v>1172</v>
      </c>
      <c r="F1483" s="207">
        <v>0.5</v>
      </c>
      <c r="G1483" s="190">
        <f>'BASIC DATA'!C502</f>
        <v>445</v>
      </c>
      <c r="H1483" s="190">
        <f>F1483*G1483</f>
        <v>222.5</v>
      </c>
    </row>
    <row r="1484" spans="1:8">
      <c r="A1484" s="822"/>
      <c r="B1484" s="105">
        <v>3</v>
      </c>
      <c r="C1484" s="76" t="s">
        <v>4203</v>
      </c>
      <c r="D1484" s="31"/>
      <c r="E1484" s="210" t="s">
        <v>1172</v>
      </c>
      <c r="F1484" s="207">
        <v>1</v>
      </c>
      <c r="G1484" s="190">
        <f>'BASIC DATA'!C541</f>
        <v>400</v>
      </c>
      <c r="H1484" s="190">
        <f>F1484*G1484</f>
        <v>400</v>
      </c>
    </row>
    <row r="1485" spans="1:8">
      <c r="A1485" s="822"/>
      <c r="B1485" s="114">
        <v>4</v>
      </c>
      <c r="C1485" s="89" t="s">
        <v>2697</v>
      </c>
      <c r="D1485" s="174"/>
      <c r="E1485" s="191" t="s">
        <v>1172</v>
      </c>
      <c r="F1485" s="181">
        <v>5</v>
      </c>
      <c r="G1485" s="182">
        <f>'BASIC DATA'!C552</f>
        <v>350</v>
      </c>
      <c r="H1485" s="190">
        <f>F1485*G1485</f>
        <v>1750</v>
      </c>
    </row>
    <row r="1486" spans="1:8">
      <c r="A1486" s="822"/>
      <c r="B1486" s="176"/>
      <c r="C1486" s="174"/>
      <c r="D1486" s="174" t="s">
        <v>1174</v>
      </c>
      <c r="E1486" s="174"/>
      <c r="F1486" s="192"/>
      <c r="G1486" s="275" t="s">
        <v>1698</v>
      </c>
      <c r="H1486" s="318">
        <f>SUM(H1482:H1485)</f>
        <v>2822.5</v>
      </c>
    </row>
    <row r="1487" spans="1:8">
      <c r="A1487" s="822"/>
      <c r="B1487" s="60" t="s">
        <v>5948</v>
      </c>
      <c r="C1487" s="31"/>
      <c r="D1487" s="31"/>
      <c r="E1487" s="85">
        <f>ROUND(H1486/G1458,1)</f>
        <v>2822.5</v>
      </c>
      <c r="G1487" s="31"/>
    </row>
    <row r="1488" spans="1:8">
      <c r="A1488" s="822"/>
      <c r="B1488" s="60" t="s">
        <v>3163</v>
      </c>
      <c r="C1488" s="31"/>
      <c r="D1488" s="922">
        <f>'BASIC DATA'!$C$577</f>
        <v>0.13614999999999999</v>
      </c>
      <c r="E1488" s="85">
        <f>ROUND(E1487*D1488,1)</f>
        <v>384.3</v>
      </c>
      <c r="G1488" s="31"/>
    </row>
    <row r="1489" spans="1:7">
      <c r="A1489" s="822"/>
      <c r="B1489" s="60" t="s">
        <v>5949</v>
      </c>
      <c r="C1489" s="31"/>
      <c r="D1489" s="31"/>
      <c r="E1489" s="739">
        <f>E1488+E1487</f>
        <v>3206.8</v>
      </c>
      <c r="G1489" s="31"/>
    </row>
    <row r="1490" spans="1:7">
      <c r="A1490" s="822"/>
      <c r="B1490" s="26"/>
    </row>
    <row r="1491" spans="1:7">
      <c r="A1491" s="822"/>
      <c r="B1491" s="170" t="s">
        <v>1175</v>
      </c>
    </row>
    <row r="1492" spans="1:7">
      <c r="A1492" s="822"/>
      <c r="B1492" s="26" t="s">
        <v>1176</v>
      </c>
      <c r="F1492" s="171" t="s">
        <v>1698</v>
      </c>
      <c r="G1492" s="68">
        <f>H1470</f>
        <v>2710.2</v>
      </c>
    </row>
    <row r="1493" spans="1:7">
      <c r="A1493" s="822"/>
      <c r="B1493" s="26" t="s">
        <v>1186</v>
      </c>
      <c r="F1493" s="171" t="s">
        <v>1698</v>
      </c>
      <c r="G1493" s="68">
        <f>H1477</f>
        <v>0</v>
      </c>
    </row>
    <row r="1494" spans="1:7">
      <c r="A1494" s="822"/>
      <c r="B1494" s="26" t="s">
        <v>2660</v>
      </c>
      <c r="F1494" s="171" t="s">
        <v>1698</v>
      </c>
      <c r="G1494" s="75">
        <f>H1486</f>
        <v>2822.5</v>
      </c>
    </row>
    <row r="1495" spans="1:7">
      <c r="A1495" s="822"/>
      <c r="E1495" s="26" t="s">
        <v>1518</v>
      </c>
      <c r="F1495" s="171" t="s">
        <v>1698</v>
      </c>
      <c r="G1495" s="205">
        <f>SUM(G1492:G1494)</f>
        <v>5532.7</v>
      </c>
    </row>
    <row r="1496" spans="1:7" ht="39" customHeight="1">
      <c r="A1496" s="822"/>
      <c r="B1496" s="1207" t="s">
        <v>1379</v>
      </c>
      <c r="C1496" s="1207"/>
      <c r="E1496" s="922">
        <f>'BASIC DATA'!$C$577</f>
        <v>0.13614999999999999</v>
      </c>
      <c r="F1496" s="26" t="s">
        <v>1698</v>
      </c>
      <c r="G1496" s="26">
        <f>G1495*E1496</f>
        <v>753.27710499999989</v>
      </c>
    </row>
    <row r="1497" spans="1:7">
      <c r="A1497" s="822"/>
      <c r="B1497" s="26" t="s">
        <v>1191</v>
      </c>
      <c r="D1497" s="68">
        <f>G1458</f>
        <v>1</v>
      </c>
      <c r="E1497" s="68" t="str">
        <f>H1458</f>
        <v>No.</v>
      </c>
      <c r="F1497" s="26" t="s">
        <v>1698</v>
      </c>
      <c r="G1497" s="211">
        <f>G1496+G1495</f>
        <v>6285.9771049999999</v>
      </c>
    </row>
    <row r="1498" spans="1:7">
      <c r="A1498" s="822"/>
      <c r="B1498" s="170" t="s">
        <v>1584</v>
      </c>
      <c r="C1498" s="211" t="s">
        <v>4935</v>
      </c>
      <c r="D1498" s="26" t="s">
        <v>1324</v>
      </c>
      <c r="F1498" s="26" t="s">
        <v>4108</v>
      </c>
      <c r="G1498" s="211">
        <f>ROUND(G1497/D1497,1)</f>
        <v>6286</v>
      </c>
    </row>
    <row r="1499" spans="1:7">
      <c r="A1499" s="822"/>
    </row>
    <row r="1500" spans="1:7">
      <c r="A1500" s="865" t="s">
        <v>5497</v>
      </c>
      <c r="B1500" s="170" t="s">
        <v>1414</v>
      </c>
    </row>
    <row r="1501" spans="1:7">
      <c r="B1501" s="26"/>
    </row>
    <row r="1502" spans="1:7">
      <c r="A1502" s="865" t="s">
        <v>5498</v>
      </c>
      <c r="B1502" s="26" t="s">
        <v>9172</v>
      </c>
    </row>
    <row r="1503" spans="1:7">
      <c r="B1503" s="26" t="s">
        <v>9173</v>
      </c>
    </row>
    <row r="1504" spans="1:7">
      <c r="B1504" s="26"/>
    </row>
    <row r="1505" spans="1:8" hidden="1">
      <c r="A1505" s="865" t="s">
        <v>3984</v>
      </c>
      <c r="B1505" s="26" t="s">
        <v>4243</v>
      </c>
      <c r="F1505" s="78" t="s">
        <v>1697</v>
      </c>
      <c r="G1505" s="47">
        <v>1.05</v>
      </c>
      <c r="H1505" s="26" t="s">
        <v>2602</v>
      </c>
    </row>
    <row r="1506" spans="1:8" hidden="1">
      <c r="B1506" s="26" t="s">
        <v>5595</v>
      </c>
      <c r="F1506" s="78" t="s">
        <v>1697</v>
      </c>
      <c r="G1506" s="47">
        <v>15</v>
      </c>
      <c r="H1506" s="26" t="s">
        <v>3135</v>
      </c>
    </row>
    <row r="1507" spans="1:8" hidden="1">
      <c r="B1507" s="26" t="s">
        <v>4244</v>
      </c>
      <c r="F1507" s="78" t="s">
        <v>1697</v>
      </c>
      <c r="G1507" s="47">
        <v>15</v>
      </c>
      <c r="H1507" s="26" t="s">
        <v>3135</v>
      </c>
    </row>
    <row r="1508" spans="1:8" hidden="1">
      <c r="B1508" s="26" t="s">
        <v>4245</v>
      </c>
      <c r="F1508" s="78" t="s">
        <v>1697</v>
      </c>
      <c r="G1508" s="47">
        <v>15</v>
      </c>
      <c r="H1508" s="26" t="s">
        <v>3135</v>
      </c>
    </row>
    <row r="1509" spans="1:8" hidden="1">
      <c r="B1509" s="26" t="s">
        <v>4791</v>
      </c>
      <c r="F1509" s="78" t="s">
        <v>1697</v>
      </c>
      <c r="G1509" s="47">
        <v>60</v>
      </c>
      <c r="H1509" s="26" t="s">
        <v>3135</v>
      </c>
    </row>
    <row r="1510" spans="1:8" hidden="1">
      <c r="B1510" s="26" t="s">
        <v>4792</v>
      </c>
      <c r="F1510" s="78"/>
    </row>
    <row r="1511" spans="1:8" hidden="1">
      <c r="B1511" s="26"/>
      <c r="F1511" s="78"/>
    </row>
    <row r="1512" spans="1:8" hidden="1">
      <c r="B1512" s="26" t="s">
        <v>4793</v>
      </c>
      <c r="F1512" s="78"/>
    </row>
    <row r="1513" spans="1:8" hidden="1">
      <c r="B1513" s="26" t="s">
        <v>4794</v>
      </c>
      <c r="F1513" s="78" t="s">
        <v>1697</v>
      </c>
      <c r="G1513" s="68">
        <v>60</v>
      </c>
      <c r="H1513" s="26" t="s">
        <v>3477</v>
      </c>
    </row>
    <row r="1514" spans="1:8" hidden="1">
      <c r="B1514" s="26" t="s">
        <v>4795</v>
      </c>
      <c r="F1514" s="78" t="s">
        <v>1697</v>
      </c>
      <c r="G1514" s="68">
        <v>15</v>
      </c>
      <c r="H1514" s="26" t="s">
        <v>3477</v>
      </c>
    </row>
    <row r="1515" spans="1:8" hidden="1">
      <c r="B1515" s="26" t="s">
        <v>4796</v>
      </c>
      <c r="F1515" s="78" t="s">
        <v>1697</v>
      </c>
      <c r="G1515" s="68">
        <v>15</v>
      </c>
      <c r="H1515" s="26" t="s">
        <v>3477</v>
      </c>
    </row>
    <row r="1516" spans="1:8" hidden="1">
      <c r="B1516" s="26" t="s">
        <v>4797</v>
      </c>
      <c r="F1516" s="78" t="s">
        <v>1697</v>
      </c>
      <c r="G1516" s="173">
        <v>15</v>
      </c>
      <c r="H1516" s="26" t="s">
        <v>3477</v>
      </c>
    </row>
    <row r="1517" spans="1:8" hidden="1">
      <c r="B1517" s="26"/>
      <c r="E1517" s="26" t="s">
        <v>1518</v>
      </c>
      <c r="F1517" s="78" t="s">
        <v>1697</v>
      </c>
      <c r="G1517" s="68">
        <f>SUM(G1513:G1516)</f>
        <v>105</v>
      </c>
      <c r="H1517" s="26" t="s">
        <v>3477</v>
      </c>
    </row>
    <row r="1518" spans="1:8" hidden="1">
      <c r="B1518" s="26"/>
    </row>
    <row r="1519" spans="1:8" hidden="1">
      <c r="B1519" s="26" t="s">
        <v>5815</v>
      </c>
    </row>
    <row r="1520" spans="1:8" hidden="1">
      <c r="B1520" s="26" t="s">
        <v>5371</v>
      </c>
    </row>
    <row r="1521" spans="1:8" hidden="1">
      <c r="B1521" s="26" t="s">
        <v>4798</v>
      </c>
      <c r="F1521" s="78" t="s">
        <v>1697</v>
      </c>
      <c r="G1521" s="26">
        <v>6</v>
      </c>
      <c r="H1521" s="26" t="s">
        <v>4041</v>
      </c>
    </row>
    <row r="1522" spans="1:8" hidden="1">
      <c r="B1522" s="26" t="s">
        <v>2697</v>
      </c>
      <c r="F1522" s="78" t="s">
        <v>1697</v>
      </c>
      <c r="G1522" s="26">
        <v>18</v>
      </c>
      <c r="H1522" s="26" t="s">
        <v>4041</v>
      </c>
    </row>
    <row r="1523" spans="1:8" hidden="1">
      <c r="B1523" s="26" t="s">
        <v>4206</v>
      </c>
      <c r="F1523" s="78" t="s">
        <v>1697</v>
      </c>
      <c r="G1523" s="26">
        <v>1</v>
      </c>
      <c r="H1523" s="26" t="s">
        <v>4041</v>
      </c>
    </row>
    <row r="1524" spans="1:8" hidden="1">
      <c r="B1524" s="26" t="s">
        <v>6379</v>
      </c>
      <c r="F1524" s="78" t="s">
        <v>1697</v>
      </c>
      <c r="G1524" s="26">
        <v>3</v>
      </c>
      <c r="H1524" s="26" t="s">
        <v>4041</v>
      </c>
    </row>
    <row r="1525" spans="1:8" hidden="1">
      <c r="B1525" s="26" t="s">
        <v>6581</v>
      </c>
      <c r="F1525" s="78"/>
    </row>
    <row r="1526" spans="1:8" hidden="1">
      <c r="B1526" s="26" t="s">
        <v>2697</v>
      </c>
      <c r="F1526" s="78" t="s">
        <v>1697</v>
      </c>
      <c r="G1526" s="26">
        <v>8</v>
      </c>
      <c r="H1526" s="26" t="s">
        <v>4041</v>
      </c>
    </row>
    <row r="1527" spans="1:8" hidden="1">
      <c r="B1527" s="26" t="s">
        <v>6582</v>
      </c>
      <c r="F1527" s="78"/>
    </row>
    <row r="1528" spans="1:8" hidden="1">
      <c r="B1528" s="26" t="s">
        <v>2697</v>
      </c>
      <c r="F1528" s="78" t="s">
        <v>1697</v>
      </c>
      <c r="G1528" s="26">
        <v>8</v>
      </c>
      <c r="H1528" s="26" t="s">
        <v>4041</v>
      </c>
    </row>
    <row r="1529" spans="1:8" hidden="1">
      <c r="B1529" s="26" t="s">
        <v>6960</v>
      </c>
      <c r="F1529" s="78"/>
    </row>
    <row r="1530" spans="1:8" hidden="1">
      <c r="B1530" s="26" t="s">
        <v>2697</v>
      </c>
      <c r="F1530" s="78" t="s">
        <v>1697</v>
      </c>
      <c r="G1530" s="26">
        <v>8</v>
      </c>
      <c r="H1530" s="26" t="s">
        <v>4041</v>
      </c>
    </row>
    <row r="1531" spans="1:8">
      <c r="A1531" s="822"/>
    </row>
    <row r="1532" spans="1:8">
      <c r="A1532" s="822" t="s">
        <v>9215</v>
      </c>
      <c r="C1532" s="203" t="s">
        <v>2367</v>
      </c>
      <c r="D1532" s="171"/>
      <c r="F1532" s="171" t="s">
        <v>297</v>
      </c>
      <c r="G1532" s="162">
        <v>105</v>
      </c>
      <c r="H1532" s="26" t="s">
        <v>3477</v>
      </c>
    </row>
    <row r="1533" spans="1:8">
      <c r="A1533" s="822"/>
      <c r="B1533" s="79" t="s">
        <v>2368</v>
      </c>
    </row>
    <row r="1534" spans="1:8">
      <c r="A1534" s="822"/>
      <c r="B1534" s="95" t="s">
        <v>2369</v>
      </c>
      <c r="C1534" s="157" t="s">
        <v>6374</v>
      </c>
      <c r="D1534" s="195"/>
      <c r="E1534" s="95" t="s">
        <v>2370</v>
      </c>
      <c r="F1534" s="95" t="s">
        <v>1166</v>
      </c>
      <c r="G1534" s="95" t="s">
        <v>2371</v>
      </c>
      <c r="H1534" s="95" t="s">
        <v>2372</v>
      </c>
    </row>
    <row r="1535" spans="1:8">
      <c r="A1535" s="822"/>
      <c r="B1535" s="114"/>
      <c r="C1535" s="154"/>
      <c r="D1535" s="192"/>
      <c r="E1535" s="114"/>
      <c r="F1535" s="114"/>
      <c r="G1535" s="114" t="s">
        <v>3485</v>
      </c>
      <c r="H1535" s="114" t="s">
        <v>3485</v>
      </c>
    </row>
    <row r="1536" spans="1:8">
      <c r="A1536" s="822"/>
      <c r="B1536" s="95">
        <v>1</v>
      </c>
      <c r="C1536" s="33" t="s">
        <v>6976</v>
      </c>
      <c r="D1536" s="189"/>
      <c r="E1536" s="105"/>
      <c r="F1536" s="190">
        <v>0</v>
      </c>
      <c r="G1536" s="190">
        <v>0</v>
      </c>
      <c r="H1536" s="190">
        <f>F1536*G1536</f>
        <v>0</v>
      </c>
    </row>
    <row r="1537" spans="1:8">
      <c r="A1537" s="822"/>
      <c r="B1537" s="275"/>
      <c r="C1537" s="76"/>
      <c r="D1537" s="189"/>
      <c r="E1537" s="105"/>
      <c r="F1537" s="190">
        <v>0</v>
      </c>
      <c r="G1537" s="190">
        <v>0</v>
      </c>
      <c r="H1537" s="190">
        <f>F1537*G1537</f>
        <v>0</v>
      </c>
    </row>
    <row r="1538" spans="1:8">
      <c r="A1538" s="822"/>
      <c r="B1538" s="92"/>
      <c r="C1538" s="159"/>
      <c r="D1538" s="159" t="s">
        <v>2376</v>
      </c>
      <c r="E1538" s="159"/>
      <c r="F1538" s="238"/>
      <c r="G1538" s="236" t="s">
        <v>1698</v>
      </c>
      <c r="H1538" s="318">
        <f>SUM(H1536:H1537)</f>
        <v>0</v>
      </c>
    </row>
    <row r="1539" spans="1:8">
      <c r="A1539" s="822"/>
    </row>
    <row r="1540" spans="1:8">
      <c r="A1540" s="822"/>
      <c r="B1540" s="79" t="s">
        <v>2377</v>
      </c>
    </row>
    <row r="1541" spans="1:8">
      <c r="A1541" s="822"/>
      <c r="B1541" s="95" t="s">
        <v>2369</v>
      </c>
      <c r="C1541" s="157" t="s">
        <v>2378</v>
      </c>
      <c r="D1541" s="195"/>
      <c r="E1541" s="95" t="s">
        <v>2370</v>
      </c>
      <c r="F1541" s="95" t="s">
        <v>1166</v>
      </c>
      <c r="G1541" s="95" t="s">
        <v>2371</v>
      </c>
      <c r="H1541" s="95" t="s">
        <v>2372</v>
      </c>
    </row>
    <row r="1542" spans="1:8">
      <c r="A1542" s="822"/>
      <c r="B1542" s="114"/>
      <c r="C1542" s="154"/>
      <c r="D1542" s="192"/>
      <c r="E1542" s="114"/>
      <c r="F1542" s="114"/>
      <c r="G1542" s="114" t="s">
        <v>3485</v>
      </c>
      <c r="H1542" s="114" t="s">
        <v>3485</v>
      </c>
    </row>
    <row r="1543" spans="1:8">
      <c r="A1543" s="822"/>
      <c r="B1543" s="105">
        <v>1</v>
      </c>
      <c r="C1543" s="93" t="s">
        <v>6976</v>
      </c>
      <c r="E1543" s="210"/>
      <c r="F1543" s="190">
        <v>0</v>
      </c>
      <c r="G1543" s="190">
        <v>0</v>
      </c>
      <c r="H1543" s="190">
        <f>F1543*G1543</f>
        <v>0</v>
      </c>
    </row>
    <row r="1544" spans="1:8">
      <c r="A1544" s="822"/>
      <c r="B1544" s="275"/>
      <c r="C1544" s="139"/>
      <c r="D1544" s="174"/>
      <c r="E1544" s="191"/>
      <c r="F1544" s="182">
        <v>0</v>
      </c>
      <c r="G1544" s="182">
        <v>0</v>
      </c>
      <c r="H1544" s="182">
        <f>F1544*G1544</f>
        <v>0</v>
      </c>
    </row>
    <row r="1545" spans="1:8">
      <c r="A1545" s="822"/>
      <c r="B1545" s="176"/>
      <c r="C1545" s="174"/>
      <c r="D1545" s="174" t="s">
        <v>2380</v>
      </c>
      <c r="E1545" s="174"/>
      <c r="F1545" s="192"/>
      <c r="G1545" s="275" t="s">
        <v>1698</v>
      </c>
      <c r="H1545" s="318">
        <f>SUM(H1543:H1544)</f>
        <v>0</v>
      </c>
    </row>
    <row r="1546" spans="1:8">
      <c r="A1546" s="822"/>
    </row>
    <row r="1547" spans="1:8">
      <c r="A1547" s="822"/>
      <c r="B1547" s="79" t="s">
        <v>2381</v>
      </c>
    </row>
    <row r="1548" spans="1:8">
      <c r="A1548" s="822"/>
      <c r="B1548" s="95" t="s">
        <v>2369</v>
      </c>
      <c r="C1548" s="157" t="s">
        <v>2378</v>
      </c>
      <c r="D1548" s="195"/>
      <c r="E1548" s="95" t="s">
        <v>2370</v>
      </c>
      <c r="F1548" s="95" t="s">
        <v>1166</v>
      </c>
      <c r="G1548" s="95" t="s">
        <v>2371</v>
      </c>
      <c r="H1548" s="95" t="s">
        <v>2372</v>
      </c>
    </row>
    <row r="1549" spans="1:8">
      <c r="A1549" s="822"/>
      <c r="B1549" s="114"/>
      <c r="C1549" s="154"/>
      <c r="D1549" s="192"/>
      <c r="E1549" s="105"/>
      <c r="F1549" s="114"/>
      <c r="G1549" s="114" t="s">
        <v>3485</v>
      </c>
      <c r="H1549" s="114" t="s">
        <v>3485</v>
      </c>
    </row>
    <row r="1550" spans="1:8">
      <c r="A1550" s="822"/>
      <c r="B1550" s="95">
        <v>1</v>
      </c>
      <c r="C1550" s="148" t="s">
        <v>4206</v>
      </c>
      <c r="D1550" s="187"/>
      <c r="E1550" s="107" t="s">
        <v>1172</v>
      </c>
      <c r="F1550" s="178">
        <v>1</v>
      </c>
      <c r="G1550" s="179">
        <f>'BASIC DATA'!C473</f>
        <v>450</v>
      </c>
      <c r="H1550" s="179">
        <f>F1550*G1550</f>
        <v>450</v>
      </c>
    </row>
    <row r="1551" spans="1:8">
      <c r="A1551" s="822"/>
      <c r="B1551" s="105">
        <v>2</v>
      </c>
      <c r="C1551" s="76" t="s">
        <v>4203</v>
      </c>
      <c r="D1551" s="31"/>
      <c r="E1551" s="210" t="s">
        <v>1172</v>
      </c>
      <c r="F1551" s="207">
        <v>6</v>
      </c>
      <c r="G1551" s="190">
        <f>'BASIC DATA'!C541</f>
        <v>400</v>
      </c>
      <c r="H1551" s="190">
        <f>F1551*G1551</f>
        <v>2400</v>
      </c>
    </row>
    <row r="1552" spans="1:8">
      <c r="A1552" s="822"/>
      <c r="B1552" s="114">
        <v>3</v>
      </c>
      <c r="C1552" s="89" t="s">
        <v>2697</v>
      </c>
      <c r="D1552" s="174"/>
      <c r="E1552" s="191" t="s">
        <v>1172</v>
      </c>
      <c r="F1552" s="181">
        <v>48</v>
      </c>
      <c r="G1552" s="182">
        <f>'BASIC DATA'!C552</f>
        <v>350</v>
      </c>
      <c r="H1552" s="190">
        <f>F1552*G1552</f>
        <v>16800</v>
      </c>
    </row>
    <row r="1553" spans="1:8">
      <c r="A1553" s="822"/>
      <c r="B1553" s="176"/>
      <c r="C1553" s="174"/>
      <c r="D1553" s="174" t="s">
        <v>1174</v>
      </c>
      <c r="E1553" s="174"/>
      <c r="F1553" s="192"/>
      <c r="G1553" s="275" t="s">
        <v>1698</v>
      </c>
      <c r="H1553" s="318">
        <f>SUM(H1550:H1552)</f>
        <v>19650</v>
      </c>
    </row>
    <row r="1554" spans="1:8">
      <c r="A1554" s="822"/>
      <c r="B1554" s="60" t="s">
        <v>5948</v>
      </c>
      <c r="C1554" s="31"/>
      <c r="D1554" s="31"/>
      <c r="E1554" s="85">
        <f>ROUND(H1553/G1532,1)</f>
        <v>187.1</v>
      </c>
      <c r="G1554" s="31"/>
    </row>
    <row r="1555" spans="1:8">
      <c r="A1555" s="822"/>
      <c r="B1555" s="60" t="s">
        <v>3163</v>
      </c>
      <c r="C1555" s="31"/>
      <c r="D1555" s="922">
        <f>'BASIC DATA'!$C$577</f>
        <v>0.13614999999999999</v>
      </c>
      <c r="E1555" s="85">
        <f>ROUND(E1554*D1555,1)</f>
        <v>25.5</v>
      </c>
      <c r="G1555" s="31"/>
    </row>
    <row r="1556" spans="1:8">
      <c r="A1556" s="822"/>
      <c r="B1556" s="60" t="s">
        <v>5949</v>
      </c>
      <c r="C1556" s="31"/>
      <c r="D1556" s="31"/>
      <c r="E1556" s="739">
        <f>E1555+E1554</f>
        <v>212.6</v>
      </c>
      <c r="G1556" s="31"/>
    </row>
    <row r="1557" spans="1:8">
      <c r="A1557" s="822"/>
      <c r="B1557" s="26"/>
    </row>
    <row r="1558" spans="1:8">
      <c r="A1558" s="822"/>
      <c r="B1558" s="170" t="s">
        <v>1175</v>
      </c>
    </row>
    <row r="1559" spans="1:8">
      <c r="A1559" s="822"/>
      <c r="B1559" s="26" t="s">
        <v>1176</v>
      </c>
      <c r="F1559" s="171" t="s">
        <v>1698</v>
      </c>
      <c r="G1559" s="68">
        <f>H1538</f>
        <v>0</v>
      </c>
    </row>
    <row r="1560" spans="1:8">
      <c r="A1560" s="822"/>
      <c r="B1560" s="26" t="s">
        <v>1186</v>
      </c>
      <c r="F1560" s="171" t="s">
        <v>1698</v>
      </c>
      <c r="G1560" s="68">
        <f>H1545</f>
        <v>0</v>
      </c>
    </row>
    <row r="1561" spans="1:8">
      <c r="A1561" s="822"/>
      <c r="B1561" s="26" t="s">
        <v>2660</v>
      </c>
      <c r="F1561" s="171" t="s">
        <v>1698</v>
      </c>
      <c r="G1561" s="75">
        <f>H1553</f>
        <v>19650</v>
      </c>
    </row>
    <row r="1562" spans="1:8">
      <c r="A1562" s="822"/>
      <c r="E1562" s="26" t="s">
        <v>1518</v>
      </c>
      <c r="F1562" s="171" t="s">
        <v>1698</v>
      </c>
      <c r="G1562" s="205">
        <f>SUM(G1559:G1561)</f>
        <v>19650</v>
      </c>
    </row>
    <row r="1563" spans="1:8" ht="39" customHeight="1">
      <c r="A1563" s="822"/>
      <c r="B1563" s="1207" t="s">
        <v>1379</v>
      </c>
      <c r="C1563" s="1207"/>
      <c r="E1563" s="922">
        <f>'BASIC DATA'!$C$577</f>
        <v>0.13614999999999999</v>
      </c>
      <c r="F1563" s="26" t="s">
        <v>1698</v>
      </c>
      <c r="G1563" s="26">
        <f>G1562*E1563</f>
        <v>2675.3474999999999</v>
      </c>
    </row>
    <row r="1564" spans="1:8">
      <c r="A1564" s="822"/>
      <c r="B1564" s="26" t="s">
        <v>1191</v>
      </c>
      <c r="D1564" s="68">
        <f>G1532</f>
        <v>105</v>
      </c>
      <c r="E1564" s="68" t="str">
        <f>H1532</f>
        <v>cum</v>
      </c>
      <c r="F1564" s="26" t="s">
        <v>1698</v>
      </c>
      <c r="G1564" s="211">
        <f>G1563+G1562</f>
        <v>22325.3475</v>
      </c>
    </row>
    <row r="1565" spans="1:8">
      <c r="A1565" s="822"/>
      <c r="B1565" s="170" t="s">
        <v>1584</v>
      </c>
      <c r="C1565" s="211" t="str">
        <f>E1564</f>
        <v>cum</v>
      </c>
      <c r="D1565" s="26" t="s">
        <v>4726</v>
      </c>
      <c r="F1565" s="26" t="s">
        <v>4108</v>
      </c>
      <c r="G1565" s="211">
        <f>ROUND(G1564/D1564,1)</f>
        <v>212.6</v>
      </c>
    </row>
    <row r="1566" spans="1:8">
      <c r="A1566" s="822"/>
    </row>
    <row r="1567" spans="1:8">
      <c r="A1567" s="822"/>
    </row>
    <row r="1568" spans="1:8">
      <c r="A1568" s="865" t="s">
        <v>5499</v>
      </c>
      <c r="B1568" s="170" t="s">
        <v>9174</v>
      </c>
    </row>
    <row r="1569" spans="1:8">
      <c r="B1569" s="26" t="s">
        <v>9175</v>
      </c>
    </row>
    <row r="1570" spans="1:8">
      <c r="B1570" s="26" t="s">
        <v>9176</v>
      </c>
    </row>
    <row r="1571" spans="1:8">
      <c r="B1571" s="26" t="s">
        <v>9177</v>
      </c>
    </row>
    <row r="1572" spans="1:8">
      <c r="B1572" s="26" t="s">
        <v>9178</v>
      </c>
    </row>
    <row r="1573" spans="1:8">
      <c r="B1573" s="26" t="s">
        <v>9179</v>
      </c>
    </row>
    <row r="1574" spans="1:8">
      <c r="B1574" s="170" t="s">
        <v>992</v>
      </c>
    </row>
    <row r="1575" spans="1:8">
      <c r="B1575" s="26"/>
    </row>
    <row r="1576" spans="1:8" hidden="1">
      <c r="A1576" s="865" t="s">
        <v>3984</v>
      </c>
      <c r="B1576" s="26" t="s">
        <v>2802</v>
      </c>
      <c r="F1576" s="78" t="s">
        <v>1697</v>
      </c>
      <c r="G1576" s="26">
        <v>1.05</v>
      </c>
      <c r="H1576" s="26" t="s">
        <v>2602</v>
      </c>
    </row>
    <row r="1577" spans="1:8" hidden="1">
      <c r="B1577" s="26" t="s">
        <v>5595</v>
      </c>
      <c r="F1577" s="78" t="s">
        <v>1697</v>
      </c>
      <c r="G1577" s="26">
        <v>15</v>
      </c>
      <c r="H1577" s="26" t="s">
        <v>3135</v>
      </c>
    </row>
    <row r="1578" spans="1:8" hidden="1">
      <c r="B1578" s="26" t="s">
        <v>4244</v>
      </c>
      <c r="F1578" s="78" t="s">
        <v>1697</v>
      </c>
      <c r="G1578" s="26">
        <v>15</v>
      </c>
      <c r="H1578" s="26" t="s">
        <v>3135</v>
      </c>
    </row>
    <row r="1579" spans="1:8" hidden="1">
      <c r="B1579" s="26" t="s">
        <v>4245</v>
      </c>
      <c r="F1579" s="78" t="s">
        <v>1697</v>
      </c>
      <c r="G1579" s="26">
        <v>15</v>
      </c>
      <c r="H1579" s="26" t="s">
        <v>3135</v>
      </c>
    </row>
    <row r="1580" spans="1:8" hidden="1">
      <c r="B1580" s="26" t="s">
        <v>3809</v>
      </c>
      <c r="F1580" s="78" t="s">
        <v>1697</v>
      </c>
      <c r="G1580" s="26">
        <v>60</v>
      </c>
      <c r="H1580" s="26" t="s">
        <v>3135</v>
      </c>
    </row>
    <row r="1581" spans="1:8" hidden="1">
      <c r="B1581" s="26" t="s">
        <v>3810</v>
      </c>
      <c r="F1581" s="78"/>
    </row>
    <row r="1582" spans="1:8" hidden="1">
      <c r="B1582" s="26" t="s">
        <v>4574</v>
      </c>
      <c r="F1582" s="78"/>
    </row>
    <row r="1583" spans="1:8" hidden="1">
      <c r="B1583" s="26" t="s">
        <v>3811</v>
      </c>
      <c r="E1583" s="26" t="s">
        <v>3812</v>
      </c>
      <c r="F1583" s="78" t="s">
        <v>1697</v>
      </c>
      <c r="G1583" s="68">
        <v>57.6</v>
      </c>
      <c r="H1583" s="26" t="s">
        <v>3477</v>
      </c>
    </row>
    <row r="1584" spans="1:8" hidden="1">
      <c r="B1584" s="26" t="s">
        <v>2732</v>
      </c>
      <c r="E1584" s="26" t="s">
        <v>3812</v>
      </c>
      <c r="F1584" s="78" t="s">
        <v>1697</v>
      </c>
      <c r="G1584" s="26">
        <v>44</v>
      </c>
      <c r="H1584" s="26" t="s">
        <v>2059</v>
      </c>
    </row>
    <row r="1585" spans="2:8" hidden="1">
      <c r="B1585" s="26" t="s">
        <v>2733</v>
      </c>
      <c r="E1585" s="26" t="s">
        <v>3812</v>
      </c>
      <c r="F1585" s="78" t="s">
        <v>1697</v>
      </c>
      <c r="G1585" s="68">
        <v>9</v>
      </c>
      <c r="H1585" s="26" t="s">
        <v>3477</v>
      </c>
    </row>
    <row r="1586" spans="2:8" hidden="1">
      <c r="B1586" s="26" t="s">
        <v>4795</v>
      </c>
      <c r="E1586" s="26" t="s">
        <v>3812</v>
      </c>
      <c r="F1586" s="78" t="s">
        <v>1697</v>
      </c>
      <c r="G1586" s="68">
        <v>15.3</v>
      </c>
      <c r="H1586" s="26" t="s">
        <v>3477</v>
      </c>
    </row>
    <row r="1587" spans="2:8" hidden="1">
      <c r="B1587" s="26" t="s">
        <v>4796</v>
      </c>
      <c r="E1587" s="26" t="s">
        <v>3812</v>
      </c>
      <c r="F1587" s="78" t="s">
        <v>1697</v>
      </c>
      <c r="G1587" s="68">
        <v>15.3</v>
      </c>
      <c r="H1587" s="26" t="s">
        <v>3477</v>
      </c>
    </row>
    <row r="1588" spans="2:8" hidden="1">
      <c r="B1588" s="26" t="s">
        <v>4797</v>
      </c>
      <c r="E1588" s="26" t="s">
        <v>2734</v>
      </c>
      <c r="F1588" s="78" t="s">
        <v>1697</v>
      </c>
      <c r="G1588" s="68">
        <v>15.3</v>
      </c>
      <c r="H1588" s="26" t="s">
        <v>3477</v>
      </c>
    </row>
    <row r="1589" spans="2:8" hidden="1">
      <c r="B1589" s="26" t="s">
        <v>5815</v>
      </c>
      <c r="F1589" s="78"/>
    </row>
    <row r="1590" spans="2:8" hidden="1">
      <c r="B1590" s="26" t="s">
        <v>3824</v>
      </c>
      <c r="F1590" s="78"/>
    </row>
    <row r="1591" spans="2:8" hidden="1">
      <c r="B1591" s="26" t="s">
        <v>3626</v>
      </c>
      <c r="F1591" s="78"/>
    </row>
    <row r="1592" spans="2:8" hidden="1">
      <c r="B1592" s="26" t="s">
        <v>2697</v>
      </c>
      <c r="F1592" s="78" t="s">
        <v>1697</v>
      </c>
      <c r="G1592" s="26">
        <v>6</v>
      </c>
      <c r="H1592" s="26" t="s">
        <v>4041</v>
      </c>
    </row>
    <row r="1593" spans="2:8" hidden="1">
      <c r="B1593" s="26" t="s">
        <v>4814</v>
      </c>
      <c r="F1593" s="78"/>
    </row>
    <row r="1594" spans="2:8" hidden="1">
      <c r="B1594" s="26" t="s">
        <v>2697</v>
      </c>
      <c r="F1594" s="78" t="s">
        <v>1697</v>
      </c>
      <c r="G1594" s="26">
        <v>6</v>
      </c>
      <c r="H1594" s="26" t="s">
        <v>4041</v>
      </c>
    </row>
    <row r="1595" spans="2:8" hidden="1">
      <c r="B1595" s="26" t="s">
        <v>5576</v>
      </c>
      <c r="F1595" s="78"/>
    </row>
    <row r="1596" spans="2:8" hidden="1">
      <c r="B1596" s="26" t="s">
        <v>2697</v>
      </c>
      <c r="F1596" s="78" t="s">
        <v>1697</v>
      </c>
      <c r="G1596" s="26">
        <v>6</v>
      </c>
      <c r="H1596" s="26" t="s">
        <v>4041</v>
      </c>
    </row>
    <row r="1597" spans="2:8" hidden="1">
      <c r="B1597" s="26" t="s">
        <v>3825</v>
      </c>
      <c r="F1597" s="78"/>
    </row>
    <row r="1598" spans="2:8" hidden="1">
      <c r="B1598" s="26" t="s">
        <v>4798</v>
      </c>
      <c r="F1598" s="78" t="s">
        <v>1697</v>
      </c>
      <c r="G1598" s="26">
        <v>10</v>
      </c>
      <c r="H1598" s="26" t="s">
        <v>4041</v>
      </c>
    </row>
    <row r="1599" spans="2:8" hidden="1">
      <c r="B1599" s="26" t="s">
        <v>2697</v>
      </c>
      <c r="F1599" s="78" t="s">
        <v>1697</v>
      </c>
      <c r="G1599" s="26">
        <v>15</v>
      </c>
      <c r="H1599" s="26" t="s">
        <v>4041</v>
      </c>
    </row>
    <row r="1600" spans="2:8" hidden="1">
      <c r="B1600" s="26" t="s">
        <v>4206</v>
      </c>
      <c r="F1600" s="78" t="s">
        <v>1697</v>
      </c>
      <c r="G1600" s="26">
        <v>1</v>
      </c>
      <c r="H1600" s="26" t="s">
        <v>3518</v>
      </c>
    </row>
    <row r="1601" spans="1:8">
      <c r="A1601" s="822"/>
    </row>
    <row r="1602" spans="1:8">
      <c r="A1602" s="822" t="s">
        <v>9215</v>
      </c>
      <c r="C1602" s="203" t="s">
        <v>2367</v>
      </c>
      <c r="D1602" s="171"/>
      <c r="F1602" s="171" t="s">
        <v>297</v>
      </c>
      <c r="G1602" s="162">
        <v>100</v>
      </c>
      <c r="H1602" s="26" t="s">
        <v>3479</v>
      </c>
    </row>
    <row r="1603" spans="1:8">
      <c r="A1603" s="822"/>
      <c r="B1603" s="79" t="s">
        <v>2368</v>
      </c>
    </row>
    <row r="1604" spans="1:8">
      <c r="A1604" s="822"/>
      <c r="B1604" s="95" t="s">
        <v>2369</v>
      </c>
      <c r="C1604" s="157" t="s">
        <v>6374</v>
      </c>
      <c r="D1604" s="195"/>
      <c r="E1604" s="95" t="s">
        <v>2370</v>
      </c>
      <c r="F1604" s="95" t="s">
        <v>1166</v>
      </c>
      <c r="G1604" s="95" t="s">
        <v>2371</v>
      </c>
      <c r="H1604" s="95" t="s">
        <v>2372</v>
      </c>
    </row>
    <row r="1605" spans="1:8">
      <c r="A1605" s="822"/>
      <c r="B1605" s="105"/>
      <c r="C1605" s="154"/>
      <c r="D1605" s="192"/>
      <c r="E1605" s="114"/>
      <c r="F1605" s="114"/>
      <c r="G1605" s="114" t="s">
        <v>3485</v>
      </c>
      <c r="H1605" s="114" t="s">
        <v>3485</v>
      </c>
    </row>
    <row r="1606" spans="1:8" s="61" customFormat="1">
      <c r="A1606" s="853"/>
      <c r="B1606" s="295">
        <v>1</v>
      </c>
      <c r="C1606" s="345" t="s">
        <v>7945</v>
      </c>
      <c r="D1606" s="545"/>
      <c r="E1606" s="295" t="s">
        <v>3477</v>
      </c>
      <c r="F1606" s="255">
        <v>15.3</v>
      </c>
      <c r="G1606" s="266">
        <f>'BASIC DATA'!D55</f>
        <v>95</v>
      </c>
      <c r="H1606" s="281">
        <f t="shared" ref="H1606:H1611" si="2">F1606*G1606</f>
        <v>1453.5</v>
      </c>
    </row>
    <row r="1607" spans="1:8">
      <c r="A1607" s="822"/>
      <c r="B1607" s="105">
        <v>2</v>
      </c>
      <c r="C1607" s="76" t="s">
        <v>3597</v>
      </c>
      <c r="D1607" s="189"/>
      <c r="E1607" s="105" t="s">
        <v>3477</v>
      </c>
      <c r="F1607" s="190">
        <v>15.3</v>
      </c>
      <c r="G1607" s="190">
        <v>0</v>
      </c>
      <c r="H1607" s="190">
        <f t="shared" si="2"/>
        <v>0</v>
      </c>
    </row>
    <row r="1608" spans="1:8">
      <c r="A1608" s="822"/>
      <c r="B1608" s="105">
        <v>3</v>
      </c>
      <c r="C1608" s="76" t="s">
        <v>4741</v>
      </c>
      <c r="D1608" s="189"/>
      <c r="E1608" s="105" t="s">
        <v>3477</v>
      </c>
      <c r="F1608" s="190">
        <v>15.3</v>
      </c>
      <c r="G1608" s="190">
        <v>0</v>
      </c>
      <c r="H1608" s="190">
        <f t="shared" si="2"/>
        <v>0</v>
      </c>
    </row>
    <row r="1609" spans="1:8">
      <c r="A1609" s="822"/>
      <c r="B1609" s="105">
        <v>4</v>
      </c>
      <c r="C1609" s="76" t="s">
        <v>3604</v>
      </c>
      <c r="D1609" s="189"/>
      <c r="E1609" s="105" t="s">
        <v>3477</v>
      </c>
      <c r="F1609" s="190">
        <v>9</v>
      </c>
      <c r="G1609" s="190">
        <v>0</v>
      </c>
      <c r="H1609" s="190">
        <f t="shared" si="2"/>
        <v>0</v>
      </c>
    </row>
    <row r="1610" spans="1:8">
      <c r="A1610" s="822"/>
      <c r="B1610" s="105">
        <v>5</v>
      </c>
      <c r="C1610" s="76" t="s">
        <v>3605</v>
      </c>
      <c r="D1610" s="189"/>
      <c r="E1610" s="105" t="s">
        <v>3477</v>
      </c>
      <c r="F1610" s="190">
        <v>57.6</v>
      </c>
      <c r="G1610" s="190">
        <v>0</v>
      </c>
      <c r="H1610" s="190">
        <f t="shared" si="2"/>
        <v>0</v>
      </c>
    </row>
    <row r="1611" spans="1:8">
      <c r="A1611" s="822"/>
      <c r="B1611" s="114">
        <v>6</v>
      </c>
      <c r="C1611" s="89" t="s">
        <v>2516</v>
      </c>
      <c r="D1611" s="192"/>
      <c r="E1611" s="114" t="s">
        <v>2059</v>
      </c>
      <c r="F1611" s="182">
        <v>44</v>
      </c>
      <c r="G1611" s="182">
        <v>0</v>
      </c>
      <c r="H1611" s="182">
        <f t="shared" si="2"/>
        <v>0</v>
      </c>
    </row>
    <row r="1612" spans="1:8">
      <c r="A1612" s="822"/>
      <c r="B1612" s="92"/>
      <c r="C1612" s="159"/>
      <c r="D1612" s="159" t="s">
        <v>2376</v>
      </c>
      <c r="E1612" s="159"/>
      <c r="F1612" s="238"/>
      <c r="G1612" s="236" t="s">
        <v>1698</v>
      </c>
      <c r="H1612" s="318">
        <f>SUM(H1606:H1611)</f>
        <v>1453.5</v>
      </c>
    </row>
    <row r="1613" spans="1:8">
      <c r="A1613" s="822"/>
    </row>
    <row r="1614" spans="1:8">
      <c r="A1614" s="822"/>
      <c r="B1614" s="79" t="s">
        <v>2377</v>
      </c>
    </row>
    <row r="1615" spans="1:8">
      <c r="A1615" s="822"/>
      <c r="B1615" s="95" t="s">
        <v>2369</v>
      </c>
      <c r="C1615" s="157" t="s">
        <v>2378</v>
      </c>
      <c r="D1615" s="195"/>
      <c r="E1615" s="95" t="s">
        <v>2370</v>
      </c>
      <c r="F1615" s="95" t="s">
        <v>1166</v>
      </c>
      <c r="G1615" s="95" t="s">
        <v>2371</v>
      </c>
      <c r="H1615" s="95" t="s">
        <v>2372</v>
      </c>
    </row>
    <row r="1616" spans="1:8">
      <c r="A1616" s="822"/>
      <c r="B1616" s="114"/>
      <c r="C1616" s="154"/>
      <c r="D1616" s="192"/>
      <c r="E1616" s="114"/>
      <c r="F1616" s="114"/>
      <c r="G1616" s="114" t="s">
        <v>3485</v>
      </c>
      <c r="H1616" s="114" t="s">
        <v>3485</v>
      </c>
    </row>
    <row r="1617" spans="1:8">
      <c r="A1617" s="822"/>
      <c r="B1617" s="105">
        <v>1</v>
      </c>
      <c r="C1617" s="93" t="s">
        <v>6976</v>
      </c>
      <c r="E1617" s="210"/>
      <c r="F1617" s="190">
        <v>0</v>
      </c>
      <c r="G1617" s="190">
        <v>0</v>
      </c>
      <c r="H1617" s="190">
        <f>F1617*G1617</f>
        <v>0</v>
      </c>
    </row>
    <row r="1618" spans="1:8">
      <c r="A1618" s="822"/>
      <c r="B1618" s="275"/>
      <c r="C1618" s="139"/>
      <c r="D1618" s="174"/>
      <c r="E1618" s="191"/>
      <c r="F1618" s="182">
        <v>0</v>
      </c>
      <c r="G1618" s="182">
        <v>0</v>
      </c>
      <c r="H1618" s="190">
        <f>F1618*G1618</f>
        <v>0</v>
      </c>
    </row>
    <row r="1619" spans="1:8">
      <c r="A1619" s="822"/>
      <c r="B1619" s="176"/>
      <c r="C1619" s="174"/>
      <c r="D1619" s="174" t="s">
        <v>2380</v>
      </c>
      <c r="E1619" s="174"/>
      <c r="F1619" s="192"/>
      <c r="G1619" s="275" t="s">
        <v>1698</v>
      </c>
      <c r="H1619" s="318">
        <f>SUM(H1617:H1618)</f>
        <v>0</v>
      </c>
    </row>
    <row r="1620" spans="1:8">
      <c r="A1620" s="822"/>
    </row>
    <row r="1621" spans="1:8">
      <c r="A1621" s="822"/>
      <c r="B1621" s="79" t="s">
        <v>2381</v>
      </c>
    </row>
    <row r="1622" spans="1:8">
      <c r="A1622" s="822"/>
      <c r="B1622" s="95" t="s">
        <v>2369</v>
      </c>
      <c r="C1622" s="157" t="s">
        <v>2378</v>
      </c>
      <c r="D1622" s="195"/>
      <c r="E1622" s="95" t="s">
        <v>2370</v>
      </c>
      <c r="F1622" s="95" t="s">
        <v>1166</v>
      </c>
      <c r="G1622" s="95" t="s">
        <v>2371</v>
      </c>
      <c r="H1622" s="95" t="s">
        <v>2372</v>
      </c>
    </row>
    <row r="1623" spans="1:8">
      <c r="A1623" s="822"/>
      <c r="B1623" s="114"/>
      <c r="C1623" s="154"/>
      <c r="D1623" s="192"/>
      <c r="E1623" s="105"/>
      <c r="F1623" s="114"/>
      <c r="G1623" s="114" t="s">
        <v>3485</v>
      </c>
      <c r="H1623" s="114" t="s">
        <v>3485</v>
      </c>
    </row>
    <row r="1624" spans="1:8">
      <c r="A1624" s="822"/>
      <c r="B1624" s="95">
        <v>1</v>
      </c>
      <c r="C1624" s="148" t="s">
        <v>4206</v>
      </c>
      <c r="D1624" s="187"/>
      <c r="E1624" s="107" t="s">
        <v>1172</v>
      </c>
      <c r="F1624" s="178">
        <v>1</v>
      </c>
      <c r="G1624" s="179">
        <f>'BASIC DATA'!C473</f>
        <v>450</v>
      </c>
      <c r="H1624" s="179">
        <f>F1624*G1624</f>
        <v>450</v>
      </c>
    </row>
    <row r="1625" spans="1:8">
      <c r="A1625" s="822"/>
      <c r="B1625" s="105">
        <v>2</v>
      </c>
      <c r="C1625" s="76" t="s">
        <v>4203</v>
      </c>
      <c r="D1625" s="31"/>
      <c r="E1625" s="210" t="s">
        <v>1172</v>
      </c>
      <c r="F1625" s="207">
        <v>5</v>
      </c>
      <c r="G1625" s="190">
        <f>'BASIC DATA'!C541</f>
        <v>400</v>
      </c>
      <c r="H1625" s="190">
        <f>F1625*G1625</f>
        <v>2000</v>
      </c>
    </row>
    <row r="1626" spans="1:8">
      <c r="A1626" s="822"/>
      <c r="B1626" s="114">
        <v>3</v>
      </c>
      <c r="C1626" s="89" t="s">
        <v>2697</v>
      </c>
      <c r="D1626" s="174"/>
      <c r="E1626" s="191" t="s">
        <v>1172</v>
      </c>
      <c r="F1626" s="181">
        <v>33</v>
      </c>
      <c r="G1626" s="182">
        <f>'BASIC DATA'!C552</f>
        <v>350</v>
      </c>
      <c r="H1626" s="190">
        <f>F1626*G1626</f>
        <v>11550</v>
      </c>
    </row>
    <row r="1627" spans="1:8">
      <c r="A1627" s="822"/>
      <c r="B1627" s="176"/>
      <c r="C1627" s="174"/>
      <c r="D1627" s="174" t="s">
        <v>1174</v>
      </c>
      <c r="E1627" s="174"/>
      <c r="F1627" s="192"/>
      <c r="G1627" s="275" t="s">
        <v>1698</v>
      </c>
      <c r="H1627" s="318">
        <f>SUM(H1624:H1626)</f>
        <v>14000</v>
      </c>
    </row>
    <row r="1628" spans="1:8">
      <c r="A1628" s="822"/>
      <c r="B1628" s="60" t="s">
        <v>5948</v>
      </c>
      <c r="C1628" s="31"/>
      <c r="D1628" s="31"/>
      <c r="E1628" s="85">
        <f>ROUND(H1627/G1602,1)</f>
        <v>140</v>
      </c>
      <c r="G1628" s="31"/>
    </row>
    <row r="1629" spans="1:8">
      <c r="A1629" s="822"/>
      <c r="B1629" s="60" t="s">
        <v>3163</v>
      </c>
      <c r="C1629" s="31"/>
      <c r="D1629" s="922">
        <f>'BASIC DATA'!$C$577</f>
        <v>0.13614999999999999</v>
      </c>
      <c r="E1629" s="85">
        <f>ROUND(E1628*D1629,1)</f>
        <v>19.100000000000001</v>
      </c>
      <c r="G1629" s="31"/>
    </row>
    <row r="1630" spans="1:8">
      <c r="A1630" s="822"/>
      <c r="B1630" s="60" t="s">
        <v>5949</v>
      </c>
      <c r="C1630" s="31"/>
      <c r="D1630" s="31"/>
      <c r="E1630" s="739">
        <f>E1629+E1628</f>
        <v>159.1</v>
      </c>
      <c r="G1630" s="31"/>
    </row>
    <row r="1631" spans="1:8">
      <c r="A1631" s="822"/>
      <c r="B1631" s="26"/>
    </row>
    <row r="1632" spans="1:8">
      <c r="A1632" s="822"/>
      <c r="B1632" s="170" t="s">
        <v>1175</v>
      </c>
    </row>
    <row r="1633" spans="1:7">
      <c r="A1633" s="822"/>
      <c r="B1633" s="26" t="s">
        <v>1176</v>
      </c>
      <c r="F1633" s="171" t="s">
        <v>1698</v>
      </c>
      <c r="G1633" s="68">
        <f>H1612</f>
        <v>1453.5</v>
      </c>
    </row>
    <row r="1634" spans="1:7">
      <c r="A1634" s="822"/>
      <c r="B1634" s="26" t="s">
        <v>1186</v>
      </c>
      <c r="F1634" s="171" t="s">
        <v>1698</v>
      </c>
      <c r="G1634" s="68">
        <f>H1619</f>
        <v>0</v>
      </c>
    </row>
    <row r="1635" spans="1:7">
      <c r="A1635" s="822"/>
      <c r="B1635" s="26" t="s">
        <v>2660</v>
      </c>
      <c r="F1635" s="171" t="s">
        <v>1698</v>
      </c>
      <c r="G1635" s="75">
        <f>H1627</f>
        <v>14000</v>
      </c>
    </row>
    <row r="1636" spans="1:7">
      <c r="A1636" s="822"/>
      <c r="E1636" s="26" t="s">
        <v>1518</v>
      </c>
      <c r="F1636" s="171" t="s">
        <v>1698</v>
      </c>
      <c r="G1636" s="205">
        <f>SUM(G1633:G1635)</f>
        <v>15453.5</v>
      </c>
    </row>
    <row r="1637" spans="1:7" ht="41.25" customHeight="1">
      <c r="A1637" s="822"/>
      <c r="B1637" s="1207" t="s">
        <v>1379</v>
      </c>
      <c r="C1637" s="1207"/>
      <c r="E1637" s="922">
        <f>'BASIC DATA'!$C$577</f>
        <v>0.13614999999999999</v>
      </c>
      <c r="F1637" s="26" t="s">
        <v>1698</v>
      </c>
      <c r="G1637" s="26">
        <f>G1636*E1637</f>
        <v>2103.994025</v>
      </c>
    </row>
    <row r="1638" spans="1:7">
      <c r="A1638" s="822"/>
      <c r="B1638" s="26" t="s">
        <v>1191</v>
      </c>
      <c r="D1638" s="68">
        <f>G1602</f>
        <v>100</v>
      </c>
      <c r="E1638" s="68" t="str">
        <f>H1602</f>
        <v>sqm</v>
      </c>
      <c r="F1638" s="26" t="s">
        <v>1698</v>
      </c>
      <c r="G1638" s="211">
        <f>G1637+G1636</f>
        <v>17557.494025</v>
      </c>
    </row>
    <row r="1639" spans="1:7">
      <c r="A1639" s="822"/>
      <c r="B1639" s="170" t="s">
        <v>1584</v>
      </c>
      <c r="C1639" s="211" t="str">
        <f>E1638</f>
        <v>sqm</v>
      </c>
      <c r="D1639" s="26" t="s">
        <v>5882</v>
      </c>
      <c r="F1639" s="26" t="s">
        <v>4108</v>
      </c>
      <c r="G1639" s="211">
        <f>ROUND(G1638/D1638,1)</f>
        <v>175.6</v>
      </c>
    </row>
    <row r="1640" spans="1:7">
      <c r="A1640" s="822"/>
    </row>
    <row r="1641" spans="1:7">
      <c r="A1641" s="822"/>
    </row>
    <row r="1642" spans="1:7">
      <c r="A1642" s="865" t="s">
        <v>5500</v>
      </c>
      <c r="B1642" s="26" t="s">
        <v>9180</v>
      </c>
    </row>
    <row r="1643" spans="1:7" ht="18.75">
      <c r="B1643" s="26" t="s">
        <v>9181</v>
      </c>
    </row>
    <row r="1644" spans="1:7">
      <c r="B1644" s="26" t="s">
        <v>9182</v>
      </c>
    </row>
    <row r="1645" spans="1:7">
      <c r="B1645" s="26" t="s">
        <v>2517</v>
      </c>
    </row>
    <row r="1646" spans="1:7">
      <c r="B1646" s="26" t="s">
        <v>3910</v>
      </c>
    </row>
    <row r="1647" spans="1:7">
      <c r="B1647" s="170" t="s">
        <v>2735</v>
      </c>
    </row>
    <row r="1648" spans="1:7">
      <c r="B1648" s="26"/>
    </row>
    <row r="1649" spans="1:7" hidden="1">
      <c r="A1649" s="865" t="s">
        <v>3984</v>
      </c>
      <c r="B1649" s="26" t="s">
        <v>1823</v>
      </c>
      <c r="F1649" s="78"/>
    </row>
    <row r="1650" spans="1:7" hidden="1">
      <c r="B1650" s="26" t="s">
        <v>1824</v>
      </c>
    </row>
    <row r="1651" spans="1:7" hidden="1">
      <c r="B1651" s="26" t="s">
        <v>6003</v>
      </c>
      <c r="E1651" s="78" t="s">
        <v>1697</v>
      </c>
      <c r="F1651" s="68">
        <v>1.5</v>
      </c>
      <c r="G1651" s="26" t="s">
        <v>2602</v>
      </c>
    </row>
    <row r="1652" spans="1:7" hidden="1">
      <c r="B1652" s="26" t="s">
        <v>5567</v>
      </c>
      <c r="E1652" s="78" t="s">
        <v>1697</v>
      </c>
      <c r="F1652" s="26" t="s">
        <v>2895</v>
      </c>
    </row>
    <row r="1653" spans="1:7" hidden="1">
      <c r="B1653" s="26" t="s">
        <v>3363</v>
      </c>
      <c r="E1653" s="78" t="s">
        <v>1697</v>
      </c>
      <c r="F1653" s="26" t="s">
        <v>2896</v>
      </c>
    </row>
    <row r="1654" spans="1:7" hidden="1">
      <c r="B1654" s="26" t="s">
        <v>3365</v>
      </c>
      <c r="E1654" s="78" t="s">
        <v>1697</v>
      </c>
      <c r="F1654" s="68">
        <v>3</v>
      </c>
      <c r="G1654" s="26" t="s">
        <v>2602</v>
      </c>
    </row>
    <row r="1655" spans="1:7" hidden="1">
      <c r="B1655" s="26" t="s">
        <v>2897</v>
      </c>
      <c r="E1655" s="78" t="s">
        <v>1697</v>
      </c>
      <c r="F1655" s="68">
        <v>18</v>
      </c>
      <c r="G1655" s="26" t="s">
        <v>3479</v>
      </c>
    </row>
    <row r="1656" spans="1:7" hidden="1">
      <c r="B1656" s="26" t="s">
        <v>2898</v>
      </c>
    </row>
    <row r="1657" spans="1:7" hidden="1">
      <c r="B1657" s="26" t="s">
        <v>2899</v>
      </c>
      <c r="F1657" s="26">
        <v>20</v>
      </c>
      <c r="G1657" s="26" t="s">
        <v>3135</v>
      </c>
    </row>
    <row r="1658" spans="1:7" hidden="1">
      <c r="B1658" s="26" t="s">
        <v>3874</v>
      </c>
      <c r="F1658" s="26">
        <v>25</v>
      </c>
      <c r="G1658" s="26" t="s">
        <v>3135</v>
      </c>
    </row>
    <row r="1659" spans="1:7" hidden="1">
      <c r="B1659" s="26" t="s">
        <v>3875</v>
      </c>
      <c r="F1659" s="26">
        <v>40</v>
      </c>
      <c r="G1659" s="26" t="s">
        <v>3135</v>
      </c>
    </row>
    <row r="1660" spans="1:7" hidden="1">
      <c r="A1660" s="865">
        <v>1</v>
      </c>
      <c r="B1660" s="26" t="s">
        <v>5780</v>
      </c>
    </row>
    <row r="1661" spans="1:7" hidden="1">
      <c r="B1661" s="26" t="s">
        <v>3876</v>
      </c>
      <c r="E1661" s="78" t="s">
        <v>1697</v>
      </c>
      <c r="F1661" s="68">
        <v>58.2</v>
      </c>
      <c r="G1661" s="26" t="s">
        <v>3477</v>
      </c>
    </row>
    <row r="1662" spans="1:7" hidden="1">
      <c r="B1662" s="26" t="s">
        <v>3877</v>
      </c>
      <c r="E1662" s="78" t="s">
        <v>1697</v>
      </c>
      <c r="F1662" s="68">
        <v>8.6999999999999993</v>
      </c>
      <c r="G1662" s="26" t="s">
        <v>3477</v>
      </c>
    </row>
    <row r="1663" spans="1:7" hidden="1">
      <c r="B1663" s="26" t="s">
        <v>3878</v>
      </c>
      <c r="E1663" s="78" t="s">
        <v>1697</v>
      </c>
      <c r="F1663" s="68">
        <v>40</v>
      </c>
      <c r="G1663" s="26" t="s">
        <v>3479</v>
      </c>
    </row>
    <row r="1664" spans="1:7" hidden="1">
      <c r="B1664" s="26" t="s">
        <v>4328</v>
      </c>
      <c r="E1664" s="78" t="s">
        <v>1697</v>
      </c>
      <c r="F1664" s="68">
        <v>19.399999999999999</v>
      </c>
      <c r="G1664" s="26" t="s">
        <v>3477</v>
      </c>
    </row>
    <row r="1665" spans="1:7" hidden="1">
      <c r="B1665" s="26" t="s">
        <v>7082</v>
      </c>
      <c r="E1665" s="78" t="s">
        <v>1697</v>
      </c>
      <c r="F1665" s="68">
        <v>12.1</v>
      </c>
      <c r="G1665" s="26" t="s">
        <v>3477</v>
      </c>
    </row>
    <row r="1666" spans="1:7" hidden="1">
      <c r="B1666" s="26" t="s">
        <v>7083</v>
      </c>
      <c r="E1666" s="78" t="s">
        <v>1697</v>
      </c>
      <c r="F1666" s="68">
        <v>9.8000000000000007</v>
      </c>
      <c r="G1666" s="26" t="s">
        <v>3477</v>
      </c>
    </row>
    <row r="1667" spans="1:7" hidden="1">
      <c r="A1667" s="865">
        <v>2</v>
      </c>
      <c r="B1667" s="26" t="s">
        <v>3292</v>
      </c>
      <c r="E1667" s="78"/>
    </row>
    <row r="1668" spans="1:7" hidden="1">
      <c r="B1668" s="26" t="s">
        <v>7084</v>
      </c>
      <c r="E1668" s="78"/>
    </row>
    <row r="1669" spans="1:7" hidden="1">
      <c r="B1669" s="26" t="s">
        <v>5327</v>
      </c>
      <c r="E1669" s="78" t="s">
        <v>1697</v>
      </c>
      <c r="F1669" s="26">
        <v>20</v>
      </c>
      <c r="G1669" s="26" t="s">
        <v>4041</v>
      </c>
    </row>
    <row r="1670" spans="1:7" hidden="1">
      <c r="B1670" s="26" t="s">
        <v>5173</v>
      </c>
      <c r="E1670" s="78" t="s">
        <v>1697</v>
      </c>
      <c r="F1670" s="26">
        <v>3</v>
      </c>
      <c r="G1670" s="26" t="s">
        <v>4041</v>
      </c>
    </row>
    <row r="1671" spans="1:7" hidden="1">
      <c r="B1671" s="26" t="s">
        <v>1355</v>
      </c>
      <c r="E1671" s="78"/>
    </row>
    <row r="1672" spans="1:7" hidden="1">
      <c r="B1672" s="26" t="s">
        <v>2697</v>
      </c>
      <c r="E1672" s="78" t="s">
        <v>1697</v>
      </c>
      <c r="F1672" s="26">
        <v>7</v>
      </c>
      <c r="G1672" s="26" t="s">
        <v>4041</v>
      </c>
    </row>
    <row r="1673" spans="1:7" hidden="1">
      <c r="B1673" s="26" t="s">
        <v>1356</v>
      </c>
      <c r="E1673" s="78" t="s">
        <v>1697</v>
      </c>
      <c r="F1673" s="26">
        <v>7</v>
      </c>
      <c r="G1673" s="26" t="s">
        <v>4041</v>
      </c>
    </row>
    <row r="1674" spans="1:7" hidden="1">
      <c r="B1674" s="26" t="s">
        <v>7085</v>
      </c>
      <c r="E1674" s="78"/>
    </row>
    <row r="1675" spans="1:7" hidden="1">
      <c r="B1675" s="26" t="s">
        <v>3626</v>
      </c>
      <c r="E1675" s="78"/>
    </row>
    <row r="1676" spans="1:7" hidden="1">
      <c r="B1676" s="26" t="s">
        <v>2697</v>
      </c>
      <c r="E1676" s="78" t="s">
        <v>1697</v>
      </c>
      <c r="F1676" s="26">
        <v>4</v>
      </c>
      <c r="G1676" s="26" t="s">
        <v>4041</v>
      </c>
    </row>
    <row r="1677" spans="1:7" hidden="1">
      <c r="B1677" s="26" t="s">
        <v>5577</v>
      </c>
      <c r="E1677" s="78"/>
    </row>
    <row r="1678" spans="1:7" hidden="1">
      <c r="B1678" s="26" t="s">
        <v>2697</v>
      </c>
      <c r="E1678" s="78" t="s">
        <v>1697</v>
      </c>
      <c r="F1678" s="26">
        <v>6</v>
      </c>
      <c r="G1678" s="26" t="s">
        <v>4041</v>
      </c>
    </row>
    <row r="1679" spans="1:7" hidden="1">
      <c r="B1679" s="26" t="s">
        <v>6578</v>
      </c>
      <c r="E1679" s="78"/>
    </row>
    <row r="1680" spans="1:7" hidden="1">
      <c r="B1680" s="26" t="s">
        <v>2697</v>
      </c>
      <c r="E1680" s="78" t="s">
        <v>1697</v>
      </c>
      <c r="F1680" s="26">
        <v>8</v>
      </c>
      <c r="G1680" s="26" t="s">
        <v>4041</v>
      </c>
    </row>
    <row r="1681" spans="1:8" hidden="1">
      <c r="B1681" s="26" t="s">
        <v>4206</v>
      </c>
      <c r="E1681" s="78" t="s">
        <v>1697</v>
      </c>
      <c r="F1681" s="26">
        <v>1</v>
      </c>
      <c r="G1681" s="26" t="s">
        <v>4041</v>
      </c>
    </row>
    <row r="1682" spans="1:8">
      <c r="A1682" s="822"/>
    </row>
    <row r="1683" spans="1:8">
      <c r="A1683" s="822" t="s">
        <v>9215</v>
      </c>
      <c r="C1683" s="203" t="s">
        <v>2367</v>
      </c>
      <c r="D1683" s="171"/>
      <c r="F1683" s="171" t="s">
        <v>297</v>
      </c>
      <c r="G1683" s="162">
        <v>100</v>
      </c>
      <c r="H1683" s="26" t="s">
        <v>3477</v>
      </c>
    </row>
    <row r="1684" spans="1:8">
      <c r="A1684" s="822"/>
      <c r="B1684" s="79" t="s">
        <v>2368</v>
      </c>
    </row>
    <row r="1685" spans="1:8">
      <c r="A1685" s="822"/>
      <c r="B1685" s="95" t="s">
        <v>2369</v>
      </c>
      <c r="C1685" s="157" t="s">
        <v>6374</v>
      </c>
      <c r="D1685" s="195"/>
      <c r="E1685" s="95" t="s">
        <v>2370</v>
      </c>
      <c r="F1685" s="95" t="s">
        <v>1166</v>
      </c>
      <c r="G1685" s="95" t="s">
        <v>2371</v>
      </c>
      <c r="H1685" s="95" t="s">
        <v>2372</v>
      </c>
    </row>
    <row r="1686" spans="1:8">
      <c r="A1686" s="822"/>
      <c r="B1686" s="105"/>
      <c r="C1686" s="154"/>
      <c r="D1686" s="192"/>
      <c r="E1686" s="114"/>
      <c r="F1686" s="114"/>
      <c r="G1686" s="114" t="s">
        <v>3485</v>
      </c>
      <c r="H1686" s="114" t="s">
        <v>3485</v>
      </c>
    </row>
    <row r="1687" spans="1:8">
      <c r="A1687" s="822"/>
      <c r="B1687" s="95">
        <v>1</v>
      </c>
      <c r="C1687" s="148" t="s">
        <v>7086</v>
      </c>
      <c r="D1687" s="195"/>
      <c r="E1687" s="95" t="s">
        <v>3477</v>
      </c>
      <c r="F1687" s="190">
        <v>58.2</v>
      </c>
      <c r="G1687" s="190">
        <v>0</v>
      </c>
      <c r="H1687" s="179">
        <f>F1687*G1687</f>
        <v>0</v>
      </c>
    </row>
    <row r="1688" spans="1:8">
      <c r="A1688" s="822"/>
      <c r="B1688" s="105">
        <v>2</v>
      </c>
      <c r="C1688" s="76" t="s">
        <v>3604</v>
      </c>
      <c r="D1688" s="189"/>
      <c r="E1688" s="105" t="s">
        <v>3477</v>
      </c>
      <c r="F1688" s="190">
        <v>8.6999999999999993</v>
      </c>
      <c r="G1688" s="190">
        <v>0</v>
      </c>
      <c r="H1688" s="190">
        <f>F1688*G1688</f>
        <v>0</v>
      </c>
    </row>
    <row r="1689" spans="1:8" s="61" customFormat="1">
      <c r="A1689" s="853"/>
      <c r="B1689" s="240">
        <v>3</v>
      </c>
      <c r="C1689" s="101" t="s">
        <v>7087</v>
      </c>
      <c r="D1689" s="253"/>
      <c r="E1689" s="240" t="s">
        <v>3477</v>
      </c>
      <c r="F1689" s="255">
        <v>19.399999999999999</v>
      </c>
      <c r="G1689" s="255">
        <v>0</v>
      </c>
      <c r="H1689" s="255">
        <f>F1689*G1689</f>
        <v>0</v>
      </c>
    </row>
    <row r="1690" spans="1:8" s="61" customFormat="1">
      <c r="A1690" s="853"/>
      <c r="B1690" s="240">
        <v>4</v>
      </c>
      <c r="C1690" s="101" t="s">
        <v>7088</v>
      </c>
      <c r="D1690" s="253"/>
      <c r="E1690" s="240" t="s">
        <v>3477</v>
      </c>
      <c r="F1690" s="255">
        <v>12.1</v>
      </c>
      <c r="G1690" s="255">
        <v>0</v>
      </c>
      <c r="H1690" s="255">
        <f>F1690*G1690</f>
        <v>0</v>
      </c>
    </row>
    <row r="1691" spans="1:8" s="61" customFormat="1">
      <c r="A1691" s="853"/>
      <c r="B1691" s="237">
        <v>5</v>
      </c>
      <c r="C1691" s="307" t="s">
        <v>7946</v>
      </c>
      <c r="D1691" s="242"/>
      <c r="E1691" s="237" t="s">
        <v>3477</v>
      </c>
      <c r="F1691" s="289">
        <v>9.8000000000000007</v>
      </c>
      <c r="G1691" s="284">
        <f>'BASIC DATA'!D55</f>
        <v>95</v>
      </c>
      <c r="H1691" s="289">
        <f>F1691*G1691</f>
        <v>931.00000000000011</v>
      </c>
    </row>
    <row r="1692" spans="1:8">
      <c r="A1692" s="822"/>
      <c r="B1692" s="92"/>
      <c r="C1692" s="159"/>
      <c r="D1692" s="159" t="s">
        <v>2376</v>
      </c>
      <c r="E1692" s="159"/>
      <c r="F1692" s="238"/>
      <c r="G1692" s="236" t="s">
        <v>1698</v>
      </c>
      <c r="H1692" s="318">
        <f>SUM(H1687:H1691)</f>
        <v>931.00000000000011</v>
      </c>
    </row>
    <row r="1693" spans="1:8">
      <c r="A1693" s="822"/>
    </row>
    <row r="1694" spans="1:8">
      <c r="A1694" s="822"/>
      <c r="B1694" s="79" t="s">
        <v>2377</v>
      </c>
    </row>
    <row r="1695" spans="1:8">
      <c r="A1695" s="822"/>
      <c r="B1695" s="95" t="s">
        <v>2369</v>
      </c>
      <c r="C1695" s="157" t="s">
        <v>2378</v>
      </c>
      <c r="D1695" s="195"/>
      <c r="E1695" s="95" t="s">
        <v>2370</v>
      </c>
      <c r="F1695" s="95" t="s">
        <v>1166</v>
      </c>
      <c r="G1695" s="95" t="s">
        <v>2371</v>
      </c>
      <c r="H1695" s="95" t="s">
        <v>2372</v>
      </c>
    </row>
    <row r="1696" spans="1:8">
      <c r="A1696" s="822"/>
      <c r="B1696" s="114"/>
      <c r="C1696" s="154"/>
      <c r="D1696" s="192"/>
      <c r="E1696" s="114"/>
      <c r="F1696" s="114"/>
      <c r="G1696" s="114" t="s">
        <v>3485</v>
      </c>
      <c r="H1696" s="114" t="s">
        <v>3485</v>
      </c>
    </row>
    <row r="1697" spans="1:8">
      <c r="A1697" s="822"/>
      <c r="B1697" s="105">
        <v>1</v>
      </c>
      <c r="C1697" s="93" t="s">
        <v>6976</v>
      </c>
      <c r="E1697" s="210"/>
      <c r="F1697" s="190">
        <v>0</v>
      </c>
      <c r="G1697" s="190">
        <v>0</v>
      </c>
      <c r="H1697" s="190">
        <f>F1697*G1697</f>
        <v>0</v>
      </c>
    </row>
    <row r="1698" spans="1:8">
      <c r="A1698" s="822"/>
      <c r="B1698" s="275"/>
      <c r="C1698" s="139"/>
      <c r="D1698" s="174"/>
      <c r="E1698" s="191"/>
      <c r="F1698" s="182">
        <v>0</v>
      </c>
      <c r="G1698" s="182">
        <v>0</v>
      </c>
      <c r="H1698" s="190">
        <f>F1698*G1698</f>
        <v>0</v>
      </c>
    </row>
    <row r="1699" spans="1:8">
      <c r="A1699" s="822"/>
      <c r="B1699" s="176"/>
      <c r="C1699" s="174"/>
      <c r="D1699" s="174" t="s">
        <v>2380</v>
      </c>
      <c r="E1699" s="174"/>
      <c r="F1699" s="192"/>
      <c r="G1699" s="275" t="s">
        <v>1698</v>
      </c>
      <c r="H1699" s="318">
        <f>SUM(H1697:H1698)</f>
        <v>0</v>
      </c>
    </row>
    <row r="1700" spans="1:8">
      <c r="A1700" s="822"/>
    </row>
    <row r="1701" spans="1:8">
      <c r="A1701" s="822"/>
      <c r="B1701" s="79" t="s">
        <v>2381</v>
      </c>
    </row>
    <row r="1702" spans="1:8">
      <c r="A1702" s="822"/>
      <c r="B1702" s="95" t="s">
        <v>2369</v>
      </c>
      <c r="C1702" s="157" t="s">
        <v>2378</v>
      </c>
      <c r="D1702" s="195"/>
      <c r="E1702" s="95" t="s">
        <v>2370</v>
      </c>
      <c r="F1702" s="95" t="s">
        <v>1166</v>
      </c>
      <c r="G1702" s="95" t="s">
        <v>2371</v>
      </c>
      <c r="H1702" s="95" t="s">
        <v>2372</v>
      </c>
    </row>
    <row r="1703" spans="1:8">
      <c r="A1703" s="822"/>
      <c r="B1703" s="114"/>
      <c r="C1703" s="154"/>
      <c r="D1703" s="192"/>
      <c r="E1703" s="105"/>
      <c r="F1703" s="114"/>
      <c r="G1703" s="114" t="s">
        <v>3485</v>
      </c>
      <c r="H1703" s="114" t="s">
        <v>3485</v>
      </c>
    </row>
    <row r="1704" spans="1:8">
      <c r="A1704" s="822"/>
      <c r="B1704" s="95">
        <v>1</v>
      </c>
      <c r="C1704" s="148" t="s">
        <v>4206</v>
      </c>
      <c r="D1704" s="187"/>
      <c r="E1704" s="107" t="s">
        <v>1172</v>
      </c>
      <c r="F1704" s="178">
        <v>1</v>
      </c>
      <c r="G1704" s="179">
        <f>'BASIC DATA'!C473</f>
        <v>450</v>
      </c>
      <c r="H1704" s="179">
        <f>F1704*G1704</f>
        <v>450</v>
      </c>
    </row>
    <row r="1705" spans="1:8">
      <c r="A1705" s="822"/>
      <c r="B1705" s="105">
        <v>2</v>
      </c>
      <c r="C1705" s="76" t="s">
        <v>4203</v>
      </c>
      <c r="D1705" s="31"/>
      <c r="E1705" s="210" t="s">
        <v>1172</v>
      </c>
      <c r="F1705" s="207">
        <v>7</v>
      </c>
      <c r="G1705" s="190">
        <f>'BASIC DATA'!C541</f>
        <v>400</v>
      </c>
      <c r="H1705" s="190">
        <f>F1705*G1705</f>
        <v>2800</v>
      </c>
    </row>
    <row r="1706" spans="1:8">
      <c r="A1706" s="822"/>
      <c r="B1706" s="114">
        <v>3</v>
      </c>
      <c r="C1706" s="89" t="s">
        <v>2697</v>
      </c>
      <c r="D1706" s="174"/>
      <c r="E1706" s="191" t="s">
        <v>1172</v>
      </c>
      <c r="F1706" s="181">
        <v>48</v>
      </c>
      <c r="G1706" s="182">
        <f>'BASIC DATA'!C552</f>
        <v>350</v>
      </c>
      <c r="H1706" s="190">
        <f>F1706*G1706</f>
        <v>16800</v>
      </c>
    </row>
    <row r="1707" spans="1:8">
      <c r="A1707" s="822"/>
      <c r="B1707" s="176"/>
      <c r="C1707" s="174"/>
      <c r="D1707" s="174" t="s">
        <v>1174</v>
      </c>
      <c r="E1707" s="174"/>
      <c r="F1707" s="192"/>
      <c r="G1707" s="275" t="s">
        <v>1698</v>
      </c>
      <c r="H1707" s="318">
        <f>SUM(H1704:H1706)</f>
        <v>20050</v>
      </c>
    </row>
    <row r="1708" spans="1:8">
      <c r="A1708" s="822"/>
      <c r="B1708" s="60" t="s">
        <v>5948</v>
      </c>
      <c r="C1708" s="31"/>
      <c r="D1708" s="31"/>
      <c r="E1708" s="85">
        <f>ROUND(H1707/G1683,1)</f>
        <v>200.5</v>
      </c>
      <c r="G1708" s="31"/>
    </row>
    <row r="1709" spans="1:8">
      <c r="A1709" s="822"/>
      <c r="B1709" s="60" t="s">
        <v>3163</v>
      </c>
      <c r="C1709" s="31"/>
      <c r="D1709" s="922">
        <f>'BASIC DATA'!$C$577</f>
        <v>0.13614999999999999</v>
      </c>
      <c r="E1709" s="85">
        <f>ROUND(E1708*D1709,1)</f>
        <v>27.3</v>
      </c>
      <c r="G1709" s="31"/>
    </row>
    <row r="1710" spans="1:8">
      <c r="A1710" s="822"/>
      <c r="B1710" s="60" t="s">
        <v>5949</v>
      </c>
      <c r="C1710" s="31"/>
      <c r="D1710" s="31"/>
      <c r="E1710" s="739">
        <f>E1709+E1708</f>
        <v>227.8</v>
      </c>
      <c r="G1710" s="31"/>
    </row>
    <row r="1711" spans="1:8">
      <c r="A1711" s="822"/>
      <c r="B1711" s="26"/>
    </row>
    <row r="1712" spans="1:8">
      <c r="A1712" s="822"/>
      <c r="B1712" s="170" t="s">
        <v>1175</v>
      </c>
    </row>
    <row r="1713" spans="1:8">
      <c r="A1713" s="822"/>
      <c r="B1713" s="26" t="s">
        <v>1176</v>
      </c>
      <c r="F1713" s="171" t="s">
        <v>1698</v>
      </c>
      <c r="G1713" s="68">
        <f>H1692</f>
        <v>931.00000000000011</v>
      </c>
    </row>
    <row r="1714" spans="1:8">
      <c r="A1714" s="822"/>
      <c r="B1714" s="26" t="s">
        <v>1186</v>
      </c>
      <c r="F1714" s="171" t="s">
        <v>1698</v>
      </c>
      <c r="G1714" s="68">
        <f>H1699</f>
        <v>0</v>
      </c>
    </row>
    <row r="1715" spans="1:8">
      <c r="A1715" s="822"/>
      <c r="B1715" s="26" t="s">
        <v>2660</v>
      </c>
      <c r="F1715" s="171" t="s">
        <v>1698</v>
      </c>
      <c r="G1715" s="75">
        <f>H1707</f>
        <v>20050</v>
      </c>
    </row>
    <row r="1716" spans="1:8">
      <c r="A1716" s="822"/>
      <c r="E1716" s="26" t="s">
        <v>1518</v>
      </c>
      <c r="F1716" s="171" t="s">
        <v>1698</v>
      </c>
      <c r="G1716" s="205">
        <f>SUM(G1713:G1715)</f>
        <v>20981</v>
      </c>
    </row>
    <row r="1717" spans="1:8" ht="38.25" customHeight="1">
      <c r="A1717" s="822"/>
      <c r="B1717" s="1207" t="s">
        <v>1379</v>
      </c>
      <c r="C1717" s="1207"/>
      <c r="E1717" s="922">
        <f>'BASIC DATA'!$C$577</f>
        <v>0.13614999999999999</v>
      </c>
      <c r="F1717" s="26" t="s">
        <v>1698</v>
      </c>
      <c r="G1717" s="26">
        <f>G1716*E1717</f>
        <v>2856.56315</v>
      </c>
    </row>
    <row r="1718" spans="1:8">
      <c r="A1718" s="822"/>
      <c r="B1718" s="26" t="s">
        <v>1191</v>
      </c>
      <c r="D1718" s="68">
        <f>G1683</f>
        <v>100</v>
      </c>
      <c r="E1718" s="68" t="str">
        <f>H1683</f>
        <v>cum</v>
      </c>
      <c r="F1718" s="26" t="s">
        <v>1698</v>
      </c>
      <c r="G1718" s="211">
        <f>G1717+G1716</f>
        <v>23837.563150000002</v>
      </c>
    </row>
    <row r="1719" spans="1:8">
      <c r="A1719" s="822"/>
      <c r="B1719" s="170" t="s">
        <v>1584</v>
      </c>
      <c r="C1719" s="211" t="str">
        <f>E1718</f>
        <v>cum</v>
      </c>
      <c r="D1719" s="26" t="s">
        <v>5882</v>
      </c>
      <c r="F1719" s="26" t="s">
        <v>4108</v>
      </c>
      <c r="G1719" s="211">
        <f>ROUND(G1718/D1718,1)</f>
        <v>238.4</v>
      </c>
    </row>
    <row r="1720" spans="1:8">
      <c r="A1720" s="822"/>
    </row>
    <row r="1721" spans="1:8">
      <c r="A1721" s="822"/>
    </row>
    <row r="1722" spans="1:8">
      <c r="A1722" s="865" t="s">
        <v>5501</v>
      </c>
      <c r="B1722" s="170" t="s">
        <v>9183</v>
      </c>
    </row>
    <row r="1723" spans="1:8">
      <c r="B1723" s="26" t="s">
        <v>9184</v>
      </c>
    </row>
    <row r="1724" spans="1:8">
      <c r="B1724" s="170" t="s">
        <v>992</v>
      </c>
    </row>
    <row r="1725" spans="1:8">
      <c r="B1725" s="26"/>
    </row>
    <row r="1726" spans="1:8" hidden="1">
      <c r="A1726" s="865" t="s">
        <v>3984</v>
      </c>
      <c r="B1726" s="26" t="s">
        <v>2581</v>
      </c>
      <c r="G1726" s="78"/>
    </row>
    <row r="1727" spans="1:8" hidden="1">
      <c r="A1727" s="865">
        <v>1</v>
      </c>
      <c r="B1727" s="26" t="s">
        <v>4302</v>
      </c>
    </row>
    <row r="1728" spans="1:8" hidden="1">
      <c r="B1728" s="26" t="s">
        <v>2305</v>
      </c>
      <c r="F1728" s="78" t="s">
        <v>1697</v>
      </c>
      <c r="G1728" s="202">
        <v>0.2</v>
      </c>
      <c r="H1728" s="26" t="s">
        <v>3477</v>
      </c>
    </row>
    <row r="1729" spans="1:8" hidden="1">
      <c r="B1729" s="26" t="s">
        <v>6669</v>
      </c>
      <c r="F1729" s="78" t="s">
        <v>1697</v>
      </c>
      <c r="G1729" s="47">
        <v>101</v>
      </c>
      <c r="H1729" s="26" t="s">
        <v>3478</v>
      </c>
    </row>
    <row r="1730" spans="1:8" hidden="1">
      <c r="B1730" s="26" t="s">
        <v>2791</v>
      </c>
      <c r="F1730" s="78" t="s">
        <v>1697</v>
      </c>
      <c r="G1730" s="47">
        <v>0.21</v>
      </c>
      <c r="H1730" s="26" t="s">
        <v>3477</v>
      </c>
    </row>
    <row r="1731" spans="1:8" hidden="1">
      <c r="A1731" s="865">
        <v>2</v>
      </c>
      <c r="B1731" s="26" t="s">
        <v>5815</v>
      </c>
      <c r="F1731" s="78"/>
      <c r="G1731" s="27"/>
    </row>
    <row r="1732" spans="1:8" hidden="1">
      <c r="B1732" s="26" t="s">
        <v>5372</v>
      </c>
      <c r="F1732" s="78" t="s">
        <v>1697</v>
      </c>
      <c r="G1732" s="47">
        <v>2</v>
      </c>
      <c r="H1732" s="26" t="s">
        <v>4041</v>
      </c>
    </row>
    <row r="1733" spans="1:8" hidden="1">
      <c r="B1733" s="26" t="s">
        <v>4303</v>
      </c>
      <c r="F1733" s="78" t="s">
        <v>1697</v>
      </c>
      <c r="G1733" s="47">
        <v>4</v>
      </c>
      <c r="H1733" s="26" t="s">
        <v>4041</v>
      </c>
    </row>
    <row r="1734" spans="1:8" hidden="1">
      <c r="B1734" s="26" t="s">
        <v>5373</v>
      </c>
      <c r="F1734" s="78" t="s">
        <v>1697</v>
      </c>
      <c r="G1734" s="47">
        <v>2</v>
      </c>
      <c r="H1734" s="26" t="s">
        <v>4041</v>
      </c>
    </row>
    <row r="1735" spans="1:8" hidden="1">
      <c r="B1735" s="26" t="s">
        <v>642</v>
      </c>
      <c r="F1735" s="78" t="s">
        <v>1697</v>
      </c>
      <c r="G1735" s="47">
        <v>1</v>
      </c>
      <c r="H1735" s="26" t="s">
        <v>4089</v>
      </c>
    </row>
    <row r="1736" spans="1:8" hidden="1">
      <c r="B1736" s="26" t="s">
        <v>2307</v>
      </c>
      <c r="F1736" s="78" t="s">
        <v>1697</v>
      </c>
      <c r="G1736" s="47">
        <v>1</v>
      </c>
      <c r="H1736" s="26" t="s">
        <v>4089</v>
      </c>
    </row>
    <row r="1737" spans="1:8" hidden="1">
      <c r="B1737" s="26" t="s">
        <v>3118</v>
      </c>
      <c r="F1737" s="78" t="s">
        <v>1697</v>
      </c>
      <c r="G1737" s="47">
        <v>1</v>
      </c>
      <c r="H1737" s="26" t="s">
        <v>4089</v>
      </c>
    </row>
    <row r="1738" spans="1:8">
      <c r="A1738" s="822"/>
      <c r="G1738" s="47"/>
    </row>
    <row r="1739" spans="1:8">
      <c r="A1739" s="822" t="s">
        <v>9215</v>
      </c>
      <c r="C1739" s="203" t="s">
        <v>2367</v>
      </c>
      <c r="D1739" s="171"/>
      <c r="F1739" s="171" t="s">
        <v>297</v>
      </c>
      <c r="G1739" s="162">
        <v>100</v>
      </c>
      <c r="H1739" s="26" t="s">
        <v>3479</v>
      </c>
    </row>
    <row r="1740" spans="1:8">
      <c r="A1740" s="822"/>
      <c r="B1740" s="79" t="s">
        <v>2368</v>
      </c>
    </row>
    <row r="1741" spans="1:8">
      <c r="A1741" s="822"/>
      <c r="B1741" s="95" t="s">
        <v>2369</v>
      </c>
      <c r="C1741" s="157" t="s">
        <v>6374</v>
      </c>
      <c r="D1741" s="195"/>
      <c r="E1741" s="95" t="s">
        <v>2370</v>
      </c>
      <c r="F1741" s="95" t="s">
        <v>1166</v>
      </c>
      <c r="G1741" s="95" t="s">
        <v>2371</v>
      </c>
      <c r="H1741" s="95" t="s">
        <v>2372</v>
      </c>
    </row>
    <row r="1742" spans="1:8">
      <c r="A1742" s="822"/>
      <c r="B1742" s="105"/>
      <c r="C1742" s="154"/>
      <c r="D1742" s="192"/>
      <c r="E1742" s="114"/>
      <c r="F1742" s="114"/>
      <c r="G1742" s="114" t="s">
        <v>3485</v>
      </c>
      <c r="H1742" s="114" t="s">
        <v>3485</v>
      </c>
    </row>
    <row r="1743" spans="1:8">
      <c r="A1743" s="822"/>
      <c r="B1743" s="95">
        <v>1</v>
      </c>
      <c r="C1743" s="148" t="s">
        <v>7327</v>
      </c>
      <c r="D1743" s="195"/>
      <c r="E1743" s="95" t="s">
        <v>3478</v>
      </c>
      <c r="F1743" s="190">
        <v>101</v>
      </c>
      <c r="G1743" s="214">
        <f>'BASIC DATA'!D32/1000</f>
        <v>5.35</v>
      </c>
      <c r="H1743" s="179">
        <f>F1743*G1743</f>
        <v>540.34999999999991</v>
      </c>
    </row>
    <row r="1744" spans="1:8" s="61" customFormat="1">
      <c r="A1744" s="853"/>
      <c r="B1744" s="237">
        <v>2</v>
      </c>
      <c r="C1744" s="307" t="s">
        <v>7937</v>
      </c>
      <c r="D1744" s="242"/>
      <c r="E1744" s="237" t="s">
        <v>3477</v>
      </c>
      <c r="F1744" s="289">
        <v>0.21</v>
      </c>
      <c r="G1744" s="284">
        <f>'BASIC DATA'!D57</f>
        <v>165</v>
      </c>
      <c r="H1744" s="289">
        <f>F1744*G1744</f>
        <v>34.65</v>
      </c>
    </row>
    <row r="1745" spans="1:8">
      <c r="A1745" s="822"/>
      <c r="B1745" s="92"/>
      <c r="C1745" s="159"/>
      <c r="D1745" s="159" t="s">
        <v>2376</v>
      </c>
      <c r="E1745" s="159"/>
      <c r="F1745" s="238"/>
      <c r="G1745" s="236" t="s">
        <v>1698</v>
      </c>
      <c r="H1745" s="318">
        <f>SUM(H1743:H1744)</f>
        <v>574.99999999999989</v>
      </c>
    </row>
    <row r="1746" spans="1:8">
      <c r="A1746" s="822"/>
    </row>
    <row r="1747" spans="1:8">
      <c r="A1747" s="822"/>
      <c r="B1747" s="79" t="s">
        <v>2377</v>
      </c>
    </row>
    <row r="1748" spans="1:8">
      <c r="A1748" s="822"/>
      <c r="B1748" s="95" t="s">
        <v>2369</v>
      </c>
      <c r="C1748" s="157" t="s">
        <v>2378</v>
      </c>
      <c r="D1748" s="195"/>
      <c r="E1748" s="95" t="s">
        <v>2370</v>
      </c>
      <c r="F1748" s="95" t="s">
        <v>1166</v>
      </c>
      <c r="G1748" s="95" t="s">
        <v>2371</v>
      </c>
      <c r="H1748" s="95" t="s">
        <v>2372</v>
      </c>
    </row>
    <row r="1749" spans="1:8">
      <c r="A1749" s="822"/>
      <c r="B1749" s="114"/>
      <c r="C1749" s="154"/>
      <c r="D1749" s="192"/>
      <c r="E1749" s="114"/>
      <c r="F1749" s="114"/>
      <c r="G1749" s="114" t="s">
        <v>3485</v>
      </c>
      <c r="H1749" s="114" t="s">
        <v>3485</v>
      </c>
    </row>
    <row r="1750" spans="1:8">
      <c r="A1750" s="822"/>
      <c r="B1750" s="105">
        <v>1</v>
      </c>
      <c r="C1750" s="93" t="s">
        <v>6976</v>
      </c>
      <c r="E1750" s="210"/>
      <c r="F1750" s="190">
        <v>0</v>
      </c>
      <c r="G1750" s="190">
        <v>0</v>
      </c>
      <c r="H1750" s="190">
        <f>F1750*G1750</f>
        <v>0</v>
      </c>
    </row>
    <row r="1751" spans="1:8">
      <c r="A1751" s="822"/>
      <c r="B1751" s="275"/>
      <c r="C1751" s="139"/>
      <c r="D1751" s="174"/>
      <c r="E1751" s="191"/>
      <c r="F1751" s="182">
        <v>0</v>
      </c>
      <c r="G1751" s="182">
        <v>0</v>
      </c>
      <c r="H1751" s="182">
        <f>F1751*G1751</f>
        <v>0</v>
      </c>
    </row>
    <row r="1752" spans="1:8">
      <c r="A1752" s="822"/>
      <c r="B1752" s="176"/>
      <c r="C1752" s="174"/>
      <c r="D1752" s="174" t="s">
        <v>2380</v>
      </c>
      <c r="E1752" s="174"/>
      <c r="F1752" s="192"/>
      <c r="G1752" s="275" t="s">
        <v>1698</v>
      </c>
      <c r="H1752" s="318">
        <f>SUM(H1750:H1751)</f>
        <v>0</v>
      </c>
    </row>
    <row r="1753" spans="1:8">
      <c r="A1753" s="822"/>
    </row>
    <row r="1754" spans="1:8">
      <c r="A1754" s="822"/>
      <c r="B1754" s="79" t="s">
        <v>2381</v>
      </c>
    </row>
    <row r="1755" spans="1:8">
      <c r="A1755" s="822"/>
      <c r="B1755" s="95" t="s">
        <v>2369</v>
      </c>
      <c r="C1755" s="157" t="s">
        <v>2378</v>
      </c>
      <c r="D1755" s="195"/>
      <c r="E1755" s="95" t="s">
        <v>2370</v>
      </c>
      <c r="F1755" s="95" t="s">
        <v>1166</v>
      </c>
      <c r="G1755" s="95" t="s">
        <v>2371</v>
      </c>
      <c r="H1755" s="95" t="s">
        <v>2372</v>
      </c>
    </row>
    <row r="1756" spans="1:8">
      <c r="A1756" s="822"/>
      <c r="B1756" s="114"/>
      <c r="C1756" s="154"/>
      <c r="D1756" s="192"/>
      <c r="E1756" s="105"/>
      <c r="F1756" s="114"/>
      <c r="G1756" s="114" t="s">
        <v>3485</v>
      </c>
      <c r="H1756" s="114" t="s">
        <v>3485</v>
      </c>
    </row>
    <row r="1757" spans="1:8">
      <c r="A1757" s="822"/>
      <c r="B1757" s="95">
        <v>1</v>
      </c>
      <c r="C1757" s="148" t="s">
        <v>4206</v>
      </c>
      <c r="D1757" s="187"/>
      <c r="E1757" s="107" t="s">
        <v>1172</v>
      </c>
      <c r="F1757" s="178">
        <v>1</v>
      </c>
      <c r="G1757" s="179">
        <f>'BASIC DATA'!C473</f>
        <v>450</v>
      </c>
      <c r="H1757" s="179">
        <f>F1757*G1757</f>
        <v>450</v>
      </c>
    </row>
    <row r="1758" spans="1:8">
      <c r="A1758" s="822"/>
      <c r="B1758" s="105">
        <v>2</v>
      </c>
      <c r="C1758" s="76" t="s">
        <v>5606</v>
      </c>
      <c r="D1758" s="31"/>
      <c r="E1758" s="210" t="s">
        <v>1172</v>
      </c>
      <c r="F1758" s="207">
        <v>4</v>
      </c>
      <c r="G1758" s="190">
        <f>'BASIC DATA'!C474</f>
        <v>445</v>
      </c>
      <c r="H1758" s="190">
        <f>F1758*G1758</f>
        <v>1780</v>
      </c>
    </row>
    <row r="1759" spans="1:8">
      <c r="A1759" s="822"/>
      <c r="B1759" s="105">
        <v>3</v>
      </c>
      <c r="C1759" s="76" t="s">
        <v>2697</v>
      </c>
      <c r="D1759" s="31"/>
      <c r="E1759" s="210" t="s">
        <v>1172</v>
      </c>
      <c r="F1759" s="207">
        <v>6</v>
      </c>
      <c r="G1759" s="190">
        <f>'BASIC DATA'!C552</f>
        <v>350</v>
      </c>
      <c r="H1759" s="190">
        <f>F1759*G1759</f>
        <v>2100</v>
      </c>
    </row>
    <row r="1760" spans="1:8">
      <c r="A1760" s="822"/>
      <c r="B1760" s="114">
        <v>4</v>
      </c>
      <c r="C1760" s="89" t="s">
        <v>7658</v>
      </c>
      <c r="D1760" s="174"/>
      <c r="E1760" s="191" t="s">
        <v>1172</v>
      </c>
      <c r="F1760" s="181">
        <v>1</v>
      </c>
      <c r="G1760" s="190">
        <f>'BASIC DATA'!C511</f>
        <v>465</v>
      </c>
      <c r="H1760" s="190">
        <f>F1760*G1760</f>
        <v>465</v>
      </c>
    </row>
    <row r="1761" spans="1:8">
      <c r="A1761" s="822"/>
      <c r="B1761" s="176"/>
      <c r="C1761" s="174"/>
      <c r="D1761" s="174" t="s">
        <v>1174</v>
      </c>
      <c r="E1761" s="174"/>
      <c r="F1761" s="192"/>
      <c r="G1761" s="236" t="s">
        <v>1698</v>
      </c>
      <c r="H1761" s="318">
        <f>SUM(H1757:H1760)</f>
        <v>4795</v>
      </c>
    </row>
    <row r="1762" spans="1:8">
      <c r="A1762" s="822"/>
      <c r="B1762" s="60" t="s">
        <v>5948</v>
      </c>
      <c r="C1762" s="31"/>
      <c r="D1762" s="31"/>
      <c r="E1762" s="85">
        <f>ROUND(H1761/G1739,1)</f>
        <v>48</v>
      </c>
      <c r="G1762" s="31"/>
    </row>
    <row r="1763" spans="1:8">
      <c r="A1763" s="822"/>
      <c r="B1763" s="60" t="s">
        <v>3163</v>
      </c>
      <c r="C1763" s="31"/>
      <c r="D1763" s="922">
        <f>'BASIC DATA'!$C$577</f>
        <v>0.13614999999999999</v>
      </c>
      <c r="E1763" s="85">
        <f>ROUND(E1762*D1763,1)</f>
        <v>6.5</v>
      </c>
      <c r="G1763" s="31"/>
    </row>
    <row r="1764" spans="1:8">
      <c r="A1764" s="822"/>
      <c r="B1764" s="60" t="s">
        <v>5949</v>
      </c>
      <c r="C1764" s="31"/>
      <c r="D1764" s="31"/>
      <c r="E1764" s="739">
        <f>E1763+E1762</f>
        <v>54.5</v>
      </c>
      <c r="G1764" s="31"/>
    </row>
    <row r="1765" spans="1:8">
      <c r="A1765" s="822"/>
      <c r="B1765" s="26"/>
    </row>
    <row r="1766" spans="1:8">
      <c r="A1766" s="822"/>
      <c r="B1766" s="170" t="s">
        <v>1175</v>
      </c>
    </row>
    <row r="1767" spans="1:8">
      <c r="A1767" s="822"/>
      <c r="B1767" s="26" t="s">
        <v>1176</v>
      </c>
      <c r="F1767" s="171" t="s">
        <v>1698</v>
      </c>
      <c r="G1767" s="68">
        <f>H1745</f>
        <v>574.99999999999989</v>
      </c>
    </row>
    <row r="1768" spans="1:8">
      <c r="A1768" s="822"/>
      <c r="B1768" s="26" t="s">
        <v>1186</v>
      </c>
      <c r="F1768" s="171" t="s">
        <v>1698</v>
      </c>
      <c r="G1768" s="68">
        <f>H1752</f>
        <v>0</v>
      </c>
    </row>
    <row r="1769" spans="1:8">
      <c r="A1769" s="822"/>
      <c r="B1769" s="26" t="s">
        <v>2660</v>
      </c>
      <c r="F1769" s="171" t="s">
        <v>1698</v>
      </c>
      <c r="G1769" s="75">
        <f>H1761</f>
        <v>4795</v>
      </c>
    </row>
    <row r="1770" spans="1:8">
      <c r="A1770" s="822"/>
      <c r="E1770" s="26" t="s">
        <v>1518</v>
      </c>
      <c r="F1770" s="171" t="s">
        <v>1698</v>
      </c>
      <c r="G1770" s="205">
        <f>SUM(G1767:G1769)</f>
        <v>5370</v>
      </c>
    </row>
    <row r="1771" spans="1:8" ht="38.25" customHeight="1">
      <c r="A1771" s="822"/>
      <c r="B1771" s="1207" t="s">
        <v>1379</v>
      </c>
      <c r="C1771" s="1207"/>
      <c r="E1771" s="922">
        <f>'BASIC DATA'!$C$577</f>
        <v>0.13614999999999999</v>
      </c>
      <c r="F1771" s="26" t="s">
        <v>1698</v>
      </c>
      <c r="G1771" s="26">
        <f>G1770*E1771</f>
        <v>731.12549999999999</v>
      </c>
    </row>
    <row r="1772" spans="1:8">
      <c r="A1772" s="822"/>
      <c r="B1772" s="26" t="s">
        <v>1191</v>
      </c>
      <c r="D1772" s="68">
        <f>G1739</f>
        <v>100</v>
      </c>
      <c r="E1772" s="68" t="str">
        <f>H1739</f>
        <v>sqm</v>
      </c>
      <c r="F1772" s="26" t="s">
        <v>1698</v>
      </c>
      <c r="G1772" s="211">
        <f>G1771+G1770</f>
        <v>6101.1255000000001</v>
      </c>
    </row>
    <row r="1773" spans="1:8">
      <c r="A1773" s="822"/>
      <c r="B1773" s="170" t="s">
        <v>1584</v>
      </c>
      <c r="C1773" s="211" t="str">
        <f>E1772</f>
        <v>sqm</v>
      </c>
      <c r="D1773" s="26" t="s">
        <v>5882</v>
      </c>
      <c r="F1773" s="26" t="s">
        <v>4108</v>
      </c>
      <c r="G1773" s="211">
        <f>ROUND(G1772/D1772,1)</f>
        <v>61</v>
      </c>
    </row>
    <row r="1774" spans="1:8">
      <c r="A1774" s="822"/>
    </row>
    <row r="1775" spans="1:8">
      <c r="A1775" s="822"/>
    </row>
    <row r="1776" spans="1:8">
      <c r="A1776" s="865" t="s">
        <v>5502</v>
      </c>
      <c r="B1776" s="170" t="s">
        <v>9185</v>
      </c>
    </row>
    <row r="1777" spans="1:8">
      <c r="B1777" s="26" t="s">
        <v>9186</v>
      </c>
    </row>
    <row r="1778" spans="1:8">
      <c r="B1778" s="26"/>
    </row>
    <row r="1779" spans="1:8" hidden="1">
      <c r="A1779" s="865" t="s">
        <v>3984</v>
      </c>
      <c r="B1779" s="26" t="s">
        <v>2817</v>
      </c>
      <c r="G1779" s="78"/>
    </row>
    <row r="1780" spans="1:8" hidden="1">
      <c r="B1780" s="26" t="s">
        <v>4302</v>
      </c>
    </row>
    <row r="1781" spans="1:8" hidden="1">
      <c r="B1781" s="26" t="s">
        <v>1541</v>
      </c>
    </row>
    <row r="1782" spans="1:8" hidden="1">
      <c r="B1782" s="26" t="s">
        <v>5815</v>
      </c>
    </row>
    <row r="1783" spans="1:8" hidden="1">
      <c r="B1783" s="26" t="s">
        <v>5374</v>
      </c>
      <c r="F1783" s="78" t="s">
        <v>1697</v>
      </c>
      <c r="G1783" s="26">
        <v>6</v>
      </c>
      <c r="H1783" s="26" t="s">
        <v>2059</v>
      </c>
    </row>
    <row r="1784" spans="1:8" hidden="1">
      <c r="B1784" s="26" t="s">
        <v>5589</v>
      </c>
      <c r="F1784" s="78" t="s">
        <v>1697</v>
      </c>
      <c r="G1784" s="26">
        <v>6</v>
      </c>
      <c r="H1784" s="26" t="s">
        <v>2059</v>
      </c>
    </row>
    <row r="1785" spans="1:8">
      <c r="A1785" s="822"/>
    </row>
    <row r="1786" spans="1:8">
      <c r="A1786" s="822" t="s">
        <v>9215</v>
      </c>
      <c r="C1786" s="203" t="s">
        <v>2367</v>
      </c>
      <c r="D1786" s="171"/>
      <c r="F1786" s="171" t="s">
        <v>297</v>
      </c>
      <c r="G1786" s="162">
        <v>100</v>
      </c>
      <c r="H1786" s="26" t="s">
        <v>3479</v>
      </c>
    </row>
    <row r="1787" spans="1:8">
      <c r="A1787" s="822"/>
      <c r="B1787" s="79" t="s">
        <v>2368</v>
      </c>
    </row>
    <row r="1788" spans="1:8">
      <c r="A1788" s="822"/>
      <c r="B1788" s="95" t="s">
        <v>2369</v>
      </c>
      <c r="C1788" s="157" t="s">
        <v>6374</v>
      </c>
      <c r="D1788" s="195"/>
      <c r="E1788" s="95" t="s">
        <v>2370</v>
      </c>
      <c r="F1788" s="95" t="s">
        <v>1166</v>
      </c>
      <c r="G1788" s="95" t="s">
        <v>2371</v>
      </c>
      <c r="H1788" s="95" t="s">
        <v>2372</v>
      </c>
    </row>
    <row r="1789" spans="1:8">
      <c r="A1789" s="822"/>
      <c r="B1789" s="114"/>
      <c r="C1789" s="154"/>
      <c r="D1789" s="192"/>
      <c r="E1789" s="114"/>
      <c r="F1789" s="114"/>
      <c r="G1789" s="114" t="s">
        <v>3485</v>
      </c>
      <c r="H1789" s="114" t="s">
        <v>3485</v>
      </c>
    </row>
    <row r="1790" spans="1:8">
      <c r="A1790" s="822"/>
      <c r="B1790" s="95">
        <v>1</v>
      </c>
      <c r="C1790" s="93" t="s">
        <v>6976</v>
      </c>
      <c r="E1790" s="95"/>
      <c r="F1790" s="190">
        <v>0</v>
      </c>
      <c r="G1790" s="190">
        <v>0</v>
      </c>
      <c r="H1790" s="190">
        <f>F1790*G1790</f>
        <v>0</v>
      </c>
    </row>
    <row r="1791" spans="1:8">
      <c r="A1791" s="822"/>
      <c r="B1791" s="275"/>
      <c r="C1791" s="135"/>
      <c r="D1791" s="31"/>
      <c r="E1791" s="105"/>
      <c r="F1791" s="190">
        <v>0</v>
      </c>
      <c r="G1791" s="182">
        <v>0</v>
      </c>
      <c r="H1791" s="182">
        <f>F1791*G1791</f>
        <v>0</v>
      </c>
    </row>
    <row r="1792" spans="1:8">
      <c r="A1792" s="822"/>
      <c r="B1792" s="92"/>
      <c r="C1792" s="159"/>
      <c r="D1792" s="159" t="s">
        <v>2376</v>
      </c>
      <c r="E1792" s="159"/>
      <c r="F1792" s="238"/>
      <c r="G1792" s="236" t="s">
        <v>1698</v>
      </c>
      <c r="H1792" s="318">
        <f>SUM(H1790:H1791)</f>
        <v>0</v>
      </c>
    </row>
    <row r="1793" spans="1:8">
      <c r="A1793" s="822"/>
    </row>
    <row r="1794" spans="1:8">
      <c r="A1794" s="822"/>
      <c r="B1794" s="79" t="s">
        <v>2377</v>
      </c>
    </row>
    <row r="1795" spans="1:8">
      <c r="A1795" s="822"/>
      <c r="B1795" s="95" t="s">
        <v>2369</v>
      </c>
      <c r="C1795" s="157" t="s">
        <v>2378</v>
      </c>
      <c r="D1795" s="195"/>
      <c r="E1795" s="95" t="s">
        <v>2370</v>
      </c>
      <c r="F1795" s="95" t="s">
        <v>1166</v>
      </c>
      <c r="G1795" s="95" t="s">
        <v>2371</v>
      </c>
      <c r="H1795" s="95" t="s">
        <v>2372</v>
      </c>
    </row>
    <row r="1796" spans="1:8">
      <c r="A1796" s="822"/>
      <c r="B1796" s="114"/>
      <c r="C1796" s="154"/>
      <c r="D1796" s="192"/>
      <c r="E1796" s="114"/>
      <c r="F1796" s="114"/>
      <c r="G1796" s="114" t="s">
        <v>3485</v>
      </c>
      <c r="H1796" s="114" t="s">
        <v>3485</v>
      </c>
    </row>
    <row r="1797" spans="1:8">
      <c r="A1797" s="822"/>
      <c r="B1797" s="105">
        <v>1</v>
      </c>
      <c r="C1797" s="93" t="s">
        <v>6976</v>
      </c>
      <c r="E1797" s="210"/>
      <c r="F1797" s="190">
        <v>0</v>
      </c>
      <c r="G1797" s="190">
        <v>0</v>
      </c>
      <c r="H1797" s="190">
        <f>F1797*G1797</f>
        <v>0</v>
      </c>
    </row>
    <row r="1798" spans="1:8">
      <c r="A1798" s="822"/>
      <c r="B1798" s="275"/>
      <c r="C1798" s="139"/>
      <c r="D1798" s="174"/>
      <c r="E1798" s="191"/>
      <c r="F1798" s="182">
        <v>0</v>
      </c>
      <c r="G1798" s="182">
        <v>0</v>
      </c>
      <c r="H1798" s="182">
        <f>F1798*G1798</f>
        <v>0</v>
      </c>
    </row>
    <row r="1799" spans="1:8">
      <c r="A1799" s="822"/>
      <c r="B1799" s="176"/>
      <c r="C1799" s="174"/>
      <c r="D1799" s="174" t="s">
        <v>2380</v>
      </c>
      <c r="E1799" s="174"/>
      <c r="F1799" s="192"/>
      <c r="G1799" s="275" t="s">
        <v>1698</v>
      </c>
      <c r="H1799" s="318">
        <f>SUM(H1797:H1798)</f>
        <v>0</v>
      </c>
    </row>
    <row r="1800" spans="1:8">
      <c r="A1800" s="822"/>
    </row>
    <row r="1801" spans="1:8">
      <c r="A1801" s="822"/>
      <c r="B1801" s="79" t="s">
        <v>2381</v>
      </c>
    </row>
    <row r="1802" spans="1:8">
      <c r="A1802" s="822"/>
      <c r="B1802" s="95" t="s">
        <v>2369</v>
      </c>
      <c r="C1802" s="157" t="s">
        <v>2378</v>
      </c>
      <c r="D1802" s="195"/>
      <c r="E1802" s="95" t="s">
        <v>2370</v>
      </c>
      <c r="F1802" s="95" t="s">
        <v>1166</v>
      </c>
      <c r="G1802" s="95" t="s">
        <v>2371</v>
      </c>
      <c r="H1802" s="95" t="s">
        <v>2372</v>
      </c>
    </row>
    <row r="1803" spans="1:8">
      <c r="A1803" s="822"/>
      <c r="B1803" s="114"/>
      <c r="C1803" s="154"/>
      <c r="D1803" s="192"/>
      <c r="E1803" s="105"/>
      <c r="F1803" s="114"/>
      <c r="G1803" s="114" t="s">
        <v>3485</v>
      </c>
      <c r="H1803" s="114" t="s">
        <v>3485</v>
      </c>
    </row>
    <row r="1804" spans="1:8">
      <c r="A1804" s="822"/>
      <c r="B1804" s="95">
        <v>1</v>
      </c>
      <c r="C1804" s="148" t="s">
        <v>4206</v>
      </c>
      <c r="D1804" s="187"/>
      <c r="E1804" s="107" t="s">
        <v>1172</v>
      </c>
      <c r="F1804" s="178">
        <v>1</v>
      </c>
      <c r="G1804" s="179">
        <f>'BASIC DATA'!C473</f>
        <v>450</v>
      </c>
      <c r="H1804" s="179">
        <f>F1804*G1804</f>
        <v>450</v>
      </c>
    </row>
    <row r="1805" spans="1:8">
      <c r="A1805" s="822"/>
      <c r="B1805" s="105">
        <v>2</v>
      </c>
      <c r="C1805" s="76" t="s">
        <v>5607</v>
      </c>
      <c r="D1805" s="31"/>
      <c r="E1805" s="210" t="s">
        <v>1172</v>
      </c>
      <c r="F1805" s="207">
        <v>6</v>
      </c>
      <c r="G1805" s="190">
        <f>'BASIC DATA'!C541</f>
        <v>400</v>
      </c>
      <c r="H1805" s="190">
        <f>F1805*G1805</f>
        <v>2400</v>
      </c>
    </row>
    <row r="1806" spans="1:8">
      <c r="A1806" s="822"/>
      <c r="B1806" s="114">
        <v>3</v>
      </c>
      <c r="C1806" s="89" t="s">
        <v>2697</v>
      </c>
      <c r="D1806" s="174"/>
      <c r="E1806" s="191" t="s">
        <v>1172</v>
      </c>
      <c r="F1806" s="181">
        <v>6</v>
      </c>
      <c r="G1806" s="182">
        <f>'BASIC DATA'!C552</f>
        <v>350</v>
      </c>
      <c r="H1806" s="182">
        <f>F1806*G1806</f>
        <v>2100</v>
      </c>
    </row>
    <row r="1807" spans="1:8">
      <c r="A1807" s="822"/>
      <c r="B1807" s="176"/>
      <c r="C1807" s="174"/>
      <c r="D1807" s="174" t="s">
        <v>1174</v>
      </c>
      <c r="E1807" s="174"/>
      <c r="F1807" s="192"/>
      <c r="G1807" s="275" t="s">
        <v>1698</v>
      </c>
      <c r="H1807" s="318">
        <f>SUM(H1804:H1806)</f>
        <v>4950</v>
      </c>
    </row>
    <row r="1808" spans="1:8">
      <c r="A1808" s="822"/>
      <c r="B1808" s="60" t="s">
        <v>5948</v>
      </c>
      <c r="C1808" s="31"/>
      <c r="D1808" s="31"/>
      <c r="E1808" s="85">
        <f>ROUND(H1807/G1786,1)</f>
        <v>49.5</v>
      </c>
      <c r="G1808" s="31"/>
    </row>
    <row r="1809" spans="1:7">
      <c r="A1809" s="822"/>
      <c r="B1809" s="60" t="s">
        <v>3163</v>
      </c>
      <c r="C1809" s="31"/>
      <c r="D1809" s="922">
        <f>'BASIC DATA'!$C$577</f>
        <v>0.13614999999999999</v>
      </c>
      <c r="E1809" s="85">
        <f>ROUND(E1808*D1809,1)</f>
        <v>6.7</v>
      </c>
      <c r="G1809" s="31"/>
    </row>
    <row r="1810" spans="1:7">
      <c r="A1810" s="822"/>
      <c r="B1810" s="60" t="s">
        <v>5949</v>
      </c>
      <c r="C1810" s="31"/>
      <c r="D1810" s="31"/>
      <c r="E1810" s="739">
        <f>E1809+E1808</f>
        <v>56.2</v>
      </c>
      <c r="G1810" s="31"/>
    </row>
    <row r="1811" spans="1:7">
      <c r="A1811" s="822"/>
      <c r="B1811" s="26"/>
    </row>
    <row r="1812" spans="1:7">
      <c r="A1812" s="822"/>
      <c r="B1812" s="170" t="s">
        <v>1175</v>
      </c>
    </row>
    <row r="1813" spans="1:7">
      <c r="A1813" s="822"/>
      <c r="B1813" s="26" t="s">
        <v>1176</v>
      </c>
      <c r="F1813" s="171" t="s">
        <v>1698</v>
      </c>
      <c r="G1813" s="68">
        <f>H1792</f>
        <v>0</v>
      </c>
    </row>
    <row r="1814" spans="1:7">
      <c r="A1814" s="822"/>
      <c r="B1814" s="26" t="s">
        <v>1186</v>
      </c>
      <c r="F1814" s="171" t="s">
        <v>1698</v>
      </c>
      <c r="G1814" s="68">
        <f>H1799</f>
        <v>0</v>
      </c>
    </row>
    <row r="1815" spans="1:7">
      <c r="A1815" s="822"/>
      <c r="B1815" s="26" t="s">
        <v>2660</v>
      </c>
      <c r="F1815" s="171" t="s">
        <v>1698</v>
      </c>
      <c r="G1815" s="75">
        <f>H1807</f>
        <v>4950</v>
      </c>
    </row>
    <row r="1816" spans="1:7">
      <c r="A1816" s="822"/>
      <c r="E1816" s="26" t="s">
        <v>1518</v>
      </c>
      <c r="F1816" s="171" t="s">
        <v>1698</v>
      </c>
      <c r="G1816" s="205">
        <f>SUM(G1813:G1815)</f>
        <v>4950</v>
      </c>
    </row>
    <row r="1817" spans="1:7" ht="38.25" customHeight="1">
      <c r="A1817" s="822"/>
      <c r="B1817" s="1207" t="s">
        <v>1379</v>
      </c>
      <c r="C1817" s="1207"/>
      <c r="E1817" s="922">
        <f>'BASIC DATA'!$C$577</f>
        <v>0.13614999999999999</v>
      </c>
      <c r="F1817" s="26" t="s">
        <v>1698</v>
      </c>
      <c r="G1817" s="26">
        <f>G1816*E1817</f>
        <v>673.9425</v>
      </c>
    </row>
    <row r="1818" spans="1:7">
      <c r="A1818" s="822"/>
      <c r="B1818" s="26" t="s">
        <v>1191</v>
      </c>
      <c r="D1818" s="68">
        <f>G1786</f>
        <v>100</v>
      </c>
      <c r="E1818" s="68" t="str">
        <f>H1786</f>
        <v>sqm</v>
      </c>
      <c r="F1818" s="26" t="s">
        <v>1698</v>
      </c>
      <c r="G1818" s="211">
        <f>G1817+G1816</f>
        <v>5623.9425000000001</v>
      </c>
    </row>
    <row r="1819" spans="1:7">
      <c r="A1819" s="822"/>
      <c r="B1819" s="170" t="s">
        <v>1584</v>
      </c>
      <c r="C1819" s="211" t="str">
        <f>E1818</f>
        <v>sqm</v>
      </c>
      <c r="D1819" s="26" t="s">
        <v>5882</v>
      </c>
      <c r="F1819" s="26" t="s">
        <v>4108</v>
      </c>
      <c r="G1819" s="211">
        <f>ROUND(G1818/D1818,1)</f>
        <v>56.2</v>
      </c>
    </row>
    <row r="1820" spans="1:7">
      <c r="A1820" s="822"/>
    </row>
    <row r="1821" spans="1:7">
      <c r="A1821" s="822"/>
    </row>
    <row r="1822" spans="1:7">
      <c r="A1822" s="865" t="s">
        <v>5503</v>
      </c>
      <c r="B1822" s="170" t="s">
        <v>4474</v>
      </c>
    </row>
    <row r="1823" spans="1:7">
      <c r="B1823" s="26" t="s">
        <v>9115</v>
      </c>
    </row>
    <row r="1824" spans="1:7">
      <c r="B1824" s="26"/>
    </row>
    <row r="1825" spans="1:8" hidden="1">
      <c r="A1825" s="865" t="s">
        <v>3984</v>
      </c>
      <c r="B1825" s="26" t="s">
        <v>6139</v>
      </c>
    </row>
    <row r="1826" spans="1:8" hidden="1">
      <c r="B1826" s="26" t="s">
        <v>4322</v>
      </c>
      <c r="G1826" s="78"/>
    </row>
    <row r="1827" spans="1:8">
      <c r="A1827" s="822"/>
    </row>
    <row r="1828" spans="1:8">
      <c r="A1828" s="822" t="s">
        <v>3984</v>
      </c>
      <c r="C1828" s="203" t="s">
        <v>2367</v>
      </c>
      <c r="D1828" s="171"/>
      <c r="F1828" s="171" t="s">
        <v>297</v>
      </c>
      <c r="G1828" s="162">
        <v>18</v>
      </c>
      <c r="H1828" s="26" t="s">
        <v>4041</v>
      </c>
    </row>
    <row r="1829" spans="1:8">
      <c r="A1829" s="822"/>
      <c r="B1829" s="79" t="s">
        <v>2368</v>
      </c>
    </row>
    <row r="1830" spans="1:8">
      <c r="A1830" s="822"/>
      <c r="B1830" s="95" t="s">
        <v>2369</v>
      </c>
      <c r="C1830" s="157" t="s">
        <v>6374</v>
      </c>
      <c r="D1830" s="195"/>
      <c r="E1830" s="95" t="s">
        <v>2370</v>
      </c>
      <c r="F1830" s="95" t="s">
        <v>1166</v>
      </c>
      <c r="G1830" s="95" t="s">
        <v>2371</v>
      </c>
      <c r="H1830" s="95" t="s">
        <v>2372</v>
      </c>
    </row>
    <row r="1831" spans="1:8">
      <c r="A1831" s="822"/>
      <c r="B1831" s="114"/>
      <c r="C1831" s="154"/>
      <c r="D1831" s="192"/>
      <c r="E1831" s="114"/>
      <c r="F1831" s="114"/>
      <c r="G1831" s="114" t="s">
        <v>3485</v>
      </c>
      <c r="H1831" s="114" t="s">
        <v>3485</v>
      </c>
    </row>
    <row r="1832" spans="1:8">
      <c r="A1832" s="822"/>
      <c r="B1832" s="95">
        <v>1</v>
      </c>
      <c r="C1832" s="93" t="s">
        <v>6976</v>
      </c>
      <c r="E1832" s="95"/>
      <c r="F1832" s="190">
        <v>0</v>
      </c>
      <c r="G1832" s="190">
        <v>0</v>
      </c>
      <c r="H1832" s="190">
        <f>F1832*G1832</f>
        <v>0</v>
      </c>
    </row>
    <row r="1833" spans="1:8">
      <c r="A1833" s="822"/>
      <c r="B1833" s="275"/>
      <c r="C1833" s="135"/>
      <c r="D1833" s="31"/>
      <c r="E1833" s="105"/>
      <c r="F1833" s="190">
        <v>0</v>
      </c>
      <c r="G1833" s="182">
        <v>0</v>
      </c>
      <c r="H1833" s="182">
        <f>F1833*G1833</f>
        <v>0</v>
      </c>
    </row>
    <row r="1834" spans="1:8">
      <c r="A1834" s="822"/>
      <c r="B1834" s="92"/>
      <c r="C1834" s="159"/>
      <c r="D1834" s="159" t="s">
        <v>2376</v>
      </c>
      <c r="E1834" s="159"/>
      <c r="F1834" s="238"/>
      <c r="G1834" s="236" t="s">
        <v>1698</v>
      </c>
      <c r="H1834" s="318">
        <f>SUM(H1832:H1833)</f>
        <v>0</v>
      </c>
    </row>
    <row r="1835" spans="1:8">
      <c r="A1835" s="822"/>
    </row>
    <row r="1836" spans="1:8">
      <c r="A1836" s="822"/>
      <c r="B1836" s="79" t="s">
        <v>2377</v>
      </c>
    </row>
    <row r="1837" spans="1:8">
      <c r="A1837" s="822"/>
      <c r="B1837" s="95" t="s">
        <v>2369</v>
      </c>
      <c r="C1837" s="157" t="s">
        <v>2378</v>
      </c>
      <c r="D1837" s="195"/>
      <c r="E1837" s="95" t="s">
        <v>2370</v>
      </c>
      <c r="F1837" s="95" t="s">
        <v>1166</v>
      </c>
      <c r="G1837" s="95" t="s">
        <v>2371</v>
      </c>
      <c r="H1837" s="95" t="s">
        <v>2372</v>
      </c>
    </row>
    <row r="1838" spans="1:8">
      <c r="A1838" s="822"/>
      <c r="B1838" s="114"/>
      <c r="C1838" s="154"/>
      <c r="D1838" s="192"/>
      <c r="E1838" s="114"/>
      <c r="F1838" s="114"/>
      <c r="G1838" s="114" t="s">
        <v>3485</v>
      </c>
      <c r="H1838" s="114" t="s">
        <v>3485</v>
      </c>
    </row>
    <row r="1839" spans="1:8">
      <c r="A1839" s="822"/>
      <c r="B1839" s="105">
        <v>1</v>
      </c>
      <c r="C1839" s="93" t="s">
        <v>6976</v>
      </c>
      <c r="E1839" s="210"/>
      <c r="F1839" s="190">
        <v>0</v>
      </c>
      <c r="G1839" s="190">
        <v>0</v>
      </c>
      <c r="H1839" s="190">
        <f>F1839*G1839</f>
        <v>0</v>
      </c>
    </row>
    <row r="1840" spans="1:8">
      <c r="A1840" s="822"/>
      <c r="B1840" s="275"/>
      <c r="C1840" s="139"/>
      <c r="D1840" s="174"/>
      <c r="E1840" s="191"/>
      <c r="F1840" s="182">
        <v>0</v>
      </c>
      <c r="G1840" s="182">
        <v>0</v>
      </c>
      <c r="H1840" s="182">
        <f>F1840*G1840</f>
        <v>0</v>
      </c>
    </row>
    <row r="1841" spans="1:8">
      <c r="A1841" s="822"/>
      <c r="B1841" s="176"/>
      <c r="C1841" s="174"/>
      <c r="D1841" s="174" t="s">
        <v>2380</v>
      </c>
      <c r="E1841" s="174"/>
      <c r="F1841" s="192"/>
      <c r="G1841" s="275" t="s">
        <v>1698</v>
      </c>
      <c r="H1841" s="318">
        <f>SUM(H1839:H1840)</f>
        <v>0</v>
      </c>
    </row>
    <row r="1842" spans="1:8">
      <c r="A1842" s="822"/>
    </row>
    <row r="1843" spans="1:8">
      <c r="A1843" s="822"/>
      <c r="B1843" s="79" t="s">
        <v>2381</v>
      </c>
    </row>
    <row r="1844" spans="1:8">
      <c r="A1844" s="822"/>
      <c r="B1844" s="95" t="s">
        <v>2369</v>
      </c>
      <c r="C1844" s="157" t="s">
        <v>2378</v>
      </c>
      <c r="D1844" s="195"/>
      <c r="E1844" s="95" t="s">
        <v>2370</v>
      </c>
      <c r="F1844" s="95" t="s">
        <v>1166</v>
      </c>
      <c r="G1844" s="95" t="s">
        <v>2371</v>
      </c>
      <c r="H1844" s="95" t="s">
        <v>2372</v>
      </c>
    </row>
    <row r="1845" spans="1:8">
      <c r="A1845" s="822"/>
      <c r="B1845" s="114"/>
      <c r="C1845" s="154"/>
      <c r="D1845" s="192"/>
      <c r="E1845" s="105"/>
      <c r="F1845" s="114"/>
      <c r="G1845" s="114" t="s">
        <v>3485</v>
      </c>
      <c r="H1845" s="114" t="s">
        <v>3485</v>
      </c>
    </row>
    <row r="1846" spans="1:8">
      <c r="A1846" s="822"/>
      <c r="B1846" s="95">
        <v>1</v>
      </c>
      <c r="C1846" s="148" t="s">
        <v>4206</v>
      </c>
      <c r="D1846" s="187"/>
      <c r="E1846" s="107" t="s">
        <v>1172</v>
      </c>
      <c r="F1846" s="178">
        <v>1</v>
      </c>
      <c r="G1846" s="179">
        <f>'BASIC DATA'!C473</f>
        <v>450</v>
      </c>
      <c r="H1846" s="179">
        <f>F1846*G1846</f>
        <v>450</v>
      </c>
    </row>
    <row r="1847" spans="1:8">
      <c r="A1847" s="822"/>
      <c r="B1847" s="114">
        <v>2</v>
      </c>
      <c r="C1847" s="89" t="s">
        <v>2697</v>
      </c>
      <c r="D1847" s="174"/>
      <c r="E1847" s="191" t="s">
        <v>1172</v>
      </c>
      <c r="F1847" s="181">
        <v>2</v>
      </c>
      <c r="G1847" s="182">
        <f>'BASIC DATA'!C552</f>
        <v>350</v>
      </c>
      <c r="H1847" s="190">
        <f>F1847*G1847</f>
        <v>700</v>
      </c>
    </row>
    <row r="1848" spans="1:8">
      <c r="A1848" s="822"/>
      <c r="B1848" s="176"/>
      <c r="C1848" s="174"/>
      <c r="D1848" s="174" t="s">
        <v>1174</v>
      </c>
      <c r="E1848" s="174"/>
      <c r="F1848" s="192"/>
      <c r="G1848" s="275" t="s">
        <v>1698</v>
      </c>
      <c r="H1848" s="318">
        <f>SUM(H1846:H1847)</f>
        <v>1150</v>
      </c>
    </row>
    <row r="1849" spans="1:8">
      <c r="A1849" s="822"/>
      <c r="B1849" s="60" t="s">
        <v>5948</v>
      </c>
      <c r="C1849" s="31"/>
      <c r="D1849" s="31"/>
      <c r="E1849" s="85">
        <f>H1848/G1828</f>
        <v>63.888888888888886</v>
      </c>
      <c r="G1849" s="31"/>
    </row>
    <row r="1850" spans="1:8">
      <c r="A1850" s="822"/>
      <c r="B1850" s="60" t="s">
        <v>3163</v>
      </c>
      <c r="C1850" s="31"/>
      <c r="D1850" s="922">
        <f>'BASIC DATA'!$C$577</f>
        <v>0.13614999999999999</v>
      </c>
      <c r="E1850" s="85">
        <f>E1849*D1850</f>
        <v>8.6984722222222217</v>
      </c>
      <c r="G1850" s="31"/>
    </row>
    <row r="1851" spans="1:8">
      <c r="A1851" s="822"/>
      <c r="B1851" s="60" t="s">
        <v>5949</v>
      </c>
      <c r="C1851" s="31"/>
      <c r="D1851" s="31"/>
      <c r="E1851" s="739">
        <f>ROUND(E1850+E1849,1)</f>
        <v>72.599999999999994</v>
      </c>
      <c r="G1851" s="31"/>
    </row>
    <row r="1852" spans="1:8">
      <c r="A1852" s="822"/>
      <c r="B1852" s="26"/>
    </row>
    <row r="1853" spans="1:8">
      <c r="A1853" s="822"/>
      <c r="B1853" s="170" t="s">
        <v>1175</v>
      </c>
    </row>
    <row r="1854" spans="1:8">
      <c r="A1854" s="822"/>
      <c r="B1854" s="26" t="s">
        <v>1176</v>
      </c>
      <c r="F1854" s="171" t="s">
        <v>1698</v>
      </c>
      <c r="G1854" s="68">
        <f>H1834</f>
        <v>0</v>
      </c>
    </row>
    <row r="1855" spans="1:8">
      <c r="A1855" s="822"/>
      <c r="B1855" s="26" t="s">
        <v>1186</v>
      </c>
      <c r="F1855" s="171" t="s">
        <v>1698</v>
      </c>
      <c r="G1855" s="68">
        <f>H1841</f>
        <v>0</v>
      </c>
    </row>
    <row r="1856" spans="1:8">
      <c r="A1856" s="822"/>
      <c r="B1856" s="26" t="s">
        <v>2660</v>
      </c>
      <c r="F1856" s="171" t="s">
        <v>1698</v>
      </c>
      <c r="G1856" s="75">
        <f>H1848</f>
        <v>1150</v>
      </c>
    </row>
    <row r="1857" spans="1:8">
      <c r="A1857" s="822"/>
      <c r="E1857" s="26" t="s">
        <v>1518</v>
      </c>
      <c r="F1857" s="171" t="s">
        <v>1698</v>
      </c>
      <c r="G1857" s="205">
        <f>SUM(G1854:G1856)</f>
        <v>1150</v>
      </c>
    </row>
    <row r="1858" spans="1:8" ht="39" customHeight="1">
      <c r="A1858" s="822"/>
      <c r="B1858" s="1207" t="s">
        <v>1379</v>
      </c>
      <c r="C1858" s="1207"/>
      <c r="E1858" s="922">
        <f>'BASIC DATA'!$C$577</f>
        <v>0.13614999999999999</v>
      </c>
      <c r="F1858" s="26" t="s">
        <v>1698</v>
      </c>
      <c r="G1858" s="26">
        <f>G1857*E1858</f>
        <v>156.57249999999999</v>
      </c>
    </row>
    <row r="1859" spans="1:8">
      <c r="A1859" s="822"/>
      <c r="B1859" s="26" t="s">
        <v>1191</v>
      </c>
      <c r="D1859" s="68">
        <f>G1828</f>
        <v>18</v>
      </c>
      <c r="E1859" s="68" t="str">
        <f>H1828</f>
        <v>Nos.</v>
      </c>
      <c r="F1859" s="26" t="s">
        <v>1698</v>
      </c>
      <c r="G1859" s="211">
        <f>G1858+G1857</f>
        <v>1306.5725</v>
      </c>
    </row>
    <row r="1860" spans="1:8">
      <c r="A1860" s="822"/>
      <c r="B1860" s="170" t="s">
        <v>1584</v>
      </c>
      <c r="C1860" s="211" t="s">
        <v>4935</v>
      </c>
      <c r="D1860" s="26" t="s">
        <v>6785</v>
      </c>
      <c r="F1860" s="26" t="s">
        <v>4108</v>
      </c>
      <c r="G1860" s="211">
        <f>ROUND(G1859/D1859,1)</f>
        <v>72.599999999999994</v>
      </c>
    </row>
    <row r="1861" spans="1:8">
      <c r="A1861" s="822"/>
    </row>
    <row r="1862" spans="1:8">
      <c r="A1862" s="822"/>
    </row>
    <row r="1863" spans="1:8" ht="18.75">
      <c r="A1863" s="865" t="s">
        <v>5504</v>
      </c>
      <c r="B1863" s="26" t="s">
        <v>9116</v>
      </c>
    </row>
    <row r="1864" spans="1:8">
      <c r="B1864" s="26" t="s">
        <v>4205</v>
      </c>
    </row>
    <row r="1865" spans="1:8" ht="18.75">
      <c r="B1865" s="26" t="s">
        <v>9117</v>
      </c>
    </row>
    <row r="1866" spans="1:8">
      <c r="B1866" s="26"/>
    </row>
    <row r="1867" spans="1:8" hidden="1">
      <c r="A1867" s="865" t="s">
        <v>3984</v>
      </c>
      <c r="B1867" s="26" t="s">
        <v>1962</v>
      </c>
    </row>
    <row r="1868" spans="1:8" hidden="1">
      <c r="B1868" s="26" t="s">
        <v>4323</v>
      </c>
      <c r="G1868" s="78"/>
    </row>
    <row r="1869" spans="1:8">
      <c r="A1869" s="822"/>
    </row>
    <row r="1870" spans="1:8">
      <c r="A1870" s="822" t="s">
        <v>3984</v>
      </c>
      <c r="C1870" s="203" t="s">
        <v>2367</v>
      </c>
      <c r="D1870" s="171"/>
      <c r="F1870" s="171" t="s">
        <v>297</v>
      </c>
      <c r="G1870" s="162">
        <v>8</v>
      </c>
      <c r="H1870" s="26" t="s">
        <v>4041</v>
      </c>
    </row>
    <row r="1871" spans="1:8">
      <c r="A1871" s="822"/>
      <c r="B1871" s="79" t="s">
        <v>2368</v>
      </c>
    </row>
    <row r="1872" spans="1:8">
      <c r="A1872" s="822"/>
      <c r="B1872" s="95" t="s">
        <v>2369</v>
      </c>
      <c r="C1872" s="157" t="s">
        <v>6374</v>
      </c>
      <c r="D1872" s="195"/>
      <c r="E1872" s="95" t="s">
        <v>2370</v>
      </c>
      <c r="F1872" s="95" t="s">
        <v>1166</v>
      </c>
      <c r="G1872" s="95" t="s">
        <v>2371</v>
      </c>
      <c r="H1872" s="95" t="s">
        <v>2372</v>
      </c>
    </row>
    <row r="1873" spans="1:8">
      <c r="A1873" s="822"/>
      <c r="B1873" s="114"/>
      <c r="C1873" s="154"/>
      <c r="D1873" s="192"/>
      <c r="E1873" s="114"/>
      <c r="F1873" s="114"/>
      <c r="G1873" s="114" t="s">
        <v>3485</v>
      </c>
      <c r="H1873" s="114" t="s">
        <v>3485</v>
      </c>
    </row>
    <row r="1874" spans="1:8">
      <c r="A1874" s="822"/>
      <c r="B1874" s="95">
        <v>1</v>
      </c>
      <c r="C1874" s="93" t="s">
        <v>6976</v>
      </c>
      <c r="E1874" s="95"/>
      <c r="F1874" s="190">
        <v>0</v>
      </c>
      <c r="G1874" s="190">
        <v>0</v>
      </c>
      <c r="H1874" s="190">
        <f>F1874*G1874</f>
        <v>0</v>
      </c>
    </row>
    <row r="1875" spans="1:8">
      <c r="A1875" s="822"/>
      <c r="B1875" s="275"/>
      <c r="C1875" s="135"/>
      <c r="D1875" s="31"/>
      <c r="E1875" s="105"/>
      <c r="F1875" s="190">
        <v>0</v>
      </c>
      <c r="G1875" s="182">
        <v>0</v>
      </c>
      <c r="H1875" s="182">
        <f>F1875*G1875</f>
        <v>0</v>
      </c>
    </row>
    <row r="1876" spans="1:8">
      <c r="A1876" s="822"/>
      <c r="B1876" s="92"/>
      <c r="C1876" s="159"/>
      <c r="D1876" s="159" t="s">
        <v>2376</v>
      </c>
      <c r="E1876" s="159"/>
      <c r="F1876" s="238"/>
      <c r="G1876" s="236" t="s">
        <v>1698</v>
      </c>
      <c r="H1876" s="318">
        <f>SUM(H1874:H1875)</f>
        <v>0</v>
      </c>
    </row>
    <row r="1877" spans="1:8">
      <c r="A1877" s="822"/>
    </row>
    <row r="1878" spans="1:8">
      <c r="A1878" s="822"/>
      <c r="B1878" s="79" t="s">
        <v>2377</v>
      </c>
    </row>
    <row r="1879" spans="1:8">
      <c r="A1879" s="822"/>
      <c r="B1879" s="95" t="s">
        <v>2369</v>
      </c>
      <c r="C1879" s="157" t="s">
        <v>2378</v>
      </c>
      <c r="D1879" s="195"/>
      <c r="E1879" s="95" t="s">
        <v>2370</v>
      </c>
      <c r="F1879" s="95" t="s">
        <v>1166</v>
      </c>
      <c r="G1879" s="95" t="s">
        <v>2371</v>
      </c>
      <c r="H1879" s="95" t="s">
        <v>2372</v>
      </c>
    </row>
    <row r="1880" spans="1:8">
      <c r="A1880" s="822"/>
      <c r="B1880" s="114"/>
      <c r="C1880" s="154"/>
      <c r="D1880" s="192"/>
      <c r="E1880" s="114"/>
      <c r="F1880" s="114"/>
      <c r="G1880" s="114" t="s">
        <v>3485</v>
      </c>
      <c r="H1880" s="114" t="s">
        <v>3485</v>
      </c>
    </row>
    <row r="1881" spans="1:8">
      <c r="A1881" s="822"/>
      <c r="B1881" s="105">
        <v>1</v>
      </c>
      <c r="C1881" s="93" t="s">
        <v>6976</v>
      </c>
      <c r="E1881" s="210"/>
      <c r="F1881" s="190">
        <v>0</v>
      </c>
      <c r="G1881" s="190">
        <v>0</v>
      </c>
      <c r="H1881" s="190">
        <f>F1881*G1881</f>
        <v>0</v>
      </c>
    </row>
    <row r="1882" spans="1:8">
      <c r="A1882" s="822"/>
      <c r="B1882" s="275"/>
      <c r="C1882" s="139"/>
      <c r="D1882" s="174"/>
      <c r="E1882" s="191"/>
      <c r="F1882" s="182">
        <v>0</v>
      </c>
      <c r="G1882" s="182">
        <v>0</v>
      </c>
      <c r="H1882" s="182">
        <f>F1882*G1882</f>
        <v>0</v>
      </c>
    </row>
    <row r="1883" spans="1:8">
      <c r="A1883" s="822"/>
      <c r="B1883" s="176"/>
      <c r="C1883" s="174"/>
      <c r="D1883" s="174" t="s">
        <v>2380</v>
      </c>
      <c r="E1883" s="174"/>
      <c r="F1883" s="192"/>
      <c r="G1883" s="275" t="s">
        <v>1698</v>
      </c>
      <c r="H1883" s="318">
        <f>SUM(H1881:H1882)</f>
        <v>0</v>
      </c>
    </row>
    <row r="1884" spans="1:8">
      <c r="A1884" s="822"/>
    </row>
    <row r="1885" spans="1:8">
      <c r="A1885" s="822"/>
      <c r="B1885" s="79" t="s">
        <v>2381</v>
      </c>
    </row>
    <row r="1886" spans="1:8">
      <c r="A1886" s="822"/>
      <c r="B1886" s="95" t="s">
        <v>2369</v>
      </c>
      <c r="C1886" s="157" t="s">
        <v>2378</v>
      </c>
      <c r="D1886" s="195"/>
      <c r="E1886" s="95" t="s">
        <v>2370</v>
      </c>
      <c r="F1886" s="95" t="s">
        <v>1166</v>
      </c>
      <c r="G1886" s="95" t="s">
        <v>2371</v>
      </c>
      <c r="H1886" s="95" t="s">
        <v>2372</v>
      </c>
    </row>
    <row r="1887" spans="1:8">
      <c r="A1887" s="822"/>
      <c r="B1887" s="114"/>
      <c r="C1887" s="154"/>
      <c r="D1887" s="192"/>
      <c r="E1887" s="105"/>
      <c r="F1887" s="114"/>
      <c r="G1887" s="114" t="s">
        <v>3485</v>
      </c>
      <c r="H1887" s="114" t="s">
        <v>3485</v>
      </c>
    </row>
    <row r="1888" spans="1:8">
      <c r="A1888" s="822"/>
      <c r="B1888" s="95">
        <v>1</v>
      </c>
      <c r="C1888" s="148" t="s">
        <v>4206</v>
      </c>
      <c r="D1888" s="187"/>
      <c r="E1888" s="107" t="s">
        <v>1172</v>
      </c>
      <c r="F1888" s="178">
        <v>1</v>
      </c>
      <c r="G1888" s="179">
        <f>'BASIC DATA'!C473</f>
        <v>450</v>
      </c>
      <c r="H1888" s="179">
        <f>F1888*G1888</f>
        <v>450</v>
      </c>
    </row>
    <row r="1889" spans="1:8">
      <c r="A1889" s="822"/>
      <c r="B1889" s="114">
        <v>2</v>
      </c>
      <c r="C1889" s="89" t="s">
        <v>2697</v>
      </c>
      <c r="D1889" s="174"/>
      <c r="E1889" s="191" t="s">
        <v>1172</v>
      </c>
      <c r="F1889" s="181">
        <v>2</v>
      </c>
      <c r="G1889" s="182">
        <f>'BASIC DATA'!C552</f>
        <v>350</v>
      </c>
      <c r="H1889" s="190">
        <f>F1889*G1889</f>
        <v>700</v>
      </c>
    </row>
    <row r="1890" spans="1:8">
      <c r="A1890" s="822"/>
      <c r="B1890" s="176"/>
      <c r="C1890" s="174"/>
      <c r="D1890" s="174" t="s">
        <v>1174</v>
      </c>
      <c r="E1890" s="174"/>
      <c r="F1890" s="192"/>
      <c r="G1890" s="275" t="s">
        <v>1698</v>
      </c>
      <c r="H1890" s="318">
        <f>SUM(H1888:H1889)</f>
        <v>1150</v>
      </c>
    </row>
    <row r="1891" spans="1:8">
      <c r="A1891" s="822"/>
      <c r="B1891" s="60" t="s">
        <v>5948</v>
      </c>
      <c r="C1891" s="31"/>
      <c r="D1891" s="31"/>
      <c r="E1891" s="85">
        <f>H1890/G1870</f>
        <v>143.75</v>
      </c>
      <c r="G1891" s="31"/>
    </row>
    <row r="1892" spans="1:8">
      <c r="A1892" s="822"/>
      <c r="B1892" s="60" t="s">
        <v>3163</v>
      </c>
      <c r="C1892" s="31"/>
      <c r="D1892" s="922">
        <f>'BASIC DATA'!$C$577</f>
        <v>0.13614999999999999</v>
      </c>
      <c r="E1892" s="85">
        <f>E1891*D1892</f>
        <v>19.571562499999999</v>
      </c>
      <c r="G1892" s="31"/>
    </row>
    <row r="1893" spans="1:8">
      <c r="A1893" s="822"/>
      <c r="B1893" s="60" t="s">
        <v>5949</v>
      </c>
      <c r="C1893" s="31"/>
      <c r="D1893" s="31"/>
      <c r="E1893" s="739">
        <f>ROUND(E1892+E1891,1)</f>
        <v>163.30000000000001</v>
      </c>
      <c r="G1893" s="31"/>
    </row>
    <row r="1894" spans="1:8">
      <c r="A1894" s="822"/>
      <c r="B1894" s="26"/>
    </row>
    <row r="1895" spans="1:8">
      <c r="A1895" s="822"/>
      <c r="B1895" s="170" t="s">
        <v>1175</v>
      </c>
    </row>
    <row r="1896" spans="1:8">
      <c r="A1896" s="822"/>
      <c r="B1896" s="26" t="s">
        <v>1176</v>
      </c>
      <c r="F1896" s="171" t="s">
        <v>1698</v>
      </c>
      <c r="G1896" s="68">
        <f>H1876</f>
        <v>0</v>
      </c>
    </row>
    <row r="1897" spans="1:8">
      <c r="A1897" s="822"/>
      <c r="B1897" s="26" t="s">
        <v>1186</v>
      </c>
      <c r="F1897" s="171" t="s">
        <v>1698</v>
      </c>
      <c r="G1897" s="68">
        <f>H1883</f>
        <v>0</v>
      </c>
    </row>
    <row r="1898" spans="1:8">
      <c r="A1898" s="822"/>
      <c r="B1898" s="26" t="s">
        <v>2660</v>
      </c>
      <c r="F1898" s="171" t="s">
        <v>1698</v>
      </c>
      <c r="G1898" s="75">
        <f>H1890</f>
        <v>1150</v>
      </c>
    </row>
    <row r="1899" spans="1:8">
      <c r="A1899" s="822"/>
      <c r="E1899" s="26" t="s">
        <v>1518</v>
      </c>
      <c r="F1899" s="171" t="s">
        <v>1698</v>
      </c>
      <c r="G1899" s="205">
        <f>SUM(G1896:G1898)</f>
        <v>1150</v>
      </c>
    </row>
    <row r="1900" spans="1:8" ht="39" customHeight="1">
      <c r="A1900" s="822"/>
      <c r="B1900" s="1207" t="s">
        <v>1379</v>
      </c>
      <c r="C1900" s="1207"/>
      <c r="E1900" s="922">
        <f>'BASIC DATA'!$C$577</f>
        <v>0.13614999999999999</v>
      </c>
      <c r="F1900" s="26" t="s">
        <v>1698</v>
      </c>
      <c r="G1900" s="26">
        <f>G1899*E1900</f>
        <v>156.57249999999999</v>
      </c>
    </row>
    <row r="1901" spans="1:8">
      <c r="A1901" s="822"/>
      <c r="B1901" s="26" t="s">
        <v>1191</v>
      </c>
      <c r="D1901" s="68">
        <f>G1870</f>
        <v>8</v>
      </c>
      <c r="E1901" s="68" t="str">
        <f>H1870</f>
        <v>Nos.</v>
      </c>
      <c r="F1901" s="26" t="s">
        <v>1698</v>
      </c>
      <c r="G1901" s="211">
        <f>G1900+G1899</f>
        <v>1306.5725</v>
      </c>
    </row>
    <row r="1902" spans="1:8">
      <c r="A1902" s="822"/>
      <c r="B1902" s="170" t="s">
        <v>1584</v>
      </c>
      <c r="C1902" s="211" t="s">
        <v>4935</v>
      </c>
      <c r="D1902" s="26" t="s">
        <v>6785</v>
      </c>
      <c r="F1902" s="26" t="s">
        <v>4108</v>
      </c>
      <c r="G1902" s="211">
        <f>ROUND(G1901/D1901,1)</f>
        <v>163.30000000000001</v>
      </c>
    </row>
    <row r="1903" spans="1:8">
      <c r="A1903" s="822"/>
    </row>
    <row r="1904" spans="1:8">
      <c r="A1904" s="865" t="s">
        <v>5505</v>
      </c>
      <c r="B1904" s="26" t="s">
        <v>9187</v>
      </c>
    </row>
    <row r="1905" spans="1:8">
      <c r="B1905" s="26" t="s">
        <v>9188</v>
      </c>
    </row>
    <row r="1906" spans="1:8">
      <c r="B1906" s="26" t="s">
        <v>9189</v>
      </c>
    </row>
    <row r="1907" spans="1:8">
      <c r="B1907" s="26" t="s">
        <v>9190</v>
      </c>
    </row>
    <row r="1908" spans="1:8">
      <c r="B1908" s="26" t="s">
        <v>9191</v>
      </c>
    </row>
    <row r="1909" spans="1:8">
      <c r="B1909" s="170" t="s">
        <v>9192</v>
      </c>
    </row>
    <row r="1910" spans="1:8">
      <c r="B1910" s="26"/>
    </row>
    <row r="1911" spans="1:8" hidden="1">
      <c r="A1911" s="865" t="s">
        <v>3984</v>
      </c>
      <c r="B1911" s="26" t="s">
        <v>602</v>
      </c>
      <c r="F1911" s="78" t="s">
        <v>1697</v>
      </c>
      <c r="G1911" s="68">
        <v>0.5</v>
      </c>
      <c r="H1911" s="26" t="s">
        <v>3477</v>
      </c>
    </row>
    <row r="1912" spans="1:8" hidden="1">
      <c r="B1912" s="26" t="s">
        <v>603</v>
      </c>
      <c r="F1912" s="78" t="s">
        <v>1697</v>
      </c>
      <c r="G1912" s="68">
        <v>0.57999999999999996</v>
      </c>
      <c r="H1912" s="26" t="s">
        <v>3477</v>
      </c>
    </row>
    <row r="1913" spans="1:8" hidden="1">
      <c r="B1913" s="26" t="s">
        <v>604</v>
      </c>
      <c r="F1913" s="78" t="s">
        <v>1697</v>
      </c>
      <c r="G1913" s="68">
        <v>5</v>
      </c>
      <c r="H1913" s="26" t="s">
        <v>3477</v>
      </c>
    </row>
    <row r="1914" spans="1:8" hidden="1">
      <c r="B1914" s="26" t="s">
        <v>2541</v>
      </c>
      <c r="F1914" s="78" t="s">
        <v>3432</v>
      </c>
      <c r="G1914" s="26">
        <v>1</v>
      </c>
      <c r="H1914" s="26" t="s">
        <v>3430</v>
      </c>
    </row>
    <row r="1915" spans="1:8" hidden="1">
      <c r="B1915" s="26" t="s">
        <v>4569</v>
      </c>
      <c r="F1915" s="78" t="s">
        <v>1697</v>
      </c>
      <c r="G1915" s="26">
        <v>15</v>
      </c>
      <c r="H1915" s="26" t="s">
        <v>6703</v>
      </c>
    </row>
    <row r="1916" spans="1:8" hidden="1">
      <c r="B1916" s="26" t="s">
        <v>5632</v>
      </c>
      <c r="F1916" s="78" t="s">
        <v>1697</v>
      </c>
      <c r="G1916" s="26">
        <v>20</v>
      </c>
      <c r="H1916" s="26" t="s">
        <v>6703</v>
      </c>
    </row>
    <row r="1917" spans="1:8" hidden="1">
      <c r="B1917" s="26" t="s">
        <v>3985</v>
      </c>
      <c r="F1917" s="78" t="s">
        <v>1697</v>
      </c>
      <c r="G1917" s="68">
        <v>2.5</v>
      </c>
      <c r="H1917" s="26" t="s">
        <v>2603</v>
      </c>
    </row>
    <row r="1918" spans="1:8" hidden="1">
      <c r="B1918" s="26" t="s">
        <v>4030</v>
      </c>
      <c r="F1918" s="78" t="s">
        <v>1697</v>
      </c>
      <c r="G1918" s="26">
        <v>25</v>
      </c>
      <c r="H1918" s="26" t="s">
        <v>3434</v>
      </c>
    </row>
    <row r="1919" spans="1:8" hidden="1">
      <c r="B1919" s="26" t="s">
        <v>5633</v>
      </c>
      <c r="F1919" s="78" t="s">
        <v>1697</v>
      </c>
      <c r="G1919" s="68">
        <v>0.5</v>
      </c>
      <c r="H1919" s="26" t="s">
        <v>3477</v>
      </c>
    </row>
    <row r="1920" spans="1:8" hidden="1">
      <c r="B1920" s="26" t="s">
        <v>5634</v>
      </c>
      <c r="F1920" s="78" t="s">
        <v>1697</v>
      </c>
      <c r="G1920" s="68">
        <v>4</v>
      </c>
      <c r="H1920" s="26" t="s">
        <v>3477</v>
      </c>
    </row>
    <row r="1921" spans="1:8" hidden="1">
      <c r="B1921" s="26" t="s">
        <v>5635</v>
      </c>
      <c r="F1921" s="338" t="s">
        <v>1123</v>
      </c>
      <c r="G1921" s="26">
        <v>8</v>
      </c>
      <c r="H1921" s="26" t="s">
        <v>4932</v>
      </c>
    </row>
    <row r="1922" spans="1:8" hidden="1">
      <c r="B1922" s="26" t="s">
        <v>761</v>
      </c>
      <c r="F1922" s="338" t="s">
        <v>1123</v>
      </c>
      <c r="G1922" s="26">
        <v>3.33</v>
      </c>
      <c r="H1922" s="26" t="s">
        <v>2603</v>
      </c>
    </row>
    <row r="1923" spans="1:8" hidden="1">
      <c r="B1923" s="26" t="s">
        <v>1613</v>
      </c>
      <c r="F1923" s="78" t="s">
        <v>1697</v>
      </c>
    </row>
    <row r="1924" spans="1:8" hidden="1">
      <c r="B1924" s="26" t="s">
        <v>3258</v>
      </c>
      <c r="F1924" s="78" t="s">
        <v>1697</v>
      </c>
      <c r="G1924" s="26">
        <v>3.33</v>
      </c>
      <c r="H1924" s="26" t="s">
        <v>2603</v>
      </c>
    </row>
    <row r="1925" spans="1:8" hidden="1">
      <c r="B1925" s="26" t="s">
        <v>762</v>
      </c>
      <c r="F1925" s="78" t="s">
        <v>1697</v>
      </c>
      <c r="G1925" s="68">
        <v>4</v>
      </c>
      <c r="H1925" s="26" t="s">
        <v>2603</v>
      </c>
    </row>
    <row r="1926" spans="1:8" hidden="1">
      <c r="B1926" s="26" t="s">
        <v>705</v>
      </c>
      <c r="F1926" s="78" t="s">
        <v>1697</v>
      </c>
      <c r="G1926" s="68">
        <v>2.5</v>
      </c>
      <c r="H1926" s="26" t="s">
        <v>2603</v>
      </c>
    </row>
    <row r="1927" spans="1:8" hidden="1">
      <c r="B1927" s="26" t="s">
        <v>3918</v>
      </c>
      <c r="F1927" s="78" t="s">
        <v>1697</v>
      </c>
      <c r="G1927" s="68">
        <v>3</v>
      </c>
      <c r="H1927" s="26" t="s">
        <v>2603</v>
      </c>
    </row>
    <row r="1928" spans="1:8" hidden="1">
      <c r="B1928" s="26" t="s">
        <v>263</v>
      </c>
      <c r="F1928" s="78" t="s">
        <v>1697</v>
      </c>
      <c r="G1928" s="173">
        <v>0.5</v>
      </c>
      <c r="H1928" s="26" t="s">
        <v>2603</v>
      </c>
    </row>
    <row r="1929" spans="1:8" hidden="1">
      <c r="B1929" s="26"/>
      <c r="E1929" s="26" t="s">
        <v>1518</v>
      </c>
      <c r="F1929" s="78" t="s">
        <v>1697</v>
      </c>
      <c r="G1929" s="26">
        <f>SUM(G1924:G1928)</f>
        <v>13.33</v>
      </c>
      <c r="H1929" s="26" t="s">
        <v>2603</v>
      </c>
    </row>
    <row r="1930" spans="1:8" hidden="1">
      <c r="B1930" s="26" t="s">
        <v>3919</v>
      </c>
      <c r="F1930" s="78" t="s">
        <v>1697</v>
      </c>
      <c r="G1930" s="26">
        <v>4</v>
      </c>
      <c r="H1930" s="26" t="s">
        <v>2059</v>
      </c>
    </row>
    <row r="1931" spans="1:8" hidden="1">
      <c r="B1931" s="26" t="s">
        <v>2224</v>
      </c>
      <c r="F1931" s="78" t="s">
        <v>1697</v>
      </c>
      <c r="G1931" s="68">
        <v>15</v>
      </c>
      <c r="H1931" s="26" t="s">
        <v>3477</v>
      </c>
    </row>
    <row r="1932" spans="1:8" hidden="1">
      <c r="B1932" s="26" t="s">
        <v>2225</v>
      </c>
      <c r="F1932" s="78" t="s">
        <v>1123</v>
      </c>
      <c r="G1932" s="68">
        <v>480</v>
      </c>
      <c r="H1932" s="26" t="s">
        <v>3477</v>
      </c>
    </row>
    <row r="1933" spans="1:8" hidden="1">
      <c r="A1933" s="865">
        <v>1</v>
      </c>
      <c r="B1933" s="26" t="s">
        <v>2860</v>
      </c>
    </row>
    <row r="1934" spans="1:8" hidden="1">
      <c r="B1934" s="26" t="s">
        <v>2070</v>
      </c>
      <c r="F1934" s="78" t="s">
        <v>1697</v>
      </c>
      <c r="G1934" s="26">
        <v>240</v>
      </c>
      <c r="H1934" s="26" t="s">
        <v>3479</v>
      </c>
    </row>
    <row r="1935" spans="1:8" hidden="1">
      <c r="B1935" s="26" t="s">
        <v>4450</v>
      </c>
      <c r="F1935" s="78" t="s">
        <v>1697</v>
      </c>
      <c r="G1935" s="26">
        <v>0.25</v>
      </c>
      <c r="H1935" s="26" t="s">
        <v>2602</v>
      </c>
    </row>
    <row r="1936" spans="1:8" hidden="1">
      <c r="B1936" s="26" t="s">
        <v>1040</v>
      </c>
      <c r="F1936" s="78" t="s">
        <v>1697</v>
      </c>
      <c r="G1936" s="68">
        <v>63</v>
      </c>
      <c r="H1936" s="26" t="s">
        <v>3477</v>
      </c>
    </row>
    <row r="1937" spans="1:8" hidden="1">
      <c r="B1937" s="26" t="s">
        <v>3248</v>
      </c>
      <c r="F1937" s="78" t="s">
        <v>1697</v>
      </c>
      <c r="G1937" s="68">
        <v>100</v>
      </c>
      <c r="H1937" s="26" t="s">
        <v>3477</v>
      </c>
    </row>
    <row r="1938" spans="1:8" hidden="1">
      <c r="B1938" s="26" t="s">
        <v>1041</v>
      </c>
      <c r="F1938" s="78" t="s">
        <v>1697</v>
      </c>
      <c r="G1938" s="26">
        <v>0.63</v>
      </c>
      <c r="H1938" s="26" t="s">
        <v>4665</v>
      </c>
    </row>
    <row r="1939" spans="1:8" hidden="1">
      <c r="B1939" s="26" t="s">
        <v>1042</v>
      </c>
    </row>
    <row r="1940" spans="1:8" hidden="1">
      <c r="B1940" s="26" t="s">
        <v>1043</v>
      </c>
      <c r="F1940" s="78" t="s">
        <v>1697</v>
      </c>
      <c r="G1940" s="68">
        <v>2</v>
      </c>
      <c r="H1940" s="26" t="s">
        <v>4665</v>
      </c>
    </row>
    <row r="1941" spans="1:8" hidden="1">
      <c r="A1941" s="865">
        <v>2</v>
      </c>
      <c r="B1941" s="26" t="s">
        <v>6281</v>
      </c>
    </row>
    <row r="1942" spans="1:8" hidden="1">
      <c r="B1942" s="26" t="s">
        <v>4117</v>
      </c>
    </row>
    <row r="1943" spans="1:8" hidden="1">
      <c r="B1943" s="26" t="s">
        <v>1260</v>
      </c>
    </row>
    <row r="1944" spans="1:8" hidden="1">
      <c r="A1944" s="865">
        <v>3</v>
      </c>
      <c r="B1944" s="26" t="s">
        <v>1261</v>
      </c>
    </row>
    <row r="1945" spans="1:8" hidden="1">
      <c r="B1945" s="26" t="s">
        <v>2214</v>
      </c>
      <c r="F1945" s="78" t="s">
        <v>1697</v>
      </c>
      <c r="G1945" s="68">
        <v>576</v>
      </c>
      <c r="H1945" s="26" t="s">
        <v>3477</v>
      </c>
    </row>
    <row r="1946" spans="1:8" hidden="1">
      <c r="B1946" s="26" t="s">
        <v>6514</v>
      </c>
      <c r="F1946" s="78" t="s">
        <v>1697</v>
      </c>
      <c r="G1946" s="68">
        <v>200</v>
      </c>
      <c r="H1946" s="26" t="s">
        <v>3477</v>
      </c>
    </row>
    <row r="1947" spans="1:8" hidden="1">
      <c r="B1947" s="26" t="s">
        <v>2215</v>
      </c>
      <c r="F1947" s="78" t="s">
        <v>1123</v>
      </c>
      <c r="G1947" s="68">
        <v>3</v>
      </c>
      <c r="H1947" s="26" t="s">
        <v>4665</v>
      </c>
    </row>
    <row r="1948" spans="1:8" hidden="1">
      <c r="A1948" s="865">
        <v>4</v>
      </c>
      <c r="B1948" s="26" t="s">
        <v>6193</v>
      </c>
    </row>
    <row r="1949" spans="1:8" hidden="1">
      <c r="B1949" s="26" t="s">
        <v>6794</v>
      </c>
    </row>
    <row r="1950" spans="1:8" hidden="1">
      <c r="B1950" s="26" t="s">
        <v>6795</v>
      </c>
    </row>
    <row r="1951" spans="1:8" hidden="1">
      <c r="B1951" s="26" t="s">
        <v>6796</v>
      </c>
    </row>
    <row r="1952" spans="1:8" hidden="1">
      <c r="B1952" s="26" t="s">
        <v>4764</v>
      </c>
    </row>
    <row r="1953" spans="1:8" hidden="1">
      <c r="B1953" s="26" t="s">
        <v>4765</v>
      </c>
    </row>
    <row r="1954" spans="1:8" hidden="1">
      <c r="B1954" s="26" t="s">
        <v>3651</v>
      </c>
    </row>
    <row r="1955" spans="1:8" hidden="1">
      <c r="A1955" s="865">
        <v>5</v>
      </c>
      <c r="B1955" s="26" t="s">
        <v>6798</v>
      </c>
    </row>
    <row r="1956" spans="1:8" hidden="1">
      <c r="B1956" s="26" t="s">
        <v>3647</v>
      </c>
    </row>
    <row r="1957" spans="1:8" hidden="1">
      <c r="B1957" s="26" t="s">
        <v>9193</v>
      </c>
    </row>
    <row r="1958" spans="1:8" hidden="1">
      <c r="B1958" s="26" t="s">
        <v>9194</v>
      </c>
    </row>
    <row r="1959" spans="1:8" hidden="1">
      <c r="B1959" s="26" t="s">
        <v>3650</v>
      </c>
      <c r="F1959" s="78" t="s">
        <v>1697</v>
      </c>
      <c r="G1959" s="26">
        <v>1.9</v>
      </c>
      <c r="H1959" s="26" t="s">
        <v>2602</v>
      </c>
    </row>
    <row r="1960" spans="1:8" hidden="1">
      <c r="B1960" s="26" t="s">
        <v>4995</v>
      </c>
      <c r="F1960" s="78" t="s">
        <v>1697</v>
      </c>
      <c r="G1960" s="26">
        <v>4</v>
      </c>
      <c r="H1960" s="26" t="s">
        <v>3430</v>
      </c>
    </row>
    <row r="1961" spans="1:8" hidden="1">
      <c r="B1961" s="26" t="s">
        <v>4997</v>
      </c>
      <c r="F1961" s="78" t="s">
        <v>1697</v>
      </c>
      <c r="G1961" s="26">
        <v>0.3</v>
      </c>
      <c r="H1961" s="26" t="s">
        <v>2602</v>
      </c>
    </row>
    <row r="1962" spans="1:8" hidden="1">
      <c r="B1962" s="26" t="s">
        <v>1504</v>
      </c>
      <c r="F1962" s="78" t="s">
        <v>1697</v>
      </c>
      <c r="G1962" s="26">
        <v>11</v>
      </c>
      <c r="H1962" s="26" t="s">
        <v>2059</v>
      </c>
    </row>
    <row r="1963" spans="1:8" hidden="1">
      <c r="B1963" s="26" t="s">
        <v>1209</v>
      </c>
    </row>
    <row r="1964" spans="1:8" hidden="1">
      <c r="B1964" s="26" t="s">
        <v>6004</v>
      </c>
      <c r="E1964" s="26">
        <f>50/60*(1.9*4000*0.3*0.6/11)</f>
        <v>103.63636363636364</v>
      </c>
      <c r="F1964" s="78" t="s">
        <v>1123</v>
      </c>
      <c r="G1964" s="68">
        <v>103</v>
      </c>
      <c r="H1964" s="26" t="s">
        <v>3477</v>
      </c>
    </row>
    <row r="1965" spans="1:8" hidden="1">
      <c r="B1965" s="26" t="s">
        <v>2989</v>
      </c>
      <c r="E1965" s="26">
        <f>576/G1964</f>
        <v>5.592233009708738</v>
      </c>
      <c r="F1965" s="78" t="s">
        <v>1123</v>
      </c>
      <c r="G1965" s="68">
        <v>6</v>
      </c>
      <c r="H1965" s="26" t="s">
        <v>4665</v>
      </c>
    </row>
    <row r="1966" spans="1:8" hidden="1">
      <c r="A1966" s="865">
        <v>6</v>
      </c>
      <c r="B1966" s="26" t="s">
        <v>1129</v>
      </c>
    </row>
    <row r="1967" spans="1:8" hidden="1">
      <c r="B1967" s="26" t="s">
        <v>5043</v>
      </c>
    </row>
    <row r="1968" spans="1:8">
      <c r="A1968" s="822" t="s">
        <v>9215</v>
      </c>
      <c r="C1968" s="203" t="s">
        <v>2367</v>
      </c>
      <c r="D1968" s="171"/>
      <c r="F1968" s="171" t="s">
        <v>297</v>
      </c>
      <c r="G1968" s="162">
        <v>480</v>
      </c>
      <c r="H1968" s="26" t="s">
        <v>3477</v>
      </c>
    </row>
    <row r="1969" spans="1:8">
      <c r="A1969" s="822"/>
      <c r="B1969" s="79" t="s">
        <v>2368</v>
      </c>
    </row>
    <row r="1970" spans="1:8">
      <c r="A1970" s="822"/>
      <c r="B1970" s="95" t="s">
        <v>2369</v>
      </c>
      <c r="C1970" s="157" t="s">
        <v>6374</v>
      </c>
      <c r="D1970" s="195"/>
      <c r="E1970" s="95" t="s">
        <v>2370</v>
      </c>
      <c r="F1970" s="95" t="s">
        <v>1166</v>
      </c>
      <c r="G1970" s="95" t="s">
        <v>2371</v>
      </c>
      <c r="H1970" s="95" t="s">
        <v>2372</v>
      </c>
    </row>
    <row r="1971" spans="1:8">
      <c r="A1971" s="822"/>
      <c r="B1971" s="114"/>
      <c r="C1971" s="154"/>
      <c r="D1971" s="192"/>
      <c r="E1971" s="114"/>
      <c r="F1971" s="114"/>
      <c r="G1971" s="114" t="s">
        <v>3485</v>
      </c>
      <c r="H1971" s="114" t="s">
        <v>3485</v>
      </c>
    </row>
    <row r="1972" spans="1:8">
      <c r="A1972" s="822"/>
      <c r="B1972" s="95">
        <v>1</v>
      </c>
      <c r="C1972" s="93" t="s">
        <v>6976</v>
      </c>
      <c r="E1972" s="95"/>
      <c r="F1972" s="190">
        <v>0</v>
      </c>
      <c r="G1972" s="190">
        <v>0</v>
      </c>
      <c r="H1972" s="190">
        <f>F1972*G1972</f>
        <v>0</v>
      </c>
    </row>
    <row r="1973" spans="1:8">
      <c r="A1973" s="822"/>
      <c r="B1973" s="275"/>
      <c r="C1973" s="139"/>
      <c r="D1973" s="174"/>
      <c r="E1973" s="114"/>
      <c r="F1973" s="182">
        <v>0</v>
      </c>
      <c r="G1973" s="182">
        <v>0</v>
      </c>
      <c r="H1973" s="182">
        <f>F1973*G1973</f>
        <v>0</v>
      </c>
    </row>
    <row r="1974" spans="1:8">
      <c r="A1974" s="822"/>
      <c r="B1974" s="92"/>
      <c r="C1974" s="159"/>
      <c r="D1974" s="159" t="s">
        <v>2376</v>
      </c>
      <c r="E1974" s="159"/>
      <c r="F1974" s="238"/>
      <c r="G1974" s="236" t="s">
        <v>1698</v>
      </c>
      <c r="H1974" s="318">
        <f>SUM(H1972:H1973)</f>
        <v>0</v>
      </c>
    </row>
    <row r="1975" spans="1:8">
      <c r="A1975" s="822"/>
    </row>
    <row r="1976" spans="1:8">
      <c r="A1976" s="822"/>
      <c r="B1976" s="79" t="s">
        <v>2377</v>
      </c>
    </row>
    <row r="1977" spans="1:8">
      <c r="A1977" s="822"/>
      <c r="B1977" s="95" t="s">
        <v>2369</v>
      </c>
      <c r="C1977" s="157" t="s">
        <v>2378</v>
      </c>
      <c r="D1977" s="195"/>
      <c r="E1977" s="95" t="s">
        <v>2370</v>
      </c>
      <c r="F1977" s="95" t="s">
        <v>1166</v>
      </c>
      <c r="G1977" s="95" t="s">
        <v>2371</v>
      </c>
      <c r="H1977" s="95" t="s">
        <v>2372</v>
      </c>
    </row>
    <row r="1978" spans="1:8">
      <c r="A1978" s="822"/>
      <c r="B1978" s="114"/>
      <c r="C1978" s="154"/>
      <c r="D1978" s="192"/>
      <c r="E1978" s="114"/>
      <c r="F1978" s="114"/>
      <c r="G1978" s="114" t="s">
        <v>3485</v>
      </c>
      <c r="H1978" s="114" t="s">
        <v>3485</v>
      </c>
    </row>
    <row r="1979" spans="1:8">
      <c r="A1979" s="822"/>
      <c r="B1979" s="105">
        <v>1</v>
      </c>
      <c r="C1979" s="135" t="s">
        <v>152</v>
      </c>
      <c r="E1979" s="105" t="s">
        <v>2374</v>
      </c>
      <c r="F1979" s="190">
        <v>5</v>
      </c>
      <c r="G1979" s="190">
        <f>'HIRE CHARGES'!D499</f>
        <v>1715.5</v>
      </c>
      <c r="H1979" s="190">
        <f>F1979*G1979</f>
        <v>8577.5</v>
      </c>
    </row>
    <row r="1980" spans="1:8">
      <c r="A1980" s="822"/>
      <c r="B1980" s="280"/>
      <c r="C1980" s="135" t="s">
        <v>2379</v>
      </c>
      <c r="E1980" s="105" t="s">
        <v>2374</v>
      </c>
      <c r="F1980" s="190">
        <v>5</v>
      </c>
      <c r="G1980" s="190">
        <f>'HIRE CHARGES'!E499</f>
        <v>610.5</v>
      </c>
      <c r="H1980" s="190">
        <f t="shared" ref="H1980:H1991" si="3">F1980*G1980</f>
        <v>3052.5</v>
      </c>
    </row>
    <row r="1981" spans="1:8">
      <c r="A1981" s="822"/>
      <c r="B1981" s="105">
        <v>2</v>
      </c>
      <c r="C1981" s="135" t="s">
        <v>2951</v>
      </c>
      <c r="E1981" s="105" t="s">
        <v>2374</v>
      </c>
      <c r="F1981" s="190">
        <v>8</v>
      </c>
      <c r="G1981" s="190">
        <f>'HIRE CHARGES'!D542</f>
        <v>1003.1</v>
      </c>
      <c r="H1981" s="190">
        <f t="shared" si="3"/>
        <v>8024.8</v>
      </c>
    </row>
    <row r="1982" spans="1:8">
      <c r="A1982" s="822"/>
      <c r="B1982" s="280"/>
      <c r="C1982" s="135" t="s">
        <v>2379</v>
      </c>
      <c r="E1982" s="105" t="s">
        <v>2374</v>
      </c>
      <c r="F1982" s="190">
        <v>8</v>
      </c>
      <c r="G1982" s="190">
        <f>'HIRE CHARGES'!E542</f>
        <v>476</v>
      </c>
      <c r="H1982" s="190">
        <f t="shared" si="3"/>
        <v>3808</v>
      </c>
    </row>
    <row r="1983" spans="1:8">
      <c r="A1983" s="822"/>
      <c r="B1983" s="105">
        <v>3</v>
      </c>
      <c r="C1983" s="135" t="s">
        <v>1131</v>
      </c>
      <c r="E1983" s="105" t="s">
        <v>2374</v>
      </c>
      <c r="F1983" s="190">
        <v>32</v>
      </c>
      <c r="G1983" s="190">
        <f>'HIRE CHARGES'!D545</f>
        <v>446.7</v>
      </c>
      <c r="H1983" s="190">
        <f t="shared" si="3"/>
        <v>14294.4</v>
      </c>
    </row>
    <row r="1984" spans="1:8">
      <c r="A1984" s="822"/>
      <c r="B1984" s="280"/>
      <c r="C1984" s="135" t="s">
        <v>2379</v>
      </c>
      <c r="E1984" s="105" t="s">
        <v>2374</v>
      </c>
      <c r="F1984" s="190">
        <v>32</v>
      </c>
      <c r="G1984" s="190">
        <f>'HIRE CHARGES'!E545</f>
        <v>299.89999999999998</v>
      </c>
      <c r="H1984" s="190">
        <f t="shared" si="3"/>
        <v>9596.7999999999993</v>
      </c>
    </row>
    <row r="1985" spans="1:8">
      <c r="A1985" s="822"/>
      <c r="B1985" s="105">
        <v>4</v>
      </c>
      <c r="C1985" s="135" t="s">
        <v>1132</v>
      </c>
      <c r="E1985" s="105" t="s">
        <v>2374</v>
      </c>
      <c r="F1985" s="190">
        <v>2</v>
      </c>
      <c r="G1985" s="190">
        <f>'HIRE CHARGES'!D517</f>
        <v>10.199999999999999</v>
      </c>
      <c r="H1985" s="190">
        <f t="shared" si="3"/>
        <v>20.399999999999999</v>
      </c>
    </row>
    <row r="1986" spans="1:8">
      <c r="A1986" s="822"/>
      <c r="B1986" s="280"/>
      <c r="C1986" s="135" t="s">
        <v>2379</v>
      </c>
      <c r="E1986" s="105" t="s">
        <v>2374</v>
      </c>
      <c r="F1986" s="190">
        <v>2</v>
      </c>
      <c r="G1986" s="190">
        <f>'HIRE CHARGES'!E517</f>
        <v>79.3</v>
      </c>
      <c r="H1986" s="190">
        <f t="shared" si="3"/>
        <v>158.6</v>
      </c>
    </row>
    <row r="1987" spans="1:8">
      <c r="A1987" s="822"/>
      <c r="B1987" s="105">
        <v>5</v>
      </c>
      <c r="C1987" s="135" t="s">
        <v>6286</v>
      </c>
      <c r="E1987" s="105" t="s">
        <v>2374</v>
      </c>
      <c r="F1987" s="190">
        <v>4</v>
      </c>
      <c r="G1987" s="190">
        <f>'HIRE CHARGES'!D555</f>
        <v>402.5</v>
      </c>
      <c r="H1987" s="190">
        <f t="shared" si="3"/>
        <v>1610</v>
      </c>
    </row>
    <row r="1988" spans="1:8">
      <c r="A1988" s="822"/>
      <c r="B1988" s="280"/>
      <c r="C1988" s="135" t="s">
        <v>2379</v>
      </c>
      <c r="E1988" s="105" t="s">
        <v>2374</v>
      </c>
      <c r="F1988" s="190">
        <v>4</v>
      </c>
      <c r="G1988" s="190">
        <f>'HIRE CHARGES'!E555</f>
        <v>299.89999999999998</v>
      </c>
      <c r="H1988" s="190">
        <f t="shared" si="3"/>
        <v>1199.5999999999999</v>
      </c>
    </row>
    <row r="1989" spans="1:8">
      <c r="A1989" s="822"/>
      <c r="B1989" s="105">
        <v>6</v>
      </c>
      <c r="C1989" s="135" t="s">
        <v>998</v>
      </c>
      <c r="E1989" s="105" t="s">
        <v>2374</v>
      </c>
      <c r="F1989" s="190">
        <f>G1965</f>
        <v>6</v>
      </c>
      <c r="G1989" s="190">
        <f>'HIRE CHARGES'!D553</f>
        <v>1342.2</v>
      </c>
      <c r="H1989" s="190">
        <f t="shared" si="3"/>
        <v>8053.2000000000007</v>
      </c>
    </row>
    <row r="1990" spans="1:8">
      <c r="A1990" s="822"/>
      <c r="B1990" s="280"/>
      <c r="C1990" s="135" t="s">
        <v>2379</v>
      </c>
      <c r="E1990" s="105" t="s">
        <v>2374</v>
      </c>
      <c r="F1990" s="190">
        <f>G1965</f>
        <v>6</v>
      </c>
      <c r="G1990" s="190">
        <f>'HIRE CHARGES'!E553</f>
        <v>1031.4000000000001</v>
      </c>
      <c r="H1990" s="190">
        <f t="shared" si="3"/>
        <v>6188.4000000000005</v>
      </c>
    </row>
    <row r="1991" spans="1:8">
      <c r="A1991" s="822"/>
      <c r="B1991" s="114">
        <v>7</v>
      </c>
      <c r="C1991" s="139" t="s">
        <v>2373</v>
      </c>
      <c r="D1991" s="174"/>
      <c r="E1991" s="114" t="s">
        <v>2173</v>
      </c>
      <c r="F1991" s="182">
        <v>2</v>
      </c>
      <c r="G1991" s="215">
        <f>'BASIC DATA'!D359</f>
        <v>30</v>
      </c>
      <c r="H1991" s="190">
        <f t="shared" si="3"/>
        <v>60</v>
      </c>
    </row>
    <row r="1992" spans="1:8">
      <c r="A1992" s="822"/>
      <c r="B1992" s="176"/>
      <c r="C1992" s="174"/>
      <c r="D1992" s="174" t="s">
        <v>2380</v>
      </c>
      <c r="E1992" s="174"/>
      <c r="F1992" s="192"/>
      <c r="G1992" s="275" t="s">
        <v>1698</v>
      </c>
      <c r="H1992" s="318">
        <f>SUM(H1979:H1991)</f>
        <v>64644.200000000004</v>
      </c>
    </row>
    <row r="1993" spans="1:8">
      <c r="A1993" s="822"/>
    </row>
    <row r="1994" spans="1:8">
      <c r="A1994" s="822"/>
      <c r="B1994" s="79" t="s">
        <v>2381</v>
      </c>
    </row>
    <row r="1995" spans="1:8">
      <c r="A1995" s="822"/>
      <c r="B1995" s="95" t="s">
        <v>2369</v>
      </c>
      <c r="C1995" s="157" t="s">
        <v>2378</v>
      </c>
      <c r="D1995" s="195"/>
      <c r="E1995" s="95" t="s">
        <v>2370</v>
      </c>
      <c r="F1995" s="95" t="s">
        <v>1166</v>
      </c>
      <c r="G1995" s="95" t="s">
        <v>2371</v>
      </c>
      <c r="H1995" s="95" t="s">
        <v>2372</v>
      </c>
    </row>
    <row r="1996" spans="1:8">
      <c r="A1996" s="822"/>
      <c r="B1996" s="114"/>
      <c r="C1996" s="154"/>
      <c r="D1996" s="192"/>
      <c r="E1996" s="105"/>
      <c r="F1996" s="114"/>
      <c r="G1996" s="114" t="s">
        <v>3485</v>
      </c>
      <c r="H1996" s="114" t="s">
        <v>3485</v>
      </c>
    </row>
    <row r="1997" spans="1:8">
      <c r="A1997" s="822"/>
      <c r="B1997" s="95">
        <v>1</v>
      </c>
      <c r="C1997" s="148" t="s">
        <v>2870</v>
      </c>
      <c r="D1997" s="187"/>
      <c r="E1997" s="95" t="s">
        <v>2374</v>
      </c>
      <c r="F1997" s="178">
        <v>4</v>
      </c>
      <c r="G1997" s="179">
        <f>'HIRE CHARGES'!F499</f>
        <v>236.6</v>
      </c>
      <c r="H1997" s="179">
        <f>F1997*G1997</f>
        <v>946.4</v>
      </c>
    </row>
    <row r="1998" spans="1:8">
      <c r="A1998" s="822"/>
      <c r="B1998" s="105">
        <v>2</v>
      </c>
      <c r="C1998" s="76" t="s">
        <v>300</v>
      </c>
      <c r="D1998" s="31"/>
      <c r="E1998" s="105" t="s">
        <v>2374</v>
      </c>
      <c r="F1998" s="207">
        <v>8</v>
      </c>
      <c r="G1998" s="190">
        <f>'HIRE CHARGES'!F542</f>
        <v>236.6</v>
      </c>
      <c r="H1998" s="190">
        <f t="shared" ref="H1998:H2004" si="4">F1998*G1998</f>
        <v>1892.8</v>
      </c>
    </row>
    <row r="1999" spans="1:8">
      <c r="A1999" s="822"/>
      <c r="B1999" s="105">
        <v>3</v>
      </c>
      <c r="C1999" s="76" t="s">
        <v>301</v>
      </c>
      <c r="D1999" s="31"/>
      <c r="E1999" s="105" t="s">
        <v>2374</v>
      </c>
      <c r="F1999" s="207">
        <v>32</v>
      </c>
      <c r="G1999" s="190">
        <f>'HIRE CHARGES'!F545</f>
        <v>177.5</v>
      </c>
      <c r="H1999" s="190">
        <f t="shared" si="4"/>
        <v>5680</v>
      </c>
    </row>
    <row r="2000" spans="1:8">
      <c r="A2000" s="822"/>
      <c r="B2000" s="105">
        <v>4</v>
      </c>
      <c r="C2000" s="76" t="s">
        <v>999</v>
      </c>
      <c r="D2000" s="31"/>
      <c r="E2000" s="105" t="s">
        <v>2374</v>
      </c>
      <c r="F2000" s="207">
        <v>3</v>
      </c>
      <c r="G2000" s="190">
        <f>'HIRE CHARGES'!F517</f>
        <v>111.1</v>
      </c>
      <c r="H2000" s="190">
        <f t="shared" si="4"/>
        <v>333.29999999999995</v>
      </c>
    </row>
    <row r="2001" spans="1:8">
      <c r="A2001" s="822"/>
      <c r="B2001" s="105">
        <v>5</v>
      </c>
      <c r="C2001" s="76" t="s">
        <v>1000</v>
      </c>
      <c r="D2001" s="31"/>
      <c r="E2001" s="105" t="s">
        <v>2374</v>
      </c>
      <c r="F2001" s="207">
        <v>5</v>
      </c>
      <c r="G2001" s="190">
        <f>'HIRE CHARGES'!F555</f>
        <v>177.5</v>
      </c>
      <c r="H2001" s="190">
        <f t="shared" si="4"/>
        <v>887.5</v>
      </c>
    </row>
    <row r="2002" spans="1:8">
      <c r="A2002" s="822"/>
      <c r="B2002" s="105">
        <v>6</v>
      </c>
      <c r="C2002" s="76" t="s">
        <v>1001</v>
      </c>
      <c r="D2002" s="31"/>
      <c r="E2002" s="105" t="s">
        <v>2374</v>
      </c>
      <c r="F2002" s="207">
        <f>G1965</f>
        <v>6</v>
      </c>
      <c r="G2002" s="190">
        <f>'HIRE CHARGES'!F553</f>
        <v>263.60000000000002</v>
      </c>
      <c r="H2002" s="190">
        <f t="shared" si="4"/>
        <v>1581.6000000000001</v>
      </c>
    </row>
    <row r="2003" spans="1:8">
      <c r="A2003" s="822"/>
      <c r="B2003" s="105">
        <v>7</v>
      </c>
      <c r="C2003" s="76" t="s">
        <v>4206</v>
      </c>
      <c r="D2003" s="31"/>
      <c r="E2003" s="105" t="s">
        <v>1172</v>
      </c>
      <c r="F2003" s="207">
        <v>2</v>
      </c>
      <c r="G2003" s="190">
        <f>'BASIC DATA'!C473</f>
        <v>450</v>
      </c>
      <c r="H2003" s="190">
        <f t="shared" si="4"/>
        <v>900</v>
      </c>
    </row>
    <row r="2004" spans="1:8">
      <c r="A2004" s="822"/>
      <c r="B2004" s="114">
        <v>8</v>
      </c>
      <c r="C2004" s="139" t="s">
        <v>2697</v>
      </c>
      <c r="D2004" s="174"/>
      <c r="E2004" s="114" t="s">
        <v>1172</v>
      </c>
      <c r="F2004" s="181">
        <v>4</v>
      </c>
      <c r="G2004" s="182">
        <f>'BASIC DATA'!C552</f>
        <v>350</v>
      </c>
      <c r="H2004" s="190">
        <f t="shared" si="4"/>
        <v>1400</v>
      </c>
    </row>
    <row r="2005" spans="1:8">
      <c r="A2005" s="822"/>
      <c r="B2005" s="176"/>
      <c r="C2005" s="174"/>
      <c r="D2005" s="174" t="s">
        <v>1174</v>
      </c>
      <c r="E2005" s="174"/>
      <c r="F2005" s="192"/>
      <c r="G2005" s="275" t="s">
        <v>1698</v>
      </c>
      <c r="H2005" s="318">
        <f>SUM(H1997:H2004)</f>
        <v>13621.6</v>
      </c>
    </row>
    <row r="2006" spans="1:8">
      <c r="A2006" s="822"/>
      <c r="B2006" s="60" t="s">
        <v>5948</v>
      </c>
      <c r="C2006" s="31"/>
      <c r="D2006" s="31"/>
      <c r="E2006" s="85">
        <f>ROUND(H2005/G1968,1)</f>
        <v>28.4</v>
      </c>
      <c r="G2006" s="31"/>
    </row>
    <row r="2007" spans="1:8">
      <c r="A2007" s="822"/>
      <c r="B2007" s="60" t="s">
        <v>3163</v>
      </c>
      <c r="C2007" s="31"/>
      <c r="D2007" s="922">
        <f>'BASIC DATA'!$C$577</f>
        <v>0.13614999999999999</v>
      </c>
      <c r="E2007" s="85">
        <f>ROUND(E2006*D2007,1)</f>
        <v>3.9</v>
      </c>
      <c r="G2007" s="31"/>
    </row>
    <row r="2008" spans="1:8">
      <c r="A2008" s="822"/>
      <c r="B2008" s="60" t="s">
        <v>5949</v>
      </c>
      <c r="C2008" s="31"/>
      <c r="D2008" s="31"/>
      <c r="E2008" s="739">
        <f>E2007+E2006</f>
        <v>32.299999999999997</v>
      </c>
      <c r="G2008" s="31"/>
    </row>
    <row r="2009" spans="1:8">
      <c r="A2009" s="822"/>
      <c r="B2009" s="26"/>
    </row>
    <row r="2010" spans="1:8">
      <c r="A2010" s="822"/>
      <c r="B2010" s="170" t="s">
        <v>1175</v>
      </c>
    </row>
    <row r="2011" spans="1:8">
      <c r="A2011" s="822"/>
      <c r="B2011" s="26" t="s">
        <v>1176</v>
      </c>
      <c r="F2011" s="171" t="s">
        <v>1698</v>
      </c>
      <c r="G2011" s="68">
        <f>H1974</f>
        <v>0</v>
      </c>
    </row>
    <row r="2012" spans="1:8">
      <c r="A2012" s="822"/>
      <c r="B2012" s="26" t="s">
        <v>1186</v>
      </c>
      <c r="F2012" s="171" t="s">
        <v>1698</v>
      </c>
      <c r="G2012" s="68">
        <f>H1992</f>
        <v>64644.200000000004</v>
      </c>
    </row>
    <row r="2013" spans="1:8">
      <c r="A2013" s="822"/>
      <c r="B2013" s="26" t="s">
        <v>2660</v>
      </c>
      <c r="F2013" s="171" t="s">
        <v>1698</v>
      </c>
      <c r="G2013" s="75">
        <f>H2005</f>
        <v>13621.6</v>
      </c>
    </row>
    <row r="2014" spans="1:8">
      <c r="A2014" s="822"/>
      <c r="E2014" s="26" t="s">
        <v>1518</v>
      </c>
      <c r="F2014" s="171" t="s">
        <v>1698</v>
      </c>
      <c r="G2014" s="205">
        <f>SUM(G2011:G2013)</f>
        <v>78265.8</v>
      </c>
    </row>
    <row r="2015" spans="1:8" ht="36" customHeight="1">
      <c r="A2015" s="822"/>
      <c r="B2015" s="1207" t="s">
        <v>1379</v>
      </c>
      <c r="C2015" s="1207"/>
      <c r="E2015" s="922">
        <f>'BASIC DATA'!$C$577</f>
        <v>0.13614999999999999</v>
      </c>
      <c r="F2015" s="26" t="s">
        <v>1698</v>
      </c>
      <c r="G2015" s="26">
        <f>G2014*E2015</f>
        <v>10655.88867</v>
      </c>
    </row>
    <row r="2016" spans="1:8">
      <c r="A2016" s="822"/>
      <c r="B2016" s="26" t="s">
        <v>1191</v>
      </c>
      <c r="D2016" s="68">
        <f>G1968</f>
        <v>480</v>
      </c>
      <c r="E2016" s="68" t="str">
        <f>H1968</f>
        <v>cum</v>
      </c>
      <c r="F2016" s="26" t="s">
        <v>1698</v>
      </c>
      <c r="G2016" s="211">
        <f>G2015+G2014</f>
        <v>88921.688670000003</v>
      </c>
    </row>
    <row r="2017" spans="1:8">
      <c r="A2017" s="822"/>
      <c r="B2017" s="170" t="s">
        <v>1584</v>
      </c>
      <c r="C2017" s="211" t="str">
        <f>E2016</f>
        <v>cum</v>
      </c>
      <c r="D2017" s="26" t="s">
        <v>4727</v>
      </c>
      <c r="F2017" s="26" t="s">
        <v>4108</v>
      </c>
      <c r="G2017" s="211">
        <f>ROUND(G2016/D2016,1)</f>
        <v>185.3</v>
      </c>
    </row>
    <row r="2018" spans="1:8">
      <c r="A2018" s="822"/>
    </row>
    <row r="2019" spans="1:8">
      <c r="A2019" s="822"/>
    </row>
    <row r="2020" spans="1:8">
      <c r="A2020" s="865" t="s">
        <v>5506</v>
      </c>
      <c r="B2020" s="170" t="s">
        <v>9195</v>
      </c>
    </row>
    <row r="2021" spans="1:8">
      <c r="B2021" s="26" t="s">
        <v>9196</v>
      </c>
    </row>
    <row r="2022" spans="1:8">
      <c r="B2022" s="26" t="s">
        <v>9197</v>
      </c>
    </row>
    <row r="2023" spans="1:8">
      <c r="B2023" s="26" t="s">
        <v>9198</v>
      </c>
    </row>
    <row r="2024" spans="1:8">
      <c r="B2024" s="26" t="s">
        <v>9199</v>
      </c>
    </row>
    <row r="2025" spans="1:8">
      <c r="B2025" s="26" t="s">
        <v>9200</v>
      </c>
    </row>
    <row r="2026" spans="1:8">
      <c r="B2026" s="26"/>
    </row>
    <row r="2027" spans="1:8" hidden="1">
      <c r="A2027" s="865" t="s">
        <v>3984</v>
      </c>
      <c r="B2027" s="26" t="s">
        <v>602</v>
      </c>
      <c r="F2027" s="78" t="s">
        <v>1697</v>
      </c>
      <c r="G2027" s="68">
        <v>0.5</v>
      </c>
      <c r="H2027" s="26" t="s">
        <v>3477</v>
      </c>
    </row>
    <row r="2028" spans="1:8" hidden="1">
      <c r="B2028" s="26" t="s">
        <v>603</v>
      </c>
      <c r="F2028" s="78" t="s">
        <v>1697</v>
      </c>
      <c r="G2028" s="68">
        <v>0.57999999999999996</v>
      </c>
      <c r="H2028" s="26" t="s">
        <v>3477</v>
      </c>
    </row>
    <row r="2029" spans="1:8" hidden="1">
      <c r="B2029" s="26" t="s">
        <v>604</v>
      </c>
      <c r="F2029" s="78" t="s">
        <v>1697</v>
      </c>
      <c r="G2029" s="68">
        <v>5</v>
      </c>
      <c r="H2029" s="26" t="s">
        <v>3477</v>
      </c>
    </row>
    <row r="2030" spans="1:8" hidden="1">
      <c r="B2030" s="26" t="s">
        <v>2541</v>
      </c>
      <c r="F2030" s="78" t="s">
        <v>3432</v>
      </c>
      <c r="G2030" s="26">
        <v>1</v>
      </c>
      <c r="H2030" s="26" t="s">
        <v>3430</v>
      </c>
    </row>
    <row r="2031" spans="1:8" hidden="1">
      <c r="B2031" s="26" t="s">
        <v>4569</v>
      </c>
      <c r="F2031" s="78" t="s">
        <v>1697</v>
      </c>
      <c r="G2031" s="26">
        <v>15</v>
      </c>
      <c r="H2031" s="26" t="s">
        <v>6703</v>
      </c>
    </row>
    <row r="2032" spans="1:8" hidden="1">
      <c r="B2032" s="26" t="s">
        <v>5632</v>
      </c>
      <c r="F2032" s="78" t="s">
        <v>1697</v>
      </c>
      <c r="G2032" s="26">
        <v>20</v>
      </c>
      <c r="H2032" s="26" t="s">
        <v>6703</v>
      </c>
    </row>
    <row r="2033" spans="2:8" hidden="1">
      <c r="B2033" s="26" t="s">
        <v>3985</v>
      </c>
      <c r="F2033" s="78" t="s">
        <v>1697</v>
      </c>
      <c r="G2033" s="68">
        <v>2.5</v>
      </c>
      <c r="H2033" s="26" t="s">
        <v>2603</v>
      </c>
    </row>
    <row r="2034" spans="2:8" hidden="1">
      <c r="B2034" s="26" t="s">
        <v>4030</v>
      </c>
      <c r="F2034" s="78" t="s">
        <v>1697</v>
      </c>
      <c r="G2034" s="26">
        <v>35</v>
      </c>
      <c r="H2034" s="26" t="s">
        <v>3434</v>
      </c>
    </row>
    <row r="2035" spans="2:8" hidden="1">
      <c r="B2035" s="26" t="s">
        <v>7322</v>
      </c>
      <c r="F2035" s="78" t="s">
        <v>1697</v>
      </c>
      <c r="G2035" s="68">
        <v>0.5</v>
      </c>
      <c r="H2035" s="26" t="s">
        <v>3477</v>
      </c>
    </row>
    <row r="2036" spans="2:8" hidden="1">
      <c r="B2036" s="26" t="s">
        <v>5634</v>
      </c>
      <c r="F2036" s="78" t="s">
        <v>1123</v>
      </c>
      <c r="G2036" s="68">
        <v>4</v>
      </c>
      <c r="H2036" s="26" t="s">
        <v>3477</v>
      </c>
    </row>
    <row r="2037" spans="2:8" hidden="1">
      <c r="B2037" s="26" t="s">
        <v>5635</v>
      </c>
      <c r="F2037" s="78" t="s">
        <v>1123</v>
      </c>
      <c r="G2037" s="26">
        <v>8</v>
      </c>
      <c r="H2037" s="26" t="s">
        <v>4932</v>
      </c>
    </row>
    <row r="2038" spans="2:8" hidden="1">
      <c r="B2038" s="26" t="s">
        <v>247</v>
      </c>
      <c r="F2038" s="78" t="s">
        <v>1123</v>
      </c>
      <c r="G2038" s="26">
        <v>4.67</v>
      </c>
      <c r="H2038" s="26" t="s">
        <v>2603</v>
      </c>
    </row>
    <row r="2039" spans="2:8" hidden="1">
      <c r="B2039" s="26" t="s">
        <v>1613</v>
      </c>
    </row>
    <row r="2040" spans="2:8" hidden="1">
      <c r="B2040" s="26" t="s">
        <v>3258</v>
      </c>
      <c r="F2040" s="78" t="s">
        <v>1697</v>
      </c>
      <c r="G2040" s="26">
        <v>4.67</v>
      </c>
      <c r="H2040" s="26" t="s">
        <v>2603</v>
      </c>
    </row>
    <row r="2041" spans="2:8" hidden="1">
      <c r="B2041" s="26" t="s">
        <v>762</v>
      </c>
      <c r="F2041" s="78" t="s">
        <v>1697</v>
      </c>
      <c r="G2041" s="68">
        <v>4</v>
      </c>
      <c r="H2041" s="26" t="s">
        <v>2603</v>
      </c>
    </row>
    <row r="2042" spans="2:8" hidden="1">
      <c r="B2042" s="26" t="s">
        <v>705</v>
      </c>
      <c r="F2042" s="78" t="s">
        <v>1697</v>
      </c>
      <c r="G2042" s="68">
        <v>2.5</v>
      </c>
      <c r="H2042" s="26" t="s">
        <v>2603</v>
      </c>
    </row>
    <row r="2043" spans="2:8" hidden="1">
      <c r="B2043" s="26" t="s">
        <v>3918</v>
      </c>
      <c r="F2043" s="78" t="s">
        <v>1697</v>
      </c>
      <c r="G2043" s="68">
        <v>3</v>
      </c>
      <c r="H2043" s="26" t="s">
        <v>2603</v>
      </c>
    </row>
    <row r="2044" spans="2:8" hidden="1">
      <c r="B2044" s="26" t="s">
        <v>263</v>
      </c>
      <c r="F2044" s="78" t="s">
        <v>1697</v>
      </c>
      <c r="G2044" s="173">
        <v>0.5</v>
      </c>
      <c r="H2044" s="26" t="s">
        <v>2603</v>
      </c>
    </row>
    <row r="2045" spans="2:8" hidden="1">
      <c r="B2045" s="26"/>
      <c r="E2045" s="26" t="s">
        <v>1518</v>
      </c>
      <c r="F2045" s="78" t="s">
        <v>1697</v>
      </c>
      <c r="G2045" s="26">
        <f>SUM(G2040:G2044)</f>
        <v>14.67</v>
      </c>
      <c r="H2045" s="26" t="s">
        <v>2603</v>
      </c>
    </row>
    <row r="2046" spans="2:8" hidden="1">
      <c r="B2046" s="26" t="s">
        <v>6897</v>
      </c>
      <c r="F2046" s="78" t="s">
        <v>1697</v>
      </c>
      <c r="G2046" s="26">
        <v>3</v>
      </c>
      <c r="H2046" s="26" t="s">
        <v>2059</v>
      </c>
    </row>
    <row r="2047" spans="2:8" hidden="1">
      <c r="B2047" s="26" t="s">
        <v>4384</v>
      </c>
      <c r="F2047" s="78" t="s">
        <v>1697</v>
      </c>
      <c r="G2047" s="26">
        <v>13.63</v>
      </c>
      <c r="H2047" s="26" t="s">
        <v>3477</v>
      </c>
    </row>
    <row r="2048" spans="2:8" hidden="1">
      <c r="B2048" s="26" t="s">
        <v>4385</v>
      </c>
      <c r="F2048" s="78" t="s">
        <v>1123</v>
      </c>
      <c r="G2048" s="26">
        <v>325</v>
      </c>
      <c r="H2048" s="26" t="s">
        <v>3477</v>
      </c>
    </row>
    <row r="2049" spans="1:8" hidden="1">
      <c r="B2049" s="26"/>
    </row>
    <row r="2050" spans="1:8" hidden="1">
      <c r="A2050" s="865">
        <v>1</v>
      </c>
      <c r="B2050" s="26" t="s">
        <v>2860</v>
      </c>
    </row>
    <row r="2051" spans="1:8" hidden="1">
      <c r="A2051" s="870"/>
      <c r="B2051" s="26" t="s">
        <v>3974</v>
      </c>
      <c r="F2051" s="78" t="s">
        <v>1697</v>
      </c>
      <c r="G2051" s="68">
        <v>162.5</v>
      </c>
      <c r="H2051" s="26" t="s">
        <v>3479</v>
      </c>
    </row>
    <row r="2052" spans="1:8" hidden="1">
      <c r="A2052" s="870"/>
      <c r="B2052" s="26" t="s">
        <v>4450</v>
      </c>
      <c r="F2052" s="78" t="s">
        <v>1697</v>
      </c>
      <c r="G2052" s="68">
        <v>0.2</v>
      </c>
      <c r="H2052" s="26" t="s">
        <v>2602</v>
      </c>
    </row>
    <row r="2053" spans="1:8" hidden="1">
      <c r="A2053" s="870"/>
      <c r="B2053" s="26" t="s">
        <v>3975</v>
      </c>
      <c r="F2053" s="78" t="s">
        <v>1697</v>
      </c>
      <c r="G2053" s="26">
        <v>34.1</v>
      </c>
      <c r="H2053" s="26" t="s">
        <v>3477</v>
      </c>
    </row>
    <row r="2054" spans="1:8" hidden="1">
      <c r="A2054" s="870"/>
      <c r="B2054" s="26" t="s">
        <v>3248</v>
      </c>
      <c r="F2054" s="78" t="s">
        <v>1697</v>
      </c>
      <c r="G2054" s="26">
        <v>70</v>
      </c>
      <c r="H2054" s="26" t="s">
        <v>3477</v>
      </c>
    </row>
    <row r="2055" spans="1:8" hidden="1">
      <c r="A2055" s="870"/>
      <c r="B2055" s="26" t="s">
        <v>3976</v>
      </c>
      <c r="F2055" s="78" t="s">
        <v>1697</v>
      </c>
      <c r="G2055" s="68">
        <v>0.5</v>
      </c>
      <c r="H2055" s="26" t="s">
        <v>4665</v>
      </c>
    </row>
    <row r="2056" spans="1:8" hidden="1">
      <c r="A2056" s="870"/>
      <c r="B2056" s="26" t="s">
        <v>3977</v>
      </c>
    </row>
    <row r="2057" spans="1:8" hidden="1">
      <c r="A2057" s="865">
        <v>2</v>
      </c>
      <c r="B2057" s="26" t="s">
        <v>6281</v>
      </c>
    </row>
    <row r="2058" spans="1:8" hidden="1">
      <c r="A2058" s="870"/>
      <c r="B2058" s="26" t="s">
        <v>4117</v>
      </c>
    </row>
    <row r="2059" spans="1:8" hidden="1">
      <c r="A2059" s="870"/>
      <c r="B2059" s="26" t="s">
        <v>7326</v>
      </c>
    </row>
    <row r="2060" spans="1:8" hidden="1">
      <c r="A2060" s="865">
        <v>3</v>
      </c>
      <c r="B2060" s="26" t="s">
        <v>1261</v>
      </c>
    </row>
    <row r="2061" spans="1:8" hidden="1">
      <c r="A2061" s="870"/>
      <c r="B2061" s="26" t="s">
        <v>1626</v>
      </c>
      <c r="F2061" s="78" t="s">
        <v>1697</v>
      </c>
      <c r="G2061" s="26">
        <v>390</v>
      </c>
      <c r="H2061" s="26" t="s">
        <v>3477</v>
      </c>
    </row>
    <row r="2062" spans="1:8" hidden="1">
      <c r="A2062" s="870"/>
      <c r="B2062" s="26" t="s">
        <v>6514</v>
      </c>
      <c r="F2062" s="78" t="s">
        <v>1697</v>
      </c>
      <c r="G2062" s="26">
        <v>200</v>
      </c>
      <c r="H2062" s="26" t="s">
        <v>3477</v>
      </c>
    </row>
    <row r="2063" spans="1:8" hidden="1">
      <c r="A2063" s="870"/>
      <c r="B2063" s="26" t="s">
        <v>2192</v>
      </c>
      <c r="F2063" s="78" t="s">
        <v>1123</v>
      </c>
      <c r="G2063" s="383">
        <v>2</v>
      </c>
      <c r="H2063" s="26" t="s">
        <v>4665</v>
      </c>
    </row>
    <row r="2064" spans="1:8" hidden="1">
      <c r="A2064" s="870"/>
      <c r="B2064" s="26" t="s">
        <v>412</v>
      </c>
    </row>
    <row r="2065" spans="1:8" hidden="1">
      <c r="A2065" s="865">
        <v>4</v>
      </c>
      <c r="B2065" s="26" t="s">
        <v>1746</v>
      </c>
    </row>
    <row r="2066" spans="1:8" hidden="1">
      <c r="A2066" s="870"/>
      <c r="B2066" s="26" t="s">
        <v>6794</v>
      </c>
    </row>
    <row r="2067" spans="1:8" hidden="1">
      <c r="A2067" s="870"/>
      <c r="B2067" s="26" t="s">
        <v>3715</v>
      </c>
    </row>
    <row r="2068" spans="1:8" hidden="1">
      <c r="A2068" s="870"/>
      <c r="B2068" s="26" t="s">
        <v>6796</v>
      </c>
    </row>
    <row r="2069" spans="1:8" hidden="1">
      <c r="A2069" s="870"/>
      <c r="B2069" s="26" t="s">
        <v>2349</v>
      </c>
    </row>
    <row r="2070" spans="1:8" hidden="1">
      <c r="A2070" s="870"/>
      <c r="B2070" s="26" t="s">
        <v>2350</v>
      </c>
    </row>
    <row r="2071" spans="1:8" hidden="1">
      <c r="A2071" s="870"/>
      <c r="B2071" s="26" t="s">
        <v>2351</v>
      </c>
    </row>
    <row r="2072" spans="1:8" hidden="1">
      <c r="A2072" s="870"/>
      <c r="B2072" s="26" t="s">
        <v>3612</v>
      </c>
    </row>
    <row r="2073" spans="1:8" hidden="1">
      <c r="A2073" s="865">
        <v>5</v>
      </c>
      <c r="B2073" s="26" t="s">
        <v>6798</v>
      </c>
    </row>
    <row r="2074" spans="1:8" hidden="1">
      <c r="A2074" s="870"/>
      <c r="B2074" s="26" t="s">
        <v>3647</v>
      </c>
    </row>
    <row r="2075" spans="1:8" hidden="1">
      <c r="A2075" s="870"/>
      <c r="B2075" s="26" t="s">
        <v>7217</v>
      </c>
    </row>
    <row r="2076" spans="1:8" hidden="1">
      <c r="A2076" s="870"/>
      <c r="B2076" s="26" t="s">
        <v>2320</v>
      </c>
    </row>
    <row r="2077" spans="1:8" hidden="1">
      <c r="A2077" s="870"/>
      <c r="B2077" s="26" t="s">
        <v>3650</v>
      </c>
      <c r="F2077" s="78" t="s">
        <v>1697</v>
      </c>
      <c r="G2077" s="68">
        <v>1.9</v>
      </c>
      <c r="H2077" s="26" t="s">
        <v>2602</v>
      </c>
    </row>
    <row r="2078" spans="1:8" hidden="1">
      <c r="A2078" s="870"/>
      <c r="B2078" s="26" t="s">
        <v>4995</v>
      </c>
      <c r="F2078" s="78" t="s">
        <v>1697</v>
      </c>
      <c r="G2078" s="383">
        <v>4</v>
      </c>
      <c r="H2078" s="26" t="s">
        <v>3430</v>
      </c>
    </row>
    <row r="2079" spans="1:8" hidden="1">
      <c r="A2079" s="870"/>
      <c r="B2079" s="26" t="s">
        <v>4997</v>
      </c>
      <c r="F2079" s="78" t="s">
        <v>1697</v>
      </c>
      <c r="G2079" s="68">
        <v>0.3</v>
      </c>
      <c r="H2079" s="26" t="s">
        <v>2602</v>
      </c>
    </row>
    <row r="2080" spans="1:8" hidden="1">
      <c r="A2080" s="870"/>
      <c r="B2080" s="26" t="s">
        <v>1504</v>
      </c>
      <c r="F2080" s="78" t="s">
        <v>1697</v>
      </c>
      <c r="G2080" s="26">
        <v>11</v>
      </c>
      <c r="H2080" s="26" t="s">
        <v>2059</v>
      </c>
    </row>
    <row r="2081" spans="1:8" hidden="1">
      <c r="A2081" s="870"/>
      <c r="B2081" s="26" t="s">
        <v>1209</v>
      </c>
    </row>
    <row r="2082" spans="1:8" hidden="1">
      <c r="A2082" s="870"/>
      <c r="B2082" s="26" t="s">
        <v>6004</v>
      </c>
      <c r="E2082" s="26">
        <f>50/60*(1.9*4000*0.3*0.6/11)</f>
        <v>103.63636363636364</v>
      </c>
      <c r="F2082" s="78" t="s">
        <v>1123</v>
      </c>
      <c r="G2082" s="26">
        <v>103</v>
      </c>
      <c r="H2082" s="26" t="s">
        <v>3477</v>
      </c>
    </row>
    <row r="2083" spans="1:8" hidden="1">
      <c r="A2083" s="870"/>
      <c r="B2083" s="26" t="s">
        <v>3613</v>
      </c>
      <c r="E2083" s="26">
        <f>390/G2082</f>
        <v>3.7864077669902914</v>
      </c>
      <c r="F2083" s="78" t="s">
        <v>1123</v>
      </c>
      <c r="G2083" s="68">
        <v>4</v>
      </c>
      <c r="H2083" s="26" t="s">
        <v>4665</v>
      </c>
    </row>
    <row r="2084" spans="1:8" hidden="1">
      <c r="A2084" s="865">
        <v>6</v>
      </c>
      <c r="B2084" s="26" t="s">
        <v>1129</v>
      </c>
    </row>
    <row r="2085" spans="1:8" hidden="1">
      <c r="B2085" s="26" t="s">
        <v>5043</v>
      </c>
    </row>
    <row r="2086" spans="1:8">
      <c r="A2086" s="822"/>
    </row>
    <row r="2087" spans="1:8">
      <c r="A2087" s="822" t="s">
        <v>9215</v>
      </c>
      <c r="C2087" s="203" t="s">
        <v>2367</v>
      </c>
      <c r="D2087" s="171"/>
      <c r="F2087" s="171" t="s">
        <v>297</v>
      </c>
      <c r="G2087" s="162">
        <v>325</v>
      </c>
      <c r="H2087" s="26" t="s">
        <v>3477</v>
      </c>
    </row>
    <row r="2088" spans="1:8">
      <c r="A2088" s="822"/>
      <c r="B2088" s="79" t="s">
        <v>2368</v>
      </c>
    </row>
    <row r="2089" spans="1:8">
      <c r="A2089" s="822"/>
      <c r="B2089" s="95" t="s">
        <v>2369</v>
      </c>
      <c r="C2089" s="157" t="s">
        <v>6374</v>
      </c>
      <c r="D2089" s="195"/>
      <c r="E2089" s="95" t="s">
        <v>2370</v>
      </c>
      <c r="F2089" s="95" t="s">
        <v>1166</v>
      </c>
      <c r="G2089" s="95" t="s">
        <v>2371</v>
      </c>
      <c r="H2089" s="95" t="s">
        <v>2372</v>
      </c>
    </row>
    <row r="2090" spans="1:8">
      <c r="A2090" s="822"/>
      <c r="B2090" s="114"/>
      <c r="C2090" s="154"/>
      <c r="D2090" s="192"/>
      <c r="E2090" s="114"/>
      <c r="F2090" s="114"/>
      <c r="G2090" s="114" t="s">
        <v>3485</v>
      </c>
      <c r="H2090" s="114" t="s">
        <v>3485</v>
      </c>
    </row>
    <row r="2091" spans="1:8">
      <c r="A2091" s="822"/>
      <c r="B2091" s="95">
        <v>1</v>
      </c>
      <c r="C2091" s="93" t="s">
        <v>6976</v>
      </c>
      <c r="E2091" s="95"/>
      <c r="F2091" s="190">
        <v>0</v>
      </c>
      <c r="G2091" s="190">
        <v>0</v>
      </c>
      <c r="H2091" s="190">
        <f>F2091*G2091</f>
        <v>0</v>
      </c>
    </row>
    <row r="2092" spans="1:8">
      <c r="A2092" s="822"/>
      <c r="B2092" s="275"/>
      <c r="C2092" s="139"/>
      <c r="D2092" s="174"/>
      <c r="E2092" s="114"/>
      <c r="F2092" s="182">
        <v>0</v>
      </c>
      <c r="G2092" s="182">
        <v>0</v>
      </c>
      <c r="H2092" s="182">
        <f>F2092*G2092</f>
        <v>0</v>
      </c>
    </row>
    <row r="2093" spans="1:8">
      <c r="A2093" s="822"/>
      <c r="B2093" s="92"/>
      <c r="C2093" s="159"/>
      <c r="D2093" s="159" t="s">
        <v>2376</v>
      </c>
      <c r="E2093" s="159"/>
      <c r="F2093" s="238"/>
      <c r="G2093" s="236" t="s">
        <v>1698</v>
      </c>
      <c r="H2093" s="318">
        <f>SUM(H2091:H2092)</f>
        <v>0</v>
      </c>
    </row>
    <row r="2094" spans="1:8">
      <c r="A2094" s="822"/>
    </row>
    <row r="2095" spans="1:8">
      <c r="A2095" s="822"/>
      <c r="B2095" s="79" t="s">
        <v>2377</v>
      </c>
    </row>
    <row r="2096" spans="1:8">
      <c r="A2096" s="822"/>
      <c r="B2096" s="95" t="s">
        <v>2369</v>
      </c>
      <c r="C2096" s="157" t="s">
        <v>2378</v>
      </c>
      <c r="D2096" s="195"/>
      <c r="E2096" s="95" t="s">
        <v>2370</v>
      </c>
      <c r="F2096" s="95" t="s">
        <v>1166</v>
      </c>
      <c r="G2096" s="95" t="s">
        <v>2371</v>
      </c>
      <c r="H2096" s="95" t="s">
        <v>2372</v>
      </c>
    </row>
    <row r="2097" spans="1:8">
      <c r="A2097" s="822"/>
      <c r="B2097" s="114"/>
      <c r="C2097" s="154"/>
      <c r="D2097" s="192"/>
      <c r="E2097" s="114"/>
      <c r="F2097" s="114"/>
      <c r="G2097" s="114" t="s">
        <v>3485</v>
      </c>
      <c r="H2097" s="114" t="s">
        <v>3485</v>
      </c>
    </row>
    <row r="2098" spans="1:8">
      <c r="A2098" s="822"/>
      <c r="B2098" s="105">
        <v>1</v>
      </c>
      <c r="C2098" s="135" t="s">
        <v>1502</v>
      </c>
      <c r="E2098" s="95" t="s">
        <v>2374</v>
      </c>
      <c r="F2098" s="214">
        <v>3.5</v>
      </c>
      <c r="G2098" s="190">
        <f>'HIRE CHARGES'!D499</f>
        <v>1715.5</v>
      </c>
      <c r="H2098" s="190">
        <f>F2098*G2098</f>
        <v>6004.25</v>
      </c>
    </row>
    <row r="2099" spans="1:8">
      <c r="A2099" s="822"/>
      <c r="B2099" s="280"/>
      <c r="C2099" s="135" t="s">
        <v>2379</v>
      </c>
      <c r="E2099" s="105" t="s">
        <v>2374</v>
      </c>
      <c r="F2099" s="190">
        <v>3.5</v>
      </c>
      <c r="G2099" s="190">
        <f>'HIRE CHARGES'!E499</f>
        <v>610.5</v>
      </c>
      <c r="H2099" s="190">
        <f t="shared" ref="H2099:H2110" si="5">F2099*G2099</f>
        <v>2136.75</v>
      </c>
    </row>
    <row r="2100" spans="1:8">
      <c r="A2100" s="822"/>
      <c r="B2100" s="105">
        <v>2</v>
      </c>
      <c r="C2100" s="135" t="s">
        <v>2951</v>
      </c>
      <c r="E2100" s="105" t="s">
        <v>2374</v>
      </c>
      <c r="F2100" s="190">
        <v>8</v>
      </c>
      <c r="G2100" s="190">
        <f>'HIRE CHARGES'!D542</f>
        <v>1003.1</v>
      </c>
      <c r="H2100" s="190">
        <f t="shared" si="5"/>
        <v>8024.8</v>
      </c>
    </row>
    <row r="2101" spans="1:8">
      <c r="A2101" s="822"/>
      <c r="B2101" s="280"/>
      <c r="C2101" s="135" t="s">
        <v>2379</v>
      </c>
      <c r="E2101" s="105" t="s">
        <v>2374</v>
      </c>
      <c r="F2101" s="190">
        <v>8</v>
      </c>
      <c r="G2101" s="190">
        <f>'HIRE CHARGES'!E542</f>
        <v>476</v>
      </c>
      <c r="H2101" s="190">
        <f t="shared" si="5"/>
        <v>3808</v>
      </c>
    </row>
    <row r="2102" spans="1:8">
      <c r="A2102" s="822"/>
      <c r="B2102" s="105">
        <v>3</v>
      </c>
      <c r="C2102" s="135" t="s">
        <v>3797</v>
      </c>
      <c r="E2102" s="105" t="s">
        <v>2374</v>
      </c>
      <c r="F2102" s="190">
        <v>24</v>
      </c>
      <c r="G2102" s="190">
        <f>'HIRE CHARGES'!D545</f>
        <v>446.7</v>
      </c>
      <c r="H2102" s="190">
        <f t="shared" si="5"/>
        <v>10720.8</v>
      </c>
    </row>
    <row r="2103" spans="1:8">
      <c r="A2103" s="822"/>
      <c r="B2103" s="280"/>
      <c r="C2103" s="135" t="s">
        <v>2379</v>
      </c>
      <c r="E2103" s="105" t="s">
        <v>2374</v>
      </c>
      <c r="F2103" s="190">
        <v>24</v>
      </c>
      <c r="G2103" s="190">
        <f>'HIRE CHARGES'!E545</f>
        <v>299.89999999999998</v>
      </c>
      <c r="H2103" s="190">
        <f t="shared" si="5"/>
        <v>7197.5999999999995</v>
      </c>
    </row>
    <row r="2104" spans="1:8">
      <c r="A2104" s="822"/>
      <c r="B2104" s="105">
        <v>4</v>
      </c>
      <c r="C2104" s="135" t="s">
        <v>1132</v>
      </c>
      <c r="E2104" s="105" t="s">
        <v>2374</v>
      </c>
      <c r="F2104" s="190">
        <v>1.5</v>
      </c>
      <c r="G2104" s="190">
        <f>'HIRE CHARGES'!D517</f>
        <v>10.199999999999999</v>
      </c>
      <c r="H2104" s="190">
        <f t="shared" si="5"/>
        <v>15.299999999999999</v>
      </c>
    </row>
    <row r="2105" spans="1:8">
      <c r="A2105" s="822"/>
      <c r="B2105" s="280"/>
      <c r="C2105" s="135" t="s">
        <v>2379</v>
      </c>
      <c r="E2105" s="105" t="s">
        <v>2374</v>
      </c>
      <c r="F2105" s="190">
        <v>1.5</v>
      </c>
      <c r="G2105" s="190">
        <f>'HIRE CHARGES'!E517</f>
        <v>79.3</v>
      </c>
      <c r="H2105" s="190">
        <f t="shared" si="5"/>
        <v>118.94999999999999</v>
      </c>
    </row>
    <row r="2106" spans="1:8">
      <c r="A2106" s="822"/>
      <c r="B2106" s="105">
        <v>5</v>
      </c>
      <c r="C2106" s="135" t="s">
        <v>6286</v>
      </c>
      <c r="E2106" s="105" t="s">
        <v>2374</v>
      </c>
      <c r="F2106" s="190">
        <v>3</v>
      </c>
      <c r="G2106" s="190">
        <f>'HIRE CHARGES'!D555</f>
        <v>402.5</v>
      </c>
      <c r="H2106" s="190">
        <f t="shared" si="5"/>
        <v>1207.5</v>
      </c>
    </row>
    <row r="2107" spans="1:8">
      <c r="A2107" s="822"/>
      <c r="B2107" s="280"/>
      <c r="C2107" s="135" t="s">
        <v>2379</v>
      </c>
      <c r="E2107" s="105" t="s">
        <v>2374</v>
      </c>
      <c r="F2107" s="190">
        <v>3</v>
      </c>
      <c r="G2107" s="190">
        <f>'HIRE CHARGES'!E555</f>
        <v>299.89999999999998</v>
      </c>
      <c r="H2107" s="190">
        <f t="shared" si="5"/>
        <v>899.69999999999993</v>
      </c>
    </row>
    <row r="2108" spans="1:8">
      <c r="A2108" s="822"/>
      <c r="B2108" s="105">
        <v>6</v>
      </c>
      <c r="C2108" s="135" t="s">
        <v>998</v>
      </c>
      <c r="E2108" s="105" t="s">
        <v>2374</v>
      </c>
      <c r="F2108" s="190">
        <f>G2083</f>
        <v>4</v>
      </c>
      <c r="G2108" s="190">
        <f>'HIRE CHARGES'!D553</f>
        <v>1342.2</v>
      </c>
      <c r="H2108" s="190">
        <f t="shared" si="5"/>
        <v>5368.8</v>
      </c>
    </row>
    <row r="2109" spans="1:8">
      <c r="A2109" s="822"/>
      <c r="B2109" s="280"/>
      <c r="C2109" s="135" t="s">
        <v>2379</v>
      </c>
      <c r="E2109" s="105" t="s">
        <v>2374</v>
      </c>
      <c r="F2109" s="190">
        <f>G2083</f>
        <v>4</v>
      </c>
      <c r="G2109" s="190">
        <f>'HIRE CHARGES'!E553</f>
        <v>1031.4000000000001</v>
      </c>
      <c r="H2109" s="190">
        <f t="shared" si="5"/>
        <v>4125.6000000000004</v>
      </c>
    </row>
    <row r="2110" spans="1:8">
      <c r="A2110" s="822"/>
      <c r="B2110" s="114">
        <v>7</v>
      </c>
      <c r="C2110" s="139" t="s">
        <v>2373</v>
      </c>
      <c r="D2110" s="174"/>
      <c r="E2110" s="114" t="s">
        <v>2173</v>
      </c>
      <c r="F2110" s="182">
        <v>2</v>
      </c>
      <c r="G2110" s="215">
        <f>'BASIC DATA'!D359</f>
        <v>30</v>
      </c>
      <c r="H2110" s="190">
        <f t="shared" si="5"/>
        <v>60</v>
      </c>
    </row>
    <row r="2111" spans="1:8">
      <c r="A2111" s="822"/>
      <c r="B2111" s="176"/>
      <c r="C2111" s="174"/>
      <c r="D2111" s="174" t="s">
        <v>2380</v>
      </c>
      <c r="E2111" s="174"/>
      <c r="F2111" s="192"/>
      <c r="G2111" s="275" t="s">
        <v>1698</v>
      </c>
      <c r="H2111" s="318">
        <f>SUM(H2098:H2110)</f>
        <v>49688.049999999996</v>
      </c>
    </row>
    <row r="2112" spans="1:8">
      <c r="A2112" s="822"/>
    </row>
    <row r="2113" spans="1:8">
      <c r="A2113" s="822"/>
      <c r="B2113" s="79" t="s">
        <v>2381</v>
      </c>
    </row>
    <row r="2114" spans="1:8">
      <c r="A2114" s="822"/>
      <c r="B2114" s="95" t="s">
        <v>2369</v>
      </c>
      <c r="C2114" s="157" t="s">
        <v>2378</v>
      </c>
      <c r="D2114" s="195"/>
      <c r="E2114" s="95" t="s">
        <v>2370</v>
      </c>
      <c r="F2114" s="95" t="s">
        <v>1166</v>
      </c>
      <c r="G2114" s="95" t="s">
        <v>2371</v>
      </c>
      <c r="H2114" s="95" t="s">
        <v>2372</v>
      </c>
    </row>
    <row r="2115" spans="1:8">
      <c r="A2115" s="822"/>
      <c r="B2115" s="114"/>
      <c r="C2115" s="154"/>
      <c r="D2115" s="192"/>
      <c r="E2115" s="105"/>
      <c r="F2115" s="114"/>
      <c r="G2115" s="114" t="s">
        <v>3485</v>
      </c>
      <c r="H2115" s="114" t="s">
        <v>3485</v>
      </c>
    </row>
    <row r="2116" spans="1:8">
      <c r="A2116" s="822"/>
      <c r="B2116" s="95">
        <v>1</v>
      </c>
      <c r="C2116" s="148" t="s">
        <v>2870</v>
      </c>
      <c r="D2116" s="187"/>
      <c r="E2116" s="95" t="s">
        <v>2374</v>
      </c>
      <c r="F2116" s="178">
        <v>3.5</v>
      </c>
      <c r="G2116" s="179">
        <f>'HIRE CHARGES'!F499</f>
        <v>236.6</v>
      </c>
      <c r="H2116" s="179">
        <f>F2116*G2116</f>
        <v>828.1</v>
      </c>
    </row>
    <row r="2117" spans="1:8">
      <c r="A2117" s="822"/>
      <c r="B2117" s="105">
        <v>2</v>
      </c>
      <c r="C2117" s="76" t="s">
        <v>300</v>
      </c>
      <c r="D2117" s="31"/>
      <c r="E2117" s="105" t="s">
        <v>2374</v>
      </c>
      <c r="F2117" s="207">
        <v>8</v>
      </c>
      <c r="G2117" s="190">
        <f>'HIRE CHARGES'!F542</f>
        <v>236.6</v>
      </c>
      <c r="H2117" s="190">
        <f t="shared" ref="H2117:H2123" si="6">F2117*G2117</f>
        <v>1892.8</v>
      </c>
    </row>
    <row r="2118" spans="1:8">
      <c r="A2118" s="822"/>
      <c r="B2118" s="105">
        <v>3</v>
      </c>
      <c r="C2118" s="76" t="s">
        <v>301</v>
      </c>
      <c r="D2118" s="31"/>
      <c r="E2118" s="105" t="s">
        <v>2374</v>
      </c>
      <c r="F2118" s="207">
        <v>24</v>
      </c>
      <c r="G2118" s="190">
        <f>'HIRE CHARGES'!F545</f>
        <v>177.5</v>
      </c>
      <c r="H2118" s="190">
        <f t="shared" si="6"/>
        <v>4260</v>
      </c>
    </row>
    <row r="2119" spans="1:8">
      <c r="A2119" s="822"/>
      <c r="B2119" s="105">
        <v>4</v>
      </c>
      <c r="C2119" s="76" t="s">
        <v>999</v>
      </c>
      <c r="D2119" s="31"/>
      <c r="E2119" s="105" t="s">
        <v>2374</v>
      </c>
      <c r="F2119" s="207">
        <v>1.5</v>
      </c>
      <c r="G2119" s="190">
        <f>'HIRE CHARGES'!F517</f>
        <v>111.1</v>
      </c>
      <c r="H2119" s="190">
        <f t="shared" si="6"/>
        <v>166.64999999999998</v>
      </c>
    </row>
    <row r="2120" spans="1:8">
      <c r="A2120" s="822"/>
      <c r="B2120" s="105">
        <v>5</v>
      </c>
      <c r="C2120" s="76" t="s">
        <v>1000</v>
      </c>
      <c r="D2120" s="31"/>
      <c r="E2120" s="105" t="s">
        <v>2374</v>
      </c>
      <c r="F2120" s="207">
        <v>3</v>
      </c>
      <c r="G2120" s="190">
        <f>'HIRE CHARGES'!F555</f>
        <v>177.5</v>
      </c>
      <c r="H2120" s="190">
        <f t="shared" si="6"/>
        <v>532.5</v>
      </c>
    </row>
    <row r="2121" spans="1:8">
      <c r="A2121" s="822"/>
      <c r="B2121" s="105">
        <v>6</v>
      </c>
      <c r="C2121" s="76" t="s">
        <v>1001</v>
      </c>
      <c r="D2121" s="31"/>
      <c r="E2121" s="105" t="s">
        <v>2374</v>
      </c>
      <c r="F2121" s="207">
        <f>G2083</f>
        <v>4</v>
      </c>
      <c r="G2121" s="190">
        <f>'HIRE CHARGES'!F553</f>
        <v>263.60000000000002</v>
      </c>
      <c r="H2121" s="190">
        <f t="shared" si="6"/>
        <v>1054.4000000000001</v>
      </c>
    </row>
    <row r="2122" spans="1:8">
      <c r="A2122" s="822"/>
      <c r="B2122" s="105">
        <v>7</v>
      </c>
      <c r="C2122" s="76" t="s">
        <v>4206</v>
      </c>
      <c r="D2122" s="31"/>
      <c r="E2122" s="105" t="s">
        <v>1172</v>
      </c>
      <c r="F2122" s="207">
        <v>2</v>
      </c>
      <c r="G2122" s="190">
        <f>'BASIC DATA'!C473</f>
        <v>450</v>
      </c>
      <c r="H2122" s="190">
        <f t="shared" si="6"/>
        <v>900</v>
      </c>
    </row>
    <row r="2123" spans="1:8">
      <c r="A2123" s="822"/>
      <c r="B2123" s="114">
        <v>8</v>
      </c>
      <c r="C2123" s="89" t="s">
        <v>2697</v>
      </c>
      <c r="D2123" s="174"/>
      <c r="E2123" s="114" t="s">
        <v>1172</v>
      </c>
      <c r="F2123" s="181">
        <v>4</v>
      </c>
      <c r="G2123" s="182">
        <f>'BASIC DATA'!C552</f>
        <v>350</v>
      </c>
      <c r="H2123" s="190">
        <f t="shared" si="6"/>
        <v>1400</v>
      </c>
    </row>
    <row r="2124" spans="1:8">
      <c r="A2124" s="822"/>
      <c r="B2124" s="176"/>
      <c r="C2124" s="174"/>
      <c r="D2124" s="174" t="s">
        <v>1174</v>
      </c>
      <c r="E2124" s="174"/>
      <c r="F2124" s="192"/>
      <c r="G2124" s="275" t="s">
        <v>1698</v>
      </c>
      <c r="H2124" s="318">
        <f>SUM(H2116:H2123)</f>
        <v>11034.449999999999</v>
      </c>
    </row>
    <row r="2125" spans="1:8">
      <c r="A2125" s="822"/>
      <c r="B2125" s="60" t="s">
        <v>5948</v>
      </c>
      <c r="C2125" s="31"/>
      <c r="D2125" s="31"/>
      <c r="E2125" s="85">
        <f>ROUND(H2124/G2087,1)</f>
        <v>34</v>
      </c>
      <c r="G2125" s="31"/>
    </row>
    <row r="2126" spans="1:8">
      <c r="A2126" s="822"/>
      <c r="B2126" s="60" t="s">
        <v>3163</v>
      </c>
      <c r="C2126" s="31"/>
      <c r="D2126" s="922">
        <f>'BASIC DATA'!$C$577</f>
        <v>0.13614999999999999</v>
      </c>
      <c r="E2126" s="85">
        <f>ROUND(E2125*D2126,1)</f>
        <v>4.5999999999999996</v>
      </c>
      <c r="G2126" s="31"/>
    </row>
    <row r="2127" spans="1:8">
      <c r="A2127" s="822"/>
      <c r="B2127" s="60" t="s">
        <v>5949</v>
      </c>
      <c r="C2127" s="31"/>
      <c r="D2127" s="31"/>
      <c r="E2127" s="739">
        <f>E2126+E2125</f>
        <v>38.6</v>
      </c>
      <c r="G2127" s="31"/>
    </row>
    <row r="2128" spans="1:8">
      <c r="A2128" s="822"/>
      <c r="B2128" s="26"/>
    </row>
    <row r="2129" spans="1:7">
      <c r="A2129" s="822"/>
      <c r="B2129" s="170" t="s">
        <v>1175</v>
      </c>
    </row>
    <row r="2130" spans="1:7">
      <c r="A2130" s="822"/>
      <c r="B2130" s="26" t="s">
        <v>1176</v>
      </c>
      <c r="F2130" s="171" t="s">
        <v>1698</v>
      </c>
      <c r="G2130" s="68">
        <f>H2093</f>
        <v>0</v>
      </c>
    </row>
    <row r="2131" spans="1:7">
      <c r="A2131" s="822"/>
      <c r="B2131" s="26" t="s">
        <v>1186</v>
      </c>
      <c r="F2131" s="171" t="s">
        <v>1698</v>
      </c>
      <c r="G2131" s="68">
        <f>H2111</f>
        <v>49688.049999999996</v>
      </c>
    </row>
    <row r="2132" spans="1:7">
      <c r="A2132" s="822"/>
      <c r="B2132" s="26" t="s">
        <v>2660</v>
      </c>
      <c r="F2132" s="171" t="s">
        <v>1698</v>
      </c>
      <c r="G2132" s="75">
        <f>H2124</f>
        <v>11034.449999999999</v>
      </c>
    </row>
    <row r="2133" spans="1:7">
      <c r="A2133" s="822"/>
      <c r="E2133" s="26" t="s">
        <v>1518</v>
      </c>
      <c r="F2133" s="171" t="s">
        <v>1698</v>
      </c>
      <c r="G2133" s="205">
        <f>SUM(G2130:G2132)</f>
        <v>60722.499999999993</v>
      </c>
    </row>
    <row r="2134" spans="1:7" ht="40.5" customHeight="1">
      <c r="A2134" s="822"/>
      <c r="B2134" s="1207" t="s">
        <v>1379</v>
      </c>
      <c r="C2134" s="1207"/>
      <c r="E2134" s="922">
        <f>'BASIC DATA'!$C$577</f>
        <v>0.13614999999999999</v>
      </c>
      <c r="F2134" s="26" t="s">
        <v>1698</v>
      </c>
      <c r="G2134" s="26">
        <f>G2133*E2134</f>
        <v>8267.3683749999982</v>
      </c>
    </row>
    <row r="2135" spans="1:7">
      <c r="A2135" s="822"/>
      <c r="B2135" s="26" t="s">
        <v>1191</v>
      </c>
      <c r="D2135" s="68">
        <f>G2087</f>
        <v>325</v>
      </c>
      <c r="E2135" s="68" t="str">
        <f>H2087</f>
        <v>cum</v>
      </c>
      <c r="F2135" s="26" t="s">
        <v>1698</v>
      </c>
      <c r="G2135" s="211">
        <f>G2134+G2133</f>
        <v>68989.868374999991</v>
      </c>
    </row>
    <row r="2136" spans="1:7">
      <c r="A2136" s="822"/>
      <c r="B2136" s="170" t="s">
        <v>1584</v>
      </c>
      <c r="C2136" s="211" t="str">
        <f>E2135</f>
        <v>cum</v>
      </c>
      <c r="D2136" s="26" t="s">
        <v>4728</v>
      </c>
      <c r="F2136" s="26" t="s">
        <v>4108</v>
      </c>
      <c r="G2136" s="211">
        <f>ROUND(G2135/D2135,1)</f>
        <v>212.3</v>
      </c>
    </row>
    <row r="2137" spans="1:7">
      <c r="A2137" s="822"/>
    </row>
    <row r="2138" spans="1:7">
      <c r="A2138" s="822"/>
    </row>
    <row r="2139" spans="1:7">
      <c r="A2139" s="865" t="s">
        <v>5507</v>
      </c>
      <c r="B2139" s="26" t="s">
        <v>9201</v>
      </c>
    </row>
    <row r="2140" spans="1:7">
      <c r="B2140" s="26" t="s">
        <v>9202</v>
      </c>
    </row>
    <row r="2141" spans="1:7">
      <c r="B2141" s="26" t="s">
        <v>9203</v>
      </c>
    </row>
    <row r="2142" spans="1:7">
      <c r="B2142" s="26" t="s">
        <v>9190</v>
      </c>
    </row>
    <row r="2143" spans="1:7">
      <c r="B2143" s="26" t="s">
        <v>9204</v>
      </c>
    </row>
    <row r="2144" spans="1:7">
      <c r="B2144" s="170" t="s">
        <v>9205</v>
      </c>
    </row>
    <row r="2145" spans="1:8">
      <c r="B2145" s="26"/>
    </row>
    <row r="2146" spans="1:8" hidden="1">
      <c r="A2146" s="865" t="s">
        <v>3984</v>
      </c>
      <c r="B2146" s="26" t="s">
        <v>602</v>
      </c>
      <c r="F2146" s="78" t="s">
        <v>1697</v>
      </c>
      <c r="G2146" s="68">
        <v>0.5</v>
      </c>
      <c r="H2146" s="26" t="s">
        <v>3477</v>
      </c>
    </row>
    <row r="2147" spans="1:8" hidden="1">
      <c r="B2147" s="26" t="s">
        <v>603</v>
      </c>
      <c r="F2147" s="78" t="s">
        <v>1697</v>
      </c>
      <c r="G2147" s="68">
        <v>0.57999999999999996</v>
      </c>
      <c r="H2147" s="26" t="s">
        <v>3477</v>
      </c>
    </row>
    <row r="2148" spans="1:8" hidden="1">
      <c r="B2148" s="26" t="s">
        <v>738</v>
      </c>
      <c r="F2148" s="78" t="s">
        <v>1697</v>
      </c>
      <c r="G2148" s="68">
        <v>0.53</v>
      </c>
      <c r="H2148" s="26" t="s">
        <v>3477</v>
      </c>
    </row>
    <row r="2149" spans="1:8" hidden="1">
      <c r="B2149" s="26" t="s">
        <v>604</v>
      </c>
      <c r="F2149" s="78" t="s">
        <v>1697</v>
      </c>
      <c r="G2149" s="68">
        <v>5</v>
      </c>
      <c r="H2149" s="26" t="s">
        <v>3477</v>
      </c>
    </row>
    <row r="2150" spans="1:8" hidden="1">
      <c r="B2150" s="26" t="s">
        <v>2541</v>
      </c>
      <c r="F2150" s="78" t="s">
        <v>4807</v>
      </c>
      <c r="G2150" s="26">
        <v>1</v>
      </c>
      <c r="H2150" s="26" t="s">
        <v>3430</v>
      </c>
    </row>
    <row r="2151" spans="1:8" hidden="1">
      <c r="B2151" s="26" t="s">
        <v>4569</v>
      </c>
      <c r="F2151" s="78" t="s">
        <v>1697</v>
      </c>
      <c r="G2151" s="26">
        <v>15</v>
      </c>
      <c r="H2151" s="26" t="s">
        <v>6703</v>
      </c>
    </row>
    <row r="2152" spans="1:8" hidden="1">
      <c r="B2152" s="26" t="s">
        <v>5632</v>
      </c>
      <c r="F2152" s="78" t="s">
        <v>1697</v>
      </c>
      <c r="G2152" s="26">
        <v>20</v>
      </c>
      <c r="H2152" s="26" t="s">
        <v>6703</v>
      </c>
    </row>
    <row r="2153" spans="1:8" hidden="1">
      <c r="B2153" s="26" t="s">
        <v>3985</v>
      </c>
      <c r="F2153" s="78" t="s">
        <v>1697</v>
      </c>
      <c r="G2153" s="68">
        <v>2.5</v>
      </c>
      <c r="H2153" s="26" t="s">
        <v>2603</v>
      </c>
    </row>
    <row r="2154" spans="1:8" hidden="1">
      <c r="B2154" s="26" t="s">
        <v>739</v>
      </c>
    </row>
    <row r="2155" spans="1:8" hidden="1">
      <c r="B2155" s="26" t="s">
        <v>4030</v>
      </c>
      <c r="F2155" s="78" t="s">
        <v>1697</v>
      </c>
      <c r="G2155" s="26">
        <v>20</v>
      </c>
      <c r="H2155" s="26" t="s">
        <v>3434</v>
      </c>
    </row>
    <row r="2156" spans="1:8" hidden="1">
      <c r="B2156" s="26" t="s">
        <v>1161</v>
      </c>
      <c r="F2156" s="78" t="s">
        <v>1123</v>
      </c>
      <c r="G2156" s="26">
        <v>4.54</v>
      </c>
      <c r="H2156" s="26" t="s">
        <v>3477</v>
      </c>
    </row>
    <row r="2157" spans="1:8" hidden="1">
      <c r="B2157" s="26" t="s">
        <v>1162</v>
      </c>
      <c r="F2157" s="78" t="s">
        <v>1123</v>
      </c>
      <c r="G2157" s="26">
        <v>8</v>
      </c>
      <c r="H2157" s="26" t="s">
        <v>4932</v>
      </c>
    </row>
    <row r="2158" spans="1:8" hidden="1">
      <c r="B2158" s="26" t="s">
        <v>1489</v>
      </c>
      <c r="F2158" s="78" t="s">
        <v>1123</v>
      </c>
      <c r="G2158" s="26">
        <v>2.67</v>
      </c>
      <c r="H2158" s="26" t="s">
        <v>2603</v>
      </c>
    </row>
    <row r="2159" spans="1:8" hidden="1">
      <c r="B2159" s="26" t="s">
        <v>1613</v>
      </c>
    </row>
    <row r="2160" spans="1:8" hidden="1">
      <c r="B2160" s="26" t="s">
        <v>3258</v>
      </c>
      <c r="F2160" s="78" t="s">
        <v>1697</v>
      </c>
      <c r="G2160" s="26">
        <v>2.67</v>
      </c>
      <c r="H2160" s="26" t="s">
        <v>2603</v>
      </c>
    </row>
    <row r="2161" spans="2:8" hidden="1">
      <c r="B2161" s="26" t="s">
        <v>762</v>
      </c>
      <c r="F2161" s="78" t="s">
        <v>1697</v>
      </c>
      <c r="G2161" s="68">
        <v>4</v>
      </c>
      <c r="H2161" s="26" t="s">
        <v>2603</v>
      </c>
    </row>
    <row r="2162" spans="2:8" hidden="1">
      <c r="B2162" s="26" t="s">
        <v>705</v>
      </c>
      <c r="F2162" s="78" t="s">
        <v>1697</v>
      </c>
      <c r="G2162" s="68">
        <v>2.5</v>
      </c>
      <c r="H2162" s="26" t="s">
        <v>2603</v>
      </c>
    </row>
    <row r="2163" spans="2:8" hidden="1">
      <c r="B2163" s="26" t="s">
        <v>3918</v>
      </c>
      <c r="F2163" s="78" t="s">
        <v>1697</v>
      </c>
      <c r="G2163" s="68">
        <v>3</v>
      </c>
      <c r="H2163" s="26" t="s">
        <v>2603</v>
      </c>
    </row>
    <row r="2164" spans="2:8" hidden="1">
      <c r="B2164" s="26" t="s">
        <v>263</v>
      </c>
      <c r="F2164" s="78" t="s">
        <v>1697</v>
      </c>
      <c r="G2164" s="173">
        <v>0.5</v>
      </c>
      <c r="H2164" s="26" t="s">
        <v>2603</v>
      </c>
    </row>
    <row r="2165" spans="2:8" hidden="1">
      <c r="B2165" s="26"/>
      <c r="E2165" s="26" t="s">
        <v>1518</v>
      </c>
      <c r="G2165" s="26">
        <f>SUM(G2160:G2164)</f>
        <v>12.67</v>
      </c>
      <c r="H2165" s="26" t="s">
        <v>2603</v>
      </c>
    </row>
    <row r="2166" spans="2:8" hidden="1">
      <c r="B2166" s="26" t="s">
        <v>3646</v>
      </c>
      <c r="F2166" s="78" t="s">
        <v>1697</v>
      </c>
      <c r="G2166" s="26">
        <v>4.7</v>
      </c>
      <c r="H2166" s="26" t="s">
        <v>2059</v>
      </c>
    </row>
    <row r="2167" spans="2:8" hidden="1">
      <c r="B2167" s="26" t="s">
        <v>750</v>
      </c>
      <c r="F2167" s="78" t="s">
        <v>1697</v>
      </c>
      <c r="G2167" s="68">
        <v>18</v>
      </c>
      <c r="H2167" s="26" t="s">
        <v>3477</v>
      </c>
    </row>
    <row r="2168" spans="2:8" hidden="1">
      <c r="B2168" s="26" t="s">
        <v>751</v>
      </c>
      <c r="F2168" s="78" t="s">
        <v>1123</v>
      </c>
      <c r="G2168" s="26">
        <v>680</v>
      </c>
      <c r="H2168" s="26" t="s">
        <v>3477</v>
      </c>
    </row>
    <row r="2169" spans="2:8" hidden="1">
      <c r="B2169" s="26" t="s">
        <v>1182</v>
      </c>
    </row>
    <row r="2170" spans="2:8" hidden="1">
      <c r="B2170" s="26" t="s">
        <v>1183</v>
      </c>
    </row>
    <row r="2171" spans="2:8" hidden="1">
      <c r="B2171" s="26" t="s">
        <v>4093</v>
      </c>
    </row>
    <row r="2172" spans="2:8" hidden="1">
      <c r="B2172" s="26" t="s">
        <v>3075</v>
      </c>
    </row>
    <row r="2173" spans="2:8" hidden="1">
      <c r="B2173" s="26" t="s">
        <v>3076</v>
      </c>
    </row>
    <row r="2174" spans="2:8" hidden="1">
      <c r="B2174" s="26" t="s">
        <v>4001</v>
      </c>
      <c r="F2174" s="78" t="s">
        <v>1697</v>
      </c>
      <c r="G2174" s="26">
        <v>612</v>
      </c>
      <c r="H2174" s="26" t="s">
        <v>3477</v>
      </c>
    </row>
    <row r="2175" spans="2:8" hidden="1">
      <c r="B2175" s="26" t="s">
        <v>2860</v>
      </c>
    </row>
    <row r="2176" spans="2:8" hidden="1">
      <c r="B2176" s="26" t="s">
        <v>4312</v>
      </c>
    </row>
    <row r="2177" spans="2:8" hidden="1">
      <c r="B2177" s="26" t="s">
        <v>6281</v>
      </c>
    </row>
    <row r="2178" spans="2:8" hidden="1">
      <c r="B2178" s="26" t="s">
        <v>4313</v>
      </c>
    </row>
    <row r="2179" spans="2:8" hidden="1">
      <c r="B2179" s="26" t="s">
        <v>4314</v>
      </c>
    </row>
    <row r="2180" spans="2:8" hidden="1">
      <c r="B2180" s="26" t="s">
        <v>1261</v>
      </c>
    </row>
    <row r="2181" spans="2:8" hidden="1">
      <c r="B2181" s="26" t="s">
        <v>4002</v>
      </c>
      <c r="F2181" s="78" t="s">
        <v>1697</v>
      </c>
      <c r="G2181" s="26">
        <v>750</v>
      </c>
      <c r="H2181" s="26" t="s">
        <v>3477</v>
      </c>
    </row>
    <row r="2182" spans="2:8" hidden="1">
      <c r="B2182" s="26" t="s">
        <v>6514</v>
      </c>
      <c r="F2182" s="78" t="s">
        <v>1697</v>
      </c>
      <c r="G2182" s="26">
        <v>200</v>
      </c>
      <c r="H2182" s="26" t="s">
        <v>3477</v>
      </c>
    </row>
    <row r="2183" spans="2:8" hidden="1">
      <c r="B2183" s="26" t="s">
        <v>1953</v>
      </c>
      <c r="F2183" s="78" t="s">
        <v>1123</v>
      </c>
      <c r="G2183" s="26">
        <v>4</v>
      </c>
      <c r="H2183" s="26" t="s">
        <v>4665</v>
      </c>
    </row>
    <row r="2184" spans="2:8" hidden="1">
      <c r="B2184" s="26" t="s">
        <v>1746</v>
      </c>
    </row>
    <row r="2185" spans="2:8" hidden="1">
      <c r="B2185" s="26" t="s">
        <v>4315</v>
      </c>
    </row>
    <row r="2186" spans="2:8" hidden="1">
      <c r="B2186" s="26" t="s">
        <v>4316</v>
      </c>
    </row>
    <row r="2187" spans="2:8" hidden="1">
      <c r="B2187" s="26" t="s">
        <v>4317</v>
      </c>
    </row>
    <row r="2188" spans="2:8" hidden="1">
      <c r="B2188" s="26" t="s">
        <v>4284</v>
      </c>
    </row>
    <row r="2189" spans="2:8" hidden="1">
      <c r="B2189" s="26" t="s">
        <v>4734</v>
      </c>
    </row>
    <row r="2190" spans="2:8" hidden="1">
      <c r="B2190" s="26" t="s">
        <v>752</v>
      </c>
    </row>
    <row r="2191" spans="2:8" hidden="1">
      <c r="B2191" s="26" t="s">
        <v>900</v>
      </c>
    </row>
    <row r="2192" spans="2:8" hidden="1">
      <c r="B2192" s="26" t="s">
        <v>6723</v>
      </c>
    </row>
    <row r="2193" spans="1:8" hidden="1">
      <c r="B2193" s="26" t="s">
        <v>6798</v>
      </c>
    </row>
    <row r="2194" spans="1:8" hidden="1">
      <c r="B2194" s="26" t="s">
        <v>3647</v>
      </c>
    </row>
    <row r="2195" spans="1:8" hidden="1">
      <c r="B2195" s="26" t="s">
        <v>9193</v>
      </c>
    </row>
    <row r="2196" spans="1:8" hidden="1">
      <c r="B2196" s="26" t="s">
        <v>9194</v>
      </c>
    </row>
    <row r="2197" spans="1:8" hidden="1">
      <c r="B2197" s="26" t="s">
        <v>4994</v>
      </c>
      <c r="F2197" s="78" t="s">
        <v>1697</v>
      </c>
      <c r="G2197" s="68">
        <v>1.9</v>
      </c>
      <c r="H2197" s="26" t="s">
        <v>2602</v>
      </c>
    </row>
    <row r="2198" spans="1:8" hidden="1">
      <c r="B2198" s="26" t="s">
        <v>4996</v>
      </c>
      <c r="F2198" s="78" t="s">
        <v>1697</v>
      </c>
      <c r="G2198" s="383">
        <v>4</v>
      </c>
      <c r="H2198" s="26" t="s">
        <v>3430</v>
      </c>
    </row>
    <row r="2199" spans="1:8" hidden="1">
      <c r="B2199" s="26" t="s">
        <v>4997</v>
      </c>
      <c r="F2199" s="78" t="s">
        <v>1697</v>
      </c>
      <c r="G2199" s="26">
        <v>0.3</v>
      </c>
      <c r="H2199" s="26" t="s">
        <v>2602</v>
      </c>
    </row>
    <row r="2200" spans="1:8" hidden="1">
      <c r="B2200" s="26" t="s">
        <v>1504</v>
      </c>
      <c r="F2200" s="78" t="s">
        <v>1697</v>
      </c>
      <c r="G2200" s="26">
        <v>11</v>
      </c>
      <c r="H2200" s="26" t="s">
        <v>2059</v>
      </c>
    </row>
    <row r="2201" spans="1:8" hidden="1">
      <c r="B2201" s="26" t="s">
        <v>1209</v>
      </c>
      <c r="F2201" s="78"/>
    </row>
    <row r="2202" spans="1:8" hidden="1">
      <c r="B2202" s="26" t="s">
        <v>6004</v>
      </c>
      <c r="E2202" s="26">
        <f>50/60*(1.9*4000*0.3*0.6/11)</f>
        <v>103.63636363636364</v>
      </c>
      <c r="F2202" s="78" t="s">
        <v>1697</v>
      </c>
      <c r="G2202" s="26">
        <v>103</v>
      </c>
      <c r="H2202" s="26" t="s">
        <v>3477</v>
      </c>
    </row>
    <row r="2203" spans="1:8" hidden="1">
      <c r="B2203" s="26" t="s">
        <v>901</v>
      </c>
      <c r="E2203" s="26">
        <f>750/G2202</f>
        <v>7.2815533980582527</v>
      </c>
      <c r="F2203" s="78" t="s">
        <v>1697</v>
      </c>
      <c r="G2203" s="68">
        <v>7.5</v>
      </c>
      <c r="H2203" s="26" t="s">
        <v>4665</v>
      </c>
    </row>
    <row r="2204" spans="1:8" hidden="1">
      <c r="B2204" s="26" t="s">
        <v>1129</v>
      </c>
    </row>
    <row r="2205" spans="1:8" hidden="1">
      <c r="B2205" s="26" t="s">
        <v>6057</v>
      </c>
    </row>
    <row r="2206" spans="1:8">
      <c r="A2206" s="822"/>
    </row>
    <row r="2207" spans="1:8">
      <c r="A2207" s="822" t="s">
        <v>9215</v>
      </c>
      <c r="C2207" s="203" t="s">
        <v>2367</v>
      </c>
      <c r="D2207" s="171"/>
      <c r="F2207" s="171" t="s">
        <v>297</v>
      </c>
      <c r="G2207" s="162">
        <v>612</v>
      </c>
      <c r="H2207" s="26" t="s">
        <v>3477</v>
      </c>
    </row>
    <row r="2208" spans="1:8">
      <c r="A2208" s="822"/>
      <c r="B2208" s="79" t="s">
        <v>2368</v>
      </c>
    </row>
    <row r="2209" spans="1:8">
      <c r="A2209" s="822"/>
      <c r="B2209" s="95" t="s">
        <v>2369</v>
      </c>
      <c r="C2209" s="157" t="s">
        <v>6374</v>
      </c>
      <c r="D2209" s="195"/>
      <c r="E2209" s="95" t="s">
        <v>2370</v>
      </c>
      <c r="F2209" s="95" t="s">
        <v>1166</v>
      </c>
      <c r="G2209" s="95" t="s">
        <v>2371</v>
      </c>
      <c r="H2209" s="95" t="s">
        <v>2372</v>
      </c>
    </row>
    <row r="2210" spans="1:8">
      <c r="A2210" s="822"/>
      <c r="B2210" s="114"/>
      <c r="C2210" s="154"/>
      <c r="D2210" s="192"/>
      <c r="E2210" s="114"/>
      <c r="F2210" s="114"/>
      <c r="G2210" s="114" t="s">
        <v>3485</v>
      </c>
      <c r="H2210" s="114" t="s">
        <v>3485</v>
      </c>
    </row>
    <row r="2211" spans="1:8">
      <c r="A2211" s="822"/>
      <c r="B2211" s="95">
        <v>1</v>
      </c>
      <c r="C2211" s="93" t="s">
        <v>6976</v>
      </c>
      <c r="E2211" s="95"/>
      <c r="F2211" s="190">
        <v>0</v>
      </c>
      <c r="G2211" s="190">
        <v>0</v>
      </c>
      <c r="H2211" s="190">
        <f>F2211*G2211</f>
        <v>0</v>
      </c>
    </row>
    <row r="2212" spans="1:8">
      <c r="A2212" s="822"/>
      <c r="B2212" s="275"/>
      <c r="C2212" s="139"/>
      <c r="D2212" s="174"/>
      <c r="E2212" s="114"/>
      <c r="F2212" s="182">
        <v>0</v>
      </c>
      <c r="G2212" s="182">
        <v>0</v>
      </c>
      <c r="H2212" s="182">
        <f>F2212*G2212</f>
        <v>0</v>
      </c>
    </row>
    <row r="2213" spans="1:8">
      <c r="A2213" s="822"/>
      <c r="B2213" s="92"/>
      <c r="C2213" s="159"/>
      <c r="D2213" s="159" t="s">
        <v>2376</v>
      </c>
      <c r="E2213" s="159"/>
      <c r="F2213" s="238"/>
      <c r="G2213" s="236" t="s">
        <v>1698</v>
      </c>
      <c r="H2213" s="318">
        <f>SUM(H2211:H2212)</f>
        <v>0</v>
      </c>
    </row>
    <row r="2214" spans="1:8">
      <c r="A2214" s="822"/>
    </row>
    <row r="2215" spans="1:8">
      <c r="A2215" s="822"/>
      <c r="B2215" s="79" t="s">
        <v>2377</v>
      </c>
    </row>
    <row r="2216" spans="1:8">
      <c r="A2216" s="822"/>
      <c r="B2216" s="95" t="s">
        <v>2369</v>
      </c>
      <c r="C2216" s="157" t="s">
        <v>2378</v>
      </c>
      <c r="D2216" s="195"/>
      <c r="E2216" s="95" t="s">
        <v>2370</v>
      </c>
      <c r="F2216" s="95" t="s">
        <v>1166</v>
      </c>
      <c r="G2216" s="95" t="s">
        <v>2371</v>
      </c>
      <c r="H2216" s="95" t="s">
        <v>2372</v>
      </c>
    </row>
    <row r="2217" spans="1:8">
      <c r="A2217" s="822"/>
      <c r="B2217" s="114"/>
      <c r="C2217" s="154"/>
      <c r="D2217" s="192"/>
      <c r="E2217" s="114"/>
      <c r="F2217" s="114"/>
      <c r="G2217" s="114" t="s">
        <v>3485</v>
      </c>
      <c r="H2217" s="114" t="s">
        <v>3485</v>
      </c>
    </row>
    <row r="2218" spans="1:8">
      <c r="A2218" s="822"/>
      <c r="B2218" s="105">
        <v>1</v>
      </c>
      <c r="C2218" s="135" t="s">
        <v>152</v>
      </c>
      <c r="E2218" s="95" t="s">
        <v>2374</v>
      </c>
      <c r="F2218" s="214">
        <v>4</v>
      </c>
      <c r="G2218" s="190">
        <f>'HIRE CHARGES'!D499</f>
        <v>1715.5</v>
      </c>
      <c r="H2218" s="190">
        <f>F2218*G2218</f>
        <v>6862</v>
      </c>
    </row>
    <row r="2219" spans="1:8">
      <c r="A2219" s="822"/>
      <c r="B2219" s="280"/>
      <c r="C2219" s="135" t="s">
        <v>2379</v>
      </c>
      <c r="E2219" s="105" t="s">
        <v>2374</v>
      </c>
      <c r="F2219" s="190">
        <v>4</v>
      </c>
      <c r="G2219" s="190">
        <f>'HIRE CHARGES'!E499</f>
        <v>610.5</v>
      </c>
      <c r="H2219" s="190">
        <f t="shared" ref="H2219:H2230" si="7">F2219*G2219</f>
        <v>2442</v>
      </c>
    </row>
    <row r="2220" spans="1:8">
      <c r="A2220" s="822"/>
      <c r="B2220" s="105">
        <v>2</v>
      </c>
      <c r="C2220" s="135" t="s">
        <v>2951</v>
      </c>
      <c r="E2220" s="105" t="s">
        <v>2374</v>
      </c>
      <c r="F2220" s="190">
        <v>8</v>
      </c>
      <c r="G2220" s="190">
        <f>'HIRE CHARGES'!D542</f>
        <v>1003.1</v>
      </c>
      <c r="H2220" s="190">
        <f t="shared" si="7"/>
        <v>8024.8</v>
      </c>
    </row>
    <row r="2221" spans="1:8">
      <c r="A2221" s="822"/>
      <c r="B2221" s="280"/>
      <c r="C2221" s="135" t="s">
        <v>2379</v>
      </c>
      <c r="E2221" s="105" t="s">
        <v>2374</v>
      </c>
      <c r="F2221" s="190">
        <v>8</v>
      </c>
      <c r="G2221" s="190">
        <f>'HIRE CHARGES'!E542</f>
        <v>476</v>
      </c>
      <c r="H2221" s="190">
        <f t="shared" si="7"/>
        <v>3808</v>
      </c>
    </row>
    <row r="2222" spans="1:8">
      <c r="A2222" s="822"/>
      <c r="B2222" s="105">
        <v>3</v>
      </c>
      <c r="C2222" s="135" t="s">
        <v>3418</v>
      </c>
      <c r="E2222" s="105" t="s">
        <v>2374</v>
      </c>
      <c r="F2222" s="190">
        <v>40</v>
      </c>
      <c r="G2222" s="190">
        <f>'HIRE CHARGES'!D545</f>
        <v>446.7</v>
      </c>
      <c r="H2222" s="190">
        <f t="shared" si="7"/>
        <v>17868</v>
      </c>
    </row>
    <row r="2223" spans="1:8">
      <c r="A2223" s="822"/>
      <c r="B2223" s="280"/>
      <c r="C2223" s="135" t="s">
        <v>2379</v>
      </c>
      <c r="E2223" s="105" t="s">
        <v>2374</v>
      </c>
      <c r="F2223" s="190">
        <v>40</v>
      </c>
      <c r="G2223" s="190">
        <f>'HIRE CHARGES'!E545</f>
        <v>299.89999999999998</v>
      </c>
      <c r="H2223" s="190">
        <f t="shared" si="7"/>
        <v>11996</v>
      </c>
    </row>
    <row r="2224" spans="1:8">
      <c r="A2224" s="822"/>
      <c r="B2224" s="105">
        <v>4</v>
      </c>
      <c r="C2224" s="135" t="s">
        <v>1132</v>
      </c>
      <c r="E2224" s="105" t="s">
        <v>2374</v>
      </c>
      <c r="F2224" s="190">
        <v>4</v>
      </c>
      <c r="G2224" s="190">
        <f>'HIRE CHARGES'!D517</f>
        <v>10.199999999999999</v>
      </c>
      <c r="H2224" s="190">
        <f t="shared" si="7"/>
        <v>40.799999999999997</v>
      </c>
    </row>
    <row r="2225" spans="1:8">
      <c r="A2225" s="822"/>
      <c r="B2225" s="280"/>
      <c r="C2225" s="135" t="s">
        <v>2379</v>
      </c>
      <c r="E2225" s="105" t="s">
        <v>2374</v>
      </c>
      <c r="F2225" s="190">
        <v>4</v>
      </c>
      <c r="G2225" s="190">
        <f>'HIRE CHARGES'!E517</f>
        <v>79.3</v>
      </c>
      <c r="H2225" s="190">
        <f t="shared" si="7"/>
        <v>317.2</v>
      </c>
    </row>
    <row r="2226" spans="1:8">
      <c r="A2226" s="822"/>
      <c r="B2226" s="105">
        <v>5</v>
      </c>
      <c r="C2226" s="135" t="s">
        <v>6286</v>
      </c>
      <c r="E2226" s="105" t="s">
        <v>2374</v>
      </c>
      <c r="F2226" s="190">
        <v>7</v>
      </c>
      <c r="G2226" s="190">
        <f>'HIRE CHARGES'!D555</f>
        <v>402.5</v>
      </c>
      <c r="H2226" s="190">
        <f t="shared" si="7"/>
        <v>2817.5</v>
      </c>
    </row>
    <row r="2227" spans="1:8">
      <c r="A2227" s="822"/>
      <c r="B2227" s="280"/>
      <c r="C2227" s="135" t="s">
        <v>2379</v>
      </c>
      <c r="E2227" s="105" t="s">
        <v>2374</v>
      </c>
      <c r="F2227" s="190">
        <v>7</v>
      </c>
      <c r="G2227" s="190">
        <f>'HIRE CHARGES'!E555</f>
        <v>299.89999999999998</v>
      </c>
      <c r="H2227" s="190">
        <f t="shared" si="7"/>
        <v>2099.2999999999997</v>
      </c>
    </row>
    <row r="2228" spans="1:8">
      <c r="A2228" s="822"/>
      <c r="B2228" s="105">
        <v>6</v>
      </c>
      <c r="C2228" s="135" t="s">
        <v>998</v>
      </c>
      <c r="E2228" s="105" t="s">
        <v>2374</v>
      </c>
      <c r="F2228" s="190">
        <f>G2203</f>
        <v>7.5</v>
      </c>
      <c r="G2228" s="190">
        <f>'HIRE CHARGES'!D553</f>
        <v>1342.2</v>
      </c>
      <c r="H2228" s="190">
        <f t="shared" si="7"/>
        <v>10066.5</v>
      </c>
    </row>
    <row r="2229" spans="1:8">
      <c r="A2229" s="822"/>
      <c r="B2229" s="280"/>
      <c r="C2229" s="135" t="s">
        <v>2379</v>
      </c>
      <c r="E2229" s="105" t="s">
        <v>2374</v>
      </c>
      <c r="F2229" s="190">
        <f>G2203</f>
        <v>7.5</v>
      </c>
      <c r="G2229" s="190">
        <f>'HIRE CHARGES'!E553</f>
        <v>1031.4000000000001</v>
      </c>
      <c r="H2229" s="190">
        <f t="shared" si="7"/>
        <v>7735.5000000000009</v>
      </c>
    </row>
    <row r="2230" spans="1:8">
      <c r="A2230" s="822"/>
      <c r="B2230" s="114">
        <v>7</v>
      </c>
      <c r="C2230" s="139" t="s">
        <v>2373</v>
      </c>
      <c r="D2230" s="174"/>
      <c r="E2230" s="114" t="s">
        <v>2173</v>
      </c>
      <c r="F2230" s="182">
        <v>2</v>
      </c>
      <c r="G2230" s="215">
        <f>'BASIC DATA'!D359</f>
        <v>30</v>
      </c>
      <c r="H2230" s="190">
        <f t="shared" si="7"/>
        <v>60</v>
      </c>
    </row>
    <row r="2231" spans="1:8">
      <c r="A2231" s="822"/>
      <c r="B2231" s="176"/>
      <c r="C2231" s="174"/>
      <c r="D2231" s="174" t="s">
        <v>2380</v>
      </c>
      <c r="E2231" s="174"/>
      <c r="F2231" s="192"/>
      <c r="G2231" s="275" t="s">
        <v>1698</v>
      </c>
      <c r="H2231" s="318">
        <f>SUM(H2218:H2230)</f>
        <v>74137.600000000006</v>
      </c>
    </row>
    <row r="2232" spans="1:8">
      <c r="A2232" s="822"/>
    </row>
    <row r="2233" spans="1:8">
      <c r="A2233" s="822"/>
      <c r="B2233" s="79" t="s">
        <v>2381</v>
      </c>
    </row>
    <row r="2234" spans="1:8">
      <c r="A2234" s="822"/>
      <c r="B2234" s="95" t="s">
        <v>2369</v>
      </c>
      <c r="C2234" s="157" t="s">
        <v>2378</v>
      </c>
      <c r="D2234" s="195"/>
      <c r="E2234" s="95" t="s">
        <v>2370</v>
      </c>
      <c r="F2234" s="95" t="s">
        <v>1166</v>
      </c>
      <c r="G2234" s="95" t="s">
        <v>2371</v>
      </c>
      <c r="H2234" s="95" t="s">
        <v>2372</v>
      </c>
    </row>
    <row r="2235" spans="1:8">
      <c r="A2235" s="822"/>
      <c r="B2235" s="114"/>
      <c r="C2235" s="154"/>
      <c r="D2235" s="192"/>
      <c r="E2235" s="105"/>
      <c r="F2235" s="114"/>
      <c r="G2235" s="114" t="s">
        <v>3485</v>
      </c>
      <c r="H2235" s="114" t="s">
        <v>3485</v>
      </c>
    </row>
    <row r="2236" spans="1:8">
      <c r="A2236" s="822"/>
      <c r="B2236" s="95">
        <v>1</v>
      </c>
      <c r="C2236" s="148" t="s">
        <v>2870</v>
      </c>
      <c r="D2236" s="187"/>
      <c r="E2236" s="95" t="s">
        <v>2374</v>
      </c>
      <c r="F2236" s="178">
        <v>4</v>
      </c>
      <c r="G2236" s="179">
        <f>'HIRE CHARGES'!F499</f>
        <v>236.6</v>
      </c>
      <c r="H2236" s="179">
        <f>F2236*G2236</f>
        <v>946.4</v>
      </c>
    </row>
    <row r="2237" spans="1:8">
      <c r="A2237" s="822"/>
      <c r="B2237" s="105">
        <v>2</v>
      </c>
      <c r="C2237" s="76" t="s">
        <v>300</v>
      </c>
      <c r="D2237" s="31"/>
      <c r="E2237" s="105" t="s">
        <v>2374</v>
      </c>
      <c r="F2237" s="207">
        <v>8</v>
      </c>
      <c r="G2237" s="190">
        <f>'HIRE CHARGES'!F542</f>
        <v>236.6</v>
      </c>
      <c r="H2237" s="190">
        <f t="shared" ref="H2237:H2243" si="8">F2237*G2237</f>
        <v>1892.8</v>
      </c>
    </row>
    <row r="2238" spans="1:8">
      <c r="A2238" s="822"/>
      <c r="B2238" s="105">
        <v>3</v>
      </c>
      <c r="C2238" s="76" t="s">
        <v>301</v>
      </c>
      <c r="D2238" s="31"/>
      <c r="E2238" s="105" t="s">
        <v>2374</v>
      </c>
      <c r="F2238" s="207">
        <v>40</v>
      </c>
      <c r="G2238" s="190">
        <f>'HIRE CHARGES'!F545</f>
        <v>177.5</v>
      </c>
      <c r="H2238" s="190">
        <f t="shared" si="8"/>
        <v>7100</v>
      </c>
    </row>
    <row r="2239" spans="1:8">
      <c r="A2239" s="822"/>
      <c r="B2239" s="105">
        <v>4</v>
      </c>
      <c r="C2239" s="76" t="s">
        <v>999</v>
      </c>
      <c r="D2239" s="31"/>
      <c r="E2239" s="105" t="s">
        <v>2374</v>
      </c>
      <c r="F2239" s="207">
        <v>4</v>
      </c>
      <c r="G2239" s="190">
        <f>'HIRE CHARGES'!F517</f>
        <v>111.1</v>
      </c>
      <c r="H2239" s="190">
        <f t="shared" si="8"/>
        <v>444.4</v>
      </c>
    </row>
    <row r="2240" spans="1:8">
      <c r="A2240" s="822"/>
      <c r="B2240" s="105">
        <v>5</v>
      </c>
      <c r="C2240" s="76" t="s">
        <v>1000</v>
      </c>
      <c r="D2240" s="31"/>
      <c r="E2240" s="105" t="s">
        <v>2374</v>
      </c>
      <c r="F2240" s="207">
        <v>7</v>
      </c>
      <c r="G2240" s="190">
        <f>'HIRE CHARGES'!F555</f>
        <v>177.5</v>
      </c>
      <c r="H2240" s="190">
        <f t="shared" si="8"/>
        <v>1242.5</v>
      </c>
    </row>
    <row r="2241" spans="1:8">
      <c r="A2241" s="822"/>
      <c r="B2241" s="105">
        <v>6</v>
      </c>
      <c r="C2241" s="76" t="s">
        <v>1001</v>
      </c>
      <c r="D2241" s="31"/>
      <c r="E2241" s="105" t="s">
        <v>2374</v>
      </c>
      <c r="F2241" s="207">
        <f>G2203</f>
        <v>7.5</v>
      </c>
      <c r="G2241" s="190">
        <f>'HIRE CHARGES'!F553</f>
        <v>263.60000000000002</v>
      </c>
      <c r="H2241" s="190">
        <f t="shared" si="8"/>
        <v>1977.0000000000002</v>
      </c>
    </row>
    <row r="2242" spans="1:8">
      <c r="A2242" s="822"/>
      <c r="B2242" s="105">
        <v>7</v>
      </c>
      <c r="C2242" s="76" t="s">
        <v>4206</v>
      </c>
      <c r="D2242" s="31"/>
      <c r="E2242" s="105" t="s">
        <v>1172</v>
      </c>
      <c r="F2242" s="207">
        <v>2</v>
      </c>
      <c r="G2242" s="190">
        <f>'BASIC DATA'!C473</f>
        <v>450</v>
      </c>
      <c r="H2242" s="190">
        <f t="shared" si="8"/>
        <v>900</v>
      </c>
    </row>
    <row r="2243" spans="1:8">
      <c r="A2243" s="822"/>
      <c r="B2243" s="114">
        <v>8</v>
      </c>
      <c r="C2243" s="89" t="s">
        <v>2697</v>
      </c>
      <c r="D2243" s="174"/>
      <c r="E2243" s="114" t="s">
        <v>1172</v>
      </c>
      <c r="F2243" s="181">
        <v>6</v>
      </c>
      <c r="G2243" s="182">
        <f>'BASIC DATA'!C552</f>
        <v>350</v>
      </c>
      <c r="H2243" s="190">
        <f t="shared" si="8"/>
        <v>2100</v>
      </c>
    </row>
    <row r="2244" spans="1:8">
      <c r="A2244" s="822"/>
      <c r="B2244" s="176"/>
      <c r="C2244" s="174"/>
      <c r="D2244" s="174" t="s">
        <v>1174</v>
      </c>
      <c r="E2244" s="174"/>
      <c r="F2244" s="192"/>
      <c r="G2244" s="275" t="s">
        <v>1698</v>
      </c>
      <c r="H2244" s="318">
        <f>SUM(H2236:H2243)</f>
        <v>16603.099999999999</v>
      </c>
    </row>
    <row r="2245" spans="1:8">
      <c r="A2245" s="822"/>
      <c r="B2245" s="60" t="s">
        <v>5948</v>
      </c>
      <c r="C2245" s="31"/>
      <c r="D2245" s="31"/>
      <c r="E2245" s="85">
        <f>ROUND(H2244/G2207,1)</f>
        <v>27.1</v>
      </c>
      <c r="G2245" s="31"/>
    </row>
    <row r="2246" spans="1:8">
      <c r="A2246" s="822"/>
      <c r="B2246" s="60" t="s">
        <v>3163</v>
      </c>
      <c r="C2246" s="31"/>
      <c r="D2246" s="922">
        <f>'BASIC DATA'!$C$577</f>
        <v>0.13614999999999999</v>
      </c>
      <c r="E2246" s="85">
        <f>ROUND(E2245*D2246,1)</f>
        <v>3.7</v>
      </c>
      <c r="G2246" s="31"/>
    </row>
    <row r="2247" spans="1:8">
      <c r="A2247" s="822"/>
      <c r="B2247" s="60" t="s">
        <v>5949</v>
      </c>
      <c r="C2247" s="31"/>
      <c r="D2247" s="31"/>
      <c r="E2247" s="739">
        <f>E2246+E2245</f>
        <v>30.8</v>
      </c>
      <c r="G2247" s="31"/>
    </row>
    <row r="2248" spans="1:8">
      <c r="A2248" s="822"/>
      <c r="B2248" s="26"/>
    </row>
    <row r="2249" spans="1:8">
      <c r="A2249" s="822"/>
      <c r="B2249" s="170" t="s">
        <v>1175</v>
      </c>
    </row>
    <row r="2250" spans="1:8">
      <c r="A2250" s="822"/>
      <c r="B2250" s="26" t="s">
        <v>1176</v>
      </c>
      <c r="F2250" s="171" t="s">
        <v>1698</v>
      </c>
      <c r="G2250" s="68">
        <f>H2213</f>
        <v>0</v>
      </c>
    </row>
    <row r="2251" spans="1:8">
      <c r="A2251" s="822"/>
      <c r="B2251" s="26" t="s">
        <v>1186</v>
      </c>
      <c r="F2251" s="171" t="s">
        <v>1698</v>
      </c>
      <c r="G2251" s="68">
        <f>H2231</f>
        <v>74137.600000000006</v>
      </c>
    </row>
    <row r="2252" spans="1:8">
      <c r="A2252" s="822"/>
      <c r="B2252" s="26" t="s">
        <v>2660</v>
      </c>
      <c r="F2252" s="171" t="s">
        <v>1698</v>
      </c>
      <c r="G2252" s="75">
        <f>H2244</f>
        <v>16603.099999999999</v>
      </c>
    </row>
    <row r="2253" spans="1:8">
      <c r="A2253" s="822"/>
      <c r="E2253" s="26" t="s">
        <v>1518</v>
      </c>
      <c r="F2253" s="171" t="s">
        <v>1698</v>
      </c>
      <c r="G2253" s="205">
        <f>SUM(G2250:G2252)</f>
        <v>90740.700000000012</v>
      </c>
    </row>
    <row r="2254" spans="1:8" ht="36" customHeight="1">
      <c r="A2254" s="822"/>
      <c r="B2254" s="1207" t="s">
        <v>1379</v>
      </c>
      <c r="C2254" s="1207"/>
      <c r="E2254" s="922">
        <f>'BASIC DATA'!$C$577</f>
        <v>0.13614999999999999</v>
      </c>
      <c r="F2254" s="26" t="s">
        <v>1698</v>
      </c>
      <c r="G2254" s="26">
        <f>G2253*E2254</f>
        <v>12354.346305000001</v>
      </c>
    </row>
    <row r="2255" spans="1:8">
      <c r="A2255" s="822"/>
      <c r="B2255" s="26" t="s">
        <v>1191</v>
      </c>
      <c r="D2255" s="68">
        <f>G2207</f>
        <v>612</v>
      </c>
      <c r="E2255" s="68" t="str">
        <f>H2207</f>
        <v>cum</v>
      </c>
      <c r="F2255" s="26" t="s">
        <v>1698</v>
      </c>
      <c r="G2255" s="211">
        <f>G2254+G2253</f>
        <v>103095.04630500001</v>
      </c>
    </row>
    <row r="2256" spans="1:8">
      <c r="A2256" s="822"/>
      <c r="B2256" s="170" t="s">
        <v>1584</v>
      </c>
      <c r="C2256" s="211" t="str">
        <f>E2255</f>
        <v>cum</v>
      </c>
      <c r="D2256" s="26" t="s">
        <v>4729</v>
      </c>
      <c r="F2256" s="26" t="s">
        <v>4108</v>
      </c>
      <c r="G2256" s="211">
        <f>ROUND(G2255/D2255,1)</f>
        <v>168.5</v>
      </c>
    </row>
    <row r="2257" spans="1:8">
      <c r="A2257" s="822"/>
    </row>
    <row r="2258" spans="1:8">
      <c r="A2258" s="822"/>
    </row>
    <row r="2259" spans="1:8" ht="18.75">
      <c r="A2259" s="865" t="s">
        <v>5508</v>
      </c>
      <c r="B2259" s="170" t="s">
        <v>9118</v>
      </c>
    </row>
    <row r="2260" spans="1:8">
      <c r="B2260" s="26" t="s">
        <v>9119</v>
      </c>
    </row>
    <row r="2261" spans="1:8">
      <c r="B2261" s="26" t="s">
        <v>6315</v>
      </c>
    </row>
    <row r="2262" spans="1:8">
      <c r="B2262" s="26" t="s">
        <v>6148</v>
      </c>
    </row>
    <row r="2263" spans="1:8">
      <c r="B2263" s="26" t="s">
        <v>9120</v>
      </c>
    </row>
    <row r="2264" spans="1:8" ht="18.75">
      <c r="B2264" s="170" t="s">
        <v>9121</v>
      </c>
    </row>
    <row r="2265" spans="1:8">
      <c r="B2265" s="26"/>
    </row>
    <row r="2266" spans="1:8" hidden="1">
      <c r="A2266" s="865" t="s">
        <v>3984</v>
      </c>
      <c r="B2266" s="26" t="s">
        <v>602</v>
      </c>
      <c r="F2266" s="78" t="s">
        <v>1697</v>
      </c>
      <c r="G2266" s="68">
        <v>0.5</v>
      </c>
      <c r="H2266" s="26" t="s">
        <v>3477</v>
      </c>
    </row>
    <row r="2267" spans="1:8" hidden="1">
      <c r="B2267" s="26" t="s">
        <v>603</v>
      </c>
      <c r="F2267" s="78" t="s">
        <v>1697</v>
      </c>
      <c r="G2267" s="68">
        <v>0.57999999999999996</v>
      </c>
      <c r="H2267" s="26" t="s">
        <v>3477</v>
      </c>
    </row>
    <row r="2268" spans="1:8" hidden="1">
      <c r="B2268" s="26" t="s">
        <v>278</v>
      </c>
      <c r="F2268" s="78" t="s">
        <v>1697</v>
      </c>
      <c r="G2268" s="68">
        <v>0.53</v>
      </c>
      <c r="H2268" s="26" t="s">
        <v>3477</v>
      </c>
    </row>
    <row r="2269" spans="1:8" hidden="1">
      <c r="B2269" s="26" t="s">
        <v>604</v>
      </c>
      <c r="F2269" s="78" t="s">
        <v>1697</v>
      </c>
      <c r="G2269" s="68">
        <v>5</v>
      </c>
      <c r="H2269" s="26" t="s">
        <v>3477</v>
      </c>
    </row>
    <row r="2270" spans="1:8" hidden="1">
      <c r="B2270" s="26" t="s">
        <v>2541</v>
      </c>
      <c r="F2270" s="78" t="s">
        <v>4807</v>
      </c>
      <c r="G2270" s="26">
        <v>1</v>
      </c>
      <c r="H2270" s="26" t="s">
        <v>3430</v>
      </c>
    </row>
    <row r="2271" spans="1:8" hidden="1">
      <c r="B2271" s="26" t="s">
        <v>4569</v>
      </c>
      <c r="F2271" s="78" t="s">
        <v>1697</v>
      </c>
      <c r="G2271" s="26">
        <v>15</v>
      </c>
      <c r="H2271" s="26" t="s">
        <v>6703</v>
      </c>
    </row>
    <row r="2272" spans="1:8" hidden="1">
      <c r="B2272" s="26" t="s">
        <v>5632</v>
      </c>
      <c r="F2272" s="78" t="s">
        <v>1697</v>
      </c>
      <c r="G2272" s="26">
        <v>20</v>
      </c>
      <c r="H2272" s="26" t="s">
        <v>6703</v>
      </c>
    </row>
    <row r="2273" spans="2:8" hidden="1">
      <c r="B2273" s="26" t="s">
        <v>3985</v>
      </c>
      <c r="F2273" s="78" t="s">
        <v>1697</v>
      </c>
      <c r="G2273" s="68">
        <v>2.5</v>
      </c>
      <c r="H2273" s="26" t="s">
        <v>2603</v>
      </c>
    </row>
    <row r="2274" spans="2:8" hidden="1">
      <c r="B2274" s="26" t="s">
        <v>7097</v>
      </c>
    </row>
    <row r="2275" spans="2:8" hidden="1">
      <c r="B2275" s="26" t="s">
        <v>1752</v>
      </c>
    </row>
    <row r="2276" spans="2:8" hidden="1">
      <c r="B2276" s="26" t="s">
        <v>2117</v>
      </c>
    </row>
    <row r="2277" spans="2:8" hidden="1">
      <c r="B2277" s="26" t="s">
        <v>4030</v>
      </c>
      <c r="F2277" s="78" t="s">
        <v>1697</v>
      </c>
      <c r="G2277" s="26">
        <v>28</v>
      </c>
      <c r="H2277" s="26" t="s">
        <v>3434</v>
      </c>
    </row>
    <row r="2278" spans="2:8" hidden="1">
      <c r="B2278" s="26" t="s">
        <v>1161</v>
      </c>
      <c r="F2278" s="78" t="s">
        <v>1123</v>
      </c>
      <c r="G2278" s="26">
        <v>4.53</v>
      </c>
      <c r="H2278" s="26" t="s">
        <v>3477</v>
      </c>
    </row>
    <row r="2279" spans="2:8" hidden="1">
      <c r="B2279" s="26" t="s">
        <v>4885</v>
      </c>
      <c r="F2279" s="78" t="s">
        <v>1123</v>
      </c>
      <c r="G2279" s="26">
        <v>8</v>
      </c>
      <c r="H2279" s="26" t="s">
        <v>4932</v>
      </c>
    </row>
    <row r="2280" spans="2:8" hidden="1">
      <c r="B2280" s="26" t="s">
        <v>5568</v>
      </c>
      <c r="F2280" s="78" t="s">
        <v>1123</v>
      </c>
      <c r="G2280" s="26">
        <v>3.73</v>
      </c>
      <c r="H2280" s="26" t="s">
        <v>2603</v>
      </c>
    </row>
    <row r="2281" spans="2:8" hidden="1">
      <c r="B2281" s="26" t="s">
        <v>1613</v>
      </c>
    </row>
    <row r="2282" spans="2:8" hidden="1">
      <c r="B2282" s="26" t="s">
        <v>3258</v>
      </c>
      <c r="F2282" s="78" t="s">
        <v>1697</v>
      </c>
      <c r="G2282" s="26">
        <v>3.73</v>
      </c>
      <c r="H2282" s="26" t="s">
        <v>2603</v>
      </c>
    </row>
    <row r="2283" spans="2:8" hidden="1">
      <c r="B2283" s="26" t="s">
        <v>762</v>
      </c>
      <c r="F2283" s="78" t="s">
        <v>1697</v>
      </c>
      <c r="G2283" s="68">
        <v>4</v>
      </c>
      <c r="H2283" s="26" t="s">
        <v>2603</v>
      </c>
    </row>
    <row r="2284" spans="2:8" hidden="1">
      <c r="B2284" s="26" t="s">
        <v>705</v>
      </c>
      <c r="F2284" s="78" t="s">
        <v>1697</v>
      </c>
      <c r="G2284" s="68">
        <v>2.5</v>
      </c>
      <c r="H2284" s="26" t="s">
        <v>2603</v>
      </c>
    </row>
    <row r="2285" spans="2:8" hidden="1">
      <c r="B2285" s="26" t="s">
        <v>3918</v>
      </c>
      <c r="F2285" s="78" t="s">
        <v>1697</v>
      </c>
      <c r="G2285" s="68">
        <v>3</v>
      </c>
      <c r="H2285" s="26" t="s">
        <v>2603</v>
      </c>
    </row>
    <row r="2286" spans="2:8" hidden="1">
      <c r="B2286" s="26" t="s">
        <v>263</v>
      </c>
      <c r="E2286" s="26" t="s">
        <v>1518</v>
      </c>
      <c r="F2286" s="78" t="s">
        <v>1697</v>
      </c>
      <c r="G2286" s="173">
        <v>0.5</v>
      </c>
      <c r="H2286" s="26" t="s">
        <v>2603</v>
      </c>
    </row>
    <row r="2287" spans="2:8" hidden="1">
      <c r="B2287" s="26"/>
      <c r="F2287" s="78" t="s">
        <v>1697</v>
      </c>
      <c r="G2287" s="26">
        <f>SUM(G2282:G2286)</f>
        <v>13.73</v>
      </c>
      <c r="H2287" s="26" t="s">
        <v>2603</v>
      </c>
    </row>
    <row r="2288" spans="2:8" hidden="1">
      <c r="B2288" s="26" t="s">
        <v>4022</v>
      </c>
      <c r="F2288" s="78" t="s">
        <v>1697</v>
      </c>
      <c r="G2288" s="26">
        <v>3.7</v>
      </c>
      <c r="H2288" s="26" t="s">
        <v>2059</v>
      </c>
    </row>
    <row r="2289" spans="1:8" hidden="1">
      <c r="B2289" s="26" t="s">
        <v>4023</v>
      </c>
      <c r="F2289" s="78" t="s">
        <v>1697</v>
      </c>
      <c r="G2289" s="68">
        <v>16.5</v>
      </c>
      <c r="H2289" s="26" t="s">
        <v>3477</v>
      </c>
    </row>
    <row r="2290" spans="1:8" hidden="1">
      <c r="B2290" s="26" t="s">
        <v>4024</v>
      </c>
      <c r="F2290" s="78" t="s">
        <v>1123</v>
      </c>
      <c r="G2290" s="26">
        <v>490</v>
      </c>
      <c r="H2290" s="26" t="s">
        <v>3477</v>
      </c>
    </row>
    <row r="2291" spans="1:8" hidden="1">
      <c r="B2291" s="26" t="s">
        <v>364</v>
      </c>
    </row>
    <row r="2292" spans="1:8" hidden="1">
      <c r="B2292" s="26" t="s">
        <v>1183</v>
      </c>
    </row>
    <row r="2293" spans="1:8" hidden="1">
      <c r="B2293" s="26" t="s">
        <v>4093</v>
      </c>
    </row>
    <row r="2294" spans="1:8" hidden="1">
      <c r="B2294" s="26" t="s">
        <v>3075</v>
      </c>
    </row>
    <row r="2295" spans="1:8" hidden="1">
      <c r="B2295" s="26" t="s">
        <v>3076</v>
      </c>
    </row>
    <row r="2296" spans="1:8" hidden="1">
      <c r="B2296" s="26" t="s">
        <v>4025</v>
      </c>
      <c r="F2296" s="78" t="s">
        <v>1697</v>
      </c>
      <c r="G2296" s="26">
        <v>440</v>
      </c>
      <c r="H2296" s="26" t="s">
        <v>3477</v>
      </c>
    </row>
    <row r="2297" spans="1:8" hidden="1">
      <c r="A2297" s="865">
        <v>1</v>
      </c>
      <c r="B2297" s="26" t="s">
        <v>2860</v>
      </c>
    </row>
    <row r="2298" spans="1:8" hidden="1">
      <c r="B2298" s="26" t="s">
        <v>1963</v>
      </c>
    </row>
    <row r="2299" spans="1:8" hidden="1">
      <c r="A2299" s="865">
        <v>2</v>
      </c>
      <c r="B2299" s="26" t="s">
        <v>6281</v>
      </c>
    </row>
    <row r="2300" spans="1:8" hidden="1">
      <c r="B2300" s="26" t="s">
        <v>4313</v>
      </c>
    </row>
    <row r="2301" spans="1:8" hidden="1">
      <c r="B2301" s="26" t="s">
        <v>1260</v>
      </c>
    </row>
    <row r="2302" spans="1:8" hidden="1">
      <c r="A2302" s="865">
        <v>3</v>
      </c>
      <c r="B2302" s="26" t="s">
        <v>1261</v>
      </c>
    </row>
    <row r="2303" spans="1:8" hidden="1">
      <c r="B2303" s="26" t="s">
        <v>4026</v>
      </c>
      <c r="F2303" s="78" t="s">
        <v>1697</v>
      </c>
      <c r="G2303" s="26">
        <v>539</v>
      </c>
      <c r="H2303" s="26" t="s">
        <v>3477</v>
      </c>
    </row>
    <row r="2304" spans="1:8" hidden="1">
      <c r="B2304" s="26" t="s">
        <v>6514</v>
      </c>
      <c r="F2304" s="78" t="s">
        <v>1697</v>
      </c>
      <c r="G2304" s="26">
        <v>200</v>
      </c>
      <c r="H2304" s="26" t="s">
        <v>3477</v>
      </c>
    </row>
    <row r="2305" spans="1:8" hidden="1">
      <c r="B2305" s="26" t="s">
        <v>422</v>
      </c>
      <c r="F2305" s="78" t="s">
        <v>1123</v>
      </c>
      <c r="G2305" s="68">
        <v>3</v>
      </c>
      <c r="H2305" s="26" t="s">
        <v>4665</v>
      </c>
    </row>
    <row r="2306" spans="1:8" hidden="1">
      <c r="A2306" s="865">
        <v>4</v>
      </c>
      <c r="B2306" s="26" t="s">
        <v>1746</v>
      </c>
    </row>
    <row r="2307" spans="1:8" hidden="1">
      <c r="B2307" s="26" t="s">
        <v>4315</v>
      </c>
    </row>
    <row r="2308" spans="1:8" hidden="1">
      <c r="B2308" s="26" t="s">
        <v>4316</v>
      </c>
    </row>
    <row r="2309" spans="1:8" hidden="1">
      <c r="B2309" s="26" t="s">
        <v>4317</v>
      </c>
    </row>
    <row r="2310" spans="1:8" hidden="1">
      <c r="B2310" s="26" t="s">
        <v>4284</v>
      </c>
    </row>
    <row r="2311" spans="1:8" hidden="1">
      <c r="B2311" s="26" t="s">
        <v>423</v>
      </c>
    </row>
    <row r="2312" spans="1:8" hidden="1">
      <c r="B2312" s="26" t="s">
        <v>424</v>
      </c>
    </row>
    <row r="2313" spans="1:8" hidden="1">
      <c r="B2313" s="26" t="s">
        <v>5202</v>
      </c>
    </row>
    <row r="2314" spans="1:8" hidden="1">
      <c r="B2314" s="26" t="s">
        <v>2325</v>
      </c>
    </row>
    <row r="2315" spans="1:8" hidden="1">
      <c r="A2315" s="865">
        <v>5</v>
      </c>
      <c r="B2315" s="26" t="s">
        <v>6798</v>
      </c>
    </row>
    <row r="2316" spans="1:8" hidden="1">
      <c r="B2316" s="26" t="s">
        <v>3647</v>
      </c>
    </row>
    <row r="2317" spans="1:8" hidden="1">
      <c r="B2317" s="26" t="s">
        <v>3648</v>
      </c>
    </row>
    <row r="2318" spans="1:8" hidden="1">
      <c r="B2318" s="26" t="s">
        <v>3649</v>
      </c>
    </row>
    <row r="2319" spans="1:8" hidden="1">
      <c r="B2319" s="26" t="s">
        <v>3650</v>
      </c>
      <c r="F2319" s="78" t="s">
        <v>1697</v>
      </c>
      <c r="G2319" s="68">
        <v>1.9</v>
      </c>
      <c r="H2319" s="26" t="s">
        <v>2602</v>
      </c>
    </row>
    <row r="2320" spans="1:8" hidden="1">
      <c r="B2320" s="26" t="s">
        <v>4995</v>
      </c>
      <c r="F2320" s="78" t="s">
        <v>1697</v>
      </c>
      <c r="G2320" s="383">
        <v>4</v>
      </c>
      <c r="H2320" s="26" t="s">
        <v>3430</v>
      </c>
    </row>
    <row r="2321" spans="1:8" hidden="1">
      <c r="B2321" s="26" t="s">
        <v>4997</v>
      </c>
      <c r="F2321" s="78" t="s">
        <v>1697</v>
      </c>
      <c r="G2321" s="26">
        <v>0.3</v>
      </c>
      <c r="H2321" s="26" t="s">
        <v>2602</v>
      </c>
    </row>
    <row r="2322" spans="1:8" hidden="1">
      <c r="B2322" s="26" t="s">
        <v>1504</v>
      </c>
      <c r="F2322" s="78" t="s">
        <v>1697</v>
      </c>
      <c r="G2322" s="26">
        <v>11</v>
      </c>
      <c r="H2322" s="26" t="s">
        <v>2059</v>
      </c>
    </row>
    <row r="2323" spans="1:8" hidden="1">
      <c r="B2323" s="26" t="s">
        <v>1209</v>
      </c>
      <c r="F2323" s="78"/>
    </row>
    <row r="2324" spans="1:8" hidden="1">
      <c r="B2324" s="26" t="s">
        <v>6004</v>
      </c>
      <c r="E2324" s="26">
        <f>50/60*(1.9*4000*0.3*0.6/11)</f>
        <v>103.63636363636364</v>
      </c>
      <c r="F2324" s="78" t="s">
        <v>1123</v>
      </c>
      <c r="G2324" s="26">
        <v>103</v>
      </c>
      <c r="H2324" s="26" t="s">
        <v>3477</v>
      </c>
    </row>
    <row r="2325" spans="1:8" hidden="1">
      <c r="B2325" s="26" t="s">
        <v>2754</v>
      </c>
      <c r="E2325" s="26">
        <f>539/G2324</f>
        <v>5.233009708737864</v>
      </c>
      <c r="F2325" s="78" t="s">
        <v>1123</v>
      </c>
      <c r="G2325" s="68">
        <v>5.5</v>
      </c>
      <c r="H2325" s="26" t="s">
        <v>4665</v>
      </c>
    </row>
    <row r="2326" spans="1:8" hidden="1">
      <c r="A2326" s="865">
        <v>6</v>
      </c>
      <c r="B2326" s="26" t="s">
        <v>1129</v>
      </c>
    </row>
    <row r="2327" spans="1:8" hidden="1">
      <c r="B2327" s="26" t="s">
        <v>6057</v>
      </c>
    </row>
    <row r="2328" spans="1:8">
      <c r="A2328" s="822"/>
    </row>
    <row r="2329" spans="1:8">
      <c r="A2329" s="822" t="s">
        <v>9215</v>
      </c>
      <c r="C2329" s="203" t="s">
        <v>2367</v>
      </c>
      <c r="D2329" s="171"/>
      <c r="F2329" s="171" t="s">
        <v>297</v>
      </c>
      <c r="G2329" s="162">
        <v>440</v>
      </c>
      <c r="H2329" s="26" t="s">
        <v>3477</v>
      </c>
    </row>
    <row r="2330" spans="1:8">
      <c r="A2330" s="822"/>
      <c r="B2330" s="79" t="s">
        <v>2368</v>
      </c>
    </row>
    <row r="2331" spans="1:8">
      <c r="A2331" s="822"/>
      <c r="B2331" s="95" t="s">
        <v>2369</v>
      </c>
      <c r="C2331" s="157" t="s">
        <v>6374</v>
      </c>
      <c r="D2331" s="195"/>
      <c r="E2331" s="95" t="s">
        <v>2370</v>
      </c>
      <c r="F2331" s="95" t="s">
        <v>1166</v>
      </c>
      <c r="G2331" s="95" t="s">
        <v>2371</v>
      </c>
      <c r="H2331" s="95" t="s">
        <v>2372</v>
      </c>
    </row>
    <row r="2332" spans="1:8">
      <c r="A2332" s="822"/>
      <c r="B2332" s="114"/>
      <c r="C2332" s="154"/>
      <c r="D2332" s="192"/>
      <c r="E2332" s="114"/>
      <c r="F2332" s="114"/>
      <c r="G2332" s="114" t="s">
        <v>3485</v>
      </c>
      <c r="H2332" s="114" t="s">
        <v>3485</v>
      </c>
    </row>
    <row r="2333" spans="1:8">
      <c r="A2333" s="822"/>
      <c r="B2333" s="95">
        <v>1</v>
      </c>
      <c r="C2333" s="93" t="s">
        <v>6976</v>
      </c>
      <c r="E2333" s="95"/>
      <c r="F2333" s="190">
        <v>0</v>
      </c>
      <c r="G2333" s="190">
        <v>0</v>
      </c>
      <c r="H2333" s="190">
        <f>F2333*G2333</f>
        <v>0</v>
      </c>
    </row>
    <row r="2334" spans="1:8">
      <c r="A2334" s="822"/>
      <c r="B2334" s="275"/>
      <c r="C2334" s="139"/>
      <c r="D2334" s="174"/>
      <c r="E2334" s="114"/>
      <c r="F2334" s="182">
        <v>0</v>
      </c>
      <c r="G2334" s="182">
        <v>0</v>
      </c>
      <c r="H2334" s="182">
        <f>F2334*G2334</f>
        <v>0</v>
      </c>
    </row>
    <row r="2335" spans="1:8">
      <c r="A2335" s="822"/>
      <c r="B2335" s="92"/>
      <c r="C2335" s="159"/>
      <c r="D2335" s="159" t="s">
        <v>2376</v>
      </c>
      <c r="E2335" s="159"/>
      <c r="F2335" s="238"/>
      <c r="G2335" s="236" t="s">
        <v>1698</v>
      </c>
      <c r="H2335" s="318">
        <f>SUM(H2333:H2334)</f>
        <v>0</v>
      </c>
    </row>
    <row r="2336" spans="1:8">
      <c r="A2336" s="822"/>
    </row>
    <row r="2337" spans="1:8">
      <c r="A2337" s="822"/>
      <c r="B2337" s="79" t="s">
        <v>2377</v>
      </c>
    </row>
    <row r="2338" spans="1:8">
      <c r="A2338" s="822"/>
      <c r="B2338" s="95" t="s">
        <v>2369</v>
      </c>
      <c r="C2338" s="157" t="s">
        <v>2378</v>
      </c>
      <c r="D2338" s="195"/>
      <c r="E2338" s="95" t="s">
        <v>2370</v>
      </c>
      <c r="F2338" s="95" t="s">
        <v>1166</v>
      </c>
      <c r="G2338" s="95" t="s">
        <v>2371</v>
      </c>
      <c r="H2338" s="95" t="s">
        <v>2372</v>
      </c>
    </row>
    <row r="2339" spans="1:8">
      <c r="A2339" s="822"/>
      <c r="B2339" s="114"/>
      <c r="C2339" s="154"/>
      <c r="D2339" s="192"/>
      <c r="E2339" s="114"/>
      <c r="F2339" s="114"/>
      <c r="G2339" s="114" t="s">
        <v>3485</v>
      </c>
      <c r="H2339" s="114" t="s">
        <v>3485</v>
      </c>
    </row>
    <row r="2340" spans="1:8">
      <c r="A2340" s="822"/>
      <c r="B2340" s="105">
        <v>1</v>
      </c>
      <c r="C2340" s="135" t="s">
        <v>1502</v>
      </c>
      <c r="E2340" s="95" t="s">
        <v>2374</v>
      </c>
      <c r="F2340" s="214">
        <v>3</v>
      </c>
      <c r="G2340" s="190">
        <f>'HIRE CHARGES'!D499</f>
        <v>1715.5</v>
      </c>
      <c r="H2340" s="190">
        <f>F2340*G2340</f>
        <v>5146.5</v>
      </c>
    </row>
    <row r="2341" spans="1:8">
      <c r="A2341" s="822"/>
      <c r="B2341" s="280"/>
      <c r="C2341" s="135" t="s">
        <v>2379</v>
      </c>
      <c r="E2341" s="105" t="s">
        <v>2374</v>
      </c>
      <c r="F2341" s="190">
        <v>3</v>
      </c>
      <c r="G2341" s="190">
        <f>'HIRE CHARGES'!E499</f>
        <v>610.5</v>
      </c>
      <c r="H2341" s="190">
        <f t="shared" ref="H2341:H2352" si="9">F2341*G2341</f>
        <v>1831.5</v>
      </c>
    </row>
    <row r="2342" spans="1:8">
      <c r="A2342" s="822"/>
      <c r="B2342" s="105">
        <v>2</v>
      </c>
      <c r="C2342" s="135" t="s">
        <v>2951</v>
      </c>
      <c r="E2342" s="105" t="s">
        <v>2374</v>
      </c>
      <c r="F2342" s="190">
        <v>8</v>
      </c>
      <c r="G2342" s="190">
        <f>'HIRE CHARGES'!D542</f>
        <v>1003.1</v>
      </c>
      <c r="H2342" s="190">
        <f t="shared" si="9"/>
        <v>8024.8</v>
      </c>
    </row>
    <row r="2343" spans="1:8">
      <c r="A2343" s="822"/>
      <c r="B2343" s="280"/>
      <c r="C2343" s="135" t="s">
        <v>2379</v>
      </c>
      <c r="E2343" s="105" t="s">
        <v>2374</v>
      </c>
      <c r="F2343" s="190">
        <v>8</v>
      </c>
      <c r="G2343" s="190">
        <f>'HIRE CHARGES'!E542</f>
        <v>476</v>
      </c>
      <c r="H2343" s="190">
        <f t="shared" si="9"/>
        <v>3808</v>
      </c>
    </row>
    <row r="2344" spans="1:8">
      <c r="A2344" s="822"/>
      <c r="B2344" s="105">
        <v>3</v>
      </c>
      <c r="C2344" s="135" t="s">
        <v>1131</v>
      </c>
      <c r="E2344" s="105" t="s">
        <v>2374</v>
      </c>
      <c r="F2344" s="190">
        <v>32</v>
      </c>
      <c r="G2344" s="190">
        <f>'HIRE CHARGES'!D545</f>
        <v>446.7</v>
      </c>
      <c r="H2344" s="190">
        <f t="shared" si="9"/>
        <v>14294.4</v>
      </c>
    </row>
    <row r="2345" spans="1:8">
      <c r="A2345" s="822"/>
      <c r="B2345" s="280"/>
      <c r="C2345" s="135" t="s">
        <v>2379</v>
      </c>
      <c r="E2345" s="105" t="s">
        <v>2374</v>
      </c>
      <c r="F2345" s="190">
        <v>32</v>
      </c>
      <c r="G2345" s="190">
        <f>'HIRE CHARGES'!E545</f>
        <v>299.89999999999998</v>
      </c>
      <c r="H2345" s="190">
        <f t="shared" si="9"/>
        <v>9596.7999999999993</v>
      </c>
    </row>
    <row r="2346" spans="1:8">
      <c r="A2346" s="822"/>
      <c r="B2346" s="105">
        <v>4</v>
      </c>
      <c r="C2346" s="135" t="s">
        <v>1132</v>
      </c>
      <c r="E2346" s="105" t="s">
        <v>2374</v>
      </c>
      <c r="F2346" s="190">
        <v>3</v>
      </c>
      <c r="G2346" s="190">
        <f>'HIRE CHARGES'!D517</f>
        <v>10.199999999999999</v>
      </c>
      <c r="H2346" s="190">
        <f t="shared" si="9"/>
        <v>30.599999999999998</v>
      </c>
    </row>
    <row r="2347" spans="1:8">
      <c r="A2347" s="822"/>
      <c r="B2347" s="280"/>
      <c r="C2347" s="135" t="s">
        <v>2379</v>
      </c>
      <c r="E2347" s="105" t="s">
        <v>2374</v>
      </c>
      <c r="F2347" s="190">
        <v>3</v>
      </c>
      <c r="G2347" s="190">
        <f>'HIRE CHARGES'!E517</f>
        <v>79.3</v>
      </c>
      <c r="H2347" s="190">
        <f t="shared" si="9"/>
        <v>237.89999999999998</v>
      </c>
    </row>
    <row r="2348" spans="1:8">
      <c r="A2348" s="822"/>
      <c r="B2348" s="105">
        <v>5</v>
      </c>
      <c r="C2348" s="135" t="s">
        <v>6286</v>
      </c>
      <c r="E2348" s="105" t="s">
        <v>2374</v>
      </c>
      <c r="F2348" s="190">
        <v>6</v>
      </c>
      <c r="G2348" s="190">
        <f>'HIRE CHARGES'!D555</f>
        <v>402.5</v>
      </c>
      <c r="H2348" s="190">
        <f t="shared" si="9"/>
        <v>2415</v>
      </c>
    </row>
    <row r="2349" spans="1:8">
      <c r="A2349" s="822"/>
      <c r="B2349" s="280"/>
      <c r="C2349" s="135" t="s">
        <v>2379</v>
      </c>
      <c r="E2349" s="105" t="s">
        <v>2374</v>
      </c>
      <c r="F2349" s="190">
        <v>6</v>
      </c>
      <c r="G2349" s="190">
        <f>'HIRE CHARGES'!E555</f>
        <v>299.89999999999998</v>
      </c>
      <c r="H2349" s="190">
        <f t="shared" si="9"/>
        <v>1799.3999999999999</v>
      </c>
    </row>
    <row r="2350" spans="1:8">
      <c r="A2350" s="822"/>
      <c r="B2350" s="105">
        <v>6</v>
      </c>
      <c r="C2350" s="135" t="s">
        <v>998</v>
      </c>
      <c r="E2350" s="105" t="s">
        <v>2374</v>
      </c>
      <c r="F2350" s="190">
        <f>G2325</f>
        <v>5.5</v>
      </c>
      <c r="G2350" s="190">
        <f>'HIRE CHARGES'!D553</f>
        <v>1342.2</v>
      </c>
      <c r="H2350" s="190">
        <f t="shared" si="9"/>
        <v>7382.1</v>
      </c>
    </row>
    <row r="2351" spans="1:8">
      <c r="A2351" s="822"/>
      <c r="B2351" s="280"/>
      <c r="C2351" s="135" t="s">
        <v>2379</v>
      </c>
      <c r="E2351" s="105" t="s">
        <v>2374</v>
      </c>
      <c r="F2351" s="190">
        <f>G2325</f>
        <v>5.5</v>
      </c>
      <c r="G2351" s="190">
        <f>'HIRE CHARGES'!E553</f>
        <v>1031.4000000000001</v>
      </c>
      <c r="H2351" s="190">
        <f t="shared" si="9"/>
        <v>5672.7000000000007</v>
      </c>
    </row>
    <row r="2352" spans="1:8">
      <c r="A2352" s="822"/>
      <c r="B2352" s="114">
        <v>7</v>
      </c>
      <c r="C2352" s="139" t="s">
        <v>2373</v>
      </c>
      <c r="D2352" s="174"/>
      <c r="E2352" s="114" t="s">
        <v>2173</v>
      </c>
      <c r="F2352" s="182">
        <v>2</v>
      </c>
      <c r="G2352" s="215">
        <f>'BASIC DATA'!D359</f>
        <v>30</v>
      </c>
      <c r="H2352" s="182">
        <f t="shared" si="9"/>
        <v>60</v>
      </c>
    </row>
    <row r="2353" spans="1:8">
      <c r="A2353" s="822"/>
      <c r="B2353" s="176"/>
      <c r="C2353" s="174"/>
      <c r="D2353" s="174" t="s">
        <v>2380</v>
      </c>
      <c r="E2353" s="174"/>
      <c r="F2353" s="192"/>
      <c r="G2353" s="275" t="s">
        <v>1698</v>
      </c>
      <c r="H2353" s="434">
        <f>SUM(H2340:H2352)</f>
        <v>60299.7</v>
      </c>
    </row>
    <row r="2354" spans="1:8">
      <c r="A2354" s="822"/>
    </row>
    <row r="2355" spans="1:8">
      <c r="A2355" s="822"/>
      <c r="B2355" s="79" t="s">
        <v>2381</v>
      </c>
    </row>
    <row r="2356" spans="1:8">
      <c r="A2356" s="822"/>
      <c r="B2356" s="95" t="s">
        <v>2369</v>
      </c>
      <c r="C2356" s="157" t="s">
        <v>2378</v>
      </c>
      <c r="D2356" s="195"/>
      <c r="E2356" s="95" t="s">
        <v>2370</v>
      </c>
      <c r="F2356" s="95" t="s">
        <v>1166</v>
      </c>
      <c r="G2356" s="95" t="s">
        <v>2371</v>
      </c>
      <c r="H2356" s="95" t="s">
        <v>2372</v>
      </c>
    </row>
    <row r="2357" spans="1:8">
      <c r="A2357" s="822"/>
      <c r="B2357" s="114"/>
      <c r="C2357" s="154"/>
      <c r="D2357" s="192"/>
      <c r="E2357" s="105"/>
      <c r="F2357" s="114"/>
      <c r="G2357" s="114" t="s">
        <v>3485</v>
      </c>
      <c r="H2357" s="114" t="s">
        <v>3485</v>
      </c>
    </row>
    <row r="2358" spans="1:8">
      <c r="A2358" s="822"/>
      <c r="B2358" s="95">
        <v>1</v>
      </c>
      <c r="C2358" s="148" t="s">
        <v>2870</v>
      </c>
      <c r="D2358" s="187"/>
      <c r="E2358" s="95" t="s">
        <v>2374</v>
      </c>
      <c r="F2358" s="178">
        <v>3</v>
      </c>
      <c r="G2358" s="179">
        <f>'HIRE CHARGES'!F499</f>
        <v>236.6</v>
      </c>
      <c r="H2358" s="179">
        <f>F2358*G2358</f>
        <v>709.8</v>
      </c>
    </row>
    <row r="2359" spans="1:8">
      <c r="A2359" s="822"/>
      <c r="B2359" s="105">
        <v>2</v>
      </c>
      <c r="C2359" s="76" t="s">
        <v>300</v>
      </c>
      <c r="D2359" s="31"/>
      <c r="E2359" s="105" t="s">
        <v>2374</v>
      </c>
      <c r="F2359" s="207">
        <v>8</v>
      </c>
      <c r="G2359" s="190">
        <f>'HIRE CHARGES'!F542</f>
        <v>236.6</v>
      </c>
      <c r="H2359" s="190">
        <f t="shared" ref="H2359:H2365" si="10">F2359*G2359</f>
        <v>1892.8</v>
      </c>
    </row>
    <row r="2360" spans="1:8">
      <c r="A2360" s="822"/>
      <c r="B2360" s="105">
        <v>3</v>
      </c>
      <c r="C2360" s="76" t="s">
        <v>301</v>
      </c>
      <c r="D2360" s="31"/>
      <c r="E2360" s="105" t="s">
        <v>2374</v>
      </c>
      <c r="F2360" s="207">
        <v>32</v>
      </c>
      <c r="G2360" s="190">
        <f>'HIRE CHARGES'!F545</f>
        <v>177.5</v>
      </c>
      <c r="H2360" s="190">
        <f t="shared" si="10"/>
        <v>5680</v>
      </c>
    </row>
    <row r="2361" spans="1:8">
      <c r="A2361" s="822"/>
      <c r="B2361" s="105">
        <v>4</v>
      </c>
      <c r="C2361" s="76" t="s">
        <v>999</v>
      </c>
      <c r="D2361" s="31"/>
      <c r="E2361" s="105" t="s">
        <v>2374</v>
      </c>
      <c r="F2361" s="207">
        <v>3</v>
      </c>
      <c r="G2361" s="190">
        <f>'HIRE CHARGES'!F517</f>
        <v>111.1</v>
      </c>
      <c r="H2361" s="190">
        <f t="shared" si="10"/>
        <v>333.29999999999995</v>
      </c>
    </row>
    <row r="2362" spans="1:8">
      <c r="A2362" s="822"/>
      <c r="B2362" s="105">
        <v>5</v>
      </c>
      <c r="C2362" s="76" t="s">
        <v>1000</v>
      </c>
      <c r="D2362" s="31"/>
      <c r="E2362" s="105" t="s">
        <v>2374</v>
      </c>
      <c r="F2362" s="207">
        <v>6</v>
      </c>
      <c r="G2362" s="190">
        <f>'HIRE CHARGES'!F555</f>
        <v>177.5</v>
      </c>
      <c r="H2362" s="190">
        <f t="shared" si="10"/>
        <v>1065</v>
      </c>
    </row>
    <row r="2363" spans="1:8">
      <c r="A2363" s="822"/>
      <c r="B2363" s="105">
        <v>6</v>
      </c>
      <c r="C2363" s="76" t="s">
        <v>1001</v>
      </c>
      <c r="D2363" s="31"/>
      <c r="E2363" s="105" t="s">
        <v>2374</v>
      </c>
      <c r="F2363" s="207">
        <f>G2325</f>
        <v>5.5</v>
      </c>
      <c r="G2363" s="190">
        <f>'HIRE CHARGES'!F553</f>
        <v>263.60000000000002</v>
      </c>
      <c r="H2363" s="190">
        <f t="shared" si="10"/>
        <v>1449.8000000000002</v>
      </c>
    </row>
    <row r="2364" spans="1:8">
      <c r="A2364" s="822"/>
      <c r="B2364" s="105">
        <v>7</v>
      </c>
      <c r="C2364" s="76" t="s">
        <v>4206</v>
      </c>
      <c r="D2364" s="31"/>
      <c r="E2364" s="105" t="s">
        <v>1172</v>
      </c>
      <c r="F2364" s="207">
        <v>2</v>
      </c>
      <c r="G2364" s="190">
        <f>'BASIC DATA'!C473</f>
        <v>450</v>
      </c>
      <c r="H2364" s="190">
        <f t="shared" si="10"/>
        <v>900</v>
      </c>
    </row>
    <row r="2365" spans="1:8">
      <c r="A2365" s="822"/>
      <c r="B2365" s="114">
        <v>8</v>
      </c>
      <c r="C2365" s="89" t="s">
        <v>2697</v>
      </c>
      <c r="D2365" s="174"/>
      <c r="E2365" s="114" t="s">
        <v>1172</v>
      </c>
      <c r="F2365" s="181">
        <v>6</v>
      </c>
      <c r="G2365" s="182">
        <f>'BASIC DATA'!C552</f>
        <v>350</v>
      </c>
      <c r="H2365" s="190">
        <f t="shared" si="10"/>
        <v>2100</v>
      </c>
    </row>
    <row r="2366" spans="1:8">
      <c r="A2366" s="822"/>
      <c r="B2366" s="176"/>
      <c r="C2366" s="174"/>
      <c r="D2366" s="174" t="s">
        <v>1174</v>
      </c>
      <c r="E2366" s="174"/>
      <c r="F2366" s="192"/>
      <c r="G2366" s="275" t="s">
        <v>1698</v>
      </c>
      <c r="H2366" s="318">
        <f>SUM(H2358:H2365)</f>
        <v>14130.7</v>
      </c>
    </row>
    <row r="2367" spans="1:8">
      <c r="A2367" s="822"/>
      <c r="B2367" s="60" t="s">
        <v>5948</v>
      </c>
      <c r="C2367" s="31"/>
      <c r="D2367" s="31"/>
      <c r="E2367" s="85">
        <f>ROUND(H2366/G2329,1)</f>
        <v>32.1</v>
      </c>
      <c r="G2367" s="31"/>
    </row>
    <row r="2368" spans="1:8">
      <c r="A2368" s="822"/>
      <c r="B2368" s="60" t="s">
        <v>3163</v>
      </c>
      <c r="C2368" s="31"/>
      <c r="D2368" s="922">
        <f>'BASIC DATA'!$C$577</f>
        <v>0.13614999999999999</v>
      </c>
      <c r="E2368" s="85">
        <f>ROUND(E2367*D2368,1)</f>
        <v>4.4000000000000004</v>
      </c>
      <c r="G2368" s="31"/>
    </row>
    <row r="2369" spans="1:7">
      <c r="A2369" s="822"/>
      <c r="B2369" s="60" t="s">
        <v>5949</v>
      </c>
      <c r="C2369" s="31"/>
      <c r="D2369" s="31"/>
      <c r="E2369" s="739">
        <f>E2368+E2367</f>
        <v>36.5</v>
      </c>
      <c r="G2369" s="31"/>
    </row>
    <row r="2370" spans="1:7">
      <c r="A2370" s="822"/>
      <c r="B2370" s="26"/>
    </row>
    <row r="2371" spans="1:7">
      <c r="A2371" s="822"/>
      <c r="B2371" s="170" t="s">
        <v>1175</v>
      </c>
    </row>
    <row r="2372" spans="1:7">
      <c r="A2372" s="822"/>
      <c r="B2372" s="26" t="s">
        <v>1176</v>
      </c>
      <c r="F2372" s="171" t="s">
        <v>1698</v>
      </c>
      <c r="G2372" s="68">
        <f>H2335</f>
        <v>0</v>
      </c>
    </row>
    <row r="2373" spans="1:7">
      <c r="A2373" s="822"/>
      <c r="B2373" s="26" t="s">
        <v>1186</v>
      </c>
      <c r="F2373" s="171" t="s">
        <v>1698</v>
      </c>
      <c r="G2373" s="68">
        <f>H2353</f>
        <v>60299.7</v>
      </c>
    </row>
    <row r="2374" spans="1:7">
      <c r="A2374" s="822"/>
      <c r="B2374" s="26" t="s">
        <v>2660</v>
      </c>
      <c r="F2374" s="171" t="s">
        <v>1698</v>
      </c>
      <c r="G2374" s="75">
        <f>H2366</f>
        <v>14130.7</v>
      </c>
    </row>
    <row r="2375" spans="1:7">
      <c r="A2375" s="822"/>
      <c r="E2375" s="26" t="s">
        <v>1518</v>
      </c>
      <c r="F2375" s="171" t="s">
        <v>1698</v>
      </c>
      <c r="G2375" s="205">
        <f>SUM(G2372:G2374)</f>
        <v>74430.399999999994</v>
      </c>
    </row>
    <row r="2376" spans="1:7" ht="36" customHeight="1">
      <c r="A2376" s="822"/>
      <c r="B2376" s="1207" t="s">
        <v>1379</v>
      </c>
      <c r="C2376" s="1207"/>
      <c r="E2376" s="922">
        <f>'BASIC DATA'!$C$577</f>
        <v>0.13614999999999999</v>
      </c>
      <c r="F2376" s="26" t="s">
        <v>1698</v>
      </c>
      <c r="G2376" s="26">
        <f>G2375*E2376</f>
        <v>10133.698959999998</v>
      </c>
    </row>
    <row r="2377" spans="1:7">
      <c r="A2377" s="822"/>
      <c r="B2377" s="26" t="s">
        <v>1191</v>
      </c>
      <c r="D2377" s="68">
        <f>G2329</f>
        <v>440</v>
      </c>
      <c r="E2377" s="68" t="str">
        <f>H2329</f>
        <v>cum</v>
      </c>
      <c r="F2377" s="26" t="s">
        <v>1698</v>
      </c>
      <c r="G2377" s="211">
        <f>G2376+G2375</f>
        <v>84564.098959999988</v>
      </c>
    </row>
    <row r="2378" spans="1:7">
      <c r="A2378" s="822"/>
      <c r="B2378" s="170" t="s">
        <v>1584</v>
      </c>
      <c r="C2378" s="211" t="str">
        <f>E2377</f>
        <v>cum</v>
      </c>
      <c r="D2378" s="26" t="s">
        <v>4730</v>
      </c>
      <c r="F2378" s="26" t="s">
        <v>4108</v>
      </c>
      <c r="G2378" s="211">
        <f>ROUND(G2377/D2377,1)</f>
        <v>192.2</v>
      </c>
    </row>
    <row r="2379" spans="1:7">
      <c r="A2379" s="822"/>
    </row>
    <row r="2380" spans="1:7">
      <c r="A2380" s="822"/>
    </row>
    <row r="2381" spans="1:7">
      <c r="A2381" s="865" t="s">
        <v>5509</v>
      </c>
      <c r="B2381" s="26" t="s">
        <v>9206</v>
      </c>
    </row>
    <row r="2382" spans="1:7">
      <c r="B2382" s="26" t="s">
        <v>9207</v>
      </c>
    </row>
    <row r="2383" spans="1:7">
      <c r="B2383" s="170" t="s">
        <v>2398</v>
      </c>
    </row>
    <row r="2384" spans="1:7">
      <c r="B2384" s="26"/>
    </row>
    <row r="2385" spans="1:8" hidden="1">
      <c r="A2385" s="865" t="s">
        <v>3984</v>
      </c>
      <c r="B2385" s="26" t="s">
        <v>725</v>
      </c>
    </row>
    <row r="2386" spans="1:8" hidden="1">
      <c r="B2386" s="26" t="s">
        <v>4324</v>
      </c>
    </row>
    <row r="2387" spans="1:8">
      <c r="A2387" s="822"/>
    </row>
    <row r="2388" spans="1:8">
      <c r="A2388" s="822" t="s">
        <v>3984</v>
      </c>
      <c r="C2388" s="203" t="s">
        <v>2367</v>
      </c>
      <c r="D2388" s="171"/>
      <c r="F2388" s="171" t="s">
        <v>297</v>
      </c>
      <c r="G2388" s="162">
        <v>1000</v>
      </c>
      <c r="H2388" s="26" t="s">
        <v>3479</v>
      </c>
    </row>
    <row r="2389" spans="1:8">
      <c r="A2389" s="822"/>
      <c r="B2389" s="79" t="s">
        <v>2368</v>
      </c>
    </row>
    <row r="2390" spans="1:8">
      <c r="A2390" s="822"/>
      <c r="B2390" s="95" t="s">
        <v>2369</v>
      </c>
      <c r="C2390" s="157" t="s">
        <v>6374</v>
      </c>
      <c r="D2390" s="195"/>
      <c r="E2390" s="95" t="s">
        <v>2370</v>
      </c>
      <c r="F2390" s="95" t="s">
        <v>1166</v>
      </c>
      <c r="G2390" s="95" t="s">
        <v>2371</v>
      </c>
      <c r="H2390" s="95" t="s">
        <v>2372</v>
      </c>
    </row>
    <row r="2391" spans="1:8">
      <c r="A2391" s="822"/>
      <c r="B2391" s="114"/>
      <c r="C2391" s="154"/>
      <c r="D2391" s="192"/>
      <c r="E2391" s="114"/>
      <c r="F2391" s="114"/>
      <c r="G2391" s="114" t="s">
        <v>3485</v>
      </c>
      <c r="H2391" s="114" t="s">
        <v>3485</v>
      </c>
    </row>
    <row r="2392" spans="1:8">
      <c r="A2392" s="822"/>
      <c r="B2392" s="95">
        <v>1</v>
      </c>
      <c r="C2392" s="93" t="s">
        <v>6976</v>
      </c>
      <c r="E2392" s="95"/>
      <c r="F2392" s="190">
        <v>0</v>
      </c>
      <c r="G2392" s="190">
        <v>0</v>
      </c>
      <c r="H2392" s="190">
        <f>F2392*G2392</f>
        <v>0</v>
      </c>
    </row>
    <row r="2393" spans="1:8">
      <c r="A2393" s="822"/>
      <c r="B2393" s="275"/>
      <c r="C2393" s="135"/>
      <c r="D2393" s="31"/>
      <c r="E2393" s="105"/>
      <c r="F2393" s="190">
        <v>0</v>
      </c>
      <c r="G2393" s="182">
        <v>0</v>
      </c>
      <c r="H2393" s="182">
        <f>F2393*G2393</f>
        <v>0</v>
      </c>
    </row>
    <row r="2394" spans="1:8">
      <c r="A2394" s="822"/>
      <c r="B2394" s="92"/>
      <c r="C2394" s="159"/>
      <c r="D2394" s="159" t="s">
        <v>2376</v>
      </c>
      <c r="E2394" s="159"/>
      <c r="F2394" s="238"/>
      <c r="G2394" s="236" t="s">
        <v>1698</v>
      </c>
      <c r="H2394" s="318">
        <f>SUM(H2392:H2393)</f>
        <v>0</v>
      </c>
    </row>
    <row r="2395" spans="1:8">
      <c r="A2395" s="822"/>
    </row>
    <row r="2396" spans="1:8">
      <c r="A2396" s="822"/>
      <c r="B2396" s="79" t="s">
        <v>2377</v>
      </c>
    </row>
    <row r="2397" spans="1:8">
      <c r="A2397" s="822"/>
      <c r="B2397" s="95" t="s">
        <v>2369</v>
      </c>
      <c r="C2397" s="157" t="s">
        <v>2378</v>
      </c>
      <c r="D2397" s="195"/>
      <c r="E2397" s="95" t="s">
        <v>2370</v>
      </c>
      <c r="F2397" s="95" t="s">
        <v>1166</v>
      </c>
      <c r="G2397" s="95" t="s">
        <v>2371</v>
      </c>
      <c r="H2397" s="95" t="s">
        <v>2372</v>
      </c>
    </row>
    <row r="2398" spans="1:8">
      <c r="A2398" s="822"/>
      <c r="B2398" s="114"/>
      <c r="C2398" s="154"/>
      <c r="D2398" s="192"/>
      <c r="E2398" s="114"/>
      <c r="F2398" s="114"/>
      <c r="G2398" s="114" t="s">
        <v>3485</v>
      </c>
      <c r="H2398" s="114" t="s">
        <v>3485</v>
      </c>
    </row>
    <row r="2399" spans="1:8">
      <c r="A2399" s="822"/>
      <c r="B2399" s="95">
        <v>1</v>
      </c>
      <c r="C2399" s="93" t="s">
        <v>6976</v>
      </c>
      <c r="E2399" s="95"/>
      <c r="F2399" s="190">
        <v>0</v>
      </c>
      <c r="G2399" s="190">
        <v>0</v>
      </c>
      <c r="H2399" s="190">
        <f>F2399*G2399</f>
        <v>0</v>
      </c>
    </row>
    <row r="2400" spans="1:8">
      <c r="A2400" s="822"/>
      <c r="B2400" s="275"/>
      <c r="C2400" s="139"/>
      <c r="D2400" s="174"/>
      <c r="E2400" s="114"/>
      <c r="F2400" s="182">
        <v>0</v>
      </c>
      <c r="G2400" s="182">
        <v>0</v>
      </c>
      <c r="H2400" s="182">
        <f>F2400*G2400</f>
        <v>0</v>
      </c>
    </row>
    <row r="2401" spans="1:8">
      <c r="A2401" s="822"/>
      <c r="B2401" s="176"/>
      <c r="C2401" s="174"/>
      <c r="D2401" s="174" t="s">
        <v>2380</v>
      </c>
      <c r="E2401" s="174"/>
      <c r="F2401" s="192"/>
      <c r="G2401" s="275" t="s">
        <v>1698</v>
      </c>
      <c r="H2401" s="318">
        <f>SUM(H2399:H2400)</f>
        <v>0</v>
      </c>
    </row>
    <row r="2402" spans="1:8">
      <c r="A2402" s="822"/>
    </row>
    <row r="2403" spans="1:8">
      <c r="A2403" s="822"/>
      <c r="B2403" s="79" t="s">
        <v>2381</v>
      </c>
    </row>
    <row r="2404" spans="1:8">
      <c r="A2404" s="822"/>
      <c r="B2404" s="95" t="s">
        <v>2369</v>
      </c>
      <c r="C2404" s="157" t="s">
        <v>2378</v>
      </c>
      <c r="D2404" s="195"/>
      <c r="E2404" s="95" t="s">
        <v>2370</v>
      </c>
      <c r="F2404" s="95" t="s">
        <v>1166</v>
      </c>
      <c r="G2404" s="95" t="s">
        <v>2371</v>
      </c>
      <c r="H2404" s="95" t="s">
        <v>2372</v>
      </c>
    </row>
    <row r="2405" spans="1:8">
      <c r="A2405" s="822"/>
      <c r="B2405" s="114"/>
      <c r="C2405" s="154"/>
      <c r="D2405" s="192"/>
      <c r="E2405" s="105"/>
      <c r="F2405" s="114"/>
      <c r="G2405" s="114" t="s">
        <v>3485</v>
      </c>
      <c r="H2405" s="114" t="s">
        <v>3485</v>
      </c>
    </row>
    <row r="2406" spans="1:8">
      <c r="A2406" s="822"/>
      <c r="B2406" s="105">
        <v>1</v>
      </c>
      <c r="C2406" s="76" t="s">
        <v>4206</v>
      </c>
      <c r="D2406" s="31"/>
      <c r="E2406" s="95" t="s">
        <v>1172</v>
      </c>
      <c r="F2406" s="207">
        <v>1</v>
      </c>
      <c r="G2406" s="190">
        <f>'BASIC DATA'!C473</f>
        <v>450</v>
      </c>
      <c r="H2406" s="190">
        <f>F2406*G2406</f>
        <v>450</v>
      </c>
    </row>
    <row r="2407" spans="1:8">
      <c r="A2407" s="822"/>
      <c r="B2407" s="114">
        <v>2</v>
      </c>
      <c r="C2407" s="89" t="s">
        <v>2697</v>
      </c>
      <c r="D2407" s="174"/>
      <c r="E2407" s="114" t="s">
        <v>1172</v>
      </c>
      <c r="F2407" s="181">
        <v>8</v>
      </c>
      <c r="G2407" s="182">
        <f>'BASIC DATA'!C552</f>
        <v>350</v>
      </c>
      <c r="H2407" s="190">
        <f>F2407*G2407</f>
        <v>2800</v>
      </c>
    </row>
    <row r="2408" spans="1:8">
      <c r="A2408" s="822"/>
      <c r="B2408" s="176"/>
      <c r="C2408" s="174"/>
      <c r="D2408" s="174" t="s">
        <v>1174</v>
      </c>
      <c r="E2408" s="174"/>
      <c r="F2408" s="192"/>
      <c r="G2408" s="275" t="s">
        <v>1698</v>
      </c>
      <c r="H2408" s="318">
        <f>SUM(H2406:H2407)</f>
        <v>3250</v>
      </c>
    </row>
    <row r="2409" spans="1:8">
      <c r="A2409" s="822"/>
      <c r="B2409" s="60" t="s">
        <v>5948</v>
      </c>
      <c r="C2409" s="31"/>
      <c r="D2409" s="31"/>
      <c r="E2409" s="85">
        <f>H2408/G2388</f>
        <v>3.25</v>
      </c>
      <c r="G2409" s="31"/>
    </row>
    <row r="2410" spans="1:8">
      <c r="A2410" s="822"/>
      <c r="B2410" s="60" t="s">
        <v>3163</v>
      </c>
      <c r="C2410" s="31"/>
      <c r="D2410" s="922">
        <f>'BASIC DATA'!$C$577</f>
        <v>0.13614999999999999</v>
      </c>
      <c r="E2410" s="85">
        <f>E2409*D2410</f>
        <v>0.44248749999999998</v>
      </c>
      <c r="G2410" s="31"/>
    </row>
    <row r="2411" spans="1:8">
      <c r="A2411" s="822"/>
      <c r="B2411" s="60" t="s">
        <v>5949</v>
      </c>
      <c r="C2411" s="31"/>
      <c r="D2411" s="31"/>
      <c r="E2411" s="739">
        <f>ROUND(E2410+E2409,1)</f>
        <v>3.7</v>
      </c>
      <c r="G2411" s="31"/>
    </row>
    <row r="2412" spans="1:8">
      <c r="A2412" s="822"/>
      <c r="B2412" s="26"/>
    </row>
    <row r="2413" spans="1:8">
      <c r="A2413" s="822"/>
      <c r="B2413" s="170" t="s">
        <v>1175</v>
      </c>
    </row>
    <row r="2414" spans="1:8">
      <c r="A2414" s="822"/>
      <c r="B2414" s="26" t="s">
        <v>1176</v>
      </c>
      <c r="F2414" s="171" t="s">
        <v>1698</v>
      </c>
      <c r="G2414" s="68">
        <f>H2394</f>
        <v>0</v>
      </c>
    </row>
    <row r="2415" spans="1:8">
      <c r="A2415" s="822"/>
      <c r="B2415" s="26" t="s">
        <v>1186</v>
      </c>
      <c r="F2415" s="171" t="s">
        <v>1698</v>
      </c>
      <c r="G2415" s="68">
        <f>H2401</f>
        <v>0</v>
      </c>
    </row>
    <row r="2416" spans="1:8">
      <c r="A2416" s="822"/>
      <c r="B2416" s="26" t="s">
        <v>2660</v>
      </c>
      <c r="F2416" s="171" t="s">
        <v>1698</v>
      </c>
      <c r="G2416" s="75">
        <f>H2408</f>
        <v>3250</v>
      </c>
    </row>
    <row r="2417" spans="1:8">
      <c r="A2417" s="822"/>
      <c r="E2417" s="26" t="s">
        <v>1518</v>
      </c>
      <c r="F2417" s="171" t="s">
        <v>1698</v>
      </c>
      <c r="G2417" s="205">
        <f>SUM(G2414:G2416)</f>
        <v>3250</v>
      </c>
    </row>
    <row r="2418" spans="1:8" ht="39.75" customHeight="1">
      <c r="A2418" s="822"/>
      <c r="B2418" s="1207" t="s">
        <v>1379</v>
      </c>
      <c r="C2418" s="1207"/>
      <c r="E2418" s="922">
        <f>'BASIC DATA'!$C$577</f>
        <v>0.13614999999999999</v>
      </c>
      <c r="F2418" s="26" t="s">
        <v>1698</v>
      </c>
      <c r="G2418" s="26">
        <f>G2417*E2418</f>
        <v>442.48749999999995</v>
      </c>
    </row>
    <row r="2419" spans="1:8">
      <c r="A2419" s="822"/>
      <c r="B2419" s="26" t="s">
        <v>1191</v>
      </c>
      <c r="D2419" s="68">
        <f>G2388</f>
        <v>1000</v>
      </c>
      <c r="E2419" s="68" t="str">
        <f>H2388</f>
        <v>sqm</v>
      </c>
      <c r="F2419" s="26" t="s">
        <v>1698</v>
      </c>
      <c r="G2419" s="211">
        <f>G2418+G2417</f>
        <v>3692.4875000000002</v>
      </c>
    </row>
    <row r="2420" spans="1:8">
      <c r="A2420" s="822"/>
      <c r="B2420" s="170" t="s">
        <v>1584</v>
      </c>
      <c r="C2420" s="211" t="str">
        <f>E2419</f>
        <v>sqm</v>
      </c>
      <c r="D2420" s="26" t="s">
        <v>5886</v>
      </c>
      <c r="F2420" s="26" t="s">
        <v>4108</v>
      </c>
      <c r="G2420" s="211">
        <f>ROUND(G2419/D2419,1)</f>
        <v>3.7</v>
      </c>
    </row>
    <row r="2421" spans="1:8">
      <c r="A2421" s="822"/>
    </row>
    <row r="2422" spans="1:8">
      <c r="A2422" s="822"/>
    </row>
    <row r="2423" spans="1:8">
      <c r="A2423" s="865" t="s">
        <v>5510</v>
      </c>
      <c r="B2423" s="170" t="s">
        <v>8031</v>
      </c>
    </row>
    <row r="2424" spans="1:8">
      <c r="B2424" s="26" t="s">
        <v>2804</v>
      </c>
    </row>
    <row r="2425" spans="1:8" ht="18.75">
      <c r="B2425" s="26" t="s">
        <v>9122</v>
      </c>
    </row>
    <row r="2426" spans="1:8">
      <c r="B2426" s="26"/>
    </row>
    <row r="2427" spans="1:8" hidden="1">
      <c r="A2427" s="865" t="s">
        <v>3984</v>
      </c>
      <c r="B2427" s="26" t="s">
        <v>2805</v>
      </c>
    </row>
    <row r="2428" spans="1:8" hidden="1">
      <c r="B2428" s="26" t="s">
        <v>4302</v>
      </c>
      <c r="F2428" s="78" t="s">
        <v>2806</v>
      </c>
      <c r="G2428" s="26">
        <v>5</v>
      </c>
      <c r="H2428" s="26" t="s">
        <v>2059</v>
      </c>
    </row>
    <row r="2429" spans="1:8" hidden="1">
      <c r="B2429" s="26" t="s">
        <v>2807</v>
      </c>
      <c r="F2429" s="78" t="s">
        <v>2806</v>
      </c>
      <c r="G2429" s="26">
        <v>10</v>
      </c>
      <c r="H2429" s="26" t="s">
        <v>2059</v>
      </c>
    </row>
    <row r="2430" spans="1:8" hidden="1">
      <c r="B2430" s="26" t="s">
        <v>6998</v>
      </c>
    </row>
    <row r="2431" spans="1:8" hidden="1">
      <c r="B2431" s="26" t="s">
        <v>5815</v>
      </c>
    </row>
    <row r="2432" spans="1:8" hidden="1">
      <c r="B2432" s="26" t="s">
        <v>2808</v>
      </c>
      <c r="F2432" s="78" t="s">
        <v>2806</v>
      </c>
      <c r="G2432" s="26">
        <v>2</v>
      </c>
      <c r="H2432" s="26" t="s">
        <v>2059</v>
      </c>
    </row>
    <row r="2433" spans="1:8" hidden="1">
      <c r="B2433" s="26" t="s">
        <v>2697</v>
      </c>
      <c r="F2433" s="78" t="s">
        <v>2806</v>
      </c>
      <c r="G2433" s="26">
        <v>6</v>
      </c>
      <c r="H2433" s="26" t="s">
        <v>2059</v>
      </c>
    </row>
    <row r="2434" spans="1:8">
      <c r="A2434" s="822"/>
    </row>
    <row r="2435" spans="1:8">
      <c r="A2435" s="822" t="s">
        <v>3984</v>
      </c>
      <c r="C2435" s="203" t="s">
        <v>2367</v>
      </c>
      <c r="D2435" s="171"/>
      <c r="F2435" s="171" t="s">
        <v>297</v>
      </c>
      <c r="G2435" s="162">
        <v>100</v>
      </c>
      <c r="H2435" s="26" t="s">
        <v>3483</v>
      </c>
    </row>
    <row r="2436" spans="1:8">
      <c r="A2436" s="822"/>
      <c r="B2436" s="79" t="s">
        <v>2368</v>
      </c>
    </row>
    <row r="2437" spans="1:8">
      <c r="A2437" s="822"/>
      <c r="B2437" s="95" t="s">
        <v>2369</v>
      </c>
      <c r="C2437" s="157" t="s">
        <v>6374</v>
      </c>
      <c r="D2437" s="195"/>
      <c r="E2437" s="95" t="s">
        <v>2370</v>
      </c>
      <c r="F2437" s="95" t="s">
        <v>1166</v>
      </c>
      <c r="G2437" s="95" t="s">
        <v>2371</v>
      </c>
      <c r="H2437" s="95" t="s">
        <v>2372</v>
      </c>
    </row>
    <row r="2438" spans="1:8">
      <c r="A2438" s="822"/>
      <c r="B2438" s="114"/>
      <c r="C2438" s="154"/>
      <c r="D2438" s="192"/>
      <c r="E2438" s="114"/>
      <c r="F2438" s="114"/>
      <c r="G2438" s="114" t="s">
        <v>3485</v>
      </c>
      <c r="H2438" s="114" t="s">
        <v>3485</v>
      </c>
    </row>
    <row r="2439" spans="1:8">
      <c r="A2439" s="822"/>
      <c r="B2439" s="95">
        <v>1</v>
      </c>
      <c r="C2439" s="135" t="s">
        <v>3851</v>
      </c>
      <c r="E2439" s="95" t="s">
        <v>3481</v>
      </c>
      <c r="F2439" s="190">
        <v>5</v>
      </c>
      <c r="G2439" s="214">
        <f>'BASIC DATA'!$D$111</f>
        <v>41</v>
      </c>
      <c r="H2439" s="190">
        <f>F2439*G2439</f>
        <v>205</v>
      </c>
    </row>
    <row r="2440" spans="1:8">
      <c r="A2440" s="822"/>
      <c r="B2440" s="105">
        <v>2</v>
      </c>
      <c r="C2440" s="135" t="s">
        <v>6998</v>
      </c>
      <c r="E2440" s="105" t="s">
        <v>3481</v>
      </c>
      <c r="F2440" s="190">
        <v>10</v>
      </c>
      <c r="G2440" s="214">
        <f>'BASIC DATA'!D39</f>
        <v>45</v>
      </c>
      <c r="H2440" s="190">
        <f>F2440*G2440</f>
        <v>450</v>
      </c>
    </row>
    <row r="2441" spans="1:8">
      <c r="A2441" s="822"/>
      <c r="B2441" s="114">
        <v>3</v>
      </c>
      <c r="C2441" s="135" t="s">
        <v>2809</v>
      </c>
      <c r="D2441" s="31"/>
      <c r="E2441" s="105" t="s">
        <v>2173</v>
      </c>
      <c r="F2441" s="190">
        <v>2</v>
      </c>
      <c r="G2441" s="215">
        <f>'BASIC DATA'!D359</f>
        <v>30</v>
      </c>
      <c r="H2441" s="190">
        <f>F2441*G2441</f>
        <v>60</v>
      </c>
    </row>
    <row r="2442" spans="1:8">
      <c r="A2442" s="822"/>
      <c r="B2442" s="92"/>
      <c r="C2442" s="159"/>
      <c r="D2442" s="159" t="s">
        <v>2376</v>
      </c>
      <c r="E2442" s="159"/>
      <c r="F2442" s="238"/>
      <c r="G2442" s="236" t="s">
        <v>1698</v>
      </c>
      <c r="H2442" s="318">
        <f>SUM(H2439:H2441)</f>
        <v>715</v>
      </c>
    </row>
    <row r="2443" spans="1:8">
      <c r="A2443" s="822"/>
    </row>
    <row r="2444" spans="1:8">
      <c r="A2444" s="822"/>
      <c r="B2444" s="79" t="s">
        <v>2377</v>
      </c>
    </row>
    <row r="2445" spans="1:8">
      <c r="A2445" s="822"/>
      <c r="B2445" s="95" t="s">
        <v>2369</v>
      </c>
      <c r="C2445" s="157" t="s">
        <v>2378</v>
      </c>
      <c r="D2445" s="195"/>
      <c r="E2445" s="95" t="s">
        <v>2370</v>
      </c>
      <c r="F2445" s="95" t="s">
        <v>1166</v>
      </c>
      <c r="G2445" s="95" t="s">
        <v>2371</v>
      </c>
      <c r="H2445" s="95" t="s">
        <v>2372</v>
      </c>
    </row>
    <row r="2446" spans="1:8">
      <c r="A2446" s="822"/>
      <c r="B2446" s="114"/>
      <c r="C2446" s="154"/>
      <c r="D2446" s="192"/>
      <c r="E2446" s="114"/>
      <c r="F2446" s="114"/>
      <c r="G2446" s="114" t="s">
        <v>3485</v>
      </c>
      <c r="H2446" s="114" t="s">
        <v>3485</v>
      </c>
    </row>
    <row r="2447" spans="1:8">
      <c r="A2447" s="822"/>
      <c r="B2447" s="95">
        <v>1</v>
      </c>
      <c r="C2447" s="93" t="s">
        <v>6976</v>
      </c>
      <c r="E2447" s="95"/>
      <c r="F2447" s="190">
        <v>0</v>
      </c>
      <c r="G2447" s="190">
        <v>0</v>
      </c>
      <c r="H2447" s="190">
        <f>F2447*G2447</f>
        <v>0</v>
      </c>
    </row>
    <row r="2448" spans="1:8">
      <c r="A2448" s="822"/>
      <c r="B2448" s="275"/>
      <c r="C2448" s="139"/>
      <c r="D2448" s="174"/>
      <c r="E2448" s="114"/>
      <c r="F2448" s="182">
        <v>0</v>
      </c>
      <c r="G2448" s="182">
        <v>0</v>
      </c>
      <c r="H2448" s="182">
        <f>F2448*G2448</f>
        <v>0</v>
      </c>
    </row>
    <row r="2449" spans="1:8">
      <c r="A2449" s="822"/>
      <c r="B2449" s="176"/>
      <c r="C2449" s="174"/>
      <c r="D2449" s="174" t="s">
        <v>2380</v>
      </c>
      <c r="E2449" s="174"/>
      <c r="F2449" s="192"/>
      <c r="G2449" s="236" t="s">
        <v>1698</v>
      </c>
      <c r="H2449" s="318">
        <f>SUM(H2447:H2448)</f>
        <v>0</v>
      </c>
    </row>
    <row r="2450" spans="1:8">
      <c r="A2450" s="822"/>
    </row>
    <row r="2451" spans="1:8">
      <c r="A2451" s="822"/>
      <c r="B2451" s="79" t="s">
        <v>2381</v>
      </c>
    </row>
    <row r="2452" spans="1:8">
      <c r="A2452" s="822"/>
      <c r="B2452" s="95" t="s">
        <v>2369</v>
      </c>
      <c r="C2452" s="157" t="s">
        <v>2378</v>
      </c>
      <c r="D2452" s="195"/>
      <c r="E2452" s="95" t="s">
        <v>2370</v>
      </c>
      <c r="F2452" s="95" t="s">
        <v>1166</v>
      </c>
      <c r="G2452" s="95" t="s">
        <v>2371</v>
      </c>
      <c r="H2452" s="95" t="s">
        <v>2372</v>
      </c>
    </row>
    <row r="2453" spans="1:8">
      <c r="A2453" s="822"/>
      <c r="B2453" s="114"/>
      <c r="C2453" s="154"/>
      <c r="D2453" s="192"/>
      <c r="E2453" s="105"/>
      <c r="F2453" s="114"/>
      <c r="G2453" s="114" t="s">
        <v>3485</v>
      </c>
      <c r="H2453" s="114" t="s">
        <v>3485</v>
      </c>
    </row>
    <row r="2454" spans="1:8">
      <c r="A2454" s="822"/>
      <c r="B2454" s="105">
        <v>1</v>
      </c>
      <c r="C2454" s="76" t="s">
        <v>2808</v>
      </c>
      <c r="D2454" s="31"/>
      <c r="E2454" s="95" t="s">
        <v>1172</v>
      </c>
      <c r="F2454" s="207">
        <v>2</v>
      </c>
      <c r="G2454" s="190">
        <f>'BASIC DATA'!C545</f>
        <v>400</v>
      </c>
      <c r="H2454" s="190">
        <f>F2454*G2454</f>
        <v>800</v>
      </c>
    </row>
    <row r="2455" spans="1:8">
      <c r="A2455" s="822"/>
      <c r="B2455" s="105">
        <v>2</v>
      </c>
      <c r="C2455" s="76" t="s">
        <v>2697</v>
      </c>
      <c r="D2455" s="31"/>
      <c r="E2455" s="105" t="s">
        <v>1172</v>
      </c>
      <c r="F2455" s="207">
        <v>6</v>
      </c>
      <c r="G2455" s="190">
        <f>'BASIC DATA'!C552</f>
        <v>350</v>
      </c>
      <c r="H2455" s="190">
        <f>F2455*G2455</f>
        <v>2100</v>
      </c>
    </row>
    <row r="2456" spans="1:8">
      <c r="A2456" s="822"/>
      <c r="B2456" s="176"/>
      <c r="C2456" s="174"/>
      <c r="D2456" s="174" t="s">
        <v>1174</v>
      </c>
      <c r="E2456" s="174"/>
      <c r="F2456" s="192"/>
      <c r="G2456" s="236" t="s">
        <v>1698</v>
      </c>
      <c r="H2456" s="318">
        <f>SUM(H2454:H2455)</f>
        <v>2900</v>
      </c>
    </row>
    <row r="2457" spans="1:8">
      <c r="A2457" s="822"/>
      <c r="B2457" s="60" t="s">
        <v>5948</v>
      </c>
      <c r="C2457" s="31"/>
      <c r="D2457" s="31"/>
      <c r="E2457" s="85">
        <f>ROUND(H2456/G2435,1)</f>
        <v>29</v>
      </c>
      <c r="G2457" s="31"/>
    </row>
    <row r="2458" spans="1:8">
      <c r="A2458" s="822"/>
      <c r="B2458" s="60" t="s">
        <v>3163</v>
      </c>
      <c r="C2458" s="31"/>
      <c r="D2458" s="922">
        <f>'BASIC DATA'!$C$577</f>
        <v>0.13614999999999999</v>
      </c>
      <c r="E2458" s="85">
        <f>ROUND(E2457*D2458,1)</f>
        <v>3.9</v>
      </c>
      <c r="G2458" s="31"/>
    </row>
    <row r="2459" spans="1:8">
      <c r="A2459" s="822"/>
      <c r="B2459" s="60" t="s">
        <v>5949</v>
      </c>
      <c r="C2459" s="31"/>
      <c r="D2459" s="31"/>
      <c r="E2459" s="739">
        <f>E2458+E2457</f>
        <v>32.9</v>
      </c>
      <c r="G2459" s="31"/>
    </row>
    <row r="2460" spans="1:8">
      <c r="A2460" s="822"/>
      <c r="B2460" s="26"/>
    </row>
    <row r="2461" spans="1:8">
      <c r="A2461" s="822"/>
      <c r="B2461" s="170" t="s">
        <v>1175</v>
      </c>
    </row>
    <row r="2462" spans="1:8">
      <c r="A2462" s="822"/>
      <c r="B2462" s="26" t="s">
        <v>4</v>
      </c>
      <c r="F2462" s="171" t="s">
        <v>1698</v>
      </c>
      <c r="G2462" s="68">
        <f>H2442</f>
        <v>715</v>
      </c>
    </row>
    <row r="2463" spans="1:8">
      <c r="A2463" s="822"/>
      <c r="B2463" s="26" t="s">
        <v>1186</v>
      </c>
      <c r="F2463" s="171" t="s">
        <v>1698</v>
      </c>
      <c r="G2463" s="68">
        <f>H2449</f>
        <v>0</v>
      </c>
    </row>
    <row r="2464" spans="1:8">
      <c r="A2464" s="822"/>
      <c r="B2464" s="26" t="s">
        <v>2660</v>
      </c>
      <c r="F2464" s="171" t="s">
        <v>1698</v>
      </c>
      <c r="G2464" s="75">
        <f>H2456</f>
        <v>2900</v>
      </c>
    </row>
    <row r="2465" spans="1:8">
      <c r="A2465" s="822"/>
      <c r="E2465" s="26" t="s">
        <v>1518</v>
      </c>
      <c r="F2465" s="171" t="s">
        <v>1698</v>
      </c>
      <c r="G2465" s="205">
        <f>SUM(G2462:G2464)</f>
        <v>3615</v>
      </c>
    </row>
    <row r="2466" spans="1:8" ht="35.25" customHeight="1">
      <c r="A2466" s="822"/>
      <c r="B2466" s="1207" t="s">
        <v>1379</v>
      </c>
      <c r="C2466" s="1207"/>
      <c r="E2466" s="922">
        <f>'BASIC DATA'!$C$577</f>
        <v>0.13614999999999999</v>
      </c>
      <c r="F2466" s="26" t="s">
        <v>1698</v>
      </c>
      <c r="G2466" s="26">
        <f>G2465*E2466</f>
        <v>492.18224999999995</v>
      </c>
    </row>
    <row r="2467" spans="1:8">
      <c r="A2467" s="822"/>
      <c r="B2467" s="26" t="s">
        <v>1191</v>
      </c>
      <c r="D2467" s="68">
        <f>G2435</f>
        <v>100</v>
      </c>
      <c r="E2467" s="68" t="str">
        <f>H2435</f>
        <v>Rm</v>
      </c>
      <c r="F2467" s="26" t="s">
        <v>1698</v>
      </c>
      <c r="G2467" s="211">
        <f>G2466+G2465</f>
        <v>4107.1822499999998</v>
      </c>
    </row>
    <row r="2468" spans="1:8">
      <c r="A2468" s="822"/>
      <c r="B2468" s="170" t="s">
        <v>1584</v>
      </c>
      <c r="C2468" s="211" t="str">
        <f>E2467</f>
        <v>Rm</v>
      </c>
      <c r="D2468" s="26" t="s">
        <v>5882</v>
      </c>
      <c r="F2468" s="26" t="s">
        <v>4108</v>
      </c>
      <c r="G2468" s="211">
        <f>ROUND(G2467/D2467,1)</f>
        <v>41.1</v>
      </c>
    </row>
    <row r="2469" spans="1:8">
      <c r="A2469" s="822"/>
    </row>
    <row r="2470" spans="1:8">
      <c r="A2470" s="822"/>
    </row>
    <row r="2471" spans="1:8">
      <c r="A2471" s="865" t="s">
        <v>5511</v>
      </c>
      <c r="B2471" s="170" t="s">
        <v>9208</v>
      </c>
    </row>
    <row r="2472" spans="1:8">
      <c r="B2472" s="26" t="s">
        <v>9209</v>
      </c>
    </row>
    <row r="2473" spans="1:8">
      <c r="B2473" s="26"/>
    </row>
    <row r="2474" spans="1:8" hidden="1">
      <c r="A2474" s="865" t="s">
        <v>3984</v>
      </c>
      <c r="B2474" s="26" t="s">
        <v>23</v>
      </c>
    </row>
    <row r="2475" spans="1:8" hidden="1">
      <c r="B2475" s="26" t="s">
        <v>24</v>
      </c>
      <c r="F2475" s="78" t="s">
        <v>1697</v>
      </c>
      <c r="G2475" s="26">
        <v>125</v>
      </c>
      <c r="H2475" s="26" t="s">
        <v>3479</v>
      </c>
    </row>
    <row r="2476" spans="1:8" hidden="1">
      <c r="B2476" s="26" t="s">
        <v>4302</v>
      </c>
      <c r="F2476" s="78"/>
    </row>
    <row r="2477" spans="1:8" hidden="1">
      <c r="B2477" s="26" t="s">
        <v>25</v>
      </c>
      <c r="F2477" s="78" t="s">
        <v>1697</v>
      </c>
      <c r="G2477" s="26">
        <v>5</v>
      </c>
      <c r="H2477" s="26" t="s">
        <v>3482</v>
      </c>
    </row>
    <row r="2478" spans="1:8" hidden="1">
      <c r="B2478" s="26" t="s">
        <v>3851</v>
      </c>
      <c r="F2478" s="78" t="s">
        <v>1697</v>
      </c>
      <c r="G2478" s="26">
        <v>5</v>
      </c>
      <c r="H2478" s="26" t="s">
        <v>2059</v>
      </c>
    </row>
    <row r="2479" spans="1:8" hidden="1">
      <c r="B2479" s="26" t="s">
        <v>6998</v>
      </c>
      <c r="F2479" s="78" t="s">
        <v>1697</v>
      </c>
      <c r="G2479" s="26">
        <v>10</v>
      </c>
      <c r="H2479" s="26" t="s">
        <v>2059</v>
      </c>
    </row>
    <row r="2480" spans="1:8" hidden="1">
      <c r="B2480" s="26" t="s">
        <v>5815</v>
      </c>
      <c r="F2480" s="78"/>
    </row>
    <row r="2481" spans="1:8" hidden="1">
      <c r="B2481" s="26" t="s">
        <v>2697</v>
      </c>
      <c r="F2481" s="78" t="s">
        <v>1697</v>
      </c>
      <c r="G2481" s="26">
        <v>6</v>
      </c>
      <c r="H2481" s="26" t="s">
        <v>2059</v>
      </c>
    </row>
    <row r="2482" spans="1:8">
      <c r="A2482" s="822"/>
    </row>
    <row r="2483" spans="1:8">
      <c r="A2483" s="822" t="s">
        <v>3984</v>
      </c>
      <c r="C2483" s="203" t="s">
        <v>2367</v>
      </c>
      <c r="D2483" s="171"/>
      <c r="F2483" s="171" t="s">
        <v>297</v>
      </c>
      <c r="G2483" s="162">
        <v>100</v>
      </c>
      <c r="H2483" s="26" t="s">
        <v>3483</v>
      </c>
    </row>
    <row r="2484" spans="1:8">
      <c r="A2484" s="822"/>
      <c r="B2484" s="79" t="s">
        <v>2368</v>
      </c>
    </row>
    <row r="2485" spans="1:8">
      <c r="A2485" s="822"/>
      <c r="B2485" s="95" t="s">
        <v>2369</v>
      </c>
      <c r="C2485" s="157" t="s">
        <v>6374</v>
      </c>
      <c r="D2485" s="195"/>
      <c r="E2485" s="95" t="s">
        <v>2370</v>
      </c>
      <c r="F2485" s="95" t="s">
        <v>1166</v>
      </c>
      <c r="G2485" s="95" t="s">
        <v>2371</v>
      </c>
      <c r="H2485" s="95" t="s">
        <v>2372</v>
      </c>
    </row>
    <row r="2486" spans="1:8">
      <c r="A2486" s="822"/>
      <c r="B2486" s="114"/>
      <c r="C2486" s="154"/>
      <c r="D2486" s="192"/>
      <c r="E2486" s="114"/>
      <c r="F2486" s="114"/>
      <c r="G2486" s="114" t="s">
        <v>3485</v>
      </c>
      <c r="H2486" s="114" t="s">
        <v>3485</v>
      </c>
    </row>
    <row r="2487" spans="1:8">
      <c r="A2487" s="822"/>
      <c r="B2487" s="95">
        <v>1</v>
      </c>
      <c r="C2487" s="135" t="s">
        <v>957</v>
      </c>
      <c r="E2487" s="107" t="s">
        <v>3482</v>
      </c>
      <c r="F2487" s="190">
        <v>5</v>
      </c>
      <c r="G2487" s="214">
        <f>'BASIC DATA'!D86</f>
        <v>80</v>
      </c>
      <c r="H2487" s="190">
        <f>F2487*G2487</f>
        <v>400</v>
      </c>
    </row>
    <row r="2488" spans="1:8">
      <c r="A2488" s="822"/>
      <c r="B2488" s="105">
        <v>2</v>
      </c>
      <c r="C2488" s="135" t="s">
        <v>3851</v>
      </c>
      <c r="E2488" s="210" t="s">
        <v>3481</v>
      </c>
      <c r="F2488" s="190">
        <v>5</v>
      </c>
      <c r="G2488" s="214">
        <f>'BASIC DATA'!$D$111</f>
        <v>41</v>
      </c>
      <c r="H2488" s="190">
        <f>F2488*G2488</f>
        <v>205</v>
      </c>
    </row>
    <row r="2489" spans="1:8">
      <c r="A2489" s="822"/>
      <c r="B2489" s="105">
        <v>3</v>
      </c>
      <c r="C2489" s="135" t="s">
        <v>6998</v>
      </c>
      <c r="E2489" s="210" t="s">
        <v>3481</v>
      </c>
      <c r="F2489" s="190">
        <v>10</v>
      </c>
      <c r="G2489" s="214">
        <f>'BASIC DATA'!D39</f>
        <v>45</v>
      </c>
      <c r="H2489" s="190">
        <f>F2489*G2489</f>
        <v>450</v>
      </c>
    </row>
    <row r="2490" spans="1:8">
      <c r="A2490" s="822"/>
      <c r="B2490" s="114">
        <v>4</v>
      </c>
      <c r="C2490" s="135" t="s">
        <v>2809</v>
      </c>
      <c r="D2490" s="31"/>
      <c r="E2490" s="191" t="s">
        <v>2173</v>
      </c>
      <c r="F2490" s="190">
        <v>2</v>
      </c>
      <c r="G2490" s="215">
        <f>'BASIC DATA'!D359</f>
        <v>30</v>
      </c>
      <c r="H2490" s="190">
        <f>F2490*G2490</f>
        <v>60</v>
      </c>
    </row>
    <row r="2491" spans="1:8">
      <c r="A2491" s="822"/>
      <c r="B2491" s="92"/>
      <c r="C2491" s="159"/>
      <c r="D2491" s="159" t="s">
        <v>2376</v>
      </c>
      <c r="E2491" s="159"/>
      <c r="F2491" s="238"/>
      <c r="G2491" s="236" t="s">
        <v>1698</v>
      </c>
      <c r="H2491" s="318">
        <f>SUM(H2487:H2490)</f>
        <v>1115</v>
      </c>
    </row>
    <row r="2492" spans="1:8">
      <c r="A2492" s="822"/>
    </row>
    <row r="2493" spans="1:8">
      <c r="A2493" s="822"/>
      <c r="B2493" s="79" t="s">
        <v>2377</v>
      </c>
    </row>
    <row r="2494" spans="1:8">
      <c r="A2494" s="822"/>
      <c r="B2494" s="95" t="s">
        <v>2369</v>
      </c>
      <c r="C2494" s="157" t="s">
        <v>2378</v>
      </c>
      <c r="D2494" s="195"/>
      <c r="E2494" s="95" t="s">
        <v>2370</v>
      </c>
      <c r="F2494" s="95" t="s">
        <v>1166</v>
      </c>
      <c r="G2494" s="95" t="s">
        <v>2371</v>
      </c>
      <c r="H2494" s="95" t="s">
        <v>2372</v>
      </c>
    </row>
    <row r="2495" spans="1:8">
      <c r="A2495" s="822"/>
      <c r="B2495" s="114"/>
      <c r="C2495" s="154"/>
      <c r="D2495" s="192"/>
      <c r="E2495" s="114"/>
      <c r="F2495" s="114"/>
      <c r="G2495" s="114" t="s">
        <v>3485</v>
      </c>
      <c r="H2495" s="114" t="s">
        <v>3485</v>
      </c>
    </row>
    <row r="2496" spans="1:8">
      <c r="A2496" s="822"/>
      <c r="B2496" s="95">
        <v>1</v>
      </c>
      <c r="C2496" s="93" t="s">
        <v>6976</v>
      </c>
      <c r="E2496" s="95"/>
      <c r="F2496" s="190">
        <v>0</v>
      </c>
      <c r="G2496" s="190">
        <v>0</v>
      </c>
      <c r="H2496" s="190">
        <f>F2496*G2496</f>
        <v>0</v>
      </c>
    </row>
    <row r="2497" spans="1:8">
      <c r="A2497" s="822"/>
      <c r="B2497" s="275"/>
      <c r="C2497" s="139"/>
      <c r="D2497" s="174"/>
      <c r="E2497" s="114"/>
      <c r="F2497" s="182">
        <v>0</v>
      </c>
      <c r="G2497" s="182">
        <v>0</v>
      </c>
      <c r="H2497" s="182">
        <f>F2497*G2497</f>
        <v>0</v>
      </c>
    </row>
    <row r="2498" spans="1:8">
      <c r="A2498" s="822"/>
      <c r="B2498" s="176"/>
      <c r="C2498" s="174"/>
      <c r="D2498" s="174" t="s">
        <v>2380</v>
      </c>
      <c r="E2498" s="174"/>
      <c r="F2498" s="192"/>
      <c r="G2498" s="275" t="s">
        <v>1698</v>
      </c>
      <c r="H2498" s="318">
        <f>SUM(H2496:H2497)</f>
        <v>0</v>
      </c>
    </row>
    <row r="2499" spans="1:8">
      <c r="A2499" s="822"/>
    </row>
    <row r="2500" spans="1:8">
      <c r="A2500" s="822"/>
      <c r="B2500" s="79" t="s">
        <v>2381</v>
      </c>
    </row>
    <row r="2501" spans="1:8">
      <c r="A2501" s="822"/>
      <c r="B2501" s="95" t="s">
        <v>2369</v>
      </c>
      <c r="C2501" s="157" t="s">
        <v>2378</v>
      </c>
      <c r="D2501" s="195"/>
      <c r="E2501" s="95" t="s">
        <v>2370</v>
      </c>
      <c r="F2501" s="95" t="s">
        <v>1166</v>
      </c>
      <c r="G2501" s="95" t="s">
        <v>2371</v>
      </c>
      <c r="H2501" s="95" t="s">
        <v>2372</v>
      </c>
    </row>
    <row r="2502" spans="1:8">
      <c r="A2502" s="822"/>
      <c r="B2502" s="114"/>
      <c r="C2502" s="154"/>
      <c r="D2502" s="192"/>
      <c r="E2502" s="105"/>
      <c r="F2502" s="114"/>
      <c r="G2502" s="114" t="s">
        <v>3485</v>
      </c>
      <c r="H2502" s="114" t="s">
        <v>3485</v>
      </c>
    </row>
    <row r="2503" spans="1:8">
      <c r="A2503" s="822"/>
      <c r="B2503" s="36">
        <v>1</v>
      </c>
      <c r="C2503" s="151" t="s">
        <v>2697</v>
      </c>
      <c r="D2503" s="159"/>
      <c r="E2503" s="36" t="s">
        <v>1172</v>
      </c>
      <c r="F2503" s="369">
        <v>6</v>
      </c>
      <c r="G2503" s="67">
        <f>'BASIC DATA'!C552</f>
        <v>350</v>
      </c>
      <c r="H2503" s="190">
        <f>F2503*G2503</f>
        <v>2100</v>
      </c>
    </row>
    <row r="2504" spans="1:8">
      <c r="A2504" s="822"/>
      <c r="B2504" s="176"/>
      <c r="C2504" s="174"/>
      <c r="D2504" s="174" t="s">
        <v>1174</v>
      </c>
      <c r="E2504" s="174"/>
      <c r="F2504" s="192"/>
      <c r="G2504" s="275" t="s">
        <v>1698</v>
      </c>
      <c r="H2504" s="318">
        <f>SUM(H2503:H2503)</f>
        <v>2100</v>
      </c>
    </row>
    <row r="2505" spans="1:8">
      <c r="A2505" s="822"/>
      <c r="B2505" s="60" t="s">
        <v>5948</v>
      </c>
      <c r="C2505" s="31"/>
      <c r="D2505" s="31"/>
      <c r="E2505" s="85">
        <f>ROUND(H2504/G2483,1)</f>
        <v>21</v>
      </c>
      <c r="G2505" s="31"/>
    </row>
    <row r="2506" spans="1:8">
      <c r="A2506" s="822"/>
      <c r="B2506" s="60" t="s">
        <v>3163</v>
      </c>
      <c r="C2506" s="31"/>
      <c r="D2506" s="922">
        <f>'BASIC DATA'!$C$577</f>
        <v>0.13614999999999999</v>
      </c>
      <c r="E2506" s="85">
        <f>ROUND(E2505*D2506,1)</f>
        <v>2.9</v>
      </c>
      <c r="G2506" s="31"/>
    </row>
    <row r="2507" spans="1:8">
      <c r="A2507" s="822"/>
      <c r="B2507" s="60" t="s">
        <v>5949</v>
      </c>
      <c r="C2507" s="31"/>
      <c r="D2507" s="31"/>
      <c r="E2507" s="739">
        <f>E2506+E2505</f>
        <v>23.9</v>
      </c>
      <c r="G2507" s="31"/>
    </row>
    <row r="2508" spans="1:8">
      <c r="A2508" s="822"/>
      <c r="B2508" s="26"/>
    </row>
    <row r="2509" spans="1:8">
      <c r="A2509" s="822"/>
      <c r="B2509" s="170" t="s">
        <v>1175</v>
      </c>
    </row>
    <row r="2510" spans="1:8">
      <c r="A2510" s="822"/>
      <c r="B2510" s="26" t="s">
        <v>1176</v>
      </c>
      <c r="F2510" s="171" t="s">
        <v>1698</v>
      </c>
      <c r="G2510" s="68">
        <f>H2491</f>
        <v>1115</v>
      </c>
    </row>
    <row r="2511" spans="1:8">
      <c r="A2511" s="822"/>
      <c r="B2511" s="26" t="s">
        <v>1186</v>
      </c>
      <c r="F2511" s="171" t="s">
        <v>1698</v>
      </c>
      <c r="G2511" s="68">
        <f>H2498</f>
        <v>0</v>
      </c>
    </row>
    <row r="2512" spans="1:8">
      <c r="A2512" s="822"/>
      <c r="B2512" s="26" t="s">
        <v>2660</v>
      </c>
      <c r="F2512" s="171" t="s">
        <v>1698</v>
      </c>
      <c r="G2512" s="75">
        <f>H2504</f>
        <v>2100</v>
      </c>
    </row>
    <row r="2513" spans="1:8">
      <c r="A2513" s="822"/>
      <c r="E2513" s="26" t="s">
        <v>1518</v>
      </c>
      <c r="F2513" s="171" t="s">
        <v>1698</v>
      </c>
      <c r="G2513" s="205">
        <f>SUM(G2510:G2512)</f>
        <v>3215</v>
      </c>
    </row>
    <row r="2514" spans="1:8" ht="35.25" customHeight="1">
      <c r="A2514" s="822"/>
      <c r="B2514" s="1207" t="s">
        <v>1379</v>
      </c>
      <c r="C2514" s="1207"/>
      <c r="E2514" s="922">
        <f>'BASIC DATA'!$C$577</f>
        <v>0.13614999999999999</v>
      </c>
      <c r="F2514" s="26" t="s">
        <v>1698</v>
      </c>
      <c r="G2514" s="26">
        <f>G2513*E2514</f>
        <v>437.72224999999997</v>
      </c>
    </row>
    <row r="2515" spans="1:8">
      <c r="A2515" s="822"/>
      <c r="B2515" s="26" t="s">
        <v>1191</v>
      </c>
      <c r="D2515" s="68">
        <f>G2483</f>
        <v>100</v>
      </c>
      <c r="E2515" s="68" t="str">
        <f>H2483</f>
        <v>Rm</v>
      </c>
      <c r="F2515" s="26" t="s">
        <v>1698</v>
      </c>
      <c r="G2515" s="211">
        <f>G2514+G2513</f>
        <v>3652.7222499999998</v>
      </c>
    </row>
    <row r="2516" spans="1:8">
      <c r="A2516" s="822"/>
      <c r="B2516" s="170" t="s">
        <v>1584</v>
      </c>
      <c r="C2516" s="211" t="str">
        <f>E2515</f>
        <v>Rm</v>
      </c>
      <c r="D2516" s="26" t="s">
        <v>5882</v>
      </c>
      <c r="F2516" s="26" t="s">
        <v>4108</v>
      </c>
      <c r="G2516" s="211">
        <f>ROUND(G2515/D2515,1)</f>
        <v>36.5</v>
      </c>
    </row>
    <row r="2517" spans="1:8">
      <c r="A2517" s="822"/>
    </row>
    <row r="2518" spans="1:8">
      <c r="A2518" s="822"/>
    </row>
    <row r="2519" spans="1:8" ht="18.75">
      <c r="A2519" s="865" t="s">
        <v>5517</v>
      </c>
      <c r="B2519" s="170" t="s">
        <v>9129</v>
      </c>
    </row>
    <row r="2520" spans="1:8">
      <c r="B2520" s="26" t="s">
        <v>5100</v>
      </c>
    </row>
    <row r="2521" spans="1:8" ht="18.75">
      <c r="B2521" s="26" t="s">
        <v>9130</v>
      </c>
    </row>
    <row r="2522" spans="1:8">
      <c r="B2522" s="26"/>
    </row>
    <row r="2523" spans="1:8" hidden="1">
      <c r="A2523" s="865" t="s">
        <v>3984</v>
      </c>
      <c r="B2523" s="26" t="s">
        <v>6579</v>
      </c>
    </row>
    <row r="2524" spans="1:8">
      <c r="A2524" s="822"/>
    </row>
    <row r="2525" spans="1:8">
      <c r="A2525" s="822" t="s">
        <v>3984</v>
      </c>
      <c r="C2525" s="203" t="s">
        <v>2367</v>
      </c>
      <c r="D2525" s="171"/>
      <c r="F2525" s="171" t="s">
        <v>297</v>
      </c>
      <c r="G2525" s="162">
        <v>10</v>
      </c>
      <c r="H2525" s="26" t="s">
        <v>3477</v>
      </c>
    </row>
    <row r="2526" spans="1:8">
      <c r="A2526" s="822"/>
      <c r="B2526" s="79" t="s">
        <v>2368</v>
      </c>
    </row>
    <row r="2527" spans="1:8">
      <c r="A2527" s="822"/>
      <c r="B2527" s="95" t="s">
        <v>2369</v>
      </c>
      <c r="C2527" s="157" t="s">
        <v>6374</v>
      </c>
      <c r="D2527" s="195"/>
      <c r="E2527" s="95" t="s">
        <v>2370</v>
      </c>
      <c r="F2527" s="95" t="s">
        <v>1166</v>
      </c>
      <c r="G2527" s="95" t="s">
        <v>2371</v>
      </c>
      <c r="H2527" s="95" t="s">
        <v>2372</v>
      </c>
    </row>
    <row r="2528" spans="1:8">
      <c r="A2528" s="822"/>
      <c r="B2528" s="114"/>
      <c r="C2528" s="154"/>
      <c r="D2528" s="192"/>
      <c r="E2528" s="114"/>
      <c r="F2528" s="114"/>
      <c r="G2528" s="114" t="s">
        <v>3485</v>
      </c>
      <c r="H2528" s="114" t="s">
        <v>3485</v>
      </c>
    </row>
    <row r="2529" spans="1:8">
      <c r="A2529" s="822"/>
      <c r="B2529" s="95">
        <v>1</v>
      </c>
      <c r="C2529" s="93" t="s">
        <v>6976</v>
      </c>
      <c r="E2529" s="95"/>
      <c r="F2529" s="190">
        <v>0</v>
      </c>
      <c r="G2529" s="190">
        <v>0</v>
      </c>
      <c r="H2529" s="190">
        <f>F2529*G2529</f>
        <v>0</v>
      </c>
    </row>
    <row r="2530" spans="1:8">
      <c r="A2530" s="822"/>
      <c r="B2530" s="280"/>
      <c r="C2530" s="135"/>
      <c r="E2530" s="105"/>
      <c r="F2530" s="190">
        <v>0</v>
      </c>
      <c r="G2530" s="190">
        <v>0</v>
      </c>
      <c r="H2530" s="190">
        <f>F2530*G2530</f>
        <v>0</v>
      </c>
    </row>
    <row r="2531" spans="1:8">
      <c r="A2531" s="822"/>
      <c r="B2531" s="92"/>
      <c r="C2531" s="159"/>
      <c r="D2531" s="159" t="s">
        <v>2376</v>
      </c>
      <c r="E2531" s="159"/>
      <c r="F2531" s="238"/>
      <c r="G2531" s="236" t="s">
        <v>1698</v>
      </c>
      <c r="H2531" s="318">
        <f>SUM(H2529:H2530)</f>
        <v>0</v>
      </c>
    </row>
    <row r="2532" spans="1:8">
      <c r="A2532" s="822"/>
    </row>
    <row r="2533" spans="1:8">
      <c r="A2533" s="822"/>
      <c r="B2533" s="79" t="s">
        <v>2377</v>
      </c>
    </row>
    <row r="2534" spans="1:8">
      <c r="A2534" s="822"/>
      <c r="B2534" s="95" t="s">
        <v>2369</v>
      </c>
      <c r="C2534" s="157" t="s">
        <v>2378</v>
      </c>
      <c r="D2534" s="195"/>
      <c r="E2534" s="95" t="s">
        <v>2370</v>
      </c>
      <c r="F2534" s="95" t="s">
        <v>1166</v>
      </c>
      <c r="G2534" s="95" t="s">
        <v>2371</v>
      </c>
      <c r="H2534" s="95" t="s">
        <v>2372</v>
      </c>
    </row>
    <row r="2535" spans="1:8">
      <c r="A2535" s="822"/>
      <c r="B2535" s="114"/>
      <c r="C2535" s="154"/>
      <c r="D2535" s="192"/>
      <c r="E2535" s="114"/>
      <c r="F2535" s="114"/>
      <c r="G2535" s="114" t="s">
        <v>3485</v>
      </c>
      <c r="H2535" s="114" t="s">
        <v>3485</v>
      </c>
    </row>
    <row r="2536" spans="1:8">
      <c r="A2536" s="822"/>
      <c r="B2536" s="95">
        <v>1</v>
      </c>
      <c r="C2536" s="93" t="s">
        <v>6976</v>
      </c>
      <c r="E2536" s="95"/>
      <c r="F2536" s="190">
        <v>0</v>
      </c>
      <c r="G2536" s="190">
        <v>0</v>
      </c>
      <c r="H2536" s="190">
        <f>F2536*G2536</f>
        <v>0</v>
      </c>
    </row>
    <row r="2537" spans="1:8">
      <c r="A2537" s="822"/>
      <c r="B2537" s="275"/>
      <c r="C2537" s="139"/>
      <c r="D2537" s="174"/>
      <c r="E2537" s="114"/>
      <c r="F2537" s="182">
        <v>0</v>
      </c>
      <c r="G2537" s="182">
        <v>0</v>
      </c>
      <c r="H2537" s="190">
        <f>F2537*G2537</f>
        <v>0</v>
      </c>
    </row>
    <row r="2538" spans="1:8">
      <c r="A2538" s="822"/>
      <c r="B2538" s="176"/>
      <c r="C2538" s="174"/>
      <c r="D2538" s="174" t="s">
        <v>2380</v>
      </c>
      <c r="E2538" s="174"/>
      <c r="F2538" s="192"/>
      <c r="G2538" s="275" t="s">
        <v>1698</v>
      </c>
      <c r="H2538" s="318">
        <f>SUM(H2536:H2537)</f>
        <v>0</v>
      </c>
    </row>
    <row r="2539" spans="1:8">
      <c r="A2539" s="822"/>
    </row>
    <row r="2540" spans="1:8">
      <c r="A2540" s="822"/>
      <c r="B2540" s="79" t="s">
        <v>2381</v>
      </c>
    </row>
    <row r="2541" spans="1:8">
      <c r="A2541" s="822"/>
      <c r="B2541" s="95" t="s">
        <v>2369</v>
      </c>
      <c r="C2541" s="157" t="s">
        <v>2378</v>
      </c>
      <c r="D2541" s="195"/>
      <c r="E2541" s="95" t="s">
        <v>2370</v>
      </c>
      <c r="F2541" s="95" t="s">
        <v>1166</v>
      </c>
      <c r="G2541" s="95" t="s">
        <v>2371</v>
      </c>
      <c r="H2541" s="95" t="s">
        <v>2372</v>
      </c>
    </row>
    <row r="2542" spans="1:8">
      <c r="A2542" s="822"/>
      <c r="B2542" s="114"/>
      <c r="C2542" s="154"/>
      <c r="D2542" s="192"/>
      <c r="E2542" s="105"/>
      <c r="F2542" s="114"/>
      <c r="G2542" s="114" t="s">
        <v>3485</v>
      </c>
      <c r="H2542" s="114" t="s">
        <v>3485</v>
      </c>
    </row>
    <row r="2543" spans="1:8">
      <c r="A2543" s="822"/>
      <c r="B2543" s="36">
        <v>1</v>
      </c>
      <c r="C2543" s="151" t="s">
        <v>2697</v>
      </c>
      <c r="D2543" s="159"/>
      <c r="E2543" s="36" t="s">
        <v>1172</v>
      </c>
      <c r="F2543" s="369">
        <v>4</v>
      </c>
      <c r="G2543" s="190">
        <f>'BASIC DATA'!C552</f>
        <v>350</v>
      </c>
      <c r="H2543" s="190">
        <f>F2543*G2543</f>
        <v>1400</v>
      </c>
    </row>
    <row r="2544" spans="1:8">
      <c r="A2544" s="822"/>
      <c r="B2544" s="176"/>
      <c r="C2544" s="174"/>
      <c r="D2544" s="174" t="s">
        <v>1174</v>
      </c>
      <c r="E2544" s="174"/>
      <c r="F2544" s="192"/>
      <c r="G2544" s="236" t="s">
        <v>1698</v>
      </c>
      <c r="H2544" s="318">
        <f>SUM(H2543:H2543)</f>
        <v>1400</v>
      </c>
    </row>
    <row r="2545" spans="1:7">
      <c r="A2545" s="822"/>
      <c r="B2545" s="60" t="s">
        <v>5948</v>
      </c>
      <c r="C2545" s="31"/>
      <c r="D2545" s="31"/>
      <c r="E2545" s="85">
        <f>ROUND(H2544/G2525,1)</f>
        <v>140</v>
      </c>
      <c r="G2545" s="31"/>
    </row>
    <row r="2546" spans="1:7">
      <c r="A2546" s="822"/>
      <c r="B2546" s="60" t="s">
        <v>3163</v>
      </c>
      <c r="C2546" s="31"/>
      <c r="D2546" s="922">
        <f>'BASIC DATA'!$C$577</f>
        <v>0.13614999999999999</v>
      </c>
      <c r="E2546" s="85">
        <f>ROUND(E2545*D2546,1)</f>
        <v>19.100000000000001</v>
      </c>
      <c r="G2546" s="31"/>
    </row>
    <row r="2547" spans="1:7">
      <c r="A2547" s="822"/>
      <c r="B2547" s="60" t="s">
        <v>5949</v>
      </c>
      <c r="C2547" s="31"/>
      <c r="D2547" s="31"/>
      <c r="E2547" s="739">
        <f>E2546+E2545</f>
        <v>159.1</v>
      </c>
      <c r="G2547" s="31"/>
    </row>
    <row r="2548" spans="1:7">
      <c r="A2548" s="822"/>
      <c r="B2548" s="26"/>
    </row>
    <row r="2549" spans="1:7">
      <c r="A2549" s="822"/>
      <c r="B2549" s="170" t="s">
        <v>1175</v>
      </c>
    </row>
    <row r="2550" spans="1:7">
      <c r="A2550" s="822"/>
      <c r="B2550" s="26" t="s">
        <v>1176</v>
      </c>
      <c r="F2550" s="171" t="s">
        <v>1698</v>
      </c>
      <c r="G2550" s="68">
        <f>H2531</f>
        <v>0</v>
      </c>
    </row>
    <row r="2551" spans="1:7">
      <c r="A2551" s="822"/>
      <c r="B2551" s="26" t="s">
        <v>1186</v>
      </c>
      <c r="F2551" s="171" t="s">
        <v>1698</v>
      </c>
      <c r="G2551" s="68">
        <f>H2538</f>
        <v>0</v>
      </c>
    </row>
    <row r="2552" spans="1:7">
      <c r="A2552" s="822"/>
      <c r="B2552" s="26" t="s">
        <v>2660</v>
      </c>
      <c r="F2552" s="171" t="s">
        <v>1698</v>
      </c>
      <c r="G2552" s="75">
        <f>H2544</f>
        <v>1400</v>
      </c>
    </row>
    <row r="2553" spans="1:7">
      <c r="A2553" s="822"/>
      <c r="E2553" s="26" t="s">
        <v>1518</v>
      </c>
      <c r="F2553" s="171" t="s">
        <v>1698</v>
      </c>
      <c r="G2553" s="205">
        <f>SUM(G2550:G2552)</f>
        <v>1400</v>
      </c>
    </row>
    <row r="2554" spans="1:7" ht="39" customHeight="1">
      <c r="A2554" s="822"/>
      <c r="B2554" s="1207" t="s">
        <v>1379</v>
      </c>
      <c r="C2554" s="1207"/>
      <c r="E2554" s="922">
        <f>'BASIC DATA'!$C$577</f>
        <v>0.13614999999999999</v>
      </c>
      <c r="F2554" s="26" t="s">
        <v>1698</v>
      </c>
      <c r="G2554" s="26">
        <f>G2553*E2554</f>
        <v>190.60999999999999</v>
      </c>
    </row>
    <row r="2555" spans="1:7">
      <c r="A2555" s="822"/>
      <c r="B2555" s="26" t="s">
        <v>1191</v>
      </c>
      <c r="D2555" s="68">
        <f>G2525</f>
        <v>10</v>
      </c>
      <c r="E2555" s="68" t="str">
        <f>H2525</f>
        <v>cum</v>
      </c>
      <c r="F2555" s="26" t="s">
        <v>1698</v>
      </c>
      <c r="G2555" s="211">
        <f>G2554+G2553</f>
        <v>1590.61</v>
      </c>
    </row>
    <row r="2556" spans="1:7">
      <c r="A2556" s="822"/>
      <c r="B2556" s="170" t="s">
        <v>1584</v>
      </c>
      <c r="C2556" s="211" t="str">
        <f>E2555</f>
        <v>cum</v>
      </c>
      <c r="D2556" s="26" t="s">
        <v>5891</v>
      </c>
      <c r="F2556" s="26" t="s">
        <v>4108</v>
      </c>
      <c r="G2556" s="211">
        <f>ROUND(G2555/D2555,1)</f>
        <v>159.1</v>
      </c>
    </row>
    <row r="2557" spans="1:7">
      <c r="A2557" s="822"/>
    </row>
    <row r="2558" spans="1:7">
      <c r="A2558" s="822"/>
    </row>
    <row r="2559" spans="1:7" ht="18.75">
      <c r="A2559" s="865" t="s">
        <v>5518</v>
      </c>
      <c r="B2559" s="170" t="s">
        <v>9131</v>
      </c>
    </row>
    <row r="2560" spans="1:7">
      <c r="B2560" s="26" t="s">
        <v>5100</v>
      </c>
    </row>
    <row r="2561" spans="1:8" ht="18.75">
      <c r="B2561" s="26" t="s">
        <v>9132</v>
      </c>
    </row>
    <row r="2562" spans="1:8">
      <c r="B2562" s="26"/>
    </row>
    <row r="2563" spans="1:8" hidden="1">
      <c r="A2563" s="865" t="s">
        <v>3984</v>
      </c>
      <c r="B2563" s="26" t="s">
        <v>5101</v>
      </c>
    </row>
    <row r="2564" spans="1:8" hidden="1">
      <c r="B2564" s="26" t="s">
        <v>4204</v>
      </c>
    </row>
    <row r="2565" spans="1:8" hidden="1">
      <c r="B2565" s="26" t="s">
        <v>6580</v>
      </c>
    </row>
    <row r="2566" spans="1:8">
      <c r="A2566" s="822"/>
    </row>
    <row r="2567" spans="1:8">
      <c r="A2567" s="822" t="s">
        <v>3984</v>
      </c>
      <c r="C2567" s="203" t="s">
        <v>2367</v>
      </c>
      <c r="D2567" s="171"/>
      <c r="F2567" s="171" t="s">
        <v>297</v>
      </c>
      <c r="G2567" s="162">
        <v>12</v>
      </c>
      <c r="H2567" s="26" t="s">
        <v>3477</v>
      </c>
    </row>
    <row r="2568" spans="1:8">
      <c r="A2568" s="822"/>
      <c r="B2568" s="79" t="s">
        <v>2368</v>
      </c>
    </row>
    <row r="2569" spans="1:8">
      <c r="A2569" s="822"/>
      <c r="B2569" s="95" t="s">
        <v>2369</v>
      </c>
      <c r="C2569" s="157" t="s">
        <v>6374</v>
      </c>
      <c r="D2569" s="195"/>
      <c r="E2569" s="95" t="s">
        <v>2370</v>
      </c>
      <c r="F2569" s="95" t="s">
        <v>1166</v>
      </c>
      <c r="G2569" s="95" t="s">
        <v>2371</v>
      </c>
      <c r="H2569" s="95" t="s">
        <v>2372</v>
      </c>
    </row>
    <row r="2570" spans="1:8">
      <c r="A2570" s="822"/>
      <c r="B2570" s="114"/>
      <c r="C2570" s="154"/>
      <c r="D2570" s="192"/>
      <c r="E2570" s="114"/>
      <c r="F2570" s="114"/>
      <c r="G2570" s="114" t="s">
        <v>3485</v>
      </c>
      <c r="H2570" s="114" t="s">
        <v>3485</v>
      </c>
    </row>
    <row r="2571" spans="1:8">
      <c r="A2571" s="822"/>
      <c r="B2571" s="95">
        <v>1</v>
      </c>
      <c r="C2571" s="93" t="s">
        <v>6976</v>
      </c>
      <c r="E2571" s="95"/>
      <c r="F2571" s="190">
        <v>0</v>
      </c>
      <c r="G2571" s="190">
        <v>0</v>
      </c>
      <c r="H2571" s="190">
        <f>F2571*G2571</f>
        <v>0</v>
      </c>
    </row>
    <row r="2572" spans="1:8">
      <c r="A2572" s="822"/>
      <c r="B2572" s="280"/>
      <c r="C2572" s="135"/>
      <c r="E2572" s="105"/>
      <c r="F2572" s="190">
        <v>0</v>
      </c>
      <c r="G2572" s="190">
        <v>0</v>
      </c>
      <c r="H2572" s="190">
        <f>F2572*G2572</f>
        <v>0</v>
      </c>
    </row>
    <row r="2573" spans="1:8">
      <c r="A2573" s="822"/>
      <c r="B2573" s="92"/>
      <c r="C2573" s="159"/>
      <c r="D2573" s="159" t="s">
        <v>2376</v>
      </c>
      <c r="E2573" s="159"/>
      <c r="F2573" s="238"/>
      <c r="G2573" s="236" t="s">
        <v>1698</v>
      </c>
      <c r="H2573" s="318">
        <f>SUM(H2571:H2572)</f>
        <v>0</v>
      </c>
    </row>
    <row r="2574" spans="1:8">
      <c r="A2574" s="822"/>
    </row>
    <row r="2575" spans="1:8">
      <c r="A2575" s="822"/>
      <c r="B2575" s="79" t="s">
        <v>2377</v>
      </c>
    </row>
    <row r="2576" spans="1:8">
      <c r="A2576" s="822"/>
      <c r="B2576" s="95" t="s">
        <v>2369</v>
      </c>
      <c r="C2576" s="157" t="s">
        <v>2378</v>
      </c>
      <c r="D2576" s="195"/>
      <c r="E2576" s="95" t="s">
        <v>2370</v>
      </c>
      <c r="F2576" s="95" t="s">
        <v>1166</v>
      </c>
      <c r="G2576" s="95" t="s">
        <v>2371</v>
      </c>
      <c r="H2576" s="95" t="s">
        <v>2372</v>
      </c>
    </row>
    <row r="2577" spans="1:8">
      <c r="A2577" s="822"/>
      <c r="B2577" s="114"/>
      <c r="C2577" s="154"/>
      <c r="D2577" s="192"/>
      <c r="E2577" s="114"/>
      <c r="F2577" s="114"/>
      <c r="G2577" s="114" t="s">
        <v>3485</v>
      </c>
      <c r="H2577" s="114" t="s">
        <v>3485</v>
      </c>
    </row>
    <row r="2578" spans="1:8">
      <c r="A2578" s="822"/>
      <c r="B2578" s="95">
        <v>1</v>
      </c>
      <c r="C2578" s="93" t="s">
        <v>6976</v>
      </c>
      <c r="E2578" s="95"/>
      <c r="F2578" s="190">
        <v>0</v>
      </c>
      <c r="G2578" s="190">
        <v>0</v>
      </c>
      <c r="H2578" s="190">
        <f>F2578*G2578</f>
        <v>0</v>
      </c>
    </row>
    <row r="2579" spans="1:8">
      <c r="A2579" s="822"/>
      <c r="B2579" s="275"/>
      <c r="C2579" s="139"/>
      <c r="D2579" s="174"/>
      <c r="E2579" s="114"/>
      <c r="F2579" s="182">
        <v>0</v>
      </c>
      <c r="G2579" s="182">
        <v>0</v>
      </c>
      <c r="H2579" s="190">
        <f>F2579*G2579</f>
        <v>0</v>
      </c>
    </row>
    <row r="2580" spans="1:8">
      <c r="A2580" s="822"/>
      <c r="B2580" s="176"/>
      <c r="C2580" s="174"/>
      <c r="D2580" s="174" t="s">
        <v>2380</v>
      </c>
      <c r="E2580" s="174"/>
      <c r="F2580" s="192"/>
      <c r="G2580" s="275" t="s">
        <v>1698</v>
      </c>
      <c r="H2580" s="318">
        <f>SUM(H2578:H2579)</f>
        <v>0</v>
      </c>
    </row>
    <row r="2581" spans="1:8">
      <c r="A2581" s="822"/>
    </row>
    <row r="2582" spans="1:8">
      <c r="A2582" s="822"/>
      <c r="B2582" s="79" t="s">
        <v>2381</v>
      </c>
    </row>
    <row r="2583" spans="1:8">
      <c r="A2583" s="822"/>
      <c r="B2583" s="95" t="s">
        <v>2369</v>
      </c>
      <c r="C2583" s="157" t="s">
        <v>2378</v>
      </c>
      <c r="D2583" s="195"/>
      <c r="E2583" s="95" t="s">
        <v>2370</v>
      </c>
      <c r="F2583" s="95" t="s">
        <v>1166</v>
      </c>
      <c r="G2583" s="95" t="s">
        <v>2371</v>
      </c>
      <c r="H2583" s="95" t="s">
        <v>2372</v>
      </c>
    </row>
    <row r="2584" spans="1:8">
      <c r="A2584" s="822"/>
      <c r="B2584" s="114"/>
      <c r="C2584" s="154"/>
      <c r="D2584" s="192"/>
      <c r="E2584" s="105"/>
      <c r="F2584" s="114"/>
      <c r="G2584" s="114" t="s">
        <v>3485</v>
      </c>
      <c r="H2584" s="114" t="s">
        <v>3485</v>
      </c>
    </row>
    <row r="2585" spans="1:8">
      <c r="A2585" s="822"/>
      <c r="B2585" s="36">
        <v>1</v>
      </c>
      <c r="C2585" s="151" t="s">
        <v>2697</v>
      </c>
      <c r="D2585" s="159"/>
      <c r="E2585" s="36" t="s">
        <v>1172</v>
      </c>
      <c r="F2585" s="369">
        <v>6</v>
      </c>
      <c r="G2585" s="190">
        <f>'BASIC DATA'!C552</f>
        <v>350</v>
      </c>
      <c r="H2585" s="190">
        <f>F2585*G2585</f>
        <v>2100</v>
      </c>
    </row>
    <row r="2586" spans="1:8">
      <c r="A2586" s="822"/>
      <c r="B2586" s="176"/>
      <c r="C2586" s="174"/>
      <c r="D2586" s="174" t="s">
        <v>1174</v>
      </c>
      <c r="E2586" s="174"/>
      <c r="F2586" s="192"/>
      <c r="G2586" s="236" t="s">
        <v>1698</v>
      </c>
      <c r="H2586" s="318">
        <f>SUM(H2585:H2585)</f>
        <v>2100</v>
      </c>
    </row>
    <row r="2587" spans="1:8">
      <c r="A2587" s="822"/>
      <c r="B2587" s="60" t="s">
        <v>5948</v>
      </c>
      <c r="C2587" s="31"/>
      <c r="D2587" s="31"/>
      <c r="E2587" s="85">
        <f>ROUND(H2586/G2567,1)</f>
        <v>175</v>
      </c>
      <c r="G2587" s="31"/>
    </row>
    <row r="2588" spans="1:8">
      <c r="A2588" s="822"/>
      <c r="B2588" s="60" t="s">
        <v>3163</v>
      </c>
      <c r="C2588" s="31"/>
      <c r="D2588" s="922">
        <f>'BASIC DATA'!$C$577</f>
        <v>0.13614999999999999</v>
      </c>
      <c r="E2588" s="85">
        <f>ROUND(E2587*D2588,1)</f>
        <v>23.8</v>
      </c>
      <c r="G2588" s="31"/>
    </row>
    <row r="2589" spans="1:8">
      <c r="A2589" s="822"/>
      <c r="B2589" s="60" t="s">
        <v>5949</v>
      </c>
      <c r="C2589" s="31"/>
      <c r="D2589" s="31"/>
      <c r="E2589" s="739">
        <f>ROUND(E2588+E2587,1)</f>
        <v>198.8</v>
      </c>
      <c r="G2589" s="31"/>
    </row>
    <row r="2590" spans="1:8">
      <c r="A2590" s="822"/>
      <c r="B2590" s="26"/>
    </row>
    <row r="2591" spans="1:8">
      <c r="A2591" s="822"/>
      <c r="B2591" s="170" t="s">
        <v>1175</v>
      </c>
    </row>
    <row r="2592" spans="1:8">
      <c r="A2592" s="822"/>
      <c r="B2592" s="26" t="s">
        <v>1176</v>
      </c>
      <c r="F2592" s="171" t="s">
        <v>1698</v>
      </c>
      <c r="G2592" s="68">
        <f>H2573</f>
        <v>0</v>
      </c>
    </row>
    <row r="2593" spans="1:10">
      <c r="A2593" s="822"/>
      <c r="B2593" s="26" t="s">
        <v>1186</v>
      </c>
      <c r="F2593" s="171" t="s">
        <v>1698</v>
      </c>
      <c r="G2593" s="68">
        <f>H2580</f>
        <v>0</v>
      </c>
    </row>
    <row r="2594" spans="1:10">
      <c r="A2594" s="822"/>
      <c r="B2594" s="26" t="s">
        <v>2660</v>
      </c>
      <c r="F2594" s="171" t="s">
        <v>1698</v>
      </c>
      <c r="G2594" s="75">
        <f>H2586</f>
        <v>2100</v>
      </c>
    </row>
    <row r="2595" spans="1:10">
      <c r="A2595" s="822"/>
      <c r="E2595" s="26" t="s">
        <v>1518</v>
      </c>
      <c r="F2595" s="171" t="s">
        <v>1698</v>
      </c>
      <c r="G2595" s="205">
        <f>SUM(G2592:G2594)</f>
        <v>2100</v>
      </c>
    </row>
    <row r="2596" spans="1:10" ht="36" customHeight="1">
      <c r="A2596" s="822"/>
      <c r="B2596" s="1207" t="s">
        <v>1379</v>
      </c>
      <c r="C2596" s="1207"/>
      <c r="E2596" s="922">
        <f>'BASIC DATA'!$C$577</f>
        <v>0.13614999999999999</v>
      </c>
      <c r="F2596" s="26" t="s">
        <v>1698</v>
      </c>
      <c r="G2596" s="26">
        <f>G2595*E2596</f>
        <v>285.91499999999996</v>
      </c>
    </row>
    <row r="2597" spans="1:10">
      <c r="A2597" s="822"/>
      <c r="B2597" s="26" t="s">
        <v>1191</v>
      </c>
      <c r="D2597" s="68">
        <f>G2567</f>
        <v>12</v>
      </c>
      <c r="E2597" s="68" t="str">
        <f>H2567</f>
        <v>cum</v>
      </c>
      <c r="F2597" s="26" t="s">
        <v>1698</v>
      </c>
      <c r="G2597" s="211">
        <f>G2596+G2595</f>
        <v>2385.915</v>
      </c>
    </row>
    <row r="2598" spans="1:10">
      <c r="A2598" s="822"/>
      <c r="B2598" s="170" t="s">
        <v>1584</v>
      </c>
      <c r="C2598" s="211" t="str">
        <f>E2597</f>
        <v>cum</v>
      </c>
      <c r="D2598" s="26" t="s">
        <v>4731</v>
      </c>
      <c r="F2598" s="26" t="s">
        <v>4108</v>
      </c>
      <c r="G2598" s="211">
        <f>ROUND(G2597/D2597,1)</f>
        <v>198.8</v>
      </c>
    </row>
    <row r="2599" spans="1:10">
      <c r="A2599" s="822"/>
    </row>
    <row r="2600" spans="1:10" ht="18.75">
      <c r="A2600" s="823" t="s">
        <v>7643</v>
      </c>
      <c r="B2600" s="1206" t="s">
        <v>9133</v>
      </c>
      <c r="C2600" s="1206"/>
      <c r="D2600" s="1206"/>
      <c r="E2600" s="1206"/>
      <c r="F2600" s="1206"/>
      <c r="G2600" s="1206"/>
      <c r="H2600" s="1206"/>
      <c r="I2600" s="1206"/>
      <c r="J2600" s="1206"/>
    </row>
    <row r="2601" spans="1:10">
      <c r="A2601" s="884" t="s">
        <v>506</v>
      </c>
      <c r="B2601" s="1206" t="s">
        <v>9134</v>
      </c>
      <c r="C2601" s="1206"/>
      <c r="D2601" s="1206"/>
      <c r="E2601" s="1206"/>
      <c r="F2601" s="1206"/>
      <c r="G2601" s="1206"/>
      <c r="H2601" s="1206"/>
      <c r="I2601" s="1206"/>
      <c r="J2601" s="1206"/>
    </row>
    <row r="2602" spans="1:10">
      <c r="A2602" s="825" t="s">
        <v>9576</v>
      </c>
      <c r="B2602" s="1206" t="s">
        <v>17</v>
      </c>
      <c r="C2602" s="1206"/>
      <c r="D2602" s="1206"/>
      <c r="E2602" s="1206"/>
      <c r="F2602" s="1206"/>
      <c r="G2602" s="1206"/>
      <c r="H2602" s="1206"/>
      <c r="I2602" s="1206"/>
      <c r="J2602" s="1206"/>
    </row>
    <row r="2603" spans="1:10">
      <c r="A2603" s="825"/>
      <c r="B2603" s="1206" t="s">
        <v>18</v>
      </c>
      <c r="C2603" s="1206"/>
      <c r="D2603" s="1206"/>
      <c r="E2603" s="1206"/>
      <c r="F2603" s="1206"/>
      <c r="G2603" s="1206"/>
      <c r="H2603" s="1206"/>
      <c r="I2603" s="1206"/>
      <c r="J2603" s="1206"/>
    </row>
    <row r="2604" spans="1:10">
      <c r="A2604" s="825"/>
      <c r="B2604" s="1161" t="s">
        <v>7644</v>
      </c>
      <c r="C2604" s="1161"/>
      <c r="D2604" s="1161"/>
      <c r="E2604" s="1161"/>
      <c r="F2604" s="1161"/>
      <c r="G2604" s="1161"/>
      <c r="H2604" s="1161"/>
      <c r="I2604" s="1161"/>
      <c r="J2604" s="1161"/>
    </row>
    <row r="2605" spans="1:10">
      <c r="A2605" s="825"/>
      <c r="B2605" s="1206"/>
      <c r="C2605" s="1206"/>
      <c r="D2605" s="1206"/>
      <c r="E2605" s="1206"/>
      <c r="F2605" s="1206"/>
      <c r="G2605" s="1206"/>
      <c r="H2605" s="1206"/>
      <c r="I2605" s="1206"/>
      <c r="J2605" s="1206"/>
    </row>
    <row r="2606" spans="1:10">
      <c r="A2606" s="825"/>
      <c r="B2606" s="1254" t="s">
        <v>2367</v>
      </c>
      <c r="C2606" s="1254"/>
      <c r="D2606" s="1254"/>
      <c r="E2606" s="1254"/>
      <c r="F2606" s="1254"/>
      <c r="G2606" s="1254"/>
      <c r="H2606" s="1254"/>
      <c r="I2606" s="1254"/>
      <c r="J2606" s="1254"/>
    </row>
    <row r="2607" spans="1:10">
      <c r="A2607" s="825"/>
      <c r="B2607" s="170" t="s">
        <v>2368</v>
      </c>
      <c r="C2607" s="174"/>
      <c r="E2607" s="26" t="s">
        <v>1434</v>
      </c>
      <c r="F2607" s="211">
        <v>807</v>
      </c>
      <c r="G2607" s="26" t="s">
        <v>3477</v>
      </c>
    </row>
    <row r="2608" spans="1:10">
      <c r="A2608" s="825"/>
      <c r="B2608" s="95" t="s">
        <v>2369</v>
      </c>
      <c r="C2608" s="232" t="s">
        <v>4443</v>
      </c>
      <c r="D2608" s="95" t="s">
        <v>2370</v>
      </c>
      <c r="E2608" s="95" t="s">
        <v>1166</v>
      </c>
      <c r="F2608" s="95" t="s">
        <v>6664</v>
      </c>
      <c r="G2608" s="95" t="s">
        <v>6665</v>
      </c>
    </row>
    <row r="2609" spans="1:9">
      <c r="A2609" s="825"/>
      <c r="B2609" s="191"/>
      <c r="C2609" s="174"/>
      <c r="D2609" s="191"/>
      <c r="E2609" s="114"/>
      <c r="F2609" s="114" t="s">
        <v>3856</v>
      </c>
      <c r="G2609" s="114" t="s">
        <v>3857</v>
      </c>
    </row>
    <row r="2610" spans="1:9">
      <c r="A2610" s="825"/>
      <c r="B2610" s="95">
        <v>1</v>
      </c>
      <c r="C2610" s="232" t="s">
        <v>6976</v>
      </c>
      <c r="D2610" s="107"/>
      <c r="E2610" s="179">
        <v>0</v>
      </c>
      <c r="F2610" s="179">
        <v>0</v>
      </c>
      <c r="G2610" s="155">
        <v>0</v>
      </c>
    </row>
    <row r="2611" spans="1:9">
      <c r="A2611" s="825"/>
      <c r="B2611" s="191"/>
      <c r="C2611" s="174"/>
      <c r="D2611" s="191"/>
      <c r="E2611" s="182">
        <v>0</v>
      </c>
      <c r="F2611" s="182">
        <v>0</v>
      </c>
      <c r="G2611" s="155">
        <v>0</v>
      </c>
    </row>
    <row r="2612" spans="1:9">
      <c r="A2612" s="825"/>
      <c r="B2612" s="184"/>
      <c r="C2612" s="330" t="s">
        <v>2376</v>
      </c>
      <c r="D2612" s="330"/>
      <c r="E2612" s="330"/>
      <c r="F2612" s="208" t="s">
        <v>1698</v>
      </c>
      <c r="G2612" s="209">
        <f>SUM(G2610:G2611)</f>
        <v>0</v>
      </c>
    </row>
    <row r="2613" spans="1:9">
      <c r="A2613" s="825"/>
      <c r="B2613" s="1271" t="s">
        <v>2377</v>
      </c>
      <c r="C2613" s="1271"/>
      <c r="D2613" s="1271"/>
      <c r="E2613" s="1271"/>
      <c r="F2613" s="1271"/>
      <c r="G2613" s="1271"/>
      <c r="H2613" s="1163"/>
      <c r="I2613" s="1163"/>
    </row>
    <row r="2614" spans="1:9">
      <c r="A2614" s="825"/>
      <c r="B2614" s="95" t="s">
        <v>2369</v>
      </c>
      <c r="C2614" s="232" t="s">
        <v>2378</v>
      </c>
      <c r="D2614" s="95" t="s">
        <v>2370</v>
      </c>
      <c r="E2614" s="95" t="s">
        <v>1166</v>
      </c>
      <c r="F2614" s="95" t="s">
        <v>6664</v>
      </c>
      <c r="G2614" s="157" t="s">
        <v>6665</v>
      </c>
      <c r="H2614" s="147"/>
      <c r="I2614" s="31"/>
    </row>
    <row r="2615" spans="1:9">
      <c r="A2615" s="825"/>
      <c r="B2615" s="210"/>
      <c r="C2615" s="174"/>
      <c r="D2615" s="191"/>
      <c r="E2615" s="114"/>
      <c r="F2615" s="114" t="s">
        <v>3856</v>
      </c>
      <c r="G2615" s="176" t="s">
        <v>3857</v>
      </c>
      <c r="H2615" s="147"/>
      <c r="I2615" s="31"/>
    </row>
    <row r="2616" spans="1:9">
      <c r="A2616" s="825"/>
      <c r="B2616" s="95">
        <v>1</v>
      </c>
      <c r="C2616" s="232" t="s">
        <v>1502</v>
      </c>
      <c r="D2616" s="107" t="s">
        <v>2374</v>
      </c>
      <c r="E2616" s="179">
        <v>2.7</v>
      </c>
      <c r="F2616" s="190">
        <f>'HIRE CHARGES'!D499</f>
        <v>1715.5</v>
      </c>
      <c r="G2616" s="84">
        <f t="shared" ref="G2616:G2621" si="11">ROUND(E2616*F2616,2)</f>
        <v>4631.8500000000004</v>
      </c>
      <c r="H2616" s="147"/>
      <c r="I2616" s="31"/>
    </row>
    <row r="2617" spans="1:9">
      <c r="A2617" s="825"/>
      <c r="B2617" s="105"/>
      <c r="C2617" s="232" t="s">
        <v>2379</v>
      </c>
      <c r="D2617" s="210" t="s">
        <v>2374</v>
      </c>
      <c r="E2617" s="190">
        <v>2.7</v>
      </c>
      <c r="F2617" s="207">
        <f>'HIRE CHARGES'!E499</f>
        <v>610.5</v>
      </c>
      <c r="G2617" s="84">
        <f t="shared" si="11"/>
        <v>1648.35</v>
      </c>
      <c r="H2617" s="147"/>
      <c r="I2617" s="31"/>
    </row>
    <row r="2618" spans="1:9">
      <c r="A2618" s="825"/>
      <c r="B2618" s="95">
        <v>2</v>
      </c>
      <c r="C2618" s="232" t="s">
        <v>298</v>
      </c>
      <c r="D2618" s="210" t="s">
        <v>2374</v>
      </c>
      <c r="E2618" s="190">
        <v>8</v>
      </c>
      <c r="F2618" s="190">
        <f>'HIRE CHARGES'!D543</f>
        <v>1706.6</v>
      </c>
      <c r="G2618" s="84">
        <f t="shared" si="11"/>
        <v>13652.8</v>
      </c>
      <c r="H2618" s="147"/>
      <c r="I2618" s="31"/>
    </row>
    <row r="2619" spans="1:9">
      <c r="A2619" s="825"/>
      <c r="B2619" s="105"/>
      <c r="C2619" s="232" t="s">
        <v>2379</v>
      </c>
      <c r="D2619" s="210" t="s">
        <v>2374</v>
      </c>
      <c r="E2619" s="190">
        <v>8</v>
      </c>
      <c r="F2619" s="190">
        <f>'HIRE CHARGES'!E543</f>
        <v>872.7</v>
      </c>
      <c r="G2619" s="84">
        <f t="shared" si="11"/>
        <v>6981.6</v>
      </c>
      <c r="H2619" s="147"/>
      <c r="I2619" s="31"/>
    </row>
    <row r="2620" spans="1:9">
      <c r="A2620" s="825"/>
      <c r="B2620" s="95">
        <v>3</v>
      </c>
      <c r="C2620" s="232" t="s">
        <v>3418</v>
      </c>
      <c r="D2620" s="210" t="s">
        <v>2374</v>
      </c>
      <c r="E2620" s="190">
        <v>40</v>
      </c>
      <c r="F2620" s="190">
        <f>'HIRE CHARGES'!D545</f>
        <v>446.7</v>
      </c>
      <c r="G2620" s="84">
        <f t="shared" si="11"/>
        <v>17868</v>
      </c>
      <c r="H2620" s="147"/>
      <c r="I2620" s="31"/>
    </row>
    <row r="2621" spans="1:9">
      <c r="A2621" s="825"/>
      <c r="B2621" s="114"/>
      <c r="C2621" s="232" t="s">
        <v>2379</v>
      </c>
      <c r="D2621" s="210" t="s">
        <v>2374</v>
      </c>
      <c r="E2621" s="190">
        <v>40</v>
      </c>
      <c r="F2621" s="182">
        <f>'HIRE CHARGES'!E545</f>
        <v>299.89999999999998</v>
      </c>
      <c r="G2621" s="84">
        <f t="shared" si="11"/>
        <v>11996</v>
      </c>
      <c r="H2621" s="147"/>
      <c r="I2621" s="31"/>
    </row>
    <row r="2622" spans="1:9">
      <c r="A2622" s="825"/>
      <c r="B2622" s="154"/>
      <c r="C2622" s="330" t="s">
        <v>2380</v>
      </c>
      <c r="D2622" s="330"/>
      <c r="E2622" s="330"/>
      <c r="F2622" s="245" t="s">
        <v>1698</v>
      </c>
      <c r="G2622" s="778">
        <f>SUM(G2616:G2621)</f>
        <v>56778.6</v>
      </c>
      <c r="H2622" s="147"/>
      <c r="I2622" s="31"/>
    </row>
    <row r="2623" spans="1:9">
      <c r="A2623" s="825"/>
      <c r="B2623" s="1162" t="s">
        <v>2381</v>
      </c>
      <c r="C2623" s="1162"/>
      <c r="D2623" s="1162"/>
      <c r="E2623" s="1162"/>
      <c r="F2623" s="1162"/>
      <c r="G2623" s="1162"/>
      <c r="H2623" s="1163"/>
      <c r="I2623" s="1163"/>
    </row>
    <row r="2624" spans="1:9">
      <c r="A2624" s="825"/>
      <c r="B2624" s="1271"/>
      <c r="C2624" s="1271"/>
      <c r="D2624" s="1271"/>
      <c r="E2624" s="1271"/>
      <c r="F2624" s="1271"/>
      <c r="G2624" s="1271"/>
      <c r="H2624" s="1163"/>
      <c r="I2624" s="1163"/>
    </row>
    <row r="2625" spans="1:9">
      <c r="A2625" s="825"/>
      <c r="B2625" s="95" t="s">
        <v>2369</v>
      </c>
      <c r="C2625" s="232" t="s">
        <v>2378</v>
      </c>
      <c r="D2625" s="95" t="s">
        <v>2370</v>
      </c>
      <c r="E2625" s="95" t="s">
        <v>1166</v>
      </c>
      <c r="F2625" s="95" t="s">
        <v>6664</v>
      </c>
      <c r="G2625" s="157" t="s">
        <v>6665</v>
      </c>
      <c r="H2625" s="147"/>
      <c r="I2625" s="31"/>
    </row>
    <row r="2626" spans="1:9">
      <c r="A2626" s="825"/>
      <c r="B2626" s="191"/>
      <c r="C2626" s="188"/>
      <c r="D2626" s="191"/>
      <c r="E2626" s="114"/>
      <c r="F2626" s="114" t="s">
        <v>3856</v>
      </c>
      <c r="G2626" s="114" t="s">
        <v>3857</v>
      </c>
    </row>
    <row r="2627" spans="1:9">
      <c r="A2627" s="825"/>
      <c r="B2627" s="95">
        <v>1</v>
      </c>
      <c r="C2627" s="232" t="s">
        <v>2870</v>
      </c>
      <c r="D2627" s="107" t="s">
        <v>2374</v>
      </c>
      <c r="E2627" s="179">
        <v>2.7</v>
      </c>
      <c r="F2627" s="190">
        <f>'HIRE CHARGES'!F499</f>
        <v>236.6</v>
      </c>
      <c r="G2627" s="155">
        <f>ROUND(E2627*F2627,2)</f>
        <v>638.82000000000005</v>
      </c>
    </row>
    <row r="2628" spans="1:9">
      <c r="A2628" s="825"/>
      <c r="B2628" s="105">
        <v>2</v>
      </c>
      <c r="C2628" s="232" t="s">
        <v>300</v>
      </c>
      <c r="D2628" s="210" t="s">
        <v>2374</v>
      </c>
      <c r="E2628" s="190">
        <v>8</v>
      </c>
      <c r="F2628" s="179">
        <f>'HIRE CHARGES'!F543</f>
        <v>236.6</v>
      </c>
      <c r="G2628" s="155">
        <f>ROUND(E2628*F2628,2)</f>
        <v>1892.8</v>
      </c>
    </row>
    <row r="2629" spans="1:9">
      <c r="A2629" s="825"/>
      <c r="B2629" s="105">
        <v>3</v>
      </c>
      <c r="C2629" s="232" t="s">
        <v>301</v>
      </c>
      <c r="D2629" s="210" t="s">
        <v>2374</v>
      </c>
      <c r="E2629" s="190">
        <v>40</v>
      </c>
      <c r="F2629" s="190">
        <f>'HIRE CHARGES'!F545</f>
        <v>177.5</v>
      </c>
      <c r="G2629" s="155">
        <f>ROUND(E2629*F2629,2)</f>
        <v>7100</v>
      </c>
    </row>
    <row r="2630" spans="1:9">
      <c r="A2630" s="822"/>
      <c r="B2630" s="105">
        <v>4</v>
      </c>
      <c r="C2630" s="232" t="s">
        <v>4206</v>
      </c>
      <c r="D2630" s="210" t="s">
        <v>1172</v>
      </c>
      <c r="E2630" s="190">
        <v>1</v>
      </c>
      <c r="F2630" s="190">
        <f>'BASIC DATA'!C473</f>
        <v>450</v>
      </c>
      <c r="G2630" s="155">
        <f>ROUND(E2630*F2630,2)</f>
        <v>450</v>
      </c>
    </row>
    <row r="2631" spans="1:9">
      <c r="A2631" s="822"/>
      <c r="B2631" s="105">
        <v>5</v>
      </c>
      <c r="C2631" s="232" t="s">
        <v>2697</v>
      </c>
      <c r="D2631" s="210" t="s">
        <v>1172</v>
      </c>
      <c r="E2631" s="190">
        <v>2</v>
      </c>
      <c r="F2631" s="207">
        <f>'BASIC DATA'!C552</f>
        <v>350</v>
      </c>
      <c r="G2631" s="155">
        <f>ROUND(E2631*F2631,2)</f>
        <v>700</v>
      </c>
    </row>
    <row r="2632" spans="1:9">
      <c r="A2632" s="822"/>
      <c r="B2632" s="184"/>
      <c r="C2632" s="330" t="s">
        <v>1174</v>
      </c>
      <c r="D2632" s="330"/>
      <c r="E2632" s="330"/>
      <c r="F2632" s="208" t="s">
        <v>1698</v>
      </c>
      <c r="G2632" s="209">
        <f>SUM(G2627:G2631)</f>
        <v>10781.619999999999</v>
      </c>
    </row>
    <row r="2633" spans="1:9">
      <c r="A2633" s="822"/>
      <c r="B2633" s="60" t="s">
        <v>5948</v>
      </c>
      <c r="C2633" s="31"/>
      <c r="D2633" s="31"/>
      <c r="E2633" s="85">
        <f>ROUND(G2632/F2607,1)</f>
        <v>13.4</v>
      </c>
    </row>
    <row r="2634" spans="1:9">
      <c r="A2634" s="822"/>
      <c r="B2634" s="60" t="s">
        <v>3163</v>
      </c>
      <c r="C2634" s="31"/>
      <c r="D2634" s="922">
        <f>'BASIC DATA'!$C$577</f>
        <v>0.13614999999999999</v>
      </c>
      <c r="E2634" s="85">
        <f>ROUND(E2633*D2634,1)</f>
        <v>1.8</v>
      </c>
    </row>
    <row r="2635" spans="1:9">
      <c r="A2635" s="822"/>
      <c r="B2635" s="60" t="s">
        <v>5949</v>
      </c>
      <c r="C2635" s="31"/>
      <c r="D2635" s="31"/>
      <c r="E2635" s="199">
        <f>(E2634+E2633)</f>
        <v>15.200000000000001</v>
      </c>
    </row>
    <row r="2636" spans="1:9">
      <c r="A2636" s="822"/>
      <c r="B2636" s="31"/>
      <c r="C2636" s="30"/>
      <c r="D2636" s="30"/>
      <c r="E2636" s="30"/>
      <c r="F2636" s="200"/>
      <c r="G2636" s="85"/>
    </row>
    <row r="2637" spans="1:9">
      <c r="A2637" s="822"/>
      <c r="B2637" s="1210" t="s">
        <v>1175</v>
      </c>
      <c r="C2637" s="1210"/>
      <c r="D2637" s="1210"/>
      <c r="E2637" s="1210"/>
      <c r="F2637" s="1210"/>
      <c r="G2637" s="1210"/>
      <c r="H2637" s="1210"/>
      <c r="I2637" s="1210"/>
    </row>
    <row r="2638" spans="1:9">
      <c r="A2638" s="822"/>
      <c r="B2638" s="1207" t="s">
        <v>1176</v>
      </c>
      <c r="C2638" s="1207"/>
      <c r="D2638" s="1207"/>
      <c r="E2638" s="48"/>
      <c r="F2638" s="363" t="s">
        <v>1698</v>
      </c>
      <c r="G2638" s="779">
        <f>G2612</f>
        <v>0</v>
      </c>
    </row>
    <row r="2639" spans="1:9">
      <c r="A2639" s="822"/>
      <c r="B2639" s="1207" t="s">
        <v>1186</v>
      </c>
      <c r="C2639" s="1207"/>
      <c r="D2639" s="1207"/>
      <c r="E2639" s="48"/>
      <c r="F2639" s="363" t="s">
        <v>1698</v>
      </c>
      <c r="G2639" s="779">
        <f>G2622</f>
        <v>56778.6</v>
      </c>
    </row>
    <row r="2640" spans="1:9">
      <c r="A2640" s="822"/>
      <c r="B2640" s="1207" t="s">
        <v>2660</v>
      </c>
      <c r="C2640" s="1207"/>
      <c r="D2640" s="1207"/>
      <c r="E2640" s="48"/>
      <c r="F2640" s="363" t="s">
        <v>1698</v>
      </c>
      <c r="G2640" s="779">
        <f>G2632</f>
        <v>10781.619999999999</v>
      </c>
    </row>
    <row r="2641" spans="1:10">
      <c r="A2641" s="822"/>
      <c r="B2641" s="1207" t="s">
        <v>1518</v>
      </c>
      <c r="C2641" s="1207"/>
      <c r="D2641" s="1207"/>
      <c r="E2641" s="48"/>
      <c r="F2641" s="363" t="s">
        <v>1698</v>
      </c>
      <c r="G2641" s="780">
        <f>SUM(G2638:G2640)</f>
        <v>67560.22</v>
      </c>
    </row>
    <row r="2642" spans="1:10" ht="18.75">
      <c r="A2642" s="822"/>
      <c r="B2642" s="1207" t="s">
        <v>8375</v>
      </c>
      <c r="C2642" s="1207"/>
      <c r="D2642" s="1207"/>
      <c r="E2642" s="922">
        <f>'BASIC DATA'!$C$577</f>
        <v>0.13614999999999999</v>
      </c>
      <c r="F2642" s="363" t="s">
        <v>4108</v>
      </c>
      <c r="G2642" s="86">
        <f>ROUND(G2641*E2642,2)</f>
        <v>9198.32</v>
      </c>
    </row>
    <row r="2643" spans="1:10" ht="18" customHeight="1">
      <c r="A2643" s="822"/>
      <c r="B2643" s="1272" t="s">
        <v>1191</v>
      </c>
      <c r="C2643" s="1272"/>
      <c r="D2643" s="362">
        <f>F2607</f>
        <v>807</v>
      </c>
      <c r="E2643" s="202" t="str">
        <f>G2607</f>
        <v>cum</v>
      </c>
      <c r="F2643" s="363" t="s">
        <v>1698</v>
      </c>
      <c r="G2643" s="781">
        <f>SUM(G2641:G2642)</f>
        <v>76758.540000000008</v>
      </c>
    </row>
    <row r="2644" spans="1:10" ht="18" customHeight="1">
      <c r="A2644" s="822"/>
      <c r="B2644" s="161" t="s">
        <v>9690</v>
      </c>
      <c r="C2644" s="912" t="str">
        <f>E2643</f>
        <v>cum</v>
      </c>
      <c r="D2644" s="27" t="s">
        <v>1397</v>
      </c>
      <c r="F2644" s="363" t="s">
        <v>1698</v>
      </c>
      <c r="G2644" s="404">
        <f>ROUND(G2643/D2643,1)</f>
        <v>95.1</v>
      </c>
    </row>
    <row r="2645" spans="1:10">
      <c r="A2645" s="822"/>
      <c r="B2645" s="26"/>
    </row>
    <row r="2646" spans="1:10" ht="18.75">
      <c r="A2646" s="823" t="s">
        <v>7651</v>
      </c>
      <c r="B2646" s="1206" t="s">
        <v>9133</v>
      </c>
      <c r="C2646" s="1206"/>
      <c r="D2646" s="1206"/>
      <c r="E2646" s="1206"/>
      <c r="F2646" s="1206"/>
      <c r="G2646" s="1206"/>
      <c r="H2646" s="1206"/>
      <c r="I2646" s="1206"/>
      <c r="J2646" s="1206"/>
    </row>
    <row r="2647" spans="1:10">
      <c r="A2647" s="884" t="s">
        <v>504</v>
      </c>
      <c r="B2647" s="1206" t="s">
        <v>9134</v>
      </c>
      <c r="C2647" s="1206"/>
      <c r="D2647" s="1206"/>
      <c r="E2647" s="1206"/>
      <c r="F2647" s="1206"/>
      <c r="G2647" s="1206"/>
      <c r="H2647" s="1206"/>
      <c r="I2647" s="1206"/>
      <c r="J2647" s="1206"/>
    </row>
    <row r="2648" spans="1:10">
      <c r="A2648" s="825" t="s">
        <v>9576</v>
      </c>
      <c r="B2648" s="1206" t="s">
        <v>7646</v>
      </c>
      <c r="C2648" s="1206"/>
      <c r="D2648" s="1206"/>
      <c r="E2648" s="1206"/>
      <c r="F2648" s="1206"/>
      <c r="G2648" s="1206"/>
      <c r="H2648" s="1206"/>
      <c r="I2648" s="1206"/>
      <c r="J2648" s="1206"/>
    </row>
    <row r="2649" spans="1:10">
      <c r="A2649" s="822"/>
      <c r="B2649" s="1206" t="s">
        <v>9135</v>
      </c>
      <c r="C2649" s="1206"/>
      <c r="D2649" s="1206"/>
      <c r="E2649" s="1206"/>
      <c r="F2649" s="1206"/>
      <c r="G2649" s="1206"/>
      <c r="H2649" s="1206"/>
      <c r="I2649" s="1206"/>
      <c r="J2649" s="1206"/>
    </row>
    <row r="2650" spans="1:10">
      <c r="A2650" s="822"/>
      <c r="B2650" s="1161" t="s">
        <v>8034</v>
      </c>
      <c r="C2650" s="1206"/>
      <c r="D2650" s="1206"/>
      <c r="E2650" s="1206"/>
      <c r="F2650" s="1206"/>
      <c r="G2650" s="1206"/>
      <c r="H2650" s="1206"/>
      <c r="I2650" s="1206"/>
      <c r="J2650" s="1206"/>
    </row>
    <row r="2651" spans="1:10">
      <c r="A2651" s="822"/>
      <c r="B2651" s="27"/>
      <c r="C2651" s="27"/>
      <c r="D2651" s="27"/>
      <c r="E2651" s="27"/>
      <c r="F2651" s="27"/>
      <c r="G2651" s="27"/>
      <c r="H2651" s="27"/>
      <c r="I2651" s="27"/>
      <c r="J2651" s="27"/>
    </row>
    <row r="2652" spans="1:10">
      <c r="A2652" s="822"/>
      <c r="B2652" s="1254" t="s">
        <v>2367</v>
      </c>
      <c r="C2652" s="1254"/>
      <c r="D2652" s="1254"/>
      <c r="E2652" s="1254"/>
      <c r="F2652" s="1254"/>
      <c r="G2652" s="1254"/>
      <c r="H2652" s="1254"/>
      <c r="I2652" s="1254"/>
      <c r="J2652" s="1254"/>
    </row>
    <row r="2653" spans="1:10">
      <c r="A2653" s="822"/>
      <c r="B2653" s="170" t="s">
        <v>2368</v>
      </c>
      <c r="C2653" s="174"/>
      <c r="E2653" s="171" t="s">
        <v>297</v>
      </c>
      <c r="F2653" s="211">
        <v>807</v>
      </c>
      <c r="G2653" s="26" t="s">
        <v>3477</v>
      </c>
    </row>
    <row r="2654" spans="1:10">
      <c r="A2654" s="822"/>
      <c r="B2654" s="95" t="s">
        <v>2369</v>
      </c>
      <c r="C2654" s="232" t="s">
        <v>4443</v>
      </c>
      <c r="D2654" s="95" t="s">
        <v>2370</v>
      </c>
      <c r="E2654" s="95" t="s">
        <v>1166</v>
      </c>
      <c r="F2654" s="95" t="s">
        <v>6664</v>
      </c>
      <c r="G2654" s="95" t="s">
        <v>6665</v>
      </c>
    </row>
    <row r="2655" spans="1:10">
      <c r="A2655" s="822"/>
      <c r="B2655" s="191"/>
      <c r="C2655" s="232"/>
      <c r="D2655" s="191"/>
      <c r="E2655" s="114"/>
      <c r="F2655" s="114" t="s">
        <v>3856</v>
      </c>
      <c r="G2655" s="114" t="s">
        <v>3857</v>
      </c>
    </row>
    <row r="2656" spans="1:10">
      <c r="A2656" s="822"/>
      <c r="B2656" s="95">
        <v>1</v>
      </c>
      <c r="C2656" s="232" t="s">
        <v>6976</v>
      </c>
      <c r="D2656" s="107"/>
      <c r="E2656" s="179">
        <v>0</v>
      </c>
      <c r="F2656" s="179">
        <v>0</v>
      </c>
      <c r="G2656" s="155">
        <v>0</v>
      </c>
    </row>
    <row r="2657" spans="2:9">
      <c r="B2657" s="191"/>
      <c r="C2657" s="232"/>
      <c r="D2657" s="191"/>
      <c r="E2657" s="182">
        <v>0</v>
      </c>
      <c r="F2657" s="182">
        <v>0</v>
      </c>
      <c r="G2657" s="155">
        <v>0</v>
      </c>
    </row>
    <row r="2658" spans="2:9">
      <c r="B2658" s="184"/>
      <c r="C2658" s="330" t="s">
        <v>2376</v>
      </c>
      <c r="D2658" s="330"/>
      <c r="E2658" s="330"/>
      <c r="F2658" s="208" t="s">
        <v>1698</v>
      </c>
      <c r="G2658" s="209">
        <f>SUM(I2656:I2657)</f>
        <v>0</v>
      </c>
    </row>
    <row r="2659" spans="2:9">
      <c r="B2659" s="1271" t="s">
        <v>2377</v>
      </c>
      <c r="C2659" s="1271"/>
      <c r="D2659" s="1271"/>
      <c r="E2659" s="1271"/>
      <c r="F2659" s="1271"/>
      <c r="G2659" s="1271"/>
      <c r="H2659" s="1163"/>
      <c r="I2659" s="1163"/>
    </row>
    <row r="2660" spans="2:9">
      <c r="B2660" s="95" t="s">
        <v>2369</v>
      </c>
      <c r="C2660" s="232" t="s">
        <v>2378</v>
      </c>
      <c r="D2660" s="95" t="s">
        <v>2370</v>
      </c>
      <c r="E2660" s="95" t="s">
        <v>1166</v>
      </c>
      <c r="F2660" s="95" t="s">
        <v>6664</v>
      </c>
      <c r="G2660" s="157" t="s">
        <v>6665</v>
      </c>
      <c r="H2660" s="147"/>
      <c r="I2660" s="31"/>
    </row>
    <row r="2661" spans="2:9">
      <c r="B2661" s="191"/>
      <c r="C2661" s="232"/>
      <c r="D2661" s="191"/>
      <c r="E2661" s="114"/>
      <c r="F2661" s="114" t="s">
        <v>3856</v>
      </c>
      <c r="G2661" s="176" t="s">
        <v>3857</v>
      </c>
      <c r="H2661" s="147"/>
      <c r="I2661" s="31"/>
    </row>
    <row r="2662" spans="2:9">
      <c r="B2662" s="95">
        <v>1</v>
      </c>
      <c r="C2662" s="232" t="s">
        <v>1502</v>
      </c>
      <c r="D2662" s="107" t="s">
        <v>2374</v>
      </c>
      <c r="E2662" s="179">
        <v>2.7</v>
      </c>
      <c r="F2662" s="190">
        <f>'HIRE CHARGES'!D499</f>
        <v>1715.5</v>
      </c>
      <c r="G2662" s="84">
        <f>ROUND(F2662*E2662,2)</f>
        <v>4631.8500000000004</v>
      </c>
      <c r="H2662" s="147"/>
      <c r="I2662" s="31"/>
    </row>
    <row r="2663" spans="2:9">
      <c r="B2663" s="105"/>
      <c r="C2663" s="233" t="s">
        <v>2379</v>
      </c>
      <c r="D2663" s="210" t="s">
        <v>2374</v>
      </c>
      <c r="E2663" s="190">
        <v>2.7</v>
      </c>
      <c r="F2663" s="207">
        <f>'HIRE CHARGES'!E499</f>
        <v>610.5</v>
      </c>
      <c r="G2663" s="84">
        <f t="shared" ref="G2663:G2670" si="12">ROUND(F2663*E2663,2)</f>
        <v>1648.35</v>
      </c>
      <c r="H2663" s="147"/>
      <c r="I2663" s="31"/>
    </row>
    <row r="2664" spans="2:9">
      <c r="B2664" s="105">
        <v>2</v>
      </c>
      <c r="C2664" s="233" t="s">
        <v>4497</v>
      </c>
      <c r="D2664" s="210" t="s">
        <v>2374</v>
      </c>
      <c r="E2664" s="190">
        <v>4</v>
      </c>
      <c r="F2664" s="207">
        <f>'HIRE CHARGES'!D518</f>
        <v>3</v>
      </c>
      <c r="G2664" s="84">
        <f t="shared" si="12"/>
        <v>12</v>
      </c>
      <c r="H2664" s="147"/>
      <c r="I2664" s="31"/>
    </row>
    <row r="2665" spans="2:9">
      <c r="B2665" s="105"/>
      <c r="C2665" s="233" t="s">
        <v>2379</v>
      </c>
      <c r="D2665" s="210" t="s">
        <v>2374</v>
      </c>
      <c r="E2665" s="190">
        <v>4</v>
      </c>
      <c r="F2665" s="207">
        <f>'HIRE CHARGES'!E518</f>
        <v>28</v>
      </c>
      <c r="G2665" s="84">
        <f t="shared" si="12"/>
        <v>112</v>
      </c>
      <c r="H2665" s="147"/>
      <c r="I2665" s="31"/>
    </row>
    <row r="2666" spans="2:9">
      <c r="B2666" s="105">
        <v>3</v>
      </c>
      <c r="C2666" s="233" t="s">
        <v>6286</v>
      </c>
      <c r="D2666" s="210" t="s">
        <v>2374</v>
      </c>
      <c r="E2666" s="221">
        <v>8</v>
      </c>
      <c r="F2666" s="190">
        <f>'HIRE CHARGES'!D555</f>
        <v>402.5</v>
      </c>
      <c r="G2666" s="143">
        <f t="shared" si="12"/>
        <v>3220</v>
      </c>
      <c r="H2666" s="147"/>
      <c r="I2666" s="31"/>
    </row>
    <row r="2667" spans="2:9">
      <c r="B2667" s="105"/>
      <c r="C2667" s="233" t="s">
        <v>2379</v>
      </c>
      <c r="D2667" s="210" t="s">
        <v>2374</v>
      </c>
      <c r="E2667" s="190">
        <v>8</v>
      </c>
      <c r="F2667" s="190">
        <f>'HIRE CHARGES'!E555</f>
        <v>299.89999999999998</v>
      </c>
      <c r="G2667" s="84">
        <f t="shared" si="12"/>
        <v>2399.1999999999998</v>
      </c>
      <c r="H2667" s="147"/>
      <c r="I2667" s="31"/>
    </row>
    <row r="2668" spans="2:9">
      <c r="B2668" s="105">
        <v>4</v>
      </c>
      <c r="C2668" s="233" t="s">
        <v>998</v>
      </c>
      <c r="D2668" s="210" t="s">
        <v>2374</v>
      </c>
      <c r="E2668" s="190">
        <v>6.4</v>
      </c>
      <c r="F2668" s="190">
        <f>'HIRE CHARGES'!D553</f>
        <v>1342.2</v>
      </c>
      <c r="G2668" s="84">
        <f t="shared" si="12"/>
        <v>8590.08</v>
      </c>
      <c r="H2668" s="147"/>
      <c r="I2668" s="31"/>
    </row>
    <row r="2669" spans="2:9">
      <c r="B2669" s="105"/>
      <c r="C2669" s="233" t="s">
        <v>2379</v>
      </c>
      <c r="D2669" s="210" t="s">
        <v>2374</v>
      </c>
      <c r="E2669" s="190">
        <v>6.4</v>
      </c>
      <c r="F2669" s="190">
        <f>'HIRE CHARGES'!E553</f>
        <v>1031.4000000000001</v>
      </c>
      <c r="G2669" s="84">
        <f t="shared" si="12"/>
        <v>6600.96</v>
      </c>
      <c r="H2669" s="147"/>
      <c r="I2669" s="31"/>
    </row>
    <row r="2670" spans="2:9">
      <c r="B2670" s="114">
        <v>5</v>
      </c>
      <c r="C2670" s="233" t="s">
        <v>2373</v>
      </c>
      <c r="D2670" s="191" t="s">
        <v>2173</v>
      </c>
      <c r="E2670" s="182">
        <v>2</v>
      </c>
      <c r="F2670" s="257">
        <f>'BASIC DATA'!D359</f>
        <v>30</v>
      </c>
      <c r="G2670" s="84">
        <f t="shared" si="12"/>
        <v>60</v>
      </c>
      <c r="H2670" s="147"/>
      <c r="I2670" s="31"/>
    </row>
    <row r="2671" spans="2:9">
      <c r="B2671" s="154"/>
      <c r="C2671" s="330" t="s">
        <v>2380</v>
      </c>
      <c r="D2671" s="330"/>
      <c r="E2671" s="330"/>
      <c r="F2671" s="245" t="s">
        <v>1698</v>
      </c>
      <c r="G2671" s="778">
        <f>SUM(G2662:G2670)</f>
        <v>27274.440000000002</v>
      </c>
      <c r="H2671" s="147"/>
      <c r="I2671" s="31"/>
    </row>
    <row r="2672" spans="2:9">
      <c r="B2672" s="1162" t="s">
        <v>2381</v>
      </c>
      <c r="C2672" s="1162"/>
      <c r="D2672" s="1162"/>
      <c r="E2672" s="1162"/>
      <c r="F2672" s="1162"/>
      <c r="G2672" s="1162"/>
      <c r="H2672" s="1163"/>
      <c r="I2672" s="1163"/>
    </row>
    <row r="2673" spans="2:9">
      <c r="B2673" s="1271"/>
      <c r="C2673" s="1271"/>
      <c r="D2673" s="1271"/>
      <c r="E2673" s="1271"/>
      <c r="F2673" s="1271"/>
      <c r="G2673" s="1271"/>
      <c r="H2673" s="1163"/>
      <c r="I2673" s="1163"/>
    </row>
    <row r="2674" spans="2:9">
      <c r="B2674" s="95" t="s">
        <v>2369</v>
      </c>
      <c r="C2674" s="232" t="s">
        <v>2378</v>
      </c>
      <c r="D2674" s="95" t="s">
        <v>2370</v>
      </c>
      <c r="E2674" s="95" t="s">
        <v>1166</v>
      </c>
      <c r="F2674" s="95" t="s">
        <v>6664</v>
      </c>
      <c r="G2674" s="157" t="s">
        <v>6665</v>
      </c>
      <c r="H2674" s="31"/>
      <c r="I2674" s="31"/>
    </row>
    <row r="2675" spans="2:9">
      <c r="B2675" s="191"/>
      <c r="C2675" s="232"/>
      <c r="D2675" s="191"/>
      <c r="E2675" s="114"/>
      <c r="F2675" s="114" t="s">
        <v>3856</v>
      </c>
      <c r="G2675" s="176" t="s">
        <v>3857</v>
      </c>
      <c r="H2675" s="31"/>
      <c r="I2675" s="31"/>
    </row>
    <row r="2676" spans="2:9">
      <c r="B2676" s="95">
        <v>1</v>
      </c>
      <c r="C2676" s="232" t="s">
        <v>2870</v>
      </c>
      <c r="D2676" s="107" t="s">
        <v>2374</v>
      </c>
      <c r="E2676" s="179">
        <v>2.7</v>
      </c>
      <c r="F2676" s="190">
        <f>'HIRE CHARGES'!F499</f>
        <v>236.6</v>
      </c>
      <c r="G2676" s="155">
        <f t="shared" ref="G2676:G2681" si="13">ROUND(E2676*F2676,2)</f>
        <v>638.82000000000005</v>
      </c>
    </row>
    <row r="2677" spans="2:9">
      <c r="B2677" s="105">
        <v>4</v>
      </c>
      <c r="C2677" s="232" t="s">
        <v>999</v>
      </c>
      <c r="D2677" s="210" t="s">
        <v>2374</v>
      </c>
      <c r="E2677" s="190">
        <v>4</v>
      </c>
      <c r="F2677" s="207">
        <f>'HIRE CHARGES'!F518</f>
        <v>83.3</v>
      </c>
      <c r="G2677" s="155">
        <f t="shared" si="13"/>
        <v>333.2</v>
      </c>
    </row>
    <row r="2678" spans="2:9">
      <c r="B2678" s="105">
        <v>5</v>
      </c>
      <c r="C2678" s="232" t="s">
        <v>1000</v>
      </c>
      <c r="D2678" s="210" t="s">
        <v>2374</v>
      </c>
      <c r="E2678" s="190">
        <v>8</v>
      </c>
      <c r="F2678" s="190">
        <f>'HIRE CHARGES'!F555</f>
        <v>177.5</v>
      </c>
      <c r="G2678" s="155">
        <f t="shared" si="13"/>
        <v>1420</v>
      </c>
    </row>
    <row r="2679" spans="2:9">
      <c r="B2679" s="105">
        <v>6</v>
      </c>
      <c r="C2679" s="232" t="s">
        <v>1001</v>
      </c>
      <c r="D2679" s="210" t="s">
        <v>2374</v>
      </c>
      <c r="E2679" s="190">
        <v>6.4</v>
      </c>
      <c r="F2679" s="190">
        <f>'HIRE CHARGES'!F553</f>
        <v>263.60000000000002</v>
      </c>
      <c r="G2679" s="155">
        <f t="shared" si="13"/>
        <v>1687.04</v>
      </c>
    </row>
    <row r="2680" spans="2:9">
      <c r="B2680" s="105">
        <v>7</v>
      </c>
      <c r="C2680" s="232" t="s">
        <v>4206</v>
      </c>
      <c r="D2680" s="210" t="s">
        <v>1172</v>
      </c>
      <c r="E2680" s="190">
        <v>1</v>
      </c>
      <c r="F2680" s="190">
        <f>'BASIC DATA'!C473</f>
        <v>450</v>
      </c>
      <c r="G2680" s="155">
        <f t="shared" si="13"/>
        <v>450</v>
      </c>
    </row>
    <row r="2681" spans="2:9">
      <c r="B2681" s="105">
        <v>8</v>
      </c>
      <c r="C2681" s="232" t="s">
        <v>2697</v>
      </c>
      <c r="D2681" s="210" t="s">
        <v>1172</v>
      </c>
      <c r="E2681" s="190">
        <v>2</v>
      </c>
      <c r="F2681" s="207">
        <f>'BASIC DATA'!C552</f>
        <v>350</v>
      </c>
      <c r="G2681" s="155">
        <f t="shared" si="13"/>
        <v>700</v>
      </c>
    </row>
    <row r="2682" spans="2:9">
      <c r="B2682" s="184"/>
      <c r="C2682" s="330" t="s">
        <v>1174</v>
      </c>
      <c r="D2682" s="330"/>
      <c r="E2682" s="330"/>
      <c r="F2682" s="208" t="s">
        <v>1698</v>
      </c>
      <c r="G2682" s="209">
        <f>SUM(G2676:G2681)</f>
        <v>5229.0599999999995</v>
      </c>
    </row>
    <row r="2683" spans="2:9">
      <c r="B2683" s="60" t="s">
        <v>5948</v>
      </c>
      <c r="C2683" s="31"/>
      <c r="D2683" s="31"/>
      <c r="E2683" s="85">
        <f>ROUND(G2682/F2653,1)</f>
        <v>6.5</v>
      </c>
      <c r="F2683" s="200"/>
      <c r="G2683" s="85"/>
    </row>
    <row r="2684" spans="2:9">
      <c r="B2684" s="60" t="s">
        <v>3163</v>
      </c>
      <c r="C2684" s="31"/>
      <c r="D2684" s="922">
        <f>'BASIC DATA'!$C$577</f>
        <v>0.13614999999999999</v>
      </c>
      <c r="E2684" s="85">
        <f>ROUND(E2683*D2684,1)</f>
        <v>0.9</v>
      </c>
      <c r="F2684" s="200"/>
      <c r="G2684" s="85"/>
    </row>
    <row r="2685" spans="2:9">
      <c r="B2685" s="60" t="s">
        <v>5949</v>
      </c>
      <c r="C2685" s="31"/>
      <c r="D2685" s="31"/>
      <c r="E2685" s="199">
        <f>SUM(E2683:E2684)</f>
        <v>7.4</v>
      </c>
      <c r="F2685" s="200"/>
      <c r="G2685" s="85"/>
    </row>
    <row r="2686" spans="2:9">
      <c r="B2686" s="31"/>
      <c r="C2686" s="30"/>
      <c r="D2686" s="30"/>
      <c r="E2686" s="30"/>
      <c r="F2686" s="200"/>
      <c r="G2686" s="85"/>
    </row>
    <row r="2687" spans="2:9">
      <c r="B2687" s="1210" t="s">
        <v>1175</v>
      </c>
      <c r="C2687" s="1210"/>
      <c r="D2687" s="1210"/>
      <c r="E2687" s="1210"/>
      <c r="F2687" s="1210"/>
      <c r="G2687" s="1210"/>
      <c r="H2687" s="1210"/>
      <c r="I2687" s="1210"/>
    </row>
    <row r="2688" spans="2:9">
      <c r="B2688" s="47" t="s">
        <v>1176</v>
      </c>
      <c r="C2688" s="48"/>
      <c r="D2688" s="48"/>
      <c r="E2688" s="48"/>
      <c r="F2688" s="363" t="s">
        <v>1698</v>
      </c>
      <c r="G2688" s="779">
        <f>G2658</f>
        <v>0</v>
      </c>
    </row>
    <row r="2689" spans="1:10">
      <c r="B2689" s="47" t="s">
        <v>1186</v>
      </c>
      <c r="C2689" s="48"/>
      <c r="D2689" s="48"/>
      <c r="E2689" s="48"/>
      <c r="F2689" s="363" t="s">
        <v>1698</v>
      </c>
      <c r="G2689" s="779">
        <f>G2671</f>
        <v>27274.440000000002</v>
      </c>
    </row>
    <row r="2690" spans="1:10">
      <c r="B2690" s="47" t="s">
        <v>2660</v>
      </c>
      <c r="C2690" s="48"/>
      <c r="D2690" s="48"/>
      <c r="E2690" s="48"/>
      <c r="F2690" s="363" t="s">
        <v>1698</v>
      </c>
      <c r="G2690" s="779">
        <f>G2682</f>
        <v>5229.0599999999995</v>
      </c>
    </row>
    <row r="2691" spans="1:10">
      <c r="B2691" s="47" t="s">
        <v>1518</v>
      </c>
      <c r="C2691" s="48"/>
      <c r="D2691" s="48"/>
      <c r="E2691" s="48"/>
      <c r="F2691" s="363" t="s">
        <v>1698</v>
      </c>
      <c r="G2691" s="780">
        <f>SUM(G2688:G2690)</f>
        <v>32503.5</v>
      </c>
    </row>
    <row r="2692" spans="1:10" ht="18.75">
      <c r="B2692" s="47" t="s">
        <v>8375</v>
      </c>
      <c r="C2692" s="48"/>
      <c r="D2692" s="48"/>
      <c r="E2692" s="922">
        <f>'BASIC DATA'!$C$577</f>
        <v>0.13614999999999999</v>
      </c>
      <c r="F2692" s="363" t="s">
        <v>4108</v>
      </c>
      <c r="G2692" s="86">
        <f>ROUND(G2691*E2692,2)</f>
        <v>4425.3500000000004</v>
      </c>
    </row>
    <row r="2693" spans="1:10" ht="36">
      <c r="B2693" s="48" t="s">
        <v>1191</v>
      </c>
      <c r="C2693" s="48"/>
      <c r="D2693" s="362">
        <f>F2653</f>
        <v>807</v>
      </c>
      <c r="E2693" s="362" t="str">
        <f>G2653</f>
        <v>cum</v>
      </c>
      <c r="F2693" s="363" t="s">
        <v>1698</v>
      </c>
      <c r="G2693" s="781">
        <f>SUM(G2691:G2692)</f>
        <v>36928.85</v>
      </c>
    </row>
    <row r="2694" spans="1:10">
      <c r="B2694" s="162" t="s">
        <v>9690</v>
      </c>
      <c r="C2694" s="912" t="str">
        <f>E2693</f>
        <v>cum</v>
      </c>
      <c r="D2694" s="27" t="s">
        <v>1397</v>
      </c>
      <c r="E2694" s="43"/>
      <c r="F2694" s="363" t="s">
        <v>1698</v>
      </c>
      <c r="G2694" s="404">
        <f>ROUND(G2693/D2693,1)</f>
        <v>45.8</v>
      </c>
    </row>
    <row r="2695" spans="1:10">
      <c r="B2695" s="47"/>
      <c r="C2695" s="48"/>
      <c r="D2695" s="27"/>
      <c r="E2695" s="43"/>
      <c r="F2695" s="363"/>
      <c r="G2695" s="779"/>
    </row>
    <row r="2696" spans="1:10" ht="18.75">
      <c r="A2696" s="823" t="s">
        <v>7652</v>
      </c>
      <c r="B2696" s="1206" t="s">
        <v>9133</v>
      </c>
      <c r="C2696" s="1206"/>
      <c r="D2696" s="1206"/>
      <c r="E2696" s="1206"/>
      <c r="F2696" s="1206"/>
      <c r="G2696" s="1206"/>
      <c r="H2696" s="1206"/>
      <c r="I2696" s="1206"/>
      <c r="J2696" s="1206"/>
    </row>
    <row r="2697" spans="1:10" ht="30.75">
      <c r="A2697" s="884" t="s">
        <v>505</v>
      </c>
      <c r="B2697" s="1206" t="s">
        <v>9134</v>
      </c>
      <c r="C2697" s="1206"/>
      <c r="D2697" s="1206"/>
      <c r="E2697" s="1206"/>
      <c r="F2697" s="1206"/>
      <c r="G2697" s="1206"/>
      <c r="H2697" s="1206"/>
      <c r="I2697" s="1206"/>
      <c r="J2697" s="1206"/>
    </row>
    <row r="2698" spans="1:10">
      <c r="B2698" s="1206" t="s">
        <v>7647</v>
      </c>
      <c r="C2698" s="1206"/>
      <c r="D2698" s="1206"/>
      <c r="E2698" s="1206"/>
      <c r="F2698" s="1206"/>
      <c r="G2698" s="1206"/>
      <c r="H2698" s="1206"/>
      <c r="I2698" s="1206"/>
      <c r="J2698" s="1206"/>
    </row>
    <row r="2699" spans="1:10">
      <c r="B2699" s="1206" t="s">
        <v>9136</v>
      </c>
      <c r="C2699" s="1206"/>
      <c r="D2699" s="1206"/>
      <c r="E2699" s="1206"/>
      <c r="F2699" s="1206"/>
      <c r="G2699" s="1206"/>
      <c r="H2699" s="1206"/>
      <c r="I2699" s="1206"/>
      <c r="J2699" s="1206"/>
    </row>
    <row r="2700" spans="1:10" ht="18.75">
      <c r="B2700" s="1161" t="s">
        <v>9137</v>
      </c>
      <c r="C2700" s="1161"/>
      <c r="D2700" s="1161"/>
      <c r="E2700" s="1161"/>
      <c r="F2700" s="1161"/>
      <c r="G2700" s="1161"/>
      <c r="H2700" s="1161"/>
      <c r="I2700" s="1161"/>
      <c r="J2700" s="1161"/>
    </row>
    <row r="2701" spans="1:10">
      <c r="B2701" s="27"/>
      <c r="C2701" s="27"/>
      <c r="D2701" s="27"/>
      <c r="E2701" s="27"/>
      <c r="F2701" s="27"/>
      <c r="G2701" s="27"/>
      <c r="H2701" s="27"/>
      <c r="I2701" s="27"/>
      <c r="J2701" s="27"/>
    </row>
    <row r="2702" spans="1:10">
      <c r="B2702" s="1254" t="s">
        <v>2367</v>
      </c>
      <c r="C2702" s="1254"/>
      <c r="D2702" s="1254"/>
      <c r="E2702" s="1254"/>
      <c r="F2702" s="1254"/>
      <c r="G2702" s="1254"/>
      <c r="H2702" s="1254"/>
      <c r="I2702" s="1254"/>
      <c r="J2702" s="1254"/>
    </row>
    <row r="2703" spans="1:10">
      <c r="B2703" s="170" t="s">
        <v>2368</v>
      </c>
      <c r="C2703" s="174"/>
      <c r="D2703" s="171" t="s">
        <v>297</v>
      </c>
      <c r="E2703" s="211">
        <v>807</v>
      </c>
      <c r="F2703" s="26" t="s">
        <v>3477</v>
      </c>
    </row>
    <row r="2704" spans="1:10">
      <c r="B2704" s="95" t="s">
        <v>2369</v>
      </c>
      <c r="C2704" s="232" t="s">
        <v>4443</v>
      </c>
      <c r="D2704" s="95" t="s">
        <v>2370</v>
      </c>
      <c r="E2704" s="95" t="s">
        <v>1166</v>
      </c>
      <c r="F2704" s="95" t="s">
        <v>6664</v>
      </c>
      <c r="G2704" s="95" t="s">
        <v>6665</v>
      </c>
    </row>
    <row r="2705" spans="2:9">
      <c r="B2705" s="191"/>
      <c r="C2705" s="188"/>
      <c r="D2705" s="191"/>
      <c r="E2705" s="114"/>
      <c r="F2705" s="114" t="s">
        <v>3856</v>
      </c>
      <c r="G2705" s="114" t="s">
        <v>3857</v>
      </c>
    </row>
    <row r="2706" spans="2:9">
      <c r="B2706" s="95">
        <v>1</v>
      </c>
      <c r="C2706" s="232" t="s">
        <v>6976</v>
      </c>
      <c r="D2706" s="107"/>
      <c r="E2706" s="179">
        <v>0</v>
      </c>
      <c r="F2706" s="179">
        <v>0</v>
      </c>
      <c r="G2706" s="155">
        <v>0</v>
      </c>
    </row>
    <row r="2707" spans="2:9">
      <c r="B2707" s="191"/>
      <c r="C2707" s="232"/>
      <c r="D2707" s="191"/>
      <c r="E2707" s="182">
        <v>0</v>
      </c>
      <c r="F2707" s="182">
        <v>0</v>
      </c>
      <c r="G2707" s="155">
        <v>0</v>
      </c>
    </row>
    <row r="2708" spans="2:9">
      <c r="B2708" s="184"/>
      <c r="C2708" s="330" t="s">
        <v>2376</v>
      </c>
      <c r="D2708" s="330"/>
      <c r="E2708" s="330"/>
      <c r="F2708" s="208" t="s">
        <v>1698</v>
      </c>
      <c r="G2708" s="209">
        <f>SUM(I2706:I2707)</f>
        <v>0</v>
      </c>
    </row>
    <row r="2709" spans="2:9">
      <c r="B2709" s="1271" t="s">
        <v>2377</v>
      </c>
      <c r="C2709" s="1271"/>
      <c r="D2709" s="1271"/>
      <c r="E2709" s="1271"/>
      <c r="F2709" s="1271"/>
      <c r="G2709" s="1271"/>
      <c r="H2709" s="1163"/>
      <c r="I2709" s="1163"/>
    </row>
    <row r="2710" spans="2:9">
      <c r="B2710" s="95" t="s">
        <v>2369</v>
      </c>
      <c r="C2710" s="232" t="s">
        <v>2378</v>
      </c>
      <c r="D2710" s="95" t="s">
        <v>2370</v>
      </c>
      <c r="E2710" s="95" t="s">
        <v>1166</v>
      </c>
      <c r="F2710" s="95" t="s">
        <v>6664</v>
      </c>
      <c r="G2710" s="157" t="s">
        <v>6665</v>
      </c>
      <c r="H2710" s="147"/>
      <c r="I2710" s="31"/>
    </row>
    <row r="2711" spans="2:9">
      <c r="B2711" s="191"/>
      <c r="C2711" s="174"/>
      <c r="D2711" s="191"/>
      <c r="E2711" s="114"/>
      <c r="F2711" s="114" t="s">
        <v>3856</v>
      </c>
      <c r="G2711" s="176" t="s">
        <v>3857</v>
      </c>
      <c r="H2711" s="147"/>
      <c r="I2711" s="31"/>
    </row>
    <row r="2712" spans="2:9">
      <c r="B2712" s="95">
        <v>1</v>
      </c>
      <c r="C2712" s="232" t="s">
        <v>7648</v>
      </c>
      <c r="D2712" s="107" t="s">
        <v>2374</v>
      </c>
      <c r="E2712" s="179">
        <v>10</v>
      </c>
      <c r="F2712" s="190">
        <f>'HIRE CHARGES'!G558</f>
        <v>345</v>
      </c>
      <c r="G2712" s="783">
        <f>ROUND(E2712*F2712,2)</f>
        <v>3450</v>
      </c>
      <c r="H2712" s="147"/>
      <c r="I2712" s="31"/>
    </row>
    <row r="2713" spans="2:9">
      <c r="B2713" s="114">
        <v>2</v>
      </c>
      <c r="C2713" s="234" t="s">
        <v>2373</v>
      </c>
      <c r="D2713" s="191" t="s">
        <v>2173</v>
      </c>
      <c r="E2713" s="182">
        <v>2</v>
      </c>
      <c r="F2713" s="257">
        <f>'BASIC DATA'!D359</f>
        <v>30</v>
      </c>
      <c r="G2713" s="783">
        <f>ROUND(E2713*F2713,2)</f>
        <v>60</v>
      </c>
      <c r="H2713" s="147"/>
      <c r="I2713" s="31"/>
    </row>
    <row r="2714" spans="2:9">
      <c r="B2714" s="154"/>
      <c r="C2714" s="330" t="s">
        <v>2380</v>
      </c>
      <c r="D2714" s="330"/>
      <c r="E2714" s="330"/>
      <c r="F2714" s="245" t="s">
        <v>1698</v>
      </c>
      <c r="G2714" s="778">
        <f>SUM(G2712:G2713)</f>
        <v>3510</v>
      </c>
      <c r="H2714" s="147"/>
      <c r="I2714" s="31"/>
    </row>
    <row r="2715" spans="2:9">
      <c r="B2715" s="1162" t="s">
        <v>2381</v>
      </c>
      <c r="C2715" s="1162"/>
      <c r="D2715" s="1162"/>
      <c r="E2715" s="1162"/>
      <c r="F2715" s="1162"/>
      <c r="G2715" s="1162"/>
      <c r="H2715" s="1163"/>
      <c r="I2715" s="1163"/>
    </row>
    <row r="2716" spans="2:9">
      <c r="B2716" s="1271"/>
      <c r="C2716" s="1271"/>
      <c r="D2716" s="1271"/>
      <c r="E2716" s="1271"/>
      <c r="F2716" s="1271"/>
      <c r="G2716" s="1271"/>
      <c r="H2716" s="1163"/>
      <c r="I2716" s="1163"/>
    </row>
    <row r="2717" spans="2:9">
      <c r="B2717" s="95" t="s">
        <v>2369</v>
      </c>
      <c r="C2717" s="232" t="s">
        <v>2378</v>
      </c>
      <c r="D2717" s="95" t="s">
        <v>2370</v>
      </c>
      <c r="E2717" s="95" t="s">
        <v>1166</v>
      </c>
      <c r="F2717" s="95" t="s">
        <v>6664</v>
      </c>
      <c r="G2717" s="157" t="s">
        <v>6665</v>
      </c>
      <c r="H2717" s="147"/>
      <c r="I2717" s="31"/>
    </row>
    <row r="2718" spans="2:9">
      <c r="B2718" s="191"/>
      <c r="C2718" s="174"/>
      <c r="D2718" s="191"/>
      <c r="E2718" s="114"/>
      <c r="F2718" s="114" t="s">
        <v>3856</v>
      </c>
      <c r="G2718" s="114" t="s">
        <v>3857</v>
      </c>
    </row>
    <row r="2719" spans="2:9">
      <c r="B2719" s="105">
        <v>1</v>
      </c>
      <c r="C2719" s="232" t="s">
        <v>4206</v>
      </c>
      <c r="D2719" s="210" t="s">
        <v>1172</v>
      </c>
      <c r="E2719" s="190">
        <v>0.5</v>
      </c>
      <c r="F2719" s="190">
        <f>'BASIC DATA'!C473</f>
        <v>450</v>
      </c>
      <c r="G2719" s="155">
        <f>ROUND(E2719*F2719,2)</f>
        <v>225</v>
      </c>
    </row>
    <row r="2720" spans="2:9">
      <c r="B2720" s="105">
        <v>2</v>
      </c>
      <c r="C2720" s="234" t="s">
        <v>2697</v>
      </c>
      <c r="D2720" s="210" t="s">
        <v>1172</v>
      </c>
      <c r="E2720" s="190">
        <v>2</v>
      </c>
      <c r="F2720" s="207">
        <f>'BASIC DATA'!C552</f>
        <v>350</v>
      </c>
      <c r="G2720" s="155">
        <f>ROUND(E2720*F2720,2)</f>
        <v>700</v>
      </c>
    </row>
    <row r="2721" spans="1:9">
      <c r="B2721" s="184"/>
      <c r="C2721" s="330" t="s">
        <v>1174</v>
      </c>
      <c r="D2721" s="330"/>
      <c r="E2721" s="330"/>
      <c r="F2721" s="208" t="s">
        <v>1698</v>
      </c>
      <c r="G2721" s="209">
        <f>SUM(G2719:G2720)</f>
        <v>925</v>
      </c>
    </row>
    <row r="2722" spans="1:9">
      <c r="B2722" s="60" t="s">
        <v>5948</v>
      </c>
      <c r="C2722" s="31"/>
      <c r="D2722" s="31"/>
      <c r="E2722" s="85">
        <f>ROUND(G2721/E2703,1)</f>
        <v>1.1000000000000001</v>
      </c>
      <c r="F2722" s="200"/>
      <c r="G2722" s="85"/>
    </row>
    <row r="2723" spans="1:9">
      <c r="B2723" s="60" t="s">
        <v>3163</v>
      </c>
      <c r="C2723" s="31"/>
      <c r="D2723" s="922">
        <f>'BASIC DATA'!$C$577</f>
        <v>0.13614999999999999</v>
      </c>
      <c r="E2723" s="85">
        <f>ROUND(E2722*D2723,1)</f>
        <v>0.1</v>
      </c>
      <c r="F2723" s="200"/>
      <c r="G2723" s="85"/>
    </row>
    <row r="2724" spans="1:9">
      <c r="B2724" s="60" t="s">
        <v>5949</v>
      </c>
      <c r="C2724" s="31"/>
      <c r="D2724" s="31"/>
      <c r="E2724" s="199">
        <f>SUM(E2722:E2723)</f>
        <v>1.2000000000000002</v>
      </c>
      <c r="F2724" s="200"/>
      <c r="G2724" s="85"/>
    </row>
    <row r="2725" spans="1:9">
      <c r="B2725" s="31"/>
      <c r="C2725" s="30"/>
      <c r="D2725" s="30"/>
      <c r="E2725" s="30"/>
      <c r="F2725" s="200"/>
      <c r="G2725" s="85"/>
    </row>
    <row r="2726" spans="1:9" ht="36">
      <c r="B2726" s="161" t="s">
        <v>1175</v>
      </c>
      <c r="C2726" s="48"/>
      <c r="D2726" s="48"/>
      <c r="E2726" s="48"/>
      <c r="F2726" s="48"/>
      <c r="G2726" s="48"/>
      <c r="H2726" s="48"/>
      <c r="I2726" s="48"/>
    </row>
    <row r="2727" spans="1:9">
      <c r="B2727" s="47" t="s">
        <v>1176</v>
      </c>
      <c r="C2727" s="48"/>
      <c r="D2727" s="48"/>
      <c r="E2727" s="48"/>
      <c r="F2727" s="363" t="s">
        <v>1698</v>
      </c>
      <c r="G2727" s="779">
        <f>G2708</f>
        <v>0</v>
      </c>
    </row>
    <row r="2728" spans="1:9">
      <c r="B2728" s="47" t="s">
        <v>1186</v>
      </c>
      <c r="C2728" s="48"/>
      <c r="D2728" s="48"/>
      <c r="E2728" s="48"/>
      <c r="F2728" s="363" t="s">
        <v>1698</v>
      </c>
      <c r="G2728" s="779">
        <f>G2714</f>
        <v>3510</v>
      </c>
    </row>
    <row r="2729" spans="1:9">
      <c r="B2729" s="47" t="s">
        <v>2660</v>
      </c>
      <c r="C2729" s="48"/>
      <c r="D2729" s="48"/>
      <c r="E2729" s="48"/>
      <c r="F2729" s="363" t="s">
        <v>1698</v>
      </c>
      <c r="G2729" s="779">
        <f>G2721</f>
        <v>925</v>
      </c>
    </row>
    <row r="2730" spans="1:9">
      <c r="B2730" s="47" t="s">
        <v>1518</v>
      </c>
      <c r="C2730" s="48"/>
      <c r="D2730" s="48"/>
      <c r="E2730" s="48"/>
      <c r="F2730" s="363" t="s">
        <v>1698</v>
      </c>
      <c r="G2730" s="780">
        <f>SUM(G2727:G2729)</f>
        <v>4435</v>
      </c>
    </row>
    <row r="2731" spans="1:9" ht="18.75">
      <c r="B2731" s="1207" t="s">
        <v>8375</v>
      </c>
      <c r="C2731" s="1207"/>
      <c r="D2731" s="922">
        <f>'BASIC DATA'!$C$577</f>
        <v>0.13614999999999999</v>
      </c>
      <c r="E2731" s="48"/>
      <c r="F2731" s="363" t="s">
        <v>4108</v>
      </c>
      <c r="G2731" s="86">
        <f>G2730*D2731</f>
        <v>603.82524999999998</v>
      </c>
    </row>
    <row r="2732" spans="1:9">
      <c r="B2732" s="47" t="s">
        <v>1191</v>
      </c>
      <c r="C2732" s="48"/>
      <c r="D2732" s="362">
        <f>E2703</f>
        <v>807</v>
      </c>
      <c r="E2732" s="362" t="str">
        <f>F2703</f>
        <v>cum</v>
      </c>
      <c r="F2732" s="363" t="s">
        <v>1698</v>
      </c>
      <c r="G2732" s="781">
        <f>SUM(G2730:G2731)</f>
        <v>5038.8252499999999</v>
      </c>
    </row>
    <row r="2733" spans="1:9">
      <c r="B2733" s="162" t="s">
        <v>3884</v>
      </c>
      <c r="C2733" s="161" t="str">
        <f>F2703</f>
        <v>cum</v>
      </c>
      <c r="D2733" s="27" t="s">
        <v>1397</v>
      </c>
      <c r="E2733" s="43"/>
      <c r="F2733" s="363" t="s">
        <v>1698</v>
      </c>
      <c r="G2733" s="404">
        <f>ROUND(G2732/E2703,1)</f>
        <v>6.2</v>
      </c>
    </row>
    <row r="2734" spans="1:9"/>
    <row r="2735" spans="1:9">
      <c r="A2735" s="823" t="s">
        <v>7947</v>
      </c>
      <c r="B2735" s="79" t="s">
        <v>7948</v>
      </c>
    </row>
    <row r="2736" spans="1:9">
      <c r="A2736" s="885" t="s">
        <v>9678</v>
      </c>
    </row>
    <row r="2737" spans="1:7">
      <c r="A2737" s="885"/>
      <c r="B2737" s="26"/>
    </row>
    <row r="2738" spans="1:7">
      <c r="A2738" s="823" t="s">
        <v>7969</v>
      </c>
      <c r="B2738" s="79" t="s">
        <v>7951</v>
      </c>
    </row>
    <row r="2739" spans="1:7"/>
    <row r="2740" spans="1:7">
      <c r="C2740" s="79" t="s">
        <v>2367</v>
      </c>
    </row>
    <row r="2741" spans="1:7">
      <c r="B2741" s="26"/>
      <c r="E2741" s="26" t="s">
        <v>7953</v>
      </c>
      <c r="F2741" s="170">
        <v>2000</v>
      </c>
      <c r="G2741" s="26" t="s">
        <v>5860</v>
      </c>
    </row>
    <row r="2742" spans="1:7">
      <c r="B2742" s="89" t="s">
        <v>7952</v>
      </c>
      <c r="C2742" s="174"/>
      <c r="D2742" s="174"/>
      <c r="E2742" s="174"/>
      <c r="F2742" s="174"/>
      <c r="G2742" s="174"/>
    </row>
    <row r="2743" spans="1:7" ht="36">
      <c r="B2743" s="114" t="s">
        <v>7243</v>
      </c>
      <c r="C2743" s="191" t="s">
        <v>4443</v>
      </c>
      <c r="D2743" s="191" t="s">
        <v>2370</v>
      </c>
      <c r="E2743" s="191" t="s">
        <v>1166</v>
      </c>
      <c r="F2743" s="414" t="s">
        <v>6247</v>
      </c>
      <c r="G2743" s="414" t="s">
        <v>6248</v>
      </c>
    </row>
    <row r="2744" spans="1:7">
      <c r="B2744" s="36">
        <v>1</v>
      </c>
      <c r="C2744" s="38" t="s">
        <v>6976</v>
      </c>
      <c r="D2744" s="38"/>
      <c r="E2744" s="38">
        <v>0</v>
      </c>
      <c r="F2744" s="38">
        <v>0</v>
      </c>
      <c r="G2744" s="38">
        <v>0</v>
      </c>
    </row>
    <row r="2745" spans="1:7">
      <c r="B2745" s="1268" t="s">
        <v>7954</v>
      </c>
      <c r="C2745" s="1268"/>
      <c r="D2745" s="1268"/>
      <c r="E2745" s="1268"/>
      <c r="F2745" s="38" t="s">
        <v>4108</v>
      </c>
      <c r="G2745" s="765">
        <v>0</v>
      </c>
    </row>
    <row r="2746" spans="1:7"/>
    <row r="2747" spans="1:7">
      <c r="B2747" s="89" t="s">
        <v>6246</v>
      </c>
      <c r="C2747" s="174"/>
      <c r="D2747" s="174"/>
      <c r="E2747" s="174"/>
      <c r="F2747" s="174"/>
      <c r="G2747" s="174"/>
    </row>
    <row r="2748" spans="1:7" ht="36">
      <c r="B2748" s="114" t="s">
        <v>7243</v>
      </c>
      <c r="C2748" s="191" t="s">
        <v>2378</v>
      </c>
      <c r="D2748" s="191" t="s">
        <v>2370</v>
      </c>
      <c r="E2748" s="191" t="s">
        <v>1166</v>
      </c>
      <c r="F2748" s="414" t="s">
        <v>6247</v>
      </c>
      <c r="G2748" s="414" t="s">
        <v>6248</v>
      </c>
    </row>
    <row r="2749" spans="1:7">
      <c r="B2749" s="36">
        <v>1</v>
      </c>
      <c r="C2749" s="38" t="s">
        <v>6976</v>
      </c>
      <c r="D2749" s="38"/>
      <c r="E2749" s="38">
        <v>0</v>
      </c>
      <c r="F2749" s="38">
        <v>0</v>
      </c>
      <c r="G2749" s="38">
        <v>0</v>
      </c>
    </row>
    <row r="2750" spans="1:7">
      <c r="B2750" s="1268" t="s">
        <v>2380</v>
      </c>
      <c r="C2750" s="1268"/>
      <c r="D2750" s="1268"/>
      <c r="E2750" s="1268"/>
      <c r="F2750" s="38" t="s">
        <v>4108</v>
      </c>
      <c r="G2750" s="765">
        <v>0</v>
      </c>
    </row>
    <row r="2751" spans="1:7"/>
    <row r="2752" spans="1:7">
      <c r="B2752" s="89" t="s">
        <v>6252</v>
      </c>
      <c r="C2752" s="174"/>
      <c r="D2752" s="174"/>
      <c r="E2752" s="174"/>
      <c r="F2752" s="174"/>
      <c r="G2752" s="174"/>
    </row>
    <row r="2753" spans="1:7" ht="36">
      <c r="B2753" s="114" t="s">
        <v>7243</v>
      </c>
      <c r="C2753" s="191" t="s">
        <v>2378</v>
      </c>
      <c r="D2753" s="191" t="s">
        <v>2370</v>
      </c>
      <c r="E2753" s="191" t="s">
        <v>1166</v>
      </c>
      <c r="F2753" s="414" t="s">
        <v>6247</v>
      </c>
      <c r="G2753" s="414" t="s">
        <v>6248</v>
      </c>
    </row>
    <row r="2754" spans="1:7">
      <c r="B2754" s="36">
        <v>1</v>
      </c>
      <c r="C2754" s="38" t="s">
        <v>7955</v>
      </c>
      <c r="D2754" s="38" t="s">
        <v>1172</v>
      </c>
      <c r="E2754" s="38">
        <v>3.5</v>
      </c>
      <c r="F2754" s="67">
        <f>'BASIC DATA'!$C$473</f>
        <v>450</v>
      </c>
      <c r="G2754" s="38">
        <f>E2754*F2754</f>
        <v>1575</v>
      </c>
    </row>
    <row r="2755" spans="1:7">
      <c r="B2755" s="36">
        <v>2</v>
      </c>
      <c r="C2755" s="38" t="s">
        <v>4647</v>
      </c>
      <c r="D2755" s="38" t="s">
        <v>1172</v>
      </c>
      <c r="E2755" s="38">
        <v>28</v>
      </c>
      <c r="F2755" s="67">
        <f>'BASIC DATA'!$C$552</f>
        <v>350</v>
      </c>
      <c r="G2755" s="38">
        <f>E2755*F2755</f>
        <v>9800</v>
      </c>
    </row>
    <row r="2756" spans="1:7">
      <c r="B2756" s="1268" t="s">
        <v>7956</v>
      </c>
      <c r="C2756" s="1268"/>
      <c r="D2756" s="1268"/>
      <c r="E2756" s="1268"/>
      <c r="F2756" s="38" t="s">
        <v>4108</v>
      </c>
      <c r="G2756" s="765">
        <f>SUM(G2754:G2755)</f>
        <v>11375</v>
      </c>
    </row>
    <row r="2757" spans="1:7"/>
    <row r="2758" spans="1:7">
      <c r="B2758" s="325" t="s">
        <v>1175</v>
      </c>
    </row>
    <row r="2759" spans="1:7">
      <c r="B2759" s="27" t="s">
        <v>7957</v>
      </c>
      <c r="F2759" s="26" t="s">
        <v>4108</v>
      </c>
      <c r="G2759" s="68">
        <f>G2745</f>
        <v>0</v>
      </c>
    </row>
    <row r="2760" spans="1:7">
      <c r="B2760" s="27" t="s">
        <v>7958</v>
      </c>
      <c r="F2760" s="26" t="s">
        <v>4108</v>
      </c>
      <c r="G2760" s="68">
        <f>G2750</f>
        <v>0</v>
      </c>
    </row>
    <row r="2761" spans="1:7">
      <c r="B2761" s="27" t="s">
        <v>7959</v>
      </c>
      <c r="F2761" s="26" t="s">
        <v>4108</v>
      </c>
      <c r="G2761" s="68">
        <f>G2756</f>
        <v>11375</v>
      </c>
    </row>
    <row r="2762" spans="1:7">
      <c r="B2762" s="27"/>
      <c r="D2762" s="26" t="s">
        <v>1518</v>
      </c>
      <c r="G2762" s="205">
        <f>SUM(G2759:G2761)</f>
        <v>11375</v>
      </c>
    </row>
    <row r="2763" spans="1:7">
      <c r="B2763" s="27" t="s">
        <v>7960</v>
      </c>
      <c r="E2763" s="922">
        <f>'BASIC DATA'!$C$577</f>
        <v>0.13614999999999999</v>
      </c>
      <c r="G2763" s="26">
        <f>G2762*E2763</f>
        <v>1548.70625</v>
      </c>
    </row>
    <row r="2764" spans="1:7">
      <c r="B2764" s="27" t="s">
        <v>9691</v>
      </c>
      <c r="D2764" s="26">
        <f>F2741</f>
        <v>2000</v>
      </c>
      <c r="E2764" s="26" t="str">
        <f>G2741</f>
        <v>Sqm</v>
      </c>
      <c r="G2764" s="211">
        <f>SUM(G2762:G2763)</f>
        <v>12923.706249999999</v>
      </c>
    </row>
    <row r="2765" spans="1:7">
      <c r="B2765" s="170" t="s">
        <v>3884</v>
      </c>
      <c r="C2765" s="170" t="str">
        <f>E2764</f>
        <v>Sqm</v>
      </c>
      <c r="D2765" s="26" t="s">
        <v>7963</v>
      </c>
      <c r="G2765" s="170">
        <f>ROUND(G2764/D2764,1)</f>
        <v>6.5</v>
      </c>
    </row>
    <row r="2766" spans="1:7"/>
    <row r="2767" spans="1:7">
      <c r="A2767" s="823" t="s">
        <v>7970</v>
      </c>
      <c r="B2767" s="79" t="s">
        <v>7964</v>
      </c>
    </row>
    <row r="2768" spans="1:7"/>
    <row r="2769" spans="2:7">
      <c r="C2769" s="79" t="s">
        <v>2367</v>
      </c>
    </row>
    <row r="2770" spans="2:7">
      <c r="B2770" s="26"/>
      <c r="E2770" s="26" t="s">
        <v>7953</v>
      </c>
      <c r="F2770" s="170">
        <v>2000</v>
      </c>
      <c r="G2770" s="26" t="s">
        <v>5860</v>
      </c>
    </row>
    <row r="2771" spans="2:7">
      <c r="B2771" s="89" t="s">
        <v>7952</v>
      </c>
      <c r="C2771" s="174"/>
      <c r="D2771" s="174"/>
      <c r="E2771" s="174"/>
      <c r="F2771" s="174"/>
      <c r="G2771" s="174"/>
    </row>
    <row r="2772" spans="2:7" ht="36">
      <c r="B2772" s="114" t="s">
        <v>7243</v>
      </c>
      <c r="C2772" s="191" t="s">
        <v>4443</v>
      </c>
      <c r="D2772" s="191" t="s">
        <v>2370</v>
      </c>
      <c r="E2772" s="191" t="s">
        <v>1166</v>
      </c>
      <c r="F2772" s="414" t="s">
        <v>6247</v>
      </c>
      <c r="G2772" s="414" t="s">
        <v>6248</v>
      </c>
    </row>
    <row r="2773" spans="2:7">
      <c r="B2773" s="36">
        <v>1</v>
      </c>
      <c r="C2773" s="38" t="s">
        <v>6976</v>
      </c>
      <c r="D2773" s="38"/>
      <c r="E2773" s="38">
        <v>0</v>
      </c>
      <c r="F2773" s="38">
        <v>0</v>
      </c>
      <c r="G2773" s="38">
        <v>0</v>
      </c>
    </row>
    <row r="2774" spans="2:7">
      <c r="B2774" s="1268" t="s">
        <v>7954</v>
      </c>
      <c r="C2774" s="1268"/>
      <c r="D2774" s="1268"/>
      <c r="E2774" s="1268"/>
      <c r="F2774" s="38" t="s">
        <v>4108</v>
      </c>
      <c r="G2774" s="765">
        <v>0</v>
      </c>
    </row>
    <row r="2775" spans="2:7"/>
    <row r="2776" spans="2:7">
      <c r="B2776" s="89" t="s">
        <v>6246</v>
      </c>
      <c r="C2776" s="174"/>
      <c r="D2776" s="174"/>
      <c r="E2776" s="174"/>
      <c r="F2776" s="174"/>
      <c r="G2776" s="174"/>
    </row>
    <row r="2777" spans="2:7" ht="36">
      <c r="B2777" s="114" t="s">
        <v>7243</v>
      </c>
      <c r="C2777" s="191" t="s">
        <v>2378</v>
      </c>
      <c r="D2777" s="191" t="s">
        <v>2370</v>
      </c>
      <c r="E2777" s="191" t="s">
        <v>1166</v>
      </c>
      <c r="F2777" s="414" t="s">
        <v>6247</v>
      </c>
      <c r="G2777" s="414" t="s">
        <v>6248</v>
      </c>
    </row>
    <row r="2778" spans="2:7">
      <c r="B2778" s="36">
        <v>1</v>
      </c>
      <c r="C2778" s="38" t="s">
        <v>6976</v>
      </c>
      <c r="D2778" s="38"/>
      <c r="E2778" s="38">
        <v>0</v>
      </c>
      <c r="F2778" s="38">
        <v>0</v>
      </c>
      <c r="G2778" s="38">
        <v>0</v>
      </c>
    </row>
    <row r="2779" spans="2:7">
      <c r="B2779" s="1268" t="s">
        <v>2380</v>
      </c>
      <c r="C2779" s="1268"/>
      <c r="D2779" s="1268"/>
      <c r="E2779" s="1268"/>
      <c r="F2779" s="38" t="s">
        <v>4108</v>
      </c>
      <c r="G2779" s="765">
        <v>0</v>
      </c>
    </row>
    <row r="2780" spans="2:7"/>
    <row r="2781" spans="2:7">
      <c r="B2781" s="89" t="s">
        <v>6252</v>
      </c>
      <c r="C2781" s="174"/>
      <c r="D2781" s="174"/>
      <c r="E2781" s="174"/>
      <c r="F2781" s="174"/>
      <c r="G2781" s="174"/>
    </row>
    <row r="2782" spans="2:7" ht="36">
      <c r="B2782" s="114" t="s">
        <v>7243</v>
      </c>
      <c r="C2782" s="191" t="s">
        <v>2378</v>
      </c>
      <c r="D2782" s="191" t="s">
        <v>2370</v>
      </c>
      <c r="E2782" s="191" t="s">
        <v>1166</v>
      </c>
      <c r="F2782" s="414" t="s">
        <v>6247</v>
      </c>
      <c r="G2782" s="414" t="s">
        <v>6248</v>
      </c>
    </row>
    <row r="2783" spans="2:7">
      <c r="B2783" s="36">
        <v>1</v>
      </c>
      <c r="C2783" s="38" t="s">
        <v>7955</v>
      </c>
      <c r="D2783" s="38" t="s">
        <v>1172</v>
      </c>
      <c r="E2783" s="38">
        <v>5</v>
      </c>
      <c r="F2783" s="67">
        <f>'BASIC DATA'!$C$473</f>
        <v>450</v>
      </c>
      <c r="G2783" s="38">
        <f>E2783*F2783</f>
        <v>2250</v>
      </c>
    </row>
    <row r="2784" spans="2:7">
      <c r="B2784" s="36">
        <v>2</v>
      </c>
      <c r="C2784" s="38" t="s">
        <v>4647</v>
      </c>
      <c r="D2784" s="38" t="s">
        <v>1172</v>
      </c>
      <c r="E2784" s="38">
        <v>38</v>
      </c>
      <c r="F2784" s="67">
        <f>'BASIC DATA'!$C$552</f>
        <v>350</v>
      </c>
      <c r="G2784" s="38">
        <f>E2784*F2784</f>
        <v>13300</v>
      </c>
    </row>
    <row r="2785" spans="1:7">
      <c r="B2785" s="1268" t="s">
        <v>7956</v>
      </c>
      <c r="C2785" s="1268"/>
      <c r="D2785" s="1268"/>
      <c r="E2785" s="1268"/>
      <c r="F2785" s="38" t="s">
        <v>4108</v>
      </c>
      <c r="G2785" s="765">
        <f>SUM(G2783:G2784)</f>
        <v>15550</v>
      </c>
    </row>
    <row r="2786" spans="1:7"/>
    <row r="2787" spans="1:7">
      <c r="B2787" s="325" t="s">
        <v>1175</v>
      </c>
    </row>
    <row r="2788" spans="1:7">
      <c r="B2788" s="27" t="s">
        <v>7957</v>
      </c>
      <c r="F2788" s="26" t="s">
        <v>4108</v>
      </c>
      <c r="G2788" s="68">
        <f>G2774</f>
        <v>0</v>
      </c>
    </row>
    <row r="2789" spans="1:7">
      <c r="B2789" s="27" t="s">
        <v>7958</v>
      </c>
      <c r="F2789" s="26" t="s">
        <v>4108</v>
      </c>
      <c r="G2789" s="68">
        <f>G2779</f>
        <v>0</v>
      </c>
    </row>
    <row r="2790" spans="1:7">
      <c r="B2790" s="27" t="s">
        <v>7959</v>
      </c>
      <c r="F2790" s="26" t="s">
        <v>4108</v>
      </c>
      <c r="G2790" s="68">
        <f>G2785</f>
        <v>15550</v>
      </c>
    </row>
    <row r="2791" spans="1:7">
      <c r="B2791" s="27"/>
      <c r="D2791" s="26" t="s">
        <v>1518</v>
      </c>
      <c r="G2791" s="205">
        <f>SUM(G2788:G2790)</f>
        <v>15550</v>
      </c>
    </row>
    <row r="2792" spans="1:7">
      <c r="B2792" s="27" t="s">
        <v>7960</v>
      </c>
      <c r="E2792" s="922">
        <f>'BASIC DATA'!$C$577</f>
        <v>0.13614999999999999</v>
      </c>
      <c r="G2792" s="26">
        <f>G2791*E2792</f>
        <v>2117.1324999999997</v>
      </c>
    </row>
    <row r="2793" spans="1:7">
      <c r="B2793" s="27" t="s">
        <v>9691</v>
      </c>
      <c r="D2793" s="26">
        <f>F2770</f>
        <v>2000</v>
      </c>
      <c r="E2793" s="26" t="str">
        <f>G2770</f>
        <v>Sqm</v>
      </c>
      <c r="G2793" s="211">
        <f>SUM(G2791:G2792)</f>
        <v>17667.1325</v>
      </c>
    </row>
    <row r="2794" spans="1:7">
      <c r="B2794" s="170" t="s">
        <v>3884</v>
      </c>
      <c r="C2794" s="170" t="str">
        <f>E2793</f>
        <v>Sqm</v>
      </c>
      <c r="D2794" s="26" t="s">
        <v>7963</v>
      </c>
      <c r="G2794" s="170">
        <f>ROUND(G2793/D2793,1)</f>
        <v>8.8000000000000007</v>
      </c>
    </row>
    <row r="2795" spans="1:7"/>
    <row r="2796" spans="1:7">
      <c r="A2796" s="823" t="s">
        <v>7971</v>
      </c>
      <c r="B2796" s="79" t="s">
        <v>7965</v>
      </c>
    </row>
    <row r="2797" spans="1:7"/>
    <row r="2798" spans="1:7">
      <c r="C2798" s="79" t="s">
        <v>2367</v>
      </c>
    </row>
    <row r="2799" spans="1:7">
      <c r="B2799" s="26"/>
      <c r="E2799" s="26" t="s">
        <v>7953</v>
      </c>
      <c r="F2799" s="170">
        <v>2000</v>
      </c>
      <c r="G2799" s="26" t="s">
        <v>5860</v>
      </c>
    </row>
    <row r="2800" spans="1:7">
      <c r="B2800" s="89" t="s">
        <v>7952</v>
      </c>
      <c r="C2800" s="174"/>
      <c r="D2800" s="174"/>
      <c r="E2800" s="174"/>
      <c r="F2800" s="174"/>
      <c r="G2800" s="174"/>
    </row>
    <row r="2801" spans="2:7" ht="36">
      <c r="B2801" s="114" t="s">
        <v>7243</v>
      </c>
      <c r="C2801" s="191" t="s">
        <v>4443</v>
      </c>
      <c r="D2801" s="191" t="s">
        <v>2370</v>
      </c>
      <c r="E2801" s="191" t="s">
        <v>1166</v>
      </c>
      <c r="F2801" s="414" t="s">
        <v>6247</v>
      </c>
      <c r="G2801" s="414" t="s">
        <v>6248</v>
      </c>
    </row>
    <row r="2802" spans="2:7">
      <c r="B2802" s="36">
        <v>1</v>
      </c>
      <c r="C2802" s="38" t="s">
        <v>6976</v>
      </c>
      <c r="D2802" s="38"/>
      <c r="E2802" s="38">
        <v>0</v>
      </c>
      <c r="F2802" s="38">
        <v>0</v>
      </c>
      <c r="G2802" s="38">
        <v>0</v>
      </c>
    </row>
    <row r="2803" spans="2:7">
      <c r="B2803" s="1268" t="s">
        <v>7954</v>
      </c>
      <c r="C2803" s="1268"/>
      <c r="D2803" s="1268"/>
      <c r="E2803" s="1268"/>
      <c r="F2803" s="38" t="s">
        <v>4108</v>
      </c>
      <c r="G2803" s="765">
        <v>0</v>
      </c>
    </row>
    <row r="2804" spans="2:7"/>
    <row r="2805" spans="2:7">
      <c r="B2805" s="89" t="s">
        <v>6246</v>
      </c>
      <c r="C2805" s="174"/>
      <c r="D2805" s="174"/>
      <c r="E2805" s="174"/>
      <c r="F2805" s="174"/>
      <c r="G2805" s="174"/>
    </row>
    <row r="2806" spans="2:7" ht="36">
      <c r="B2806" s="114" t="s">
        <v>7243</v>
      </c>
      <c r="C2806" s="191" t="s">
        <v>2378</v>
      </c>
      <c r="D2806" s="191" t="s">
        <v>2370</v>
      </c>
      <c r="E2806" s="191" t="s">
        <v>1166</v>
      </c>
      <c r="F2806" s="414" t="s">
        <v>6247</v>
      </c>
      <c r="G2806" s="414" t="s">
        <v>6248</v>
      </c>
    </row>
    <row r="2807" spans="2:7">
      <c r="B2807" s="36">
        <v>1</v>
      </c>
      <c r="C2807" s="38" t="s">
        <v>6976</v>
      </c>
      <c r="D2807" s="38"/>
      <c r="E2807" s="38">
        <v>0</v>
      </c>
      <c r="F2807" s="38">
        <v>0</v>
      </c>
      <c r="G2807" s="38">
        <v>0</v>
      </c>
    </row>
    <row r="2808" spans="2:7">
      <c r="B2808" s="1268" t="s">
        <v>2380</v>
      </c>
      <c r="C2808" s="1268"/>
      <c r="D2808" s="1268"/>
      <c r="E2808" s="1268"/>
      <c r="F2808" s="38" t="s">
        <v>4108</v>
      </c>
      <c r="G2808" s="765">
        <v>0</v>
      </c>
    </row>
    <row r="2809" spans="2:7"/>
    <row r="2810" spans="2:7">
      <c r="B2810" s="89" t="s">
        <v>6252</v>
      </c>
      <c r="C2810" s="174"/>
      <c r="D2810" s="174"/>
      <c r="E2810" s="174"/>
      <c r="F2810" s="174"/>
      <c r="G2810" s="174"/>
    </row>
    <row r="2811" spans="2:7" ht="36">
      <c r="B2811" s="114" t="s">
        <v>7243</v>
      </c>
      <c r="C2811" s="191" t="s">
        <v>2378</v>
      </c>
      <c r="D2811" s="191" t="s">
        <v>2370</v>
      </c>
      <c r="E2811" s="191" t="s">
        <v>1166</v>
      </c>
      <c r="F2811" s="414" t="s">
        <v>6247</v>
      </c>
      <c r="G2811" s="414" t="s">
        <v>6248</v>
      </c>
    </row>
    <row r="2812" spans="2:7">
      <c r="B2812" s="36">
        <v>1</v>
      </c>
      <c r="C2812" s="38" t="s">
        <v>7955</v>
      </c>
      <c r="D2812" s="38" t="s">
        <v>1172</v>
      </c>
      <c r="E2812" s="38">
        <v>3</v>
      </c>
      <c r="F2812" s="67">
        <f>'BASIC DATA'!$C$473</f>
        <v>450</v>
      </c>
      <c r="G2812" s="38">
        <f>E2812*F2812</f>
        <v>1350</v>
      </c>
    </row>
    <row r="2813" spans="2:7">
      <c r="B2813" s="36">
        <v>2</v>
      </c>
      <c r="C2813" s="38" t="s">
        <v>4647</v>
      </c>
      <c r="D2813" s="38" t="s">
        <v>1172</v>
      </c>
      <c r="E2813" s="38">
        <v>26</v>
      </c>
      <c r="F2813" s="67">
        <f>'BASIC DATA'!$C$552</f>
        <v>350</v>
      </c>
      <c r="G2813" s="38">
        <f>E2813*F2813</f>
        <v>9100</v>
      </c>
    </row>
    <row r="2814" spans="2:7">
      <c r="B2814" s="1268" t="s">
        <v>7956</v>
      </c>
      <c r="C2814" s="1268"/>
      <c r="D2814" s="1268"/>
      <c r="E2814" s="1268"/>
      <c r="F2814" s="38" t="s">
        <v>4108</v>
      </c>
      <c r="G2814" s="765">
        <f>SUM(G2812:G2813)</f>
        <v>10450</v>
      </c>
    </row>
    <row r="2815" spans="2:7"/>
    <row r="2816" spans="2:7">
      <c r="B2816" s="325" t="s">
        <v>1175</v>
      </c>
    </row>
    <row r="2817" spans="1:7">
      <c r="B2817" s="27" t="s">
        <v>7957</v>
      </c>
      <c r="F2817" s="26" t="s">
        <v>4108</v>
      </c>
      <c r="G2817" s="68">
        <f>G2803</f>
        <v>0</v>
      </c>
    </row>
    <row r="2818" spans="1:7">
      <c r="B2818" s="27" t="s">
        <v>7958</v>
      </c>
      <c r="F2818" s="26" t="s">
        <v>4108</v>
      </c>
      <c r="G2818" s="68">
        <f>G2808</f>
        <v>0</v>
      </c>
    </row>
    <row r="2819" spans="1:7">
      <c r="B2819" s="27" t="s">
        <v>7959</v>
      </c>
      <c r="F2819" s="26" t="s">
        <v>4108</v>
      </c>
      <c r="G2819" s="68">
        <f>G2814</f>
        <v>10450</v>
      </c>
    </row>
    <row r="2820" spans="1:7">
      <c r="B2820" s="27"/>
      <c r="D2820" s="26" t="s">
        <v>1518</v>
      </c>
      <c r="G2820" s="205">
        <f>SUM(G2817:G2819)</f>
        <v>10450</v>
      </c>
    </row>
    <row r="2821" spans="1:7">
      <c r="B2821" s="27" t="s">
        <v>7960</v>
      </c>
      <c r="E2821" s="201">
        <f>'BASIC DATA'!$C$577</f>
        <v>0.13614999999999999</v>
      </c>
      <c r="G2821" s="26">
        <f>G2820*E2821</f>
        <v>1422.7674999999999</v>
      </c>
    </row>
    <row r="2822" spans="1:7">
      <c r="B2822" s="27" t="s">
        <v>9691</v>
      </c>
      <c r="D2822" s="26">
        <f>F2799</f>
        <v>2000</v>
      </c>
      <c r="E2822" s="26" t="str">
        <f>G2799</f>
        <v>Sqm</v>
      </c>
      <c r="G2822" s="211">
        <f>SUM(G2820:G2821)</f>
        <v>11872.7675</v>
      </c>
    </row>
    <row r="2823" spans="1:7">
      <c r="B2823" s="170" t="s">
        <v>3884</v>
      </c>
      <c r="C2823" s="170" t="str">
        <f>E2822</f>
        <v>Sqm</v>
      </c>
      <c r="D2823" s="26" t="s">
        <v>7963</v>
      </c>
      <c r="G2823" s="170">
        <f>ROUND(G2822/D2822,1)</f>
        <v>5.9</v>
      </c>
    </row>
    <row r="2824" spans="1:7"/>
    <row r="2825" spans="1:7">
      <c r="A2825" s="823" t="s">
        <v>7972</v>
      </c>
      <c r="B2825" s="79" t="s">
        <v>7966</v>
      </c>
    </row>
    <row r="2826" spans="1:7"/>
    <row r="2827" spans="1:7">
      <c r="C2827" s="79" t="s">
        <v>2367</v>
      </c>
    </row>
    <row r="2828" spans="1:7">
      <c r="B2828" s="26"/>
      <c r="E2828" s="26" t="s">
        <v>7953</v>
      </c>
      <c r="F2828" s="170">
        <v>2000</v>
      </c>
      <c r="G2828" s="26" t="s">
        <v>5860</v>
      </c>
    </row>
    <row r="2829" spans="1:7">
      <c r="B2829" s="89" t="s">
        <v>7952</v>
      </c>
      <c r="C2829" s="174"/>
      <c r="D2829" s="174"/>
      <c r="E2829" s="174"/>
      <c r="F2829" s="174"/>
      <c r="G2829" s="174"/>
    </row>
    <row r="2830" spans="1:7" ht="36">
      <c r="B2830" s="114" t="s">
        <v>7243</v>
      </c>
      <c r="C2830" s="191" t="s">
        <v>4443</v>
      </c>
      <c r="D2830" s="191" t="s">
        <v>2370</v>
      </c>
      <c r="E2830" s="191" t="s">
        <v>1166</v>
      </c>
      <c r="F2830" s="414" t="s">
        <v>6247</v>
      </c>
      <c r="G2830" s="414" t="s">
        <v>6248</v>
      </c>
    </row>
    <row r="2831" spans="1:7">
      <c r="B2831" s="36">
        <v>1</v>
      </c>
      <c r="C2831" s="38" t="s">
        <v>6976</v>
      </c>
      <c r="D2831" s="38"/>
      <c r="E2831" s="38">
        <v>0</v>
      </c>
      <c r="F2831" s="38">
        <v>0</v>
      </c>
      <c r="G2831" s="38">
        <v>0</v>
      </c>
    </row>
    <row r="2832" spans="1:7">
      <c r="B2832" s="1268" t="s">
        <v>7954</v>
      </c>
      <c r="C2832" s="1268"/>
      <c r="D2832" s="1268"/>
      <c r="E2832" s="1268"/>
      <c r="F2832" s="38" t="s">
        <v>4108</v>
      </c>
      <c r="G2832" s="765">
        <v>0</v>
      </c>
    </row>
    <row r="2833" spans="2:7"/>
    <row r="2834" spans="2:7">
      <c r="B2834" s="89" t="s">
        <v>6246</v>
      </c>
      <c r="C2834" s="174"/>
      <c r="D2834" s="174"/>
      <c r="E2834" s="174"/>
      <c r="F2834" s="174"/>
      <c r="G2834" s="174"/>
    </row>
    <row r="2835" spans="2:7" ht="36">
      <c r="B2835" s="114" t="s">
        <v>7243</v>
      </c>
      <c r="C2835" s="191" t="s">
        <v>2378</v>
      </c>
      <c r="D2835" s="191" t="s">
        <v>2370</v>
      </c>
      <c r="E2835" s="191" t="s">
        <v>1166</v>
      </c>
      <c r="F2835" s="414" t="s">
        <v>6247</v>
      </c>
      <c r="G2835" s="414" t="s">
        <v>6248</v>
      </c>
    </row>
    <row r="2836" spans="2:7">
      <c r="B2836" s="36">
        <v>1</v>
      </c>
      <c r="C2836" s="38" t="s">
        <v>6976</v>
      </c>
      <c r="D2836" s="38"/>
      <c r="E2836" s="38">
        <v>0</v>
      </c>
      <c r="F2836" s="38">
        <v>0</v>
      </c>
      <c r="G2836" s="38">
        <v>0</v>
      </c>
    </row>
    <row r="2837" spans="2:7">
      <c r="B2837" s="1268" t="s">
        <v>2380</v>
      </c>
      <c r="C2837" s="1268"/>
      <c r="D2837" s="1268"/>
      <c r="E2837" s="1268"/>
      <c r="F2837" s="38" t="s">
        <v>4108</v>
      </c>
      <c r="G2837" s="765">
        <v>0</v>
      </c>
    </row>
    <row r="2838" spans="2:7"/>
    <row r="2839" spans="2:7">
      <c r="B2839" s="89" t="s">
        <v>6252</v>
      </c>
      <c r="C2839" s="174"/>
      <c r="D2839" s="174"/>
      <c r="E2839" s="174"/>
      <c r="F2839" s="174"/>
      <c r="G2839" s="174"/>
    </row>
    <row r="2840" spans="2:7" ht="36">
      <c r="B2840" s="114" t="s">
        <v>7243</v>
      </c>
      <c r="C2840" s="191" t="s">
        <v>2378</v>
      </c>
      <c r="D2840" s="191" t="s">
        <v>2370</v>
      </c>
      <c r="E2840" s="191" t="s">
        <v>1166</v>
      </c>
      <c r="F2840" s="414" t="s">
        <v>6247</v>
      </c>
      <c r="G2840" s="414" t="s">
        <v>6248</v>
      </c>
    </row>
    <row r="2841" spans="2:7">
      <c r="B2841" s="36">
        <v>1</v>
      </c>
      <c r="C2841" s="38" t="s">
        <v>7955</v>
      </c>
      <c r="D2841" s="38" t="s">
        <v>1172</v>
      </c>
      <c r="E2841" s="38">
        <v>2.5</v>
      </c>
      <c r="F2841" s="67">
        <f>'BASIC DATA'!$C$473</f>
        <v>450</v>
      </c>
      <c r="G2841" s="38">
        <f>E2841*F2841</f>
        <v>1125</v>
      </c>
    </row>
    <row r="2842" spans="2:7">
      <c r="B2842" s="36">
        <v>2</v>
      </c>
      <c r="C2842" s="38" t="s">
        <v>4647</v>
      </c>
      <c r="D2842" s="38" t="s">
        <v>1172</v>
      </c>
      <c r="E2842" s="38">
        <v>22</v>
      </c>
      <c r="F2842" s="67">
        <f>'BASIC DATA'!$C$552</f>
        <v>350</v>
      </c>
      <c r="G2842" s="38">
        <f>E2842*F2842</f>
        <v>7700</v>
      </c>
    </row>
    <row r="2843" spans="2:7">
      <c r="B2843" s="1268" t="s">
        <v>7956</v>
      </c>
      <c r="C2843" s="1268"/>
      <c r="D2843" s="1268"/>
      <c r="E2843" s="1268"/>
      <c r="F2843" s="38" t="s">
        <v>4108</v>
      </c>
      <c r="G2843" s="765">
        <f>SUM(G2841:G2842)</f>
        <v>8825</v>
      </c>
    </row>
    <row r="2844" spans="2:7"/>
    <row r="2845" spans="2:7">
      <c r="B2845" s="325" t="s">
        <v>1175</v>
      </c>
    </row>
    <row r="2846" spans="2:7">
      <c r="B2846" s="27" t="s">
        <v>7957</v>
      </c>
      <c r="F2846" s="26" t="s">
        <v>4108</v>
      </c>
      <c r="G2846" s="68">
        <f>G2832</f>
        <v>0</v>
      </c>
    </row>
    <row r="2847" spans="2:7">
      <c r="B2847" s="27" t="s">
        <v>7958</v>
      </c>
      <c r="F2847" s="26" t="s">
        <v>4108</v>
      </c>
      <c r="G2847" s="68">
        <f>G2837</f>
        <v>0</v>
      </c>
    </row>
    <row r="2848" spans="2:7">
      <c r="B2848" s="27" t="s">
        <v>7959</v>
      </c>
      <c r="F2848" s="26" t="s">
        <v>4108</v>
      </c>
      <c r="G2848" s="68">
        <f>G2843</f>
        <v>8825</v>
      </c>
    </row>
    <row r="2849" spans="1:7">
      <c r="B2849" s="27"/>
      <c r="D2849" s="26" t="s">
        <v>1518</v>
      </c>
      <c r="G2849" s="205">
        <f>SUM(G2846:G2848)</f>
        <v>8825</v>
      </c>
    </row>
    <row r="2850" spans="1:7">
      <c r="B2850" s="27" t="s">
        <v>7960</v>
      </c>
      <c r="E2850" s="201">
        <f>'BASIC DATA'!$C$577</f>
        <v>0.13614999999999999</v>
      </c>
      <c r="G2850" s="26">
        <f>G2849*E2850</f>
        <v>1201.5237499999998</v>
      </c>
    </row>
    <row r="2851" spans="1:7">
      <c r="B2851" s="27" t="s">
        <v>9691</v>
      </c>
      <c r="D2851" s="26">
        <f>F2828</f>
        <v>2000</v>
      </c>
      <c r="E2851" s="26" t="str">
        <f>G2828</f>
        <v>Sqm</v>
      </c>
      <c r="G2851" s="211">
        <f>SUM(G2849:G2850)</f>
        <v>10026.52375</v>
      </c>
    </row>
    <row r="2852" spans="1:7">
      <c r="B2852" s="170" t="s">
        <v>3884</v>
      </c>
      <c r="C2852" s="170" t="str">
        <f>E2851</f>
        <v>Sqm</v>
      </c>
      <c r="D2852" s="26" t="s">
        <v>7963</v>
      </c>
      <c r="G2852" s="170">
        <f>ROUND(G2851/D2851,1)</f>
        <v>5</v>
      </c>
    </row>
    <row r="2853" spans="1:7"/>
    <row r="2854" spans="1:7">
      <c r="A2854" s="823" t="s">
        <v>7973</v>
      </c>
      <c r="B2854" s="79" t="s">
        <v>7967</v>
      </c>
    </row>
    <row r="2855" spans="1:7"/>
    <row r="2856" spans="1:7">
      <c r="C2856" s="79" t="s">
        <v>2367</v>
      </c>
    </row>
    <row r="2857" spans="1:7">
      <c r="B2857" s="26"/>
      <c r="E2857" s="26" t="s">
        <v>7953</v>
      </c>
      <c r="F2857" s="170">
        <v>2000</v>
      </c>
      <c r="G2857" s="26" t="s">
        <v>5860</v>
      </c>
    </row>
    <row r="2858" spans="1:7">
      <c r="B2858" s="89" t="s">
        <v>7952</v>
      </c>
      <c r="C2858" s="174"/>
      <c r="D2858" s="174"/>
      <c r="E2858" s="174"/>
      <c r="F2858" s="174"/>
      <c r="G2858" s="174"/>
    </row>
    <row r="2859" spans="1:7" ht="36">
      <c r="B2859" s="114" t="s">
        <v>7243</v>
      </c>
      <c r="C2859" s="191" t="s">
        <v>4443</v>
      </c>
      <c r="D2859" s="191" t="s">
        <v>2370</v>
      </c>
      <c r="E2859" s="191" t="s">
        <v>1166</v>
      </c>
      <c r="F2859" s="414" t="s">
        <v>6247</v>
      </c>
      <c r="G2859" s="414" t="s">
        <v>6248</v>
      </c>
    </row>
    <row r="2860" spans="1:7">
      <c r="B2860" s="36">
        <v>1</v>
      </c>
      <c r="C2860" s="38" t="s">
        <v>6976</v>
      </c>
      <c r="D2860" s="38"/>
      <c r="E2860" s="38">
        <v>0</v>
      </c>
      <c r="F2860" s="38">
        <v>0</v>
      </c>
      <c r="G2860" s="38">
        <v>0</v>
      </c>
    </row>
    <row r="2861" spans="1:7">
      <c r="B2861" s="1268" t="s">
        <v>7954</v>
      </c>
      <c r="C2861" s="1268"/>
      <c r="D2861" s="1268"/>
      <c r="E2861" s="1268"/>
      <c r="F2861" s="38" t="s">
        <v>4108</v>
      </c>
      <c r="G2861" s="765">
        <v>0</v>
      </c>
    </row>
    <row r="2862" spans="1:7"/>
    <row r="2863" spans="1:7">
      <c r="B2863" s="89" t="s">
        <v>6246</v>
      </c>
      <c r="C2863" s="174"/>
      <c r="D2863" s="174"/>
      <c r="E2863" s="174"/>
      <c r="F2863" s="174"/>
      <c r="G2863" s="174"/>
    </row>
    <row r="2864" spans="1:7" ht="36">
      <c r="B2864" s="114" t="s">
        <v>7243</v>
      </c>
      <c r="C2864" s="191" t="s">
        <v>2378</v>
      </c>
      <c r="D2864" s="191" t="s">
        <v>2370</v>
      </c>
      <c r="E2864" s="191" t="s">
        <v>1166</v>
      </c>
      <c r="F2864" s="414" t="s">
        <v>6247</v>
      </c>
      <c r="G2864" s="414" t="s">
        <v>6248</v>
      </c>
    </row>
    <row r="2865" spans="2:7">
      <c r="B2865" s="36">
        <v>1</v>
      </c>
      <c r="C2865" s="38" t="s">
        <v>6976</v>
      </c>
      <c r="D2865" s="38"/>
      <c r="E2865" s="38">
        <v>0</v>
      </c>
      <c r="F2865" s="38">
        <v>0</v>
      </c>
      <c r="G2865" s="38">
        <v>0</v>
      </c>
    </row>
    <row r="2866" spans="2:7">
      <c r="B2866" s="1268" t="s">
        <v>2380</v>
      </c>
      <c r="C2866" s="1268"/>
      <c r="D2866" s="1268"/>
      <c r="E2866" s="1268"/>
      <c r="F2866" s="38" t="s">
        <v>4108</v>
      </c>
      <c r="G2866" s="765">
        <v>0</v>
      </c>
    </row>
    <row r="2867" spans="2:7"/>
    <row r="2868" spans="2:7">
      <c r="B2868" s="89" t="s">
        <v>6252</v>
      </c>
      <c r="C2868" s="174"/>
      <c r="D2868" s="174"/>
      <c r="E2868" s="174"/>
      <c r="F2868" s="174"/>
      <c r="G2868" s="174"/>
    </row>
    <row r="2869" spans="2:7" ht="36">
      <c r="B2869" s="114" t="s">
        <v>7243</v>
      </c>
      <c r="C2869" s="191" t="s">
        <v>2378</v>
      </c>
      <c r="D2869" s="191" t="s">
        <v>2370</v>
      </c>
      <c r="E2869" s="191" t="s">
        <v>1166</v>
      </c>
      <c r="F2869" s="414" t="s">
        <v>6247</v>
      </c>
      <c r="G2869" s="414" t="s">
        <v>6248</v>
      </c>
    </row>
    <row r="2870" spans="2:7">
      <c r="B2870" s="36">
        <v>1</v>
      </c>
      <c r="C2870" s="38" t="s">
        <v>7955</v>
      </c>
      <c r="D2870" s="38" t="s">
        <v>1172</v>
      </c>
      <c r="E2870" s="38">
        <v>3</v>
      </c>
      <c r="F2870" s="67">
        <f>'BASIC DATA'!$C$473</f>
        <v>450</v>
      </c>
      <c r="G2870" s="38">
        <f>E2870*F2870</f>
        <v>1350</v>
      </c>
    </row>
    <row r="2871" spans="2:7">
      <c r="B2871" s="36">
        <v>2</v>
      </c>
      <c r="C2871" s="38" t="s">
        <v>4647</v>
      </c>
      <c r="D2871" s="38" t="s">
        <v>1172</v>
      </c>
      <c r="E2871" s="38">
        <v>26</v>
      </c>
      <c r="F2871" s="67">
        <f>'BASIC DATA'!$C$552</f>
        <v>350</v>
      </c>
      <c r="G2871" s="38">
        <f>E2871*F2871</f>
        <v>9100</v>
      </c>
    </row>
    <row r="2872" spans="2:7">
      <c r="B2872" s="1268" t="s">
        <v>7956</v>
      </c>
      <c r="C2872" s="1268"/>
      <c r="D2872" s="1268"/>
      <c r="E2872" s="1268"/>
      <c r="F2872" s="38" t="s">
        <v>4108</v>
      </c>
      <c r="G2872" s="765">
        <f>SUM(G2870:G2871)</f>
        <v>10450</v>
      </c>
    </row>
    <row r="2873" spans="2:7"/>
    <row r="2874" spans="2:7">
      <c r="B2874" s="325" t="s">
        <v>1175</v>
      </c>
    </row>
    <row r="2875" spans="2:7">
      <c r="B2875" s="27" t="s">
        <v>7957</v>
      </c>
      <c r="F2875" s="26" t="s">
        <v>4108</v>
      </c>
      <c r="G2875" s="68">
        <f>G2861</f>
        <v>0</v>
      </c>
    </row>
    <row r="2876" spans="2:7">
      <c r="B2876" s="27" t="s">
        <v>7958</v>
      </c>
      <c r="F2876" s="26" t="s">
        <v>4108</v>
      </c>
      <c r="G2876" s="68">
        <f>G2866</f>
        <v>0</v>
      </c>
    </row>
    <row r="2877" spans="2:7">
      <c r="B2877" s="27" t="s">
        <v>7959</v>
      </c>
      <c r="F2877" s="26" t="s">
        <v>4108</v>
      </c>
      <c r="G2877" s="68">
        <f>G2872</f>
        <v>10450</v>
      </c>
    </row>
    <row r="2878" spans="2:7">
      <c r="B2878" s="27"/>
      <c r="D2878" s="26" t="s">
        <v>1518</v>
      </c>
      <c r="G2878" s="205">
        <f>SUM(G2875:G2877)</f>
        <v>10450</v>
      </c>
    </row>
    <row r="2879" spans="2:7">
      <c r="B2879" s="27" t="s">
        <v>7960</v>
      </c>
      <c r="E2879" s="201">
        <f>'BASIC DATA'!$C$577</f>
        <v>0.13614999999999999</v>
      </c>
      <c r="G2879" s="26">
        <f>G2878*E2879</f>
        <v>1422.7674999999999</v>
      </c>
    </row>
    <row r="2880" spans="2:7">
      <c r="B2880" s="27" t="s">
        <v>9691</v>
      </c>
      <c r="D2880" s="26">
        <f>F2857</f>
        <v>2000</v>
      </c>
      <c r="E2880" s="26" t="str">
        <f>G2857</f>
        <v>Sqm</v>
      </c>
      <c r="G2880" s="211">
        <f>SUM(G2878:G2879)</f>
        <v>11872.7675</v>
      </c>
    </row>
    <row r="2881" spans="1:7">
      <c r="B2881" s="170" t="s">
        <v>3884</v>
      </c>
      <c r="C2881" s="170" t="str">
        <f>E2880</f>
        <v>Sqm</v>
      </c>
      <c r="D2881" s="26" t="s">
        <v>7963</v>
      </c>
      <c r="G2881" s="170">
        <f>ROUND(G2880/D2880,1)</f>
        <v>5.9</v>
      </c>
    </row>
    <row r="2882" spans="1:7"/>
    <row r="2883" spans="1:7">
      <c r="A2883" s="823" t="s">
        <v>7974</v>
      </c>
      <c r="B2883" s="79" t="s">
        <v>7968</v>
      </c>
    </row>
    <row r="2884" spans="1:7"/>
    <row r="2885" spans="1:7">
      <c r="C2885" s="79" t="s">
        <v>2367</v>
      </c>
    </row>
    <row r="2886" spans="1:7">
      <c r="B2886" s="26"/>
      <c r="E2886" s="26" t="s">
        <v>7953</v>
      </c>
      <c r="F2886" s="170">
        <v>2000</v>
      </c>
      <c r="G2886" s="26" t="s">
        <v>5860</v>
      </c>
    </row>
    <row r="2887" spans="1:7">
      <c r="B2887" s="89" t="s">
        <v>7952</v>
      </c>
      <c r="C2887" s="174"/>
      <c r="D2887" s="174"/>
      <c r="E2887" s="174"/>
      <c r="F2887" s="174"/>
      <c r="G2887" s="174"/>
    </row>
    <row r="2888" spans="1:7" ht="36">
      <c r="B2888" s="114" t="s">
        <v>7243</v>
      </c>
      <c r="C2888" s="191" t="s">
        <v>4443</v>
      </c>
      <c r="D2888" s="191" t="s">
        <v>2370</v>
      </c>
      <c r="E2888" s="191" t="s">
        <v>1166</v>
      </c>
      <c r="F2888" s="414" t="s">
        <v>6247</v>
      </c>
      <c r="G2888" s="414" t="s">
        <v>6248</v>
      </c>
    </row>
    <row r="2889" spans="1:7">
      <c r="B2889" s="36">
        <v>1</v>
      </c>
      <c r="C2889" s="38" t="s">
        <v>6976</v>
      </c>
      <c r="D2889" s="38"/>
      <c r="E2889" s="38">
        <v>0</v>
      </c>
      <c r="F2889" s="38">
        <v>0</v>
      </c>
      <c r="G2889" s="38">
        <v>0</v>
      </c>
    </row>
    <row r="2890" spans="1:7">
      <c r="B2890" s="1268" t="s">
        <v>7954</v>
      </c>
      <c r="C2890" s="1268"/>
      <c r="D2890" s="1268"/>
      <c r="E2890" s="1268"/>
      <c r="F2890" s="38" t="s">
        <v>4108</v>
      </c>
      <c r="G2890" s="765">
        <v>0</v>
      </c>
    </row>
    <row r="2891" spans="1:7"/>
    <row r="2892" spans="1:7">
      <c r="B2892" s="89" t="s">
        <v>6246</v>
      </c>
      <c r="C2892" s="174"/>
      <c r="D2892" s="174"/>
      <c r="E2892" s="174"/>
      <c r="F2892" s="174"/>
      <c r="G2892" s="174"/>
    </row>
    <row r="2893" spans="1:7" ht="36">
      <c r="B2893" s="114" t="s">
        <v>7243</v>
      </c>
      <c r="C2893" s="191" t="s">
        <v>2378</v>
      </c>
      <c r="D2893" s="191" t="s">
        <v>2370</v>
      </c>
      <c r="E2893" s="191" t="s">
        <v>1166</v>
      </c>
      <c r="F2893" s="414" t="s">
        <v>6247</v>
      </c>
      <c r="G2893" s="414" t="s">
        <v>6248</v>
      </c>
    </row>
    <row r="2894" spans="1:7">
      <c r="B2894" s="36">
        <v>1</v>
      </c>
      <c r="C2894" s="38" t="s">
        <v>6976</v>
      </c>
      <c r="D2894" s="38"/>
      <c r="E2894" s="38">
        <v>0</v>
      </c>
      <c r="F2894" s="38">
        <v>0</v>
      </c>
      <c r="G2894" s="38">
        <v>0</v>
      </c>
    </row>
    <row r="2895" spans="1:7">
      <c r="B2895" s="1268" t="s">
        <v>2380</v>
      </c>
      <c r="C2895" s="1268"/>
      <c r="D2895" s="1268"/>
      <c r="E2895" s="1268"/>
      <c r="F2895" s="38" t="s">
        <v>4108</v>
      </c>
      <c r="G2895" s="765">
        <v>0</v>
      </c>
    </row>
    <row r="2896" spans="1:7"/>
    <row r="2897" spans="1:7">
      <c r="B2897" s="89" t="s">
        <v>6252</v>
      </c>
      <c r="C2897" s="174"/>
      <c r="D2897" s="174"/>
      <c r="E2897" s="174"/>
      <c r="F2897" s="174"/>
      <c r="G2897" s="174"/>
    </row>
    <row r="2898" spans="1:7" ht="36">
      <c r="B2898" s="114" t="s">
        <v>7243</v>
      </c>
      <c r="C2898" s="191" t="s">
        <v>2378</v>
      </c>
      <c r="D2898" s="191" t="s">
        <v>2370</v>
      </c>
      <c r="E2898" s="191" t="s">
        <v>1166</v>
      </c>
      <c r="F2898" s="414" t="s">
        <v>6247</v>
      </c>
      <c r="G2898" s="414" t="s">
        <v>6248</v>
      </c>
    </row>
    <row r="2899" spans="1:7">
      <c r="B2899" s="36">
        <v>1</v>
      </c>
      <c r="C2899" s="38" t="s">
        <v>7955</v>
      </c>
      <c r="D2899" s="38" t="s">
        <v>1172</v>
      </c>
      <c r="E2899" s="38">
        <v>1.2</v>
      </c>
      <c r="F2899" s="67">
        <f>'BASIC DATA'!$C$473</f>
        <v>450</v>
      </c>
      <c r="G2899" s="38">
        <f>E2899*F2899</f>
        <v>540</v>
      </c>
    </row>
    <row r="2900" spans="1:7">
      <c r="B2900" s="36">
        <v>2</v>
      </c>
      <c r="C2900" s="38" t="s">
        <v>4647</v>
      </c>
      <c r="D2900" s="38" t="s">
        <v>1172</v>
      </c>
      <c r="E2900" s="38">
        <v>8</v>
      </c>
      <c r="F2900" s="67">
        <f>'BASIC DATA'!$C$552</f>
        <v>350</v>
      </c>
      <c r="G2900" s="38">
        <f>E2900*F2900</f>
        <v>2800</v>
      </c>
    </row>
    <row r="2901" spans="1:7">
      <c r="B2901" s="1268" t="s">
        <v>7956</v>
      </c>
      <c r="C2901" s="1268"/>
      <c r="D2901" s="1268"/>
      <c r="E2901" s="1268"/>
      <c r="F2901" s="38" t="s">
        <v>4108</v>
      </c>
      <c r="G2901" s="765">
        <f>SUM(G2899:G2900)</f>
        <v>3340</v>
      </c>
    </row>
    <row r="2902" spans="1:7"/>
    <row r="2903" spans="1:7">
      <c r="B2903" s="325" t="s">
        <v>1175</v>
      </c>
    </row>
    <row r="2904" spans="1:7">
      <c r="B2904" s="27" t="s">
        <v>7957</v>
      </c>
      <c r="F2904" s="26" t="s">
        <v>4108</v>
      </c>
      <c r="G2904" s="68">
        <f>G2890</f>
        <v>0</v>
      </c>
    </row>
    <row r="2905" spans="1:7">
      <c r="B2905" s="27" t="s">
        <v>7958</v>
      </c>
      <c r="F2905" s="26" t="s">
        <v>4108</v>
      </c>
      <c r="G2905" s="68">
        <f>G2895</f>
        <v>0</v>
      </c>
    </row>
    <row r="2906" spans="1:7">
      <c r="B2906" s="27" t="s">
        <v>7959</v>
      </c>
      <c r="F2906" s="26" t="s">
        <v>4108</v>
      </c>
      <c r="G2906" s="68">
        <f>G2901</f>
        <v>3340</v>
      </c>
    </row>
    <row r="2907" spans="1:7">
      <c r="B2907" s="27"/>
      <c r="D2907" s="26" t="s">
        <v>1518</v>
      </c>
      <c r="G2907" s="205">
        <f>SUM(G2904:G2906)</f>
        <v>3340</v>
      </c>
    </row>
    <row r="2908" spans="1:7">
      <c r="B2908" s="27" t="s">
        <v>7960</v>
      </c>
      <c r="E2908" s="201">
        <f>'BASIC DATA'!$C$577</f>
        <v>0.13614999999999999</v>
      </c>
      <c r="G2908" s="26">
        <f>G2907*E2908</f>
        <v>454.74099999999999</v>
      </c>
    </row>
    <row r="2909" spans="1:7">
      <c r="B2909" s="27" t="s">
        <v>9691</v>
      </c>
      <c r="D2909" s="26">
        <f>F2886</f>
        <v>2000</v>
      </c>
      <c r="E2909" s="26" t="str">
        <f>G2886</f>
        <v>Sqm</v>
      </c>
      <c r="G2909" s="211">
        <f>SUM(G2907:G2908)</f>
        <v>3794.741</v>
      </c>
    </row>
    <row r="2910" spans="1:7">
      <c r="B2910" s="170" t="s">
        <v>3884</v>
      </c>
      <c r="C2910" s="170" t="str">
        <f>E2909</f>
        <v>Sqm</v>
      </c>
      <c r="D2910" s="26" t="s">
        <v>7963</v>
      </c>
      <c r="G2910" s="170">
        <f>ROUND(G2909/D2909,1)</f>
        <v>1.9</v>
      </c>
    </row>
    <row r="2911" spans="1:7"/>
    <row r="2912" spans="1:7" ht="54">
      <c r="A2912" s="847" t="s">
        <v>9752</v>
      </c>
      <c r="B2912" s="804" t="s">
        <v>9473</v>
      </c>
    </row>
    <row r="2913" spans="1:7">
      <c r="A2913" s="822"/>
      <c r="B2913" s="785" t="s">
        <v>9474</v>
      </c>
    </row>
    <row r="2914" spans="1:7">
      <c r="A2914" s="822"/>
      <c r="B2914" s="27" t="s">
        <v>9476</v>
      </c>
    </row>
    <row r="2915" spans="1:7">
      <c r="A2915" s="822"/>
      <c r="B2915" s="27" t="s">
        <v>9477</v>
      </c>
    </row>
    <row r="2916" spans="1:7">
      <c r="A2916" s="822"/>
      <c r="B2916" s="27" t="s">
        <v>9475</v>
      </c>
    </row>
    <row r="2917" spans="1:7">
      <c r="A2917" s="822"/>
      <c r="B2917" s="27"/>
    </row>
    <row r="2918" spans="1:7">
      <c r="A2918" s="822" t="s">
        <v>9215</v>
      </c>
      <c r="C2918" s="325" t="s">
        <v>608</v>
      </c>
      <c r="E2918" s="26" t="s">
        <v>1434</v>
      </c>
      <c r="F2918" s="26">
        <v>100</v>
      </c>
      <c r="G2918" s="26" t="s">
        <v>5860</v>
      </c>
    </row>
    <row r="2919" spans="1:7">
      <c r="A2919" s="822" t="s">
        <v>9478</v>
      </c>
    </row>
    <row r="2920" spans="1:7">
      <c r="B2920" s="36" t="s">
        <v>7243</v>
      </c>
      <c r="C2920" s="36" t="s">
        <v>4443</v>
      </c>
      <c r="D2920" s="38" t="s">
        <v>2370</v>
      </c>
      <c r="E2920" s="38" t="s">
        <v>1166</v>
      </c>
      <c r="F2920" s="38" t="s">
        <v>6247</v>
      </c>
      <c r="G2920" s="38" t="s">
        <v>6248</v>
      </c>
    </row>
    <row r="2921" spans="1:7">
      <c r="A2921" s="822"/>
      <c r="B2921" s="36">
        <v>1</v>
      </c>
      <c r="C2921" s="38" t="s">
        <v>9479</v>
      </c>
      <c r="D2921" s="38" t="s">
        <v>3482</v>
      </c>
      <c r="E2921" s="36">
        <v>13</v>
      </c>
      <c r="F2921" s="82">
        <f>'BASIC DATA'!$D$168</f>
        <v>130</v>
      </c>
      <c r="G2921" s="36">
        <f t="shared" ref="G2921:G2927" si="14">E2921*F2921</f>
        <v>1690</v>
      </c>
    </row>
    <row r="2922" spans="1:7">
      <c r="A2922" s="822"/>
      <c r="B2922" s="36">
        <v>2</v>
      </c>
      <c r="C2922" s="38" t="s">
        <v>4758</v>
      </c>
      <c r="D2922" s="38" t="s">
        <v>3482</v>
      </c>
      <c r="E2922" s="36">
        <v>14</v>
      </c>
      <c r="F2922" s="82">
        <f>'BASIC DATA'!$D$185</f>
        <v>700</v>
      </c>
      <c r="G2922" s="36">
        <f t="shared" si="14"/>
        <v>9800</v>
      </c>
    </row>
    <row r="2923" spans="1:7">
      <c r="A2923" s="822"/>
      <c r="B2923" s="36">
        <v>3</v>
      </c>
      <c r="C2923" s="38" t="s">
        <v>9458</v>
      </c>
      <c r="D2923" s="38" t="s">
        <v>3482</v>
      </c>
      <c r="E2923" s="36">
        <f>E2922*10%</f>
        <v>1.4000000000000001</v>
      </c>
      <c r="F2923" s="82">
        <f>'BASIC DATA'!$D$818</f>
        <v>100</v>
      </c>
      <c r="G2923" s="36">
        <f t="shared" si="14"/>
        <v>140</v>
      </c>
    </row>
    <row r="2924" spans="1:7">
      <c r="A2924" s="822"/>
      <c r="B2924" s="36">
        <v>4</v>
      </c>
      <c r="C2924" s="38" t="s">
        <v>9480</v>
      </c>
      <c r="D2924" s="38" t="s">
        <v>3482</v>
      </c>
      <c r="E2924" s="36">
        <v>40</v>
      </c>
      <c r="F2924" s="36">
        <f>'BASIC DATA'!$D$169</f>
        <v>215</v>
      </c>
      <c r="G2924" s="36">
        <f t="shared" si="14"/>
        <v>8600</v>
      </c>
    </row>
    <row r="2925" spans="1:7">
      <c r="A2925" s="822"/>
      <c r="B2925" s="36">
        <v>5</v>
      </c>
      <c r="C2925" s="38" t="s">
        <v>9458</v>
      </c>
      <c r="D2925" s="38" t="s">
        <v>3482</v>
      </c>
      <c r="E2925" s="36">
        <f>E2924*10%</f>
        <v>4</v>
      </c>
      <c r="F2925" s="82">
        <f>'BASIC DATA'!$D$818</f>
        <v>100</v>
      </c>
      <c r="G2925" s="36">
        <f t="shared" si="14"/>
        <v>400</v>
      </c>
    </row>
    <row r="2926" spans="1:7">
      <c r="A2926" s="822"/>
      <c r="B2926" s="36">
        <v>6</v>
      </c>
      <c r="C2926" s="38" t="s">
        <v>9481</v>
      </c>
      <c r="D2926" s="38" t="s">
        <v>3482</v>
      </c>
      <c r="E2926" s="36">
        <v>2</v>
      </c>
      <c r="F2926" s="36">
        <f>'BASIC DATA'!$D$111</f>
        <v>41</v>
      </c>
      <c r="G2926" s="36">
        <f t="shared" si="14"/>
        <v>82</v>
      </c>
    </row>
    <row r="2927" spans="1:7" ht="36">
      <c r="A2927" s="822"/>
      <c r="B2927" s="36">
        <v>7</v>
      </c>
      <c r="C2927" s="42" t="s">
        <v>9482</v>
      </c>
      <c r="D2927" s="38" t="s">
        <v>2173</v>
      </c>
      <c r="E2927" s="36">
        <v>3</v>
      </c>
      <c r="F2927" s="36">
        <f>'BASIC DATA'!$D$359</f>
        <v>30</v>
      </c>
      <c r="G2927" s="36">
        <f t="shared" si="14"/>
        <v>90</v>
      </c>
    </row>
    <row r="2928" spans="1:7">
      <c r="A2928" s="822"/>
      <c r="B2928" s="36"/>
      <c r="C2928" s="38"/>
      <c r="D2928" s="38" t="s">
        <v>7954</v>
      </c>
      <c r="E2928" s="38"/>
      <c r="F2928" s="38"/>
      <c r="G2928" s="805">
        <f>SUM(G2921:G2927)</f>
        <v>20802</v>
      </c>
    </row>
    <row r="2929" spans="1:7">
      <c r="A2929" s="822"/>
    </row>
    <row r="2930" spans="1:7">
      <c r="A2930" s="822" t="s">
        <v>9483</v>
      </c>
    </row>
    <row r="2931" spans="1:7">
      <c r="A2931" s="822"/>
      <c r="B2931" s="36" t="s">
        <v>7243</v>
      </c>
      <c r="C2931" s="36" t="s">
        <v>4443</v>
      </c>
      <c r="D2931" s="38" t="s">
        <v>2370</v>
      </c>
      <c r="E2931" s="38" t="s">
        <v>1166</v>
      </c>
      <c r="F2931" s="38" t="s">
        <v>6247</v>
      </c>
      <c r="G2931" s="38" t="s">
        <v>6248</v>
      </c>
    </row>
    <row r="2932" spans="1:7">
      <c r="A2932" s="822"/>
      <c r="B2932" s="36"/>
      <c r="C2932" s="38" t="s">
        <v>6976</v>
      </c>
      <c r="D2932" s="38"/>
      <c r="E2932" s="36"/>
      <c r="F2932" s="82"/>
      <c r="G2932" s="36"/>
    </row>
    <row r="2933" spans="1:7">
      <c r="A2933" s="822"/>
      <c r="B2933" s="36"/>
      <c r="C2933" s="38"/>
      <c r="D2933" s="38" t="s">
        <v>9484</v>
      </c>
      <c r="E2933" s="38"/>
      <c r="F2933" s="38"/>
      <c r="G2933" s="805">
        <v>0</v>
      </c>
    </row>
    <row r="2934" spans="1:7">
      <c r="A2934" s="822"/>
    </row>
    <row r="2935" spans="1:7">
      <c r="A2935" s="822" t="s">
        <v>9485</v>
      </c>
    </row>
    <row r="2936" spans="1:7">
      <c r="A2936" s="822"/>
      <c r="B2936" s="36" t="s">
        <v>7243</v>
      </c>
      <c r="C2936" s="36" t="s">
        <v>4443</v>
      </c>
      <c r="D2936" s="38" t="s">
        <v>2370</v>
      </c>
      <c r="E2936" s="38" t="s">
        <v>1166</v>
      </c>
      <c r="F2936" s="38" t="s">
        <v>6247</v>
      </c>
      <c r="G2936" s="38" t="s">
        <v>6248</v>
      </c>
    </row>
    <row r="2937" spans="1:7">
      <c r="A2937" s="822"/>
      <c r="B2937" s="36">
        <v>1</v>
      </c>
      <c r="C2937" s="38" t="s">
        <v>2745</v>
      </c>
      <c r="D2937" s="38" t="s">
        <v>1172</v>
      </c>
      <c r="E2937" s="36">
        <v>20</v>
      </c>
      <c r="F2937" s="82">
        <f>'BASIC DATA'!$C$543</f>
        <v>400</v>
      </c>
      <c r="G2937" s="36">
        <f>E2937*F2937</f>
        <v>8000</v>
      </c>
    </row>
    <row r="2938" spans="1:7">
      <c r="A2938" s="822"/>
      <c r="B2938" s="36">
        <v>2</v>
      </c>
      <c r="C2938" s="38" t="s">
        <v>6199</v>
      </c>
      <c r="D2938" s="38" t="s">
        <v>1172</v>
      </c>
      <c r="E2938" s="36">
        <v>20</v>
      </c>
      <c r="F2938" s="82">
        <f>'BASIC DATA'!$C$552</f>
        <v>350</v>
      </c>
      <c r="G2938" s="36">
        <f>E2938*F2938</f>
        <v>7000</v>
      </c>
    </row>
    <row r="2939" spans="1:7">
      <c r="A2939" s="822"/>
      <c r="B2939" s="36"/>
      <c r="C2939" s="38"/>
      <c r="D2939" s="38" t="s">
        <v>9484</v>
      </c>
      <c r="E2939" s="38"/>
      <c r="F2939" s="38"/>
      <c r="G2939" s="805">
        <f>SUM(G2937:G2938)</f>
        <v>15000</v>
      </c>
    </row>
    <row r="2940" spans="1:7">
      <c r="A2940" s="822"/>
      <c r="B2940" s="27" t="s">
        <v>9486</v>
      </c>
      <c r="F2940" s="26">
        <f>G2939/F2918</f>
        <v>150</v>
      </c>
    </row>
    <row r="2941" spans="1:7">
      <c r="A2941" s="822"/>
      <c r="B2941" s="27" t="s">
        <v>9488</v>
      </c>
      <c r="E2941" s="922">
        <f>'BASIC DATA'!$C$577</f>
        <v>0.13614999999999999</v>
      </c>
      <c r="F2941" s="26">
        <f>F2940*E2941</f>
        <v>20.422499999999999</v>
      </c>
    </row>
    <row r="2942" spans="1:7">
      <c r="A2942" s="822"/>
      <c r="B2942" s="27" t="s">
        <v>9489</v>
      </c>
      <c r="F2942" s="170">
        <f>SUM(F2940:F2941)</f>
        <v>170.42250000000001</v>
      </c>
    </row>
    <row r="2943" spans="1:7">
      <c r="A2943" s="822"/>
      <c r="B2943" s="27"/>
      <c r="F2943" s="170"/>
    </row>
    <row r="2944" spans="1:7">
      <c r="A2944" s="822"/>
      <c r="B2944" s="79" t="s">
        <v>1175</v>
      </c>
      <c r="F2944" s="170"/>
    </row>
    <row r="2945" spans="1:8">
      <c r="A2945" s="822"/>
      <c r="B2945" s="79" t="s">
        <v>9490</v>
      </c>
      <c r="F2945" s="78">
        <f>G2928</f>
        <v>20802</v>
      </c>
    </row>
    <row r="2946" spans="1:8">
      <c r="A2946" s="822"/>
      <c r="B2946" s="79" t="s">
        <v>7003</v>
      </c>
      <c r="F2946" s="78">
        <f>G2933</f>
        <v>0</v>
      </c>
    </row>
    <row r="2947" spans="1:8">
      <c r="A2947" s="822"/>
      <c r="B2947" s="79" t="s">
        <v>2660</v>
      </c>
      <c r="F2947" s="78">
        <f>G2939</f>
        <v>15000</v>
      </c>
    </row>
    <row r="2948" spans="1:8">
      <c r="A2948" s="822"/>
      <c r="B2948" s="27"/>
      <c r="D2948" s="26" t="s">
        <v>1518</v>
      </c>
      <c r="F2948" s="325">
        <f>SUM(F2945:F2947)</f>
        <v>35802</v>
      </c>
    </row>
    <row r="2949" spans="1:8">
      <c r="A2949" s="822"/>
      <c r="B2949" s="27" t="s">
        <v>9491</v>
      </c>
      <c r="E2949" s="201">
        <f>'BASIC DATA'!$C$593</f>
        <v>0</v>
      </c>
      <c r="F2949" s="78">
        <f>F2948*E2949</f>
        <v>0</v>
      </c>
    </row>
    <row r="2950" spans="1:8">
      <c r="A2950" s="822"/>
      <c r="B2950" s="27"/>
      <c r="D2950" s="26" t="s">
        <v>1518</v>
      </c>
      <c r="F2950" s="325">
        <f>SUM(F2948:F2949)</f>
        <v>35802</v>
      </c>
    </row>
    <row r="2951" spans="1:8">
      <c r="A2951" s="822"/>
      <c r="B2951" s="27" t="s">
        <v>9674</v>
      </c>
      <c r="E2951" s="201">
        <f>'BASIC DATA'!$C$594</f>
        <v>0.03</v>
      </c>
      <c r="F2951" s="78">
        <f>E2951*F2950</f>
        <v>1074.06</v>
      </c>
    </row>
    <row r="2952" spans="1:8">
      <c r="A2952" s="822"/>
      <c r="D2952" s="26" t="s">
        <v>1518</v>
      </c>
      <c r="F2952" s="325">
        <f>SUM(F2950:F2951)</f>
        <v>36876.06</v>
      </c>
    </row>
    <row r="2953" spans="1:8">
      <c r="A2953" s="822"/>
      <c r="F2953" s="325"/>
    </row>
    <row r="2954" spans="1:8">
      <c r="A2954" s="1270" t="s">
        <v>9960</v>
      </c>
      <c r="B2954" s="1270"/>
      <c r="C2954" s="1270"/>
      <c r="D2954" s="1270"/>
      <c r="E2954" s="922">
        <f>'BASIC DATA'!$C$577</f>
        <v>0.13614999999999999</v>
      </c>
      <c r="F2954" s="186">
        <f>F2952*E2954</f>
        <v>5020.6755689999991</v>
      </c>
    </row>
    <row r="2955" spans="1:8">
      <c r="A2955" s="822"/>
      <c r="C2955" s="171" t="s">
        <v>9494</v>
      </c>
      <c r="D2955" s="26">
        <f>F2918</f>
        <v>100</v>
      </c>
      <c r="E2955" s="26" t="str">
        <f>G2918</f>
        <v>Sqm</v>
      </c>
      <c r="F2955" s="68">
        <f>SUM(F2952:F2954)</f>
        <v>41896.735568999997</v>
      </c>
    </row>
    <row r="2956" spans="1:8">
      <c r="A2956" s="822"/>
      <c r="C2956" s="26" t="s">
        <v>3884</v>
      </c>
      <c r="D2956" s="26" t="str">
        <f>E2955</f>
        <v>Sqm</v>
      </c>
      <c r="F2956" s="170">
        <f>ROUND(F2955/D2955,1)</f>
        <v>419</v>
      </c>
    </row>
    <row r="2957" spans="1:8">
      <c r="A2957" s="822"/>
      <c r="F2957" s="325"/>
    </row>
    <row r="2958" spans="1:8" ht="54.75" hidden="1" customHeight="1">
      <c r="B2958" s="1210"/>
      <c r="C2958" s="1210"/>
      <c r="D2958" s="1210"/>
      <c r="E2958" s="1210"/>
      <c r="F2958" s="1210"/>
      <c r="G2958" s="1210"/>
      <c r="H2958" s="1210"/>
    </row>
    <row r="2959" spans="1:8" hidden="1">
      <c r="A2959" s="822"/>
      <c r="F2959" s="325"/>
    </row>
    <row r="2960" spans="1:8" ht="42" hidden="1" customHeight="1">
      <c r="B2960" s="1207"/>
      <c r="C2960" s="1207"/>
      <c r="D2960" s="1207"/>
      <c r="E2960" s="1207"/>
      <c r="F2960" s="1207"/>
      <c r="G2960" s="1207"/>
    </row>
    <row r="2961" spans="1:9" hidden="1">
      <c r="A2961" s="822"/>
      <c r="F2961" s="325"/>
    </row>
    <row r="2962" spans="1:9" hidden="1">
      <c r="A2962" s="822"/>
      <c r="B2962" s="1085"/>
      <c r="C2962" s="1135"/>
      <c r="D2962" s="31"/>
      <c r="E2962" s="200"/>
      <c r="F2962" s="1133"/>
      <c r="G2962" s="31"/>
    </row>
    <row r="2963" spans="1:9" hidden="1">
      <c r="A2963" s="847"/>
      <c r="B2963" s="1081"/>
      <c r="C2963" s="355"/>
      <c r="D2963" s="31"/>
      <c r="E2963" s="31"/>
      <c r="F2963" s="31"/>
      <c r="G2963" s="31"/>
    </row>
    <row r="2964" spans="1:9" hidden="1">
      <c r="A2964" s="847"/>
      <c r="B2964" s="1085"/>
      <c r="C2964" s="103"/>
      <c r="D2964" s="1085"/>
      <c r="E2964" s="1085"/>
      <c r="F2964" s="1085"/>
      <c r="G2964" s="1085"/>
    </row>
    <row r="2965" spans="1:9" hidden="1">
      <c r="A2965" s="847"/>
      <c r="B2965" s="1085"/>
      <c r="C2965" s="355"/>
      <c r="D2965" s="1085"/>
      <c r="E2965" s="1085"/>
      <c r="F2965" s="1085"/>
      <c r="G2965" s="1085"/>
    </row>
    <row r="2966" spans="1:9" hidden="1">
      <c r="A2966" s="847"/>
      <c r="B2966" s="1085"/>
      <c r="C2966" s="103"/>
      <c r="D2966" s="1085"/>
      <c r="E2966" s="75"/>
      <c r="F2966" s="75"/>
      <c r="G2966" s="75"/>
    </row>
    <row r="2967" spans="1:9" hidden="1">
      <c r="A2967" s="847"/>
      <c r="B2967" s="200"/>
      <c r="C2967" s="1084"/>
      <c r="D2967" s="1085"/>
      <c r="E2967" s="75"/>
      <c r="F2967" s="75"/>
      <c r="G2967" s="75"/>
    </row>
    <row r="2968" spans="1:9" hidden="1">
      <c r="A2968" s="847"/>
      <c r="B2968" s="1085"/>
      <c r="C2968" s="1132"/>
      <c r="D2968" s="31"/>
      <c r="E2968" s="31"/>
      <c r="F2968" s="200"/>
      <c r="G2968" s="1133"/>
    </row>
    <row r="2969" spans="1:9" hidden="1">
      <c r="A2969" s="847"/>
      <c r="B2969" s="1085"/>
      <c r="C2969" s="355"/>
      <c r="D2969" s="31"/>
      <c r="E2969" s="31"/>
      <c r="F2969" s="31"/>
      <c r="G2969" s="75"/>
    </row>
    <row r="2970" spans="1:9" hidden="1">
      <c r="A2970" s="847"/>
      <c r="B2970" s="1081"/>
      <c r="C2970" s="355"/>
      <c r="D2970" s="31"/>
      <c r="E2970" s="31"/>
      <c r="F2970" s="31"/>
      <c r="G2970" s="31"/>
    </row>
    <row r="2971" spans="1:9" hidden="1">
      <c r="A2971" s="847"/>
      <c r="B2971" s="1085"/>
      <c r="C2971" s="103"/>
      <c r="D2971" s="1085"/>
      <c r="E2971" s="1085"/>
      <c r="F2971" s="1085"/>
      <c r="G2971" s="1085"/>
    </row>
    <row r="2972" spans="1:9" hidden="1">
      <c r="A2972" s="847"/>
      <c r="B2972" s="1085"/>
      <c r="C2972" s="355"/>
      <c r="D2972" s="1085"/>
      <c r="E2972" s="1085"/>
      <c r="F2972" s="1085"/>
      <c r="G2972" s="1085"/>
    </row>
    <row r="2973" spans="1:9" hidden="1">
      <c r="A2973" s="847"/>
      <c r="B2973" s="1085"/>
      <c r="C2973" s="1084"/>
      <c r="D2973" s="1085"/>
      <c r="E2973" s="75"/>
      <c r="F2973" s="75"/>
      <c r="G2973" s="75"/>
      <c r="H2973" s="75"/>
      <c r="I2973" s="75"/>
    </row>
    <row r="2974" spans="1:9" hidden="1">
      <c r="A2974" s="847"/>
      <c r="B2974" s="1086"/>
      <c r="C2974" s="1084"/>
      <c r="D2974" s="1085"/>
      <c r="E2974" s="75"/>
      <c r="F2974" s="75"/>
      <c r="G2974" s="75"/>
      <c r="H2974" s="75"/>
    </row>
    <row r="2975" spans="1:9" hidden="1">
      <c r="A2975" s="847"/>
      <c r="B2975" s="1085"/>
      <c r="C2975" s="1132"/>
      <c r="D2975" s="31"/>
      <c r="E2975" s="31"/>
      <c r="F2975" s="200"/>
      <c r="G2975" s="766"/>
    </row>
    <row r="2976" spans="1:9" hidden="1">
      <c r="A2976" s="847"/>
      <c r="B2976" s="1085"/>
      <c r="C2976" s="355"/>
      <c r="D2976" s="31"/>
      <c r="E2976" s="31"/>
      <c r="F2976" s="31"/>
      <c r="G2976" s="31"/>
    </row>
    <row r="2977" spans="1:7" hidden="1">
      <c r="A2977" s="847"/>
      <c r="B2977" s="1081"/>
      <c r="C2977" s="355"/>
      <c r="D2977" s="31"/>
      <c r="E2977" s="31"/>
      <c r="F2977" s="31"/>
      <c r="G2977" s="31"/>
    </row>
    <row r="2978" spans="1:7" hidden="1">
      <c r="A2978" s="847"/>
      <c r="B2978" s="1085"/>
      <c r="C2978" s="103"/>
      <c r="D2978" s="1085"/>
      <c r="E2978" s="1085"/>
      <c r="F2978" s="1085"/>
      <c r="G2978" s="1085"/>
    </row>
    <row r="2979" spans="1:7" hidden="1">
      <c r="A2979" s="847"/>
      <c r="B2979" s="1085"/>
      <c r="C2979" s="355"/>
      <c r="D2979" s="1085"/>
      <c r="E2979" s="1085"/>
      <c r="F2979" s="1085"/>
      <c r="G2979" s="1085"/>
    </row>
    <row r="2980" spans="1:7" hidden="1">
      <c r="A2980" s="847"/>
      <c r="B2980" s="1085"/>
      <c r="C2980" s="1084"/>
      <c r="D2980" s="1085"/>
      <c r="E2980" s="75"/>
      <c r="F2980" s="75"/>
      <c r="G2980" s="75"/>
    </row>
    <row r="2981" spans="1:7" hidden="1">
      <c r="A2981" s="847"/>
      <c r="B2981" s="1085"/>
      <c r="C2981" s="1084"/>
      <c r="D2981" s="1085"/>
      <c r="E2981" s="75"/>
      <c r="F2981" s="75"/>
      <c r="G2981" s="75"/>
    </row>
    <row r="2982" spans="1:7" hidden="1">
      <c r="A2982" s="847"/>
      <c r="B2982" s="1085"/>
      <c r="C2982" s="1132"/>
      <c r="D2982" s="31"/>
      <c r="E2982" s="31"/>
      <c r="F2982" s="200"/>
      <c r="G2982" s="766"/>
    </row>
    <row r="2983" spans="1:7" hidden="1">
      <c r="A2983" s="847"/>
      <c r="B2983" s="1085"/>
      <c r="C2983" s="355"/>
      <c r="D2983" s="31"/>
      <c r="E2983" s="31"/>
      <c r="F2983" s="31"/>
      <c r="G2983" s="75"/>
    </row>
    <row r="2984" spans="1:7" hidden="1">
      <c r="A2984" s="847"/>
      <c r="B2984" s="32"/>
      <c r="C2984" s="355"/>
      <c r="D2984" s="31"/>
      <c r="E2984" s="31"/>
      <c r="F2984" s="31"/>
      <c r="G2984" s="31"/>
    </row>
    <row r="2985" spans="1:7" hidden="1">
      <c r="A2985" s="847"/>
      <c r="B2985" s="30"/>
      <c r="C2985" s="355"/>
      <c r="D2985" s="31"/>
      <c r="E2985" s="31"/>
      <c r="F2985" s="200"/>
      <c r="G2985" s="75"/>
    </row>
    <row r="2986" spans="1:7" hidden="1">
      <c r="A2986" s="847"/>
      <c r="B2986" s="30"/>
      <c r="C2986" s="355"/>
      <c r="D2986" s="31"/>
      <c r="E2986" s="31"/>
      <c r="F2986" s="200"/>
      <c r="G2986" s="75"/>
    </row>
    <row r="2987" spans="1:7" hidden="1">
      <c r="A2987" s="847"/>
      <c r="B2987" s="30"/>
      <c r="C2987" s="355"/>
      <c r="D2987" s="31"/>
      <c r="E2987" s="31"/>
      <c r="F2987" s="200"/>
      <c r="G2987" s="75"/>
    </row>
    <row r="2988" spans="1:7" hidden="1">
      <c r="A2988" s="847"/>
      <c r="B2988" s="30"/>
      <c r="C2988" s="355"/>
      <c r="D2988" s="301"/>
      <c r="E2988" s="31"/>
      <c r="F2988" s="200"/>
      <c r="G2988" s="75"/>
    </row>
    <row r="2989" spans="1:7" ht="18" hidden="1" customHeight="1">
      <c r="A2989" s="847"/>
      <c r="B2989" s="1215"/>
      <c r="C2989" s="1215"/>
      <c r="D2989" s="1215"/>
      <c r="E2989" s="922"/>
      <c r="F2989" s="200"/>
      <c r="G2989" s="75"/>
    </row>
    <row r="2990" spans="1:7" hidden="1">
      <c r="A2990" s="847"/>
      <c r="B2990" s="30"/>
      <c r="C2990" s="355"/>
      <c r="D2990" s="75"/>
      <c r="E2990" s="31"/>
      <c r="F2990" s="200"/>
      <c r="G2990" s="766"/>
    </row>
    <row r="2991" spans="1:7" hidden="1">
      <c r="A2991" s="847"/>
      <c r="B2991" s="1081"/>
      <c r="C2991" s="1134"/>
      <c r="D2991" s="31"/>
      <c r="E2991" s="31"/>
      <c r="F2991" s="200"/>
      <c r="G2991" s="766"/>
    </row>
    <row r="2992" spans="1:7" ht="18" hidden="1" customHeight="1">
      <c r="A2992" s="822"/>
      <c r="B2992" s="1085"/>
      <c r="C2992" s="31"/>
      <c r="D2992" s="31"/>
      <c r="E2992" s="31"/>
      <c r="F2992" s="28"/>
      <c r="G2992" s="31"/>
    </row>
    <row r="2993" spans="1:9" ht="38.25" hidden="1" customHeight="1">
      <c r="B2993" s="1215"/>
      <c r="C2993" s="1215"/>
      <c r="D2993" s="1215"/>
      <c r="E2993" s="1215"/>
      <c r="F2993" s="1215"/>
      <c r="G2993" s="1215"/>
    </row>
    <row r="2994" spans="1:9" hidden="1">
      <c r="A2994" s="822"/>
      <c r="B2994" s="1085"/>
      <c r="C2994" s="31"/>
      <c r="D2994" s="31"/>
      <c r="E2994" s="31"/>
      <c r="F2994" s="28"/>
      <c r="G2994" s="31"/>
    </row>
    <row r="2995" spans="1:9" hidden="1">
      <c r="A2995" s="822"/>
      <c r="B2995" s="1085"/>
      <c r="C2995" s="1135"/>
      <c r="D2995" s="31"/>
      <c r="E2995" s="200"/>
      <c r="F2995" s="1133"/>
      <c r="G2995" s="31"/>
    </row>
    <row r="2996" spans="1:9" hidden="1">
      <c r="A2996" s="847"/>
      <c r="B2996" s="1081"/>
      <c r="C2996" s="355"/>
      <c r="D2996" s="31"/>
      <c r="E2996" s="31"/>
      <c r="F2996" s="31"/>
      <c r="G2996" s="31"/>
    </row>
    <row r="2997" spans="1:9" hidden="1">
      <c r="A2997" s="847"/>
      <c r="B2997" s="1085"/>
      <c r="C2997" s="103"/>
      <c r="D2997" s="1085"/>
      <c r="E2997" s="1085"/>
      <c r="F2997" s="1085"/>
      <c r="G2997" s="1085"/>
      <c r="H2997" s="31"/>
    </row>
    <row r="2998" spans="1:9" hidden="1">
      <c r="A2998" s="847"/>
      <c r="B2998" s="1085"/>
      <c r="C2998" s="355"/>
      <c r="D2998" s="1085"/>
      <c r="E2998" s="1085"/>
      <c r="F2998" s="1085"/>
      <c r="G2998" s="1085"/>
      <c r="H2998" s="31"/>
    </row>
    <row r="2999" spans="1:9" hidden="1">
      <c r="A2999" s="847"/>
      <c r="B2999" s="1085"/>
      <c r="C2999" s="103"/>
      <c r="D2999" s="1085"/>
      <c r="E2999" s="75"/>
      <c r="F2999" s="75"/>
      <c r="G2999" s="75"/>
      <c r="H2999" s="31"/>
    </row>
    <row r="3000" spans="1:9" hidden="1">
      <c r="A3000" s="847"/>
      <c r="B3000" s="200"/>
      <c r="C3000" s="1084"/>
      <c r="D3000" s="1085"/>
      <c r="E3000" s="75"/>
      <c r="F3000" s="75"/>
      <c r="G3000" s="75"/>
      <c r="H3000" s="31"/>
    </row>
    <row r="3001" spans="1:9" hidden="1">
      <c r="A3001" s="847"/>
      <c r="B3001" s="1085"/>
      <c r="C3001" s="1132"/>
      <c r="D3001" s="31"/>
      <c r="E3001" s="31"/>
      <c r="F3001" s="200"/>
      <c r="G3001" s="1133"/>
      <c r="H3001" s="31"/>
    </row>
    <row r="3002" spans="1:9" hidden="1">
      <c r="A3002" s="847"/>
      <c r="B3002" s="1085"/>
      <c r="C3002" s="355"/>
      <c r="D3002" s="31"/>
      <c r="E3002" s="31"/>
      <c r="F3002" s="31"/>
      <c r="G3002" s="75"/>
      <c r="H3002" s="31"/>
    </row>
    <row r="3003" spans="1:9" hidden="1">
      <c r="A3003" s="847"/>
      <c r="B3003" s="1081"/>
      <c r="C3003" s="355"/>
      <c r="D3003" s="31"/>
      <c r="E3003" s="31"/>
      <c r="F3003" s="31"/>
      <c r="G3003" s="31"/>
      <c r="H3003" s="31"/>
    </row>
    <row r="3004" spans="1:9" hidden="1">
      <c r="A3004" s="847"/>
      <c r="B3004" s="1085"/>
      <c r="C3004" s="103"/>
      <c r="D3004" s="1085"/>
      <c r="E3004" s="1085"/>
      <c r="F3004" s="1085"/>
      <c r="G3004" s="1085"/>
      <c r="H3004" s="31"/>
    </row>
    <row r="3005" spans="1:9" hidden="1">
      <c r="A3005" s="847"/>
      <c r="B3005" s="1085"/>
      <c r="C3005" s="355"/>
      <c r="D3005" s="1085"/>
      <c r="E3005" s="1085"/>
      <c r="F3005" s="1085"/>
      <c r="G3005" s="1085"/>
      <c r="H3005" s="31"/>
    </row>
    <row r="3006" spans="1:9" hidden="1">
      <c r="A3006" s="847"/>
      <c r="B3006" s="1085"/>
      <c r="C3006" s="1084"/>
      <c r="D3006" s="1085"/>
      <c r="E3006" s="75"/>
      <c r="F3006" s="75"/>
      <c r="G3006" s="75"/>
      <c r="H3006" s="75"/>
      <c r="I3006" s="75"/>
    </row>
    <row r="3007" spans="1:9" hidden="1">
      <c r="A3007" s="847"/>
      <c r="B3007" s="1086"/>
      <c r="C3007" s="1084"/>
      <c r="D3007" s="1085"/>
      <c r="E3007" s="75"/>
      <c r="F3007" s="75"/>
      <c r="G3007" s="75"/>
      <c r="H3007" s="75"/>
    </row>
    <row r="3008" spans="1:9" hidden="1">
      <c r="A3008" s="847"/>
      <c r="B3008" s="1085"/>
      <c r="C3008" s="1084"/>
      <c r="D3008" s="1085"/>
      <c r="E3008" s="75"/>
      <c r="F3008" s="75"/>
      <c r="G3008" s="75"/>
      <c r="H3008" s="75"/>
    </row>
    <row r="3009" spans="1:8" hidden="1">
      <c r="A3009" s="847"/>
      <c r="B3009" s="200"/>
      <c r="C3009" s="1084"/>
      <c r="D3009" s="1085"/>
      <c r="E3009" s="75"/>
      <c r="F3009" s="75"/>
      <c r="G3009" s="75"/>
      <c r="H3009" s="75"/>
    </row>
    <row r="3010" spans="1:8" hidden="1">
      <c r="A3010" s="847"/>
      <c r="B3010" s="1085"/>
      <c r="C3010" s="1132"/>
      <c r="D3010" s="31"/>
      <c r="E3010" s="31"/>
      <c r="F3010" s="200"/>
      <c r="G3010" s="766"/>
      <c r="H3010" s="31"/>
    </row>
    <row r="3011" spans="1:8" hidden="1">
      <c r="A3011" s="847"/>
      <c r="B3011" s="1085"/>
      <c r="C3011" s="355"/>
      <c r="D3011" s="31"/>
      <c r="E3011" s="31"/>
      <c r="F3011" s="31"/>
      <c r="G3011" s="31"/>
      <c r="H3011" s="31"/>
    </row>
    <row r="3012" spans="1:8" hidden="1">
      <c r="A3012" s="847"/>
      <c r="B3012" s="1081"/>
      <c r="C3012" s="355"/>
      <c r="D3012" s="31"/>
      <c r="E3012" s="31"/>
      <c r="F3012" s="31"/>
      <c r="G3012" s="31"/>
      <c r="H3012" s="31"/>
    </row>
    <row r="3013" spans="1:8" hidden="1">
      <c r="A3013" s="847"/>
      <c r="B3013" s="1085"/>
      <c r="C3013" s="103"/>
      <c r="D3013" s="1085"/>
      <c r="E3013" s="1085"/>
      <c r="F3013" s="1085"/>
      <c r="G3013" s="1085"/>
      <c r="H3013" s="31"/>
    </row>
    <row r="3014" spans="1:8" hidden="1">
      <c r="A3014" s="847"/>
      <c r="B3014" s="1085"/>
      <c r="C3014" s="355"/>
      <c r="D3014" s="1085"/>
      <c r="E3014" s="1085"/>
      <c r="F3014" s="1085"/>
      <c r="G3014" s="1085"/>
      <c r="H3014" s="31"/>
    </row>
    <row r="3015" spans="1:8" hidden="1">
      <c r="A3015" s="847"/>
      <c r="B3015" s="1085"/>
      <c r="C3015" s="1084"/>
      <c r="D3015" s="1085"/>
      <c r="E3015" s="75"/>
      <c r="F3015" s="75"/>
      <c r="G3015" s="75"/>
      <c r="H3015" s="31"/>
    </row>
    <row r="3016" spans="1:8" hidden="1">
      <c r="A3016" s="847"/>
      <c r="B3016" s="1085"/>
      <c r="C3016" s="1084"/>
      <c r="D3016" s="1085"/>
      <c r="E3016" s="75"/>
      <c r="F3016" s="75"/>
      <c r="G3016" s="75"/>
      <c r="H3016" s="31"/>
    </row>
    <row r="3017" spans="1:8" hidden="1">
      <c r="A3017" s="847"/>
      <c r="B3017" s="1085"/>
      <c r="C3017" s="1084"/>
      <c r="D3017" s="1085"/>
      <c r="E3017" s="75"/>
      <c r="F3017" s="75"/>
      <c r="G3017" s="75"/>
      <c r="H3017" s="31"/>
    </row>
    <row r="3018" spans="1:8" hidden="1">
      <c r="A3018" s="847"/>
      <c r="B3018" s="1085"/>
      <c r="C3018" s="1132"/>
      <c r="D3018" s="31"/>
      <c r="E3018" s="31"/>
      <c r="F3018" s="200"/>
      <c r="G3018" s="766"/>
      <c r="H3018" s="31"/>
    </row>
    <row r="3019" spans="1:8" hidden="1">
      <c r="A3019" s="847"/>
      <c r="B3019" s="1085"/>
      <c r="C3019" s="355"/>
      <c r="D3019" s="31"/>
      <c r="E3019" s="31"/>
      <c r="F3019" s="31"/>
      <c r="G3019" s="75"/>
      <c r="H3019" s="31"/>
    </row>
    <row r="3020" spans="1:8" hidden="1">
      <c r="A3020" s="847"/>
      <c r="B3020" s="32"/>
      <c r="C3020" s="355"/>
      <c r="D3020" s="31"/>
      <c r="E3020" s="31"/>
      <c r="F3020" s="31"/>
      <c r="G3020" s="31"/>
      <c r="H3020" s="31"/>
    </row>
    <row r="3021" spans="1:8" hidden="1">
      <c r="A3021" s="847"/>
      <c r="B3021" s="47"/>
      <c r="C3021" s="48"/>
      <c r="F3021" s="171"/>
      <c r="G3021" s="68"/>
    </row>
    <row r="3022" spans="1:8" ht="18.75" hidden="1" customHeight="1">
      <c r="A3022" s="847"/>
      <c r="B3022" s="47"/>
      <c r="C3022" s="48"/>
      <c r="F3022" s="171"/>
      <c r="G3022" s="68"/>
    </row>
    <row r="3023" spans="1:8" hidden="1">
      <c r="A3023" s="847"/>
      <c r="B3023" s="47"/>
      <c r="C3023" s="48"/>
      <c r="F3023" s="171"/>
      <c r="G3023" s="75"/>
    </row>
    <row r="3024" spans="1:8" hidden="1">
      <c r="A3024" s="847"/>
      <c r="B3024" s="47"/>
      <c r="C3024" s="48"/>
      <c r="D3024" s="250"/>
      <c r="F3024" s="171"/>
      <c r="G3024" s="75"/>
    </row>
    <row r="3025" spans="1:7" ht="18" hidden="1" customHeight="1">
      <c r="A3025" s="847"/>
      <c r="B3025" s="1207"/>
      <c r="C3025" s="1207"/>
      <c r="D3025" s="1207"/>
      <c r="E3025" s="922"/>
      <c r="F3025" s="171"/>
      <c r="G3025" s="31"/>
    </row>
    <row r="3026" spans="1:7" ht="18" hidden="1" customHeight="1">
      <c r="A3026" s="847"/>
      <c r="B3026" s="47"/>
      <c r="C3026" s="48"/>
      <c r="D3026" s="68"/>
      <c r="F3026" s="171"/>
      <c r="G3026" s="766"/>
    </row>
    <row r="3027" spans="1:7" ht="18" hidden="1" customHeight="1">
      <c r="A3027" s="847"/>
      <c r="B3027" s="79"/>
      <c r="C3027" s="356"/>
      <c r="F3027" s="171"/>
      <c r="G3027" s="766"/>
    </row>
    <row r="3028" spans="1:7" ht="18" hidden="1" customHeight="1">
      <c r="G3028" s="31"/>
    </row>
    <row r="3029" spans="1:7" ht="18" hidden="1" customHeight="1">
      <c r="G3029" s="31"/>
    </row>
    <row r="3030" spans="1:7" ht="18" hidden="1" customHeight="1">
      <c r="G3030" s="31"/>
    </row>
    <row r="3031" spans="1:7" ht="18" hidden="1" customHeight="1">
      <c r="G3031" s="31"/>
    </row>
    <row r="3032" spans="1:7" ht="18" hidden="1" customHeight="1">
      <c r="G3032" s="31"/>
    </row>
    <row r="3033" spans="1:7" ht="18" hidden="1" customHeight="1">
      <c r="G3033" s="31"/>
    </row>
    <row r="3034" spans="1:7" ht="18" hidden="1" customHeight="1">
      <c r="G3034" s="31"/>
    </row>
    <row r="3035" spans="1:7" ht="18" hidden="1" customHeight="1">
      <c r="G3035" s="31"/>
    </row>
    <row r="3036" spans="1:7" ht="18" hidden="1" customHeight="1">
      <c r="G3036" s="31"/>
    </row>
    <row r="3037" spans="1:7" hidden="1">
      <c r="G3037" s="31"/>
    </row>
    <row r="3038" spans="1:7" hidden="1">
      <c r="G3038" s="31"/>
    </row>
    <row r="3039" spans="1:7" hidden="1">
      <c r="G3039" s="31"/>
    </row>
    <row r="3040" spans="1:7" hidden="1">
      <c r="G3040" s="31"/>
    </row>
    <row r="3041" spans="7:7" hidden="1">
      <c r="G3041" s="31"/>
    </row>
    <row r="3042" spans="7:7" hidden="1">
      <c r="G3042" s="31"/>
    </row>
    <row r="3043" spans="7:7" hidden="1">
      <c r="G3043" s="31"/>
    </row>
    <row r="3044" spans="7:7" hidden="1">
      <c r="G3044" s="31"/>
    </row>
    <row r="3045" spans="7:7" hidden="1">
      <c r="G3045" s="31"/>
    </row>
    <row r="3046" spans="7:7" hidden="1">
      <c r="G3046" s="31"/>
    </row>
    <row r="3047" spans="7:7" hidden="1">
      <c r="G3047" s="31"/>
    </row>
    <row r="3048" spans="7:7" hidden="1">
      <c r="G3048" s="31"/>
    </row>
    <row r="3049" spans="7:7" hidden="1">
      <c r="G3049" s="31"/>
    </row>
    <row r="3050" spans="7:7" hidden="1">
      <c r="G3050" s="31"/>
    </row>
    <row r="3051" spans="7:7" hidden="1">
      <c r="G3051" s="31"/>
    </row>
    <row r="3052" spans="7:7" hidden="1">
      <c r="G3052" s="31"/>
    </row>
    <row r="3053" spans="7:7" hidden="1">
      <c r="G3053" s="31"/>
    </row>
    <row r="3054" spans="7:7" hidden="1">
      <c r="G3054" s="31"/>
    </row>
    <row r="3055" spans="7:7" hidden="1">
      <c r="G3055" s="31"/>
    </row>
    <row r="3056" spans="7:7" hidden="1">
      <c r="G3056" s="31"/>
    </row>
    <row r="3057" spans="7:7" hidden="1">
      <c r="G3057" s="31"/>
    </row>
    <row r="3058" spans="7:7" hidden="1">
      <c r="G3058" s="31"/>
    </row>
    <row r="3059" spans="7:7" hidden="1">
      <c r="G3059" s="31"/>
    </row>
    <row r="3060" spans="7:7" hidden="1">
      <c r="G3060" s="31"/>
    </row>
    <row r="3061" spans="7:7" hidden="1">
      <c r="G3061" s="31"/>
    </row>
    <row r="3062" spans="7:7" hidden="1">
      <c r="G3062" s="31"/>
    </row>
    <row r="3063" spans="7:7" hidden="1">
      <c r="G3063" s="31"/>
    </row>
    <row r="3064" spans="7:7" hidden="1">
      <c r="G3064" s="31"/>
    </row>
    <row r="3065" spans="7:7" hidden="1">
      <c r="G3065" s="31"/>
    </row>
    <row r="3066" spans="7:7" hidden="1">
      <c r="G3066" s="31"/>
    </row>
    <row r="3067" spans="7:7" hidden="1">
      <c r="G3067" s="31"/>
    </row>
    <row r="3068" spans="7:7" hidden="1">
      <c r="G3068" s="31"/>
    </row>
    <row r="3069" spans="7:7" hidden="1">
      <c r="G3069" s="31"/>
    </row>
    <row r="3070" spans="7:7" hidden="1">
      <c r="G3070" s="31"/>
    </row>
    <row r="3071" spans="7:7" hidden="1">
      <c r="G3071" s="31"/>
    </row>
    <row r="3072" spans="7:7" hidden="1">
      <c r="G3072" s="31"/>
    </row>
    <row r="3073" spans="7:7" hidden="1">
      <c r="G3073" s="31"/>
    </row>
    <row r="3074" spans="7:7" hidden="1">
      <c r="G3074" s="31"/>
    </row>
    <row r="3075" spans="7:7" hidden="1">
      <c r="G3075" s="31"/>
    </row>
    <row r="3076" spans="7:7" hidden="1">
      <c r="G3076" s="31"/>
    </row>
    <row r="3077" spans="7:7" hidden="1">
      <c r="G3077" s="31"/>
    </row>
    <row r="3078" spans="7:7" hidden="1">
      <c r="G3078" s="31"/>
    </row>
    <row r="3079" spans="7:7" hidden="1">
      <c r="G3079" s="31"/>
    </row>
    <row r="3080" spans="7:7" hidden="1">
      <c r="G3080" s="31"/>
    </row>
    <row r="3081" spans="7:7" hidden="1">
      <c r="G3081" s="31"/>
    </row>
    <row r="3082" spans="7:7" hidden="1">
      <c r="G3082" s="31"/>
    </row>
    <row r="3083" spans="7:7" hidden="1">
      <c r="G3083" s="31"/>
    </row>
    <row r="3084" spans="7:7" hidden="1">
      <c r="G3084" s="31"/>
    </row>
    <row r="3085" spans="7:7" hidden="1">
      <c r="G3085" s="31"/>
    </row>
    <row r="3086" spans="7:7" hidden="1">
      <c r="G3086" s="31"/>
    </row>
    <row r="3087" spans="7:7" hidden="1">
      <c r="G3087" s="31"/>
    </row>
    <row r="3088" spans="7:7" hidden="1">
      <c r="G3088" s="31"/>
    </row>
    <row r="3089" spans="7:7" hidden="1">
      <c r="G3089" s="31"/>
    </row>
    <row r="3090" spans="7:7" hidden="1">
      <c r="G3090" s="31"/>
    </row>
    <row r="3091" spans="7:7" hidden="1">
      <c r="G3091" s="31"/>
    </row>
    <row r="3092" spans="7:7" hidden="1">
      <c r="G3092" s="31"/>
    </row>
    <row r="3093" spans="7:7" hidden="1">
      <c r="G3093" s="31"/>
    </row>
    <row r="3094" spans="7:7" hidden="1">
      <c r="G3094" s="31"/>
    </row>
    <row r="3095" spans="7:7" hidden="1">
      <c r="G3095" s="31"/>
    </row>
    <row r="3096" spans="7:7" hidden="1">
      <c r="G3096" s="31"/>
    </row>
    <row r="3097" spans="7:7" hidden="1">
      <c r="G3097" s="31"/>
    </row>
    <row r="3098" spans="7:7" hidden="1">
      <c r="G3098" s="31"/>
    </row>
    <row r="3099" spans="7:7" hidden="1">
      <c r="G3099" s="31"/>
    </row>
    <row r="3100" spans="7:7" hidden="1">
      <c r="G3100" s="31"/>
    </row>
    <row r="3101" spans="7:7" hidden="1">
      <c r="G3101" s="31"/>
    </row>
    <row r="3102" spans="7:7" hidden="1">
      <c r="G3102" s="31"/>
    </row>
    <row r="3103" spans="7:7" hidden="1">
      <c r="G3103" s="31"/>
    </row>
    <row r="3104" spans="7:7" hidden="1">
      <c r="G3104" s="31"/>
    </row>
    <row r="3105" spans="7:7" hidden="1">
      <c r="G3105" s="31"/>
    </row>
    <row r="3106" spans="7:7" hidden="1">
      <c r="G3106" s="31"/>
    </row>
    <row r="3107" spans="7:7" hidden="1">
      <c r="G3107" s="31"/>
    </row>
    <row r="3108" spans="7:7" hidden="1">
      <c r="G3108" s="31"/>
    </row>
    <row r="3109" spans="7:7" hidden="1">
      <c r="G3109" s="31"/>
    </row>
    <row r="3110" spans="7:7" hidden="1">
      <c r="G3110" s="31"/>
    </row>
    <row r="3111" spans="7:7" hidden="1">
      <c r="G3111" s="31"/>
    </row>
    <row r="3112" spans="7:7" hidden="1">
      <c r="G3112" s="31"/>
    </row>
    <row r="3113" spans="7:7" hidden="1">
      <c r="G3113" s="31"/>
    </row>
    <row r="3114" spans="7:7" hidden="1">
      <c r="G3114" s="31"/>
    </row>
    <row r="3115" spans="7:7" hidden="1">
      <c r="G3115" s="31"/>
    </row>
    <row r="3116" spans="7:7" hidden="1">
      <c r="G3116" s="31"/>
    </row>
    <row r="3117" spans="7:7" hidden="1">
      <c r="G3117" s="31"/>
    </row>
    <row r="3118" spans="7:7" hidden="1">
      <c r="G3118" s="31"/>
    </row>
    <row r="3119" spans="7:7" hidden="1">
      <c r="G3119" s="31"/>
    </row>
    <row r="3120" spans="7:7" hidden="1">
      <c r="G3120" s="31"/>
    </row>
    <row r="3121" spans="7:7" hidden="1">
      <c r="G3121" s="31"/>
    </row>
    <row r="3122" spans="7:7" hidden="1">
      <c r="G3122" s="31"/>
    </row>
    <row r="3123" spans="7:7" hidden="1">
      <c r="G3123" s="31"/>
    </row>
    <row r="3124" spans="7:7" hidden="1">
      <c r="G3124" s="31"/>
    </row>
    <row r="3125" spans="7:7" hidden="1">
      <c r="G3125" s="31"/>
    </row>
    <row r="3126" spans="7:7" hidden="1">
      <c r="G3126" s="31"/>
    </row>
    <row r="3127" spans="7:7" hidden="1">
      <c r="G3127" s="31"/>
    </row>
    <row r="3128" spans="7:7" hidden="1">
      <c r="G3128" s="31"/>
    </row>
    <row r="3129" spans="7:7" hidden="1">
      <c r="G3129" s="31"/>
    </row>
    <row r="3130" spans="7:7" hidden="1">
      <c r="G3130" s="31"/>
    </row>
    <row r="3131" spans="7:7" hidden="1">
      <c r="G3131" s="31"/>
    </row>
    <row r="3132" spans="7:7" hidden="1">
      <c r="G3132" s="31"/>
    </row>
    <row r="3133" spans="7:7" hidden="1">
      <c r="G3133" s="31"/>
    </row>
    <row r="3134" spans="7:7" hidden="1">
      <c r="G3134" s="31"/>
    </row>
    <row r="3135" spans="7:7" hidden="1">
      <c r="G3135" s="31"/>
    </row>
    <row r="3136" spans="7:7" hidden="1">
      <c r="G3136" s="31"/>
    </row>
    <row r="3137" spans="7:7" hidden="1">
      <c r="G3137" s="31"/>
    </row>
    <row r="3138" spans="7:7" hidden="1">
      <c r="G3138" s="31"/>
    </row>
    <row r="3139" spans="7:7" hidden="1">
      <c r="G3139" s="31"/>
    </row>
    <row r="3140" spans="7:7" hidden="1">
      <c r="G3140" s="31"/>
    </row>
    <row r="3141" spans="7:7" hidden="1">
      <c r="G3141" s="31"/>
    </row>
    <row r="3142" spans="7:7" hidden="1">
      <c r="G3142" s="31"/>
    </row>
    <row r="3143" spans="7:7" hidden="1">
      <c r="G3143" s="31"/>
    </row>
    <row r="3144" spans="7:7" hidden="1">
      <c r="G3144" s="31"/>
    </row>
    <row r="3145" spans="7:7" hidden="1">
      <c r="G3145" s="31"/>
    </row>
    <row r="3146" spans="7:7" hidden="1">
      <c r="G3146" s="31"/>
    </row>
    <row r="3147" spans="7:7" hidden="1">
      <c r="G3147" s="31"/>
    </row>
    <row r="3148" spans="7:7" hidden="1">
      <c r="G3148" s="31"/>
    </row>
    <row r="3149" spans="7:7" hidden="1">
      <c r="G3149" s="31"/>
    </row>
    <row r="3150" spans="7:7" hidden="1">
      <c r="G3150" s="31"/>
    </row>
    <row r="3151" spans="7:7" hidden="1">
      <c r="G3151" s="31"/>
    </row>
    <row r="3152" spans="7:7" hidden="1">
      <c r="G3152" s="31"/>
    </row>
    <row r="3153" spans="7:7" hidden="1">
      <c r="G3153" s="31"/>
    </row>
    <row r="3154" spans="7:7" hidden="1">
      <c r="G3154" s="31"/>
    </row>
    <row r="3155" spans="7:7" hidden="1">
      <c r="G3155" s="31"/>
    </row>
    <row r="3156" spans="7:7" hidden="1">
      <c r="G3156" s="31"/>
    </row>
    <row r="3157" spans="7:7" hidden="1">
      <c r="G3157" s="31"/>
    </row>
    <row r="3158" spans="7:7" hidden="1">
      <c r="G3158" s="31"/>
    </row>
    <row r="3159" spans="7:7" hidden="1">
      <c r="G3159" s="31"/>
    </row>
    <row r="3160" spans="7:7" hidden="1">
      <c r="G3160" s="31"/>
    </row>
    <row r="3161" spans="7:7" hidden="1">
      <c r="G3161" s="31"/>
    </row>
    <row r="3162" spans="7:7" hidden="1">
      <c r="G3162" s="31"/>
    </row>
    <row r="3163" spans="7:7" hidden="1">
      <c r="G3163" s="31"/>
    </row>
    <row r="3164" spans="7:7" hidden="1">
      <c r="G3164" s="31"/>
    </row>
    <row r="3165" spans="7:7" hidden="1">
      <c r="G3165" s="31"/>
    </row>
    <row r="3166" spans="7:7" hidden="1">
      <c r="G3166" s="31"/>
    </row>
    <row r="3167" spans="7:7" hidden="1">
      <c r="G3167" s="31"/>
    </row>
    <row r="3168" spans="7:7" hidden="1">
      <c r="G3168" s="31"/>
    </row>
    <row r="3169" spans="7:7" hidden="1">
      <c r="G3169" s="31"/>
    </row>
    <row r="3170" spans="7:7" hidden="1">
      <c r="G3170" s="31"/>
    </row>
    <row r="3171" spans="7:7" hidden="1">
      <c r="G3171" s="31"/>
    </row>
    <row r="3172" spans="7:7" hidden="1">
      <c r="G3172" s="31"/>
    </row>
    <row r="3173" spans="7:7" hidden="1">
      <c r="G3173" s="31"/>
    </row>
    <row r="3174" spans="7:7" hidden="1">
      <c r="G3174" s="31"/>
    </row>
    <row r="3175" spans="7:7" hidden="1">
      <c r="G3175" s="31"/>
    </row>
    <row r="3176" spans="7:7" hidden="1">
      <c r="G3176" s="31"/>
    </row>
    <row r="3177" spans="7:7" hidden="1">
      <c r="G3177" s="31"/>
    </row>
    <row r="3178" spans="7:7" hidden="1">
      <c r="G3178" s="31"/>
    </row>
    <row r="3179" spans="7:7" hidden="1">
      <c r="G3179" s="31"/>
    </row>
    <row r="3180" spans="7:7" hidden="1">
      <c r="G3180" s="31"/>
    </row>
    <row r="3181" spans="7:7" hidden="1">
      <c r="G3181" s="31"/>
    </row>
    <row r="3182" spans="7:7" hidden="1">
      <c r="G3182" s="31"/>
    </row>
    <row r="3183" spans="7:7" hidden="1">
      <c r="G3183" s="31"/>
    </row>
    <row r="3184" spans="7:7" hidden="1">
      <c r="G3184" s="31"/>
    </row>
    <row r="3185" spans="7:7" hidden="1">
      <c r="G3185" s="31"/>
    </row>
    <row r="3186" spans="7:7" hidden="1">
      <c r="G3186" s="31"/>
    </row>
    <row r="3187" spans="7:7" hidden="1">
      <c r="G3187" s="31"/>
    </row>
    <row r="3188" spans="7:7" hidden="1">
      <c r="G3188" s="31"/>
    </row>
    <row r="3189" spans="7:7" hidden="1">
      <c r="G3189" s="31"/>
    </row>
    <row r="3190" spans="7:7" hidden="1">
      <c r="G3190" s="31"/>
    </row>
    <row r="3191" spans="7:7" hidden="1">
      <c r="G3191" s="31"/>
    </row>
    <row r="3192" spans="7:7" hidden="1">
      <c r="G3192" s="31"/>
    </row>
    <row r="3193" spans="7:7" hidden="1">
      <c r="G3193" s="31"/>
    </row>
    <row r="3194" spans="7:7" hidden="1">
      <c r="G3194" s="31"/>
    </row>
    <row r="3195" spans="7:7" hidden="1">
      <c r="G3195" s="31"/>
    </row>
    <row r="3196" spans="7:7" hidden="1">
      <c r="G3196" s="31"/>
    </row>
    <row r="3197" spans="7:7" hidden="1">
      <c r="G3197" s="31"/>
    </row>
    <row r="3198" spans="7:7" hidden="1">
      <c r="G3198" s="31"/>
    </row>
    <row r="3199" spans="7:7" hidden="1">
      <c r="G3199" s="31"/>
    </row>
    <row r="3200" spans="7:7" hidden="1">
      <c r="G3200" s="31"/>
    </row>
    <row r="3201" spans="7:7" hidden="1">
      <c r="G3201" s="31"/>
    </row>
    <row r="3202" spans="7:7" hidden="1">
      <c r="G3202" s="31"/>
    </row>
    <row r="3203" spans="7:7" hidden="1">
      <c r="G3203" s="31"/>
    </row>
    <row r="3204" spans="7:7" hidden="1">
      <c r="G3204" s="31"/>
    </row>
    <row r="3205" spans="7:7" hidden="1">
      <c r="G3205" s="31"/>
    </row>
    <row r="3206" spans="7:7" hidden="1">
      <c r="G3206" s="31"/>
    </row>
    <row r="3207" spans="7:7" hidden="1">
      <c r="G3207" s="31"/>
    </row>
    <row r="3208" spans="7:7" hidden="1">
      <c r="G3208" s="31"/>
    </row>
    <row r="3209" spans="7:7" hidden="1">
      <c r="G3209" s="31"/>
    </row>
    <row r="3210" spans="7:7" hidden="1">
      <c r="G3210" s="31"/>
    </row>
    <row r="3211" spans="7:7" hidden="1">
      <c r="G3211" s="31"/>
    </row>
    <row r="3212" spans="7:7" hidden="1">
      <c r="G3212" s="31"/>
    </row>
    <row r="3213" spans="7:7" hidden="1">
      <c r="G3213" s="31"/>
    </row>
    <row r="3214" spans="7:7" hidden="1">
      <c r="G3214" s="31"/>
    </row>
    <row r="3215" spans="7:7" hidden="1">
      <c r="G3215" s="31"/>
    </row>
    <row r="3216" spans="7:7" hidden="1">
      <c r="G3216" s="31"/>
    </row>
    <row r="3217" spans="7:7" hidden="1">
      <c r="G3217" s="31"/>
    </row>
    <row r="3218" spans="7:7" hidden="1">
      <c r="G3218" s="31"/>
    </row>
    <row r="3219" spans="7:7" hidden="1">
      <c r="G3219" s="31"/>
    </row>
    <row r="3220" spans="7:7" hidden="1">
      <c r="G3220" s="31"/>
    </row>
    <row r="3221" spans="7:7" hidden="1">
      <c r="G3221" s="31"/>
    </row>
    <row r="3222" spans="7:7" hidden="1">
      <c r="G3222" s="31"/>
    </row>
    <row r="3223" spans="7:7" hidden="1">
      <c r="G3223" s="31"/>
    </row>
    <row r="3224" spans="7:7" hidden="1">
      <c r="G3224" s="31"/>
    </row>
    <row r="3225" spans="7:7" hidden="1">
      <c r="G3225" s="31"/>
    </row>
    <row r="3226" spans="7:7" hidden="1">
      <c r="G3226" s="31"/>
    </row>
    <row r="3227" spans="7:7" hidden="1">
      <c r="G3227" s="31"/>
    </row>
    <row r="3228" spans="7:7" hidden="1">
      <c r="G3228" s="31"/>
    </row>
    <row r="3229" spans="7:7" hidden="1">
      <c r="G3229" s="31"/>
    </row>
    <row r="3230" spans="7:7" hidden="1">
      <c r="G3230" s="31"/>
    </row>
    <row r="3231" spans="7:7" hidden="1">
      <c r="G3231" s="31"/>
    </row>
    <row r="3232" spans="7:7" hidden="1">
      <c r="G3232" s="31"/>
    </row>
    <row r="3233" spans="7:7" hidden="1">
      <c r="G3233" s="31"/>
    </row>
    <row r="3234" spans="7:7" hidden="1">
      <c r="G3234" s="31"/>
    </row>
    <row r="3235" spans="7:7" hidden="1">
      <c r="G3235" s="31"/>
    </row>
    <row r="3236" spans="7:7" hidden="1">
      <c r="G3236" s="31"/>
    </row>
    <row r="3237" spans="7:7" hidden="1">
      <c r="G3237" s="31"/>
    </row>
    <row r="3238" spans="7:7" hidden="1">
      <c r="G3238" s="31"/>
    </row>
    <row r="3239" spans="7:7" hidden="1">
      <c r="G3239" s="31"/>
    </row>
    <row r="3240" spans="7:7" hidden="1">
      <c r="G3240" s="31"/>
    </row>
    <row r="3241" spans="7:7" hidden="1">
      <c r="G3241" s="31"/>
    </row>
    <row r="3242" spans="7:7" hidden="1">
      <c r="G3242" s="31"/>
    </row>
    <row r="3243" spans="7:7" hidden="1">
      <c r="G3243" s="31"/>
    </row>
    <row r="3244" spans="7:7" hidden="1">
      <c r="G3244" s="31"/>
    </row>
    <row r="3245" spans="7:7" hidden="1">
      <c r="G3245" s="31"/>
    </row>
    <row r="3246" spans="7:7" hidden="1">
      <c r="G3246" s="31"/>
    </row>
    <row r="3247" spans="7:7" hidden="1">
      <c r="G3247" s="31"/>
    </row>
    <row r="3248" spans="7:7" hidden="1">
      <c r="G3248" s="31"/>
    </row>
    <row r="3249" spans="7:7" hidden="1">
      <c r="G3249" s="31"/>
    </row>
    <row r="3250" spans="7:7" hidden="1">
      <c r="G3250" s="31"/>
    </row>
    <row r="3251" spans="7:7" hidden="1">
      <c r="G3251" s="31"/>
    </row>
    <row r="3252" spans="7:7" hidden="1">
      <c r="G3252" s="31"/>
    </row>
    <row r="3253" spans="7:7" hidden="1">
      <c r="G3253" s="31"/>
    </row>
    <row r="3254" spans="7:7" hidden="1">
      <c r="G3254" s="31"/>
    </row>
    <row r="3255" spans="7:7" hidden="1">
      <c r="G3255" s="31"/>
    </row>
    <row r="3256" spans="7:7" hidden="1">
      <c r="G3256" s="31"/>
    </row>
    <row r="3257" spans="7:7" hidden="1">
      <c r="G3257" s="31"/>
    </row>
    <row r="3258" spans="7:7" hidden="1">
      <c r="G3258" s="31"/>
    </row>
    <row r="3259" spans="7:7" hidden="1">
      <c r="G3259" s="31"/>
    </row>
    <row r="3260" spans="7:7" hidden="1">
      <c r="G3260" s="31"/>
    </row>
    <row r="3261" spans="7:7" hidden="1">
      <c r="G3261" s="31"/>
    </row>
    <row r="3262" spans="7:7" hidden="1">
      <c r="G3262" s="31"/>
    </row>
    <row r="3263" spans="7:7" hidden="1">
      <c r="G3263" s="31"/>
    </row>
    <row r="3264" spans="7:7" hidden="1">
      <c r="G3264" s="31"/>
    </row>
    <row r="3265" spans="7:7" hidden="1">
      <c r="G3265" s="31"/>
    </row>
    <row r="3266" spans="7:7" hidden="1">
      <c r="G3266" s="31"/>
    </row>
    <row r="3267" spans="7:7" hidden="1">
      <c r="G3267" s="31"/>
    </row>
    <row r="3268" spans="7:7" hidden="1">
      <c r="G3268" s="31"/>
    </row>
    <row r="3269" spans="7:7" hidden="1">
      <c r="G3269" s="31"/>
    </row>
    <row r="3270" spans="7:7" hidden="1">
      <c r="G3270" s="31"/>
    </row>
    <row r="3271" spans="7:7" hidden="1">
      <c r="G3271" s="31"/>
    </row>
    <row r="3272" spans="7:7" hidden="1">
      <c r="G3272" s="31"/>
    </row>
    <row r="3273" spans="7:7" hidden="1">
      <c r="G3273" s="31"/>
    </row>
    <row r="3274" spans="7:7" hidden="1">
      <c r="G3274" s="31"/>
    </row>
    <row r="3275" spans="7:7" hidden="1">
      <c r="G3275" s="31"/>
    </row>
    <row r="3276" spans="7:7" hidden="1">
      <c r="G3276" s="31"/>
    </row>
    <row r="3277" spans="7:7" hidden="1">
      <c r="G3277" s="31"/>
    </row>
    <row r="3278" spans="7:7" hidden="1">
      <c r="G3278" s="31"/>
    </row>
    <row r="3279" spans="7:7" hidden="1">
      <c r="G3279" s="31"/>
    </row>
    <row r="3280" spans="7:7" hidden="1">
      <c r="G3280" s="31"/>
    </row>
    <row r="3281" spans="7:7" hidden="1">
      <c r="G3281" s="31"/>
    </row>
    <row r="3282" spans="7:7" hidden="1">
      <c r="G3282" s="31"/>
    </row>
    <row r="3283" spans="7:7" hidden="1">
      <c r="G3283" s="31"/>
    </row>
    <row r="3284" spans="7:7" hidden="1">
      <c r="G3284" s="31"/>
    </row>
    <row r="3285" spans="7:7" hidden="1">
      <c r="G3285" s="31"/>
    </row>
    <row r="3286" spans="7:7" hidden="1">
      <c r="G3286" s="31"/>
    </row>
    <row r="3287" spans="7:7" hidden="1">
      <c r="G3287" s="31"/>
    </row>
    <row r="3288" spans="7:7" hidden="1">
      <c r="G3288" s="31"/>
    </row>
    <row r="3289" spans="7:7" hidden="1">
      <c r="G3289" s="31"/>
    </row>
    <row r="3290" spans="7:7" hidden="1">
      <c r="G3290" s="31"/>
    </row>
    <row r="3291" spans="7:7" hidden="1">
      <c r="G3291" s="31"/>
    </row>
    <row r="3292" spans="7:7" hidden="1">
      <c r="G3292" s="31"/>
    </row>
    <row r="3293" spans="7:7" hidden="1">
      <c r="G3293" s="31"/>
    </row>
    <row r="3294" spans="7:7" hidden="1">
      <c r="G3294" s="31"/>
    </row>
    <row r="3295" spans="7:7" hidden="1">
      <c r="G3295" s="31"/>
    </row>
    <row r="3296" spans="7:7" hidden="1">
      <c r="G3296" s="31"/>
    </row>
    <row r="3297" spans="7:7" hidden="1">
      <c r="G3297" s="31"/>
    </row>
    <row r="3298" spans="7:7" hidden="1">
      <c r="G3298" s="31"/>
    </row>
    <row r="3299" spans="7:7" hidden="1">
      <c r="G3299" s="31"/>
    </row>
    <row r="3300" spans="7:7" hidden="1">
      <c r="G3300" s="31"/>
    </row>
    <row r="3301" spans="7:7" hidden="1">
      <c r="G3301" s="31"/>
    </row>
    <row r="3302" spans="7:7" hidden="1">
      <c r="G3302" s="31"/>
    </row>
    <row r="3303" spans="7:7" hidden="1">
      <c r="G3303" s="31"/>
    </row>
    <row r="3304" spans="7:7" hidden="1">
      <c r="G3304" s="31"/>
    </row>
    <row r="3305" spans="7:7" hidden="1">
      <c r="G3305" s="31"/>
    </row>
    <row r="3306" spans="7:7" hidden="1">
      <c r="G3306" s="31"/>
    </row>
    <row r="3307" spans="7:7" hidden="1">
      <c r="G3307" s="31"/>
    </row>
    <row r="3308" spans="7:7" hidden="1">
      <c r="G3308" s="31"/>
    </row>
    <row r="3309" spans="7:7" hidden="1">
      <c r="G3309" s="31"/>
    </row>
    <row r="3310" spans="7:7" hidden="1">
      <c r="G3310" s="31"/>
    </row>
    <row r="3311" spans="7:7" hidden="1">
      <c r="G3311" s="31"/>
    </row>
    <row r="3312" spans="7:7" hidden="1">
      <c r="G3312" s="31"/>
    </row>
    <row r="3313" spans="7:7" hidden="1">
      <c r="G3313" s="31"/>
    </row>
    <row r="3314" spans="7:7" hidden="1">
      <c r="G3314" s="31"/>
    </row>
    <row r="3315" spans="7:7" hidden="1">
      <c r="G3315" s="31"/>
    </row>
    <row r="3316" spans="7:7" hidden="1">
      <c r="G3316" s="31"/>
    </row>
    <row r="3317" spans="7:7" hidden="1">
      <c r="G3317" s="31"/>
    </row>
    <row r="3318" spans="7:7" hidden="1">
      <c r="G3318" s="31"/>
    </row>
    <row r="3319" spans="7:7" hidden="1">
      <c r="G3319" s="31"/>
    </row>
    <row r="3320" spans="7:7" hidden="1">
      <c r="G3320" s="31"/>
    </row>
    <row r="3321" spans="7:7" hidden="1">
      <c r="G3321" s="31"/>
    </row>
    <row r="3322" spans="7:7" hidden="1">
      <c r="G3322" s="31"/>
    </row>
    <row r="3323" spans="7:7" hidden="1">
      <c r="G3323" s="31"/>
    </row>
    <row r="3324" spans="7:7" hidden="1">
      <c r="G3324" s="31"/>
    </row>
    <row r="3325" spans="7:7" hidden="1">
      <c r="G3325" s="31"/>
    </row>
    <row r="3326" spans="7:7" hidden="1">
      <c r="G3326" s="31"/>
    </row>
    <row r="3327" spans="7:7" hidden="1">
      <c r="G3327" s="31"/>
    </row>
    <row r="3328" spans="7:7" hidden="1">
      <c r="G3328" s="31"/>
    </row>
    <row r="3329" spans="7:7" hidden="1">
      <c r="G3329" s="31"/>
    </row>
    <row r="3330" spans="7:7" hidden="1">
      <c r="G3330" s="31"/>
    </row>
    <row r="3331" spans="7:7" hidden="1">
      <c r="G3331" s="31"/>
    </row>
    <row r="3332" spans="7:7" hidden="1">
      <c r="G3332" s="31"/>
    </row>
    <row r="3333" spans="7:7" hidden="1">
      <c r="G3333" s="31"/>
    </row>
    <row r="3334" spans="7:7" hidden="1">
      <c r="G3334" s="31"/>
    </row>
    <row r="3335" spans="7:7" hidden="1">
      <c r="G3335" s="31"/>
    </row>
    <row r="3336" spans="7:7" hidden="1">
      <c r="G3336" s="31"/>
    </row>
    <row r="3337" spans="7:7" hidden="1">
      <c r="G3337" s="31"/>
    </row>
    <row r="3338" spans="7:7" hidden="1">
      <c r="G3338" s="31"/>
    </row>
    <row r="3339" spans="7:7" hidden="1">
      <c r="G3339" s="31"/>
    </row>
    <row r="3340" spans="7:7" hidden="1">
      <c r="G3340" s="31"/>
    </row>
    <row r="3341" spans="7:7" hidden="1">
      <c r="G3341" s="31"/>
    </row>
    <row r="3342" spans="7:7" hidden="1">
      <c r="G3342" s="31"/>
    </row>
    <row r="3343" spans="7:7" hidden="1">
      <c r="G3343" s="31"/>
    </row>
    <row r="3344" spans="7:7" hidden="1">
      <c r="G3344" s="31"/>
    </row>
    <row r="3345" spans="7:7" hidden="1">
      <c r="G3345" s="31"/>
    </row>
    <row r="3346" spans="7:7" hidden="1">
      <c r="G3346" s="31"/>
    </row>
    <row r="3347" spans="7:7" hidden="1">
      <c r="G3347" s="31"/>
    </row>
    <row r="3348" spans="7:7" hidden="1">
      <c r="G3348" s="31"/>
    </row>
    <row r="3349" spans="7:7" hidden="1">
      <c r="G3349" s="31"/>
    </row>
    <row r="3350" spans="7:7" hidden="1">
      <c r="G3350" s="31"/>
    </row>
    <row r="3351" spans="7:7" hidden="1">
      <c r="G3351" s="31"/>
    </row>
    <row r="3352" spans="7:7" hidden="1">
      <c r="G3352" s="31"/>
    </row>
    <row r="3353" spans="7:7" hidden="1">
      <c r="G3353" s="31"/>
    </row>
    <row r="3354" spans="7:7" hidden="1">
      <c r="G3354" s="31"/>
    </row>
    <row r="3355" spans="7:7" hidden="1">
      <c r="G3355" s="31"/>
    </row>
    <row r="3356" spans="7:7" hidden="1">
      <c r="G3356" s="31"/>
    </row>
    <row r="3357" spans="7:7" hidden="1">
      <c r="G3357" s="31"/>
    </row>
    <row r="3358" spans="7:7" hidden="1">
      <c r="G3358" s="31"/>
    </row>
    <row r="3359" spans="7:7" hidden="1">
      <c r="G3359" s="31"/>
    </row>
    <row r="3360" spans="7:7" hidden="1">
      <c r="G3360" s="31"/>
    </row>
    <row r="3361" spans="7:7" hidden="1">
      <c r="G3361" s="31"/>
    </row>
    <row r="3362" spans="7:7" hidden="1">
      <c r="G3362" s="31"/>
    </row>
    <row r="3363" spans="7:7" hidden="1">
      <c r="G3363" s="31"/>
    </row>
    <row r="3364" spans="7:7" hidden="1">
      <c r="G3364" s="31"/>
    </row>
    <row r="3365" spans="7:7" hidden="1">
      <c r="G3365" s="31"/>
    </row>
    <row r="3366" spans="7:7" hidden="1">
      <c r="G3366" s="31"/>
    </row>
    <row r="3367" spans="7:7" hidden="1">
      <c r="G3367" s="31"/>
    </row>
    <row r="3368" spans="7:7" hidden="1">
      <c r="G3368" s="31"/>
    </row>
    <row r="3369" spans="7:7" hidden="1">
      <c r="G3369" s="31"/>
    </row>
    <row r="3370" spans="7:7" hidden="1">
      <c r="G3370" s="31"/>
    </row>
    <row r="3371" spans="7:7" hidden="1">
      <c r="G3371" s="31"/>
    </row>
    <row r="3372" spans="7:7" hidden="1">
      <c r="G3372" s="31"/>
    </row>
    <row r="3373" spans="7:7" hidden="1">
      <c r="G3373" s="31"/>
    </row>
    <row r="3374" spans="7:7" hidden="1">
      <c r="G3374" s="31"/>
    </row>
    <row r="3375" spans="7:7" hidden="1">
      <c r="G3375" s="31"/>
    </row>
    <row r="3376" spans="7:7" hidden="1">
      <c r="G3376" s="31"/>
    </row>
    <row r="3377" spans="7:7" hidden="1">
      <c r="G3377" s="31"/>
    </row>
    <row r="3378" spans="7:7" hidden="1">
      <c r="G3378" s="31"/>
    </row>
    <row r="3379" spans="7:7" hidden="1">
      <c r="G3379" s="31"/>
    </row>
    <row r="3380" spans="7:7" hidden="1">
      <c r="G3380" s="31"/>
    </row>
    <row r="3381" spans="7:7" hidden="1">
      <c r="G3381" s="31"/>
    </row>
    <row r="3382" spans="7:7" hidden="1">
      <c r="G3382" s="31"/>
    </row>
    <row r="3383" spans="7:7" hidden="1">
      <c r="G3383" s="31"/>
    </row>
    <row r="3384" spans="7:7" hidden="1">
      <c r="G3384" s="31"/>
    </row>
    <row r="3385" spans="7:7" hidden="1">
      <c r="G3385" s="31"/>
    </row>
    <row r="3386" spans="7:7" hidden="1">
      <c r="G3386" s="31"/>
    </row>
    <row r="3387" spans="7:7" hidden="1">
      <c r="G3387" s="31"/>
    </row>
    <row r="3388" spans="7:7" hidden="1">
      <c r="G3388" s="31"/>
    </row>
    <row r="3389" spans="7:7" hidden="1">
      <c r="G3389" s="31"/>
    </row>
    <row r="3390" spans="7:7" hidden="1">
      <c r="G3390" s="31"/>
    </row>
    <row r="3391" spans="7:7" hidden="1">
      <c r="G3391" s="31"/>
    </row>
    <row r="3392" spans="7:7" hidden="1">
      <c r="G3392" s="31"/>
    </row>
    <row r="3393" spans="7:7" hidden="1">
      <c r="G3393" s="31"/>
    </row>
    <row r="3394" spans="7:7" hidden="1">
      <c r="G3394" s="31"/>
    </row>
    <row r="3395" spans="7:7" hidden="1">
      <c r="G3395" s="31"/>
    </row>
    <row r="3396" spans="7:7" hidden="1">
      <c r="G3396" s="31"/>
    </row>
    <row r="3397" spans="7:7" hidden="1">
      <c r="G3397" s="31"/>
    </row>
    <row r="3398" spans="7:7" hidden="1">
      <c r="G3398" s="31"/>
    </row>
    <row r="3399" spans="7:7" hidden="1">
      <c r="G3399" s="31"/>
    </row>
    <row r="3400" spans="7:7" hidden="1">
      <c r="G3400" s="31"/>
    </row>
    <row r="3401" spans="7:7" hidden="1">
      <c r="G3401" s="31"/>
    </row>
    <row r="3402" spans="7:7" hidden="1">
      <c r="G3402" s="31"/>
    </row>
    <row r="3403" spans="7:7" hidden="1">
      <c r="G3403" s="31"/>
    </row>
    <row r="3404" spans="7:7" hidden="1">
      <c r="G3404" s="31"/>
    </row>
    <row r="3405" spans="7:7" hidden="1">
      <c r="G3405" s="31"/>
    </row>
    <row r="3406" spans="7:7" hidden="1">
      <c r="G3406" s="31"/>
    </row>
    <row r="3407" spans="7:7" hidden="1">
      <c r="G3407" s="31"/>
    </row>
    <row r="3408" spans="7:7" hidden="1">
      <c r="G3408" s="31"/>
    </row>
    <row r="3409" spans="7:7" hidden="1">
      <c r="G3409" s="31"/>
    </row>
    <row r="3410" spans="7:7" hidden="1">
      <c r="G3410" s="31"/>
    </row>
    <row r="3411" spans="7:7" hidden="1">
      <c r="G3411" s="31"/>
    </row>
    <row r="3412" spans="7:7" hidden="1">
      <c r="G3412" s="31"/>
    </row>
    <row r="3413" spans="7:7" hidden="1">
      <c r="G3413" s="31"/>
    </row>
    <row r="3414" spans="7:7" hidden="1">
      <c r="G3414" s="31"/>
    </row>
    <row r="3415" spans="7:7" hidden="1">
      <c r="G3415" s="31"/>
    </row>
    <row r="3416" spans="7:7" hidden="1">
      <c r="G3416" s="31"/>
    </row>
    <row r="3417" spans="7:7" hidden="1">
      <c r="G3417" s="31"/>
    </row>
    <row r="3418" spans="7:7" hidden="1">
      <c r="G3418" s="31"/>
    </row>
    <row r="3419" spans="7:7" hidden="1">
      <c r="G3419" s="31"/>
    </row>
    <row r="3420" spans="7:7" hidden="1">
      <c r="G3420" s="31"/>
    </row>
    <row r="3421" spans="7:7" hidden="1">
      <c r="G3421" s="31"/>
    </row>
    <row r="3422" spans="7:7" hidden="1">
      <c r="G3422" s="31"/>
    </row>
    <row r="3423" spans="7:7" hidden="1">
      <c r="G3423" s="31"/>
    </row>
    <row r="3424" spans="7:7" hidden="1">
      <c r="G3424" s="31"/>
    </row>
    <row r="3425" spans="7:7" hidden="1">
      <c r="G3425" s="31"/>
    </row>
    <row r="3426" spans="7:7" hidden="1">
      <c r="G3426" s="31"/>
    </row>
    <row r="3427" spans="7:7" hidden="1">
      <c r="G3427" s="31"/>
    </row>
    <row r="3428" spans="7:7" hidden="1">
      <c r="G3428" s="31"/>
    </row>
    <row r="3429" spans="7:7" hidden="1">
      <c r="G3429" s="31"/>
    </row>
    <row r="3430" spans="7:7" hidden="1">
      <c r="G3430" s="31"/>
    </row>
    <row r="3431" spans="7:7" hidden="1">
      <c r="G3431" s="31"/>
    </row>
    <row r="3432" spans="7:7" hidden="1">
      <c r="G3432" s="31"/>
    </row>
    <row r="3433" spans="7:7" hidden="1">
      <c r="G3433" s="31"/>
    </row>
    <row r="3434" spans="7:7" hidden="1">
      <c r="G3434" s="31"/>
    </row>
    <row r="3435" spans="7:7" hidden="1">
      <c r="G3435" s="31"/>
    </row>
    <row r="3436" spans="7:7" hidden="1">
      <c r="G3436" s="31"/>
    </row>
    <row r="3437" spans="7:7" hidden="1">
      <c r="G3437" s="31"/>
    </row>
    <row r="3438" spans="7:7" hidden="1">
      <c r="G3438" s="31"/>
    </row>
    <row r="3439" spans="7:7" hidden="1">
      <c r="G3439" s="31"/>
    </row>
    <row r="3440" spans="7:7" hidden="1">
      <c r="G3440" s="31"/>
    </row>
    <row r="3441" spans="7:7" hidden="1">
      <c r="G3441" s="31"/>
    </row>
    <row r="3442" spans="7:7" hidden="1">
      <c r="G3442" s="31"/>
    </row>
    <row r="3443" spans="7:7" hidden="1">
      <c r="G3443" s="31"/>
    </row>
    <row r="3444" spans="7:7" hidden="1">
      <c r="G3444" s="31"/>
    </row>
    <row r="3445" spans="7:7" hidden="1">
      <c r="G3445" s="31"/>
    </row>
    <row r="3446" spans="7:7" hidden="1">
      <c r="G3446" s="31"/>
    </row>
    <row r="3447" spans="7:7" hidden="1">
      <c r="G3447" s="31"/>
    </row>
    <row r="3448" spans="7:7" hidden="1">
      <c r="G3448" s="31"/>
    </row>
    <row r="3449" spans="7:7" hidden="1">
      <c r="G3449" s="31"/>
    </row>
    <row r="3450" spans="7:7" hidden="1">
      <c r="G3450" s="31"/>
    </row>
    <row r="3451" spans="7:7" hidden="1">
      <c r="G3451" s="31"/>
    </row>
    <row r="3452" spans="7:7" hidden="1">
      <c r="G3452" s="31"/>
    </row>
    <row r="3453" spans="7:7" hidden="1">
      <c r="G3453" s="31"/>
    </row>
    <row r="3454" spans="7:7" hidden="1">
      <c r="G3454" s="31"/>
    </row>
    <row r="3455" spans="7:7" hidden="1">
      <c r="G3455" s="31"/>
    </row>
    <row r="3456" spans="7:7" hidden="1">
      <c r="G3456" s="31"/>
    </row>
    <row r="3457" spans="7:7" hidden="1">
      <c r="G3457" s="31"/>
    </row>
    <row r="3458" spans="7:7" hidden="1">
      <c r="G3458" s="31"/>
    </row>
    <row r="3459" spans="7:7" hidden="1">
      <c r="G3459" s="31"/>
    </row>
    <row r="3460" spans="7:7" hidden="1">
      <c r="G3460" s="31"/>
    </row>
    <row r="3461" spans="7:7" hidden="1">
      <c r="G3461" s="31"/>
    </row>
    <row r="3462" spans="7:7" hidden="1">
      <c r="G3462" s="31"/>
    </row>
    <row r="3463" spans="7:7" hidden="1">
      <c r="G3463" s="31"/>
    </row>
    <row r="3464" spans="7:7" hidden="1">
      <c r="G3464" s="31"/>
    </row>
    <row r="3465" spans="7:7" hidden="1">
      <c r="G3465" s="31"/>
    </row>
    <row r="3466" spans="7:7" hidden="1">
      <c r="G3466" s="31"/>
    </row>
    <row r="3467" spans="7:7" hidden="1">
      <c r="G3467" s="31"/>
    </row>
    <row r="3468" spans="7:7" hidden="1">
      <c r="G3468" s="31"/>
    </row>
    <row r="3469" spans="7:7" hidden="1">
      <c r="G3469" s="31"/>
    </row>
    <row r="3470" spans="7:7" hidden="1">
      <c r="G3470" s="31"/>
    </row>
    <row r="3471" spans="7:7" hidden="1">
      <c r="G3471" s="31"/>
    </row>
    <row r="3472" spans="7:7" hidden="1">
      <c r="G3472" s="31"/>
    </row>
    <row r="3473" spans="7:7" hidden="1">
      <c r="G3473" s="31"/>
    </row>
    <row r="3474" spans="7:7" hidden="1">
      <c r="G3474" s="31"/>
    </row>
    <row r="3475" spans="7:7" hidden="1">
      <c r="G3475" s="31"/>
    </row>
    <row r="3476" spans="7:7" hidden="1">
      <c r="G3476" s="31"/>
    </row>
    <row r="3477" spans="7:7" hidden="1">
      <c r="G3477" s="31"/>
    </row>
    <row r="3478" spans="7:7" hidden="1">
      <c r="G3478" s="31"/>
    </row>
    <row r="3479" spans="7:7" hidden="1">
      <c r="G3479" s="31"/>
    </row>
    <row r="3480" spans="7:7" hidden="1">
      <c r="G3480" s="31"/>
    </row>
    <row r="3481" spans="7:7" hidden="1">
      <c r="G3481" s="31"/>
    </row>
    <row r="3482" spans="7:7" hidden="1">
      <c r="G3482" s="31"/>
    </row>
    <row r="3483" spans="7:7" hidden="1">
      <c r="G3483" s="31"/>
    </row>
    <row r="3484" spans="7:7" hidden="1">
      <c r="G3484" s="31"/>
    </row>
    <row r="3485" spans="7:7" hidden="1">
      <c r="G3485" s="31"/>
    </row>
    <row r="3486" spans="7:7" hidden="1">
      <c r="G3486" s="31"/>
    </row>
    <row r="3487" spans="7:7" hidden="1">
      <c r="G3487" s="31"/>
    </row>
    <row r="3488" spans="7:7" hidden="1">
      <c r="G3488" s="31"/>
    </row>
    <row r="3489" spans="7:7" hidden="1">
      <c r="G3489" s="31"/>
    </row>
    <row r="3490" spans="7:7" hidden="1">
      <c r="G3490" s="31"/>
    </row>
    <row r="3491" spans="7:7" hidden="1">
      <c r="G3491" s="31"/>
    </row>
    <row r="3492" spans="7:7" hidden="1">
      <c r="G3492" s="31"/>
    </row>
    <row r="3493" spans="7:7" hidden="1">
      <c r="G3493" s="31"/>
    </row>
    <row r="3494" spans="7:7" hidden="1">
      <c r="G3494" s="31"/>
    </row>
    <row r="3495" spans="7:7" hidden="1">
      <c r="G3495" s="31"/>
    </row>
    <row r="3496" spans="7:7" hidden="1">
      <c r="G3496" s="31"/>
    </row>
    <row r="3497" spans="7:7" hidden="1">
      <c r="G3497" s="31"/>
    </row>
    <row r="3498" spans="7:7" hidden="1">
      <c r="G3498" s="31"/>
    </row>
    <row r="3499" spans="7:7" hidden="1">
      <c r="G3499" s="31"/>
    </row>
    <row r="3500" spans="7:7" hidden="1">
      <c r="G3500" s="31"/>
    </row>
    <row r="3501" spans="7:7" hidden="1">
      <c r="G3501" s="31"/>
    </row>
    <row r="3502" spans="7:7" hidden="1">
      <c r="G3502" s="31"/>
    </row>
    <row r="3503" spans="7:7" hidden="1">
      <c r="G3503" s="31"/>
    </row>
    <row r="3504" spans="7:7" hidden="1">
      <c r="G3504" s="31"/>
    </row>
    <row r="3505" spans="7:7" hidden="1">
      <c r="G3505" s="31"/>
    </row>
    <row r="3506" spans="7:7" hidden="1">
      <c r="G3506" s="31"/>
    </row>
    <row r="3507" spans="7:7" hidden="1">
      <c r="G3507" s="31"/>
    </row>
    <row r="3508" spans="7:7" hidden="1">
      <c r="G3508" s="31"/>
    </row>
    <row r="3509" spans="7:7" hidden="1">
      <c r="G3509" s="31"/>
    </row>
    <row r="3510" spans="7:7" hidden="1">
      <c r="G3510" s="31"/>
    </row>
    <row r="3511" spans="7:7" hidden="1">
      <c r="G3511" s="31"/>
    </row>
    <row r="3512" spans="7:7" hidden="1">
      <c r="G3512" s="31"/>
    </row>
    <row r="3513" spans="7:7" hidden="1">
      <c r="G3513" s="31"/>
    </row>
    <row r="3514" spans="7:7" hidden="1">
      <c r="G3514" s="31"/>
    </row>
    <row r="3515" spans="7:7" hidden="1">
      <c r="G3515" s="31"/>
    </row>
    <row r="3516" spans="7:7" hidden="1">
      <c r="G3516" s="31"/>
    </row>
    <row r="3517" spans="7:7" hidden="1">
      <c r="G3517" s="31"/>
    </row>
    <row r="3518" spans="7:7" hidden="1">
      <c r="G3518" s="31"/>
    </row>
    <row r="3519" spans="7:7" hidden="1">
      <c r="G3519" s="31"/>
    </row>
    <row r="3520" spans="7:7" hidden="1">
      <c r="G3520" s="31"/>
    </row>
    <row r="3521" spans="7:7" hidden="1">
      <c r="G3521" s="31"/>
    </row>
    <row r="3522" spans="7:7" hidden="1">
      <c r="G3522" s="31"/>
    </row>
    <row r="3523" spans="7:7" hidden="1">
      <c r="G3523" s="31"/>
    </row>
    <row r="3524" spans="7:7" hidden="1">
      <c r="G3524" s="31"/>
    </row>
    <row r="3525" spans="7:7" hidden="1">
      <c r="G3525" s="31"/>
    </row>
    <row r="3526" spans="7:7" hidden="1">
      <c r="G3526" s="31"/>
    </row>
    <row r="3527" spans="7:7" hidden="1">
      <c r="G3527" s="31"/>
    </row>
    <row r="3528" spans="7:7" hidden="1">
      <c r="G3528" s="31"/>
    </row>
    <row r="3529" spans="7:7" hidden="1">
      <c r="G3529" s="31"/>
    </row>
    <row r="3530" spans="7:7" hidden="1">
      <c r="G3530" s="31"/>
    </row>
    <row r="3531" spans="7:7" hidden="1">
      <c r="G3531" s="31"/>
    </row>
    <row r="3532" spans="7:7" hidden="1">
      <c r="G3532" s="31"/>
    </row>
    <row r="3533" spans="7:7" hidden="1">
      <c r="G3533" s="31"/>
    </row>
    <row r="3534" spans="7:7" hidden="1">
      <c r="G3534" s="31"/>
    </row>
    <row r="3535" spans="7:7" hidden="1">
      <c r="G3535" s="31"/>
    </row>
    <row r="3536" spans="7:7" hidden="1">
      <c r="G3536" s="31"/>
    </row>
    <row r="3537" spans="7:7" hidden="1">
      <c r="G3537" s="31"/>
    </row>
    <row r="3538" spans="7:7" hidden="1">
      <c r="G3538" s="31"/>
    </row>
    <row r="3539" spans="7:7" hidden="1">
      <c r="G3539" s="31"/>
    </row>
    <row r="3540" spans="7:7" hidden="1">
      <c r="G3540" s="31"/>
    </row>
    <row r="3541" spans="7:7" hidden="1">
      <c r="G3541" s="31"/>
    </row>
    <row r="3542" spans="7:7" hidden="1">
      <c r="G3542" s="31"/>
    </row>
    <row r="3543" spans="7:7" hidden="1">
      <c r="G3543" s="31"/>
    </row>
    <row r="3544" spans="7:7" hidden="1">
      <c r="G3544" s="31"/>
    </row>
    <row r="3545" spans="7:7" hidden="1">
      <c r="G3545" s="31"/>
    </row>
    <row r="3546" spans="7:7" hidden="1">
      <c r="G3546" s="31"/>
    </row>
    <row r="3547" spans="7:7" hidden="1">
      <c r="G3547" s="31"/>
    </row>
    <row r="3548" spans="7:7" hidden="1">
      <c r="G3548" s="31"/>
    </row>
    <row r="3549" spans="7:7" hidden="1">
      <c r="G3549" s="31"/>
    </row>
    <row r="3550" spans="7:7" hidden="1">
      <c r="G3550" s="31"/>
    </row>
    <row r="3551" spans="7:7" hidden="1">
      <c r="G3551" s="31"/>
    </row>
    <row r="3552" spans="7:7" hidden="1">
      <c r="G3552" s="31"/>
    </row>
    <row r="3553" spans="7:7" hidden="1">
      <c r="G3553" s="31"/>
    </row>
    <row r="3554" spans="7:7" hidden="1">
      <c r="G3554" s="31"/>
    </row>
    <row r="3555" spans="7:7" hidden="1">
      <c r="G3555" s="31"/>
    </row>
    <row r="3556" spans="7:7" hidden="1">
      <c r="G3556" s="31"/>
    </row>
    <row r="3557" spans="7:7" hidden="1">
      <c r="G3557" s="31"/>
    </row>
    <row r="3558" spans="7:7" hidden="1">
      <c r="G3558" s="31"/>
    </row>
    <row r="3559" spans="7:7" hidden="1">
      <c r="G3559" s="31"/>
    </row>
    <row r="3560" spans="7:7" hidden="1">
      <c r="G3560" s="31"/>
    </row>
    <row r="3561" spans="7:7" hidden="1">
      <c r="G3561" s="31"/>
    </row>
    <row r="3562" spans="7:7" hidden="1">
      <c r="G3562" s="31"/>
    </row>
    <row r="3563" spans="7:7" hidden="1">
      <c r="G3563" s="31"/>
    </row>
    <row r="3564" spans="7:7" hidden="1">
      <c r="G3564" s="31"/>
    </row>
    <row r="3565" spans="7:7" hidden="1">
      <c r="G3565" s="31"/>
    </row>
    <row r="3566" spans="7:7" hidden="1">
      <c r="G3566" s="31"/>
    </row>
    <row r="3567" spans="7:7" hidden="1">
      <c r="G3567" s="31"/>
    </row>
    <row r="3568" spans="7:7" hidden="1">
      <c r="G3568" s="31"/>
    </row>
    <row r="3569" spans="7:7" hidden="1">
      <c r="G3569" s="31"/>
    </row>
    <row r="3570" spans="7:7" hidden="1">
      <c r="G3570" s="31"/>
    </row>
    <row r="3571" spans="7:7" hidden="1">
      <c r="G3571" s="31"/>
    </row>
    <row r="3572" spans="7:7" hidden="1">
      <c r="G3572" s="31"/>
    </row>
    <row r="3573" spans="7:7" hidden="1">
      <c r="G3573" s="31"/>
    </row>
    <row r="3574" spans="7:7" hidden="1">
      <c r="G3574" s="31"/>
    </row>
    <row r="3575" spans="7:7" hidden="1">
      <c r="G3575" s="31"/>
    </row>
    <row r="3576" spans="7:7" hidden="1">
      <c r="G3576" s="31"/>
    </row>
    <row r="3577" spans="7:7" hidden="1">
      <c r="G3577" s="31"/>
    </row>
    <row r="3578" spans="7:7" hidden="1">
      <c r="G3578" s="31"/>
    </row>
    <row r="3579" spans="7:7" hidden="1">
      <c r="G3579" s="31"/>
    </row>
    <row r="3580" spans="7:7" hidden="1">
      <c r="G3580" s="31"/>
    </row>
    <row r="3581" spans="7:7" hidden="1">
      <c r="G3581" s="31"/>
    </row>
    <row r="3582" spans="7:7" hidden="1">
      <c r="G3582" s="31"/>
    </row>
    <row r="3583" spans="7:7" hidden="1">
      <c r="G3583" s="31"/>
    </row>
    <row r="3584" spans="7:7" hidden="1">
      <c r="G3584" s="31"/>
    </row>
    <row r="3585" spans="7:7" hidden="1">
      <c r="G3585" s="31"/>
    </row>
    <row r="3586" spans="7:7" hidden="1">
      <c r="G3586" s="31"/>
    </row>
    <row r="3587" spans="7:7" hidden="1">
      <c r="G3587" s="31"/>
    </row>
    <row r="3588" spans="7:7" hidden="1">
      <c r="G3588" s="31"/>
    </row>
    <row r="3589" spans="7:7" hidden="1">
      <c r="G3589" s="31"/>
    </row>
    <row r="3590" spans="7:7" hidden="1">
      <c r="G3590" s="31"/>
    </row>
    <row r="3591" spans="7:7" hidden="1">
      <c r="G3591" s="31"/>
    </row>
    <row r="3592" spans="7:7" hidden="1">
      <c r="G3592" s="31"/>
    </row>
    <row r="3593" spans="7:7" hidden="1">
      <c r="G3593" s="31"/>
    </row>
    <row r="3594" spans="7:7" hidden="1">
      <c r="G3594" s="31"/>
    </row>
    <row r="3595" spans="7:7" hidden="1">
      <c r="G3595" s="31"/>
    </row>
    <row r="3596" spans="7:7" hidden="1">
      <c r="G3596" s="31"/>
    </row>
    <row r="3597" spans="7:7" hidden="1">
      <c r="G3597" s="31"/>
    </row>
    <row r="3598" spans="7:7" hidden="1">
      <c r="G3598" s="31"/>
    </row>
    <row r="3599" spans="7:7" hidden="1">
      <c r="G3599" s="31"/>
    </row>
    <row r="3600" spans="7:7" hidden="1">
      <c r="G3600" s="31"/>
    </row>
    <row r="3601" spans="7:7" hidden="1">
      <c r="G3601" s="31"/>
    </row>
    <row r="3602" spans="7:7" hidden="1">
      <c r="G3602" s="31"/>
    </row>
    <row r="3603" spans="7:7" hidden="1">
      <c r="G3603" s="31"/>
    </row>
    <row r="3604" spans="7:7" hidden="1">
      <c r="G3604" s="31"/>
    </row>
    <row r="3605" spans="7:7" hidden="1">
      <c r="G3605" s="31"/>
    </row>
    <row r="3606" spans="7:7" hidden="1">
      <c r="G3606" s="31"/>
    </row>
    <row r="3607" spans="7:7" hidden="1">
      <c r="G3607" s="31"/>
    </row>
    <row r="3608" spans="7:7" hidden="1">
      <c r="G3608" s="31"/>
    </row>
    <row r="3609" spans="7:7" hidden="1">
      <c r="G3609" s="31"/>
    </row>
    <row r="3610" spans="7:7" hidden="1">
      <c r="G3610" s="31"/>
    </row>
    <row r="3611" spans="7:7" hidden="1">
      <c r="G3611" s="31"/>
    </row>
    <row r="3612" spans="7:7" hidden="1">
      <c r="G3612" s="31"/>
    </row>
    <row r="3613" spans="7:7" hidden="1">
      <c r="G3613" s="31"/>
    </row>
    <row r="3614" spans="7:7" hidden="1">
      <c r="G3614" s="31"/>
    </row>
    <row r="3615" spans="7:7" hidden="1">
      <c r="G3615" s="31"/>
    </row>
    <row r="3616" spans="7:7" hidden="1">
      <c r="G3616" s="31"/>
    </row>
    <row r="3617" spans="7:7" hidden="1">
      <c r="G3617" s="31"/>
    </row>
    <row r="3618" spans="7:7" hidden="1">
      <c r="G3618" s="31"/>
    </row>
    <row r="3619" spans="7:7" hidden="1">
      <c r="G3619" s="31"/>
    </row>
    <row r="3620" spans="7:7" hidden="1">
      <c r="G3620" s="31"/>
    </row>
    <row r="3621" spans="7:7" hidden="1">
      <c r="G3621" s="31"/>
    </row>
    <row r="3622" spans="7:7" hidden="1">
      <c r="G3622" s="31"/>
    </row>
    <row r="3623" spans="7:7" hidden="1">
      <c r="G3623" s="31"/>
    </row>
    <row r="3624" spans="7:7" hidden="1">
      <c r="G3624" s="31"/>
    </row>
    <row r="3625" spans="7:7" hidden="1">
      <c r="G3625" s="31"/>
    </row>
    <row r="3626" spans="7:7" hidden="1">
      <c r="G3626" s="31"/>
    </row>
    <row r="3627" spans="7:7" hidden="1">
      <c r="G3627" s="31"/>
    </row>
    <row r="3628" spans="7:7" hidden="1">
      <c r="G3628" s="31"/>
    </row>
    <row r="3629" spans="7:7" hidden="1">
      <c r="G3629" s="31"/>
    </row>
    <row r="3630" spans="7:7" hidden="1">
      <c r="G3630" s="31"/>
    </row>
    <row r="3631" spans="7:7" hidden="1">
      <c r="G3631" s="31"/>
    </row>
    <row r="3632" spans="7:7" hidden="1">
      <c r="G3632" s="31"/>
    </row>
    <row r="3633" spans="7:7" hidden="1">
      <c r="G3633" s="31"/>
    </row>
    <row r="3634" spans="7:7" hidden="1">
      <c r="G3634" s="31"/>
    </row>
    <row r="3635" spans="7:7" hidden="1">
      <c r="G3635" s="31"/>
    </row>
    <row r="3636" spans="7:7" hidden="1">
      <c r="G3636" s="31"/>
    </row>
    <row r="3637" spans="7:7" hidden="1">
      <c r="G3637" s="31"/>
    </row>
    <row r="3638" spans="7:7" hidden="1">
      <c r="G3638" s="31"/>
    </row>
    <row r="3639" spans="7:7" hidden="1">
      <c r="G3639" s="31"/>
    </row>
    <row r="3640" spans="7:7" hidden="1">
      <c r="G3640" s="31"/>
    </row>
    <row r="3641" spans="7:7" hidden="1">
      <c r="G3641" s="31"/>
    </row>
    <row r="3642" spans="7:7" hidden="1">
      <c r="G3642" s="31"/>
    </row>
    <row r="3643" spans="7:7" hidden="1">
      <c r="G3643" s="31"/>
    </row>
    <row r="3644" spans="7:7" hidden="1">
      <c r="G3644" s="31"/>
    </row>
    <row r="3645" spans="7:7" hidden="1">
      <c r="G3645" s="31"/>
    </row>
    <row r="3646" spans="7:7" hidden="1">
      <c r="G3646" s="31"/>
    </row>
    <row r="3647" spans="7:7" hidden="1">
      <c r="G3647" s="31"/>
    </row>
    <row r="3648" spans="7:7" hidden="1">
      <c r="G3648" s="31"/>
    </row>
    <row r="3649" spans="7:7" hidden="1">
      <c r="G3649" s="31"/>
    </row>
    <row r="3650" spans="7:7" hidden="1">
      <c r="G3650" s="31"/>
    </row>
    <row r="3651" spans="7:7" hidden="1">
      <c r="G3651" s="31"/>
    </row>
    <row r="3652" spans="7:7" hidden="1">
      <c r="G3652" s="31"/>
    </row>
    <row r="3653" spans="7:7" hidden="1">
      <c r="G3653" s="31"/>
    </row>
    <row r="3654" spans="7:7" hidden="1">
      <c r="G3654" s="31"/>
    </row>
    <row r="3655" spans="7:7" hidden="1">
      <c r="G3655" s="31"/>
    </row>
    <row r="3656" spans="7:7" hidden="1">
      <c r="G3656" s="31"/>
    </row>
    <row r="3657" spans="7:7" hidden="1">
      <c r="G3657" s="31"/>
    </row>
    <row r="3658" spans="7:7" hidden="1">
      <c r="G3658" s="31"/>
    </row>
    <row r="3659" spans="7:7" hidden="1">
      <c r="G3659" s="31"/>
    </row>
    <row r="3660" spans="7:7" hidden="1">
      <c r="G3660" s="31"/>
    </row>
    <row r="3661" spans="7:7" hidden="1">
      <c r="G3661" s="31"/>
    </row>
    <row r="3662" spans="7:7" hidden="1">
      <c r="G3662" s="31"/>
    </row>
    <row r="3663" spans="7:7" hidden="1">
      <c r="G3663" s="31"/>
    </row>
    <row r="3664" spans="7:7" hidden="1">
      <c r="G3664" s="31"/>
    </row>
    <row r="3665" spans="7:7" hidden="1">
      <c r="G3665" s="31"/>
    </row>
    <row r="3666" spans="7:7" hidden="1">
      <c r="G3666" s="31"/>
    </row>
    <row r="3667" spans="7:7" hidden="1">
      <c r="G3667" s="31"/>
    </row>
    <row r="3668" spans="7:7" hidden="1">
      <c r="G3668" s="31"/>
    </row>
    <row r="3669" spans="7:7" hidden="1">
      <c r="G3669" s="31"/>
    </row>
    <row r="3670" spans="7:7" hidden="1">
      <c r="G3670" s="31"/>
    </row>
    <row r="3671" spans="7:7" hidden="1">
      <c r="G3671" s="31"/>
    </row>
    <row r="3672" spans="7:7" hidden="1">
      <c r="G3672" s="31"/>
    </row>
    <row r="3673" spans="7:7" hidden="1">
      <c r="G3673" s="31"/>
    </row>
    <row r="3674" spans="7:7" hidden="1">
      <c r="G3674" s="31"/>
    </row>
    <row r="3675" spans="7:7" hidden="1">
      <c r="G3675" s="31"/>
    </row>
    <row r="3676" spans="7:7" hidden="1">
      <c r="G3676" s="31"/>
    </row>
    <row r="3677" spans="7:7" hidden="1">
      <c r="G3677" s="31"/>
    </row>
    <row r="3678" spans="7:7" hidden="1">
      <c r="G3678" s="31"/>
    </row>
    <row r="3679" spans="7:7" hidden="1">
      <c r="G3679" s="31"/>
    </row>
    <row r="3680" spans="7:7" hidden="1">
      <c r="G3680" s="31"/>
    </row>
    <row r="3681" spans="7:7" hidden="1">
      <c r="G3681" s="31"/>
    </row>
    <row r="3682" spans="7:7" hidden="1">
      <c r="G3682" s="31"/>
    </row>
    <row r="3683" spans="7:7" hidden="1">
      <c r="G3683" s="31"/>
    </row>
    <row r="3684" spans="7:7" hidden="1">
      <c r="G3684" s="31"/>
    </row>
    <row r="3685" spans="7:7" hidden="1">
      <c r="G3685" s="31"/>
    </row>
    <row r="3686" spans="7:7" hidden="1">
      <c r="G3686" s="31"/>
    </row>
    <row r="3687" spans="7:7" hidden="1">
      <c r="G3687" s="31"/>
    </row>
    <row r="3688" spans="7:7" hidden="1">
      <c r="G3688" s="31"/>
    </row>
    <row r="3689" spans="7:7" hidden="1">
      <c r="G3689" s="31"/>
    </row>
    <row r="3690" spans="7:7" hidden="1">
      <c r="G3690" s="31"/>
    </row>
    <row r="3691" spans="7:7" hidden="1">
      <c r="G3691" s="31"/>
    </row>
    <row r="3692" spans="7:7" hidden="1">
      <c r="G3692" s="31"/>
    </row>
    <row r="3693" spans="7:7" hidden="1">
      <c r="G3693" s="31"/>
    </row>
    <row r="3694" spans="7:7" hidden="1">
      <c r="G3694" s="31"/>
    </row>
    <row r="3695" spans="7:7" hidden="1">
      <c r="G3695" s="31"/>
    </row>
    <row r="3696" spans="7:7" hidden="1">
      <c r="G3696" s="31"/>
    </row>
    <row r="3697" spans="7:7" hidden="1">
      <c r="G3697" s="31"/>
    </row>
    <row r="3698" spans="7:7" hidden="1">
      <c r="G3698" s="31"/>
    </row>
    <row r="3699" spans="7:7" hidden="1">
      <c r="G3699" s="31"/>
    </row>
    <row r="3700" spans="7:7" hidden="1">
      <c r="G3700" s="31"/>
    </row>
    <row r="3701" spans="7:7" hidden="1">
      <c r="G3701" s="31"/>
    </row>
    <row r="3702" spans="7:7" hidden="1">
      <c r="G3702" s="31"/>
    </row>
    <row r="3703" spans="7:7" hidden="1">
      <c r="G3703" s="31"/>
    </row>
    <row r="3704" spans="7:7" hidden="1">
      <c r="G3704" s="31"/>
    </row>
    <row r="3705" spans="7:7" hidden="1">
      <c r="G3705" s="31"/>
    </row>
    <row r="3706" spans="7:7" hidden="1">
      <c r="G3706" s="31"/>
    </row>
    <row r="3707" spans="7:7" hidden="1">
      <c r="G3707" s="31"/>
    </row>
    <row r="3708" spans="7:7" hidden="1">
      <c r="G3708" s="31"/>
    </row>
    <row r="3709" spans="7:7" hidden="1">
      <c r="G3709" s="31"/>
    </row>
    <row r="3710" spans="7:7" hidden="1">
      <c r="G3710" s="31"/>
    </row>
    <row r="3711" spans="7:7" hidden="1">
      <c r="G3711" s="31"/>
    </row>
    <row r="3712" spans="7:7" hidden="1">
      <c r="G3712" s="31"/>
    </row>
    <row r="3713" spans="7:7" hidden="1">
      <c r="G3713" s="31"/>
    </row>
    <row r="3714" spans="7:7" hidden="1">
      <c r="G3714" s="31"/>
    </row>
    <row r="3715" spans="7:7" hidden="1">
      <c r="G3715" s="31"/>
    </row>
    <row r="3716" spans="7:7" hidden="1">
      <c r="G3716" s="31"/>
    </row>
    <row r="3717" spans="7:7" hidden="1">
      <c r="G3717" s="31"/>
    </row>
    <row r="3718" spans="7:7" hidden="1">
      <c r="G3718" s="31"/>
    </row>
    <row r="3719" spans="7:7" hidden="1">
      <c r="G3719" s="31"/>
    </row>
    <row r="3720" spans="7:7" hidden="1">
      <c r="G3720" s="31"/>
    </row>
    <row r="3721" spans="7:7" hidden="1">
      <c r="G3721" s="31"/>
    </row>
    <row r="3722" spans="7:7" hidden="1">
      <c r="G3722" s="31"/>
    </row>
    <row r="3723" spans="7:7" hidden="1">
      <c r="G3723" s="31"/>
    </row>
    <row r="3724" spans="7:7" hidden="1">
      <c r="G3724" s="31"/>
    </row>
    <row r="3725" spans="7:7" hidden="1">
      <c r="G3725" s="31"/>
    </row>
    <row r="3726" spans="7:7" hidden="1">
      <c r="G3726" s="31"/>
    </row>
    <row r="3727" spans="7:7" hidden="1">
      <c r="G3727" s="31"/>
    </row>
    <row r="3728" spans="7:7" hidden="1">
      <c r="G3728" s="31"/>
    </row>
    <row r="3729" spans="7:7" hidden="1">
      <c r="G3729" s="31"/>
    </row>
    <row r="3730" spans="7:7" hidden="1">
      <c r="G3730" s="31"/>
    </row>
    <row r="3731" spans="7:7" hidden="1">
      <c r="G3731" s="31"/>
    </row>
    <row r="3732" spans="7:7" hidden="1">
      <c r="G3732" s="31"/>
    </row>
    <row r="3733" spans="7:7" hidden="1">
      <c r="G3733" s="31"/>
    </row>
    <row r="3734" spans="7:7" hidden="1">
      <c r="G3734" s="31"/>
    </row>
    <row r="3735" spans="7:7" hidden="1">
      <c r="G3735" s="31"/>
    </row>
    <row r="3736" spans="7:7" hidden="1">
      <c r="G3736" s="31"/>
    </row>
    <row r="3737" spans="7:7" hidden="1">
      <c r="G3737" s="31"/>
    </row>
    <row r="3738" spans="7:7" hidden="1">
      <c r="G3738" s="31"/>
    </row>
    <row r="3739" spans="7:7" hidden="1">
      <c r="G3739" s="31"/>
    </row>
    <row r="3740" spans="7:7" hidden="1">
      <c r="G3740" s="31"/>
    </row>
    <row r="3741" spans="7:7" hidden="1">
      <c r="G3741" s="31"/>
    </row>
    <row r="3742" spans="7:7" hidden="1">
      <c r="G3742" s="31"/>
    </row>
    <row r="3743" spans="7:7" hidden="1">
      <c r="G3743" s="31"/>
    </row>
    <row r="3744" spans="7:7" hidden="1">
      <c r="G3744" s="31"/>
    </row>
    <row r="3745" spans="7:7" hidden="1">
      <c r="G3745" s="31"/>
    </row>
    <row r="3746" spans="7:7" hidden="1">
      <c r="G3746" s="31"/>
    </row>
    <row r="3747" spans="7:7" hidden="1">
      <c r="G3747" s="31"/>
    </row>
    <row r="3748" spans="7:7" hidden="1">
      <c r="G3748" s="31"/>
    </row>
    <row r="3749" spans="7:7" hidden="1">
      <c r="G3749" s="31"/>
    </row>
    <row r="3750" spans="7:7" hidden="1">
      <c r="G3750" s="31"/>
    </row>
    <row r="3751" spans="7:7" hidden="1">
      <c r="G3751" s="31"/>
    </row>
    <row r="3752" spans="7:7" hidden="1">
      <c r="G3752" s="31"/>
    </row>
    <row r="3753" spans="7:7" hidden="1">
      <c r="G3753" s="31"/>
    </row>
    <row r="3754" spans="7:7" hidden="1">
      <c r="G3754" s="31"/>
    </row>
    <row r="3755" spans="7:7" hidden="1">
      <c r="G3755" s="31"/>
    </row>
    <row r="3756" spans="7:7" hidden="1">
      <c r="G3756" s="31"/>
    </row>
    <row r="3757" spans="7:7" hidden="1">
      <c r="G3757" s="31"/>
    </row>
    <row r="3758" spans="7:7" hidden="1">
      <c r="G3758" s="31"/>
    </row>
    <row r="3759" spans="7:7" hidden="1">
      <c r="G3759" s="31"/>
    </row>
    <row r="3760" spans="7:7" hidden="1">
      <c r="G3760" s="31"/>
    </row>
    <row r="3761" spans="7:7" hidden="1">
      <c r="G3761" s="31"/>
    </row>
    <row r="3762" spans="7:7" hidden="1">
      <c r="G3762" s="31"/>
    </row>
    <row r="3763" spans="7:7" hidden="1">
      <c r="G3763" s="31"/>
    </row>
    <row r="3764" spans="7:7" hidden="1">
      <c r="G3764" s="31"/>
    </row>
    <row r="3765" spans="7:7" hidden="1">
      <c r="G3765" s="31"/>
    </row>
    <row r="3766" spans="7:7" hidden="1">
      <c r="G3766" s="31"/>
    </row>
    <row r="3767" spans="7:7" hidden="1">
      <c r="G3767" s="31"/>
    </row>
    <row r="3768" spans="7:7" hidden="1">
      <c r="G3768" s="31"/>
    </row>
    <row r="3769" spans="7:7" hidden="1">
      <c r="G3769" s="31"/>
    </row>
    <row r="3770" spans="7:7" hidden="1">
      <c r="G3770" s="31"/>
    </row>
    <row r="3771" spans="7:7" hidden="1">
      <c r="G3771" s="31"/>
    </row>
    <row r="3772" spans="7:7" hidden="1">
      <c r="G3772" s="31"/>
    </row>
    <row r="3773" spans="7:7" hidden="1">
      <c r="G3773" s="31"/>
    </row>
    <row r="3774" spans="7:7" hidden="1">
      <c r="G3774" s="31"/>
    </row>
    <row r="3775" spans="7:7" hidden="1">
      <c r="G3775" s="31"/>
    </row>
    <row r="3776" spans="7:7" hidden="1">
      <c r="G3776" s="31"/>
    </row>
    <row r="3777" spans="7:7" hidden="1">
      <c r="G3777" s="31"/>
    </row>
    <row r="3778" spans="7:7" hidden="1">
      <c r="G3778" s="31"/>
    </row>
    <row r="3779" spans="7:7" hidden="1">
      <c r="G3779" s="31"/>
    </row>
    <row r="3780" spans="7:7" hidden="1">
      <c r="G3780" s="31"/>
    </row>
    <row r="3781" spans="7:7" hidden="1">
      <c r="G3781" s="31"/>
    </row>
    <row r="3782" spans="7:7" hidden="1">
      <c r="G3782" s="31"/>
    </row>
    <row r="3783" spans="7:7" hidden="1">
      <c r="G3783" s="31"/>
    </row>
    <row r="3784" spans="7:7" hidden="1">
      <c r="G3784" s="31"/>
    </row>
    <row r="3785" spans="7:7" hidden="1">
      <c r="G3785" s="31"/>
    </row>
    <row r="3786" spans="7:7" hidden="1">
      <c r="G3786" s="31"/>
    </row>
    <row r="3787" spans="7:7" hidden="1">
      <c r="G3787" s="31"/>
    </row>
    <row r="3788" spans="7:7" hidden="1">
      <c r="G3788" s="31"/>
    </row>
    <row r="3789" spans="7:7" hidden="1">
      <c r="G3789" s="31"/>
    </row>
    <row r="3790" spans="7:7" hidden="1">
      <c r="G3790" s="31"/>
    </row>
    <row r="3791" spans="7:7" hidden="1">
      <c r="G3791" s="31"/>
    </row>
    <row r="3792" spans="7:7" hidden="1">
      <c r="G3792" s="31"/>
    </row>
    <row r="3793" spans="7:7" hidden="1">
      <c r="G3793" s="31"/>
    </row>
    <row r="3794" spans="7:7" hidden="1">
      <c r="G3794" s="31"/>
    </row>
    <row r="3795" spans="7:7" hidden="1">
      <c r="G3795" s="31"/>
    </row>
    <row r="3796" spans="7:7" hidden="1">
      <c r="G3796" s="31"/>
    </row>
    <row r="3797" spans="7:7" hidden="1">
      <c r="G3797" s="31"/>
    </row>
    <row r="3798" spans="7:7" hidden="1">
      <c r="G3798" s="31"/>
    </row>
    <row r="3799" spans="7:7" hidden="1">
      <c r="G3799" s="31"/>
    </row>
    <row r="3800" spans="7:7" hidden="1">
      <c r="G3800" s="31"/>
    </row>
    <row r="3801" spans="7:7" hidden="1">
      <c r="G3801" s="31"/>
    </row>
    <row r="3802" spans="7:7" hidden="1">
      <c r="G3802" s="31"/>
    </row>
    <row r="3803" spans="7:7" hidden="1">
      <c r="G3803" s="31"/>
    </row>
    <row r="3804" spans="7:7" hidden="1">
      <c r="G3804" s="31"/>
    </row>
    <row r="3805" spans="7:7" hidden="1">
      <c r="G3805" s="31"/>
    </row>
    <row r="3806" spans="7:7" hidden="1">
      <c r="G3806" s="31"/>
    </row>
    <row r="3807" spans="7:7" hidden="1">
      <c r="G3807" s="31"/>
    </row>
    <row r="3808" spans="7:7" hidden="1">
      <c r="G3808" s="31"/>
    </row>
    <row r="3809" spans="7:7" hidden="1">
      <c r="G3809" s="31"/>
    </row>
    <row r="3810" spans="7:7" hidden="1">
      <c r="G3810" s="31"/>
    </row>
    <row r="3811" spans="7:7" hidden="1">
      <c r="G3811" s="31"/>
    </row>
    <row r="3812" spans="7:7" hidden="1">
      <c r="G3812" s="31"/>
    </row>
    <row r="3813" spans="7:7" hidden="1">
      <c r="G3813" s="31"/>
    </row>
    <row r="3814" spans="7:7" hidden="1">
      <c r="G3814" s="31"/>
    </row>
    <row r="3815" spans="7:7" hidden="1">
      <c r="G3815" s="31"/>
    </row>
    <row r="3816" spans="7:7" hidden="1">
      <c r="G3816" s="31"/>
    </row>
    <row r="3817" spans="7:7" hidden="1">
      <c r="G3817" s="31"/>
    </row>
    <row r="3818" spans="7:7" hidden="1">
      <c r="G3818" s="31"/>
    </row>
    <row r="3819" spans="7:7" hidden="1">
      <c r="G3819" s="31"/>
    </row>
    <row r="3820" spans="7:7" hidden="1">
      <c r="G3820" s="31"/>
    </row>
    <row r="3821" spans="7:7" hidden="1">
      <c r="G3821" s="31"/>
    </row>
    <row r="3822" spans="7:7" hidden="1">
      <c r="G3822" s="31"/>
    </row>
    <row r="3823" spans="7:7" hidden="1">
      <c r="G3823" s="31"/>
    </row>
    <row r="3824" spans="7:7" hidden="1">
      <c r="G3824" s="31"/>
    </row>
    <row r="3825" spans="7:7" hidden="1">
      <c r="G3825" s="31"/>
    </row>
    <row r="3826" spans="7:7" hidden="1">
      <c r="G3826" s="31"/>
    </row>
    <row r="3827" spans="7:7" hidden="1">
      <c r="G3827" s="31"/>
    </row>
    <row r="3828" spans="7:7" hidden="1">
      <c r="G3828" s="31"/>
    </row>
    <row r="3829" spans="7:7" hidden="1">
      <c r="G3829" s="31"/>
    </row>
    <row r="3830" spans="7:7" hidden="1">
      <c r="G3830" s="31"/>
    </row>
    <row r="3831" spans="7:7" hidden="1">
      <c r="G3831" s="31"/>
    </row>
    <row r="3832" spans="7:7" hidden="1">
      <c r="G3832" s="31"/>
    </row>
    <row r="3833" spans="7:7" hidden="1">
      <c r="G3833" s="31"/>
    </row>
    <row r="3834" spans="7:7" hidden="1">
      <c r="G3834" s="31"/>
    </row>
    <row r="3835" spans="7:7" hidden="1">
      <c r="G3835" s="31"/>
    </row>
    <row r="3836" spans="7:7" hidden="1">
      <c r="G3836" s="31"/>
    </row>
    <row r="3837" spans="7:7" hidden="1">
      <c r="G3837" s="31"/>
    </row>
    <row r="3838" spans="7:7" hidden="1">
      <c r="G3838" s="31"/>
    </row>
    <row r="3839" spans="7:7" hidden="1">
      <c r="G3839" s="31"/>
    </row>
    <row r="3840" spans="7:7" hidden="1">
      <c r="G3840" s="31"/>
    </row>
    <row r="3841" spans="7:7" hidden="1">
      <c r="G3841" s="31"/>
    </row>
    <row r="3842" spans="7:7" hidden="1">
      <c r="G3842" s="31"/>
    </row>
    <row r="3843" spans="7:7" hidden="1">
      <c r="G3843" s="31"/>
    </row>
    <row r="3844" spans="7:7" hidden="1">
      <c r="G3844" s="31"/>
    </row>
    <row r="3845" spans="7:7" hidden="1">
      <c r="G3845" s="31"/>
    </row>
    <row r="3846" spans="7:7" hidden="1">
      <c r="G3846" s="31"/>
    </row>
    <row r="3847" spans="7:7" hidden="1">
      <c r="G3847" s="31"/>
    </row>
    <row r="3848" spans="7:7" hidden="1">
      <c r="G3848" s="31"/>
    </row>
    <row r="3849" spans="7:7" hidden="1">
      <c r="G3849" s="31"/>
    </row>
    <row r="3850" spans="7:7" hidden="1">
      <c r="G3850" s="31"/>
    </row>
    <row r="3851" spans="7:7" hidden="1">
      <c r="G3851" s="31"/>
    </row>
    <row r="3852" spans="7:7" hidden="1">
      <c r="G3852" s="31"/>
    </row>
    <row r="3853" spans="7:7" hidden="1">
      <c r="G3853" s="31"/>
    </row>
    <row r="3854" spans="7:7" hidden="1">
      <c r="G3854" s="31"/>
    </row>
    <row r="3855" spans="7:7" hidden="1">
      <c r="G3855" s="31"/>
    </row>
    <row r="3856" spans="7:7" hidden="1">
      <c r="G3856" s="31"/>
    </row>
    <row r="3857" spans="7:7" hidden="1">
      <c r="G3857" s="31"/>
    </row>
    <row r="3858" spans="7:7" hidden="1">
      <c r="G3858" s="31"/>
    </row>
    <row r="3859" spans="7:7" hidden="1">
      <c r="G3859" s="31"/>
    </row>
    <row r="3860" spans="7:7" hidden="1">
      <c r="G3860" s="31"/>
    </row>
    <row r="3861" spans="7:7" hidden="1">
      <c r="G3861" s="31"/>
    </row>
    <row r="3862" spans="7:7" hidden="1">
      <c r="G3862" s="31"/>
    </row>
    <row r="3863" spans="7:7" hidden="1">
      <c r="G3863" s="31"/>
    </row>
    <row r="3864" spans="7:7" hidden="1">
      <c r="G3864" s="31"/>
    </row>
    <row r="3865" spans="7:7" hidden="1">
      <c r="G3865" s="31"/>
    </row>
    <row r="3866" spans="7:7" hidden="1">
      <c r="G3866" s="31"/>
    </row>
    <row r="3867" spans="7:7" hidden="1">
      <c r="G3867" s="31"/>
    </row>
    <row r="3868" spans="7:7" hidden="1">
      <c r="G3868" s="31"/>
    </row>
    <row r="3869" spans="7:7" hidden="1">
      <c r="G3869" s="31"/>
    </row>
    <row r="3870" spans="7:7" hidden="1">
      <c r="G3870" s="31"/>
    </row>
    <row r="3871" spans="7:7" hidden="1">
      <c r="G3871" s="31"/>
    </row>
    <row r="3872" spans="7:7" hidden="1">
      <c r="G3872" s="31"/>
    </row>
    <row r="3873" spans="7:7" hidden="1">
      <c r="G3873" s="31"/>
    </row>
    <row r="3874" spans="7:7" hidden="1">
      <c r="G3874" s="31"/>
    </row>
    <row r="3875" spans="7:7" hidden="1">
      <c r="G3875" s="31"/>
    </row>
    <row r="3876" spans="7:7" hidden="1">
      <c r="G3876" s="31"/>
    </row>
    <row r="3877" spans="7:7" hidden="1">
      <c r="G3877" s="31"/>
    </row>
    <row r="3878" spans="7:7" hidden="1">
      <c r="G3878" s="31"/>
    </row>
    <row r="3879" spans="7:7" hidden="1">
      <c r="G3879" s="31"/>
    </row>
    <row r="3880" spans="7:7" hidden="1">
      <c r="G3880" s="31"/>
    </row>
    <row r="3881" spans="7:7" hidden="1">
      <c r="G3881" s="31"/>
    </row>
    <row r="3882" spans="7:7" hidden="1">
      <c r="G3882" s="31"/>
    </row>
    <row r="3883" spans="7:7" hidden="1">
      <c r="G3883" s="31"/>
    </row>
    <row r="3884" spans="7:7" hidden="1">
      <c r="G3884" s="31"/>
    </row>
    <row r="3885" spans="7:7" hidden="1">
      <c r="G3885" s="31"/>
    </row>
    <row r="3886" spans="7:7" hidden="1">
      <c r="G3886" s="31"/>
    </row>
    <row r="3887" spans="7:7" hidden="1">
      <c r="G3887" s="31"/>
    </row>
    <row r="3888" spans="7:7" hidden="1">
      <c r="G3888" s="31"/>
    </row>
    <row r="3889" spans="7:7" hidden="1">
      <c r="G3889" s="31"/>
    </row>
    <row r="3890" spans="7:7" hidden="1">
      <c r="G3890" s="31"/>
    </row>
    <row r="3891" spans="7:7" hidden="1">
      <c r="G3891" s="31"/>
    </row>
    <row r="3892" spans="7:7" hidden="1">
      <c r="G3892" s="31"/>
    </row>
    <row r="3893" spans="7:7" hidden="1">
      <c r="G3893" s="31"/>
    </row>
    <row r="3894" spans="7:7" hidden="1">
      <c r="G3894" s="31"/>
    </row>
    <row r="3895" spans="7:7" hidden="1">
      <c r="G3895" s="31"/>
    </row>
    <row r="3896" spans="7:7" hidden="1">
      <c r="G3896" s="31"/>
    </row>
    <row r="3897" spans="7:7" hidden="1">
      <c r="G3897" s="31"/>
    </row>
    <row r="3898" spans="7:7" hidden="1">
      <c r="G3898" s="31"/>
    </row>
    <row r="3899" spans="7:7" hidden="1">
      <c r="G3899" s="31"/>
    </row>
    <row r="3900" spans="7:7" hidden="1">
      <c r="G3900" s="31"/>
    </row>
    <row r="3901" spans="7:7" hidden="1">
      <c r="G3901" s="31"/>
    </row>
    <row r="3902" spans="7:7" hidden="1">
      <c r="G3902" s="31"/>
    </row>
    <row r="3903" spans="7:7" hidden="1">
      <c r="G3903" s="31"/>
    </row>
    <row r="3904" spans="7:7" hidden="1">
      <c r="G3904" s="31"/>
    </row>
    <row r="3905" spans="7:7" hidden="1">
      <c r="G3905" s="31"/>
    </row>
    <row r="3906" spans="7:7" hidden="1">
      <c r="G3906" s="31"/>
    </row>
    <row r="3907" spans="7:7" hidden="1">
      <c r="G3907" s="31"/>
    </row>
    <row r="3908" spans="7:7" hidden="1">
      <c r="G3908" s="31"/>
    </row>
    <row r="3909" spans="7:7" hidden="1">
      <c r="G3909" s="31"/>
    </row>
    <row r="3910" spans="7:7" hidden="1">
      <c r="G3910" s="31"/>
    </row>
    <row r="3911" spans="7:7" hidden="1">
      <c r="G3911" s="31"/>
    </row>
    <row r="3912" spans="7:7" hidden="1">
      <c r="G3912" s="31"/>
    </row>
    <row r="3913" spans="7:7" hidden="1">
      <c r="G3913" s="31"/>
    </row>
    <row r="3914" spans="7:7" hidden="1">
      <c r="G3914" s="31"/>
    </row>
    <row r="3915" spans="7:7" hidden="1">
      <c r="G3915" s="31"/>
    </row>
    <row r="3916" spans="7:7" hidden="1">
      <c r="G3916" s="31"/>
    </row>
    <row r="3917" spans="7:7" hidden="1">
      <c r="G3917" s="31"/>
    </row>
    <row r="3918" spans="7:7" hidden="1">
      <c r="G3918" s="31"/>
    </row>
    <row r="3919" spans="7:7" hidden="1">
      <c r="G3919" s="31"/>
    </row>
    <row r="3920" spans="7:7" hidden="1">
      <c r="G3920" s="31"/>
    </row>
    <row r="3921" spans="7:7" hidden="1">
      <c r="G3921" s="31"/>
    </row>
    <row r="3922" spans="7:7" hidden="1">
      <c r="G3922" s="31"/>
    </row>
    <row r="3923" spans="7:7" hidden="1">
      <c r="G3923" s="31"/>
    </row>
    <row r="3924" spans="7:7" hidden="1">
      <c r="G3924" s="31"/>
    </row>
    <row r="3925" spans="7:7" hidden="1">
      <c r="G3925" s="31"/>
    </row>
    <row r="3926" spans="7:7" hidden="1">
      <c r="G3926" s="31"/>
    </row>
    <row r="3927" spans="7:7" hidden="1">
      <c r="G3927" s="31"/>
    </row>
    <row r="3928" spans="7:7" hidden="1">
      <c r="G3928" s="31"/>
    </row>
    <row r="3929" spans="7:7" hidden="1">
      <c r="G3929" s="31"/>
    </row>
    <row r="3930" spans="7:7" hidden="1">
      <c r="G3930" s="31"/>
    </row>
    <row r="3931" spans="7:7" hidden="1">
      <c r="G3931" s="31"/>
    </row>
    <row r="3932" spans="7:7" hidden="1">
      <c r="G3932" s="31"/>
    </row>
    <row r="3933" spans="7:7" hidden="1">
      <c r="G3933" s="31"/>
    </row>
    <row r="3934" spans="7:7" hidden="1">
      <c r="G3934" s="31"/>
    </row>
    <row r="3935" spans="7:7" hidden="1">
      <c r="G3935" s="31"/>
    </row>
    <row r="3936" spans="7:7" hidden="1">
      <c r="G3936" s="31"/>
    </row>
    <row r="3937" spans="7:7" hidden="1">
      <c r="G3937" s="31"/>
    </row>
    <row r="3938" spans="7:7" hidden="1">
      <c r="G3938" s="31"/>
    </row>
    <row r="3939" spans="7:7" hidden="1">
      <c r="G3939" s="31"/>
    </row>
    <row r="3940" spans="7:7" hidden="1">
      <c r="G3940" s="31"/>
    </row>
    <row r="3941" spans="7:7" hidden="1">
      <c r="G3941" s="31"/>
    </row>
    <row r="3942" spans="7:7" hidden="1">
      <c r="G3942" s="31"/>
    </row>
    <row r="3943" spans="7:7" hidden="1">
      <c r="G3943" s="31"/>
    </row>
    <row r="3944" spans="7:7" hidden="1">
      <c r="G3944" s="31"/>
    </row>
    <row r="3945" spans="7:7" hidden="1">
      <c r="G3945" s="31"/>
    </row>
    <row r="3946" spans="7:7" hidden="1">
      <c r="G3946" s="31"/>
    </row>
    <row r="3947" spans="7:7" hidden="1">
      <c r="G3947" s="31"/>
    </row>
    <row r="3948" spans="7:7" hidden="1">
      <c r="G3948" s="31"/>
    </row>
    <row r="3949" spans="7:7" hidden="1">
      <c r="G3949" s="31"/>
    </row>
    <row r="3950" spans="7:7" hidden="1">
      <c r="G3950" s="31"/>
    </row>
    <row r="3951" spans="7:7" hidden="1">
      <c r="G3951" s="31"/>
    </row>
    <row r="3952" spans="7:7" hidden="1">
      <c r="G3952" s="31"/>
    </row>
    <row r="3953" spans="7:7" hidden="1">
      <c r="G3953" s="31"/>
    </row>
    <row r="3954" spans="7:7" hidden="1">
      <c r="G3954" s="31"/>
    </row>
    <row r="3955" spans="7:7" hidden="1">
      <c r="G3955" s="31"/>
    </row>
    <row r="3956" spans="7:7" hidden="1">
      <c r="G3956" s="31"/>
    </row>
    <row r="3957" spans="7:7" hidden="1">
      <c r="G3957" s="31"/>
    </row>
    <row r="3958" spans="7:7" hidden="1">
      <c r="G3958" s="31"/>
    </row>
    <row r="3959" spans="7:7" hidden="1">
      <c r="G3959" s="31"/>
    </row>
    <row r="3960" spans="7:7" hidden="1">
      <c r="G3960" s="31"/>
    </row>
    <row r="3961" spans="7:7" hidden="1">
      <c r="G3961" s="31"/>
    </row>
    <row r="3962" spans="7:7" hidden="1">
      <c r="G3962" s="31"/>
    </row>
    <row r="3963" spans="7:7" hidden="1">
      <c r="G3963" s="31"/>
    </row>
    <row r="3964" spans="7:7" hidden="1">
      <c r="G3964" s="31"/>
    </row>
    <row r="3965" spans="7:7" hidden="1">
      <c r="G3965" s="31"/>
    </row>
    <row r="3966" spans="7:7" hidden="1">
      <c r="G3966" s="31"/>
    </row>
    <row r="3967" spans="7:7" hidden="1">
      <c r="G3967" s="31"/>
    </row>
    <row r="3968" spans="7:7" hidden="1">
      <c r="G3968" s="31"/>
    </row>
    <row r="3969" spans="7:7" hidden="1">
      <c r="G3969" s="31"/>
    </row>
    <row r="3970" spans="7:7" hidden="1">
      <c r="G3970" s="31"/>
    </row>
    <row r="3971" spans="7:7" hidden="1">
      <c r="G3971" s="31"/>
    </row>
    <row r="3972" spans="7:7" hidden="1">
      <c r="G3972" s="31"/>
    </row>
    <row r="3973" spans="7:7" hidden="1">
      <c r="G3973" s="31"/>
    </row>
    <row r="3974" spans="7:7" hidden="1">
      <c r="G3974" s="31"/>
    </row>
    <row r="3975" spans="7:7" hidden="1">
      <c r="G3975" s="31"/>
    </row>
    <row r="3976" spans="7:7" hidden="1">
      <c r="G3976" s="31"/>
    </row>
    <row r="3977" spans="7:7" hidden="1">
      <c r="G3977" s="31"/>
    </row>
    <row r="3978" spans="7:7" hidden="1">
      <c r="G3978" s="31"/>
    </row>
    <row r="3979" spans="7:7" hidden="1">
      <c r="G3979" s="31"/>
    </row>
    <row r="3980" spans="7:7" hidden="1">
      <c r="G3980" s="31"/>
    </row>
    <row r="3981" spans="7:7" hidden="1">
      <c r="G3981" s="31"/>
    </row>
    <row r="3982" spans="7:7" hidden="1">
      <c r="G3982" s="31"/>
    </row>
    <row r="3983" spans="7:7" hidden="1">
      <c r="G3983" s="31"/>
    </row>
    <row r="3984" spans="7:7" hidden="1">
      <c r="G3984" s="31"/>
    </row>
    <row r="3985" spans="7:7" hidden="1">
      <c r="G3985" s="31"/>
    </row>
    <row r="3986" spans="7:7" hidden="1">
      <c r="G3986" s="31"/>
    </row>
    <row r="3987" spans="7:7" hidden="1">
      <c r="G3987" s="31"/>
    </row>
    <row r="3988" spans="7:7" hidden="1">
      <c r="G3988" s="31"/>
    </row>
    <row r="3989" spans="7:7" hidden="1">
      <c r="G3989" s="31"/>
    </row>
    <row r="3990" spans="7:7" hidden="1">
      <c r="G3990" s="31"/>
    </row>
    <row r="3991" spans="7:7" hidden="1">
      <c r="G3991" s="31"/>
    </row>
    <row r="3992" spans="7:7" hidden="1">
      <c r="G3992" s="31"/>
    </row>
    <row r="3993" spans="7:7" hidden="1">
      <c r="G3993" s="31"/>
    </row>
    <row r="3994" spans="7:7" hidden="1">
      <c r="G3994" s="31"/>
    </row>
    <row r="3995" spans="7:7" hidden="1">
      <c r="G3995" s="31"/>
    </row>
    <row r="3996" spans="7:7" hidden="1">
      <c r="G3996" s="31"/>
    </row>
    <row r="3997" spans="7:7" hidden="1">
      <c r="G3997" s="31"/>
    </row>
    <row r="3998" spans="7:7" hidden="1">
      <c r="G3998" s="31"/>
    </row>
    <row r="3999" spans="7:7" hidden="1">
      <c r="G3999" s="31"/>
    </row>
    <row r="4000" spans="7:7" hidden="1">
      <c r="G4000" s="31"/>
    </row>
    <row r="4001" spans="7:7" hidden="1">
      <c r="G4001" s="31"/>
    </row>
    <row r="4002" spans="7:7" hidden="1">
      <c r="G4002" s="31"/>
    </row>
    <row r="4003" spans="7:7" hidden="1">
      <c r="G4003" s="31"/>
    </row>
    <row r="4004" spans="7:7" hidden="1">
      <c r="G4004" s="31"/>
    </row>
    <row r="4005" spans="7:7" hidden="1">
      <c r="G4005" s="31"/>
    </row>
    <row r="4006" spans="7:7" hidden="1">
      <c r="G4006" s="31"/>
    </row>
    <row r="4007" spans="7:7" hidden="1">
      <c r="G4007" s="31"/>
    </row>
    <row r="4008" spans="7:7" hidden="1">
      <c r="G4008" s="31"/>
    </row>
    <row r="4009" spans="7:7" hidden="1">
      <c r="G4009" s="31"/>
    </row>
    <row r="4010" spans="7:7" hidden="1">
      <c r="G4010" s="31"/>
    </row>
    <row r="4011" spans="7:7" hidden="1">
      <c r="G4011" s="31"/>
    </row>
    <row r="4012" spans="7:7" hidden="1">
      <c r="G4012" s="31"/>
    </row>
    <row r="4013" spans="7:7" hidden="1">
      <c r="G4013" s="31"/>
    </row>
    <row r="4014" spans="7:7" hidden="1">
      <c r="G4014" s="31"/>
    </row>
    <row r="4015" spans="7:7" hidden="1">
      <c r="G4015" s="31"/>
    </row>
    <row r="4016" spans="7:7" hidden="1">
      <c r="G4016" s="31"/>
    </row>
    <row r="4017" spans="7:7" hidden="1">
      <c r="G4017" s="31"/>
    </row>
    <row r="4018" spans="7:7" hidden="1">
      <c r="G4018" s="31"/>
    </row>
    <row r="4019" spans="7:7" hidden="1">
      <c r="G4019" s="31"/>
    </row>
    <row r="4020" spans="7:7" hidden="1">
      <c r="G4020" s="31"/>
    </row>
    <row r="4021" spans="7:7" hidden="1">
      <c r="G4021" s="31"/>
    </row>
    <row r="4022" spans="7:7" hidden="1">
      <c r="G4022" s="31"/>
    </row>
    <row r="4023" spans="7:7" hidden="1">
      <c r="G4023" s="31"/>
    </row>
    <row r="4024" spans="7:7" hidden="1">
      <c r="G4024" s="31"/>
    </row>
    <row r="4025" spans="7:7" hidden="1">
      <c r="G4025" s="31"/>
    </row>
    <row r="4026" spans="7:7" hidden="1">
      <c r="G4026" s="31"/>
    </row>
    <row r="4027" spans="7:7" hidden="1">
      <c r="G4027" s="31"/>
    </row>
    <row r="4028" spans="7:7" hidden="1">
      <c r="G4028" s="31"/>
    </row>
    <row r="4029" spans="7:7" hidden="1">
      <c r="G4029" s="31"/>
    </row>
    <row r="4030" spans="7:7" hidden="1">
      <c r="G4030" s="31"/>
    </row>
    <row r="4031" spans="7:7" hidden="1">
      <c r="G4031" s="31"/>
    </row>
    <row r="4032" spans="7:7" hidden="1">
      <c r="G4032" s="31"/>
    </row>
    <row r="4033" spans="7:7" hidden="1">
      <c r="G4033" s="31"/>
    </row>
    <row r="4034" spans="7:7" hidden="1">
      <c r="G4034" s="31"/>
    </row>
    <row r="4035" spans="7:7" hidden="1">
      <c r="G4035" s="31"/>
    </row>
    <row r="4036" spans="7:7" hidden="1">
      <c r="G4036" s="31"/>
    </row>
    <row r="4037" spans="7:7" hidden="1">
      <c r="G4037" s="31"/>
    </row>
    <row r="4038" spans="7:7" hidden="1">
      <c r="G4038" s="31"/>
    </row>
    <row r="4039" spans="7:7" hidden="1">
      <c r="G4039" s="31"/>
    </row>
    <row r="4040" spans="7:7" hidden="1">
      <c r="G4040" s="31"/>
    </row>
    <row r="4041" spans="7:7" hidden="1">
      <c r="G4041" s="31"/>
    </row>
    <row r="4042" spans="7:7" hidden="1">
      <c r="G4042" s="31"/>
    </row>
    <row r="4043" spans="7:7" hidden="1">
      <c r="G4043" s="31"/>
    </row>
    <row r="4044" spans="7:7" hidden="1">
      <c r="G4044" s="31"/>
    </row>
    <row r="4045" spans="7:7" hidden="1">
      <c r="G4045" s="31"/>
    </row>
    <row r="4046" spans="7:7" hidden="1">
      <c r="G4046" s="31"/>
    </row>
    <row r="4047" spans="7:7" hidden="1">
      <c r="G4047" s="31"/>
    </row>
    <row r="4048" spans="7:7" hidden="1">
      <c r="G4048" s="31"/>
    </row>
    <row r="4049" spans="7:7" hidden="1">
      <c r="G4049" s="31"/>
    </row>
    <row r="4050" spans="7:7" hidden="1">
      <c r="G4050" s="31"/>
    </row>
    <row r="4051" spans="7:7" hidden="1">
      <c r="G4051" s="31"/>
    </row>
    <row r="4052" spans="7:7" hidden="1">
      <c r="G4052" s="31"/>
    </row>
    <row r="4053" spans="7:7" hidden="1">
      <c r="G4053" s="31"/>
    </row>
    <row r="4054" spans="7:7" hidden="1">
      <c r="G4054" s="31"/>
    </row>
    <row r="4055" spans="7:7" hidden="1">
      <c r="G4055" s="31"/>
    </row>
    <row r="4056" spans="7:7" hidden="1">
      <c r="G4056" s="31"/>
    </row>
    <row r="4057" spans="7:7" hidden="1">
      <c r="G4057" s="31"/>
    </row>
    <row r="4058" spans="7:7" hidden="1">
      <c r="G4058" s="31"/>
    </row>
    <row r="4059" spans="7:7" hidden="1">
      <c r="G4059" s="31"/>
    </row>
    <row r="4060" spans="7:7" hidden="1">
      <c r="G4060" s="31"/>
    </row>
    <row r="4061" spans="7:7" hidden="1">
      <c r="G4061" s="31"/>
    </row>
    <row r="4062" spans="7:7" hidden="1">
      <c r="G4062" s="31"/>
    </row>
    <row r="4063" spans="7:7" hidden="1">
      <c r="G4063" s="31"/>
    </row>
    <row r="4064" spans="7:7" hidden="1">
      <c r="G4064" s="31"/>
    </row>
    <row r="4065" spans="7:7" hidden="1">
      <c r="G4065" s="31"/>
    </row>
    <row r="4066" spans="7:7" hidden="1">
      <c r="G4066" s="31"/>
    </row>
    <row r="4067" spans="7:7" hidden="1">
      <c r="G4067" s="31"/>
    </row>
    <row r="4068" spans="7:7" hidden="1">
      <c r="G4068" s="31"/>
    </row>
    <row r="4069" spans="7:7" hidden="1">
      <c r="G4069" s="31"/>
    </row>
    <row r="4070" spans="7:7" hidden="1">
      <c r="G4070" s="31"/>
    </row>
    <row r="4071" spans="7:7" hidden="1">
      <c r="G4071" s="31"/>
    </row>
    <row r="4072" spans="7:7" hidden="1">
      <c r="G4072" s="31"/>
    </row>
    <row r="4073" spans="7:7" hidden="1">
      <c r="G4073" s="31"/>
    </row>
    <row r="4074" spans="7:7" hidden="1">
      <c r="G4074" s="31"/>
    </row>
    <row r="4075" spans="7:7" hidden="1">
      <c r="G4075" s="31"/>
    </row>
    <row r="4076" spans="7:7" hidden="1">
      <c r="G4076" s="31"/>
    </row>
    <row r="4077" spans="7:7" hidden="1">
      <c r="G4077" s="31"/>
    </row>
    <row r="4078" spans="7:7" hidden="1">
      <c r="G4078" s="31"/>
    </row>
    <row r="4079" spans="7:7" hidden="1">
      <c r="G4079" s="31"/>
    </row>
    <row r="4080" spans="7:7" hidden="1">
      <c r="G4080" s="31"/>
    </row>
    <row r="4081" spans="7:7" hidden="1">
      <c r="G4081" s="31"/>
    </row>
    <row r="4082" spans="7:7" hidden="1">
      <c r="G4082" s="31"/>
    </row>
    <row r="4083" spans="7:7" hidden="1">
      <c r="G4083" s="31"/>
    </row>
    <row r="4084" spans="7:7" hidden="1">
      <c r="G4084" s="31"/>
    </row>
    <row r="4085" spans="7:7" hidden="1">
      <c r="G4085" s="31"/>
    </row>
    <row r="4086" spans="7:7" hidden="1">
      <c r="G4086" s="31"/>
    </row>
    <row r="4087" spans="7:7" hidden="1">
      <c r="G4087" s="31"/>
    </row>
    <row r="4088" spans="7:7" hidden="1">
      <c r="G4088" s="31"/>
    </row>
    <row r="4089" spans="7:7" hidden="1">
      <c r="G4089" s="31"/>
    </row>
    <row r="4090" spans="7:7" hidden="1">
      <c r="G4090" s="31"/>
    </row>
    <row r="4091" spans="7:7" hidden="1">
      <c r="G4091" s="31"/>
    </row>
    <row r="4092" spans="7:7" hidden="1">
      <c r="G4092" s="31"/>
    </row>
    <row r="4093" spans="7:7" hidden="1">
      <c r="G4093" s="31"/>
    </row>
    <row r="4094" spans="7:7" hidden="1">
      <c r="G4094" s="31"/>
    </row>
    <row r="4095" spans="7:7" hidden="1">
      <c r="G4095" s="31"/>
    </row>
    <row r="4096" spans="7:7" hidden="1">
      <c r="G4096" s="31"/>
    </row>
    <row r="4097" spans="7:7" hidden="1">
      <c r="G4097" s="31"/>
    </row>
    <row r="4098" spans="7:7" hidden="1">
      <c r="G4098" s="31"/>
    </row>
    <row r="4099" spans="7:7" hidden="1">
      <c r="G4099" s="31"/>
    </row>
    <row r="4100" spans="7:7" hidden="1">
      <c r="G4100" s="31"/>
    </row>
    <row r="4101" spans="7:7" hidden="1">
      <c r="G4101" s="31"/>
    </row>
    <row r="4102" spans="7:7" hidden="1">
      <c r="G4102" s="31"/>
    </row>
    <row r="4103" spans="7:7" hidden="1">
      <c r="G4103" s="31"/>
    </row>
    <row r="4104" spans="7:7" hidden="1">
      <c r="G4104" s="31"/>
    </row>
    <row r="4105" spans="7:7" hidden="1">
      <c r="G4105" s="31"/>
    </row>
    <row r="4106" spans="7:7" hidden="1">
      <c r="G4106" s="31"/>
    </row>
    <row r="4107" spans="7:7" hidden="1">
      <c r="G4107" s="31"/>
    </row>
    <row r="4108" spans="7:7" hidden="1">
      <c r="G4108" s="31"/>
    </row>
    <row r="4109" spans="7:7" hidden="1">
      <c r="G4109" s="31"/>
    </row>
    <row r="4110" spans="7:7" hidden="1">
      <c r="G4110" s="31"/>
    </row>
    <row r="4111" spans="7:7" hidden="1">
      <c r="G4111" s="31"/>
    </row>
    <row r="4112" spans="7:7" hidden="1">
      <c r="G4112" s="31"/>
    </row>
    <row r="4113" spans="7:7" hidden="1">
      <c r="G4113" s="31"/>
    </row>
    <row r="4114" spans="7:7" hidden="1">
      <c r="G4114" s="31"/>
    </row>
    <row r="4115" spans="7:7" hidden="1">
      <c r="G4115" s="31"/>
    </row>
    <row r="4116" spans="7:7" hidden="1">
      <c r="G4116" s="31"/>
    </row>
    <row r="4117" spans="7:7" hidden="1">
      <c r="G4117" s="31"/>
    </row>
    <row r="4118" spans="7:7" hidden="1">
      <c r="G4118" s="31"/>
    </row>
    <row r="4119" spans="7:7" hidden="1">
      <c r="G4119" s="31"/>
    </row>
    <row r="4120" spans="7:7" hidden="1">
      <c r="G4120" s="31"/>
    </row>
    <row r="4121" spans="7:7" hidden="1">
      <c r="G4121" s="31"/>
    </row>
    <row r="4122" spans="7:7" hidden="1">
      <c r="G4122" s="31"/>
    </row>
    <row r="4123" spans="7:7" hidden="1">
      <c r="G4123" s="31"/>
    </row>
    <row r="4124" spans="7:7" hidden="1">
      <c r="G4124" s="31"/>
    </row>
    <row r="4125" spans="7:7" hidden="1">
      <c r="G4125" s="31"/>
    </row>
    <row r="4126" spans="7:7" hidden="1">
      <c r="G4126" s="31"/>
    </row>
    <row r="4127" spans="7:7" hidden="1">
      <c r="G4127" s="31"/>
    </row>
    <row r="4128" spans="7:7" hidden="1">
      <c r="G4128" s="31"/>
    </row>
    <row r="4129" spans="7:7" hidden="1">
      <c r="G4129" s="31"/>
    </row>
    <row r="4130" spans="7:7" hidden="1">
      <c r="G4130" s="31"/>
    </row>
    <row r="4131" spans="7:7" hidden="1">
      <c r="G4131" s="31"/>
    </row>
    <row r="4132" spans="7:7" hidden="1">
      <c r="G4132" s="31"/>
    </row>
    <row r="4133" spans="7:7" hidden="1">
      <c r="G4133" s="31"/>
    </row>
    <row r="4134" spans="7:7" hidden="1">
      <c r="G4134" s="31"/>
    </row>
    <row r="4135" spans="7:7" hidden="1">
      <c r="G4135" s="31"/>
    </row>
    <row r="4136" spans="7:7" hidden="1">
      <c r="G4136" s="31"/>
    </row>
    <row r="4137" spans="7:7" hidden="1">
      <c r="G4137" s="31"/>
    </row>
    <row r="4138" spans="7:7" hidden="1">
      <c r="G4138" s="31"/>
    </row>
    <row r="4139" spans="7:7" hidden="1">
      <c r="G4139" s="31"/>
    </row>
    <row r="4140" spans="7:7" hidden="1">
      <c r="G4140" s="31"/>
    </row>
    <row r="4141" spans="7:7" hidden="1">
      <c r="G4141" s="31"/>
    </row>
    <row r="4142" spans="7:7" hidden="1">
      <c r="G4142" s="31"/>
    </row>
    <row r="4143" spans="7:7" hidden="1">
      <c r="G4143" s="31"/>
    </row>
    <row r="4144" spans="7:7" hidden="1">
      <c r="G4144" s="31"/>
    </row>
    <row r="4145" spans="7:7" hidden="1">
      <c r="G4145" s="31"/>
    </row>
    <row r="4146" spans="7:7" hidden="1">
      <c r="G4146" s="31"/>
    </row>
    <row r="4147" spans="7:7" hidden="1">
      <c r="G4147" s="31"/>
    </row>
    <row r="4148" spans="7:7" hidden="1">
      <c r="G4148" s="31"/>
    </row>
    <row r="4149" spans="7:7" hidden="1">
      <c r="G4149" s="31"/>
    </row>
    <row r="4150" spans="7:7" hidden="1">
      <c r="G4150" s="31"/>
    </row>
    <row r="4151" spans="7:7" hidden="1">
      <c r="G4151" s="31"/>
    </row>
    <row r="4152" spans="7:7" hidden="1">
      <c r="G4152" s="31"/>
    </row>
    <row r="4153" spans="7:7" hidden="1">
      <c r="G4153" s="31"/>
    </row>
    <row r="4154" spans="7:7" hidden="1">
      <c r="G4154" s="31"/>
    </row>
    <row r="4155" spans="7:7" hidden="1">
      <c r="G4155" s="31"/>
    </row>
    <row r="4156" spans="7:7" hidden="1">
      <c r="G4156" s="31"/>
    </row>
    <row r="4157" spans="7:7" hidden="1">
      <c r="G4157" s="31"/>
    </row>
    <row r="4158" spans="7:7" hidden="1">
      <c r="G4158" s="31"/>
    </row>
    <row r="4159" spans="7:7" hidden="1">
      <c r="G4159" s="31"/>
    </row>
    <row r="4160" spans="7:7" hidden="1">
      <c r="G4160" s="31"/>
    </row>
    <row r="4161" spans="7:7" hidden="1">
      <c r="G4161" s="31"/>
    </row>
    <row r="4162" spans="7:7" hidden="1">
      <c r="G4162" s="31"/>
    </row>
    <row r="4163" spans="7:7" hidden="1">
      <c r="G4163" s="31"/>
    </row>
    <row r="4164" spans="7:7" hidden="1">
      <c r="G4164" s="31"/>
    </row>
    <row r="4165" spans="7:7" hidden="1">
      <c r="G4165" s="31"/>
    </row>
    <row r="4166" spans="7:7" hidden="1">
      <c r="G4166" s="31"/>
    </row>
    <row r="4167" spans="7:7" hidden="1">
      <c r="G4167" s="31"/>
    </row>
    <row r="4168" spans="7:7" hidden="1">
      <c r="G4168" s="31"/>
    </row>
    <row r="4169" spans="7:7" hidden="1">
      <c r="G4169" s="31"/>
    </row>
    <row r="4170" spans="7:7" hidden="1">
      <c r="G4170" s="31"/>
    </row>
    <row r="4171" spans="7:7" hidden="1">
      <c r="G4171" s="31"/>
    </row>
    <row r="4172" spans="7:7" hidden="1">
      <c r="G4172" s="31"/>
    </row>
    <row r="4173" spans="7:7" hidden="1">
      <c r="G4173" s="31"/>
    </row>
    <row r="4174" spans="7:7" hidden="1">
      <c r="G4174" s="31"/>
    </row>
    <row r="4175" spans="7:7" hidden="1">
      <c r="G4175" s="31"/>
    </row>
    <row r="4176" spans="7:7" hidden="1">
      <c r="G4176" s="31"/>
    </row>
    <row r="4177" spans="7:7" hidden="1">
      <c r="G4177" s="31"/>
    </row>
    <row r="4178" spans="7:7" hidden="1">
      <c r="G4178" s="31"/>
    </row>
    <row r="4179" spans="7:7" hidden="1">
      <c r="G4179" s="31"/>
    </row>
    <row r="4180" spans="7:7" hidden="1">
      <c r="G4180" s="31"/>
    </row>
    <row r="4181" spans="7:7" hidden="1">
      <c r="G4181" s="31"/>
    </row>
    <row r="4182" spans="7:7" hidden="1">
      <c r="G4182" s="31"/>
    </row>
    <row r="4183" spans="7:7" hidden="1">
      <c r="G4183" s="31"/>
    </row>
    <row r="4184" spans="7:7" hidden="1">
      <c r="G4184" s="31"/>
    </row>
    <row r="4185" spans="7:7" hidden="1">
      <c r="G4185" s="31"/>
    </row>
    <row r="4186" spans="7:7" hidden="1">
      <c r="G4186" s="31"/>
    </row>
    <row r="4187" spans="7:7" hidden="1">
      <c r="G4187" s="31"/>
    </row>
    <row r="4188" spans="7:7" hidden="1">
      <c r="G4188" s="31"/>
    </row>
    <row r="4189" spans="7:7" hidden="1">
      <c r="G4189" s="31"/>
    </row>
    <row r="4190" spans="7:7" hidden="1">
      <c r="G4190" s="31"/>
    </row>
    <row r="4191" spans="7:7" hidden="1">
      <c r="G4191" s="31"/>
    </row>
    <row r="4192" spans="7:7" hidden="1">
      <c r="G4192" s="31"/>
    </row>
    <row r="4193" spans="7:7" hidden="1">
      <c r="G4193" s="31"/>
    </row>
    <row r="4194" spans="7:7" hidden="1">
      <c r="G4194" s="31"/>
    </row>
    <row r="4195" spans="7:7" hidden="1">
      <c r="G4195" s="31"/>
    </row>
    <row r="4196" spans="7:7" hidden="1">
      <c r="G4196" s="31"/>
    </row>
    <row r="4197" spans="7:7" hidden="1">
      <c r="G4197" s="31"/>
    </row>
    <row r="4198" spans="7:7" hidden="1">
      <c r="G4198" s="31"/>
    </row>
    <row r="4199" spans="7:7" hidden="1">
      <c r="G4199" s="31"/>
    </row>
    <row r="4200" spans="7:7" hidden="1">
      <c r="G4200" s="31"/>
    </row>
    <row r="4201" spans="7:7" hidden="1">
      <c r="G4201" s="31"/>
    </row>
    <row r="4202" spans="7:7" hidden="1">
      <c r="G4202" s="31"/>
    </row>
    <row r="4203" spans="7:7" hidden="1">
      <c r="G4203" s="31"/>
    </row>
    <row r="4204" spans="7:7" hidden="1">
      <c r="G4204" s="31"/>
    </row>
    <row r="4205" spans="7:7" hidden="1">
      <c r="G4205" s="31"/>
    </row>
    <row r="4206" spans="7:7" hidden="1">
      <c r="G4206" s="31"/>
    </row>
    <row r="4207" spans="7:7" hidden="1">
      <c r="G4207" s="31"/>
    </row>
    <row r="4208" spans="7:7" hidden="1">
      <c r="G4208" s="31"/>
    </row>
    <row r="4209" spans="7:7" hidden="1">
      <c r="G4209" s="31"/>
    </row>
    <row r="4210" spans="7:7" hidden="1">
      <c r="G4210" s="31"/>
    </row>
    <row r="4211" spans="7:7" hidden="1">
      <c r="G4211" s="31"/>
    </row>
    <row r="4212" spans="7:7" hidden="1">
      <c r="G4212" s="31"/>
    </row>
    <row r="4213" spans="7:7" hidden="1">
      <c r="G4213" s="31"/>
    </row>
    <row r="4214" spans="7:7" hidden="1">
      <c r="G4214" s="31"/>
    </row>
    <row r="4215" spans="7:7" hidden="1">
      <c r="G4215" s="31"/>
    </row>
    <row r="4216" spans="7:7" hidden="1">
      <c r="G4216" s="31"/>
    </row>
    <row r="4217" spans="7:7" hidden="1">
      <c r="G4217" s="31"/>
    </row>
    <row r="4218" spans="7:7" hidden="1">
      <c r="G4218" s="31"/>
    </row>
    <row r="4219" spans="7:7" hidden="1">
      <c r="G4219" s="31"/>
    </row>
    <row r="4220" spans="7:7" hidden="1">
      <c r="G4220" s="31"/>
    </row>
    <row r="4221" spans="7:7" hidden="1">
      <c r="G4221" s="31"/>
    </row>
    <row r="4222" spans="7:7" hidden="1">
      <c r="G4222" s="31"/>
    </row>
    <row r="4223" spans="7:7" hidden="1">
      <c r="G4223" s="31"/>
    </row>
    <row r="4224" spans="7:7" hidden="1">
      <c r="G4224" s="31"/>
    </row>
    <row r="4225" spans="7:7" hidden="1">
      <c r="G4225" s="31"/>
    </row>
    <row r="4226" spans="7:7" hidden="1">
      <c r="G4226" s="31"/>
    </row>
    <row r="4227" spans="7:7" hidden="1">
      <c r="G4227" s="31"/>
    </row>
    <row r="4228" spans="7:7" hidden="1">
      <c r="G4228" s="31"/>
    </row>
    <row r="4229" spans="7:7" hidden="1">
      <c r="G4229" s="31"/>
    </row>
    <row r="4230" spans="7:7" hidden="1">
      <c r="G4230" s="31"/>
    </row>
    <row r="4231" spans="7:7" hidden="1">
      <c r="G4231" s="31"/>
    </row>
    <row r="4232" spans="7:7" hidden="1">
      <c r="G4232" s="31"/>
    </row>
    <row r="4233" spans="7:7" hidden="1">
      <c r="G4233" s="31"/>
    </row>
    <row r="4234" spans="7:7" hidden="1">
      <c r="G4234" s="31"/>
    </row>
    <row r="4235" spans="7:7" hidden="1">
      <c r="G4235" s="31"/>
    </row>
    <row r="4236" spans="7:7" hidden="1">
      <c r="G4236" s="31"/>
    </row>
    <row r="4237" spans="7:7" hidden="1">
      <c r="G4237" s="31"/>
    </row>
    <row r="4238" spans="7:7" hidden="1">
      <c r="G4238" s="31"/>
    </row>
    <row r="4239" spans="7:7" hidden="1">
      <c r="G4239" s="31"/>
    </row>
    <row r="4240" spans="7:7" hidden="1">
      <c r="G4240" s="31"/>
    </row>
    <row r="4241" spans="7:7" hidden="1">
      <c r="G4241" s="31"/>
    </row>
    <row r="4242" spans="7:7" hidden="1">
      <c r="G4242" s="31"/>
    </row>
    <row r="4243" spans="7:7" hidden="1">
      <c r="G4243" s="31"/>
    </row>
    <row r="4244" spans="7:7" hidden="1">
      <c r="G4244" s="31"/>
    </row>
    <row r="4245" spans="7:7" hidden="1">
      <c r="G4245" s="31"/>
    </row>
    <row r="4246" spans="7:7" hidden="1">
      <c r="G4246" s="31"/>
    </row>
    <row r="4247" spans="7:7" hidden="1">
      <c r="G4247" s="31"/>
    </row>
    <row r="4248" spans="7:7" hidden="1">
      <c r="G4248" s="31"/>
    </row>
    <row r="4249" spans="7:7" hidden="1">
      <c r="G4249" s="31"/>
    </row>
    <row r="4250" spans="7:7" hidden="1">
      <c r="G4250" s="31"/>
    </row>
    <row r="4251" spans="7:7" hidden="1">
      <c r="G4251" s="31"/>
    </row>
    <row r="4252" spans="7:7" hidden="1">
      <c r="G4252" s="31"/>
    </row>
    <row r="4253" spans="7:7" hidden="1">
      <c r="G4253" s="31"/>
    </row>
    <row r="4254" spans="7:7" hidden="1">
      <c r="G4254" s="31"/>
    </row>
    <row r="4255" spans="7:7" hidden="1">
      <c r="G4255" s="31"/>
    </row>
    <row r="4256" spans="7:7" hidden="1">
      <c r="G4256" s="31"/>
    </row>
    <row r="4257" spans="7:7" hidden="1">
      <c r="G4257" s="31"/>
    </row>
    <row r="4258" spans="7:7" hidden="1">
      <c r="G4258" s="31"/>
    </row>
    <row r="4259" spans="7:7" hidden="1">
      <c r="G4259" s="31"/>
    </row>
    <row r="4260" spans="7:7" hidden="1">
      <c r="G4260" s="31"/>
    </row>
    <row r="4261" spans="7:7" hidden="1">
      <c r="G4261" s="31"/>
    </row>
    <row r="4262" spans="7:7" hidden="1">
      <c r="G4262" s="31"/>
    </row>
    <row r="4263" spans="7:7" hidden="1">
      <c r="G4263" s="31"/>
    </row>
    <row r="4264" spans="7:7" hidden="1">
      <c r="G4264" s="31"/>
    </row>
    <row r="4265" spans="7:7" hidden="1">
      <c r="G4265" s="31"/>
    </row>
    <row r="4266" spans="7:7" hidden="1">
      <c r="G4266" s="31"/>
    </row>
    <row r="4267" spans="7:7" hidden="1">
      <c r="G4267" s="31"/>
    </row>
    <row r="4268" spans="7:7" hidden="1">
      <c r="G4268" s="31"/>
    </row>
    <row r="4269" spans="7:7" hidden="1">
      <c r="G4269" s="31"/>
    </row>
    <row r="4270" spans="7:7" hidden="1">
      <c r="G4270" s="31"/>
    </row>
    <row r="4271" spans="7:7" hidden="1">
      <c r="G4271" s="31"/>
    </row>
    <row r="4272" spans="7:7" hidden="1">
      <c r="G4272" s="31"/>
    </row>
    <row r="4273" spans="7:7" hidden="1">
      <c r="G4273" s="31"/>
    </row>
    <row r="4274" spans="7:7" hidden="1">
      <c r="G4274" s="31"/>
    </row>
    <row r="4275" spans="7:7" hidden="1">
      <c r="G4275" s="31"/>
    </row>
    <row r="4276" spans="7:7" hidden="1">
      <c r="G4276" s="31"/>
    </row>
    <row r="4277" spans="7:7" hidden="1">
      <c r="G4277" s="31"/>
    </row>
    <row r="4278" spans="7:7" hidden="1">
      <c r="G4278" s="31"/>
    </row>
    <row r="4279" spans="7:7" hidden="1">
      <c r="G4279" s="31"/>
    </row>
    <row r="4280" spans="7:7" hidden="1">
      <c r="G4280" s="31"/>
    </row>
    <row r="4281" spans="7:7" hidden="1">
      <c r="G4281" s="31"/>
    </row>
    <row r="4282" spans="7:7" hidden="1">
      <c r="G4282" s="31"/>
    </row>
    <row r="4283" spans="7:7" hidden="1">
      <c r="G4283" s="31"/>
    </row>
    <row r="4284" spans="7:7" hidden="1">
      <c r="G4284" s="31"/>
    </row>
    <row r="4285" spans="7:7" hidden="1">
      <c r="G4285" s="31"/>
    </row>
    <row r="4286" spans="7:7" hidden="1">
      <c r="G4286" s="31"/>
    </row>
    <row r="4287" spans="7:7" hidden="1">
      <c r="G4287" s="31"/>
    </row>
    <row r="4288" spans="7:7" hidden="1">
      <c r="G4288" s="31"/>
    </row>
    <row r="4289" spans="7:7" hidden="1">
      <c r="G4289" s="31"/>
    </row>
    <row r="4290" spans="7:7" hidden="1">
      <c r="G4290" s="31"/>
    </row>
    <row r="4291" spans="7:7" hidden="1">
      <c r="G4291" s="31"/>
    </row>
    <row r="4292" spans="7:7" hidden="1">
      <c r="G4292" s="31"/>
    </row>
    <row r="4293" spans="7:7" hidden="1">
      <c r="G4293" s="31"/>
    </row>
    <row r="4294" spans="7:7" hidden="1">
      <c r="G4294" s="31"/>
    </row>
    <row r="4295" spans="7:7" hidden="1">
      <c r="G4295" s="31"/>
    </row>
    <row r="4296" spans="7:7" hidden="1">
      <c r="G4296" s="31"/>
    </row>
    <row r="4297" spans="7:7" hidden="1">
      <c r="G4297" s="31"/>
    </row>
    <row r="4298" spans="7:7" hidden="1">
      <c r="G4298" s="31"/>
    </row>
    <row r="4299" spans="7:7" hidden="1">
      <c r="G4299" s="31"/>
    </row>
    <row r="4300" spans="7:7" hidden="1">
      <c r="G4300" s="31"/>
    </row>
    <row r="4301" spans="7:7" hidden="1">
      <c r="G4301" s="31"/>
    </row>
    <row r="4302" spans="7:7" hidden="1">
      <c r="G4302" s="31"/>
    </row>
    <row r="4303" spans="7:7" hidden="1">
      <c r="G4303" s="31"/>
    </row>
    <row r="4304" spans="7:7" hidden="1">
      <c r="G4304" s="31"/>
    </row>
    <row r="4305" spans="7:7" hidden="1">
      <c r="G4305" s="31"/>
    </row>
    <row r="4306" spans="7:7" hidden="1">
      <c r="G4306" s="31"/>
    </row>
    <row r="4307" spans="7:7" hidden="1">
      <c r="G4307" s="31"/>
    </row>
    <row r="4308" spans="7:7" hidden="1">
      <c r="G4308" s="31"/>
    </row>
    <row r="4309" spans="7:7" hidden="1">
      <c r="G4309" s="31"/>
    </row>
    <row r="4310" spans="7:7" hidden="1">
      <c r="G4310" s="31"/>
    </row>
    <row r="4311" spans="7:7" hidden="1">
      <c r="G4311" s="31"/>
    </row>
    <row r="4312" spans="7:7" hidden="1">
      <c r="G4312" s="31"/>
    </row>
    <row r="4313" spans="7:7" hidden="1">
      <c r="G4313" s="31"/>
    </row>
    <row r="4314" spans="7:7" hidden="1">
      <c r="G4314" s="31"/>
    </row>
    <row r="4315" spans="7:7" hidden="1">
      <c r="G4315" s="31"/>
    </row>
    <row r="4316" spans="7:7" hidden="1">
      <c r="G4316" s="31"/>
    </row>
    <row r="4317" spans="7:7" hidden="1">
      <c r="G4317" s="31"/>
    </row>
    <row r="4318" spans="7:7" hidden="1">
      <c r="G4318" s="31"/>
    </row>
    <row r="4319" spans="7:7" hidden="1">
      <c r="G4319" s="31"/>
    </row>
    <row r="4320" spans="7:7" hidden="1">
      <c r="G4320" s="31"/>
    </row>
    <row r="4321" spans="7:7" hidden="1">
      <c r="G4321" s="31"/>
    </row>
    <row r="4322" spans="7:7" hidden="1">
      <c r="G4322" s="31"/>
    </row>
    <row r="4323" spans="7:7" hidden="1">
      <c r="G4323" s="31"/>
    </row>
    <row r="4324" spans="7:7" hidden="1">
      <c r="G4324" s="31"/>
    </row>
    <row r="4325" spans="7:7" hidden="1">
      <c r="G4325" s="31"/>
    </row>
    <row r="4326" spans="7:7" hidden="1">
      <c r="G4326" s="31"/>
    </row>
    <row r="4327" spans="7:7" hidden="1">
      <c r="G4327" s="31"/>
    </row>
    <row r="4328" spans="7:7" hidden="1">
      <c r="G4328" s="31"/>
    </row>
    <row r="4329" spans="7:7" hidden="1">
      <c r="G4329" s="31"/>
    </row>
    <row r="4330" spans="7:7" hidden="1">
      <c r="G4330" s="31"/>
    </row>
    <row r="4331" spans="7:7" hidden="1">
      <c r="G4331" s="31"/>
    </row>
    <row r="4332" spans="7:7" hidden="1">
      <c r="G4332" s="31"/>
    </row>
    <row r="4333" spans="7:7" hidden="1">
      <c r="G4333" s="31"/>
    </row>
    <row r="4334" spans="7:7" ht="18" hidden="1" customHeight="1">
      <c r="G4334" s="31"/>
    </row>
    <row r="4335" spans="7:7" ht="18" hidden="1" customHeight="1">
      <c r="G4335" s="31"/>
    </row>
    <row r="4336" spans="7:7" ht="18" hidden="1" customHeight="1">
      <c r="G4336" s="31"/>
    </row>
    <row r="4337" spans="7:7" ht="18" hidden="1" customHeight="1">
      <c r="G4337" s="31"/>
    </row>
    <row r="4338" spans="7:7" ht="18" hidden="1" customHeight="1">
      <c r="G4338" s="31"/>
    </row>
    <row r="4339" spans="7:7" ht="18" hidden="1" customHeight="1">
      <c r="G4339" s="31"/>
    </row>
    <row r="4340" spans="7:7" ht="18" hidden="1" customHeight="1">
      <c r="G4340" s="31"/>
    </row>
    <row r="4341" spans="7:7" ht="18" hidden="1" customHeight="1">
      <c r="G4341" s="31"/>
    </row>
    <row r="4342" spans="7:7" ht="18" hidden="1" customHeight="1">
      <c r="G4342" s="31"/>
    </row>
    <row r="4343" spans="7:7" ht="18" hidden="1" customHeight="1">
      <c r="G4343" s="31"/>
    </row>
    <row r="4344" spans="7:7" ht="18" hidden="1" customHeight="1">
      <c r="G4344" s="31"/>
    </row>
    <row r="4345" spans="7:7" ht="18" hidden="1" customHeight="1">
      <c r="G4345" s="31"/>
    </row>
    <row r="4346" spans="7:7" ht="18" hidden="1" customHeight="1">
      <c r="G4346" s="31"/>
    </row>
    <row r="4347" spans="7:7" ht="18" hidden="1" customHeight="1">
      <c r="G4347" s="31"/>
    </row>
    <row r="4348" spans="7:7" ht="18" hidden="1" customHeight="1">
      <c r="G4348" s="31"/>
    </row>
    <row r="4349" spans="7:7" ht="18" hidden="1" customHeight="1">
      <c r="G4349" s="31"/>
    </row>
    <row r="4350" spans="7:7" ht="18" hidden="1" customHeight="1">
      <c r="G4350" s="31"/>
    </row>
    <row r="4351" spans="7:7" ht="18" hidden="1" customHeight="1">
      <c r="G4351" s="31"/>
    </row>
    <row r="4352" spans="7:7" ht="18" hidden="1" customHeight="1">
      <c r="G4352" s="31"/>
    </row>
    <row r="4353" spans="7:7" ht="18" hidden="1" customHeight="1">
      <c r="G4353" s="31"/>
    </row>
    <row r="4354" spans="7:7" ht="18" hidden="1" customHeight="1">
      <c r="G4354" s="31"/>
    </row>
    <row r="4355" spans="7:7" ht="18" hidden="1" customHeight="1">
      <c r="G4355" s="31"/>
    </row>
    <row r="4356" spans="7:7" ht="18" hidden="1" customHeight="1">
      <c r="G4356" s="31"/>
    </row>
    <row r="4357" spans="7:7" ht="18" hidden="1" customHeight="1">
      <c r="G4357" s="31"/>
    </row>
    <row r="4358" spans="7:7" ht="18" hidden="1" customHeight="1">
      <c r="G4358" s="31"/>
    </row>
    <row r="4359" spans="7:7" ht="18" hidden="1" customHeight="1">
      <c r="G4359" s="31"/>
    </row>
    <row r="4360" spans="7:7" ht="18" hidden="1" customHeight="1">
      <c r="G4360" s="31"/>
    </row>
    <row r="4361" spans="7:7" ht="18" hidden="1" customHeight="1">
      <c r="G4361" s="31"/>
    </row>
    <row r="4362" spans="7:7" ht="18" hidden="1" customHeight="1">
      <c r="G4362" s="31"/>
    </row>
    <row r="4363" spans="7:7" ht="18" hidden="1" customHeight="1">
      <c r="G4363" s="31"/>
    </row>
    <row r="4364" spans="7:7" ht="18" hidden="1" customHeight="1">
      <c r="G4364" s="31"/>
    </row>
    <row r="4365" spans="7:7" ht="18" hidden="1" customHeight="1">
      <c r="G4365" s="31"/>
    </row>
    <row r="4366" spans="7:7" ht="18" hidden="1" customHeight="1">
      <c r="G4366" s="31"/>
    </row>
    <row r="4367" spans="7:7" ht="18" hidden="1" customHeight="1">
      <c r="G4367" s="31"/>
    </row>
    <row r="4368" spans="7:7" ht="18" hidden="1" customHeight="1">
      <c r="G4368" s="31"/>
    </row>
    <row r="4369" spans="7:7" ht="18" hidden="1" customHeight="1">
      <c r="G4369" s="31"/>
    </row>
    <row r="4370" spans="7:7" ht="18" hidden="1" customHeight="1">
      <c r="G4370" s="31"/>
    </row>
    <row r="4371" spans="7:7" ht="18" hidden="1" customHeight="1">
      <c r="G4371" s="31"/>
    </row>
    <row r="4372" spans="7:7" ht="18" hidden="1" customHeight="1">
      <c r="G4372" s="31"/>
    </row>
    <row r="4373" spans="7:7" ht="18" hidden="1" customHeight="1">
      <c r="G4373" s="31"/>
    </row>
    <row r="4374" spans="7:7" ht="18" hidden="1" customHeight="1">
      <c r="G4374" s="31"/>
    </row>
    <row r="4375" spans="7:7" ht="18" hidden="1" customHeight="1">
      <c r="G4375" s="31"/>
    </row>
    <row r="4376" spans="7:7" ht="18" hidden="1" customHeight="1">
      <c r="G4376" s="31"/>
    </row>
    <row r="4377" spans="7:7" ht="18" hidden="1" customHeight="1">
      <c r="G4377" s="31"/>
    </row>
    <row r="4378" spans="7:7" ht="18" hidden="1" customHeight="1">
      <c r="G4378" s="31"/>
    </row>
    <row r="4379" spans="7:7" ht="18" hidden="1" customHeight="1">
      <c r="G4379" s="31"/>
    </row>
    <row r="4380" spans="7:7" ht="18" hidden="1" customHeight="1">
      <c r="G4380" s="31"/>
    </row>
    <row r="4381" spans="7:7" ht="18" hidden="1" customHeight="1">
      <c r="G4381" s="31"/>
    </row>
    <row r="4382" spans="7:7" ht="18" hidden="1" customHeight="1">
      <c r="G4382" s="31"/>
    </row>
    <row r="4383" spans="7:7" ht="18" hidden="1" customHeight="1">
      <c r="G4383" s="31"/>
    </row>
    <row r="4384" spans="7:7" ht="18" hidden="1" customHeight="1">
      <c r="G4384" s="31"/>
    </row>
    <row r="4385" spans="7:7" ht="18" hidden="1" customHeight="1">
      <c r="G4385" s="31"/>
    </row>
    <row r="4386" spans="7:7" ht="18" hidden="1" customHeight="1">
      <c r="G4386" s="31"/>
    </row>
    <row r="4387" spans="7:7" ht="18" hidden="1" customHeight="1">
      <c r="G4387" s="31"/>
    </row>
    <row r="4388" spans="7:7" ht="18" hidden="1" customHeight="1">
      <c r="G4388" s="31"/>
    </row>
    <row r="4389" spans="7:7" ht="18" hidden="1" customHeight="1">
      <c r="G4389" s="31"/>
    </row>
    <row r="4390" spans="7:7" ht="18" hidden="1" customHeight="1">
      <c r="G4390" s="31"/>
    </row>
    <row r="4391" spans="7:7" ht="18" hidden="1" customHeight="1">
      <c r="G4391" s="31"/>
    </row>
    <row r="4392" spans="7:7" ht="18" hidden="1" customHeight="1">
      <c r="G4392" s="31"/>
    </row>
    <row r="4393" spans="7:7" ht="18" hidden="1" customHeight="1">
      <c r="G4393" s="31"/>
    </row>
    <row r="4394" spans="7:7" ht="18" hidden="1" customHeight="1">
      <c r="G4394" s="31"/>
    </row>
    <row r="4395" spans="7:7" ht="18" hidden="1" customHeight="1">
      <c r="G4395" s="31"/>
    </row>
    <row r="4396" spans="7:7" ht="18" hidden="1" customHeight="1">
      <c r="G4396" s="31"/>
    </row>
    <row r="4397" spans="7:7" ht="18" hidden="1" customHeight="1">
      <c r="G4397" s="31"/>
    </row>
    <row r="4398" spans="7:7" ht="18" hidden="1" customHeight="1">
      <c r="G4398" s="31"/>
    </row>
    <row r="4399" spans="7:7" ht="18" hidden="1" customHeight="1">
      <c r="G4399" s="31"/>
    </row>
    <row r="4400" spans="7:7" ht="18" hidden="1" customHeight="1">
      <c r="G4400" s="31"/>
    </row>
    <row r="4401" spans="7:7" ht="18" hidden="1" customHeight="1">
      <c r="G4401" s="31"/>
    </row>
    <row r="4402" spans="7:7" ht="18" hidden="1" customHeight="1">
      <c r="G4402" s="31"/>
    </row>
    <row r="4403" spans="7:7" ht="18" hidden="1" customHeight="1">
      <c r="G4403" s="31"/>
    </row>
    <row r="4404" spans="7:7" ht="18" hidden="1" customHeight="1">
      <c r="G4404" s="31"/>
    </row>
    <row r="4405" spans="7:7" ht="18" hidden="1" customHeight="1">
      <c r="G4405" s="31"/>
    </row>
    <row r="4406" spans="7:7" ht="18" hidden="1" customHeight="1">
      <c r="G4406" s="31"/>
    </row>
    <row r="4407" spans="7:7" ht="18" hidden="1" customHeight="1">
      <c r="G4407" s="31"/>
    </row>
    <row r="4408" spans="7:7" ht="18" hidden="1" customHeight="1">
      <c r="G4408" s="31"/>
    </row>
    <row r="4409" spans="7:7" ht="18" hidden="1" customHeight="1">
      <c r="G4409" s="31"/>
    </row>
    <row r="4410" spans="7:7" ht="18" hidden="1" customHeight="1">
      <c r="G4410" s="31"/>
    </row>
    <row r="4411" spans="7:7" ht="18" hidden="1" customHeight="1">
      <c r="G4411" s="31"/>
    </row>
    <row r="4412" spans="7:7" ht="18" hidden="1" customHeight="1">
      <c r="G4412" s="31"/>
    </row>
    <row r="4413" spans="7:7" ht="18" hidden="1" customHeight="1">
      <c r="G4413" s="31"/>
    </row>
    <row r="4414" spans="7:7" ht="18" hidden="1" customHeight="1">
      <c r="G4414" s="31"/>
    </row>
    <row r="4415" spans="7:7" ht="18" hidden="1" customHeight="1">
      <c r="G4415" s="31"/>
    </row>
    <row r="4416" spans="7:7" ht="18" hidden="1" customHeight="1">
      <c r="G4416" s="31"/>
    </row>
    <row r="4417" spans="7:7" ht="18" hidden="1" customHeight="1">
      <c r="G4417" s="31"/>
    </row>
    <row r="4418" spans="7:7" ht="18" hidden="1" customHeight="1">
      <c r="G4418" s="31"/>
    </row>
    <row r="4419" spans="7:7" ht="18" hidden="1" customHeight="1">
      <c r="G4419" s="31"/>
    </row>
    <row r="4420" spans="7:7" ht="18" hidden="1" customHeight="1">
      <c r="G4420" s="31"/>
    </row>
    <row r="4421" spans="7:7" ht="18" hidden="1" customHeight="1">
      <c r="G4421" s="31"/>
    </row>
    <row r="4422" spans="7:7" ht="18" hidden="1" customHeight="1">
      <c r="G4422" s="31"/>
    </row>
    <row r="4423" spans="7:7" ht="18" hidden="1" customHeight="1">
      <c r="G4423" s="31"/>
    </row>
    <row r="4424" spans="7:7" ht="18" hidden="1" customHeight="1">
      <c r="G4424" s="31"/>
    </row>
    <row r="4425" spans="7:7" ht="18" hidden="1" customHeight="1">
      <c r="G4425" s="31"/>
    </row>
    <row r="4426" spans="7:7" ht="18" hidden="1" customHeight="1">
      <c r="G4426" s="31"/>
    </row>
    <row r="4427" spans="7:7" ht="18" hidden="1" customHeight="1">
      <c r="G4427" s="31"/>
    </row>
    <row r="4428" spans="7:7" ht="18" hidden="1" customHeight="1">
      <c r="G4428" s="31"/>
    </row>
    <row r="4429" spans="7:7" ht="18" hidden="1" customHeight="1">
      <c r="G4429" s="31"/>
    </row>
    <row r="4430" spans="7:7" ht="18" hidden="1" customHeight="1">
      <c r="G4430" s="31"/>
    </row>
    <row r="4431" spans="7:7" ht="18" hidden="1" customHeight="1">
      <c r="G4431" s="31"/>
    </row>
    <row r="4432" spans="7:7" ht="18" hidden="1" customHeight="1">
      <c r="G4432" s="31"/>
    </row>
    <row r="4433" spans="7:7" ht="18" hidden="1" customHeight="1">
      <c r="G4433" s="31"/>
    </row>
    <row r="4434" spans="7:7" ht="18" hidden="1" customHeight="1">
      <c r="G4434" s="31"/>
    </row>
    <row r="4435" spans="7:7" ht="18" hidden="1" customHeight="1">
      <c r="G4435" s="31"/>
    </row>
    <row r="4436" spans="7:7" ht="18" hidden="1" customHeight="1">
      <c r="G4436" s="31"/>
    </row>
    <row r="4437" spans="7:7" ht="18" hidden="1" customHeight="1">
      <c r="G4437" s="31"/>
    </row>
    <row r="4438" spans="7:7" ht="18" hidden="1" customHeight="1">
      <c r="G4438" s="31"/>
    </row>
    <row r="4439" spans="7:7" ht="18" hidden="1" customHeight="1">
      <c r="G4439" s="31"/>
    </row>
    <row r="4440" spans="7:7" ht="18" hidden="1" customHeight="1">
      <c r="G4440" s="31"/>
    </row>
    <row r="4441" spans="7:7" ht="18" hidden="1" customHeight="1">
      <c r="G4441" s="31"/>
    </row>
    <row r="4442" spans="7:7" ht="18" hidden="1" customHeight="1">
      <c r="G4442" s="31"/>
    </row>
    <row r="4443" spans="7:7" ht="18" hidden="1" customHeight="1">
      <c r="G4443" s="31"/>
    </row>
    <row r="4444" spans="7:7" ht="18" hidden="1" customHeight="1">
      <c r="G4444" s="31"/>
    </row>
    <row r="4445" spans="7:7" ht="18" hidden="1" customHeight="1">
      <c r="G4445" s="31"/>
    </row>
    <row r="4446" spans="7:7" ht="18" hidden="1" customHeight="1">
      <c r="G4446" s="31"/>
    </row>
    <row r="4447" spans="7:7" ht="18" hidden="1" customHeight="1">
      <c r="G4447" s="31"/>
    </row>
    <row r="4448" spans="7:7" ht="18" hidden="1" customHeight="1">
      <c r="G4448" s="31"/>
    </row>
    <row r="4449" spans="7:7" ht="18" hidden="1" customHeight="1">
      <c r="G4449" s="31"/>
    </row>
    <row r="4450" spans="7:7" ht="18" hidden="1" customHeight="1">
      <c r="G4450" s="31"/>
    </row>
    <row r="4451" spans="7:7" ht="18" hidden="1" customHeight="1">
      <c r="G4451" s="31"/>
    </row>
    <row r="4452" spans="7:7" ht="18" hidden="1" customHeight="1">
      <c r="G4452" s="31"/>
    </row>
    <row r="4453" spans="7:7" ht="18" hidden="1" customHeight="1">
      <c r="G4453" s="31"/>
    </row>
    <row r="4454" spans="7:7" ht="18" hidden="1" customHeight="1">
      <c r="G4454" s="31"/>
    </row>
    <row r="4455" spans="7:7" ht="18" hidden="1" customHeight="1">
      <c r="G4455" s="31"/>
    </row>
    <row r="4456" spans="7:7" ht="18" hidden="1" customHeight="1">
      <c r="G4456" s="31"/>
    </row>
    <row r="4457" spans="7:7" ht="18" hidden="1" customHeight="1">
      <c r="G4457" s="31"/>
    </row>
    <row r="4458" spans="7:7" ht="18" hidden="1" customHeight="1">
      <c r="G4458" s="31"/>
    </row>
    <row r="4459" spans="7:7" ht="18" hidden="1" customHeight="1">
      <c r="G4459" s="31"/>
    </row>
    <row r="4460" spans="7:7" ht="18" hidden="1" customHeight="1">
      <c r="G4460" s="31"/>
    </row>
    <row r="4461" spans="7:7" ht="18" hidden="1" customHeight="1">
      <c r="G4461" s="31"/>
    </row>
    <row r="4462" spans="7:7" ht="18" hidden="1" customHeight="1">
      <c r="G4462" s="31"/>
    </row>
    <row r="4463" spans="7:7" ht="18" hidden="1" customHeight="1">
      <c r="G4463" s="31"/>
    </row>
    <row r="4464" spans="7:7" ht="18" hidden="1" customHeight="1">
      <c r="G4464" s="31"/>
    </row>
    <row r="4465" spans="7:7" ht="18" hidden="1" customHeight="1">
      <c r="G4465" s="31"/>
    </row>
    <row r="4466" spans="7:7" ht="18" hidden="1" customHeight="1">
      <c r="G4466" s="31"/>
    </row>
    <row r="4467" spans="7:7" ht="18" hidden="1" customHeight="1">
      <c r="G4467" s="31"/>
    </row>
    <row r="4468" spans="7:7" ht="18" hidden="1" customHeight="1">
      <c r="G4468" s="31"/>
    </row>
    <row r="4469" spans="7:7" ht="18" hidden="1" customHeight="1">
      <c r="G4469" s="31"/>
    </row>
    <row r="4470" spans="7:7" ht="18" hidden="1" customHeight="1">
      <c r="G4470" s="31"/>
    </row>
    <row r="4471" spans="7:7" ht="18" hidden="1" customHeight="1">
      <c r="G4471" s="31"/>
    </row>
    <row r="4472" spans="7:7" ht="18" hidden="1" customHeight="1">
      <c r="G4472" s="31"/>
    </row>
    <row r="4473" spans="7:7" ht="18" hidden="1" customHeight="1">
      <c r="G4473" s="31"/>
    </row>
    <row r="4474" spans="7:7" ht="18" hidden="1" customHeight="1">
      <c r="G4474" s="31"/>
    </row>
    <row r="4475" spans="7:7" ht="18" hidden="1" customHeight="1">
      <c r="G4475" s="31"/>
    </row>
    <row r="4476" spans="7:7" ht="18" hidden="1" customHeight="1">
      <c r="G4476" s="31"/>
    </row>
    <row r="4477" spans="7:7" ht="18" hidden="1" customHeight="1">
      <c r="G4477" s="31"/>
    </row>
    <row r="4478" spans="7:7" ht="18" hidden="1" customHeight="1">
      <c r="G4478" s="31"/>
    </row>
    <row r="4479" spans="7:7" ht="18" hidden="1" customHeight="1">
      <c r="G4479" s="31"/>
    </row>
    <row r="4480" spans="7:7" ht="18" hidden="1" customHeight="1">
      <c r="G4480" s="31"/>
    </row>
    <row r="4481" spans="7:7" ht="18" hidden="1" customHeight="1">
      <c r="G4481" s="31"/>
    </row>
    <row r="4482" spans="7:7" ht="18" hidden="1" customHeight="1">
      <c r="G4482" s="31"/>
    </row>
    <row r="4483" spans="7:7" ht="18" hidden="1" customHeight="1">
      <c r="G4483" s="31"/>
    </row>
    <row r="4484" spans="7:7" ht="18" hidden="1" customHeight="1">
      <c r="G4484" s="31"/>
    </row>
    <row r="4485" spans="7:7" ht="18" hidden="1" customHeight="1">
      <c r="G4485" s="31"/>
    </row>
    <row r="4486" spans="7:7" ht="18" hidden="1" customHeight="1">
      <c r="G4486" s="31"/>
    </row>
    <row r="4487" spans="7:7" ht="18" hidden="1" customHeight="1">
      <c r="G4487" s="31"/>
    </row>
    <row r="4488" spans="7:7" ht="18" hidden="1" customHeight="1">
      <c r="G4488" s="31"/>
    </row>
    <row r="4489" spans="7:7" ht="18" hidden="1" customHeight="1">
      <c r="G4489" s="31"/>
    </row>
    <row r="4490" spans="7:7" ht="18" hidden="1" customHeight="1">
      <c r="G4490" s="31"/>
    </row>
    <row r="4491" spans="7:7" ht="18" hidden="1" customHeight="1">
      <c r="G4491" s="31"/>
    </row>
    <row r="4492" spans="7:7" ht="18" hidden="1" customHeight="1">
      <c r="G4492" s="31"/>
    </row>
    <row r="4493" spans="7:7" ht="18" hidden="1" customHeight="1">
      <c r="G4493" s="31"/>
    </row>
    <row r="4494" spans="7:7" ht="18" hidden="1" customHeight="1">
      <c r="G4494" s="31"/>
    </row>
    <row r="4495" spans="7:7" ht="18" hidden="1" customHeight="1">
      <c r="G4495" s="31"/>
    </row>
    <row r="4496" spans="7:7" ht="18" hidden="1" customHeight="1">
      <c r="G4496" s="31"/>
    </row>
    <row r="4497" spans="7:7" ht="18" hidden="1" customHeight="1">
      <c r="G4497" s="31"/>
    </row>
    <row r="4498" spans="7:7" ht="18" hidden="1" customHeight="1">
      <c r="G4498" s="31"/>
    </row>
    <row r="4499" spans="7:7" ht="18" hidden="1" customHeight="1">
      <c r="G4499" s="31"/>
    </row>
    <row r="4500" spans="7:7" ht="18" hidden="1" customHeight="1">
      <c r="G4500" s="31"/>
    </row>
    <row r="4501" spans="7:7" ht="18" hidden="1" customHeight="1">
      <c r="G4501" s="31"/>
    </row>
    <row r="4502" spans="7:7" ht="18" hidden="1" customHeight="1">
      <c r="G4502" s="31"/>
    </row>
    <row r="4503" spans="7:7" ht="18" hidden="1" customHeight="1">
      <c r="G4503" s="31"/>
    </row>
    <row r="4504" spans="7:7" ht="18" hidden="1" customHeight="1">
      <c r="G4504" s="31"/>
    </row>
    <row r="4505" spans="7:7" ht="18" hidden="1" customHeight="1">
      <c r="G4505" s="31"/>
    </row>
    <row r="4506" spans="7:7" ht="18" hidden="1" customHeight="1">
      <c r="G4506" s="31"/>
    </row>
    <row r="4507" spans="7:7" ht="18" hidden="1" customHeight="1">
      <c r="G4507" s="31"/>
    </row>
    <row r="4508" spans="7:7" ht="18" hidden="1" customHeight="1">
      <c r="G4508" s="31"/>
    </row>
    <row r="4509" spans="7:7" ht="18" hidden="1" customHeight="1">
      <c r="G4509" s="31"/>
    </row>
    <row r="4510" spans="7:7" ht="18" hidden="1" customHeight="1">
      <c r="G4510" s="31"/>
    </row>
    <row r="4511" spans="7:7" ht="18" hidden="1" customHeight="1">
      <c r="G4511" s="31"/>
    </row>
    <row r="4512" spans="7:7" ht="18" hidden="1" customHeight="1">
      <c r="G4512" s="31"/>
    </row>
    <row r="4513" spans="7:7" ht="18" hidden="1" customHeight="1">
      <c r="G4513" s="31"/>
    </row>
    <row r="4514" spans="7:7" ht="18" hidden="1" customHeight="1">
      <c r="G4514" s="31"/>
    </row>
    <row r="4515" spans="7:7" ht="18" hidden="1" customHeight="1">
      <c r="G4515" s="31"/>
    </row>
    <row r="4516" spans="7:7" ht="18" hidden="1" customHeight="1">
      <c r="G4516" s="31"/>
    </row>
    <row r="4517" spans="7:7" ht="18" hidden="1" customHeight="1">
      <c r="G4517" s="31"/>
    </row>
    <row r="4518" spans="7:7" ht="18" hidden="1" customHeight="1">
      <c r="G4518" s="31"/>
    </row>
    <row r="4519" spans="7:7" ht="18" hidden="1" customHeight="1">
      <c r="G4519" s="31"/>
    </row>
    <row r="4520" spans="7:7" ht="18" hidden="1" customHeight="1">
      <c r="G4520" s="31"/>
    </row>
    <row r="4521" spans="7:7" ht="18" hidden="1" customHeight="1">
      <c r="G4521" s="31"/>
    </row>
    <row r="4522" spans="7:7" ht="18" hidden="1" customHeight="1">
      <c r="G4522" s="31"/>
    </row>
    <row r="4523" spans="7:7" ht="18" hidden="1" customHeight="1">
      <c r="G4523" s="31"/>
    </row>
    <row r="4524" spans="7:7" ht="18" hidden="1" customHeight="1">
      <c r="G4524" s="31"/>
    </row>
    <row r="4525" spans="7:7" ht="18" hidden="1" customHeight="1">
      <c r="G4525" s="31"/>
    </row>
    <row r="4526" spans="7:7" ht="18" hidden="1" customHeight="1">
      <c r="G4526" s="31"/>
    </row>
    <row r="4527" spans="7:7" ht="18" hidden="1" customHeight="1">
      <c r="G4527" s="31"/>
    </row>
    <row r="4528" spans="7:7" ht="18" hidden="1" customHeight="1">
      <c r="G4528" s="31"/>
    </row>
    <row r="4529" spans="7:7" ht="18" hidden="1" customHeight="1">
      <c r="G4529" s="31"/>
    </row>
    <row r="4530" spans="7:7" ht="18" hidden="1" customHeight="1">
      <c r="G4530" s="31"/>
    </row>
    <row r="4531" spans="7:7" ht="18" hidden="1" customHeight="1">
      <c r="G4531" s="31"/>
    </row>
    <row r="4532" spans="7:7" ht="18" hidden="1" customHeight="1">
      <c r="G4532" s="31"/>
    </row>
    <row r="4533" spans="7:7" ht="18" hidden="1" customHeight="1">
      <c r="G4533" s="31"/>
    </row>
    <row r="4534" spans="7:7" ht="18" hidden="1" customHeight="1">
      <c r="G4534" s="31"/>
    </row>
    <row r="4535" spans="7:7" ht="18" hidden="1" customHeight="1">
      <c r="G4535" s="31"/>
    </row>
    <row r="4536" spans="7:7" ht="18" hidden="1" customHeight="1">
      <c r="G4536" s="31"/>
    </row>
    <row r="4537" spans="7:7" ht="18" hidden="1" customHeight="1">
      <c r="G4537" s="31"/>
    </row>
    <row r="4538" spans="7:7" ht="18" hidden="1" customHeight="1">
      <c r="G4538" s="31"/>
    </row>
    <row r="4539" spans="7:7" ht="18" hidden="1" customHeight="1">
      <c r="G4539" s="31"/>
    </row>
    <row r="4540" spans="7:7" ht="18" hidden="1" customHeight="1">
      <c r="G4540" s="31"/>
    </row>
    <row r="4541" spans="7:7" ht="18" hidden="1" customHeight="1">
      <c r="G4541" s="31"/>
    </row>
    <row r="4542" spans="7:7" ht="18" hidden="1" customHeight="1">
      <c r="G4542" s="31"/>
    </row>
    <row r="4543" spans="7:7" ht="18" hidden="1" customHeight="1">
      <c r="G4543" s="31"/>
    </row>
    <row r="4544" spans="7:7" ht="18" hidden="1" customHeight="1">
      <c r="G4544" s="31"/>
    </row>
    <row r="4545" spans="7:7" ht="18" hidden="1" customHeight="1">
      <c r="G4545" s="31"/>
    </row>
    <row r="4546" spans="7:7" ht="18" hidden="1" customHeight="1">
      <c r="G4546" s="31"/>
    </row>
    <row r="4547" spans="7:7" ht="18" hidden="1" customHeight="1">
      <c r="G4547" s="31"/>
    </row>
    <row r="4548" spans="7:7" ht="18" hidden="1" customHeight="1">
      <c r="G4548" s="31"/>
    </row>
    <row r="4549" spans="7:7" ht="18" hidden="1" customHeight="1">
      <c r="G4549" s="31"/>
    </row>
    <row r="4550" spans="7:7" ht="18" hidden="1" customHeight="1">
      <c r="G4550" s="31"/>
    </row>
    <row r="4551" spans="7:7" ht="18" hidden="1" customHeight="1">
      <c r="G4551" s="31"/>
    </row>
    <row r="4552" spans="7:7" ht="18" hidden="1" customHeight="1">
      <c r="G4552" s="31"/>
    </row>
    <row r="4553" spans="7:7" ht="18" hidden="1" customHeight="1">
      <c r="G4553" s="31"/>
    </row>
    <row r="4554" spans="7:7" ht="18" hidden="1" customHeight="1">
      <c r="G4554" s="31"/>
    </row>
    <row r="4555" spans="7:7" ht="18" hidden="1" customHeight="1">
      <c r="G4555" s="31"/>
    </row>
    <row r="4556" spans="7:7" ht="18" hidden="1" customHeight="1">
      <c r="G4556" s="31"/>
    </row>
    <row r="4557" spans="7:7" ht="18" hidden="1" customHeight="1">
      <c r="G4557" s="31"/>
    </row>
    <row r="4558" spans="7:7" ht="18" hidden="1" customHeight="1">
      <c r="G4558" s="31"/>
    </row>
    <row r="4559" spans="7:7" ht="18" hidden="1" customHeight="1">
      <c r="G4559" s="31"/>
    </row>
    <row r="4560" spans="7:7" ht="18" hidden="1" customHeight="1">
      <c r="G4560" s="31"/>
    </row>
    <row r="4561" spans="7:7" ht="18" hidden="1" customHeight="1">
      <c r="G4561" s="31"/>
    </row>
    <row r="4562" spans="7:7" ht="18" hidden="1" customHeight="1">
      <c r="G4562" s="31"/>
    </row>
    <row r="4563" spans="7:7" ht="18" hidden="1" customHeight="1">
      <c r="G4563" s="31"/>
    </row>
    <row r="4564" spans="7:7" ht="18" hidden="1" customHeight="1">
      <c r="G4564" s="31"/>
    </row>
    <row r="4565" spans="7:7" ht="18" hidden="1" customHeight="1">
      <c r="G4565" s="31"/>
    </row>
    <row r="4566" spans="7:7" ht="18" hidden="1" customHeight="1">
      <c r="G4566" s="31"/>
    </row>
    <row r="4567" spans="7:7" ht="18" hidden="1" customHeight="1">
      <c r="G4567" s="31"/>
    </row>
    <row r="4568" spans="7:7" ht="18" hidden="1" customHeight="1">
      <c r="G4568" s="31"/>
    </row>
    <row r="4569" spans="7:7" ht="18" hidden="1" customHeight="1">
      <c r="G4569" s="31"/>
    </row>
    <row r="4570" spans="7:7" ht="18" hidden="1" customHeight="1">
      <c r="G4570" s="31"/>
    </row>
    <row r="4571" spans="7:7" ht="18" hidden="1" customHeight="1">
      <c r="G4571" s="31"/>
    </row>
    <row r="4572" spans="7:7" ht="18" hidden="1" customHeight="1">
      <c r="G4572" s="31"/>
    </row>
    <row r="4573" spans="7:7" ht="18" hidden="1" customHeight="1">
      <c r="G4573" s="31"/>
    </row>
    <row r="4574" spans="7:7" ht="18" hidden="1" customHeight="1">
      <c r="G4574" s="31"/>
    </row>
    <row r="4575" spans="7:7" ht="18" hidden="1" customHeight="1">
      <c r="G4575" s="31"/>
    </row>
    <row r="4576" spans="7:7" ht="18" hidden="1" customHeight="1">
      <c r="G4576" s="31"/>
    </row>
    <row r="4577" spans="7:7" ht="18" hidden="1" customHeight="1">
      <c r="G4577" s="31"/>
    </row>
    <row r="4578" spans="7:7" ht="18" hidden="1" customHeight="1">
      <c r="G4578" s="31"/>
    </row>
    <row r="4579" spans="7:7" ht="18" hidden="1" customHeight="1">
      <c r="G4579" s="31"/>
    </row>
    <row r="4580" spans="7:7" ht="18" hidden="1" customHeight="1">
      <c r="G4580" s="31"/>
    </row>
    <row r="4581" spans="7:7" ht="18" hidden="1" customHeight="1">
      <c r="G4581" s="31"/>
    </row>
    <row r="4582" spans="7:7" ht="18" hidden="1" customHeight="1">
      <c r="G4582" s="31"/>
    </row>
    <row r="4583" spans="7:7" ht="18" hidden="1" customHeight="1">
      <c r="G4583" s="31"/>
    </row>
    <row r="4584" spans="7:7" ht="18" hidden="1" customHeight="1">
      <c r="G4584" s="31"/>
    </row>
    <row r="4585" spans="7:7" ht="18" hidden="1" customHeight="1">
      <c r="G4585" s="31"/>
    </row>
    <row r="4586" spans="7:7" ht="18" hidden="1" customHeight="1">
      <c r="G4586" s="31"/>
    </row>
    <row r="4587" spans="7:7" ht="18" hidden="1" customHeight="1">
      <c r="G4587" s="31"/>
    </row>
    <row r="4588" spans="7:7" ht="18" hidden="1" customHeight="1">
      <c r="G4588" s="31"/>
    </row>
    <row r="4589" spans="7:7" ht="18" hidden="1" customHeight="1">
      <c r="G4589" s="31"/>
    </row>
    <row r="4590" spans="7:7" ht="18" hidden="1" customHeight="1">
      <c r="G4590" s="31"/>
    </row>
    <row r="4591" spans="7:7" ht="18" hidden="1" customHeight="1">
      <c r="G4591" s="31"/>
    </row>
    <row r="4592" spans="7:7" ht="18" hidden="1" customHeight="1">
      <c r="G4592" s="31"/>
    </row>
    <row r="4593" spans="7:7" ht="18" hidden="1" customHeight="1">
      <c r="G4593" s="31"/>
    </row>
    <row r="4594" spans="7:7" ht="18" hidden="1" customHeight="1">
      <c r="G4594" s="31"/>
    </row>
    <row r="4595" spans="7:7" ht="18" hidden="1" customHeight="1">
      <c r="G4595" s="31"/>
    </row>
    <row r="4596" spans="7:7" ht="18" hidden="1" customHeight="1">
      <c r="G4596" s="31"/>
    </row>
    <row r="4597" spans="7:7" ht="18" hidden="1" customHeight="1">
      <c r="G4597" s="31"/>
    </row>
    <row r="4598" spans="7:7" ht="18" hidden="1" customHeight="1">
      <c r="G4598" s="31"/>
    </row>
    <row r="4599" spans="7:7" ht="18" hidden="1" customHeight="1">
      <c r="G4599" s="31"/>
    </row>
    <row r="4600" spans="7:7" ht="18" hidden="1" customHeight="1">
      <c r="G4600" s="31"/>
    </row>
    <row r="4601" spans="7:7" ht="18" hidden="1" customHeight="1">
      <c r="G4601" s="31"/>
    </row>
    <row r="4602" spans="7:7" ht="18" hidden="1" customHeight="1">
      <c r="G4602" s="31"/>
    </row>
    <row r="4603" spans="7:7" ht="18" hidden="1" customHeight="1">
      <c r="G4603" s="31"/>
    </row>
    <row r="4604" spans="7:7" ht="18" hidden="1" customHeight="1">
      <c r="G4604" s="31"/>
    </row>
    <row r="4605" spans="7:7" ht="18" hidden="1" customHeight="1">
      <c r="G4605" s="31"/>
    </row>
    <row r="4606" spans="7:7" ht="18" hidden="1" customHeight="1">
      <c r="G4606" s="31"/>
    </row>
    <row r="4607" spans="7:7" ht="18" hidden="1" customHeight="1">
      <c r="G4607" s="31"/>
    </row>
    <row r="4608" spans="7:7" ht="18" hidden="1" customHeight="1">
      <c r="G4608" s="31"/>
    </row>
    <row r="4609" spans="7:7" ht="18" hidden="1" customHeight="1">
      <c r="G4609" s="31"/>
    </row>
    <row r="4610" spans="7:7" ht="18" hidden="1" customHeight="1">
      <c r="G4610" s="31"/>
    </row>
    <row r="4611" spans="7:7" ht="18" hidden="1" customHeight="1">
      <c r="G4611" s="31"/>
    </row>
    <row r="4612" spans="7:7" ht="18" hidden="1" customHeight="1">
      <c r="G4612" s="31"/>
    </row>
    <row r="4613" spans="7:7" ht="18" hidden="1" customHeight="1">
      <c r="G4613" s="31"/>
    </row>
    <row r="4614" spans="7:7" ht="18" hidden="1" customHeight="1">
      <c r="G4614" s="31"/>
    </row>
    <row r="4615" spans="7:7" ht="18" hidden="1" customHeight="1">
      <c r="G4615" s="31"/>
    </row>
    <row r="4616" spans="7:7" ht="18" hidden="1" customHeight="1">
      <c r="G4616" s="31"/>
    </row>
    <row r="4617" spans="7:7" ht="18" hidden="1" customHeight="1">
      <c r="G4617" s="31"/>
    </row>
    <row r="4618" spans="7:7" ht="18" hidden="1" customHeight="1">
      <c r="G4618" s="31"/>
    </row>
    <row r="4619" spans="7:7" ht="18" hidden="1" customHeight="1">
      <c r="G4619" s="31"/>
    </row>
    <row r="4620" spans="7:7" ht="18" hidden="1" customHeight="1">
      <c r="G4620" s="31"/>
    </row>
    <row r="4621" spans="7:7" ht="18" hidden="1" customHeight="1">
      <c r="G4621" s="31"/>
    </row>
    <row r="4622" spans="7:7" ht="18" hidden="1" customHeight="1">
      <c r="G4622" s="31"/>
    </row>
    <row r="4623" spans="7:7" ht="18" hidden="1" customHeight="1">
      <c r="G4623" s="31"/>
    </row>
    <row r="4624" spans="7:7" ht="18" hidden="1" customHeight="1">
      <c r="G4624" s="31"/>
    </row>
    <row r="4625" spans="7:7" ht="18" hidden="1" customHeight="1">
      <c r="G4625" s="31"/>
    </row>
    <row r="4626" spans="7:7" ht="18" hidden="1" customHeight="1">
      <c r="G4626" s="31"/>
    </row>
    <row r="4627" spans="7:7" ht="18" hidden="1" customHeight="1">
      <c r="G4627" s="31"/>
    </row>
    <row r="4628" spans="7:7" ht="18" hidden="1" customHeight="1">
      <c r="G4628" s="31"/>
    </row>
    <row r="4629" spans="7:7" ht="18" hidden="1" customHeight="1">
      <c r="G4629" s="31"/>
    </row>
    <row r="4630" spans="7:7" ht="18" hidden="1" customHeight="1">
      <c r="G4630" s="31"/>
    </row>
    <row r="4631" spans="7:7" ht="18" hidden="1" customHeight="1">
      <c r="G4631" s="31"/>
    </row>
    <row r="4632" spans="7:7" ht="18" hidden="1" customHeight="1">
      <c r="G4632" s="31"/>
    </row>
    <row r="4633" spans="7:7" ht="18" hidden="1" customHeight="1">
      <c r="G4633" s="31"/>
    </row>
    <row r="4634" spans="7:7" ht="18" hidden="1" customHeight="1">
      <c r="G4634" s="31"/>
    </row>
    <row r="4635" spans="7:7" ht="18" hidden="1" customHeight="1">
      <c r="G4635" s="31"/>
    </row>
    <row r="4636" spans="7:7" ht="18" hidden="1" customHeight="1">
      <c r="G4636" s="31"/>
    </row>
    <row r="4637" spans="7:7" ht="18" hidden="1" customHeight="1">
      <c r="G4637" s="31"/>
    </row>
    <row r="4638" spans="7:7" ht="18" hidden="1" customHeight="1">
      <c r="G4638" s="31"/>
    </row>
    <row r="4639" spans="7:7" ht="18" hidden="1" customHeight="1">
      <c r="G4639" s="31"/>
    </row>
    <row r="4640" spans="7:7" ht="18" hidden="1" customHeight="1">
      <c r="G4640" s="31"/>
    </row>
    <row r="4641" spans="7:7" ht="18" hidden="1" customHeight="1">
      <c r="G4641" s="31"/>
    </row>
    <row r="4642" spans="7:7" ht="18" hidden="1" customHeight="1">
      <c r="G4642" s="31"/>
    </row>
    <row r="4643" spans="7:7" ht="18" hidden="1" customHeight="1">
      <c r="G4643" s="31"/>
    </row>
    <row r="4644" spans="7:7" ht="18" hidden="1" customHeight="1">
      <c r="G4644" s="31"/>
    </row>
    <row r="4645" spans="7:7" ht="18" hidden="1" customHeight="1">
      <c r="G4645" s="31"/>
    </row>
    <row r="4646" spans="7:7" ht="18" hidden="1" customHeight="1">
      <c r="G4646" s="31"/>
    </row>
    <row r="4647" spans="7:7" ht="18" hidden="1" customHeight="1">
      <c r="G4647" s="31"/>
    </row>
    <row r="4648" spans="7:7" ht="18" hidden="1" customHeight="1">
      <c r="G4648" s="31"/>
    </row>
    <row r="4649" spans="7:7" ht="18" hidden="1" customHeight="1">
      <c r="G4649" s="31"/>
    </row>
    <row r="4650" spans="7:7" ht="18" hidden="1" customHeight="1">
      <c r="G4650" s="31"/>
    </row>
    <row r="4651" spans="7:7" ht="18" hidden="1" customHeight="1">
      <c r="G4651" s="31"/>
    </row>
    <row r="4652" spans="7:7" ht="18" hidden="1" customHeight="1">
      <c r="G4652" s="31"/>
    </row>
    <row r="4653" spans="7:7" ht="18" hidden="1" customHeight="1">
      <c r="G4653" s="31"/>
    </row>
    <row r="4654" spans="7:7" ht="18" hidden="1" customHeight="1">
      <c r="G4654" s="31"/>
    </row>
    <row r="4655" spans="7:7" ht="18" hidden="1" customHeight="1">
      <c r="G4655" s="31"/>
    </row>
    <row r="4656" spans="7:7" ht="18" hidden="1" customHeight="1">
      <c r="G4656" s="31"/>
    </row>
    <row r="4657" spans="7:7" ht="18" hidden="1" customHeight="1">
      <c r="G4657" s="31"/>
    </row>
    <row r="4658" spans="7:7" ht="18" hidden="1" customHeight="1">
      <c r="G4658" s="31"/>
    </row>
    <row r="4659" spans="7:7" ht="18" hidden="1" customHeight="1">
      <c r="G4659" s="31"/>
    </row>
    <row r="4660" spans="7:7" ht="18" hidden="1" customHeight="1">
      <c r="G4660" s="31"/>
    </row>
    <row r="4661" spans="7:7" ht="18" hidden="1" customHeight="1">
      <c r="G4661" s="31"/>
    </row>
    <row r="4662" spans="7:7" ht="18" hidden="1" customHeight="1">
      <c r="G4662" s="31"/>
    </row>
    <row r="4663" spans="7:7" ht="18" hidden="1" customHeight="1">
      <c r="G4663" s="31"/>
    </row>
    <row r="4664" spans="7:7" ht="18" hidden="1" customHeight="1">
      <c r="G4664" s="31"/>
    </row>
    <row r="4665" spans="7:7" ht="18" hidden="1" customHeight="1">
      <c r="G4665" s="31"/>
    </row>
    <row r="4666" spans="7:7" ht="18" hidden="1" customHeight="1">
      <c r="G4666" s="31"/>
    </row>
    <row r="4667" spans="7:7" ht="18" hidden="1" customHeight="1">
      <c r="G4667" s="31"/>
    </row>
    <row r="4668" spans="7:7" ht="18" hidden="1" customHeight="1">
      <c r="G4668" s="31"/>
    </row>
    <row r="4669" spans="7:7" ht="18" hidden="1" customHeight="1">
      <c r="G4669" s="31"/>
    </row>
    <row r="4670" spans="7:7" ht="18" hidden="1" customHeight="1">
      <c r="G4670" s="31"/>
    </row>
    <row r="4671" spans="7:7" ht="18" hidden="1" customHeight="1">
      <c r="G4671" s="31"/>
    </row>
    <row r="4672" spans="7:7" ht="18" hidden="1" customHeight="1">
      <c r="G4672" s="31"/>
    </row>
    <row r="4673" spans="7:7" ht="18" hidden="1" customHeight="1">
      <c r="G4673" s="31"/>
    </row>
    <row r="4674" spans="7:7" ht="18" hidden="1" customHeight="1">
      <c r="G4674" s="31"/>
    </row>
    <row r="4675" spans="7:7" ht="18" hidden="1" customHeight="1">
      <c r="G4675" s="31"/>
    </row>
    <row r="4676" spans="7:7" ht="18" hidden="1" customHeight="1">
      <c r="G4676" s="31"/>
    </row>
    <row r="4677" spans="7:7" ht="18" hidden="1" customHeight="1">
      <c r="G4677" s="31"/>
    </row>
    <row r="4678" spans="7:7" ht="18" hidden="1" customHeight="1">
      <c r="G4678" s="31"/>
    </row>
    <row r="4679" spans="7:7" ht="18" hidden="1" customHeight="1">
      <c r="G4679" s="31"/>
    </row>
    <row r="4680" spans="7:7" ht="18" hidden="1" customHeight="1">
      <c r="G4680" s="31"/>
    </row>
    <row r="4681" spans="7:7" ht="18" hidden="1" customHeight="1">
      <c r="G4681" s="31"/>
    </row>
    <row r="4682" spans="7:7" ht="18" hidden="1" customHeight="1">
      <c r="G4682" s="31"/>
    </row>
    <row r="4683" spans="7:7" ht="18" hidden="1" customHeight="1">
      <c r="G4683" s="31"/>
    </row>
    <row r="4684" spans="7:7" ht="18" hidden="1" customHeight="1">
      <c r="G4684" s="31"/>
    </row>
    <row r="4685" spans="7:7" ht="18" hidden="1" customHeight="1">
      <c r="G4685" s="31"/>
    </row>
    <row r="4686" spans="7:7" ht="18" hidden="1" customHeight="1">
      <c r="G4686" s="31"/>
    </row>
    <row r="4687" spans="7:7" ht="18" hidden="1" customHeight="1">
      <c r="G4687" s="31"/>
    </row>
    <row r="4688" spans="7:7" ht="18" hidden="1" customHeight="1">
      <c r="G4688" s="31"/>
    </row>
    <row r="4689" spans="7:7" ht="18" hidden="1" customHeight="1">
      <c r="G4689" s="31"/>
    </row>
    <row r="4690" spans="7:7" ht="18" hidden="1" customHeight="1">
      <c r="G4690" s="31"/>
    </row>
    <row r="4691" spans="7:7" ht="18" hidden="1" customHeight="1">
      <c r="G4691" s="31"/>
    </row>
    <row r="4692" spans="7:7" ht="18" hidden="1" customHeight="1">
      <c r="G4692" s="31"/>
    </row>
    <row r="4693" spans="7:7" ht="18" hidden="1" customHeight="1">
      <c r="G4693" s="31"/>
    </row>
    <row r="4694" spans="7:7" ht="18" hidden="1" customHeight="1">
      <c r="G4694" s="31"/>
    </row>
    <row r="4695" spans="7:7" ht="18" hidden="1" customHeight="1">
      <c r="G4695" s="31"/>
    </row>
    <row r="4696" spans="7:7" ht="18" hidden="1" customHeight="1">
      <c r="G4696" s="31"/>
    </row>
    <row r="4697" spans="7:7" ht="18" hidden="1" customHeight="1">
      <c r="G4697" s="31"/>
    </row>
    <row r="4698" spans="7:7" ht="18" hidden="1" customHeight="1">
      <c r="G4698" s="31"/>
    </row>
    <row r="4699" spans="7:7" ht="18" hidden="1" customHeight="1">
      <c r="G4699" s="31"/>
    </row>
    <row r="4700" spans="7:7" ht="18" hidden="1" customHeight="1">
      <c r="G4700" s="31"/>
    </row>
    <row r="4701" spans="7:7" ht="18" hidden="1" customHeight="1">
      <c r="G4701" s="31"/>
    </row>
    <row r="4702" spans="7:7" ht="18" hidden="1" customHeight="1">
      <c r="G4702" s="31"/>
    </row>
    <row r="4703" spans="7:7" ht="18" hidden="1" customHeight="1">
      <c r="G4703" s="31"/>
    </row>
    <row r="4704" spans="7:7" ht="18" hidden="1" customHeight="1">
      <c r="G4704" s="31"/>
    </row>
    <row r="4705" spans="7:7" ht="18" hidden="1" customHeight="1">
      <c r="G4705" s="31"/>
    </row>
    <row r="4706" spans="7:7" ht="18" hidden="1" customHeight="1">
      <c r="G4706" s="31"/>
    </row>
    <row r="4707" spans="7:7" ht="18" hidden="1" customHeight="1">
      <c r="G4707" s="31"/>
    </row>
    <row r="4708" spans="7:7" ht="18" hidden="1" customHeight="1">
      <c r="G4708" s="31"/>
    </row>
    <row r="4709" spans="7:7" ht="18" hidden="1" customHeight="1">
      <c r="G4709" s="31"/>
    </row>
    <row r="4710" spans="7:7" ht="18" hidden="1" customHeight="1">
      <c r="G4710" s="31"/>
    </row>
    <row r="4711" spans="7:7" ht="18" hidden="1" customHeight="1">
      <c r="G4711" s="31"/>
    </row>
    <row r="4712" spans="7:7" ht="18" hidden="1" customHeight="1">
      <c r="G4712" s="31"/>
    </row>
    <row r="4713" spans="7:7" ht="18" hidden="1" customHeight="1">
      <c r="G4713" s="31"/>
    </row>
    <row r="4714" spans="7:7" ht="18" hidden="1" customHeight="1">
      <c r="G4714" s="31"/>
    </row>
    <row r="4715" spans="7:7" ht="18" hidden="1" customHeight="1">
      <c r="G4715" s="31"/>
    </row>
    <row r="4716" spans="7:7" ht="18" hidden="1" customHeight="1">
      <c r="G4716" s="31"/>
    </row>
    <row r="4717" spans="7:7" ht="18" hidden="1" customHeight="1">
      <c r="G4717" s="31"/>
    </row>
    <row r="4718" spans="7:7" ht="18" hidden="1" customHeight="1">
      <c r="G4718" s="31"/>
    </row>
    <row r="4719" spans="7:7" ht="18" hidden="1" customHeight="1">
      <c r="G4719" s="31"/>
    </row>
    <row r="4720" spans="7:7" ht="18" hidden="1" customHeight="1">
      <c r="G4720" s="31"/>
    </row>
    <row r="4721" spans="7:7" ht="18" hidden="1" customHeight="1">
      <c r="G4721" s="31"/>
    </row>
    <row r="4722" spans="7:7" ht="18" hidden="1" customHeight="1">
      <c r="G4722" s="31"/>
    </row>
    <row r="4723" spans="7:7" ht="18" hidden="1" customHeight="1">
      <c r="G4723" s="31"/>
    </row>
    <row r="4724" spans="7:7" ht="18" hidden="1" customHeight="1">
      <c r="G4724" s="31"/>
    </row>
    <row r="4725" spans="7:7" ht="18" hidden="1" customHeight="1">
      <c r="G4725" s="31"/>
    </row>
    <row r="4726" spans="7:7" ht="18" hidden="1" customHeight="1">
      <c r="G4726" s="31"/>
    </row>
    <row r="4727" spans="7:7" ht="18" hidden="1" customHeight="1">
      <c r="G4727" s="31"/>
    </row>
    <row r="4728" spans="7:7" ht="18" hidden="1" customHeight="1">
      <c r="G4728" s="31"/>
    </row>
    <row r="4729" spans="7:7" ht="18" hidden="1" customHeight="1">
      <c r="G4729" s="31"/>
    </row>
    <row r="4730" spans="7:7" ht="18" hidden="1" customHeight="1">
      <c r="G4730" s="31"/>
    </row>
    <row r="4731" spans="7:7" ht="18" hidden="1" customHeight="1">
      <c r="G4731" s="31"/>
    </row>
    <row r="4732" spans="7:7" ht="18" hidden="1" customHeight="1">
      <c r="G4732" s="31"/>
    </row>
    <row r="4733" spans="7:7" ht="18" hidden="1" customHeight="1">
      <c r="G4733" s="31"/>
    </row>
    <row r="4734" spans="7:7" ht="18" hidden="1" customHeight="1">
      <c r="G4734" s="31"/>
    </row>
    <row r="4735" spans="7:7" ht="18" hidden="1" customHeight="1">
      <c r="G4735" s="31"/>
    </row>
    <row r="4736" spans="7:7" ht="18" hidden="1" customHeight="1">
      <c r="G4736" s="31"/>
    </row>
    <row r="4737" spans="1:7" ht="18" hidden="1" customHeight="1">
      <c r="B4737" s="1207"/>
      <c r="C4737" s="1207"/>
      <c r="D4737" s="1207"/>
      <c r="E4737" s="922"/>
      <c r="F4737" s="171"/>
      <c r="G4737" s="75"/>
    </row>
    <row r="4738" spans="1:7" ht="18" hidden="1" customHeight="1">
      <c r="B4738" s="47"/>
      <c r="C4738" s="48"/>
      <c r="D4738" s="68"/>
      <c r="F4738" s="171"/>
      <c r="G4738" s="766"/>
    </row>
    <row r="4739" spans="1:7" ht="18" hidden="1" customHeight="1">
      <c r="B4739" s="79"/>
      <c r="C4739" s="356"/>
      <c r="F4739" s="171"/>
      <c r="G4739" s="211"/>
    </row>
    <row r="4740" spans="1:7" ht="18" hidden="1" customHeight="1">
      <c r="B4740" s="79"/>
      <c r="C4740" s="356"/>
      <c r="F4740" s="171"/>
      <c r="G4740" s="211"/>
    </row>
    <row r="4741" spans="1:7" ht="42.75" hidden="1" customHeight="1">
      <c r="B4741" s="1207"/>
      <c r="C4741" s="1207"/>
      <c r="D4741" s="1207"/>
      <c r="E4741" s="1207"/>
      <c r="F4741" s="1207"/>
      <c r="G4741" s="1207"/>
    </row>
    <row r="4742" spans="1:7" ht="18" hidden="1" customHeight="1">
      <c r="B4742" s="79"/>
      <c r="C4742" s="356"/>
      <c r="F4742" s="171"/>
      <c r="G4742" s="211"/>
    </row>
    <row r="4743" spans="1:7" ht="18" hidden="1" customHeight="1">
      <c r="A4743" s="822"/>
      <c r="C4743" s="349"/>
      <c r="E4743" s="171"/>
      <c r="F4743" s="246"/>
    </row>
    <row r="4744" spans="1:7" ht="18" hidden="1" customHeight="1">
      <c r="A4744" s="847"/>
      <c r="B4744" s="79"/>
      <c r="C4744" s="48"/>
    </row>
    <row r="4745" spans="1:7" ht="18" hidden="1" customHeight="1">
      <c r="A4745" s="879"/>
      <c r="B4745" s="1085"/>
      <c r="C4745" s="103"/>
      <c r="D4745" s="1085"/>
      <c r="E4745" s="1085"/>
      <c r="F4745" s="1085"/>
      <c r="G4745" s="1085"/>
    </row>
    <row r="4746" spans="1:7" ht="18" hidden="1" customHeight="1">
      <c r="A4746" s="879"/>
      <c r="B4746" s="1085"/>
      <c r="C4746" s="355"/>
      <c r="D4746" s="1085"/>
      <c r="E4746" s="1085"/>
      <c r="F4746" s="1085"/>
      <c r="G4746" s="1085"/>
    </row>
    <row r="4747" spans="1:7" ht="18" hidden="1" customHeight="1">
      <c r="A4747" s="879"/>
      <c r="B4747" s="1085"/>
      <c r="C4747" s="103"/>
      <c r="D4747" s="1085"/>
      <c r="E4747" s="75"/>
      <c r="F4747" s="75"/>
      <c r="G4747" s="75"/>
    </row>
    <row r="4748" spans="1:7" ht="18" hidden="1" customHeight="1">
      <c r="A4748" s="879"/>
      <c r="B4748" s="200"/>
      <c r="C4748" s="1084"/>
      <c r="D4748" s="1085"/>
      <c r="E4748" s="75"/>
      <c r="F4748" s="75"/>
      <c r="G4748" s="75"/>
    </row>
    <row r="4749" spans="1:7" ht="18" hidden="1" customHeight="1">
      <c r="A4749" s="879"/>
      <c r="B4749" s="1085"/>
      <c r="C4749" s="1132"/>
      <c r="D4749" s="31"/>
      <c r="E4749" s="31"/>
      <c r="F4749" s="200"/>
      <c r="G4749" s="766"/>
    </row>
    <row r="4750" spans="1:7" ht="18" hidden="1" customHeight="1">
      <c r="A4750" s="879"/>
      <c r="B4750" s="1085"/>
      <c r="C4750" s="355"/>
      <c r="D4750" s="31"/>
      <c r="E4750" s="31"/>
      <c r="F4750" s="31"/>
      <c r="G4750" s="75"/>
    </row>
    <row r="4751" spans="1:7" ht="18" hidden="1" customHeight="1">
      <c r="A4751" s="879"/>
      <c r="B4751" s="1081"/>
      <c r="C4751" s="355"/>
      <c r="D4751" s="31"/>
      <c r="E4751" s="31"/>
      <c r="F4751" s="31"/>
      <c r="G4751" s="31"/>
    </row>
    <row r="4752" spans="1:7" ht="18" hidden="1" customHeight="1">
      <c r="A4752" s="879"/>
      <c r="B4752" s="1085"/>
      <c r="C4752" s="103"/>
      <c r="D4752" s="1085"/>
      <c r="E4752" s="1085"/>
      <c r="F4752" s="1085"/>
      <c r="G4752" s="1085"/>
    </row>
    <row r="4753" spans="1:8" ht="18" hidden="1" customHeight="1">
      <c r="A4753" s="879"/>
      <c r="B4753" s="1085"/>
      <c r="C4753" s="355"/>
      <c r="D4753" s="1085"/>
      <c r="E4753" s="1085"/>
      <c r="F4753" s="1085"/>
      <c r="G4753" s="1085"/>
    </row>
    <row r="4754" spans="1:8" ht="18" hidden="1" customHeight="1">
      <c r="A4754" s="879"/>
      <c r="B4754" s="1085"/>
      <c r="C4754" s="1084"/>
      <c r="D4754" s="1085"/>
      <c r="E4754" s="75"/>
      <c r="F4754" s="75"/>
      <c r="G4754" s="75"/>
    </row>
    <row r="4755" spans="1:8" ht="18" hidden="1" customHeight="1">
      <c r="A4755" s="879"/>
      <c r="B4755" s="200"/>
      <c r="C4755" s="1084"/>
      <c r="D4755" s="1085"/>
      <c r="E4755" s="75"/>
      <c r="F4755" s="75"/>
      <c r="G4755" s="75"/>
    </row>
    <row r="4756" spans="1:8" ht="18" hidden="1" customHeight="1">
      <c r="A4756" s="879"/>
      <c r="B4756" s="1085"/>
      <c r="C4756" s="1132"/>
      <c r="D4756" s="31"/>
      <c r="E4756" s="31"/>
      <c r="F4756" s="200"/>
      <c r="G4756" s="766"/>
    </row>
    <row r="4757" spans="1:8" ht="18" hidden="1" customHeight="1">
      <c r="A4757" s="879"/>
      <c r="B4757" s="1085"/>
      <c r="C4757" s="355"/>
      <c r="D4757" s="31"/>
      <c r="E4757" s="31"/>
      <c r="F4757" s="31"/>
      <c r="G4757" s="31"/>
    </row>
    <row r="4758" spans="1:8" ht="18" hidden="1" customHeight="1">
      <c r="A4758" s="879"/>
      <c r="B4758" s="1081"/>
      <c r="C4758" s="355"/>
      <c r="D4758" s="31"/>
      <c r="E4758" s="31"/>
      <c r="F4758" s="31"/>
      <c r="G4758" s="31"/>
    </row>
    <row r="4759" spans="1:8" ht="18" hidden="1" customHeight="1">
      <c r="A4759" s="879"/>
      <c r="B4759" s="1085"/>
      <c r="C4759" s="103"/>
      <c r="D4759" s="1085"/>
      <c r="E4759" s="1085"/>
      <c r="F4759" s="1085"/>
      <c r="G4759" s="1085"/>
      <c r="H4759" s="31"/>
    </row>
    <row r="4760" spans="1:8" ht="18" hidden="1" customHeight="1">
      <c r="A4760" s="847"/>
      <c r="B4760" s="1085"/>
      <c r="C4760" s="355"/>
      <c r="D4760" s="1085"/>
      <c r="E4760" s="1085"/>
      <c r="F4760" s="1085"/>
      <c r="G4760" s="1085"/>
      <c r="H4760" s="31"/>
    </row>
    <row r="4761" spans="1:8" ht="18" hidden="1" customHeight="1">
      <c r="A4761" s="847"/>
      <c r="B4761" s="1085"/>
      <c r="C4761" s="1084"/>
      <c r="D4761" s="1085"/>
      <c r="E4761" s="75"/>
      <c r="F4761" s="75"/>
      <c r="G4761" s="75"/>
      <c r="H4761" s="31"/>
    </row>
    <row r="4762" spans="1:8" ht="18" hidden="1" customHeight="1">
      <c r="A4762" s="847"/>
      <c r="B4762" s="1085"/>
      <c r="C4762" s="1084"/>
      <c r="D4762" s="1085"/>
      <c r="E4762" s="75"/>
      <c r="F4762" s="75"/>
      <c r="G4762" s="75"/>
      <c r="H4762" s="31"/>
    </row>
    <row r="4763" spans="1:8" ht="18" hidden="1" customHeight="1">
      <c r="A4763" s="847"/>
      <c r="B4763" s="1085"/>
      <c r="C4763" s="1132"/>
      <c r="D4763" s="31"/>
      <c r="E4763" s="31"/>
      <c r="F4763" s="200"/>
      <c r="G4763" s="766"/>
      <c r="H4763" s="31"/>
    </row>
    <row r="4764" spans="1:8" ht="18" hidden="1" customHeight="1">
      <c r="A4764" s="847"/>
      <c r="B4764" s="359"/>
      <c r="C4764" s="355"/>
      <c r="D4764" s="31"/>
      <c r="E4764" s="739"/>
      <c r="F4764" s="31"/>
      <c r="G4764" s="31"/>
      <c r="H4764" s="31"/>
    </row>
    <row r="4765" spans="1:8" ht="18" hidden="1" customHeight="1">
      <c r="A4765" s="847"/>
      <c r="B4765" s="32"/>
      <c r="C4765" s="355"/>
      <c r="D4765" s="31"/>
      <c r="E4765" s="31"/>
      <c r="F4765" s="31"/>
      <c r="G4765" s="31"/>
      <c r="H4765" s="31"/>
    </row>
    <row r="4766" spans="1:8" ht="18" hidden="1" customHeight="1">
      <c r="A4766" s="847"/>
      <c r="B4766" s="30"/>
      <c r="C4766" s="355"/>
      <c r="D4766" s="31"/>
      <c r="E4766" s="31"/>
      <c r="F4766" s="200"/>
      <c r="G4766" s="75"/>
      <c r="H4766" s="31"/>
    </row>
    <row r="4767" spans="1:8" ht="18" hidden="1" customHeight="1">
      <c r="A4767" s="847"/>
      <c r="B4767" s="30"/>
      <c r="C4767" s="355"/>
      <c r="D4767" s="31"/>
      <c r="E4767" s="31"/>
      <c r="F4767" s="200"/>
      <c r="G4767" s="75"/>
      <c r="H4767" s="31"/>
    </row>
    <row r="4768" spans="1:8" ht="18" hidden="1" customHeight="1">
      <c r="A4768" s="847"/>
      <c r="B4768" s="30"/>
      <c r="C4768" s="355"/>
      <c r="D4768" s="31"/>
      <c r="E4768" s="31"/>
      <c r="F4768" s="200"/>
      <c r="G4768" s="75"/>
      <c r="H4768" s="31"/>
    </row>
    <row r="4769" spans="1:8" ht="18" hidden="1" customHeight="1">
      <c r="A4769" s="847"/>
      <c r="B4769" s="1085"/>
      <c r="C4769" s="355"/>
      <c r="D4769" s="31"/>
      <c r="E4769" s="301"/>
      <c r="F4769" s="200"/>
      <c r="G4769" s="75"/>
      <c r="H4769" s="31"/>
    </row>
    <row r="4770" spans="1:8" ht="18" hidden="1" customHeight="1">
      <c r="A4770" s="847"/>
      <c r="B4770" s="1215"/>
      <c r="C4770" s="1215"/>
      <c r="D4770" s="1215"/>
      <c r="E4770" s="922"/>
      <c r="F4770" s="200"/>
      <c r="G4770" s="75"/>
      <c r="H4770" s="31"/>
    </row>
    <row r="4771" spans="1:8" ht="18" hidden="1" customHeight="1">
      <c r="A4771" s="847"/>
      <c r="B4771" s="30"/>
      <c r="C4771" s="355"/>
      <c r="D4771" s="75"/>
      <c r="E4771" s="75"/>
      <c r="F4771" s="200"/>
      <c r="G4771" s="766"/>
      <c r="H4771" s="31"/>
    </row>
    <row r="4772" spans="1:8" ht="18" hidden="1" customHeight="1">
      <c r="A4772" s="847"/>
      <c r="B4772" s="1081"/>
      <c r="C4772" s="1134"/>
      <c r="D4772" s="31"/>
      <c r="E4772" s="31"/>
      <c r="F4772" s="200"/>
      <c r="G4772" s="766"/>
      <c r="H4772" s="31"/>
    </row>
    <row r="4773" spans="1:8" ht="18" hidden="1" customHeight="1">
      <c r="A4773" s="847"/>
      <c r="C4773" s="48"/>
    </row>
    <row r="4774" spans="1:8" ht="18" hidden="1" customHeight="1">
      <c r="A4774" s="847"/>
      <c r="B4774" s="162" t="s">
        <v>1175</v>
      </c>
      <c r="C4774" s="48"/>
    </row>
    <row r="4775" spans="1:8" ht="18" hidden="1" customHeight="1">
      <c r="A4775" s="847"/>
      <c r="B4775" s="47" t="s">
        <v>1176</v>
      </c>
      <c r="C4775" s="48"/>
      <c r="F4775" s="171" t="s">
        <v>1698</v>
      </c>
      <c r="G4775" s="68">
        <f>G4749</f>
        <v>0</v>
      </c>
    </row>
    <row r="4776" spans="1:8" ht="18" hidden="1" customHeight="1">
      <c r="A4776" s="847"/>
      <c r="B4776" s="47" t="s">
        <v>1186</v>
      </c>
      <c r="C4776" s="48"/>
      <c r="F4776" s="171" t="s">
        <v>1698</v>
      </c>
      <c r="G4776" s="68">
        <f>G4756</f>
        <v>0</v>
      </c>
    </row>
    <row r="4777" spans="1:8" ht="18" hidden="1" customHeight="1">
      <c r="A4777" s="847"/>
      <c r="B4777" s="47" t="s">
        <v>2660</v>
      </c>
      <c r="C4777" s="48"/>
      <c r="F4777" s="171" t="s">
        <v>1698</v>
      </c>
      <c r="G4777" s="75">
        <f>G4763</f>
        <v>0</v>
      </c>
    </row>
    <row r="4778" spans="1:8" ht="18" hidden="1" customHeight="1">
      <c r="A4778" s="847"/>
      <c r="C4778" s="48"/>
      <c r="E4778" s="250"/>
      <c r="F4778" s="171" t="s">
        <v>302</v>
      </c>
      <c r="G4778" s="205">
        <f>SUM(G4775:G4777)</f>
        <v>0</v>
      </c>
    </row>
    <row r="4779" spans="1:8" ht="18" hidden="1" customHeight="1">
      <c r="A4779" s="847"/>
      <c r="B4779" s="1207" t="s">
        <v>1379</v>
      </c>
      <c r="C4779" s="1207"/>
      <c r="D4779" s="1207"/>
      <c r="E4779" s="922">
        <f>'BASIC DATA'!$C$577</f>
        <v>0.13614999999999999</v>
      </c>
      <c r="F4779" s="171" t="s">
        <v>1698</v>
      </c>
      <c r="G4779" s="31">
        <f>ROUND(G4778*E4779,2)</f>
        <v>0</v>
      </c>
    </row>
    <row r="4780" spans="1:8" ht="18" hidden="1" customHeight="1">
      <c r="A4780" s="847"/>
      <c r="B4780" s="47" t="s">
        <v>1191</v>
      </c>
      <c r="C4780" s="48"/>
      <c r="D4780" s="68">
        <f>F4743</f>
        <v>0</v>
      </c>
      <c r="E4780" s="26">
        <f>G4743</f>
        <v>0</v>
      </c>
      <c r="F4780" s="171" t="s">
        <v>1698</v>
      </c>
      <c r="G4780" s="211">
        <f>G4779+G4778</f>
        <v>0</v>
      </c>
    </row>
    <row r="4781" spans="1:8" ht="18" hidden="1" customHeight="1">
      <c r="A4781" s="847"/>
      <c r="B4781" s="79" t="s">
        <v>1584</v>
      </c>
      <c r="C4781" s="356">
        <f>E4780</f>
        <v>0</v>
      </c>
      <c r="D4781" s="26" t="s">
        <v>1317</v>
      </c>
      <c r="F4781" s="171" t="s">
        <v>4108</v>
      </c>
      <c r="G4781" s="211" t="e">
        <f>ROUND(G4780/D4780,1)</f>
        <v>#DIV/0!</v>
      </c>
      <c r="H4781" s="171"/>
    </row>
    <row r="4782" spans="1:8" ht="18" hidden="1" customHeight="1"/>
    <row r="4783" spans="1:8" ht="18" hidden="1" customHeight="1"/>
    <row r="4784" spans="1:8" ht="18" hidden="1" customHeight="1"/>
    <row r="4785" ht="18" hidden="1" customHeight="1"/>
    <row r="4786" ht="18" hidden="1" customHeight="1"/>
    <row r="4787" ht="18" hidden="1" customHeight="1"/>
    <row r="4788" ht="18" hidden="1" customHeight="1"/>
    <row r="4789" ht="18" hidden="1" customHeight="1"/>
    <row r="4790" ht="18" hidden="1" customHeight="1"/>
    <row r="4791" ht="18" hidden="1" customHeight="1"/>
    <row r="4792" ht="18" hidden="1" customHeight="1"/>
    <row r="4793" ht="18" hidden="1" customHeight="1"/>
    <row r="4794" ht="18" hidden="1" customHeight="1"/>
    <row r="4795" ht="18" hidden="1" customHeight="1"/>
  </sheetData>
  <mergeCells count="106">
    <mergeCell ref="B98:C98"/>
    <mergeCell ref="B142:C142"/>
    <mergeCell ref="B187:C187"/>
    <mergeCell ref="B232:C232"/>
    <mergeCell ref="B277:C277"/>
    <mergeCell ref="B323:C323"/>
    <mergeCell ref="B621:C621"/>
    <mergeCell ref="B666:C666"/>
    <mergeCell ref="B711:C711"/>
    <mergeCell ref="B752:C752"/>
    <mergeCell ref="B796:C796"/>
    <mergeCell ref="B838:C838"/>
    <mergeCell ref="B366:C366"/>
    <mergeCell ref="B407:C407"/>
    <mergeCell ref="B449:C449"/>
    <mergeCell ref="B492:C492"/>
    <mergeCell ref="B535:C535"/>
    <mergeCell ref="B578:C578"/>
    <mergeCell ref="B1333:C1333"/>
    <mergeCell ref="B1383:C1383"/>
    <mergeCell ref="B1436:C1436"/>
    <mergeCell ref="B1496:C1496"/>
    <mergeCell ref="B1563:C1563"/>
    <mergeCell ref="B1637:C1637"/>
    <mergeCell ref="B890:C890"/>
    <mergeCell ref="B967:C967"/>
    <mergeCell ref="B1043:C1043"/>
    <mergeCell ref="B1109:C1109"/>
    <mergeCell ref="B1187:C1187"/>
    <mergeCell ref="B1266:C1266"/>
    <mergeCell ref="B2554:C2554"/>
    <mergeCell ref="B2596:C2596"/>
    <mergeCell ref="B2134:C2134"/>
    <mergeCell ref="B2254:C2254"/>
    <mergeCell ref="B2376:C2376"/>
    <mergeCell ref="B2418:C2418"/>
    <mergeCell ref="B2466:C2466"/>
    <mergeCell ref="B2514:C2514"/>
    <mergeCell ref="B1717:C1717"/>
    <mergeCell ref="B1771:C1771"/>
    <mergeCell ref="B1817:C1817"/>
    <mergeCell ref="B1858:C1858"/>
    <mergeCell ref="B1900:C1900"/>
    <mergeCell ref="B2015:C2015"/>
    <mergeCell ref="B2606:J2606"/>
    <mergeCell ref="B2613:I2613"/>
    <mergeCell ref="B2623:I2624"/>
    <mergeCell ref="B2637:I2637"/>
    <mergeCell ref="B2638:D2638"/>
    <mergeCell ref="B2600:J2600"/>
    <mergeCell ref="B2601:J2601"/>
    <mergeCell ref="B2602:J2602"/>
    <mergeCell ref="B2603:J2603"/>
    <mergeCell ref="B2604:J2604"/>
    <mergeCell ref="B2605:J2605"/>
    <mergeCell ref="B2646:J2646"/>
    <mergeCell ref="B2647:J2647"/>
    <mergeCell ref="B2648:J2648"/>
    <mergeCell ref="B2649:J2649"/>
    <mergeCell ref="B2650:J2650"/>
    <mergeCell ref="B2652:J2652"/>
    <mergeCell ref="B2639:D2639"/>
    <mergeCell ref="B2640:D2640"/>
    <mergeCell ref="B2641:D2641"/>
    <mergeCell ref="B2642:D2642"/>
    <mergeCell ref="B2643:C2643"/>
    <mergeCell ref="B2699:J2699"/>
    <mergeCell ref="B2700:J2700"/>
    <mergeCell ref="B2702:J2702"/>
    <mergeCell ref="B2709:I2709"/>
    <mergeCell ref="B2715:I2716"/>
    <mergeCell ref="B2731:C2731"/>
    <mergeCell ref="B2659:I2659"/>
    <mergeCell ref="B2672:I2673"/>
    <mergeCell ref="B2687:I2687"/>
    <mergeCell ref="B2696:J2696"/>
    <mergeCell ref="B2697:J2697"/>
    <mergeCell ref="B2698:J2698"/>
    <mergeCell ref="B2803:E2803"/>
    <mergeCell ref="B2808:E2808"/>
    <mergeCell ref="B2814:E2814"/>
    <mergeCell ref="B2832:E2832"/>
    <mergeCell ref="B2837:E2837"/>
    <mergeCell ref="B2843:E2843"/>
    <mergeCell ref="B2745:E2745"/>
    <mergeCell ref="B2750:E2750"/>
    <mergeCell ref="B2756:E2756"/>
    <mergeCell ref="B2774:E2774"/>
    <mergeCell ref="B2779:E2779"/>
    <mergeCell ref="B2785:E2785"/>
    <mergeCell ref="B3025:D3025"/>
    <mergeCell ref="B2993:G2993"/>
    <mergeCell ref="B4737:D4737"/>
    <mergeCell ref="B4741:G4741"/>
    <mergeCell ref="B2958:H2958"/>
    <mergeCell ref="B4779:D4779"/>
    <mergeCell ref="B4770:D4770"/>
    <mergeCell ref="B2861:E2861"/>
    <mergeCell ref="B2866:E2866"/>
    <mergeCell ref="B2872:E2872"/>
    <mergeCell ref="B2890:E2890"/>
    <mergeCell ref="B2895:E2895"/>
    <mergeCell ref="B2901:E2901"/>
    <mergeCell ref="B2989:D2989"/>
    <mergeCell ref="B2960:G2960"/>
    <mergeCell ref="A2954:D2954"/>
  </mergeCells>
  <printOptions horizontalCentered="1"/>
  <pageMargins left="0.511811023622047" right="0.511811023622047" top="0.55118110236220497" bottom="0.74803149606299202" header="0.511811023622047" footer="0.43307086614173201"/>
  <pageSetup paperSize="9" scale="61" firstPageNumber="307" orientation="portrait" useFirstPageNumber="1" r:id="rId1"/>
  <headerFooter alignWithMargins="0">
    <oddHeader>&amp;R&amp;9Preliminary and Maintenance Works - Item Unit Rates 2016-17</oddHeader>
    <oddFooter>&amp;R&amp;18&amp;P</oddFooter>
  </headerFooter>
</worksheet>
</file>

<file path=xl/worksheets/sheet12.xml><?xml version="1.0" encoding="utf-8"?>
<worksheet xmlns="http://schemas.openxmlformats.org/spreadsheetml/2006/main" xmlns:r="http://schemas.openxmlformats.org/officeDocument/2006/relationships">
  <sheetPr codeName="Sheet16"/>
  <dimension ref="A1:I33"/>
  <sheetViews>
    <sheetView showGridLines="0" zoomScale="60" workbookViewId="0">
      <selection activeCell="H2" sqref="H2"/>
    </sheetView>
  </sheetViews>
  <sheetFormatPr defaultColWidth="0" defaultRowHeight="18" zeroHeight="1"/>
  <cols>
    <col min="1" max="1" width="19.140625" style="26" customWidth="1"/>
    <col min="2" max="2" width="75" style="26" bestFit="1" customWidth="1"/>
    <col min="3" max="8" width="9.140625" style="26" customWidth="1"/>
    <col min="9" max="9" width="9.140625" style="26" hidden="1" customWidth="1"/>
    <col min="10" max="16384" width="0" style="26" hidden="1"/>
  </cols>
  <sheetData>
    <row r="1" spans="1:7"/>
    <row r="2" spans="1:7">
      <c r="B2" s="171" t="s">
        <v>1470</v>
      </c>
    </row>
    <row r="3" spans="1:7">
      <c r="A3" s="170" t="s">
        <v>1469</v>
      </c>
      <c r="B3" s="171"/>
    </row>
    <row r="4" spans="1:7">
      <c r="A4" s="78" t="s">
        <v>5519</v>
      </c>
      <c r="B4" s="203" t="s">
        <v>1468</v>
      </c>
    </row>
    <row r="5" spans="1:7">
      <c r="B5" s="26" t="s">
        <v>3080</v>
      </c>
      <c r="D5" s="31"/>
      <c r="E5" s="31"/>
    </row>
    <row r="6" spans="1:7">
      <c r="B6" s="76" t="s">
        <v>3081</v>
      </c>
      <c r="D6" s="31"/>
      <c r="E6" s="31"/>
      <c r="F6" s="31"/>
    </row>
    <row r="7" spans="1:7">
      <c r="A7" s="26" t="s">
        <v>5520</v>
      </c>
      <c r="B7" s="31" t="s">
        <v>9216</v>
      </c>
      <c r="D7" s="31"/>
      <c r="E7" s="31"/>
      <c r="F7" s="31"/>
    </row>
    <row r="8" spans="1:7">
      <c r="B8" s="31" t="s">
        <v>5108</v>
      </c>
      <c r="D8" s="31"/>
      <c r="E8" s="31"/>
      <c r="F8" s="31"/>
    </row>
    <row r="9" spans="1:7">
      <c r="B9" s="31" t="s">
        <v>5109</v>
      </c>
      <c r="D9" s="31"/>
      <c r="E9" s="31"/>
      <c r="F9" s="31"/>
    </row>
    <row r="10" spans="1:7">
      <c r="B10" s="31" t="s">
        <v>9217</v>
      </c>
      <c r="D10" s="31" t="s">
        <v>7659</v>
      </c>
      <c r="E10" s="31"/>
      <c r="F10" s="75">
        <f>ROUND(1/3*'BASIC DATA'!C552,1)</f>
        <v>116.7</v>
      </c>
      <c r="G10" s="31"/>
    </row>
    <row r="11" spans="1:7">
      <c r="B11" s="314" t="s">
        <v>5110</v>
      </c>
      <c r="D11" s="31"/>
      <c r="E11" s="31"/>
      <c r="F11" s="31"/>
    </row>
    <row r="12" spans="1:7">
      <c r="B12" s="766" t="s">
        <v>5111</v>
      </c>
      <c r="D12" s="31"/>
      <c r="E12" s="31"/>
      <c r="F12" s="31"/>
    </row>
    <row r="13" spans="1:7">
      <c r="B13" s="31"/>
      <c r="C13" s="31"/>
      <c r="D13" s="31"/>
      <c r="E13" s="31"/>
      <c r="F13" s="31"/>
    </row>
    <row r="14" spans="1:7" ht="18.75">
      <c r="A14" s="26" t="s">
        <v>5521</v>
      </c>
      <c r="B14" s="31" t="s">
        <v>9218</v>
      </c>
      <c r="D14" s="31"/>
      <c r="E14" s="31"/>
      <c r="F14" s="31"/>
    </row>
    <row r="15" spans="1:7">
      <c r="B15" s="31" t="s">
        <v>5108</v>
      </c>
      <c r="D15" s="31"/>
      <c r="E15" s="31"/>
      <c r="F15" s="31"/>
    </row>
    <row r="16" spans="1:7">
      <c r="B16" s="31" t="s">
        <v>5109</v>
      </c>
      <c r="D16" s="31"/>
      <c r="E16" s="31"/>
      <c r="F16" s="31"/>
    </row>
    <row r="17" spans="1:7">
      <c r="B17" s="31" t="s">
        <v>9219</v>
      </c>
      <c r="D17" s="31" t="s">
        <v>7659</v>
      </c>
      <c r="E17" s="31"/>
      <c r="F17" s="75">
        <f>ROUND(1/2.5*'BASIC DATA'!C552,1)</f>
        <v>140</v>
      </c>
      <c r="G17" s="31"/>
    </row>
    <row r="18" spans="1:7">
      <c r="B18" s="314" t="s">
        <v>5110</v>
      </c>
      <c r="D18" s="31"/>
      <c r="E18" s="31"/>
      <c r="F18" s="31"/>
    </row>
    <row r="19" spans="1:7">
      <c r="B19" s="766" t="s">
        <v>5112</v>
      </c>
      <c r="D19" s="31"/>
      <c r="E19" s="31"/>
      <c r="F19" s="31"/>
    </row>
    <row r="20" spans="1:7">
      <c r="B20" s="31"/>
      <c r="D20" s="31"/>
      <c r="E20" s="31"/>
      <c r="F20" s="31"/>
    </row>
    <row r="21" spans="1:7" ht="18.75">
      <c r="A21" s="26" t="s">
        <v>5522</v>
      </c>
      <c r="B21" s="31" t="s">
        <v>9220</v>
      </c>
      <c r="D21" s="31"/>
      <c r="E21" s="31"/>
      <c r="F21" s="31"/>
    </row>
    <row r="22" spans="1:7">
      <c r="B22" s="31" t="s">
        <v>5108</v>
      </c>
      <c r="D22" s="31"/>
      <c r="E22" s="31"/>
      <c r="F22" s="31"/>
    </row>
    <row r="23" spans="1:7">
      <c r="B23" s="31" t="s">
        <v>5109</v>
      </c>
      <c r="D23" s="31"/>
      <c r="E23" s="31"/>
      <c r="F23" s="31"/>
    </row>
    <row r="24" spans="1:7">
      <c r="B24" s="31" t="s">
        <v>9221</v>
      </c>
      <c r="D24" s="31" t="s">
        <v>7659</v>
      </c>
      <c r="E24" s="31"/>
      <c r="F24" s="75">
        <f>ROUND(1/1.33*'BASIC DATA'!C552,1)</f>
        <v>263.2</v>
      </c>
      <c r="G24" s="31"/>
    </row>
    <row r="25" spans="1:7">
      <c r="B25" s="314" t="s">
        <v>5110</v>
      </c>
      <c r="D25" s="75"/>
      <c r="E25" s="31"/>
      <c r="F25" s="31"/>
    </row>
    <row r="26" spans="1:7">
      <c r="B26" s="766" t="s">
        <v>5113</v>
      </c>
      <c r="D26" s="31"/>
      <c r="E26" s="75"/>
      <c r="F26" s="31"/>
    </row>
    <row r="27" spans="1:7">
      <c r="B27" s="75"/>
      <c r="D27" s="31"/>
      <c r="E27" s="75"/>
      <c r="F27" s="31"/>
    </row>
    <row r="28" spans="1:7">
      <c r="A28" s="26" t="s">
        <v>5523</v>
      </c>
      <c r="B28" s="31" t="s">
        <v>9222</v>
      </c>
      <c r="D28" s="31"/>
      <c r="E28" s="31"/>
      <c r="F28" s="31"/>
    </row>
    <row r="29" spans="1:7">
      <c r="B29" s="31" t="s">
        <v>5108</v>
      </c>
      <c r="D29" s="31"/>
      <c r="E29" s="31"/>
      <c r="F29" s="31"/>
    </row>
    <row r="30" spans="1:7">
      <c r="B30" s="31" t="s">
        <v>5109</v>
      </c>
      <c r="D30" s="31"/>
      <c r="E30" s="31"/>
      <c r="F30" s="31"/>
    </row>
    <row r="31" spans="1:7">
      <c r="B31" s="31" t="s">
        <v>9217</v>
      </c>
      <c r="D31" s="31" t="s">
        <v>7659</v>
      </c>
      <c r="E31" s="31"/>
      <c r="F31" s="75">
        <f>ROUND(1/0.67*'BASIC DATA'!C552,1)</f>
        <v>522.4</v>
      </c>
      <c r="G31" s="31"/>
    </row>
    <row r="32" spans="1:7">
      <c r="B32" s="314" t="s">
        <v>5110</v>
      </c>
      <c r="D32" s="31"/>
      <c r="E32" s="31"/>
      <c r="F32" s="31"/>
    </row>
    <row r="33" spans="2:6">
      <c r="B33" s="766" t="s">
        <v>5114</v>
      </c>
      <c r="D33" s="31"/>
      <c r="E33" s="31"/>
      <c r="F33" s="31"/>
    </row>
  </sheetData>
  <phoneticPr fontId="2" type="noConversion"/>
  <printOptions horizontalCentered="1"/>
  <pageMargins left="0.70866141732283505" right="0.70866141732283505" top="0.74803149606299202" bottom="0.74803149606299202" header="0.31496062992126" footer="0.31496062992126"/>
  <pageSetup paperSize="9" scale="59" firstPageNumber="343" orientation="portrait" useFirstPageNumber="1" r:id="rId1"/>
  <headerFooter>
    <oddHeader>&amp;RManual works - 2016-17</oddHeader>
    <oddFooter>&amp;R&amp;22&amp;P</oddFooter>
  </headerFooter>
</worksheet>
</file>

<file path=xl/worksheets/sheet13.xml><?xml version="1.0" encoding="utf-8"?>
<worksheet xmlns="http://schemas.openxmlformats.org/spreadsheetml/2006/main" xmlns:r="http://schemas.openxmlformats.org/officeDocument/2006/relationships">
  <sheetPr codeName="Sheet9"/>
  <dimension ref="A1:IV1027"/>
  <sheetViews>
    <sheetView showGridLines="0" view="pageBreakPreview" zoomScale="60" zoomScaleNormal="75" zoomScalePageLayoutView="50" workbookViewId="0">
      <selection activeCell="J2" sqref="J2"/>
    </sheetView>
  </sheetViews>
  <sheetFormatPr defaultColWidth="0" defaultRowHeight="18" zeroHeight="1"/>
  <cols>
    <col min="1" max="1" width="28.140625" style="823" customWidth="1"/>
    <col min="2" max="2" width="13.7109375" style="27" customWidth="1"/>
    <col min="3" max="3" width="32.28515625" style="27" customWidth="1"/>
    <col min="4" max="4" width="21" style="27" customWidth="1"/>
    <col min="5" max="5" width="15.28515625" style="27" customWidth="1"/>
    <col min="6" max="6" width="27.5703125" style="27" customWidth="1"/>
    <col min="7" max="7" width="19" style="27" bestFit="1" customWidth="1"/>
    <col min="8" max="8" width="13.5703125" style="27" customWidth="1"/>
    <col min="9" max="9" width="12" style="27" customWidth="1"/>
    <col min="10" max="10" width="9.140625" style="27" customWidth="1"/>
    <col min="11" max="255" width="9.140625" style="27" hidden="1" customWidth="1"/>
    <col min="256" max="16384" width="3.85546875" style="27" hidden="1"/>
  </cols>
  <sheetData>
    <row r="1" spans="1:7">
      <c r="A1" s="903" t="s">
        <v>6019</v>
      </c>
      <c r="B1" s="77"/>
      <c r="C1" s="108" t="s">
        <v>5908</v>
      </c>
      <c r="D1" s="77"/>
      <c r="E1" s="77"/>
      <c r="F1" s="77"/>
      <c r="G1" s="77"/>
    </row>
    <row r="2" spans="1:7">
      <c r="A2" s="903"/>
      <c r="B2" s="77"/>
      <c r="C2" s="77"/>
      <c r="D2" s="77"/>
      <c r="E2" s="77"/>
      <c r="F2" s="77"/>
      <c r="G2" s="77"/>
    </row>
    <row r="3" spans="1:7">
      <c r="A3" s="903"/>
      <c r="B3" s="1253" t="s">
        <v>419</v>
      </c>
      <c r="C3" s="1253"/>
      <c r="D3" s="1253"/>
      <c r="E3" s="77"/>
      <c r="F3" s="77"/>
      <c r="G3" s="77"/>
    </row>
    <row r="4" spans="1:7">
      <c r="B4" s="47" t="s">
        <v>1959</v>
      </c>
      <c r="C4" s="62"/>
      <c r="D4" s="62"/>
    </row>
    <row r="5" spans="1:7">
      <c r="B5" s="1242" t="s">
        <v>9898</v>
      </c>
      <c r="C5" s="1242"/>
      <c r="D5" s="1242"/>
    </row>
    <row r="6" spans="1:7" hidden="1"/>
    <row r="7" spans="1:7" hidden="1"/>
    <row r="8" spans="1:7" hidden="1"/>
    <row r="9" spans="1:7"/>
    <row r="10" spans="1:7">
      <c r="A10" s="867" t="s">
        <v>420</v>
      </c>
    </row>
    <row r="11" spans="1:7"/>
    <row r="12" spans="1:7"/>
    <row r="13" spans="1:7">
      <c r="A13" s="823" t="s">
        <v>6019</v>
      </c>
      <c r="B13" s="823" t="s">
        <v>421</v>
      </c>
      <c r="C13" s="823"/>
      <c r="D13" s="823"/>
      <c r="E13" s="823"/>
      <c r="F13" s="823"/>
    </row>
    <row r="14" spans="1:7">
      <c r="B14" s="823" t="s">
        <v>345</v>
      </c>
      <c r="C14" s="823"/>
      <c r="D14" s="823"/>
      <c r="E14" s="823"/>
      <c r="F14" s="823"/>
    </row>
    <row r="15" spans="1:7">
      <c r="B15" s="823" t="s">
        <v>346</v>
      </c>
      <c r="C15" s="823"/>
      <c r="D15" s="823"/>
      <c r="E15" s="823"/>
      <c r="F15" s="823"/>
    </row>
    <row r="16" spans="1:7">
      <c r="B16" s="823" t="s">
        <v>347</v>
      </c>
      <c r="C16" s="823"/>
      <c r="D16" s="823"/>
      <c r="E16" s="823"/>
      <c r="F16" s="823"/>
    </row>
    <row r="17" spans="2:6">
      <c r="B17" s="823" t="s">
        <v>348</v>
      </c>
      <c r="C17" s="823"/>
      <c r="D17" s="823"/>
      <c r="E17" s="823"/>
      <c r="F17" s="823"/>
    </row>
    <row r="18" spans="2:6">
      <c r="B18" s="823" t="s">
        <v>349</v>
      </c>
      <c r="C18" s="823"/>
      <c r="D18" s="823"/>
      <c r="E18" s="823"/>
      <c r="F18" s="823"/>
    </row>
    <row r="19" spans="2:6">
      <c r="B19" s="823" t="s">
        <v>350</v>
      </c>
      <c r="C19" s="823"/>
      <c r="D19" s="823"/>
      <c r="E19" s="823"/>
      <c r="F19" s="823"/>
    </row>
    <row r="20" spans="2:6">
      <c r="B20" s="823" t="s">
        <v>1506</v>
      </c>
      <c r="C20" s="823"/>
      <c r="D20" s="823"/>
      <c r="E20" s="823"/>
      <c r="F20" s="823"/>
    </row>
    <row r="21" spans="2:6">
      <c r="B21" s="823" t="s">
        <v>7033</v>
      </c>
      <c r="C21" s="823"/>
      <c r="D21" s="823"/>
      <c r="E21" s="823"/>
      <c r="F21" s="823"/>
    </row>
    <row r="22" spans="2:6">
      <c r="B22" s="823" t="s">
        <v>9295</v>
      </c>
      <c r="C22" s="823"/>
      <c r="D22" s="823"/>
      <c r="E22" s="823"/>
      <c r="F22" s="823"/>
    </row>
    <row r="23" spans="2:6">
      <c r="B23" s="823" t="s">
        <v>1507</v>
      </c>
      <c r="C23" s="823"/>
      <c r="D23" s="823"/>
      <c r="E23" s="823"/>
      <c r="F23" s="823"/>
    </row>
    <row r="24" spans="2:6">
      <c r="B24" s="823" t="s">
        <v>1508</v>
      </c>
      <c r="C24" s="823"/>
      <c r="D24" s="823"/>
      <c r="E24" s="823"/>
      <c r="F24" s="823"/>
    </row>
    <row r="25" spans="2:6">
      <c r="B25" s="823" t="s">
        <v>1509</v>
      </c>
      <c r="C25" s="823"/>
      <c r="D25" s="823"/>
      <c r="E25" s="823"/>
      <c r="F25" s="823"/>
    </row>
    <row r="26" spans="2:6">
      <c r="B26" s="823" t="s">
        <v>861</v>
      </c>
      <c r="C26" s="823"/>
      <c r="D26" s="823"/>
      <c r="E26" s="823"/>
      <c r="F26" s="823"/>
    </row>
    <row r="27" spans="2:6">
      <c r="B27" s="823" t="s">
        <v>862</v>
      </c>
      <c r="C27" s="823"/>
      <c r="D27" s="823"/>
      <c r="E27" s="823"/>
      <c r="F27" s="823"/>
    </row>
    <row r="28" spans="2:6">
      <c r="B28" s="823" t="s">
        <v>1957</v>
      </c>
      <c r="C28" s="823"/>
      <c r="D28" s="823"/>
      <c r="E28" s="823"/>
      <c r="F28" s="823"/>
    </row>
    <row r="29" spans="2:6">
      <c r="B29" s="823" t="s">
        <v>1958</v>
      </c>
      <c r="C29" s="823"/>
      <c r="D29" s="823"/>
      <c r="E29" s="823"/>
      <c r="F29" s="823"/>
    </row>
    <row r="30" spans="2:6">
      <c r="B30" s="823" t="s">
        <v>338</v>
      </c>
      <c r="C30" s="823"/>
      <c r="D30" s="823"/>
      <c r="E30" s="823"/>
      <c r="F30" s="823"/>
    </row>
    <row r="31" spans="2:6">
      <c r="B31" s="823" t="s">
        <v>339</v>
      </c>
      <c r="C31" s="823"/>
      <c r="D31" s="823"/>
      <c r="E31" s="823"/>
      <c r="F31" s="823"/>
    </row>
    <row r="32" spans="2:6">
      <c r="B32" s="823" t="s">
        <v>4508</v>
      </c>
      <c r="C32" s="823"/>
      <c r="D32" s="823"/>
      <c r="E32" s="823"/>
      <c r="F32" s="823"/>
    </row>
    <row r="33" spans="1:7">
      <c r="B33" s="823" t="s">
        <v>9296</v>
      </c>
      <c r="C33" s="823"/>
      <c r="D33" s="823"/>
      <c r="E33" s="823"/>
      <c r="F33" s="823"/>
    </row>
    <row r="34" spans="1:7">
      <c r="B34" s="1169" t="s">
        <v>7665</v>
      </c>
      <c r="C34" s="1169"/>
      <c r="D34" s="1169"/>
      <c r="E34" s="1169"/>
      <c r="F34" s="1169"/>
      <c r="G34" s="1027">
        <f>'BASIC DATA'!$C$577</f>
        <v>0.13614999999999999</v>
      </c>
    </row>
    <row r="35" spans="1:7"/>
    <row r="36" spans="1:7">
      <c r="C36" s="1083" t="s">
        <v>9894</v>
      </c>
    </row>
    <row r="37" spans="1:7">
      <c r="A37" s="823" t="s">
        <v>6021</v>
      </c>
      <c r="B37" s="79" t="s">
        <v>4505</v>
      </c>
    </row>
    <row r="38" spans="1:7">
      <c r="B38" s="1279" t="s">
        <v>3473</v>
      </c>
      <c r="C38" s="1278" t="s">
        <v>4506</v>
      </c>
      <c r="D38" s="1278" t="s">
        <v>6413</v>
      </c>
      <c r="E38" s="1278" t="s">
        <v>3250</v>
      </c>
      <c r="F38" s="1278" t="s">
        <v>3251</v>
      </c>
    </row>
    <row r="39" spans="1:7">
      <c r="B39" s="1280"/>
      <c r="C39" s="1278"/>
      <c r="D39" s="1278"/>
      <c r="E39" s="1278"/>
      <c r="F39" s="1278"/>
    </row>
    <row r="40" spans="1:7" s="78" customFormat="1">
      <c r="A40" s="865"/>
      <c r="B40" s="1280"/>
      <c r="C40" s="1278"/>
      <c r="D40" s="1278"/>
      <c r="E40" s="1278"/>
      <c r="F40" s="1278"/>
      <c r="G40" s="27"/>
    </row>
    <row r="41" spans="1:7">
      <c r="B41" s="1280"/>
      <c r="C41" s="1278"/>
      <c r="D41" s="1278"/>
      <c r="E41" s="1278"/>
      <c r="F41" s="1278"/>
    </row>
    <row r="42" spans="1:7">
      <c r="B42" s="1280"/>
      <c r="C42" s="1278"/>
      <c r="D42" s="1278"/>
      <c r="E42" s="1278"/>
      <c r="F42" s="1278"/>
    </row>
    <row r="43" spans="1:7">
      <c r="B43" s="1280"/>
      <c r="C43" s="1278"/>
      <c r="D43" s="1278"/>
      <c r="E43" s="1278"/>
      <c r="F43" s="1278"/>
    </row>
    <row r="44" spans="1:7">
      <c r="B44" s="1281"/>
      <c r="C44" s="1278"/>
      <c r="D44" s="1278"/>
      <c r="E44" s="1278"/>
      <c r="F44" s="1278"/>
    </row>
    <row r="45" spans="1:7">
      <c r="B45" s="36">
        <v>1</v>
      </c>
      <c r="C45" s="36">
        <v>2</v>
      </c>
      <c r="D45" s="36">
        <v>3</v>
      </c>
      <c r="E45" s="36">
        <v>4</v>
      </c>
      <c r="F45" s="36">
        <v>5</v>
      </c>
      <c r="G45" s="78"/>
    </row>
    <row r="46" spans="1:7" ht="36">
      <c r="B46" s="36">
        <v>1</v>
      </c>
      <c r="C46" s="65" t="s">
        <v>3252</v>
      </c>
      <c r="D46" s="36" t="s">
        <v>3253</v>
      </c>
      <c r="E46" s="36" t="s">
        <v>3253</v>
      </c>
      <c r="F46" s="36" t="s">
        <v>3253</v>
      </c>
    </row>
    <row r="47" spans="1:7">
      <c r="B47" s="36">
        <v>2</v>
      </c>
      <c r="C47" s="36" t="s">
        <v>3254</v>
      </c>
      <c r="D47" s="82">
        <f>G156</f>
        <v>56.8</v>
      </c>
      <c r="E47" s="82">
        <f>G188</f>
        <v>33.1</v>
      </c>
      <c r="F47" s="82">
        <f>G222</f>
        <v>72.3</v>
      </c>
    </row>
    <row r="48" spans="1:7">
      <c r="B48" s="36">
        <v>3</v>
      </c>
      <c r="C48" s="36" t="s">
        <v>3255</v>
      </c>
      <c r="D48" s="82">
        <f>G167</f>
        <v>113.6</v>
      </c>
      <c r="E48" s="82">
        <f>F199</f>
        <v>66.3</v>
      </c>
      <c r="F48" s="82">
        <f>G233</f>
        <v>144.6</v>
      </c>
    </row>
    <row r="49" spans="1:9"/>
    <row r="50" spans="1:9">
      <c r="B50" s="27" t="s">
        <v>3256</v>
      </c>
    </row>
    <row r="51" spans="1:9">
      <c r="B51" s="27" t="s">
        <v>8371</v>
      </c>
    </row>
    <row r="52" spans="1:9">
      <c r="B52" s="27" t="s">
        <v>3094</v>
      </c>
    </row>
    <row r="53" spans="1:9" ht="18.75">
      <c r="B53" s="1075" t="s">
        <v>9871</v>
      </c>
    </row>
    <row r="54" spans="1:9"/>
    <row r="55" spans="1:9"/>
    <row r="56" spans="1:9">
      <c r="A56" s="823" t="s">
        <v>6022</v>
      </c>
      <c r="B56" s="79" t="s">
        <v>892</v>
      </c>
    </row>
    <row r="57" spans="1:9">
      <c r="B57" s="162" t="s">
        <v>6020</v>
      </c>
      <c r="C57" s="161"/>
      <c r="D57" s="161"/>
      <c r="E57" s="161"/>
    </row>
    <row r="58" spans="1:9">
      <c r="A58" s="823" t="s">
        <v>4262</v>
      </c>
      <c r="B58" s="1083" t="s">
        <v>9894</v>
      </c>
    </row>
    <row r="59" spans="1:9" s="78" customFormat="1" hidden="1">
      <c r="A59" s="823"/>
      <c r="B59" s="27"/>
      <c r="C59" s="27"/>
      <c r="D59" s="27"/>
      <c r="E59" s="27"/>
      <c r="F59" s="27"/>
      <c r="G59" s="27"/>
    </row>
    <row r="60" spans="1:9" hidden="1"/>
    <row r="61" spans="1:9">
      <c r="B61" s="27" t="s">
        <v>4263</v>
      </c>
    </row>
    <row r="62" spans="1:9"/>
    <row r="63" spans="1:9" ht="216">
      <c r="B63" s="35" t="s">
        <v>3473</v>
      </c>
      <c r="C63" s="35" t="s">
        <v>4264</v>
      </c>
      <c r="D63" s="34" t="s">
        <v>4265</v>
      </c>
      <c r="E63" s="34" t="s">
        <v>4266</v>
      </c>
      <c r="F63" s="34" t="s">
        <v>4267</v>
      </c>
      <c r="G63" s="34" t="s">
        <v>4268</v>
      </c>
      <c r="H63" s="34" t="s">
        <v>7841</v>
      </c>
      <c r="I63" s="34" t="s">
        <v>7929</v>
      </c>
    </row>
    <row r="64" spans="1:9">
      <c r="B64" s="36">
        <v>1</v>
      </c>
      <c r="C64" s="36">
        <v>2</v>
      </c>
      <c r="D64" s="36">
        <v>3</v>
      </c>
      <c r="E64" s="36">
        <v>4</v>
      </c>
      <c r="F64" s="36">
        <v>5</v>
      </c>
      <c r="G64" s="36">
        <v>6</v>
      </c>
      <c r="H64" s="36">
        <v>7</v>
      </c>
      <c r="I64" s="78">
        <v>8</v>
      </c>
    </row>
    <row r="65" spans="1:9">
      <c r="B65" s="36">
        <v>1</v>
      </c>
      <c r="C65" s="36" t="s">
        <v>4270</v>
      </c>
      <c r="D65" s="83">
        <f>G249</f>
        <v>31.5</v>
      </c>
      <c r="E65" s="83">
        <f>G321</f>
        <v>30.4</v>
      </c>
      <c r="F65" s="83">
        <f>G393</f>
        <v>19</v>
      </c>
      <c r="G65" s="83">
        <f>G465</f>
        <v>44.7</v>
      </c>
      <c r="H65" s="83">
        <f>G537</f>
        <v>18.7</v>
      </c>
      <c r="I65" s="84">
        <f>leadcharges!G609</f>
        <v>50.7</v>
      </c>
    </row>
    <row r="66" spans="1:9">
      <c r="B66" s="36">
        <v>2</v>
      </c>
      <c r="C66" s="36" t="s">
        <v>4271</v>
      </c>
      <c r="D66" s="82">
        <f>G259</f>
        <v>44.1</v>
      </c>
      <c r="E66" s="82">
        <f>G331</f>
        <v>42.5</v>
      </c>
      <c r="F66" s="82">
        <f>G403</f>
        <v>26.6</v>
      </c>
      <c r="G66" s="82">
        <f>G475</f>
        <v>62.6</v>
      </c>
      <c r="H66" s="82">
        <f>G547</f>
        <v>26.2</v>
      </c>
      <c r="I66" s="84">
        <f>leadcharges!G619</f>
        <v>70.900000000000006</v>
      </c>
    </row>
    <row r="67" spans="1:9">
      <c r="B67" s="36">
        <v>3</v>
      </c>
      <c r="C67" s="36" t="s">
        <v>4272</v>
      </c>
      <c r="D67" s="82">
        <f>G269</f>
        <v>58.8</v>
      </c>
      <c r="E67" s="82">
        <f>G341</f>
        <v>58.8</v>
      </c>
      <c r="F67" s="82">
        <f>G413</f>
        <v>36.700000000000003</v>
      </c>
      <c r="G67" s="82">
        <f>G485</f>
        <v>86.5</v>
      </c>
      <c r="H67" s="82">
        <f>G557</f>
        <v>35</v>
      </c>
      <c r="I67" s="84">
        <f>leadcharges!G629</f>
        <v>94.5</v>
      </c>
    </row>
    <row r="68" spans="1:9">
      <c r="B68" s="36">
        <v>4</v>
      </c>
      <c r="C68" s="36" t="s">
        <v>4273</v>
      </c>
      <c r="D68" s="82">
        <f>G279</f>
        <v>71.400000000000006</v>
      </c>
      <c r="E68" s="82">
        <f>G351</f>
        <v>71.400000000000006</v>
      </c>
      <c r="F68" s="82">
        <f>G423</f>
        <v>44.6</v>
      </c>
      <c r="G68" s="82">
        <f>G495</f>
        <v>105</v>
      </c>
      <c r="H68" s="82">
        <f>G567</f>
        <v>42.5</v>
      </c>
      <c r="I68" s="84">
        <f>leadcharges!G639</f>
        <v>114.8</v>
      </c>
    </row>
    <row r="69" spans="1:9">
      <c r="B69" s="36">
        <v>5</v>
      </c>
      <c r="C69" s="36" t="s">
        <v>4274</v>
      </c>
      <c r="D69" s="82">
        <f>G289</f>
        <v>84</v>
      </c>
      <c r="E69" s="82">
        <f>G361</f>
        <v>84</v>
      </c>
      <c r="F69" s="82">
        <f>G433</f>
        <v>52.5</v>
      </c>
      <c r="G69" s="82">
        <f>G505</f>
        <v>123.5</v>
      </c>
      <c r="H69" s="82">
        <f>G577</f>
        <v>50</v>
      </c>
      <c r="I69" s="84">
        <f>leadcharges!G649</f>
        <v>135.1</v>
      </c>
    </row>
    <row r="70" spans="1:9" ht="36">
      <c r="B70" s="36">
        <v>6</v>
      </c>
      <c r="C70" s="65" t="s">
        <v>4275</v>
      </c>
      <c r="D70" s="82">
        <f>G299</f>
        <v>12.6</v>
      </c>
      <c r="E70" s="82">
        <f>G371</f>
        <v>12.6</v>
      </c>
      <c r="F70" s="82">
        <f>G443</f>
        <v>7.9</v>
      </c>
      <c r="G70" s="82">
        <f>G515</f>
        <v>18.5</v>
      </c>
      <c r="H70" s="82">
        <f>G587</f>
        <v>7.5</v>
      </c>
      <c r="I70" s="84">
        <f>leadcharges!G659</f>
        <v>20.3</v>
      </c>
    </row>
    <row r="71" spans="1:9" s="78" customFormat="1" ht="36">
      <c r="A71" s="865"/>
      <c r="B71" s="36">
        <v>7</v>
      </c>
      <c r="C71" s="65" t="s">
        <v>4276</v>
      </c>
      <c r="D71" s="82">
        <f>G309</f>
        <v>10.5</v>
      </c>
      <c r="E71" s="82">
        <f>G381</f>
        <v>10.5</v>
      </c>
      <c r="F71" s="82">
        <f>G453</f>
        <v>6.6</v>
      </c>
      <c r="G71" s="82">
        <f>G525</f>
        <v>15.4</v>
      </c>
      <c r="H71" s="82">
        <f>G597</f>
        <v>6.3</v>
      </c>
      <c r="I71" s="84">
        <f>leadcharges!G669</f>
        <v>16.899999999999999</v>
      </c>
    </row>
    <row r="72" spans="1:9" s="78" customFormat="1">
      <c r="A72" s="865"/>
      <c r="B72" s="1212" t="s">
        <v>9872</v>
      </c>
      <c r="C72" s="1212"/>
      <c r="D72" s="1212"/>
      <c r="E72" s="1212"/>
      <c r="F72" s="1212"/>
      <c r="G72" s="1212"/>
      <c r="H72" s="1212"/>
    </row>
    <row r="73" spans="1:9" hidden="1">
      <c r="A73" s="859"/>
      <c r="B73" s="76"/>
      <c r="C73" s="85"/>
      <c r="D73" s="86"/>
      <c r="E73" s="86"/>
      <c r="F73" s="86"/>
      <c r="G73" s="85"/>
    </row>
    <row r="74" spans="1:9">
      <c r="A74" s="859"/>
      <c r="B74" s="76"/>
      <c r="C74" s="85"/>
      <c r="D74" s="86"/>
      <c r="E74" s="86"/>
      <c r="F74" s="86"/>
      <c r="G74" s="85"/>
    </row>
    <row r="75" spans="1:9">
      <c r="A75" s="823" t="s">
        <v>6023</v>
      </c>
      <c r="B75" s="79" t="s">
        <v>4277</v>
      </c>
      <c r="C75" s="85"/>
      <c r="D75" s="86"/>
      <c r="E75" s="86"/>
      <c r="F75" s="86"/>
      <c r="G75" s="85"/>
    </row>
    <row r="76" spans="1:9" ht="126">
      <c r="B76" s="35" t="s">
        <v>3473</v>
      </c>
      <c r="C76" s="34" t="s">
        <v>4278</v>
      </c>
      <c r="D76" s="34" t="s">
        <v>4279</v>
      </c>
      <c r="E76" s="34" t="s">
        <v>1636</v>
      </c>
      <c r="F76" s="34" t="s">
        <v>1637</v>
      </c>
      <c r="G76" s="34" t="s">
        <v>1638</v>
      </c>
      <c r="H76" s="34" t="s">
        <v>1639</v>
      </c>
    </row>
    <row r="77" spans="1:9">
      <c r="B77" s="36">
        <v>1</v>
      </c>
      <c r="C77" s="36">
        <v>2</v>
      </c>
      <c r="D77" s="36">
        <v>3</v>
      </c>
      <c r="E77" s="36">
        <v>4</v>
      </c>
      <c r="F77" s="36">
        <v>5</v>
      </c>
      <c r="G77" s="36">
        <v>6</v>
      </c>
      <c r="H77" s="36">
        <v>7</v>
      </c>
    </row>
    <row r="78" spans="1:9" s="78" customFormat="1">
      <c r="A78" s="865"/>
      <c r="B78" s="36">
        <v>1</v>
      </c>
      <c r="C78" s="36" t="s">
        <v>1640</v>
      </c>
      <c r="D78" s="82">
        <f>H698</f>
        <v>17.3</v>
      </c>
      <c r="E78" s="82">
        <f>H685</f>
        <v>37.799999999999997</v>
      </c>
      <c r="F78" s="82">
        <f>H724</f>
        <v>62.4</v>
      </c>
      <c r="G78" s="82">
        <f>H737</f>
        <v>74.8</v>
      </c>
      <c r="H78" s="82">
        <f>H711</f>
        <v>52</v>
      </c>
    </row>
    <row r="79" spans="1:9">
      <c r="B79" s="36">
        <v>2</v>
      </c>
      <c r="C79" s="36" t="s">
        <v>1641</v>
      </c>
      <c r="D79" s="82">
        <f>D700</f>
        <v>8.65</v>
      </c>
      <c r="E79" s="82">
        <f>D687</f>
        <v>18.899999999999999</v>
      </c>
      <c r="F79" s="82">
        <f>D726</f>
        <v>62.4</v>
      </c>
      <c r="G79" s="82">
        <f>D739</f>
        <v>74.8</v>
      </c>
      <c r="H79" s="82">
        <f>D713</f>
        <v>52</v>
      </c>
    </row>
    <row r="80" spans="1:9">
      <c r="A80" s="859"/>
      <c r="B80" s="1275" t="s">
        <v>9872</v>
      </c>
      <c r="C80" s="1275"/>
      <c r="D80" s="1275"/>
      <c r="E80" s="1275"/>
      <c r="F80" s="1275"/>
      <c r="G80" s="1275"/>
      <c r="H80" s="1275"/>
    </row>
    <row r="81" spans="1:8">
      <c r="A81" s="859"/>
      <c r="C81" s="85"/>
      <c r="D81" s="86"/>
      <c r="E81" s="86"/>
      <c r="F81" s="86"/>
      <c r="G81" s="85"/>
    </row>
    <row r="82" spans="1:8">
      <c r="A82" s="823" t="s">
        <v>6024</v>
      </c>
      <c r="B82" s="79" t="s">
        <v>1299</v>
      </c>
      <c r="C82" s="85"/>
      <c r="D82" s="86"/>
      <c r="E82" s="86"/>
      <c r="F82" s="86"/>
      <c r="G82" s="85"/>
    </row>
    <row r="83" spans="1:8" ht="126">
      <c r="B83" s="35" t="s">
        <v>3473</v>
      </c>
      <c r="C83" s="34" t="s">
        <v>4278</v>
      </c>
      <c r="D83" s="34" t="s">
        <v>4279</v>
      </c>
      <c r="E83" s="34" t="s">
        <v>1636</v>
      </c>
      <c r="F83" s="34" t="s">
        <v>1637</v>
      </c>
      <c r="G83" s="34" t="s">
        <v>1638</v>
      </c>
      <c r="H83" s="34" t="s">
        <v>1639</v>
      </c>
    </row>
    <row r="84" spans="1:8">
      <c r="B84" s="36">
        <v>1</v>
      </c>
      <c r="C84" s="36">
        <v>2</v>
      </c>
      <c r="D84" s="36">
        <v>3</v>
      </c>
      <c r="E84" s="36">
        <v>4</v>
      </c>
      <c r="F84" s="36">
        <v>5</v>
      </c>
      <c r="G84" s="36">
        <v>6</v>
      </c>
      <c r="H84" s="36">
        <v>7</v>
      </c>
    </row>
    <row r="85" spans="1:8">
      <c r="B85" s="36">
        <v>1</v>
      </c>
      <c r="C85" s="36" t="s">
        <v>1640</v>
      </c>
      <c r="D85" s="82">
        <f>H785</f>
        <v>111</v>
      </c>
      <c r="E85" s="82">
        <f>H769</f>
        <v>129.9</v>
      </c>
      <c r="F85" s="82">
        <f>H827</f>
        <v>163.69999999999999</v>
      </c>
      <c r="G85" s="82">
        <f>H842</f>
        <v>176</v>
      </c>
      <c r="H85" s="82">
        <f>H812</f>
        <v>219.1</v>
      </c>
    </row>
    <row r="86" spans="1:8" s="78" customFormat="1">
      <c r="A86" s="865"/>
      <c r="B86" s="36">
        <v>2</v>
      </c>
      <c r="C86" s="36" t="s">
        <v>1641</v>
      </c>
      <c r="D86" s="82">
        <f>H798</f>
        <v>40</v>
      </c>
      <c r="E86" s="82">
        <f>E771</f>
        <v>64.95</v>
      </c>
      <c r="F86" s="82">
        <f>D829</f>
        <v>163.69999999999999</v>
      </c>
      <c r="G86" s="82">
        <f>D844</f>
        <v>176</v>
      </c>
      <c r="H86" s="82">
        <f>D814</f>
        <v>219.1</v>
      </c>
    </row>
    <row r="87" spans="1:8">
      <c r="A87" s="859"/>
      <c r="B87" s="1275" t="s">
        <v>9872</v>
      </c>
      <c r="C87" s="1275"/>
      <c r="D87" s="1275"/>
      <c r="E87" s="1275"/>
      <c r="F87" s="1275"/>
      <c r="G87" s="1275"/>
      <c r="H87" s="1275"/>
    </row>
    <row r="88" spans="1:8">
      <c r="A88" s="859"/>
      <c r="B88" s="76"/>
      <c r="C88" s="85"/>
      <c r="D88" s="86"/>
      <c r="E88" s="86"/>
      <c r="F88" s="86"/>
      <c r="G88" s="85"/>
    </row>
    <row r="89" spans="1:8">
      <c r="B89" s="79" t="s">
        <v>1300</v>
      </c>
      <c r="C89" s="76"/>
      <c r="D89" s="76"/>
      <c r="E89" s="76"/>
      <c r="F89" s="89"/>
      <c r="G89" s="76"/>
    </row>
    <row r="90" spans="1:8" ht="126">
      <c r="A90" s="828" t="s">
        <v>6025</v>
      </c>
      <c r="B90" s="35" t="s">
        <v>3473</v>
      </c>
      <c r="C90" s="34" t="s">
        <v>4278</v>
      </c>
      <c r="D90" s="34" t="s">
        <v>4279</v>
      </c>
      <c r="E90" s="34" t="s">
        <v>1636</v>
      </c>
      <c r="F90" s="86"/>
      <c r="G90" s="86"/>
    </row>
    <row r="91" spans="1:8">
      <c r="B91" s="36">
        <v>1</v>
      </c>
      <c r="C91" s="36">
        <v>2</v>
      </c>
      <c r="D91" s="36">
        <v>3</v>
      </c>
      <c r="E91" s="36">
        <v>4</v>
      </c>
      <c r="F91" s="33"/>
      <c r="G91" s="33"/>
    </row>
    <row r="92" spans="1:8">
      <c r="B92" s="36">
        <v>1</v>
      </c>
      <c r="C92" s="36" t="s">
        <v>1640</v>
      </c>
      <c r="D92" s="82">
        <f>H894</f>
        <v>52</v>
      </c>
      <c r="E92" s="82">
        <f>H870</f>
        <v>103.9</v>
      </c>
      <c r="F92" s="85"/>
      <c r="G92" s="85"/>
    </row>
    <row r="93" spans="1:8">
      <c r="B93" s="36">
        <v>2</v>
      </c>
      <c r="C93" s="36" t="s">
        <v>1641</v>
      </c>
      <c r="D93" s="82">
        <f>H914</f>
        <v>15.9</v>
      </c>
      <c r="E93" s="82">
        <f>H914</f>
        <v>15.9</v>
      </c>
      <c r="F93" s="76"/>
      <c r="G93" s="85"/>
    </row>
    <row r="94" spans="1:8">
      <c r="B94" s="1207" t="s">
        <v>9872</v>
      </c>
      <c r="C94" s="1207"/>
      <c r="D94" s="1207"/>
      <c r="E94" s="1207"/>
      <c r="F94" s="1207"/>
      <c r="G94" s="1207"/>
    </row>
    <row r="95" spans="1:8" s="78" customFormat="1">
      <c r="A95" s="823"/>
      <c r="B95" s="27"/>
      <c r="C95" s="27"/>
      <c r="D95" s="27"/>
      <c r="E95" s="27"/>
      <c r="F95" s="27"/>
      <c r="G95" s="27"/>
    </row>
    <row r="96" spans="1:8">
      <c r="B96" s="79" t="s">
        <v>1301</v>
      </c>
    </row>
    <row r="97" spans="1:7" ht="180">
      <c r="A97" s="828" t="s">
        <v>6026</v>
      </c>
      <c r="B97" s="35" t="s">
        <v>3473</v>
      </c>
      <c r="C97" s="34" t="s">
        <v>1302</v>
      </c>
      <c r="D97" s="34" t="s">
        <v>1483</v>
      </c>
      <c r="E97" s="34" t="s">
        <v>1484</v>
      </c>
      <c r="F97" s="34" t="s">
        <v>1485</v>
      </c>
    </row>
    <row r="98" spans="1:7">
      <c r="B98" s="36">
        <v>1</v>
      </c>
      <c r="C98" s="36">
        <v>2</v>
      </c>
      <c r="D98" s="36">
        <v>3</v>
      </c>
      <c r="E98" s="36">
        <v>4</v>
      </c>
      <c r="F98" s="36">
        <v>5</v>
      </c>
      <c r="G98" s="78"/>
    </row>
    <row r="99" spans="1:7" ht="36">
      <c r="B99" s="95">
        <v>1</v>
      </c>
      <c r="C99" s="96" t="s">
        <v>549</v>
      </c>
      <c r="D99" s="95" t="s">
        <v>550</v>
      </c>
      <c r="E99" s="95" t="s">
        <v>550</v>
      </c>
      <c r="F99" s="97" t="s">
        <v>550</v>
      </c>
    </row>
    <row r="100" spans="1:7">
      <c r="B100" s="95">
        <v>2</v>
      </c>
      <c r="C100" s="95" t="s">
        <v>551</v>
      </c>
      <c r="D100" s="111">
        <f>G942</f>
        <v>6.6</v>
      </c>
      <c r="E100" s="111">
        <f>G965</f>
        <v>4.8</v>
      </c>
      <c r="F100" s="112">
        <f>G989</f>
        <v>8.8000000000000007</v>
      </c>
    </row>
    <row r="101" spans="1:7">
      <c r="A101" s="827"/>
      <c r="B101" s="116"/>
      <c r="C101" s="114" t="s">
        <v>552</v>
      </c>
      <c r="D101" s="114"/>
      <c r="E101" s="115"/>
      <c r="F101" s="116"/>
    </row>
    <row r="102" spans="1:7"/>
    <row r="103" spans="1:7">
      <c r="B103" s="27" t="s">
        <v>553</v>
      </c>
    </row>
    <row r="104" spans="1:7"/>
    <row r="105" spans="1:7">
      <c r="B105" s="27" t="s">
        <v>554</v>
      </c>
    </row>
    <row r="106" spans="1:7" hidden="1"/>
    <row r="107" spans="1:7" hidden="1"/>
    <row r="108" spans="1:7" hidden="1"/>
    <row r="109" spans="1:7">
      <c r="C109" s="117"/>
    </row>
    <row r="110" spans="1:7">
      <c r="B110" s="1207" t="s">
        <v>9872</v>
      </c>
      <c r="C110" s="1207"/>
      <c r="D110" s="1207"/>
      <c r="E110" s="1207"/>
      <c r="F110" s="1207"/>
      <c r="G110" s="1207"/>
    </row>
    <row r="111" spans="1:7"/>
    <row r="112" spans="1:7"/>
    <row r="113" spans="2:2">
      <c r="B113" s="27" t="s">
        <v>555</v>
      </c>
    </row>
    <row r="114" spans="2:2">
      <c r="B114" s="76" t="s">
        <v>556</v>
      </c>
    </row>
    <row r="115" spans="2:2"/>
    <row r="116" spans="2:2">
      <c r="B116" s="76" t="s">
        <v>765</v>
      </c>
    </row>
    <row r="117" spans="2:2">
      <c r="B117" s="76" t="s">
        <v>766</v>
      </c>
    </row>
    <row r="118" spans="2:2">
      <c r="B118" s="76" t="s">
        <v>767</v>
      </c>
    </row>
    <row r="119" spans="2:2">
      <c r="B119" s="76" t="s">
        <v>768</v>
      </c>
    </row>
    <row r="120" spans="2:2">
      <c r="B120" s="76" t="s">
        <v>769</v>
      </c>
    </row>
    <row r="121" spans="2:2">
      <c r="B121" s="76" t="s">
        <v>770</v>
      </c>
    </row>
    <row r="122" spans="2:2">
      <c r="B122" s="76" t="s">
        <v>1967</v>
      </c>
    </row>
    <row r="123" spans="2:2">
      <c r="B123" s="76" t="s">
        <v>1968</v>
      </c>
    </row>
    <row r="124" spans="2:2"/>
    <row r="125" spans="2:2">
      <c r="B125" s="76" t="s">
        <v>1969</v>
      </c>
    </row>
    <row r="126" spans="2:2">
      <c r="B126" s="76" t="s">
        <v>1970</v>
      </c>
    </row>
    <row r="127" spans="2:2">
      <c r="B127" s="76" t="s">
        <v>1971</v>
      </c>
    </row>
    <row r="128" spans="2:2">
      <c r="B128" s="76" t="s">
        <v>1972</v>
      </c>
    </row>
    <row r="129" spans="1:7">
      <c r="B129" s="76" t="s">
        <v>1973</v>
      </c>
    </row>
    <row r="130" spans="1:7"/>
    <row r="131" spans="1:7">
      <c r="B131" s="76" t="s">
        <v>1974</v>
      </c>
    </row>
    <row r="132" spans="1:7">
      <c r="B132" s="76" t="s">
        <v>1883</v>
      </c>
    </row>
    <row r="133" spans="1:7">
      <c r="B133" s="76" t="s">
        <v>47</v>
      </c>
    </row>
    <row r="134" spans="1:7"/>
    <row r="135" spans="1:7">
      <c r="A135" s="828" t="s">
        <v>6945</v>
      </c>
      <c r="B135" s="79" t="s">
        <v>4505</v>
      </c>
    </row>
    <row r="136" spans="1:7">
      <c r="B136" s="87" t="s">
        <v>893</v>
      </c>
    </row>
    <row r="137" spans="1:7">
      <c r="B137" s="87" t="s">
        <v>894</v>
      </c>
    </row>
    <row r="138" spans="1:7">
      <c r="B138" s="79" t="s">
        <v>48</v>
      </c>
    </row>
    <row r="139" spans="1:7">
      <c r="B139" s="76" t="s">
        <v>49</v>
      </c>
    </row>
    <row r="140" spans="1:7"/>
    <row r="141" spans="1:7">
      <c r="B141" s="79" t="s">
        <v>50</v>
      </c>
    </row>
    <row r="142" spans="1:7">
      <c r="B142" s="76" t="s">
        <v>1102</v>
      </c>
      <c r="F142" s="27">
        <v>25</v>
      </c>
      <c r="G142" s="27" t="s">
        <v>2602</v>
      </c>
    </row>
    <row r="143" spans="1:7">
      <c r="B143" s="76" t="s">
        <v>1103</v>
      </c>
      <c r="F143" s="27">
        <v>60</v>
      </c>
      <c r="G143" s="27" t="s">
        <v>1104</v>
      </c>
    </row>
    <row r="144" spans="1:7">
      <c r="B144" s="76" t="s">
        <v>1105</v>
      </c>
    </row>
    <row r="145" spans="1:7">
      <c r="B145" s="76" t="s">
        <v>606</v>
      </c>
      <c r="F145" s="27">
        <v>1</v>
      </c>
      <c r="G145" s="27" t="s">
        <v>2603</v>
      </c>
    </row>
    <row r="146" spans="1:7">
      <c r="B146" s="76" t="s">
        <v>121</v>
      </c>
      <c r="F146" s="27">
        <v>480</v>
      </c>
    </row>
    <row r="147" spans="1:7">
      <c r="B147" s="76" t="s">
        <v>122</v>
      </c>
      <c r="D147" s="117"/>
      <c r="F147" s="27">
        <v>1.4999999999999999E-2</v>
      </c>
      <c r="G147" s="27" t="s">
        <v>3477</v>
      </c>
    </row>
    <row r="148" spans="1:7">
      <c r="B148" s="76" t="s">
        <v>123</v>
      </c>
      <c r="F148" s="27">
        <v>7</v>
      </c>
      <c r="G148" s="27" t="s">
        <v>3477</v>
      </c>
    </row>
    <row r="149" spans="1:7">
      <c r="B149" s="76" t="s">
        <v>124</v>
      </c>
    </row>
    <row r="150" spans="1:7">
      <c r="D150" s="117"/>
      <c r="E150" s="27" t="s">
        <v>1434</v>
      </c>
      <c r="F150" s="27">
        <v>7</v>
      </c>
      <c r="G150" s="27" t="s">
        <v>3477</v>
      </c>
    </row>
    <row r="151" spans="1:7" ht="36">
      <c r="B151" s="39" t="s">
        <v>3473</v>
      </c>
      <c r="C151" s="63" t="s">
        <v>2378</v>
      </c>
      <c r="D151" s="39" t="s">
        <v>2370</v>
      </c>
      <c r="E151" s="39" t="s">
        <v>1166</v>
      </c>
      <c r="F151" s="63" t="s">
        <v>125</v>
      </c>
      <c r="G151" s="63" t="s">
        <v>6248</v>
      </c>
    </row>
    <row r="152" spans="1:7">
      <c r="B152" s="39">
        <v>1</v>
      </c>
      <c r="C152" s="84" t="s">
        <v>4647</v>
      </c>
      <c r="D152" s="84" t="s">
        <v>1172</v>
      </c>
      <c r="E152" s="39">
        <v>1</v>
      </c>
      <c r="F152" s="39">
        <f>'BASIC DATA'!C552</f>
        <v>350</v>
      </c>
      <c r="G152" s="39">
        <f>F152*E152</f>
        <v>350</v>
      </c>
    </row>
    <row r="153" spans="1:7">
      <c r="B153" s="39"/>
      <c r="C153" s="63"/>
      <c r="D153" s="84"/>
      <c r="E153" s="39" t="s">
        <v>126</v>
      </c>
      <c r="F153" s="39"/>
      <c r="G153" s="39">
        <f>G152</f>
        <v>350</v>
      </c>
    </row>
    <row r="154" spans="1:7" s="76" customFormat="1" ht="36">
      <c r="A154" s="859"/>
      <c r="B154" s="39"/>
      <c r="C154" s="63" t="s">
        <v>2576</v>
      </c>
      <c r="D154" s="1027">
        <f>'BASIC DATA'!$C$577</f>
        <v>0.13614999999999999</v>
      </c>
      <c r="E154" s="39"/>
      <c r="F154" s="39"/>
      <c r="G154" s="39">
        <f>ROUND(G153*D154,2)</f>
        <v>47.65</v>
      </c>
    </row>
    <row r="155" spans="1:7" s="76" customFormat="1">
      <c r="A155" s="859"/>
      <c r="B155" s="1273" t="s">
        <v>1326</v>
      </c>
      <c r="C155" s="1274"/>
      <c r="D155" s="39">
        <v>7</v>
      </c>
      <c r="E155" s="39" t="s">
        <v>3477</v>
      </c>
      <c r="F155" s="39" t="s">
        <v>1698</v>
      </c>
      <c r="G155" s="39">
        <f>G154+G153</f>
        <v>397.65</v>
      </c>
    </row>
    <row r="156" spans="1:7" s="76" customFormat="1">
      <c r="A156" s="859"/>
      <c r="B156" s="39"/>
      <c r="C156" s="39"/>
      <c r="D156" s="39" t="s">
        <v>1584</v>
      </c>
      <c r="E156" s="39" t="s">
        <v>3477</v>
      </c>
      <c r="F156" s="39" t="s">
        <v>1698</v>
      </c>
      <c r="G156" s="84">
        <f>ROUND(G155/D155,1)</f>
        <v>56.8</v>
      </c>
    </row>
    <row r="157" spans="1:7"/>
    <row r="158" spans="1:7">
      <c r="B158" s="79" t="s">
        <v>1327</v>
      </c>
    </row>
    <row r="159" spans="1:7">
      <c r="B159" s="76" t="s">
        <v>1328</v>
      </c>
      <c r="C159" s="86"/>
      <c r="D159" s="76"/>
      <c r="E159" s="76">
        <v>50</v>
      </c>
      <c r="F159" s="76" t="s">
        <v>2602</v>
      </c>
      <c r="G159" s="76"/>
    </row>
    <row r="160" spans="1:7">
      <c r="B160" s="76" t="s">
        <v>1329</v>
      </c>
      <c r="C160" s="85"/>
      <c r="D160" s="85"/>
      <c r="E160" s="76"/>
      <c r="F160" s="76"/>
      <c r="G160" s="76"/>
    </row>
    <row r="161" spans="2:7">
      <c r="B161" s="89"/>
      <c r="C161" s="119"/>
      <c r="D161" s="120"/>
      <c r="E161" s="119" t="s">
        <v>1434</v>
      </c>
      <c r="F161" s="89">
        <v>7</v>
      </c>
      <c r="G161" s="89" t="s">
        <v>3477</v>
      </c>
    </row>
    <row r="162" spans="2:7" ht="36">
      <c r="B162" s="116" t="s">
        <v>3473</v>
      </c>
      <c r="C162" s="113" t="s">
        <v>2378</v>
      </c>
      <c r="D162" s="116" t="s">
        <v>2370</v>
      </c>
      <c r="E162" s="116" t="s">
        <v>1166</v>
      </c>
      <c r="F162" s="113" t="s">
        <v>125</v>
      </c>
      <c r="G162" s="113" t="s">
        <v>6248</v>
      </c>
    </row>
    <row r="163" spans="2:7">
      <c r="B163" s="39">
        <v>1</v>
      </c>
      <c r="C163" s="84" t="s">
        <v>4647</v>
      </c>
      <c r="D163" s="84" t="s">
        <v>1172</v>
      </c>
      <c r="E163" s="39">
        <v>2</v>
      </c>
      <c r="F163" s="39">
        <f>'BASIC DATA'!C552</f>
        <v>350</v>
      </c>
      <c r="G163" s="39">
        <f>F163*E163</f>
        <v>700</v>
      </c>
    </row>
    <row r="164" spans="2:7">
      <c r="B164" s="39"/>
      <c r="C164" s="63"/>
      <c r="D164" s="84"/>
      <c r="E164" s="39" t="s">
        <v>126</v>
      </c>
      <c r="F164" s="39"/>
      <c r="G164" s="39">
        <f>G163</f>
        <v>700</v>
      </c>
    </row>
    <row r="165" spans="2:7" ht="36">
      <c r="B165" s="39"/>
      <c r="C165" s="63" t="s">
        <v>2576</v>
      </c>
      <c r="D165" s="1027">
        <f>'BASIC DATA'!$C$577</f>
        <v>0.13614999999999999</v>
      </c>
      <c r="E165" s="39"/>
      <c r="G165" s="39">
        <f>ROUND(G164*D165,2)</f>
        <v>95.31</v>
      </c>
    </row>
    <row r="166" spans="2:7">
      <c r="B166" s="1273" t="s">
        <v>1330</v>
      </c>
      <c r="C166" s="1274"/>
      <c r="D166" s="39">
        <v>7</v>
      </c>
      <c r="E166" s="39" t="s">
        <v>3477</v>
      </c>
      <c r="F166" s="39" t="s">
        <v>1698</v>
      </c>
      <c r="G166" s="39">
        <f>G165+G164</f>
        <v>795.31</v>
      </c>
    </row>
    <row r="167" spans="2:7">
      <c r="B167" s="39"/>
      <c r="C167" s="39"/>
      <c r="D167" s="39" t="s">
        <v>1584</v>
      </c>
      <c r="E167" s="39" t="s">
        <v>3477</v>
      </c>
      <c r="F167" s="39" t="s">
        <v>1698</v>
      </c>
      <c r="G167" s="84">
        <f>ROUND(G166/D166,1)</f>
        <v>113.6</v>
      </c>
    </row>
    <row r="168" spans="2:7"/>
    <row r="169" spans="2:7">
      <c r="B169" s="87" t="s">
        <v>1331</v>
      </c>
    </row>
    <row r="170" spans="2:7">
      <c r="B170" s="79" t="s">
        <v>48</v>
      </c>
    </row>
    <row r="171" spans="2:7">
      <c r="B171" s="76" t="s">
        <v>49</v>
      </c>
    </row>
    <row r="172" spans="2:7"/>
    <row r="173" spans="2:7">
      <c r="B173" s="79" t="s">
        <v>50</v>
      </c>
    </row>
    <row r="174" spans="2:7">
      <c r="B174" s="76" t="s">
        <v>1102</v>
      </c>
      <c r="F174" s="27">
        <v>25</v>
      </c>
      <c r="G174" s="27" t="s">
        <v>2602</v>
      </c>
    </row>
    <row r="175" spans="2:7">
      <c r="B175" s="76" t="s">
        <v>1103</v>
      </c>
      <c r="F175" s="27">
        <v>30</v>
      </c>
      <c r="G175" s="27" t="s">
        <v>1104</v>
      </c>
    </row>
    <row r="176" spans="2:7">
      <c r="B176" s="76" t="s">
        <v>1105</v>
      </c>
    </row>
    <row r="177" spans="1:7">
      <c r="B177" s="76" t="s">
        <v>1332</v>
      </c>
      <c r="F177" s="27">
        <v>2</v>
      </c>
      <c r="G177" s="27" t="s">
        <v>1433</v>
      </c>
    </row>
    <row r="178" spans="1:7">
      <c r="B178" s="76" t="s">
        <v>1333</v>
      </c>
      <c r="F178" s="27">
        <v>240</v>
      </c>
    </row>
    <row r="179" spans="1:7">
      <c r="B179" s="76" t="s">
        <v>122</v>
      </c>
      <c r="C179" s="117"/>
      <c r="F179" s="27">
        <v>50</v>
      </c>
      <c r="G179" s="27" t="s">
        <v>3478</v>
      </c>
    </row>
    <row r="180" spans="1:7">
      <c r="B180" s="76" t="s">
        <v>1334</v>
      </c>
      <c r="F180" s="27">
        <v>12</v>
      </c>
      <c r="G180" s="27" t="s">
        <v>3480</v>
      </c>
    </row>
    <row r="181" spans="1:7">
      <c r="B181" s="76" t="s">
        <v>124</v>
      </c>
    </row>
    <row r="182" spans="1:7">
      <c r="E182" s="27" t="s">
        <v>1434</v>
      </c>
      <c r="F182" s="27">
        <v>12</v>
      </c>
      <c r="G182" s="27" t="s">
        <v>3480</v>
      </c>
    </row>
    <row r="183" spans="1:7">
      <c r="B183" s="39" t="s">
        <v>3473</v>
      </c>
      <c r="C183" s="39" t="s">
        <v>2378</v>
      </c>
      <c r="D183" s="39" t="s">
        <v>2370</v>
      </c>
      <c r="E183" s="39" t="s">
        <v>1166</v>
      </c>
      <c r="F183" s="39" t="s">
        <v>6247</v>
      </c>
      <c r="G183" s="63" t="s">
        <v>6248</v>
      </c>
    </row>
    <row r="184" spans="1:7" s="76" customFormat="1" ht="36">
      <c r="A184" s="859"/>
      <c r="B184" s="39">
        <v>1</v>
      </c>
      <c r="C184" s="121" t="s">
        <v>5538</v>
      </c>
      <c r="D184" s="39" t="s">
        <v>1172</v>
      </c>
      <c r="E184" s="39">
        <v>1</v>
      </c>
      <c r="F184" s="39">
        <f>'BASIC DATA'!C552</f>
        <v>350</v>
      </c>
      <c r="G184" s="39">
        <f>F184*E184</f>
        <v>350</v>
      </c>
    </row>
    <row r="185" spans="1:7" s="76" customFormat="1">
      <c r="A185" s="859"/>
      <c r="B185" s="39"/>
      <c r="C185" s="63"/>
      <c r="D185" s="63"/>
      <c r="E185" s="39" t="s">
        <v>126</v>
      </c>
      <c r="F185" s="39"/>
      <c r="G185" s="39">
        <f>G184</f>
        <v>350</v>
      </c>
    </row>
    <row r="186" spans="1:7" ht="36">
      <c r="B186" s="39"/>
      <c r="C186" s="63" t="s">
        <v>2576</v>
      </c>
      <c r="D186" s="1027">
        <f>'BASIC DATA'!$C$577</f>
        <v>0.13614999999999999</v>
      </c>
      <c r="E186" s="39"/>
      <c r="F186" s="39"/>
      <c r="G186" s="39">
        <f>ROUND(G185*D186,2)</f>
        <v>47.65</v>
      </c>
    </row>
    <row r="187" spans="1:7">
      <c r="B187" s="1273" t="s">
        <v>1330</v>
      </c>
      <c r="C187" s="1274"/>
      <c r="D187" s="84">
        <v>12</v>
      </c>
      <c r="E187" s="118" t="s">
        <v>3480</v>
      </c>
      <c r="F187" s="39" t="s">
        <v>1698</v>
      </c>
      <c r="G187" s="39">
        <f>G186+G185</f>
        <v>397.65</v>
      </c>
    </row>
    <row r="188" spans="1:7">
      <c r="B188" s="39"/>
      <c r="C188" s="39"/>
      <c r="D188" s="84" t="s">
        <v>1584</v>
      </c>
      <c r="E188" s="118" t="s">
        <v>3480</v>
      </c>
      <c r="F188" s="39" t="s">
        <v>1698</v>
      </c>
      <c r="G188" s="84">
        <f>ROUND(G187/D187,1)</f>
        <v>33.1</v>
      </c>
    </row>
    <row r="189" spans="1:7">
      <c r="A189" s="859"/>
      <c r="B189" s="76"/>
      <c r="C189" s="85"/>
      <c r="D189" s="76"/>
      <c r="E189" s="76"/>
      <c r="F189" s="76"/>
      <c r="G189" s="76"/>
    </row>
    <row r="190" spans="1:7">
      <c r="B190" s="87" t="s">
        <v>1327</v>
      </c>
      <c r="C190" s="85"/>
      <c r="D190" s="76"/>
      <c r="E190" s="76"/>
      <c r="F190" s="76"/>
      <c r="G190" s="76"/>
    </row>
    <row r="191" spans="1:7">
      <c r="B191" s="76" t="s">
        <v>1328</v>
      </c>
      <c r="E191" s="27">
        <v>50</v>
      </c>
      <c r="F191" s="27" t="s">
        <v>2602</v>
      </c>
    </row>
    <row r="192" spans="1:7">
      <c r="B192" s="76" t="s">
        <v>1329</v>
      </c>
    </row>
    <row r="193" spans="1:7">
      <c r="E193" s="27" t="s">
        <v>1434</v>
      </c>
      <c r="F193" s="27">
        <v>12</v>
      </c>
      <c r="G193" s="27" t="s">
        <v>3480</v>
      </c>
    </row>
    <row r="194" spans="1:7">
      <c r="B194" s="39" t="s">
        <v>3473</v>
      </c>
      <c r="C194" s="39" t="s">
        <v>2378</v>
      </c>
      <c r="D194" s="39" t="s">
        <v>2370</v>
      </c>
      <c r="E194" s="39" t="s">
        <v>1166</v>
      </c>
      <c r="F194" s="39" t="s">
        <v>6247</v>
      </c>
      <c r="G194" s="63" t="s">
        <v>6248</v>
      </c>
    </row>
    <row r="195" spans="1:7" s="76" customFormat="1" ht="36">
      <c r="A195" s="859"/>
      <c r="B195" s="39">
        <v>1</v>
      </c>
      <c r="C195" s="121" t="s">
        <v>7928</v>
      </c>
      <c r="D195" s="39" t="s">
        <v>1172</v>
      </c>
      <c r="E195" s="39">
        <v>2</v>
      </c>
      <c r="F195" s="39">
        <f>'BASIC DATA'!C552</f>
        <v>350</v>
      </c>
      <c r="G195" s="39">
        <f>F195*E195</f>
        <v>700</v>
      </c>
    </row>
    <row r="196" spans="1:7" s="76" customFormat="1">
      <c r="A196" s="859"/>
      <c r="B196" s="39"/>
      <c r="C196" s="63"/>
      <c r="D196" s="63"/>
      <c r="E196" s="39" t="s">
        <v>126</v>
      </c>
      <c r="F196" s="39"/>
      <c r="G196" s="39">
        <f>G195</f>
        <v>700</v>
      </c>
    </row>
    <row r="197" spans="1:7" ht="36">
      <c r="B197" s="39"/>
      <c r="C197" s="63" t="s">
        <v>2576</v>
      </c>
      <c r="D197" s="1027">
        <f>'BASIC DATA'!$C$577</f>
        <v>0.13614999999999999</v>
      </c>
      <c r="E197" s="39"/>
      <c r="F197" s="39"/>
      <c r="G197" s="39">
        <f>ROUND(G196*D197,2)</f>
        <v>95.31</v>
      </c>
    </row>
    <row r="198" spans="1:7">
      <c r="B198" s="1276" t="s">
        <v>1330</v>
      </c>
      <c r="C198" s="1277"/>
      <c r="D198" s="84">
        <v>12</v>
      </c>
      <c r="E198" s="118" t="s">
        <v>3480</v>
      </c>
      <c r="F198" s="39" t="s">
        <v>1698</v>
      </c>
      <c r="G198" s="39">
        <f>G197+G196</f>
        <v>795.31</v>
      </c>
    </row>
    <row r="199" spans="1:7">
      <c r="A199" s="910"/>
      <c r="B199" s="160"/>
      <c r="C199" s="84" t="s">
        <v>1584</v>
      </c>
      <c r="D199" s="118" t="s">
        <v>3480</v>
      </c>
      <c r="E199" s="39" t="s">
        <v>1698</v>
      </c>
      <c r="F199" s="124">
        <f>ROUND(G198/D198,1)</f>
        <v>66.3</v>
      </c>
    </row>
    <row r="200" spans="1:7">
      <c r="A200" s="859"/>
      <c r="B200" s="76"/>
      <c r="C200" s="85"/>
      <c r="D200" s="76"/>
      <c r="E200" s="76"/>
      <c r="F200" s="76"/>
      <c r="G200" s="76"/>
    </row>
    <row r="201" spans="1:7">
      <c r="A201" s="859"/>
      <c r="B201" s="76"/>
      <c r="C201" s="85"/>
      <c r="D201" s="76"/>
      <c r="E201" s="76"/>
      <c r="F201" s="76"/>
      <c r="G201" s="76"/>
    </row>
    <row r="202" spans="1:7">
      <c r="B202" s="87" t="s">
        <v>1974</v>
      </c>
    </row>
    <row r="203" spans="1:7"/>
    <row r="204" spans="1:7">
      <c r="B204" s="79" t="s">
        <v>48</v>
      </c>
    </row>
    <row r="205" spans="1:7">
      <c r="B205" s="76" t="s">
        <v>49</v>
      </c>
    </row>
    <row r="206" spans="1:7"/>
    <row r="207" spans="1:7">
      <c r="B207" s="87" t="s">
        <v>50</v>
      </c>
    </row>
    <row r="208" spans="1:7">
      <c r="B208" s="76" t="s">
        <v>1102</v>
      </c>
      <c r="F208" s="27">
        <v>25</v>
      </c>
      <c r="G208" s="27" t="s">
        <v>2602</v>
      </c>
    </row>
    <row r="209" spans="2:7">
      <c r="B209" s="76" t="s">
        <v>1103</v>
      </c>
      <c r="F209" s="27">
        <v>40</v>
      </c>
      <c r="G209" s="27" t="s">
        <v>1104</v>
      </c>
    </row>
    <row r="210" spans="2:7">
      <c r="B210" s="76" t="s">
        <v>1105</v>
      </c>
    </row>
    <row r="211" spans="2:7">
      <c r="B211" s="76" t="s">
        <v>2577</v>
      </c>
      <c r="F211" s="27">
        <v>1.5</v>
      </c>
      <c r="G211" s="27" t="s">
        <v>2603</v>
      </c>
    </row>
    <row r="212" spans="2:7">
      <c r="B212" s="76" t="s">
        <v>2578</v>
      </c>
      <c r="F212" s="27">
        <v>320</v>
      </c>
    </row>
    <row r="213" spans="2:7">
      <c r="B213" s="76" t="s">
        <v>122</v>
      </c>
      <c r="F213" s="27">
        <v>1.7000000000000001E-2</v>
      </c>
      <c r="G213" s="27" t="s">
        <v>3477</v>
      </c>
    </row>
    <row r="214" spans="2:7">
      <c r="B214" s="76" t="s">
        <v>2579</v>
      </c>
      <c r="F214" s="27">
        <v>5.5</v>
      </c>
      <c r="G214" s="27" t="s">
        <v>3477</v>
      </c>
    </row>
    <row r="215" spans="2:7">
      <c r="B215" s="76" t="s">
        <v>124</v>
      </c>
    </row>
    <row r="216" spans="2:7">
      <c r="E216" s="27" t="s">
        <v>1434</v>
      </c>
      <c r="F216" s="27">
        <v>5.5</v>
      </c>
      <c r="G216" s="27" t="s">
        <v>3477</v>
      </c>
    </row>
    <row r="217" spans="2:7">
      <c r="B217" s="39" t="s">
        <v>3473</v>
      </c>
      <c r="C217" s="39" t="s">
        <v>2378</v>
      </c>
      <c r="D217" s="39" t="s">
        <v>2370</v>
      </c>
      <c r="E217" s="39" t="s">
        <v>1166</v>
      </c>
      <c r="F217" s="63" t="s">
        <v>6247</v>
      </c>
      <c r="G217" s="63" t="s">
        <v>6248</v>
      </c>
    </row>
    <row r="218" spans="2:7">
      <c r="B218" s="39">
        <v>1</v>
      </c>
      <c r="C218" s="39" t="s">
        <v>4647</v>
      </c>
      <c r="D218" s="39" t="s">
        <v>1172</v>
      </c>
      <c r="E218" s="39">
        <v>1</v>
      </c>
      <c r="F218" s="39">
        <f>'BASIC DATA'!C552</f>
        <v>350</v>
      </c>
      <c r="G218" s="39">
        <f>F218*E218</f>
        <v>350</v>
      </c>
    </row>
    <row r="219" spans="2:7">
      <c r="B219" s="39"/>
      <c r="C219" s="39"/>
      <c r="D219" s="39"/>
      <c r="E219" s="39" t="s">
        <v>126</v>
      </c>
      <c r="F219" s="39"/>
      <c r="G219" s="39">
        <f>G218</f>
        <v>350</v>
      </c>
    </row>
    <row r="220" spans="2:7" ht="36">
      <c r="B220" s="39"/>
      <c r="C220" s="63" t="s">
        <v>2576</v>
      </c>
      <c r="D220" s="1027">
        <f>'BASIC DATA'!$C$577</f>
        <v>0.13614999999999999</v>
      </c>
      <c r="E220" s="39"/>
      <c r="F220" s="39"/>
      <c r="G220" s="39">
        <f>ROUND(G219*D220,2)</f>
        <v>47.65</v>
      </c>
    </row>
    <row r="221" spans="2:7">
      <c r="B221" s="1273" t="s">
        <v>1330</v>
      </c>
      <c r="C221" s="1274"/>
      <c r="D221" s="39">
        <v>5.5</v>
      </c>
      <c r="E221" s="39" t="s">
        <v>3477</v>
      </c>
      <c r="F221" s="39" t="s">
        <v>1698</v>
      </c>
      <c r="G221" s="39">
        <f>G220+G219</f>
        <v>397.65</v>
      </c>
    </row>
    <row r="222" spans="2:7">
      <c r="B222" s="39"/>
      <c r="C222" s="39"/>
      <c r="D222" s="39" t="s">
        <v>1584</v>
      </c>
      <c r="E222" s="39" t="s">
        <v>3477</v>
      </c>
      <c r="F222" s="39" t="s">
        <v>1698</v>
      </c>
      <c r="G222" s="84">
        <f>ROUND(G221/D221,1)</f>
        <v>72.3</v>
      </c>
    </row>
    <row r="223" spans="2:7"/>
    <row r="224" spans="2:7">
      <c r="B224" s="79" t="s">
        <v>1327</v>
      </c>
    </row>
    <row r="225" spans="1:8">
      <c r="B225" s="27" t="s">
        <v>1328</v>
      </c>
      <c r="F225" s="27">
        <v>50</v>
      </c>
      <c r="G225" s="27" t="s">
        <v>2602</v>
      </c>
    </row>
    <row r="226" spans="1:8">
      <c r="B226" s="27" t="s">
        <v>1329</v>
      </c>
    </row>
    <row r="227" spans="1:8">
      <c r="E227" s="27" t="s">
        <v>1434</v>
      </c>
      <c r="F227" s="27">
        <v>5.5</v>
      </c>
      <c r="G227" s="27" t="s">
        <v>3477</v>
      </c>
    </row>
    <row r="228" spans="1:8">
      <c r="B228" s="39" t="s">
        <v>3473</v>
      </c>
      <c r="C228" s="39" t="s">
        <v>2378</v>
      </c>
      <c r="D228" s="39" t="s">
        <v>2370</v>
      </c>
      <c r="E228" s="39" t="s">
        <v>1166</v>
      </c>
      <c r="F228" s="39" t="s">
        <v>6247</v>
      </c>
      <c r="G228" s="63" t="s">
        <v>6248</v>
      </c>
    </row>
    <row r="229" spans="1:8">
      <c r="B229" s="39">
        <v>1</v>
      </c>
      <c r="C229" s="39" t="s">
        <v>4647</v>
      </c>
      <c r="D229" s="39" t="s">
        <v>1172</v>
      </c>
      <c r="E229" s="39">
        <v>2</v>
      </c>
      <c r="F229" s="39">
        <f>'BASIC DATA'!C552</f>
        <v>350</v>
      </c>
      <c r="G229" s="39">
        <f>F229*E229</f>
        <v>700</v>
      </c>
    </row>
    <row r="230" spans="1:8" s="125" customFormat="1">
      <c r="A230" s="864"/>
      <c r="B230" s="39"/>
      <c r="C230" s="39"/>
      <c r="D230" s="39"/>
      <c r="E230" s="39" t="s">
        <v>126</v>
      </c>
      <c r="F230" s="39"/>
      <c r="G230" s="39">
        <f>G229</f>
        <v>700</v>
      </c>
    </row>
    <row r="231" spans="1:8" ht="36">
      <c r="B231" s="39"/>
      <c r="C231" s="63" t="s">
        <v>2576</v>
      </c>
      <c r="D231" s="1027">
        <f>'BASIC DATA'!$C$577</f>
        <v>0.13614999999999999</v>
      </c>
      <c r="E231" s="39"/>
      <c r="F231" s="39"/>
      <c r="G231" s="39">
        <f>ROUND(G230*D231,2)</f>
        <v>95.31</v>
      </c>
    </row>
    <row r="232" spans="1:8">
      <c r="B232" s="1276" t="s">
        <v>1330</v>
      </c>
      <c r="C232" s="1277"/>
      <c r="D232" s="39">
        <v>5.5</v>
      </c>
      <c r="E232" s="39" t="s">
        <v>3477</v>
      </c>
      <c r="F232" s="39" t="s">
        <v>1698</v>
      </c>
      <c r="G232" s="39">
        <f>G231+G230</f>
        <v>795.31</v>
      </c>
    </row>
    <row r="233" spans="1:8">
      <c r="B233" s="39"/>
      <c r="C233" s="39"/>
      <c r="D233" s="39" t="s">
        <v>1584</v>
      </c>
      <c r="E233" s="39" t="s">
        <v>3477</v>
      </c>
      <c r="F233" s="39" t="s">
        <v>1698</v>
      </c>
      <c r="G233" s="84">
        <f>ROUND(G232/D232,1)</f>
        <v>144.6</v>
      </c>
    </row>
    <row r="234" spans="1:8">
      <c r="G234" s="117"/>
    </row>
    <row r="235" spans="1:8">
      <c r="A235" s="864"/>
      <c r="B235" s="125"/>
      <c r="C235" s="125"/>
      <c r="D235" s="125"/>
      <c r="E235" s="125"/>
      <c r="F235" s="125"/>
      <c r="G235" s="126"/>
    </row>
    <row r="236" spans="1:8">
      <c r="A236" s="828" t="s">
        <v>6952</v>
      </c>
      <c r="B236" s="87" t="s">
        <v>4261</v>
      </c>
      <c r="H236" s="125"/>
    </row>
    <row r="237" spans="1:8">
      <c r="B237" s="87" t="s">
        <v>5909</v>
      </c>
    </row>
    <row r="238" spans="1:8"/>
    <row r="239" spans="1:8">
      <c r="B239" s="79" t="s">
        <v>2157</v>
      </c>
    </row>
    <row r="240" spans="1:8"/>
    <row r="241" spans="2:7">
      <c r="B241" s="76" t="s">
        <v>2158</v>
      </c>
      <c r="E241" s="27" t="s">
        <v>1434</v>
      </c>
      <c r="F241" s="125">
        <v>5</v>
      </c>
      <c r="G241" s="27" t="s">
        <v>3477</v>
      </c>
    </row>
    <row r="242" spans="2:7">
      <c r="B242" s="39" t="s">
        <v>3473</v>
      </c>
      <c r="C242" s="39" t="s">
        <v>2378</v>
      </c>
      <c r="D242" s="39" t="s">
        <v>2370</v>
      </c>
      <c r="E242" s="39" t="s">
        <v>1166</v>
      </c>
      <c r="F242" s="39" t="s">
        <v>6247</v>
      </c>
      <c r="G242" s="63" t="s">
        <v>6248</v>
      </c>
    </row>
    <row r="243" spans="2:7">
      <c r="B243" s="39">
        <v>1</v>
      </c>
      <c r="C243" s="39" t="s">
        <v>2159</v>
      </c>
      <c r="D243" s="39" t="s">
        <v>2374</v>
      </c>
      <c r="E243" s="39">
        <v>0.15</v>
      </c>
      <c r="F243" s="84">
        <f>'HIRE CHARGES'!D545</f>
        <v>446.7</v>
      </c>
      <c r="G243" s="84">
        <f>ROUND(F243*E243,2)</f>
        <v>67.010000000000005</v>
      </c>
    </row>
    <row r="244" spans="2:7">
      <c r="B244" s="39"/>
      <c r="C244" s="39" t="s">
        <v>2160</v>
      </c>
      <c r="D244" s="39" t="s">
        <v>2374</v>
      </c>
      <c r="E244" s="39">
        <v>0.15</v>
      </c>
      <c r="F244" s="84">
        <f>'HIRE CHARGES'!E545</f>
        <v>299.89999999999998</v>
      </c>
      <c r="G244" s="84">
        <f>ROUND(F244*E244,2)</f>
        <v>44.99</v>
      </c>
    </row>
    <row r="245" spans="2:7">
      <c r="B245" s="39">
        <v>2</v>
      </c>
      <c r="C245" s="39" t="s">
        <v>2161</v>
      </c>
      <c r="D245" s="39" t="s">
        <v>2374</v>
      </c>
      <c r="E245" s="39">
        <v>0.15</v>
      </c>
      <c r="F245" s="84">
        <f>'HIRE CHARGES'!F545</f>
        <v>177.5</v>
      </c>
      <c r="G245" s="84">
        <f>ROUND(F245*E245,2)</f>
        <v>26.63</v>
      </c>
    </row>
    <row r="246" spans="2:7">
      <c r="B246" s="39"/>
      <c r="C246" s="39"/>
      <c r="D246" s="39"/>
      <c r="E246" s="39" t="s">
        <v>126</v>
      </c>
      <c r="F246" s="39"/>
      <c r="G246" s="84">
        <f>SUM(G243:G245)</f>
        <v>138.63</v>
      </c>
    </row>
    <row r="247" spans="2:7" ht="36">
      <c r="B247" s="39"/>
      <c r="C247" s="63" t="s">
        <v>2576</v>
      </c>
      <c r="D247" s="1027">
        <f>'BASIC DATA'!$C$577</f>
        <v>0.13614999999999999</v>
      </c>
      <c r="E247" s="39"/>
      <c r="F247" s="39"/>
      <c r="G247" s="84">
        <f>ROUND(G246*D247,2)</f>
        <v>18.87</v>
      </c>
    </row>
    <row r="248" spans="2:7">
      <c r="B248" s="39"/>
      <c r="C248" s="39" t="s">
        <v>2162</v>
      </c>
      <c r="D248" s="39">
        <v>5</v>
      </c>
      <c r="E248" s="39" t="s">
        <v>3477</v>
      </c>
      <c r="F248" s="39" t="s">
        <v>1698</v>
      </c>
      <c r="G248" s="84">
        <f>G247+G246</f>
        <v>157.5</v>
      </c>
    </row>
    <row r="249" spans="2:7">
      <c r="B249" s="39"/>
      <c r="C249" s="39" t="s">
        <v>1585</v>
      </c>
      <c r="D249" s="39"/>
      <c r="E249" s="39"/>
      <c r="F249" s="39"/>
      <c r="G249" s="84">
        <f>ROUND(G248/D248,1)</f>
        <v>31.5</v>
      </c>
    </row>
    <row r="250" spans="2:7"/>
    <row r="251" spans="2:7">
      <c r="B251" s="76" t="s">
        <v>2163</v>
      </c>
      <c r="E251" s="27" t="s">
        <v>1434</v>
      </c>
      <c r="F251" s="125">
        <v>5</v>
      </c>
      <c r="G251" s="27" t="s">
        <v>3477</v>
      </c>
    </row>
    <row r="252" spans="2:7">
      <c r="B252" s="39" t="s">
        <v>3473</v>
      </c>
      <c r="C252" s="39" t="s">
        <v>2378</v>
      </c>
      <c r="D252" s="39" t="s">
        <v>2370</v>
      </c>
      <c r="E252" s="39" t="s">
        <v>1166</v>
      </c>
      <c r="F252" s="39" t="s">
        <v>6247</v>
      </c>
      <c r="G252" s="63" t="s">
        <v>6248</v>
      </c>
    </row>
    <row r="253" spans="2:7">
      <c r="B253" s="39">
        <v>1</v>
      </c>
      <c r="C253" s="39" t="s">
        <v>2159</v>
      </c>
      <c r="D253" s="39" t="s">
        <v>2374</v>
      </c>
      <c r="E253" s="39">
        <v>0.21</v>
      </c>
      <c r="F253" s="84">
        <f>'HIRE CHARGES'!D545</f>
        <v>446.7</v>
      </c>
      <c r="G253" s="84">
        <f>ROUND(F253*E253,2)</f>
        <v>93.81</v>
      </c>
    </row>
    <row r="254" spans="2:7">
      <c r="B254" s="39"/>
      <c r="C254" s="39" t="s">
        <v>2160</v>
      </c>
      <c r="D254" s="39" t="s">
        <v>2374</v>
      </c>
      <c r="E254" s="39">
        <v>0.21</v>
      </c>
      <c r="F254" s="84">
        <f>'HIRE CHARGES'!E545</f>
        <v>299.89999999999998</v>
      </c>
      <c r="G254" s="84">
        <f>ROUND(F254*E254,2)</f>
        <v>62.98</v>
      </c>
    </row>
    <row r="255" spans="2:7">
      <c r="B255" s="39">
        <v>2</v>
      </c>
      <c r="C255" s="39" t="s">
        <v>2161</v>
      </c>
      <c r="D255" s="39" t="s">
        <v>2374</v>
      </c>
      <c r="E255" s="39">
        <v>0.21</v>
      </c>
      <c r="F255" s="84">
        <f>'HIRE CHARGES'!F545</f>
        <v>177.5</v>
      </c>
      <c r="G255" s="84">
        <f>ROUND(F255*E255,2)</f>
        <v>37.28</v>
      </c>
    </row>
    <row r="256" spans="2:7">
      <c r="B256" s="39"/>
      <c r="C256" s="39"/>
      <c r="D256" s="39"/>
      <c r="E256" s="39" t="s">
        <v>126</v>
      </c>
      <c r="F256" s="39"/>
      <c r="G256" s="84">
        <f>SUM(G253:G255)</f>
        <v>194.07</v>
      </c>
    </row>
    <row r="257" spans="2:7" ht="36">
      <c r="B257" s="39"/>
      <c r="C257" s="63" t="s">
        <v>2576</v>
      </c>
      <c r="D257" s="1027">
        <f>'BASIC DATA'!$C$577</f>
        <v>0.13614999999999999</v>
      </c>
      <c r="E257" s="39"/>
      <c r="F257" s="39"/>
      <c r="G257" s="84">
        <f>ROUND(G256*D257,2)</f>
        <v>26.42</v>
      </c>
    </row>
    <row r="258" spans="2:7">
      <c r="B258" s="39"/>
      <c r="C258" s="39" t="s">
        <v>2162</v>
      </c>
      <c r="D258" s="39">
        <v>5</v>
      </c>
      <c r="E258" s="39" t="s">
        <v>3477</v>
      </c>
      <c r="F258" s="39" t="s">
        <v>1698</v>
      </c>
      <c r="G258" s="84">
        <f>G257+G256</f>
        <v>220.49</v>
      </c>
    </row>
    <row r="259" spans="2:7">
      <c r="B259" s="39"/>
      <c r="C259" s="39" t="s">
        <v>1585</v>
      </c>
      <c r="D259" s="39"/>
      <c r="E259" s="39"/>
      <c r="F259" s="39"/>
      <c r="G259" s="84">
        <f>ROUND(G258/D258,1)</f>
        <v>44.1</v>
      </c>
    </row>
    <row r="260" spans="2:7"/>
    <row r="261" spans="2:7">
      <c r="B261" s="76" t="s">
        <v>2164</v>
      </c>
      <c r="E261" s="27" t="s">
        <v>1434</v>
      </c>
      <c r="F261" s="27">
        <v>5</v>
      </c>
      <c r="G261" s="27" t="s">
        <v>3477</v>
      </c>
    </row>
    <row r="262" spans="2:7" ht="36">
      <c r="B262" s="39" t="s">
        <v>3473</v>
      </c>
      <c r="C262" s="39" t="s">
        <v>2378</v>
      </c>
      <c r="D262" s="39" t="s">
        <v>2370</v>
      </c>
      <c r="E262" s="39" t="s">
        <v>1166</v>
      </c>
      <c r="F262" s="39" t="s">
        <v>6247</v>
      </c>
      <c r="G262" s="63" t="s">
        <v>2165</v>
      </c>
    </row>
    <row r="263" spans="2:7">
      <c r="B263" s="39">
        <v>1</v>
      </c>
      <c r="C263" s="39" t="s">
        <v>2159</v>
      </c>
      <c r="D263" s="39" t="s">
        <v>2374</v>
      </c>
      <c r="E263" s="39">
        <v>0.28000000000000003</v>
      </c>
      <c r="F263" s="84">
        <f>'HIRE CHARGES'!D545</f>
        <v>446.7</v>
      </c>
      <c r="G263" s="84">
        <f>ROUND(F263*E263,2)</f>
        <v>125.08</v>
      </c>
    </row>
    <row r="264" spans="2:7">
      <c r="B264" s="39"/>
      <c r="C264" s="39" t="s">
        <v>2160</v>
      </c>
      <c r="D264" s="39" t="s">
        <v>2374</v>
      </c>
      <c r="E264" s="39">
        <v>0.28000000000000003</v>
      </c>
      <c r="F264" s="84">
        <f>'HIRE CHARGES'!E545</f>
        <v>299.89999999999998</v>
      </c>
      <c r="G264" s="84">
        <f>ROUND(F264*E264,2)</f>
        <v>83.97</v>
      </c>
    </row>
    <row r="265" spans="2:7">
      <c r="B265" s="39">
        <v>2</v>
      </c>
      <c r="C265" s="39" t="s">
        <v>2161</v>
      </c>
      <c r="D265" s="39" t="s">
        <v>2374</v>
      </c>
      <c r="E265" s="39">
        <v>0.28000000000000003</v>
      </c>
      <c r="F265" s="84">
        <f>'HIRE CHARGES'!F545</f>
        <v>177.5</v>
      </c>
      <c r="G265" s="84">
        <f>ROUND(F265*E265,2)</f>
        <v>49.7</v>
      </c>
    </row>
    <row r="266" spans="2:7">
      <c r="B266" s="39"/>
      <c r="C266" s="39"/>
      <c r="D266" s="39"/>
      <c r="E266" s="39" t="s">
        <v>126</v>
      </c>
      <c r="F266" s="39"/>
      <c r="G266" s="84">
        <f>SUM(G263:G265)</f>
        <v>258.75</v>
      </c>
    </row>
    <row r="267" spans="2:7" ht="36">
      <c r="B267" s="39"/>
      <c r="C267" s="63" t="s">
        <v>2576</v>
      </c>
      <c r="D267" s="1027">
        <f>'BASIC DATA'!$C$577</f>
        <v>0.13614999999999999</v>
      </c>
      <c r="E267" s="39"/>
      <c r="F267" s="39"/>
      <c r="G267" s="84">
        <f>ROUND(G266*D267,2)</f>
        <v>35.229999999999997</v>
      </c>
    </row>
    <row r="268" spans="2:7">
      <c r="B268" s="39"/>
      <c r="C268" s="39" t="s">
        <v>2162</v>
      </c>
      <c r="D268" s="39">
        <v>5</v>
      </c>
      <c r="E268" s="39" t="s">
        <v>3477</v>
      </c>
      <c r="F268" s="39" t="s">
        <v>1698</v>
      </c>
      <c r="G268" s="84">
        <f>G267+G266</f>
        <v>293.98</v>
      </c>
    </row>
    <row r="269" spans="2:7">
      <c r="B269" s="39"/>
      <c r="C269" s="39" t="s">
        <v>1585</v>
      </c>
      <c r="D269" s="39"/>
      <c r="E269" s="39"/>
      <c r="F269" s="39"/>
      <c r="G269" s="84">
        <f>ROUND(G268/D268,1)</f>
        <v>58.8</v>
      </c>
    </row>
    <row r="270" spans="2:7"/>
    <row r="271" spans="2:7">
      <c r="B271" s="76" t="s">
        <v>1825</v>
      </c>
      <c r="E271" s="27" t="s">
        <v>1434</v>
      </c>
      <c r="F271" s="27">
        <v>5</v>
      </c>
      <c r="G271" s="27" t="s">
        <v>3477</v>
      </c>
    </row>
    <row r="272" spans="2:7" ht="36">
      <c r="B272" s="39" t="s">
        <v>3473</v>
      </c>
      <c r="C272" s="39" t="s">
        <v>2378</v>
      </c>
      <c r="D272" s="39" t="s">
        <v>2370</v>
      </c>
      <c r="E272" s="39" t="s">
        <v>1166</v>
      </c>
      <c r="F272" s="63" t="s">
        <v>125</v>
      </c>
      <c r="G272" s="63" t="s">
        <v>2165</v>
      </c>
    </row>
    <row r="273" spans="2:7">
      <c r="B273" s="39">
        <v>1</v>
      </c>
      <c r="C273" s="39" t="s">
        <v>2159</v>
      </c>
      <c r="D273" s="39" t="s">
        <v>2374</v>
      </c>
      <c r="E273" s="39">
        <v>0.34</v>
      </c>
      <c r="F273" s="84">
        <f>'HIRE CHARGES'!D545</f>
        <v>446.7</v>
      </c>
      <c r="G273" s="84">
        <f>ROUND(F273*E273,2)</f>
        <v>151.88</v>
      </c>
    </row>
    <row r="274" spans="2:7">
      <c r="B274" s="39"/>
      <c r="C274" s="39" t="s">
        <v>2160</v>
      </c>
      <c r="D274" s="39" t="s">
        <v>2374</v>
      </c>
      <c r="E274" s="39">
        <v>0.34</v>
      </c>
      <c r="F274" s="84">
        <f>'HIRE CHARGES'!E545</f>
        <v>299.89999999999998</v>
      </c>
      <c r="G274" s="84">
        <f>ROUND(F274*E274,2)</f>
        <v>101.97</v>
      </c>
    </row>
    <row r="275" spans="2:7">
      <c r="B275" s="39">
        <v>2</v>
      </c>
      <c r="C275" s="39" t="s">
        <v>2161</v>
      </c>
      <c r="D275" s="39" t="s">
        <v>2374</v>
      </c>
      <c r="E275" s="39">
        <v>0.34</v>
      </c>
      <c r="F275" s="84">
        <f>'HIRE CHARGES'!F545</f>
        <v>177.5</v>
      </c>
      <c r="G275" s="84">
        <f>ROUND(F275*E275,2)</f>
        <v>60.35</v>
      </c>
    </row>
    <row r="276" spans="2:7">
      <c r="B276" s="39"/>
      <c r="C276" s="39"/>
      <c r="D276" s="39"/>
      <c r="E276" s="39" t="s">
        <v>126</v>
      </c>
      <c r="F276" s="39"/>
      <c r="G276" s="84">
        <f>SUM(G273:G275)</f>
        <v>314.2</v>
      </c>
    </row>
    <row r="277" spans="2:7" ht="36">
      <c r="B277" s="39"/>
      <c r="C277" s="63" t="s">
        <v>2576</v>
      </c>
      <c r="D277" s="1027">
        <f>'BASIC DATA'!$C$577</f>
        <v>0.13614999999999999</v>
      </c>
      <c r="E277" s="39"/>
      <c r="F277" s="39"/>
      <c r="G277" s="84">
        <f>ROUND(G276*D277,2)</f>
        <v>42.78</v>
      </c>
    </row>
    <row r="278" spans="2:7">
      <c r="B278" s="39"/>
      <c r="C278" s="39" t="s">
        <v>2162</v>
      </c>
      <c r="D278" s="39">
        <v>5</v>
      </c>
      <c r="E278" s="39" t="s">
        <v>3477</v>
      </c>
      <c r="F278" s="39" t="s">
        <v>1698</v>
      </c>
      <c r="G278" s="84">
        <f>G277+G276</f>
        <v>356.98</v>
      </c>
    </row>
    <row r="279" spans="2:7">
      <c r="B279" s="39"/>
      <c r="C279" s="39" t="s">
        <v>1585</v>
      </c>
      <c r="D279" s="39"/>
      <c r="E279" s="39"/>
      <c r="F279" s="39"/>
      <c r="G279" s="84">
        <f>ROUND(G278/D278,1)</f>
        <v>71.400000000000006</v>
      </c>
    </row>
    <row r="280" spans="2:7"/>
    <row r="281" spans="2:7">
      <c r="B281" s="76" t="s">
        <v>1826</v>
      </c>
      <c r="E281" s="27" t="s">
        <v>1434</v>
      </c>
      <c r="F281" s="27">
        <v>5</v>
      </c>
      <c r="G281" s="27" t="s">
        <v>3477</v>
      </c>
    </row>
    <row r="282" spans="2:7" ht="36">
      <c r="B282" s="39" t="s">
        <v>3473</v>
      </c>
      <c r="C282" s="39" t="s">
        <v>2378</v>
      </c>
      <c r="D282" s="39" t="s">
        <v>2370</v>
      </c>
      <c r="E282" s="39" t="s">
        <v>1166</v>
      </c>
      <c r="F282" s="63" t="s">
        <v>125</v>
      </c>
      <c r="G282" s="63" t="s">
        <v>2165</v>
      </c>
    </row>
    <row r="283" spans="2:7">
      <c r="B283" s="39">
        <v>1</v>
      </c>
      <c r="C283" s="39" t="s">
        <v>2159</v>
      </c>
      <c r="D283" s="39" t="s">
        <v>2374</v>
      </c>
      <c r="E283" s="39">
        <v>0.4</v>
      </c>
      <c r="F283" s="84">
        <f>'HIRE CHARGES'!D545</f>
        <v>446.7</v>
      </c>
      <c r="G283" s="84">
        <f>ROUND(F283*E283,2)</f>
        <v>178.68</v>
      </c>
    </row>
    <row r="284" spans="2:7">
      <c r="B284" s="39"/>
      <c r="C284" s="39" t="s">
        <v>2160</v>
      </c>
      <c r="D284" s="39" t="s">
        <v>2374</v>
      </c>
      <c r="E284" s="39">
        <v>0.4</v>
      </c>
      <c r="F284" s="84">
        <f>'HIRE CHARGES'!E545</f>
        <v>299.89999999999998</v>
      </c>
      <c r="G284" s="84">
        <f>ROUND(F284*E284,2)</f>
        <v>119.96</v>
      </c>
    </row>
    <row r="285" spans="2:7">
      <c r="B285" s="39">
        <v>2</v>
      </c>
      <c r="C285" s="39" t="s">
        <v>2161</v>
      </c>
      <c r="D285" s="39" t="s">
        <v>2374</v>
      </c>
      <c r="E285" s="39">
        <v>0.4</v>
      </c>
      <c r="F285" s="84">
        <f>'HIRE CHARGES'!F545</f>
        <v>177.5</v>
      </c>
      <c r="G285" s="84">
        <f>ROUND(F285*E285,2)</f>
        <v>71</v>
      </c>
    </row>
    <row r="286" spans="2:7">
      <c r="B286" s="39"/>
      <c r="C286" s="39"/>
      <c r="D286" s="39"/>
      <c r="E286" s="39" t="s">
        <v>126</v>
      </c>
      <c r="F286" s="39"/>
      <c r="G286" s="84">
        <f>SUM(G283:G285)</f>
        <v>369.64</v>
      </c>
    </row>
    <row r="287" spans="2:7" ht="36">
      <c r="B287" s="39"/>
      <c r="C287" s="63" t="s">
        <v>2576</v>
      </c>
      <c r="D287" s="1027">
        <f>'BASIC DATA'!$C$577</f>
        <v>0.13614999999999999</v>
      </c>
      <c r="E287" s="39"/>
      <c r="F287" s="39"/>
      <c r="G287" s="84">
        <f>ROUND(G286*D287,2)</f>
        <v>50.33</v>
      </c>
    </row>
    <row r="288" spans="2:7">
      <c r="B288" s="39"/>
      <c r="C288" s="39" t="s">
        <v>2162</v>
      </c>
      <c r="D288" s="39">
        <v>5</v>
      </c>
      <c r="E288" s="39" t="s">
        <v>3477</v>
      </c>
      <c r="F288" s="39" t="s">
        <v>1698</v>
      </c>
      <c r="G288" s="84">
        <f>G287+G286</f>
        <v>419.96999999999997</v>
      </c>
    </row>
    <row r="289" spans="2:7">
      <c r="B289" s="39"/>
      <c r="C289" s="39" t="s">
        <v>1585</v>
      </c>
      <c r="D289" s="39"/>
      <c r="E289" s="39"/>
      <c r="F289" s="39"/>
      <c r="G289" s="84">
        <f>ROUND(G288/D288,1)</f>
        <v>84</v>
      </c>
    </row>
    <row r="290" spans="2:7"/>
    <row r="291" spans="2:7">
      <c r="B291" s="76" t="s">
        <v>1827</v>
      </c>
      <c r="E291" s="27" t="s">
        <v>1434</v>
      </c>
      <c r="F291" s="27">
        <v>5</v>
      </c>
      <c r="G291" s="27" t="s">
        <v>3477</v>
      </c>
    </row>
    <row r="292" spans="2:7" ht="36">
      <c r="B292" s="39" t="s">
        <v>3473</v>
      </c>
      <c r="C292" s="39" t="s">
        <v>2378</v>
      </c>
      <c r="D292" s="39" t="s">
        <v>2370</v>
      </c>
      <c r="E292" s="39" t="s">
        <v>1166</v>
      </c>
      <c r="F292" s="63" t="s">
        <v>125</v>
      </c>
      <c r="G292" s="63" t="s">
        <v>2165</v>
      </c>
    </row>
    <row r="293" spans="2:7">
      <c r="B293" s="39">
        <v>1</v>
      </c>
      <c r="C293" s="39" t="s">
        <v>2159</v>
      </c>
      <c r="D293" s="39" t="s">
        <v>2374</v>
      </c>
      <c r="E293" s="39">
        <v>0.06</v>
      </c>
      <c r="F293" s="84">
        <f>'HIRE CHARGES'!D545</f>
        <v>446.7</v>
      </c>
      <c r="G293" s="84">
        <f>ROUND(F293*E293,2)</f>
        <v>26.8</v>
      </c>
    </row>
    <row r="294" spans="2:7">
      <c r="B294" s="39"/>
      <c r="C294" s="39" t="s">
        <v>2160</v>
      </c>
      <c r="D294" s="39" t="s">
        <v>2374</v>
      </c>
      <c r="E294" s="39">
        <v>0.06</v>
      </c>
      <c r="F294" s="84">
        <f>'HIRE CHARGES'!E545</f>
        <v>299.89999999999998</v>
      </c>
      <c r="G294" s="84">
        <f>ROUND(F294*E294,2)</f>
        <v>17.989999999999998</v>
      </c>
    </row>
    <row r="295" spans="2:7">
      <c r="B295" s="39">
        <v>2</v>
      </c>
      <c r="C295" s="39" t="s">
        <v>2161</v>
      </c>
      <c r="D295" s="39" t="s">
        <v>2374</v>
      </c>
      <c r="E295" s="39">
        <v>0.06</v>
      </c>
      <c r="F295" s="84">
        <f>'HIRE CHARGES'!F545</f>
        <v>177.5</v>
      </c>
      <c r="G295" s="84">
        <f>ROUND(F295*E295,2)</f>
        <v>10.65</v>
      </c>
    </row>
    <row r="296" spans="2:7">
      <c r="B296" s="39"/>
      <c r="C296" s="39"/>
      <c r="D296" s="39"/>
      <c r="E296" s="39" t="s">
        <v>126</v>
      </c>
      <c r="F296" s="39"/>
      <c r="G296" s="84">
        <f>SUM(G293:G295)</f>
        <v>55.44</v>
      </c>
    </row>
    <row r="297" spans="2:7" ht="36">
      <c r="B297" s="39"/>
      <c r="C297" s="63" t="s">
        <v>2576</v>
      </c>
      <c r="D297" s="1027">
        <f>'BASIC DATA'!$C$577</f>
        <v>0.13614999999999999</v>
      </c>
      <c r="E297" s="39"/>
      <c r="F297" s="39"/>
      <c r="G297" s="84">
        <f>ROUND(G296*D297,2)</f>
        <v>7.55</v>
      </c>
    </row>
    <row r="298" spans="2:7">
      <c r="B298" s="39"/>
      <c r="C298" s="39" t="s">
        <v>2162</v>
      </c>
      <c r="D298" s="39">
        <v>5</v>
      </c>
      <c r="E298" s="39" t="s">
        <v>3477</v>
      </c>
      <c r="F298" s="39" t="s">
        <v>1698</v>
      </c>
      <c r="G298" s="84">
        <f>G297+G296</f>
        <v>62.989999999999995</v>
      </c>
    </row>
    <row r="299" spans="2:7">
      <c r="B299" s="39"/>
      <c r="C299" s="39" t="s">
        <v>1585</v>
      </c>
      <c r="D299" s="39"/>
      <c r="E299" s="39"/>
      <c r="F299" s="39"/>
      <c r="G299" s="84">
        <f>ROUND(G298/D298,1)</f>
        <v>12.6</v>
      </c>
    </row>
    <row r="300" spans="2:7"/>
    <row r="301" spans="2:7">
      <c r="B301" s="76" t="s">
        <v>1828</v>
      </c>
      <c r="E301" s="27" t="s">
        <v>1434</v>
      </c>
      <c r="F301" s="27">
        <v>5</v>
      </c>
      <c r="G301" s="27" t="s">
        <v>3477</v>
      </c>
    </row>
    <row r="302" spans="2:7" ht="36">
      <c r="B302" s="39" t="s">
        <v>3473</v>
      </c>
      <c r="C302" s="39" t="s">
        <v>2378</v>
      </c>
      <c r="D302" s="39" t="s">
        <v>2370</v>
      </c>
      <c r="E302" s="39" t="s">
        <v>1166</v>
      </c>
      <c r="F302" s="63" t="s">
        <v>125</v>
      </c>
      <c r="G302" s="63" t="s">
        <v>2165</v>
      </c>
    </row>
    <row r="303" spans="2:7">
      <c r="B303" s="39">
        <v>1</v>
      </c>
      <c r="C303" s="39" t="s">
        <v>2159</v>
      </c>
      <c r="D303" s="39" t="s">
        <v>2374</v>
      </c>
      <c r="E303" s="39">
        <v>0.05</v>
      </c>
      <c r="F303" s="84">
        <f>'HIRE CHARGES'!D545</f>
        <v>446.7</v>
      </c>
      <c r="G303" s="84">
        <f>ROUND(F303*E303,2)</f>
        <v>22.34</v>
      </c>
    </row>
    <row r="304" spans="2:7">
      <c r="B304" s="39"/>
      <c r="C304" s="39" t="s">
        <v>2160</v>
      </c>
      <c r="D304" s="39" t="s">
        <v>2374</v>
      </c>
      <c r="E304" s="39">
        <v>0.05</v>
      </c>
      <c r="F304" s="84">
        <f>'HIRE CHARGES'!E545</f>
        <v>299.89999999999998</v>
      </c>
      <c r="G304" s="84">
        <f>ROUND(F304*E304,2)</f>
        <v>15</v>
      </c>
    </row>
    <row r="305" spans="1:7">
      <c r="B305" s="39">
        <v>2</v>
      </c>
      <c r="C305" s="39" t="s">
        <v>2161</v>
      </c>
      <c r="D305" s="39" t="s">
        <v>2374</v>
      </c>
      <c r="E305" s="39">
        <v>0.05</v>
      </c>
      <c r="F305" s="84">
        <f>'HIRE CHARGES'!F545</f>
        <v>177.5</v>
      </c>
      <c r="G305" s="84">
        <f>ROUND(F305*E305,2)</f>
        <v>8.8800000000000008</v>
      </c>
    </row>
    <row r="306" spans="1:7">
      <c r="B306" s="39"/>
      <c r="C306" s="39"/>
      <c r="D306" s="39"/>
      <c r="E306" s="39" t="s">
        <v>126</v>
      </c>
      <c r="F306" s="39"/>
      <c r="G306" s="84">
        <f>SUM(G303:G305)</f>
        <v>46.220000000000006</v>
      </c>
    </row>
    <row r="307" spans="1:7" ht="36">
      <c r="B307" s="39"/>
      <c r="C307" s="63" t="s">
        <v>2576</v>
      </c>
      <c r="D307" s="1027">
        <f>'BASIC DATA'!$C$577</f>
        <v>0.13614999999999999</v>
      </c>
      <c r="E307" s="39"/>
      <c r="F307" s="39"/>
      <c r="G307" s="84">
        <f>ROUND(G306*D307,2)</f>
        <v>6.29</v>
      </c>
    </row>
    <row r="308" spans="1:7">
      <c r="B308" s="39"/>
      <c r="C308" s="39" t="s">
        <v>2162</v>
      </c>
      <c r="D308" s="39">
        <v>5</v>
      </c>
      <c r="E308" s="39" t="s">
        <v>3477</v>
      </c>
      <c r="F308" s="39" t="s">
        <v>1698</v>
      </c>
      <c r="G308" s="84">
        <f>G307+G306</f>
        <v>52.510000000000005</v>
      </c>
    </row>
    <row r="309" spans="1:7">
      <c r="B309" s="39"/>
      <c r="C309" s="39" t="s">
        <v>1585</v>
      </c>
      <c r="D309" s="39"/>
      <c r="E309" s="39"/>
      <c r="F309" s="39"/>
      <c r="G309" s="84">
        <f>ROUND(G308/D308,1)</f>
        <v>10.5</v>
      </c>
    </row>
    <row r="310" spans="1:7">
      <c r="A310" s="859"/>
      <c r="B310" s="76"/>
      <c r="C310" s="76"/>
      <c r="D310" s="76"/>
      <c r="E310" s="76"/>
      <c r="F310" s="76"/>
    </row>
    <row r="311" spans="1:7">
      <c r="B311" s="87" t="s">
        <v>1829</v>
      </c>
      <c r="C311" s="76"/>
      <c r="D311" s="76"/>
      <c r="E311" s="76"/>
      <c r="F311" s="76"/>
    </row>
    <row r="312" spans="1:7">
      <c r="A312" s="859"/>
      <c r="B312" s="76"/>
      <c r="C312" s="76"/>
      <c r="D312" s="76"/>
      <c r="E312" s="76"/>
      <c r="F312" s="76"/>
    </row>
    <row r="313" spans="1:7">
      <c r="B313" s="76" t="s">
        <v>2158</v>
      </c>
      <c r="C313" s="76"/>
      <c r="D313" s="76"/>
      <c r="E313" s="76" t="s">
        <v>1434</v>
      </c>
      <c r="F313" s="101">
        <v>5</v>
      </c>
      <c r="G313" s="76" t="s">
        <v>3477</v>
      </c>
    </row>
    <row r="314" spans="1:7" ht="36">
      <c r="B314" s="39" t="s">
        <v>3473</v>
      </c>
      <c r="C314" s="39" t="s">
        <v>2378</v>
      </c>
      <c r="D314" s="39" t="s">
        <v>2370</v>
      </c>
      <c r="E314" s="39" t="s">
        <v>1166</v>
      </c>
      <c r="F314" s="63" t="s">
        <v>125</v>
      </c>
      <c r="G314" s="63" t="s">
        <v>2165</v>
      </c>
    </row>
    <row r="315" spans="1:7">
      <c r="B315" s="39">
        <v>1</v>
      </c>
      <c r="C315" s="39" t="s">
        <v>1830</v>
      </c>
      <c r="D315" s="39" t="s">
        <v>2374</v>
      </c>
      <c r="E315" s="39">
        <v>0.15</v>
      </c>
      <c r="F315" s="84">
        <f>'HIRE CHARGES'!D549</f>
        <v>414.1</v>
      </c>
      <c r="G315" s="84">
        <f>ROUND(F315*E315,2)</f>
        <v>62.12</v>
      </c>
    </row>
    <row r="316" spans="1:7">
      <c r="B316" s="39"/>
      <c r="C316" s="39" t="s">
        <v>2160</v>
      </c>
      <c r="D316" s="39" t="s">
        <v>2374</v>
      </c>
      <c r="E316" s="39">
        <v>0.15</v>
      </c>
      <c r="F316" s="84">
        <f>'HIRE CHARGES'!E549</f>
        <v>299.89999999999998</v>
      </c>
      <c r="G316" s="84">
        <f>ROUND(F316*E316,2)</f>
        <v>44.99</v>
      </c>
    </row>
    <row r="317" spans="1:7">
      <c r="B317" s="39">
        <v>2</v>
      </c>
      <c r="C317" s="39" t="s">
        <v>2161</v>
      </c>
      <c r="D317" s="39" t="s">
        <v>2374</v>
      </c>
      <c r="E317" s="39">
        <v>0.15</v>
      </c>
      <c r="F317" s="84">
        <f>'HIRE CHARGES'!F549</f>
        <v>177.5</v>
      </c>
      <c r="G317" s="84">
        <f>ROUND(F317*E317,2)</f>
        <v>26.63</v>
      </c>
    </row>
    <row r="318" spans="1:7">
      <c r="B318" s="39"/>
      <c r="C318" s="39"/>
      <c r="D318" s="39"/>
      <c r="E318" s="39" t="s">
        <v>126</v>
      </c>
      <c r="F318" s="39"/>
      <c r="G318" s="84">
        <f>SUM(G315:G317)</f>
        <v>133.74</v>
      </c>
    </row>
    <row r="319" spans="1:7" ht="36">
      <c r="B319" s="39"/>
      <c r="C319" s="63" t="s">
        <v>2576</v>
      </c>
      <c r="D319" s="1027">
        <f>'BASIC DATA'!$C$577</f>
        <v>0.13614999999999999</v>
      </c>
      <c r="E319" s="39"/>
      <c r="F319" s="39"/>
      <c r="G319" s="84">
        <f>ROUND(G318*D319,2)</f>
        <v>18.21</v>
      </c>
    </row>
    <row r="320" spans="1:7">
      <c r="B320" s="39"/>
      <c r="C320" s="39" t="s">
        <v>2162</v>
      </c>
      <c r="D320" s="39">
        <v>5</v>
      </c>
      <c r="E320" s="39" t="s">
        <v>3477</v>
      </c>
      <c r="F320" s="39" t="s">
        <v>1698</v>
      </c>
      <c r="G320" s="84">
        <f>G319+G318</f>
        <v>151.95000000000002</v>
      </c>
    </row>
    <row r="321" spans="1:7">
      <c r="B321" s="39"/>
      <c r="C321" s="39" t="s">
        <v>1585</v>
      </c>
      <c r="D321" s="39"/>
      <c r="E321" s="39"/>
      <c r="F321" s="39"/>
      <c r="G321" s="84">
        <f>ROUND(G320/D320,1)</f>
        <v>30.4</v>
      </c>
    </row>
    <row r="322" spans="1:7">
      <c r="A322" s="859"/>
      <c r="B322" s="76"/>
      <c r="C322" s="76"/>
      <c r="D322" s="76"/>
      <c r="E322" s="76"/>
      <c r="F322" s="76"/>
    </row>
    <row r="323" spans="1:7">
      <c r="B323" s="76" t="s">
        <v>2163</v>
      </c>
      <c r="C323" s="76"/>
      <c r="D323" s="76"/>
      <c r="E323" s="76" t="s">
        <v>1434</v>
      </c>
      <c r="F323" s="76">
        <v>5</v>
      </c>
      <c r="G323" s="76" t="s">
        <v>3477</v>
      </c>
    </row>
    <row r="324" spans="1:7" ht="36">
      <c r="B324" s="39" t="s">
        <v>3473</v>
      </c>
      <c r="C324" s="39" t="s">
        <v>2378</v>
      </c>
      <c r="D324" s="39" t="s">
        <v>2370</v>
      </c>
      <c r="E324" s="39" t="s">
        <v>1166</v>
      </c>
      <c r="F324" s="63" t="s">
        <v>125</v>
      </c>
      <c r="G324" s="63" t="s">
        <v>2165</v>
      </c>
    </row>
    <row r="325" spans="1:7">
      <c r="B325" s="39">
        <v>1</v>
      </c>
      <c r="C325" s="39" t="s">
        <v>1830</v>
      </c>
      <c r="D325" s="39" t="s">
        <v>2374</v>
      </c>
      <c r="E325" s="39">
        <v>0.21</v>
      </c>
      <c r="F325" s="84">
        <f>'HIRE CHARGES'!D549</f>
        <v>414.1</v>
      </c>
      <c r="G325" s="84">
        <f>ROUND(F325*E325,2)</f>
        <v>86.96</v>
      </c>
    </row>
    <row r="326" spans="1:7">
      <c r="B326" s="39"/>
      <c r="C326" s="39" t="s">
        <v>2160</v>
      </c>
      <c r="D326" s="39" t="s">
        <v>2374</v>
      </c>
      <c r="E326" s="39">
        <v>0.21</v>
      </c>
      <c r="F326" s="84">
        <f>'HIRE CHARGES'!E549</f>
        <v>299.89999999999998</v>
      </c>
      <c r="G326" s="84">
        <f>ROUND(F326*E326,2)</f>
        <v>62.98</v>
      </c>
    </row>
    <row r="327" spans="1:7">
      <c r="B327" s="39">
        <v>2</v>
      </c>
      <c r="C327" s="39" t="s">
        <v>2161</v>
      </c>
      <c r="D327" s="39" t="s">
        <v>2374</v>
      </c>
      <c r="E327" s="39">
        <v>0.21</v>
      </c>
      <c r="F327" s="84">
        <f>'HIRE CHARGES'!F549</f>
        <v>177.5</v>
      </c>
      <c r="G327" s="84">
        <f>ROUND(F327*E327,2)</f>
        <v>37.28</v>
      </c>
    </row>
    <row r="328" spans="1:7">
      <c r="B328" s="39"/>
      <c r="C328" s="39"/>
      <c r="D328" s="39"/>
      <c r="E328" s="39" t="s">
        <v>126</v>
      </c>
      <c r="F328" s="39"/>
      <c r="G328" s="84">
        <f>SUM(G325:G327)</f>
        <v>187.22</v>
      </c>
    </row>
    <row r="329" spans="1:7" ht="36">
      <c r="B329" s="39"/>
      <c r="C329" s="63" t="s">
        <v>2576</v>
      </c>
      <c r="D329" s="1027">
        <f>'BASIC DATA'!$C$577</f>
        <v>0.13614999999999999</v>
      </c>
      <c r="E329" s="39"/>
      <c r="F329" s="39"/>
      <c r="G329" s="84">
        <f>ROUND(G328*D329,2)</f>
        <v>25.49</v>
      </c>
    </row>
    <row r="330" spans="1:7">
      <c r="B330" s="39"/>
      <c r="C330" s="39" t="s">
        <v>2162</v>
      </c>
      <c r="D330" s="39">
        <v>5</v>
      </c>
      <c r="E330" s="39" t="s">
        <v>3477</v>
      </c>
      <c r="F330" s="39" t="s">
        <v>1698</v>
      </c>
      <c r="G330" s="84">
        <f>G329+G328</f>
        <v>212.71</v>
      </c>
    </row>
    <row r="331" spans="1:7">
      <c r="B331" s="39"/>
      <c r="C331" s="39" t="s">
        <v>1585</v>
      </c>
      <c r="D331" s="39"/>
      <c r="E331" s="39"/>
      <c r="F331" s="39"/>
      <c r="G331" s="84">
        <f>ROUND(G330/D330,1)</f>
        <v>42.5</v>
      </c>
    </row>
    <row r="332" spans="1:7">
      <c r="A332" s="859"/>
      <c r="B332" s="76"/>
      <c r="C332" s="76"/>
      <c r="D332" s="76"/>
      <c r="E332" s="76"/>
      <c r="F332" s="76"/>
    </row>
    <row r="333" spans="1:7">
      <c r="B333" s="76" t="s">
        <v>2164</v>
      </c>
      <c r="C333" s="76"/>
      <c r="D333" s="76"/>
      <c r="E333" s="76" t="s">
        <v>1434</v>
      </c>
      <c r="F333" s="76">
        <v>5</v>
      </c>
      <c r="G333" s="76" t="s">
        <v>3477</v>
      </c>
    </row>
    <row r="334" spans="1:7" ht="36">
      <c r="B334" s="39" t="s">
        <v>3473</v>
      </c>
      <c r="C334" s="39" t="s">
        <v>2378</v>
      </c>
      <c r="D334" s="39" t="s">
        <v>2370</v>
      </c>
      <c r="E334" s="39" t="s">
        <v>1166</v>
      </c>
      <c r="F334" s="63" t="s">
        <v>125</v>
      </c>
      <c r="G334" s="63" t="s">
        <v>2165</v>
      </c>
    </row>
    <row r="335" spans="1:7">
      <c r="B335" s="39">
        <v>1</v>
      </c>
      <c r="C335" s="39" t="s">
        <v>2159</v>
      </c>
      <c r="D335" s="39" t="s">
        <v>2374</v>
      </c>
      <c r="E335" s="39">
        <v>0.28000000000000003</v>
      </c>
      <c r="F335" s="84">
        <f>'HIRE CHARGES'!D545</f>
        <v>446.7</v>
      </c>
      <c r="G335" s="84">
        <f>ROUND(F335*E335,2)</f>
        <v>125.08</v>
      </c>
    </row>
    <row r="336" spans="1:7">
      <c r="B336" s="39"/>
      <c r="C336" s="39" t="s">
        <v>2160</v>
      </c>
      <c r="D336" s="39" t="s">
        <v>2374</v>
      </c>
      <c r="E336" s="39">
        <v>0.28000000000000003</v>
      </c>
      <c r="F336" s="84">
        <f>'HIRE CHARGES'!E545</f>
        <v>299.89999999999998</v>
      </c>
      <c r="G336" s="84">
        <f>ROUND(F336*E336,2)</f>
        <v>83.97</v>
      </c>
    </row>
    <row r="337" spans="1:7">
      <c r="B337" s="39">
        <v>2</v>
      </c>
      <c r="C337" s="39" t="s">
        <v>2161</v>
      </c>
      <c r="D337" s="39" t="s">
        <v>2374</v>
      </c>
      <c r="E337" s="39">
        <v>0.28000000000000003</v>
      </c>
      <c r="F337" s="84">
        <f>'HIRE CHARGES'!F545</f>
        <v>177.5</v>
      </c>
      <c r="G337" s="84">
        <f>ROUND(F337*E337,2)</f>
        <v>49.7</v>
      </c>
    </row>
    <row r="338" spans="1:7">
      <c r="B338" s="39"/>
      <c r="C338" s="39"/>
      <c r="D338" s="39"/>
      <c r="E338" s="39" t="s">
        <v>126</v>
      </c>
      <c r="F338" s="39"/>
      <c r="G338" s="84">
        <f>SUM(G335:G337)</f>
        <v>258.75</v>
      </c>
    </row>
    <row r="339" spans="1:7" ht="36">
      <c r="B339" s="39"/>
      <c r="C339" s="63" t="s">
        <v>2576</v>
      </c>
      <c r="D339" s="1027">
        <f>'BASIC DATA'!$C$577</f>
        <v>0.13614999999999999</v>
      </c>
      <c r="E339" s="39"/>
      <c r="F339" s="39"/>
      <c r="G339" s="84">
        <f>ROUND(G338*D339,2)</f>
        <v>35.229999999999997</v>
      </c>
    </row>
    <row r="340" spans="1:7">
      <c r="B340" s="39"/>
      <c r="C340" s="39" t="s">
        <v>2162</v>
      </c>
      <c r="D340" s="39">
        <v>5</v>
      </c>
      <c r="E340" s="39" t="s">
        <v>3477</v>
      </c>
      <c r="F340" s="39" t="s">
        <v>1698</v>
      </c>
      <c r="G340" s="84">
        <f>G339+G338</f>
        <v>293.98</v>
      </c>
    </row>
    <row r="341" spans="1:7">
      <c r="B341" s="39"/>
      <c r="C341" s="39" t="s">
        <v>1585</v>
      </c>
      <c r="D341" s="39"/>
      <c r="E341" s="39"/>
      <c r="F341" s="39"/>
      <c r="G341" s="84">
        <f>ROUND(G340/D340,1)</f>
        <v>58.8</v>
      </c>
    </row>
    <row r="342" spans="1:7">
      <c r="A342" s="859"/>
      <c r="B342" s="76"/>
      <c r="C342" s="76"/>
      <c r="D342" s="76"/>
      <c r="E342" s="76"/>
      <c r="F342" s="76"/>
    </row>
    <row r="343" spans="1:7">
      <c r="B343" s="76" t="s">
        <v>1825</v>
      </c>
      <c r="C343" s="76"/>
      <c r="D343" s="76"/>
      <c r="E343" s="76" t="s">
        <v>1434</v>
      </c>
      <c r="F343" s="76">
        <v>5</v>
      </c>
      <c r="G343" s="76" t="s">
        <v>3477</v>
      </c>
    </row>
    <row r="344" spans="1:7" ht="36">
      <c r="B344" s="39" t="s">
        <v>3473</v>
      </c>
      <c r="C344" s="39" t="s">
        <v>2378</v>
      </c>
      <c r="D344" s="39" t="s">
        <v>2370</v>
      </c>
      <c r="E344" s="39" t="s">
        <v>1166</v>
      </c>
      <c r="F344" s="63" t="s">
        <v>125</v>
      </c>
      <c r="G344" s="63" t="s">
        <v>2165</v>
      </c>
    </row>
    <row r="345" spans="1:7">
      <c r="B345" s="39">
        <v>1</v>
      </c>
      <c r="C345" s="39" t="s">
        <v>2159</v>
      </c>
      <c r="D345" s="39" t="s">
        <v>2374</v>
      </c>
      <c r="E345" s="39">
        <v>0.34</v>
      </c>
      <c r="F345" s="84">
        <f>'HIRE CHARGES'!D545</f>
        <v>446.7</v>
      </c>
      <c r="G345" s="84">
        <f>ROUND(F345*E345,2)</f>
        <v>151.88</v>
      </c>
    </row>
    <row r="346" spans="1:7">
      <c r="B346" s="39"/>
      <c r="C346" s="39" t="s">
        <v>2160</v>
      </c>
      <c r="D346" s="39" t="s">
        <v>2374</v>
      </c>
      <c r="E346" s="39">
        <v>0.34</v>
      </c>
      <c r="F346" s="84">
        <f>'HIRE CHARGES'!E545</f>
        <v>299.89999999999998</v>
      </c>
      <c r="G346" s="84">
        <f>ROUND(F346*E346,2)</f>
        <v>101.97</v>
      </c>
    </row>
    <row r="347" spans="1:7">
      <c r="B347" s="39">
        <v>2</v>
      </c>
      <c r="C347" s="39" t="s">
        <v>2161</v>
      </c>
      <c r="D347" s="39" t="s">
        <v>2374</v>
      </c>
      <c r="E347" s="39">
        <v>0.34</v>
      </c>
      <c r="F347" s="84">
        <f>'HIRE CHARGES'!F545</f>
        <v>177.5</v>
      </c>
      <c r="G347" s="84">
        <f>ROUND(F347*E347,2)</f>
        <v>60.35</v>
      </c>
    </row>
    <row r="348" spans="1:7">
      <c r="B348" s="39"/>
      <c r="C348" s="39"/>
      <c r="D348" s="39"/>
      <c r="E348" s="39" t="s">
        <v>126</v>
      </c>
      <c r="F348" s="39"/>
      <c r="G348" s="84">
        <f>SUM(G345:G347)</f>
        <v>314.2</v>
      </c>
    </row>
    <row r="349" spans="1:7" ht="36">
      <c r="B349" s="39"/>
      <c r="C349" s="63" t="s">
        <v>2576</v>
      </c>
      <c r="D349" s="1027">
        <f>'BASIC DATA'!$C$577</f>
        <v>0.13614999999999999</v>
      </c>
      <c r="E349" s="39"/>
      <c r="F349" s="39"/>
      <c r="G349" s="84">
        <f>ROUND(G348*D349,2)</f>
        <v>42.78</v>
      </c>
    </row>
    <row r="350" spans="1:7">
      <c r="B350" s="39"/>
      <c r="C350" s="39" t="s">
        <v>2162</v>
      </c>
      <c r="D350" s="39">
        <v>5</v>
      </c>
      <c r="E350" s="39" t="s">
        <v>3477</v>
      </c>
      <c r="F350" s="39" t="s">
        <v>1698</v>
      </c>
      <c r="G350" s="84">
        <f>G349+G348</f>
        <v>356.98</v>
      </c>
    </row>
    <row r="351" spans="1:7">
      <c r="B351" s="39"/>
      <c r="C351" s="39" t="s">
        <v>1585</v>
      </c>
      <c r="D351" s="39"/>
      <c r="E351" s="39"/>
      <c r="F351" s="39"/>
      <c r="G351" s="84">
        <f>ROUND(G350/D350,1)</f>
        <v>71.400000000000006</v>
      </c>
    </row>
    <row r="352" spans="1:7">
      <c r="A352" s="859"/>
      <c r="B352" s="76"/>
      <c r="C352" s="76"/>
      <c r="D352" s="76"/>
      <c r="E352" s="76"/>
      <c r="F352" s="76"/>
    </row>
    <row r="353" spans="1:7">
      <c r="B353" s="76" t="s">
        <v>1826</v>
      </c>
      <c r="C353" s="76"/>
      <c r="D353" s="76"/>
      <c r="E353" s="76" t="s">
        <v>1434</v>
      </c>
      <c r="F353" s="76">
        <v>5</v>
      </c>
      <c r="G353" s="76" t="s">
        <v>3477</v>
      </c>
    </row>
    <row r="354" spans="1:7" ht="36">
      <c r="B354" s="39" t="s">
        <v>3473</v>
      </c>
      <c r="C354" s="39" t="s">
        <v>2378</v>
      </c>
      <c r="D354" s="39" t="s">
        <v>2370</v>
      </c>
      <c r="E354" s="39" t="s">
        <v>1166</v>
      </c>
      <c r="F354" s="63" t="s">
        <v>125</v>
      </c>
      <c r="G354" s="63" t="s">
        <v>2165</v>
      </c>
    </row>
    <row r="355" spans="1:7">
      <c r="B355" s="39">
        <v>1</v>
      </c>
      <c r="C355" s="39" t="s">
        <v>2159</v>
      </c>
      <c r="D355" s="39" t="s">
        <v>2374</v>
      </c>
      <c r="E355" s="39">
        <v>0.4</v>
      </c>
      <c r="F355" s="84">
        <f>'HIRE CHARGES'!D545</f>
        <v>446.7</v>
      </c>
      <c r="G355" s="84">
        <f>ROUND(F355*E355,2)</f>
        <v>178.68</v>
      </c>
    </row>
    <row r="356" spans="1:7">
      <c r="B356" s="39"/>
      <c r="C356" s="39" t="s">
        <v>2160</v>
      </c>
      <c r="D356" s="39" t="s">
        <v>2374</v>
      </c>
      <c r="E356" s="39">
        <v>0.4</v>
      </c>
      <c r="F356" s="84">
        <f>'HIRE CHARGES'!E545</f>
        <v>299.89999999999998</v>
      </c>
      <c r="G356" s="84">
        <f>ROUND(F356*E356,2)</f>
        <v>119.96</v>
      </c>
    </row>
    <row r="357" spans="1:7">
      <c r="B357" s="39">
        <v>2</v>
      </c>
      <c r="C357" s="39" t="s">
        <v>2161</v>
      </c>
      <c r="D357" s="39" t="s">
        <v>2374</v>
      </c>
      <c r="E357" s="39">
        <v>0.4</v>
      </c>
      <c r="F357" s="84">
        <f>'HIRE CHARGES'!F545</f>
        <v>177.5</v>
      </c>
      <c r="G357" s="84">
        <f>ROUND(F357*E357,2)</f>
        <v>71</v>
      </c>
    </row>
    <row r="358" spans="1:7">
      <c r="B358" s="39"/>
      <c r="C358" s="39"/>
      <c r="D358" s="39"/>
      <c r="E358" s="39" t="s">
        <v>126</v>
      </c>
      <c r="F358" s="84">
        <v>0</v>
      </c>
      <c r="G358" s="84">
        <f>SUM(G355:G357)</f>
        <v>369.64</v>
      </c>
    </row>
    <row r="359" spans="1:7" ht="36">
      <c r="B359" s="39"/>
      <c r="C359" s="63" t="s">
        <v>2576</v>
      </c>
      <c r="D359" s="1027">
        <f>'BASIC DATA'!$C$577</f>
        <v>0.13614999999999999</v>
      </c>
      <c r="E359" s="39"/>
      <c r="F359" s="39"/>
      <c r="G359" s="84">
        <f>ROUND(G358*D359,2)</f>
        <v>50.33</v>
      </c>
    </row>
    <row r="360" spans="1:7">
      <c r="B360" s="39"/>
      <c r="C360" s="39" t="s">
        <v>2162</v>
      </c>
      <c r="D360" s="39">
        <v>5</v>
      </c>
      <c r="E360" s="39" t="s">
        <v>3477</v>
      </c>
      <c r="F360" s="39" t="s">
        <v>1698</v>
      </c>
      <c r="G360" s="84">
        <f>G359+G358</f>
        <v>419.96999999999997</v>
      </c>
    </row>
    <row r="361" spans="1:7">
      <c r="B361" s="39"/>
      <c r="C361" s="39" t="s">
        <v>1585</v>
      </c>
      <c r="D361" s="39"/>
      <c r="E361" s="39"/>
      <c r="F361" s="39"/>
      <c r="G361" s="84">
        <f>ROUND(G360/D360,1)</f>
        <v>84</v>
      </c>
    </row>
    <row r="362" spans="1:7">
      <c r="A362" s="859"/>
      <c r="B362" s="76"/>
      <c r="C362" s="76"/>
      <c r="D362" s="76"/>
      <c r="E362" s="76"/>
      <c r="F362" s="76"/>
    </row>
    <row r="363" spans="1:7">
      <c r="B363" s="76" t="s">
        <v>1827</v>
      </c>
      <c r="C363" s="76"/>
      <c r="D363" s="76"/>
      <c r="E363" s="76" t="s">
        <v>1434</v>
      </c>
      <c r="F363" s="76">
        <v>5</v>
      </c>
      <c r="G363" s="76" t="s">
        <v>3477</v>
      </c>
    </row>
    <row r="364" spans="1:7" ht="36">
      <c r="B364" s="39" t="s">
        <v>3473</v>
      </c>
      <c r="C364" s="39" t="s">
        <v>2378</v>
      </c>
      <c r="D364" s="39" t="s">
        <v>2370</v>
      </c>
      <c r="E364" s="39" t="s">
        <v>1166</v>
      </c>
      <c r="F364" s="63" t="s">
        <v>125</v>
      </c>
      <c r="G364" s="63" t="s">
        <v>2165</v>
      </c>
    </row>
    <row r="365" spans="1:7">
      <c r="B365" s="39">
        <v>1</v>
      </c>
      <c r="C365" s="39" t="s">
        <v>2159</v>
      </c>
      <c r="D365" s="39" t="s">
        <v>2374</v>
      </c>
      <c r="E365" s="39">
        <v>0.06</v>
      </c>
      <c r="F365" s="84">
        <f>'HIRE CHARGES'!D545</f>
        <v>446.7</v>
      </c>
      <c r="G365" s="84">
        <f>ROUND(F365*E365,2)</f>
        <v>26.8</v>
      </c>
    </row>
    <row r="366" spans="1:7">
      <c r="B366" s="39"/>
      <c r="C366" s="39" t="s">
        <v>2160</v>
      </c>
      <c r="D366" s="39" t="s">
        <v>2374</v>
      </c>
      <c r="E366" s="39">
        <v>0.06</v>
      </c>
      <c r="F366" s="84">
        <f>'HIRE CHARGES'!E545</f>
        <v>299.89999999999998</v>
      </c>
      <c r="G366" s="84">
        <f>ROUND(F366*E366,2)</f>
        <v>17.989999999999998</v>
      </c>
    </row>
    <row r="367" spans="1:7">
      <c r="B367" s="39">
        <v>2</v>
      </c>
      <c r="C367" s="39" t="s">
        <v>2161</v>
      </c>
      <c r="D367" s="39" t="s">
        <v>2374</v>
      </c>
      <c r="E367" s="39">
        <v>0.06</v>
      </c>
      <c r="F367" s="84">
        <f>'HIRE CHARGES'!F545</f>
        <v>177.5</v>
      </c>
      <c r="G367" s="84">
        <f>ROUND(F367*E367,2)</f>
        <v>10.65</v>
      </c>
    </row>
    <row r="368" spans="1:7">
      <c r="B368" s="39"/>
      <c r="C368" s="39"/>
      <c r="D368" s="39"/>
      <c r="E368" s="39" t="s">
        <v>126</v>
      </c>
      <c r="F368" s="39"/>
      <c r="G368" s="84">
        <f>SUM(G365:G367)</f>
        <v>55.44</v>
      </c>
    </row>
    <row r="369" spans="1:7" ht="36">
      <c r="B369" s="39"/>
      <c r="C369" s="63" t="s">
        <v>2576</v>
      </c>
      <c r="D369" s="1027">
        <f>'BASIC DATA'!$C$577</f>
        <v>0.13614999999999999</v>
      </c>
      <c r="E369" s="39"/>
      <c r="F369" s="39"/>
      <c r="G369" s="84">
        <f>ROUND(G368*D369,2)</f>
        <v>7.55</v>
      </c>
    </row>
    <row r="370" spans="1:7">
      <c r="B370" s="39"/>
      <c r="C370" s="39" t="s">
        <v>2162</v>
      </c>
      <c r="D370" s="39">
        <v>5</v>
      </c>
      <c r="E370" s="39" t="s">
        <v>3477</v>
      </c>
      <c r="F370" s="39" t="s">
        <v>1698</v>
      </c>
      <c r="G370" s="84">
        <f>G369+G368</f>
        <v>62.989999999999995</v>
      </c>
    </row>
    <row r="371" spans="1:7">
      <c r="B371" s="39"/>
      <c r="C371" s="39" t="s">
        <v>1585</v>
      </c>
      <c r="D371" s="39"/>
      <c r="E371" s="39"/>
      <c r="F371" s="39"/>
      <c r="G371" s="84">
        <f>ROUND(G370/D370,1)</f>
        <v>12.6</v>
      </c>
    </row>
    <row r="372" spans="1:7">
      <c r="A372" s="859"/>
      <c r="B372" s="76"/>
      <c r="C372" s="76"/>
      <c r="D372" s="76"/>
      <c r="E372" s="76"/>
      <c r="F372" s="76"/>
    </row>
    <row r="373" spans="1:7">
      <c r="B373" s="76" t="s">
        <v>1828</v>
      </c>
      <c r="C373" s="76"/>
      <c r="D373" s="76"/>
      <c r="E373" s="76" t="s">
        <v>1434</v>
      </c>
      <c r="F373" s="76">
        <v>5</v>
      </c>
      <c r="G373" s="76" t="s">
        <v>3477</v>
      </c>
    </row>
    <row r="374" spans="1:7" ht="36">
      <c r="B374" s="39" t="s">
        <v>3473</v>
      </c>
      <c r="C374" s="39" t="s">
        <v>2378</v>
      </c>
      <c r="D374" s="39" t="s">
        <v>2370</v>
      </c>
      <c r="E374" s="39" t="s">
        <v>1166</v>
      </c>
      <c r="F374" s="63" t="s">
        <v>125</v>
      </c>
      <c r="G374" s="63" t="s">
        <v>2165</v>
      </c>
    </row>
    <row r="375" spans="1:7">
      <c r="B375" s="39">
        <v>1</v>
      </c>
      <c r="C375" s="39" t="s">
        <v>2159</v>
      </c>
      <c r="D375" s="39" t="s">
        <v>2374</v>
      </c>
      <c r="E375" s="39">
        <v>0.05</v>
      </c>
      <c r="F375" s="84">
        <f>'HIRE CHARGES'!D545</f>
        <v>446.7</v>
      </c>
      <c r="G375" s="84">
        <f>ROUND(F375*E375,2)</f>
        <v>22.34</v>
      </c>
    </row>
    <row r="376" spans="1:7">
      <c r="B376" s="39"/>
      <c r="C376" s="39" t="s">
        <v>2160</v>
      </c>
      <c r="D376" s="39" t="s">
        <v>2374</v>
      </c>
      <c r="E376" s="39">
        <v>0.05</v>
      </c>
      <c r="F376" s="84">
        <f>'HIRE CHARGES'!E545</f>
        <v>299.89999999999998</v>
      </c>
      <c r="G376" s="84">
        <f>ROUND(F376*E376,2)</f>
        <v>15</v>
      </c>
    </row>
    <row r="377" spans="1:7">
      <c r="B377" s="39">
        <v>2</v>
      </c>
      <c r="C377" s="39" t="s">
        <v>2161</v>
      </c>
      <c r="D377" s="39" t="s">
        <v>2374</v>
      </c>
      <c r="E377" s="39">
        <v>0.05</v>
      </c>
      <c r="F377" s="84">
        <f>'HIRE CHARGES'!F545</f>
        <v>177.5</v>
      </c>
      <c r="G377" s="84">
        <f>ROUND(F377*E377,2)</f>
        <v>8.8800000000000008</v>
      </c>
    </row>
    <row r="378" spans="1:7">
      <c r="B378" s="39"/>
      <c r="C378" s="39"/>
      <c r="D378" s="39"/>
      <c r="E378" s="39" t="s">
        <v>126</v>
      </c>
      <c r="F378" s="39"/>
      <c r="G378" s="84">
        <f>SUM(G375:G377)</f>
        <v>46.220000000000006</v>
      </c>
    </row>
    <row r="379" spans="1:7" ht="36">
      <c r="B379" s="39"/>
      <c r="C379" s="63" t="s">
        <v>2576</v>
      </c>
      <c r="D379" s="1027">
        <f>'BASIC DATA'!$C$577</f>
        <v>0.13614999999999999</v>
      </c>
      <c r="E379" s="39"/>
      <c r="F379" s="39"/>
      <c r="G379" s="84">
        <f>ROUND(G378*D379,2)</f>
        <v>6.29</v>
      </c>
    </row>
    <row r="380" spans="1:7">
      <c r="B380" s="39"/>
      <c r="C380" s="39" t="s">
        <v>2162</v>
      </c>
      <c r="D380" s="39">
        <v>5</v>
      </c>
      <c r="E380" s="39" t="s">
        <v>3477</v>
      </c>
      <c r="F380" s="39" t="s">
        <v>1698</v>
      </c>
      <c r="G380" s="84">
        <f>G379+G378</f>
        <v>52.510000000000005</v>
      </c>
    </row>
    <row r="381" spans="1:7">
      <c r="B381" s="39"/>
      <c r="C381" s="39" t="s">
        <v>1585</v>
      </c>
      <c r="D381" s="39"/>
      <c r="E381" s="39"/>
      <c r="F381" s="39"/>
      <c r="G381" s="84">
        <f>ROUND(G380/D380,1)</f>
        <v>10.5</v>
      </c>
    </row>
    <row r="382" spans="1:7">
      <c r="A382" s="859"/>
      <c r="B382" s="76"/>
      <c r="C382" s="76"/>
      <c r="D382" s="76"/>
      <c r="E382" s="76"/>
      <c r="F382" s="76"/>
    </row>
    <row r="383" spans="1:7">
      <c r="B383" s="87" t="s">
        <v>2156</v>
      </c>
      <c r="C383" s="76"/>
      <c r="D383" s="76"/>
      <c r="E383" s="76"/>
      <c r="F383" s="76"/>
      <c r="G383" s="76"/>
    </row>
    <row r="384" spans="1:7">
      <c r="B384" s="76"/>
      <c r="C384" s="76"/>
      <c r="D384" s="76"/>
      <c r="E384" s="76"/>
      <c r="F384" s="76"/>
      <c r="G384" s="76"/>
    </row>
    <row r="385" spans="2:7">
      <c r="B385" s="76" t="s">
        <v>2158</v>
      </c>
      <c r="C385" s="76"/>
      <c r="D385" s="76"/>
      <c r="E385" s="76" t="s">
        <v>1434</v>
      </c>
      <c r="F385" s="101">
        <v>8</v>
      </c>
      <c r="G385" s="76" t="s">
        <v>3480</v>
      </c>
    </row>
    <row r="386" spans="2:7" ht="36">
      <c r="B386" s="39" t="s">
        <v>3473</v>
      </c>
      <c r="C386" s="39" t="s">
        <v>2378</v>
      </c>
      <c r="D386" s="39" t="s">
        <v>2370</v>
      </c>
      <c r="E386" s="39" t="s">
        <v>1166</v>
      </c>
      <c r="F386" s="63" t="s">
        <v>125</v>
      </c>
      <c r="G386" s="63" t="s">
        <v>2165</v>
      </c>
    </row>
    <row r="387" spans="2:7">
      <c r="B387" s="39">
        <v>1</v>
      </c>
      <c r="C387" s="39" t="s">
        <v>1830</v>
      </c>
      <c r="D387" s="39" t="s">
        <v>2374</v>
      </c>
      <c r="E387" s="39">
        <v>0.15</v>
      </c>
      <c r="F387" s="84">
        <f>'HIRE CHARGES'!D549</f>
        <v>414.1</v>
      </c>
      <c r="G387" s="84">
        <f>ROUND(F387*E387,2)</f>
        <v>62.12</v>
      </c>
    </row>
    <row r="388" spans="2:7">
      <c r="B388" s="39"/>
      <c r="C388" s="39" t="s">
        <v>2160</v>
      </c>
      <c r="D388" s="39" t="s">
        <v>2374</v>
      </c>
      <c r="E388" s="39">
        <v>0.15</v>
      </c>
      <c r="F388" s="84">
        <f>'HIRE CHARGES'!E549</f>
        <v>299.89999999999998</v>
      </c>
      <c r="G388" s="84">
        <f>ROUND(F388*E388,2)</f>
        <v>44.99</v>
      </c>
    </row>
    <row r="389" spans="2:7">
      <c r="B389" s="39">
        <v>2</v>
      </c>
      <c r="C389" s="39" t="s">
        <v>2161</v>
      </c>
      <c r="D389" s="39" t="s">
        <v>2374</v>
      </c>
      <c r="E389" s="39">
        <v>0.15</v>
      </c>
      <c r="F389" s="84">
        <f>'HIRE CHARGES'!F549</f>
        <v>177.5</v>
      </c>
      <c r="G389" s="84">
        <f>ROUND(F389*E389,2)</f>
        <v>26.63</v>
      </c>
    </row>
    <row r="390" spans="2:7">
      <c r="B390" s="39"/>
      <c r="C390" s="39"/>
      <c r="D390" s="39"/>
      <c r="E390" s="39" t="s">
        <v>126</v>
      </c>
      <c r="F390" s="39"/>
      <c r="G390" s="84">
        <f>SUM(G387:G389)</f>
        <v>133.74</v>
      </c>
    </row>
    <row r="391" spans="2:7" ht="36">
      <c r="B391" s="39"/>
      <c r="C391" s="63" t="s">
        <v>2576</v>
      </c>
      <c r="D391" s="1027">
        <f>'BASIC DATA'!$C$577</f>
        <v>0.13614999999999999</v>
      </c>
      <c r="E391" s="39"/>
      <c r="F391" s="39"/>
      <c r="G391" s="84">
        <f>ROUND(G390*D391,2)</f>
        <v>18.21</v>
      </c>
    </row>
    <row r="392" spans="2:7">
      <c r="B392" s="39"/>
      <c r="C392" s="39" t="s">
        <v>2162</v>
      </c>
      <c r="D392" s="39">
        <v>8</v>
      </c>
      <c r="E392" s="39" t="s">
        <v>3480</v>
      </c>
      <c r="F392" s="39" t="s">
        <v>1698</v>
      </c>
      <c r="G392" s="84">
        <f>G391+G390</f>
        <v>151.95000000000002</v>
      </c>
    </row>
    <row r="393" spans="2:7">
      <c r="B393" s="39"/>
      <c r="C393" s="39" t="s">
        <v>4021</v>
      </c>
      <c r="D393" s="39"/>
      <c r="E393" s="39"/>
      <c r="F393" s="39"/>
      <c r="G393" s="84">
        <f>ROUND(G392/D392,1)</f>
        <v>19</v>
      </c>
    </row>
    <row r="394" spans="2:7">
      <c r="B394" s="76"/>
      <c r="C394" s="76"/>
      <c r="D394" s="76"/>
      <c r="E394" s="76"/>
      <c r="F394" s="76"/>
      <c r="G394" s="76"/>
    </row>
    <row r="395" spans="2:7">
      <c r="B395" s="76" t="s">
        <v>2163</v>
      </c>
      <c r="C395" s="76"/>
      <c r="D395" s="76"/>
      <c r="E395" s="76" t="s">
        <v>1434</v>
      </c>
      <c r="F395" s="101">
        <v>8</v>
      </c>
      <c r="G395" s="101" t="s">
        <v>3480</v>
      </c>
    </row>
    <row r="396" spans="2:7" ht="36">
      <c r="B396" s="39" t="s">
        <v>3473</v>
      </c>
      <c r="C396" s="39" t="s">
        <v>2378</v>
      </c>
      <c r="D396" s="39" t="s">
        <v>2370</v>
      </c>
      <c r="E396" s="39" t="s">
        <v>1166</v>
      </c>
      <c r="F396" s="63" t="s">
        <v>125</v>
      </c>
      <c r="G396" s="63" t="s">
        <v>2165</v>
      </c>
    </row>
    <row r="397" spans="2:7">
      <c r="B397" s="39">
        <v>1</v>
      </c>
      <c r="C397" s="39" t="s">
        <v>1830</v>
      </c>
      <c r="D397" s="39" t="s">
        <v>2374</v>
      </c>
      <c r="E397" s="39">
        <v>0.21</v>
      </c>
      <c r="F397" s="84">
        <f>'HIRE CHARGES'!D549</f>
        <v>414.1</v>
      </c>
      <c r="G397" s="84">
        <f>ROUND(F397*E397,2)</f>
        <v>86.96</v>
      </c>
    </row>
    <row r="398" spans="2:7">
      <c r="B398" s="39"/>
      <c r="C398" s="39" t="s">
        <v>2160</v>
      </c>
      <c r="D398" s="39" t="s">
        <v>2374</v>
      </c>
      <c r="E398" s="39">
        <v>0.21</v>
      </c>
      <c r="F398" s="84">
        <f>'HIRE CHARGES'!E549</f>
        <v>299.89999999999998</v>
      </c>
      <c r="G398" s="84">
        <f>ROUND(F398*E398,2)</f>
        <v>62.98</v>
      </c>
    </row>
    <row r="399" spans="2:7">
      <c r="B399" s="39">
        <v>2</v>
      </c>
      <c r="C399" s="39" t="s">
        <v>2161</v>
      </c>
      <c r="D399" s="39" t="s">
        <v>2374</v>
      </c>
      <c r="E399" s="39">
        <v>0.21</v>
      </c>
      <c r="F399" s="84">
        <f>'HIRE CHARGES'!F549</f>
        <v>177.5</v>
      </c>
      <c r="G399" s="84">
        <f>ROUND(F399*E399,2)</f>
        <v>37.28</v>
      </c>
    </row>
    <row r="400" spans="2:7">
      <c r="B400" s="39"/>
      <c r="C400" s="39"/>
      <c r="D400" s="39"/>
      <c r="E400" s="39" t="s">
        <v>126</v>
      </c>
      <c r="F400" s="39"/>
      <c r="G400" s="84">
        <f>SUM(G397:G399)</f>
        <v>187.22</v>
      </c>
    </row>
    <row r="401" spans="1:7" ht="36">
      <c r="B401" s="39"/>
      <c r="C401" s="63" t="s">
        <v>2576</v>
      </c>
      <c r="D401" s="1027">
        <f>'BASIC DATA'!$C$577</f>
        <v>0.13614999999999999</v>
      </c>
      <c r="E401" s="39"/>
      <c r="F401" s="39"/>
      <c r="G401" s="84">
        <f>ROUND(G400*D401,2)</f>
        <v>25.49</v>
      </c>
    </row>
    <row r="402" spans="1:7">
      <c r="B402" s="39"/>
      <c r="C402" s="39" t="s">
        <v>2162</v>
      </c>
      <c r="D402" s="39">
        <v>8</v>
      </c>
      <c r="E402" s="39" t="s">
        <v>3480</v>
      </c>
      <c r="F402" s="39" t="s">
        <v>1698</v>
      </c>
      <c r="G402" s="84">
        <f>G401+G400</f>
        <v>212.71</v>
      </c>
    </row>
    <row r="403" spans="1:7">
      <c r="B403" s="39"/>
      <c r="C403" s="39" t="s">
        <v>4021</v>
      </c>
      <c r="D403" s="39"/>
      <c r="E403" s="39"/>
      <c r="F403" s="39"/>
      <c r="G403" s="84">
        <f>ROUND(G402/D402,1)</f>
        <v>26.6</v>
      </c>
    </row>
    <row r="404" spans="1:7">
      <c r="B404" s="76"/>
      <c r="C404" s="76"/>
      <c r="D404" s="76"/>
      <c r="E404" s="76"/>
      <c r="F404" s="76"/>
      <c r="G404" s="76"/>
    </row>
    <row r="405" spans="1:7">
      <c r="B405" s="76" t="s">
        <v>2164</v>
      </c>
      <c r="C405" s="76"/>
      <c r="D405" s="76"/>
      <c r="E405" s="76" t="s">
        <v>1434</v>
      </c>
      <c r="F405" s="101">
        <v>8</v>
      </c>
      <c r="G405" s="101" t="s">
        <v>3480</v>
      </c>
    </row>
    <row r="406" spans="1:7" ht="36">
      <c r="B406" s="39" t="s">
        <v>3473</v>
      </c>
      <c r="C406" s="39" t="s">
        <v>2378</v>
      </c>
      <c r="D406" s="39" t="s">
        <v>2370</v>
      </c>
      <c r="E406" s="39" t="s">
        <v>1166</v>
      </c>
      <c r="F406" s="63" t="s">
        <v>125</v>
      </c>
      <c r="G406" s="63" t="s">
        <v>2165</v>
      </c>
    </row>
    <row r="407" spans="1:7">
      <c r="B407" s="39">
        <v>1</v>
      </c>
      <c r="C407" s="39" t="s">
        <v>2159</v>
      </c>
      <c r="D407" s="39" t="s">
        <v>2374</v>
      </c>
      <c r="E407" s="39">
        <v>0.28000000000000003</v>
      </c>
      <c r="F407" s="84">
        <f>'HIRE CHARGES'!D545</f>
        <v>446.7</v>
      </c>
      <c r="G407" s="84">
        <f>ROUND(F407*E407,2)</f>
        <v>125.08</v>
      </c>
    </row>
    <row r="408" spans="1:7">
      <c r="B408" s="39"/>
      <c r="C408" s="39" t="s">
        <v>2160</v>
      </c>
      <c r="D408" s="39" t="s">
        <v>2374</v>
      </c>
      <c r="E408" s="39">
        <v>0.28000000000000003</v>
      </c>
      <c r="F408" s="84">
        <f>'HIRE CHARGES'!E545</f>
        <v>299.89999999999998</v>
      </c>
      <c r="G408" s="84">
        <f>ROUND(F408*E408,2)</f>
        <v>83.97</v>
      </c>
    </row>
    <row r="409" spans="1:7">
      <c r="B409" s="39">
        <v>2</v>
      </c>
      <c r="C409" s="39" t="s">
        <v>2161</v>
      </c>
      <c r="D409" s="39" t="s">
        <v>2374</v>
      </c>
      <c r="E409" s="39">
        <v>0.28000000000000003</v>
      </c>
      <c r="F409" s="84">
        <f>'HIRE CHARGES'!F545</f>
        <v>177.5</v>
      </c>
      <c r="G409" s="84">
        <f>ROUND(F409*E409,2)</f>
        <v>49.7</v>
      </c>
    </row>
    <row r="410" spans="1:7">
      <c r="B410" s="39"/>
      <c r="C410" s="39"/>
      <c r="D410" s="39"/>
      <c r="E410" s="39" t="s">
        <v>126</v>
      </c>
      <c r="F410" s="39"/>
      <c r="G410" s="84">
        <f>SUM(G407:G409)</f>
        <v>258.75</v>
      </c>
    </row>
    <row r="411" spans="1:7" ht="36">
      <c r="B411" s="39"/>
      <c r="C411" s="63" t="s">
        <v>2576</v>
      </c>
      <c r="D411" s="1027">
        <f>'BASIC DATA'!$C$577</f>
        <v>0.13614999999999999</v>
      </c>
      <c r="E411" s="39"/>
      <c r="F411" s="39"/>
      <c r="G411" s="84">
        <f>ROUND(G410*D411,2)</f>
        <v>35.229999999999997</v>
      </c>
    </row>
    <row r="412" spans="1:7">
      <c r="B412" s="39"/>
      <c r="C412" s="39" t="s">
        <v>2162</v>
      </c>
      <c r="D412" s="39">
        <v>8</v>
      </c>
      <c r="E412" s="39" t="s">
        <v>3480</v>
      </c>
      <c r="F412" s="39" t="s">
        <v>1698</v>
      </c>
      <c r="G412" s="84">
        <f>G411+G410</f>
        <v>293.98</v>
      </c>
    </row>
    <row r="413" spans="1:7">
      <c r="B413" s="39"/>
      <c r="C413" s="39" t="s">
        <v>4021</v>
      </c>
      <c r="D413" s="39"/>
      <c r="E413" s="39"/>
      <c r="F413" s="39"/>
      <c r="G413" s="84">
        <f>ROUND(G412/D412,1)</f>
        <v>36.700000000000003</v>
      </c>
    </row>
    <row r="414" spans="1:7">
      <c r="A414" s="859"/>
      <c r="B414" s="76"/>
      <c r="C414" s="76"/>
      <c r="D414" s="76"/>
      <c r="E414" s="76"/>
      <c r="F414" s="76"/>
    </row>
    <row r="415" spans="1:7">
      <c r="B415" s="76" t="s">
        <v>1825</v>
      </c>
      <c r="C415" s="76"/>
      <c r="D415" s="76"/>
      <c r="E415" s="76" t="s">
        <v>1434</v>
      </c>
      <c r="F415" s="101">
        <v>8</v>
      </c>
      <c r="G415" s="101" t="s">
        <v>3480</v>
      </c>
    </row>
    <row r="416" spans="1:7" ht="36">
      <c r="B416" s="39" t="s">
        <v>3473</v>
      </c>
      <c r="C416" s="39" t="s">
        <v>2378</v>
      </c>
      <c r="D416" s="39" t="s">
        <v>2370</v>
      </c>
      <c r="E416" s="39" t="s">
        <v>1166</v>
      </c>
      <c r="F416" s="63" t="s">
        <v>125</v>
      </c>
      <c r="G416" s="63" t="s">
        <v>2165</v>
      </c>
    </row>
    <row r="417" spans="2:7">
      <c r="B417" s="39">
        <v>1</v>
      </c>
      <c r="C417" s="39" t="s">
        <v>2159</v>
      </c>
      <c r="D417" s="39" t="s">
        <v>2374</v>
      </c>
      <c r="E417" s="39">
        <v>0.34</v>
      </c>
      <c r="F417" s="84">
        <f>'HIRE CHARGES'!D545</f>
        <v>446.7</v>
      </c>
      <c r="G417" s="84">
        <f>ROUND(F417*E417,2)</f>
        <v>151.88</v>
      </c>
    </row>
    <row r="418" spans="2:7">
      <c r="B418" s="39"/>
      <c r="C418" s="39" t="s">
        <v>2160</v>
      </c>
      <c r="D418" s="39" t="s">
        <v>2374</v>
      </c>
      <c r="E418" s="39">
        <v>0.34</v>
      </c>
      <c r="F418" s="84">
        <f>'HIRE CHARGES'!E545</f>
        <v>299.89999999999998</v>
      </c>
      <c r="G418" s="84">
        <f>ROUND(F418*E418,2)</f>
        <v>101.97</v>
      </c>
    </row>
    <row r="419" spans="2:7">
      <c r="B419" s="39">
        <v>2</v>
      </c>
      <c r="C419" s="39" t="s">
        <v>2161</v>
      </c>
      <c r="D419" s="39" t="s">
        <v>2374</v>
      </c>
      <c r="E419" s="39">
        <v>0.34</v>
      </c>
      <c r="F419" s="84">
        <f>'HIRE CHARGES'!F545</f>
        <v>177.5</v>
      </c>
      <c r="G419" s="84">
        <f>ROUND(F419*E419,2)</f>
        <v>60.35</v>
      </c>
    </row>
    <row r="420" spans="2:7">
      <c r="B420" s="39"/>
      <c r="C420" s="39"/>
      <c r="D420" s="39"/>
      <c r="E420" s="39" t="s">
        <v>126</v>
      </c>
      <c r="F420" s="39"/>
      <c r="G420" s="84">
        <f>SUM(G417:G419)</f>
        <v>314.2</v>
      </c>
    </row>
    <row r="421" spans="2:7" ht="36">
      <c r="B421" s="39"/>
      <c r="C421" s="63" t="s">
        <v>2576</v>
      </c>
      <c r="D421" s="1027">
        <f>'BASIC DATA'!$C$577</f>
        <v>0.13614999999999999</v>
      </c>
      <c r="E421" s="39"/>
      <c r="F421" s="39"/>
      <c r="G421" s="84">
        <f>ROUND(G420*D421,2)</f>
        <v>42.78</v>
      </c>
    </row>
    <row r="422" spans="2:7">
      <c r="B422" s="39"/>
      <c r="C422" s="39" t="s">
        <v>2162</v>
      </c>
      <c r="D422" s="39">
        <v>8</v>
      </c>
      <c r="E422" s="39" t="s">
        <v>3480</v>
      </c>
      <c r="F422" s="39" t="s">
        <v>1698</v>
      </c>
      <c r="G422" s="84">
        <f>G421+G420</f>
        <v>356.98</v>
      </c>
    </row>
    <row r="423" spans="2:7">
      <c r="B423" s="39"/>
      <c r="C423" s="39" t="s">
        <v>4021</v>
      </c>
      <c r="D423" s="39"/>
      <c r="E423" s="39"/>
      <c r="F423" s="39"/>
      <c r="G423" s="84">
        <f>ROUND(G422/D422,1)</f>
        <v>44.6</v>
      </c>
    </row>
    <row r="424" spans="2:7">
      <c r="B424" s="76"/>
      <c r="C424" s="76"/>
      <c r="D424" s="76"/>
      <c r="E424" s="76"/>
      <c r="F424" s="76"/>
      <c r="G424" s="76"/>
    </row>
    <row r="425" spans="2:7">
      <c r="B425" s="76" t="s">
        <v>1826</v>
      </c>
      <c r="C425" s="76"/>
      <c r="D425" s="76"/>
      <c r="E425" s="76" t="s">
        <v>1434</v>
      </c>
      <c r="F425" s="101">
        <v>8</v>
      </c>
      <c r="G425" s="101" t="s">
        <v>3480</v>
      </c>
    </row>
    <row r="426" spans="2:7" ht="36">
      <c r="B426" s="39" t="s">
        <v>3473</v>
      </c>
      <c r="C426" s="39" t="s">
        <v>2378</v>
      </c>
      <c r="D426" s="39" t="s">
        <v>2370</v>
      </c>
      <c r="E426" s="39" t="s">
        <v>1166</v>
      </c>
      <c r="F426" s="63" t="s">
        <v>125</v>
      </c>
      <c r="G426" s="63" t="s">
        <v>2165</v>
      </c>
    </row>
    <row r="427" spans="2:7">
      <c r="B427" s="39">
        <v>1</v>
      </c>
      <c r="C427" s="39" t="s">
        <v>2159</v>
      </c>
      <c r="D427" s="39" t="s">
        <v>2374</v>
      </c>
      <c r="E427" s="39">
        <v>0.4</v>
      </c>
      <c r="F427" s="84">
        <f>'HIRE CHARGES'!D545</f>
        <v>446.7</v>
      </c>
      <c r="G427" s="84">
        <f>ROUND(F427*E427,2)</f>
        <v>178.68</v>
      </c>
    </row>
    <row r="428" spans="2:7">
      <c r="B428" s="39"/>
      <c r="C428" s="39" t="s">
        <v>2160</v>
      </c>
      <c r="D428" s="39" t="s">
        <v>2374</v>
      </c>
      <c r="E428" s="39">
        <v>0.4</v>
      </c>
      <c r="F428" s="84">
        <f>'HIRE CHARGES'!E545</f>
        <v>299.89999999999998</v>
      </c>
      <c r="G428" s="84">
        <f>ROUND(F428*E428,2)</f>
        <v>119.96</v>
      </c>
    </row>
    <row r="429" spans="2:7">
      <c r="B429" s="39">
        <v>2</v>
      </c>
      <c r="C429" s="39" t="s">
        <v>2161</v>
      </c>
      <c r="D429" s="39" t="s">
        <v>2374</v>
      </c>
      <c r="E429" s="39">
        <v>0.4</v>
      </c>
      <c r="F429" s="84">
        <f>'HIRE CHARGES'!F545</f>
        <v>177.5</v>
      </c>
      <c r="G429" s="84">
        <f>ROUND(F429*E429,2)</f>
        <v>71</v>
      </c>
    </row>
    <row r="430" spans="2:7">
      <c r="B430" s="39"/>
      <c r="C430" s="39"/>
      <c r="D430" s="39"/>
      <c r="E430" s="39" t="s">
        <v>126</v>
      </c>
      <c r="F430" s="39"/>
      <c r="G430" s="84">
        <f>SUM(G427:G429)</f>
        <v>369.64</v>
      </c>
    </row>
    <row r="431" spans="2:7" ht="36">
      <c r="B431" s="39"/>
      <c r="C431" s="63" t="s">
        <v>2576</v>
      </c>
      <c r="D431" s="1027">
        <f>'BASIC DATA'!$C$577</f>
        <v>0.13614999999999999</v>
      </c>
      <c r="E431" s="39"/>
      <c r="F431" s="39"/>
      <c r="G431" s="84">
        <f>ROUND(G430*D431,2)</f>
        <v>50.33</v>
      </c>
    </row>
    <row r="432" spans="2:7">
      <c r="B432" s="39"/>
      <c r="C432" s="39" t="s">
        <v>2162</v>
      </c>
      <c r="D432" s="39">
        <v>8</v>
      </c>
      <c r="E432" s="39" t="s">
        <v>3480</v>
      </c>
      <c r="F432" s="39" t="s">
        <v>1698</v>
      </c>
      <c r="G432" s="84">
        <f>G431+G430</f>
        <v>419.96999999999997</v>
      </c>
    </row>
    <row r="433" spans="2:7">
      <c r="B433" s="39"/>
      <c r="C433" s="39" t="s">
        <v>4021</v>
      </c>
      <c r="D433" s="39"/>
      <c r="E433" s="39"/>
      <c r="F433" s="39"/>
      <c r="G433" s="84">
        <f>ROUND(G432/D432,1)</f>
        <v>52.5</v>
      </c>
    </row>
    <row r="434" spans="2:7">
      <c r="B434" s="76"/>
      <c r="C434" s="76"/>
      <c r="D434" s="76"/>
      <c r="E434" s="76"/>
      <c r="F434" s="76"/>
      <c r="G434" s="76"/>
    </row>
    <row r="435" spans="2:7">
      <c r="B435" s="76" t="s">
        <v>1827</v>
      </c>
      <c r="C435" s="76"/>
      <c r="D435" s="76"/>
      <c r="E435" s="76" t="s">
        <v>1434</v>
      </c>
      <c r="F435" s="101">
        <v>8</v>
      </c>
      <c r="G435" s="101" t="s">
        <v>3480</v>
      </c>
    </row>
    <row r="436" spans="2:7" ht="36">
      <c r="B436" s="39" t="s">
        <v>3473</v>
      </c>
      <c r="C436" s="39" t="s">
        <v>2378</v>
      </c>
      <c r="D436" s="39" t="s">
        <v>2370</v>
      </c>
      <c r="E436" s="39" t="s">
        <v>1166</v>
      </c>
      <c r="F436" s="63" t="s">
        <v>125</v>
      </c>
      <c r="G436" s="63" t="s">
        <v>2165</v>
      </c>
    </row>
    <row r="437" spans="2:7">
      <c r="B437" s="39">
        <v>1</v>
      </c>
      <c r="C437" s="39" t="s">
        <v>2159</v>
      </c>
      <c r="D437" s="39" t="s">
        <v>2374</v>
      </c>
      <c r="E437" s="39">
        <v>0.06</v>
      </c>
      <c r="F437" s="84">
        <f>'HIRE CHARGES'!D545</f>
        <v>446.7</v>
      </c>
      <c r="G437" s="84">
        <f>ROUND(F437*E437,2)</f>
        <v>26.8</v>
      </c>
    </row>
    <row r="438" spans="2:7">
      <c r="B438" s="39"/>
      <c r="C438" s="39" t="s">
        <v>2160</v>
      </c>
      <c r="D438" s="39" t="s">
        <v>2374</v>
      </c>
      <c r="E438" s="39">
        <v>0.06</v>
      </c>
      <c r="F438" s="84">
        <f>'HIRE CHARGES'!E545</f>
        <v>299.89999999999998</v>
      </c>
      <c r="G438" s="84">
        <f>ROUND(F438*E438,2)</f>
        <v>17.989999999999998</v>
      </c>
    </row>
    <row r="439" spans="2:7">
      <c r="B439" s="39">
        <v>2</v>
      </c>
      <c r="C439" s="39" t="s">
        <v>2161</v>
      </c>
      <c r="D439" s="39" t="s">
        <v>2374</v>
      </c>
      <c r="E439" s="39">
        <v>0.06</v>
      </c>
      <c r="F439" s="84">
        <f>'HIRE CHARGES'!F545</f>
        <v>177.5</v>
      </c>
      <c r="G439" s="84">
        <f>ROUND(F439*E439,2)</f>
        <v>10.65</v>
      </c>
    </row>
    <row r="440" spans="2:7">
      <c r="B440" s="39"/>
      <c r="C440" s="39"/>
      <c r="D440" s="39"/>
      <c r="E440" s="39" t="s">
        <v>126</v>
      </c>
      <c r="F440" s="39"/>
      <c r="G440" s="84">
        <f>SUM(G437:G439)</f>
        <v>55.44</v>
      </c>
    </row>
    <row r="441" spans="2:7" ht="36">
      <c r="B441" s="39"/>
      <c r="C441" s="63" t="s">
        <v>2576</v>
      </c>
      <c r="D441" s="1027">
        <f>'BASIC DATA'!$C$577</f>
        <v>0.13614999999999999</v>
      </c>
      <c r="E441" s="39"/>
      <c r="F441" s="39"/>
      <c r="G441" s="84">
        <f>ROUND(G440*D441,2)</f>
        <v>7.55</v>
      </c>
    </row>
    <row r="442" spans="2:7">
      <c r="B442" s="39"/>
      <c r="C442" s="39" t="s">
        <v>2162</v>
      </c>
      <c r="D442" s="39">
        <v>8</v>
      </c>
      <c r="E442" s="39" t="s">
        <v>3480</v>
      </c>
      <c r="F442" s="39" t="s">
        <v>1698</v>
      </c>
      <c r="G442" s="84">
        <f>G441+G440</f>
        <v>62.989999999999995</v>
      </c>
    </row>
    <row r="443" spans="2:7">
      <c r="B443" s="39"/>
      <c r="C443" s="39" t="s">
        <v>4021</v>
      </c>
      <c r="D443" s="39"/>
      <c r="E443" s="39"/>
      <c r="F443" s="39"/>
      <c r="G443" s="84">
        <f>ROUND(G442/D442,1)</f>
        <v>7.9</v>
      </c>
    </row>
    <row r="444" spans="2:7">
      <c r="B444" s="76"/>
      <c r="C444" s="76"/>
      <c r="D444" s="76"/>
      <c r="E444" s="76"/>
      <c r="F444" s="76"/>
      <c r="G444" s="76"/>
    </row>
    <row r="445" spans="2:7">
      <c r="B445" s="76" t="s">
        <v>1828</v>
      </c>
      <c r="C445" s="76"/>
      <c r="D445" s="76"/>
      <c r="E445" s="76" t="s">
        <v>1434</v>
      </c>
      <c r="F445" s="101">
        <v>8</v>
      </c>
      <c r="G445" s="101" t="s">
        <v>3480</v>
      </c>
    </row>
    <row r="446" spans="2:7" ht="36">
      <c r="B446" s="39" t="s">
        <v>3473</v>
      </c>
      <c r="C446" s="39" t="s">
        <v>2378</v>
      </c>
      <c r="D446" s="39" t="s">
        <v>2370</v>
      </c>
      <c r="E446" s="39" t="s">
        <v>1166</v>
      </c>
      <c r="F446" s="63" t="s">
        <v>125</v>
      </c>
      <c r="G446" s="63" t="s">
        <v>2165</v>
      </c>
    </row>
    <row r="447" spans="2:7">
      <c r="B447" s="39">
        <v>1</v>
      </c>
      <c r="C447" s="39" t="s">
        <v>2159</v>
      </c>
      <c r="D447" s="39" t="s">
        <v>2374</v>
      </c>
      <c r="E447" s="39">
        <v>0.05</v>
      </c>
      <c r="F447" s="84">
        <f>'HIRE CHARGES'!D545</f>
        <v>446.7</v>
      </c>
      <c r="G447" s="84">
        <f>ROUND(F447*E447,2)</f>
        <v>22.34</v>
      </c>
    </row>
    <row r="448" spans="2:7">
      <c r="B448" s="39"/>
      <c r="C448" s="39" t="s">
        <v>2160</v>
      </c>
      <c r="D448" s="39" t="s">
        <v>2374</v>
      </c>
      <c r="E448" s="39">
        <v>0.05</v>
      </c>
      <c r="F448" s="84">
        <f>'HIRE CHARGES'!E545</f>
        <v>299.89999999999998</v>
      </c>
      <c r="G448" s="84">
        <f>ROUND(F448*E448,2)</f>
        <v>15</v>
      </c>
    </row>
    <row r="449" spans="2:7">
      <c r="B449" s="39">
        <v>2</v>
      </c>
      <c r="C449" s="39" t="s">
        <v>2161</v>
      </c>
      <c r="D449" s="39" t="s">
        <v>2374</v>
      </c>
      <c r="E449" s="39">
        <v>0.05</v>
      </c>
      <c r="F449" s="84">
        <f>'HIRE CHARGES'!F545</f>
        <v>177.5</v>
      </c>
      <c r="G449" s="84">
        <f>ROUND(F449*E449,2)</f>
        <v>8.8800000000000008</v>
      </c>
    </row>
    <row r="450" spans="2:7">
      <c r="B450" s="39"/>
      <c r="C450" s="39"/>
      <c r="D450" s="39"/>
      <c r="E450" s="39" t="s">
        <v>126</v>
      </c>
      <c r="F450" s="39"/>
      <c r="G450" s="84">
        <f>SUM(G447:G449)</f>
        <v>46.220000000000006</v>
      </c>
    </row>
    <row r="451" spans="2:7" ht="36">
      <c r="B451" s="39"/>
      <c r="C451" s="63" t="s">
        <v>2576</v>
      </c>
      <c r="D451" s="1027">
        <f>'BASIC DATA'!$C$577</f>
        <v>0.13614999999999999</v>
      </c>
      <c r="E451" s="39"/>
      <c r="F451" s="39"/>
      <c r="G451" s="84">
        <f>ROUND(G450*D451,2)</f>
        <v>6.29</v>
      </c>
    </row>
    <row r="452" spans="2:7">
      <c r="B452" s="39"/>
      <c r="C452" s="39" t="s">
        <v>2162</v>
      </c>
      <c r="D452" s="39">
        <v>8</v>
      </c>
      <c r="E452" s="39" t="s">
        <v>3480</v>
      </c>
      <c r="F452" s="39" t="s">
        <v>1698</v>
      </c>
      <c r="G452" s="84">
        <f>G451+G450</f>
        <v>52.510000000000005</v>
      </c>
    </row>
    <row r="453" spans="2:7">
      <c r="B453" s="39"/>
      <c r="C453" s="39" t="s">
        <v>4021</v>
      </c>
      <c r="D453" s="39"/>
      <c r="E453" s="39"/>
      <c r="F453" s="39"/>
      <c r="G453" s="84">
        <f>ROUND(G452/D452,1)</f>
        <v>6.6</v>
      </c>
    </row>
    <row r="454" spans="2:7">
      <c r="B454" s="76"/>
      <c r="C454" s="76"/>
      <c r="D454" s="76"/>
      <c r="E454" s="76"/>
      <c r="F454" s="76"/>
      <c r="G454" s="76"/>
    </row>
    <row r="455" spans="2:7">
      <c r="B455" s="87" t="s">
        <v>1831</v>
      </c>
      <c r="C455" s="76"/>
      <c r="D455" s="76"/>
      <c r="E455" s="76"/>
      <c r="F455" s="76"/>
      <c r="G455" s="76"/>
    </row>
    <row r="456" spans="2:7">
      <c r="B456" s="76"/>
      <c r="C456" s="76"/>
      <c r="D456" s="76"/>
      <c r="E456" s="76"/>
      <c r="F456" s="76"/>
      <c r="G456" s="76"/>
    </row>
    <row r="457" spans="2:7">
      <c r="B457" s="76" t="s">
        <v>2158</v>
      </c>
      <c r="C457" s="76"/>
      <c r="D457" s="76"/>
      <c r="E457" s="76" t="s">
        <v>1434</v>
      </c>
      <c r="F457" s="101">
        <v>3.4</v>
      </c>
      <c r="G457" s="76" t="s">
        <v>3477</v>
      </c>
    </row>
    <row r="458" spans="2:7" ht="36">
      <c r="B458" s="39" t="s">
        <v>3473</v>
      </c>
      <c r="C458" s="39" t="s">
        <v>2378</v>
      </c>
      <c r="D458" s="39" t="s">
        <v>2370</v>
      </c>
      <c r="E458" s="39" t="s">
        <v>1166</v>
      </c>
      <c r="F458" s="63" t="s">
        <v>125</v>
      </c>
      <c r="G458" s="63" t="s">
        <v>2165</v>
      </c>
    </row>
    <row r="459" spans="2:7">
      <c r="B459" s="39">
        <v>1</v>
      </c>
      <c r="C459" s="39" t="s">
        <v>1830</v>
      </c>
      <c r="D459" s="39" t="s">
        <v>2374</v>
      </c>
      <c r="E459" s="39">
        <v>0.15</v>
      </c>
      <c r="F459" s="84">
        <f>'HIRE CHARGES'!D549</f>
        <v>414.1</v>
      </c>
      <c r="G459" s="84">
        <f>ROUND(F459*E459,2)</f>
        <v>62.12</v>
      </c>
    </row>
    <row r="460" spans="2:7">
      <c r="B460" s="39"/>
      <c r="C460" s="39" t="s">
        <v>2160</v>
      </c>
      <c r="D460" s="39" t="s">
        <v>2374</v>
      </c>
      <c r="E460" s="39">
        <v>0.15</v>
      </c>
      <c r="F460" s="84">
        <f>'HIRE CHARGES'!E549</f>
        <v>299.89999999999998</v>
      </c>
      <c r="G460" s="84">
        <f>ROUND(F460*E460,2)</f>
        <v>44.99</v>
      </c>
    </row>
    <row r="461" spans="2:7">
      <c r="B461" s="39">
        <v>2</v>
      </c>
      <c r="C461" s="39" t="s">
        <v>2161</v>
      </c>
      <c r="D461" s="39" t="s">
        <v>2374</v>
      </c>
      <c r="E461" s="39">
        <v>0.15</v>
      </c>
      <c r="F461" s="84">
        <f>'HIRE CHARGES'!F549</f>
        <v>177.5</v>
      </c>
      <c r="G461" s="84">
        <f>ROUND(F461*E461,2)</f>
        <v>26.63</v>
      </c>
    </row>
    <row r="462" spans="2:7">
      <c r="B462" s="39"/>
      <c r="C462" s="39"/>
      <c r="D462" s="39"/>
      <c r="E462" s="39" t="s">
        <v>126</v>
      </c>
      <c r="F462" s="39"/>
      <c r="G462" s="84">
        <f>SUM(G459:G461)</f>
        <v>133.74</v>
      </c>
    </row>
    <row r="463" spans="2:7" ht="36">
      <c r="B463" s="39"/>
      <c r="C463" s="63" t="s">
        <v>2576</v>
      </c>
      <c r="D463" s="1027">
        <f>'BASIC DATA'!$C$577</f>
        <v>0.13614999999999999</v>
      </c>
      <c r="E463" s="39"/>
      <c r="F463" s="39"/>
      <c r="G463" s="84">
        <f>ROUND(G462*D463,2)</f>
        <v>18.21</v>
      </c>
    </row>
    <row r="464" spans="2:7">
      <c r="B464" s="39"/>
      <c r="C464" s="39" t="s">
        <v>2162</v>
      </c>
      <c r="D464" s="127">
        <v>3.4</v>
      </c>
      <c r="E464" s="39" t="s">
        <v>3477</v>
      </c>
      <c r="F464" s="39" t="s">
        <v>1698</v>
      </c>
      <c r="G464" s="84">
        <f>G463+G462</f>
        <v>151.95000000000002</v>
      </c>
    </row>
    <row r="465" spans="1:7">
      <c r="B465" s="39"/>
      <c r="C465" s="39" t="s">
        <v>1585</v>
      </c>
      <c r="D465" s="39"/>
      <c r="E465" s="39"/>
      <c r="F465" s="39"/>
      <c r="G465" s="84">
        <f>ROUND(G464/D464,1)</f>
        <v>44.7</v>
      </c>
    </row>
    <row r="466" spans="1:7">
      <c r="A466" s="859"/>
      <c r="B466" s="76"/>
      <c r="C466" s="76"/>
      <c r="D466" s="76"/>
      <c r="E466" s="76"/>
      <c r="F466" s="76"/>
    </row>
    <row r="467" spans="1:7">
      <c r="B467" s="76" t="s">
        <v>2163</v>
      </c>
      <c r="C467" s="76"/>
      <c r="D467" s="76"/>
      <c r="E467" s="76" t="s">
        <v>1434</v>
      </c>
      <c r="F467" s="101">
        <v>3.4</v>
      </c>
      <c r="G467" s="76" t="s">
        <v>3477</v>
      </c>
    </row>
    <row r="468" spans="1:7" ht="36">
      <c r="B468" s="39" t="s">
        <v>3473</v>
      </c>
      <c r="C468" s="39" t="s">
        <v>2378</v>
      </c>
      <c r="D468" s="39" t="s">
        <v>2370</v>
      </c>
      <c r="E468" s="39" t="s">
        <v>1166</v>
      </c>
      <c r="F468" s="63" t="s">
        <v>125</v>
      </c>
      <c r="G468" s="63" t="s">
        <v>2165</v>
      </c>
    </row>
    <row r="469" spans="1:7">
      <c r="B469" s="39">
        <v>1</v>
      </c>
      <c r="C469" s="39" t="s">
        <v>1830</v>
      </c>
      <c r="D469" s="39" t="s">
        <v>2374</v>
      </c>
      <c r="E469" s="39">
        <v>0.21</v>
      </c>
      <c r="F469" s="84">
        <f>'HIRE CHARGES'!D549</f>
        <v>414.1</v>
      </c>
      <c r="G469" s="84">
        <f>ROUND(F469*E469,2)</f>
        <v>86.96</v>
      </c>
    </row>
    <row r="470" spans="1:7">
      <c r="B470" s="39"/>
      <c r="C470" s="39" t="s">
        <v>2160</v>
      </c>
      <c r="D470" s="39" t="s">
        <v>2374</v>
      </c>
      <c r="E470" s="39">
        <v>0.21</v>
      </c>
      <c r="F470" s="84">
        <f>'HIRE CHARGES'!E549</f>
        <v>299.89999999999998</v>
      </c>
      <c r="G470" s="84">
        <f>ROUND(F470*E470,2)</f>
        <v>62.98</v>
      </c>
    </row>
    <row r="471" spans="1:7">
      <c r="B471" s="39">
        <v>2</v>
      </c>
      <c r="C471" s="39" t="s">
        <v>2161</v>
      </c>
      <c r="D471" s="39" t="s">
        <v>2374</v>
      </c>
      <c r="E471" s="39">
        <v>0.21</v>
      </c>
      <c r="F471" s="84">
        <f>'HIRE CHARGES'!F549</f>
        <v>177.5</v>
      </c>
      <c r="G471" s="84">
        <f>ROUND(F471*E471,2)</f>
        <v>37.28</v>
      </c>
    </row>
    <row r="472" spans="1:7">
      <c r="B472" s="39"/>
      <c r="C472" s="39"/>
      <c r="D472" s="39"/>
      <c r="E472" s="39" t="s">
        <v>126</v>
      </c>
      <c r="F472" s="39"/>
      <c r="G472" s="84">
        <f>SUM(G469:G471)</f>
        <v>187.22</v>
      </c>
    </row>
    <row r="473" spans="1:7" ht="36">
      <c r="B473" s="39"/>
      <c r="C473" s="63" t="s">
        <v>2576</v>
      </c>
      <c r="D473" s="1027">
        <f>'BASIC DATA'!$C$577</f>
        <v>0.13614999999999999</v>
      </c>
      <c r="E473" s="39"/>
      <c r="F473" s="39"/>
      <c r="G473" s="84">
        <f>ROUND(G472*D473,2)</f>
        <v>25.49</v>
      </c>
    </row>
    <row r="474" spans="1:7">
      <c r="B474" s="39"/>
      <c r="C474" s="39" t="s">
        <v>2162</v>
      </c>
      <c r="D474" s="101">
        <v>3.4</v>
      </c>
      <c r="E474" s="76" t="s">
        <v>3477</v>
      </c>
      <c r="F474" s="39" t="s">
        <v>1698</v>
      </c>
      <c r="G474" s="84">
        <f>G473+G472</f>
        <v>212.71</v>
      </c>
    </row>
    <row r="475" spans="1:7">
      <c r="B475" s="39"/>
      <c r="C475" s="39" t="s">
        <v>1585</v>
      </c>
      <c r="D475" s="39"/>
      <c r="E475" s="39"/>
      <c r="F475" s="39"/>
      <c r="G475" s="84">
        <f>ROUND(G474/D474,1)</f>
        <v>62.6</v>
      </c>
    </row>
    <row r="476" spans="1:7">
      <c r="B476" s="76"/>
      <c r="C476" s="76"/>
      <c r="D476" s="76"/>
      <c r="E476" s="76"/>
      <c r="F476" s="76"/>
      <c r="G476" s="76"/>
    </row>
    <row r="477" spans="1:7">
      <c r="B477" s="76" t="s">
        <v>2164</v>
      </c>
      <c r="C477" s="76"/>
      <c r="D477" s="76"/>
      <c r="E477" s="76" t="s">
        <v>1434</v>
      </c>
      <c r="F477" s="101">
        <v>3.4</v>
      </c>
      <c r="G477" s="76" t="s">
        <v>3477</v>
      </c>
    </row>
    <row r="478" spans="1:7" ht="36">
      <c r="B478" s="39" t="s">
        <v>3473</v>
      </c>
      <c r="C478" s="39" t="s">
        <v>2378</v>
      </c>
      <c r="D478" s="39" t="s">
        <v>2370</v>
      </c>
      <c r="E478" s="39" t="s">
        <v>1166</v>
      </c>
      <c r="F478" s="63" t="s">
        <v>125</v>
      </c>
      <c r="G478" s="63" t="s">
        <v>2165</v>
      </c>
    </row>
    <row r="479" spans="1:7">
      <c r="B479" s="39">
        <v>1</v>
      </c>
      <c r="C479" s="39" t="s">
        <v>2159</v>
      </c>
      <c r="D479" s="39" t="s">
        <v>2374</v>
      </c>
      <c r="E479" s="39">
        <v>0.28000000000000003</v>
      </c>
      <c r="F479" s="84">
        <f>'HIRE CHARGES'!D545</f>
        <v>446.7</v>
      </c>
      <c r="G479" s="84">
        <f>ROUND(F479*E479,2)</f>
        <v>125.08</v>
      </c>
    </row>
    <row r="480" spans="1:7">
      <c r="B480" s="39"/>
      <c r="C480" s="39" t="s">
        <v>2160</v>
      </c>
      <c r="D480" s="39" t="s">
        <v>2374</v>
      </c>
      <c r="E480" s="39">
        <v>0.28000000000000003</v>
      </c>
      <c r="F480" s="84">
        <f>'HIRE CHARGES'!E545</f>
        <v>299.89999999999998</v>
      </c>
      <c r="G480" s="84">
        <f>ROUND(F480*E480,2)</f>
        <v>83.97</v>
      </c>
    </row>
    <row r="481" spans="2:7">
      <c r="B481" s="39">
        <v>2</v>
      </c>
      <c r="C481" s="39" t="s">
        <v>2161</v>
      </c>
      <c r="D481" s="39" t="s">
        <v>2374</v>
      </c>
      <c r="E481" s="39">
        <v>0.28000000000000003</v>
      </c>
      <c r="F481" s="84">
        <f>'HIRE CHARGES'!F545</f>
        <v>177.5</v>
      </c>
      <c r="G481" s="84">
        <f>ROUND(F481*E481,2)</f>
        <v>49.7</v>
      </c>
    </row>
    <row r="482" spans="2:7">
      <c r="B482" s="39"/>
      <c r="C482" s="39"/>
      <c r="D482" s="39"/>
      <c r="E482" s="39" t="s">
        <v>126</v>
      </c>
      <c r="F482" s="39"/>
      <c r="G482" s="84">
        <f>SUM(G479:G481)</f>
        <v>258.75</v>
      </c>
    </row>
    <row r="483" spans="2:7" ht="36">
      <c r="B483" s="39"/>
      <c r="C483" s="63" t="s">
        <v>2576</v>
      </c>
      <c r="D483" s="1027">
        <f>'BASIC DATA'!$C$577</f>
        <v>0.13614999999999999</v>
      </c>
      <c r="E483" s="39"/>
      <c r="F483" s="39"/>
      <c r="G483" s="84">
        <f>ROUND(G482*D483,2)</f>
        <v>35.229999999999997</v>
      </c>
    </row>
    <row r="484" spans="2:7">
      <c r="B484" s="39"/>
      <c r="C484" s="39" t="s">
        <v>2162</v>
      </c>
      <c r="D484" s="101">
        <v>3.4</v>
      </c>
      <c r="E484" s="76" t="s">
        <v>3477</v>
      </c>
      <c r="F484" s="39" t="s">
        <v>1698</v>
      </c>
      <c r="G484" s="84">
        <f>G483+G482</f>
        <v>293.98</v>
      </c>
    </row>
    <row r="485" spans="2:7">
      <c r="B485" s="39"/>
      <c r="C485" s="39" t="s">
        <v>1585</v>
      </c>
      <c r="D485" s="39"/>
      <c r="E485" s="39"/>
      <c r="F485" s="39"/>
      <c r="G485" s="84">
        <f>ROUND(G484/D484,1)</f>
        <v>86.5</v>
      </c>
    </row>
    <row r="486" spans="2:7">
      <c r="B486" s="76"/>
      <c r="C486" s="76"/>
      <c r="D486" s="76"/>
      <c r="E486" s="76"/>
      <c r="F486" s="76"/>
      <c r="G486" s="76"/>
    </row>
    <row r="487" spans="2:7">
      <c r="B487" s="76" t="s">
        <v>1825</v>
      </c>
      <c r="C487" s="76"/>
      <c r="D487" s="76"/>
      <c r="E487" s="76" t="s">
        <v>1434</v>
      </c>
      <c r="F487" s="101">
        <v>3.4</v>
      </c>
      <c r="G487" s="76" t="s">
        <v>3477</v>
      </c>
    </row>
    <row r="488" spans="2:7" ht="36">
      <c r="B488" s="39" t="s">
        <v>3473</v>
      </c>
      <c r="C488" s="39" t="s">
        <v>2378</v>
      </c>
      <c r="D488" s="39" t="s">
        <v>2370</v>
      </c>
      <c r="E488" s="39" t="s">
        <v>1166</v>
      </c>
      <c r="F488" s="63" t="s">
        <v>125</v>
      </c>
      <c r="G488" s="63" t="s">
        <v>2165</v>
      </c>
    </row>
    <row r="489" spans="2:7">
      <c r="B489" s="39">
        <v>1</v>
      </c>
      <c r="C489" s="39" t="s">
        <v>2159</v>
      </c>
      <c r="D489" s="39" t="s">
        <v>2374</v>
      </c>
      <c r="E489" s="39">
        <v>0.34</v>
      </c>
      <c r="F489" s="84">
        <f>'HIRE CHARGES'!D545</f>
        <v>446.7</v>
      </c>
      <c r="G489" s="84">
        <f>ROUND(F489*E489,2)</f>
        <v>151.88</v>
      </c>
    </row>
    <row r="490" spans="2:7">
      <c r="B490" s="39"/>
      <c r="C490" s="39" t="s">
        <v>2160</v>
      </c>
      <c r="D490" s="39" t="s">
        <v>2374</v>
      </c>
      <c r="E490" s="39">
        <v>0.34</v>
      </c>
      <c r="F490" s="84">
        <f>'HIRE CHARGES'!E545</f>
        <v>299.89999999999998</v>
      </c>
      <c r="G490" s="84">
        <f>ROUND(F490*E490,2)</f>
        <v>101.97</v>
      </c>
    </row>
    <row r="491" spans="2:7">
      <c r="B491" s="39">
        <v>2</v>
      </c>
      <c r="C491" s="39" t="s">
        <v>2161</v>
      </c>
      <c r="D491" s="39" t="s">
        <v>2374</v>
      </c>
      <c r="E491" s="39">
        <v>0.34</v>
      </c>
      <c r="F491" s="84">
        <f>'HIRE CHARGES'!F545</f>
        <v>177.5</v>
      </c>
      <c r="G491" s="84">
        <f>ROUND(F491*E491,2)</f>
        <v>60.35</v>
      </c>
    </row>
    <row r="492" spans="2:7">
      <c r="B492" s="39"/>
      <c r="C492" s="39"/>
      <c r="D492" s="39"/>
      <c r="E492" s="39" t="s">
        <v>126</v>
      </c>
      <c r="F492" s="39"/>
      <c r="G492" s="84">
        <f>SUM(G489:G491)</f>
        <v>314.2</v>
      </c>
    </row>
    <row r="493" spans="2:7" ht="36">
      <c r="B493" s="39"/>
      <c r="C493" s="63" t="s">
        <v>2576</v>
      </c>
      <c r="D493" s="1027">
        <f>'BASIC DATA'!$C$577</f>
        <v>0.13614999999999999</v>
      </c>
      <c r="E493" s="39"/>
      <c r="F493" s="39"/>
      <c r="G493" s="84">
        <f>ROUND(G492*D493,2)</f>
        <v>42.78</v>
      </c>
    </row>
    <row r="494" spans="2:7">
      <c r="B494" s="39"/>
      <c r="C494" s="39" t="s">
        <v>2162</v>
      </c>
      <c r="D494" s="101">
        <v>3.4</v>
      </c>
      <c r="E494" s="76" t="s">
        <v>3477</v>
      </c>
      <c r="F494" s="39" t="s">
        <v>1698</v>
      </c>
      <c r="G494" s="84">
        <f>G493+G492</f>
        <v>356.98</v>
      </c>
    </row>
    <row r="495" spans="2:7">
      <c r="B495" s="39"/>
      <c r="C495" s="39" t="s">
        <v>1585</v>
      </c>
      <c r="D495" s="39"/>
      <c r="E495" s="39"/>
      <c r="F495" s="39"/>
      <c r="G495" s="84">
        <f>ROUND(G494/D494,1)</f>
        <v>105</v>
      </c>
    </row>
    <row r="496" spans="2:7">
      <c r="B496" s="76"/>
      <c r="C496" s="76"/>
      <c r="D496" s="76"/>
      <c r="E496" s="76"/>
      <c r="F496" s="76"/>
      <c r="G496" s="76"/>
    </row>
    <row r="497" spans="2:7">
      <c r="B497" s="76" t="s">
        <v>1826</v>
      </c>
      <c r="C497" s="76"/>
      <c r="D497" s="76"/>
      <c r="E497" s="76" t="s">
        <v>1434</v>
      </c>
      <c r="F497" s="101">
        <v>3.4</v>
      </c>
      <c r="G497" s="76" t="s">
        <v>3477</v>
      </c>
    </row>
    <row r="498" spans="2:7" ht="36">
      <c r="B498" s="39" t="s">
        <v>3473</v>
      </c>
      <c r="C498" s="39" t="s">
        <v>2378</v>
      </c>
      <c r="D498" s="39" t="s">
        <v>2370</v>
      </c>
      <c r="E498" s="39" t="s">
        <v>1166</v>
      </c>
      <c r="F498" s="63" t="s">
        <v>125</v>
      </c>
      <c r="G498" s="63" t="s">
        <v>2165</v>
      </c>
    </row>
    <row r="499" spans="2:7">
      <c r="B499" s="39">
        <v>1</v>
      </c>
      <c r="C499" s="39" t="s">
        <v>2159</v>
      </c>
      <c r="D499" s="39" t="s">
        <v>2374</v>
      </c>
      <c r="E499" s="39">
        <v>0.4</v>
      </c>
      <c r="F499" s="84">
        <f>'HIRE CHARGES'!D545</f>
        <v>446.7</v>
      </c>
      <c r="G499" s="84">
        <f>ROUND(F499*E499,2)</f>
        <v>178.68</v>
      </c>
    </row>
    <row r="500" spans="2:7">
      <c r="B500" s="39"/>
      <c r="C500" s="39" t="s">
        <v>2160</v>
      </c>
      <c r="D500" s="39" t="s">
        <v>2374</v>
      </c>
      <c r="E500" s="39">
        <v>0.4</v>
      </c>
      <c r="F500" s="84">
        <f>'HIRE CHARGES'!E545</f>
        <v>299.89999999999998</v>
      </c>
      <c r="G500" s="84">
        <f>ROUND(F500*E500,2)</f>
        <v>119.96</v>
      </c>
    </row>
    <row r="501" spans="2:7">
      <c r="B501" s="39">
        <v>2</v>
      </c>
      <c r="C501" s="39" t="s">
        <v>2161</v>
      </c>
      <c r="D501" s="39" t="s">
        <v>2374</v>
      </c>
      <c r="E501" s="39">
        <v>0.4</v>
      </c>
      <c r="F501" s="84">
        <f>'HIRE CHARGES'!F545</f>
        <v>177.5</v>
      </c>
      <c r="G501" s="84">
        <f>ROUND(F501*E501,2)</f>
        <v>71</v>
      </c>
    </row>
    <row r="502" spans="2:7">
      <c r="B502" s="39"/>
      <c r="C502" s="39"/>
      <c r="D502" s="39"/>
      <c r="E502" s="39" t="s">
        <v>126</v>
      </c>
      <c r="F502" s="39"/>
      <c r="G502" s="84">
        <f>SUM(G499:G501)</f>
        <v>369.64</v>
      </c>
    </row>
    <row r="503" spans="2:7" ht="36">
      <c r="B503" s="39"/>
      <c r="C503" s="63" t="s">
        <v>2576</v>
      </c>
      <c r="D503" s="1027">
        <f>'BASIC DATA'!$C$577</f>
        <v>0.13614999999999999</v>
      </c>
      <c r="E503" s="39"/>
      <c r="F503" s="39"/>
      <c r="G503" s="84">
        <f>ROUND(G502*D503,2)</f>
        <v>50.33</v>
      </c>
    </row>
    <row r="504" spans="2:7">
      <c r="B504" s="39"/>
      <c r="C504" s="39" t="s">
        <v>2162</v>
      </c>
      <c r="D504" s="101">
        <v>3.4</v>
      </c>
      <c r="E504" s="76" t="s">
        <v>3477</v>
      </c>
      <c r="F504" s="39" t="s">
        <v>1698</v>
      </c>
      <c r="G504" s="84">
        <f>ROUND(G503+G502,2)</f>
        <v>419.97</v>
      </c>
    </row>
    <row r="505" spans="2:7">
      <c r="B505" s="39"/>
      <c r="C505" s="39" t="s">
        <v>1585</v>
      </c>
      <c r="D505" s="39"/>
      <c r="E505" s="39"/>
      <c r="F505" s="39"/>
      <c r="G505" s="84">
        <f>ROUND(G504/D504,1)</f>
        <v>123.5</v>
      </c>
    </row>
    <row r="506" spans="2:7">
      <c r="B506" s="76"/>
      <c r="C506" s="76"/>
      <c r="D506" s="76"/>
      <c r="E506" s="76"/>
      <c r="F506" s="76"/>
      <c r="G506" s="76"/>
    </row>
    <row r="507" spans="2:7">
      <c r="B507" s="76" t="s">
        <v>1827</v>
      </c>
      <c r="C507" s="76"/>
      <c r="D507" s="76"/>
      <c r="E507" s="76" t="s">
        <v>1434</v>
      </c>
      <c r="F507" s="101">
        <v>3.4</v>
      </c>
      <c r="G507" s="76" t="s">
        <v>3477</v>
      </c>
    </row>
    <row r="508" spans="2:7" ht="36">
      <c r="B508" s="39" t="s">
        <v>3473</v>
      </c>
      <c r="C508" s="39" t="s">
        <v>2378</v>
      </c>
      <c r="D508" s="39" t="s">
        <v>2370</v>
      </c>
      <c r="E508" s="39" t="s">
        <v>1166</v>
      </c>
      <c r="F508" s="63" t="s">
        <v>125</v>
      </c>
      <c r="G508" s="63" t="s">
        <v>2165</v>
      </c>
    </row>
    <row r="509" spans="2:7">
      <c r="B509" s="39">
        <v>1</v>
      </c>
      <c r="C509" s="39" t="s">
        <v>2159</v>
      </c>
      <c r="D509" s="39" t="s">
        <v>2374</v>
      </c>
      <c r="E509" s="39">
        <v>0.06</v>
      </c>
      <c r="F509" s="84">
        <f>'HIRE CHARGES'!D545</f>
        <v>446.7</v>
      </c>
      <c r="G509" s="84">
        <f>ROUND(F509*E509,2)</f>
        <v>26.8</v>
      </c>
    </row>
    <row r="510" spans="2:7">
      <c r="B510" s="39"/>
      <c r="C510" s="39" t="s">
        <v>2160</v>
      </c>
      <c r="D510" s="39" t="s">
        <v>2374</v>
      </c>
      <c r="E510" s="39">
        <v>0.06</v>
      </c>
      <c r="F510" s="84">
        <f>'HIRE CHARGES'!E545</f>
        <v>299.89999999999998</v>
      </c>
      <c r="G510" s="84">
        <f>ROUND(F510*E510,2)</f>
        <v>17.989999999999998</v>
      </c>
    </row>
    <row r="511" spans="2:7">
      <c r="B511" s="39">
        <v>2</v>
      </c>
      <c r="C511" s="39" t="s">
        <v>2161</v>
      </c>
      <c r="D511" s="39" t="s">
        <v>2374</v>
      </c>
      <c r="E511" s="39">
        <v>0.06</v>
      </c>
      <c r="F511" s="84">
        <f>'HIRE CHARGES'!F545</f>
        <v>177.5</v>
      </c>
      <c r="G511" s="84">
        <f>ROUND(F511*E511,2)</f>
        <v>10.65</v>
      </c>
    </row>
    <row r="512" spans="2:7">
      <c r="B512" s="39"/>
      <c r="C512" s="39"/>
      <c r="D512" s="39"/>
      <c r="E512" s="39" t="s">
        <v>126</v>
      </c>
      <c r="F512" s="39"/>
      <c r="G512" s="84">
        <f>SUM(G509:G511)</f>
        <v>55.44</v>
      </c>
    </row>
    <row r="513" spans="1:7" ht="36">
      <c r="B513" s="39"/>
      <c r="C513" s="63" t="s">
        <v>2576</v>
      </c>
      <c r="D513" s="1027">
        <f>'BASIC DATA'!$C$577</f>
        <v>0.13614999999999999</v>
      </c>
      <c r="E513" s="39"/>
      <c r="F513" s="39"/>
      <c r="G513" s="84">
        <f>ROUND(G512*D513,2)</f>
        <v>7.55</v>
      </c>
    </row>
    <row r="514" spans="1:7">
      <c r="B514" s="39"/>
      <c r="C514" s="39" t="s">
        <v>2162</v>
      </c>
      <c r="D514" s="101">
        <v>3.4</v>
      </c>
      <c r="E514" s="76" t="s">
        <v>3477</v>
      </c>
      <c r="F514" s="39" t="s">
        <v>1698</v>
      </c>
      <c r="G514" s="84">
        <f>G513+G512</f>
        <v>62.989999999999995</v>
      </c>
    </row>
    <row r="515" spans="1:7">
      <c r="B515" s="39"/>
      <c r="C515" s="39" t="s">
        <v>1585</v>
      </c>
      <c r="D515" s="39"/>
      <c r="E515" s="39"/>
      <c r="F515" s="39"/>
      <c r="G515" s="84">
        <f>ROUND(G514/D514,1)</f>
        <v>18.5</v>
      </c>
    </row>
    <row r="516" spans="1:7">
      <c r="A516" s="859"/>
      <c r="B516" s="76"/>
      <c r="C516" s="76"/>
      <c r="D516" s="76"/>
      <c r="E516" s="76"/>
      <c r="F516" s="76"/>
    </row>
    <row r="517" spans="1:7">
      <c r="B517" s="76" t="s">
        <v>1828</v>
      </c>
      <c r="C517" s="76"/>
      <c r="D517" s="76"/>
      <c r="E517" s="76" t="s">
        <v>1434</v>
      </c>
      <c r="F517" s="101">
        <v>3.4</v>
      </c>
      <c r="G517" s="76" t="s">
        <v>3477</v>
      </c>
    </row>
    <row r="518" spans="1:7" ht="36">
      <c r="B518" s="39" t="s">
        <v>3473</v>
      </c>
      <c r="C518" s="39" t="s">
        <v>2378</v>
      </c>
      <c r="D518" s="39" t="s">
        <v>2370</v>
      </c>
      <c r="E518" s="39" t="s">
        <v>1166</v>
      </c>
      <c r="F518" s="63" t="s">
        <v>125</v>
      </c>
      <c r="G518" s="63" t="s">
        <v>2165</v>
      </c>
    </row>
    <row r="519" spans="1:7">
      <c r="B519" s="39">
        <v>1</v>
      </c>
      <c r="C519" s="39" t="s">
        <v>2159</v>
      </c>
      <c r="D519" s="39" t="s">
        <v>2374</v>
      </c>
      <c r="E519" s="39">
        <v>0.05</v>
      </c>
      <c r="F519" s="84">
        <f>'HIRE CHARGES'!D545</f>
        <v>446.7</v>
      </c>
      <c r="G519" s="84">
        <f>ROUND(F519*E519,2)</f>
        <v>22.34</v>
      </c>
    </row>
    <row r="520" spans="1:7">
      <c r="B520" s="39"/>
      <c r="C520" s="39" t="s">
        <v>2160</v>
      </c>
      <c r="D520" s="39" t="s">
        <v>2374</v>
      </c>
      <c r="E520" s="39">
        <v>0.05</v>
      </c>
      <c r="F520" s="84">
        <f>'HIRE CHARGES'!E545</f>
        <v>299.89999999999998</v>
      </c>
      <c r="G520" s="84">
        <f>ROUND(F520*E520,2)</f>
        <v>15</v>
      </c>
    </row>
    <row r="521" spans="1:7">
      <c r="B521" s="39">
        <v>2</v>
      </c>
      <c r="C521" s="39" t="s">
        <v>2161</v>
      </c>
      <c r="D521" s="39" t="s">
        <v>2374</v>
      </c>
      <c r="E521" s="39">
        <v>0.05</v>
      </c>
      <c r="F521" s="84">
        <f>'HIRE CHARGES'!F545</f>
        <v>177.5</v>
      </c>
      <c r="G521" s="84">
        <f>ROUND(F521*E521,2)</f>
        <v>8.8800000000000008</v>
      </c>
    </row>
    <row r="522" spans="1:7">
      <c r="B522" s="39"/>
      <c r="C522" s="39"/>
      <c r="D522" s="39"/>
      <c r="E522" s="39" t="s">
        <v>126</v>
      </c>
      <c r="F522" s="39"/>
      <c r="G522" s="84">
        <f>SUM(G519:G521)</f>
        <v>46.220000000000006</v>
      </c>
    </row>
    <row r="523" spans="1:7" ht="36">
      <c r="B523" s="39"/>
      <c r="C523" s="63" t="s">
        <v>2576</v>
      </c>
      <c r="D523" s="1027">
        <f>'BASIC DATA'!$C$577</f>
        <v>0.13614999999999999</v>
      </c>
      <c r="E523" s="39"/>
      <c r="F523" s="39"/>
      <c r="G523" s="84">
        <f>ROUND(G522*D523,2)</f>
        <v>6.29</v>
      </c>
    </row>
    <row r="524" spans="1:7">
      <c r="B524" s="39"/>
      <c r="C524" s="39" t="s">
        <v>2162</v>
      </c>
      <c r="D524" s="101">
        <v>3.4</v>
      </c>
      <c r="E524" s="76" t="s">
        <v>3477</v>
      </c>
      <c r="F524" s="39" t="s">
        <v>1698</v>
      </c>
      <c r="G524" s="84">
        <f>G523+G522</f>
        <v>52.510000000000005</v>
      </c>
    </row>
    <row r="525" spans="1:7">
      <c r="B525" s="39"/>
      <c r="C525" s="39" t="s">
        <v>1585</v>
      </c>
      <c r="D525" s="39"/>
      <c r="E525" s="39"/>
      <c r="F525" s="39"/>
      <c r="G525" s="84">
        <f>ROUND(G524/D524,1)</f>
        <v>15.4</v>
      </c>
    </row>
    <row r="526" spans="1:7">
      <c r="B526" s="76"/>
      <c r="C526" s="76"/>
      <c r="D526" s="76"/>
      <c r="E526" s="76"/>
      <c r="F526" s="76"/>
      <c r="G526" s="76"/>
    </row>
    <row r="527" spans="1:7">
      <c r="B527" s="87" t="s">
        <v>1832</v>
      </c>
      <c r="C527" s="76"/>
      <c r="D527" s="76"/>
      <c r="E527" s="76"/>
      <c r="F527" s="76"/>
      <c r="G527" s="76"/>
    </row>
    <row r="528" spans="1:7">
      <c r="B528" s="76"/>
      <c r="C528" s="76"/>
      <c r="D528" s="76"/>
      <c r="E528" s="76"/>
      <c r="F528" s="76"/>
      <c r="G528" s="76"/>
    </row>
    <row r="529" spans="2:7">
      <c r="B529" s="76" t="s">
        <v>2158</v>
      </c>
      <c r="C529" s="76"/>
      <c r="D529" s="76"/>
      <c r="E529" s="76" t="s">
        <v>1434</v>
      </c>
      <c r="F529" s="101">
        <v>8000</v>
      </c>
      <c r="G529" s="76" t="s">
        <v>1833</v>
      </c>
    </row>
    <row r="530" spans="2:7" ht="36">
      <c r="B530" s="39" t="s">
        <v>3473</v>
      </c>
      <c r="C530" s="39" t="s">
        <v>2378</v>
      </c>
      <c r="D530" s="39" t="s">
        <v>2370</v>
      </c>
      <c r="E530" s="39" t="s">
        <v>1166</v>
      </c>
      <c r="F530" s="63" t="s">
        <v>125</v>
      </c>
      <c r="G530" s="63" t="s">
        <v>2165</v>
      </c>
    </row>
    <row r="531" spans="2:7">
      <c r="B531" s="39">
        <v>1</v>
      </c>
      <c r="C531" s="39" t="s">
        <v>1834</v>
      </c>
      <c r="D531" s="39" t="s">
        <v>2374</v>
      </c>
      <c r="E531" s="39">
        <v>0.15</v>
      </c>
      <c r="F531" s="84">
        <f>'HIRE CHARGES'!D555</f>
        <v>402.5</v>
      </c>
      <c r="G531" s="84">
        <f>ROUND(F531*E531,2)</f>
        <v>60.38</v>
      </c>
    </row>
    <row r="532" spans="2:7">
      <c r="B532" s="39"/>
      <c r="C532" s="39" t="s">
        <v>2160</v>
      </c>
      <c r="D532" s="39" t="s">
        <v>2374</v>
      </c>
      <c r="E532" s="39">
        <v>0.15</v>
      </c>
      <c r="F532" s="84">
        <f>'HIRE CHARGES'!E555</f>
        <v>299.89999999999998</v>
      </c>
      <c r="G532" s="84">
        <f>ROUND(F532*E532,2)</f>
        <v>44.99</v>
      </c>
    </row>
    <row r="533" spans="2:7">
      <c r="B533" s="39">
        <v>2</v>
      </c>
      <c r="C533" s="39" t="s">
        <v>2161</v>
      </c>
      <c r="D533" s="39" t="s">
        <v>2374</v>
      </c>
      <c r="E533" s="39">
        <v>0.15</v>
      </c>
      <c r="F533" s="84">
        <f>'HIRE CHARGES'!F555</f>
        <v>177.5</v>
      </c>
      <c r="G533" s="84">
        <f>ROUND(F533*E533,2)</f>
        <v>26.63</v>
      </c>
    </row>
    <row r="534" spans="2:7">
      <c r="B534" s="39"/>
      <c r="C534" s="39"/>
      <c r="D534" s="39"/>
      <c r="E534" s="39" t="s">
        <v>126</v>
      </c>
      <c r="F534" s="39"/>
      <c r="G534" s="84">
        <f>SUM(G531:G533)</f>
        <v>132</v>
      </c>
    </row>
    <row r="535" spans="2:7" ht="36">
      <c r="B535" s="39"/>
      <c r="C535" s="63" t="s">
        <v>2576</v>
      </c>
      <c r="D535" s="1027">
        <f>'BASIC DATA'!$C$577</f>
        <v>0.13614999999999999</v>
      </c>
      <c r="E535" s="39"/>
      <c r="F535" s="39"/>
      <c r="G535" s="84">
        <f>ROUND(G534*D535,2)</f>
        <v>17.97</v>
      </c>
    </row>
    <row r="536" spans="2:7">
      <c r="B536" s="39"/>
      <c r="C536" s="39" t="s">
        <v>2162</v>
      </c>
      <c r="D536" s="101">
        <v>8000</v>
      </c>
      <c r="E536" s="76" t="s">
        <v>1833</v>
      </c>
      <c r="F536" s="39" t="s">
        <v>1698</v>
      </c>
      <c r="G536" s="84">
        <f>G535+G534</f>
        <v>149.97</v>
      </c>
    </row>
    <row r="537" spans="2:7">
      <c r="B537" s="39"/>
      <c r="C537" s="39" t="s">
        <v>1835</v>
      </c>
      <c r="D537" s="39"/>
      <c r="E537" s="39"/>
      <c r="F537" s="39"/>
      <c r="G537" s="84">
        <f>ROUND(G536/D536*1000,1)</f>
        <v>18.7</v>
      </c>
    </row>
    <row r="538" spans="2:7">
      <c r="B538" s="76"/>
      <c r="C538" s="76"/>
      <c r="D538" s="76"/>
      <c r="E538" s="76"/>
      <c r="F538" s="76"/>
      <c r="G538" s="76"/>
    </row>
    <row r="539" spans="2:7">
      <c r="B539" s="76" t="s">
        <v>2163</v>
      </c>
      <c r="C539" s="76"/>
      <c r="D539" s="76"/>
      <c r="E539" s="76" t="s">
        <v>1434</v>
      </c>
      <c r="F539" s="101">
        <v>8000</v>
      </c>
      <c r="G539" s="76" t="s">
        <v>1833</v>
      </c>
    </row>
    <row r="540" spans="2:7" ht="36">
      <c r="B540" s="39" t="s">
        <v>3473</v>
      </c>
      <c r="C540" s="39" t="s">
        <v>2378</v>
      </c>
      <c r="D540" s="39" t="s">
        <v>2370</v>
      </c>
      <c r="E540" s="39" t="s">
        <v>1166</v>
      </c>
      <c r="F540" s="63" t="s">
        <v>125</v>
      </c>
      <c r="G540" s="63" t="s">
        <v>2165</v>
      </c>
    </row>
    <row r="541" spans="2:7">
      <c r="B541" s="39">
        <v>1</v>
      </c>
      <c r="C541" s="39" t="s">
        <v>1834</v>
      </c>
      <c r="D541" s="39" t="s">
        <v>2374</v>
      </c>
      <c r="E541" s="39">
        <v>0.21</v>
      </c>
      <c r="F541" s="84">
        <f>'HIRE CHARGES'!D555</f>
        <v>402.5</v>
      </c>
      <c r="G541" s="84">
        <f>ROUND(F541*E541,2)</f>
        <v>84.53</v>
      </c>
    </row>
    <row r="542" spans="2:7">
      <c r="B542" s="39"/>
      <c r="C542" s="39" t="s">
        <v>2160</v>
      </c>
      <c r="D542" s="39" t="s">
        <v>2374</v>
      </c>
      <c r="E542" s="39">
        <v>0.21</v>
      </c>
      <c r="F542" s="84">
        <f>'HIRE CHARGES'!E555</f>
        <v>299.89999999999998</v>
      </c>
      <c r="G542" s="84">
        <f>ROUND(F542*E542,2)</f>
        <v>62.98</v>
      </c>
    </row>
    <row r="543" spans="2:7">
      <c r="B543" s="39">
        <v>2</v>
      </c>
      <c r="C543" s="39" t="s">
        <v>2161</v>
      </c>
      <c r="D543" s="39" t="s">
        <v>2374</v>
      </c>
      <c r="E543" s="39">
        <v>0.21</v>
      </c>
      <c r="F543" s="84">
        <f>'HIRE CHARGES'!F555</f>
        <v>177.5</v>
      </c>
      <c r="G543" s="84">
        <f>ROUND(F543*E543,2)</f>
        <v>37.28</v>
      </c>
    </row>
    <row r="544" spans="2:7">
      <c r="B544" s="39"/>
      <c r="C544" s="39"/>
      <c r="D544" s="39"/>
      <c r="E544" s="39" t="s">
        <v>126</v>
      </c>
      <c r="F544" s="39"/>
      <c r="G544" s="84">
        <f>SUM(G541:G543)</f>
        <v>184.79</v>
      </c>
    </row>
    <row r="545" spans="2:7" ht="36">
      <c r="B545" s="39"/>
      <c r="C545" s="63" t="s">
        <v>2576</v>
      </c>
      <c r="D545" s="1027">
        <f>'BASIC DATA'!$C$577</f>
        <v>0.13614999999999999</v>
      </c>
      <c r="E545" s="39"/>
      <c r="F545" s="39"/>
      <c r="G545" s="84">
        <f>ROUND(G544*D545,2)</f>
        <v>25.16</v>
      </c>
    </row>
    <row r="546" spans="2:7">
      <c r="B546" s="39"/>
      <c r="C546" s="39" t="s">
        <v>2162</v>
      </c>
      <c r="D546" s="101">
        <v>8000</v>
      </c>
      <c r="E546" s="76" t="s">
        <v>1833</v>
      </c>
      <c r="F546" s="39" t="s">
        <v>1698</v>
      </c>
      <c r="G546" s="84">
        <f>G545+G544</f>
        <v>209.95</v>
      </c>
    </row>
    <row r="547" spans="2:7">
      <c r="B547" s="39"/>
      <c r="C547" s="39" t="s">
        <v>1835</v>
      </c>
      <c r="D547" s="39"/>
      <c r="E547" s="39"/>
      <c r="F547" s="39"/>
      <c r="G547" s="84">
        <f>ROUND(G546/D546*1000,1)</f>
        <v>26.2</v>
      </c>
    </row>
    <row r="548" spans="2:7">
      <c r="B548" s="76"/>
      <c r="C548" s="76"/>
      <c r="D548" s="76"/>
      <c r="E548" s="76"/>
      <c r="F548" s="76"/>
      <c r="G548" s="76"/>
    </row>
    <row r="549" spans="2:7">
      <c r="B549" s="76" t="s">
        <v>2164</v>
      </c>
      <c r="C549" s="76"/>
      <c r="D549" s="76"/>
      <c r="E549" s="76" t="s">
        <v>1434</v>
      </c>
      <c r="F549" s="101">
        <v>8000</v>
      </c>
      <c r="G549" s="76" t="s">
        <v>1833</v>
      </c>
    </row>
    <row r="550" spans="2:7" ht="36">
      <c r="B550" s="39" t="s">
        <v>3473</v>
      </c>
      <c r="C550" s="39" t="s">
        <v>2378</v>
      </c>
      <c r="D550" s="39" t="s">
        <v>2370</v>
      </c>
      <c r="E550" s="39" t="s">
        <v>1166</v>
      </c>
      <c r="F550" s="63" t="s">
        <v>125</v>
      </c>
      <c r="G550" s="63" t="s">
        <v>2165</v>
      </c>
    </row>
    <row r="551" spans="2:7">
      <c r="B551" s="39">
        <v>1</v>
      </c>
      <c r="C551" s="39" t="s">
        <v>1834</v>
      </c>
      <c r="D551" s="39" t="s">
        <v>2374</v>
      </c>
      <c r="E551" s="39">
        <v>0.28000000000000003</v>
      </c>
      <c r="F551" s="84">
        <f>'HIRE CHARGES'!D555</f>
        <v>402.5</v>
      </c>
      <c r="G551" s="84">
        <f>ROUND(F551*E551,2)</f>
        <v>112.7</v>
      </c>
    </row>
    <row r="552" spans="2:7">
      <c r="B552" s="39"/>
      <c r="C552" s="39" t="s">
        <v>2160</v>
      </c>
      <c r="D552" s="39" t="s">
        <v>2374</v>
      </c>
      <c r="E552" s="39">
        <v>0.28000000000000003</v>
      </c>
      <c r="F552" s="84">
        <f>'HIRE CHARGES'!E555</f>
        <v>299.89999999999998</v>
      </c>
      <c r="G552" s="84">
        <f>ROUND(F552*E552,2)</f>
        <v>83.97</v>
      </c>
    </row>
    <row r="553" spans="2:7">
      <c r="B553" s="39">
        <v>2</v>
      </c>
      <c r="C553" s="39" t="s">
        <v>2161</v>
      </c>
      <c r="D553" s="39" t="s">
        <v>2374</v>
      </c>
      <c r="E553" s="39">
        <v>0.28000000000000003</v>
      </c>
      <c r="F553" s="84">
        <f>'HIRE CHARGES'!F555</f>
        <v>177.5</v>
      </c>
      <c r="G553" s="84">
        <f>ROUND(F553*E553,2)</f>
        <v>49.7</v>
      </c>
    </row>
    <row r="554" spans="2:7">
      <c r="B554" s="39"/>
      <c r="C554" s="39"/>
      <c r="D554" s="39"/>
      <c r="E554" s="39" t="s">
        <v>126</v>
      </c>
      <c r="F554" s="39"/>
      <c r="G554" s="84">
        <f>SUM(G551:G553)</f>
        <v>246.37</v>
      </c>
    </row>
    <row r="555" spans="2:7" ht="36">
      <c r="B555" s="39"/>
      <c r="C555" s="63" t="s">
        <v>2576</v>
      </c>
      <c r="D555" s="1027">
        <f>'BASIC DATA'!$C$577</f>
        <v>0.13614999999999999</v>
      </c>
      <c r="E555" s="39"/>
      <c r="F555" s="39"/>
      <c r="G555" s="84">
        <f>ROUND(G554*D555,2)</f>
        <v>33.54</v>
      </c>
    </row>
    <row r="556" spans="2:7">
      <c r="B556" s="39"/>
      <c r="C556" s="39" t="s">
        <v>2162</v>
      </c>
      <c r="D556" s="101">
        <v>8000</v>
      </c>
      <c r="E556" s="76" t="s">
        <v>1833</v>
      </c>
      <c r="F556" s="39" t="s">
        <v>1698</v>
      </c>
      <c r="G556" s="84">
        <f>G555+G554</f>
        <v>279.91000000000003</v>
      </c>
    </row>
    <row r="557" spans="2:7">
      <c r="B557" s="39"/>
      <c r="C557" s="39" t="s">
        <v>1835</v>
      </c>
      <c r="D557" s="39"/>
      <c r="E557" s="39"/>
      <c r="F557" s="39"/>
      <c r="G557" s="84">
        <f>ROUND(G556/D556*1000,1)</f>
        <v>35</v>
      </c>
    </row>
    <row r="558" spans="2:7">
      <c r="B558" s="76"/>
      <c r="C558" s="76"/>
      <c r="D558" s="76"/>
      <c r="E558" s="76"/>
      <c r="F558" s="76"/>
      <c r="G558" s="76"/>
    </row>
    <row r="559" spans="2:7">
      <c r="B559" s="76" t="s">
        <v>1825</v>
      </c>
      <c r="C559" s="76"/>
      <c r="D559" s="76"/>
      <c r="E559" s="76" t="s">
        <v>1434</v>
      </c>
      <c r="F559" s="101">
        <v>8000</v>
      </c>
      <c r="G559" s="76" t="s">
        <v>1833</v>
      </c>
    </row>
    <row r="560" spans="2:7" ht="36">
      <c r="B560" s="39" t="s">
        <v>3473</v>
      </c>
      <c r="C560" s="39" t="s">
        <v>2378</v>
      </c>
      <c r="D560" s="39" t="s">
        <v>2370</v>
      </c>
      <c r="E560" s="39" t="s">
        <v>1166</v>
      </c>
      <c r="F560" s="63" t="s">
        <v>125</v>
      </c>
      <c r="G560" s="63" t="s">
        <v>2165</v>
      </c>
    </row>
    <row r="561" spans="2:7">
      <c r="B561" s="39">
        <v>1</v>
      </c>
      <c r="C561" s="39" t="s">
        <v>1834</v>
      </c>
      <c r="D561" s="39" t="s">
        <v>2374</v>
      </c>
      <c r="E561" s="39">
        <v>0.34</v>
      </c>
      <c r="F561" s="84">
        <f>'HIRE CHARGES'!D555</f>
        <v>402.5</v>
      </c>
      <c r="G561" s="84">
        <f>ROUND(F561*E561,2)</f>
        <v>136.85</v>
      </c>
    </row>
    <row r="562" spans="2:7">
      <c r="B562" s="39"/>
      <c r="C562" s="39" t="s">
        <v>2160</v>
      </c>
      <c r="D562" s="39" t="s">
        <v>2374</v>
      </c>
      <c r="E562" s="39">
        <v>0.34</v>
      </c>
      <c r="F562" s="84">
        <f>'HIRE CHARGES'!E555</f>
        <v>299.89999999999998</v>
      </c>
      <c r="G562" s="84">
        <f>ROUND(F562*E562,2)</f>
        <v>101.97</v>
      </c>
    </row>
    <row r="563" spans="2:7">
      <c r="B563" s="39">
        <v>2</v>
      </c>
      <c r="C563" s="39" t="s">
        <v>2161</v>
      </c>
      <c r="D563" s="39" t="s">
        <v>2374</v>
      </c>
      <c r="E563" s="39">
        <v>0.34</v>
      </c>
      <c r="F563" s="84">
        <f>'HIRE CHARGES'!F555</f>
        <v>177.5</v>
      </c>
      <c r="G563" s="84">
        <f>ROUND(F563*E563,2)</f>
        <v>60.35</v>
      </c>
    </row>
    <row r="564" spans="2:7">
      <c r="B564" s="39"/>
      <c r="C564" s="39"/>
      <c r="D564" s="39"/>
      <c r="E564" s="39" t="s">
        <v>126</v>
      </c>
      <c r="F564" s="39"/>
      <c r="G564" s="84">
        <f>SUM(G561:G563)</f>
        <v>299.17</v>
      </c>
    </row>
    <row r="565" spans="2:7" ht="36">
      <c r="B565" s="39"/>
      <c r="C565" s="63" t="s">
        <v>2576</v>
      </c>
      <c r="D565" s="1027">
        <f>'BASIC DATA'!$C$577</f>
        <v>0.13614999999999999</v>
      </c>
      <c r="E565" s="39"/>
      <c r="F565" s="39"/>
      <c r="G565" s="84">
        <f>ROUND(G564*D565,2)</f>
        <v>40.729999999999997</v>
      </c>
    </row>
    <row r="566" spans="2:7">
      <c r="B566" s="39"/>
      <c r="C566" s="39" t="s">
        <v>2162</v>
      </c>
      <c r="D566" s="101">
        <v>8000</v>
      </c>
      <c r="E566" s="76" t="s">
        <v>1833</v>
      </c>
      <c r="F566" s="39" t="s">
        <v>1698</v>
      </c>
      <c r="G566" s="84">
        <f>G565+G564</f>
        <v>339.90000000000003</v>
      </c>
    </row>
    <row r="567" spans="2:7">
      <c r="B567" s="39"/>
      <c r="C567" s="39" t="s">
        <v>1835</v>
      </c>
      <c r="D567" s="39"/>
      <c r="E567" s="39"/>
      <c r="F567" s="39"/>
      <c r="G567" s="84">
        <f>ROUND(G566/D566*1000,1)</f>
        <v>42.5</v>
      </c>
    </row>
    <row r="568" spans="2:7">
      <c r="B568" s="76"/>
      <c r="C568" s="76"/>
      <c r="D568" s="76"/>
      <c r="E568" s="76"/>
      <c r="F568" s="76"/>
      <c r="G568" s="76"/>
    </row>
    <row r="569" spans="2:7">
      <c r="B569" s="76" t="s">
        <v>1826</v>
      </c>
      <c r="C569" s="76"/>
      <c r="D569" s="76"/>
      <c r="E569" s="76" t="s">
        <v>1434</v>
      </c>
      <c r="F569" s="101">
        <v>8000</v>
      </c>
      <c r="G569" s="76" t="s">
        <v>1833</v>
      </c>
    </row>
    <row r="570" spans="2:7" ht="36">
      <c r="B570" s="39" t="s">
        <v>3473</v>
      </c>
      <c r="C570" s="39" t="s">
        <v>2378</v>
      </c>
      <c r="D570" s="39" t="s">
        <v>2370</v>
      </c>
      <c r="E570" s="39" t="s">
        <v>1166</v>
      </c>
      <c r="F570" s="63" t="s">
        <v>125</v>
      </c>
      <c r="G570" s="63" t="s">
        <v>2165</v>
      </c>
    </row>
    <row r="571" spans="2:7">
      <c r="B571" s="39">
        <v>1</v>
      </c>
      <c r="C571" s="39" t="s">
        <v>1834</v>
      </c>
      <c r="D571" s="39" t="s">
        <v>2374</v>
      </c>
      <c r="E571" s="39">
        <v>0.4</v>
      </c>
      <c r="F571" s="84">
        <f>'HIRE CHARGES'!D555</f>
        <v>402.5</v>
      </c>
      <c r="G571" s="84">
        <f>ROUND(F571*E571,2)</f>
        <v>161</v>
      </c>
    </row>
    <row r="572" spans="2:7">
      <c r="B572" s="39"/>
      <c r="C572" s="39" t="s">
        <v>2160</v>
      </c>
      <c r="D572" s="39" t="s">
        <v>2374</v>
      </c>
      <c r="E572" s="39">
        <v>0.4</v>
      </c>
      <c r="F572" s="84">
        <f>'HIRE CHARGES'!E555</f>
        <v>299.89999999999998</v>
      </c>
      <c r="G572" s="84">
        <f>ROUND(F572*E572,2)</f>
        <v>119.96</v>
      </c>
    </row>
    <row r="573" spans="2:7">
      <c r="B573" s="39">
        <v>2</v>
      </c>
      <c r="C573" s="39" t="s">
        <v>2161</v>
      </c>
      <c r="D573" s="39" t="s">
        <v>2374</v>
      </c>
      <c r="E573" s="39">
        <v>0.4</v>
      </c>
      <c r="F573" s="84">
        <f>'HIRE CHARGES'!F555</f>
        <v>177.5</v>
      </c>
      <c r="G573" s="84">
        <f>ROUND(F573*E573,2)</f>
        <v>71</v>
      </c>
    </row>
    <row r="574" spans="2:7">
      <c r="B574" s="39"/>
      <c r="C574" s="39"/>
      <c r="D574" s="39"/>
      <c r="E574" s="39" t="s">
        <v>126</v>
      </c>
      <c r="F574" s="39"/>
      <c r="G574" s="84">
        <f>SUM(G571:G573)</f>
        <v>351.96</v>
      </c>
    </row>
    <row r="575" spans="2:7" ht="36">
      <c r="B575" s="39"/>
      <c r="C575" s="63" t="s">
        <v>2576</v>
      </c>
      <c r="D575" s="1027">
        <f>'BASIC DATA'!$C$577</f>
        <v>0.13614999999999999</v>
      </c>
      <c r="E575" s="39"/>
      <c r="F575" s="39"/>
      <c r="G575" s="84">
        <f>ROUND(G574*D575,2)</f>
        <v>47.92</v>
      </c>
    </row>
    <row r="576" spans="2:7">
      <c r="B576" s="39"/>
      <c r="C576" s="39" t="s">
        <v>2162</v>
      </c>
      <c r="D576" s="101">
        <v>8000</v>
      </c>
      <c r="E576" s="76" t="s">
        <v>1833</v>
      </c>
      <c r="F576" s="39" t="s">
        <v>1698</v>
      </c>
      <c r="G576" s="84">
        <f>G575+G574</f>
        <v>399.88</v>
      </c>
    </row>
    <row r="577" spans="2:7">
      <c r="B577" s="39"/>
      <c r="C577" s="39" t="s">
        <v>1835</v>
      </c>
      <c r="D577" s="39"/>
      <c r="E577" s="39"/>
      <c r="F577" s="39"/>
      <c r="G577" s="84">
        <f>ROUND(G576/D576*1000,1)</f>
        <v>50</v>
      </c>
    </row>
    <row r="578" spans="2:7">
      <c r="B578" s="76"/>
      <c r="C578" s="76"/>
      <c r="D578" s="76"/>
      <c r="E578" s="76"/>
      <c r="F578" s="76"/>
      <c r="G578" s="76"/>
    </row>
    <row r="579" spans="2:7">
      <c r="B579" s="76" t="s">
        <v>1827</v>
      </c>
      <c r="C579" s="76"/>
      <c r="D579" s="76"/>
      <c r="E579" s="76" t="s">
        <v>1434</v>
      </c>
      <c r="F579" s="101">
        <v>8000</v>
      </c>
      <c r="G579" s="76" t="s">
        <v>1833</v>
      </c>
    </row>
    <row r="580" spans="2:7" ht="36">
      <c r="B580" s="39" t="s">
        <v>3473</v>
      </c>
      <c r="C580" s="39" t="s">
        <v>2378</v>
      </c>
      <c r="D580" s="39" t="s">
        <v>2370</v>
      </c>
      <c r="E580" s="39" t="s">
        <v>1166</v>
      </c>
      <c r="F580" s="63" t="s">
        <v>125</v>
      </c>
      <c r="G580" s="63" t="s">
        <v>2165</v>
      </c>
    </row>
    <row r="581" spans="2:7">
      <c r="B581" s="39">
        <v>1</v>
      </c>
      <c r="C581" s="39" t="s">
        <v>1834</v>
      </c>
      <c r="D581" s="39" t="s">
        <v>2374</v>
      </c>
      <c r="E581" s="39">
        <v>0.06</v>
      </c>
      <c r="F581" s="84">
        <f>'HIRE CHARGES'!D555</f>
        <v>402.5</v>
      </c>
      <c r="G581" s="84">
        <f>ROUND(F581*E581,2)</f>
        <v>24.15</v>
      </c>
    </row>
    <row r="582" spans="2:7">
      <c r="B582" s="39"/>
      <c r="C582" s="39" t="s">
        <v>2160</v>
      </c>
      <c r="D582" s="39" t="s">
        <v>2374</v>
      </c>
      <c r="E582" s="39">
        <v>0.06</v>
      </c>
      <c r="F582" s="84">
        <f>'HIRE CHARGES'!E555</f>
        <v>299.89999999999998</v>
      </c>
      <c r="G582" s="84">
        <f>ROUND(F582*E582,2)</f>
        <v>17.989999999999998</v>
      </c>
    </row>
    <row r="583" spans="2:7">
      <c r="B583" s="39">
        <v>2</v>
      </c>
      <c r="C583" s="39" t="s">
        <v>2161</v>
      </c>
      <c r="D583" s="39" t="s">
        <v>2374</v>
      </c>
      <c r="E583" s="39">
        <v>0.06</v>
      </c>
      <c r="F583" s="84">
        <f>'HIRE CHARGES'!F555</f>
        <v>177.5</v>
      </c>
      <c r="G583" s="84">
        <f>ROUND(F583*E583,2)</f>
        <v>10.65</v>
      </c>
    </row>
    <row r="584" spans="2:7">
      <c r="B584" s="39"/>
      <c r="C584" s="39"/>
      <c r="D584" s="39"/>
      <c r="E584" s="39" t="s">
        <v>126</v>
      </c>
      <c r="F584" s="39"/>
      <c r="G584" s="84">
        <f>SUM(G581:G583)</f>
        <v>52.79</v>
      </c>
    </row>
    <row r="585" spans="2:7" ht="36">
      <c r="B585" s="39"/>
      <c r="C585" s="63" t="s">
        <v>2576</v>
      </c>
      <c r="D585" s="1027">
        <f>'BASIC DATA'!$C$577</f>
        <v>0.13614999999999999</v>
      </c>
      <c r="E585" s="39"/>
      <c r="F585" s="39"/>
      <c r="G585" s="84">
        <f>ROUND(G584*D585,2)</f>
        <v>7.19</v>
      </c>
    </row>
    <row r="586" spans="2:7">
      <c r="B586" s="39"/>
      <c r="C586" s="39" t="s">
        <v>2162</v>
      </c>
      <c r="D586" s="101">
        <v>8000</v>
      </c>
      <c r="E586" s="76" t="s">
        <v>1833</v>
      </c>
      <c r="F586" s="39" t="s">
        <v>1698</v>
      </c>
      <c r="G586" s="84">
        <f>G585+G584</f>
        <v>59.98</v>
      </c>
    </row>
    <row r="587" spans="2:7">
      <c r="B587" s="39"/>
      <c r="C587" s="39" t="s">
        <v>1835</v>
      </c>
      <c r="D587" s="39"/>
      <c r="E587" s="39"/>
      <c r="F587" s="39"/>
      <c r="G587" s="84">
        <f>ROUND(G586/D586*1000,1)</f>
        <v>7.5</v>
      </c>
    </row>
    <row r="588" spans="2:7">
      <c r="B588" s="76"/>
      <c r="C588" s="76"/>
      <c r="D588" s="76"/>
      <c r="E588" s="76"/>
      <c r="F588" s="76"/>
      <c r="G588" s="76"/>
    </row>
    <row r="589" spans="2:7">
      <c r="B589" s="76" t="s">
        <v>1828</v>
      </c>
      <c r="C589" s="76"/>
      <c r="D589" s="76"/>
      <c r="E589" s="76" t="s">
        <v>1434</v>
      </c>
      <c r="F589" s="101">
        <v>8000</v>
      </c>
      <c r="G589" s="76" t="s">
        <v>1833</v>
      </c>
    </row>
    <row r="590" spans="2:7" ht="36">
      <c r="B590" s="39" t="s">
        <v>3473</v>
      </c>
      <c r="C590" s="39" t="s">
        <v>2378</v>
      </c>
      <c r="D590" s="39" t="s">
        <v>2370</v>
      </c>
      <c r="E590" s="39" t="s">
        <v>1166</v>
      </c>
      <c r="F590" s="63" t="s">
        <v>125</v>
      </c>
      <c r="G590" s="63" t="s">
        <v>2165</v>
      </c>
    </row>
    <row r="591" spans="2:7">
      <c r="B591" s="39">
        <v>1</v>
      </c>
      <c r="C591" s="39" t="s">
        <v>1834</v>
      </c>
      <c r="D591" s="39" t="s">
        <v>2374</v>
      </c>
      <c r="E591" s="39">
        <v>0.05</v>
      </c>
      <c r="F591" s="84">
        <f>'HIRE CHARGES'!D555</f>
        <v>402.5</v>
      </c>
      <c r="G591" s="84">
        <f>ROUND(F591*E591,2)</f>
        <v>20.13</v>
      </c>
    </row>
    <row r="592" spans="2:7">
      <c r="B592" s="39"/>
      <c r="C592" s="39" t="s">
        <v>2160</v>
      </c>
      <c r="D592" s="39" t="s">
        <v>2374</v>
      </c>
      <c r="E592" s="39">
        <v>0.05</v>
      </c>
      <c r="F592" s="84">
        <f>'HIRE CHARGES'!E555</f>
        <v>299.89999999999998</v>
      </c>
      <c r="G592" s="84">
        <f>ROUND(F592*E592,2)</f>
        <v>15</v>
      </c>
    </row>
    <row r="593" spans="1:7">
      <c r="B593" s="39">
        <v>2</v>
      </c>
      <c r="C593" s="39" t="s">
        <v>2161</v>
      </c>
      <c r="D593" s="39" t="s">
        <v>2374</v>
      </c>
      <c r="E593" s="39">
        <v>0.05</v>
      </c>
      <c r="F593" s="84">
        <f>'HIRE CHARGES'!F555</f>
        <v>177.5</v>
      </c>
      <c r="G593" s="84">
        <f>ROUND(F593*E593,2)</f>
        <v>8.8800000000000008</v>
      </c>
    </row>
    <row r="594" spans="1:7">
      <c r="B594" s="39"/>
      <c r="C594" s="39"/>
      <c r="D594" s="39"/>
      <c r="E594" s="39" t="s">
        <v>126</v>
      </c>
      <c r="F594" s="39"/>
      <c r="G594" s="84">
        <f>SUM(G591:G593)</f>
        <v>44.01</v>
      </c>
    </row>
    <row r="595" spans="1:7" ht="36">
      <c r="B595" s="39"/>
      <c r="C595" s="63" t="s">
        <v>2576</v>
      </c>
      <c r="D595" s="1027">
        <f>'BASIC DATA'!$C$577</f>
        <v>0.13614999999999999</v>
      </c>
      <c r="E595" s="39"/>
      <c r="F595" s="39"/>
      <c r="G595" s="84">
        <f>ROUND(G594*D595,2)</f>
        <v>5.99</v>
      </c>
    </row>
    <row r="596" spans="1:7">
      <c r="B596" s="39"/>
      <c r="C596" s="39" t="s">
        <v>2162</v>
      </c>
      <c r="D596" s="101">
        <v>8000</v>
      </c>
      <c r="E596" s="76" t="s">
        <v>1833</v>
      </c>
      <c r="F596" s="39" t="s">
        <v>1698</v>
      </c>
      <c r="G596" s="84">
        <f>G595+G594</f>
        <v>50</v>
      </c>
    </row>
    <row r="597" spans="1:7">
      <c r="B597" s="39"/>
      <c r="C597" s="39" t="s">
        <v>1835</v>
      </c>
      <c r="D597" s="39"/>
      <c r="E597" s="39"/>
      <c r="F597" s="39"/>
      <c r="G597" s="84">
        <f>ROUND(G596/D596*1000,1)</f>
        <v>6.3</v>
      </c>
    </row>
    <row r="598" spans="1:7">
      <c r="A598" s="859"/>
      <c r="B598" s="76"/>
      <c r="C598" s="76"/>
      <c r="D598" s="76"/>
      <c r="E598" s="76"/>
      <c r="F598" s="76"/>
    </row>
    <row r="599" spans="1:7">
      <c r="B599" s="87" t="s">
        <v>7924</v>
      </c>
      <c r="C599" s="76"/>
      <c r="D599" s="76"/>
      <c r="E599" s="76"/>
      <c r="F599" s="76"/>
      <c r="G599" s="76"/>
    </row>
    <row r="600" spans="1:7">
      <c r="B600" s="76"/>
      <c r="C600" s="76"/>
      <c r="D600" s="76"/>
      <c r="E600" s="76"/>
      <c r="F600" s="76"/>
      <c r="G600" s="76"/>
    </row>
    <row r="601" spans="1:7">
      <c r="B601" s="76" t="s">
        <v>2158</v>
      </c>
      <c r="C601" s="76"/>
      <c r="D601" s="76"/>
      <c r="E601" s="76" t="s">
        <v>1434</v>
      </c>
      <c r="F601" s="101">
        <v>3000</v>
      </c>
      <c r="G601" s="76" t="s">
        <v>7921</v>
      </c>
    </row>
    <row r="602" spans="1:7" ht="36">
      <c r="B602" s="39" t="s">
        <v>3473</v>
      </c>
      <c r="C602" s="39" t="s">
        <v>2378</v>
      </c>
      <c r="D602" s="39" t="s">
        <v>2370</v>
      </c>
      <c r="E602" s="39" t="s">
        <v>1166</v>
      </c>
      <c r="F602" s="63" t="s">
        <v>125</v>
      </c>
      <c r="G602" s="63" t="s">
        <v>2165</v>
      </c>
    </row>
    <row r="603" spans="1:7">
      <c r="B603" s="39">
        <v>1</v>
      </c>
      <c r="C603" s="39" t="s">
        <v>7923</v>
      </c>
      <c r="D603" s="39" t="s">
        <v>2374</v>
      </c>
      <c r="E603" s="39">
        <v>0.15</v>
      </c>
      <c r="F603" s="84">
        <f>'HIRE CHARGES'!$D$549</f>
        <v>414.1</v>
      </c>
      <c r="G603" s="84">
        <f>ROUND(F603*E603,2)</f>
        <v>62.12</v>
      </c>
    </row>
    <row r="604" spans="1:7">
      <c r="B604" s="39"/>
      <c r="C604" s="39" t="s">
        <v>2160</v>
      </c>
      <c r="D604" s="39" t="s">
        <v>2374</v>
      </c>
      <c r="E604" s="39">
        <v>0.15</v>
      </c>
      <c r="F604" s="84">
        <f>'HIRE CHARGES'!$E$549</f>
        <v>299.89999999999998</v>
      </c>
      <c r="G604" s="84">
        <f>ROUND(F604*E604,2)</f>
        <v>44.99</v>
      </c>
    </row>
    <row r="605" spans="1:7">
      <c r="B605" s="39">
        <v>2</v>
      </c>
      <c r="C605" s="39" t="s">
        <v>2161</v>
      </c>
      <c r="D605" s="39" t="s">
        <v>2374</v>
      </c>
      <c r="E605" s="39">
        <v>0.15</v>
      </c>
      <c r="F605" s="84">
        <f>'HIRE CHARGES'!$F$549</f>
        <v>177.5</v>
      </c>
      <c r="G605" s="84">
        <f>ROUND(F605*E605,2)</f>
        <v>26.63</v>
      </c>
    </row>
    <row r="606" spans="1:7">
      <c r="B606" s="39"/>
      <c r="C606" s="39"/>
      <c r="D606" s="39"/>
      <c r="E606" s="39" t="s">
        <v>126</v>
      </c>
      <c r="F606" s="39"/>
      <c r="G606" s="84">
        <f>SUM(G603:G605)</f>
        <v>133.74</v>
      </c>
    </row>
    <row r="607" spans="1:7" ht="36">
      <c r="B607" s="39"/>
      <c r="C607" s="63" t="s">
        <v>2576</v>
      </c>
      <c r="D607" s="1027">
        <f>'BASIC DATA'!$C$577</f>
        <v>0.13614999999999999</v>
      </c>
      <c r="E607" s="39"/>
      <c r="F607" s="39"/>
      <c r="G607" s="84">
        <f>ROUND(G606*D607,2)</f>
        <v>18.21</v>
      </c>
    </row>
    <row r="608" spans="1:7">
      <c r="B608" s="39"/>
      <c r="C608" s="39" t="s">
        <v>2162</v>
      </c>
      <c r="D608" s="101">
        <v>3000</v>
      </c>
      <c r="E608" s="76" t="s">
        <v>7921</v>
      </c>
      <c r="F608" s="39" t="s">
        <v>1698</v>
      </c>
      <c r="G608" s="84">
        <f>G607+G606</f>
        <v>151.95000000000002</v>
      </c>
    </row>
    <row r="609" spans="2:7">
      <c r="B609" s="39"/>
      <c r="C609" s="39" t="s">
        <v>7922</v>
      </c>
      <c r="D609" s="39"/>
      <c r="E609" s="39"/>
      <c r="F609" s="39"/>
      <c r="G609" s="84">
        <f>ROUND(G608/3,1)</f>
        <v>50.7</v>
      </c>
    </row>
    <row r="610" spans="2:7">
      <c r="B610" s="76"/>
      <c r="C610" s="76"/>
      <c r="D610" s="76"/>
      <c r="E610" s="76"/>
      <c r="F610" s="76"/>
      <c r="G610" s="76"/>
    </row>
    <row r="611" spans="2:7">
      <c r="B611" s="76" t="s">
        <v>2163</v>
      </c>
      <c r="C611" s="76"/>
      <c r="D611" s="76"/>
      <c r="E611" s="76" t="s">
        <v>1434</v>
      </c>
      <c r="F611" s="101">
        <v>3000</v>
      </c>
      <c r="G611" s="76" t="s">
        <v>7921</v>
      </c>
    </row>
    <row r="612" spans="2:7" ht="36">
      <c r="B612" s="39" t="s">
        <v>3473</v>
      </c>
      <c r="C612" s="39" t="s">
        <v>2378</v>
      </c>
      <c r="D612" s="39" t="s">
        <v>2370</v>
      </c>
      <c r="E612" s="39" t="s">
        <v>1166</v>
      </c>
      <c r="F612" s="63" t="s">
        <v>125</v>
      </c>
      <c r="G612" s="63" t="s">
        <v>2165</v>
      </c>
    </row>
    <row r="613" spans="2:7">
      <c r="B613" s="39">
        <v>1</v>
      </c>
      <c r="C613" s="39" t="s">
        <v>7923</v>
      </c>
      <c r="D613" s="39" t="s">
        <v>2374</v>
      </c>
      <c r="E613" s="39">
        <v>0.21</v>
      </c>
      <c r="F613" s="84">
        <f>'HIRE CHARGES'!$D$549</f>
        <v>414.1</v>
      </c>
      <c r="G613" s="84">
        <f>ROUND(F613*E613,2)</f>
        <v>86.96</v>
      </c>
    </row>
    <row r="614" spans="2:7">
      <c r="B614" s="39"/>
      <c r="C614" s="39" t="s">
        <v>2160</v>
      </c>
      <c r="D614" s="39" t="s">
        <v>2374</v>
      </c>
      <c r="E614" s="39">
        <v>0.21</v>
      </c>
      <c r="F614" s="84">
        <f>'HIRE CHARGES'!$E$549</f>
        <v>299.89999999999998</v>
      </c>
      <c r="G614" s="84">
        <f>ROUND(F614*E614,2)</f>
        <v>62.98</v>
      </c>
    </row>
    <row r="615" spans="2:7">
      <c r="B615" s="39">
        <v>2</v>
      </c>
      <c r="C615" s="39" t="s">
        <v>2161</v>
      </c>
      <c r="D615" s="39" t="s">
        <v>2374</v>
      </c>
      <c r="E615" s="39">
        <v>0.21</v>
      </c>
      <c r="F615" s="84">
        <f>'HIRE CHARGES'!$F$549</f>
        <v>177.5</v>
      </c>
      <c r="G615" s="84">
        <f>ROUND(F615*E615,2)</f>
        <v>37.28</v>
      </c>
    </row>
    <row r="616" spans="2:7">
      <c r="B616" s="39"/>
      <c r="C616" s="39"/>
      <c r="D616" s="39"/>
      <c r="E616" s="39" t="s">
        <v>126</v>
      </c>
      <c r="F616" s="39"/>
      <c r="G616" s="84">
        <f>SUM(G613:G615)</f>
        <v>187.22</v>
      </c>
    </row>
    <row r="617" spans="2:7" ht="36">
      <c r="B617" s="39"/>
      <c r="C617" s="63" t="s">
        <v>2576</v>
      </c>
      <c r="D617" s="1027">
        <f>'BASIC DATA'!$C$577</f>
        <v>0.13614999999999999</v>
      </c>
      <c r="E617" s="39"/>
      <c r="F617" s="39"/>
      <c r="G617" s="84">
        <f>ROUND(G616*D617,2)</f>
        <v>25.49</v>
      </c>
    </row>
    <row r="618" spans="2:7">
      <c r="B618" s="39"/>
      <c r="C618" s="39" t="s">
        <v>2162</v>
      </c>
      <c r="D618" s="127">
        <v>3000</v>
      </c>
      <c r="E618" s="39" t="s">
        <v>7921</v>
      </c>
      <c r="F618" s="39" t="s">
        <v>1698</v>
      </c>
      <c r="G618" s="84">
        <f>G617+G616</f>
        <v>212.71</v>
      </c>
    </row>
    <row r="619" spans="2:7">
      <c r="B619" s="39"/>
      <c r="C619" s="39" t="s">
        <v>7922</v>
      </c>
      <c r="D619" s="39"/>
      <c r="E619" s="39"/>
      <c r="F619" s="39"/>
      <c r="G619" s="84">
        <f>ROUND(G618/3,1)</f>
        <v>70.900000000000006</v>
      </c>
    </row>
    <row r="620" spans="2:7">
      <c r="B620" s="76"/>
      <c r="C620" s="76"/>
      <c r="D620" s="76"/>
      <c r="E620" s="76"/>
      <c r="F620" s="76"/>
      <c r="G620" s="76"/>
    </row>
    <row r="621" spans="2:7">
      <c r="B621" s="76" t="s">
        <v>2164</v>
      </c>
      <c r="C621" s="76"/>
      <c r="D621" s="76"/>
      <c r="E621" s="76" t="s">
        <v>1434</v>
      </c>
      <c r="F621" s="101">
        <v>3000</v>
      </c>
      <c r="G621" s="76" t="s">
        <v>7921</v>
      </c>
    </row>
    <row r="622" spans="2:7" ht="36">
      <c r="B622" s="39" t="s">
        <v>3473</v>
      </c>
      <c r="C622" s="39" t="s">
        <v>2378</v>
      </c>
      <c r="D622" s="39" t="s">
        <v>2370</v>
      </c>
      <c r="E622" s="39" t="s">
        <v>1166</v>
      </c>
      <c r="F622" s="63" t="s">
        <v>125</v>
      </c>
      <c r="G622" s="63" t="s">
        <v>2165</v>
      </c>
    </row>
    <row r="623" spans="2:7">
      <c r="B623" s="39">
        <v>1</v>
      </c>
      <c r="C623" s="39" t="s">
        <v>7923</v>
      </c>
      <c r="D623" s="39" t="s">
        <v>2374</v>
      </c>
      <c r="E623" s="39">
        <v>0.28000000000000003</v>
      </c>
      <c r="F623" s="84">
        <f>'HIRE CHARGES'!$D$549</f>
        <v>414.1</v>
      </c>
      <c r="G623" s="84">
        <f>ROUND(F623*E623,2)</f>
        <v>115.95</v>
      </c>
    </row>
    <row r="624" spans="2:7">
      <c r="B624" s="39"/>
      <c r="C624" s="39" t="s">
        <v>2160</v>
      </c>
      <c r="D624" s="39" t="s">
        <v>2374</v>
      </c>
      <c r="E624" s="39">
        <v>0.28000000000000003</v>
      </c>
      <c r="F624" s="84">
        <f>'HIRE CHARGES'!$E$549</f>
        <v>299.89999999999998</v>
      </c>
      <c r="G624" s="84">
        <f>ROUND(F624*E624,2)</f>
        <v>83.97</v>
      </c>
    </row>
    <row r="625" spans="2:7">
      <c r="B625" s="39">
        <v>2</v>
      </c>
      <c r="C625" s="39" t="s">
        <v>2161</v>
      </c>
      <c r="D625" s="39" t="s">
        <v>2374</v>
      </c>
      <c r="E625" s="39">
        <v>0.28000000000000003</v>
      </c>
      <c r="F625" s="84">
        <f>'HIRE CHARGES'!$F$549</f>
        <v>177.5</v>
      </c>
      <c r="G625" s="84">
        <f>ROUND(F625*E625,2)</f>
        <v>49.7</v>
      </c>
    </row>
    <row r="626" spans="2:7">
      <c r="B626" s="39"/>
      <c r="C626" s="39"/>
      <c r="D626" s="39"/>
      <c r="E626" s="39" t="s">
        <v>126</v>
      </c>
      <c r="F626" s="39"/>
      <c r="G626" s="84">
        <f>SUM(G623:G625)</f>
        <v>249.62</v>
      </c>
    </row>
    <row r="627" spans="2:7" ht="36">
      <c r="B627" s="39"/>
      <c r="C627" s="63" t="s">
        <v>2576</v>
      </c>
      <c r="D627" s="1027">
        <f>'BASIC DATA'!$C$577</f>
        <v>0.13614999999999999</v>
      </c>
      <c r="E627" s="39"/>
      <c r="F627" s="39"/>
      <c r="G627" s="84">
        <f>ROUND(G626*D627,2)</f>
        <v>33.99</v>
      </c>
    </row>
    <row r="628" spans="2:7">
      <c r="B628" s="39"/>
      <c r="C628" s="39" t="s">
        <v>2162</v>
      </c>
      <c r="D628" s="127">
        <v>3000</v>
      </c>
      <c r="E628" s="39" t="s">
        <v>7921</v>
      </c>
      <c r="F628" s="39" t="s">
        <v>1698</v>
      </c>
      <c r="G628" s="84">
        <f>G627+G626</f>
        <v>283.61</v>
      </c>
    </row>
    <row r="629" spans="2:7">
      <c r="B629" s="39"/>
      <c r="C629" s="39" t="s">
        <v>7922</v>
      </c>
      <c r="D629" s="39"/>
      <c r="E629" s="39"/>
      <c r="F629" s="39"/>
      <c r="G629" s="84">
        <f>ROUND(G628/3,1)</f>
        <v>94.5</v>
      </c>
    </row>
    <row r="630" spans="2:7">
      <c r="B630" s="76"/>
      <c r="C630" s="76"/>
      <c r="D630" s="76"/>
      <c r="E630" s="76"/>
      <c r="F630" s="76"/>
      <c r="G630" s="76"/>
    </row>
    <row r="631" spans="2:7">
      <c r="B631" s="76" t="s">
        <v>1825</v>
      </c>
      <c r="C631" s="76"/>
      <c r="D631" s="76"/>
      <c r="E631" s="76" t="s">
        <v>1434</v>
      </c>
      <c r="F631" s="101">
        <v>3000</v>
      </c>
      <c r="G631" s="76" t="s">
        <v>7921</v>
      </c>
    </row>
    <row r="632" spans="2:7" ht="36">
      <c r="B632" s="39" t="s">
        <v>3473</v>
      </c>
      <c r="C632" s="39" t="s">
        <v>2378</v>
      </c>
      <c r="D632" s="39" t="s">
        <v>2370</v>
      </c>
      <c r="E632" s="39" t="s">
        <v>1166</v>
      </c>
      <c r="F632" s="63" t="s">
        <v>125</v>
      </c>
      <c r="G632" s="63" t="s">
        <v>2165</v>
      </c>
    </row>
    <row r="633" spans="2:7">
      <c r="B633" s="39">
        <v>1</v>
      </c>
      <c r="C633" s="39" t="s">
        <v>7923</v>
      </c>
      <c r="D633" s="39" t="s">
        <v>2374</v>
      </c>
      <c r="E633" s="39">
        <v>0.34</v>
      </c>
      <c r="F633" s="84">
        <f>'HIRE CHARGES'!$D$549</f>
        <v>414.1</v>
      </c>
      <c r="G633" s="84">
        <f>ROUND(F633*E633,2)</f>
        <v>140.79</v>
      </c>
    </row>
    <row r="634" spans="2:7">
      <c r="B634" s="39"/>
      <c r="C634" s="39" t="s">
        <v>2160</v>
      </c>
      <c r="D634" s="39" t="s">
        <v>2374</v>
      </c>
      <c r="E634" s="39">
        <v>0.34</v>
      </c>
      <c r="F634" s="84">
        <f>'HIRE CHARGES'!$E$549</f>
        <v>299.89999999999998</v>
      </c>
      <c r="G634" s="84">
        <f>ROUND(F634*E634,2)</f>
        <v>101.97</v>
      </c>
    </row>
    <row r="635" spans="2:7">
      <c r="B635" s="39">
        <v>2</v>
      </c>
      <c r="C635" s="39" t="s">
        <v>2161</v>
      </c>
      <c r="D635" s="39" t="s">
        <v>2374</v>
      </c>
      <c r="E635" s="39">
        <v>0.34</v>
      </c>
      <c r="F635" s="84">
        <f>'HIRE CHARGES'!$F$549</f>
        <v>177.5</v>
      </c>
      <c r="G635" s="84">
        <f>ROUND(F635*E635,2)</f>
        <v>60.35</v>
      </c>
    </row>
    <row r="636" spans="2:7">
      <c r="B636" s="39"/>
      <c r="C636" s="39"/>
      <c r="D636" s="39"/>
      <c r="E636" s="39" t="s">
        <v>126</v>
      </c>
      <c r="F636" s="39"/>
      <c r="G636" s="84">
        <f>SUM(G633:G635)</f>
        <v>303.11</v>
      </c>
    </row>
    <row r="637" spans="2:7" ht="36">
      <c r="B637" s="39"/>
      <c r="C637" s="63" t="s">
        <v>2576</v>
      </c>
      <c r="D637" s="1027">
        <f>'BASIC DATA'!$C$577</f>
        <v>0.13614999999999999</v>
      </c>
      <c r="E637" s="39"/>
      <c r="F637" s="39"/>
      <c r="G637" s="84">
        <f>ROUND(G636*D637,2)</f>
        <v>41.27</v>
      </c>
    </row>
    <row r="638" spans="2:7">
      <c r="B638" s="39"/>
      <c r="C638" s="39" t="s">
        <v>2162</v>
      </c>
      <c r="D638" s="101">
        <v>3000</v>
      </c>
      <c r="E638" s="76" t="s">
        <v>7921</v>
      </c>
      <c r="F638" s="39" t="s">
        <v>1698</v>
      </c>
      <c r="G638" s="84">
        <f>G637+G636</f>
        <v>344.38</v>
      </c>
    </row>
    <row r="639" spans="2:7">
      <c r="B639" s="39"/>
      <c r="C639" s="39" t="s">
        <v>7922</v>
      </c>
      <c r="D639" s="39"/>
      <c r="E639" s="39"/>
      <c r="F639" s="39"/>
      <c r="G639" s="84">
        <f>ROUND(G638/3,1)</f>
        <v>114.8</v>
      </c>
    </row>
    <row r="640" spans="2:7">
      <c r="B640" s="76"/>
      <c r="C640" s="76"/>
      <c r="D640" s="76"/>
      <c r="E640" s="76"/>
      <c r="F640" s="76"/>
      <c r="G640" s="76"/>
    </row>
    <row r="641" spans="2:7">
      <c r="B641" s="76" t="s">
        <v>1826</v>
      </c>
      <c r="C641" s="76"/>
      <c r="D641" s="76"/>
      <c r="E641" s="76" t="s">
        <v>1434</v>
      </c>
      <c r="F641" s="101">
        <v>3000</v>
      </c>
      <c r="G641" s="76" t="s">
        <v>7921</v>
      </c>
    </row>
    <row r="642" spans="2:7" ht="36">
      <c r="B642" s="39" t="s">
        <v>3473</v>
      </c>
      <c r="C642" s="39" t="s">
        <v>2378</v>
      </c>
      <c r="D642" s="39" t="s">
        <v>2370</v>
      </c>
      <c r="E642" s="39" t="s">
        <v>1166</v>
      </c>
      <c r="F642" s="63" t="s">
        <v>125</v>
      </c>
      <c r="G642" s="63" t="s">
        <v>2165</v>
      </c>
    </row>
    <row r="643" spans="2:7">
      <c r="B643" s="39">
        <v>1</v>
      </c>
      <c r="C643" s="39" t="s">
        <v>7923</v>
      </c>
      <c r="D643" s="39" t="s">
        <v>2374</v>
      </c>
      <c r="E643" s="39">
        <v>0.4</v>
      </c>
      <c r="F643" s="84">
        <f>'HIRE CHARGES'!$D$549</f>
        <v>414.1</v>
      </c>
      <c r="G643" s="84">
        <f>ROUND(F643*E643,2)</f>
        <v>165.64</v>
      </c>
    </row>
    <row r="644" spans="2:7">
      <c r="B644" s="39"/>
      <c r="C644" s="39" t="s">
        <v>2160</v>
      </c>
      <c r="D644" s="39" t="s">
        <v>2374</v>
      </c>
      <c r="E644" s="39">
        <v>0.4</v>
      </c>
      <c r="F644" s="84">
        <f>'HIRE CHARGES'!$E$549</f>
        <v>299.89999999999998</v>
      </c>
      <c r="G644" s="84">
        <f>ROUND(F644*E644,2)</f>
        <v>119.96</v>
      </c>
    </row>
    <row r="645" spans="2:7">
      <c r="B645" s="39">
        <v>2</v>
      </c>
      <c r="C645" s="39" t="s">
        <v>2161</v>
      </c>
      <c r="D645" s="39" t="s">
        <v>2374</v>
      </c>
      <c r="E645" s="39">
        <v>0.4</v>
      </c>
      <c r="F645" s="84">
        <f>'HIRE CHARGES'!$F$549</f>
        <v>177.5</v>
      </c>
      <c r="G645" s="84">
        <f>ROUND(F645*E645,2)</f>
        <v>71</v>
      </c>
    </row>
    <row r="646" spans="2:7">
      <c r="B646" s="39"/>
      <c r="C646" s="39"/>
      <c r="D646" s="39"/>
      <c r="E646" s="39" t="s">
        <v>126</v>
      </c>
      <c r="F646" s="39"/>
      <c r="G646" s="84">
        <f>SUM(G643:G645)</f>
        <v>356.59999999999997</v>
      </c>
    </row>
    <row r="647" spans="2:7" ht="36">
      <c r="B647" s="39"/>
      <c r="C647" s="63" t="s">
        <v>2576</v>
      </c>
      <c r="D647" s="1027">
        <f>'BASIC DATA'!$C$577</f>
        <v>0.13614999999999999</v>
      </c>
      <c r="E647" s="39"/>
      <c r="F647" s="39"/>
      <c r="G647" s="84">
        <f>ROUND(G646*D647,2)</f>
        <v>48.55</v>
      </c>
    </row>
    <row r="648" spans="2:7">
      <c r="B648" s="39"/>
      <c r="C648" s="39" t="s">
        <v>2162</v>
      </c>
      <c r="D648" s="101">
        <v>3000</v>
      </c>
      <c r="E648" s="76" t="s">
        <v>7921</v>
      </c>
      <c r="F648" s="39" t="s">
        <v>1698</v>
      </c>
      <c r="G648" s="84">
        <f>G647+G646</f>
        <v>405.15</v>
      </c>
    </row>
    <row r="649" spans="2:7">
      <c r="B649" s="39"/>
      <c r="C649" s="39" t="s">
        <v>7922</v>
      </c>
      <c r="D649" s="39"/>
      <c r="E649" s="39"/>
      <c r="F649" s="39"/>
      <c r="G649" s="84">
        <f>ROUND(G648/3,1)</f>
        <v>135.1</v>
      </c>
    </row>
    <row r="650" spans="2:7">
      <c r="B650" s="76"/>
      <c r="C650" s="76"/>
      <c r="D650" s="76"/>
      <c r="E650" s="76"/>
      <c r="F650" s="76"/>
      <c r="G650" s="76"/>
    </row>
    <row r="651" spans="2:7">
      <c r="B651" s="76" t="s">
        <v>1827</v>
      </c>
      <c r="C651" s="76"/>
      <c r="D651" s="76"/>
      <c r="E651" s="76" t="s">
        <v>1434</v>
      </c>
      <c r="F651" s="101">
        <v>3000</v>
      </c>
      <c r="G651" s="76" t="s">
        <v>7921</v>
      </c>
    </row>
    <row r="652" spans="2:7" ht="36">
      <c r="B652" s="39" t="s">
        <v>3473</v>
      </c>
      <c r="C652" s="39" t="s">
        <v>2378</v>
      </c>
      <c r="D652" s="39" t="s">
        <v>2370</v>
      </c>
      <c r="E652" s="39" t="s">
        <v>1166</v>
      </c>
      <c r="F652" s="63" t="s">
        <v>125</v>
      </c>
      <c r="G652" s="63" t="s">
        <v>2165</v>
      </c>
    </row>
    <row r="653" spans="2:7">
      <c r="B653" s="39">
        <v>1</v>
      </c>
      <c r="C653" s="39" t="s">
        <v>7923</v>
      </c>
      <c r="D653" s="39" t="s">
        <v>2374</v>
      </c>
      <c r="E653" s="39">
        <v>0.06</v>
      </c>
      <c r="F653" s="84">
        <f>'HIRE CHARGES'!$D$549</f>
        <v>414.1</v>
      </c>
      <c r="G653" s="84">
        <f>ROUND(F653*E653,2)</f>
        <v>24.85</v>
      </c>
    </row>
    <row r="654" spans="2:7">
      <c r="B654" s="39"/>
      <c r="C654" s="39" t="s">
        <v>2160</v>
      </c>
      <c r="D654" s="39" t="s">
        <v>2374</v>
      </c>
      <c r="E654" s="39">
        <v>0.06</v>
      </c>
      <c r="F654" s="84">
        <f>'HIRE CHARGES'!$E$549</f>
        <v>299.89999999999998</v>
      </c>
      <c r="G654" s="84">
        <f>ROUND(F654*E654,2)</f>
        <v>17.989999999999998</v>
      </c>
    </row>
    <row r="655" spans="2:7">
      <c r="B655" s="39">
        <v>2</v>
      </c>
      <c r="C655" s="39" t="s">
        <v>2161</v>
      </c>
      <c r="D655" s="39" t="s">
        <v>2374</v>
      </c>
      <c r="E655" s="39">
        <v>0.06</v>
      </c>
      <c r="F655" s="84">
        <f>'HIRE CHARGES'!$F$549</f>
        <v>177.5</v>
      </c>
      <c r="G655" s="84">
        <f>ROUND(F655*E655,2)</f>
        <v>10.65</v>
      </c>
    </row>
    <row r="656" spans="2:7">
      <c r="B656" s="39"/>
      <c r="C656" s="39"/>
      <c r="D656" s="39"/>
      <c r="E656" s="39" t="s">
        <v>126</v>
      </c>
      <c r="F656" s="39"/>
      <c r="G656" s="84">
        <f>SUM(G653:G655)</f>
        <v>53.49</v>
      </c>
    </row>
    <row r="657" spans="1:8" ht="36">
      <c r="B657" s="39"/>
      <c r="C657" s="63" t="s">
        <v>2576</v>
      </c>
      <c r="D657" s="1027">
        <f>'BASIC DATA'!$C$577</f>
        <v>0.13614999999999999</v>
      </c>
      <c r="E657" s="39"/>
      <c r="F657" s="39"/>
      <c r="G657" s="84">
        <f>ROUND(G656*D657,2)</f>
        <v>7.28</v>
      </c>
    </row>
    <row r="658" spans="1:8">
      <c r="B658" s="39"/>
      <c r="C658" s="39" t="s">
        <v>2162</v>
      </c>
      <c r="D658" s="127">
        <v>3000</v>
      </c>
      <c r="E658" s="76" t="s">
        <v>7921</v>
      </c>
      <c r="F658" s="39" t="s">
        <v>1698</v>
      </c>
      <c r="G658" s="84">
        <f>G657+G656</f>
        <v>60.77</v>
      </c>
    </row>
    <row r="659" spans="1:8">
      <c r="B659" s="39"/>
      <c r="C659" s="39" t="s">
        <v>7922</v>
      </c>
      <c r="D659" s="39"/>
      <c r="E659" s="39"/>
      <c r="F659" s="39"/>
      <c r="G659" s="84">
        <f>ROUND(G658/3,1)</f>
        <v>20.3</v>
      </c>
    </row>
    <row r="660" spans="1:8">
      <c r="B660" s="76"/>
      <c r="C660" s="76"/>
      <c r="D660" s="76"/>
      <c r="E660" s="76"/>
      <c r="F660" s="76"/>
      <c r="G660" s="76"/>
    </row>
    <row r="661" spans="1:8">
      <c r="B661" s="76" t="s">
        <v>1828</v>
      </c>
      <c r="C661" s="76"/>
      <c r="D661" s="76"/>
      <c r="E661" s="76" t="s">
        <v>1434</v>
      </c>
      <c r="F661" s="101">
        <v>3000</v>
      </c>
      <c r="G661" s="76" t="s">
        <v>7921</v>
      </c>
    </row>
    <row r="662" spans="1:8" ht="36">
      <c r="B662" s="39" t="s">
        <v>3473</v>
      </c>
      <c r="C662" s="39" t="s">
        <v>2378</v>
      </c>
      <c r="D662" s="39" t="s">
        <v>2370</v>
      </c>
      <c r="E662" s="39" t="s">
        <v>1166</v>
      </c>
      <c r="F662" s="63" t="s">
        <v>125</v>
      </c>
      <c r="G662" s="63" t="s">
        <v>2165</v>
      </c>
    </row>
    <row r="663" spans="1:8">
      <c r="B663" s="39">
        <v>1</v>
      </c>
      <c r="C663" s="39" t="s">
        <v>7923</v>
      </c>
      <c r="D663" s="39" t="s">
        <v>2374</v>
      </c>
      <c r="E663" s="39">
        <v>0.05</v>
      </c>
      <c r="F663" s="84">
        <f>'HIRE CHARGES'!$D$549</f>
        <v>414.1</v>
      </c>
      <c r="G663" s="84">
        <f>ROUND(F663*E663,2)</f>
        <v>20.71</v>
      </c>
    </row>
    <row r="664" spans="1:8">
      <c r="B664" s="39"/>
      <c r="C664" s="39" t="s">
        <v>2160</v>
      </c>
      <c r="D664" s="39" t="s">
        <v>2374</v>
      </c>
      <c r="E664" s="39">
        <v>0.05</v>
      </c>
      <c r="F664" s="84">
        <f>'HIRE CHARGES'!$E$549</f>
        <v>299.89999999999998</v>
      </c>
      <c r="G664" s="84">
        <f>ROUND(F664*E664,2)</f>
        <v>15</v>
      </c>
    </row>
    <row r="665" spans="1:8">
      <c r="B665" s="39">
        <v>2</v>
      </c>
      <c r="C665" s="39" t="s">
        <v>2161</v>
      </c>
      <c r="D665" s="39" t="s">
        <v>2374</v>
      </c>
      <c r="E665" s="39">
        <v>0.05</v>
      </c>
      <c r="F665" s="84">
        <f>'HIRE CHARGES'!$F$549</f>
        <v>177.5</v>
      </c>
      <c r="G665" s="84">
        <f>ROUND(F665*E665,2)</f>
        <v>8.8800000000000008</v>
      </c>
    </row>
    <row r="666" spans="1:8">
      <c r="B666" s="39"/>
      <c r="C666" s="39"/>
      <c r="D666" s="39"/>
      <c r="E666" s="39" t="s">
        <v>126</v>
      </c>
      <c r="F666" s="39"/>
      <c r="G666" s="84">
        <f>SUM(G663:G665)</f>
        <v>44.59</v>
      </c>
    </row>
    <row r="667" spans="1:8" ht="36">
      <c r="B667" s="39"/>
      <c r="C667" s="63" t="s">
        <v>2576</v>
      </c>
      <c r="D667" s="1027">
        <f>'BASIC DATA'!$C$577</f>
        <v>0.13614999999999999</v>
      </c>
      <c r="E667" s="39"/>
      <c r="F667" s="39"/>
      <c r="G667" s="84">
        <f>ROUND(G666*D667,2)</f>
        <v>6.07</v>
      </c>
    </row>
    <row r="668" spans="1:8">
      <c r="B668" s="39"/>
      <c r="C668" s="39" t="s">
        <v>2162</v>
      </c>
      <c r="D668" s="127">
        <v>3000</v>
      </c>
      <c r="E668" s="39" t="s">
        <v>7921</v>
      </c>
      <c r="F668" s="39" t="s">
        <v>1698</v>
      </c>
      <c r="G668" s="84">
        <f>G667+G666</f>
        <v>50.660000000000004</v>
      </c>
    </row>
    <row r="669" spans="1:8">
      <c r="B669" s="39"/>
      <c r="C669" s="39" t="s">
        <v>1835</v>
      </c>
      <c r="D669" s="39"/>
      <c r="E669" s="39"/>
      <c r="F669" s="39"/>
      <c r="G669" s="84">
        <f>ROUND(G668/3,1)</f>
        <v>16.899999999999999</v>
      </c>
    </row>
    <row r="670" spans="1:8">
      <c r="A670" s="859"/>
      <c r="B670" s="76"/>
      <c r="C670" s="76"/>
      <c r="D670" s="76"/>
      <c r="E670" s="76"/>
      <c r="F670" s="76"/>
    </row>
    <row r="671" spans="1:8">
      <c r="A671" s="859"/>
      <c r="B671" s="76"/>
      <c r="C671" s="76"/>
      <c r="D671" s="76"/>
      <c r="E671" s="76"/>
      <c r="F671" s="76"/>
    </row>
    <row r="672" spans="1:8" ht="18.75" thickBot="1">
      <c r="A672" s="828" t="s">
        <v>6951</v>
      </c>
      <c r="B672" s="87" t="s">
        <v>4277</v>
      </c>
      <c r="D672" s="85"/>
      <c r="E672" s="86"/>
      <c r="F672" s="86"/>
      <c r="G672" s="86"/>
      <c r="H672" s="85"/>
    </row>
    <row r="673" spans="2:8">
      <c r="B673" s="76"/>
      <c r="C673" s="128" t="s">
        <v>1836</v>
      </c>
      <c r="D673" s="85"/>
      <c r="E673" s="119"/>
      <c r="F673" s="86"/>
      <c r="G673" s="86"/>
      <c r="H673" s="85"/>
    </row>
    <row r="674" spans="2:8">
      <c r="B674" s="36">
        <v>1</v>
      </c>
      <c r="C674" s="129" t="s">
        <v>1837</v>
      </c>
      <c r="D674" s="130"/>
      <c r="E674" s="39"/>
      <c r="F674" s="39"/>
      <c r="G674" s="39"/>
      <c r="H674" s="39"/>
    </row>
    <row r="675" spans="2:8">
      <c r="B675" s="39" t="s">
        <v>1838</v>
      </c>
      <c r="C675" s="131" t="s">
        <v>1839</v>
      </c>
      <c r="D675" s="132"/>
      <c r="E675" s="133" t="s">
        <v>2370</v>
      </c>
      <c r="F675" s="133" t="s">
        <v>1166</v>
      </c>
      <c r="G675" s="133" t="s">
        <v>1840</v>
      </c>
      <c r="H675" s="134" t="s">
        <v>1841</v>
      </c>
    </row>
    <row r="676" spans="2:8">
      <c r="B676" s="129"/>
      <c r="C676" s="135" t="s">
        <v>557</v>
      </c>
      <c r="D676" s="136"/>
      <c r="E676" s="137"/>
      <c r="F676" s="137"/>
      <c r="G676" s="137"/>
      <c r="H676" s="138"/>
    </row>
    <row r="677" spans="2:8">
      <c r="B677" s="129"/>
      <c r="C677" s="139" t="s">
        <v>558</v>
      </c>
      <c r="D677" s="140"/>
      <c r="E677" s="137"/>
      <c r="F677" s="137"/>
      <c r="G677" s="137"/>
      <c r="H677" s="138"/>
    </row>
    <row r="678" spans="2:8">
      <c r="B678" s="129"/>
      <c r="C678" s="131" t="s">
        <v>359</v>
      </c>
      <c r="D678" s="141"/>
      <c r="E678" s="110"/>
      <c r="F678" s="110"/>
      <c r="G678" s="110"/>
      <c r="H678" s="132"/>
    </row>
    <row r="679" spans="2:8">
      <c r="B679" s="129"/>
      <c r="C679" s="129" t="s">
        <v>559</v>
      </c>
      <c r="D679" s="130"/>
      <c r="E679" s="142"/>
      <c r="F679" s="142"/>
      <c r="G679" s="142"/>
      <c r="H679" s="143"/>
    </row>
    <row r="680" spans="2:8">
      <c r="B680" s="39"/>
      <c r="C680" s="116" t="s">
        <v>197</v>
      </c>
      <c r="D680" s="144"/>
      <c r="E680" s="113"/>
      <c r="F680" s="113"/>
      <c r="G680" s="113"/>
      <c r="H680" s="144"/>
    </row>
    <row r="681" spans="2:8">
      <c r="B681" s="39"/>
      <c r="C681" s="116" t="s">
        <v>51</v>
      </c>
      <c r="D681" s="144"/>
      <c r="E681" s="63" t="s">
        <v>1581</v>
      </c>
      <c r="F681" s="113">
        <v>0.02</v>
      </c>
      <c r="G681" s="145">
        <f>'BASIC DATA'!$C$516</f>
        <v>400</v>
      </c>
      <c r="H681" s="144">
        <f>ROUND(G681*F681,2)</f>
        <v>8</v>
      </c>
    </row>
    <row r="682" spans="2:8">
      <c r="B682" s="39"/>
      <c r="C682" s="39" t="s">
        <v>4647</v>
      </c>
      <c r="D682" s="84"/>
      <c r="E682" s="63" t="s">
        <v>1581</v>
      </c>
      <c r="F682" s="63">
        <v>0.5</v>
      </c>
      <c r="G682" s="63">
        <f>'BASIC DATA'!C552</f>
        <v>350</v>
      </c>
      <c r="H682" s="144">
        <f>ROUND(G682*F682,2)</f>
        <v>175</v>
      </c>
    </row>
    <row r="683" spans="2:8">
      <c r="B683" s="39"/>
      <c r="C683" s="39"/>
      <c r="D683" s="84"/>
      <c r="E683" s="63" t="s">
        <v>360</v>
      </c>
      <c r="F683" s="63"/>
      <c r="G683" s="63"/>
      <c r="H683" s="84">
        <f>H682+H681</f>
        <v>183</v>
      </c>
    </row>
    <row r="684" spans="2:8" ht="36">
      <c r="B684" s="39"/>
      <c r="C684" s="63" t="s">
        <v>127</v>
      </c>
      <c r="D684" s="1027">
        <f>'BASIC DATA'!$C$577</f>
        <v>0.13614999999999999</v>
      </c>
      <c r="E684" s="63"/>
      <c r="F684" s="63"/>
      <c r="G684" s="63"/>
      <c r="H684" s="84">
        <f>ROUND(H683*D684,2)</f>
        <v>24.92</v>
      </c>
    </row>
    <row r="685" spans="2:8">
      <c r="B685" s="39"/>
      <c r="C685" s="39" t="s">
        <v>198</v>
      </c>
      <c r="D685" s="84"/>
      <c r="E685" s="63"/>
      <c r="F685" s="63"/>
      <c r="G685" s="63" t="s">
        <v>4108</v>
      </c>
      <c r="H685" s="84">
        <f>ROUND((H684+H683)/5.5,1)</f>
        <v>37.799999999999997</v>
      </c>
    </row>
    <row r="686" spans="2:8">
      <c r="B686" s="76"/>
      <c r="D686" s="85"/>
      <c r="E686" s="86"/>
      <c r="F686" s="86"/>
      <c r="G686" s="86"/>
      <c r="H686" s="85"/>
    </row>
    <row r="687" spans="2:8">
      <c r="B687" s="76" t="s">
        <v>199</v>
      </c>
      <c r="C687" s="27" t="s">
        <v>200</v>
      </c>
      <c r="D687" s="85">
        <f>H685*50%</f>
        <v>18.899999999999999</v>
      </c>
      <c r="E687" s="86"/>
      <c r="F687" s="86"/>
      <c r="G687" s="86"/>
      <c r="H687" s="85"/>
    </row>
    <row r="688" spans="2:8">
      <c r="B688" s="76"/>
      <c r="D688" s="85"/>
      <c r="E688" s="86"/>
      <c r="F688" s="86"/>
      <c r="G688" s="86"/>
      <c r="H688" s="85"/>
    </row>
    <row r="689" spans="2:8" ht="36">
      <c r="B689" s="92">
        <v>2</v>
      </c>
      <c r="C689" s="146" t="s">
        <v>8360</v>
      </c>
      <c r="D689" s="141"/>
      <c r="E689" s="96" t="s">
        <v>2370</v>
      </c>
      <c r="F689" s="96" t="s">
        <v>1166</v>
      </c>
      <c r="G689" s="96" t="s">
        <v>1840</v>
      </c>
      <c r="H689" s="96" t="s">
        <v>1841</v>
      </c>
    </row>
    <row r="690" spans="2:8">
      <c r="B690" s="129" t="s">
        <v>1838</v>
      </c>
      <c r="C690" s="147" t="s">
        <v>201</v>
      </c>
      <c r="D690" s="85"/>
      <c r="E690" s="137"/>
      <c r="F690" s="137"/>
      <c r="G690" s="137"/>
      <c r="H690" s="137"/>
    </row>
    <row r="691" spans="2:8">
      <c r="B691" s="129"/>
      <c r="C691" s="131" t="s">
        <v>359</v>
      </c>
      <c r="D691" s="141"/>
      <c r="E691" s="110"/>
      <c r="F691" s="110"/>
      <c r="G691" s="110"/>
      <c r="H691" s="132"/>
    </row>
    <row r="692" spans="2:8">
      <c r="B692" s="129"/>
      <c r="C692" s="129" t="s">
        <v>559</v>
      </c>
      <c r="D692" s="130"/>
      <c r="E692" s="142"/>
      <c r="F692" s="142"/>
      <c r="G692" s="142"/>
      <c r="H692" s="143"/>
    </row>
    <row r="693" spans="2:8">
      <c r="B693" s="39"/>
      <c r="C693" s="116" t="s">
        <v>197</v>
      </c>
      <c r="D693" s="144"/>
      <c r="E693" s="113"/>
      <c r="F693" s="113"/>
      <c r="G693" s="113"/>
      <c r="H693" s="144"/>
    </row>
    <row r="694" spans="2:8">
      <c r="B694" s="39"/>
      <c r="C694" s="116" t="s">
        <v>51</v>
      </c>
      <c r="D694" s="144"/>
      <c r="E694" s="63" t="s">
        <v>1581</v>
      </c>
      <c r="F694" s="113">
        <v>0.01</v>
      </c>
      <c r="G694" s="145">
        <v>375</v>
      </c>
      <c r="H694" s="144">
        <f>ROUND(G694*F694,2)</f>
        <v>3.75</v>
      </c>
    </row>
    <row r="695" spans="2:8">
      <c r="B695" s="39"/>
      <c r="C695" s="39" t="s">
        <v>4647</v>
      </c>
      <c r="D695" s="84"/>
      <c r="E695" s="63" t="s">
        <v>1581</v>
      </c>
      <c r="F695" s="63">
        <v>0.25</v>
      </c>
      <c r="G695" s="63">
        <v>320</v>
      </c>
      <c r="H695" s="144">
        <f>ROUND(G695*F695,2)</f>
        <v>80</v>
      </c>
    </row>
    <row r="696" spans="2:8">
      <c r="B696" s="39"/>
      <c r="C696" s="39"/>
      <c r="D696" s="84"/>
      <c r="E696" s="63" t="s">
        <v>360</v>
      </c>
      <c r="F696" s="63"/>
      <c r="G696" s="63"/>
      <c r="H696" s="84">
        <f>H695+H694</f>
        <v>83.75</v>
      </c>
    </row>
    <row r="697" spans="2:8" ht="36">
      <c r="B697" s="39"/>
      <c r="C697" s="63" t="s">
        <v>127</v>
      </c>
      <c r="D697" s="1027">
        <f>'BASIC DATA'!$C$577</f>
        <v>0.13614999999999999</v>
      </c>
      <c r="E697" s="63"/>
      <c r="F697" s="63"/>
      <c r="G697" s="63"/>
      <c r="H697" s="84">
        <f>ROUND(H696*D697,2)</f>
        <v>11.4</v>
      </c>
    </row>
    <row r="698" spans="2:8">
      <c r="B698" s="39"/>
      <c r="C698" s="39" t="s">
        <v>198</v>
      </c>
      <c r="D698" s="84"/>
      <c r="E698" s="63"/>
      <c r="F698" s="63"/>
      <c r="G698" s="63" t="s">
        <v>4108</v>
      </c>
      <c r="H698" s="84">
        <f>ROUND((H697+H696)/5.5,1)</f>
        <v>17.3</v>
      </c>
    </row>
    <row r="699" spans="2:8">
      <c r="B699" s="76"/>
      <c r="D699" s="85"/>
      <c r="E699" s="86"/>
      <c r="F699" s="86"/>
      <c r="G699" s="86"/>
      <c r="H699" s="85"/>
    </row>
    <row r="700" spans="2:8">
      <c r="B700" s="76" t="s">
        <v>199</v>
      </c>
      <c r="C700" s="27" t="s">
        <v>200</v>
      </c>
      <c r="D700" s="85">
        <f>H698*50%</f>
        <v>8.65</v>
      </c>
      <c r="E700" s="86"/>
      <c r="F700" s="86"/>
      <c r="G700" s="86"/>
      <c r="H700" s="85"/>
    </row>
    <row r="701" spans="2:8">
      <c r="B701" s="76"/>
      <c r="D701" s="85"/>
      <c r="E701" s="86"/>
      <c r="F701" s="86"/>
      <c r="G701" s="86"/>
      <c r="H701" s="85"/>
    </row>
    <row r="702" spans="2:8" ht="18.75">
      <c r="B702" s="129">
        <v>3</v>
      </c>
      <c r="C702" s="131" t="s">
        <v>8361</v>
      </c>
      <c r="D702" s="148"/>
      <c r="E702" s="95" t="s">
        <v>2370</v>
      </c>
      <c r="F702" s="95" t="s">
        <v>1166</v>
      </c>
      <c r="G702" s="95" t="s">
        <v>1840</v>
      </c>
      <c r="H702" s="95" t="s">
        <v>1841</v>
      </c>
    </row>
    <row r="703" spans="2:8">
      <c r="B703" s="129" t="s">
        <v>1838</v>
      </c>
      <c r="C703" s="139" t="s">
        <v>202</v>
      </c>
      <c r="D703" s="89"/>
      <c r="E703" s="116"/>
      <c r="F703" s="116"/>
      <c r="G703" s="116"/>
      <c r="H703" s="116"/>
    </row>
    <row r="704" spans="2:8">
      <c r="B704" s="39"/>
      <c r="C704" s="116" t="s">
        <v>203</v>
      </c>
      <c r="D704" s="144"/>
      <c r="E704" s="116"/>
      <c r="F704" s="39"/>
      <c r="G704" s="39"/>
      <c r="H704" s="84"/>
    </row>
    <row r="705" spans="2:8">
      <c r="B705" s="39"/>
      <c r="C705" s="39" t="s">
        <v>204</v>
      </c>
      <c r="D705" s="39"/>
      <c r="E705" s="39"/>
      <c r="F705" s="39"/>
      <c r="G705" s="39"/>
      <c r="H705" s="84"/>
    </row>
    <row r="706" spans="2:8">
      <c r="B706" s="39"/>
      <c r="C706" s="39" t="s">
        <v>6788</v>
      </c>
      <c r="D706" s="39"/>
      <c r="E706" s="39"/>
      <c r="F706" s="39"/>
      <c r="G706" s="39"/>
      <c r="H706" s="39"/>
    </row>
    <row r="707" spans="2:8">
      <c r="B707" s="39"/>
      <c r="C707" s="39" t="s">
        <v>51</v>
      </c>
      <c r="D707" s="39"/>
      <c r="E707" s="39" t="s">
        <v>1581</v>
      </c>
      <c r="F707" s="39">
        <v>0.01</v>
      </c>
      <c r="G707" s="145">
        <f>'BASIC DATA'!$C$516</f>
        <v>400</v>
      </c>
      <c r="H707" s="84">
        <f>ROUND(G707*F707,2)</f>
        <v>4</v>
      </c>
    </row>
    <row r="708" spans="2:8">
      <c r="B708" s="39"/>
      <c r="C708" s="39" t="s">
        <v>4647</v>
      </c>
      <c r="D708" s="39"/>
      <c r="E708" s="39" t="s">
        <v>1581</v>
      </c>
      <c r="F708" s="39">
        <v>0.25</v>
      </c>
      <c r="G708" s="39">
        <f>'BASIC DATA'!C552</f>
        <v>350</v>
      </c>
      <c r="H708" s="84">
        <f>ROUND(G708*F708,2)</f>
        <v>87.5</v>
      </c>
    </row>
    <row r="709" spans="2:8">
      <c r="B709" s="39"/>
      <c r="C709" s="39" t="s">
        <v>205</v>
      </c>
      <c r="D709" s="39"/>
      <c r="E709" s="39"/>
      <c r="F709" s="39"/>
      <c r="G709" s="39"/>
      <c r="H709" s="84">
        <f>H708+H707</f>
        <v>91.5</v>
      </c>
    </row>
    <row r="710" spans="2:8" ht="36">
      <c r="B710" s="39"/>
      <c r="C710" s="63" t="s">
        <v>127</v>
      </c>
      <c r="D710" s="1027">
        <f>'BASIC DATA'!$C$577</f>
        <v>0.13614999999999999</v>
      </c>
      <c r="E710" s="39"/>
      <c r="F710" s="39"/>
      <c r="G710" s="39"/>
      <c r="H710" s="84">
        <f>ROUND(H709*D710,2)</f>
        <v>12.46</v>
      </c>
    </row>
    <row r="711" spans="2:8">
      <c r="B711" s="39"/>
      <c r="C711" s="39" t="s">
        <v>198</v>
      </c>
      <c r="D711" s="39"/>
      <c r="E711" s="39"/>
      <c r="F711" s="39"/>
      <c r="G711" s="39" t="s">
        <v>4108</v>
      </c>
      <c r="H711" s="84">
        <f>ROUND((H710+H709)/2,1)</f>
        <v>52</v>
      </c>
    </row>
    <row r="712" spans="2:8">
      <c r="B712" s="76"/>
      <c r="D712" s="85"/>
      <c r="E712" s="86"/>
      <c r="F712" s="86"/>
      <c r="G712" s="86"/>
      <c r="H712" s="85"/>
    </row>
    <row r="713" spans="2:8" ht="36">
      <c r="B713" s="27" t="s">
        <v>206</v>
      </c>
      <c r="C713" s="43" t="s">
        <v>220</v>
      </c>
      <c r="D713" s="117">
        <f>H711</f>
        <v>52</v>
      </c>
      <c r="G713" s="117"/>
    </row>
    <row r="714" spans="2:8">
      <c r="B714" s="76"/>
      <c r="D714" s="85"/>
      <c r="E714" s="86"/>
      <c r="F714" s="86"/>
      <c r="G714" s="86"/>
      <c r="H714" s="85"/>
    </row>
    <row r="715" spans="2:8" ht="18.75">
      <c r="B715" s="36">
        <v>4</v>
      </c>
      <c r="C715" s="131" t="s">
        <v>8362</v>
      </c>
      <c r="D715" s="149"/>
      <c r="E715" s="95" t="s">
        <v>2370</v>
      </c>
      <c r="F715" s="95" t="s">
        <v>1166</v>
      </c>
      <c r="G715" s="95" t="s">
        <v>1840</v>
      </c>
      <c r="H715" s="36" t="s">
        <v>1841</v>
      </c>
    </row>
    <row r="716" spans="2:8">
      <c r="B716" s="39" t="s">
        <v>1838</v>
      </c>
      <c r="C716" s="139" t="s">
        <v>202</v>
      </c>
      <c r="D716" s="150"/>
      <c r="E716" s="116"/>
      <c r="F716" s="116"/>
      <c r="G716" s="116"/>
      <c r="H716" s="116"/>
    </row>
    <row r="717" spans="2:8">
      <c r="B717" s="39"/>
      <c r="C717" s="129" t="s">
        <v>208</v>
      </c>
      <c r="D717" s="130"/>
      <c r="E717" s="151"/>
      <c r="F717" s="151"/>
      <c r="G717" s="151"/>
      <c r="H717" s="143"/>
    </row>
    <row r="718" spans="2:8">
      <c r="B718" s="39"/>
      <c r="C718" s="131" t="s">
        <v>209</v>
      </c>
      <c r="D718" s="148"/>
      <c r="E718" s="148"/>
      <c r="F718" s="148"/>
      <c r="G718" s="148"/>
      <c r="H718" s="132"/>
    </row>
    <row r="719" spans="2:8">
      <c r="B719" s="39"/>
      <c r="C719" s="39" t="s">
        <v>6788</v>
      </c>
      <c r="D719" s="39"/>
      <c r="E719" s="39"/>
      <c r="F719" s="39"/>
      <c r="G719" s="39"/>
      <c r="H719" s="39"/>
    </row>
    <row r="720" spans="2:8">
      <c r="B720" s="39"/>
      <c r="C720" s="39" t="s">
        <v>52</v>
      </c>
      <c r="D720" s="39"/>
      <c r="E720" s="39" t="s">
        <v>1581</v>
      </c>
      <c r="F720" s="39">
        <v>0.06</v>
      </c>
      <c r="G720" s="145">
        <f>'BASIC DATA'!$C$516</f>
        <v>400</v>
      </c>
      <c r="H720" s="84">
        <f>ROUND(G720*F720,2)</f>
        <v>24</v>
      </c>
    </row>
    <row r="721" spans="2:8">
      <c r="B721" s="39"/>
      <c r="C721" s="39" t="s">
        <v>4647</v>
      </c>
      <c r="D721" s="39"/>
      <c r="E721" s="39" t="s">
        <v>1581</v>
      </c>
      <c r="F721" s="39">
        <v>1.5</v>
      </c>
      <c r="G721" s="39">
        <f>'BASIC DATA'!C552</f>
        <v>350</v>
      </c>
      <c r="H721" s="84">
        <f>ROUND(G721*F721,2)</f>
        <v>525</v>
      </c>
    </row>
    <row r="722" spans="2:8">
      <c r="B722" s="39"/>
      <c r="C722" s="39" t="s">
        <v>210</v>
      </c>
      <c r="D722" s="39"/>
      <c r="E722" s="39"/>
      <c r="F722" s="39"/>
      <c r="G722" s="39"/>
      <c r="H722" s="84">
        <f>H721+H720</f>
        <v>549</v>
      </c>
    </row>
    <row r="723" spans="2:8" ht="36">
      <c r="B723" s="39"/>
      <c r="C723" s="63" t="s">
        <v>127</v>
      </c>
      <c r="D723" s="1027">
        <f>'BASIC DATA'!$C$577</f>
        <v>0.13614999999999999</v>
      </c>
      <c r="E723" s="39"/>
      <c r="F723" s="39"/>
      <c r="G723" s="39"/>
      <c r="H723" s="84">
        <f>ROUND(H722*D723,2)</f>
        <v>74.75</v>
      </c>
    </row>
    <row r="724" spans="2:8">
      <c r="B724" s="39"/>
      <c r="C724" s="39" t="s">
        <v>211</v>
      </c>
      <c r="D724" s="39"/>
      <c r="E724" s="39"/>
      <c r="F724" s="39"/>
      <c r="G724" s="39" t="s">
        <v>4108</v>
      </c>
      <c r="H724" s="84">
        <f>ROUND((H723+H722)/10,1)</f>
        <v>62.4</v>
      </c>
    </row>
    <row r="725" spans="2:8">
      <c r="B725" s="76"/>
      <c r="D725" s="85"/>
      <c r="E725" s="86"/>
      <c r="F725" s="86"/>
      <c r="G725" s="86"/>
      <c r="H725" s="85"/>
    </row>
    <row r="726" spans="2:8">
      <c r="B726" s="27" t="s">
        <v>206</v>
      </c>
      <c r="C726" s="27" t="s">
        <v>207</v>
      </c>
      <c r="D726" s="117">
        <f>H724</f>
        <v>62.4</v>
      </c>
      <c r="G726" s="117"/>
    </row>
    <row r="727" spans="2:8">
      <c r="B727" s="76"/>
      <c r="D727" s="85"/>
      <c r="E727" s="86"/>
      <c r="F727" s="86"/>
      <c r="G727" s="86"/>
      <c r="H727" s="85"/>
    </row>
    <row r="728" spans="2:8" ht="18.75">
      <c r="B728" s="36">
        <v>5</v>
      </c>
      <c r="C728" s="131" t="s">
        <v>8363</v>
      </c>
      <c r="D728" s="149"/>
      <c r="E728" s="95" t="s">
        <v>2370</v>
      </c>
      <c r="F728" s="95" t="s">
        <v>1166</v>
      </c>
      <c r="G728" s="95" t="s">
        <v>1840</v>
      </c>
      <c r="H728" s="36" t="s">
        <v>1841</v>
      </c>
    </row>
    <row r="729" spans="2:8">
      <c r="B729" s="39" t="s">
        <v>1838</v>
      </c>
      <c r="C729" s="135" t="s">
        <v>202</v>
      </c>
      <c r="D729" s="123"/>
      <c r="E729" s="152"/>
      <c r="F729" s="152"/>
      <c r="G729" s="152"/>
      <c r="H729" s="152"/>
    </row>
    <row r="730" spans="2:8">
      <c r="B730" s="129"/>
      <c r="C730" s="131" t="s">
        <v>208</v>
      </c>
      <c r="D730" s="141"/>
      <c r="E730" s="148"/>
      <c r="F730" s="148"/>
      <c r="G730" s="148"/>
      <c r="H730" s="132"/>
    </row>
    <row r="731" spans="2:8">
      <c r="B731" s="129"/>
      <c r="C731" s="129" t="s">
        <v>209</v>
      </c>
      <c r="D731" s="151"/>
      <c r="E731" s="151"/>
      <c r="F731" s="151"/>
      <c r="G731" s="151"/>
      <c r="H731" s="143"/>
    </row>
    <row r="732" spans="2:8">
      <c r="B732" s="39"/>
      <c r="C732" s="116" t="s">
        <v>6788</v>
      </c>
      <c r="D732" s="116"/>
      <c r="E732" s="116"/>
      <c r="F732" s="116"/>
      <c r="G732" s="116"/>
      <c r="H732" s="116"/>
    </row>
    <row r="733" spans="2:8">
      <c r="B733" s="39"/>
      <c r="C733" s="116" t="s">
        <v>53</v>
      </c>
      <c r="D733" s="116"/>
      <c r="E733" s="39" t="s">
        <v>1581</v>
      </c>
      <c r="F733" s="116">
        <v>7.0000000000000007E-2</v>
      </c>
      <c r="G733" s="145">
        <f>'BASIC DATA'!$C$516</f>
        <v>400</v>
      </c>
      <c r="H733" s="116">
        <f>ROUND(G733*F733,2)</f>
        <v>28</v>
      </c>
    </row>
    <row r="734" spans="2:8">
      <c r="B734" s="39"/>
      <c r="C734" s="39" t="s">
        <v>4647</v>
      </c>
      <c r="D734" s="39"/>
      <c r="E734" s="39" t="s">
        <v>1581</v>
      </c>
      <c r="F734" s="39">
        <v>1.8</v>
      </c>
      <c r="G734" s="39">
        <f>'BASIC DATA'!C552</f>
        <v>350</v>
      </c>
      <c r="H734" s="144">
        <f>ROUND(G734*F734,2)</f>
        <v>630</v>
      </c>
    </row>
    <row r="735" spans="2:8">
      <c r="B735" s="39"/>
      <c r="C735" s="39" t="s">
        <v>210</v>
      </c>
      <c r="D735" s="39"/>
      <c r="E735" s="39"/>
      <c r="F735" s="39"/>
      <c r="G735" s="39"/>
      <c r="H735" s="84">
        <f>H734+H733</f>
        <v>658</v>
      </c>
    </row>
    <row r="736" spans="2:8" ht="36">
      <c r="B736" s="39"/>
      <c r="C736" s="63" t="s">
        <v>127</v>
      </c>
      <c r="D736" s="1027">
        <f>'BASIC DATA'!$C$577</f>
        <v>0.13614999999999999</v>
      </c>
      <c r="E736" s="39"/>
      <c r="F736" s="39"/>
      <c r="G736" s="39"/>
      <c r="H736" s="84">
        <f>ROUND(H735*D736,2)</f>
        <v>89.59</v>
      </c>
    </row>
    <row r="737" spans="1:8">
      <c r="B737" s="39"/>
      <c r="C737" s="39" t="s">
        <v>211</v>
      </c>
      <c r="D737" s="39"/>
      <c r="E737" s="39"/>
      <c r="F737" s="39"/>
      <c r="G737" s="39" t="s">
        <v>4108</v>
      </c>
      <c r="H737" s="84">
        <f>ROUND((H736+H735)/10,1)</f>
        <v>74.8</v>
      </c>
    </row>
    <row r="738" spans="1:8">
      <c r="H738" s="117"/>
    </row>
    <row r="739" spans="1:8" ht="36">
      <c r="B739" s="27" t="s">
        <v>206</v>
      </c>
      <c r="C739" s="43" t="s">
        <v>207</v>
      </c>
      <c r="D739" s="117">
        <f>H737</f>
        <v>74.8</v>
      </c>
      <c r="G739" s="117"/>
    </row>
    <row r="740" spans="1:8">
      <c r="A740" s="859"/>
      <c r="C740" s="85"/>
      <c r="D740" s="86"/>
      <c r="E740" s="86"/>
      <c r="F740" s="86"/>
      <c r="G740" s="85"/>
    </row>
    <row r="741" spans="1:8">
      <c r="B741" s="36">
        <v>6</v>
      </c>
      <c r="C741" s="1211" t="s">
        <v>7925</v>
      </c>
      <c r="D741" s="1213"/>
      <c r="E741" s="95" t="s">
        <v>2370</v>
      </c>
      <c r="F741" s="95" t="s">
        <v>1166</v>
      </c>
      <c r="G741" s="95" t="s">
        <v>1840</v>
      </c>
      <c r="H741" s="36" t="s">
        <v>1841</v>
      </c>
    </row>
    <row r="742" spans="1:8">
      <c r="B742" s="39" t="s">
        <v>1838</v>
      </c>
      <c r="C742" s="1217"/>
      <c r="D742" s="1219"/>
      <c r="E742" s="152"/>
      <c r="F742" s="152"/>
      <c r="G742" s="152"/>
      <c r="H742" s="152"/>
    </row>
    <row r="743" spans="1:8">
      <c r="B743" s="129"/>
      <c r="C743" s="131" t="s">
        <v>203</v>
      </c>
      <c r="D743" s="141"/>
      <c r="E743" s="148"/>
      <c r="F743" s="148"/>
      <c r="G743" s="148"/>
      <c r="H743" s="132"/>
    </row>
    <row r="744" spans="1:8">
      <c r="B744" s="129"/>
      <c r="C744" s="129" t="s">
        <v>7926</v>
      </c>
      <c r="D744" s="151"/>
      <c r="E744" s="151"/>
      <c r="F744" s="151"/>
      <c r="G744" s="151"/>
      <c r="H744" s="143"/>
    </row>
    <row r="745" spans="1:8">
      <c r="B745" s="39"/>
      <c r="C745" s="116" t="s">
        <v>6788</v>
      </c>
      <c r="D745" s="116"/>
      <c r="E745" s="116"/>
      <c r="F745" s="116"/>
      <c r="G745" s="116"/>
      <c r="H745" s="116"/>
    </row>
    <row r="746" spans="1:8">
      <c r="B746" s="39"/>
      <c r="C746" s="116" t="s">
        <v>53</v>
      </c>
      <c r="D746" s="116"/>
      <c r="E746" s="39" t="s">
        <v>1581</v>
      </c>
      <c r="F746" s="116">
        <v>0.01</v>
      </c>
      <c r="G746" s="145">
        <f>'BASIC DATA'!$C$516</f>
        <v>400</v>
      </c>
      <c r="H746" s="116">
        <f>ROUND(G746*F746,2)</f>
        <v>4</v>
      </c>
    </row>
    <row r="747" spans="1:8">
      <c r="B747" s="39"/>
      <c r="C747" s="39" t="s">
        <v>4647</v>
      </c>
      <c r="D747" s="39"/>
      <c r="E747" s="39" t="s">
        <v>1581</v>
      </c>
      <c r="F747" s="39">
        <v>0.25</v>
      </c>
      <c r="G747" s="84">
        <f>'BASIC DATA'!C552</f>
        <v>350</v>
      </c>
      <c r="H747" s="144">
        <f>ROUND(G747*F747,2)</f>
        <v>87.5</v>
      </c>
    </row>
    <row r="748" spans="1:8">
      <c r="B748" s="39"/>
      <c r="C748" s="39" t="s">
        <v>218</v>
      </c>
      <c r="D748" s="39"/>
      <c r="E748" s="39"/>
      <c r="F748" s="39"/>
      <c r="G748" s="39"/>
      <c r="H748" s="84">
        <f>H747+H746</f>
        <v>91.5</v>
      </c>
    </row>
    <row r="749" spans="1:8" ht="36">
      <c r="B749" s="39"/>
      <c r="C749" s="63" t="s">
        <v>127</v>
      </c>
      <c r="D749" s="1027">
        <f>'BASIC DATA'!$C$577</f>
        <v>0.13614999999999999</v>
      </c>
      <c r="E749" s="39"/>
      <c r="F749" s="39"/>
      <c r="G749" s="39"/>
      <c r="H749" s="84">
        <f>ROUND(H748*D749,2)</f>
        <v>12.46</v>
      </c>
    </row>
    <row r="750" spans="1:8">
      <c r="B750" s="39"/>
      <c r="C750" s="39" t="s">
        <v>7927</v>
      </c>
      <c r="D750" s="39"/>
      <c r="E750" s="39"/>
      <c r="F750" s="39"/>
      <c r="G750" s="39" t="s">
        <v>4108</v>
      </c>
      <c r="H750" s="84">
        <f>ROUND(SUM(H748:H749)/2,1)</f>
        <v>52</v>
      </c>
    </row>
    <row r="751" spans="1:8">
      <c r="H751" s="117"/>
    </row>
    <row r="752" spans="1:8" ht="36">
      <c r="B752" s="27" t="s">
        <v>206</v>
      </c>
      <c r="C752" s="43" t="s">
        <v>207</v>
      </c>
      <c r="D752" s="117">
        <f>H750</f>
        <v>52</v>
      </c>
      <c r="G752" s="117"/>
    </row>
    <row r="753" spans="1:8">
      <c r="A753" s="859"/>
      <c r="C753" s="85"/>
      <c r="D753" s="86"/>
      <c r="E753" s="86"/>
      <c r="F753" s="86"/>
      <c r="G753" s="85"/>
    </row>
    <row r="754" spans="1:8">
      <c r="A754" s="828" t="s">
        <v>6950</v>
      </c>
      <c r="B754" s="87" t="s">
        <v>1299</v>
      </c>
      <c r="D754" s="85"/>
      <c r="E754" s="86"/>
      <c r="F754" s="86"/>
      <c r="G754" s="86"/>
      <c r="H754" s="85"/>
    </row>
    <row r="755" spans="1:8">
      <c r="B755" s="76"/>
      <c r="D755" s="85"/>
      <c r="E755" s="86"/>
      <c r="F755" s="86"/>
      <c r="G755" s="86"/>
      <c r="H755" s="85"/>
    </row>
    <row r="756" spans="1:8">
      <c r="B756" s="36">
        <v>1</v>
      </c>
      <c r="C756" s="131" t="s">
        <v>1837</v>
      </c>
      <c r="D756" s="141"/>
      <c r="E756" s="153"/>
      <c r="F756" s="153"/>
      <c r="G756" s="153"/>
      <c r="H756" s="153"/>
    </row>
    <row r="757" spans="1:8">
      <c r="B757" s="153" t="s">
        <v>1838</v>
      </c>
      <c r="C757" s="135" t="s">
        <v>1839</v>
      </c>
      <c r="D757" s="85"/>
      <c r="E757" s="152"/>
      <c r="F757" s="152"/>
      <c r="G757" s="152"/>
      <c r="H757" s="152"/>
    </row>
    <row r="758" spans="1:8">
      <c r="B758" s="39"/>
      <c r="C758" s="135" t="s">
        <v>557</v>
      </c>
      <c r="D758" s="85"/>
      <c r="E758" s="105" t="s">
        <v>2370</v>
      </c>
      <c r="F758" s="105" t="s">
        <v>1166</v>
      </c>
      <c r="G758" s="105" t="s">
        <v>1840</v>
      </c>
      <c r="H758" s="36" t="s">
        <v>1841</v>
      </c>
    </row>
    <row r="759" spans="1:8">
      <c r="B759" s="39"/>
      <c r="C759" s="139" t="s">
        <v>558</v>
      </c>
      <c r="D759" s="120"/>
      <c r="E759" s="113"/>
      <c r="F759" s="113"/>
      <c r="G759" s="113"/>
      <c r="H759" s="113"/>
    </row>
    <row r="760" spans="1:8">
      <c r="B760" s="39"/>
      <c r="C760" s="131" t="s">
        <v>359</v>
      </c>
      <c r="D760" s="141"/>
      <c r="E760" s="76"/>
      <c r="F760" s="148"/>
      <c r="G760" s="148"/>
      <c r="H760" s="132"/>
    </row>
    <row r="761" spans="1:8">
      <c r="B761" s="39"/>
      <c r="C761" s="131" t="s">
        <v>559</v>
      </c>
      <c r="D761" s="148"/>
      <c r="E761" s="148"/>
      <c r="F761" s="148"/>
      <c r="G761" s="148"/>
      <c r="H761" s="132"/>
    </row>
    <row r="762" spans="1:8">
      <c r="B762" s="39"/>
      <c r="C762" s="39" t="s">
        <v>6788</v>
      </c>
      <c r="D762" s="84"/>
      <c r="E762" s="63"/>
      <c r="F762" s="63"/>
      <c r="G762" s="63"/>
      <c r="H762" s="84"/>
    </row>
    <row r="763" spans="1:8">
      <c r="B763" s="39"/>
      <c r="C763" s="39" t="s">
        <v>51</v>
      </c>
      <c r="D763" s="84"/>
      <c r="E763" s="63" t="s">
        <v>1581</v>
      </c>
      <c r="F763" s="63">
        <v>0.02</v>
      </c>
      <c r="G763" s="145">
        <f>'BASIC DATA'!$C$516</f>
        <v>400</v>
      </c>
      <c r="H763" s="84">
        <f>ROUND(G763*F763,2)</f>
        <v>8</v>
      </c>
    </row>
    <row r="764" spans="1:8">
      <c r="B764" s="39"/>
      <c r="C764" s="39" t="s">
        <v>4647</v>
      </c>
      <c r="D764" s="84"/>
      <c r="E764" s="63" t="s">
        <v>1581</v>
      </c>
      <c r="F764" s="63">
        <v>0.5</v>
      </c>
      <c r="G764" s="63">
        <f>'BASIC DATA'!C552</f>
        <v>350</v>
      </c>
      <c r="H764" s="84">
        <f>ROUND(G764*F764,2)</f>
        <v>175</v>
      </c>
    </row>
    <row r="765" spans="1:8">
      <c r="B765" s="39"/>
      <c r="C765" s="39" t="s">
        <v>212</v>
      </c>
      <c r="D765" s="84"/>
      <c r="E765" s="39"/>
      <c r="F765" s="39"/>
      <c r="G765" s="39"/>
      <c r="H765" s="84"/>
    </row>
    <row r="766" spans="1:8">
      <c r="B766" s="39"/>
      <c r="C766" s="39" t="s">
        <v>213</v>
      </c>
      <c r="D766" s="39"/>
      <c r="E766" s="39" t="s">
        <v>1189</v>
      </c>
      <c r="F766" s="39">
        <v>0.5</v>
      </c>
      <c r="G766" s="84">
        <f>'HIRE CHARGES'!D549+'HIRE CHARGES'!E549+'HIRE CHARGES'!F549</f>
        <v>891.5</v>
      </c>
      <c r="H766" s="84">
        <f>G766*F766</f>
        <v>445.75</v>
      </c>
    </row>
    <row r="767" spans="1:8">
      <c r="B767" s="39"/>
      <c r="C767" s="39" t="s">
        <v>214</v>
      </c>
      <c r="D767" s="39"/>
      <c r="E767" s="39"/>
      <c r="F767" s="39"/>
      <c r="G767" s="39"/>
      <c r="H767" s="84">
        <f>H766+H764+H763</f>
        <v>628.75</v>
      </c>
    </row>
    <row r="768" spans="1:8" ht="36">
      <c r="B768" s="39"/>
      <c r="C768" s="63" t="s">
        <v>127</v>
      </c>
      <c r="D768" s="1027">
        <f>'BASIC DATA'!$C$577</f>
        <v>0.13614999999999999</v>
      </c>
      <c r="E768" s="39"/>
      <c r="F768" s="39"/>
      <c r="G768" s="39"/>
      <c r="H768" s="84">
        <f>ROUND(H767*D768,2)</f>
        <v>85.6</v>
      </c>
    </row>
    <row r="769" spans="2:8">
      <c r="B769" s="39"/>
      <c r="C769" s="39" t="s">
        <v>198</v>
      </c>
      <c r="D769" s="84"/>
      <c r="E769" s="39"/>
      <c r="F769" s="39"/>
      <c r="G769" s="39" t="s">
        <v>4108</v>
      </c>
      <c r="H769" s="84">
        <f>ROUND((H768+H767)/5.5,1)</f>
        <v>129.9</v>
      </c>
    </row>
    <row r="770" spans="2:8"/>
    <row r="771" spans="2:8">
      <c r="B771" s="76" t="s">
        <v>199</v>
      </c>
      <c r="C771" s="27" t="s">
        <v>200</v>
      </c>
      <c r="D771" s="85"/>
      <c r="E771" s="86">
        <f>ROUND(H769*50%,2)</f>
        <v>64.95</v>
      </c>
      <c r="F771" s="86"/>
      <c r="G771" s="86"/>
      <c r="H771" s="85"/>
    </row>
    <row r="772" spans="2:8">
      <c r="G772" s="117"/>
    </row>
    <row r="773" spans="2:8">
      <c r="G773" s="117"/>
    </row>
    <row r="774" spans="2:8">
      <c r="B774" s="36">
        <v>2</v>
      </c>
      <c r="C774" s="146" t="s">
        <v>8360</v>
      </c>
      <c r="D774" s="132"/>
      <c r="E774" s="95" t="s">
        <v>2370</v>
      </c>
      <c r="F774" s="95" t="s">
        <v>1166</v>
      </c>
      <c r="G774" s="95" t="s">
        <v>1840</v>
      </c>
      <c r="H774" s="36" t="s">
        <v>1841</v>
      </c>
    </row>
    <row r="775" spans="2:8">
      <c r="B775" s="39" t="s">
        <v>1838</v>
      </c>
      <c r="C775" s="154" t="s">
        <v>201</v>
      </c>
      <c r="D775" s="140"/>
      <c r="E775" s="116"/>
      <c r="F775" s="116"/>
      <c r="G775" s="139"/>
      <c r="H775" s="39"/>
    </row>
    <row r="776" spans="2:8">
      <c r="B776" s="39"/>
      <c r="C776" s="131" t="s">
        <v>359</v>
      </c>
      <c r="D776" s="141"/>
      <c r="E776" s="148"/>
      <c r="F776" s="148"/>
      <c r="G776" s="148"/>
      <c r="H776" s="155"/>
    </row>
    <row r="777" spans="2:8">
      <c r="B777" s="39"/>
      <c r="C777" s="131" t="s">
        <v>559</v>
      </c>
      <c r="D777" s="148"/>
      <c r="E777" s="148"/>
      <c r="F777" s="148"/>
      <c r="G777" s="148"/>
      <c r="H777" s="155"/>
    </row>
    <row r="778" spans="2:8">
      <c r="B778" s="39"/>
      <c r="C778" s="39" t="s">
        <v>197</v>
      </c>
      <c r="D778" s="84"/>
      <c r="E778" s="63"/>
      <c r="F778" s="63"/>
      <c r="G778" s="122"/>
      <c r="H778" s="84"/>
    </row>
    <row r="779" spans="2:8">
      <c r="B779" s="39"/>
      <c r="C779" s="39" t="s">
        <v>51</v>
      </c>
      <c r="D779" s="84"/>
      <c r="E779" s="63" t="s">
        <v>1581</v>
      </c>
      <c r="F779" s="63">
        <v>0.01</v>
      </c>
      <c r="G779" s="145">
        <f>'BASIC DATA'!$C$516</f>
        <v>400</v>
      </c>
      <c r="H779" s="84">
        <f>ROUND(G779*F779,2)</f>
        <v>4</v>
      </c>
    </row>
    <row r="780" spans="2:8">
      <c r="B780" s="39"/>
      <c r="C780" s="39" t="s">
        <v>4647</v>
      </c>
      <c r="D780" s="84"/>
      <c r="E780" s="63" t="s">
        <v>1581</v>
      </c>
      <c r="F780" s="63">
        <v>0.25</v>
      </c>
      <c r="G780" s="122">
        <f>'BASIC DATA'!C552</f>
        <v>350</v>
      </c>
      <c r="H780" s="84">
        <f>ROUND(G780*F780,2)</f>
        <v>87.5</v>
      </c>
    </row>
    <row r="781" spans="2:8">
      <c r="B781" s="39"/>
      <c r="C781" s="39" t="s">
        <v>212</v>
      </c>
      <c r="D781" s="84"/>
      <c r="E781" s="39"/>
      <c r="F781" s="39"/>
      <c r="G781" s="129"/>
      <c r="H781" s="84"/>
    </row>
    <row r="782" spans="2:8">
      <c r="B782" s="39"/>
      <c r="C782" s="39" t="s">
        <v>213</v>
      </c>
      <c r="D782" s="39"/>
      <c r="E782" s="39" t="s">
        <v>1189</v>
      </c>
      <c r="F782" s="39">
        <v>0.5</v>
      </c>
      <c r="G782" s="156">
        <f>'HIRE CHARGES'!D549+'HIRE CHARGES'!E549+'HIRE CHARGES'!F549</f>
        <v>891.5</v>
      </c>
      <c r="H782" s="84">
        <f>ROUND(G782*F782,2)</f>
        <v>445.75</v>
      </c>
    </row>
    <row r="783" spans="2:8">
      <c r="B783" s="39"/>
      <c r="C783" s="39" t="s">
        <v>214</v>
      </c>
      <c r="D783" s="39"/>
      <c r="E783" s="39"/>
      <c r="F783" s="39"/>
      <c r="G783" s="129"/>
      <c r="H783" s="84">
        <f>H782+H780+H779</f>
        <v>537.25</v>
      </c>
    </row>
    <row r="784" spans="2:8" ht="36">
      <c r="B784" s="39"/>
      <c r="C784" s="63" t="s">
        <v>127</v>
      </c>
      <c r="D784" s="1027">
        <f>'BASIC DATA'!$C$577</f>
        <v>0.13614999999999999</v>
      </c>
      <c r="E784" s="39"/>
      <c r="F784" s="39"/>
      <c r="G784" s="129"/>
      <c r="H784" s="84">
        <f>ROUND(H783*D784,2)</f>
        <v>73.150000000000006</v>
      </c>
    </row>
    <row r="785" spans="2:8">
      <c r="B785" s="39"/>
      <c r="C785" s="39" t="s">
        <v>198</v>
      </c>
      <c r="D785" s="84"/>
      <c r="E785" s="39"/>
      <c r="F785" s="39"/>
      <c r="G785" s="129" t="s">
        <v>4108</v>
      </c>
      <c r="H785" s="84">
        <f>ROUND((H784+H783)/5.5,1)</f>
        <v>111</v>
      </c>
    </row>
    <row r="786" spans="2:8">
      <c r="D786" s="85"/>
      <c r="E786" s="86"/>
      <c r="F786" s="86"/>
      <c r="G786" s="86"/>
      <c r="H786" s="85"/>
    </row>
    <row r="787" spans="2:8">
      <c r="B787" s="153" t="s">
        <v>199</v>
      </c>
      <c r="C787" s="131" t="s">
        <v>8364</v>
      </c>
      <c r="D787" s="149"/>
      <c r="E787" s="95" t="s">
        <v>2370</v>
      </c>
      <c r="F787" s="95" t="s">
        <v>1166</v>
      </c>
      <c r="G787" s="95" t="s">
        <v>1840</v>
      </c>
      <c r="H787" s="36" t="s">
        <v>1841</v>
      </c>
    </row>
    <row r="788" spans="2:8">
      <c r="B788" s="39"/>
      <c r="C788" s="139" t="s">
        <v>201</v>
      </c>
      <c r="D788" s="150"/>
      <c r="E788" s="116"/>
      <c r="F788" s="116"/>
      <c r="G788" s="116"/>
      <c r="H788" s="116"/>
    </row>
    <row r="789" spans="2:8">
      <c r="B789" s="39"/>
      <c r="C789" s="131" t="s">
        <v>359</v>
      </c>
      <c r="D789" s="141"/>
      <c r="E789" s="148"/>
      <c r="F789" s="148"/>
      <c r="G789" s="148"/>
      <c r="H789" s="132"/>
    </row>
    <row r="790" spans="2:8">
      <c r="B790" s="39"/>
      <c r="C790" s="131" t="s">
        <v>559</v>
      </c>
      <c r="D790" s="148"/>
      <c r="E790" s="148"/>
      <c r="F790" s="148"/>
      <c r="G790" s="148"/>
      <c r="H790" s="132"/>
    </row>
    <row r="791" spans="2:8">
      <c r="B791" s="39"/>
      <c r="C791" s="39" t="s">
        <v>6788</v>
      </c>
      <c r="D791" s="39"/>
      <c r="E791" s="39"/>
      <c r="F791" s="39"/>
      <c r="G791" s="39"/>
      <c r="H791" s="39"/>
    </row>
    <row r="792" spans="2:8">
      <c r="B792" s="39"/>
      <c r="C792" s="39" t="s">
        <v>215</v>
      </c>
      <c r="D792" s="39"/>
      <c r="E792" s="39" t="s">
        <v>1581</v>
      </c>
      <c r="F792" s="39">
        <v>5.0000000000000001E-3</v>
      </c>
      <c r="G792" s="145">
        <f>'BASIC DATA'!$C$516</f>
        <v>400</v>
      </c>
      <c r="H792" s="84">
        <f>ROUND(G792*F792,2)</f>
        <v>2</v>
      </c>
    </row>
    <row r="793" spans="2:8">
      <c r="B793" s="39"/>
      <c r="C793" s="39" t="s">
        <v>216</v>
      </c>
      <c r="D793" s="39"/>
      <c r="E793" s="39" t="s">
        <v>1581</v>
      </c>
      <c r="F793" s="39">
        <v>0.125</v>
      </c>
      <c r="G793" s="39">
        <f>'BASIC DATA'!C552</f>
        <v>350</v>
      </c>
      <c r="H793" s="84">
        <f>ROUND(G793*F793,2)</f>
        <v>43.75</v>
      </c>
    </row>
    <row r="794" spans="2:8">
      <c r="B794" s="39"/>
      <c r="C794" s="39" t="s">
        <v>212</v>
      </c>
      <c r="D794" s="84"/>
      <c r="E794" s="39"/>
      <c r="F794" s="39"/>
      <c r="G794" s="39"/>
      <c r="H794" s="84"/>
    </row>
    <row r="795" spans="2:8">
      <c r="B795" s="39"/>
      <c r="C795" s="39" t="s">
        <v>213</v>
      </c>
      <c r="D795" s="39"/>
      <c r="E795" s="39" t="s">
        <v>1189</v>
      </c>
      <c r="F795" s="39">
        <v>0.16600000000000001</v>
      </c>
      <c r="G795" s="84">
        <f>'HIRE CHARGES'!D549+'HIRE CHARGES'!E549+'HIRE CHARGES'!F549</f>
        <v>891.5</v>
      </c>
      <c r="H795" s="84">
        <f>ROUND(G795*F795,2)</f>
        <v>147.99</v>
      </c>
    </row>
    <row r="796" spans="2:8">
      <c r="B796" s="39"/>
      <c r="C796" s="39" t="s">
        <v>217</v>
      </c>
      <c r="D796" s="39"/>
      <c r="E796" s="39"/>
      <c r="F796" s="39"/>
      <c r="G796" s="39"/>
      <c r="H796" s="84">
        <f>H795+H793+H792</f>
        <v>193.74</v>
      </c>
    </row>
    <row r="797" spans="2:8" ht="36">
      <c r="B797" s="39"/>
      <c r="C797" s="63" t="s">
        <v>127</v>
      </c>
      <c r="D797" s="1027">
        <f>'BASIC DATA'!$C$577</f>
        <v>0.13614999999999999</v>
      </c>
      <c r="E797" s="39"/>
      <c r="F797" s="39"/>
      <c r="G797" s="39"/>
      <c r="H797" s="84">
        <f>ROUND(H796*D797,2)</f>
        <v>26.38</v>
      </c>
    </row>
    <row r="798" spans="2:8">
      <c r="B798" s="39"/>
      <c r="C798" s="39" t="s">
        <v>198</v>
      </c>
      <c r="D798" s="84"/>
      <c r="E798" s="39"/>
      <c r="F798" s="39"/>
      <c r="G798" s="39" t="s">
        <v>4108</v>
      </c>
      <c r="H798" s="84">
        <f>ROUND((H797+H796)/5.5,1)</f>
        <v>40</v>
      </c>
    </row>
    <row r="799" spans="2:8">
      <c r="F799" s="117"/>
    </row>
    <row r="800" spans="2:8"/>
    <row r="801" spans="2:8" ht="18.75">
      <c r="B801" s="36">
        <v>3</v>
      </c>
      <c r="C801" s="131" t="s">
        <v>8361</v>
      </c>
      <c r="D801" s="149"/>
      <c r="E801" s="95" t="s">
        <v>2370</v>
      </c>
      <c r="F801" s="95" t="s">
        <v>1166</v>
      </c>
      <c r="G801" s="95" t="s">
        <v>1840</v>
      </c>
      <c r="H801" s="39" t="s">
        <v>1518</v>
      </c>
    </row>
    <row r="802" spans="2:8">
      <c r="B802" s="114" t="s">
        <v>1838</v>
      </c>
      <c r="C802" s="139" t="s">
        <v>202</v>
      </c>
      <c r="D802" s="150"/>
      <c r="E802" s="116"/>
      <c r="F802" s="116"/>
      <c r="G802" s="116"/>
      <c r="H802" s="39"/>
    </row>
    <row r="803" spans="2:8">
      <c r="B803" s="39"/>
      <c r="C803" s="131" t="s">
        <v>203</v>
      </c>
      <c r="D803" s="141"/>
      <c r="E803" s="148"/>
      <c r="F803" s="148"/>
      <c r="G803" s="148"/>
      <c r="H803" s="39"/>
    </row>
    <row r="804" spans="2:8">
      <c r="B804" s="39"/>
      <c r="C804" s="131" t="s">
        <v>204</v>
      </c>
      <c r="D804" s="148"/>
      <c r="E804" s="148"/>
      <c r="F804" s="148"/>
      <c r="G804" s="148"/>
      <c r="H804" s="39"/>
    </row>
    <row r="805" spans="2:8">
      <c r="B805" s="39"/>
      <c r="C805" s="39" t="s">
        <v>6788</v>
      </c>
      <c r="D805" s="39"/>
      <c r="E805" s="39"/>
      <c r="F805" s="39"/>
      <c r="G805" s="39"/>
      <c r="H805" s="39"/>
    </row>
    <row r="806" spans="2:8">
      <c r="B806" s="39"/>
      <c r="C806" s="39" t="s">
        <v>215</v>
      </c>
      <c r="D806" s="39"/>
      <c r="E806" s="39" t="s">
        <v>1581</v>
      </c>
      <c r="F806" s="39">
        <v>0.01</v>
      </c>
      <c r="G806" s="145">
        <f>'BASIC DATA'!$C$516</f>
        <v>400</v>
      </c>
      <c r="H806" s="84">
        <f>ROUND(G806*F806,2)</f>
        <v>4</v>
      </c>
    </row>
    <row r="807" spans="2:8">
      <c r="B807" s="39"/>
      <c r="C807" s="39" t="s">
        <v>216</v>
      </c>
      <c r="D807" s="39"/>
      <c r="E807" s="39" t="s">
        <v>1581</v>
      </c>
      <c r="F807" s="39">
        <v>0.25</v>
      </c>
      <c r="G807" s="39">
        <f>'BASIC DATA'!C552</f>
        <v>350</v>
      </c>
      <c r="H807" s="84">
        <f>ROUND(G807*F807,2)</f>
        <v>87.5</v>
      </c>
    </row>
    <row r="808" spans="2:8">
      <c r="B808" s="39"/>
      <c r="C808" s="39" t="s">
        <v>212</v>
      </c>
      <c r="D808" s="84"/>
      <c r="E808" s="39"/>
      <c r="F808" s="39"/>
      <c r="G808" s="39"/>
      <c r="H808" s="84"/>
    </row>
    <row r="809" spans="2:8">
      <c r="B809" s="39"/>
      <c r="C809" s="39" t="s">
        <v>213</v>
      </c>
      <c r="D809" s="39"/>
      <c r="E809" s="39" t="s">
        <v>1189</v>
      </c>
      <c r="F809" s="39">
        <v>0.33</v>
      </c>
      <c r="G809" s="84">
        <f>'HIRE CHARGES'!D549+'HIRE CHARGES'!E549+'HIRE CHARGES'!F549</f>
        <v>891.5</v>
      </c>
      <c r="H809" s="84">
        <f>ROUND(G809*F809,2)</f>
        <v>294.2</v>
      </c>
    </row>
    <row r="810" spans="2:8">
      <c r="B810" s="39"/>
      <c r="C810" s="39" t="s">
        <v>218</v>
      </c>
      <c r="D810" s="39"/>
      <c r="E810" s="39"/>
      <c r="F810" s="39"/>
      <c r="G810" s="39"/>
      <c r="H810" s="84">
        <f>SUM(H806:H809)</f>
        <v>385.7</v>
      </c>
    </row>
    <row r="811" spans="2:8" ht="36">
      <c r="B811" s="39"/>
      <c r="C811" s="63" t="s">
        <v>127</v>
      </c>
      <c r="D811" s="1027">
        <f>'BASIC DATA'!$C$577</f>
        <v>0.13614999999999999</v>
      </c>
      <c r="E811" s="39"/>
      <c r="F811" s="39"/>
      <c r="G811" s="39"/>
      <c r="H811" s="84">
        <f>ROUND(H810*D811,2)</f>
        <v>52.51</v>
      </c>
    </row>
    <row r="812" spans="2:8">
      <c r="B812" s="39"/>
      <c r="C812" s="39" t="s">
        <v>219</v>
      </c>
      <c r="D812" s="84"/>
      <c r="E812" s="39"/>
      <c r="F812" s="39"/>
      <c r="G812" s="39" t="s">
        <v>4108</v>
      </c>
      <c r="H812" s="84">
        <f>ROUND(SUM(H810:H811)/2,1)</f>
        <v>219.1</v>
      </c>
    </row>
    <row r="813" spans="2:8">
      <c r="D813" s="117"/>
    </row>
    <row r="814" spans="2:8">
      <c r="B814" s="27" t="s">
        <v>206</v>
      </c>
      <c r="C814" s="27" t="s">
        <v>220</v>
      </c>
      <c r="D814" s="117">
        <f>H812</f>
        <v>219.1</v>
      </c>
      <c r="G814" s="117"/>
    </row>
    <row r="815" spans="2:8">
      <c r="G815" s="117"/>
    </row>
    <row r="816" spans="2:8" ht="18.75">
      <c r="B816" s="92">
        <v>4</v>
      </c>
      <c r="C816" s="131" t="s">
        <v>8362</v>
      </c>
      <c r="D816" s="149"/>
      <c r="E816" s="95" t="s">
        <v>2370</v>
      </c>
      <c r="F816" s="95" t="s">
        <v>1166</v>
      </c>
      <c r="G816" s="95" t="s">
        <v>1840</v>
      </c>
      <c r="H816" s="39" t="s">
        <v>1518</v>
      </c>
    </row>
    <row r="817" spans="2:8">
      <c r="B817" s="27" t="s">
        <v>1838</v>
      </c>
      <c r="C817" s="139" t="s">
        <v>202</v>
      </c>
      <c r="D817" s="150"/>
      <c r="E817" s="116"/>
      <c r="F817" s="116"/>
      <c r="G817" s="116"/>
      <c r="H817" s="39"/>
    </row>
    <row r="818" spans="2:8">
      <c r="B818" s="39"/>
      <c r="C818" s="131" t="s">
        <v>208</v>
      </c>
      <c r="D818" s="141"/>
      <c r="E818" s="148"/>
      <c r="F818" s="148"/>
      <c r="G818" s="148"/>
      <c r="H818" s="39"/>
    </row>
    <row r="819" spans="2:8">
      <c r="B819" s="39"/>
      <c r="C819" s="131" t="s">
        <v>209</v>
      </c>
      <c r="D819" s="148"/>
      <c r="E819" s="148"/>
      <c r="F819" s="148"/>
      <c r="G819" s="148"/>
      <c r="H819" s="39"/>
    </row>
    <row r="820" spans="2:8">
      <c r="B820" s="39"/>
      <c r="C820" s="39" t="s">
        <v>6788</v>
      </c>
      <c r="D820" s="39"/>
      <c r="E820" s="39"/>
      <c r="F820" s="39"/>
      <c r="G820" s="39"/>
      <c r="H820" s="39"/>
    </row>
    <row r="821" spans="2:8">
      <c r="B821" s="39"/>
      <c r="C821" s="39" t="s">
        <v>215</v>
      </c>
      <c r="D821" s="39"/>
      <c r="E821" s="39" t="s">
        <v>1581</v>
      </c>
      <c r="F821" s="39">
        <v>0.06</v>
      </c>
      <c r="G821" s="145">
        <f>'BASIC DATA'!$C$516</f>
        <v>400</v>
      </c>
      <c r="H821" s="84">
        <f>ROUND(G821*F821,2)</f>
        <v>24</v>
      </c>
    </row>
    <row r="822" spans="2:8">
      <c r="B822" s="39"/>
      <c r="C822" s="39" t="s">
        <v>216</v>
      </c>
      <c r="D822" s="39"/>
      <c r="E822" s="39" t="s">
        <v>1581</v>
      </c>
      <c r="F822" s="39">
        <v>1.5</v>
      </c>
      <c r="G822" s="39">
        <f>'BASIC DATA'!C552</f>
        <v>350</v>
      </c>
      <c r="H822" s="84">
        <f>ROUND(G822*F822,2)</f>
        <v>525</v>
      </c>
    </row>
    <row r="823" spans="2:8">
      <c r="B823" s="39"/>
      <c r="C823" s="39" t="s">
        <v>212</v>
      </c>
      <c r="D823" s="84"/>
      <c r="E823" s="39"/>
      <c r="F823" s="39"/>
      <c r="G823" s="39"/>
      <c r="H823" s="84"/>
    </row>
    <row r="824" spans="2:8">
      <c r="B824" s="39"/>
      <c r="C824" s="39" t="s">
        <v>213</v>
      </c>
      <c r="D824" s="39"/>
      <c r="E824" s="39" t="s">
        <v>1189</v>
      </c>
      <c r="F824" s="39">
        <v>1</v>
      </c>
      <c r="G824" s="84">
        <f>'HIRE CHARGES'!D549+'HIRE CHARGES'!E549+'HIRE CHARGES'!F549</f>
        <v>891.5</v>
      </c>
      <c r="H824" s="84">
        <f>ROUND(G824*F824,2)</f>
        <v>891.5</v>
      </c>
    </row>
    <row r="825" spans="2:8">
      <c r="B825" s="39"/>
      <c r="C825" s="39" t="s">
        <v>221</v>
      </c>
      <c r="D825" s="39"/>
      <c r="E825" s="39"/>
      <c r="F825" s="39"/>
      <c r="G825" s="39"/>
      <c r="H825" s="84">
        <f>SUM(H821:H824)</f>
        <v>1440.5</v>
      </c>
    </row>
    <row r="826" spans="2:8" ht="36">
      <c r="B826" s="39"/>
      <c r="C826" s="63" t="s">
        <v>127</v>
      </c>
      <c r="D826" s="1027">
        <f>'BASIC DATA'!$C$577</f>
        <v>0.13614999999999999</v>
      </c>
      <c r="E826" s="39"/>
      <c r="F826" s="39"/>
      <c r="G826" s="39"/>
      <c r="H826" s="84">
        <f>ROUND(H825*D826,2)</f>
        <v>196.12</v>
      </c>
    </row>
    <row r="827" spans="2:8">
      <c r="B827" s="39"/>
      <c r="C827" s="39" t="s">
        <v>211</v>
      </c>
      <c r="D827" s="84"/>
      <c r="E827" s="39"/>
      <c r="F827" s="39"/>
      <c r="G827" s="39" t="s">
        <v>4108</v>
      </c>
      <c r="H827" s="84">
        <f>ROUND(SUM(H825:H826)/10,1)</f>
        <v>163.69999999999999</v>
      </c>
    </row>
    <row r="828" spans="2:8">
      <c r="D828" s="117"/>
      <c r="H828" s="76"/>
    </row>
    <row r="829" spans="2:8">
      <c r="B829" s="27" t="s">
        <v>206</v>
      </c>
      <c r="C829" s="27" t="s">
        <v>220</v>
      </c>
      <c r="D829" s="117">
        <f>H827</f>
        <v>163.69999999999999</v>
      </c>
      <c r="G829" s="117"/>
    </row>
    <row r="830" spans="2:8">
      <c r="D830" s="117"/>
      <c r="G830" s="117"/>
    </row>
    <row r="831" spans="2:8" ht="18.75">
      <c r="B831" s="36">
        <v>5</v>
      </c>
      <c r="C831" s="131" t="s">
        <v>8363</v>
      </c>
      <c r="D831" s="149"/>
      <c r="E831" s="95" t="s">
        <v>2370</v>
      </c>
      <c r="F831" s="95" t="s">
        <v>1166</v>
      </c>
      <c r="G831" s="157" t="s">
        <v>1840</v>
      </c>
      <c r="H831" s="153" t="s">
        <v>1518</v>
      </c>
    </row>
    <row r="832" spans="2:8">
      <c r="B832" s="39" t="s">
        <v>1838</v>
      </c>
      <c r="C832" s="139" t="s">
        <v>202</v>
      </c>
      <c r="D832" s="150"/>
      <c r="E832" s="116"/>
      <c r="F832" s="116"/>
      <c r="G832" s="139"/>
      <c r="H832" s="116"/>
    </row>
    <row r="833" spans="1:256">
      <c r="B833" s="135"/>
      <c r="C833" s="76" t="s">
        <v>208</v>
      </c>
      <c r="D833" s="85"/>
      <c r="E833" s="76"/>
      <c r="F833" s="76"/>
      <c r="G833" s="76"/>
      <c r="H833" s="123"/>
    </row>
    <row r="834" spans="1:256">
      <c r="B834" s="135"/>
      <c r="C834" s="76" t="s">
        <v>209</v>
      </c>
      <c r="D834" s="76"/>
      <c r="E834" s="76"/>
      <c r="F834" s="76"/>
      <c r="G834" s="76"/>
      <c r="H834" s="123"/>
    </row>
    <row r="835" spans="1:256">
      <c r="B835" s="39"/>
      <c r="C835" s="39" t="s">
        <v>6788</v>
      </c>
      <c r="D835" s="39"/>
      <c r="E835" s="39"/>
      <c r="F835" s="39"/>
      <c r="G835" s="129"/>
      <c r="H835" s="39"/>
    </row>
    <row r="836" spans="1:256">
      <c r="B836" s="39"/>
      <c r="C836" s="39" t="s">
        <v>215</v>
      </c>
      <c r="D836" s="39"/>
      <c r="E836" s="39" t="s">
        <v>1581</v>
      </c>
      <c r="F836" s="39">
        <v>7.0000000000000007E-2</v>
      </c>
      <c r="G836" s="145">
        <f>'BASIC DATA'!$C$516</f>
        <v>400</v>
      </c>
      <c r="H836" s="84">
        <f>ROUND(G836*F836,2)</f>
        <v>28</v>
      </c>
    </row>
    <row r="837" spans="1:256">
      <c r="B837" s="39"/>
      <c r="C837" s="39" t="s">
        <v>216</v>
      </c>
      <c r="D837" s="39"/>
      <c r="E837" s="39" t="s">
        <v>1581</v>
      </c>
      <c r="F837" s="39">
        <v>1.8</v>
      </c>
      <c r="G837" s="129">
        <f>'BASIC DATA'!C552</f>
        <v>350</v>
      </c>
      <c r="H837" s="84">
        <f>ROUND(G837*F837,2)</f>
        <v>630</v>
      </c>
    </row>
    <row r="838" spans="1:256">
      <c r="B838" s="39"/>
      <c r="C838" s="39" t="s">
        <v>212</v>
      </c>
      <c r="D838" s="84"/>
      <c r="E838" s="39"/>
      <c r="F838" s="39"/>
      <c r="G838" s="129"/>
      <c r="H838" s="84"/>
    </row>
    <row r="839" spans="1:256">
      <c r="B839" s="39"/>
      <c r="C839" s="39" t="s">
        <v>213</v>
      </c>
      <c r="D839" s="39"/>
      <c r="E839" s="39" t="s">
        <v>1189</v>
      </c>
      <c r="F839" s="39">
        <v>1</v>
      </c>
      <c r="G839" s="156">
        <f>'HIRE CHARGES'!D549+'HIRE CHARGES'!E549+'HIRE CHARGES'!F549</f>
        <v>891.5</v>
      </c>
      <c r="H839" s="84">
        <f>ROUND(G839*F839,2)</f>
        <v>891.5</v>
      </c>
    </row>
    <row r="840" spans="1:256">
      <c r="B840" s="39"/>
      <c r="C840" s="39" t="s">
        <v>221</v>
      </c>
      <c r="D840" s="39"/>
      <c r="E840" s="39"/>
      <c r="F840" s="39"/>
      <c r="G840" s="129"/>
      <c r="H840" s="84">
        <f>SUM(H836:H839)</f>
        <v>1549.5</v>
      </c>
    </row>
    <row r="841" spans="1:256" ht="36">
      <c r="B841" s="39"/>
      <c r="C841" s="63" t="s">
        <v>127</v>
      </c>
      <c r="D841" s="1027">
        <f>'BASIC DATA'!$C$577</f>
        <v>0.13614999999999999</v>
      </c>
      <c r="E841" s="39"/>
      <c r="F841" s="39"/>
      <c r="G841" s="129"/>
      <c r="H841" s="84">
        <f>ROUND(H840*D841,2)</f>
        <v>210.96</v>
      </c>
    </row>
    <row r="842" spans="1:256">
      <c r="B842" s="39"/>
      <c r="C842" s="39" t="s">
        <v>211</v>
      </c>
      <c r="D842" s="84"/>
      <c r="E842" s="39"/>
      <c r="F842" s="39"/>
      <c r="G842" s="129" t="s">
        <v>4108</v>
      </c>
      <c r="H842" s="84">
        <f>ROUND(SUM(H840:H841)/10,1)</f>
        <v>176</v>
      </c>
    </row>
    <row r="843" spans="1:256">
      <c r="B843" s="39"/>
      <c r="C843" s="39"/>
      <c r="D843" s="84"/>
      <c r="E843" s="39"/>
      <c r="F843" s="39"/>
      <c r="G843" s="129"/>
      <c r="H843" s="39"/>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76"/>
      <c r="AO843" s="76"/>
      <c r="AP843" s="76"/>
      <c r="AQ843" s="76"/>
      <c r="AR843" s="76"/>
      <c r="AS843" s="76"/>
      <c r="AT843" s="76"/>
      <c r="AU843" s="76"/>
      <c r="AV843" s="76"/>
      <c r="AW843" s="76"/>
      <c r="AX843" s="76"/>
      <c r="AY843" s="76"/>
      <c r="AZ843" s="76"/>
      <c r="BA843" s="76"/>
      <c r="BB843" s="76"/>
      <c r="BC843" s="76"/>
      <c r="BD843" s="76"/>
      <c r="BE843" s="76"/>
      <c r="BF843" s="76"/>
      <c r="BG843" s="76"/>
      <c r="BH843" s="76"/>
      <c r="BI843" s="76"/>
      <c r="BJ843" s="76"/>
      <c r="BK843" s="76"/>
      <c r="BL843" s="76"/>
      <c r="BM843" s="76"/>
      <c r="BN843" s="76"/>
      <c r="BO843" s="76"/>
      <c r="BP843" s="76"/>
      <c r="BQ843" s="76"/>
      <c r="BR843" s="76"/>
      <c r="BS843" s="76"/>
      <c r="BT843" s="76"/>
      <c r="BU843" s="76"/>
      <c r="BV843" s="76"/>
      <c r="BW843" s="76"/>
      <c r="BX843" s="76"/>
      <c r="BY843" s="76"/>
      <c r="BZ843" s="76"/>
      <c r="CA843" s="76"/>
      <c r="CB843" s="76"/>
      <c r="CC843" s="76"/>
      <c r="CD843" s="76"/>
      <c r="CE843" s="76"/>
      <c r="CF843" s="76"/>
      <c r="CG843" s="76"/>
      <c r="CH843" s="76"/>
      <c r="CI843" s="76"/>
      <c r="CJ843" s="76"/>
      <c r="CK843" s="76"/>
      <c r="CL843" s="76"/>
      <c r="CM843" s="76"/>
      <c r="CN843" s="76"/>
      <c r="CO843" s="76"/>
      <c r="CP843" s="76"/>
      <c r="CQ843" s="76"/>
      <c r="CR843" s="76"/>
      <c r="CS843" s="76"/>
      <c r="CT843" s="76"/>
      <c r="CU843" s="76"/>
      <c r="CV843" s="76"/>
      <c r="CW843" s="76"/>
      <c r="CX843" s="76"/>
      <c r="CY843" s="76"/>
      <c r="CZ843" s="76"/>
      <c r="DA843" s="76"/>
      <c r="DB843" s="76"/>
      <c r="DC843" s="76"/>
      <c r="DD843" s="76"/>
      <c r="DE843" s="76"/>
      <c r="DF843" s="76"/>
      <c r="DG843" s="76"/>
      <c r="DH843" s="76"/>
      <c r="DI843" s="76"/>
      <c r="DJ843" s="76"/>
      <c r="DK843" s="76"/>
      <c r="DL843" s="76"/>
      <c r="DM843" s="76"/>
      <c r="DN843" s="76"/>
      <c r="DO843" s="76"/>
      <c r="DP843" s="76"/>
      <c r="DQ843" s="76"/>
      <c r="DR843" s="76"/>
      <c r="DS843" s="76"/>
      <c r="DT843" s="76"/>
      <c r="DU843" s="76"/>
      <c r="DV843" s="76"/>
      <c r="DW843" s="76"/>
      <c r="DX843" s="76"/>
      <c r="DY843" s="76"/>
      <c r="DZ843" s="76"/>
      <c r="EA843" s="76"/>
      <c r="EB843" s="76"/>
      <c r="EC843" s="76"/>
      <c r="ED843" s="76"/>
      <c r="EE843" s="76"/>
      <c r="EF843" s="76"/>
      <c r="EG843" s="76"/>
      <c r="EH843" s="76"/>
      <c r="EI843" s="76"/>
      <c r="EJ843" s="76"/>
      <c r="EK843" s="76"/>
      <c r="EL843" s="76"/>
      <c r="EM843" s="76"/>
      <c r="EN843" s="76"/>
      <c r="EO843" s="76"/>
      <c r="EP843" s="76"/>
      <c r="EQ843" s="76"/>
      <c r="ER843" s="76"/>
      <c r="ES843" s="76"/>
      <c r="ET843" s="76"/>
      <c r="EU843" s="76"/>
      <c r="EV843" s="76"/>
      <c r="EW843" s="76"/>
      <c r="EX843" s="76"/>
      <c r="EY843" s="76"/>
      <c r="EZ843" s="76"/>
      <c r="FA843" s="76"/>
      <c r="FB843" s="76"/>
      <c r="FC843" s="76"/>
      <c r="FD843" s="76"/>
      <c r="FE843" s="76"/>
      <c r="FF843" s="76"/>
      <c r="FG843" s="76"/>
      <c r="FH843" s="76"/>
      <c r="FI843" s="76"/>
      <c r="FJ843" s="76"/>
      <c r="FK843" s="76"/>
      <c r="FL843" s="76"/>
      <c r="FM843" s="76"/>
      <c r="FN843" s="76"/>
      <c r="FO843" s="76"/>
      <c r="FP843" s="76"/>
      <c r="FQ843" s="76"/>
      <c r="FR843" s="76"/>
      <c r="FS843" s="76"/>
      <c r="FT843" s="76"/>
      <c r="FU843" s="76"/>
      <c r="FV843" s="76"/>
      <c r="FW843" s="76"/>
      <c r="FX843" s="76"/>
      <c r="FY843" s="76"/>
      <c r="FZ843" s="76"/>
      <c r="GA843" s="76"/>
      <c r="GB843" s="76"/>
      <c r="GC843" s="76"/>
      <c r="GD843" s="76"/>
      <c r="GE843" s="76"/>
      <c r="GF843" s="76"/>
      <c r="GG843" s="76"/>
      <c r="GH843" s="76"/>
      <c r="GI843" s="76"/>
      <c r="GJ843" s="76"/>
      <c r="GK843" s="76"/>
      <c r="GL843" s="76"/>
      <c r="GM843" s="76"/>
      <c r="GN843" s="76"/>
      <c r="GO843" s="76"/>
      <c r="GP843" s="76"/>
      <c r="GQ843" s="76"/>
      <c r="GR843" s="76"/>
      <c r="GS843" s="76"/>
      <c r="GT843" s="76"/>
      <c r="GU843" s="76"/>
      <c r="GV843" s="76"/>
      <c r="GW843" s="76"/>
      <c r="GX843" s="76"/>
      <c r="GY843" s="76"/>
      <c r="GZ843" s="76"/>
      <c r="HA843" s="76"/>
      <c r="HB843" s="76"/>
      <c r="HC843" s="76"/>
      <c r="HD843" s="76"/>
      <c r="HE843" s="76"/>
      <c r="HF843" s="76"/>
      <c r="HG843" s="76"/>
      <c r="HH843" s="76"/>
      <c r="HI843" s="76"/>
      <c r="HJ843" s="76"/>
      <c r="HK843" s="76"/>
      <c r="HL843" s="76"/>
      <c r="HM843" s="76"/>
      <c r="HN843" s="76"/>
      <c r="HO843" s="76"/>
      <c r="HP843" s="76"/>
      <c r="HQ843" s="76"/>
      <c r="HR843" s="76"/>
      <c r="HS843" s="76"/>
      <c r="HT843" s="76"/>
      <c r="HU843" s="76"/>
      <c r="HV843" s="76"/>
      <c r="HW843" s="76"/>
      <c r="HX843" s="76"/>
      <c r="HY843" s="76"/>
      <c r="HZ843" s="76"/>
      <c r="IA843" s="76"/>
      <c r="IB843" s="76"/>
      <c r="IC843" s="76"/>
      <c r="ID843" s="76"/>
      <c r="IE843" s="76"/>
      <c r="IF843" s="76"/>
      <c r="IG843" s="76"/>
      <c r="IH843" s="76"/>
      <c r="II843" s="76"/>
      <c r="IJ843" s="76"/>
      <c r="IK843" s="76"/>
      <c r="IL843" s="76"/>
      <c r="IM843" s="76"/>
      <c r="IN843" s="76"/>
      <c r="IO843" s="76"/>
      <c r="IP843" s="76"/>
      <c r="IQ843" s="76"/>
      <c r="IR843" s="76"/>
      <c r="IS843" s="76"/>
      <c r="IT843" s="76"/>
      <c r="IU843" s="76"/>
      <c r="IV843" s="76"/>
    </row>
    <row r="844" spans="1:256">
      <c r="B844" s="27" t="s">
        <v>206</v>
      </c>
      <c r="C844" s="27" t="s">
        <v>220</v>
      </c>
      <c r="D844" s="117">
        <f>H842</f>
        <v>176</v>
      </c>
      <c r="G844" s="117"/>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c r="AQ844" s="76"/>
      <c r="AR844" s="76"/>
      <c r="AS844" s="76"/>
      <c r="AT844" s="76"/>
      <c r="AU844" s="76"/>
      <c r="AV844" s="76"/>
      <c r="AW844" s="76"/>
      <c r="AX844" s="76"/>
      <c r="AY844" s="76"/>
      <c r="AZ844" s="76"/>
      <c r="BA844" s="76"/>
      <c r="BB844" s="76"/>
      <c r="BC844" s="76"/>
      <c r="BD844" s="76"/>
      <c r="BE844" s="76"/>
      <c r="BF844" s="76"/>
      <c r="BG844" s="76"/>
      <c r="BH844" s="76"/>
      <c r="BI844" s="76"/>
      <c r="BJ844" s="76"/>
      <c r="BK844" s="76"/>
      <c r="BL844" s="76"/>
      <c r="BM844" s="76"/>
      <c r="BN844" s="76"/>
      <c r="BO844" s="76"/>
      <c r="BP844" s="76"/>
      <c r="BQ844" s="76"/>
      <c r="BR844" s="76"/>
      <c r="BS844" s="76"/>
      <c r="BT844" s="76"/>
      <c r="BU844" s="76"/>
      <c r="BV844" s="76"/>
      <c r="BW844" s="76"/>
      <c r="BX844" s="76"/>
      <c r="BY844" s="76"/>
      <c r="BZ844" s="76"/>
      <c r="CA844" s="76"/>
      <c r="CB844" s="76"/>
      <c r="CC844" s="76"/>
      <c r="CD844" s="76"/>
      <c r="CE844" s="76"/>
      <c r="CF844" s="76"/>
      <c r="CG844" s="76"/>
      <c r="CH844" s="76"/>
      <c r="CI844" s="76"/>
      <c r="CJ844" s="76"/>
      <c r="CK844" s="76"/>
      <c r="CL844" s="76"/>
      <c r="CM844" s="76"/>
      <c r="CN844" s="76"/>
      <c r="CO844" s="76"/>
      <c r="CP844" s="76"/>
      <c r="CQ844" s="76"/>
      <c r="CR844" s="76"/>
      <c r="CS844" s="76"/>
      <c r="CT844" s="76"/>
      <c r="CU844" s="76"/>
      <c r="CV844" s="76"/>
      <c r="CW844" s="76"/>
      <c r="CX844" s="76"/>
      <c r="CY844" s="76"/>
      <c r="CZ844" s="76"/>
      <c r="DA844" s="76"/>
      <c r="DB844" s="76"/>
      <c r="DC844" s="76"/>
      <c r="DD844" s="76"/>
      <c r="DE844" s="76"/>
      <c r="DF844" s="76"/>
      <c r="DG844" s="76"/>
      <c r="DH844" s="76"/>
      <c r="DI844" s="76"/>
      <c r="DJ844" s="76"/>
      <c r="DK844" s="76"/>
      <c r="DL844" s="76"/>
      <c r="DM844" s="76"/>
      <c r="DN844" s="76"/>
      <c r="DO844" s="76"/>
      <c r="DP844" s="76"/>
      <c r="DQ844" s="76"/>
      <c r="DR844" s="76"/>
      <c r="DS844" s="76"/>
      <c r="DT844" s="76"/>
      <c r="DU844" s="76"/>
      <c r="DV844" s="76"/>
      <c r="DW844" s="76"/>
      <c r="DX844" s="76"/>
      <c r="DY844" s="76"/>
      <c r="DZ844" s="76"/>
      <c r="EA844" s="76"/>
      <c r="EB844" s="76"/>
      <c r="EC844" s="76"/>
      <c r="ED844" s="76"/>
      <c r="EE844" s="76"/>
      <c r="EF844" s="76"/>
      <c r="EG844" s="76"/>
      <c r="EH844" s="76"/>
      <c r="EI844" s="76"/>
      <c r="EJ844" s="76"/>
      <c r="EK844" s="76"/>
      <c r="EL844" s="76"/>
      <c r="EM844" s="76"/>
      <c r="EN844" s="76"/>
      <c r="EO844" s="76"/>
      <c r="EP844" s="76"/>
      <c r="EQ844" s="76"/>
      <c r="ER844" s="76"/>
      <c r="ES844" s="76"/>
      <c r="ET844" s="76"/>
      <c r="EU844" s="76"/>
      <c r="EV844" s="76"/>
      <c r="EW844" s="76"/>
      <c r="EX844" s="76"/>
      <c r="EY844" s="76"/>
      <c r="EZ844" s="76"/>
      <c r="FA844" s="76"/>
      <c r="FB844" s="76"/>
      <c r="FC844" s="76"/>
      <c r="FD844" s="76"/>
      <c r="FE844" s="76"/>
      <c r="FF844" s="76"/>
      <c r="FG844" s="76"/>
      <c r="FH844" s="76"/>
      <c r="FI844" s="76"/>
      <c r="FJ844" s="76"/>
      <c r="FK844" s="76"/>
      <c r="FL844" s="76"/>
      <c r="FM844" s="76"/>
      <c r="FN844" s="76"/>
      <c r="FO844" s="76"/>
      <c r="FP844" s="76"/>
      <c r="FQ844" s="76"/>
      <c r="FR844" s="76"/>
      <c r="FS844" s="76"/>
      <c r="FT844" s="76"/>
      <c r="FU844" s="76"/>
      <c r="FV844" s="76"/>
      <c r="FW844" s="76"/>
      <c r="FX844" s="76"/>
      <c r="FY844" s="76"/>
      <c r="FZ844" s="76"/>
      <c r="GA844" s="76"/>
      <c r="GB844" s="76"/>
      <c r="GC844" s="76"/>
      <c r="GD844" s="76"/>
      <c r="GE844" s="76"/>
      <c r="GF844" s="76"/>
      <c r="GG844" s="76"/>
      <c r="GH844" s="76"/>
      <c r="GI844" s="76"/>
      <c r="GJ844" s="76"/>
      <c r="GK844" s="76"/>
      <c r="GL844" s="76"/>
      <c r="GM844" s="76"/>
      <c r="GN844" s="76"/>
      <c r="GO844" s="76"/>
      <c r="GP844" s="76"/>
      <c r="GQ844" s="76"/>
      <c r="GR844" s="76"/>
      <c r="GS844" s="76"/>
      <c r="GT844" s="76"/>
      <c r="GU844" s="76"/>
      <c r="GV844" s="76"/>
      <c r="GW844" s="76"/>
      <c r="GX844" s="76"/>
      <c r="GY844" s="76"/>
      <c r="GZ844" s="76"/>
      <c r="HA844" s="76"/>
      <c r="HB844" s="76"/>
      <c r="HC844" s="76"/>
      <c r="HD844" s="76"/>
      <c r="HE844" s="76"/>
      <c r="HF844" s="76"/>
      <c r="HG844" s="76"/>
      <c r="HH844" s="76"/>
      <c r="HI844" s="76"/>
      <c r="HJ844" s="76"/>
      <c r="HK844" s="76"/>
      <c r="HL844" s="76"/>
      <c r="HM844" s="76"/>
      <c r="HN844" s="76"/>
      <c r="HO844" s="76"/>
      <c r="HP844" s="76"/>
      <c r="HQ844" s="76"/>
      <c r="HR844" s="76"/>
      <c r="HS844" s="76"/>
      <c r="HT844" s="76"/>
      <c r="HU844" s="76"/>
      <c r="HV844" s="76"/>
      <c r="HW844" s="76"/>
      <c r="HX844" s="76"/>
      <c r="HY844" s="76"/>
      <c r="HZ844" s="76"/>
      <c r="IA844" s="76"/>
      <c r="IB844" s="76"/>
      <c r="IC844" s="76"/>
      <c r="ID844" s="76"/>
      <c r="IE844" s="76"/>
      <c r="IF844" s="76"/>
      <c r="IG844" s="76"/>
      <c r="IH844" s="76"/>
      <c r="II844" s="76"/>
      <c r="IJ844" s="76"/>
      <c r="IK844" s="76"/>
      <c r="IL844" s="76"/>
      <c r="IM844" s="76"/>
      <c r="IN844" s="76"/>
      <c r="IO844" s="76"/>
      <c r="IP844" s="76"/>
      <c r="IQ844" s="76"/>
      <c r="IR844" s="76"/>
      <c r="IS844" s="76"/>
      <c r="IT844" s="76"/>
      <c r="IU844" s="76"/>
      <c r="IV844" s="76"/>
    </row>
    <row r="845" spans="1:256">
      <c r="G845" s="117"/>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76"/>
      <c r="AO845" s="76"/>
      <c r="AP845" s="76"/>
      <c r="AQ845" s="76"/>
      <c r="AR845" s="76"/>
      <c r="AS845" s="76"/>
      <c r="AT845" s="76"/>
      <c r="AU845" s="76"/>
      <c r="AV845" s="76"/>
      <c r="AW845" s="76"/>
      <c r="AX845" s="76"/>
      <c r="AY845" s="76"/>
      <c r="AZ845" s="76"/>
      <c r="BA845" s="76"/>
      <c r="BB845" s="76"/>
      <c r="BC845" s="76"/>
      <c r="BD845" s="76"/>
      <c r="BE845" s="76"/>
      <c r="BF845" s="76"/>
      <c r="BG845" s="76"/>
      <c r="BH845" s="76"/>
      <c r="BI845" s="76"/>
      <c r="BJ845" s="76"/>
      <c r="BK845" s="76"/>
      <c r="BL845" s="76"/>
      <c r="BM845" s="76"/>
      <c r="BN845" s="76"/>
      <c r="BO845" s="76"/>
      <c r="BP845" s="76"/>
      <c r="BQ845" s="76"/>
      <c r="BR845" s="76"/>
      <c r="BS845" s="76"/>
      <c r="BT845" s="76"/>
      <c r="BU845" s="76"/>
      <c r="BV845" s="76"/>
      <c r="BW845" s="76"/>
      <c r="BX845" s="76"/>
      <c r="BY845" s="76"/>
      <c r="BZ845" s="76"/>
      <c r="CA845" s="76"/>
      <c r="CB845" s="76"/>
      <c r="CC845" s="76"/>
      <c r="CD845" s="76"/>
      <c r="CE845" s="76"/>
      <c r="CF845" s="76"/>
      <c r="CG845" s="76"/>
      <c r="CH845" s="76"/>
      <c r="CI845" s="76"/>
      <c r="CJ845" s="76"/>
      <c r="CK845" s="76"/>
      <c r="CL845" s="76"/>
      <c r="CM845" s="76"/>
      <c r="CN845" s="76"/>
      <c r="CO845" s="76"/>
      <c r="CP845" s="76"/>
      <c r="CQ845" s="76"/>
      <c r="CR845" s="76"/>
      <c r="CS845" s="76"/>
      <c r="CT845" s="76"/>
      <c r="CU845" s="76"/>
      <c r="CV845" s="76"/>
      <c r="CW845" s="76"/>
      <c r="CX845" s="76"/>
      <c r="CY845" s="76"/>
      <c r="CZ845" s="76"/>
      <c r="DA845" s="76"/>
      <c r="DB845" s="76"/>
      <c r="DC845" s="76"/>
      <c r="DD845" s="76"/>
      <c r="DE845" s="76"/>
      <c r="DF845" s="76"/>
      <c r="DG845" s="76"/>
      <c r="DH845" s="76"/>
      <c r="DI845" s="76"/>
      <c r="DJ845" s="76"/>
      <c r="DK845" s="76"/>
      <c r="DL845" s="76"/>
      <c r="DM845" s="76"/>
      <c r="DN845" s="76"/>
      <c r="DO845" s="76"/>
      <c r="DP845" s="76"/>
      <c r="DQ845" s="76"/>
      <c r="DR845" s="76"/>
      <c r="DS845" s="76"/>
      <c r="DT845" s="76"/>
      <c r="DU845" s="76"/>
      <c r="DV845" s="76"/>
      <c r="DW845" s="76"/>
      <c r="DX845" s="76"/>
      <c r="DY845" s="76"/>
      <c r="DZ845" s="76"/>
      <c r="EA845" s="76"/>
      <c r="EB845" s="76"/>
      <c r="EC845" s="76"/>
      <c r="ED845" s="76"/>
      <c r="EE845" s="76"/>
      <c r="EF845" s="76"/>
      <c r="EG845" s="76"/>
      <c r="EH845" s="76"/>
      <c r="EI845" s="76"/>
      <c r="EJ845" s="76"/>
      <c r="EK845" s="76"/>
      <c r="EL845" s="76"/>
      <c r="EM845" s="76"/>
      <c r="EN845" s="76"/>
      <c r="EO845" s="76"/>
      <c r="EP845" s="76"/>
      <c r="EQ845" s="76"/>
      <c r="ER845" s="76"/>
      <c r="ES845" s="76"/>
      <c r="ET845" s="76"/>
      <c r="EU845" s="76"/>
      <c r="EV845" s="76"/>
      <c r="EW845" s="76"/>
      <c r="EX845" s="76"/>
      <c r="EY845" s="76"/>
      <c r="EZ845" s="76"/>
      <c r="FA845" s="76"/>
      <c r="FB845" s="76"/>
      <c r="FC845" s="76"/>
      <c r="FD845" s="76"/>
      <c r="FE845" s="76"/>
      <c r="FF845" s="76"/>
      <c r="FG845" s="76"/>
      <c r="FH845" s="76"/>
      <c r="FI845" s="76"/>
      <c r="FJ845" s="76"/>
      <c r="FK845" s="76"/>
      <c r="FL845" s="76"/>
      <c r="FM845" s="76"/>
      <c r="FN845" s="76"/>
      <c r="FO845" s="76"/>
      <c r="FP845" s="76"/>
      <c r="FQ845" s="76"/>
      <c r="FR845" s="76"/>
      <c r="FS845" s="76"/>
      <c r="FT845" s="76"/>
      <c r="FU845" s="76"/>
      <c r="FV845" s="76"/>
      <c r="FW845" s="76"/>
      <c r="FX845" s="76"/>
      <c r="FY845" s="76"/>
      <c r="FZ845" s="76"/>
      <c r="GA845" s="76"/>
      <c r="GB845" s="76"/>
      <c r="GC845" s="76"/>
      <c r="GD845" s="76"/>
      <c r="GE845" s="76"/>
      <c r="GF845" s="76"/>
      <c r="GG845" s="76"/>
      <c r="GH845" s="76"/>
      <c r="GI845" s="76"/>
      <c r="GJ845" s="76"/>
      <c r="GK845" s="76"/>
      <c r="GL845" s="76"/>
      <c r="GM845" s="76"/>
      <c r="GN845" s="76"/>
      <c r="GO845" s="76"/>
      <c r="GP845" s="76"/>
      <c r="GQ845" s="76"/>
      <c r="GR845" s="76"/>
      <c r="GS845" s="76"/>
      <c r="GT845" s="76"/>
      <c r="GU845" s="76"/>
      <c r="GV845" s="76"/>
      <c r="GW845" s="76"/>
      <c r="GX845" s="76"/>
      <c r="GY845" s="76"/>
      <c r="GZ845" s="76"/>
      <c r="HA845" s="76"/>
      <c r="HB845" s="76"/>
      <c r="HC845" s="76"/>
      <c r="HD845" s="76"/>
      <c r="HE845" s="76"/>
      <c r="HF845" s="76"/>
      <c r="HG845" s="76"/>
      <c r="HH845" s="76"/>
      <c r="HI845" s="76"/>
      <c r="HJ845" s="76"/>
      <c r="HK845" s="76"/>
      <c r="HL845" s="76"/>
      <c r="HM845" s="76"/>
      <c r="HN845" s="76"/>
      <c r="HO845" s="76"/>
      <c r="HP845" s="76"/>
      <c r="HQ845" s="76"/>
      <c r="HR845" s="76"/>
      <c r="HS845" s="76"/>
      <c r="HT845" s="76"/>
      <c r="HU845" s="76"/>
      <c r="HV845" s="76"/>
      <c r="HW845" s="76"/>
      <c r="HX845" s="76"/>
      <c r="HY845" s="76"/>
      <c r="HZ845" s="76"/>
      <c r="IA845" s="76"/>
      <c r="IB845" s="76"/>
      <c r="IC845" s="76"/>
      <c r="ID845" s="76"/>
      <c r="IE845" s="76"/>
      <c r="IF845" s="76"/>
      <c r="IG845" s="76"/>
      <c r="IH845" s="76"/>
      <c r="II845" s="76"/>
      <c r="IJ845" s="76"/>
      <c r="IK845" s="76"/>
      <c r="IL845" s="76"/>
      <c r="IM845" s="76"/>
      <c r="IN845" s="76"/>
      <c r="IO845" s="76"/>
      <c r="IP845" s="76"/>
      <c r="IQ845" s="76"/>
      <c r="IR845" s="76"/>
      <c r="IS845" s="76"/>
      <c r="IT845" s="76"/>
      <c r="IU845" s="76"/>
      <c r="IV845" s="76"/>
    </row>
    <row r="846" spans="1:256">
      <c r="A846" s="828" t="s">
        <v>6947</v>
      </c>
      <c r="B846" s="87" t="s">
        <v>1300</v>
      </c>
      <c r="D846" s="76"/>
      <c r="E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76"/>
      <c r="AO846" s="76"/>
      <c r="AP846" s="76"/>
      <c r="AQ846" s="76"/>
      <c r="AR846" s="76"/>
      <c r="AS846" s="76"/>
      <c r="AT846" s="76"/>
      <c r="AU846" s="76"/>
      <c r="AV846" s="76"/>
      <c r="AW846" s="76"/>
      <c r="AX846" s="76"/>
      <c r="AY846" s="76"/>
      <c r="AZ846" s="76"/>
      <c r="BA846" s="76"/>
      <c r="BB846" s="76"/>
      <c r="BC846" s="76"/>
      <c r="BD846" s="76"/>
      <c r="BE846" s="76"/>
      <c r="BF846" s="76"/>
      <c r="BG846" s="76"/>
      <c r="BH846" s="76"/>
      <c r="BI846" s="76"/>
      <c r="BJ846" s="76"/>
      <c r="BK846" s="76"/>
      <c r="BL846" s="76"/>
      <c r="BM846" s="76"/>
      <c r="BN846" s="76"/>
      <c r="BO846" s="76"/>
      <c r="BP846" s="76"/>
      <c r="BQ846" s="76"/>
      <c r="BR846" s="76"/>
      <c r="BS846" s="76"/>
      <c r="BT846" s="76"/>
      <c r="BU846" s="76"/>
      <c r="BV846" s="76"/>
      <c r="BW846" s="76"/>
      <c r="BX846" s="76"/>
      <c r="BY846" s="76"/>
      <c r="BZ846" s="76"/>
      <c r="CA846" s="76"/>
      <c r="CB846" s="76"/>
      <c r="CC846" s="76"/>
      <c r="CD846" s="76"/>
      <c r="CE846" s="76"/>
      <c r="CF846" s="76"/>
      <c r="CG846" s="76"/>
      <c r="CH846" s="76"/>
      <c r="CI846" s="76"/>
      <c r="CJ846" s="76"/>
      <c r="CK846" s="76"/>
      <c r="CL846" s="76"/>
      <c r="CM846" s="76"/>
      <c r="CN846" s="76"/>
      <c r="CO846" s="76"/>
      <c r="CP846" s="76"/>
      <c r="CQ846" s="76"/>
      <c r="CR846" s="76"/>
      <c r="CS846" s="76"/>
      <c r="CT846" s="76"/>
      <c r="CU846" s="76"/>
      <c r="CV846" s="76"/>
      <c r="CW846" s="76"/>
      <c r="CX846" s="76"/>
      <c r="CY846" s="76"/>
      <c r="CZ846" s="76"/>
      <c r="DA846" s="76"/>
      <c r="DB846" s="76"/>
      <c r="DC846" s="76"/>
      <c r="DD846" s="76"/>
      <c r="DE846" s="76"/>
      <c r="DF846" s="76"/>
      <c r="DG846" s="76"/>
      <c r="DH846" s="76"/>
      <c r="DI846" s="76"/>
      <c r="DJ846" s="76"/>
      <c r="DK846" s="76"/>
      <c r="DL846" s="76"/>
      <c r="DM846" s="76"/>
      <c r="DN846" s="76"/>
      <c r="DO846" s="76"/>
      <c r="DP846" s="76"/>
      <c r="DQ846" s="76"/>
      <c r="DR846" s="76"/>
      <c r="DS846" s="76"/>
      <c r="DT846" s="76"/>
      <c r="DU846" s="76"/>
      <c r="DV846" s="76"/>
      <c r="DW846" s="76"/>
      <c r="DX846" s="76"/>
      <c r="DY846" s="76"/>
      <c r="DZ846" s="76"/>
      <c r="EA846" s="76"/>
      <c r="EB846" s="76"/>
      <c r="EC846" s="76"/>
      <c r="ED846" s="76"/>
      <c r="EE846" s="76"/>
      <c r="EF846" s="76"/>
      <c r="EG846" s="76"/>
      <c r="EH846" s="76"/>
      <c r="EI846" s="76"/>
      <c r="EJ846" s="76"/>
      <c r="EK846" s="76"/>
      <c r="EL846" s="76"/>
      <c r="EM846" s="76"/>
      <c r="EN846" s="76"/>
      <c r="EO846" s="76"/>
      <c r="EP846" s="76"/>
      <c r="EQ846" s="76"/>
      <c r="ER846" s="76"/>
      <c r="ES846" s="76"/>
      <c r="ET846" s="76"/>
      <c r="EU846" s="76"/>
      <c r="EV846" s="76"/>
      <c r="EW846" s="76"/>
      <c r="EX846" s="76"/>
      <c r="EY846" s="76"/>
      <c r="EZ846" s="76"/>
      <c r="FA846" s="76"/>
      <c r="FB846" s="76"/>
      <c r="FC846" s="76"/>
      <c r="FD846" s="76"/>
      <c r="FE846" s="76"/>
      <c r="FF846" s="76"/>
      <c r="FG846" s="76"/>
      <c r="FH846" s="76"/>
      <c r="FI846" s="76"/>
      <c r="FJ846" s="76"/>
      <c r="FK846" s="76"/>
      <c r="FL846" s="76"/>
      <c r="FM846" s="76"/>
      <c r="FN846" s="76"/>
      <c r="FO846" s="76"/>
      <c r="FP846" s="76"/>
      <c r="FQ846" s="76"/>
      <c r="FR846" s="76"/>
      <c r="FS846" s="76"/>
      <c r="FT846" s="76"/>
      <c r="FU846" s="76"/>
      <c r="FV846" s="76"/>
      <c r="FW846" s="76"/>
      <c r="FX846" s="76"/>
      <c r="FY846" s="76"/>
      <c r="FZ846" s="76"/>
      <c r="GA846" s="76"/>
      <c r="GB846" s="76"/>
      <c r="GC846" s="76"/>
      <c r="GD846" s="76"/>
      <c r="GE846" s="76"/>
      <c r="GF846" s="76"/>
      <c r="GG846" s="76"/>
      <c r="GH846" s="76"/>
      <c r="GI846" s="76"/>
      <c r="GJ846" s="76"/>
      <c r="GK846" s="76"/>
      <c r="GL846" s="76"/>
      <c r="GM846" s="76"/>
      <c r="GN846" s="76"/>
      <c r="GO846" s="76"/>
      <c r="GP846" s="76"/>
      <c r="GQ846" s="76"/>
      <c r="GR846" s="76"/>
      <c r="GS846" s="76"/>
      <c r="GT846" s="76"/>
      <c r="GU846" s="76"/>
      <c r="GV846" s="76"/>
      <c r="GW846" s="76"/>
      <c r="GX846" s="76"/>
      <c r="GY846" s="76"/>
      <c r="GZ846" s="76"/>
      <c r="HA846" s="76"/>
      <c r="HB846" s="76"/>
      <c r="HC846" s="76"/>
      <c r="HD846" s="76"/>
      <c r="HE846" s="76"/>
      <c r="HF846" s="76"/>
      <c r="HG846" s="76"/>
      <c r="HH846" s="76"/>
      <c r="HI846" s="76"/>
      <c r="HJ846" s="76"/>
      <c r="HK846" s="76"/>
      <c r="HL846" s="76"/>
      <c r="HM846" s="76"/>
      <c r="HN846" s="76"/>
      <c r="HO846" s="76"/>
      <c r="HP846" s="76"/>
      <c r="HQ846" s="76"/>
      <c r="HR846" s="76"/>
      <c r="HS846" s="76"/>
      <c r="HT846" s="76"/>
      <c r="HU846" s="76"/>
      <c r="HV846" s="76"/>
      <c r="HW846" s="76"/>
      <c r="HX846" s="76"/>
      <c r="HY846" s="76"/>
      <c r="HZ846" s="76"/>
      <c r="IA846" s="76"/>
      <c r="IB846" s="76"/>
      <c r="IC846" s="76"/>
      <c r="ID846" s="76"/>
      <c r="IE846" s="76"/>
      <c r="IF846" s="76"/>
      <c r="IG846" s="76"/>
      <c r="IH846" s="76"/>
      <c r="II846" s="76"/>
      <c r="IJ846" s="76"/>
      <c r="IK846" s="76"/>
      <c r="IL846" s="76"/>
      <c r="IM846" s="76"/>
      <c r="IN846" s="76"/>
      <c r="IO846" s="76"/>
      <c r="IP846" s="76"/>
      <c r="IQ846" s="76"/>
      <c r="IR846" s="76"/>
      <c r="IS846" s="76"/>
      <c r="IT846" s="76"/>
      <c r="IU846" s="76"/>
      <c r="IV846" s="76"/>
    </row>
    <row r="847" spans="1:25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76"/>
      <c r="AO847" s="76"/>
      <c r="AP847" s="76"/>
      <c r="AQ847" s="76"/>
      <c r="AR847" s="76"/>
      <c r="AS847" s="76"/>
      <c r="AT847" s="76"/>
      <c r="AU847" s="76"/>
      <c r="AV847" s="76"/>
      <c r="AW847" s="76"/>
      <c r="AX847" s="76"/>
      <c r="AY847" s="76"/>
      <c r="AZ847" s="76"/>
      <c r="BA847" s="76"/>
      <c r="BB847" s="76"/>
      <c r="BC847" s="76"/>
      <c r="BD847" s="76"/>
      <c r="BE847" s="76"/>
      <c r="BF847" s="76"/>
      <c r="BG847" s="76"/>
      <c r="BH847" s="76"/>
      <c r="BI847" s="76"/>
      <c r="BJ847" s="76"/>
      <c r="BK847" s="76"/>
      <c r="BL847" s="76"/>
      <c r="BM847" s="76"/>
      <c r="BN847" s="76"/>
      <c r="BO847" s="76"/>
      <c r="BP847" s="76"/>
      <c r="BQ847" s="76"/>
      <c r="BR847" s="76"/>
      <c r="BS847" s="76"/>
      <c r="BT847" s="76"/>
      <c r="BU847" s="76"/>
      <c r="BV847" s="76"/>
      <c r="BW847" s="76"/>
      <c r="BX847" s="76"/>
      <c r="BY847" s="76"/>
      <c r="BZ847" s="76"/>
      <c r="CA847" s="76"/>
      <c r="CB847" s="76"/>
      <c r="CC847" s="76"/>
      <c r="CD847" s="76"/>
      <c r="CE847" s="76"/>
      <c r="CF847" s="76"/>
      <c r="CG847" s="76"/>
      <c r="CH847" s="76"/>
      <c r="CI847" s="76"/>
      <c r="CJ847" s="76"/>
      <c r="CK847" s="76"/>
      <c r="CL847" s="76"/>
      <c r="CM847" s="76"/>
      <c r="CN847" s="76"/>
      <c r="CO847" s="76"/>
      <c r="CP847" s="76"/>
      <c r="CQ847" s="76"/>
      <c r="CR847" s="76"/>
      <c r="CS847" s="76"/>
      <c r="CT847" s="76"/>
      <c r="CU847" s="76"/>
      <c r="CV847" s="76"/>
      <c r="CW847" s="76"/>
      <c r="CX847" s="76"/>
      <c r="CY847" s="76"/>
      <c r="CZ847" s="76"/>
      <c r="DA847" s="76"/>
      <c r="DB847" s="76"/>
      <c r="DC847" s="76"/>
      <c r="DD847" s="76"/>
      <c r="DE847" s="76"/>
      <c r="DF847" s="76"/>
      <c r="DG847" s="76"/>
      <c r="DH847" s="76"/>
      <c r="DI847" s="76"/>
      <c r="DJ847" s="76"/>
      <c r="DK847" s="76"/>
      <c r="DL847" s="76"/>
      <c r="DM847" s="76"/>
      <c r="DN847" s="76"/>
      <c r="DO847" s="76"/>
      <c r="DP847" s="76"/>
      <c r="DQ847" s="76"/>
      <c r="DR847" s="76"/>
      <c r="DS847" s="76"/>
      <c r="DT847" s="76"/>
      <c r="DU847" s="76"/>
      <c r="DV847" s="76"/>
      <c r="DW847" s="76"/>
      <c r="DX847" s="76"/>
      <c r="DY847" s="76"/>
      <c r="DZ847" s="76"/>
      <c r="EA847" s="76"/>
      <c r="EB847" s="76"/>
      <c r="EC847" s="76"/>
      <c r="ED847" s="76"/>
      <c r="EE847" s="76"/>
      <c r="EF847" s="76"/>
      <c r="EG847" s="76"/>
      <c r="EH847" s="76"/>
      <c r="EI847" s="76"/>
      <c r="EJ847" s="76"/>
      <c r="EK847" s="76"/>
      <c r="EL847" s="76"/>
      <c r="EM847" s="76"/>
      <c r="EN847" s="76"/>
      <c r="EO847" s="76"/>
      <c r="EP847" s="76"/>
      <c r="EQ847" s="76"/>
      <c r="ER847" s="76"/>
      <c r="ES847" s="76"/>
      <c r="ET847" s="76"/>
      <c r="EU847" s="76"/>
      <c r="EV847" s="76"/>
      <c r="EW847" s="76"/>
      <c r="EX847" s="76"/>
      <c r="EY847" s="76"/>
      <c r="EZ847" s="76"/>
      <c r="FA847" s="76"/>
      <c r="FB847" s="76"/>
      <c r="FC847" s="76"/>
      <c r="FD847" s="76"/>
      <c r="FE847" s="76"/>
      <c r="FF847" s="76"/>
      <c r="FG847" s="76"/>
      <c r="FH847" s="76"/>
      <c r="FI847" s="76"/>
      <c r="FJ847" s="76"/>
      <c r="FK847" s="76"/>
      <c r="FL847" s="76"/>
      <c r="FM847" s="76"/>
      <c r="FN847" s="76"/>
      <c r="FO847" s="76"/>
      <c r="FP847" s="76"/>
      <c r="FQ847" s="76"/>
      <c r="FR847" s="76"/>
      <c r="FS847" s="76"/>
      <c r="FT847" s="76"/>
      <c r="FU847" s="76"/>
      <c r="FV847" s="76"/>
      <c r="FW847" s="76"/>
      <c r="FX847" s="76"/>
      <c r="FY847" s="76"/>
      <c r="FZ847" s="76"/>
      <c r="GA847" s="76"/>
      <c r="GB847" s="76"/>
      <c r="GC847" s="76"/>
      <c r="GD847" s="76"/>
      <c r="GE847" s="76"/>
      <c r="GF847" s="76"/>
      <c r="GG847" s="76"/>
      <c r="GH847" s="76"/>
      <c r="GI847" s="76"/>
      <c r="GJ847" s="76"/>
      <c r="GK847" s="76"/>
      <c r="GL847" s="76"/>
      <c r="GM847" s="76"/>
      <c r="GN847" s="76"/>
      <c r="GO847" s="76"/>
      <c r="GP847" s="76"/>
      <c r="GQ847" s="76"/>
      <c r="GR847" s="76"/>
      <c r="GS847" s="76"/>
      <c r="GT847" s="76"/>
      <c r="GU847" s="76"/>
      <c r="GV847" s="76"/>
      <c r="GW847" s="76"/>
      <c r="GX847" s="76"/>
      <c r="GY847" s="76"/>
      <c r="GZ847" s="76"/>
      <c r="HA847" s="76"/>
      <c r="HB847" s="76"/>
      <c r="HC847" s="76"/>
      <c r="HD847" s="76"/>
      <c r="HE847" s="76"/>
      <c r="HF847" s="76"/>
      <c r="HG847" s="76"/>
      <c r="HH847" s="76"/>
      <c r="HI847" s="76"/>
      <c r="HJ847" s="76"/>
      <c r="HK847" s="76"/>
      <c r="HL847" s="76"/>
      <c r="HM847" s="76"/>
      <c r="HN847" s="76"/>
      <c r="HO847" s="76"/>
      <c r="HP847" s="76"/>
      <c r="HQ847" s="76"/>
      <c r="HR847" s="76"/>
      <c r="HS847" s="76"/>
      <c r="HT847" s="76"/>
      <c r="HU847" s="76"/>
      <c r="HV847" s="76"/>
      <c r="HW847" s="76"/>
      <c r="HX847" s="76"/>
      <c r="HY847" s="76"/>
      <c r="HZ847" s="76"/>
      <c r="IA847" s="76"/>
      <c r="IB847" s="76"/>
      <c r="IC847" s="76"/>
      <c r="ID847" s="76"/>
      <c r="IE847" s="76"/>
      <c r="IF847" s="76"/>
      <c r="IG847" s="76"/>
      <c r="IH847" s="76"/>
      <c r="II847" s="76"/>
      <c r="IJ847" s="76"/>
      <c r="IK847" s="76"/>
      <c r="IL847" s="76"/>
      <c r="IM847" s="76"/>
      <c r="IN847" s="76"/>
      <c r="IO847" s="76"/>
      <c r="IP847" s="76"/>
      <c r="IQ847" s="76"/>
      <c r="IR847" s="76"/>
      <c r="IS847" s="76"/>
      <c r="IT847" s="76"/>
      <c r="IU847" s="76"/>
      <c r="IV847" s="76"/>
    </row>
    <row r="848" spans="1:256">
      <c r="A848" s="828" t="s">
        <v>6948</v>
      </c>
      <c r="B848" s="36">
        <v>1</v>
      </c>
      <c r="C848" s="131" t="s">
        <v>222</v>
      </c>
      <c r="D848" s="148"/>
      <c r="E848" s="153"/>
      <c r="F848" s="153"/>
      <c r="G848" s="153"/>
      <c r="H848" s="153"/>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c r="AR848" s="76"/>
      <c r="AS848" s="76"/>
      <c r="AT848" s="76"/>
      <c r="AU848" s="76"/>
      <c r="AV848" s="76"/>
      <c r="AW848" s="76"/>
      <c r="AX848" s="76"/>
      <c r="AY848" s="76"/>
      <c r="AZ848" s="76"/>
      <c r="BA848" s="76"/>
      <c r="BB848" s="76"/>
      <c r="BC848" s="76"/>
      <c r="BD848" s="76"/>
      <c r="BE848" s="76"/>
      <c r="BF848" s="76"/>
      <c r="BG848" s="76"/>
      <c r="BH848" s="76"/>
      <c r="BI848" s="76"/>
      <c r="BJ848" s="76"/>
      <c r="BK848" s="76"/>
      <c r="BL848" s="76"/>
      <c r="BM848" s="76"/>
      <c r="BN848" s="76"/>
      <c r="BO848" s="76"/>
      <c r="BP848" s="76"/>
      <c r="BQ848" s="76"/>
      <c r="BR848" s="76"/>
      <c r="BS848" s="76"/>
      <c r="BT848" s="76"/>
      <c r="BU848" s="76"/>
      <c r="BV848" s="76"/>
      <c r="BW848" s="76"/>
      <c r="BX848" s="76"/>
      <c r="BY848" s="76"/>
      <c r="BZ848" s="76"/>
      <c r="CA848" s="76"/>
      <c r="CB848" s="76"/>
      <c r="CC848" s="76"/>
      <c r="CD848" s="76"/>
      <c r="CE848" s="76"/>
      <c r="CF848" s="76"/>
      <c r="CG848" s="76"/>
      <c r="CH848" s="76"/>
      <c r="CI848" s="76"/>
      <c r="CJ848" s="76"/>
      <c r="CK848" s="76"/>
      <c r="CL848" s="76"/>
      <c r="CM848" s="76"/>
      <c r="CN848" s="76"/>
      <c r="CO848" s="76"/>
      <c r="CP848" s="76"/>
      <c r="CQ848" s="76"/>
      <c r="CR848" s="76"/>
      <c r="CS848" s="76"/>
      <c r="CT848" s="76"/>
      <c r="CU848" s="76"/>
      <c r="CV848" s="76"/>
      <c r="CW848" s="76"/>
      <c r="CX848" s="76"/>
      <c r="CY848" s="76"/>
      <c r="CZ848" s="76"/>
      <c r="DA848" s="76"/>
      <c r="DB848" s="76"/>
      <c r="DC848" s="76"/>
      <c r="DD848" s="76"/>
      <c r="DE848" s="76"/>
      <c r="DF848" s="76"/>
      <c r="DG848" s="76"/>
      <c r="DH848" s="76"/>
      <c r="DI848" s="76"/>
      <c r="DJ848" s="76"/>
      <c r="DK848" s="76"/>
      <c r="DL848" s="76"/>
      <c r="DM848" s="76"/>
      <c r="DN848" s="76"/>
      <c r="DO848" s="76"/>
      <c r="DP848" s="76"/>
      <c r="DQ848" s="76"/>
      <c r="DR848" s="76"/>
      <c r="DS848" s="76"/>
      <c r="DT848" s="76"/>
      <c r="DU848" s="76"/>
      <c r="DV848" s="76"/>
      <c r="DW848" s="76"/>
      <c r="DX848" s="76"/>
      <c r="DY848" s="76"/>
      <c r="DZ848" s="76"/>
      <c r="EA848" s="76"/>
      <c r="EB848" s="76"/>
      <c r="EC848" s="76"/>
      <c r="ED848" s="76"/>
      <c r="EE848" s="76"/>
      <c r="EF848" s="76"/>
      <c r="EG848" s="76"/>
      <c r="EH848" s="76"/>
      <c r="EI848" s="76"/>
      <c r="EJ848" s="76"/>
      <c r="EK848" s="76"/>
      <c r="EL848" s="76"/>
      <c r="EM848" s="76"/>
      <c r="EN848" s="76"/>
      <c r="EO848" s="76"/>
      <c r="EP848" s="76"/>
      <c r="EQ848" s="76"/>
      <c r="ER848" s="76"/>
      <c r="ES848" s="76"/>
      <c r="ET848" s="76"/>
      <c r="EU848" s="76"/>
      <c r="EV848" s="76"/>
      <c r="EW848" s="76"/>
      <c r="EX848" s="76"/>
      <c r="EY848" s="76"/>
      <c r="EZ848" s="76"/>
      <c r="FA848" s="76"/>
      <c r="FB848" s="76"/>
      <c r="FC848" s="76"/>
      <c r="FD848" s="76"/>
      <c r="FE848" s="76"/>
      <c r="FF848" s="76"/>
      <c r="FG848" s="76"/>
      <c r="FH848" s="76"/>
      <c r="FI848" s="76"/>
      <c r="FJ848" s="76"/>
      <c r="FK848" s="76"/>
      <c r="FL848" s="76"/>
      <c r="FM848" s="76"/>
      <c r="FN848" s="76"/>
      <c r="FO848" s="76"/>
      <c r="FP848" s="76"/>
      <c r="FQ848" s="76"/>
      <c r="FR848" s="76"/>
      <c r="FS848" s="76"/>
      <c r="FT848" s="76"/>
      <c r="FU848" s="76"/>
      <c r="FV848" s="76"/>
      <c r="FW848" s="76"/>
      <c r="FX848" s="76"/>
      <c r="FY848" s="76"/>
      <c r="FZ848" s="76"/>
      <c r="GA848" s="76"/>
      <c r="GB848" s="76"/>
      <c r="GC848" s="76"/>
      <c r="GD848" s="76"/>
      <c r="GE848" s="76"/>
      <c r="GF848" s="76"/>
      <c r="GG848" s="76"/>
      <c r="GH848" s="76"/>
      <c r="GI848" s="76"/>
      <c r="GJ848" s="76"/>
      <c r="GK848" s="76"/>
      <c r="GL848" s="76"/>
      <c r="GM848" s="76"/>
      <c r="GN848" s="76"/>
      <c r="GO848" s="76"/>
      <c r="GP848" s="76"/>
      <c r="GQ848" s="76"/>
      <c r="GR848" s="76"/>
      <c r="GS848" s="76"/>
      <c r="GT848" s="76"/>
      <c r="GU848" s="76"/>
      <c r="GV848" s="76"/>
      <c r="GW848" s="76"/>
      <c r="GX848" s="76"/>
      <c r="GY848" s="76"/>
      <c r="GZ848" s="76"/>
      <c r="HA848" s="76"/>
      <c r="HB848" s="76"/>
      <c r="HC848" s="76"/>
      <c r="HD848" s="76"/>
      <c r="HE848" s="76"/>
      <c r="HF848" s="76"/>
      <c r="HG848" s="76"/>
      <c r="HH848" s="76"/>
      <c r="HI848" s="76"/>
      <c r="HJ848" s="76"/>
      <c r="HK848" s="76"/>
      <c r="HL848" s="76"/>
      <c r="HM848" s="76"/>
      <c r="HN848" s="76"/>
      <c r="HO848" s="76"/>
      <c r="HP848" s="76"/>
      <c r="HQ848" s="76"/>
      <c r="HR848" s="76"/>
      <c r="HS848" s="76"/>
      <c r="HT848" s="76"/>
      <c r="HU848" s="76"/>
      <c r="HV848" s="76"/>
      <c r="HW848" s="76"/>
      <c r="HX848" s="76"/>
      <c r="HY848" s="76"/>
      <c r="HZ848" s="76"/>
      <c r="IA848" s="76"/>
      <c r="IB848" s="76"/>
      <c r="IC848" s="76"/>
      <c r="ID848" s="76"/>
      <c r="IE848" s="76"/>
      <c r="IF848" s="76"/>
      <c r="IG848" s="76"/>
      <c r="IH848" s="76"/>
      <c r="II848" s="76"/>
      <c r="IJ848" s="76"/>
      <c r="IK848" s="76"/>
      <c r="IL848" s="76"/>
      <c r="IM848" s="76"/>
      <c r="IN848" s="76"/>
      <c r="IO848" s="76"/>
      <c r="IP848" s="76"/>
      <c r="IQ848" s="76"/>
      <c r="IR848" s="76"/>
      <c r="IS848" s="76"/>
      <c r="IT848" s="76"/>
      <c r="IU848" s="76"/>
      <c r="IV848" s="76"/>
    </row>
    <row r="849" spans="2:256">
      <c r="B849" s="153" t="s">
        <v>1838</v>
      </c>
      <c r="C849" s="135" t="s">
        <v>223</v>
      </c>
      <c r="D849" s="76"/>
      <c r="E849" s="152"/>
      <c r="F849" s="152"/>
      <c r="G849" s="152"/>
      <c r="H849" s="152"/>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c r="AR849" s="76"/>
      <c r="AS849" s="76"/>
      <c r="AT849" s="76"/>
      <c r="AU849" s="76"/>
      <c r="AV849" s="76"/>
      <c r="AW849" s="76"/>
      <c r="AX849" s="76"/>
      <c r="AY849" s="76"/>
      <c r="AZ849" s="76"/>
      <c r="BA849" s="76"/>
      <c r="BB849" s="76"/>
      <c r="BC849" s="76"/>
      <c r="BD849" s="76"/>
      <c r="BE849" s="76"/>
      <c r="BF849" s="76"/>
      <c r="BG849" s="76"/>
      <c r="BH849" s="76"/>
      <c r="BI849" s="76"/>
      <c r="BJ849" s="76"/>
      <c r="BK849" s="76"/>
      <c r="BL849" s="76"/>
      <c r="BM849" s="76"/>
      <c r="BN849" s="76"/>
      <c r="BO849" s="76"/>
      <c r="BP849" s="76"/>
      <c r="BQ849" s="76"/>
      <c r="BR849" s="76"/>
      <c r="BS849" s="76"/>
      <c r="BT849" s="76"/>
      <c r="BU849" s="76"/>
      <c r="BV849" s="76"/>
      <c r="BW849" s="76"/>
      <c r="BX849" s="76"/>
      <c r="BY849" s="76"/>
      <c r="BZ849" s="76"/>
      <c r="CA849" s="76"/>
      <c r="CB849" s="76"/>
      <c r="CC849" s="76"/>
      <c r="CD849" s="76"/>
      <c r="CE849" s="76"/>
      <c r="CF849" s="76"/>
      <c r="CG849" s="76"/>
      <c r="CH849" s="76"/>
      <c r="CI849" s="76"/>
      <c r="CJ849" s="76"/>
      <c r="CK849" s="76"/>
      <c r="CL849" s="76"/>
      <c r="CM849" s="76"/>
      <c r="CN849" s="76"/>
      <c r="CO849" s="76"/>
      <c r="CP849" s="76"/>
      <c r="CQ849" s="76"/>
      <c r="CR849" s="76"/>
      <c r="CS849" s="76"/>
      <c r="CT849" s="76"/>
      <c r="CU849" s="76"/>
      <c r="CV849" s="76"/>
      <c r="CW849" s="76"/>
      <c r="CX849" s="76"/>
      <c r="CY849" s="76"/>
      <c r="CZ849" s="76"/>
      <c r="DA849" s="76"/>
      <c r="DB849" s="76"/>
      <c r="DC849" s="76"/>
      <c r="DD849" s="76"/>
      <c r="DE849" s="76"/>
      <c r="DF849" s="76"/>
      <c r="DG849" s="76"/>
      <c r="DH849" s="76"/>
      <c r="DI849" s="76"/>
      <c r="DJ849" s="76"/>
      <c r="DK849" s="76"/>
      <c r="DL849" s="76"/>
      <c r="DM849" s="76"/>
      <c r="DN849" s="76"/>
      <c r="DO849" s="76"/>
      <c r="DP849" s="76"/>
      <c r="DQ849" s="76"/>
      <c r="DR849" s="76"/>
      <c r="DS849" s="76"/>
      <c r="DT849" s="76"/>
      <c r="DU849" s="76"/>
      <c r="DV849" s="76"/>
      <c r="DW849" s="76"/>
      <c r="DX849" s="76"/>
      <c r="DY849" s="76"/>
      <c r="DZ849" s="76"/>
      <c r="EA849" s="76"/>
      <c r="EB849" s="76"/>
      <c r="EC849" s="76"/>
      <c r="ED849" s="76"/>
      <c r="EE849" s="76"/>
      <c r="EF849" s="76"/>
      <c r="EG849" s="76"/>
      <c r="EH849" s="76"/>
      <c r="EI849" s="76"/>
      <c r="EJ849" s="76"/>
      <c r="EK849" s="76"/>
      <c r="EL849" s="76"/>
      <c r="EM849" s="76"/>
      <c r="EN849" s="76"/>
      <c r="EO849" s="76"/>
      <c r="EP849" s="76"/>
      <c r="EQ849" s="76"/>
      <c r="ER849" s="76"/>
      <c r="ES849" s="76"/>
      <c r="ET849" s="76"/>
      <c r="EU849" s="76"/>
      <c r="EV849" s="76"/>
      <c r="EW849" s="76"/>
      <c r="EX849" s="76"/>
      <c r="EY849" s="76"/>
      <c r="EZ849" s="76"/>
      <c r="FA849" s="76"/>
      <c r="FB849" s="76"/>
      <c r="FC849" s="76"/>
      <c r="FD849" s="76"/>
      <c r="FE849" s="76"/>
      <c r="FF849" s="76"/>
      <c r="FG849" s="76"/>
      <c r="FH849" s="76"/>
      <c r="FI849" s="76"/>
      <c r="FJ849" s="76"/>
      <c r="FK849" s="76"/>
      <c r="FL849" s="76"/>
      <c r="FM849" s="76"/>
      <c r="FN849" s="76"/>
      <c r="FO849" s="76"/>
      <c r="FP849" s="76"/>
      <c r="FQ849" s="76"/>
      <c r="FR849" s="76"/>
      <c r="FS849" s="76"/>
      <c r="FT849" s="76"/>
      <c r="FU849" s="76"/>
      <c r="FV849" s="76"/>
      <c r="FW849" s="76"/>
      <c r="FX849" s="76"/>
      <c r="FY849" s="76"/>
      <c r="FZ849" s="76"/>
      <c r="GA849" s="76"/>
      <c r="GB849" s="76"/>
      <c r="GC849" s="76"/>
      <c r="GD849" s="76"/>
      <c r="GE849" s="76"/>
      <c r="GF849" s="76"/>
      <c r="GG849" s="76"/>
      <c r="GH849" s="76"/>
      <c r="GI849" s="76"/>
      <c r="GJ849" s="76"/>
      <c r="GK849" s="76"/>
      <c r="GL849" s="76"/>
      <c r="GM849" s="76"/>
      <c r="GN849" s="76"/>
      <c r="GO849" s="76"/>
      <c r="GP849" s="76"/>
      <c r="GQ849" s="76"/>
      <c r="GR849" s="76"/>
      <c r="GS849" s="76"/>
      <c r="GT849" s="76"/>
      <c r="GU849" s="76"/>
      <c r="GV849" s="76"/>
      <c r="GW849" s="76"/>
      <c r="GX849" s="76"/>
      <c r="GY849" s="76"/>
      <c r="GZ849" s="76"/>
      <c r="HA849" s="76"/>
      <c r="HB849" s="76"/>
      <c r="HC849" s="76"/>
      <c r="HD849" s="76"/>
      <c r="HE849" s="76"/>
      <c r="HF849" s="76"/>
      <c r="HG849" s="76"/>
      <c r="HH849" s="76"/>
      <c r="HI849" s="76"/>
      <c r="HJ849" s="76"/>
      <c r="HK849" s="76"/>
      <c r="HL849" s="76"/>
      <c r="HM849" s="76"/>
      <c r="HN849" s="76"/>
      <c r="HO849" s="76"/>
      <c r="HP849" s="76"/>
      <c r="HQ849" s="76"/>
      <c r="HR849" s="76"/>
      <c r="HS849" s="76"/>
      <c r="HT849" s="76"/>
      <c r="HU849" s="76"/>
      <c r="HV849" s="76"/>
      <c r="HW849" s="76"/>
      <c r="HX849" s="76"/>
      <c r="HY849" s="76"/>
      <c r="HZ849" s="76"/>
      <c r="IA849" s="76"/>
      <c r="IB849" s="76"/>
      <c r="IC849" s="76"/>
      <c r="ID849" s="76"/>
      <c r="IE849" s="76"/>
      <c r="IF849" s="76"/>
      <c r="IG849" s="76"/>
      <c r="IH849" s="76"/>
      <c r="II849" s="76"/>
      <c r="IJ849" s="76"/>
      <c r="IK849" s="76"/>
      <c r="IL849" s="76"/>
      <c r="IM849" s="76"/>
      <c r="IN849" s="76"/>
      <c r="IO849" s="76"/>
      <c r="IP849" s="76"/>
      <c r="IQ849" s="76"/>
      <c r="IR849" s="76"/>
      <c r="IS849" s="76"/>
      <c r="IT849" s="76"/>
      <c r="IU849" s="76"/>
      <c r="IV849" s="76"/>
    </row>
    <row r="850" spans="2:256">
      <c r="B850" s="152"/>
      <c r="C850" s="135" t="s">
        <v>224</v>
      </c>
      <c r="D850" s="76"/>
      <c r="E850" s="152"/>
      <c r="F850" s="152"/>
      <c r="G850" s="152"/>
      <c r="H850" s="152"/>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c r="AR850" s="76"/>
      <c r="AS850" s="76"/>
      <c r="AT850" s="76"/>
      <c r="AU850" s="76"/>
      <c r="AV850" s="76"/>
      <c r="AW850" s="76"/>
      <c r="AX850" s="76"/>
      <c r="AY850" s="76"/>
      <c r="AZ850" s="76"/>
      <c r="BA850" s="76"/>
      <c r="BB850" s="76"/>
      <c r="BC850" s="76"/>
      <c r="BD850" s="76"/>
      <c r="BE850" s="76"/>
      <c r="BF850" s="76"/>
      <c r="BG850" s="76"/>
      <c r="BH850" s="76"/>
      <c r="BI850" s="76"/>
      <c r="BJ850" s="76"/>
      <c r="BK850" s="76"/>
      <c r="BL850" s="76"/>
      <c r="BM850" s="76"/>
      <c r="BN850" s="76"/>
      <c r="BO850" s="76"/>
      <c r="BP850" s="76"/>
      <c r="BQ850" s="76"/>
      <c r="BR850" s="76"/>
      <c r="BS850" s="76"/>
      <c r="BT850" s="76"/>
      <c r="BU850" s="76"/>
      <c r="BV850" s="76"/>
      <c r="BW850" s="76"/>
      <c r="BX850" s="76"/>
      <c r="BY850" s="76"/>
      <c r="BZ850" s="76"/>
      <c r="CA850" s="76"/>
      <c r="CB850" s="76"/>
      <c r="CC850" s="76"/>
      <c r="CD850" s="76"/>
      <c r="CE850" s="76"/>
      <c r="CF850" s="76"/>
      <c r="CG850" s="76"/>
      <c r="CH850" s="76"/>
      <c r="CI850" s="76"/>
      <c r="CJ850" s="76"/>
      <c r="CK850" s="76"/>
      <c r="CL850" s="76"/>
      <c r="CM850" s="76"/>
      <c r="CN850" s="76"/>
      <c r="CO850" s="76"/>
      <c r="CP850" s="76"/>
      <c r="CQ850" s="76"/>
      <c r="CR850" s="76"/>
      <c r="CS850" s="76"/>
      <c r="CT850" s="76"/>
      <c r="CU850" s="76"/>
      <c r="CV850" s="76"/>
      <c r="CW850" s="76"/>
      <c r="CX850" s="76"/>
      <c r="CY850" s="76"/>
      <c r="CZ850" s="76"/>
      <c r="DA850" s="76"/>
      <c r="DB850" s="76"/>
      <c r="DC850" s="76"/>
      <c r="DD850" s="76"/>
      <c r="DE850" s="76"/>
      <c r="DF850" s="76"/>
      <c r="DG850" s="76"/>
      <c r="DH850" s="76"/>
      <c r="DI850" s="76"/>
      <c r="DJ850" s="76"/>
      <c r="DK850" s="76"/>
      <c r="DL850" s="76"/>
      <c r="DM850" s="76"/>
      <c r="DN850" s="76"/>
      <c r="DO850" s="76"/>
      <c r="DP850" s="76"/>
      <c r="DQ850" s="76"/>
      <c r="DR850" s="76"/>
      <c r="DS850" s="76"/>
      <c r="DT850" s="76"/>
      <c r="DU850" s="76"/>
      <c r="DV850" s="76"/>
      <c r="DW850" s="76"/>
      <c r="DX850" s="76"/>
      <c r="DY850" s="76"/>
      <c r="DZ850" s="76"/>
      <c r="EA850" s="76"/>
      <c r="EB850" s="76"/>
      <c r="EC850" s="76"/>
      <c r="ED850" s="76"/>
      <c r="EE850" s="76"/>
      <c r="EF850" s="76"/>
      <c r="EG850" s="76"/>
      <c r="EH850" s="76"/>
      <c r="EI850" s="76"/>
      <c r="EJ850" s="76"/>
      <c r="EK850" s="76"/>
      <c r="EL850" s="76"/>
      <c r="EM850" s="76"/>
      <c r="EN850" s="76"/>
      <c r="EO850" s="76"/>
      <c r="EP850" s="76"/>
      <c r="EQ850" s="76"/>
      <c r="ER850" s="76"/>
      <c r="ES850" s="76"/>
      <c r="ET850" s="76"/>
      <c r="EU850" s="76"/>
      <c r="EV850" s="76"/>
      <c r="EW850" s="76"/>
      <c r="EX850" s="76"/>
      <c r="EY850" s="76"/>
      <c r="EZ850" s="76"/>
      <c r="FA850" s="76"/>
      <c r="FB850" s="76"/>
      <c r="FC850" s="76"/>
      <c r="FD850" s="76"/>
      <c r="FE850" s="76"/>
      <c r="FF850" s="76"/>
      <c r="FG850" s="76"/>
      <c r="FH850" s="76"/>
      <c r="FI850" s="76"/>
      <c r="FJ850" s="76"/>
      <c r="FK850" s="76"/>
      <c r="FL850" s="76"/>
      <c r="FM850" s="76"/>
      <c r="FN850" s="76"/>
      <c r="FO850" s="76"/>
      <c r="FP850" s="76"/>
      <c r="FQ850" s="76"/>
      <c r="FR850" s="76"/>
      <c r="FS850" s="76"/>
      <c r="FT850" s="76"/>
      <c r="FU850" s="76"/>
      <c r="FV850" s="76"/>
      <c r="FW850" s="76"/>
      <c r="FX850" s="76"/>
      <c r="FY850" s="76"/>
      <c r="FZ850" s="76"/>
      <c r="GA850" s="76"/>
      <c r="GB850" s="76"/>
      <c r="GC850" s="76"/>
      <c r="GD850" s="76"/>
      <c r="GE850" s="76"/>
      <c r="GF850" s="76"/>
      <c r="GG850" s="76"/>
      <c r="GH850" s="76"/>
      <c r="GI850" s="76"/>
      <c r="GJ850" s="76"/>
      <c r="GK850" s="76"/>
      <c r="GL850" s="76"/>
      <c r="GM850" s="76"/>
      <c r="GN850" s="76"/>
      <c r="GO850" s="76"/>
      <c r="GP850" s="76"/>
      <c r="GQ850" s="76"/>
      <c r="GR850" s="76"/>
      <c r="GS850" s="76"/>
      <c r="GT850" s="76"/>
      <c r="GU850" s="76"/>
      <c r="GV850" s="76"/>
      <c r="GW850" s="76"/>
      <c r="GX850" s="76"/>
      <c r="GY850" s="76"/>
      <c r="GZ850" s="76"/>
      <c r="HA850" s="76"/>
      <c r="HB850" s="76"/>
      <c r="HC850" s="76"/>
      <c r="HD850" s="76"/>
      <c r="HE850" s="76"/>
      <c r="HF850" s="76"/>
      <c r="HG850" s="76"/>
      <c r="HH850" s="76"/>
      <c r="HI850" s="76"/>
      <c r="HJ850" s="76"/>
      <c r="HK850" s="76"/>
      <c r="HL850" s="76"/>
      <c r="HM850" s="76"/>
      <c r="HN850" s="76"/>
      <c r="HO850" s="76"/>
      <c r="HP850" s="76"/>
      <c r="HQ850" s="76"/>
      <c r="HR850" s="76"/>
      <c r="HS850" s="76"/>
      <c r="HT850" s="76"/>
      <c r="HU850" s="76"/>
      <c r="HV850" s="76"/>
      <c r="HW850" s="76"/>
      <c r="HX850" s="76"/>
      <c r="HY850" s="76"/>
      <c r="HZ850" s="76"/>
      <c r="IA850" s="76"/>
      <c r="IB850" s="76"/>
      <c r="IC850" s="76"/>
      <c r="ID850" s="76"/>
      <c r="IE850" s="76"/>
      <c r="IF850" s="76"/>
      <c r="IG850" s="76"/>
      <c r="IH850" s="76"/>
      <c r="II850" s="76"/>
      <c r="IJ850" s="76"/>
      <c r="IK850" s="76"/>
      <c r="IL850" s="76"/>
      <c r="IM850" s="76"/>
      <c r="IN850" s="76"/>
      <c r="IO850" s="76"/>
      <c r="IP850" s="76"/>
      <c r="IQ850" s="76"/>
      <c r="IR850" s="76"/>
      <c r="IS850" s="76"/>
      <c r="IT850" s="76"/>
      <c r="IU850" s="76"/>
      <c r="IV850" s="76"/>
    </row>
    <row r="851" spans="2:256">
      <c r="B851" s="152"/>
      <c r="C851" s="135" t="s">
        <v>225</v>
      </c>
      <c r="D851" s="76"/>
      <c r="E851" s="105" t="s">
        <v>2370</v>
      </c>
      <c r="F851" s="105" t="s">
        <v>1166</v>
      </c>
      <c r="G851" s="105" t="s">
        <v>1840</v>
      </c>
      <c r="H851" s="152" t="s">
        <v>1518</v>
      </c>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c r="AN851" s="76"/>
      <c r="AO851" s="76"/>
      <c r="AP851" s="76"/>
      <c r="AQ851" s="76"/>
      <c r="AR851" s="76"/>
      <c r="AS851" s="76"/>
      <c r="AT851" s="76"/>
      <c r="AU851" s="76"/>
      <c r="AV851" s="76"/>
      <c r="AW851" s="76"/>
      <c r="AX851" s="76"/>
      <c r="AY851" s="76"/>
      <c r="AZ851" s="76"/>
      <c r="BA851" s="76"/>
      <c r="BB851" s="76"/>
      <c r="BC851" s="76"/>
      <c r="BD851" s="76"/>
      <c r="BE851" s="76"/>
      <c r="BF851" s="76"/>
      <c r="BG851" s="76"/>
      <c r="BH851" s="76"/>
      <c r="BI851" s="76"/>
      <c r="BJ851" s="76"/>
      <c r="BK851" s="76"/>
      <c r="BL851" s="76"/>
      <c r="BM851" s="76"/>
      <c r="BN851" s="76"/>
      <c r="BO851" s="76"/>
      <c r="BP851" s="76"/>
      <c r="BQ851" s="76"/>
      <c r="BR851" s="76"/>
      <c r="BS851" s="76"/>
      <c r="BT851" s="76"/>
      <c r="BU851" s="76"/>
      <c r="BV851" s="76"/>
      <c r="BW851" s="76"/>
      <c r="BX851" s="76"/>
      <c r="BY851" s="76"/>
      <c r="BZ851" s="76"/>
      <c r="CA851" s="76"/>
      <c r="CB851" s="76"/>
      <c r="CC851" s="76"/>
      <c r="CD851" s="76"/>
      <c r="CE851" s="76"/>
      <c r="CF851" s="76"/>
      <c r="CG851" s="76"/>
      <c r="CH851" s="76"/>
      <c r="CI851" s="76"/>
      <c r="CJ851" s="76"/>
      <c r="CK851" s="76"/>
      <c r="CL851" s="76"/>
      <c r="CM851" s="76"/>
      <c r="CN851" s="76"/>
      <c r="CO851" s="76"/>
      <c r="CP851" s="76"/>
      <c r="CQ851" s="76"/>
      <c r="CR851" s="76"/>
      <c r="CS851" s="76"/>
      <c r="CT851" s="76"/>
      <c r="CU851" s="76"/>
      <c r="CV851" s="76"/>
      <c r="CW851" s="76"/>
      <c r="CX851" s="76"/>
      <c r="CY851" s="76"/>
      <c r="CZ851" s="76"/>
      <c r="DA851" s="76"/>
      <c r="DB851" s="76"/>
      <c r="DC851" s="76"/>
      <c r="DD851" s="76"/>
      <c r="DE851" s="76"/>
      <c r="DF851" s="76"/>
      <c r="DG851" s="76"/>
      <c r="DH851" s="76"/>
      <c r="DI851" s="76"/>
      <c r="DJ851" s="76"/>
      <c r="DK851" s="76"/>
      <c r="DL851" s="76"/>
      <c r="DM851" s="76"/>
      <c r="DN851" s="76"/>
      <c r="DO851" s="76"/>
      <c r="DP851" s="76"/>
      <c r="DQ851" s="76"/>
      <c r="DR851" s="76"/>
      <c r="DS851" s="76"/>
      <c r="DT851" s="76"/>
      <c r="DU851" s="76"/>
      <c r="DV851" s="76"/>
      <c r="DW851" s="76"/>
      <c r="DX851" s="76"/>
      <c r="DY851" s="76"/>
      <c r="DZ851" s="76"/>
      <c r="EA851" s="76"/>
      <c r="EB851" s="76"/>
      <c r="EC851" s="76"/>
      <c r="ED851" s="76"/>
      <c r="EE851" s="76"/>
      <c r="EF851" s="76"/>
      <c r="EG851" s="76"/>
      <c r="EH851" s="76"/>
      <c r="EI851" s="76"/>
      <c r="EJ851" s="76"/>
      <c r="EK851" s="76"/>
      <c r="EL851" s="76"/>
      <c r="EM851" s="76"/>
      <c r="EN851" s="76"/>
      <c r="EO851" s="76"/>
      <c r="EP851" s="76"/>
      <c r="EQ851" s="76"/>
      <c r="ER851" s="76"/>
      <c r="ES851" s="76"/>
      <c r="ET851" s="76"/>
      <c r="EU851" s="76"/>
      <c r="EV851" s="76"/>
      <c r="EW851" s="76"/>
      <c r="EX851" s="76"/>
      <c r="EY851" s="76"/>
      <c r="EZ851" s="76"/>
      <c r="FA851" s="76"/>
      <c r="FB851" s="76"/>
      <c r="FC851" s="76"/>
      <c r="FD851" s="76"/>
      <c r="FE851" s="76"/>
      <c r="FF851" s="76"/>
      <c r="FG851" s="76"/>
      <c r="FH851" s="76"/>
      <c r="FI851" s="76"/>
      <c r="FJ851" s="76"/>
      <c r="FK851" s="76"/>
      <c r="FL851" s="76"/>
      <c r="FM851" s="76"/>
      <c r="FN851" s="76"/>
      <c r="FO851" s="76"/>
      <c r="FP851" s="76"/>
      <c r="FQ851" s="76"/>
      <c r="FR851" s="76"/>
      <c r="FS851" s="76"/>
      <c r="FT851" s="76"/>
      <c r="FU851" s="76"/>
      <c r="FV851" s="76"/>
      <c r="FW851" s="76"/>
      <c r="FX851" s="76"/>
      <c r="FY851" s="76"/>
      <c r="FZ851" s="76"/>
      <c r="GA851" s="76"/>
      <c r="GB851" s="76"/>
      <c r="GC851" s="76"/>
      <c r="GD851" s="76"/>
      <c r="GE851" s="76"/>
      <c r="GF851" s="76"/>
      <c r="GG851" s="76"/>
      <c r="GH851" s="76"/>
      <c r="GI851" s="76"/>
      <c r="GJ851" s="76"/>
      <c r="GK851" s="76"/>
      <c r="GL851" s="76"/>
      <c r="GM851" s="76"/>
      <c r="GN851" s="76"/>
      <c r="GO851" s="76"/>
      <c r="GP851" s="76"/>
      <c r="GQ851" s="76"/>
      <c r="GR851" s="76"/>
      <c r="GS851" s="76"/>
      <c r="GT851" s="76"/>
      <c r="GU851" s="76"/>
      <c r="GV851" s="76"/>
      <c r="GW851" s="76"/>
      <c r="GX851" s="76"/>
      <c r="GY851" s="76"/>
      <c r="GZ851" s="76"/>
      <c r="HA851" s="76"/>
      <c r="HB851" s="76"/>
      <c r="HC851" s="76"/>
      <c r="HD851" s="76"/>
      <c r="HE851" s="76"/>
      <c r="HF851" s="76"/>
      <c r="HG851" s="76"/>
      <c r="HH851" s="76"/>
      <c r="HI851" s="76"/>
      <c r="HJ851" s="76"/>
      <c r="HK851" s="76"/>
      <c r="HL851" s="76"/>
      <c r="HM851" s="76"/>
      <c r="HN851" s="76"/>
      <c r="HO851" s="76"/>
      <c r="HP851" s="76"/>
      <c r="HQ851" s="76"/>
      <c r="HR851" s="76"/>
      <c r="HS851" s="76"/>
      <c r="HT851" s="76"/>
      <c r="HU851" s="76"/>
      <c r="HV851" s="76"/>
      <c r="HW851" s="76"/>
      <c r="HX851" s="76"/>
      <c r="HY851" s="76"/>
      <c r="HZ851" s="76"/>
      <c r="IA851" s="76"/>
      <c r="IB851" s="76"/>
      <c r="IC851" s="76"/>
      <c r="ID851" s="76"/>
      <c r="IE851" s="76"/>
      <c r="IF851" s="76"/>
      <c r="IG851" s="76"/>
      <c r="IH851" s="76"/>
      <c r="II851" s="76"/>
      <c r="IJ851" s="76"/>
      <c r="IK851" s="76"/>
      <c r="IL851" s="76"/>
      <c r="IM851" s="76"/>
      <c r="IN851" s="76"/>
      <c r="IO851" s="76"/>
      <c r="IP851" s="76"/>
      <c r="IQ851" s="76"/>
      <c r="IR851" s="76"/>
      <c r="IS851" s="76"/>
      <c r="IT851" s="76"/>
      <c r="IU851" s="76"/>
      <c r="IV851" s="76"/>
    </row>
    <row r="852" spans="2:256">
      <c r="B852" s="152"/>
      <c r="C852" s="135" t="s">
        <v>226</v>
      </c>
      <c r="D852" s="76"/>
      <c r="E852" s="152"/>
      <c r="F852" s="152"/>
      <c r="G852" s="152"/>
      <c r="H852" s="152"/>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c r="AY852" s="76"/>
      <c r="AZ852" s="76"/>
      <c r="BA852" s="76"/>
      <c r="BB852" s="76"/>
      <c r="BC852" s="76"/>
      <c r="BD852" s="76"/>
      <c r="BE852" s="76"/>
      <c r="BF852" s="76"/>
      <c r="BG852" s="76"/>
      <c r="BH852" s="76"/>
      <c r="BI852" s="76"/>
      <c r="BJ852" s="76"/>
      <c r="BK852" s="76"/>
      <c r="BL852" s="76"/>
      <c r="BM852" s="76"/>
      <c r="BN852" s="76"/>
      <c r="BO852" s="76"/>
      <c r="BP852" s="76"/>
      <c r="BQ852" s="76"/>
      <c r="BR852" s="76"/>
      <c r="BS852" s="76"/>
      <c r="BT852" s="76"/>
      <c r="BU852" s="76"/>
      <c r="BV852" s="76"/>
      <c r="BW852" s="76"/>
      <c r="BX852" s="76"/>
      <c r="BY852" s="76"/>
      <c r="BZ852" s="76"/>
      <c r="CA852" s="76"/>
      <c r="CB852" s="76"/>
      <c r="CC852" s="76"/>
      <c r="CD852" s="76"/>
      <c r="CE852" s="76"/>
      <c r="CF852" s="76"/>
      <c r="CG852" s="76"/>
      <c r="CH852" s="76"/>
      <c r="CI852" s="76"/>
      <c r="CJ852" s="76"/>
      <c r="CK852" s="76"/>
      <c r="CL852" s="76"/>
      <c r="CM852" s="76"/>
      <c r="CN852" s="76"/>
      <c r="CO852" s="76"/>
      <c r="CP852" s="76"/>
      <c r="CQ852" s="76"/>
      <c r="CR852" s="76"/>
      <c r="CS852" s="76"/>
      <c r="CT852" s="76"/>
      <c r="CU852" s="76"/>
      <c r="CV852" s="76"/>
      <c r="CW852" s="76"/>
      <c r="CX852" s="76"/>
      <c r="CY852" s="76"/>
      <c r="CZ852" s="76"/>
      <c r="DA852" s="76"/>
      <c r="DB852" s="76"/>
      <c r="DC852" s="76"/>
      <c r="DD852" s="76"/>
      <c r="DE852" s="76"/>
      <c r="DF852" s="76"/>
      <c r="DG852" s="76"/>
      <c r="DH852" s="76"/>
      <c r="DI852" s="76"/>
      <c r="DJ852" s="76"/>
      <c r="DK852" s="76"/>
      <c r="DL852" s="76"/>
      <c r="DM852" s="76"/>
      <c r="DN852" s="76"/>
      <c r="DO852" s="76"/>
      <c r="DP852" s="76"/>
      <c r="DQ852" s="76"/>
      <c r="DR852" s="76"/>
      <c r="DS852" s="76"/>
      <c r="DT852" s="76"/>
      <c r="DU852" s="76"/>
      <c r="DV852" s="76"/>
      <c r="DW852" s="76"/>
      <c r="DX852" s="76"/>
      <c r="DY852" s="76"/>
      <c r="DZ852" s="76"/>
      <c r="EA852" s="76"/>
      <c r="EB852" s="76"/>
      <c r="EC852" s="76"/>
      <c r="ED852" s="76"/>
      <c r="EE852" s="76"/>
      <c r="EF852" s="76"/>
      <c r="EG852" s="76"/>
      <c r="EH852" s="76"/>
      <c r="EI852" s="76"/>
      <c r="EJ852" s="76"/>
      <c r="EK852" s="76"/>
      <c r="EL852" s="76"/>
      <c r="EM852" s="76"/>
      <c r="EN852" s="76"/>
      <c r="EO852" s="76"/>
      <c r="EP852" s="76"/>
      <c r="EQ852" s="76"/>
      <c r="ER852" s="76"/>
      <c r="ES852" s="76"/>
      <c r="ET852" s="76"/>
      <c r="EU852" s="76"/>
      <c r="EV852" s="76"/>
      <c r="EW852" s="76"/>
      <c r="EX852" s="76"/>
      <c r="EY852" s="76"/>
      <c r="EZ852" s="76"/>
      <c r="FA852" s="76"/>
      <c r="FB852" s="76"/>
      <c r="FC852" s="76"/>
      <c r="FD852" s="76"/>
      <c r="FE852" s="76"/>
      <c r="FF852" s="76"/>
      <c r="FG852" s="76"/>
      <c r="FH852" s="76"/>
      <c r="FI852" s="76"/>
      <c r="FJ852" s="76"/>
      <c r="FK852" s="76"/>
      <c r="FL852" s="76"/>
      <c r="FM852" s="76"/>
      <c r="FN852" s="76"/>
      <c r="FO852" s="76"/>
      <c r="FP852" s="76"/>
      <c r="FQ852" s="76"/>
      <c r="FR852" s="76"/>
      <c r="FS852" s="76"/>
      <c r="FT852" s="76"/>
      <c r="FU852" s="76"/>
      <c r="FV852" s="76"/>
      <c r="FW852" s="76"/>
      <c r="FX852" s="76"/>
      <c r="FY852" s="76"/>
      <c r="FZ852" s="76"/>
      <c r="GA852" s="76"/>
      <c r="GB852" s="76"/>
      <c r="GC852" s="76"/>
      <c r="GD852" s="76"/>
      <c r="GE852" s="76"/>
      <c r="GF852" s="76"/>
      <c r="GG852" s="76"/>
      <c r="GH852" s="76"/>
      <c r="GI852" s="76"/>
      <c r="GJ852" s="76"/>
      <c r="GK852" s="76"/>
      <c r="GL852" s="76"/>
      <c r="GM852" s="76"/>
      <c r="GN852" s="76"/>
      <c r="GO852" s="76"/>
      <c r="GP852" s="76"/>
      <c r="GQ852" s="76"/>
      <c r="GR852" s="76"/>
      <c r="GS852" s="76"/>
      <c r="GT852" s="76"/>
      <c r="GU852" s="76"/>
      <c r="GV852" s="76"/>
      <c r="GW852" s="76"/>
      <c r="GX852" s="76"/>
      <c r="GY852" s="76"/>
      <c r="GZ852" s="76"/>
      <c r="HA852" s="76"/>
      <c r="HB852" s="76"/>
      <c r="HC852" s="76"/>
      <c r="HD852" s="76"/>
      <c r="HE852" s="76"/>
      <c r="HF852" s="76"/>
      <c r="HG852" s="76"/>
      <c r="HH852" s="76"/>
      <c r="HI852" s="76"/>
      <c r="HJ852" s="76"/>
      <c r="HK852" s="76"/>
      <c r="HL852" s="76"/>
      <c r="HM852" s="76"/>
      <c r="HN852" s="76"/>
      <c r="HO852" s="76"/>
      <c r="HP852" s="76"/>
      <c r="HQ852" s="76"/>
      <c r="HR852" s="76"/>
      <c r="HS852" s="76"/>
      <c r="HT852" s="76"/>
      <c r="HU852" s="76"/>
      <c r="HV852" s="76"/>
      <c r="HW852" s="76"/>
      <c r="HX852" s="76"/>
      <c r="HY852" s="76"/>
      <c r="HZ852" s="76"/>
      <c r="IA852" s="76"/>
      <c r="IB852" s="76"/>
      <c r="IC852" s="76"/>
      <c r="ID852" s="76"/>
      <c r="IE852" s="76"/>
      <c r="IF852" s="76"/>
      <c r="IG852" s="76"/>
      <c r="IH852" s="76"/>
      <c r="II852" s="76"/>
      <c r="IJ852" s="76"/>
      <c r="IK852" s="76"/>
      <c r="IL852" s="76"/>
      <c r="IM852" s="76"/>
      <c r="IN852" s="76"/>
      <c r="IO852" s="76"/>
      <c r="IP852" s="76"/>
      <c r="IQ852" s="76"/>
      <c r="IR852" s="76"/>
      <c r="IS852" s="76"/>
      <c r="IT852" s="76"/>
      <c r="IU852" s="76"/>
      <c r="IV852" s="76"/>
    </row>
    <row r="853" spans="2:256">
      <c r="B853" s="116"/>
      <c r="C853" s="139" t="s">
        <v>227</v>
      </c>
      <c r="D853" s="89"/>
      <c r="E853" s="116"/>
      <c r="F853" s="116"/>
      <c r="G853" s="116"/>
      <c r="H853" s="11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c r="AN853" s="76"/>
      <c r="AO853" s="76"/>
      <c r="AP853" s="76"/>
      <c r="AQ853" s="76"/>
      <c r="AR853" s="76"/>
      <c r="AS853" s="76"/>
      <c r="AT853" s="76"/>
      <c r="AU853" s="76"/>
      <c r="AV853" s="76"/>
      <c r="AW853" s="76"/>
      <c r="AX853" s="76"/>
      <c r="AY853" s="76"/>
      <c r="AZ853" s="76"/>
      <c r="BA853" s="76"/>
      <c r="BB853" s="76"/>
      <c r="BC853" s="76"/>
      <c r="BD853" s="76"/>
      <c r="BE853" s="76"/>
      <c r="BF853" s="76"/>
      <c r="BG853" s="76"/>
      <c r="BH853" s="76"/>
      <c r="BI853" s="76"/>
      <c r="BJ853" s="76"/>
      <c r="BK853" s="76"/>
      <c r="BL853" s="76"/>
      <c r="BM853" s="76"/>
      <c r="BN853" s="76"/>
      <c r="BO853" s="76"/>
      <c r="BP853" s="76"/>
      <c r="BQ853" s="76"/>
      <c r="BR853" s="76"/>
      <c r="BS853" s="76"/>
      <c r="BT853" s="76"/>
      <c r="BU853" s="76"/>
      <c r="BV853" s="76"/>
      <c r="BW853" s="76"/>
      <c r="BX853" s="76"/>
      <c r="BY853" s="76"/>
      <c r="BZ853" s="76"/>
      <c r="CA853" s="76"/>
      <c r="CB853" s="76"/>
      <c r="CC853" s="76"/>
      <c r="CD853" s="76"/>
      <c r="CE853" s="76"/>
      <c r="CF853" s="76"/>
      <c r="CG853" s="76"/>
      <c r="CH853" s="76"/>
      <c r="CI853" s="76"/>
      <c r="CJ853" s="76"/>
      <c r="CK853" s="76"/>
      <c r="CL853" s="76"/>
      <c r="CM853" s="76"/>
      <c r="CN853" s="76"/>
      <c r="CO853" s="76"/>
      <c r="CP853" s="76"/>
      <c r="CQ853" s="76"/>
      <c r="CR853" s="76"/>
      <c r="CS853" s="76"/>
      <c r="CT853" s="76"/>
      <c r="CU853" s="76"/>
      <c r="CV853" s="76"/>
      <c r="CW853" s="76"/>
      <c r="CX853" s="76"/>
      <c r="CY853" s="76"/>
      <c r="CZ853" s="76"/>
      <c r="DA853" s="76"/>
      <c r="DB853" s="76"/>
      <c r="DC853" s="76"/>
      <c r="DD853" s="76"/>
      <c r="DE853" s="76"/>
      <c r="DF853" s="76"/>
      <c r="DG853" s="76"/>
      <c r="DH853" s="76"/>
      <c r="DI853" s="76"/>
      <c r="DJ853" s="76"/>
      <c r="DK853" s="76"/>
      <c r="DL853" s="76"/>
      <c r="DM853" s="76"/>
      <c r="DN853" s="76"/>
      <c r="DO853" s="76"/>
      <c r="DP853" s="76"/>
      <c r="DQ853" s="76"/>
      <c r="DR853" s="76"/>
      <c r="DS853" s="76"/>
      <c r="DT853" s="76"/>
      <c r="DU853" s="76"/>
      <c r="DV853" s="76"/>
      <c r="DW853" s="76"/>
      <c r="DX853" s="76"/>
      <c r="DY853" s="76"/>
      <c r="DZ853" s="76"/>
      <c r="EA853" s="76"/>
      <c r="EB853" s="76"/>
      <c r="EC853" s="76"/>
      <c r="ED853" s="76"/>
      <c r="EE853" s="76"/>
      <c r="EF853" s="76"/>
      <c r="EG853" s="76"/>
      <c r="EH853" s="76"/>
      <c r="EI853" s="76"/>
      <c r="EJ853" s="76"/>
      <c r="EK853" s="76"/>
      <c r="EL853" s="76"/>
      <c r="EM853" s="76"/>
      <c r="EN853" s="76"/>
      <c r="EO853" s="76"/>
      <c r="EP853" s="76"/>
      <c r="EQ853" s="76"/>
      <c r="ER853" s="76"/>
      <c r="ES853" s="76"/>
      <c r="ET853" s="76"/>
      <c r="EU853" s="76"/>
      <c r="EV853" s="76"/>
      <c r="EW853" s="76"/>
      <c r="EX853" s="76"/>
      <c r="EY853" s="76"/>
      <c r="EZ853" s="76"/>
      <c r="FA853" s="76"/>
      <c r="FB853" s="76"/>
      <c r="FC853" s="76"/>
      <c r="FD853" s="76"/>
      <c r="FE853" s="76"/>
      <c r="FF853" s="76"/>
      <c r="FG853" s="76"/>
      <c r="FH853" s="76"/>
      <c r="FI853" s="76"/>
      <c r="FJ853" s="76"/>
      <c r="FK853" s="76"/>
      <c r="FL853" s="76"/>
      <c r="FM853" s="76"/>
      <c r="FN853" s="76"/>
      <c r="FO853" s="76"/>
      <c r="FP853" s="76"/>
      <c r="FQ853" s="76"/>
      <c r="FR853" s="76"/>
      <c r="FS853" s="76"/>
      <c r="FT853" s="76"/>
      <c r="FU853" s="76"/>
      <c r="FV853" s="76"/>
      <c r="FW853" s="76"/>
      <c r="FX853" s="76"/>
      <c r="FY853" s="76"/>
      <c r="FZ853" s="76"/>
      <c r="GA853" s="76"/>
      <c r="GB853" s="76"/>
      <c r="GC853" s="76"/>
      <c r="GD853" s="76"/>
      <c r="GE853" s="76"/>
      <c r="GF853" s="76"/>
      <c r="GG853" s="76"/>
      <c r="GH853" s="76"/>
      <c r="GI853" s="76"/>
      <c r="GJ853" s="76"/>
      <c r="GK853" s="76"/>
      <c r="GL853" s="76"/>
      <c r="GM853" s="76"/>
      <c r="GN853" s="76"/>
      <c r="GO853" s="76"/>
      <c r="GP853" s="76"/>
      <c r="GQ853" s="76"/>
      <c r="GR853" s="76"/>
      <c r="GS853" s="76"/>
      <c r="GT853" s="76"/>
      <c r="GU853" s="76"/>
      <c r="GV853" s="76"/>
      <c r="GW853" s="76"/>
      <c r="GX853" s="76"/>
      <c r="GY853" s="76"/>
      <c r="GZ853" s="76"/>
      <c r="HA853" s="76"/>
      <c r="HB853" s="76"/>
      <c r="HC853" s="76"/>
      <c r="HD853" s="76"/>
      <c r="HE853" s="76"/>
      <c r="HF853" s="76"/>
      <c r="HG853" s="76"/>
      <c r="HH853" s="76"/>
      <c r="HI853" s="76"/>
      <c r="HJ853" s="76"/>
      <c r="HK853" s="76"/>
      <c r="HL853" s="76"/>
      <c r="HM853" s="76"/>
      <c r="HN853" s="76"/>
      <c r="HO853" s="76"/>
      <c r="HP853" s="76"/>
      <c r="HQ853" s="76"/>
      <c r="HR853" s="76"/>
      <c r="HS853" s="76"/>
      <c r="HT853" s="76"/>
      <c r="HU853" s="76"/>
      <c r="HV853" s="76"/>
      <c r="HW853" s="76"/>
      <c r="HX853" s="76"/>
      <c r="HY853" s="76"/>
      <c r="HZ853" s="76"/>
      <c r="IA853" s="76"/>
      <c r="IB853" s="76"/>
      <c r="IC853" s="76"/>
      <c r="ID853" s="76"/>
      <c r="IE853" s="76"/>
      <c r="IF853" s="76"/>
      <c r="IG853" s="76"/>
      <c r="IH853" s="76"/>
      <c r="II853" s="76"/>
      <c r="IJ853" s="76"/>
      <c r="IK853" s="76"/>
      <c r="IL853" s="76"/>
      <c r="IM853" s="76"/>
      <c r="IN853" s="76"/>
      <c r="IO853" s="76"/>
      <c r="IP853" s="76"/>
      <c r="IQ853" s="76"/>
      <c r="IR853" s="76"/>
      <c r="IS853" s="76"/>
      <c r="IT853" s="76"/>
      <c r="IU853" s="76"/>
      <c r="IV853" s="76"/>
    </row>
    <row r="854" spans="2:256">
      <c r="B854" s="135"/>
      <c r="C854" s="76" t="s">
        <v>359</v>
      </c>
      <c r="D854" s="76"/>
      <c r="E854" s="76"/>
      <c r="F854" s="76"/>
      <c r="G854" s="76"/>
      <c r="H854" s="123"/>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c r="AN854" s="76"/>
      <c r="AO854" s="76"/>
      <c r="AP854" s="76"/>
      <c r="AQ854" s="76"/>
      <c r="AR854" s="76"/>
      <c r="AS854" s="76"/>
      <c r="AT854" s="76"/>
      <c r="AU854" s="76"/>
      <c r="AV854" s="76"/>
      <c r="AW854" s="76"/>
      <c r="AX854" s="76"/>
      <c r="AY854" s="76"/>
      <c r="AZ854" s="76"/>
      <c r="BA854" s="76"/>
      <c r="BB854" s="76"/>
      <c r="BC854" s="76"/>
      <c r="BD854" s="76"/>
      <c r="BE854" s="76"/>
      <c r="BF854" s="76"/>
      <c r="BG854" s="76"/>
      <c r="BH854" s="76"/>
      <c r="BI854" s="76"/>
      <c r="BJ854" s="76"/>
      <c r="BK854" s="76"/>
      <c r="BL854" s="76"/>
      <c r="BM854" s="76"/>
      <c r="BN854" s="76"/>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c r="CT854" s="76"/>
      <c r="CU854" s="76"/>
      <c r="CV854" s="76"/>
      <c r="CW854" s="76"/>
      <c r="CX854" s="76"/>
      <c r="CY854" s="76"/>
      <c r="CZ854" s="76"/>
      <c r="DA854" s="76"/>
      <c r="DB854" s="76"/>
      <c r="DC854" s="76"/>
      <c r="DD854" s="76"/>
      <c r="DE854" s="76"/>
      <c r="DF854" s="76"/>
      <c r="DG854" s="76"/>
      <c r="DH854" s="76"/>
      <c r="DI854" s="76"/>
      <c r="DJ854" s="76"/>
      <c r="DK854" s="76"/>
      <c r="DL854" s="76"/>
      <c r="DM854" s="76"/>
      <c r="DN854" s="76"/>
      <c r="DO854" s="76"/>
      <c r="DP854" s="76"/>
      <c r="DQ854" s="76"/>
      <c r="DR854" s="76"/>
      <c r="DS854" s="76"/>
      <c r="DT854" s="76"/>
      <c r="DU854" s="76"/>
      <c r="DV854" s="76"/>
      <c r="DW854" s="76"/>
      <c r="DX854" s="76"/>
      <c r="DY854" s="76"/>
      <c r="DZ854" s="76"/>
      <c r="EA854" s="76"/>
      <c r="EB854" s="76"/>
      <c r="EC854" s="76"/>
      <c r="ED854" s="76"/>
      <c r="EE854" s="76"/>
      <c r="EF854" s="76"/>
      <c r="EG854" s="76"/>
      <c r="EH854" s="76"/>
      <c r="EI854" s="76"/>
      <c r="EJ854" s="76"/>
      <c r="EK854" s="76"/>
      <c r="EL854" s="76"/>
      <c r="EM854" s="76"/>
      <c r="EN854" s="76"/>
      <c r="EO854" s="76"/>
      <c r="EP854" s="76"/>
      <c r="EQ854" s="76"/>
      <c r="ER854" s="76"/>
      <c r="ES854" s="76"/>
      <c r="ET854" s="76"/>
      <c r="EU854" s="76"/>
      <c r="EV854" s="76"/>
      <c r="EW854" s="76"/>
      <c r="EX854" s="76"/>
      <c r="EY854" s="76"/>
      <c r="EZ854" s="76"/>
      <c r="FA854" s="76"/>
      <c r="FB854" s="76"/>
      <c r="FC854" s="76"/>
      <c r="FD854" s="76"/>
      <c r="FE854" s="76"/>
      <c r="FF854" s="76"/>
      <c r="FG854" s="76"/>
      <c r="FH854" s="76"/>
      <c r="FI854" s="76"/>
      <c r="FJ854" s="76"/>
      <c r="FK854" s="76"/>
      <c r="FL854" s="76"/>
      <c r="FM854" s="76"/>
      <c r="FN854" s="76"/>
      <c r="FO854" s="76"/>
      <c r="FP854" s="76"/>
      <c r="FQ854" s="76"/>
      <c r="FR854" s="76"/>
      <c r="FS854" s="76"/>
      <c r="FT854" s="76"/>
      <c r="FU854" s="76"/>
      <c r="FV854" s="76"/>
      <c r="FW854" s="76"/>
      <c r="FX854" s="76"/>
      <c r="FY854" s="76"/>
      <c r="FZ854" s="76"/>
      <c r="GA854" s="76"/>
      <c r="GB854" s="76"/>
      <c r="GC854" s="76"/>
      <c r="GD854" s="76"/>
      <c r="GE854" s="76"/>
      <c r="GF854" s="76"/>
      <c r="GG854" s="76"/>
      <c r="GH854" s="76"/>
      <c r="GI854" s="76"/>
      <c r="GJ854" s="76"/>
      <c r="GK854" s="76"/>
      <c r="GL854" s="76"/>
      <c r="GM854" s="76"/>
      <c r="GN854" s="76"/>
      <c r="GO854" s="76"/>
      <c r="GP854" s="76"/>
      <c r="GQ854" s="76"/>
      <c r="GR854" s="76"/>
      <c r="GS854" s="76"/>
      <c r="GT854" s="76"/>
      <c r="GU854" s="76"/>
      <c r="GV854" s="76"/>
      <c r="GW854" s="76"/>
      <c r="GX854" s="76"/>
      <c r="GY854" s="76"/>
      <c r="GZ854" s="76"/>
      <c r="HA854" s="76"/>
      <c r="HB854" s="76"/>
      <c r="HC854" s="76"/>
      <c r="HD854" s="76"/>
      <c r="HE854" s="76"/>
      <c r="HF854" s="76"/>
      <c r="HG854" s="76"/>
      <c r="HH854" s="76"/>
      <c r="HI854" s="76"/>
      <c r="HJ854" s="76"/>
      <c r="HK854" s="76"/>
      <c r="HL854" s="76"/>
      <c r="HM854" s="76"/>
      <c r="HN854" s="76"/>
      <c r="HO854" s="76"/>
      <c r="HP854" s="76"/>
      <c r="HQ854" s="76"/>
      <c r="HR854" s="76"/>
      <c r="HS854" s="76"/>
      <c r="HT854" s="76"/>
      <c r="HU854" s="76"/>
      <c r="HV854" s="76"/>
      <c r="HW854" s="76"/>
      <c r="HX854" s="76"/>
      <c r="HY854" s="76"/>
      <c r="HZ854" s="76"/>
      <c r="IA854" s="76"/>
      <c r="IB854" s="76"/>
      <c r="IC854" s="76"/>
      <c r="ID854" s="76"/>
      <c r="IE854" s="76"/>
      <c r="IF854" s="76"/>
      <c r="IG854" s="76"/>
      <c r="IH854" s="76"/>
      <c r="II854" s="76"/>
      <c r="IJ854" s="76"/>
      <c r="IK854" s="76"/>
      <c r="IL854" s="76"/>
      <c r="IM854" s="76"/>
      <c r="IN854" s="76"/>
      <c r="IO854" s="76"/>
      <c r="IP854" s="76"/>
      <c r="IQ854" s="76"/>
      <c r="IR854" s="76"/>
      <c r="IS854" s="76"/>
      <c r="IT854" s="76"/>
      <c r="IU854" s="76"/>
      <c r="IV854" s="76"/>
    </row>
    <row r="855" spans="2:256">
      <c r="B855" s="135"/>
      <c r="C855" s="76" t="s">
        <v>559</v>
      </c>
      <c r="D855" s="76"/>
      <c r="E855" s="76"/>
      <c r="F855" s="76"/>
      <c r="G855" s="76"/>
      <c r="H855" s="123"/>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c r="AN855" s="76"/>
      <c r="AO855" s="76"/>
      <c r="AP855" s="76"/>
      <c r="AQ855" s="76"/>
      <c r="AR855" s="76"/>
      <c r="AS855" s="76"/>
      <c r="AT855" s="76"/>
      <c r="AU855" s="76"/>
      <c r="AV855" s="76"/>
      <c r="AW855" s="76"/>
      <c r="AX855" s="76"/>
      <c r="AY855" s="76"/>
      <c r="AZ855" s="76"/>
      <c r="BA855" s="76"/>
      <c r="BB855" s="76"/>
      <c r="BC855" s="76"/>
      <c r="BD855" s="76"/>
      <c r="BE855" s="76"/>
      <c r="BF855" s="76"/>
      <c r="BG855" s="76"/>
      <c r="BH855" s="76"/>
      <c r="BI855" s="76"/>
      <c r="BJ855" s="76"/>
      <c r="BK855" s="76"/>
      <c r="BL855" s="76"/>
      <c r="BM855" s="76"/>
      <c r="BN855" s="76"/>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c r="CT855" s="76"/>
      <c r="CU855" s="76"/>
      <c r="CV855" s="76"/>
      <c r="CW855" s="76"/>
      <c r="CX855" s="76"/>
      <c r="CY855" s="76"/>
      <c r="CZ855" s="76"/>
      <c r="DA855" s="76"/>
      <c r="DB855" s="76"/>
      <c r="DC855" s="76"/>
      <c r="DD855" s="76"/>
      <c r="DE855" s="76"/>
      <c r="DF855" s="76"/>
      <c r="DG855" s="76"/>
      <c r="DH855" s="76"/>
      <c r="DI855" s="76"/>
      <c r="DJ855" s="76"/>
      <c r="DK855" s="76"/>
      <c r="DL855" s="76"/>
      <c r="DM855" s="76"/>
      <c r="DN855" s="76"/>
      <c r="DO855" s="76"/>
      <c r="DP855" s="76"/>
      <c r="DQ855" s="76"/>
      <c r="DR855" s="76"/>
      <c r="DS855" s="76"/>
      <c r="DT855" s="76"/>
      <c r="DU855" s="76"/>
      <c r="DV855" s="76"/>
      <c r="DW855" s="76"/>
      <c r="DX855" s="76"/>
      <c r="DY855" s="76"/>
      <c r="DZ855" s="76"/>
      <c r="EA855" s="76"/>
      <c r="EB855" s="76"/>
      <c r="EC855" s="76"/>
      <c r="ED855" s="76"/>
      <c r="EE855" s="76"/>
      <c r="EF855" s="76"/>
      <c r="EG855" s="76"/>
      <c r="EH855" s="76"/>
      <c r="EI855" s="76"/>
      <c r="EJ855" s="76"/>
      <c r="EK855" s="76"/>
      <c r="EL855" s="76"/>
      <c r="EM855" s="76"/>
      <c r="EN855" s="76"/>
      <c r="EO855" s="76"/>
      <c r="EP855" s="76"/>
      <c r="EQ855" s="76"/>
      <c r="ER855" s="76"/>
      <c r="ES855" s="76"/>
      <c r="ET855" s="76"/>
      <c r="EU855" s="76"/>
      <c r="EV855" s="76"/>
      <c r="EW855" s="76"/>
      <c r="EX855" s="76"/>
      <c r="EY855" s="76"/>
      <c r="EZ855" s="76"/>
      <c r="FA855" s="76"/>
      <c r="FB855" s="76"/>
      <c r="FC855" s="76"/>
      <c r="FD855" s="76"/>
      <c r="FE855" s="76"/>
      <c r="FF855" s="76"/>
      <c r="FG855" s="76"/>
      <c r="FH855" s="76"/>
      <c r="FI855" s="76"/>
      <c r="FJ855" s="76"/>
      <c r="FK855" s="76"/>
      <c r="FL855" s="76"/>
      <c r="FM855" s="76"/>
      <c r="FN855" s="76"/>
      <c r="FO855" s="76"/>
      <c r="FP855" s="76"/>
      <c r="FQ855" s="76"/>
      <c r="FR855" s="76"/>
      <c r="FS855" s="76"/>
      <c r="FT855" s="76"/>
      <c r="FU855" s="76"/>
      <c r="FV855" s="76"/>
      <c r="FW855" s="76"/>
      <c r="FX855" s="76"/>
      <c r="FY855" s="76"/>
      <c r="FZ855" s="76"/>
      <c r="GA855" s="76"/>
      <c r="GB855" s="76"/>
      <c r="GC855" s="76"/>
      <c r="GD855" s="76"/>
      <c r="GE855" s="76"/>
      <c r="GF855" s="76"/>
      <c r="GG855" s="76"/>
      <c r="GH855" s="76"/>
      <c r="GI855" s="76"/>
      <c r="GJ855" s="76"/>
      <c r="GK855" s="76"/>
      <c r="GL855" s="76"/>
      <c r="GM855" s="76"/>
      <c r="GN855" s="76"/>
      <c r="GO855" s="76"/>
      <c r="GP855" s="76"/>
      <c r="GQ855" s="76"/>
      <c r="GR855" s="76"/>
      <c r="GS855" s="76"/>
      <c r="GT855" s="76"/>
      <c r="GU855" s="76"/>
      <c r="GV855" s="76"/>
      <c r="GW855" s="76"/>
      <c r="GX855" s="76"/>
      <c r="GY855" s="76"/>
      <c r="GZ855" s="76"/>
      <c r="HA855" s="76"/>
      <c r="HB855" s="76"/>
      <c r="HC855" s="76"/>
      <c r="HD855" s="76"/>
      <c r="HE855" s="76"/>
      <c r="HF855" s="76"/>
      <c r="HG855" s="76"/>
      <c r="HH855" s="76"/>
      <c r="HI855" s="76"/>
      <c r="HJ855" s="76"/>
      <c r="HK855" s="76"/>
      <c r="HL855" s="76"/>
      <c r="HM855" s="76"/>
      <c r="HN855" s="76"/>
      <c r="HO855" s="76"/>
      <c r="HP855" s="76"/>
      <c r="HQ855" s="76"/>
      <c r="HR855" s="76"/>
      <c r="HS855" s="76"/>
      <c r="HT855" s="76"/>
      <c r="HU855" s="76"/>
      <c r="HV855" s="76"/>
      <c r="HW855" s="76"/>
      <c r="HX855" s="76"/>
      <c r="HY855" s="76"/>
      <c r="HZ855" s="76"/>
      <c r="IA855" s="76"/>
      <c r="IB855" s="76"/>
      <c r="IC855" s="76"/>
      <c r="ID855" s="76"/>
      <c r="IE855" s="76"/>
      <c r="IF855" s="76"/>
      <c r="IG855" s="76"/>
      <c r="IH855" s="76"/>
      <c r="II855" s="76"/>
      <c r="IJ855" s="76"/>
      <c r="IK855" s="76"/>
      <c r="IL855" s="76"/>
      <c r="IM855" s="76"/>
      <c r="IN855" s="76"/>
      <c r="IO855" s="76"/>
      <c r="IP855" s="76"/>
      <c r="IQ855" s="76"/>
      <c r="IR855" s="76"/>
      <c r="IS855" s="76"/>
      <c r="IT855" s="76"/>
      <c r="IU855" s="76"/>
      <c r="IV855" s="76"/>
    </row>
    <row r="856" spans="2:256">
      <c r="B856" s="135"/>
      <c r="C856" s="76" t="s">
        <v>101</v>
      </c>
      <c r="D856" s="76"/>
      <c r="E856" s="76"/>
      <c r="F856" s="76"/>
      <c r="G856" s="76"/>
      <c r="H856" s="123"/>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c r="AN856" s="76"/>
      <c r="AO856" s="76"/>
      <c r="AP856" s="76"/>
      <c r="AQ856" s="76"/>
      <c r="AR856" s="76"/>
      <c r="AS856" s="76"/>
      <c r="AT856" s="76"/>
      <c r="AU856" s="76"/>
      <c r="AV856" s="76"/>
      <c r="AW856" s="76"/>
      <c r="AX856" s="76"/>
      <c r="AY856" s="76"/>
      <c r="AZ856" s="76"/>
      <c r="BA856" s="76"/>
      <c r="BB856" s="76"/>
      <c r="BC856" s="76"/>
      <c r="BD856" s="76"/>
      <c r="BE856" s="76"/>
      <c r="BF856" s="76"/>
      <c r="BG856" s="76"/>
      <c r="BH856" s="76"/>
      <c r="BI856" s="76"/>
      <c r="BJ856" s="76"/>
      <c r="BK856" s="76"/>
      <c r="BL856" s="76"/>
      <c r="BM856" s="76"/>
      <c r="BN856" s="76"/>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c r="CT856" s="76"/>
      <c r="CU856" s="76"/>
      <c r="CV856" s="76"/>
      <c r="CW856" s="76"/>
      <c r="CX856" s="76"/>
      <c r="CY856" s="76"/>
      <c r="CZ856" s="76"/>
      <c r="DA856" s="76"/>
      <c r="DB856" s="76"/>
      <c r="DC856" s="76"/>
      <c r="DD856" s="76"/>
      <c r="DE856" s="76"/>
      <c r="DF856" s="76"/>
      <c r="DG856" s="76"/>
      <c r="DH856" s="76"/>
      <c r="DI856" s="76"/>
      <c r="DJ856" s="76"/>
      <c r="DK856" s="76"/>
      <c r="DL856" s="76"/>
      <c r="DM856" s="76"/>
      <c r="DN856" s="76"/>
      <c r="DO856" s="76"/>
      <c r="DP856" s="76"/>
      <c r="DQ856" s="76"/>
      <c r="DR856" s="76"/>
      <c r="DS856" s="76"/>
      <c r="DT856" s="76"/>
      <c r="DU856" s="76"/>
      <c r="DV856" s="76"/>
      <c r="DW856" s="76"/>
      <c r="DX856" s="76"/>
      <c r="DY856" s="76"/>
      <c r="DZ856" s="76"/>
      <c r="EA856" s="76"/>
      <c r="EB856" s="76"/>
      <c r="EC856" s="76"/>
      <c r="ED856" s="76"/>
      <c r="EE856" s="76"/>
      <c r="EF856" s="76"/>
      <c r="EG856" s="76"/>
      <c r="EH856" s="76"/>
      <c r="EI856" s="76"/>
      <c r="EJ856" s="76"/>
      <c r="EK856" s="76"/>
      <c r="EL856" s="76"/>
      <c r="EM856" s="76"/>
      <c r="EN856" s="76"/>
      <c r="EO856" s="76"/>
      <c r="EP856" s="76"/>
      <c r="EQ856" s="76"/>
      <c r="ER856" s="76"/>
      <c r="ES856" s="76"/>
      <c r="ET856" s="76"/>
      <c r="EU856" s="76"/>
      <c r="EV856" s="76"/>
      <c r="EW856" s="76"/>
      <c r="EX856" s="76"/>
      <c r="EY856" s="76"/>
      <c r="EZ856" s="76"/>
      <c r="FA856" s="76"/>
      <c r="FB856" s="76"/>
      <c r="FC856" s="76"/>
      <c r="FD856" s="76"/>
      <c r="FE856" s="76"/>
      <c r="FF856" s="76"/>
      <c r="FG856" s="76"/>
      <c r="FH856" s="76"/>
      <c r="FI856" s="76"/>
      <c r="FJ856" s="76"/>
      <c r="FK856" s="76"/>
      <c r="FL856" s="76"/>
      <c r="FM856" s="76"/>
      <c r="FN856" s="76"/>
      <c r="FO856" s="76"/>
      <c r="FP856" s="76"/>
      <c r="FQ856" s="76"/>
      <c r="FR856" s="76"/>
      <c r="FS856" s="76"/>
      <c r="FT856" s="76"/>
      <c r="FU856" s="76"/>
      <c r="FV856" s="76"/>
      <c r="FW856" s="76"/>
      <c r="FX856" s="76"/>
      <c r="FY856" s="76"/>
      <c r="FZ856" s="76"/>
      <c r="GA856" s="76"/>
      <c r="GB856" s="76"/>
      <c r="GC856" s="76"/>
      <c r="GD856" s="76"/>
      <c r="GE856" s="76"/>
      <c r="GF856" s="76"/>
      <c r="GG856" s="76"/>
      <c r="GH856" s="76"/>
      <c r="GI856" s="76"/>
      <c r="GJ856" s="76"/>
      <c r="GK856" s="76"/>
      <c r="GL856" s="76"/>
      <c r="GM856" s="76"/>
      <c r="GN856" s="76"/>
      <c r="GO856" s="76"/>
      <c r="GP856" s="76"/>
      <c r="GQ856" s="76"/>
      <c r="GR856" s="76"/>
      <c r="GS856" s="76"/>
      <c r="GT856" s="76"/>
      <c r="GU856" s="76"/>
      <c r="GV856" s="76"/>
      <c r="GW856" s="76"/>
      <c r="GX856" s="76"/>
      <c r="GY856" s="76"/>
      <c r="GZ856" s="76"/>
      <c r="HA856" s="76"/>
      <c r="HB856" s="76"/>
      <c r="HC856" s="76"/>
      <c r="HD856" s="76"/>
      <c r="HE856" s="76"/>
      <c r="HF856" s="76"/>
      <c r="HG856" s="76"/>
      <c r="HH856" s="76"/>
      <c r="HI856" s="76"/>
      <c r="HJ856" s="76"/>
      <c r="HK856" s="76"/>
      <c r="HL856" s="76"/>
      <c r="HM856" s="76"/>
      <c r="HN856" s="76"/>
      <c r="HO856" s="76"/>
      <c r="HP856" s="76"/>
      <c r="HQ856" s="76"/>
      <c r="HR856" s="76"/>
      <c r="HS856" s="76"/>
      <c r="HT856" s="76"/>
      <c r="HU856" s="76"/>
      <c r="HV856" s="76"/>
      <c r="HW856" s="76"/>
      <c r="HX856" s="76"/>
      <c r="HY856" s="76"/>
      <c r="HZ856" s="76"/>
      <c r="IA856" s="76"/>
      <c r="IB856" s="76"/>
      <c r="IC856" s="76"/>
      <c r="ID856" s="76"/>
      <c r="IE856" s="76"/>
      <c r="IF856" s="76"/>
      <c r="IG856" s="76"/>
      <c r="IH856" s="76"/>
      <c r="II856" s="76"/>
      <c r="IJ856" s="76"/>
      <c r="IK856" s="76"/>
      <c r="IL856" s="76"/>
      <c r="IM856" s="76"/>
      <c r="IN856" s="76"/>
      <c r="IO856" s="76"/>
      <c r="IP856" s="76"/>
      <c r="IQ856" s="76"/>
      <c r="IR856" s="76"/>
      <c r="IS856" s="76"/>
      <c r="IT856" s="76"/>
      <c r="IU856" s="76"/>
      <c r="IV856" s="76"/>
    </row>
    <row r="857" spans="2:256">
      <c r="B857" s="135"/>
      <c r="C857" s="76" t="s">
        <v>102</v>
      </c>
      <c r="D857" s="76"/>
      <c r="E857" s="76" t="s">
        <v>103</v>
      </c>
      <c r="F857" s="76">
        <v>1</v>
      </c>
      <c r="G857" s="76"/>
      <c r="H857" s="123"/>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c r="AN857" s="76"/>
      <c r="AO857" s="76"/>
      <c r="AP857" s="76"/>
      <c r="AQ857" s="76"/>
      <c r="AR857" s="76"/>
      <c r="AS857" s="76"/>
      <c r="AT857" s="76"/>
      <c r="AU857" s="76"/>
      <c r="AV857" s="76"/>
      <c r="AW857" s="76"/>
      <c r="AX857" s="76"/>
      <c r="AY857" s="76"/>
      <c r="AZ857" s="76"/>
      <c r="BA857" s="76"/>
      <c r="BB857" s="76"/>
      <c r="BC857" s="76"/>
      <c r="BD857" s="76"/>
      <c r="BE857" s="76"/>
      <c r="BF857" s="76"/>
      <c r="BG857" s="76"/>
      <c r="BH857" s="76"/>
      <c r="BI857" s="76"/>
      <c r="BJ857" s="76"/>
      <c r="BK857" s="76"/>
      <c r="BL857" s="76"/>
      <c r="BM857" s="76"/>
      <c r="BN857" s="76"/>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c r="CT857" s="76"/>
      <c r="CU857" s="76"/>
      <c r="CV857" s="76"/>
      <c r="CW857" s="76"/>
      <c r="CX857" s="76"/>
      <c r="CY857" s="76"/>
      <c r="CZ857" s="76"/>
      <c r="DA857" s="76"/>
      <c r="DB857" s="76"/>
      <c r="DC857" s="76"/>
      <c r="DD857" s="76"/>
      <c r="DE857" s="76"/>
      <c r="DF857" s="76"/>
      <c r="DG857" s="76"/>
      <c r="DH857" s="76"/>
      <c r="DI857" s="76"/>
      <c r="DJ857" s="76"/>
      <c r="DK857" s="76"/>
      <c r="DL857" s="76"/>
      <c r="DM857" s="76"/>
      <c r="DN857" s="76"/>
      <c r="DO857" s="76"/>
      <c r="DP857" s="76"/>
      <c r="DQ857" s="76"/>
      <c r="DR857" s="76"/>
      <c r="DS857" s="76"/>
      <c r="DT857" s="76"/>
      <c r="DU857" s="76"/>
      <c r="DV857" s="76"/>
      <c r="DW857" s="76"/>
      <c r="DX857" s="76"/>
      <c r="DY857" s="76"/>
      <c r="DZ857" s="76"/>
      <c r="EA857" s="76"/>
      <c r="EB857" s="76"/>
      <c r="EC857" s="76"/>
      <c r="ED857" s="76"/>
      <c r="EE857" s="76"/>
      <c r="EF857" s="76"/>
      <c r="EG857" s="76"/>
      <c r="EH857" s="76"/>
      <c r="EI857" s="76"/>
      <c r="EJ857" s="76"/>
      <c r="EK857" s="76"/>
      <c r="EL857" s="76"/>
      <c r="EM857" s="76"/>
      <c r="EN857" s="76"/>
      <c r="EO857" s="76"/>
      <c r="EP857" s="76"/>
      <c r="EQ857" s="76"/>
      <c r="ER857" s="76"/>
      <c r="ES857" s="76"/>
      <c r="ET857" s="76"/>
      <c r="EU857" s="76"/>
      <c r="EV857" s="76"/>
      <c r="EW857" s="76"/>
      <c r="EX857" s="76"/>
      <c r="EY857" s="76"/>
      <c r="EZ857" s="76"/>
      <c r="FA857" s="76"/>
      <c r="FB857" s="76"/>
      <c r="FC857" s="76"/>
      <c r="FD857" s="76"/>
      <c r="FE857" s="76"/>
      <c r="FF857" s="76"/>
      <c r="FG857" s="76"/>
      <c r="FH857" s="76"/>
      <c r="FI857" s="76"/>
      <c r="FJ857" s="76"/>
      <c r="FK857" s="76"/>
      <c r="FL857" s="76"/>
      <c r="FM857" s="76"/>
      <c r="FN857" s="76"/>
      <c r="FO857" s="76"/>
      <c r="FP857" s="76"/>
      <c r="FQ857" s="76"/>
      <c r="FR857" s="76"/>
      <c r="FS857" s="76"/>
      <c r="FT857" s="76"/>
      <c r="FU857" s="76"/>
      <c r="FV857" s="76"/>
      <c r="FW857" s="76"/>
      <c r="FX857" s="76"/>
      <c r="FY857" s="76"/>
      <c r="FZ857" s="76"/>
      <c r="GA857" s="76"/>
      <c r="GB857" s="76"/>
      <c r="GC857" s="76"/>
      <c r="GD857" s="76"/>
      <c r="GE857" s="76"/>
      <c r="GF857" s="76"/>
      <c r="GG857" s="76"/>
      <c r="GH857" s="76"/>
      <c r="GI857" s="76"/>
      <c r="GJ857" s="76"/>
      <c r="GK857" s="76"/>
      <c r="GL857" s="76"/>
      <c r="GM857" s="76"/>
      <c r="GN857" s="76"/>
      <c r="GO857" s="76"/>
      <c r="GP857" s="76"/>
      <c r="GQ857" s="76"/>
      <c r="GR857" s="76"/>
      <c r="GS857" s="76"/>
      <c r="GT857" s="76"/>
      <c r="GU857" s="76"/>
      <c r="GV857" s="76"/>
      <c r="GW857" s="76"/>
      <c r="GX857" s="76"/>
      <c r="GY857" s="76"/>
      <c r="GZ857" s="76"/>
      <c r="HA857" s="76"/>
      <c r="HB857" s="76"/>
      <c r="HC857" s="76"/>
      <c r="HD857" s="76"/>
      <c r="HE857" s="76"/>
      <c r="HF857" s="76"/>
      <c r="HG857" s="76"/>
      <c r="HH857" s="76"/>
      <c r="HI857" s="76"/>
      <c r="HJ857" s="76"/>
      <c r="HK857" s="76"/>
      <c r="HL857" s="76"/>
      <c r="HM857" s="76"/>
      <c r="HN857" s="76"/>
      <c r="HO857" s="76"/>
      <c r="HP857" s="76"/>
      <c r="HQ857" s="76"/>
      <c r="HR857" s="76"/>
      <c r="HS857" s="76"/>
      <c r="HT857" s="76"/>
      <c r="HU857" s="76"/>
      <c r="HV857" s="76"/>
      <c r="HW857" s="76"/>
      <c r="HX857" s="76"/>
      <c r="HY857" s="76"/>
      <c r="HZ857" s="76"/>
      <c r="IA857" s="76"/>
      <c r="IB857" s="76"/>
      <c r="IC857" s="76"/>
      <c r="ID857" s="76"/>
      <c r="IE857" s="76"/>
      <c r="IF857" s="76"/>
      <c r="IG857" s="76"/>
      <c r="IH857" s="76"/>
      <c r="II857" s="76"/>
      <c r="IJ857" s="76"/>
      <c r="IK857" s="76"/>
      <c r="IL857" s="76"/>
      <c r="IM857" s="76"/>
      <c r="IN857" s="76"/>
      <c r="IO857" s="76"/>
      <c r="IP857" s="76"/>
      <c r="IQ857" s="76"/>
      <c r="IR857" s="76"/>
      <c r="IS857" s="76"/>
      <c r="IT857" s="76"/>
      <c r="IU857" s="76"/>
      <c r="IV857" s="76"/>
    </row>
    <row r="858" spans="2:256">
      <c r="B858" s="135"/>
      <c r="C858" s="76" t="s">
        <v>104</v>
      </c>
      <c r="D858" s="76"/>
      <c r="E858" s="76" t="s">
        <v>103</v>
      </c>
      <c r="F858" s="76">
        <v>7.33</v>
      </c>
      <c r="G858" s="76"/>
      <c r="H858" s="123"/>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6"/>
      <c r="AT858" s="76"/>
      <c r="AU858" s="76"/>
      <c r="AV858" s="76"/>
      <c r="AW858" s="76"/>
      <c r="AX858" s="76"/>
      <c r="AY858" s="76"/>
      <c r="AZ858" s="76"/>
      <c r="BA858" s="76"/>
      <c r="BB858" s="76"/>
      <c r="BC858" s="76"/>
      <c r="BD858" s="76"/>
      <c r="BE858" s="76"/>
      <c r="BF858" s="76"/>
      <c r="BG858" s="76"/>
      <c r="BH858" s="76"/>
      <c r="BI858" s="76"/>
      <c r="BJ858" s="76"/>
      <c r="BK858" s="76"/>
      <c r="BL858" s="76"/>
      <c r="BM858" s="76"/>
      <c r="BN858" s="76"/>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c r="CT858" s="76"/>
      <c r="CU858" s="76"/>
      <c r="CV858" s="76"/>
      <c r="CW858" s="76"/>
      <c r="CX858" s="76"/>
      <c r="CY858" s="76"/>
      <c r="CZ858" s="76"/>
      <c r="DA858" s="76"/>
      <c r="DB858" s="76"/>
      <c r="DC858" s="76"/>
      <c r="DD858" s="76"/>
      <c r="DE858" s="76"/>
      <c r="DF858" s="76"/>
      <c r="DG858" s="76"/>
      <c r="DH858" s="76"/>
      <c r="DI858" s="76"/>
      <c r="DJ858" s="76"/>
      <c r="DK858" s="76"/>
      <c r="DL858" s="76"/>
      <c r="DM858" s="76"/>
      <c r="DN858" s="76"/>
      <c r="DO858" s="76"/>
      <c r="DP858" s="76"/>
      <c r="DQ858" s="76"/>
      <c r="DR858" s="76"/>
      <c r="DS858" s="76"/>
      <c r="DT858" s="76"/>
      <c r="DU858" s="76"/>
      <c r="DV858" s="76"/>
      <c r="DW858" s="76"/>
      <c r="DX858" s="76"/>
      <c r="DY858" s="76"/>
      <c r="DZ858" s="76"/>
      <c r="EA858" s="76"/>
      <c r="EB858" s="76"/>
      <c r="EC858" s="76"/>
      <c r="ED858" s="76"/>
      <c r="EE858" s="76"/>
      <c r="EF858" s="76"/>
      <c r="EG858" s="76"/>
      <c r="EH858" s="76"/>
      <c r="EI858" s="76"/>
      <c r="EJ858" s="76"/>
      <c r="EK858" s="76"/>
      <c r="EL858" s="76"/>
      <c r="EM858" s="76"/>
      <c r="EN858" s="76"/>
      <c r="EO858" s="76"/>
      <c r="EP858" s="76"/>
      <c r="EQ858" s="76"/>
      <c r="ER858" s="76"/>
      <c r="ES858" s="76"/>
      <c r="ET858" s="76"/>
      <c r="EU858" s="76"/>
      <c r="EV858" s="76"/>
      <c r="EW858" s="76"/>
      <c r="EX858" s="76"/>
      <c r="EY858" s="76"/>
      <c r="EZ858" s="76"/>
      <c r="FA858" s="76"/>
      <c r="FB858" s="76"/>
      <c r="FC858" s="76"/>
      <c r="FD858" s="76"/>
      <c r="FE858" s="76"/>
      <c r="FF858" s="76"/>
      <c r="FG858" s="76"/>
      <c r="FH858" s="76"/>
      <c r="FI858" s="76"/>
      <c r="FJ858" s="76"/>
      <c r="FK858" s="76"/>
      <c r="FL858" s="76"/>
      <c r="FM858" s="76"/>
      <c r="FN858" s="76"/>
      <c r="FO858" s="76"/>
      <c r="FP858" s="76"/>
      <c r="FQ858" s="76"/>
      <c r="FR858" s="76"/>
      <c r="FS858" s="76"/>
      <c r="FT858" s="76"/>
      <c r="FU858" s="76"/>
      <c r="FV858" s="76"/>
      <c r="FW858" s="76"/>
      <c r="FX858" s="76"/>
      <c r="FY858" s="76"/>
      <c r="FZ858" s="76"/>
      <c r="GA858" s="76"/>
      <c r="GB858" s="76"/>
      <c r="GC858" s="76"/>
      <c r="GD858" s="76"/>
      <c r="GE858" s="76"/>
      <c r="GF858" s="76"/>
      <c r="GG858" s="76"/>
      <c r="GH858" s="76"/>
      <c r="GI858" s="76"/>
      <c r="GJ858" s="76"/>
      <c r="GK858" s="76"/>
      <c r="GL858" s="76"/>
      <c r="GM858" s="76"/>
      <c r="GN858" s="76"/>
      <c r="GO858" s="76"/>
      <c r="GP858" s="76"/>
      <c r="GQ858" s="76"/>
      <c r="GR858" s="76"/>
      <c r="GS858" s="76"/>
      <c r="GT858" s="76"/>
      <c r="GU858" s="76"/>
      <c r="GV858" s="76"/>
      <c r="GW858" s="76"/>
      <c r="GX858" s="76"/>
      <c r="GY858" s="76"/>
      <c r="GZ858" s="76"/>
      <c r="HA858" s="76"/>
      <c r="HB858" s="76"/>
      <c r="HC858" s="76"/>
      <c r="HD858" s="76"/>
      <c r="HE858" s="76"/>
      <c r="HF858" s="76"/>
      <c r="HG858" s="76"/>
      <c r="HH858" s="76"/>
      <c r="HI858" s="76"/>
      <c r="HJ858" s="76"/>
      <c r="HK858" s="76"/>
      <c r="HL858" s="76"/>
      <c r="HM858" s="76"/>
      <c r="HN858" s="76"/>
      <c r="HO858" s="76"/>
      <c r="HP858" s="76"/>
      <c r="HQ858" s="76"/>
      <c r="HR858" s="76"/>
      <c r="HS858" s="76"/>
      <c r="HT858" s="76"/>
      <c r="HU858" s="76"/>
      <c r="HV858" s="76"/>
      <c r="HW858" s="76"/>
      <c r="HX858" s="76"/>
      <c r="HY858" s="76"/>
      <c r="HZ858" s="76"/>
      <c r="IA858" s="76"/>
      <c r="IB858" s="76"/>
      <c r="IC858" s="76"/>
      <c r="ID858" s="76"/>
      <c r="IE858" s="76"/>
      <c r="IF858" s="76"/>
      <c r="IG858" s="76"/>
      <c r="IH858" s="76"/>
      <c r="II858" s="76"/>
      <c r="IJ858" s="76"/>
      <c r="IK858" s="76"/>
      <c r="IL858" s="76"/>
      <c r="IM858" s="76"/>
      <c r="IN858" s="76"/>
      <c r="IO858" s="76"/>
      <c r="IP858" s="76"/>
      <c r="IQ858" s="76"/>
      <c r="IR858" s="76"/>
      <c r="IS858" s="76"/>
      <c r="IT858" s="76"/>
      <c r="IU858" s="76"/>
      <c r="IV858" s="76"/>
    </row>
    <row r="859" spans="2:256">
      <c r="B859" s="135"/>
      <c r="C859" s="76" t="s">
        <v>105</v>
      </c>
      <c r="D859" s="76"/>
      <c r="E859" s="76"/>
      <c r="F859" s="76"/>
      <c r="G859" s="76"/>
      <c r="H859" s="123"/>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c r="AY859" s="76"/>
      <c r="AZ859" s="76"/>
      <c r="BA859" s="76"/>
      <c r="BB859" s="76"/>
      <c r="BC859" s="76"/>
      <c r="BD859" s="76"/>
      <c r="BE859" s="76"/>
      <c r="BF859" s="76"/>
      <c r="BG859" s="76"/>
      <c r="BH859" s="76"/>
      <c r="BI859" s="76"/>
      <c r="BJ859" s="76"/>
      <c r="BK859" s="76"/>
      <c r="BL859" s="76"/>
      <c r="BM859" s="76"/>
      <c r="BN859" s="76"/>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c r="CT859" s="76"/>
      <c r="CU859" s="76"/>
      <c r="CV859" s="76"/>
      <c r="CW859" s="76"/>
      <c r="CX859" s="76"/>
      <c r="CY859" s="76"/>
      <c r="CZ859" s="76"/>
      <c r="DA859" s="76"/>
      <c r="DB859" s="76"/>
      <c r="DC859" s="76"/>
      <c r="DD859" s="76"/>
      <c r="DE859" s="76"/>
      <c r="DF859" s="76"/>
      <c r="DG859" s="76"/>
      <c r="DH859" s="76"/>
      <c r="DI859" s="76"/>
      <c r="DJ859" s="76"/>
      <c r="DK859" s="76"/>
      <c r="DL859" s="76"/>
      <c r="DM859" s="76"/>
      <c r="DN859" s="76"/>
      <c r="DO859" s="76"/>
      <c r="DP859" s="76"/>
      <c r="DQ859" s="76"/>
      <c r="DR859" s="76"/>
      <c r="DS859" s="76"/>
      <c r="DT859" s="76"/>
      <c r="DU859" s="76"/>
      <c r="DV859" s="76"/>
      <c r="DW859" s="76"/>
      <c r="DX859" s="76"/>
      <c r="DY859" s="76"/>
      <c r="DZ859" s="76"/>
      <c r="EA859" s="76"/>
      <c r="EB859" s="76"/>
      <c r="EC859" s="76"/>
      <c r="ED859" s="76"/>
      <c r="EE859" s="76"/>
      <c r="EF859" s="76"/>
      <c r="EG859" s="76"/>
      <c r="EH859" s="76"/>
      <c r="EI859" s="76"/>
      <c r="EJ859" s="76"/>
      <c r="EK859" s="76"/>
      <c r="EL859" s="76"/>
      <c r="EM859" s="76"/>
      <c r="EN859" s="76"/>
      <c r="EO859" s="76"/>
      <c r="EP859" s="76"/>
      <c r="EQ859" s="76"/>
      <c r="ER859" s="76"/>
      <c r="ES859" s="76"/>
      <c r="ET859" s="76"/>
      <c r="EU859" s="76"/>
      <c r="EV859" s="76"/>
      <c r="EW859" s="76"/>
      <c r="EX859" s="76"/>
      <c r="EY859" s="76"/>
      <c r="EZ859" s="76"/>
      <c r="FA859" s="76"/>
      <c r="FB859" s="76"/>
      <c r="FC859" s="76"/>
      <c r="FD859" s="76"/>
      <c r="FE859" s="76"/>
      <c r="FF859" s="76"/>
      <c r="FG859" s="76"/>
      <c r="FH859" s="76"/>
      <c r="FI859" s="76"/>
      <c r="FJ859" s="76"/>
      <c r="FK859" s="76"/>
      <c r="FL859" s="76"/>
      <c r="FM859" s="76"/>
      <c r="FN859" s="76"/>
      <c r="FO859" s="76"/>
      <c r="FP859" s="76"/>
      <c r="FQ859" s="76"/>
      <c r="FR859" s="76"/>
      <c r="FS859" s="76"/>
      <c r="FT859" s="76"/>
      <c r="FU859" s="76"/>
      <c r="FV859" s="76"/>
      <c r="FW859" s="76"/>
      <c r="FX859" s="76"/>
      <c r="FY859" s="76"/>
      <c r="FZ859" s="76"/>
      <c r="GA859" s="76"/>
      <c r="GB859" s="76"/>
      <c r="GC859" s="76"/>
      <c r="GD859" s="76"/>
      <c r="GE859" s="76"/>
      <c r="GF859" s="76"/>
      <c r="GG859" s="76"/>
      <c r="GH859" s="76"/>
      <c r="GI859" s="76"/>
      <c r="GJ859" s="76"/>
      <c r="GK859" s="76"/>
      <c r="GL859" s="76"/>
      <c r="GM859" s="76"/>
      <c r="GN859" s="76"/>
      <c r="GO859" s="76"/>
      <c r="GP859" s="76"/>
      <c r="GQ859" s="76"/>
      <c r="GR859" s="76"/>
      <c r="GS859" s="76"/>
      <c r="GT859" s="76"/>
      <c r="GU859" s="76"/>
      <c r="GV859" s="76"/>
      <c r="GW859" s="76"/>
      <c r="GX859" s="76"/>
      <c r="GY859" s="76"/>
      <c r="GZ859" s="76"/>
      <c r="HA859" s="76"/>
      <c r="HB859" s="76"/>
      <c r="HC859" s="76"/>
      <c r="HD859" s="76"/>
      <c r="HE859" s="76"/>
      <c r="HF859" s="76"/>
      <c r="HG859" s="76"/>
      <c r="HH859" s="76"/>
      <c r="HI859" s="76"/>
      <c r="HJ859" s="76"/>
      <c r="HK859" s="76"/>
      <c r="HL859" s="76"/>
      <c r="HM859" s="76"/>
      <c r="HN859" s="76"/>
      <c r="HO859" s="76"/>
      <c r="HP859" s="76"/>
      <c r="HQ859" s="76"/>
      <c r="HR859" s="76"/>
      <c r="HS859" s="76"/>
      <c r="HT859" s="76"/>
      <c r="HU859" s="76"/>
      <c r="HV859" s="76"/>
      <c r="HW859" s="76"/>
      <c r="HX859" s="76"/>
      <c r="HY859" s="76"/>
      <c r="HZ859" s="76"/>
      <c r="IA859" s="76"/>
      <c r="IB859" s="76"/>
      <c r="IC859" s="76"/>
      <c r="ID859" s="76"/>
      <c r="IE859" s="76"/>
      <c r="IF859" s="76"/>
      <c r="IG859" s="76"/>
      <c r="IH859" s="76"/>
      <c r="II859" s="76"/>
      <c r="IJ859" s="76"/>
      <c r="IK859" s="76"/>
      <c r="IL859" s="76"/>
      <c r="IM859" s="76"/>
      <c r="IN859" s="76"/>
      <c r="IO859" s="76"/>
      <c r="IP859" s="76"/>
      <c r="IQ859" s="76"/>
      <c r="IR859" s="76"/>
      <c r="IS859" s="76"/>
      <c r="IT859" s="76"/>
      <c r="IU859" s="76"/>
      <c r="IV859" s="76"/>
    </row>
    <row r="860" spans="2:256">
      <c r="B860" s="135"/>
      <c r="C860" s="76" t="s">
        <v>106</v>
      </c>
      <c r="D860" s="76"/>
      <c r="E860" s="76" t="s">
        <v>103</v>
      </c>
      <c r="F860" s="76" t="s">
        <v>107</v>
      </c>
      <c r="G860" s="76"/>
      <c r="H860" s="123"/>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c r="AY860" s="76"/>
      <c r="AZ860" s="76"/>
      <c r="BA860" s="76"/>
      <c r="BB860" s="76"/>
      <c r="BC860" s="76"/>
      <c r="BD860" s="76"/>
      <c r="BE860" s="76"/>
      <c r="BF860" s="76"/>
      <c r="BG860" s="76"/>
      <c r="BH860" s="76"/>
      <c r="BI860" s="76"/>
      <c r="BJ860" s="76"/>
      <c r="BK860" s="76"/>
      <c r="BL860" s="76"/>
      <c r="BM860" s="76"/>
      <c r="BN860" s="76"/>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c r="CT860" s="76"/>
      <c r="CU860" s="76"/>
      <c r="CV860" s="76"/>
      <c r="CW860" s="76"/>
      <c r="CX860" s="76"/>
      <c r="CY860" s="76"/>
      <c r="CZ860" s="76"/>
      <c r="DA860" s="76"/>
      <c r="DB860" s="76"/>
      <c r="DC860" s="76"/>
      <c r="DD860" s="76"/>
      <c r="DE860" s="76"/>
      <c r="DF860" s="76"/>
      <c r="DG860" s="76"/>
      <c r="DH860" s="76"/>
      <c r="DI860" s="76"/>
      <c r="DJ860" s="76"/>
      <c r="DK860" s="76"/>
      <c r="DL860" s="76"/>
      <c r="DM860" s="76"/>
      <c r="DN860" s="76"/>
      <c r="DO860" s="76"/>
      <c r="DP860" s="76"/>
      <c r="DQ860" s="76"/>
      <c r="DR860" s="76"/>
      <c r="DS860" s="76"/>
      <c r="DT860" s="76"/>
      <c r="DU860" s="76"/>
      <c r="DV860" s="76"/>
      <c r="DW860" s="76"/>
      <c r="DX860" s="76"/>
      <c r="DY860" s="76"/>
      <c r="DZ860" s="76"/>
      <c r="EA860" s="76"/>
      <c r="EB860" s="76"/>
      <c r="EC860" s="76"/>
      <c r="ED860" s="76"/>
      <c r="EE860" s="76"/>
      <c r="EF860" s="76"/>
      <c r="EG860" s="76"/>
      <c r="EH860" s="76"/>
      <c r="EI860" s="76"/>
      <c r="EJ860" s="76"/>
      <c r="EK860" s="76"/>
      <c r="EL860" s="76"/>
      <c r="EM860" s="76"/>
      <c r="EN860" s="76"/>
      <c r="EO860" s="76"/>
      <c r="EP860" s="76"/>
      <c r="EQ860" s="76"/>
      <c r="ER860" s="76"/>
      <c r="ES860" s="76"/>
      <c r="ET860" s="76"/>
      <c r="EU860" s="76"/>
      <c r="EV860" s="76"/>
      <c r="EW860" s="76"/>
      <c r="EX860" s="76"/>
      <c r="EY860" s="76"/>
      <c r="EZ860" s="76"/>
      <c r="FA860" s="76"/>
      <c r="FB860" s="76"/>
      <c r="FC860" s="76"/>
      <c r="FD860" s="76"/>
      <c r="FE860" s="76"/>
      <c r="FF860" s="76"/>
      <c r="FG860" s="76"/>
      <c r="FH860" s="76"/>
      <c r="FI860" s="76"/>
      <c r="FJ860" s="76"/>
      <c r="FK860" s="76"/>
      <c r="FL860" s="76"/>
      <c r="FM860" s="76"/>
      <c r="FN860" s="76"/>
      <c r="FO860" s="76"/>
      <c r="FP860" s="76"/>
      <c r="FQ860" s="76"/>
      <c r="FR860" s="76"/>
      <c r="FS860" s="76"/>
      <c r="FT860" s="76"/>
      <c r="FU860" s="76"/>
      <c r="FV860" s="76"/>
      <c r="FW860" s="76"/>
      <c r="FX860" s="76"/>
      <c r="FY860" s="76"/>
      <c r="FZ860" s="76"/>
      <c r="GA860" s="76"/>
      <c r="GB860" s="76"/>
      <c r="GC860" s="76"/>
      <c r="GD860" s="76"/>
      <c r="GE860" s="76"/>
      <c r="GF860" s="76"/>
      <c r="GG860" s="76"/>
      <c r="GH860" s="76"/>
      <c r="GI860" s="76"/>
      <c r="GJ860" s="76"/>
      <c r="GK860" s="76"/>
      <c r="GL860" s="76"/>
      <c r="GM860" s="76"/>
      <c r="GN860" s="76"/>
      <c r="GO860" s="76"/>
      <c r="GP860" s="76"/>
      <c r="GQ860" s="76"/>
      <c r="GR860" s="76"/>
      <c r="GS860" s="76"/>
      <c r="GT860" s="76"/>
      <c r="GU860" s="76"/>
      <c r="GV860" s="76"/>
      <c r="GW860" s="76"/>
      <c r="GX860" s="76"/>
      <c r="GY860" s="76"/>
      <c r="GZ860" s="76"/>
      <c r="HA860" s="76"/>
      <c r="HB860" s="76"/>
      <c r="HC860" s="76"/>
      <c r="HD860" s="76"/>
      <c r="HE860" s="76"/>
      <c r="HF860" s="76"/>
      <c r="HG860" s="76"/>
      <c r="HH860" s="76"/>
      <c r="HI860" s="76"/>
      <c r="HJ860" s="76"/>
      <c r="HK860" s="76"/>
      <c r="HL860" s="76"/>
      <c r="HM860" s="76"/>
      <c r="HN860" s="76"/>
      <c r="HO860" s="76"/>
      <c r="HP860" s="76"/>
      <c r="HQ860" s="76"/>
      <c r="HR860" s="76"/>
      <c r="HS860" s="76"/>
      <c r="HT860" s="76"/>
      <c r="HU860" s="76"/>
      <c r="HV860" s="76"/>
      <c r="HW860" s="76"/>
      <c r="HX860" s="76"/>
      <c r="HY860" s="76"/>
      <c r="HZ860" s="76"/>
      <c r="IA860" s="76"/>
      <c r="IB860" s="76"/>
      <c r="IC860" s="76"/>
      <c r="ID860" s="76"/>
      <c r="IE860" s="76"/>
      <c r="IF860" s="76"/>
      <c r="IG860" s="76"/>
      <c r="IH860" s="76"/>
      <c r="II860" s="76"/>
      <c r="IJ860" s="76"/>
      <c r="IK860" s="76"/>
      <c r="IL860" s="76"/>
      <c r="IM860" s="76"/>
      <c r="IN860" s="76"/>
      <c r="IO860" s="76"/>
      <c r="IP860" s="76"/>
      <c r="IQ860" s="76"/>
      <c r="IR860" s="76"/>
      <c r="IS860" s="76"/>
      <c r="IT860" s="76"/>
      <c r="IU860" s="76"/>
      <c r="IV860" s="76"/>
    </row>
    <row r="861" spans="2:256">
      <c r="B861" s="135"/>
      <c r="C861" s="76" t="s">
        <v>108</v>
      </c>
      <c r="D861" s="76"/>
      <c r="E861" s="76"/>
      <c r="F861" s="76"/>
      <c r="G861" s="76"/>
      <c r="H861" s="123"/>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c r="AY861" s="76"/>
      <c r="AZ861" s="76"/>
      <c r="BA861" s="76"/>
      <c r="BB861" s="76"/>
      <c r="BC861" s="76"/>
      <c r="BD861" s="76"/>
      <c r="BE861" s="76"/>
      <c r="BF861" s="76"/>
      <c r="BG861" s="76"/>
      <c r="BH861" s="76"/>
      <c r="BI861" s="76"/>
      <c r="BJ861" s="76"/>
      <c r="BK861" s="76"/>
      <c r="BL861" s="76"/>
      <c r="BM861" s="76"/>
      <c r="BN861" s="76"/>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c r="CT861" s="76"/>
      <c r="CU861" s="76"/>
      <c r="CV861" s="76"/>
      <c r="CW861" s="76"/>
      <c r="CX861" s="76"/>
      <c r="CY861" s="76"/>
      <c r="CZ861" s="76"/>
      <c r="DA861" s="76"/>
      <c r="DB861" s="76"/>
      <c r="DC861" s="76"/>
      <c r="DD861" s="76"/>
      <c r="DE861" s="76"/>
      <c r="DF861" s="76"/>
      <c r="DG861" s="76"/>
      <c r="DH861" s="76"/>
      <c r="DI861" s="76"/>
      <c r="DJ861" s="76"/>
      <c r="DK861" s="76"/>
      <c r="DL861" s="76"/>
      <c r="DM861" s="76"/>
      <c r="DN861" s="76"/>
      <c r="DO861" s="76"/>
      <c r="DP861" s="76"/>
      <c r="DQ861" s="76"/>
      <c r="DR861" s="76"/>
      <c r="DS861" s="76"/>
      <c r="DT861" s="76"/>
      <c r="DU861" s="76"/>
      <c r="DV861" s="76"/>
      <c r="DW861" s="76"/>
      <c r="DX861" s="76"/>
      <c r="DY861" s="76"/>
      <c r="DZ861" s="76"/>
      <c r="EA861" s="76"/>
      <c r="EB861" s="76"/>
      <c r="EC861" s="76"/>
      <c r="ED861" s="76"/>
      <c r="EE861" s="76"/>
      <c r="EF861" s="76"/>
      <c r="EG861" s="76"/>
      <c r="EH861" s="76"/>
      <c r="EI861" s="76"/>
      <c r="EJ861" s="76"/>
      <c r="EK861" s="76"/>
      <c r="EL861" s="76"/>
      <c r="EM861" s="76"/>
      <c r="EN861" s="76"/>
      <c r="EO861" s="76"/>
      <c r="EP861" s="76"/>
      <c r="EQ861" s="76"/>
      <c r="ER861" s="76"/>
      <c r="ES861" s="76"/>
      <c r="ET861" s="76"/>
      <c r="EU861" s="76"/>
      <c r="EV861" s="76"/>
      <c r="EW861" s="76"/>
      <c r="EX861" s="76"/>
      <c r="EY861" s="76"/>
      <c r="EZ861" s="76"/>
      <c r="FA861" s="76"/>
      <c r="FB861" s="76"/>
      <c r="FC861" s="76"/>
      <c r="FD861" s="76"/>
      <c r="FE861" s="76"/>
      <c r="FF861" s="76"/>
      <c r="FG861" s="76"/>
      <c r="FH861" s="76"/>
      <c r="FI861" s="76"/>
      <c r="FJ861" s="76"/>
      <c r="FK861" s="76"/>
      <c r="FL861" s="76"/>
      <c r="FM861" s="76"/>
      <c r="FN861" s="76"/>
      <c r="FO861" s="76"/>
      <c r="FP861" s="76"/>
      <c r="FQ861" s="76"/>
      <c r="FR861" s="76"/>
      <c r="FS861" s="76"/>
      <c r="FT861" s="76"/>
      <c r="FU861" s="76"/>
      <c r="FV861" s="76"/>
      <c r="FW861" s="76"/>
      <c r="FX861" s="76"/>
      <c r="FY861" s="76"/>
      <c r="FZ861" s="76"/>
      <c r="GA861" s="76"/>
      <c r="GB861" s="76"/>
      <c r="GC861" s="76"/>
      <c r="GD861" s="76"/>
      <c r="GE861" s="76"/>
      <c r="GF861" s="76"/>
      <c r="GG861" s="76"/>
      <c r="GH861" s="76"/>
      <c r="GI861" s="76"/>
      <c r="GJ861" s="76"/>
      <c r="GK861" s="76"/>
      <c r="GL861" s="76"/>
      <c r="GM861" s="76"/>
      <c r="GN861" s="76"/>
      <c r="GO861" s="76"/>
      <c r="GP861" s="76"/>
      <c r="GQ861" s="76"/>
      <c r="GR861" s="76"/>
      <c r="GS861" s="76"/>
      <c r="GT861" s="76"/>
      <c r="GU861" s="76"/>
      <c r="GV861" s="76"/>
      <c r="GW861" s="76"/>
      <c r="GX861" s="76"/>
      <c r="GY861" s="76"/>
      <c r="GZ861" s="76"/>
      <c r="HA861" s="76"/>
      <c r="HB861" s="76"/>
      <c r="HC861" s="76"/>
      <c r="HD861" s="76"/>
      <c r="HE861" s="76"/>
      <c r="HF861" s="76"/>
      <c r="HG861" s="76"/>
      <c r="HH861" s="76"/>
      <c r="HI861" s="76"/>
      <c r="HJ861" s="76"/>
      <c r="HK861" s="76"/>
      <c r="HL861" s="76"/>
      <c r="HM861" s="76"/>
      <c r="HN861" s="76"/>
      <c r="HO861" s="76"/>
      <c r="HP861" s="76"/>
      <c r="HQ861" s="76"/>
      <c r="HR861" s="76"/>
      <c r="HS861" s="76"/>
      <c r="HT861" s="76"/>
      <c r="HU861" s="76"/>
      <c r="HV861" s="76"/>
      <c r="HW861" s="76"/>
      <c r="HX861" s="76"/>
      <c r="HY861" s="76"/>
      <c r="HZ861" s="76"/>
      <c r="IA861" s="76"/>
      <c r="IB861" s="76"/>
      <c r="IC861" s="76"/>
      <c r="ID861" s="76"/>
      <c r="IE861" s="76"/>
      <c r="IF861" s="76"/>
      <c r="IG861" s="76"/>
      <c r="IH861" s="76"/>
      <c r="II861" s="76"/>
      <c r="IJ861" s="76"/>
      <c r="IK861" s="76"/>
      <c r="IL861" s="76"/>
      <c r="IM861" s="76"/>
      <c r="IN861" s="76"/>
      <c r="IO861" s="76"/>
      <c r="IP861" s="76"/>
      <c r="IQ861" s="76"/>
      <c r="IR861" s="76"/>
      <c r="IS861" s="76"/>
      <c r="IT861" s="76"/>
      <c r="IU861" s="76"/>
      <c r="IV861" s="76"/>
    </row>
    <row r="862" spans="2:256">
      <c r="B862" s="135"/>
      <c r="C862" s="76" t="s">
        <v>109</v>
      </c>
      <c r="D862" s="76"/>
      <c r="E862" s="76" t="s">
        <v>103</v>
      </c>
      <c r="F862" s="76">
        <v>2</v>
      </c>
      <c r="G862" s="76"/>
      <c r="H862" s="123"/>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c r="AY862" s="76"/>
      <c r="AZ862" s="76"/>
      <c r="BA862" s="76"/>
      <c r="BB862" s="76"/>
      <c r="BC862" s="76"/>
      <c r="BD862" s="76"/>
      <c r="BE862" s="76"/>
      <c r="BF862" s="76"/>
      <c r="BG862" s="76"/>
      <c r="BH862" s="76"/>
      <c r="BI862" s="76"/>
      <c r="BJ862" s="76"/>
      <c r="BK862" s="76"/>
      <c r="BL862" s="76"/>
      <c r="BM862" s="76"/>
      <c r="BN862" s="76"/>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c r="CT862" s="76"/>
      <c r="CU862" s="76"/>
      <c r="CV862" s="76"/>
      <c r="CW862" s="76"/>
      <c r="CX862" s="76"/>
      <c r="CY862" s="76"/>
      <c r="CZ862" s="76"/>
      <c r="DA862" s="76"/>
      <c r="DB862" s="76"/>
      <c r="DC862" s="76"/>
      <c r="DD862" s="76"/>
      <c r="DE862" s="76"/>
      <c r="DF862" s="76"/>
      <c r="DG862" s="76"/>
      <c r="DH862" s="76"/>
      <c r="DI862" s="76"/>
      <c r="DJ862" s="76"/>
      <c r="DK862" s="76"/>
      <c r="DL862" s="76"/>
      <c r="DM862" s="76"/>
      <c r="DN862" s="76"/>
      <c r="DO862" s="76"/>
      <c r="DP862" s="76"/>
      <c r="DQ862" s="76"/>
      <c r="DR862" s="76"/>
      <c r="DS862" s="76"/>
      <c r="DT862" s="76"/>
      <c r="DU862" s="76"/>
      <c r="DV862" s="76"/>
      <c r="DW862" s="76"/>
      <c r="DX862" s="76"/>
      <c r="DY862" s="76"/>
      <c r="DZ862" s="76"/>
      <c r="EA862" s="76"/>
      <c r="EB862" s="76"/>
      <c r="EC862" s="76"/>
      <c r="ED862" s="76"/>
      <c r="EE862" s="76"/>
      <c r="EF862" s="76"/>
      <c r="EG862" s="76"/>
      <c r="EH862" s="76"/>
      <c r="EI862" s="76"/>
      <c r="EJ862" s="76"/>
      <c r="EK862" s="76"/>
      <c r="EL862" s="76"/>
      <c r="EM862" s="76"/>
      <c r="EN862" s="76"/>
      <c r="EO862" s="76"/>
      <c r="EP862" s="76"/>
      <c r="EQ862" s="76"/>
      <c r="ER862" s="76"/>
      <c r="ES862" s="76"/>
      <c r="ET862" s="76"/>
      <c r="EU862" s="76"/>
      <c r="EV862" s="76"/>
      <c r="EW862" s="76"/>
      <c r="EX862" s="76"/>
      <c r="EY862" s="76"/>
      <c r="EZ862" s="76"/>
      <c r="FA862" s="76"/>
      <c r="FB862" s="76"/>
      <c r="FC862" s="76"/>
      <c r="FD862" s="76"/>
      <c r="FE862" s="76"/>
      <c r="FF862" s="76"/>
      <c r="FG862" s="76"/>
      <c r="FH862" s="76"/>
      <c r="FI862" s="76"/>
      <c r="FJ862" s="76"/>
      <c r="FK862" s="76"/>
      <c r="FL862" s="76"/>
      <c r="FM862" s="76"/>
      <c r="FN862" s="76"/>
      <c r="FO862" s="76"/>
      <c r="FP862" s="76"/>
      <c r="FQ862" s="76"/>
      <c r="FR862" s="76"/>
      <c r="FS862" s="76"/>
      <c r="FT862" s="76"/>
      <c r="FU862" s="76"/>
      <c r="FV862" s="76"/>
      <c r="FW862" s="76"/>
      <c r="FX862" s="76"/>
      <c r="FY862" s="76"/>
      <c r="FZ862" s="76"/>
      <c r="GA862" s="76"/>
      <c r="GB862" s="76"/>
      <c r="GC862" s="76"/>
      <c r="GD862" s="76"/>
      <c r="GE862" s="76"/>
      <c r="GF862" s="76"/>
      <c r="GG862" s="76"/>
      <c r="GH862" s="76"/>
      <c r="GI862" s="76"/>
      <c r="GJ862" s="76"/>
      <c r="GK862" s="76"/>
      <c r="GL862" s="76"/>
      <c r="GM862" s="76"/>
      <c r="GN862" s="76"/>
      <c r="GO862" s="76"/>
      <c r="GP862" s="76"/>
      <c r="GQ862" s="76"/>
      <c r="GR862" s="76"/>
      <c r="GS862" s="76"/>
      <c r="GT862" s="76"/>
      <c r="GU862" s="76"/>
      <c r="GV862" s="76"/>
      <c r="GW862" s="76"/>
      <c r="GX862" s="76"/>
      <c r="GY862" s="76"/>
      <c r="GZ862" s="76"/>
      <c r="HA862" s="76"/>
      <c r="HB862" s="76"/>
      <c r="HC862" s="76"/>
      <c r="HD862" s="76"/>
      <c r="HE862" s="76"/>
      <c r="HF862" s="76"/>
      <c r="HG862" s="76"/>
      <c r="HH862" s="76"/>
      <c r="HI862" s="76"/>
      <c r="HJ862" s="76"/>
      <c r="HK862" s="76"/>
      <c r="HL862" s="76"/>
      <c r="HM862" s="76"/>
      <c r="HN862" s="76"/>
      <c r="HO862" s="76"/>
      <c r="HP862" s="76"/>
      <c r="HQ862" s="76"/>
      <c r="HR862" s="76"/>
      <c r="HS862" s="76"/>
      <c r="HT862" s="76"/>
      <c r="HU862" s="76"/>
      <c r="HV862" s="76"/>
      <c r="HW862" s="76"/>
      <c r="HX862" s="76"/>
      <c r="HY862" s="76"/>
      <c r="HZ862" s="76"/>
      <c r="IA862" s="76"/>
      <c r="IB862" s="76"/>
      <c r="IC862" s="76"/>
      <c r="ID862" s="76"/>
      <c r="IE862" s="76"/>
      <c r="IF862" s="76"/>
      <c r="IG862" s="76"/>
      <c r="IH862" s="76"/>
      <c r="II862" s="76"/>
      <c r="IJ862" s="76"/>
      <c r="IK862" s="76"/>
      <c r="IL862" s="76"/>
      <c r="IM862" s="76"/>
      <c r="IN862" s="76"/>
      <c r="IO862" s="76"/>
      <c r="IP862" s="76"/>
      <c r="IQ862" s="76"/>
      <c r="IR862" s="76"/>
      <c r="IS862" s="76"/>
      <c r="IT862" s="76"/>
      <c r="IU862" s="76"/>
      <c r="IV862" s="76"/>
    </row>
    <row r="863" spans="2:256">
      <c r="B863" s="135"/>
      <c r="C863" s="76" t="s">
        <v>1518</v>
      </c>
      <c r="D863" s="76"/>
      <c r="E863" s="76" t="s">
        <v>103</v>
      </c>
      <c r="F863" s="151">
        <f>F862+F858+F857</f>
        <v>10.33</v>
      </c>
      <c r="G863" s="76"/>
      <c r="H863" s="123"/>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c r="AY863" s="76"/>
      <c r="AZ863" s="76"/>
      <c r="BA863" s="76"/>
      <c r="BB863" s="76"/>
      <c r="BC863" s="76"/>
      <c r="BD863" s="76"/>
      <c r="BE863" s="76"/>
      <c r="BF863" s="76"/>
      <c r="BG863" s="76"/>
      <c r="BH863" s="76"/>
      <c r="BI863" s="76"/>
      <c r="BJ863" s="76"/>
      <c r="BK863" s="76"/>
      <c r="BL863" s="76"/>
      <c r="BM863" s="76"/>
      <c r="BN863" s="76"/>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c r="CT863" s="76"/>
      <c r="CU863" s="76"/>
      <c r="CV863" s="76"/>
      <c r="CW863" s="76"/>
      <c r="CX863" s="76"/>
      <c r="CY863" s="76"/>
      <c r="CZ863" s="76"/>
      <c r="DA863" s="76"/>
      <c r="DB863" s="76"/>
      <c r="DC863" s="76"/>
      <c r="DD863" s="76"/>
      <c r="DE863" s="76"/>
      <c r="DF863" s="76"/>
      <c r="DG863" s="76"/>
      <c r="DH863" s="76"/>
      <c r="DI863" s="76"/>
      <c r="DJ863" s="76"/>
      <c r="DK863" s="76"/>
      <c r="DL863" s="76"/>
      <c r="DM863" s="76"/>
      <c r="DN863" s="76"/>
      <c r="DO863" s="76"/>
      <c r="DP863" s="76"/>
      <c r="DQ863" s="76"/>
      <c r="DR863" s="76"/>
      <c r="DS863" s="76"/>
      <c r="DT863" s="76"/>
      <c r="DU863" s="76"/>
      <c r="DV863" s="76"/>
      <c r="DW863" s="76"/>
      <c r="DX863" s="76"/>
      <c r="DY863" s="76"/>
      <c r="DZ863" s="76"/>
      <c r="EA863" s="76"/>
      <c r="EB863" s="76"/>
      <c r="EC863" s="76"/>
      <c r="ED863" s="76"/>
      <c r="EE863" s="76"/>
      <c r="EF863" s="76"/>
      <c r="EG863" s="76"/>
      <c r="EH863" s="76"/>
      <c r="EI863" s="76"/>
      <c r="EJ863" s="76"/>
      <c r="EK863" s="76"/>
      <c r="EL863" s="76"/>
      <c r="EM863" s="76"/>
      <c r="EN863" s="76"/>
      <c r="EO863" s="76"/>
      <c r="EP863" s="76"/>
      <c r="EQ863" s="76"/>
      <c r="ER863" s="76"/>
      <c r="ES863" s="76"/>
      <c r="ET863" s="76"/>
      <c r="EU863" s="76"/>
      <c r="EV863" s="76"/>
      <c r="EW863" s="76"/>
      <c r="EX863" s="76"/>
      <c r="EY863" s="76"/>
      <c r="EZ863" s="76"/>
      <c r="FA863" s="76"/>
      <c r="FB863" s="76"/>
      <c r="FC863" s="76"/>
      <c r="FD863" s="76"/>
      <c r="FE863" s="76"/>
      <c r="FF863" s="76"/>
      <c r="FG863" s="76"/>
      <c r="FH863" s="76"/>
      <c r="FI863" s="76"/>
      <c r="FJ863" s="76"/>
      <c r="FK863" s="76"/>
      <c r="FL863" s="76"/>
      <c r="FM863" s="76"/>
      <c r="FN863" s="76"/>
      <c r="FO863" s="76"/>
      <c r="FP863" s="76"/>
      <c r="FQ863" s="76"/>
      <c r="FR863" s="76"/>
      <c r="FS863" s="76"/>
      <c r="FT863" s="76"/>
      <c r="FU863" s="76"/>
      <c r="FV863" s="76"/>
      <c r="FW863" s="76"/>
      <c r="FX863" s="76"/>
      <c r="FY863" s="76"/>
      <c r="FZ863" s="76"/>
      <c r="GA863" s="76"/>
      <c r="GB863" s="76"/>
      <c r="GC863" s="76"/>
      <c r="GD863" s="76"/>
      <c r="GE863" s="76"/>
      <c r="GF863" s="76"/>
      <c r="GG863" s="76"/>
      <c r="GH863" s="76"/>
      <c r="GI863" s="76"/>
      <c r="GJ863" s="76"/>
      <c r="GK863" s="76"/>
      <c r="GL863" s="76"/>
      <c r="GM863" s="76"/>
      <c r="GN863" s="76"/>
      <c r="GO863" s="76"/>
      <c r="GP863" s="76"/>
      <c r="GQ863" s="76"/>
      <c r="GR863" s="76"/>
      <c r="GS863" s="76"/>
      <c r="GT863" s="76"/>
      <c r="GU863" s="76"/>
      <c r="GV863" s="76"/>
      <c r="GW863" s="76"/>
      <c r="GX863" s="76"/>
      <c r="GY863" s="76"/>
      <c r="GZ863" s="76"/>
      <c r="HA863" s="76"/>
      <c r="HB863" s="76"/>
      <c r="HC863" s="76"/>
      <c r="HD863" s="76"/>
      <c r="HE863" s="76"/>
      <c r="HF863" s="76"/>
      <c r="HG863" s="76"/>
      <c r="HH863" s="76"/>
      <c r="HI863" s="76"/>
      <c r="HJ863" s="76"/>
      <c r="HK863" s="76"/>
      <c r="HL863" s="76"/>
      <c r="HM863" s="76"/>
      <c r="HN863" s="76"/>
      <c r="HO863" s="76"/>
      <c r="HP863" s="76"/>
      <c r="HQ863" s="76"/>
      <c r="HR863" s="76"/>
      <c r="HS863" s="76"/>
      <c r="HT863" s="76"/>
      <c r="HU863" s="76"/>
      <c r="HV863" s="76"/>
      <c r="HW863" s="76"/>
      <c r="HX863" s="76"/>
      <c r="HY863" s="76"/>
      <c r="HZ863" s="76"/>
      <c r="IA863" s="76"/>
      <c r="IB863" s="76"/>
      <c r="IC863" s="76"/>
      <c r="ID863" s="76"/>
      <c r="IE863" s="76"/>
      <c r="IF863" s="76"/>
      <c r="IG863" s="76"/>
      <c r="IH863" s="76"/>
      <c r="II863" s="76"/>
      <c r="IJ863" s="76"/>
      <c r="IK863" s="76"/>
      <c r="IL863" s="76"/>
      <c r="IM863" s="76"/>
      <c r="IN863" s="76"/>
      <c r="IO863" s="76"/>
      <c r="IP863" s="76"/>
      <c r="IQ863" s="76"/>
      <c r="IR863" s="76"/>
      <c r="IS863" s="76"/>
      <c r="IT863" s="76"/>
      <c r="IU863" s="76"/>
      <c r="IV863" s="76"/>
    </row>
    <row r="864" spans="2:256">
      <c r="B864" s="39"/>
      <c r="C864" s="39" t="s">
        <v>110</v>
      </c>
      <c r="D864" s="39"/>
      <c r="E864" s="39"/>
      <c r="F864" s="129"/>
      <c r="G864" s="39"/>
      <c r="H864" s="39"/>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c r="AY864" s="76"/>
      <c r="AZ864" s="76"/>
      <c r="BA864" s="76"/>
      <c r="BB864" s="76"/>
      <c r="BC864" s="76"/>
      <c r="BD864" s="76"/>
      <c r="BE864" s="76"/>
      <c r="BF864" s="76"/>
      <c r="BG864" s="76"/>
      <c r="BH864" s="76"/>
      <c r="BI864" s="76"/>
      <c r="BJ864" s="76"/>
      <c r="BK864" s="76"/>
      <c r="BL864" s="76"/>
      <c r="BM864" s="76"/>
      <c r="BN864" s="76"/>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c r="CT864" s="76"/>
      <c r="CU864" s="76"/>
      <c r="CV864" s="76"/>
      <c r="CW864" s="76"/>
      <c r="CX864" s="76"/>
      <c r="CY864" s="76"/>
      <c r="CZ864" s="76"/>
      <c r="DA864" s="76"/>
      <c r="DB864" s="76"/>
      <c r="DC864" s="76"/>
      <c r="DD864" s="76"/>
      <c r="DE864" s="76"/>
      <c r="DF864" s="76"/>
      <c r="DG864" s="76"/>
      <c r="DH864" s="76"/>
      <c r="DI864" s="76"/>
      <c r="DJ864" s="76"/>
      <c r="DK864" s="76"/>
      <c r="DL864" s="76"/>
      <c r="DM864" s="76"/>
      <c r="DN864" s="76"/>
      <c r="DO864" s="76"/>
      <c r="DP864" s="76"/>
      <c r="DQ864" s="76"/>
      <c r="DR864" s="76"/>
      <c r="DS864" s="76"/>
      <c r="DT864" s="76"/>
      <c r="DU864" s="76"/>
      <c r="DV864" s="76"/>
      <c r="DW864" s="76"/>
      <c r="DX864" s="76"/>
      <c r="DY864" s="76"/>
      <c r="DZ864" s="76"/>
      <c r="EA864" s="76"/>
      <c r="EB864" s="76"/>
      <c r="EC864" s="76"/>
      <c r="ED864" s="76"/>
      <c r="EE864" s="76"/>
      <c r="EF864" s="76"/>
      <c r="EG864" s="76"/>
      <c r="EH864" s="76"/>
      <c r="EI864" s="76"/>
      <c r="EJ864" s="76"/>
      <c r="EK864" s="76"/>
      <c r="EL864" s="76"/>
      <c r="EM864" s="76"/>
      <c r="EN864" s="76"/>
      <c r="EO864" s="76"/>
      <c r="EP864" s="76"/>
      <c r="EQ864" s="76"/>
      <c r="ER864" s="76"/>
      <c r="ES864" s="76"/>
      <c r="ET864" s="76"/>
      <c r="EU864" s="76"/>
      <c r="EV864" s="76"/>
      <c r="EW864" s="76"/>
      <c r="EX864" s="76"/>
      <c r="EY864" s="76"/>
      <c r="EZ864" s="76"/>
      <c r="FA864" s="76"/>
      <c r="FB864" s="76"/>
      <c r="FC864" s="76"/>
      <c r="FD864" s="76"/>
      <c r="FE864" s="76"/>
      <c r="FF864" s="76"/>
      <c r="FG864" s="76"/>
      <c r="FH864" s="76"/>
      <c r="FI864" s="76"/>
      <c r="FJ864" s="76"/>
      <c r="FK864" s="76"/>
      <c r="FL864" s="76"/>
      <c r="FM864" s="76"/>
      <c r="FN864" s="76"/>
      <c r="FO864" s="76"/>
      <c r="FP864" s="76"/>
      <c r="FQ864" s="76"/>
      <c r="FR864" s="76"/>
      <c r="FS864" s="76"/>
      <c r="FT864" s="76"/>
      <c r="FU864" s="76"/>
      <c r="FV864" s="76"/>
      <c r="FW864" s="76"/>
      <c r="FX864" s="76"/>
      <c r="FY864" s="76"/>
      <c r="FZ864" s="76"/>
      <c r="GA864" s="76"/>
      <c r="GB864" s="76"/>
      <c r="GC864" s="76"/>
      <c r="GD864" s="76"/>
      <c r="GE864" s="76"/>
      <c r="GF864" s="76"/>
      <c r="GG864" s="76"/>
      <c r="GH864" s="76"/>
      <c r="GI864" s="76"/>
      <c r="GJ864" s="76"/>
      <c r="GK864" s="76"/>
      <c r="GL864" s="76"/>
      <c r="GM864" s="76"/>
      <c r="GN864" s="76"/>
      <c r="GO864" s="76"/>
      <c r="GP864" s="76"/>
      <c r="GQ864" s="76"/>
      <c r="GR864" s="76"/>
      <c r="GS864" s="76"/>
      <c r="GT864" s="76"/>
      <c r="GU864" s="76"/>
      <c r="GV864" s="76"/>
      <c r="GW864" s="76"/>
      <c r="GX864" s="76"/>
      <c r="GY864" s="76"/>
      <c r="GZ864" s="76"/>
      <c r="HA864" s="76"/>
      <c r="HB864" s="76"/>
      <c r="HC864" s="76"/>
      <c r="HD864" s="76"/>
      <c r="HE864" s="76"/>
      <c r="HF864" s="76"/>
      <c r="HG864" s="76"/>
      <c r="HH864" s="76"/>
      <c r="HI864" s="76"/>
      <c r="HJ864" s="76"/>
      <c r="HK864" s="76"/>
      <c r="HL864" s="76"/>
      <c r="HM864" s="76"/>
      <c r="HN864" s="76"/>
      <c r="HO864" s="76"/>
      <c r="HP864" s="76"/>
      <c r="HQ864" s="76"/>
      <c r="HR864" s="76"/>
      <c r="HS864" s="76"/>
      <c r="HT864" s="76"/>
      <c r="HU864" s="76"/>
      <c r="HV864" s="76"/>
      <c r="HW864" s="76"/>
      <c r="HX864" s="76"/>
      <c r="HY864" s="76"/>
      <c r="HZ864" s="76"/>
      <c r="IA864" s="76"/>
      <c r="IB864" s="76"/>
      <c r="IC864" s="76"/>
      <c r="ID864" s="76"/>
      <c r="IE864" s="76"/>
      <c r="IF864" s="76"/>
      <c r="IG864" s="76"/>
      <c r="IH864" s="76"/>
      <c r="II864" s="76"/>
      <c r="IJ864" s="76"/>
      <c r="IK864" s="76"/>
      <c r="IL864" s="76"/>
      <c r="IM864" s="76"/>
      <c r="IN864" s="76"/>
      <c r="IO864" s="76"/>
      <c r="IP864" s="76"/>
      <c r="IQ864" s="76"/>
      <c r="IR864" s="76"/>
      <c r="IS864" s="76"/>
      <c r="IT864" s="76"/>
      <c r="IU864" s="76"/>
      <c r="IV864" s="76"/>
    </row>
    <row r="865" spans="1:256">
      <c r="B865" s="39"/>
      <c r="C865" s="39" t="s">
        <v>111</v>
      </c>
      <c r="D865" s="39"/>
      <c r="E865" s="39" t="s">
        <v>1189</v>
      </c>
      <c r="F865" s="84">
        <f>F863/60</f>
        <v>0.17216666666666666</v>
      </c>
      <c r="G865" s="84">
        <f>'HIRE CHARGES'!D545+'HIRE CHARGES'!E545+'HIRE CHARGES'!F545</f>
        <v>924.09999999999991</v>
      </c>
      <c r="H865" s="84">
        <f>ROUND(G865*F865,2)</f>
        <v>159.1</v>
      </c>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c r="AY865" s="76"/>
      <c r="AZ865" s="76"/>
      <c r="BA865" s="76"/>
      <c r="BB865" s="76"/>
      <c r="BC865" s="76"/>
      <c r="BD865" s="76"/>
      <c r="BE865" s="76"/>
      <c r="BF865" s="76"/>
      <c r="BG865" s="76"/>
      <c r="BH865" s="76"/>
      <c r="BI865" s="76"/>
      <c r="BJ865" s="76"/>
      <c r="BK865" s="76"/>
      <c r="BL865" s="76"/>
      <c r="BM865" s="76"/>
      <c r="BN865" s="76"/>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c r="CT865" s="76"/>
      <c r="CU865" s="76"/>
      <c r="CV865" s="76"/>
      <c r="CW865" s="76"/>
      <c r="CX865" s="76"/>
      <c r="CY865" s="76"/>
      <c r="CZ865" s="76"/>
      <c r="DA865" s="76"/>
      <c r="DB865" s="76"/>
      <c r="DC865" s="76"/>
      <c r="DD865" s="76"/>
      <c r="DE865" s="76"/>
      <c r="DF865" s="76"/>
      <c r="DG865" s="76"/>
      <c r="DH865" s="76"/>
      <c r="DI865" s="76"/>
      <c r="DJ865" s="76"/>
      <c r="DK865" s="76"/>
      <c r="DL865" s="76"/>
      <c r="DM865" s="76"/>
      <c r="DN865" s="76"/>
      <c r="DO865" s="76"/>
      <c r="DP865" s="76"/>
      <c r="DQ865" s="76"/>
      <c r="DR865" s="76"/>
      <c r="DS865" s="76"/>
      <c r="DT865" s="76"/>
      <c r="DU865" s="76"/>
      <c r="DV865" s="76"/>
      <c r="DW865" s="76"/>
      <c r="DX865" s="76"/>
      <c r="DY865" s="76"/>
      <c r="DZ865" s="76"/>
      <c r="EA865" s="76"/>
      <c r="EB865" s="76"/>
      <c r="EC865" s="76"/>
      <c r="ED865" s="76"/>
      <c r="EE865" s="76"/>
      <c r="EF865" s="76"/>
      <c r="EG865" s="76"/>
      <c r="EH865" s="76"/>
      <c r="EI865" s="76"/>
      <c r="EJ865" s="76"/>
      <c r="EK865" s="76"/>
      <c r="EL865" s="76"/>
      <c r="EM865" s="76"/>
      <c r="EN865" s="76"/>
      <c r="EO865" s="76"/>
      <c r="EP865" s="76"/>
      <c r="EQ865" s="76"/>
      <c r="ER865" s="76"/>
      <c r="ES865" s="76"/>
      <c r="ET865" s="76"/>
      <c r="EU865" s="76"/>
      <c r="EV865" s="76"/>
      <c r="EW865" s="76"/>
      <c r="EX865" s="76"/>
      <c r="EY865" s="76"/>
      <c r="EZ865" s="76"/>
      <c r="FA865" s="76"/>
      <c r="FB865" s="76"/>
      <c r="FC865" s="76"/>
      <c r="FD865" s="76"/>
      <c r="FE865" s="76"/>
      <c r="FF865" s="76"/>
      <c r="FG865" s="76"/>
      <c r="FH865" s="76"/>
      <c r="FI865" s="76"/>
      <c r="FJ865" s="76"/>
      <c r="FK865" s="76"/>
      <c r="FL865" s="76"/>
      <c r="FM865" s="76"/>
      <c r="FN865" s="76"/>
      <c r="FO865" s="76"/>
      <c r="FP865" s="76"/>
      <c r="FQ865" s="76"/>
      <c r="FR865" s="76"/>
      <c r="FS865" s="76"/>
      <c r="FT865" s="76"/>
      <c r="FU865" s="76"/>
      <c r="FV865" s="76"/>
      <c r="FW865" s="76"/>
      <c r="FX865" s="76"/>
      <c r="FY865" s="76"/>
      <c r="FZ865" s="76"/>
      <c r="GA865" s="76"/>
      <c r="GB865" s="76"/>
      <c r="GC865" s="76"/>
      <c r="GD865" s="76"/>
      <c r="GE865" s="76"/>
      <c r="GF865" s="76"/>
      <c r="GG865" s="76"/>
      <c r="GH865" s="76"/>
      <c r="GI865" s="76"/>
      <c r="GJ865" s="76"/>
      <c r="GK865" s="76"/>
      <c r="GL865" s="76"/>
      <c r="GM865" s="76"/>
      <c r="GN865" s="76"/>
      <c r="GO865" s="76"/>
      <c r="GP865" s="76"/>
      <c r="GQ865" s="76"/>
      <c r="GR865" s="76"/>
      <c r="GS865" s="76"/>
      <c r="GT865" s="76"/>
      <c r="GU865" s="76"/>
      <c r="GV865" s="76"/>
      <c r="GW865" s="76"/>
      <c r="GX865" s="76"/>
      <c r="GY865" s="76"/>
      <c r="GZ865" s="76"/>
      <c r="HA865" s="76"/>
      <c r="HB865" s="76"/>
      <c r="HC865" s="76"/>
      <c r="HD865" s="76"/>
      <c r="HE865" s="76"/>
      <c r="HF865" s="76"/>
      <c r="HG865" s="76"/>
      <c r="HH865" s="76"/>
      <c r="HI865" s="76"/>
      <c r="HJ865" s="76"/>
      <c r="HK865" s="76"/>
      <c r="HL865" s="76"/>
      <c r="HM865" s="76"/>
      <c r="HN865" s="76"/>
      <c r="HO865" s="76"/>
      <c r="HP865" s="76"/>
      <c r="HQ865" s="76"/>
      <c r="HR865" s="76"/>
      <c r="HS865" s="76"/>
      <c r="HT865" s="76"/>
      <c r="HU865" s="76"/>
      <c r="HV865" s="76"/>
      <c r="HW865" s="76"/>
      <c r="HX865" s="76"/>
      <c r="HY865" s="76"/>
      <c r="HZ865" s="76"/>
      <c r="IA865" s="76"/>
      <c r="IB865" s="76"/>
      <c r="IC865" s="76"/>
      <c r="ID865" s="76"/>
      <c r="IE865" s="76"/>
      <c r="IF865" s="76"/>
      <c r="IG865" s="76"/>
      <c r="IH865" s="76"/>
      <c r="II865" s="76"/>
      <c r="IJ865" s="76"/>
      <c r="IK865" s="76"/>
      <c r="IL865" s="76"/>
      <c r="IM865" s="76"/>
      <c r="IN865" s="76"/>
      <c r="IO865" s="76"/>
      <c r="IP865" s="76"/>
      <c r="IQ865" s="76"/>
      <c r="IR865" s="76"/>
      <c r="IS865" s="76"/>
      <c r="IT865" s="76"/>
      <c r="IU865" s="76"/>
      <c r="IV865" s="76"/>
    </row>
    <row r="866" spans="1:256">
      <c r="B866" s="39"/>
      <c r="C866" s="39" t="s">
        <v>112</v>
      </c>
      <c r="D866" s="39"/>
      <c r="E866" s="39" t="s">
        <v>1189</v>
      </c>
      <c r="F866" s="84">
        <f>F858/60</f>
        <v>0.12216666666666667</v>
      </c>
      <c r="G866" s="84">
        <f>'HIRE CHARGES'!D543+'HIRE CHARGES'!E543+'HIRE CHARGES'!F543</f>
        <v>2815.9</v>
      </c>
      <c r="H866" s="84">
        <f>ROUND(G866*F866,2)</f>
        <v>344.01</v>
      </c>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c r="AY866" s="76"/>
      <c r="AZ866" s="76"/>
      <c r="BA866" s="76"/>
      <c r="BB866" s="76"/>
      <c r="BC866" s="76"/>
      <c r="BD866" s="76"/>
      <c r="BE866" s="76"/>
      <c r="BF866" s="76"/>
      <c r="BG866" s="76"/>
      <c r="BH866" s="76"/>
      <c r="BI866" s="76"/>
      <c r="BJ866" s="76"/>
      <c r="BK866" s="76"/>
      <c r="BL866" s="76"/>
      <c r="BM866" s="76"/>
      <c r="BN866" s="76"/>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c r="CT866" s="76"/>
      <c r="CU866" s="76"/>
      <c r="CV866" s="76"/>
      <c r="CW866" s="76"/>
      <c r="CX866" s="76"/>
      <c r="CY866" s="76"/>
      <c r="CZ866" s="76"/>
      <c r="DA866" s="76"/>
      <c r="DB866" s="76"/>
      <c r="DC866" s="76"/>
      <c r="DD866" s="76"/>
      <c r="DE866" s="76"/>
      <c r="DF866" s="76"/>
      <c r="DG866" s="76"/>
      <c r="DH866" s="76"/>
      <c r="DI866" s="76"/>
      <c r="DJ866" s="76"/>
      <c r="DK866" s="76"/>
      <c r="DL866" s="76"/>
      <c r="DM866" s="76"/>
      <c r="DN866" s="76"/>
      <c r="DO866" s="76"/>
      <c r="DP866" s="76"/>
      <c r="DQ866" s="76"/>
      <c r="DR866" s="76"/>
      <c r="DS866" s="76"/>
      <c r="DT866" s="76"/>
      <c r="DU866" s="76"/>
      <c r="DV866" s="76"/>
      <c r="DW866" s="76"/>
      <c r="DX866" s="76"/>
      <c r="DY866" s="76"/>
      <c r="DZ866" s="76"/>
      <c r="EA866" s="76"/>
      <c r="EB866" s="76"/>
      <c r="EC866" s="76"/>
      <c r="ED866" s="76"/>
      <c r="EE866" s="76"/>
      <c r="EF866" s="76"/>
      <c r="EG866" s="76"/>
      <c r="EH866" s="76"/>
      <c r="EI866" s="76"/>
      <c r="EJ866" s="76"/>
      <c r="EK866" s="76"/>
      <c r="EL866" s="76"/>
      <c r="EM866" s="76"/>
      <c r="EN866" s="76"/>
      <c r="EO866" s="76"/>
      <c r="EP866" s="76"/>
      <c r="EQ866" s="76"/>
      <c r="ER866" s="76"/>
      <c r="ES866" s="76"/>
      <c r="ET866" s="76"/>
      <c r="EU866" s="76"/>
      <c r="EV866" s="76"/>
      <c r="EW866" s="76"/>
      <c r="EX866" s="76"/>
      <c r="EY866" s="76"/>
      <c r="EZ866" s="76"/>
      <c r="FA866" s="76"/>
      <c r="FB866" s="76"/>
      <c r="FC866" s="76"/>
      <c r="FD866" s="76"/>
      <c r="FE866" s="76"/>
      <c r="FF866" s="76"/>
      <c r="FG866" s="76"/>
      <c r="FH866" s="76"/>
      <c r="FI866" s="76"/>
      <c r="FJ866" s="76"/>
      <c r="FK866" s="76"/>
      <c r="FL866" s="76"/>
      <c r="FM866" s="76"/>
      <c r="FN866" s="76"/>
      <c r="FO866" s="76"/>
      <c r="FP866" s="76"/>
      <c r="FQ866" s="76"/>
      <c r="FR866" s="76"/>
      <c r="FS866" s="76"/>
      <c r="FT866" s="76"/>
      <c r="FU866" s="76"/>
      <c r="FV866" s="76"/>
      <c r="FW866" s="76"/>
      <c r="FX866" s="76"/>
      <c r="FY866" s="76"/>
      <c r="FZ866" s="76"/>
      <c r="GA866" s="76"/>
      <c r="GB866" s="76"/>
      <c r="GC866" s="76"/>
      <c r="GD866" s="76"/>
      <c r="GE866" s="76"/>
      <c r="GF866" s="76"/>
      <c r="GG866" s="76"/>
      <c r="GH866" s="76"/>
      <c r="GI866" s="76"/>
      <c r="GJ866" s="76"/>
      <c r="GK866" s="76"/>
      <c r="GL866" s="76"/>
      <c r="GM866" s="76"/>
      <c r="GN866" s="76"/>
      <c r="GO866" s="76"/>
      <c r="GP866" s="76"/>
      <c r="GQ866" s="76"/>
      <c r="GR866" s="76"/>
      <c r="GS866" s="76"/>
      <c r="GT866" s="76"/>
      <c r="GU866" s="76"/>
      <c r="GV866" s="76"/>
      <c r="GW866" s="76"/>
      <c r="GX866" s="76"/>
      <c r="GY866" s="76"/>
      <c r="GZ866" s="76"/>
      <c r="HA866" s="76"/>
      <c r="HB866" s="76"/>
      <c r="HC866" s="76"/>
      <c r="HD866" s="76"/>
      <c r="HE866" s="76"/>
      <c r="HF866" s="76"/>
      <c r="HG866" s="76"/>
      <c r="HH866" s="76"/>
      <c r="HI866" s="76"/>
      <c r="HJ866" s="76"/>
      <c r="HK866" s="76"/>
      <c r="HL866" s="76"/>
      <c r="HM866" s="76"/>
      <c r="HN866" s="76"/>
      <c r="HO866" s="76"/>
      <c r="HP866" s="76"/>
      <c r="HQ866" s="76"/>
      <c r="HR866" s="76"/>
      <c r="HS866" s="76"/>
      <c r="HT866" s="76"/>
      <c r="HU866" s="76"/>
      <c r="HV866" s="76"/>
      <c r="HW866" s="76"/>
      <c r="HX866" s="76"/>
      <c r="HY866" s="76"/>
      <c r="HZ866" s="76"/>
      <c r="IA866" s="76"/>
      <c r="IB866" s="76"/>
      <c r="IC866" s="76"/>
      <c r="ID866" s="76"/>
      <c r="IE866" s="76"/>
      <c r="IF866" s="76"/>
      <c r="IG866" s="76"/>
      <c r="IH866" s="76"/>
      <c r="II866" s="76"/>
      <c r="IJ866" s="76"/>
      <c r="IK866" s="76"/>
      <c r="IL866" s="76"/>
      <c r="IM866" s="76"/>
      <c r="IN866" s="76"/>
      <c r="IO866" s="76"/>
      <c r="IP866" s="76"/>
      <c r="IQ866" s="76"/>
      <c r="IR866" s="76"/>
      <c r="IS866" s="76"/>
      <c r="IT866" s="76"/>
      <c r="IU866" s="76"/>
      <c r="IV866" s="76"/>
    </row>
    <row r="867" spans="1:256">
      <c r="B867" s="39"/>
      <c r="C867" s="39" t="s">
        <v>113</v>
      </c>
      <c r="D867" s="39"/>
      <c r="E867" s="39"/>
      <c r="F867" s="129"/>
      <c r="G867" s="39"/>
      <c r="H867" s="84"/>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c r="AY867" s="76"/>
      <c r="AZ867" s="76"/>
      <c r="BA867" s="76"/>
      <c r="BB867" s="76"/>
      <c r="BC867" s="76"/>
      <c r="BD867" s="76"/>
      <c r="BE867" s="76"/>
      <c r="BF867" s="76"/>
      <c r="BG867" s="76"/>
      <c r="BH867" s="76"/>
      <c r="BI867" s="76"/>
      <c r="BJ867" s="76"/>
      <c r="BK867" s="76"/>
      <c r="BL867" s="76"/>
      <c r="BM867" s="76"/>
      <c r="BN867" s="76"/>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c r="CT867" s="76"/>
      <c r="CU867" s="76"/>
      <c r="CV867" s="76"/>
      <c r="CW867" s="76"/>
      <c r="CX867" s="76"/>
      <c r="CY867" s="76"/>
      <c r="CZ867" s="76"/>
      <c r="DA867" s="76"/>
      <c r="DB867" s="76"/>
      <c r="DC867" s="76"/>
      <c r="DD867" s="76"/>
      <c r="DE867" s="76"/>
      <c r="DF867" s="76"/>
      <c r="DG867" s="76"/>
      <c r="DH867" s="76"/>
      <c r="DI867" s="76"/>
      <c r="DJ867" s="76"/>
      <c r="DK867" s="76"/>
      <c r="DL867" s="76"/>
      <c r="DM867" s="76"/>
      <c r="DN867" s="76"/>
      <c r="DO867" s="76"/>
      <c r="DP867" s="76"/>
      <c r="DQ867" s="76"/>
      <c r="DR867" s="76"/>
      <c r="DS867" s="76"/>
      <c r="DT867" s="76"/>
      <c r="DU867" s="76"/>
      <c r="DV867" s="76"/>
      <c r="DW867" s="76"/>
      <c r="DX867" s="76"/>
      <c r="DY867" s="76"/>
      <c r="DZ867" s="76"/>
      <c r="EA867" s="76"/>
      <c r="EB867" s="76"/>
      <c r="EC867" s="76"/>
      <c r="ED867" s="76"/>
      <c r="EE867" s="76"/>
      <c r="EF867" s="76"/>
      <c r="EG867" s="76"/>
      <c r="EH867" s="76"/>
      <c r="EI867" s="76"/>
      <c r="EJ867" s="76"/>
      <c r="EK867" s="76"/>
      <c r="EL867" s="76"/>
      <c r="EM867" s="76"/>
      <c r="EN867" s="76"/>
      <c r="EO867" s="76"/>
      <c r="EP867" s="76"/>
      <c r="EQ867" s="76"/>
      <c r="ER867" s="76"/>
      <c r="ES867" s="76"/>
      <c r="ET867" s="76"/>
      <c r="EU867" s="76"/>
      <c r="EV867" s="76"/>
      <c r="EW867" s="76"/>
      <c r="EX867" s="76"/>
      <c r="EY867" s="76"/>
      <c r="EZ867" s="76"/>
      <c r="FA867" s="76"/>
      <c r="FB867" s="76"/>
      <c r="FC867" s="76"/>
      <c r="FD867" s="76"/>
      <c r="FE867" s="76"/>
      <c r="FF867" s="76"/>
      <c r="FG867" s="76"/>
      <c r="FH867" s="76"/>
      <c r="FI867" s="76"/>
      <c r="FJ867" s="76"/>
      <c r="FK867" s="76"/>
      <c r="FL867" s="76"/>
      <c r="FM867" s="76"/>
      <c r="FN867" s="76"/>
      <c r="FO867" s="76"/>
      <c r="FP867" s="76"/>
      <c r="FQ867" s="76"/>
      <c r="FR867" s="76"/>
      <c r="FS867" s="76"/>
      <c r="FT867" s="76"/>
      <c r="FU867" s="76"/>
      <c r="FV867" s="76"/>
      <c r="FW867" s="76"/>
      <c r="FX867" s="76"/>
      <c r="FY867" s="76"/>
      <c r="FZ867" s="76"/>
      <c r="GA867" s="76"/>
      <c r="GB867" s="76"/>
      <c r="GC867" s="76"/>
      <c r="GD867" s="76"/>
      <c r="GE867" s="76"/>
      <c r="GF867" s="76"/>
      <c r="GG867" s="76"/>
      <c r="GH867" s="76"/>
      <c r="GI867" s="76"/>
      <c r="GJ867" s="76"/>
      <c r="GK867" s="76"/>
      <c r="GL867" s="76"/>
      <c r="GM867" s="76"/>
      <c r="GN867" s="76"/>
      <c r="GO867" s="76"/>
      <c r="GP867" s="76"/>
      <c r="GQ867" s="76"/>
      <c r="GR867" s="76"/>
      <c r="GS867" s="76"/>
      <c r="GT867" s="76"/>
      <c r="GU867" s="76"/>
      <c r="GV867" s="76"/>
      <c r="GW867" s="76"/>
      <c r="GX867" s="76"/>
      <c r="GY867" s="76"/>
      <c r="GZ867" s="76"/>
      <c r="HA867" s="76"/>
      <c r="HB867" s="76"/>
      <c r="HC867" s="76"/>
      <c r="HD867" s="76"/>
      <c r="HE867" s="76"/>
      <c r="HF867" s="76"/>
      <c r="HG867" s="76"/>
      <c r="HH867" s="76"/>
      <c r="HI867" s="76"/>
      <c r="HJ867" s="76"/>
      <c r="HK867" s="76"/>
      <c r="HL867" s="76"/>
      <c r="HM867" s="76"/>
      <c r="HN867" s="76"/>
      <c r="HO867" s="76"/>
      <c r="HP867" s="76"/>
      <c r="HQ867" s="76"/>
      <c r="HR867" s="76"/>
      <c r="HS867" s="76"/>
      <c r="HT867" s="76"/>
      <c r="HU867" s="76"/>
      <c r="HV867" s="76"/>
      <c r="HW867" s="76"/>
      <c r="HX867" s="76"/>
      <c r="HY867" s="76"/>
      <c r="HZ867" s="76"/>
      <c r="IA867" s="76"/>
      <c r="IB867" s="76"/>
      <c r="IC867" s="76"/>
      <c r="ID867" s="76"/>
      <c r="IE867" s="76"/>
      <c r="IF867" s="76"/>
      <c r="IG867" s="76"/>
      <c r="IH867" s="76"/>
      <c r="II867" s="76"/>
      <c r="IJ867" s="76"/>
      <c r="IK867" s="76"/>
      <c r="IL867" s="76"/>
      <c r="IM867" s="76"/>
      <c r="IN867" s="76"/>
      <c r="IO867" s="76"/>
      <c r="IP867" s="76"/>
      <c r="IQ867" s="76"/>
      <c r="IR867" s="76"/>
      <c r="IS867" s="76"/>
      <c r="IT867" s="76"/>
      <c r="IU867" s="76"/>
      <c r="IV867" s="76"/>
    </row>
    <row r="868" spans="1:256">
      <c r="B868" s="39"/>
      <c r="C868" s="39" t="s">
        <v>217</v>
      </c>
      <c r="D868" s="39"/>
      <c r="E868" s="39"/>
      <c r="F868" s="129"/>
      <c r="G868" s="39"/>
      <c r="H868" s="84">
        <f>SUM(H865:H867)</f>
        <v>503.11</v>
      </c>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c r="AY868" s="76"/>
      <c r="AZ868" s="76"/>
      <c r="BA868" s="76"/>
      <c r="BB868" s="76"/>
      <c r="BC868" s="76"/>
      <c r="BD868" s="76"/>
      <c r="BE868" s="76"/>
      <c r="BF868" s="76"/>
      <c r="BG868" s="76"/>
      <c r="BH868" s="76"/>
      <c r="BI868" s="76"/>
      <c r="BJ868" s="76"/>
      <c r="BK868" s="76"/>
      <c r="BL868" s="76"/>
      <c r="BM868" s="76"/>
      <c r="BN868" s="76"/>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c r="CT868" s="76"/>
      <c r="CU868" s="76"/>
      <c r="CV868" s="76"/>
      <c r="CW868" s="76"/>
      <c r="CX868" s="76"/>
      <c r="CY868" s="76"/>
      <c r="CZ868" s="76"/>
      <c r="DA868" s="76"/>
      <c r="DB868" s="76"/>
      <c r="DC868" s="76"/>
      <c r="DD868" s="76"/>
      <c r="DE868" s="76"/>
      <c r="DF868" s="76"/>
      <c r="DG868" s="76"/>
      <c r="DH868" s="76"/>
      <c r="DI868" s="76"/>
      <c r="DJ868" s="76"/>
      <c r="DK868" s="76"/>
      <c r="DL868" s="76"/>
      <c r="DM868" s="76"/>
      <c r="DN868" s="76"/>
      <c r="DO868" s="76"/>
      <c r="DP868" s="76"/>
      <c r="DQ868" s="76"/>
      <c r="DR868" s="76"/>
      <c r="DS868" s="76"/>
      <c r="DT868" s="76"/>
      <c r="DU868" s="76"/>
      <c r="DV868" s="76"/>
      <c r="DW868" s="76"/>
      <c r="DX868" s="76"/>
      <c r="DY868" s="76"/>
      <c r="DZ868" s="76"/>
      <c r="EA868" s="76"/>
      <c r="EB868" s="76"/>
      <c r="EC868" s="76"/>
      <c r="ED868" s="76"/>
      <c r="EE868" s="76"/>
      <c r="EF868" s="76"/>
      <c r="EG868" s="76"/>
      <c r="EH868" s="76"/>
      <c r="EI868" s="76"/>
      <c r="EJ868" s="76"/>
      <c r="EK868" s="76"/>
      <c r="EL868" s="76"/>
      <c r="EM868" s="76"/>
      <c r="EN868" s="76"/>
      <c r="EO868" s="76"/>
      <c r="EP868" s="76"/>
      <c r="EQ868" s="76"/>
      <c r="ER868" s="76"/>
      <c r="ES868" s="76"/>
      <c r="ET868" s="76"/>
      <c r="EU868" s="76"/>
      <c r="EV868" s="76"/>
      <c r="EW868" s="76"/>
      <c r="EX868" s="76"/>
      <c r="EY868" s="76"/>
      <c r="EZ868" s="76"/>
      <c r="FA868" s="76"/>
      <c r="FB868" s="76"/>
      <c r="FC868" s="76"/>
      <c r="FD868" s="76"/>
      <c r="FE868" s="76"/>
      <c r="FF868" s="76"/>
      <c r="FG868" s="76"/>
      <c r="FH868" s="76"/>
      <c r="FI868" s="76"/>
      <c r="FJ868" s="76"/>
      <c r="FK868" s="76"/>
      <c r="FL868" s="76"/>
      <c r="FM868" s="76"/>
      <c r="FN868" s="76"/>
      <c r="FO868" s="76"/>
      <c r="FP868" s="76"/>
      <c r="FQ868" s="76"/>
      <c r="FR868" s="76"/>
      <c r="FS868" s="76"/>
      <c r="FT868" s="76"/>
      <c r="FU868" s="76"/>
      <c r="FV868" s="76"/>
      <c r="FW868" s="76"/>
      <c r="FX868" s="76"/>
      <c r="FY868" s="76"/>
      <c r="FZ868" s="76"/>
      <c r="GA868" s="76"/>
      <c r="GB868" s="76"/>
      <c r="GC868" s="76"/>
      <c r="GD868" s="76"/>
      <c r="GE868" s="76"/>
      <c r="GF868" s="76"/>
      <c r="GG868" s="76"/>
      <c r="GH868" s="76"/>
      <c r="GI868" s="76"/>
      <c r="GJ868" s="76"/>
      <c r="GK868" s="76"/>
      <c r="GL868" s="76"/>
      <c r="GM868" s="76"/>
      <c r="GN868" s="76"/>
      <c r="GO868" s="76"/>
      <c r="GP868" s="76"/>
      <c r="GQ868" s="76"/>
      <c r="GR868" s="76"/>
      <c r="GS868" s="76"/>
      <c r="GT868" s="76"/>
      <c r="GU868" s="76"/>
      <c r="GV868" s="76"/>
      <c r="GW868" s="76"/>
      <c r="GX868" s="76"/>
      <c r="GY868" s="76"/>
      <c r="GZ868" s="76"/>
      <c r="HA868" s="76"/>
      <c r="HB868" s="76"/>
      <c r="HC868" s="76"/>
      <c r="HD868" s="76"/>
      <c r="HE868" s="76"/>
      <c r="HF868" s="76"/>
      <c r="HG868" s="76"/>
      <c r="HH868" s="76"/>
      <c r="HI868" s="76"/>
      <c r="HJ868" s="76"/>
      <c r="HK868" s="76"/>
      <c r="HL868" s="76"/>
      <c r="HM868" s="76"/>
      <c r="HN868" s="76"/>
      <c r="HO868" s="76"/>
      <c r="HP868" s="76"/>
      <c r="HQ868" s="76"/>
      <c r="HR868" s="76"/>
      <c r="HS868" s="76"/>
      <c r="HT868" s="76"/>
      <c r="HU868" s="76"/>
      <c r="HV868" s="76"/>
      <c r="HW868" s="76"/>
      <c r="HX868" s="76"/>
      <c r="HY868" s="76"/>
      <c r="HZ868" s="76"/>
      <c r="IA868" s="76"/>
      <c r="IB868" s="76"/>
      <c r="IC868" s="76"/>
      <c r="ID868" s="76"/>
      <c r="IE868" s="76"/>
      <c r="IF868" s="76"/>
      <c r="IG868" s="76"/>
      <c r="IH868" s="76"/>
      <c r="II868" s="76"/>
      <c r="IJ868" s="76"/>
      <c r="IK868" s="76"/>
      <c r="IL868" s="76"/>
      <c r="IM868" s="76"/>
      <c r="IN868" s="76"/>
      <c r="IO868" s="76"/>
      <c r="IP868" s="76"/>
      <c r="IQ868" s="76"/>
      <c r="IR868" s="76"/>
      <c r="IS868" s="76"/>
      <c r="IT868" s="76"/>
      <c r="IU868" s="76"/>
      <c r="IV868" s="76"/>
    </row>
    <row r="869" spans="1:256" ht="36">
      <c r="B869" s="39"/>
      <c r="C869" s="63" t="s">
        <v>8365</v>
      </c>
      <c r="D869" s="1027">
        <f>'BASIC DATA'!$C$577</f>
        <v>0.13614999999999999</v>
      </c>
      <c r="E869" s="39"/>
      <c r="F869" s="129"/>
      <c r="G869" s="39"/>
      <c r="H869" s="84">
        <f>ROUND(H868*D869,2)</f>
        <v>68.5</v>
      </c>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c r="AY869" s="76"/>
      <c r="AZ869" s="76"/>
      <c r="BA869" s="76"/>
      <c r="BB869" s="76"/>
      <c r="BC869" s="76"/>
      <c r="BD869" s="76"/>
      <c r="BE869" s="76"/>
      <c r="BF869" s="76"/>
      <c r="BG869" s="76"/>
      <c r="BH869" s="76"/>
      <c r="BI869" s="76"/>
      <c r="BJ869" s="76"/>
      <c r="BK869" s="76"/>
      <c r="BL869" s="76"/>
      <c r="BM869" s="76"/>
      <c r="BN869" s="76"/>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c r="CT869" s="76"/>
      <c r="CU869" s="76"/>
      <c r="CV869" s="76"/>
      <c r="CW869" s="76"/>
      <c r="CX869" s="76"/>
      <c r="CY869" s="76"/>
      <c r="CZ869" s="76"/>
      <c r="DA869" s="76"/>
      <c r="DB869" s="76"/>
      <c r="DC869" s="76"/>
      <c r="DD869" s="76"/>
      <c r="DE869" s="76"/>
      <c r="DF869" s="76"/>
      <c r="DG869" s="76"/>
      <c r="DH869" s="76"/>
      <c r="DI869" s="76"/>
      <c r="DJ869" s="76"/>
      <c r="DK869" s="76"/>
      <c r="DL869" s="76"/>
      <c r="DM869" s="76"/>
      <c r="DN869" s="76"/>
      <c r="DO869" s="76"/>
      <c r="DP869" s="76"/>
      <c r="DQ869" s="76"/>
      <c r="DR869" s="76"/>
      <c r="DS869" s="76"/>
      <c r="DT869" s="76"/>
      <c r="DU869" s="76"/>
      <c r="DV869" s="76"/>
      <c r="DW869" s="76"/>
      <c r="DX869" s="76"/>
      <c r="DY869" s="76"/>
      <c r="DZ869" s="76"/>
      <c r="EA869" s="76"/>
      <c r="EB869" s="76"/>
      <c r="EC869" s="76"/>
      <c r="ED869" s="76"/>
      <c r="EE869" s="76"/>
      <c r="EF869" s="76"/>
      <c r="EG869" s="76"/>
      <c r="EH869" s="76"/>
      <c r="EI869" s="76"/>
      <c r="EJ869" s="76"/>
      <c r="EK869" s="76"/>
      <c r="EL869" s="76"/>
      <c r="EM869" s="76"/>
      <c r="EN869" s="76"/>
      <c r="EO869" s="76"/>
      <c r="EP869" s="76"/>
      <c r="EQ869" s="76"/>
      <c r="ER869" s="76"/>
      <c r="ES869" s="76"/>
      <c r="ET869" s="76"/>
      <c r="EU869" s="76"/>
      <c r="EV869" s="76"/>
      <c r="EW869" s="76"/>
      <c r="EX869" s="76"/>
      <c r="EY869" s="76"/>
      <c r="EZ869" s="76"/>
      <c r="FA869" s="76"/>
      <c r="FB869" s="76"/>
      <c r="FC869" s="76"/>
      <c r="FD869" s="76"/>
      <c r="FE869" s="76"/>
      <c r="FF869" s="76"/>
      <c r="FG869" s="76"/>
      <c r="FH869" s="76"/>
      <c r="FI869" s="76"/>
      <c r="FJ869" s="76"/>
      <c r="FK869" s="76"/>
      <c r="FL869" s="76"/>
      <c r="FM869" s="76"/>
      <c r="FN869" s="76"/>
      <c r="FO869" s="76"/>
      <c r="FP869" s="76"/>
      <c r="FQ869" s="76"/>
      <c r="FR869" s="76"/>
      <c r="FS869" s="76"/>
      <c r="FT869" s="76"/>
      <c r="FU869" s="76"/>
      <c r="FV869" s="76"/>
      <c r="FW869" s="76"/>
      <c r="FX869" s="76"/>
      <c r="FY869" s="76"/>
      <c r="FZ869" s="76"/>
      <c r="GA869" s="76"/>
      <c r="GB869" s="76"/>
      <c r="GC869" s="76"/>
      <c r="GD869" s="76"/>
      <c r="GE869" s="76"/>
      <c r="GF869" s="76"/>
      <c r="GG869" s="76"/>
      <c r="GH869" s="76"/>
      <c r="GI869" s="76"/>
      <c r="GJ869" s="76"/>
      <c r="GK869" s="76"/>
      <c r="GL869" s="76"/>
      <c r="GM869" s="76"/>
      <c r="GN869" s="76"/>
      <c r="GO869" s="76"/>
      <c r="GP869" s="76"/>
      <c r="GQ869" s="76"/>
      <c r="GR869" s="76"/>
      <c r="GS869" s="76"/>
      <c r="GT869" s="76"/>
      <c r="GU869" s="76"/>
      <c r="GV869" s="76"/>
      <c r="GW869" s="76"/>
      <c r="GX869" s="76"/>
      <c r="GY869" s="76"/>
      <c r="GZ869" s="76"/>
      <c r="HA869" s="76"/>
      <c r="HB869" s="76"/>
      <c r="HC869" s="76"/>
      <c r="HD869" s="76"/>
      <c r="HE869" s="76"/>
      <c r="HF869" s="76"/>
      <c r="HG869" s="76"/>
      <c r="HH869" s="76"/>
      <c r="HI869" s="76"/>
      <c r="HJ869" s="76"/>
      <c r="HK869" s="76"/>
      <c r="HL869" s="76"/>
      <c r="HM869" s="76"/>
      <c r="HN869" s="76"/>
      <c r="HO869" s="76"/>
      <c r="HP869" s="76"/>
      <c r="HQ869" s="76"/>
      <c r="HR869" s="76"/>
      <c r="HS869" s="76"/>
      <c r="HT869" s="76"/>
      <c r="HU869" s="76"/>
      <c r="HV869" s="76"/>
      <c r="HW869" s="76"/>
      <c r="HX869" s="76"/>
      <c r="HY869" s="76"/>
      <c r="HZ869" s="76"/>
      <c r="IA869" s="76"/>
      <c r="IB869" s="76"/>
      <c r="IC869" s="76"/>
      <c r="ID869" s="76"/>
      <c r="IE869" s="76"/>
      <c r="IF869" s="76"/>
      <c r="IG869" s="76"/>
      <c r="IH869" s="76"/>
      <c r="II869" s="76"/>
      <c r="IJ869" s="76"/>
      <c r="IK869" s="76"/>
      <c r="IL869" s="76"/>
      <c r="IM869" s="76"/>
      <c r="IN869" s="76"/>
      <c r="IO869" s="76"/>
      <c r="IP869" s="76"/>
      <c r="IQ869" s="76"/>
      <c r="IR869" s="76"/>
      <c r="IS869" s="76"/>
      <c r="IT869" s="76"/>
      <c r="IU869" s="76"/>
      <c r="IV869" s="76"/>
    </row>
    <row r="870" spans="1:256">
      <c r="B870" s="39"/>
      <c r="C870" s="39" t="s">
        <v>114</v>
      </c>
      <c r="D870" s="39"/>
      <c r="E870" s="39"/>
      <c r="F870" s="129"/>
      <c r="G870" s="39" t="s">
        <v>4108</v>
      </c>
      <c r="H870" s="84">
        <f>ROUND(SUM(H868:H869)/5.5,1)</f>
        <v>103.9</v>
      </c>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c r="AY870" s="76"/>
      <c r="AZ870" s="76"/>
      <c r="BA870" s="76"/>
      <c r="BB870" s="76"/>
      <c r="BC870" s="76"/>
      <c r="BD870" s="76"/>
      <c r="BE870" s="76"/>
      <c r="BF870" s="76"/>
      <c r="BG870" s="76"/>
      <c r="BH870" s="76"/>
      <c r="BI870" s="76"/>
      <c r="BJ870" s="76"/>
      <c r="BK870" s="76"/>
      <c r="BL870" s="76"/>
      <c r="BM870" s="76"/>
      <c r="BN870" s="76"/>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c r="CT870" s="76"/>
      <c r="CU870" s="76"/>
      <c r="CV870" s="76"/>
      <c r="CW870" s="76"/>
      <c r="CX870" s="76"/>
      <c r="CY870" s="76"/>
      <c r="CZ870" s="76"/>
      <c r="DA870" s="76"/>
      <c r="DB870" s="76"/>
      <c r="DC870" s="76"/>
      <c r="DD870" s="76"/>
      <c r="DE870" s="76"/>
      <c r="DF870" s="76"/>
      <c r="DG870" s="76"/>
      <c r="DH870" s="76"/>
      <c r="DI870" s="76"/>
      <c r="DJ870" s="76"/>
      <c r="DK870" s="76"/>
      <c r="DL870" s="76"/>
      <c r="DM870" s="76"/>
      <c r="DN870" s="76"/>
      <c r="DO870" s="76"/>
      <c r="DP870" s="76"/>
      <c r="DQ870" s="76"/>
      <c r="DR870" s="76"/>
      <c r="DS870" s="76"/>
      <c r="DT870" s="76"/>
      <c r="DU870" s="76"/>
      <c r="DV870" s="76"/>
      <c r="DW870" s="76"/>
      <c r="DX870" s="76"/>
      <c r="DY870" s="76"/>
      <c r="DZ870" s="76"/>
      <c r="EA870" s="76"/>
      <c r="EB870" s="76"/>
      <c r="EC870" s="76"/>
      <c r="ED870" s="76"/>
      <c r="EE870" s="76"/>
      <c r="EF870" s="76"/>
      <c r="EG870" s="76"/>
      <c r="EH870" s="76"/>
      <c r="EI870" s="76"/>
      <c r="EJ870" s="76"/>
      <c r="EK870" s="76"/>
      <c r="EL870" s="76"/>
      <c r="EM870" s="76"/>
      <c r="EN870" s="76"/>
      <c r="EO870" s="76"/>
      <c r="EP870" s="76"/>
      <c r="EQ870" s="76"/>
      <c r="ER870" s="76"/>
      <c r="ES870" s="76"/>
      <c r="ET870" s="76"/>
      <c r="EU870" s="76"/>
      <c r="EV870" s="76"/>
      <c r="EW870" s="76"/>
      <c r="EX870" s="76"/>
      <c r="EY870" s="76"/>
      <c r="EZ870" s="76"/>
      <c r="FA870" s="76"/>
      <c r="FB870" s="76"/>
      <c r="FC870" s="76"/>
      <c r="FD870" s="76"/>
      <c r="FE870" s="76"/>
      <c r="FF870" s="76"/>
      <c r="FG870" s="76"/>
      <c r="FH870" s="76"/>
      <c r="FI870" s="76"/>
      <c r="FJ870" s="76"/>
      <c r="FK870" s="76"/>
      <c r="FL870" s="76"/>
      <c r="FM870" s="76"/>
      <c r="FN870" s="76"/>
      <c r="FO870" s="76"/>
      <c r="FP870" s="76"/>
      <c r="FQ870" s="76"/>
      <c r="FR870" s="76"/>
      <c r="FS870" s="76"/>
      <c r="FT870" s="76"/>
      <c r="FU870" s="76"/>
      <c r="FV870" s="76"/>
      <c r="FW870" s="76"/>
      <c r="FX870" s="76"/>
      <c r="FY870" s="76"/>
      <c r="FZ870" s="76"/>
      <c r="GA870" s="76"/>
      <c r="GB870" s="76"/>
      <c r="GC870" s="76"/>
      <c r="GD870" s="76"/>
      <c r="GE870" s="76"/>
      <c r="GF870" s="76"/>
      <c r="GG870" s="76"/>
      <c r="GH870" s="76"/>
      <c r="GI870" s="76"/>
      <c r="GJ870" s="76"/>
      <c r="GK870" s="76"/>
      <c r="GL870" s="76"/>
      <c r="GM870" s="76"/>
      <c r="GN870" s="76"/>
      <c r="GO870" s="76"/>
      <c r="GP870" s="76"/>
      <c r="GQ870" s="76"/>
      <c r="GR870" s="76"/>
      <c r="GS870" s="76"/>
      <c r="GT870" s="76"/>
      <c r="GU870" s="76"/>
      <c r="GV870" s="76"/>
      <c r="GW870" s="76"/>
      <c r="GX870" s="76"/>
      <c r="GY870" s="76"/>
      <c r="GZ870" s="76"/>
      <c r="HA870" s="76"/>
      <c r="HB870" s="76"/>
      <c r="HC870" s="76"/>
      <c r="HD870" s="76"/>
      <c r="HE870" s="76"/>
      <c r="HF870" s="76"/>
      <c r="HG870" s="76"/>
      <c r="HH870" s="76"/>
      <c r="HI870" s="76"/>
      <c r="HJ870" s="76"/>
      <c r="HK870" s="76"/>
      <c r="HL870" s="76"/>
      <c r="HM870" s="76"/>
      <c r="HN870" s="76"/>
      <c r="HO870" s="76"/>
      <c r="HP870" s="76"/>
      <c r="HQ870" s="76"/>
      <c r="HR870" s="76"/>
      <c r="HS870" s="76"/>
      <c r="HT870" s="76"/>
      <c r="HU870" s="76"/>
      <c r="HV870" s="76"/>
      <c r="HW870" s="76"/>
      <c r="HX870" s="76"/>
      <c r="HY870" s="76"/>
      <c r="HZ870" s="76"/>
      <c r="IA870" s="76"/>
      <c r="IB870" s="76"/>
      <c r="IC870" s="76"/>
      <c r="ID870" s="76"/>
      <c r="IE870" s="76"/>
      <c r="IF870" s="76"/>
      <c r="IG870" s="76"/>
      <c r="IH870" s="76"/>
      <c r="II870" s="76"/>
      <c r="IJ870" s="76"/>
      <c r="IK870" s="76"/>
      <c r="IL870" s="76"/>
      <c r="IM870" s="76"/>
      <c r="IN870" s="76"/>
      <c r="IO870" s="76"/>
      <c r="IP870" s="76"/>
      <c r="IQ870" s="76"/>
      <c r="IR870" s="76"/>
      <c r="IS870" s="76"/>
      <c r="IT870" s="76"/>
      <c r="IU870" s="76"/>
      <c r="IV870" s="76"/>
    </row>
    <row r="871" spans="1:25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c r="AY871" s="76"/>
      <c r="AZ871" s="76"/>
      <c r="BA871" s="76"/>
      <c r="BB871" s="76"/>
      <c r="BC871" s="76"/>
      <c r="BD871" s="76"/>
      <c r="BE871" s="76"/>
      <c r="BF871" s="76"/>
      <c r="BG871" s="76"/>
      <c r="BH871" s="76"/>
      <c r="BI871" s="76"/>
      <c r="BJ871" s="76"/>
      <c r="BK871" s="76"/>
      <c r="BL871" s="76"/>
      <c r="BM871" s="76"/>
      <c r="BN871" s="76"/>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c r="CT871" s="76"/>
      <c r="CU871" s="76"/>
      <c r="CV871" s="76"/>
      <c r="CW871" s="76"/>
      <c r="CX871" s="76"/>
      <c r="CY871" s="76"/>
      <c r="CZ871" s="76"/>
      <c r="DA871" s="76"/>
      <c r="DB871" s="76"/>
      <c r="DC871" s="76"/>
      <c r="DD871" s="76"/>
      <c r="DE871" s="76"/>
      <c r="DF871" s="76"/>
      <c r="DG871" s="76"/>
      <c r="DH871" s="76"/>
      <c r="DI871" s="76"/>
      <c r="DJ871" s="76"/>
      <c r="DK871" s="76"/>
      <c r="DL871" s="76"/>
      <c r="DM871" s="76"/>
      <c r="DN871" s="76"/>
      <c r="DO871" s="76"/>
      <c r="DP871" s="76"/>
      <c r="DQ871" s="76"/>
      <c r="DR871" s="76"/>
      <c r="DS871" s="76"/>
      <c r="DT871" s="76"/>
      <c r="DU871" s="76"/>
      <c r="DV871" s="76"/>
      <c r="DW871" s="76"/>
      <c r="DX871" s="76"/>
      <c r="DY871" s="76"/>
      <c r="DZ871" s="76"/>
      <c r="EA871" s="76"/>
      <c r="EB871" s="76"/>
      <c r="EC871" s="76"/>
      <c r="ED871" s="76"/>
      <c r="EE871" s="76"/>
      <c r="EF871" s="76"/>
      <c r="EG871" s="76"/>
      <c r="EH871" s="76"/>
      <c r="EI871" s="76"/>
      <c r="EJ871" s="76"/>
      <c r="EK871" s="76"/>
      <c r="EL871" s="76"/>
      <c r="EM871" s="76"/>
      <c r="EN871" s="76"/>
      <c r="EO871" s="76"/>
      <c r="EP871" s="76"/>
      <c r="EQ871" s="76"/>
      <c r="ER871" s="76"/>
      <c r="ES871" s="76"/>
      <c r="ET871" s="76"/>
      <c r="EU871" s="76"/>
      <c r="EV871" s="76"/>
      <c r="EW871" s="76"/>
      <c r="EX871" s="76"/>
      <c r="EY871" s="76"/>
      <c r="EZ871" s="76"/>
      <c r="FA871" s="76"/>
      <c r="FB871" s="76"/>
      <c r="FC871" s="76"/>
      <c r="FD871" s="76"/>
      <c r="FE871" s="76"/>
      <c r="FF871" s="76"/>
      <c r="FG871" s="76"/>
      <c r="FH871" s="76"/>
      <c r="FI871" s="76"/>
      <c r="FJ871" s="76"/>
      <c r="FK871" s="76"/>
      <c r="FL871" s="76"/>
      <c r="FM871" s="76"/>
      <c r="FN871" s="76"/>
      <c r="FO871" s="76"/>
      <c r="FP871" s="76"/>
      <c r="FQ871" s="76"/>
      <c r="FR871" s="76"/>
      <c r="FS871" s="76"/>
      <c r="FT871" s="76"/>
      <c r="FU871" s="76"/>
      <c r="FV871" s="76"/>
      <c r="FW871" s="76"/>
      <c r="FX871" s="76"/>
      <c r="FY871" s="76"/>
      <c r="FZ871" s="76"/>
      <c r="GA871" s="76"/>
      <c r="GB871" s="76"/>
      <c r="GC871" s="76"/>
      <c r="GD871" s="76"/>
      <c r="GE871" s="76"/>
      <c r="GF871" s="76"/>
      <c r="GG871" s="76"/>
      <c r="GH871" s="76"/>
      <c r="GI871" s="76"/>
      <c r="GJ871" s="76"/>
      <c r="GK871" s="76"/>
      <c r="GL871" s="76"/>
      <c r="GM871" s="76"/>
      <c r="GN871" s="76"/>
      <c r="GO871" s="76"/>
      <c r="GP871" s="76"/>
      <c r="GQ871" s="76"/>
      <c r="GR871" s="76"/>
      <c r="GS871" s="76"/>
      <c r="GT871" s="76"/>
      <c r="GU871" s="76"/>
      <c r="GV871" s="76"/>
      <c r="GW871" s="76"/>
      <c r="GX871" s="76"/>
      <c r="GY871" s="76"/>
      <c r="GZ871" s="76"/>
      <c r="HA871" s="76"/>
      <c r="HB871" s="76"/>
      <c r="HC871" s="76"/>
      <c r="HD871" s="76"/>
      <c r="HE871" s="76"/>
      <c r="HF871" s="76"/>
      <c r="HG871" s="76"/>
      <c r="HH871" s="76"/>
      <c r="HI871" s="76"/>
      <c r="HJ871" s="76"/>
      <c r="HK871" s="76"/>
      <c r="HL871" s="76"/>
      <c r="HM871" s="76"/>
      <c r="HN871" s="76"/>
      <c r="HO871" s="76"/>
      <c r="HP871" s="76"/>
      <c r="HQ871" s="76"/>
      <c r="HR871" s="76"/>
      <c r="HS871" s="76"/>
      <c r="HT871" s="76"/>
      <c r="HU871" s="76"/>
      <c r="HV871" s="76"/>
      <c r="HW871" s="76"/>
      <c r="HX871" s="76"/>
      <c r="HY871" s="76"/>
      <c r="HZ871" s="76"/>
      <c r="IA871" s="76"/>
      <c r="IB871" s="76"/>
      <c r="IC871" s="76"/>
      <c r="ID871" s="76"/>
      <c r="IE871" s="76"/>
      <c r="IF871" s="76"/>
      <c r="IG871" s="76"/>
      <c r="IH871" s="76"/>
      <c r="II871" s="76"/>
      <c r="IJ871" s="76"/>
      <c r="IK871" s="76"/>
      <c r="IL871" s="76"/>
      <c r="IM871" s="76"/>
      <c r="IN871" s="76"/>
      <c r="IO871" s="76"/>
      <c r="IP871" s="76"/>
      <c r="IQ871" s="76"/>
      <c r="IR871" s="76"/>
      <c r="IS871" s="76"/>
      <c r="IT871" s="76"/>
      <c r="IU871" s="76"/>
      <c r="IV871" s="76"/>
    </row>
    <row r="872" spans="1:256">
      <c r="B872" s="76" t="s">
        <v>199</v>
      </c>
      <c r="C872" s="76" t="s">
        <v>6942</v>
      </c>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c r="AY872" s="76"/>
      <c r="AZ872" s="76"/>
      <c r="BA872" s="76"/>
      <c r="BB872" s="76"/>
      <c r="BC872" s="76"/>
      <c r="BD872" s="76"/>
      <c r="BE872" s="76"/>
      <c r="BF872" s="76"/>
      <c r="BG872" s="76"/>
      <c r="BH872" s="76"/>
      <c r="BI872" s="76"/>
      <c r="BJ872" s="76"/>
      <c r="BK872" s="76"/>
      <c r="BL872" s="76"/>
      <c r="BM872" s="76"/>
      <c r="BN872" s="76"/>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c r="CT872" s="76"/>
      <c r="CU872" s="76"/>
      <c r="CV872" s="76"/>
      <c r="CW872" s="76"/>
      <c r="CX872" s="76"/>
      <c r="CY872" s="76"/>
      <c r="CZ872" s="76"/>
      <c r="DA872" s="76"/>
      <c r="DB872" s="76"/>
      <c r="DC872" s="76"/>
      <c r="DD872" s="76"/>
      <c r="DE872" s="76"/>
      <c r="DF872" s="76"/>
      <c r="DG872" s="76"/>
      <c r="DH872" s="76"/>
      <c r="DI872" s="76"/>
      <c r="DJ872" s="76"/>
      <c r="DK872" s="76"/>
      <c r="DL872" s="76"/>
      <c r="DM872" s="76"/>
      <c r="DN872" s="76"/>
      <c r="DO872" s="76"/>
      <c r="DP872" s="76"/>
      <c r="DQ872" s="76"/>
      <c r="DR872" s="76"/>
      <c r="DS872" s="76"/>
      <c r="DT872" s="76"/>
      <c r="DU872" s="76"/>
      <c r="DV872" s="76"/>
      <c r="DW872" s="76"/>
      <c r="DX872" s="76"/>
      <c r="DY872" s="76"/>
      <c r="DZ872" s="76"/>
      <c r="EA872" s="76"/>
      <c r="EB872" s="76"/>
      <c r="EC872" s="76"/>
      <c r="ED872" s="76"/>
      <c r="EE872" s="76"/>
      <c r="EF872" s="76"/>
      <c r="EG872" s="76"/>
      <c r="EH872" s="76"/>
      <c r="EI872" s="76"/>
      <c r="EJ872" s="76"/>
      <c r="EK872" s="76"/>
      <c r="EL872" s="76"/>
      <c r="EM872" s="76"/>
      <c r="EN872" s="76"/>
      <c r="EO872" s="76"/>
      <c r="EP872" s="76"/>
      <c r="EQ872" s="76"/>
      <c r="ER872" s="76"/>
      <c r="ES872" s="76"/>
      <c r="ET872" s="76"/>
      <c r="EU872" s="76"/>
      <c r="EV872" s="76"/>
      <c r="EW872" s="76"/>
      <c r="EX872" s="76"/>
      <c r="EY872" s="76"/>
      <c r="EZ872" s="76"/>
      <c r="FA872" s="76"/>
      <c r="FB872" s="76"/>
      <c r="FC872" s="76"/>
      <c r="FD872" s="76"/>
      <c r="FE872" s="76"/>
      <c r="FF872" s="76"/>
      <c r="FG872" s="76"/>
      <c r="FH872" s="76"/>
      <c r="FI872" s="76"/>
      <c r="FJ872" s="76"/>
      <c r="FK872" s="76"/>
      <c r="FL872" s="76"/>
      <c r="FM872" s="76"/>
      <c r="FN872" s="76"/>
      <c r="FO872" s="76"/>
      <c r="FP872" s="76"/>
      <c r="FQ872" s="76"/>
      <c r="FR872" s="76"/>
      <c r="FS872" s="76"/>
      <c r="FT872" s="76"/>
      <c r="FU872" s="76"/>
      <c r="FV872" s="76"/>
      <c r="FW872" s="76"/>
      <c r="FX872" s="76"/>
      <c r="FY872" s="76"/>
      <c r="FZ872" s="76"/>
      <c r="GA872" s="76"/>
      <c r="GB872" s="76"/>
      <c r="GC872" s="76"/>
      <c r="GD872" s="76"/>
      <c r="GE872" s="76"/>
      <c r="GF872" s="76"/>
      <c r="GG872" s="76"/>
      <c r="GH872" s="76"/>
      <c r="GI872" s="76"/>
      <c r="GJ872" s="76"/>
      <c r="GK872" s="76"/>
      <c r="GL872" s="76"/>
      <c r="GM872" s="76"/>
      <c r="GN872" s="76"/>
      <c r="GO872" s="76"/>
      <c r="GP872" s="76"/>
      <c r="GQ872" s="76"/>
      <c r="GR872" s="76"/>
      <c r="GS872" s="76"/>
      <c r="GT872" s="76"/>
      <c r="GU872" s="76"/>
      <c r="GV872" s="76"/>
      <c r="GW872" s="76"/>
      <c r="GX872" s="76"/>
      <c r="GY872" s="76"/>
      <c r="GZ872" s="76"/>
      <c r="HA872" s="76"/>
      <c r="HB872" s="76"/>
      <c r="HC872" s="76"/>
      <c r="HD872" s="76"/>
      <c r="HE872" s="76"/>
      <c r="HF872" s="76"/>
      <c r="HG872" s="76"/>
      <c r="HH872" s="76"/>
      <c r="HI872" s="76"/>
      <c r="HJ872" s="76"/>
      <c r="HK872" s="76"/>
      <c r="HL872" s="76"/>
      <c r="HM872" s="76"/>
      <c r="HN872" s="76"/>
      <c r="HO872" s="76"/>
      <c r="HP872" s="76"/>
      <c r="HQ872" s="76"/>
      <c r="HR872" s="76"/>
      <c r="HS872" s="76"/>
      <c r="HT872" s="76"/>
      <c r="HU872" s="76"/>
      <c r="HV872" s="76"/>
      <c r="HW872" s="76"/>
      <c r="HX872" s="76"/>
      <c r="HY872" s="76"/>
      <c r="HZ872" s="76"/>
      <c r="IA872" s="76"/>
      <c r="IB872" s="76"/>
      <c r="IC872" s="76"/>
      <c r="ID872" s="76"/>
      <c r="IE872" s="76"/>
      <c r="IF872" s="76"/>
      <c r="IG872" s="76"/>
      <c r="IH872" s="76"/>
      <c r="II872" s="76"/>
      <c r="IJ872" s="76"/>
      <c r="IK872" s="76"/>
      <c r="IL872" s="76"/>
      <c r="IM872" s="76"/>
      <c r="IN872" s="76"/>
      <c r="IO872" s="76"/>
      <c r="IP872" s="76"/>
      <c r="IQ872" s="76"/>
      <c r="IR872" s="76"/>
      <c r="IS872" s="76"/>
      <c r="IT872" s="76"/>
      <c r="IU872" s="76"/>
      <c r="IV872" s="76"/>
    </row>
    <row r="873" spans="1:25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c r="AY873" s="76"/>
      <c r="AZ873" s="76"/>
      <c r="BA873" s="76"/>
      <c r="BB873" s="76"/>
      <c r="BC873" s="76"/>
      <c r="BD873" s="76"/>
      <c r="BE873" s="76"/>
      <c r="BF873" s="76"/>
      <c r="BG873" s="76"/>
      <c r="BH873" s="76"/>
      <c r="BI873" s="76"/>
      <c r="BJ873" s="76"/>
      <c r="BK873" s="76"/>
      <c r="BL873" s="76"/>
      <c r="BM873" s="76"/>
      <c r="BN873" s="76"/>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c r="CT873" s="76"/>
      <c r="CU873" s="76"/>
      <c r="CV873" s="76"/>
      <c r="CW873" s="76"/>
      <c r="CX873" s="76"/>
      <c r="CY873" s="76"/>
      <c r="CZ873" s="76"/>
      <c r="DA873" s="76"/>
      <c r="DB873" s="76"/>
      <c r="DC873" s="76"/>
      <c r="DD873" s="76"/>
      <c r="DE873" s="76"/>
      <c r="DF873" s="76"/>
      <c r="DG873" s="76"/>
      <c r="DH873" s="76"/>
      <c r="DI873" s="76"/>
      <c r="DJ873" s="76"/>
      <c r="DK873" s="76"/>
      <c r="DL873" s="76"/>
      <c r="DM873" s="76"/>
      <c r="DN873" s="76"/>
      <c r="DO873" s="76"/>
      <c r="DP873" s="76"/>
      <c r="DQ873" s="76"/>
      <c r="DR873" s="76"/>
      <c r="DS873" s="76"/>
      <c r="DT873" s="76"/>
      <c r="DU873" s="76"/>
      <c r="DV873" s="76"/>
      <c r="DW873" s="76"/>
      <c r="DX873" s="76"/>
      <c r="DY873" s="76"/>
      <c r="DZ873" s="76"/>
      <c r="EA873" s="76"/>
      <c r="EB873" s="76"/>
      <c r="EC873" s="76"/>
      <c r="ED873" s="76"/>
      <c r="EE873" s="76"/>
      <c r="EF873" s="76"/>
      <c r="EG873" s="76"/>
      <c r="EH873" s="76"/>
      <c r="EI873" s="76"/>
      <c r="EJ873" s="76"/>
      <c r="EK873" s="76"/>
      <c r="EL873" s="76"/>
      <c r="EM873" s="76"/>
      <c r="EN873" s="76"/>
      <c r="EO873" s="76"/>
      <c r="EP873" s="76"/>
      <c r="EQ873" s="76"/>
      <c r="ER873" s="76"/>
      <c r="ES873" s="76"/>
      <c r="ET873" s="76"/>
      <c r="EU873" s="76"/>
      <c r="EV873" s="76"/>
      <c r="EW873" s="76"/>
      <c r="EX873" s="76"/>
      <c r="EY873" s="76"/>
      <c r="EZ873" s="76"/>
      <c r="FA873" s="76"/>
      <c r="FB873" s="76"/>
      <c r="FC873" s="76"/>
      <c r="FD873" s="76"/>
      <c r="FE873" s="76"/>
      <c r="FF873" s="76"/>
      <c r="FG873" s="76"/>
      <c r="FH873" s="76"/>
      <c r="FI873" s="76"/>
      <c r="FJ873" s="76"/>
      <c r="FK873" s="76"/>
      <c r="FL873" s="76"/>
      <c r="FM873" s="76"/>
      <c r="FN873" s="76"/>
      <c r="FO873" s="76"/>
      <c r="FP873" s="76"/>
      <c r="FQ873" s="76"/>
      <c r="FR873" s="76"/>
      <c r="FS873" s="76"/>
      <c r="FT873" s="76"/>
      <c r="FU873" s="76"/>
      <c r="FV873" s="76"/>
      <c r="FW873" s="76"/>
      <c r="FX873" s="76"/>
      <c r="FY873" s="76"/>
      <c r="FZ873" s="76"/>
      <c r="GA873" s="76"/>
      <c r="GB873" s="76"/>
      <c r="GC873" s="76"/>
      <c r="GD873" s="76"/>
      <c r="GE873" s="76"/>
      <c r="GF873" s="76"/>
      <c r="GG873" s="76"/>
      <c r="GH873" s="76"/>
      <c r="GI873" s="76"/>
      <c r="GJ873" s="76"/>
      <c r="GK873" s="76"/>
      <c r="GL873" s="76"/>
      <c r="GM873" s="76"/>
      <c r="GN873" s="76"/>
      <c r="GO873" s="76"/>
      <c r="GP873" s="76"/>
      <c r="GQ873" s="76"/>
      <c r="GR873" s="76"/>
      <c r="GS873" s="76"/>
      <c r="GT873" s="76"/>
      <c r="GU873" s="76"/>
      <c r="GV873" s="76"/>
      <c r="GW873" s="76"/>
      <c r="GX873" s="76"/>
      <c r="GY873" s="76"/>
      <c r="GZ873" s="76"/>
      <c r="HA873" s="76"/>
      <c r="HB873" s="76"/>
      <c r="HC873" s="76"/>
      <c r="HD873" s="76"/>
      <c r="HE873" s="76"/>
      <c r="HF873" s="76"/>
      <c r="HG873" s="76"/>
      <c r="HH873" s="76"/>
      <c r="HI873" s="76"/>
      <c r="HJ873" s="76"/>
      <c r="HK873" s="76"/>
      <c r="HL873" s="76"/>
      <c r="HM873" s="76"/>
      <c r="HN873" s="76"/>
      <c r="HO873" s="76"/>
      <c r="HP873" s="76"/>
      <c r="HQ873" s="76"/>
      <c r="HR873" s="76"/>
      <c r="HS873" s="76"/>
      <c r="HT873" s="76"/>
      <c r="HU873" s="76"/>
      <c r="HV873" s="76"/>
      <c r="HW873" s="76"/>
      <c r="HX873" s="76"/>
      <c r="HY873" s="76"/>
      <c r="HZ873" s="76"/>
      <c r="IA873" s="76"/>
      <c r="IB873" s="76"/>
      <c r="IC873" s="76"/>
      <c r="ID873" s="76"/>
      <c r="IE873" s="76"/>
      <c r="IF873" s="76"/>
      <c r="IG873" s="76"/>
      <c r="IH873" s="76"/>
      <c r="II873" s="76"/>
      <c r="IJ873" s="76"/>
      <c r="IK873" s="76"/>
      <c r="IL873" s="76"/>
      <c r="IM873" s="76"/>
      <c r="IN873" s="76"/>
      <c r="IO873" s="76"/>
      <c r="IP873" s="76"/>
      <c r="IQ873" s="76"/>
      <c r="IR873" s="76"/>
      <c r="IS873" s="76"/>
      <c r="IT873" s="76"/>
      <c r="IU873" s="76"/>
      <c r="IV873" s="76"/>
    </row>
    <row r="874" spans="1:256">
      <c r="A874" s="828" t="s">
        <v>6949</v>
      </c>
      <c r="B874" s="36">
        <v>2</v>
      </c>
      <c r="C874" s="146" t="s">
        <v>8366</v>
      </c>
      <c r="D874" s="148"/>
      <c r="E874" s="153"/>
      <c r="F874" s="153"/>
      <c r="G874" s="153"/>
      <c r="H874" s="153"/>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c r="AY874" s="76"/>
      <c r="AZ874" s="76"/>
      <c r="BA874" s="76"/>
      <c r="BB874" s="76"/>
      <c r="BC874" s="76"/>
      <c r="BD874" s="76"/>
      <c r="BE874" s="76"/>
      <c r="BF874" s="76"/>
      <c r="BG874" s="76"/>
      <c r="BH874" s="76"/>
      <c r="BI874" s="76"/>
      <c r="BJ874" s="76"/>
      <c r="BK874" s="76"/>
      <c r="BL874" s="76"/>
      <c r="BM874" s="76"/>
      <c r="BN874" s="76"/>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c r="CT874" s="76"/>
      <c r="CU874" s="76"/>
      <c r="CV874" s="76"/>
      <c r="CW874" s="76"/>
      <c r="CX874" s="76"/>
      <c r="CY874" s="76"/>
      <c r="CZ874" s="76"/>
      <c r="DA874" s="76"/>
      <c r="DB874" s="76"/>
      <c r="DC874" s="76"/>
      <c r="DD874" s="76"/>
      <c r="DE874" s="76"/>
      <c r="DF874" s="76"/>
      <c r="DG874" s="76"/>
      <c r="DH874" s="76"/>
      <c r="DI874" s="76"/>
      <c r="DJ874" s="76"/>
      <c r="DK874" s="76"/>
      <c r="DL874" s="76"/>
      <c r="DM874" s="76"/>
      <c r="DN874" s="76"/>
      <c r="DO874" s="76"/>
      <c r="DP874" s="76"/>
      <c r="DQ874" s="76"/>
      <c r="DR874" s="76"/>
      <c r="DS874" s="76"/>
      <c r="DT874" s="76"/>
      <c r="DU874" s="76"/>
      <c r="DV874" s="76"/>
      <c r="DW874" s="76"/>
      <c r="DX874" s="76"/>
      <c r="DY874" s="76"/>
      <c r="DZ874" s="76"/>
      <c r="EA874" s="76"/>
      <c r="EB874" s="76"/>
      <c r="EC874" s="76"/>
      <c r="ED874" s="76"/>
      <c r="EE874" s="76"/>
      <c r="EF874" s="76"/>
      <c r="EG874" s="76"/>
      <c r="EH874" s="76"/>
      <c r="EI874" s="76"/>
      <c r="EJ874" s="76"/>
      <c r="EK874" s="76"/>
      <c r="EL874" s="76"/>
      <c r="EM874" s="76"/>
      <c r="EN874" s="76"/>
      <c r="EO874" s="76"/>
      <c r="EP874" s="76"/>
      <c r="EQ874" s="76"/>
      <c r="ER874" s="76"/>
      <c r="ES874" s="76"/>
      <c r="ET874" s="76"/>
      <c r="EU874" s="76"/>
      <c r="EV874" s="76"/>
      <c r="EW874" s="76"/>
      <c r="EX874" s="76"/>
      <c r="EY874" s="76"/>
      <c r="EZ874" s="76"/>
      <c r="FA874" s="76"/>
      <c r="FB874" s="76"/>
      <c r="FC874" s="76"/>
      <c r="FD874" s="76"/>
      <c r="FE874" s="76"/>
      <c r="FF874" s="76"/>
      <c r="FG874" s="76"/>
      <c r="FH874" s="76"/>
      <c r="FI874" s="76"/>
      <c r="FJ874" s="76"/>
      <c r="FK874" s="76"/>
      <c r="FL874" s="76"/>
      <c r="FM874" s="76"/>
      <c r="FN874" s="76"/>
      <c r="FO874" s="76"/>
      <c r="FP874" s="76"/>
      <c r="FQ874" s="76"/>
      <c r="FR874" s="76"/>
      <c r="FS874" s="76"/>
      <c r="FT874" s="76"/>
      <c r="FU874" s="76"/>
      <c r="FV874" s="76"/>
      <c r="FW874" s="76"/>
      <c r="FX874" s="76"/>
      <c r="FY874" s="76"/>
      <c r="FZ874" s="76"/>
      <c r="GA874" s="76"/>
      <c r="GB874" s="76"/>
      <c r="GC874" s="76"/>
      <c r="GD874" s="76"/>
      <c r="GE874" s="76"/>
      <c r="GF874" s="76"/>
      <c r="GG874" s="76"/>
      <c r="GH874" s="76"/>
      <c r="GI874" s="76"/>
      <c r="GJ874" s="76"/>
      <c r="GK874" s="76"/>
      <c r="GL874" s="76"/>
      <c r="GM874" s="76"/>
      <c r="GN874" s="76"/>
      <c r="GO874" s="76"/>
      <c r="GP874" s="76"/>
      <c r="GQ874" s="76"/>
      <c r="GR874" s="76"/>
      <c r="GS874" s="76"/>
      <c r="GT874" s="76"/>
      <c r="GU874" s="76"/>
      <c r="GV874" s="76"/>
      <c r="GW874" s="76"/>
      <c r="GX874" s="76"/>
      <c r="GY874" s="76"/>
      <c r="GZ874" s="76"/>
      <c r="HA874" s="76"/>
      <c r="HB874" s="76"/>
      <c r="HC874" s="76"/>
      <c r="HD874" s="76"/>
      <c r="HE874" s="76"/>
      <c r="HF874" s="76"/>
      <c r="HG874" s="76"/>
      <c r="HH874" s="76"/>
      <c r="HI874" s="76"/>
      <c r="HJ874" s="76"/>
      <c r="HK874" s="76"/>
      <c r="HL874" s="76"/>
      <c r="HM874" s="76"/>
      <c r="HN874" s="76"/>
      <c r="HO874" s="76"/>
      <c r="HP874" s="76"/>
      <c r="HQ874" s="76"/>
      <c r="HR874" s="76"/>
      <c r="HS874" s="76"/>
      <c r="HT874" s="76"/>
      <c r="HU874" s="76"/>
      <c r="HV874" s="76"/>
      <c r="HW874" s="76"/>
      <c r="HX874" s="76"/>
      <c r="HY874" s="76"/>
      <c r="HZ874" s="76"/>
      <c r="IA874" s="76"/>
      <c r="IB874" s="76"/>
      <c r="IC874" s="76"/>
      <c r="ID874" s="76"/>
      <c r="IE874" s="76"/>
      <c r="IF874" s="76"/>
      <c r="IG874" s="76"/>
      <c r="IH874" s="76"/>
      <c r="II874" s="76"/>
      <c r="IJ874" s="76"/>
      <c r="IK874" s="76"/>
      <c r="IL874" s="76"/>
      <c r="IM874" s="76"/>
      <c r="IN874" s="76"/>
      <c r="IO874" s="76"/>
      <c r="IP874" s="76"/>
      <c r="IQ874" s="76"/>
      <c r="IR874" s="76"/>
      <c r="IS874" s="76"/>
      <c r="IT874" s="76"/>
      <c r="IU874" s="76"/>
      <c r="IV874" s="76"/>
    </row>
    <row r="875" spans="1:256" ht="18.75">
      <c r="B875" s="153" t="s">
        <v>1838</v>
      </c>
      <c r="C875" s="147" t="s">
        <v>8367</v>
      </c>
      <c r="D875" s="76"/>
      <c r="E875" s="152"/>
      <c r="F875" s="152"/>
      <c r="G875" s="152"/>
      <c r="H875" s="152"/>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c r="AY875" s="76"/>
      <c r="AZ875" s="76"/>
      <c r="BA875" s="76"/>
      <c r="BB875" s="76"/>
      <c r="BC875" s="76"/>
      <c r="BD875" s="76"/>
      <c r="BE875" s="76"/>
      <c r="BF875" s="76"/>
      <c r="BG875" s="76"/>
      <c r="BH875" s="76"/>
      <c r="BI875" s="76"/>
      <c r="BJ875" s="76"/>
      <c r="BK875" s="76"/>
      <c r="BL875" s="76"/>
      <c r="BM875" s="76"/>
      <c r="BN875" s="76"/>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c r="CT875" s="76"/>
      <c r="CU875" s="76"/>
      <c r="CV875" s="76"/>
      <c r="CW875" s="76"/>
      <c r="CX875" s="76"/>
      <c r="CY875" s="76"/>
      <c r="CZ875" s="76"/>
      <c r="DA875" s="76"/>
      <c r="DB875" s="76"/>
      <c r="DC875" s="76"/>
      <c r="DD875" s="76"/>
      <c r="DE875" s="76"/>
      <c r="DF875" s="76"/>
      <c r="DG875" s="76"/>
      <c r="DH875" s="76"/>
      <c r="DI875" s="76"/>
      <c r="DJ875" s="76"/>
      <c r="DK875" s="76"/>
      <c r="DL875" s="76"/>
      <c r="DM875" s="76"/>
      <c r="DN875" s="76"/>
      <c r="DO875" s="76"/>
      <c r="DP875" s="76"/>
      <c r="DQ875" s="76"/>
      <c r="DR875" s="76"/>
      <c r="DS875" s="76"/>
      <c r="DT875" s="76"/>
      <c r="DU875" s="76"/>
      <c r="DV875" s="76"/>
      <c r="DW875" s="76"/>
      <c r="DX875" s="76"/>
      <c r="DY875" s="76"/>
      <c r="DZ875" s="76"/>
      <c r="EA875" s="76"/>
      <c r="EB875" s="76"/>
      <c r="EC875" s="76"/>
      <c r="ED875" s="76"/>
      <c r="EE875" s="76"/>
      <c r="EF875" s="76"/>
      <c r="EG875" s="76"/>
      <c r="EH875" s="76"/>
      <c r="EI875" s="76"/>
      <c r="EJ875" s="76"/>
      <c r="EK875" s="76"/>
      <c r="EL875" s="76"/>
      <c r="EM875" s="76"/>
      <c r="EN875" s="76"/>
      <c r="EO875" s="76"/>
      <c r="EP875" s="76"/>
      <c r="EQ875" s="76"/>
      <c r="ER875" s="76"/>
      <c r="ES875" s="76"/>
      <c r="ET875" s="76"/>
      <c r="EU875" s="76"/>
      <c r="EV875" s="76"/>
      <c r="EW875" s="76"/>
      <c r="EX875" s="76"/>
      <c r="EY875" s="76"/>
      <c r="EZ875" s="76"/>
      <c r="FA875" s="76"/>
      <c r="FB875" s="76"/>
      <c r="FC875" s="76"/>
      <c r="FD875" s="76"/>
      <c r="FE875" s="76"/>
      <c r="FF875" s="76"/>
      <c r="FG875" s="76"/>
      <c r="FH875" s="76"/>
      <c r="FI875" s="76"/>
      <c r="FJ875" s="76"/>
      <c r="FK875" s="76"/>
      <c r="FL875" s="76"/>
      <c r="FM875" s="76"/>
      <c r="FN875" s="76"/>
      <c r="FO875" s="76"/>
      <c r="FP875" s="76"/>
      <c r="FQ875" s="76"/>
      <c r="FR875" s="76"/>
      <c r="FS875" s="76"/>
      <c r="FT875" s="76"/>
      <c r="FU875" s="76"/>
      <c r="FV875" s="76"/>
      <c r="FW875" s="76"/>
      <c r="FX875" s="76"/>
      <c r="FY875" s="76"/>
      <c r="FZ875" s="76"/>
      <c r="GA875" s="76"/>
      <c r="GB875" s="76"/>
      <c r="GC875" s="76"/>
      <c r="GD875" s="76"/>
      <c r="GE875" s="76"/>
      <c r="GF875" s="76"/>
      <c r="GG875" s="76"/>
      <c r="GH875" s="76"/>
      <c r="GI875" s="76"/>
      <c r="GJ875" s="76"/>
      <c r="GK875" s="76"/>
      <c r="GL875" s="76"/>
      <c r="GM875" s="76"/>
      <c r="GN875" s="76"/>
      <c r="GO875" s="76"/>
      <c r="GP875" s="76"/>
      <c r="GQ875" s="76"/>
      <c r="GR875" s="76"/>
      <c r="GS875" s="76"/>
      <c r="GT875" s="76"/>
      <c r="GU875" s="76"/>
      <c r="GV875" s="76"/>
      <c r="GW875" s="76"/>
      <c r="GX875" s="76"/>
      <c r="GY875" s="76"/>
      <c r="GZ875" s="76"/>
      <c r="HA875" s="76"/>
      <c r="HB875" s="76"/>
      <c r="HC875" s="76"/>
      <c r="HD875" s="76"/>
      <c r="HE875" s="76"/>
      <c r="HF875" s="76"/>
      <c r="HG875" s="76"/>
      <c r="HH875" s="76"/>
      <c r="HI875" s="76"/>
      <c r="HJ875" s="76"/>
      <c r="HK875" s="76"/>
      <c r="HL875" s="76"/>
      <c r="HM875" s="76"/>
      <c r="HN875" s="76"/>
      <c r="HO875" s="76"/>
      <c r="HP875" s="76"/>
      <c r="HQ875" s="76"/>
      <c r="HR875" s="76"/>
      <c r="HS875" s="76"/>
      <c r="HT875" s="76"/>
      <c r="HU875" s="76"/>
      <c r="HV875" s="76"/>
      <c r="HW875" s="76"/>
      <c r="HX875" s="76"/>
      <c r="HY875" s="76"/>
      <c r="HZ875" s="76"/>
      <c r="IA875" s="76"/>
      <c r="IB875" s="76"/>
      <c r="IC875" s="76"/>
      <c r="ID875" s="76"/>
      <c r="IE875" s="76"/>
      <c r="IF875" s="76"/>
      <c r="IG875" s="76"/>
      <c r="IH875" s="76"/>
      <c r="II875" s="76"/>
      <c r="IJ875" s="76"/>
      <c r="IK875" s="76"/>
      <c r="IL875" s="76"/>
      <c r="IM875" s="76"/>
      <c r="IN875" s="76"/>
      <c r="IO875" s="76"/>
      <c r="IP875" s="76"/>
      <c r="IQ875" s="76"/>
      <c r="IR875" s="76"/>
      <c r="IS875" s="76"/>
      <c r="IT875" s="76"/>
      <c r="IU875" s="76"/>
      <c r="IV875" s="76"/>
    </row>
    <row r="876" spans="1:256">
      <c r="B876" s="152"/>
      <c r="C876" s="147" t="s">
        <v>115</v>
      </c>
      <c r="D876" s="76"/>
      <c r="E876" s="152"/>
      <c r="F876" s="152"/>
      <c r="G876" s="152"/>
      <c r="H876" s="152"/>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c r="AY876" s="76"/>
      <c r="AZ876" s="76"/>
      <c r="BA876" s="76"/>
      <c r="BB876" s="76"/>
      <c r="BC876" s="76"/>
      <c r="BD876" s="76"/>
      <c r="BE876" s="76"/>
      <c r="BF876" s="76"/>
      <c r="BG876" s="76"/>
      <c r="BH876" s="76"/>
      <c r="BI876" s="76"/>
      <c r="BJ876" s="76"/>
      <c r="BK876" s="76"/>
      <c r="BL876" s="76"/>
      <c r="BM876" s="76"/>
      <c r="BN876" s="76"/>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c r="CT876" s="76"/>
      <c r="CU876" s="76"/>
      <c r="CV876" s="76"/>
      <c r="CW876" s="76"/>
      <c r="CX876" s="76"/>
      <c r="CY876" s="76"/>
      <c r="CZ876" s="76"/>
      <c r="DA876" s="76"/>
      <c r="DB876" s="76"/>
      <c r="DC876" s="76"/>
      <c r="DD876" s="76"/>
      <c r="DE876" s="76"/>
      <c r="DF876" s="76"/>
      <c r="DG876" s="76"/>
      <c r="DH876" s="76"/>
      <c r="DI876" s="76"/>
      <c r="DJ876" s="76"/>
      <c r="DK876" s="76"/>
      <c r="DL876" s="76"/>
      <c r="DM876" s="76"/>
      <c r="DN876" s="76"/>
      <c r="DO876" s="76"/>
      <c r="DP876" s="76"/>
      <c r="DQ876" s="76"/>
      <c r="DR876" s="76"/>
      <c r="DS876" s="76"/>
      <c r="DT876" s="76"/>
      <c r="DU876" s="76"/>
      <c r="DV876" s="76"/>
      <c r="DW876" s="76"/>
      <c r="DX876" s="76"/>
      <c r="DY876" s="76"/>
      <c r="DZ876" s="76"/>
      <c r="EA876" s="76"/>
      <c r="EB876" s="76"/>
      <c r="EC876" s="76"/>
      <c r="ED876" s="76"/>
      <c r="EE876" s="76"/>
      <c r="EF876" s="76"/>
      <c r="EG876" s="76"/>
      <c r="EH876" s="76"/>
      <c r="EI876" s="76"/>
      <c r="EJ876" s="76"/>
      <c r="EK876" s="76"/>
      <c r="EL876" s="76"/>
      <c r="EM876" s="76"/>
      <c r="EN876" s="76"/>
      <c r="EO876" s="76"/>
      <c r="EP876" s="76"/>
      <c r="EQ876" s="76"/>
      <c r="ER876" s="76"/>
      <c r="ES876" s="76"/>
      <c r="ET876" s="76"/>
      <c r="EU876" s="76"/>
      <c r="EV876" s="76"/>
      <c r="EW876" s="76"/>
      <c r="EX876" s="76"/>
      <c r="EY876" s="76"/>
      <c r="EZ876" s="76"/>
      <c r="FA876" s="76"/>
      <c r="FB876" s="76"/>
      <c r="FC876" s="76"/>
      <c r="FD876" s="76"/>
      <c r="FE876" s="76"/>
      <c r="FF876" s="76"/>
      <c r="FG876" s="76"/>
      <c r="FH876" s="76"/>
      <c r="FI876" s="76"/>
      <c r="FJ876" s="76"/>
      <c r="FK876" s="76"/>
      <c r="FL876" s="76"/>
      <c r="FM876" s="76"/>
      <c r="FN876" s="76"/>
      <c r="FO876" s="76"/>
      <c r="FP876" s="76"/>
      <c r="FQ876" s="76"/>
      <c r="FR876" s="76"/>
      <c r="FS876" s="76"/>
      <c r="FT876" s="76"/>
      <c r="FU876" s="76"/>
      <c r="FV876" s="76"/>
      <c r="FW876" s="76"/>
      <c r="FX876" s="76"/>
      <c r="FY876" s="76"/>
      <c r="FZ876" s="76"/>
      <c r="GA876" s="76"/>
      <c r="GB876" s="76"/>
      <c r="GC876" s="76"/>
      <c r="GD876" s="76"/>
      <c r="GE876" s="76"/>
      <c r="GF876" s="76"/>
      <c r="GG876" s="76"/>
      <c r="GH876" s="76"/>
      <c r="GI876" s="76"/>
      <c r="GJ876" s="76"/>
      <c r="GK876" s="76"/>
      <c r="GL876" s="76"/>
      <c r="GM876" s="76"/>
      <c r="GN876" s="76"/>
      <c r="GO876" s="76"/>
      <c r="GP876" s="76"/>
      <c r="GQ876" s="76"/>
      <c r="GR876" s="76"/>
      <c r="GS876" s="76"/>
      <c r="GT876" s="76"/>
      <c r="GU876" s="76"/>
      <c r="GV876" s="76"/>
      <c r="GW876" s="76"/>
      <c r="GX876" s="76"/>
      <c r="GY876" s="76"/>
      <c r="GZ876" s="76"/>
      <c r="HA876" s="76"/>
      <c r="HB876" s="76"/>
      <c r="HC876" s="76"/>
      <c r="HD876" s="76"/>
      <c r="HE876" s="76"/>
      <c r="HF876" s="76"/>
      <c r="HG876" s="76"/>
      <c r="HH876" s="76"/>
      <c r="HI876" s="76"/>
      <c r="HJ876" s="76"/>
      <c r="HK876" s="76"/>
      <c r="HL876" s="76"/>
      <c r="HM876" s="76"/>
      <c r="HN876" s="76"/>
      <c r="HO876" s="76"/>
      <c r="HP876" s="76"/>
      <c r="HQ876" s="76"/>
      <c r="HR876" s="76"/>
      <c r="HS876" s="76"/>
      <c r="HT876" s="76"/>
      <c r="HU876" s="76"/>
      <c r="HV876" s="76"/>
      <c r="HW876" s="76"/>
      <c r="HX876" s="76"/>
      <c r="HY876" s="76"/>
      <c r="HZ876" s="76"/>
      <c r="IA876" s="76"/>
      <c r="IB876" s="76"/>
      <c r="IC876" s="76"/>
      <c r="ID876" s="76"/>
      <c r="IE876" s="76"/>
      <c r="IF876" s="76"/>
      <c r="IG876" s="76"/>
      <c r="IH876" s="76"/>
      <c r="II876" s="76"/>
      <c r="IJ876" s="76"/>
      <c r="IK876" s="76"/>
      <c r="IL876" s="76"/>
      <c r="IM876" s="76"/>
      <c r="IN876" s="76"/>
      <c r="IO876" s="76"/>
      <c r="IP876" s="76"/>
      <c r="IQ876" s="76"/>
      <c r="IR876" s="76"/>
      <c r="IS876" s="76"/>
      <c r="IT876" s="76"/>
      <c r="IU876" s="76"/>
      <c r="IV876" s="76"/>
    </row>
    <row r="877" spans="1:256">
      <c r="B877" s="152"/>
      <c r="C877" s="147" t="s">
        <v>116</v>
      </c>
      <c r="D877" s="76"/>
      <c r="E877" s="105" t="s">
        <v>2370</v>
      </c>
      <c r="F877" s="105" t="s">
        <v>1166</v>
      </c>
      <c r="G877" s="105" t="s">
        <v>1840</v>
      </c>
      <c r="H877" s="152" t="s">
        <v>1518</v>
      </c>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c r="AY877" s="76"/>
      <c r="AZ877" s="76"/>
      <c r="BA877" s="76"/>
      <c r="BB877" s="76"/>
      <c r="BC877" s="76"/>
      <c r="BD877" s="76"/>
      <c r="BE877" s="76"/>
      <c r="BF877" s="76"/>
      <c r="BG877" s="76"/>
      <c r="BH877" s="76"/>
      <c r="BI877" s="76"/>
      <c r="BJ877" s="76"/>
      <c r="BK877" s="76"/>
      <c r="BL877" s="76"/>
      <c r="BM877" s="76"/>
      <c r="BN877" s="76"/>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c r="CT877" s="76"/>
      <c r="CU877" s="76"/>
      <c r="CV877" s="76"/>
      <c r="CW877" s="76"/>
      <c r="CX877" s="76"/>
      <c r="CY877" s="76"/>
      <c r="CZ877" s="76"/>
      <c r="DA877" s="76"/>
      <c r="DB877" s="76"/>
      <c r="DC877" s="76"/>
      <c r="DD877" s="76"/>
      <c r="DE877" s="76"/>
      <c r="DF877" s="76"/>
      <c r="DG877" s="76"/>
      <c r="DH877" s="76"/>
      <c r="DI877" s="76"/>
      <c r="DJ877" s="76"/>
      <c r="DK877" s="76"/>
      <c r="DL877" s="76"/>
      <c r="DM877" s="76"/>
      <c r="DN877" s="76"/>
      <c r="DO877" s="76"/>
      <c r="DP877" s="76"/>
      <c r="DQ877" s="76"/>
      <c r="DR877" s="76"/>
      <c r="DS877" s="76"/>
      <c r="DT877" s="76"/>
      <c r="DU877" s="76"/>
      <c r="DV877" s="76"/>
      <c r="DW877" s="76"/>
      <c r="DX877" s="76"/>
      <c r="DY877" s="76"/>
      <c r="DZ877" s="76"/>
      <c r="EA877" s="76"/>
      <c r="EB877" s="76"/>
      <c r="EC877" s="76"/>
      <c r="ED877" s="76"/>
      <c r="EE877" s="76"/>
      <c r="EF877" s="76"/>
      <c r="EG877" s="76"/>
      <c r="EH877" s="76"/>
      <c r="EI877" s="76"/>
      <c r="EJ877" s="76"/>
      <c r="EK877" s="76"/>
      <c r="EL877" s="76"/>
      <c r="EM877" s="76"/>
      <c r="EN877" s="76"/>
      <c r="EO877" s="76"/>
      <c r="EP877" s="76"/>
      <c r="EQ877" s="76"/>
      <c r="ER877" s="76"/>
      <c r="ES877" s="76"/>
      <c r="ET877" s="76"/>
      <c r="EU877" s="76"/>
      <c r="EV877" s="76"/>
      <c r="EW877" s="76"/>
      <c r="EX877" s="76"/>
      <c r="EY877" s="76"/>
      <c r="EZ877" s="76"/>
      <c r="FA877" s="76"/>
      <c r="FB877" s="76"/>
      <c r="FC877" s="76"/>
      <c r="FD877" s="76"/>
      <c r="FE877" s="76"/>
      <c r="FF877" s="76"/>
      <c r="FG877" s="76"/>
      <c r="FH877" s="76"/>
      <c r="FI877" s="76"/>
      <c r="FJ877" s="76"/>
      <c r="FK877" s="76"/>
      <c r="FL877" s="76"/>
      <c r="FM877" s="76"/>
      <c r="FN877" s="76"/>
      <c r="FO877" s="76"/>
      <c r="FP877" s="76"/>
      <c r="FQ877" s="76"/>
      <c r="FR877" s="76"/>
      <c r="FS877" s="76"/>
      <c r="FT877" s="76"/>
      <c r="FU877" s="76"/>
      <c r="FV877" s="76"/>
      <c r="FW877" s="76"/>
      <c r="FX877" s="76"/>
      <c r="FY877" s="76"/>
      <c r="FZ877" s="76"/>
      <c r="GA877" s="76"/>
      <c r="GB877" s="76"/>
      <c r="GC877" s="76"/>
      <c r="GD877" s="76"/>
      <c r="GE877" s="76"/>
      <c r="GF877" s="76"/>
      <c r="GG877" s="76"/>
      <c r="GH877" s="76"/>
      <c r="GI877" s="76"/>
      <c r="GJ877" s="76"/>
      <c r="GK877" s="76"/>
      <c r="GL877" s="76"/>
      <c r="GM877" s="76"/>
      <c r="GN877" s="76"/>
      <c r="GO877" s="76"/>
      <c r="GP877" s="76"/>
      <c r="GQ877" s="76"/>
      <c r="GR877" s="76"/>
      <c r="GS877" s="76"/>
      <c r="GT877" s="76"/>
      <c r="GU877" s="76"/>
      <c r="GV877" s="76"/>
      <c r="GW877" s="76"/>
      <c r="GX877" s="76"/>
      <c r="GY877" s="76"/>
      <c r="GZ877" s="76"/>
      <c r="HA877" s="76"/>
      <c r="HB877" s="76"/>
      <c r="HC877" s="76"/>
      <c r="HD877" s="76"/>
      <c r="HE877" s="76"/>
      <c r="HF877" s="76"/>
      <c r="HG877" s="76"/>
      <c r="HH877" s="76"/>
      <c r="HI877" s="76"/>
      <c r="HJ877" s="76"/>
      <c r="HK877" s="76"/>
      <c r="HL877" s="76"/>
      <c r="HM877" s="76"/>
      <c r="HN877" s="76"/>
      <c r="HO877" s="76"/>
      <c r="HP877" s="76"/>
      <c r="HQ877" s="76"/>
      <c r="HR877" s="76"/>
      <c r="HS877" s="76"/>
      <c r="HT877" s="76"/>
      <c r="HU877" s="76"/>
      <c r="HV877" s="76"/>
      <c r="HW877" s="76"/>
      <c r="HX877" s="76"/>
      <c r="HY877" s="76"/>
      <c r="HZ877" s="76"/>
      <c r="IA877" s="76"/>
      <c r="IB877" s="76"/>
      <c r="IC877" s="76"/>
      <c r="ID877" s="76"/>
      <c r="IE877" s="76"/>
      <c r="IF877" s="76"/>
      <c r="IG877" s="76"/>
      <c r="IH877" s="76"/>
      <c r="II877" s="76"/>
      <c r="IJ877" s="76"/>
      <c r="IK877" s="76"/>
      <c r="IL877" s="76"/>
      <c r="IM877" s="76"/>
      <c r="IN877" s="76"/>
      <c r="IO877" s="76"/>
      <c r="IP877" s="76"/>
      <c r="IQ877" s="76"/>
      <c r="IR877" s="76"/>
      <c r="IS877" s="76"/>
      <c r="IT877" s="76"/>
      <c r="IU877" s="76"/>
      <c r="IV877" s="76"/>
    </row>
    <row r="878" spans="1:256">
      <c r="B878" s="152"/>
      <c r="C878" s="135" t="s">
        <v>115</v>
      </c>
      <c r="D878" s="76"/>
      <c r="E878" s="152"/>
      <c r="F878" s="152"/>
      <c r="G878" s="152"/>
      <c r="H878" s="152"/>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76"/>
      <c r="AT878" s="76"/>
      <c r="AU878" s="76"/>
      <c r="AV878" s="76"/>
      <c r="AW878" s="76"/>
      <c r="AX878" s="76"/>
      <c r="AY878" s="76"/>
      <c r="AZ878" s="76"/>
      <c r="BA878" s="76"/>
      <c r="BB878" s="76"/>
      <c r="BC878" s="76"/>
      <c r="BD878" s="76"/>
      <c r="BE878" s="76"/>
      <c r="BF878" s="76"/>
      <c r="BG878" s="76"/>
      <c r="BH878" s="76"/>
      <c r="BI878" s="76"/>
      <c r="BJ878" s="76"/>
      <c r="BK878" s="76"/>
      <c r="BL878" s="76"/>
      <c r="BM878" s="76"/>
      <c r="BN878" s="76"/>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c r="CT878" s="76"/>
      <c r="CU878" s="76"/>
      <c r="CV878" s="76"/>
      <c r="CW878" s="76"/>
      <c r="CX878" s="76"/>
      <c r="CY878" s="76"/>
      <c r="CZ878" s="76"/>
      <c r="DA878" s="76"/>
      <c r="DB878" s="76"/>
      <c r="DC878" s="76"/>
      <c r="DD878" s="76"/>
      <c r="DE878" s="76"/>
      <c r="DF878" s="76"/>
      <c r="DG878" s="76"/>
      <c r="DH878" s="76"/>
      <c r="DI878" s="76"/>
      <c r="DJ878" s="76"/>
      <c r="DK878" s="76"/>
      <c r="DL878" s="76"/>
      <c r="DM878" s="76"/>
      <c r="DN878" s="76"/>
      <c r="DO878" s="76"/>
      <c r="DP878" s="76"/>
      <c r="DQ878" s="76"/>
      <c r="DR878" s="76"/>
      <c r="DS878" s="76"/>
      <c r="DT878" s="76"/>
      <c r="DU878" s="76"/>
      <c r="DV878" s="76"/>
      <c r="DW878" s="76"/>
      <c r="DX878" s="76"/>
      <c r="DY878" s="76"/>
      <c r="DZ878" s="76"/>
      <c r="EA878" s="76"/>
      <c r="EB878" s="76"/>
      <c r="EC878" s="76"/>
      <c r="ED878" s="76"/>
      <c r="EE878" s="76"/>
      <c r="EF878" s="76"/>
      <c r="EG878" s="76"/>
      <c r="EH878" s="76"/>
      <c r="EI878" s="76"/>
      <c r="EJ878" s="76"/>
      <c r="EK878" s="76"/>
      <c r="EL878" s="76"/>
      <c r="EM878" s="76"/>
      <c r="EN878" s="76"/>
      <c r="EO878" s="76"/>
      <c r="EP878" s="76"/>
      <c r="EQ878" s="76"/>
      <c r="ER878" s="76"/>
      <c r="ES878" s="76"/>
      <c r="ET878" s="76"/>
      <c r="EU878" s="76"/>
      <c r="EV878" s="76"/>
      <c r="EW878" s="76"/>
      <c r="EX878" s="76"/>
      <c r="EY878" s="76"/>
      <c r="EZ878" s="76"/>
      <c r="FA878" s="76"/>
      <c r="FB878" s="76"/>
      <c r="FC878" s="76"/>
      <c r="FD878" s="76"/>
      <c r="FE878" s="76"/>
      <c r="FF878" s="76"/>
      <c r="FG878" s="76"/>
      <c r="FH878" s="76"/>
      <c r="FI878" s="76"/>
      <c r="FJ878" s="76"/>
      <c r="FK878" s="76"/>
      <c r="FL878" s="76"/>
      <c r="FM878" s="76"/>
      <c r="FN878" s="76"/>
      <c r="FO878" s="76"/>
      <c r="FP878" s="76"/>
      <c r="FQ878" s="76"/>
      <c r="FR878" s="76"/>
      <c r="FS878" s="76"/>
      <c r="FT878" s="76"/>
      <c r="FU878" s="76"/>
      <c r="FV878" s="76"/>
      <c r="FW878" s="76"/>
      <c r="FX878" s="76"/>
      <c r="FY878" s="76"/>
      <c r="FZ878" s="76"/>
      <c r="GA878" s="76"/>
      <c r="GB878" s="76"/>
      <c r="GC878" s="76"/>
      <c r="GD878" s="76"/>
      <c r="GE878" s="76"/>
      <c r="GF878" s="76"/>
      <c r="GG878" s="76"/>
      <c r="GH878" s="76"/>
      <c r="GI878" s="76"/>
      <c r="GJ878" s="76"/>
      <c r="GK878" s="76"/>
      <c r="GL878" s="76"/>
      <c r="GM878" s="76"/>
      <c r="GN878" s="76"/>
      <c r="GO878" s="76"/>
      <c r="GP878" s="76"/>
      <c r="GQ878" s="76"/>
      <c r="GR878" s="76"/>
      <c r="GS878" s="76"/>
      <c r="GT878" s="76"/>
      <c r="GU878" s="76"/>
      <c r="GV878" s="76"/>
      <c r="GW878" s="76"/>
      <c r="GX878" s="76"/>
      <c r="GY878" s="76"/>
      <c r="GZ878" s="76"/>
      <c r="HA878" s="76"/>
      <c r="HB878" s="76"/>
      <c r="HC878" s="76"/>
      <c r="HD878" s="76"/>
      <c r="HE878" s="76"/>
      <c r="HF878" s="76"/>
      <c r="HG878" s="76"/>
      <c r="HH878" s="76"/>
      <c r="HI878" s="76"/>
      <c r="HJ878" s="76"/>
      <c r="HK878" s="76"/>
      <c r="HL878" s="76"/>
      <c r="HM878" s="76"/>
      <c r="HN878" s="76"/>
      <c r="HO878" s="76"/>
      <c r="HP878" s="76"/>
      <c r="HQ878" s="76"/>
      <c r="HR878" s="76"/>
      <c r="HS878" s="76"/>
      <c r="HT878" s="76"/>
      <c r="HU878" s="76"/>
      <c r="HV878" s="76"/>
      <c r="HW878" s="76"/>
      <c r="HX878" s="76"/>
      <c r="HY878" s="76"/>
      <c r="HZ878" s="76"/>
      <c r="IA878" s="76"/>
      <c r="IB878" s="76"/>
      <c r="IC878" s="76"/>
      <c r="ID878" s="76"/>
      <c r="IE878" s="76"/>
      <c r="IF878" s="76"/>
      <c r="IG878" s="76"/>
      <c r="IH878" s="76"/>
      <c r="II878" s="76"/>
      <c r="IJ878" s="76"/>
      <c r="IK878" s="76"/>
      <c r="IL878" s="76"/>
      <c r="IM878" s="76"/>
      <c r="IN878" s="76"/>
      <c r="IO878" s="76"/>
      <c r="IP878" s="76"/>
      <c r="IQ878" s="76"/>
      <c r="IR878" s="76"/>
      <c r="IS878" s="76"/>
      <c r="IT878" s="76"/>
      <c r="IU878" s="76"/>
      <c r="IV878" s="76"/>
    </row>
    <row r="879" spans="1:256">
      <c r="B879" s="116"/>
      <c r="C879" s="139" t="s">
        <v>116</v>
      </c>
      <c r="D879" s="89"/>
      <c r="E879" s="116"/>
      <c r="F879" s="116"/>
      <c r="G879" s="116"/>
      <c r="H879" s="11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c r="AY879" s="76"/>
      <c r="AZ879" s="76"/>
      <c r="BA879" s="76"/>
      <c r="BB879" s="76"/>
      <c r="BC879" s="76"/>
      <c r="BD879" s="76"/>
      <c r="BE879" s="76"/>
      <c r="BF879" s="76"/>
      <c r="BG879" s="76"/>
      <c r="BH879" s="76"/>
      <c r="BI879" s="76"/>
      <c r="BJ879" s="76"/>
      <c r="BK879" s="76"/>
      <c r="BL879" s="76"/>
      <c r="BM879" s="76"/>
      <c r="BN879" s="76"/>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76"/>
      <c r="CU879" s="76"/>
      <c r="CV879" s="76"/>
      <c r="CW879" s="76"/>
      <c r="CX879" s="76"/>
      <c r="CY879" s="76"/>
      <c r="CZ879" s="76"/>
      <c r="DA879" s="76"/>
      <c r="DB879" s="76"/>
      <c r="DC879" s="76"/>
      <c r="DD879" s="76"/>
      <c r="DE879" s="76"/>
      <c r="DF879" s="76"/>
      <c r="DG879" s="76"/>
      <c r="DH879" s="76"/>
      <c r="DI879" s="76"/>
      <c r="DJ879" s="76"/>
      <c r="DK879" s="76"/>
      <c r="DL879" s="76"/>
      <c r="DM879" s="76"/>
      <c r="DN879" s="76"/>
      <c r="DO879" s="76"/>
      <c r="DP879" s="76"/>
      <c r="DQ879" s="76"/>
      <c r="DR879" s="76"/>
      <c r="DS879" s="76"/>
      <c r="DT879" s="76"/>
      <c r="DU879" s="76"/>
      <c r="DV879" s="76"/>
      <c r="DW879" s="76"/>
      <c r="DX879" s="76"/>
      <c r="DY879" s="76"/>
      <c r="DZ879" s="76"/>
      <c r="EA879" s="76"/>
      <c r="EB879" s="76"/>
      <c r="EC879" s="76"/>
      <c r="ED879" s="76"/>
      <c r="EE879" s="76"/>
      <c r="EF879" s="76"/>
      <c r="EG879" s="76"/>
      <c r="EH879" s="76"/>
      <c r="EI879" s="76"/>
      <c r="EJ879" s="76"/>
      <c r="EK879" s="76"/>
      <c r="EL879" s="76"/>
      <c r="EM879" s="76"/>
      <c r="EN879" s="76"/>
      <c r="EO879" s="76"/>
      <c r="EP879" s="76"/>
      <c r="EQ879" s="76"/>
      <c r="ER879" s="76"/>
      <c r="ES879" s="76"/>
      <c r="ET879" s="76"/>
      <c r="EU879" s="76"/>
      <c r="EV879" s="76"/>
      <c r="EW879" s="76"/>
      <c r="EX879" s="76"/>
      <c r="EY879" s="76"/>
      <c r="EZ879" s="76"/>
      <c r="FA879" s="76"/>
      <c r="FB879" s="76"/>
      <c r="FC879" s="76"/>
      <c r="FD879" s="76"/>
      <c r="FE879" s="76"/>
      <c r="FF879" s="76"/>
      <c r="FG879" s="76"/>
      <c r="FH879" s="76"/>
      <c r="FI879" s="76"/>
      <c r="FJ879" s="76"/>
      <c r="FK879" s="76"/>
      <c r="FL879" s="76"/>
      <c r="FM879" s="76"/>
      <c r="FN879" s="76"/>
      <c r="FO879" s="76"/>
      <c r="FP879" s="76"/>
      <c r="FQ879" s="76"/>
      <c r="FR879" s="76"/>
      <c r="FS879" s="76"/>
      <c r="FT879" s="76"/>
      <c r="FU879" s="76"/>
      <c r="FV879" s="76"/>
      <c r="FW879" s="76"/>
      <c r="FX879" s="76"/>
      <c r="FY879" s="76"/>
      <c r="FZ879" s="76"/>
      <c r="GA879" s="76"/>
      <c r="GB879" s="76"/>
      <c r="GC879" s="76"/>
      <c r="GD879" s="76"/>
      <c r="GE879" s="76"/>
      <c r="GF879" s="76"/>
      <c r="GG879" s="76"/>
      <c r="GH879" s="76"/>
      <c r="GI879" s="76"/>
      <c r="GJ879" s="76"/>
      <c r="GK879" s="76"/>
      <c r="GL879" s="76"/>
      <c r="GM879" s="76"/>
      <c r="GN879" s="76"/>
      <c r="GO879" s="76"/>
      <c r="GP879" s="76"/>
      <c r="GQ879" s="76"/>
      <c r="GR879" s="76"/>
      <c r="GS879" s="76"/>
      <c r="GT879" s="76"/>
      <c r="GU879" s="76"/>
      <c r="GV879" s="76"/>
      <c r="GW879" s="76"/>
      <c r="GX879" s="76"/>
      <c r="GY879" s="76"/>
      <c r="GZ879" s="76"/>
      <c r="HA879" s="76"/>
      <c r="HB879" s="76"/>
      <c r="HC879" s="76"/>
      <c r="HD879" s="76"/>
      <c r="HE879" s="76"/>
      <c r="HF879" s="76"/>
      <c r="HG879" s="76"/>
      <c r="HH879" s="76"/>
      <c r="HI879" s="76"/>
      <c r="HJ879" s="76"/>
      <c r="HK879" s="76"/>
      <c r="HL879" s="76"/>
      <c r="HM879" s="76"/>
      <c r="HN879" s="76"/>
      <c r="HO879" s="76"/>
      <c r="HP879" s="76"/>
      <c r="HQ879" s="76"/>
      <c r="HR879" s="76"/>
      <c r="HS879" s="76"/>
      <c r="HT879" s="76"/>
      <c r="HU879" s="76"/>
      <c r="HV879" s="76"/>
      <c r="HW879" s="76"/>
      <c r="HX879" s="76"/>
      <c r="HY879" s="76"/>
      <c r="HZ879" s="76"/>
      <c r="IA879" s="76"/>
      <c r="IB879" s="76"/>
      <c r="IC879" s="76"/>
      <c r="ID879" s="76"/>
      <c r="IE879" s="76"/>
      <c r="IF879" s="76"/>
      <c r="IG879" s="76"/>
      <c r="IH879" s="76"/>
      <c r="II879" s="76"/>
      <c r="IJ879" s="76"/>
      <c r="IK879" s="76"/>
      <c r="IL879" s="76"/>
      <c r="IM879" s="76"/>
      <c r="IN879" s="76"/>
      <c r="IO879" s="76"/>
      <c r="IP879" s="76"/>
      <c r="IQ879" s="76"/>
      <c r="IR879" s="76"/>
      <c r="IS879" s="76"/>
      <c r="IT879" s="76"/>
      <c r="IU879" s="76"/>
      <c r="IV879" s="76"/>
    </row>
    <row r="880" spans="1:256">
      <c r="B880" s="135"/>
      <c r="C880" s="76" t="s">
        <v>359</v>
      </c>
      <c r="D880" s="85"/>
      <c r="E880" s="76"/>
      <c r="F880" s="76"/>
      <c r="G880" s="76"/>
      <c r="H880" s="123"/>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76"/>
      <c r="AT880" s="76"/>
      <c r="AU880" s="76"/>
      <c r="AV880" s="76"/>
      <c r="AW880" s="76"/>
      <c r="AX880" s="76"/>
      <c r="AY880" s="76"/>
      <c r="AZ880" s="76"/>
      <c r="BA880" s="76"/>
      <c r="BB880" s="76"/>
      <c r="BC880" s="76"/>
      <c r="BD880" s="76"/>
      <c r="BE880" s="76"/>
      <c r="BF880" s="76"/>
      <c r="BG880" s="76"/>
      <c r="BH880" s="76"/>
      <c r="BI880" s="76"/>
      <c r="BJ880" s="76"/>
      <c r="BK880" s="76"/>
      <c r="BL880" s="76"/>
      <c r="BM880" s="76"/>
      <c r="BN880" s="76"/>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76"/>
      <c r="CU880" s="76"/>
      <c r="CV880" s="76"/>
      <c r="CW880" s="76"/>
      <c r="CX880" s="76"/>
      <c r="CY880" s="76"/>
      <c r="CZ880" s="76"/>
      <c r="DA880" s="76"/>
      <c r="DB880" s="76"/>
      <c r="DC880" s="76"/>
      <c r="DD880" s="76"/>
      <c r="DE880" s="76"/>
      <c r="DF880" s="76"/>
      <c r="DG880" s="76"/>
      <c r="DH880" s="76"/>
      <c r="DI880" s="76"/>
      <c r="DJ880" s="76"/>
      <c r="DK880" s="76"/>
      <c r="DL880" s="76"/>
      <c r="DM880" s="76"/>
      <c r="DN880" s="76"/>
      <c r="DO880" s="76"/>
      <c r="DP880" s="76"/>
      <c r="DQ880" s="76"/>
      <c r="DR880" s="76"/>
      <c r="DS880" s="76"/>
      <c r="DT880" s="76"/>
      <c r="DU880" s="76"/>
      <c r="DV880" s="76"/>
      <c r="DW880" s="76"/>
      <c r="DX880" s="76"/>
      <c r="DY880" s="76"/>
      <c r="DZ880" s="76"/>
      <c r="EA880" s="76"/>
      <c r="EB880" s="76"/>
      <c r="EC880" s="76"/>
      <c r="ED880" s="76"/>
      <c r="EE880" s="76"/>
      <c r="EF880" s="76"/>
      <c r="EG880" s="76"/>
      <c r="EH880" s="76"/>
      <c r="EI880" s="76"/>
      <c r="EJ880" s="76"/>
      <c r="EK880" s="76"/>
      <c r="EL880" s="76"/>
      <c r="EM880" s="76"/>
      <c r="EN880" s="76"/>
      <c r="EO880" s="76"/>
      <c r="EP880" s="76"/>
      <c r="EQ880" s="76"/>
      <c r="ER880" s="76"/>
      <c r="ES880" s="76"/>
      <c r="ET880" s="76"/>
      <c r="EU880" s="76"/>
      <c r="EV880" s="76"/>
      <c r="EW880" s="76"/>
      <c r="EX880" s="76"/>
      <c r="EY880" s="76"/>
      <c r="EZ880" s="76"/>
      <c r="FA880" s="76"/>
      <c r="FB880" s="76"/>
      <c r="FC880" s="76"/>
      <c r="FD880" s="76"/>
      <c r="FE880" s="76"/>
      <c r="FF880" s="76"/>
      <c r="FG880" s="76"/>
      <c r="FH880" s="76"/>
      <c r="FI880" s="76"/>
      <c r="FJ880" s="76"/>
      <c r="FK880" s="76"/>
      <c r="FL880" s="76"/>
      <c r="FM880" s="76"/>
      <c r="FN880" s="76"/>
      <c r="FO880" s="76"/>
      <c r="FP880" s="76"/>
      <c r="FQ880" s="76"/>
      <c r="FR880" s="76"/>
      <c r="FS880" s="76"/>
      <c r="FT880" s="76"/>
      <c r="FU880" s="76"/>
      <c r="FV880" s="76"/>
      <c r="FW880" s="76"/>
      <c r="FX880" s="76"/>
      <c r="FY880" s="76"/>
      <c r="FZ880" s="76"/>
      <c r="GA880" s="76"/>
      <c r="GB880" s="76"/>
      <c r="GC880" s="76"/>
      <c r="GD880" s="76"/>
      <c r="GE880" s="76"/>
      <c r="GF880" s="76"/>
      <c r="GG880" s="76"/>
      <c r="GH880" s="76"/>
      <c r="GI880" s="76"/>
      <c r="GJ880" s="76"/>
      <c r="GK880" s="76"/>
      <c r="GL880" s="76"/>
      <c r="GM880" s="76"/>
      <c r="GN880" s="76"/>
      <c r="GO880" s="76"/>
      <c r="GP880" s="76"/>
      <c r="GQ880" s="76"/>
      <c r="GR880" s="76"/>
      <c r="GS880" s="76"/>
      <c r="GT880" s="76"/>
      <c r="GU880" s="76"/>
      <c r="GV880" s="76"/>
      <c r="GW880" s="76"/>
      <c r="GX880" s="76"/>
      <c r="GY880" s="76"/>
      <c r="GZ880" s="76"/>
      <c r="HA880" s="76"/>
      <c r="HB880" s="76"/>
      <c r="HC880" s="76"/>
      <c r="HD880" s="76"/>
      <c r="HE880" s="76"/>
      <c r="HF880" s="76"/>
      <c r="HG880" s="76"/>
      <c r="HH880" s="76"/>
      <c r="HI880" s="76"/>
      <c r="HJ880" s="76"/>
      <c r="HK880" s="76"/>
      <c r="HL880" s="76"/>
      <c r="HM880" s="76"/>
      <c r="HN880" s="76"/>
      <c r="HO880" s="76"/>
      <c r="HP880" s="76"/>
      <c r="HQ880" s="76"/>
      <c r="HR880" s="76"/>
      <c r="HS880" s="76"/>
      <c r="HT880" s="76"/>
      <c r="HU880" s="76"/>
      <c r="HV880" s="76"/>
      <c r="HW880" s="76"/>
      <c r="HX880" s="76"/>
      <c r="HY880" s="76"/>
      <c r="HZ880" s="76"/>
      <c r="IA880" s="76"/>
      <c r="IB880" s="76"/>
      <c r="IC880" s="76"/>
      <c r="ID880" s="76"/>
      <c r="IE880" s="76"/>
      <c r="IF880" s="76"/>
      <c r="IG880" s="76"/>
      <c r="IH880" s="76"/>
      <c r="II880" s="76"/>
      <c r="IJ880" s="76"/>
      <c r="IK880" s="76"/>
      <c r="IL880" s="76"/>
      <c r="IM880" s="76"/>
      <c r="IN880" s="76"/>
      <c r="IO880" s="76"/>
      <c r="IP880" s="76"/>
      <c r="IQ880" s="76"/>
      <c r="IR880" s="76"/>
      <c r="IS880" s="76"/>
      <c r="IT880" s="76"/>
      <c r="IU880" s="76"/>
      <c r="IV880" s="76"/>
    </row>
    <row r="881" spans="2:256">
      <c r="B881" s="135"/>
      <c r="C881" s="76" t="s">
        <v>559</v>
      </c>
      <c r="D881" s="76"/>
      <c r="E881" s="76"/>
      <c r="F881" s="76"/>
      <c r="G881" s="76"/>
      <c r="H881" s="123"/>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c r="AQ881" s="76"/>
      <c r="AR881" s="76"/>
      <c r="AS881" s="76"/>
      <c r="AT881" s="76"/>
      <c r="AU881" s="76"/>
      <c r="AV881" s="76"/>
      <c r="AW881" s="76"/>
      <c r="AX881" s="76"/>
      <c r="AY881" s="76"/>
      <c r="AZ881" s="76"/>
      <c r="BA881" s="76"/>
      <c r="BB881" s="76"/>
      <c r="BC881" s="76"/>
      <c r="BD881" s="76"/>
      <c r="BE881" s="76"/>
      <c r="BF881" s="76"/>
      <c r="BG881" s="76"/>
      <c r="BH881" s="76"/>
      <c r="BI881" s="76"/>
      <c r="BJ881" s="76"/>
      <c r="BK881" s="76"/>
      <c r="BL881" s="76"/>
      <c r="BM881" s="76"/>
      <c r="BN881" s="76"/>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76"/>
      <c r="CU881" s="76"/>
      <c r="CV881" s="76"/>
      <c r="CW881" s="76"/>
      <c r="CX881" s="76"/>
      <c r="CY881" s="76"/>
      <c r="CZ881" s="76"/>
      <c r="DA881" s="76"/>
      <c r="DB881" s="76"/>
      <c r="DC881" s="76"/>
      <c r="DD881" s="76"/>
      <c r="DE881" s="76"/>
      <c r="DF881" s="76"/>
      <c r="DG881" s="76"/>
      <c r="DH881" s="76"/>
      <c r="DI881" s="76"/>
      <c r="DJ881" s="76"/>
      <c r="DK881" s="76"/>
      <c r="DL881" s="76"/>
      <c r="DM881" s="76"/>
      <c r="DN881" s="76"/>
      <c r="DO881" s="76"/>
      <c r="DP881" s="76"/>
      <c r="DQ881" s="76"/>
      <c r="DR881" s="76"/>
      <c r="DS881" s="76"/>
      <c r="DT881" s="76"/>
      <c r="DU881" s="76"/>
      <c r="DV881" s="76"/>
      <c r="DW881" s="76"/>
      <c r="DX881" s="76"/>
      <c r="DY881" s="76"/>
      <c r="DZ881" s="76"/>
      <c r="EA881" s="76"/>
      <c r="EB881" s="76"/>
      <c r="EC881" s="76"/>
      <c r="ED881" s="76"/>
      <c r="EE881" s="76"/>
      <c r="EF881" s="76"/>
      <c r="EG881" s="76"/>
      <c r="EH881" s="76"/>
      <c r="EI881" s="76"/>
      <c r="EJ881" s="76"/>
      <c r="EK881" s="76"/>
      <c r="EL881" s="76"/>
      <c r="EM881" s="76"/>
      <c r="EN881" s="76"/>
      <c r="EO881" s="76"/>
      <c r="EP881" s="76"/>
      <c r="EQ881" s="76"/>
      <c r="ER881" s="76"/>
      <c r="ES881" s="76"/>
      <c r="ET881" s="76"/>
      <c r="EU881" s="76"/>
      <c r="EV881" s="76"/>
      <c r="EW881" s="76"/>
      <c r="EX881" s="76"/>
      <c r="EY881" s="76"/>
      <c r="EZ881" s="76"/>
      <c r="FA881" s="76"/>
      <c r="FB881" s="76"/>
      <c r="FC881" s="76"/>
      <c r="FD881" s="76"/>
      <c r="FE881" s="76"/>
      <c r="FF881" s="76"/>
      <c r="FG881" s="76"/>
      <c r="FH881" s="76"/>
      <c r="FI881" s="76"/>
      <c r="FJ881" s="76"/>
      <c r="FK881" s="76"/>
      <c r="FL881" s="76"/>
      <c r="FM881" s="76"/>
      <c r="FN881" s="76"/>
      <c r="FO881" s="76"/>
      <c r="FP881" s="76"/>
      <c r="FQ881" s="76"/>
      <c r="FR881" s="76"/>
      <c r="FS881" s="76"/>
      <c r="FT881" s="76"/>
      <c r="FU881" s="76"/>
      <c r="FV881" s="76"/>
      <c r="FW881" s="76"/>
      <c r="FX881" s="76"/>
      <c r="FY881" s="76"/>
      <c r="FZ881" s="76"/>
      <c r="GA881" s="76"/>
      <c r="GB881" s="76"/>
      <c r="GC881" s="76"/>
      <c r="GD881" s="76"/>
      <c r="GE881" s="76"/>
      <c r="GF881" s="76"/>
      <c r="GG881" s="76"/>
      <c r="GH881" s="76"/>
      <c r="GI881" s="76"/>
      <c r="GJ881" s="76"/>
      <c r="GK881" s="76"/>
      <c r="GL881" s="76"/>
      <c r="GM881" s="76"/>
      <c r="GN881" s="76"/>
      <c r="GO881" s="76"/>
      <c r="GP881" s="76"/>
      <c r="GQ881" s="76"/>
      <c r="GR881" s="76"/>
      <c r="GS881" s="76"/>
      <c r="GT881" s="76"/>
      <c r="GU881" s="76"/>
      <c r="GV881" s="76"/>
      <c r="GW881" s="76"/>
      <c r="GX881" s="76"/>
      <c r="GY881" s="76"/>
      <c r="GZ881" s="76"/>
      <c r="HA881" s="76"/>
      <c r="HB881" s="76"/>
      <c r="HC881" s="76"/>
      <c r="HD881" s="76"/>
      <c r="HE881" s="76"/>
      <c r="HF881" s="76"/>
      <c r="HG881" s="76"/>
      <c r="HH881" s="76"/>
      <c r="HI881" s="76"/>
      <c r="HJ881" s="76"/>
      <c r="HK881" s="76"/>
      <c r="HL881" s="76"/>
      <c r="HM881" s="76"/>
      <c r="HN881" s="76"/>
      <c r="HO881" s="76"/>
      <c r="HP881" s="76"/>
      <c r="HQ881" s="76"/>
      <c r="HR881" s="76"/>
      <c r="HS881" s="76"/>
      <c r="HT881" s="76"/>
      <c r="HU881" s="76"/>
      <c r="HV881" s="76"/>
      <c r="HW881" s="76"/>
      <c r="HX881" s="76"/>
      <c r="HY881" s="76"/>
      <c r="HZ881" s="76"/>
      <c r="IA881" s="76"/>
      <c r="IB881" s="76"/>
      <c r="IC881" s="76"/>
      <c r="ID881" s="76"/>
      <c r="IE881" s="76"/>
      <c r="IF881" s="76"/>
      <c r="IG881" s="76"/>
      <c r="IH881" s="76"/>
      <c r="II881" s="76"/>
      <c r="IJ881" s="76"/>
      <c r="IK881" s="76"/>
      <c r="IL881" s="76"/>
      <c r="IM881" s="76"/>
      <c r="IN881" s="76"/>
      <c r="IO881" s="76"/>
      <c r="IP881" s="76"/>
      <c r="IQ881" s="76"/>
      <c r="IR881" s="76"/>
      <c r="IS881" s="76"/>
      <c r="IT881" s="76"/>
      <c r="IU881" s="76"/>
      <c r="IV881" s="76"/>
    </row>
    <row r="882" spans="2:256">
      <c r="B882" s="135"/>
      <c r="C882" s="76" t="s">
        <v>101</v>
      </c>
      <c r="D882" s="76"/>
      <c r="E882" s="76"/>
      <c r="F882" s="76"/>
      <c r="G882" s="76"/>
      <c r="H882" s="123"/>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c r="AY882" s="76"/>
      <c r="AZ882" s="76"/>
      <c r="BA882" s="76"/>
      <c r="BB882" s="76"/>
      <c r="BC882" s="76"/>
      <c r="BD882" s="76"/>
      <c r="BE882" s="76"/>
      <c r="BF882" s="76"/>
      <c r="BG882" s="76"/>
      <c r="BH882" s="76"/>
      <c r="BI882" s="76"/>
      <c r="BJ882" s="76"/>
      <c r="BK882" s="76"/>
      <c r="BL882" s="76"/>
      <c r="BM882" s="76"/>
      <c r="BN882" s="76"/>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76"/>
      <c r="CU882" s="76"/>
      <c r="CV882" s="76"/>
      <c r="CW882" s="76"/>
      <c r="CX882" s="76"/>
      <c r="CY882" s="76"/>
      <c r="CZ882" s="76"/>
      <c r="DA882" s="76"/>
      <c r="DB882" s="76"/>
      <c r="DC882" s="76"/>
      <c r="DD882" s="76"/>
      <c r="DE882" s="76"/>
      <c r="DF882" s="76"/>
      <c r="DG882" s="76"/>
      <c r="DH882" s="76"/>
      <c r="DI882" s="76"/>
      <c r="DJ882" s="76"/>
      <c r="DK882" s="76"/>
      <c r="DL882" s="76"/>
      <c r="DM882" s="76"/>
      <c r="DN882" s="76"/>
      <c r="DO882" s="76"/>
      <c r="DP882" s="76"/>
      <c r="DQ882" s="76"/>
      <c r="DR882" s="76"/>
      <c r="DS882" s="76"/>
      <c r="DT882" s="76"/>
      <c r="DU882" s="76"/>
      <c r="DV882" s="76"/>
      <c r="DW882" s="76"/>
      <c r="DX882" s="76"/>
      <c r="DY882" s="76"/>
      <c r="DZ882" s="76"/>
      <c r="EA882" s="76"/>
      <c r="EB882" s="76"/>
      <c r="EC882" s="76"/>
      <c r="ED882" s="76"/>
      <c r="EE882" s="76"/>
      <c r="EF882" s="76"/>
      <c r="EG882" s="76"/>
      <c r="EH882" s="76"/>
      <c r="EI882" s="76"/>
      <c r="EJ882" s="76"/>
      <c r="EK882" s="76"/>
      <c r="EL882" s="76"/>
      <c r="EM882" s="76"/>
      <c r="EN882" s="76"/>
      <c r="EO882" s="76"/>
      <c r="EP882" s="76"/>
      <c r="EQ882" s="76"/>
      <c r="ER882" s="76"/>
      <c r="ES882" s="76"/>
      <c r="ET882" s="76"/>
      <c r="EU882" s="76"/>
      <c r="EV882" s="76"/>
      <c r="EW882" s="76"/>
      <c r="EX882" s="76"/>
      <c r="EY882" s="76"/>
      <c r="EZ882" s="76"/>
      <c r="FA882" s="76"/>
      <c r="FB882" s="76"/>
      <c r="FC882" s="76"/>
      <c r="FD882" s="76"/>
      <c r="FE882" s="76"/>
      <c r="FF882" s="76"/>
      <c r="FG882" s="76"/>
      <c r="FH882" s="76"/>
      <c r="FI882" s="76"/>
      <c r="FJ882" s="76"/>
      <c r="FK882" s="76"/>
      <c r="FL882" s="76"/>
      <c r="FM882" s="76"/>
      <c r="FN882" s="76"/>
      <c r="FO882" s="76"/>
      <c r="FP882" s="76"/>
      <c r="FQ882" s="76"/>
      <c r="FR882" s="76"/>
      <c r="FS882" s="76"/>
      <c r="FT882" s="76"/>
      <c r="FU882" s="76"/>
      <c r="FV882" s="76"/>
      <c r="FW882" s="76"/>
      <c r="FX882" s="76"/>
      <c r="FY882" s="76"/>
      <c r="FZ882" s="76"/>
      <c r="GA882" s="76"/>
      <c r="GB882" s="76"/>
      <c r="GC882" s="76"/>
      <c r="GD882" s="76"/>
      <c r="GE882" s="76"/>
      <c r="GF882" s="76"/>
      <c r="GG882" s="76"/>
      <c r="GH882" s="76"/>
      <c r="GI882" s="76"/>
      <c r="GJ882" s="76"/>
      <c r="GK882" s="76"/>
      <c r="GL882" s="76"/>
      <c r="GM882" s="76"/>
      <c r="GN882" s="76"/>
      <c r="GO882" s="76"/>
      <c r="GP882" s="76"/>
      <c r="GQ882" s="76"/>
      <c r="GR882" s="76"/>
      <c r="GS882" s="76"/>
      <c r="GT882" s="76"/>
      <c r="GU882" s="76"/>
      <c r="GV882" s="76"/>
      <c r="GW882" s="76"/>
      <c r="GX882" s="76"/>
      <c r="GY882" s="76"/>
      <c r="GZ882" s="76"/>
      <c r="HA882" s="76"/>
      <c r="HB882" s="76"/>
      <c r="HC882" s="76"/>
      <c r="HD882" s="76"/>
      <c r="HE882" s="76"/>
      <c r="HF882" s="76"/>
      <c r="HG882" s="76"/>
      <c r="HH882" s="76"/>
      <c r="HI882" s="76"/>
      <c r="HJ882" s="76"/>
      <c r="HK882" s="76"/>
      <c r="HL882" s="76"/>
      <c r="HM882" s="76"/>
      <c r="HN882" s="76"/>
      <c r="HO882" s="76"/>
      <c r="HP882" s="76"/>
      <c r="HQ882" s="76"/>
      <c r="HR882" s="76"/>
      <c r="HS882" s="76"/>
      <c r="HT882" s="76"/>
      <c r="HU882" s="76"/>
      <c r="HV882" s="76"/>
      <c r="HW882" s="76"/>
      <c r="HX882" s="76"/>
      <c r="HY882" s="76"/>
      <c r="HZ882" s="76"/>
      <c r="IA882" s="76"/>
      <c r="IB882" s="76"/>
      <c r="IC882" s="76"/>
      <c r="ID882" s="76"/>
      <c r="IE882" s="76"/>
      <c r="IF882" s="76"/>
      <c r="IG882" s="76"/>
      <c r="IH882" s="76"/>
      <c r="II882" s="76"/>
      <c r="IJ882" s="76"/>
      <c r="IK882" s="76"/>
      <c r="IL882" s="76"/>
      <c r="IM882" s="76"/>
      <c r="IN882" s="76"/>
      <c r="IO882" s="76"/>
      <c r="IP882" s="76"/>
      <c r="IQ882" s="76"/>
      <c r="IR882" s="76"/>
      <c r="IS882" s="76"/>
      <c r="IT882" s="76"/>
      <c r="IU882" s="76"/>
      <c r="IV882" s="76"/>
    </row>
    <row r="883" spans="2:256">
      <c r="B883" s="135"/>
      <c r="C883" s="76" t="s">
        <v>102</v>
      </c>
      <c r="D883" s="76"/>
      <c r="E883" s="76" t="s">
        <v>103</v>
      </c>
      <c r="F883" s="33">
        <v>1</v>
      </c>
      <c r="G883" s="76"/>
      <c r="H883" s="123"/>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c r="AQ883" s="76"/>
      <c r="AR883" s="76"/>
      <c r="AS883" s="76"/>
      <c r="AT883" s="76"/>
      <c r="AU883" s="76"/>
      <c r="AV883" s="76"/>
      <c r="AW883" s="76"/>
      <c r="AX883" s="76"/>
      <c r="AY883" s="76"/>
      <c r="AZ883" s="76"/>
      <c r="BA883" s="76"/>
      <c r="BB883" s="76"/>
      <c r="BC883" s="76"/>
      <c r="BD883" s="76"/>
      <c r="BE883" s="76"/>
      <c r="BF883" s="76"/>
      <c r="BG883" s="76"/>
      <c r="BH883" s="76"/>
      <c r="BI883" s="76"/>
      <c r="BJ883" s="76"/>
      <c r="BK883" s="76"/>
      <c r="BL883" s="76"/>
      <c r="BM883" s="76"/>
      <c r="BN883" s="76"/>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76"/>
      <c r="CU883" s="76"/>
      <c r="CV883" s="76"/>
      <c r="CW883" s="76"/>
      <c r="CX883" s="76"/>
      <c r="CY883" s="76"/>
      <c r="CZ883" s="76"/>
      <c r="DA883" s="76"/>
      <c r="DB883" s="76"/>
      <c r="DC883" s="76"/>
      <c r="DD883" s="76"/>
      <c r="DE883" s="76"/>
      <c r="DF883" s="76"/>
      <c r="DG883" s="76"/>
      <c r="DH883" s="76"/>
      <c r="DI883" s="76"/>
      <c r="DJ883" s="76"/>
      <c r="DK883" s="76"/>
      <c r="DL883" s="76"/>
      <c r="DM883" s="76"/>
      <c r="DN883" s="76"/>
      <c r="DO883" s="76"/>
      <c r="DP883" s="76"/>
      <c r="DQ883" s="76"/>
      <c r="DR883" s="76"/>
      <c r="DS883" s="76"/>
      <c r="DT883" s="76"/>
      <c r="DU883" s="76"/>
      <c r="DV883" s="76"/>
      <c r="DW883" s="76"/>
      <c r="DX883" s="76"/>
      <c r="DY883" s="76"/>
      <c r="DZ883" s="76"/>
      <c r="EA883" s="76"/>
      <c r="EB883" s="76"/>
      <c r="EC883" s="76"/>
      <c r="ED883" s="76"/>
      <c r="EE883" s="76"/>
      <c r="EF883" s="76"/>
      <c r="EG883" s="76"/>
      <c r="EH883" s="76"/>
      <c r="EI883" s="76"/>
      <c r="EJ883" s="76"/>
      <c r="EK883" s="76"/>
      <c r="EL883" s="76"/>
      <c r="EM883" s="76"/>
      <c r="EN883" s="76"/>
      <c r="EO883" s="76"/>
      <c r="EP883" s="76"/>
      <c r="EQ883" s="76"/>
      <c r="ER883" s="76"/>
      <c r="ES883" s="76"/>
      <c r="ET883" s="76"/>
      <c r="EU883" s="76"/>
      <c r="EV883" s="76"/>
      <c r="EW883" s="76"/>
      <c r="EX883" s="76"/>
      <c r="EY883" s="76"/>
      <c r="EZ883" s="76"/>
      <c r="FA883" s="76"/>
      <c r="FB883" s="76"/>
      <c r="FC883" s="76"/>
      <c r="FD883" s="76"/>
      <c r="FE883" s="76"/>
      <c r="FF883" s="76"/>
      <c r="FG883" s="76"/>
      <c r="FH883" s="76"/>
      <c r="FI883" s="76"/>
      <c r="FJ883" s="76"/>
      <c r="FK883" s="76"/>
      <c r="FL883" s="76"/>
      <c r="FM883" s="76"/>
      <c r="FN883" s="76"/>
      <c r="FO883" s="76"/>
      <c r="FP883" s="76"/>
      <c r="FQ883" s="76"/>
      <c r="FR883" s="76"/>
      <c r="FS883" s="76"/>
      <c r="FT883" s="76"/>
      <c r="FU883" s="76"/>
      <c r="FV883" s="76"/>
      <c r="FW883" s="76"/>
      <c r="FX883" s="76"/>
      <c r="FY883" s="76"/>
      <c r="FZ883" s="76"/>
      <c r="GA883" s="76"/>
      <c r="GB883" s="76"/>
      <c r="GC883" s="76"/>
      <c r="GD883" s="76"/>
      <c r="GE883" s="76"/>
      <c r="GF883" s="76"/>
      <c r="GG883" s="76"/>
      <c r="GH883" s="76"/>
      <c r="GI883" s="76"/>
      <c r="GJ883" s="76"/>
      <c r="GK883" s="76"/>
      <c r="GL883" s="76"/>
      <c r="GM883" s="76"/>
      <c r="GN883" s="76"/>
      <c r="GO883" s="76"/>
      <c r="GP883" s="76"/>
      <c r="GQ883" s="76"/>
      <c r="GR883" s="76"/>
      <c r="GS883" s="76"/>
      <c r="GT883" s="76"/>
      <c r="GU883" s="76"/>
      <c r="GV883" s="76"/>
      <c r="GW883" s="76"/>
      <c r="GX883" s="76"/>
      <c r="GY883" s="76"/>
      <c r="GZ883" s="76"/>
      <c r="HA883" s="76"/>
      <c r="HB883" s="76"/>
      <c r="HC883" s="76"/>
      <c r="HD883" s="76"/>
      <c r="HE883" s="76"/>
      <c r="HF883" s="76"/>
      <c r="HG883" s="76"/>
      <c r="HH883" s="76"/>
      <c r="HI883" s="76"/>
      <c r="HJ883" s="76"/>
      <c r="HK883" s="76"/>
      <c r="HL883" s="76"/>
      <c r="HM883" s="76"/>
      <c r="HN883" s="76"/>
      <c r="HO883" s="76"/>
      <c r="HP883" s="76"/>
      <c r="HQ883" s="76"/>
      <c r="HR883" s="76"/>
      <c r="HS883" s="76"/>
      <c r="HT883" s="76"/>
      <c r="HU883" s="76"/>
      <c r="HV883" s="76"/>
      <c r="HW883" s="76"/>
      <c r="HX883" s="76"/>
      <c r="HY883" s="76"/>
      <c r="HZ883" s="76"/>
      <c r="IA883" s="76"/>
      <c r="IB883" s="76"/>
      <c r="IC883" s="76"/>
      <c r="ID883" s="76"/>
      <c r="IE883" s="76"/>
      <c r="IF883" s="76"/>
      <c r="IG883" s="76"/>
      <c r="IH883" s="76"/>
      <c r="II883" s="76"/>
      <c r="IJ883" s="76"/>
      <c r="IK883" s="76"/>
      <c r="IL883" s="76"/>
      <c r="IM883" s="76"/>
      <c r="IN883" s="76"/>
      <c r="IO883" s="76"/>
      <c r="IP883" s="76"/>
      <c r="IQ883" s="76"/>
      <c r="IR883" s="76"/>
      <c r="IS883" s="76"/>
      <c r="IT883" s="76"/>
      <c r="IU883" s="76"/>
      <c r="IV883" s="76"/>
    </row>
    <row r="884" spans="2:256">
      <c r="B884" s="135"/>
      <c r="C884" s="76" t="s">
        <v>104</v>
      </c>
      <c r="D884" s="76"/>
      <c r="E884" s="76" t="s">
        <v>103</v>
      </c>
      <c r="F884" s="33">
        <v>3.3</v>
      </c>
      <c r="G884" s="76"/>
      <c r="H884" s="123"/>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c r="AQ884" s="76"/>
      <c r="AR884" s="76"/>
      <c r="AS884" s="76"/>
      <c r="AT884" s="76"/>
      <c r="AU884" s="76"/>
      <c r="AV884" s="76"/>
      <c r="AW884" s="76"/>
      <c r="AX884" s="76"/>
      <c r="AY884" s="76"/>
      <c r="AZ884" s="76"/>
      <c r="BA884" s="76"/>
      <c r="BB884" s="76"/>
      <c r="BC884" s="76"/>
      <c r="BD884" s="76"/>
      <c r="BE884" s="76"/>
      <c r="BF884" s="76"/>
      <c r="BG884" s="76"/>
      <c r="BH884" s="76"/>
      <c r="BI884" s="76"/>
      <c r="BJ884" s="76"/>
      <c r="BK884" s="76"/>
      <c r="BL884" s="76"/>
      <c r="BM884" s="76"/>
      <c r="BN884" s="76"/>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76"/>
      <c r="CU884" s="76"/>
      <c r="CV884" s="76"/>
      <c r="CW884" s="76"/>
      <c r="CX884" s="76"/>
      <c r="CY884" s="76"/>
      <c r="CZ884" s="76"/>
      <c r="DA884" s="76"/>
      <c r="DB884" s="76"/>
      <c r="DC884" s="76"/>
      <c r="DD884" s="76"/>
      <c r="DE884" s="76"/>
      <c r="DF884" s="76"/>
      <c r="DG884" s="76"/>
      <c r="DH884" s="76"/>
      <c r="DI884" s="76"/>
      <c r="DJ884" s="76"/>
      <c r="DK884" s="76"/>
      <c r="DL884" s="76"/>
      <c r="DM884" s="76"/>
      <c r="DN884" s="76"/>
      <c r="DO884" s="76"/>
      <c r="DP884" s="76"/>
      <c r="DQ884" s="76"/>
      <c r="DR884" s="76"/>
      <c r="DS884" s="76"/>
      <c r="DT884" s="76"/>
      <c r="DU884" s="76"/>
      <c r="DV884" s="76"/>
      <c r="DW884" s="76"/>
      <c r="DX884" s="76"/>
      <c r="DY884" s="76"/>
      <c r="DZ884" s="76"/>
      <c r="EA884" s="76"/>
      <c r="EB884" s="76"/>
      <c r="EC884" s="76"/>
      <c r="ED884" s="76"/>
      <c r="EE884" s="76"/>
      <c r="EF884" s="76"/>
      <c r="EG884" s="76"/>
      <c r="EH884" s="76"/>
      <c r="EI884" s="76"/>
      <c r="EJ884" s="76"/>
      <c r="EK884" s="76"/>
      <c r="EL884" s="76"/>
      <c r="EM884" s="76"/>
      <c r="EN884" s="76"/>
      <c r="EO884" s="76"/>
      <c r="EP884" s="76"/>
      <c r="EQ884" s="76"/>
      <c r="ER884" s="76"/>
      <c r="ES884" s="76"/>
      <c r="ET884" s="76"/>
      <c r="EU884" s="76"/>
      <c r="EV884" s="76"/>
      <c r="EW884" s="76"/>
      <c r="EX884" s="76"/>
      <c r="EY884" s="76"/>
      <c r="EZ884" s="76"/>
      <c r="FA884" s="76"/>
      <c r="FB884" s="76"/>
      <c r="FC884" s="76"/>
      <c r="FD884" s="76"/>
      <c r="FE884" s="76"/>
      <c r="FF884" s="76"/>
      <c r="FG884" s="76"/>
      <c r="FH884" s="76"/>
      <c r="FI884" s="76"/>
      <c r="FJ884" s="76"/>
      <c r="FK884" s="76"/>
      <c r="FL884" s="76"/>
      <c r="FM884" s="76"/>
      <c r="FN884" s="76"/>
      <c r="FO884" s="76"/>
      <c r="FP884" s="76"/>
      <c r="FQ884" s="76"/>
      <c r="FR884" s="76"/>
      <c r="FS884" s="76"/>
      <c r="FT884" s="76"/>
      <c r="FU884" s="76"/>
      <c r="FV884" s="76"/>
      <c r="FW884" s="76"/>
      <c r="FX884" s="76"/>
      <c r="FY884" s="76"/>
      <c r="FZ884" s="76"/>
      <c r="GA884" s="76"/>
      <c r="GB884" s="76"/>
      <c r="GC884" s="76"/>
      <c r="GD884" s="76"/>
      <c r="GE884" s="76"/>
      <c r="GF884" s="76"/>
      <c r="GG884" s="76"/>
      <c r="GH884" s="76"/>
      <c r="GI884" s="76"/>
      <c r="GJ884" s="76"/>
      <c r="GK884" s="76"/>
      <c r="GL884" s="76"/>
      <c r="GM884" s="76"/>
      <c r="GN884" s="76"/>
      <c r="GO884" s="76"/>
      <c r="GP884" s="76"/>
      <c r="GQ884" s="76"/>
      <c r="GR884" s="76"/>
      <c r="GS884" s="76"/>
      <c r="GT884" s="76"/>
      <c r="GU884" s="76"/>
      <c r="GV884" s="76"/>
      <c r="GW884" s="76"/>
      <c r="GX884" s="76"/>
      <c r="GY884" s="76"/>
      <c r="GZ884" s="76"/>
      <c r="HA884" s="76"/>
      <c r="HB884" s="76"/>
      <c r="HC884" s="76"/>
      <c r="HD884" s="76"/>
      <c r="HE884" s="76"/>
      <c r="HF884" s="76"/>
      <c r="HG884" s="76"/>
      <c r="HH884" s="76"/>
      <c r="HI884" s="76"/>
      <c r="HJ884" s="76"/>
      <c r="HK884" s="76"/>
      <c r="HL884" s="76"/>
      <c r="HM884" s="76"/>
      <c r="HN884" s="76"/>
      <c r="HO884" s="76"/>
      <c r="HP884" s="76"/>
      <c r="HQ884" s="76"/>
      <c r="HR884" s="76"/>
      <c r="HS884" s="76"/>
      <c r="HT884" s="76"/>
      <c r="HU884" s="76"/>
      <c r="HV884" s="76"/>
      <c r="HW884" s="76"/>
      <c r="HX884" s="76"/>
      <c r="HY884" s="76"/>
      <c r="HZ884" s="76"/>
      <c r="IA884" s="76"/>
      <c r="IB884" s="76"/>
      <c r="IC884" s="76"/>
      <c r="ID884" s="76"/>
      <c r="IE884" s="76"/>
      <c r="IF884" s="76"/>
      <c r="IG884" s="76"/>
      <c r="IH884" s="76"/>
      <c r="II884" s="76"/>
      <c r="IJ884" s="76"/>
      <c r="IK884" s="76"/>
      <c r="IL884" s="76"/>
      <c r="IM884" s="76"/>
      <c r="IN884" s="76"/>
      <c r="IO884" s="76"/>
      <c r="IP884" s="76"/>
      <c r="IQ884" s="76"/>
      <c r="IR884" s="76"/>
      <c r="IS884" s="76"/>
      <c r="IT884" s="76"/>
      <c r="IU884" s="76"/>
      <c r="IV884" s="76"/>
    </row>
    <row r="885" spans="2:256">
      <c r="B885" s="135"/>
      <c r="C885" s="76" t="s">
        <v>105</v>
      </c>
      <c r="D885" s="76"/>
      <c r="E885" s="76"/>
      <c r="F885" s="33"/>
      <c r="G885" s="76"/>
      <c r="H885" s="123"/>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c r="AQ885" s="76"/>
      <c r="AR885" s="76"/>
      <c r="AS885" s="76"/>
      <c r="AT885" s="76"/>
      <c r="AU885" s="76"/>
      <c r="AV885" s="76"/>
      <c r="AW885" s="76"/>
      <c r="AX885" s="76"/>
      <c r="AY885" s="76"/>
      <c r="AZ885" s="76"/>
      <c r="BA885" s="76"/>
      <c r="BB885" s="76"/>
      <c r="BC885" s="76"/>
      <c r="BD885" s="76"/>
      <c r="BE885" s="76"/>
      <c r="BF885" s="76"/>
      <c r="BG885" s="76"/>
      <c r="BH885" s="76"/>
      <c r="BI885" s="76"/>
      <c r="BJ885" s="76"/>
      <c r="BK885" s="76"/>
      <c r="BL885" s="76"/>
      <c r="BM885" s="76"/>
      <c r="BN885" s="76"/>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76"/>
      <c r="CU885" s="76"/>
      <c r="CV885" s="76"/>
      <c r="CW885" s="76"/>
      <c r="CX885" s="76"/>
      <c r="CY885" s="76"/>
      <c r="CZ885" s="76"/>
      <c r="DA885" s="76"/>
      <c r="DB885" s="76"/>
      <c r="DC885" s="76"/>
      <c r="DD885" s="76"/>
      <c r="DE885" s="76"/>
      <c r="DF885" s="76"/>
      <c r="DG885" s="76"/>
      <c r="DH885" s="76"/>
      <c r="DI885" s="76"/>
      <c r="DJ885" s="76"/>
      <c r="DK885" s="76"/>
      <c r="DL885" s="76"/>
      <c r="DM885" s="76"/>
      <c r="DN885" s="76"/>
      <c r="DO885" s="76"/>
      <c r="DP885" s="76"/>
      <c r="DQ885" s="76"/>
      <c r="DR885" s="76"/>
      <c r="DS885" s="76"/>
      <c r="DT885" s="76"/>
      <c r="DU885" s="76"/>
      <c r="DV885" s="76"/>
      <c r="DW885" s="76"/>
      <c r="DX885" s="76"/>
      <c r="DY885" s="76"/>
      <c r="DZ885" s="76"/>
      <c r="EA885" s="76"/>
      <c r="EB885" s="76"/>
      <c r="EC885" s="76"/>
      <c r="ED885" s="76"/>
      <c r="EE885" s="76"/>
      <c r="EF885" s="76"/>
      <c r="EG885" s="76"/>
      <c r="EH885" s="76"/>
      <c r="EI885" s="76"/>
      <c r="EJ885" s="76"/>
      <c r="EK885" s="76"/>
      <c r="EL885" s="76"/>
      <c r="EM885" s="76"/>
      <c r="EN885" s="76"/>
      <c r="EO885" s="76"/>
      <c r="EP885" s="76"/>
      <c r="EQ885" s="76"/>
      <c r="ER885" s="76"/>
      <c r="ES885" s="76"/>
      <c r="ET885" s="76"/>
      <c r="EU885" s="76"/>
      <c r="EV885" s="76"/>
      <c r="EW885" s="76"/>
      <c r="EX885" s="76"/>
      <c r="EY885" s="76"/>
      <c r="EZ885" s="76"/>
      <c r="FA885" s="76"/>
      <c r="FB885" s="76"/>
      <c r="FC885" s="76"/>
      <c r="FD885" s="76"/>
      <c r="FE885" s="76"/>
      <c r="FF885" s="76"/>
      <c r="FG885" s="76"/>
      <c r="FH885" s="76"/>
      <c r="FI885" s="76"/>
      <c r="FJ885" s="76"/>
      <c r="FK885" s="76"/>
      <c r="FL885" s="76"/>
      <c r="FM885" s="76"/>
      <c r="FN885" s="76"/>
      <c r="FO885" s="76"/>
      <c r="FP885" s="76"/>
      <c r="FQ885" s="76"/>
      <c r="FR885" s="76"/>
      <c r="FS885" s="76"/>
      <c r="FT885" s="76"/>
      <c r="FU885" s="76"/>
      <c r="FV885" s="76"/>
      <c r="FW885" s="76"/>
      <c r="FX885" s="76"/>
      <c r="FY885" s="76"/>
      <c r="FZ885" s="76"/>
      <c r="GA885" s="76"/>
      <c r="GB885" s="76"/>
      <c r="GC885" s="76"/>
      <c r="GD885" s="76"/>
      <c r="GE885" s="76"/>
      <c r="GF885" s="76"/>
      <c r="GG885" s="76"/>
      <c r="GH885" s="76"/>
      <c r="GI885" s="76"/>
      <c r="GJ885" s="76"/>
      <c r="GK885" s="76"/>
      <c r="GL885" s="76"/>
      <c r="GM885" s="76"/>
      <c r="GN885" s="76"/>
      <c r="GO885" s="76"/>
      <c r="GP885" s="76"/>
      <c r="GQ885" s="76"/>
      <c r="GR885" s="76"/>
      <c r="GS885" s="76"/>
      <c r="GT885" s="76"/>
      <c r="GU885" s="76"/>
      <c r="GV885" s="76"/>
      <c r="GW885" s="76"/>
      <c r="GX885" s="76"/>
      <c r="GY885" s="76"/>
      <c r="GZ885" s="76"/>
      <c r="HA885" s="76"/>
      <c r="HB885" s="76"/>
      <c r="HC885" s="76"/>
      <c r="HD885" s="76"/>
      <c r="HE885" s="76"/>
      <c r="HF885" s="76"/>
      <c r="HG885" s="76"/>
      <c r="HH885" s="76"/>
      <c r="HI885" s="76"/>
      <c r="HJ885" s="76"/>
      <c r="HK885" s="76"/>
      <c r="HL885" s="76"/>
      <c r="HM885" s="76"/>
      <c r="HN885" s="76"/>
      <c r="HO885" s="76"/>
      <c r="HP885" s="76"/>
      <c r="HQ885" s="76"/>
      <c r="HR885" s="76"/>
      <c r="HS885" s="76"/>
      <c r="HT885" s="76"/>
      <c r="HU885" s="76"/>
      <c r="HV885" s="76"/>
      <c r="HW885" s="76"/>
      <c r="HX885" s="76"/>
      <c r="HY885" s="76"/>
      <c r="HZ885" s="76"/>
      <c r="IA885" s="76"/>
      <c r="IB885" s="76"/>
      <c r="IC885" s="76"/>
      <c r="ID885" s="76"/>
      <c r="IE885" s="76"/>
      <c r="IF885" s="76"/>
      <c r="IG885" s="76"/>
      <c r="IH885" s="76"/>
      <c r="II885" s="76"/>
      <c r="IJ885" s="76"/>
      <c r="IK885" s="76"/>
      <c r="IL885" s="76"/>
      <c r="IM885" s="76"/>
      <c r="IN885" s="76"/>
      <c r="IO885" s="76"/>
      <c r="IP885" s="76"/>
      <c r="IQ885" s="76"/>
      <c r="IR885" s="76"/>
      <c r="IS885" s="76"/>
      <c r="IT885" s="76"/>
      <c r="IU885" s="76"/>
      <c r="IV885" s="76"/>
    </row>
    <row r="886" spans="2:256">
      <c r="B886" s="135"/>
      <c r="C886" s="76" t="s">
        <v>1760</v>
      </c>
      <c r="D886" s="76"/>
      <c r="E886" s="76" t="s">
        <v>103</v>
      </c>
      <c r="F886" s="33">
        <v>2</v>
      </c>
      <c r="G886" s="76"/>
      <c r="H886" s="123"/>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76"/>
      <c r="AT886" s="76"/>
      <c r="AU886" s="76"/>
      <c r="AV886" s="76"/>
      <c r="AW886" s="76"/>
      <c r="AX886" s="76"/>
      <c r="AY886" s="76"/>
      <c r="AZ886" s="76"/>
      <c r="BA886" s="76"/>
      <c r="BB886" s="76"/>
      <c r="BC886" s="76"/>
      <c r="BD886" s="76"/>
      <c r="BE886" s="76"/>
      <c r="BF886" s="76"/>
      <c r="BG886" s="76"/>
      <c r="BH886" s="76"/>
      <c r="BI886" s="76"/>
      <c r="BJ886" s="76"/>
      <c r="BK886" s="76"/>
      <c r="BL886" s="76"/>
      <c r="BM886" s="76"/>
      <c r="BN886" s="76"/>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76"/>
      <c r="CU886" s="76"/>
      <c r="CV886" s="76"/>
      <c r="CW886" s="76"/>
      <c r="CX886" s="76"/>
      <c r="CY886" s="76"/>
      <c r="CZ886" s="76"/>
      <c r="DA886" s="76"/>
      <c r="DB886" s="76"/>
      <c r="DC886" s="76"/>
      <c r="DD886" s="76"/>
      <c r="DE886" s="76"/>
      <c r="DF886" s="76"/>
      <c r="DG886" s="76"/>
      <c r="DH886" s="76"/>
      <c r="DI886" s="76"/>
      <c r="DJ886" s="76"/>
      <c r="DK886" s="76"/>
      <c r="DL886" s="76"/>
      <c r="DM886" s="76"/>
      <c r="DN886" s="76"/>
      <c r="DO886" s="76"/>
      <c r="DP886" s="76"/>
      <c r="DQ886" s="76"/>
      <c r="DR886" s="76"/>
      <c r="DS886" s="76"/>
      <c r="DT886" s="76"/>
      <c r="DU886" s="76"/>
      <c r="DV886" s="76"/>
      <c r="DW886" s="76"/>
      <c r="DX886" s="76"/>
      <c r="DY886" s="76"/>
      <c r="DZ886" s="76"/>
      <c r="EA886" s="76"/>
      <c r="EB886" s="76"/>
      <c r="EC886" s="76"/>
      <c r="ED886" s="76"/>
      <c r="EE886" s="76"/>
      <c r="EF886" s="76"/>
      <c r="EG886" s="76"/>
      <c r="EH886" s="76"/>
      <c r="EI886" s="76"/>
      <c r="EJ886" s="76"/>
      <c r="EK886" s="76"/>
      <c r="EL886" s="76"/>
      <c r="EM886" s="76"/>
      <c r="EN886" s="76"/>
      <c r="EO886" s="76"/>
      <c r="EP886" s="76"/>
      <c r="EQ886" s="76"/>
      <c r="ER886" s="76"/>
      <c r="ES886" s="76"/>
      <c r="ET886" s="76"/>
      <c r="EU886" s="76"/>
      <c r="EV886" s="76"/>
      <c r="EW886" s="76"/>
      <c r="EX886" s="76"/>
      <c r="EY886" s="76"/>
      <c r="EZ886" s="76"/>
      <c r="FA886" s="76"/>
      <c r="FB886" s="76"/>
      <c r="FC886" s="76"/>
      <c r="FD886" s="76"/>
      <c r="FE886" s="76"/>
      <c r="FF886" s="76"/>
      <c r="FG886" s="76"/>
      <c r="FH886" s="76"/>
      <c r="FI886" s="76"/>
      <c r="FJ886" s="76"/>
      <c r="FK886" s="76"/>
      <c r="FL886" s="76"/>
      <c r="FM886" s="76"/>
      <c r="FN886" s="76"/>
      <c r="FO886" s="76"/>
      <c r="FP886" s="76"/>
      <c r="FQ886" s="76"/>
      <c r="FR886" s="76"/>
      <c r="FS886" s="76"/>
      <c r="FT886" s="76"/>
      <c r="FU886" s="76"/>
      <c r="FV886" s="76"/>
      <c r="FW886" s="76"/>
      <c r="FX886" s="76"/>
      <c r="FY886" s="76"/>
      <c r="FZ886" s="76"/>
      <c r="GA886" s="76"/>
      <c r="GB886" s="76"/>
      <c r="GC886" s="76"/>
      <c r="GD886" s="76"/>
      <c r="GE886" s="76"/>
      <c r="GF886" s="76"/>
      <c r="GG886" s="76"/>
      <c r="GH886" s="76"/>
      <c r="GI886" s="76"/>
      <c r="GJ886" s="76"/>
      <c r="GK886" s="76"/>
      <c r="GL886" s="76"/>
      <c r="GM886" s="76"/>
      <c r="GN886" s="76"/>
      <c r="GO886" s="76"/>
      <c r="GP886" s="76"/>
      <c r="GQ886" s="76"/>
      <c r="GR886" s="76"/>
      <c r="GS886" s="76"/>
      <c r="GT886" s="76"/>
      <c r="GU886" s="76"/>
      <c r="GV886" s="76"/>
      <c r="GW886" s="76"/>
      <c r="GX886" s="76"/>
      <c r="GY886" s="76"/>
      <c r="GZ886" s="76"/>
      <c r="HA886" s="76"/>
      <c r="HB886" s="76"/>
      <c r="HC886" s="76"/>
      <c r="HD886" s="76"/>
      <c r="HE886" s="76"/>
      <c r="HF886" s="76"/>
      <c r="HG886" s="76"/>
      <c r="HH886" s="76"/>
      <c r="HI886" s="76"/>
      <c r="HJ886" s="76"/>
      <c r="HK886" s="76"/>
      <c r="HL886" s="76"/>
      <c r="HM886" s="76"/>
      <c r="HN886" s="76"/>
      <c r="HO886" s="76"/>
      <c r="HP886" s="76"/>
      <c r="HQ886" s="76"/>
      <c r="HR886" s="76"/>
      <c r="HS886" s="76"/>
      <c r="HT886" s="76"/>
      <c r="HU886" s="76"/>
      <c r="HV886" s="76"/>
      <c r="HW886" s="76"/>
      <c r="HX886" s="76"/>
      <c r="HY886" s="76"/>
      <c r="HZ886" s="76"/>
      <c r="IA886" s="76"/>
      <c r="IB886" s="76"/>
      <c r="IC886" s="76"/>
      <c r="ID886" s="76"/>
      <c r="IE886" s="76"/>
      <c r="IF886" s="76"/>
      <c r="IG886" s="76"/>
      <c r="IH886" s="76"/>
      <c r="II886" s="76"/>
      <c r="IJ886" s="76"/>
      <c r="IK886" s="76"/>
      <c r="IL886" s="76"/>
      <c r="IM886" s="76"/>
      <c r="IN886" s="76"/>
      <c r="IO886" s="76"/>
      <c r="IP886" s="76"/>
      <c r="IQ886" s="76"/>
      <c r="IR886" s="76"/>
      <c r="IS886" s="76"/>
      <c r="IT886" s="76"/>
      <c r="IU886" s="76"/>
      <c r="IV886" s="76"/>
    </row>
    <row r="887" spans="2:256">
      <c r="B887" s="135"/>
      <c r="C887" s="76" t="s">
        <v>1518</v>
      </c>
      <c r="D887" s="76"/>
      <c r="E887" s="76" t="s">
        <v>103</v>
      </c>
      <c r="F887" s="158">
        <f>SUM(F883:F886)</f>
        <v>6.3</v>
      </c>
      <c r="G887" s="76"/>
      <c r="H887" s="123"/>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c r="AY887" s="76"/>
      <c r="AZ887" s="76"/>
      <c r="BA887" s="76"/>
      <c r="BB887" s="76"/>
      <c r="BC887" s="76"/>
      <c r="BD887" s="76"/>
      <c r="BE887" s="76"/>
      <c r="BF887" s="76"/>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76"/>
      <c r="CU887" s="76"/>
      <c r="CV887" s="76"/>
      <c r="CW887" s="76"/>
      <c r="CX887" s="76"/>
      <c r="CY887" s="76"/>
      <c r="CZ887" s="76"/>
      <c r="DA887" s="76"/>
      <c r="DB887" s="76"/>
      <c r="DC887" s="76"/>
      <c r="DD887" s="76"/>
      <c r="DE887" s="76"/>
      <c r="DF887" s="76"/>
      <c r="DG887" s="76"/>
      <c r="DH887" s="76"/>
      <c r="DI887" s="76"/>
      <c r="DJ887" s="76"/>
      <c r="DK887" s="76"/>
      <c r="DL887" s="76"/>
      <c r="DM887" s="76"/>
      <c r="DN887" s="76"/>
      <c r="DO887" s="76"/>
      <c r="DP887" s="76"/>
      <c r="DQ887" s="76"/>
      <c r="DR887" s="76"/>
      <c r="DS887" s="76"/>
      <c r="DT887" s="76"/>
      <c r="DU887" s="76"/>
      <c r="DV887" s="76"/>
      <c r="DW887" s="76"/>
      <c r="DX887" s="76"/>
      <c r="DY887" s="76"/>
      <c r="DZ887" s="76"/>
      <c r="EA887" s="76"/>
      <c r="EB887" s="76"/>
      <c r="EC887" s="76"/>
      <c r="ED887" s="76"/>
      <c r="EE887" s="76"/>
      <c r="EF887" s="76"/>
      <c r="EG887" s="76"/>
      <c r="EH887" s="76"/>
      <c r="EI887" s="76"/>
      <c r="EJ887" s="76"/>
      <c r="EK887" s="76"/>
      <c r="EL887" s="76"/>
      <c r="EM887" s="76"/>
      <c r="EN887" s="76"/>
      <c r="EO887" s="76"/>
      <c r="EP887" s="76"/>
      <c r="EQ887" s="76"/>
      <c r="ER887" s="76"/>
      <c r="ES887" s="76"/>
      <c r="ET887" s="76"/>
      <c r="EU887" s="76"/>
      <c r="EV887" s="76"/>
      <c r="EW887" s="76"/>
      <c r="EX887" s="76"/>
      <c r="EY887" s="76"/>
      <c r="EZ887" s="76"/>
      <c r="FA887" s="76"/>
      <c r="FB887" s="76"/>
      <c r="FC887" s="76"/>
      <c r="FD887" s="76"/>
      <c r="FE887" s="76"/>
      <c r="FF887" s="76"/>
      <c r="FG887" s="76"/>
      <c r="FH887" s="76"/>
      <c r="FI887" s="76"/>
      <c r="FJ887" s="76"/>
      <c r="FK887" s="76"/>
      <c r="FL887" s="76"/>
      <c r="FM887" s="76"/>
      <c r="FN887" s="76"/>
      <c r="FO887" s="76"/>
      <c r="FP887" s="76"/>
      <c r="FQ887" s="76"/>
      <c r="FR887" s="76"/>
      <c r="FS887" s="76"/>
      <c r="FT887" s="76"/>
      <c r="FU887" s="76"/>
      <c r="FV887" s="76"/>
      <c r="FW887" s="76"/>
      <c r="FX887" s="76"/>
      <c r="FY887" s="76"/>
      <c r="FZ887" s="76"/>
      <c r="GA887" s="76"/>
      <c r="GB887" s="76"/>
      <c r="GC887" s="76"/>
      <c r="GD887" s="76"/>
      <c r="GE887" s="76"/>
      <c r="GF887" s="76"/>
      <c r="GG887" s="76"/>
      <c r="GH887" s="76"/>
      <c r="GI887" s="76"/>
      <c r="GJ887" s="76"/>
      <c r="GK887" s="76"/>
      <c r="GL887" s="76"/>
      <c r="GM887" s="76"/>
      <c r="GN887" s="76"/>
      <c r="GO887" s="76"/>
      <c r="GP887" s="76"/>
      <c r="GQ887" s="76"/>
      <c r="GR887" s="76"/>
      <c r="GS887" s="76"/>
      <c r="GT887" s="76"/>
      <c r="GU887" s="76"/>
      <c r="GV887" s="76"/>
      <c r="GW887" s="76"/>
      <c r="GX887" s="76"/>
      <c r="GY887" s="76"/>
      <c r="GZ887" s="76"/>
      <c r="HA887" s="76"/>
      <c r="HB887" s="76"/>
      <c r="HC887" s="76"/>
      <c r="HD887" s="76"/>
      <c r="HE887" s="76"/>
      <c r="HF887" s="76"/>
      <c r="HG887" s="76"/>
      <c r="HH887" s="76"/>
      <c r="HI887" s="76"/>
      <c r="HJ887" s="76"/>
      <c r="HK887" s="76"/>
      <c r="HL887" s="76"/>
      <c r="HM887" s="76"/>
      <c r="HN887" s="76"/>
      <c r="HO887" s="76"/>
      <c r="HP887" s="76"/>
      <c r="HQ887" s="76"/>
      <c r="HR887" s="76"/>
      <c r="HS887" s="76"/>
      <c r="HT887" s="76"/>
      <c r="HU887" s="76"/>
      <c r="HV887" s="76"/>
      <c r="HW887" s="76"/>
      <c r="HX887" s="76"/>
      <c r="HY887" s="76"/>
      <c r="HZ887" s="76"/>
      <c r="IA887" s="76"/>
      <c r="IB887" s="76"/>
      <c r="IC887" s="76"/>
      <c r="ID887" s="76"/>
      <c r="IE887" s="76"/>
      <c r="IF887" s="76"/>
      <c r="IG887" s="76"/>
      <c r="IH887" s="76"/>
      <c r="II887" s="76"/>
      <c r="IJ887" s="76"/>
      <c r="IK887" s="76"/>
      <c r="IL887" s="76"/>
      <c r="IM887" s="76"/>
      <c r="IN887" s="76"/>
      <c r="IO887" s="76"/>
      <c r="IP887" s="76"/>
      <c r="IQ887" s="76"/>
      <c r="IR887" s="76"/>
      <c r="IS887" s="76"/>
      <c r="IT887" s="76"/>
      <c r="IU887" s="76"/>
      <c r="IV887" s="76"/>
    </row>
    <row r="888" spans="2:256">
      <c r="B888" s="39"/>
      <c r="C888" s="39" t="s">
        <v>110</v>
      </c>
      <c r="D888" s="39"/>
      <c r="E888" s="39"/>
      <c r="F888" s="39"/>
      <c r="G888" s="129"/>
      <c r="H888" s="39"/>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76"/>
      <c r="AT888" s="76"/>
      <c r="AU888" s="76"/>
      <c r="AV888" s="76"/>
      <c r="AW888" s="76"/>
      <c r="AX888" s="76"/>
      <c r="AY888" s="76"/>
      <c r="AZ888" s="76"/>
      <c r="BA888" s="76"/>
      <c r="BB888" s="76"/>
      <c r="BC888" s="76"/>
      <c r="BD888" s="76"/>
      <c r="BE888" s="76"/>
      <c r="BF888" s="76"/>
      <c r="BG888" s="76"/>
      <c r="BH888" s="76"/>
      <c r="BI888" s="76"/>
      <c r="BJ888" s="76"/>
      <c r="BK888" s="76"/>
      <c r="BL888" s="76"/>
      <c r="BM888" s="76"/>
      <c r="BN888" s="76"/>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76"/>
      <c r="CU888" s="76"/>
      <c r="CV888" s="76"/>
      <c r="CW888" s="76"/>
      <c r="CX888" s="76"/>
      <c r="CY888" s="76"/>
      <c r="CZ888" s="76"/>
      <c r="DA888" s="76"/>
      <c r="DB888" s="76"/>
      <c r="DC888" s="76"/>
      <c r="DD888" s="76"/>
      <c r="DE888" s="76"/>
      <c r="DF888" s="76"/>
      <c r="DG888" s="76"/>
      <c r="DH888" s="76"/>
      <c r="DI888" s="76"/>
      <c r="DJ888" s="76"/>
      <c r="DK888" s="76"/>
      <c r="DL888" s="76"/>
      <c r="DM888" s="76"/>
      <c r="DN888" s="76"/>
      <c r="DO888" s="76"/>
      <c r="DP888" s="76"/>
      <c r="DQ888" s="76"/>
      <c r="DR888" s="76"/>
      <c r="DS888" s="76"/>
      <c r="DT888" s="76"/>
      <c r="DU888" s="76"/>
      <c r="DV888" s="76"/>
      <c r="DW888" s="76"/>
      <c r="DX888" s="76"/>
      <c r="DY888" s="76"/>
      <c r="DZ888" s="76"/>
      <c r="EA888" s="76"/>
      <c r="EB888" s="76"/>
      <c r="EC888" s="76"/>
      <c r="ED888" s="76"/>
      <c r="EE888" s="76"/>
      <c r="EF888" s="76"/>
      <c r="EG888" s="76"/>
      <c r="EH888" s="76"/>
      <c r="EI888" s="76"/>
      <c r="EJ888" s="76"/>
      <c r="EK888" s="76"/>
      <c r="EL888" s="76"/>
      <c r="EM888" s="76"/>
      <c r="EN888" s="76"/>
      <c r="EO888" s="76"/>
      <c r="EP888" s="76"/>
      <c r="EQ888" s="76"/>
      <c r="ER888" s="76"/>
      <c r="ES888" s="76"/>
      <c r="ET888" s="76"/>
      <c r="EU888" s="76"/>
      <c r="EV888" s="76"/>
      <c r="EW888" s="76"/>
      <c r="EX888" s="76"/>
      <c r="EY888" s="76"/>
      <c r="EZ888" s="76"/>
      <c r="FA888" s="76"/>
      <c r="FB888" s="76"/>
      <c r="FC888" s="76"/>
      <c r="FD888" s="76"/>
      <c r="FE888" s="76"/>
      <c r="FF888" s="76"/>
      <c r="FG888" s="76"/>
      <c r="FH888" s="76"/>
      <c r="FI888" s="76"/>
      <c r="FJ888" s="76"/>
      <c r="FK888" s="76"/>
      <c r="FL888" s="76"/>
      <c r="FM888" s="76"/>
      <c r="FN888" s="76"/>
      <c r="FO888" s="76"/>
      <c r="FP888" s="76"/>
      <c r="FQ888" s="76"/>
      <c r="FR888" s="76"/>
      <c r="FS888" s="76"/>
      <c r="FT888" s="76"/>
      <c r="FU888" s="76"/>
      <c r="FV888" s="76"/>
      <c r="FW888" s="76"/>
      <c r="FX888" s="76"/>
      <c r="FY888" s="76"/>
      <c r="FZ888" s="76"/>
      <c r="GA888" s="76"/>
      <c r="GB888" s="76"/>
      <c r="GC888" s="76"/>
      <c r="GD888" s="76"/>
      <c r="GE888" s="76"/>
      <c r="GF888" s="76"/>
      <c r="GG888" s="76"/>
      <c r="GH888" s="76"/>
      <c r="GI888" s="76"/>
      <c r="GJ888" s="76"/>
      <c r="GK888" s="76"/>
      <c r="GL888" s="76"/>
      <c r="GM888" s="76"/>
      <c r="GN888" s="76"/>
      <c r="GO888" s="76"/>
      <c r="GP888" s="76"/>
      <c r="GQ888" s="76"/>
      <c r="GR888" s="76"/>
      <c r="GS888" s="76"/>
      <c r="GT888" s="76"/>
      <c r="GU888" s="76"/>
      <c r="GV888" s="76"/>
      <c r="GW888" s="76"/>
      <c r="GX888" s="76"/>
      <c r="GY888" s="76"/>
      <c r="GZ888" s="76"/>
      <c r="HA888" s="76"/>
      <c r="HB888" s="76"/>
      <c r="HC888" s="76"/>
      <c r="HD888" s="76"/>
      <c r="HE888" s="76"/>
      <c r="HF888" s="76"/>
      <c r="HG888" s="76"/>
      <c r="HH888" s="76"/>
      <c r="HI888" s="76"/>
      <c r="HJ888" s="76"/>
      <c r="HK888" s="76"/>
      <c r="HL888" s="76"/>
      <c r="HM888" s="76"/>
      <c r="HN888" s="76"/>
      <c r="HO888" s="76"/>
      <c r="HP888" s="76"/>
      <c r="HQ888" s="76"/>
      <c r="HR888" s="76"/>
      <c r="HS888" s="76"/>
      <c r="HT888" s="76"/>
      <c r="HU888" s="76"/>
      <c r="HV888" s="76"/>
      <c r="HW888" s="76"/>
      <c r="HX888" s="76"/>
      <c r="HY888" s="76"/>
      <c r="HZ888" s="76"/>
      <c r="IA888" s="76"/>
      <c r="IB888" s="76"/>
      <c r="IC888" s="76"/>
      <c r="ID888" s="76"/>
      <c r="IE888" s="76"/>
      <c r="IF888" s="76"/>
      <c r="IG888" s="76"/>
      <c r="IH888" s="76"/>
      <c r="II888" s="76"/>
      <c r="IJ888" s="76"/>
      <c r="IK888" s="76"/>
      <c r="IL888" s="76"/>
      <c r="IM888" s="76"/>
      <c r="IN888" s="76"/>
      <c r="IO888" s="76"/>
      <c r="IP888" s="76"/>
      <c r="IQ888" s="76"/>
      <c r="IR888" s="76"/>
      <c r="IS888" s="76"/>
      <c r="IT888" s="76"/>
      <c r="IU888" s="76"/>
      <c r="IV888" s="76"/>
    </row>
    <row r="889" spans="2:256">
      <c r="B889" s="39"/>
      <c r="C889" s="39" t="s">
        <v>111</v>
      </c>
      <c r="D889" s="39"/>
      <c r="E889" s="39" t="s">
        <v>1189</v>
      </c>
      <c r="F889" s="38">
        <f>6.3/60</f>
        <v>0.105</v>
      </c>
      <c r="G889" s="106">
        <f>'HIRE CHARGES'!D545+'HIRE CHARGES'!E545+'HIRE CHARGES'!F545</f>
        <v>924.09999999999991</v>
      </c>
      <c r="H889" s="84">
        <f>ROUND(G889*F889,2)</f>
        <v>97.03</v>
      </c>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c r="AR889" s="76"/>
      <c r="AS889" s="76"/>
      <c r="AT889" s="76"/>
      <c r="AU889" s="76"/>
      <c r="AV889" s="76"/>
      <c r="AW889" s="76"/>
      <c r="AX889" s="76"/>
      <c r="AY889" s="76"/>
      <c r="AZ889" s="76"/>
      <c r="BA889" s="76"/>
      <c r="BB889" s="76"/>
      <c r="BC889" s="76"/>
      <c r="BD889" s="76"/>
      <c r="BE889" s="76"/>
      <c r="BF889" s="76"/>
      <c r="BG889" s="76"/>
      <c r="BH889" s="76"/>
      <c r="BI889" s="76"/>
      <c r="BJ889" s="76"/>
      <c r="BK889" s="76"/>
      <c r="BL889" s="76"/>
      <c r="BM889" s="76"/>
      <c r="BN889" s="76"/>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76"/>
      <c r="CU889" s="76"/>
      <c r="CV889" s="76"/>
      <c r="CW889" s="76"/>
      <c r="CX889" s="76"/>
      <c r="CY889" s="76"/>
      <c r="CZ889" s="76"/>
      <c r="DA889" s="76"/>
      <c r="DB889" s="76"/>
      <c r="DC889" s="76"/>
      <c r="DD889" s="76"/>
      <c r="DE889" s="76"/>
      <c r="DF889" s="76"/>
      <c r="DG889" s="76"/>
      <c r="DH889" s="76"/>
      <c r="DI889" s="76"/>
      <c r="DJ889" s="76"/>
      <c r="DK889" s="76"/>
      <c r="DL889" s="76"/>
      <c r="DM889" s="76"/>
      <c r="DN889" s="76"/>
      <c r="DO889" s="76"/>
      <c r="DP889" s="76"/>
      <c r="DQ889" s="76"/>
      <c r="DR889" s="76"/>
      <c r="DS889" s="76"/>
      <c r="DT889" s="76"/>
      <c r="DU889" s="76"/>
      <c r="DV889" s="76"/>
      <c r="DW889" s="76"/>
      <c r="DX889" s="76"/>
      <c r="DY889" s="76"/>
      <c r="DZ889" s="76"/>
      <c r="EA889" s="76"/>
      <c r="EB889" s="76"/>
      <c r="EC889" s="76"/>
      <c r="ED889" s="76"/>
      <c r="EE889" s="76"/>
      <c r="EF889" s="76"/>
      <c r="EG889" s="76"/>
      <c r="EH889" s="76"/>
      <c r="EI889" s="76"/>
      <c r="EJ889" s="76"/>
      <c r="EK889" s="76"/>
      <c r="EL889" s="76"/>
      <c r="EM889" s="76"/>
      <c r="EN889" s="76"/>
      <c r="EO889" s="76"/>
      <c r="EP889" s="76"/>
      <c r="EQ889" s="76"/>
      <c r="ER889" s="76"/>
      <c r="ES889" s="76"/>
      <c r="ET889" s="76"/>
      <c r="EU889" s="76"/>
      <c r="EV889" s="76"/>
      <c r="EW889" s="76"/>
      <c r="EX889" s="76"/>
      <c r="EY889" s="76"/>
      <c r="EZ889" s="76"/>
      <c r="FA889" s="76"/>
      <c r="FB889" s="76"/>
      <c r="FC889" s="76"/>
      <c r="FD889" s="76"/>
      <c r="FE889" s="76"/>
      <c r="FF889" s="76"/>
      <c r="FG889" s="76"/>
      <c r="FH889" s="76"/>
      <c r="FI889" s="76"/>
      <c r="FJ889" s="76"/>
      <c r="FK889" s="76"/>
      <c r="FL889" s="76"/>
      <c r="FM889" s="76"/>
      <c r="FN889" s="76"/>
      <c r="FO889" s="76"/>
      <c r="FP889" s="76"/>
      <c r="FQ889" s="76"/>
      <c r="FR889" s="76"/>
      <c r="FS889" s="76"/>
      <c r="FT889" s="76"/>
      <c r="FU889" s="76"/>
      <c r="FV889" s="76"/>
      <c r="FW889" s="76"/>
      <c r="FX889" s="76"/>
      <c r="FY889" s="76"/>
      <c r="FZ889" s="76"/>
      <c r="GA889" s="76"/>
      <c r="GB889" s="76"/>
      <c r="GC889" s="76"/>
      <c r="GD889" s="76"/>
      <c r="GE889" s="76"/>
      <c r="GF889" s="76"/>
      <c r="GG889" s="76"/>
      <c r="GH889" s="76"/>
      <c r="GI889" s="76"/>
      <c r="GJ889" s="76"/>
      <c r="GK889" s="76"/>
      <c r="GL889" s="76"/>
      <c r="GM889" s="76"/>
      <c r="GN889" s="76"/>
      <c r="GO889" s="76"/>
      <c r="GP889" s="76"/>
      <c r="GQ889" s="76"/>
      <c r="GR889" s="76"/>
      <c r="GS889" s="76"/>
      <c r="GT889" s="76"/>
      <c r="GU889" s="76"/>
      <c r="GV889" s="76"/>
      <c r="GW889" s="76"/>
      <c r="GX889" s="76"/>
      <c r="GY889" s="76"/>
      <c r="GZ889" s="76"/>
      <c r="HA889" s="76"/>
      <c r="HB889" s="76"/>
      <c r="HC889" s="76"/>
      <c r="HD889" s="76"/>
      <c r="HE889" s="76"/>
      <c r="HF889" s="76"/>
      <c r="HG889" s="76"/>
      <c r="HH889" s="76"/>
      <c r="HI889" s="76"/>
      <c r="HJ889" s="76"/>
      <c r="HK889" s="76"/>
      <c r="HL889" s="76"/>
      <c r="HM889" s="76"/>
      <c r="HN889" s="76"/>
      <c r="HO889" s="76"/>
      <c r="HP889" s="76"/>
      <c r="HQ889" s="76"/>
      <c r="HR889" s="76"/>
      <c r="HS889" s="76"/>
      <c r="HT889" s="76"/>
      <c r="HU889" s="76"/>
      <c r="HV889" s="76"/>
      <c r="HW889" s="76"/>
      <c r="HX889" s="76"/>
      <c r="HY889" s="76"/>
      <c r="HZ889" s="76"/>
      <c r="IA889" s="76"/>
      <c r="IB889" s="76"/>
      <c r="IC889" s="76"/>
      <c r="ID889" s="76"/>
      <c r="IE889" s="76"/>
      <c r="IF889" s="76"/>
      <c r="IG889" s="76"/>
      <c r="IH889" s="76"/>
      <c r="II889" s="76"/>
      <c r="IJ889" s="76"/>
      <c r="IK889" s="76"/>
      <c r="IL889" s="76"/>
      <c r="IM889" s="76"/>
      <c r="IN889" s="76"/>
      <c r="IO889" s="76"/>
      <c r="IP889" s="76"/>
      <c r="IQ889" s="76"/>
      <c r="IR889" s="76"/>
      <c r="IS889" s="76"/>
      <c r="IT889" s="76"/>
      <c r="IU889" s="76"/>
      <c r="IV889" s="76"/>
    </row>
    <row r="890" spans="2:256">
      <c r="B890" s="39"/>
      <c r="C890" s="39" t="s">
        <v>112</v>
      </c>
      <c r="D890" s="39"/>
      <c r="E890" s="39" t="s">
        <v>1189</v>
      </c>
      <c r="F890" s="38">
        <f>F884/60</f>
        <v>5.5E-2</v>
      </c>
      <c r="G890" s="106">
        <f>'HIRE CHARGES'!D543+'HIRE CHARGES'!E543+'HIRE CHARGES'!F543</f>
        <v>2815.9</v>
      </c>
      <c r="H890" s="84">
        <f>ROUND(G890*F890,2)</f>
        <v>154.87</v>
      </c>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c r="AY890" s="76"/>
      <c r="AZ890" s="76"/>
      <c r="BA890" s="76"/>
      <c r="BB890" s="76"/>
      <c r="BC890" s="76"/>
      <c r="BD890" s="76"/>
      <c r="BE890" s="76"/>
      <c r="BF890" s="76"/>
      <c r="BG890" s="76"/>
      <c r="BH890" s="76"/>
      <c r="BI890" s="76"/>
      <c r="BJ890" s="76"/>
      <c r="BK890" s="76"/>
      <c r="BL890" s="76"/>
      <c r="BM890" s="76"/>
      <c r="BN890" s="76"/>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76"/>
      <c r="CU890" s="76"/>
      <c r="CV890" s="76"/>
      <c r="CW890" s="76"/>
      <c r="CX890" s="76"/>
      <c r="CY890" s="76"/>
      <c r="CZ890" s="76"/>
      <c r="DA890" s="76"/>
      <c r="DB890" s="76"/>
      <c r="DC890" s="76"/>
      <c r="DD890" s="76"/>
      <c r="DE890" s="76"/>
      <c r="DF890" s="76"/>
      <c r="DG890" s="76"/>
      <c r="DH890" s="76"/>
      <c r="DI890" s="76"/>
      <c r="DJ890" s="76"/>
      <c r="DK890" s="76"/>
      <c r="DL890" s="76"/>
      <c r="DM890" s="76"/>
      <c r="DN890" s="76"/>
      <c r="DO890" s="76"/>
      <c r="DP890" s="76"/>
      <c r="DQ890" s="76"/>
      <c r="DR890" s="76"/>
      <c r="DS890" s="76"/>
      <c r="DT890" s="76"/>
      <c r="DU890" s="76"/>
      <c r="DV890" s="76"/>
      <c r="DW890" s="76"/>
      <c r="DX890" s="76"/>
      <c r="DY890" s="76"/>
      <c r="DZ890" s="76"/>
      <c r="EA890" s="76"/>
      <c r="EB890" s="76"/>
      <c r="EC890" s="76"/>
      <c r="ED890" s="76"/>
      <c r="EE890" s="76"/>
      <c r="EF890" s="76"/>
      <c r="EG890" s="76"/>
      <c r="EH890" s="76"/>
      <c r="EI890" s="76"/>
      <c r="EJ890" s="76"/>
      <c r="EK890" s="76"/>
      <c r="EL890" s="76"/>
      <c r="EM890" s="76"/>
      <c r="EN890" s="76"/>
      <c r="EO890" s="76"/>
      <c r="EP890" s="76"/>
      <c r="EQ890" s="76"/>
      <c r="ER890" s="76"/>
      <c r="ES890" s="76"/>
      <c r="ET890" s="76"/>
      <c r="EU890" s="76"/>
      <c r="EV890" s="76"/>
      <c r="EW890" s="76"/>
      <c r="EX890" s="76"/>
      <c r="EY890" s="76"/>
      <c r="EZ890" s="76"/>
      <c r="FA890" s="76"/>
      <c r="FB890" s="76"/>
      <c r="FC890" s="76"/>
      <c r="FD890" s="76"/>
      <c r="FE890" s="76"/>
      <c r="FF890" s="76"/>
      <c r="FG890" s="76"/>
      <c r="FH890" s="76"/>
      <c r="FI890" s="76"/>
      <c r="FJ890" s="76"/>
      <c r="FK890" s="76"/>
      <c r="FL890" s="76"/>
      <c r="FM890" s="76"/>
      <c r="FN890" s="76"/>
      <c r="FO890" s="76"/>
      <c r="FP890" s="76"/>
      <c r="FQ890" s="76"/>
      <c r="FR890" s="76"/>
      <c r="FS890" s="76"/>
      <c r="FT890" s="76"/>
      <c r="FU890" s="76"/>
      <c r="FV890" s="76"/>
      <c r="FW890" s="76"/>
      <c r="FX890" s="76"/>
      <c r="FY890" s="76"/>
      <c r="FZ890" s="76"/>
      <c r="GA890" s="76"/>
      <c r="GB890" s="76"/>
      <c r="GC890" s="76"/>
      <c r="GD890" s="76"/>
      <c r="GE890" s="76"/>
      <c r="GF890" s="76"/>
      <c r="GG890" s="76"/>
      <c r="GH890" s="76"/>
      <c r="GI890" s="76"/>
      <c r="GJ890" s="76"/>
      <c r="GK890" s="76"/>
      <c r="GL890" s="76"/>
      <c r="GM890" s="76"/>
      <c r="GN890" s="76"/>
      <c r="GO890" s="76"/>
      <c r="GP890" s="76"/>
      <c r="GQ890" s="76"/>
      <c r="GR890" s="76"/>
      <c r="GS890" s="76"/>
      <c r="GT890" s="76"/>
      <c r="GU890" s="76"/>
      <c r="GV890" s="76"/>
      <c r="GW890" s="76"/>
      <c r="GX890" s="76"/>
      <c r="GY890" s="76"/>
      <c r="GZ890" s="76"/>
      <c r="HA890" s="76"/>
      <c r="HB890" s="76"/>
      <c r="HC890" s="76"/>
      <c r="HD890" s="76"/>
      <c r="HE890" s="76"/>
      <c r="HF890" s="76"/>
      <c r="HG890" s="76"/>
      <c r="HH890" s="76"/>
      <c r="HI890" s="76"/>
      <c r="HJ890" s="76"/>
      <c r="HK890" s="76"/>
      <c r="HL890" s="76"/>
      <c r="HM890" s="76"/>
      <c r="HN890" s="76"/>
      <c r="HO890" s="76"/>
      <c r="HP890" s="76"/>
      <c r="HQ890" s="76"/>
      <c r="HR890" s="76"/>
      <c r="HS890" s="76"/>
      <c r="HT890" s="76"/>
      <c r="HU890" s="76"/>
      <c r="HV890" s="76"/>
      <c r="HW890" s="76"/>
      <c r="HX890" s="76"/>
      <c r="HY890" s="76"/>
      <c r="HZ890" s="76"/>
      <c r="IA890" s="76"/>
      <c r="IB890" s="76"/>
      <c r="IC890" s="76"/>
      <c r="ID890" s="76"/>
      <c r="IE890" s="76"/>
      <c r="IF890" s="76"/>
      <c r="IG890" s="76"/>
      <c r="IH890" s="76"/>
      <c r="II890" s="76"/>
      <c r="IJ890" s="76"/>
      <c r="IK890" s="76"/>
      <c r="IL890" s="76"/>
      <c r="IM890" s="76"/>
      <c r="IN890" s="76"/>
      <c r="IO890" s="76"/>
      <c r="IP890" s="76"/>
      <c r="IQ890" s="76"/>
      <c r="IR890" s="76"/>
      <c r="IS890" s="76"/>
      <c r="IT890" s="76"/>
      <c r="IU890" s="76"/>
      <c r="IV890" s="76"/>
    </row>
    <row r="891" spans="2:256">
      <c r="B891" s="39"/>
      <c r="C891" s="39" t="s">
        <v>113</v>
      </c>
      <c r="D891" s="39"/>
      <c r="E891" s="39"/>
      <c r="F891" s="39"/>
      <c r="G891" s="129"/>
      <c r="H891" s="39"/>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76"/>
      <c r="AT891" s="76"/>
      <c r="AU891" s="76"/>
      <c r="AV891" s="76"/>
      <c r="AW891" s="76"/>
      <c r="AX891" s="76"/>
      <c r="AY891" s="76"/>
      <c r="AZ891" s="76"/>
      <c r="BA891" s="76"/>
      <c r="BB891" s="76"/>
      <c r="BC891" s="76"/>
      <c r="BD891" s="76"/>
      <c r="BE891" s="76"/>
      <c r="BF891" s="76"/>
      <c r="BG891" s="76"/>
      <c r="BH891" s="76"/>
      <c r="BI891" s="76"/>
      <c r="BJ891" s="76"/>
      <c r="BK891" s="76"/>
      <c r="BL891" s="76"/>
      <c r="BM891" s="76"/>
      <c r="BN891" s="76"/>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76"/>
      <c r="CU891" s="76"/>
      <c r="CV891" s="76"/>
      <c r="CW891" s="76"/>
      <c r="CX891" s="76"/>
      <c r="CY891" s="76"/>
      <c r="CZ891" s="76"/>
      <c r="DA891" s="76"/>
      <c r="DB891" s="76"/>
      <c r="DC891" s="76"/>
      <c r="DD891" s="76"/>
      <c r="DE891" s="76"/>
      <c r="DF891" s="76"/>
      <c r="DG891" s="76"/>
      <c r="DH891" s="76"/>
      <c r="DI891" s="76"/>
      <c r="DJ891" s="76"/>
      <c r="DK891" s="76"/>
      <c r="DL891" s="76"/>
      <c r="DM891" s="76"/>
      <c r="DN891" s="76"/>
      <c r="DO891" s="76"/>
      <c r="DP891" s="76"/>
      <c r="DQ891" s="76"/>
      <c r="DR891" s="76"/>
      <c r="DS891" s="76"/>
      <c r="DT891" s="76"/>
      <c r="DU891" s="76"/>
      <c r="DV891" s="76"/>
      <c r="DW891" s="76"/>
      <c r="DX891" s="76"/>
      <c r="DY891" s="76"/>
      <c r="DZ891" s="76"/>
      <c r="EA891" s="76"/>
      <c r="EB891" s="76"/>
      <c r="EC891" s="76"/>
      <c r="ED891" s="76"/>
      <c r="EE891" s="76"/>
      <c r="EF891" s="76"/>
      <c r="EG891" s="76"/>
      <c r="EH891" s="76"/>
      <c r="EI891" s="76"/>
      <c r="EJ891" s="76"/>
      <c r="EK891" s="76"/>
      <c r="EL891" s="76"/>
      <c r="EM891" s="76"/>
      <c r="EN891" s="76"/>
      <c r="EO891" s="76"/>
      <c r="EP891" s="76"/>
      <c r="EQ891" s="76"/>
      <c r="ER891" s="76"/>
      <c r="ES891" s="76"/>
      <c r="ET891" s="76"/>
      <c r="EU891" s="76"/>
      <c r="EV891" s="76"/>
      <c r="EW891" s="76"/>
      <c r="EX891" s="76"/>
      <c r="EY891" s="76"/>
      <c r="EZ891" s="76"/>
      <c r="FA891" s="76"/>
      <c r="FB891" s="76"/>
      <c r="FC891" s="76"/>
      <c r="FD891" s="76"/>
      <c r="FE891" s="76"/>
      <c r="FF891" s="76"/>
      <c r="FG891" s="76"/>
      <c r="FH891" s="76"/>
      <c r="FI891" s="76"/>
      <c r="FJ891" s="76"/>
      <c r="FK891" s="76"/>
      <c r="FL891" s="76"/>
      <c r="FM891" s="76"/>
      <c r="FN891" s="76"/>
      <c r="FO891" s="76"/>
      <c r="FP891" s="76"/>
      <c r="FQ891" s="76"/>
      <c r="FR891" s="76"/>
      <c r="FS891" s="76"/>
      <c r="FT891" s="76"/>
      <c r="FU891" s="76"/>
      <c r="FV891" s="76"/>
      <c r="FW891" s="76"/>
      <c r="FX891" s="76"/>
      <c r="FY891" s="76"/>
      <c r="FZ891" s="76"/>
      <c r="GA891" s="76"/>
      <c r="GB891" s="76"/>
      <c r="GC891" s="76"/>
      <c r="GD891" s="76"/>
      <c r="GE891" s="76"/>
      <c r="GF891" s="76"/>
      <c r="GG891" s="76"/>
      <c r="GH891" s="76"/>
      <c r="GI891" s="76"/>
      <c r="GJ891" s="76"/>
      <c r="GK891" s="76"/>
      <c r="GL891" s="76"/>
      <c r="GM891" s="76"/>
      <c r="GN891" s="76"/>
      <c r="GO891" s="76"/>
      <c r="GP891" s="76"/>
      <c r="GQ891" s="76"/>
      <c r="GR891" s="76"/>
      <c r="GS891" s="76"/>
      <c r="GT891" s="76"/>
      <c r="GU891" s="76"/>
      <c r="GV891" s="76"/>
      <c r="GW891" s="76"/>
      <c r="GX891" s="76"/>
      <c r="GY891" s="76"/>
      <c r="GZ891" s="76"/>
      <c r="HA891" s="76"/>
      <c r="HB891" s="76"/>
      <c r="HC891" s="76"/>
      <c r="HD891" s="76"/>
      <c r="HE891" s="76"/>
      <c r="HF891" s="76"/>
      <c r="HG891" s="76"/>
      <c r="HH891" s="76"/>
      <c r="HI891" s="76"/>
      <c r="HJ891" s="76"/>
      <c r="HK891" s="76"/>
      <c r="HL891" s="76"/>
      <c r="HM891" s="76"/>
      <c r="HN891" s="76"/>
      <c r="HO891" s="76"/>
      <c r="HP891" s="76"/>
      <c r="HQ891" s="76"/>
      <c r="HR891" s="76"/>
      <c r="HS891" s="76"/>
      <c r="HT891" s="76"/>
      <c r="HU891" s="76"/>
      <c r="HV891" s="76"/>
      <c r="HW891" s="76"/>
      <c r="HX891" s="76"/>
      <c r="HY891" s="76"/>
      <c r="HZ891" s="76"/>
      <c r="IA891" s="76"/>
      <c r="IB891" s="76"/>
      <c r="IC891" s="76"/>
      <c r="ID891" s="76"/>
      <c r="IE891" s="76"/>
      <c r="IF891" s="76"/>
      <c r="IG891" s="76"/>
      <c r="IH891" s="76"/>
      <c r="II891" s="76"/>
      <c r="IJ891" s="76"/>
      <c r="IK891" s="76"/>
      <c r="IL891" s="76"/>
      <c r="IM891" s="76"/>
      <c r="IN891" s="76"/>
      <c r="IO891" s="76"/>
      <c r="IP891" s="76"/>
      <c r="IQ891" s="76"/>
      <c r="IR891" s="76"/>
      <c r="IS891" s="76"/>
      <c r="IT891" s="76"/>
      <c r="IU891" s="76"/>
      <c r="IV891" s="76"/>
    </row>
    <row r="892" spans="2:256">
      <c r="B892" s="39"/>
      <c r="C892" s="39" t="s">
        <v>217</v>
      </c>
      <c r="D892" s="39"/>
      <c r="E892" s="39"/>
      <c r="F892" s="39"/>
      <c r="G892" s="129"/>
      <c r="H892" s="84">
        <f>SUM(H889:H891)</f>
        <v>251.9</v>
      </c>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c r="AQ892" s="76"/>
      <c r="AR892" s="76"/>
      <c r="AS892" s="76"/>
      <c r="AT892" s="76"/>
      <c r="AU892" s="76"/>
      <c r="AV892" s="76"/>
      <c r="AW892" s="76"/>
      <c r="AX892" s="76"/>
      <c r="AY892" s="76"/>
      <c r="AZ892" s="76"/>
      <c r="BA892" s="76"/>
      <c r="BB892" s="76"/>
      <c r="BC892" s="76"/>
      <c r="BD892" s="76"/>
      <c r="BE892" s="76"/>
      <c r="BF892" s="76"/>
      <c r="BG892" s="76"/>
      <c r="BH892" s="76"/>
      <c r="BI892" s="76"/>
      <c r="BJ892" s="76"/>
      <c r="BK892" s="76"/>
      <c r="BL892" s="76"/>
      <c r="BM892" s="76"/>
      <c r="BN892" s="76"/>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76"/>
      <c r="CU892" s="76"/>
      <c r="CV892" s="76"/>
      <c r="CW892" s="76"/>
      <c r="CX892" s="76"/>
      <c r="CY892" s="76"/>
      <c r="CZ892" s="76"/>
      <c r="DA892" s="76"/>
      <c r="DB892" s="76"/>
      <c r="DC892" s="76"/>
      <c r="DD892" s="76"/>
      <c r="DE892" s="76"/>
      <c r="DF892" s="76"/>
      <c r="DG892" s="76"/>
      <c r="DH892" s="76"/>
      <c r="DI892" s="76"/>
      <c r="DJ892" s="76"/>
      <c r="DK892" s="76"/>
      <c r="DL892" s="76"/>
      <c r="DM892" s="76"/>
      <c r="DN892" s="76"/>
      <c r="DO892" s="76"/>
      <c r="DP892" s="76"/>
      <c r="DQ892" s="76"/>
      <c r="DR892" s="76"/>
      <c r="DS892" s="76"/>
      <c r="DT892" s="76"/>
      <c r="DU892" s="76"/>
      <c r="DV892" s="76"/>
      <c r="DW892" s="76"/>
      <c r="DX892" s="76"/>
      <c r="DY892" s="76"/>
      <c r="DZ892" s="76"/>
      <c r="EA892" s="76"/>
      <c r="EB892" s="76"/>
      <c r="EC892" s="76"/>
      <c r="ED892" s="76"/>
      <c r="EE892" s="76"/>
      <c r="EF892" s="76"/>
      <c r="EG892" s="76"/>
      <c r="EH892" s="76"/>
      <c r="EI892" s="76"/>
      <c r="EJ892" s="76"/>
      <c r="EK892" s="76"/>
      <c r="EL892" s="76"/>
      <c r="EM892" s="76"/>
      <c r="EN892" s="76"/>
      <c r="EO892" s="76"/>
      <c r="EP892" s="76"/>
      <c r="EQ892" s="76"/>
      <c r="ER892" s="76"/>
      <c r="ES892" s="76"/>
      <c r="ET892" s="76"/>
      <c r="EU892" s="76"/>
      <c r="EV892" s="76"/>
      <c r="EW892" s="76"/>
      <c r="EX892" s="76"/>
      <c r="EY892" s="76"/>
      <c r="EZ892" s="76"/>
      <c r="FA892" s="76"/>
      <c r="FB892" s="76"/>
      <c r="FC892" s="76"/>
      <c r="FD892" s="76"/>
      <c r="FE892" s="76"/>
      <c r="FF892" s="76"/>
      <c r="FG892" s="76"/>
      <c r="FH892" s="76"/>
      <c r="FI892" s="76"/>
      <c r="FJ892" s="76"/>
      <c r="FK892" s="76"/>
      <c r="FL892" s="76"/>
      <c r="FM892" s="76"/>
      <c r="FN892" s="76"/>
      <c r="FO892" s="76"/>
      <c r="FP892" s="76"/>
      <c r="FQ892" s="76"/>
      <c r="FR892" s="76"/>
      <c r="FS892" s="76"/>
      <c r="FT892" s="76"/>
      <c r="FU892" s="76"/>
      <c r="FV892" s="76"/>
      <c r="FW892" s="76"/>
      <c r="FX892" s="76"/>
      <c r="FY892" s="76"/>
      <c r="FZ892" s="76"/>
      <c r="GA892" s="76"/>
      <c r="GB892" s="76"/>
      <c r="GC892" s="76"/>
      <c r="GD892" s="76"/>
      <c r="GE892" s="76"/>
      <c r="GF892" s="76"/>
      <c r="GG892" s="76"/>
      <c r="GH892" s="76"/>
      <c r="GI892" s="76"/>
      <c r="GJ892" s="76"/>
      <c r="GK892" s="76"/>
      <c r="GL892" s="76"/>
      <c r="GM892" s="76"/>
      <c r="GN892" s="76"/>
      <c r="GO892" s="76"/>
      <c r="GP892" s="76"/>
      <c r="GQ892" s="76"/>
      <c r="GR892" s="76"/>
      <c r="GS892" s="76"/>
      <c r="GT892" s="76"/>
      <c r="GU892" s="76"/>
      <c r="GV892" s="76"/>
      <c r="GW892" s="76"/>
      <c r="GX892" s="76"/>
      <c r="GY892" s="76"/>
      <c r="GZ892" s="76"/>
      <c r="HA892" s="76"/>
      <c r="HB892" s="76"/>
      <c r="HC892" s="76"/>
      <c r="HD892" s="76"/>
      <c r="HE892" s="76"/>
      <c r="HF892" s="76"/>
      <c r="HG892" s="76"/>
      <c r="HH892" s="76"/>
      <c r="HI892" s="76"/>
      <c r="HJ892" s="76"/>
      <c r="HK892" s="76"/>
      <c r="HL892" s="76"/>
      <c r="HM892" s="76"/>
      <c r="HN892" s="76"/>
      <c r="HO892" s="76"/>
      <c r="HP892" s="76"/>
      <c r="HQ892" s="76"/>
      <c r="HR892" s="76"/>
      <c r="HS892" s="76"/>
      <c r="HT892" s="76"/>
      <c r="HU892" s="76"/>
      <c r="HV892" s="76"/>
      <c r="HW892" s="76"/>
      <c r="HX892" s="76"/>
      <c r="HY892" s="76"/>
      <c r="HZ892" s="76"/>
      <c r="IA892" s="76"/>
      <c r="IB892" s="76"/>
      <c r="IC892" s="76"/>
      <c r="ID892" s="76"/>
      <c r="IE892" s="76"/>
      <c r="IF892" s="76"/>
      <c r="IG892" s="76"/>
      <c r="IH892" s="76"/>
      <c r="II892" s="76"/>
      <c r="IJ892" s="76"/>
      <c r="IK892" s="76"/>
      <c r="IL892" s="76"/>
      <c r="IM892" s="76"/>
      <c r="IN892" s="76"/>
      <c r="IO892" s="76"/>
      <c r="IP892" s="76"/>
      <c r="IQ892" s="76"/>
      <c r="IR892" s="76"/>
      <c r="IS892" s="76"/>
      <c r="IT892" s="76"/>
      <c r="IU892" s="76"/>
      <c r="IV892" s="76"/>
    </row>
    <row r="893" spans="2:256" ht="36">
      <c r="B893" s="39"/>
      <c r="C893" s="63" t="s">
        <v>8365</v>
      </c>
      <c r="D893" s="1027">
        <f>'BASIC DATA'!$C$577</f>
        <v>0.13614999999999999</v>
      </c>
      <c r="E893" s="39"/>
      <c r="F893" s="39"/>
      <c r="G893" s="129"/>
      <c r="H893" s="84">
        <f>ROUND(H892*D893,2)</f>
        <v>34.299999999999997</v>
      </c>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c r="AQ893" s="76"/>
      <c r="AR893" s="76"/>
      <c r="AS893" s="76"/>
      <c r="AT893" s="76"/>
      <c r="AU893" s="76"/>
      <c r="AV893" s="76"/>
      <c r="AW893" s="76"/>
      <c r="AX893" s="76"/>
      <c r="AY893" s="76"/>
      <c r="AZ893" s="76"/>
      <c r="BA893" s="76"/>
      <c r="BB893" s="76"/>
      <c r="BC893" s="76"/>
      <c r="BD893" s="76"/>
      <c r="BE893" s="76"/>
      <c r="BF893" s="76"/>
      <c r="BG893" s="76"/>
      <c r="BH893" s="76"/>
      <c r="BI893" s="76"/>
      <c r="BJ893" s="76"/>
      <c r="BK893" s="76"/>
      <c r="BL893" s="76"/>
      <c r="BM893" s="76"/>
      <c r="BN893" s="76"/>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76"/>
      <c r="CU893" s="76"/>
      <c r="CV893" s="76"/>
      <c r="CW893" s="76"/>
      <c r="CX893" s="76"/>
      <c r="CY893" s="76"/>
      <c r="CZ893" s="76"/>
      <c r="DA893" s="76"/>
      <c r="DB893" s="76"/>
      <c r="DC893" s="76"/>
      <c r="DD893" s="76"/>
      <c r="DE893" s="76"/>
      <c r="DF893" s="76"/>
      <c r="DG893" s="76"/>
      <c r="DH893" s="76"/>
      <c r="DI893" s="76"/>
      <c r="DJ893" s="76"/>
      <c r="DK893" s="76"/>
      <c r="DL893" s="76"/>
      <c r="DM893" s="76"/>
      <c r="DN893" s="76"/>
      <c r="DO893" s="76"/>
      <c r="DP893" s="76"/>
      <c r="DQ893" s="76"/>
      <c r="DR893" s="76"/>
      <c r="DS893" s="76"/>
      <c r="DT893" s="76"/>
      <c r="DU893" s="76"/>
      <c r="DV893" s="76"/>
      <c r="DW893" s="76"/>
      <c r="DX893" s="76"/>
      <c r="DY893" s="76"/>
      <c r="DZ893" s="76"/>
      <c r="EA893" s="76"/>
      <c r="EB893" s="76"/>
      <c r="EC893" s="76"/>
      <c r="ED893" s="76"/>
      <c r="EE893" s="76"/>
      <c r="EF893" s="76"/>
      <c r="EG893" s="76"/>
      <c r="EH893" s="76"/>
      <c r="EI893" s="76"/>
      <c r="EJ893" s="76"/>
      <c r="EK893" s="76"/>
      <c r="EL893" s="76"/>
      <c r="EM893" s="76"/>
      <c r="EN893" s="76"/>
      <c r="EO893" s="76"/>
      <c r="EP893" s="76"/>
      <c r="EQ893" s="76"/>
      <c r="ER893" s="76"/>
      <c r="ES893" s="76"/>
      <c r="ET893" s="76"/>
      <c r="EU893" s="76"/>
      <c r="EV893" s="76"/>
      <c r="EW893" s="76"/>
      <c r="EX893" s="76"/>
      <c r="EY893" s="76"/>
      <c r="EZ893" s="76"/>
      <c r="FA893" s="76"/>
      <c r="FB893" s="76"/>
      <c r="FC893" s="76"/>
      <c r="FD893" s="76"/>
      <c r="FE893" s="76"/>
      <c r="FF893" s="76"/>
      <c r="FG893" s="76"/>
      <c r="FH893" s="76"/>
      <c r="FI893" s="76"/>
      <c r="FJ893" s="76"/>
      <c r="FK893" s="76"/>
      <c r="FL893" s="76"/>
      <c r="FM893" s="76"/>
      <c r="FN893" s="76"/>
      <c r="FO893" s="76"/>
      <c r="FP893" s="76"/>
      <c r="FQ893" s="76"/>
      <c r="FR893" s="76"/>
      <c r="FS893" s="76"/>
      <c r="FT893" s="76"/>
      <c r="FU893" s="76"/>
      <c r="FV893" s="76"/>
      <c r="FW893" s="76"/>
      <c r="FX893" s="76"/>
      <c r="FY893" s="76"/>
      <c r="FZ893" s="76"/>
      <c r="GA893" s="76"/>
      <c r="GB893" s="76"/>
      <c r="GC893" s="76"/>
      <c r="GD893" s="76"/>
      <c r="GE893" s="76"/>
      <c r="GF893" s="76"/>
      <c r="GG893" s="76"/>
      <c r="GH893" s="76"/>
      <c r="GI893" s="76"/>
      <c r="GJ893" s="76"/>
      <c r="GK893" s="76"/>
      <c r="GL893" s="76"/>
      <c r="GM893" s="76"/>
      <c r="GN893" s="76"/>
      <c r="GO893" s="76"/>
      <c r="GP893" s="76"/>
      <c r="GQ893" s="76"/>
      <c r="GR893" s="76"/>
      <c r="GS893" s="76"/>
      <c r="GT893" s="76"/>
      <c r="GU893" s="76"/>
      <c r="GV893" s="76"/>
      <c r="GW893" s="76"/>
      <c r="GX893" s="76"/>
      <c r="GY893" s="76"/>
      <c r="GZ893" s="76"/>
      <c r="HA893" s="76"/>
      <c r="HB893" s="76"/>
      <c r="HC893" s="76"/>
      <c r="HD893" s="76"/>
      <c r="HE893" s="76"/>
      <c r="HF893" s="76"/>
      <c r="HG893" s="76"/>
      <c r="HH893" s="76"/>
      <c r="HI893" s="76"/>
      <c r="HJ893" s="76"/>
      <c r="HK893" s="76"/>
      <c r="HL893" s="76"/>
      <c r="HM893" s="76"/>
      <c r="HN893" s="76"/>
      <c r="HO893" s="76"/>
      <c r="HP893" s="76"/>
      <c r="HQ893" s="76"/>
      <c r="HR893" s="76"/>
      <c r="HS893" s="76"/>
      <c r="HT893" s="76"/>
      <c r="HU893" s="76"/>
      <c r="HV893" s="76"/>
      <c r="HW893" s="76"/>
      <c r="HX893" s="76"/>
      <c r="HY893" s="76"/>
      <c r="HZ893" s="76"/>
      <c r="IA893" s="76"/>
      <c r="IB893" s="76"/>
      <c r="IC893" s="76"/>
      <c r="ID893" s="76"/>
      <c r="IE893" s="76"/>
      <c r="IF893" s="76"/>
      <c r="IG893" s="76"/>
      <c r="IH893" s="76"/>
      <c r="II893" s="76"/>
      <c r="IJ893" s="76"/>
      <c r="IK893" s="76"/>
      <c r="IL893" s="76"/>
      <c r="IM893" s="76"/>
      <c r="IN893" s="76"/>
      <c r="IO893" s="76"/>
      <c r="IP893" s="76"/>
      <c r="IQ893" s="76"/>
      <c r="IR893" s="76"/>
      <c r="IS893" s="76"/>
      <c r="IT893" s="76"/>
      <c r="IU893" s="76"/>
      <c r="IV893" s="76"/>
    </row>
    <row r="894" spans="2:256">
      <c r="B894" s="39"/>
      <c r="C894" s="39" t="s">
        <v>114</v>
      </c>
      <c r="D894" s="39"/>
      <c r="E894" s="39"/>
      <c r="F894" s="39"/>
      <c r="G894" s="129" t="s">
        <v>4108</v>
      </c>
      <c r="H894" s="84">
        <f>ROUND(SUM(H892:H893)/5.5,1)</f>
        <v>52</v>
      </c>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c r="AR894" s="76"/>
      <c r="AS894" s="76"/>
      <c r="AT894" s="76"/>
      <c r="AU894" s="76"/>
      <c r="AV894" s="76"/>
      <c r="AW894" s="76"/>
      <c r="AX894" s="76"/>
      <c r="AY894" s="76"/>
      <c r="AZ894" s="76"/>
      <c r="BA894" s="76"/>
      <c r="BB894" s="76"/>
      <c r="BC894" s="76"/>
      <c r="BD894" s="76"/>
      <c r="BE894" s="76"/>
      <c r="BF894" s="76"/>
      <c r="BG894" s="76"/>
      <c r="BH894" s="76"/>
      <c r="BI894" s="76"/>
      <c r="BJ894" s="76"/>
      <c r="BK894" s="76"/>
      <c r="BL894" s="76"/>
      <c r="BM894" s="76"/>
      <c r="BN894" s="76"/>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76"/>
      <c r="CU894" s="76"/>
      <c r="CV894" s="76"/>
      <c r="CW894" s="76"/>
      <c r="CX894" s="76"/>
      <c r="CY894" s="76"/>
      <c r="CZ894" s="76"/>
      <c r="DA894" s="76"/>
      <c r="DB894" s="76"/>
      <c r="DC894" s="76"/>
      <c r="DD894" s="76"/>
      <c r="DE894" s="76"/>
      <c r="DF894" s="76"/>
      <c r="DG894" s="76"/>
      <c r="DH894" s="76"/>
      <c r="DI894" s="76"/>
      <c r="DJ894" s="76"/>
      <c r="DK894" s="76"/>
      <c r="DL894" s="76"/>
      <c r="DM894" s="76"/>
      <c r="DN894" s="76"/>
      <c r="DO894" s="76"/>
      <c r="DP894" s="76"/>
      <c r="DQ894" s="76"/>
      <c r="DR894" s="76"/>
      <c r="DS894" s="76"/>
      <c r="DT894" s="76"/>
      <c r="DU894" s="76"/>
      <c r="DV894" s="76"/>
      <c r="DW894" s="76"/>
      <c r="DX894" s="76"/>
      <c r="DY894" s="76"/>
      <c r="DZ894" s="76"/>
      <c r="EA894" s="76"/>
      <c r="EB894" s="76"/>
      <c r="EC894" s="76"/>
      <c r="ED894" s="76"/>
      <c r="EE894" s="76"/>
      <c r="EF894" s="76"/>
      <c r="EG894" s="76"/>
      <c r="EH894" s="76"/>
      <c r="EI894" s="76"/>
      <c r="EJ894" s="76"/>
      <c r="EK894" s="76"/>
      <c r="EL894" s="76"/>
      <c r="EM894" s="76"/>
      <c r="EN894" s="76"/>
      <c r="EO894" s="76"/>
      <c r="EP894" s="76"/>
      <c r="EQ894" s="76"/>
      <c r="ER894" s="76"/>
      <c r="ES894" s="76"/>
      <c r="ET894" s="76"/>
      <c r="EU894" s="76"/>
      <c r="EV894" s="76"/>
      <c r="EW894" s="76"/>
      <c r="EX894" s="76"/>
      <c r="EY894" s="76"/>
      <c r="EZ894" s="76"/>
      <c r="FA894" s="76"/>
      <c r="FB894" s="76"/>
      <c r="FC894" s="76"/>
      <c r="FD894" s="76"/>
      <c r="FE894" s="76"/>
      <c r="FF894" s="76"/>
      <c r="FG894" s="76"/>
      <c r="FH894" s="76"/>
      <c r="FI894" s="76"/>
      <c r="FJ894" s="76"/>
      <c r="FK894" s="76"/>
      <c r="FL894" s="76"/>
      <c r="FM894" s="76"/>
      <c r="FN894" s="76"/>
      <c r="FO894" s="76"/>
      <c r="FP894" s="76"/>
      <c r="FQ894" s="76"/>
      <c r="FR894" s="76"/>
      <c r="FS894" s="76"/>
      <c r="FT894" s="76"/>
      <c r="FU894" s="76"/>
      <c r="FV894" s="76"/>
      <c r="FW894" s="76"/>
      <c r="FX894" s="76"/>
      <c r="FY894" s="76"/>
      <c r="FZ894" s="76"/>
      <c r="GA894" s="76"/>
      <c r="GB894" s="76"/>
      <c r="GC894" s="76"/>
      <c r="GD894" s="76"/>
      <c r="GE894" s="76"/>
      <c r="GF894" s="76"/>
      <c r="GG894" s="76"/>
      <c r="GH894" s="76"/>
      <c r="GI894" s="76"/>
      <c r="GJ894" s="76"/>
      <c r="GK894" s="76"/>
      <c r="GL894" s="76"/>
      <c r="GM894" s="76"/>
      <c r="GN894" s="76"/>
      <c r="GO894" s="76"/>
      <c r="GP894" s="76"/>
      <c r="GQ894" s="76"/>
      <c r="GR894" s="76"/>
      <c r="GS894" s="76"/>
      <c r="GT894" s="76"/>
      <c r="GU894" s="76"/>
      <c r="GV894" s="76"/>
      <c r="GW894" s="76"/>
      <c r="GX894" s="76"/>
      <c r="GY894" s="76"/>
      <c r="GZ894" s="76"/>
      <c r="HA894" s="76"/>
      <c r="HB894" s="76"/>
      <c r="HC894" s="76"/>
      <c r="HD894" s="76"/>
      <c r="HE894" s="76"/>
      <c r="HF894" s="76"/>
      <c r="HG894" s="76"/>
      <c r="HH894" s="76"/>
      <c r="HI894" s="76"/>
      <c r="HJ894" s="76"/>
      <c r="HK894" s="76"/>
      <c r="HL894" s="76"/>
      <c r="HM894" s="76"/>
      <c r="HN894" s="76"/>
      <c r="HO894" s="76"/>
      <c r="HP894" s="76"/>
      <c r="HQ894" s="76"/>
      <c r="HR894" s="76"/>
      <c r="HS894" s="76"/>
      <c r="HT894" s="76"/>
      <c r="HU894" s="76"/>
      <c r="HV894" s="76"/>
      <c r="HW894" s="76"/>
      <c r="HX894" s="76"/>
      <c r="HY894" s="76"/>
      <c r="HZ894" s="76"/>
      <c r="IA894" s="76"/>
      <c r="IB894" s="76"/>
      <c r="IC894" s="76"/>
      <c r="ID894" s="76"/>
      <c r="IE894" s="76"/>
      <c r="IF894" s="76"/>
      <c r="IG894" s="76"/>
      <c r="IH894" s="76"/>
      <c r="II894" s="76"/>
      <c r="IJ894" s="76"/>
      <c r="IK894" s="76"/>
      <c r="IL894" s="76"/>
      <c r="IM894" s="76"/>
      <c r="IN894" s="76"/>
      <c r="IO894" s="76"/>
      <c r="IP894" s="76"/>
      <c r="IQ894" s="76"/>
      <c r="IR894" s="76"/>
      <c r="IS894" s="76"/>
      <c r="IT894" s="76"/>
      <c r="IU894" s="76"/>
      <c r="IV894" s="76"/>
    </row>
    <row r="895" spans="2:25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c r="AY895" s="76"/>
      <c r="AZ895" s="76"/>
      <c r="BA895" s="76"/>
      <c r="BB895" s="76"/>
      <c r="BC895" s="76"/>
      <c r="BD895" s="76"/>
      <c r="BE895" s="76"/>
      <c r="BF895" s="76"/>
      <c r="BG895" s="76"/>
      <c r="BH895" s="76"/>
      <c r="BI895" s="76"/>
      <c r="BJ895" s="76"/>
      <c r="BK895" s="76"/>
      <c r="BL895" s="76"/>
      <c r="BM895" s="76"/>
      <c r="BN895" s="76"/>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76"/>
      <c r="CU895" s="76"/>
      <c r="CV895" s="76"/>
      <c r="CW895" s="76"/>
      <c r="CX895" s="76"/>
      <c r="CY895" s="76"/>
      <c r="CZ895" s="76"/>
      <c r="DA895" s="76"/>
      <c r="DB895" s="76"/>
      <c r="DC895" s="76"/>
      <c r="DD895" s="76"/>
      <c r="DE895" s="76"/>
      <c r="DF895" s="76"/>
      <c r="DG895" s="76"/>
      <c r="DH895" s="76"/>
      <c r="DI895" s="76"/>
      <c r="DJ895" s="76"/>
      <c r="DK895" s="76"/>
      <c r="DL895" s="76"/>
      <c r="DM895" s="76"/>
      <c r="DN895" s="76"/>
      <c r="DO895" s="76"/>
      <c r="DP895" s="76"/>
      <c r="DQ895" s="76"/>
      <c r="DR895" s="76"/>
      <c r="DS895" s="76"/>
      <c r="DT895" s="76"/>
      <c r="DU895" s="76"/>
      <c r="DV895" s="76"/>
      <c r="DW895" s="76"/>
      <c r="DX895" s="76"/>
      <c r="DY895" s="76"/>
      <c r="DZ895" s="76"/>
      <c r="EA895" s="76"/>
      <c r="EB895" s="76"/>
      <c r="EC895" s="76"/>
      <c r="ED895" s="76"/>
      <c r="EE895" s="76"/>
      <c r="EF895" s="76"/>
      <c r="EG895" s="76"/>
      <c r="EH895" s="76"/>
      <c r="EI895" s="76"/>
      <c r="EJ895" s="76"/>
      <c r="EK895" s="76"/>
      <c r="EL895" s="76"/>
      <c r="EM895" s="76"/>
      <c r="EN895" s="76"/>
      <c r="EO895" s="76"/>
      <c r="EP895" s="76"/>
      <c r="EQ895" s="76"/>
      <c r="ER895" s="76"/>
      <c r="ES895" s="76"/>
      <c r="ET895" s="76"/>
      <c r="EU895" s="76"/>
      <c r="EV895" s="76"/>
      <c r="EW895" s="76"/>
      <c r="EX895" s="76"/>
      <c r="EY895" s="76"/>
      <c r="EZ895" s="76"/>
      <c r="FA895" s="76"/>
      <c r="FB895" s="76"/>
      <c r="FC895" s="76"/>
      <c r="FD895" s="76"/>
      <c r="FE895" s="76"/>
      <c r="FF895" s="76"/>
      <c r="FG895" s="76"/>
      <c r="FH895" s="76"/>
      <c r="FI895" s="76"/>
      <c r="FJ895" s="76"/>
      <c r="FK895" s="76"/>
      <c r="FL895" s="76"/>
      <c r="FM895" s="76"/>
      <c r="FN895" s="76"/>
      <c r="FO895" s="76"/>
      <c r="FP895" s="76"/>
      <c r="FQ895" s="76"/>
      <c r="FR895" s="76"/>
      <c r="FS895" s="76"/>
      <c r="FT895" s="76"/>
      <c r="FU895" s="76"/>
      <c r="FV895" s="76"/>
      <c r="FW895" s="76"/>
      <c r="FX895" s="76"/>
      <c r="FY895" s="76"/>
      <c r="FZ895" s="76"/>
      <c r="GA895" s="76"/>
      <c r="GB895" s="76"/>
      <c r="GC895" s="76"/>
      <c r="GD895" s="76"/>
      <c r="GE895" s="76"/>
      <c r="GF895" s="76"/>
      <c r="GG895" s="76"/>
      <c r="GH895" s="76"/>
      <c r="GI895" s="76"/>
      <c r="GJ895" s="76"/>
      <c r="GK895" s="76"/>
      <c r="GL895" s="76"/>
      <c r="GM895" s="76"/>
      <c r="GN895" s="76"/>
      <c r="GO895" s="76"/>
      <c r="GP895" s="76"/>
      <c r="GQ895" s="76"/>
      <c r="GR895" s="76"/>
      <c r="GS895" s="76"/>
      <c r="GT895" s="76"/>
      <c r="GU895" s="76"/>
      <c r="GV895" s="76"/>
      <c r="GW895" s="76"/>
      <c r="GX895" s="76"/>
      <c r="GY895" s="76"/>
      <c r="GZ895" s="76"/>
      <c r="HA895" s="76"/>
      <c r="HB895" s="76"/>
      <c r="HC895" s="76"/>
      <c r="HD895" s="76"/>
      <c r="HE895" s="76"/>
      <c r="HF895" s="76"/>
      <c r="HG895" s="76"/>
      <c r="HH895" s="76"/>
      <c r="HI895" s="76"/>
      <c r="HJ895" s="76"/>
      <c r="HK895" s="76"/>
      <c r="HL895" s="76"/>
      <c r="HM895" s="76"/>
      <c r="HN895" s="76"/>
      <c r="HO895" s="76"/>
      <c r="HP895" s="76"/>
      <c r="HQ895" s="76"/>
      <c r="HR895" s="76"/>
      <c r="HS895" s="76"/>
      <c r="HT895" s="76"/>
      <c r="HU895" s="76"/>
      <c r="HV895" s="76"/>
      <c r="HW895" s="76"/>
      <c r="HX895" s="76"/>
      <c r="HY895" s="76"/>
      <c r="HZ895" s="76"/>
      <c r="IA895" s="76"/>
      <c r="IB895" s="76"/>
      <c r="IC895" s="76"/>
      <c r="ID895" s="76"/>
      <c r="IE895" s="76"/>
      <c r="IF895" s="76"/>
      <c r="IG895" s="76"/>
      <c r="IH895" s="76"/>
      <c r="II895" s="76"/>
      <c r="IJ895" s="76"/>
      <c r="IK895" s="76"/>
      <c r="IL895" s="76"/>
      <c r="IM895" s="76"/>
      <c r="IN895" s="76"/>
      <c r="IO895" s="76"/>
      <c r="IP895" s="76"/>
      <c r="IQ895" s="76"/>
      <c r="IR895" s="76"/>
      <c r="IS895" s="76"/>
      <c r="IT895" s="76"/>
      <c r="IU895" s="76"/>
      <c r="IV895" s="76"/>
    </row>
    <row r="896" spans="2:256">
      <c r="B896" s="153" t="s">
        <v>199</v>
      </c>
      <c r="C896" s="146" t="s">
        <v>8368</v>
      </c>
      <c r="D896" s="148"/>
      <c r="E896" s="153"/>
      <c r="F896" s="153"/>
      <c r="G896" s="131"/>
      <c r="H896" s="153"/>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c r="AQ896" s="76"/>
      <c r="AR896" s="76"/>
      <c r="AS896" s="76"/>
      <c r="AT896" s="76"/>
      <c r="AU896" s="76"/>
      <c r="AV896" s="76"/>
      <c r="AW896" s="76"/>
      <c r="AX896" s="76"/>
      <c r="AY896" s="76"/>
      <c r="AZ896" s="76"/>
      <c r="BA896" s="76"/>
      <c r="BB896" s="76"/>
      <c r="BC896" s="76"/>
      <c r="BD896" s="76"/>
      <c r="BE896" s="76"/>
      <c r="BF896" s="76"/>
      <c r="BG896" s="76"/>
      <c r="BH896" s="76"/>
      <c r="BI896" s="76"/>
      <c r="BJ896" s="76"/>
      <c r="BK896" s="76"/>
      <c r="BL896" s="76"/>
      <c r="BM896" s="76"/>
      <c r="BN896" s="76"/>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76"/>
      <c r="CU896" s="76"/>
      <c r="CV896" s="76"/>
      <c r="CW896" s="76"/>
      <c r="CX896" s="76"/>
      <c r="CY896" s="76"/>
      <c r="CZ896" s="76"/>
      <c r="DA896" s="76"/>
      <c r="DB896" s="76"/>
      <c r="DC896" s="76"/>
      <c r="DD896" s="76"/>
      <c r="DE896" s="76"/>
      <c r="DF896" s="76"/>
      <c r="DG896" s="76"/>
      <c r="DH896" s="76"/>
      <c r="DI896" s="76"/>
      <c r="DJ896" s="76"/>
      <c r="DK896" s="76"/>
      <c r="DL896" s="76"/>
      <c r="DM896" s="76"/>
      <c r="DN896" s="76"/>
      <c r="DO896" s="76"/>
      <c r="DP896" s="76"/>
      <c r="DQ896" s="76"/>
      <c r="DR896" s="76"/>
      <c r="DS896" s="76"/>
      <c r="DT896" s="76"/>
      <c r="DU896" s="76"/>
      <c r="DV896" s="76"/>
      <c r="DW896" s="76"/>
      <c r="DX896" s="76"/>
      <c r="DY896" s="76"/>
      <c r="DZ896" s="76"/>
      <c r="EA896" s="76"/>
      <c r="EB896" s="76"/>
      <c r="EC896" s="76"/>
      <c r="ED896" s="76"/>
      <c r="EE896" s="76"/>
      <c r="EF896" s="76"/>
      <c r="EG896" s="76"/>
      <c r="EH896" s="76"/>
      <c r="EI896" s="76"/>
      <c r="EJ896" s="76"/>
      <c r="EK896" s="76"/>
      <c r="EL896" s="76"/>
      <c r="EM896" s="76"/>
      <c r="EN896" s="76"/>
      <c r="EO896" s="76"/>
      <c r="EP896" s="76"/>
      <c r="EQ896" s="76"/>
      <c r="ER896" s="76"/>
      <c r="ES896" s="76"/>
      <c r="ET896" s="76"/>
      <c r="EU896" s="76"/>
      <c r="EV896" s="76"/>
      <c r="EW896" s="76"/>
      <c r="EX896" s="76"/>
      <c r="EY896" s="76"/>
      <c r="EZ896" s="76"/>
      <c r="FA896" s="76"/>
      <c r="FB896" s="76"/>
      <c r="FC896" s="76"/>
      <c r="FD896" s="76"/>
      <c r="FE896" s="76"/>
      <c r="FF896" s="76"/>
      <c r="FG896" s="76"/>
      <c r="FH896" s="76"/>
      <c r="FI896" s="76"/>
      <c r="FJ896" s="76"/>
      <c r="FK896" s="76"/>
      <c r="FL896" s="76"/>
      <c r="FM896" s="76"/>
      <c r="FN896" s="76"/>
      <c r="FO896" s="76"/>
      <c r="FP896" s="76"/>
      <c r="FQ896" s="76"/>
      <c r="FR896" s="76"/>
      <c r="FS896" s="76"/>
      <c r="FT896" s="76"/>
      <c r="FU896" s="76"/>
      <c r="FV896" s="76"/>
      <c r="FW896" s="76"/>
      <c r="FX896" s="76"/>
      <c r="FY896" s="76"/>
      <c r="FZ896" s="76"/>
      <c r="GA896" s="76"/>
      <c r="GB896" s="76"/>
      <c r="GC896" s="76"/>
      <c r="GD896" s="76"/>
      <c r="GE896" s="76"/>
      <c r="GF896" s="76"/>
      <c r="GG896" s="76"/>
      <c r="GH896" s="76"/>
      <c r="GI896" s="76"/>
      <c r="GJ896" s="76"/>
      <c r="GK896" s="76"/>
      <c r="GL896" s="76"/>
      <c r="GM896" s="76"/>
      <c r="GN896" s="76"/>
      <c r="GO896" s="76"/>
      <c r="GP896" s="76"/>
      <c r="GQ896" s="76"/>
      <c r="GR896" s="76"/>
      <c r="GS896" s="76"/>
      <c r="GT896" s="76"/>
      <c r="GU896" s="76"/>
      <c r="GV896" s="76"/>
      <c r="GW896" s="76"/>
      <c r="GX896" s="76"/>
      <c r="GY896" s="76"/>
      <c r="GZ896" s="76"/>
      <c r="HA896" s="76"/>
      <c r="HB896" s="76"/>
      <c r="HC896" s="76"/>
      <c r="HD896" s="76"/>
      <c r="HE896" s="76"/>
      <c r="HF896" s="76"/>
      <c r="HG896" s="76"/>
      <c r="HH896" s="76"/>
      <c r="HI896" s="76"/>
      <c r="HJ896" s="76"/>
      <c r="HK896" s="76"/>
      <c r="HL896" s="76"/>
      <c r="HM896" s="76"/>
      <c r="HN896" s="76"/>
      <c r="HO896" s="76"/>
      <c r="HP896" s="76"/>
      <c r="HQ896" s="76"/>
      <c r="HR896" s="76"/>
      <c r="HS896" s="76"/>
      <c r="HT896" s="76"/>
      <c r="HU896" s="76"/>
      <c r="HV896" s="76"/>
      <c r="HW896" s="76"/>
      <c r="HX896" s="76"/>
      <c r="HY896" s="76"/>
      <c r="HZ896" s="76"/>
      <c r="IA896" s="76"/>
      <c r="IB896" s="76"/>
      <c r="IC896" s="76"/>
      <c r="ID896" s="76"/>
      <c r="IE896" s="76"/>
      <c r="IF896" s="76"/>
      <c r="IG896" s="76"/>
      <c r="IH896" s="76"/>
      <c r="II896" s="76"/>
      <c r="IJ896" s="76"/>
      <c r="IK896" s="76"/>
      <c r="IL896" s="76"/>
      <c r="IM896" s="76"/>
      <c r="IN896" s="76"/>
      <c r="IO896" s="76"/>
      <c r="IP896" s="76"/>
      <c r="IQ896" s="76"/>
      <c r="IR896" s="76"/>
      <c r="IS896" s="76"/>
      <c r="IT896" s="76"/>
      <c r="IU896" s="76"/>
      <c r="IV896" s="76"/>
    </row>
    <row r="897" spans="1:256">
      <c r="B897" s="153"/>
      <c r="C897" s="146" t="s">
        <v>1031</v>
      </c>
      <c r="D897" s="148"/>
      <c r="E897" s="153"/>
      <c r="F897" s="153"/>
      <c r="G897" s="131"/>
      <c r="H897" s="153"/>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76"/>
      <c r="AT897" s="76"/>
      <c r="AU897" s="76"/>
      <c r="AV897" s="76"/>
      <c r="AW897" s="76"/>
      <c r="AX897" s="76"/>
      <c r="AY897" s="76"/>
      <c r="AZ897" s="76"/>
      <c r="BA897" s="76"/>
      <c r="BB897" s="76"/>
      <c r="BC897" s="76"/>
      <c r="BD897" s="76"/>
      <c r="BE897" s="76"/>
      <c r="BF897" s="76"/>
      <c r="BG897" s="76"/>
      <c r="BH897" s="76"/>
      <c r="BI897" s="76"/>
      <c r="BJ897" s="76"/>
      <c r="BK897" s="76"/>
      <c r="BL897" s="76"/>
      <c r="BM897" s="76"/>
      <c r="BN897" s="76"/>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76"/>
      <c r="CU897" s="76"/>
      <c r="CV897" s="76"/>
      <c r="CW897" s="76"/>
      <c r="CX897" s="76"/>
      <c r="CY897" s="76"/>
      <c r="CZ897" s="76"/>
      <c r="DA897" s="76"/>
      <c r="DB897" s="76"/>
      <c r="DC897" s="76"/>
      <c r="DD897" s="76"/>
      <c r="DE897" s="76"/>
      <c r="DF897" s="76"/>
      <c r="DG897" s="76"/>
      <c r="DH897" s="76"/>
      <c r="DI897" s="76"/>
      <c r="DJ897" s="76"/>
      <c r="DK897" s="76"/>
      <c r="DL897" s="76"/>
      <c r="DM897" s="76"/>
      <c r="DN897" s="76"/>
      <c r="DO897" s="76"/>
      <c r="DP897" s="76"/>
      <c r="DQ897" s="76"/>
      <c r="DR897" s="76"/>
      <c r="DS897" s="76"/>
      <c r="DT897" s="76"/>
      <c r="DU897" s="76"/>
      <c r="DV897" s="76"/>
      <c r="DW897" s="76"/>
      <c r="DX897" s="76"/>
      <c r="DY897" s="76"/>
      <c r="DZ897" s="76"/>
      <c r="EA897" s="76"/>
      <c r="EB897" s="76"/>
      <c r="EC897" s="76"/>
      <c r="ED897" s="76"/>
      <c r="EE897" s="76"/>
      <c r="EF897" s="76"/>
      <c r="EG897" s="76"/>
      <c r="EH897" s="76"/>
      <c r="EI897" s="76"/>
      <c r="EJ897" s="76"/>
      <c r="EK897" s="76"/>
      <c r="EL897" s="76"/>
      <c r="EM897" s="76"/>
      <c r="EN897" s="76"/>
      <c r="EO897" s="76"/>
      <c r="EP897" s="76"/>
      <c r="EQ897" s="76"/>
      <c r="ER897" s="76"/>
      <c r="ES897" s="76"/>
      <c r="ET897" s="76"/>
      <c r="EU897" s="76"/>
      <c r="EV897" s="76"/>
      <c r="EW897" s="76"/>
      <c r="EX897" s="76"/>
      <c r="EY897" s="76"/>
      <c r="EZ897" s="76"/>
      <c r="FA897" s="76"/>
      <c r="FB897" s="76"/>
      <c r="FC897" s="76"/>
      <c r="FD897" s="76"/>
      <c r="FE897" s="76"/>
      <c r="FF897" s="76"/>
      <c r="FG897" s="76"/>
      <c r="FH897" s="76"/>
      <c r="FI897" s="76"/>
      <c r="FJ897" s="76"/>
      <c r="FK897" s="76"/>
      <c r="FL897" s="76"/>
      <c r="FM897" s="76"/>
      <c r="FN897" s="76"/>
      <c r="FO897" s="76"/>
      <c r="FP897" s="76"/>
      <c r="FQ897" s="76"/>
      <c r="FR897" s="76"/>
      <c r="FS897" s="76"/>
      <c r="FT897" s="76"/>
      <c r="FU897" s="76"/>
      <c r="FV897" s="76"/>
      <c r="FW897" s="76"/>
      <c r="FX897" s="76"/>
      <c r="FY897" s="76"/>
      <c r="FZ897" s="76"/>
      <c r="GA897" s="76"/>
      <c r="GB897" s="76"/>
      <c r="GC897" s="76"/>
      <c r="GD897" s="76"/>
      <c r="GE897" s="76"/>
      <c r="GF897" s="76"/>
      <c r="GG897" s="76"/>
      <c r="GH897" s="76"/>
      <c r="GI897" s="76"/>
      <c r="GJ897" s="76"/>
      <c r="GK897" s="76"/>
      <c r="GL897" s="76"/>
      <c r="GM897" s="76"/>
      <c r="GN897" s="76"/>
      <c r="GO897" s="76"/>
      <c r="GP897" s="76"/>
      <c r="GQ897" s="76"/>
      <c r="GR897" s="76"/>
      <c r="GS897" s="76"/>
      <c r="GT897" s="76"/>
      <c r="GU897" s="76"/>
      <c r="GV897" s="76"/>
      <c r="GW897" s="76"/>
      <c r="GX897" s="76"/>
      <c r="GY897" s="76"/>
      <c r="GZ897" s="76"/>
      <c r="HA897" s="76"/>
      <c r="HB897" s="76"/>
      <c r="HC897" s="76"/>
      <c r="HD897" s="76"/>
      <c r="HE897" s="76"/>
      <c r="HF897" s="76"/>
      <c r="HG897" s="76"/>
      <c r="HH897" s="76"/>
      <c r="HI897" s="76"/>
      <c r="HJ897" s="76"/>
      <c r="HK897" s="76"/>
      <c r="HL897" s="76"/>
      <c r="HM897" s="76"/>
      <c r="HN897" s="76"/>
      <c r="HO897" s="76"/>
      <c r="HP897" s="76"/>
      <c r="HQ897" s="76"/>
      <c r="HR897" s="76"/>
      <c r="HS897" s="76"/>
      <c r="HT897" s="76"/>
      <c r="HU897" s="76"/>
      <c r="HV897" s="76"/>
      <c r="HW897" s="76"/>
      <c r="HX897" s="76"/>
      <c r="HY897" s="76"/>
      <c r="HZ897" s="76"/>
      <c r="IA897" s="76"/>
      <c r="IB897" s="76"/>
      <c r="IC897" s="76"/>
      <c r="ID897" s="76"/>
      <c r="IE897" s="76"/>
      <c r="IF897" s="76"/>
      <c r="IG897" s="76"/>
      <c r="IH897" s="76"/>
      <c r="II897" s="76"/>
      <c r="IJ897" s="76"/>
      <c r="IK897" s="76"/>
      <c r="IL897" s="76"/>
      <c r="IM897" s="76"/>
      <c r="IN897" s="76"/>
      <c r="IO897" s="76"/>
      <c r="IP897" s="76"/>
      <c r="IQ897" s="76"/>
      <c r="IR897" s="76"/>
      <c r="IS897" s="76"/>
      <c r="IT897" s="76"/>
      <c r="IU897" s="76"/>
      <c r="IV897" s="76"/>
    </row>
    <row r="898" spans="1:256">
      <c r="B898" s="105"/>
      <c r="C898" s="147" t="s">
        <v>1032</v>
      </c>
      <c r="D898" s="76"/>
      <c r="E898" s="105" t="s">
        <v>2370</v>
      </c>
      <c r="F898" s="105" t="s">
        <v>1166</v>
      </c>
      <c r="G898" s="93" t="s">
        <v>1840</v>
      </c>
      <c r="H898" s="152" t="s">
        <v>1518</v>
      </c>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c r="AY898" s="76"/>
      <c r="AZ898" s="76"/>
      <c r="BA898" s="76"/>
      <c r="BB898" s="76"/>
      <c r="BC898" s="76"/>
      <c r="BD898" s="76"/>
      <c r="BE898" s="76"/>
      <c r="BF898" s="76"/>
      <c r="BG898" s="76"/>
      <c r="BH898" s="76"/>
      <c r="BI898" s="76"/>
      <c r="BJ898" s="76"/>
      <c r="BK898" s="76"/>
      <c r="BL898" s="76"/>
      <c r="BM898" s="76"/>
      <c r="BN898" s="76"/>
      <c r="BO898" s="76"/>
      <c r="BP898" s="76"/>
      <c r="BQ898" s="76"/>
      <c r="BR898" s="76"/>
      <c r="BS898" s="76"/>
      <c r="BT898" s="76"/>
      <c r="BU898" s="76"/>
      <c r="BV898" s="76"/>
      <c r="BW898" s="76"/>
      <c r="BX898" s="76"/>
      <c r="BY898" s="76"/>
      <c r="BZ898" s="76"/>
      <c r="CA898" s="76"/>
      <c r="CB898" s="76"/>
      <c r="CC898" s="76"/>
      <c r="CD898" s="76"/>
      <c r="CE898" s="76"/>
      <c r="CF898" s="76"/>
      <c r="CG898" s="76"/>
      <c r="CH898" s="76"/>
      <c r="CI898" s="76"/>
      <c r="CJ898" s="76"/>
      <c r="CK898" s="76"/>
      <c r="CL898" s="76"/>
      <c r="CM898" s="76"/>
      <c r="CN898" s="76"/>
      <c r="CO898" s="76"/>
      <c r="CP898" s="76"/>
      <c r="CQ898" s="76"/>
      <c r="CR898" s="76"/>
      <c r="CS898" s="76"/>
      <c r="CT898" s="76"/>
      <c r="CU898" s="76"/>
      <c r="CV898" s="76"/>
      <c r="CW898" s="76"/>
      <c r="CX898" s="76"/>
      <c r="CY898" s="76"/>
      <c r="CZ898" s="76"/>
      <c r="DA898" s="76"/>
      <c r="DB898" s="76"/>
      <c r="DC898" s="76"/>
      <c r="DD898" s="76"/>
      <c r="DE898" s="76"/>
      <c r="DF898" s="76"/>
      <c r="DG898" s="76"/>
      <c r="DH898" s="76"/>
      <c r="DI898" s="76"/>
      <c r="DJ898" s="76"/>
      <c r="DK898" s="76"/>
      <c r="DL898" s="76"/>
      <c r="DM898" s="76"/>
      <c r="DN898" s="76"/>
      <c r="DO898" s="76"/>
      <c r="DP898" s="76"/>
      <c r="DQ898" s="76"/>
      <c r="DR898" s="76"/>
      <c r="DS898" s="76"/>
      <c r="DT898" s="76"/>
      <c r="DU898" s="76"/>
      <c r="DV898" s="76"/>
      <c r="DW898" s="76"/>
      <c r="DX898" s="76"/>
      <c r="DY898" s="76"/>
      <c r="DZ898" s="76"/>
      <c r="EA898" s="76"/>
      <c r="EB898" s="76"/>
      <c r="EC898" s="76"/>
      <c r="ED898" s="76"/>
      <c r="EE898" s="76"/>
      <c r="EF898" s="76"/>
      <c r="EG898" s="76"/>
      <c r="EH898" s="76"/>
      <c r="EI898" s="76"/>
      <c r="EJ898" s="76"/>
      <c r="EK898" s="76"/>
      <c r="EL898" s="76"/>
      <c r="EM898" s="76"/>
      <c r="EN898" s="76"/>
      <c r="EO898" s="76"/>
      <c r="EP898" s="76"/>
      <c r="EQ898" s="76"/>
      <c r="ER898" s="76"/>
      <c r="ES898" s="76"/>
      <c r="ET898" s="76"/>
      <c r="EU898" s="76"/>
      <c r="EV898" s="76"/>
      <c r="EW898" s="76"/>
      <c r="EX898" s="76"/>
      <c r="EY898" s="76"/>
      <c r="EZ898" s="76"/>
      <c r="FA898" s="76"/>
      <c r="FB898" s="76"/>
      <c r="FC898" s="76"/>
      <c r="FD898" s="76"/>
      <c r="FE898" s="76"/>
      <c r="FF898" s="76"/>
      <c r="FG898" s="76"/>
      <c r="FH898" s="76"/>
      <c r="FI898" s="76"/>
      <c r="FJ898" s="76"/>
      <c r="FK898" s="76"/>
      <c r="FL898" s="76"/>
      <c r="FM898" s="76"/>
      <c r="FN898" s="76"/>
      <c r="FO898" s="76"/>
      <c r="FP898" s="76"/>
      <c r="FQ898" s="76"/>
      <c r="FR898" s="76"/>
      <c r="FS898" s="76"/>
      <c r="FT898" s="76"/>
      <c r="FU898" s="76"/>
      <c r="FV898" s="76"/>
      <c r="FW898" s="76"/>
      <c r="FX898" s="76"/>
      <c r="FY898" s="76"/>
      <c r="FZ898" s="76"/>
      <c r="GA898" s="76"/>
      <c r="GB898" s="76"/>
      <c r="GC898" s="76"/>
      <c r="GD898" s="76"/>
      <c r="GE898" s="76"/>
      <c r="GF898" s="76"/>
      <c r="GG898" s="76"/>
      <c r="GH898" s="76"/>
      <c r="GI898" s="76"/>
      <c r="GJ898" s="76"/>
      <c r="GK898" s="76"/>
      <c r="GL898" s="76"/>
      <c r="GM898" s="76"/>
      <c r="GN898" s="76"/>
      <c r="GO898" s="76"/>
      <c r="GP898" s="76"/>
      <c r="GQ898" s="76"/>
      <c r="GR898" s="76"/>
      <c r="GS898" s="76"/>
      <c r="GT898" s="76"/>
      <c r="GU898" s="76"/>
      <c r="GV898" s="76"/>
      <c r="GW898" s="76"/>
      <c r="GX898" s="76"/>
      <c r="GY898" s="76"/>
      <c r="GZ898" s="76"/>
      <c r="HA898" s="76"/>
      <c r="HB898" s="76"/>
      <c r="HC898" s="76"/>
      <c r="HD898" s="76"/>
      <c r="HE898" s="76"/>
      <c r="HF898" s="76"/>
      <c r="HG898" s="76"/>
      <c r="HH898" s="76"/>
      <c r="HI898" s="76"/>
      <c r="HJ898" s="76"/>
      <c r="HK898" s="76"/>
      <c r="HL898" s="76"/>
      <c r="HM898" s="76"/>
      <c r="HN898" s="76"/>
      <c r="HO898" s="76"/>
      <c r="HP898" s="76"/>
      <c r="HQ898" s="76"/>
      <c r="HR898" s="76"/>
      <c r="HS898" s="76"/>
      <c r="HT898" s="76"/>
      <c r="HU898" s="76"/>
      <c r="HV898" s="76"/>
      <c r="HW898" s="76"/>
      <c r="HX898" s="76"/>
      <c r="HY898" s="76"/>
      <c r="HZ898" s="76"/>
      <c r="IA898" s="76"/>
      <c r="IB898" s="76"/>
      <c r="IC898" s="76"/>
      <c r="ID898" s="76"/>
      <c r="IE898" s="76"/>
      <c r="IF898" s="76"/>
      <c r="IG898" s="76"/>
      <c r="IH898" s="76"/>
      <c r="II898" s="76"/>
      <c r="IJ898" s="76"/>
      <c r="IK898" s="76"/>
      <c r="IL898" s="76"/>
      <c r="IM898" s="76"/>
      <c r="IN898" s="76"/>
      <c r="IO898" s="76"/>
      <c r="IP898" s="76"/>
      <c r="IQ898" s="76"/>
      <c r="IR898" s="76"/>
      <c r="IS898" s="76"/>
      <c r="IT898" s="76"/>
      <c r="IU898" s="76"/>
      <c r="IV898" s="76"/>
    </row>
    <row r="899" spans="1:256" ht="18.75">
      <c r="B899" s="152"/>
      <c r="C899" s="147" t="s">
        <v>8369</v>
      </c>
      <c r="D899" s="76"/>
      <c r="E899" s="152"/>
      <c r="F899" s="152"/>
      <c r="G899" s="135"/>
      <c r="H899" s="152"/>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c r="AY899" s="76"/>
      <c r="AZ899" s="76"/>
      <c r="BA899" s="76"/>
      <c r="BB899" s="76"/>
      <c r="BC899" s="76"/>
      <c r="BD899" s="76"/>
      <c r="BE899" s="76"/>
      <c r="BF899" s="76"/>
      <c r="BG899" s="76"/>
      <c r="BH899" s="76"/>
      <c r="BI899" s="76"/>
      <c r="BJ899" s="76"/>
      <c r="BK899" s="76"/>
      <c r="BL899" s="76"/>
      <c r="BM899" s="76"/>
      <c r="BN899" s="76"/>
      <c r="BO899" s="76"/>
      <c r="BP899" s="76"/>
      <c r="BQ899" s="76"/>
      <c r="BR899" s="76"/>
      <c r="BS899" s="76"/>
      <c r="BT899" s="76"/>
      <c r="BU899" s="76"/>
      <c r="BV899" s="76"/>
      <c r="BW899" s="76"/>
      <c r="BX899" s="76"/>
      <c r="BY899" s="76"/>
      <c r="BZ899" s="76"/>
      <c r="CA899" s="76"/>
      <c r="CB899" s="76"/>
      <c r="CC899" s="76"/>
      <c r="CD899" s="76"/>
      <c r="CE899" s="76"/>
      <c r="CF899" s="76"/>
      <c r="CG899" s="76"/>
      <c r="CH899" s="76"/>
      <c r="CI899" s="76"/>
      <c r="CJ899" s="76"/>
      <c r="CK899" s="76"/>
      <c r="CL899" s="76"/>
      <c r="CM899" s="76"/>
      <c r="CN899" s="76"/>
      <c r="CO899" s="76"/>
      <c r="CP899" s="76"/>
      <c r="CQ899" s="76"/>
      <c r="CR899" s="76"/>
      <c r="CS899" s="76"/>
      <c r="CT899" s="76"/>
      <c r="CU899" s="76"/>
      <c r="CV899" s="76"/>
      <c r="CW899" s="76"/>
      <c r="CX899" s="76"/>
      <c r="CY899" s="76"/>
      <c r="CZ899" s="76"/>
      <c r="DA899" s="76"/>
      <c r="DB899" s="76"/>
      <c r="DC899" s="76"/>
      <c r="DD899" s="76"/>
      <c r="DE899" s="76"/>
      <c r="DF899" s="76"/>
      <c r="DG899" s="76"/>
      <c r="DH899" s="76"/>
      <c r="DI899" s="76"/>
      <c r="DJ899" s="76"/>
      <c r="DK899" s="76"/>
      <c r="DL899" s="76"/>
      <c r="DM899" s="76"/>
      <c r="DN899" s="76"/>
      <c r="DO899" s="76"/>
      <c r="DP899" s="76"/>
      <c r="DQ899" s="76"/>
      <c r="DR899" s="76"/>
      <c r="DS899" s="76"/>
      <c r="DT899" s="76"/>
      <c r="DU899" s="76"/>
      <c r="DV899" s="76"/>
      <c r="DW899" s="76"/>
      <c r="DX899" s="76"/>
      <c r="DY899" s="76"/>
      <c r="DZ899" s="76"/>
      <c r="EA899" s="76"/>
      <c r="EB899" s="76"/>
      <c r="EC899" s="76"/>
      <c r="ED899" s="76"/>
      <c r="EE899" s="76"/>
      <c r="EF899" s="76"/>
      <c r="EG899" s="76"/>
      <c r="EH899" s="76"/>
      <c r="EI899" s="76"/>
      <c r="EJ899" s="76"/>
      <c r="EK899" s="76"/>
      <c r="EL899" s="76"/>
      <c r="EM899" s="76"/>
      <c r="EN899" s="76"/>
      <c r="EO899" s="76"/>
      <c r="EP899" s="76"/>
      <c r="EQ899" s="76"/>
      <c r="ER899" s="76"/>
      <c r="ES899" s="76"/>
      <c r="ET899" s="76"/>
      <c r="EU899" s="76"/>
      <c r="EV899" s="76"/>
      <c r="EW899" s="76"/>
      <c r="EX899" s="76"/>
      <c r="EY899" s="76"/>
      <c r="EZ899" s="76"/>
      <c r="FA899" s="76"/>
      <c r="FB899" s="76"/>
      <c r="FC899" s="76"/>
      <c r="FD899" s="76"/>
      <c r="FE899" s="76"/>
      <c r="FF899" s="76"/>
      <c r="FG899" s="76"/>
      <c r="FH899" s="76"/>
      <c r="FI899" s="76"/>
      <c r="FJ899" s="76"/>
      <c r="FK899" s="76"/>
      <c r="FL899" s="76"/>
      <c r="FM899" s="76"/>
      <c r="FN899" s="76"/>
      <c r="FO899" s="76"/>
      <c r="FP899" s="76"/>
      <c r="FQ899" s="76"/>
      <c r="FR899" s="76"/>
      <c r="FS899" s="76"/>
      <c r="FT899" s="76"/>
      <c r="FU899" s="76"/>
      <c r="FV899" s="76"/>
      <c r="FW899" s="76"/>
      <c r="FX899" s="76"/>
      <c r="FY899" s="76"/>
      <c r="FZ899" s="76"/>
      <c r="GA899" s="76"/>
      <c r="GB899" s="76"/>
      <c r="GC899" s="76"/>
      <c r="GD899" s="76"/>
      <c r="GE899" s="76"/>
      <c r="GF899" s="76"/>
      <c r="GG899" s="76"/>
      <c r="GH899" s="76"/>
      <c r="GI899" s="76"/>
      <c r="GJ899" s="76"/>
      <c r="GK899" s="76"/>
      <c r="GL899" s="76"/>
      <c r="GM899" s="76"/>
      <c r="GN899" s="76"/>
      <c r="GO899" s="76"/>
      <c r="GP899" s="76"/>
      <c r="GQ899" s="76"/>
      <c r="GR899" s="76"/>
      <c r="GS899" s="76"/>
      <c r="GT899" s="76"/>
      <c r="GU899" s="76"/>
      <c r="GV899" s="76"/>
      <c r="GW899" s="76"/>
      <c r="GX899" s="76"/>
      <c r="GY899" s="76"/>
      <c r="GZ899" s="76"/>
      <c r="HA899" s="76"/>
      <c r="HB899" s="76"/>
      <c r="HC899" s="76"/>
      <c r="HD899" s="76"/>
      <c r="HE899" s="76"/>
      <c r="HF899" s="76"/>
      <c r="HG899" s="76"/>
      <c r="HH899" s="76"/>
      <c r="HI899" s="76"/>
      <c r="HJ899" s="76"/>
      <c r="HK899" s="76"/>
      <c r="HL899" s="76"/>
      <c r="HM899" s="76"/>
      <c r="HN899" s="76"/>
      <c r="HO899" s="76"/>
      <c r="HP899" s="76"/>
      <c r="HQ899" s="76"/>
      <c r="HR899" s="76"/>
      <c r="HS899" s="76"/>
      <c r="HT899" s="76"/>
      <c r="HU899" s="76"/>
      <c r="HV899" s="76"/>
      <c r="HW899" s="76"/>
      <c r="HX899" s="76"/>
      <c r="HY899" s="76"/>
      <c r="HZ899" s="76"/>
      <c r="IA899" s="76"/>
      <c r="IB899" s="76"/>
      <c r="IC899" s="76"/>
      <c r="ID899" s="76"/>
      <c r="IE899" s="76"/>
      <c r="IF899" s="76"/>
      <c r="IG899" s="76"/>
      <c r="IH899" s="76"/>
      <c r="II899" s="76"/>
      <c r="IJ899" s="76"/>
      <c r="IK899" s="76"/>
      <c r="IL899" s="76"/>
      <c r="IM899" s="76"/>
      <c r="IN899" s="76"/>
      <c r="IO899" s="76"/>
      <c r="IP899" s="76"/>
      <c r="IQ899" s="76"/>
      <c r="IR899" s="76"/>
      <c r="IS899" s="76"/>
      <c r="IT899" s="76"/>
      <c r="IU899" s="76"/>
      <c r="IV899" s="76"/>
    </row>
    <row r="900" spans="1:256">
      <c r="B900" s="116"/>
      <c r="C900" s="154" t="s">
        <v>8370</v>
      </c>
      <c r="D900" s="89"/>
      <c r="E900" s="116"/>
      <c r="F900" s="116"/>
      <c r="G900" s="139"/>
      <c r="H900" s="11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c r="AQ900" s="76"/>
      <c r="AR900" s="76"/>
      <c r="AS900" s="76"/>
      <c r="AT900" s="76"/>
      <c r="AU900" s="76"/>
      <c r="AV900" s="76"/>
      <c r="AW900" s="76"/>
      <c r="AX900" s="76"/>
      <c r="AY900" s="76"/>
      <c r="AZ900" s="76"/>
      <c r="BA900" s="76"/>
      <c r="BB900" s="76"/>
      <c r="BC900" s="76"/>
      <c r="BD900" s="76"/>
      <c r="BE900" s="76"/>
      <c r="BF900" s="76"/>
      <c r="BG900" s="76"/>
      <c r="BH900" s="76"/>
      <c r="BI900" s="76"/>
      <c r="BJ900" s="76"/>
      <c r="BK900" s="76"/>
      <c r="BL900" s="76"/>
      <c r="BM900" s="76"/>
      <c r="BN900" s="76"/>
      <c r="BO900" s="76"/>
      <c r="BP900" s="76"/>
      <c r="BQ900" s="76"/>
      <c r="BR900" s="76"/>
      <c r="BS900" s="76"/>
      <c r="BT900" s="76"/>
      <c r="BU900" s="76"/>
      <c r="BV900" s="76"/>
      <c r="BW900" s="76"/>
      <c r="BX900" s="76"/>
      <c r="BY900" s="76"/>
      <c r="BZ900" s="76"/>
      <c r="CA900" s="76"/>
      <c r="CB900" s="76"/>
      <c r="CC900" s="76"/>
      <c r="CD900" s="76"/>
      <c r="CE900" s="76"/>
      <c r="CF900" s="76"/>
      <c r="CG900" s="76"/>
      <c r="CH900" s="76"/>
      <c r="CI900" s="76"/>
      <c r="CJ900" s="76"/>
      <c r="CK900" s="76"/>
      <c r="CL900" s="76"/>
      <c r="CM900" s="76"/>
      <c r="CN900" s="76"/>
      <c r="CO900" s="76"/>
      <c r="CP900" s="76"/>
      <c r="CQ900" s="76"/>
      <c r="CR900" s="76"/>
      <c r="CS900" s="76"/>
      <c r="CT900" s="76"/>
      <c r="CU900" s="76"/>
      <c r="CV900" s="76"/>
      <c r="CW900" s="76"/>
      <c r="CX900" s="76"/>
      <c r="CY900" s="76"/>
      <c r="CZ900" s="76"/>
      <c r="DA900" s="76"/>
      <c r="DB900" s="76"/>
      <c r="DC900" s="76"/>
      <c r="DD900" s="76"/>
      <c r="DE900" s="76"/>
      <c r="DF900" s="76"/>
      <c r="DG900" s="76"/>
      <c r="DH900" s="76"/>
      <c r="DI900" s="76"/>
      <c r="DJ900" s="76"/>
      <c r="DK900" s="76"/>
      <c r="DL900" s="76"/>
      <c r="DM900" s="76"/>
      <c r="DN900" s="76"/>
      <c r="DO900" s="76"/>
      <c r="DP900" s="76"/>
      <c r="DQ900" s="76"/>
      <c r="DR900" s="76"/>
      <c r="DS900" s="76"/>
      <c r="DT900" s="76"/>
      <c r="DU900" s="76"/>
      <c r="DV900" s="76"/>
      <c r="DW900" s="76"/>
      <c r="DX900" s="76"/>
      <c r="DY900" s="76"/>
      <c r="DZ900" s="76"/>
      <c r="EA900" s="76"/>
      <c r="EB900" s="76"/>
      <c r="EC900" s="76"/>
      <c r="ED900" s="76"/>
      <c r="EE900" s="76"/>
      <c r="EF900" s="76"/>
      <c r="EG900" s="76"/>
      <c r="EH900" s="76"/>
      <c r="EI900" s="76"/>
      <c r="EJ900" s="76"/>
      <c r="EK900" s="76"/>
      <c r="EL900" s="76"/>
      <c r="EM900" s="76"/>
      <c r="EN900" s="76"/>
      <c r="EO900" s="76"/>
      <c r="EP900" s="76"/>
      <c r="EQ900" s="76"/>
      <c r="ER900" s="76"/>
      <c r="ES900" s="76"/>
      <c r="ET900" s="76"/>
      <c r="EU900" s="76"/>
      <c r="EV900" s="76"/>
      <c r="EW900" s="76"/>
      <c r="EX900" s="76"/>
      <c r="EY900" s="76"/>
      <c r="EZ900" s="76"/>
      <c r="FA900" s="76"/>
      <c r="FB900" s="76"/>
      <c r="FC900" s="76"/>
      <c r="FD900" s="76"/>
      <c r="FE900" s="76"/>
      <c r="FF900" s="76"/>
      <c r="FG900" s="76"/>
      <c r="FH900" s="76"/>
      <c r="FI900" s="76"/>
      <c r="FJ900" s="76"/>
      <c r="FK900" s="76"/>
      <c r="FL900" s="76"/>
      <c r="FM900" s="76"/>
      <c r="FN900" s="76"/>
      <c r="FO900" s="76"/>
      <c r="FP900" s="76"/>
      <c r="FQ900" s="76"/>
      <c r="FR900" s="76"/>
      <c r="FS900" s="76"/>
      <c r="FT900" s="76"/>
      <c r="FU900" s="76"/>
      <c r="FV900" s="76"/>
      <c r="FW900" s="76"/>
      <c r="FX900" s="76"/>
      <c r="FY900" s="76"/>
      <c r="FZ900" s="76"/>
      <c r="GA900" s="76"/>
      <c r="GB900" s="76"/>
      <c r="GC900" s="76"/>
      <c r="GD900" s="76"/>
      <c r="GE900" s="76"/>
      <c r="GF900" s="76"/>
      <c r="GG900" s="76"/>
      <c r="GH900" s="76"/>
      <c r="GI900" s="76"/>
      <c r="GJ900" s="76"/>
      <c r="GK900" s="76"/>
      <c r="GL900" s="76"/>
      <c r="GM900" s="76"/>
      <c r="GN900" s="76"/>
      <c r="GO900" s="76"/>
      <c r="GP900" s="76"/>
      <c r="GQ900" s="76"/>
      <c r="GR900" s="76"/>
      <c r="GS900" s="76"/>
      <c r="GT900" s="76"/>
      <c r="GU900" s="76"/>
      <c r="GV900" s="76"/>
      <c r="GW900" s="76"/>
      <c r="GX900" s="76"/>
      <c r="GY900" s="76"/>
      <c r="GZ900" s="76"/>
      <c r="HA900" s="76"/>
      <c r="HB900" s="76"/>
      <c r="HC900" s="76"/>
      <c r="HD900" s="76"/>
      <c r="HE900" s="76"/>
      <c r="HF900" s="76"/>
      <c r="HG900" s="76"/>
      <c r="HH900" s="76"/>
      <c r="HI900" s="76"/>
      <c r="HJ900" s="76"/>
      <c r="HK900" s="76"/>
      <c r="HL900" s="76"/>
      <c r="HM900" s="76"/>
      <c r="HN900" s="76"/>
      <c r="HO900" s="76"/>
      <c r="HP900" s="76"/>
      <c r="HQ900" s="76"/>
      <c r="HR900" s="76"/>
      <c r="HS900" s="76"/>
      <c r="HT900" s="76"/>
      <c r="HU900" s="76"/>
      <c r="HV900" s="76"/>
      <c r="HW900" s="76"/>
      <c r="HX900" s="76"/>
      <c r="HY900" s="76"/>
      <c r="HZ900" s="76"/>
      <c r="IA900" s="76"/>
      <c r="IB900" s="76"/>
      <c r="IC900" s="76"/>
      <c r="ID900" s="76"/>
      <c r="IE900" s="76"/>
      <c r="IF900" s="76"/>
      <c r="IG900" s="76"/>
      <c r="IH900" s="76"/>
      <c r="II900" s="76"/>
      <c r="IJ900" s="76"/>
      <c r="IK900" s="76"/>
      <c r="IL900" s="76"/>
      <c r="IM900" s="76"/>
      <c r="IN900" s="76"/>
      <c r="IO900" s="76"/>
      <c r="IP900" s="76"/>
      <c r="IQ900" s="76"/>
      <c r="IR900" s="76"/>
      <c r="IS900" s="76"/>
      <c r="IT900" s="76"/>
      <c r="IU900" s="76"/>
      <c r="IV900" s="76"/>
    </row>
    <row r="901" spans="1:256">
      <c r="B901" s="131"/>
      <c r="C901" s="31" t="s">
        <v>1748</v>
      </c>
      <c r="D901" s="76"/>
      <c r="E901" s="76"/>
      <c r="F901" s="76"/>
      <c r="G901" s="76"/>
      <c r="H901" s="149"/>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c r="AY901" s="76"/>
      <c r="AZ901" s="76"/>
      <c r="BA901" s="76"/>
      <c r="BB901" s="76"/>
      <c r="BC901" s="76"/>
      <c r="BD901" s="76"/>
      <c r="BE901" s="76"/>
      <c r="BF901" s="76"/>
      <c r="BG901" s="76"/>
      <c r="BH901" s="76"/>
      <c r="BI901" s="76"/>
      <c r="BJ901" s="76"/>
      <c r="BK901" s="76"/>
      <c r="BL901" s="76"/>
      <c r="BM901" s="76"/>
      <c r="BN901" s="76"/>
      <c r="BO901" s="76"/>
      <c r="BP901" s="76"/>
      <c r="BQ901" s="76"/>
      <c r="BR901" s="76"/>
      <c r="BS901" s="76"/>
      <c r="BT901" s="76"/>
      <c r="BU901" s="76"/>
      <c r="BV901" s="76"/>
      <c r="BW901" s="76"/>
      <c r="BX901" s="76"/>
      <c r="BY901" s="76"/>
      <c r="BZ901" s="76"/>
      <c r="CA901" s="76"/>
      <c r="CB901" s="76"/>
      <c r="CC901" s="76"/>
      <c r="CD901" s="76"/>
      <c r="CE901" s="76"/>
      <c r="CF901" s="76"/>
      <c r="CG901" s="76"/>
      <c r="CH901" s="76"/>
      <c r="CI901" s="76"/>
      <c r="CJ901" s="76"/>
      <c r="CK901" s="76"/>
      <c r="CL901" s="76"/>
      <c r="CM901" s="76"/>
      <c r="CN901" s="76"/>
      <c r="CO901" s="76"/>
      <c r="CP901" s="76"/>
      <c r="CQ901" s="76"/>
      <c r="CR901" s="76"/>
      <c r="CS901" s="76"/>
      <c r="CT901" s="76"/>
      <c r="CU901" s="76"/>
      <c r="CV901" s="76"/>
      <c r="CW901" s="76"/>
      <c r="CX901" s="76"/>
      <c r="CY901" s="76"/>
      <c r="CZ901" s="76"/>
      <c r="DA901" s="76"/>
      <c r="DB901" s="76"/>
      <c r="DC901" s="76"/>
      <c r="DD901" s="76"/>
      <c r="DE901" s="76"/>
      <c r="DF901" s="76"/>
      <c r="DG901" s="76"/>
      <c r="DH901" s="76"/>
      <c r="DI901" s="76"/>
      <c r="DJ901" s="76"/>
      <c r="DK901" s="76"/>
      <c r="DL901" s="76"/>
      <c r="DM901" s="76"/>
      <c r="DN901" s="76"/>
      <c r="DO901" s="76"/>
      <c r="DP901" s="76"/>
      <c r="DQ901" s="76"/>
      <c r="DR901" s="76"/>
      <c r="DS901" s="76"/>
      <c r="DT901" s="76"/>
      <c r="DU901" s="76"/>
      <c r="DV901" s="76"/>
      <c r="DW901" s="76"/>
      <c r="DX901" s="76"/>
      <c r="DY901" s="76"/>
      <c r="DZ901" s="76"/>
      <c r="EA901" s="76"/>
      <c r="EB901" s="76"/>
      <c r="EC901" s="76"/>
      <c r="ED901" s="76"/>
      <c r="EE901" s="76"/>
      <c r="EF901" s="76"/>
      <c r="EG901" s="76"/>
      <c r="EH901" s="76"/>
      <c r="EI901" s="76"/>
      <c r="EJ901" s="76"/>
      <c r="EK901" s="76"/>
      <c r="EL901" s="76"/>
      <c r="EM901" s="76"/>
      <c r="EN901" s="76"/>
      <c r="EO901" s="76"/>
      <c r="EP901" s="76"/>
      <c r="EQ901" s="76"/>
      <c r="ER901" s="76"/>
      <c r="ES901" s="76"/>
      <c r="ET901" s="76"/>
      <c r="EU901" s="76"/>
      <c r="EV901" s="76"/>
      <c r="EW901" s="76"/>
      <c r="EX901" s="76"/>
      <c r="EY901" s="76"/>
      <c r="EZ901" s="76"/>
      <c r="FA901" s="76"/>
      <c r="FB901" s="76"/>
      <c r="FC901" s="76"/>
      <c r="FD901" s="76"/>
      <c r="FE901" s="76"/>
      <c r="FF901" s="76"/>
      <c r="FG901" s="76"/>
      <c r="FH901" s="76"/>
      <c r="FI901" s="76"/>
      <c r="FJ901" s="76"/>
      <c r="FK901" s="76"/>
      <c r="FL901" s="76"/>
      <c r="FM901" s="76"/>
      <c r="FN901" s="76"/>
      <c r="FO901" s="76"/>
      <c r="FP901" s="76"/>
      <c r="FQ901" s="76"/>
      <c r="FR901" s="76"/>
      <c r="FS901" s="76"/>
      <c r="FT901" s="76"/>
      <c r="FU901" s="76"/>
      <c r="FV901" s="76"/>
      <c r="FW901" s="76"/>
      <c r="FX901" s="76"/>
      <c r="FY901" s="76"/>
      <c r="FZ901" s="76"/>
      <c r="GA901" s="76"/>
      <c r="GB901" s="76"/>
      <c r="GC901" s="76"/>
      <c r="GD901" s="76"/>
      <c r="GE901" s="76"/>
      <c r="GF901" s="76"/>
      <c r="GG901" s="76"/>
      <c r="GH901" s="76"/>
      <c r="GI901" s="76"/>
      <c r="GJ901" s="76"/>
      <c r="GK901" s="76"/>
      <c r="GL901" s="76"/>
      <c r="GM901" s="76"/>
      <c r="GN901" s="76"/>
      <c r="GO901" s="76"/>
      <c r="GP901" s="76"/>
      <c r="GQ901" s="76"/>
      <c r="GR901" s="76"/>
      <c r="GS901" s="76"/>
      <c r="GT901" s="76"/>
      <c r="GU901" s="76"/>
      <c r="GV901" s="76"/>
      <c r="GW901" s="76"/>
      <c r="GX901" s="76"/>
      <c r="GY901" s="76"/>
      <c r="GZ901" s="76"/>
      <c r="HA901" s="76"/>
      <c r="HB901" s="76"/>
      <c r="HC901" s="76"/>
      <c r="HD901" s="76"/>
      <c r="HE901" s="76"/>
      <c r="HF901" s="76"/>
      <c r="HG901" s="76"/>
      <c r="HH901" s="76"/>
      <c r="HI901" s="76"/>
      <c r="HJ901" s="76"/>
      <c r="HK901" s="76"/>
      <c r="HL901" s="76"/>
      <c r="HM901" s="76"/>
      <c r="HN901" s="76"/>
      <c r="HO901" s="76"/>
      <c r="HP901" s="76"/>
      <c r="HQ901" s="76"/>
      <c r="HR901" s="76"/>
      <c r="HS901" s="76"/>
      <c r="HT901" s="76"/>
      <c r="HU901" s="76"/>
      <c r="HV901" s="76"/>
      <c r="HW901" s="76"/>
      <c r="HX901" s="76"/>
      <c r="HY901" s="76"/>
      <c r="HZ901" s="76"/>
      <c r="IA901" s="76"/>
      <c r="IB901" s="76"/>
      <c r="IC901" s="76"/>
      <c r="ID901" s="76"/>
      <c r="IE901" s="76"/>
      <c r="IF901" s="76"/>
      <c r="IG901" s="76"/>
      <c r="IH901" s="76"/>
      <c r="II901" s="76"/>
      <c r="IJ901" s="76"/>
      <c r="IK901" s="76"/>
      <c r="IL901" s="76"/>
      <c r="IM901" s="76"/>
      <c r="IN901" s="76"/>
      <c r="IO901" s="76"/>
      <c r="IP901" s="76"/>
      <c r="IQ901" s="76"/>
      <c r="IR901" s="76"/>
      <c r="IS901" s="76"/>
      <c r="IT901" s="76"/>
      <c r="IU901" s="76"/>
      <c r="IV901" s="76"/>
    </row>
    <row r="902" spans="1:256">
      <c r="B902" s="135"/>
      <c r="C902" s="31" t="s">
        <v>1749</v>
      </c>
      <c r="D902" s="76"/>
      <c r="E902" s="76"/>
      <c r="F902" s="76"/>
      <c r="G902" s="76"/>
      <c r="H902" s="123"/>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c r="AY902" s="76"/>
      <c r="AZ902" s="76"/>
      <c r="BA902" s="76"/>
      <c r="BB902" s="76"/>
      <c r="BC902" s="76"/>
      <c r="BD902" s="76"/>
      <c r="BE902" s="76"/>
      <c r="BF902" s="76"/>
      <c r="BG902" s="76"/>
      <c r="BH902" s="76"/>
      <c r="BI902" s="76"/>
      <c r="BJ902" s="76"/>
      <c r="BK902" s="76"/>
      <c r="BL902" s="76"/>
      <c r="BM902" s="76"/>
      <c r="BN902" s="76"/>
      <c r="BO902" s="76"/>
      <c r="BP902" s="76"/>
      <c r="BQ902" s="76"/>
      <c r="BR902" s="76"/>
      <c r="BS902" s="76"/>
      <c r="BT902" s="76"/>
      <c r="BU902" s="76"/>
      <c r="BV902" s="76"/>
      <c r="BW902" s="76"/>
      <c r="BX902" s="76"/>
      <c r="BY902" s="76"/>
      <c r="BZ902" s="76"/>
      <c r="CA902" s="76"/>
      <c r="CB902" s="76"/>
      <c r="CC902" s="76"/>
      <c r="CD902" s="76"/>
      <c r="CE902" s="76"/>
      <c r="CF902" s="76"/>
      <c r="CG902" s="76"/>
      <c r="CH902" s="76"/>
      <c r="CI902" s="76"/>
      <c r="CJ902" s="76"/>
      <c r="CK902" s="76"/>
      <c r="CL902" s="76"/>
      <c r="CM902" s="76"/>
      <c r="CN902" s="76"/>
      <c r="CO902" s="76"/>
      <c r="CP902" s="76"/>
      <c r="CQ902" s="76"/>
      <c r="CR902" s="76"/>
      <c r="CS902" s="76"/>
      <c r="CT902" s="76"/>
      <c r="CU902" s="76"/>
      <c r="CV902" s="76"/>
      <c r="CW902" s="76"/>
      <c r="CX902" s="76"/>
      <c r="CY902" s="76"/>
      <c r="CZ902" s="76"/>
      <c r="DA902" s="76"/>
      <c r="DB902" s="76"/>
      <c r="DC902" s="76"/>
      <c r="DD902" s="76"/>
      <c r="DE902" s="76"/>
      <c r="DF902" s="76"/>
      <c r="DG902" s="76"/>
      <c r="DH902" s="76"/>
      <c r="DI902" s="76"/>
      <c r="DJ902" s="76"/>
      <c r="DK902" s="76"/>
      <c r="DL902" s="76"/>
      <c r="DM902" s="76"/>
      <c r="DN902" s="76"/>
      <c r="DO902" s="76"/>
      <c r="DP902" s="76"/>
      <c r="DQ902" s="76"/>
      <c r="DR902" s="76"/>
      <c r="DS902" s="76"/>
      <c r="DT902" s="76"/>
      <c r="DU902" s="76"/>
      <c r="DV902" s="76"/>
      <c r="DW902" s="76"/>
      <c r="DX902" s="76"/>
      <c r="DY902" s="76"/>
      <c r="DZ902" s="76"/>
      <c r="EA902" s="76"/>
      <c r="EB902" s="76"/>
      <c r="EC902" s="76"/>
      <c r="ED902" s="76"/>
      <c r="EE902" s="76"/>
      <c r="EF902" s="76"/>
      <c r="EG902" s="76"/>
      <c r="EH902" s="76"/>
      <c r="EI902" s="76"/>
      <c r="EJ902" s="76"/>
      <c r="EK902" s="76"/>
      <c r="EL902" s="76"/>
      <c r="EM902" s="76"/>
      <c r="EN902" s="76"/>
      <c r="EO902" s="76"/>
      <c r="EP902" s="76"/>
      <c r="EQ902" s="76"/>
      <c r="ER902" s="76"/>
      <c r="ES902" s="76"/>
      <c r="ET902" s="76"/>
      <c r="EU902" s="76"/>
      <c r="EV902" s="76"/>
      <c r="EW902" s="76"/>
      <c r="EX902" s="76"/>
      <c r="EY902" s="76"/>
      <c r="EZ902" s="76"/>
      <c r="FA902" s="76"/>
      <c r="FB902" s="76"/>
      <c r="FC902" s="76"/>
      <c r="FD902" s="76"/>
      <c r="FE902" s="76"/>
      <c r="FF902" s="76"/>
      <c r="FG902" s="76"/>
      <c r="FH902" s="76"/>
      <c r="FI902" s="76"/>
      <c r="FJ902" s="76"/>
      <c r="FK902" s="76"/>
      <c r="FL902" s="76"/>
      <c r="FM902" s="76"/>
      <c r="FN902" s="76"/>
      <c r="FO902" s="76"/>
      <c r="FP902" s="76"/>
      <c r="FQ902" s="76"/>
      <c r="FR902" s="76"/>
      <c r="FS902" s="76"/>
      <c r="FT902" s="76"/>
      <c r="FU902" s="76"/>
      <c r="FV902" s="76"/>
      <c r="FW902" s="76"/>
      <c r="FX902" s="76"/>
      <c r="FY902" s="76"/>
      <c r="FZ902" s="76"/>
      <c r="GA902" s="76"/>
      <c r="GB902" s="76"/>
      <c r="GC902" s="76"/>
      <c r="GD902" s="76"/>
      <c r="GE902" s="76"/>
      <c r="GF902" s="76"/>
      <c r="GG902" s="76"/>
      <c r="GH902" s="76"/>
      <c r="GI902" s="76"/>
      <c r="GJ902" s="76"/>
      <c r="GK902" s="76"/>
      <c r="GL902" s="76"/>
      <c r="GM902" s="76"/>
      <c r="GN902" s="76"/>
      <c r="GO902" s="76"/>
      <c r="GP902" s="76"/>
      <c r="GQ902" s="76"/>
      <c r="GR902" s="76"/>
      <c r="GS902" s="76"/>
      <c r="GT902" s="76"/>
      <c r="GU902" s="76"/>
      <c r="GV902" s="76"/>
      <c r="GW902" s="76"/>
      <c r="GX902" s="76"/>
      <c r="GY902" s="76"/>
      <c r="GZ902" s="76"/>
      <c r="HA902" s="76"/>
      <c r="HB902" s="76"/>
      <c r="HC902" s="76"/>
      <c r="HD902" s="76"/>
      <c r="HE902" s="76"/>
      <c r="HF902" s="76"/>
      <c r="HG902" s="76"/>
      <c r="HH902" s="76"/>
      <c r="HI902" s="76"/>
      <c r="HJ902" s="76"/>
      <c r="HK902" s="76"/>
      <c r="HL902" s="76"/>
      <c r="HM902" s="76"/>
      <c r="HN902" s="76"/>
      <c r="HO902" s="76"/>
      <c r="HP902" s="76"/>
      <c r="HQ902" s="76"/>
      <c r="HR902" s="76"/>
      <c r="HS902" s="76"/>
      <c r="HT902" s="76"/>
      <c r="HU902" s="76"/>
      <c r="HV902" s="76"/>
      <c r="HW902" s="76"/>
      <c r="HX902" s="76"/>
      <c r="HY902" s="76"/>
      <c r="HZ902" s="76"/>
      <c r="IA902" s="76"/>
      <c r="IB902" s="76"/>
      <c r="IC902" s="76"/>
      <c r="ID902" s="76"/>
      <c r="IE902" s="76"/>
      <c r="IF902" s="76"/>
      <c r="IG902" s="76"/>
      <c r="IH902" s="76"/>
      <c r="II902" s="76"/>
      <c r="IJ902" s="76"/>
      <c r="IK902" s="76"/>
      <c r="IL902" s="76"/>
      <c r="IM902" s="76"/>
      <c r="IN902" s="76"/>
      <c r="IO902" s="76"/>
      <c r="IP902" s="76"/>
      <c r="IQ902" s="76"/>
      <c r="IR902" s="76"/>
      <c r="IS902" s="76"/>
      <c r="IT902" s="76"/>
      <c r="IU902" s="76"/>
      <c r="IV902" s="76"/>
    </row>
    <row r="903" spans="1:256">
      <c r="B903" s="135"/>
      <c r="C903" s="76" t="s">
        <v>559</v>
      </c>
      <c r="D903" s="85"/>
      <c r="E903" s="76"/>
      <c r="F903" s="76"/>
      <c r="G903" s="76"/>
      <c r="H903" s="123"/>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c r="AR903" s="76"/>
      <c r="AS903" s="76"/>
      <c r="AT903" s="76"/>
      <c r="AU903" s="76"/>
      <c r="AV903" s="76"/>
      <c r="AW903" s="76"/>
      <c r="AX903" s="76"/>
      <c r="AY903" s="76"/>
      <c r="AZ903" s="76"/>
      <c r="BA903" s="76"/>
      <c r="BB903" s="76"/>
      <c r="BC903" s="76"/>
      <c r="BD903" s="76"/>
      <c r="BE903" s="76"/>
      <c r="BF903" s="76"/>
      <c r="BG903" s="76"/>
      <c r="BH903" s="76"/>
      <c r="BI903" s="76"/>
      <c r="BJ903" s="76"/>
      <c r="BK903" s="76"/>
      <c r="BL903" s="76"/>
      <c r="BM903" s="76"/>
      <c r="BN903" s="76"/>
      <c r="BO903" s="76"/>
      <c r="BP903" s="76"/>
      <c r="BQ903" s="76"/>
      <c r="BR903" s="76"/>
      <c r="BS903" s="76"/>
      <c r="BT903" s="76"/>
      <c r="BU903" s="76"/>
      <c r="BV903" s="76"/>
      <c r="BW903" s="76"/>
      <c r="BX903" s="76"/>
      <c r="BY903" s="76"/>
      <c r="BZ903" s="76"/>
      <c r="CA903" s="76"/>
      <c r="CB903" s="76"/>
      <c r="CC903" s="76"/>
      <c r="CD903" s="76"/>
      <c r="CE903" s="76"/>
      <c r="CF903" s="76"/>
      <c r="CG903" s="76"/>
      <c r="CH903" s="76"/>
      <c r="CI903" s="76"/>
      <c r="CJ903" s="76"/>
      <c r="CK903" s="76"/>
      <c r="CL903" s="76"/>
      <c r="CM903" s="76"/>
      <c r="CN903" s="76"/>
      <c r="CO903" s="76"/>
      <c r="CP903" s="76"/>
      <c r="CQ903" s="76"/>
      <c r="CR903" s="76"/>
      <c r="CS903" s="76"/>
      <c r="CT903" s="76"/>
      <c r="CU903" s="76"/>
      <c r="CV903" s="76"/>
      <c r="CW903" s="76"/>
      <c r="CX903" s="76"/>
      <c r="CY903" s="76"/>
      <c r="CZ903" s="76"/>
      <c r="DA903" s="76"/>
      <c r="DB903" s="76"/>
      <c r="DC903" s="76"/>
      <c r="DD903" s="76"/>
      <c r="DE903" s="76"/>
      <c r="DF903" s="76"/>
      <c r="DG903" s="76"/>
      <c r="DH903" s="76"/>
      <c r="DI903" s="76"/>
      <c r="DJ903" s="76"/>
      <c r="DK903" s="76"/>
      <c r="DL903" s="76"/>
      <c r="DM903" s="76"/>
      <c r="DN903" s="76"/>
      <c r="DO903" s="76"/>
      <c r="DP903" s="76"/>
      <c r="DQ903" s="76"/>
      <c r="DR903" s="76"/>
      <c r="DS903" s="76"/>
      <c r="DT903" s="76"/>
      <c r="DU903" s="76"/>
      <c r="DV903" s="76"/>
      <c r="DW903" s="76"/>
      <c r="DX903" s="76"/>
      <c r="DY903" s="76"/>
      <c r="DZ903" s="76"/>
      <c r="EA903" s="76"/>
      <c r="EB903" s="76"/>
      <c r="EC903" s="76"/>
      <c r="ED903" s="76"/>
      <c r="EE903" s="76"/>
      <c r="EF903" s="76"/>
      <c r="EG903" s="76"/>
      <c r="EH903" s="76"/>
      <c r="EI903" s="76"/>
      <c r="EJ903" s="76"/>
      <c r="EK903" s="76"/>
      <c r="EL903" s="76"/>
      <c r="EM903" s="76"/>
      <c r="EN903" s="76"/>
      <c r="EO903" s="76"/>
      <c r="EP903" s="76"/>
      <c r="EQ903" s="76"/>
      <c r="ER903" s="76"/>
      <c r="ES903" s="76"/>
      <c r="ET903" s="76"/>
      <c r="EU903" s="76"/>
      <c r="EV903" s="76"/>
      <c r="EW903" s="76"/>
      <c r="EX903" s="76"/>
      <c r="EY903" s="76"/>
      <c r="EZ903" s="76"/>
      <c r="FA903" s="76"/>
      <c r="FB903" s="76"/>
      <c r="FC903" s="76"/>
      <c r="FD903" s="76"/>
      <c r="FE903" s="76"/>
      <c r="FF903" s="76"/>
      <c r="FG903" s="76"/>
      <c r="FH903" s="76"/>
      <c r="FI903" s="76"/>
      <c r="FJ903" s="76"/>
      <c r="FK903" s="76"/>
      <c r="FL903" s="76"/>
      <c r="FM903" s="76"/>
      <c r="FN903" s="76"/>
      <c r="FO903" s="76"/>
      <c r="FP903" s="76"/>
      <c r="FQ903" s="76"/>
      <c r="FR903" s="76"/>
      <c r="FS903" s="76"/>
      <c r="FT903" s="76"/>
      <c r="FU903" s="76"/>
      <c r="FV903" s="76"/>
      <c r="FW903" s="76"/>
      <c r="FX903" s="76"/>
      <c r="FY903" s="76"/>
      <c r="FZ903" s="76"/>
      <c r="GA903" s="76"/>
      <c r="GB903" s="76"/>
      <c r="GC903" s="76"/>
      <c r="GD903" s="76"/>
      <c r="GE903" s="76"/>
      <c r="GF903" s="76"/>
      <c r="GG903" s="76"/>
      <c r="GH903" s="76"/>
      <c r="GI903" s="76"/>
      <c r="GJ903" s="76"/>
      <c r="GK903" s="76"/>
      <c r="GL903" s="76"/>
      <c r="GM903" s="76"/>
      <c r="GN903" s="76"/>
      <c r="GO903" s="76"/>
      <c r="GP903" s="76"/>
      <c r="GQ903" s="76"/>
      <c r="GR903" s="76"/>
      <c r="GS903" s="76"/>
      <c r="GT903" s="76"/>
      <c r="GU903" s="76"/>
      <c r="GV903" s="76"/>
      <c r="GW903" s="76"/>
      <c r="GX903" s="76"/>
      <c r="GY903" s="76"/>
      <c r="GZ903" s="76"/>
      <c r="HA903" s="76"/>
      <c r="HB903" s="76"/>
      <c r="HC903" s="76"/>
      <c r="HD903" s="76"/>
      <c r="HE903" s="76"/>
      <c r="HF903" s="76"/>
      <c r="HG903" s="76"/>
      <c r="HH903" s="76"/>
      <c r="HI903" s="76"/>
      <c r="HJ903" s="76"/>
      <c r="HK903" s="76"/>
      <c r="HL903" s="76"/>
      <c r="HM903" s="76"/>
      <c r="HN903" s="76"/>
      <c r="HO903" s="76"/>
      <c r="HP903" s="76"/>
      <c r="HQ903" s="76"/>
      <c r="HR903" s="76"/>
      <c r="HS903" s="76"/>
      <c r="HT903" s="76"/>
      <c r="HU903" s="76"/>
      <c r="HV903" s="76"/>
      <c r="HW903" s="76"/>
      <c r="HX903" s="76"/>
      <c r="HY903" s="76"/>
      <c r="HZ903" s="76"/>
      <c r="IA903" s="76"/>
      <c r="IB903" s="76"/>
      <c r="IC903" s="76"/>
      <c r="ID903" s="76"/>
      <c r="IE903" s="76"/>
      <c r="IF903" s="76"/>
      <c r="IG903" s="76"/>
      <c r="IH903" s="76"/>
      <c r="II903" s="76"/>
      <c r="IJ903" s="76"/>
      <c r="IK903" s="76"/>
      <c r="IL903" s="76"/>
      <c r="IM903" s="76"/>
      <c r="IN903" s="76"/>
      <c r="IO903" s="76"/>
      <c r="IP903" s="76"/>
      <c r="IQ903" s="76"/>
      <c r="IR903" s="76"/>
      <c r="IS903" s="76"/>
      <c r="IT903" s="76"/>
      <c r="IU903" s="76"/>
      <c r="IV903" s="76"/>
    </row>
    <row r="904" spans="1:256">
      <c r="B904" s="135"/>
      <c r="C904" s="76" t="s">
        <v>101</v>
      </c>
      <c r="D904" s="76"/>
      <c r="E904" s="76"/>
      <c r="F904" s="76"/>
      <c r="G904" s="76"/>
      <c r="H904" s="123"/>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c r="AY904" s="76"/>
      <c r="AZ904" s="76"/>
      <c r="BA904" s="76"/>
      <c r="BB904" s="76"/>
      <c r="BC904" s="76"/>
      <c r="BD904" s="76"/>
      <c r="BE904" s="76"/>
      <c r="BF904" s="76"/>
      <c r="BG904" s="76"/>
      <c r="BH904" s="76"/>
      <c r="BI904" s="76"/>
      <c r="BJ904" s="76"/>
      <c r="BK904" s="76"/>
      <c r="BL904" s="76"/>
      <c r="BM904" s="76"/>
      <c r="BN904" s="76"/>
      <c r="BO904" s="76"/>
      <c r="BP904" s="76"/>
      <c r="BQ904" s="76"/>
      <c r="BR904" s="76"/>
      <c r="BS904" s="76"/>
      <c r="BT904" s="76"/>
      <c r="BU904" s="76"/>
      <c r="BV904" s="76"/>
      <c r="BW904" s="76"/>
      <c r="BX904" s="76"/>
      <c r="BY904" s="76"/>
      <c r="BZ904" s="76"/>
      <c r="CA904" s="76"/>
      <c r="CB904" s="76"/>
      <c r="CC904" s="76"/>
      <c r="CD904" s="76"/>
      <c r="CE904" s="76"/>
      <c r="CF904" s="76"/>
      <c r="CG904" s="76"/>
      <c r="CH904" s="76"/>
      <c r="CI904" s="76"/>
      <c r="CJ904" s="76"/>
      <c r="CK904" s="76"/>
      <c r="CL904" s="76"/>
      <c r="CM904" s="76"/>
      <c r="CN904" s="76"/>
      <c r="CO904" s="76"/>
      <c r="CP904" s="76"/>
      <c r="CQ904" s="76"/>
      <c r="CR904" s="76"/>
      <c r="CS904" s="76"/>
      <c r="CT904" s="76"/>
      <c r="CU904" s="76"/>
      <c r="CV904" s="76"/>
      <c r="CW904" s="76"/>
      <c r="CX904" s="76"/>
      <c r="CY904" s="76"/>
      <c r="CZ904" s="76"/>
      <c r="DA904" s="76"/>
      <c r="DB904" s="76"/>
      <c r="DC904" s="76"/>
      <c r="DD904" s="76"/>
      <c r="DE904" s="76"/>
      <c r="DF904" s="76"/>
      <c r="DG904" s="76"/>
      <c r="DH904" s="76"/>
      <c r="DI904" s="76"/>
      <c r="DJ904" s="76"/>
      <c r="DK904" s="76"/>
      <c r="DL904" s="76"/>
      <c r="DM904" s="76"/>
      <c r="DN904" s="76"/>
      <c r="DO904" s="76"/>
      <c r="DP904" s="76"/>
      <c r="DQ904" s="76"/>
      <c r="DR904" s="76"/>
      <c r="DS904" s="76"/>
      <c r="DT904" s="76"/>
      <c r="DU904" s="76"/>
      <c r="DV904" s="76"/>
      <c r="DW904" s="76"/>
      <c r="DX904" s="76"/>
      <c r="DY904" s="76"/>
      <c r="DZ904" s="76"/>
      <c r="EA904" s="76"/>
      <c r="EB904" s="76"/>
      <c r="EC904" s="76"/>
      <c r="ED904" s="76"/>
      <c r="EE904" s="76"/>
      <c r="EF904" s="76"/>
      <c r="EG904" s="76"/>
      <c r="EH904" s="76"/>
      <c r="EI904" s="76"/>
      <c r="EJ904" s="76"/>
      <c r="EK904" s="76"/>
      <c r="EL904" s="76"/>
      <c r="EM904" s="76"/>
      <c r="EN904" s="76"/>
      <c r="EO904" s="76"/>
      <c r="EP904" s="76"/>
      <c r="EQ904" s="76"/>
      <c r="ER904" s="76"/>
      <c r="ES904" s="76"/>
      <c r="ET904" s="76"/>
      <c r="EU904" s="76"/>
      <c r="EV904" s="76"/>
      <c r="EW904" s="76"/>
      <c r="EX904" s="76"/>
      <c r="EY904" s="76"/>
      <c r="EZ904" s="76"/>
      <c r="FA904" s="76"/>
      <c r="FB904" s="76"/>
      <c r="FC904" s="76"/>
      <c r="FD904" s="76"/>
      <c r="FE904" s="76"/>
      <c r="FF904" s="76"/>
      <c r="FG904" s="76"/>
      <c r="FH904" s="76"/>
      <c r="FI904" s="76"/>
      <c r="FJ904" s="76"/>
      <c r="FK904" s="76"/>
      <c r="FL904" s="76"/>
      <c r="FM904" s="76"/>
      <c r="FN904" s="76"/>
      <c r="FO904" s="76"/>
      <c r="FP904" s="76"/>
      <c r="FQ904" s="76"/>
      <c r="FR904" s="76"/>
      <c r="FS904" s="76"/>
      <c r="FT904" s="76"/>
      <c r="FU904" s="76"/>
      <c r="FV904" s="76"/>
      <c r="FW904" s="76"/>
      <c r="FX904" s="76"/>
      <c r="FY904" s="76"/>
      <c r="FZ904" s="76"/>
      <c r="GA904" s="76"/>
      <c r="GB904" s="76"/>
      <c r="GC904" s="76"/>
      <c r="GD904" s="76"/>
      <c r="GE904" s="76"/>
      <c r="GF904" s="76"/>
      <c r="GG904" s="76"/>
      <c r="GH904" s="76"/>
      <c r="GI904" s="76"/>
      <c r="GJ904" s="76"/>
      <c r="GK904" s="76"/>
      <c r="GL904" s="76"/>
      <c r="GM904" s="76"/>
      <c r="GN904" s="76"/>
      <c r="GO904" s="76"/>
      <c r="GP904" s="76"/>
      <c r="GQ904" s="76"/>
      <c r="GR904" s="76"/>
      <c r="GS904" s="76"/>
      <c r="GT904" s="76"/>
      <c r="GU904" s="76"/>
      <c r="GV904" s="76"/>
      <c r="GW904" s="76"/>
      <c r="GX904" s="76"/>
      <c r="GY904" s="76"/>
      <c r="GZ904" s="76"/>
      <c r="HA904" s="76"/>
      <c r="HB904" s="76"/>
      <c r="HC904" s="76"/>
      <c r="HD904" s="76"/>
      <c r="HE904" s="76"/>
      <c r="HF904" s="76"/>
      <c r="HG904" s="76"/>
      <c r="HH904" s="76"/>
      <c r="HI904" s="76"/>
      <c r="HJ904" s="76"/>
      <c r="HK904" s="76"/>
      <c r="HL904" s="76"/>
      <c r="HM904" s="76"/>
      <c r="HN904" s="76"/>
      <c r="HO904" s="76"/>
      <c r="HP904" s="76"/>
      <c r="HQ904" s="76"/>
      <c r="HR904" s="76"/>
      <c r="HS904" s="76"/>
      <c r="HT904" s="76"/>
      <c r="HU904" s="76"/>
      <c r="HV904" s="76"/>
      <c r="HW904" s="76"/>
      <c r="HX904" s="76"/>
      <c r="HY904" s="76"/>
      <c r="HZ904" s="76"/>
      <c r="IA904" s="76"/>
      <c r="IB904" s="76"/>
      <c r="IC904" s="76"/>
      <c r="ID904" s="76"/>
      <c r="IE904" s="76"/>
      <c r="IF904" s="76"/>
      <c r="IG904" s="76"/>
      <c r="IH904" s="76"/>
      <c r="II904" s="76"/>
      <c r="IJ904" s="76"/>
      <c r="IK904" s="76"/>
      <c r="IL904" s="76"/>
      <c r="IM904" s="76"/>
      <c r="IN904" s="76"/>
      <c r="IO904" s="76"/>
      <c r="IP904" s="76"/>
      <c r="IQ904" s="76"/>
      <c r="IR904" s="76"/>
      <c r="IS904" s="76"/>
      <c r="IT904" s="76"/>
      <c r="IU904" s="76"/>
      <c r="IV904" s="76"/>
    </row>
    <row r="905" spans="1:256">
      <c r="B905" s="135"/>
      <c r="C905" s="76" t="s">
        <v>102</v>
      </c>
      <c r="D905" s="76"/>
      <c r="E905" s="31" t="s">
        <v>103</v>
      </c>
      <c r="F905" s="31">
        <v>1</v>
      </c>
      <c r="G905" s="76"/>
      <c r="H905" s="123"/>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c r="AY905" s="76"/>
      <c r="AZ905" s="76"/>
      <c r="BA905" s="76"/>
      <c r="BB905" s="76"/>
      <c r="BC905" s="76"/>
      <c r="BD905" s="76"/>
      <c r="BE905" s="76"/>
      <c r="BF905" s="76"/>
      <c r="BG905" s="76"/>
      <c r="BH905" s="76"/>
      <c r="BI905" s="76"/>
      <c r="BJ905" s="76"/>
      <c r="BK905" s="76"/>
      <c r="BL905" s="76"/>
      <c r="BM905" s="76"/>
      <c r="BN905" s="76"/>
      <c r="BO905" s="76"/>
      <c r="BP905" s="76"/>
      <c r="BQ905" s="76"/>
      <c r="BR905" s="76"/>
      <c r="BS905" s="76"/>
      <c r="BT905" s="76"/>
      <c r="BU905" s="76"/>
      <c r="BV905" s="76"/>
      <c r="BW905" s="76"/>
      <c r="BX905" s="76"/>
      <c r="BY905" s="76"/>
      <c r="BZ905" s="76"/>
      <c r="CA905" s="76"/>
      <c r="CB905" s="76"/>
      <c r="CC905" s="76"/>
      <c r="CD905" s="76"/>
      <c r="CE905" s="76"/>
      <c r="CF905" s="76"/>
      <c r="CG905" s="76"/>
      <c r="CH905" s="76"/>
      <c r="CI905" s="76"/>
      <c r="CJ905" s="76"/>
      <c r="CK905" s="76"/>
      <c r="CL905" s="76"/>
      <c r="CM905" s="76"/>
      <c r="CN905" s="76"/>
      <c r="CO905" s="76"/>
      <c r="CP905" s="76"/>
      <c r="CQ905" s="76"/>
      <c r="CR905" s="76"/>
      <c r="CS905" s="76"/>
      <c r="CT905" s="76"/>
      <c r="CU905" s="76"/>
      <c r="CV905" s="76"/>
      <c r="CW905" s="76"/>
      <c r="CX905" s="76"/>
      <c r="CY905" s="76"/>
      <c r="CZ905" s="76"/>
      <c r="DA905" s="76"/>
      <c r="DB905" s="76"/>
      <c r="DC905" s="76"/>
      <c r="DD905" s="76"/>
      <c r="DE905" s="76"/>
      <c r="DF905" s="76"/>
      <c r="DG905" s="76"/>
      <c r="DH905" s="76"/>
      <c r="DI905" s="76"/>
      <c r="DJ905" s="76"/>
      <c r="DK905" s="76"/>
      <c r="DL905" s="76"/>
      <c r="DM905" s="76"/>
      <c r="DN905" s="76"/>
      <c r="DO905" s="76"/>
      <c r="DP905" s="76"/>
      <c r="DQ905" s="76"/>
      <c r="DR905" s="76"/>
      <c r="DS905" s="76"/>
      <c r="DT905" s="76"/>
      <c r="DU905" s="76"/>
      <c r="DV905" s="76"/>
      <c r="DW905" s="76"/>
      <c r="DX905" s="76"/>
      <c r="DY905" s="76"/>
      <c r="DZ905" s="76"/>
      <c r="EA905" s="76"/>
      <c r="EB905" s="76"/>
      <c r="EC905" s="76"/>
      <c r="ED905" s="76"/>
      <c r="EE905" s="76"/>
      <c r="EF905" s="76"/>
      <c r="EG905" s="76"/>
      <c r="EH905" s="76"/>
      <c r="EI905" s="76"/>
      <c r="EJ905" s="76"/>
      <c r="EK905" s="76"/>
      <c r="EL905" s="76"/>
      <c r="EM905" s="76"/>
      <c r="EN905" s="76"/>
      <c r="EO905" s="76"/>
      <c r="EP905" s="76"/>
      <c r="EQ905" s="76"/>
      <c r="ER905" s="76"/>
      <c r="ES905" s="76"/>
      <c r="ET905" s="76"/>
      <c r="EU905" s="76"/>
      <c r="EV905" s="76"/>
      <c r="EW905" s="76"/>
      <c r="EX905" s="76"/>
      <c r="EY905" s="76"/>
      <c r="EZ905" s="76"/>
      <c r="FA905" s="76"/>
      <c r="FB905" s="76"/>
      <c r="FC905" s="76"/>
      <c r="FD905" s="76"/>
      <c r="FE905" s="76"/>
      <c r="FF905" s="76"/>
      <c r="FG905" s="76"/>
      <c r="FH905" s="76"/>
      <c r="FI905" s="76"/>
      <c r="FJ905" s="76"/>
      <c r="FK905" s="76"/>
      <c r="FL905" s="76"/>
      <c r="FM905" s="76"/>
      <c r="FN905" s="76"/>
      <c r="FO905" s="76"/>
      <c r="FP905" s="76"/>
      <c r="FQ905" s="76"/>
      <c r="FR905" s="76"/>
      <c r="FS905" s="76"/>
      <c r="FT905" s="76"/>
      <c r="FU905" s="76"/>
      <c r="FV905" s="76"/>
      <c r="FW905" s="76"/>
      <c r="FX905" s="76"/>
      <c r="FY905" s="76"/>
      <c r="FZ905" s="76"/>
      <c r="GA905" s="76"/>
      <c r="GB905" s="76"/>
      <c r="GC905" s="76"/>
      <c r="GD905" s="76"/>
      <c r="GE905" s="76"/>
      <c r="GF905" s="76"/>
      <c r="GG905" s="76"/>
      <c r="GH905" s="76"/>
      <c r="GI905" s="76"/>
      <c r="GJ905" s="76"/>
      <c r="GK905" s="76"/>
      <c r="GL905" s="76"/>
      <c r="GM905" s="76"/>
      <c r="GN905" s="76"/>
      <c r="GO905" s="76"/>
      <c r="GP905" s="76"/>
      <c r="GQ905" s="76"/>
      <c r="GR905" s="76"/>
      <c r="GS905" s="76"/>
      <c r="GT905" s="76"/>
      <c r="GU905" s="76"/>
      <c r="GV905" s="76"/>
      <c r="GW905" s="76"/>
      <c r="GX905" s="76"/>
      <c r="GY905" s="76"/>
      <c r="GZ905" s="76"/>
      <c r="HA905" s="76"/>
      <c r="HB905" s="76"/>
      <c r="HC905" s="76"/>
      <c r="HD905" s="76"/>
      <c r="HE905" s="76"/>
      <c r="HF905" s="76"/>
      <c r="HG905" s="76"/>
      <c r="HH905" s="76"/>
      <c r="HI905" s="76"/>
      <c r="HJ905" s="76"/>
      <c r="HK905" s="76"/>
      <c r="HL905" s="76"/>
      <c r="HM905" s="76"/>
      <c r="HN905" s="76"/>
      <c r="HO905" s="76"/>
      <c r="HP905" s="76"/>
      <c r="HQ905" s="76"/>
      <c r="HR905" s="76"/>
      <c r="HS905" s="76"/>
      <c r="HT905" s="76"/>
      <c r="HU905" s="76"/>
      <c r="HV905" s="76"/>
      <c r="HW905" s="76"/>
      <c r="HX905" s="76"/>
      <c r="HY905" s="76"/>
      <c r="HZ905" s="76"/>
      <c r="IA905" s="76"/>
      <c r="IB905" s="76"/>
      <c r="IC905" s="76"/>
      <c r="ID905" s="76"/>
      <c r="IE905" s="76"/>
      <c r="IF905" s="76"/>
      <c r="IG905" s="76"/>
      <c r="IH905" s="76"/>
      <c r="II905" s="76"/>
      <c r="IJ905" s="76"/>
      <c r="IK905" s="76"/>
      <c r="IL905" s="76"/>
      <c r="IM905" s="76"/>
      <c r="IN905" s="76"/>
      <c r="IO905" s="76"/>
      <c r="IP905" s="76"/>
      <c r="IQ905" s="76"/>
      <c r="IR905" s="76"/>
      <c r="IS905" s="76"/>
      <c r="IT905" s="76"/>
      <c r="IU905" s="76"/>
      <c r="IV905" s="76"/>
    </row>
    <row r="906" spans="1:256">
      <c r="B906" s="135"/>
      <c r="C906" s="76" t="s">
        <v>104</v>
      </c>
      <c r="D906" s="76"/>
      <c r="E906" s="31" t="s">
        <v>103</v>
      </c>
      <c r="F906" s="31">
        <v>2</v>
      </c>
      <c r="G906" s="76"/>
      <c r="H906" s="123"/>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76"/>
      <c r="AT906" s="76"/>
      <c r="AU906" s="76"/>
      <c r="AV906" s="76"/>
      <c r="AW906" s="76"/>
      <c r="AX906" s="76"/>
      <c r="AY906" s="76"/>
      <c r="AZ906" s="76"/>
      <c r="BA906" s="76"/>
      <c r="BB906" s="76"/>
      <c r="BC906" s="76"/>
      <c r="BD906" s="76"/>
      <c r="BE906" s="76"/>
      <c r="BF906" s="76"/>
      <c r="BG906" s="76"/>
      <c r="BH906" s="76"/>
      <c r="BI906" s="76"/>
      <c r="BJ906" s="76"/>
      <c r="BK906" s="76"/>
      <c r="BL906" s="76"/>
      <c r="BM906" s="76"/>
      <c r="BN906" s="76"/>
      <c r="BO906" s="76"/>
      <c r="BP906" s="76"/>
      <c r="BQ906" s="76"/>
      <c r="BR906" s="76"/>
      <c r="BS906" s="76"/>
      <c r="BT906" s="76"/>
      <c r="BU906" s="76"/>
      <c r="BV906" s="76"/>
      <c r="BW906" s="76"/>
      <c r="BX906" s="76"/>
      <c r="BY906" s="76"/>
      <c r="BZ906" s="76"/>
      <c r="CA906" s="76"/>
      <c r="CB906" s="76"/>
      <c r="CC906" s="76"/>
      <c r="CD906" s="76"/>
      <c r="CE906" s="76"/>
      <c r="CF906" s="76"/>
      <c r="CG906" s="76"/>
      <c r="CH906" s="76"/>
      <c r="CI906" s="76"/>
      <c r="CJ906" s="76"/>
      <c r="CK906" s="76"/>
      <c r="CL906" s="76"/>
      <c r="CM906" s="76"/>
      <c r="CN906" s="76"/>
      <c r="CO906" s="76"/>
      <c r="CP906" s="76"/>
      <c r="CQ906" s="76"/>
      <c r="CR906" s="76"/>
      <c r="CS906" s="76"/>
      <c r="CT906" s="76"/>
      <c r="CU906" s="76"/>
      <c r="CV906" s="76"/>
      <c r="CW906" s="76"/>
      <c r="CX906" s="76"/>
      <c r="CY906" s="76"/>
      <c r="CZ906" s="76"/>
      <c r="DA906" s="76"/>
      <c r="DB906" s="76"/>
      <c r="DC906" s="76"/>
      <c r="DD906" s="76"/>
      <c r="DE906" s="76"/>
      <c r="DF906" s="76"/>
      <c r="DG906" s="76"/>
      <c r="DH906" s="76"/>
      <c r="DI906" s="76"/>
      <c r="DJ906" s="76"/>
      <c r="DK906" s="76"/>
      <c r="DL906" s="76"/>
      <c r="DM906" s="76"/>
      <c r="DN906" s="76"/>
      <c r="DO906" s="76"/>
      <c r="DP906" s="76"/>
      <c r="DQ906" s="76"/>
      <c r="DR906" s="76"/>
      <c r="DS906" s="76"/>
      <c r="DT906" s="76"/>
      <c r="DU906" s="76"/>
      <c r="DV906" s="76"/>
      <c r="DW906" s="76"/>
      <c r="DX906" s="76"/>
      <c r="DY906" s="76"/>
      <c r="DZ906" s="76"/>
      <c r="EA906" s="76"/>
      <c r="EB906" s="76"/>
      <c r="EC906" s="76"/>
      <c r="ED906" s="76"/>
      <c r="EE906" s="76"/>
      <c r="EF906" s="76"/>
      <c r="EG906" s="76"/>
      <c r="EH906" s="76"/>
      <c r="EI906" s="76"/>
      <c r="EJ906" s="76"/>
      <c r="EK906" s="76"/>
      <c r="EL906" s="76"/>
      <c r="EM906" s="76"/>
      <c r="EN906" s="76"/>
      <c r="EO906" s="76"/>
      <c r="EP906" s="76"/>
      <c r="EQ906" s="76"/>
      <c r="ER906" s="76"/>
      <c r="ES906" s="76"/>
      <c r="ET906" s="76"/>
      <c r="EU906" s="76"/>
      <c r="EV906" s="76"/>
      <c r="EW906" s="76"/>
      <c r="EX906" s="76"/>
      <c r="EY906" s="76"/>
      <c r="EZ906" s="76"/>
      <c r="FA906" s="76"/>
      <c r="FB906" s="76"/>
      <c r="FC906" s="76"/>
      <c r="FD906" s="76"/>
      <c r="FE906" s="76"/>
      <c r="FF906" s="76"/>
      <c r="FG906" s="76"/>
      <c r="FH906" s="76"/>
      <c r="FI906" s="76"/>
      <c r="FJ906" s="76"/>
      <c r="FK906" s="76"/>
      <c r="FL906" s="76"/>
      <c r="FM906" s="76"/>
      <c r="FN906" s="76"/>
      <c r="FO906" s="76"/>
      <c r="FP906" s="76"/>
      <c r="FQ906" s="76"/>
      <c r="FR906" s="76"/>
      <c r="FS906" s="76"/>
      <c r="FT906" s="76"/>
      <c r="FU906" s="76"/>
      <c r="FV906" s="76"/>
      <c r="FW906" s="76"/>
      <c r="FX906" s="76"/>
      <c r="FY906" s="76"/>
      <c r="FZ906" s="76"/>
      <c r="GA906" s="76"/>
      <c r="GB906" s="76"/>
      <c r="GC906" s="76"/>
      <c r="GD906" s="76"/>
      <c r="GE906" s="76"/>
      <c r="GF906" s="76"/>
      <c r="GG906" s="76"/>
      <c r="GH906" s="76"/>
      <c r="GI906" s="76"/>
      <c r="GJ906" s="76"/>
      <c r="GK906" s="76"/>
      <c r="GL906" s="76"/>
      <c r="GM906" s="76"/>
      <c r="GN906" s="76"/>
      <c r="GO906" s="76"/>
      <c r="GP906" s="76"/>
      <c r="GQ906" s="76"/>
      <c r="GR906" s="76"/>
      <c r="GS906" s="76"/>
      <c r="GT906" s="76"/>
      <c r="GU906" s="76"/>
      <c r="GV906" s="76"/>
      <c r="GW906" s="76"/>
      <c r="GX906" s="76"/>
      <c r="GY906" s="76"/>
      <c r="GZ906" s="76"/>
      <c r="HA906" s="76"/>
      <c r="HB906" s="76"/>
      <c r="HC906" s="76"/>
      <c r="HD906" s="76"/>
      <c r="HE906" s="76"/>
      <c r="HF906" s="76"/>
      <c r="HG906" s="76"/>
      <c r="HH906" s="76"/>
      <c r="HI906" s="76"/>
      <c r="HJ906" s="76"/>
      <c r="HK906" s="76"/>
      <c r="HL906" s="76"/>
      <c r="HM906" s="76"/>
      <c r="HN906" s="76"/>
      <c r="HO906" s="76"/>
      <c r="HP906" s="76"/>
      <c r="HQ906" s="76"/>
      <c r="HR906" s="76"/>
      <c r="HS906" s="76"/>
      <c r="HT906" s="76"/>
      <c r="HU906" s="76"/>
      <c r="HV906" s="76"/>
      <c r="HW906" s="76"/>
      <c r="HX906" s="76"/>
      <c r="HY906" s="76"/>
      <c r="HZ906" s="76"/>
      <c r="IA906" s="76"/>
      <c r="IB906" s="76"/>
      <c r="IC906" s="76"/>
      <c r="ID906" s="76"/>
      <c r="IE906" s="76"/>
      <c r="IF906" s="76"/>
      <c r="IG906" s="76"/>
      <c r="IH906" s="76"/>
      <c r="II906" s="76"/>
      <c r="IJ906" s="76"/>
      <c r="IK906" s="76"/>
      <c r="IL906" s="76"/>
      <c r="IM906" s="76"/>
      <c r="IN906" s="76"/>
      <c r="IO906" s="76"/>
      <c r="IP906" s="76"/>
      <c r="IQ906" s="76"/>
      <c r="IR906" s="76"/>
      <c r="IS906" s="76"/>
      <c r="IT906" s="76"/>
      <c r="IU906" s="76"/>
      <c r="IV906" s="76"/>
    </row>
    <row r="907" spans="1:256">
      <c r="B907" s="135"/>
      <c r="C907" s="76" t="s">
        <v>105</v>
      </c>
      <c r="D907" s="76"/>
      <c r="E907" s="31"/>
      <c r="F907" s="31"/>
      <c r="G907" s="76"/>
      <c r="H907" s="123"/>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c r="AQ907" s="76"/>
      <c r="AR907" s="76"/>
      <c r="AS907" s="76"/>
      <c r="AT907" s="76"/>
      <c r="AU907" s="76"/>
      <c r="AV907" s="76"/>
      <c r="AW907" s="76"/>
      <c r="AX907" s="76"/>
      <c r="AY907" s="76"/>
      <c r="AZ907" s="76"/>
      <c r="BA907" s="76"/>
      <c r="BB907" s="76"/>
      <c r="BC907" s="76"/>
      <c r="BD907" s="76"/>
      <c r="BE907" s="76"/>
      <c r="BF907" s="76"/>
      <c r="BG907" s="76"/>
      <c r="BH907" s="76"/>
      <c r="BI907" s="76"/>
      <c r="BJ907" s="76"/>
      <c r="BK907" s="76"/>
      <c r="BL907" s="76"/>
      <c r="BM907" s="76"/>
      <c r="BN907" s="76"/>
      <c r="BO907" s="76"/>
      <c r="BP907" s="76"/>
      <c r="BQ907" s="76"/>
      <c r="BR907" s="76"/>
      <c r="BS907" s="76"/>
      <c r="BT907" s="76"/>
      <c r="BU907" s="76"/>
      <c r="BV907" s="76"/>
      <c r="BW907" s="76"/>
      <c r="BX907" s="76"/>
      <c r="BY907" s="76"/>
      <c r="BZ907" s="76"/>
      <c r="CA907" s="76"/>
      <c r="CB907" s="76"/>
      <c r="CC907" s="76"/>
      <c r="CD907" s="76"/>
      <c r="CE907" s="76"/>
      <c r="CF907" s="76"/>
      <c r="CG907" s="76"/>
      <c r="CH907" s="76"/>
      <c r="CI907" s="76"/>
      <c r="CJ907" s="76"/>
      <c r="CK907" s="76"/>
      <c r="CL907" s="76"/>
      <c r="CM907" s="76"/>
      <c r="CN907" s="76"/>
      <c r="CO907" s="76"/>
      <c r="CP907" s="76"/>
      <c r="CQ907" s="76"/>
      <c r="CR907" s="76"/>
      <c r="CS907" s="76"/>
      <c r="CT907" s="76"/>
      <c r="CU907" s="76"/>
      <c r="CV907" s="76"/>
      <c r="CW907" s="76"/>
      <c r="CX907" s="76"/>
      <c r="CY907" s="76"/>
      <c r="CZ907" s="76"/>
      <c r="DA907" s="76"/>
      <c r="DB907" s="76"/>
      <c r="DC907" s="76"/>
      <c r="DD907" s="76"/>
      <c r="DE907" s="76"/>
      <c r="DF907" s="76"/>
      <c r="DG907" s="76"/>
      <c r="DH907" s="76"/>
      <c r="DI907" s="76"/>
      <c r="DJ907" s="76"/>
      <c r="DK907" s="76"/>
      <c r="DL907" s="76"/>
      <c r="DM907" s="76"/>
      <c r="DN907" s="76"/>
      <c r="DO907" s="76"/>
      <c r="DP907" s="76"/>
      <c r="DQ907" s="76"/>
      <c r="DR907" s="76"/>
      <c r="DS907" s="76"/>
      <c r="DT907" s="76"/>
      <c r="DU907" s="76"/>
      <c r="DV907" s="76"/>
      <c r="DW907" s="76"/>
      <c r="DX907" s="76"/>
      <c r="DY907" s="76"/>
      <c r="DZ907" s="76"/>
      <c r="EA907" s="76"/>
      <c r="EB907" s="76"/>
      <c r="EC907" s="76"/>
      <c r="ED907" s="76"/>
      <c r="EE907" s="76"/>
      <c r="EF907" s="76"/>
      <c r="EG907" s="76"/>
      <c r="EH907" s="76"/>
      <c r="EI907" s="76"/>
      <c r="EJ907" s="76"/>
      <c r="EK907" s="76"/>
      <c r="EL907" s="76"/>
      <c r="EM907" s="76"/>
      <c r="EN907" s="76"/>
      <c r="EO907" s="76"/>
      <c r="EP907" s="76"/>
      <c r="EQ907" s="76"/>
      <c r="ER907" s="76"/>
      <c r="ES907" s="76"/>
      <c r="ET907" s="76"/>
      <c r="EU907" s="76"/>
      <c r="EV907" s="76"/>
      <c r="EW907" s="76"/>
      <c r="EX907" s="76"/>
      <c r="EY907" s="76"/>
      <c r="EZ907" s="76"/>
      <c r="FA907" s="76"/>
      <c r="FB907" s="76"/>
      <c r="FC907" s="76"/>
      <c r="FD907" s="76"/>
      <c r="FE907" s="76"/>
      <c r="FF907" s="76"/>
      <c r="FG907" s="76"/>
      <c r="FH907" s="76"/>
      <c r="FI907" s="76"/>
      <c r="FJ907" s="76"/>
      <c r="FK907" s="76"/>
      <c r="FL907" s="76"/>
      <c r="FM907" s="76"/>
      <c r="FN907" s="76"/>
      <c r="FO907" s="76"/>
      <c r="FP907" s="76"/>
      <c r="FQ907" s="76"/>
      <c r="FR907" s="76"/>
      <c r="FS907" s="76"/>
      <c r="FT907" s="76"/>
      <c r="FU907" s="76"/>
      <c r="FV907" s="76"/>
      <c r="FW907" s="76"/>
      <c r="FX907" s="76"/>
      <c r="FY907" s="76"/>
      <c r="FZ907" s="76"/>
      <c r="GA907" s="76"/>
      <c r="GB907" s="76"/>
      <c r="GC907" s="76"/>
      <c r="GD907" s="76"/>
      <c r="GE907" s="76"/>
      <c r="GF907" s="76"/>
      <c r="GG907" s="76"/>
      <c r="GH907" s="76"/>
      <c r="GI907" s="76"/>
      <c r="GJ907" s="76"/>
      <c r="GK907" s="76"/>
      <c r="GL907" s="76"/>
      <c r="GM907" s="76"/>
      <c r="GN907" s="76"/>
      <c r="GO907" s="76"/>
      <c r="GP907" s="76"/>
      <c r="GQ907" s="76"/>
      <c r="GR907" s="76"/>
      <c r="GS907" s="76"/>
      <c r="GT907" s="76"/>
      <c r="GU907" s="76"/>
      <c r="GV907" s="76"/>
      <c r="GW907" s="76"/>
      <c r="GX907" s="76"/>
      <c r="GY907" s="76"/>
      <c r="GZ907" s="76"/>
      <c r="HA907" s="76"/>
      <c r="HB907" s="76"/>
      <c r="HC907" s="76"/>
      <c r="HD907" s="76"/>
      <c r="HE907" s="76"/>
      <c r="HF907" s="76"/>
      <c r="HG907" s="76"/>
      <c r="HH907" s="76"/>
      <c r="HI907" s="76"/>
      <c r="HJ907" s="76"/>
      <c r="HK907" s="76"/>
      <c r="HL907" s="76"/>
      <c r="HM907" s="76"/>
      <c r="HN907" s="76"/>
      <c r="HO907" s="76"/>
      <c r="HP907" s="76"/>
      <c r="HQ907" s="76"/>
      <c r="HR907" s="76"/>
      <c r="HS907" s="76"/>
      <c r="HT907" s="76"/>
      <c r="HU907" s="76"/>
      <c r="HV907" s="76"/>
      <c r="HW907" s="76"/>
      <c r="HX907" s="76"/>
      <c r="HY907" s="76"/>
      <c r="HZ907" s="76"/>
      <c r="IA907" s="76"/>
      <c r="IB907" s="76"/>
      <c r="IC907" s="76"/>
      <c r="ID907" s="76"/>
      <c r="IE907" s="76"/>
      <c r="IF907" s="76"/>
      <c r="IG907" s="76"/>
      <c r="IH907" s="76"/>
      <c r="II907" s="76"/>
      <c r="IJ907" s="76"/>
      <c r="IK907" s="76"/>
      <c r="IL907" s="76"/>
      <c r="IM907" s="76"/>
      <c r="IN907" s="76"/>
      <c r="IO907" s="76"/>
      <c r="IP907" s="76"/>
      <c r="IQ907" s="76"/>
      <c r="IR907" s="76"/>
      <c r="IS907" s="76"/>
      <c r="IT907" s="76"/>
      <c r="IU907" s="76"/>
      <c r="IV907" s="76"/>
    </row>
    <row r="908" spans="1:256">
      <c r="B908" s="135"/>
      <c r="C908" s="76" t="s">
        <v>1760</v>
      </c>
      <c r="D908" s="76"/>
      <c r="E908" s="31" t="s">
        <v>103</v>
      </c>
      <c r="F908" s="31">
        <v>2</v>
      </c>
      <c r="G908" s="76"/>
      <c r="H908" s="123"/>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c r="AQ908" s="76"/>
      <c r="AR908" s="76"/>
      <c r="AS908" s="76"/>
      <c r="AT908" s="76"/>
      <c r="AU908" s="76"/>
      <c r="AV908" s="76"/>
      <c r="AW908" s="76"/>
      <c r="AX908" s="76"/>
      <c r="AY908" s="76"/>
      <c r="AZ908" s="76"/>
      <c r="BA908" s="76"/>
      <c r="BB908" s="76"/>
      <c r="BC908" s="76"/>
      <c r="BD908" s="76"/>
      <c r="BE908" s="76"/>
      <c r="BF908" s="76"/>
      <c r="BG908" s="76"/>
      <c r="BH908" s="76"/>
      <c r="BI908" s="76"/>
      <c r="BJ908" s="76"/>
      <c r="BK908" s="76"/>
      <c r="BL908" s="76"/>
      <c r="BM908" s="76"/>
      <c r="BN908" s="76"/>
      <c r="BO908" s="76"/>
      <c r="BP908" s="76"/>
      <c r="BQ908" s="76"/>
      <c r="BR908" s="76"/>
      <c r="BS908" s="76"/>
      <c r="BT908" s="76"/>
      <c r="BU908" s="76"/>
      <c r="BV908" s="76"/>
      <c r="BW908" s="76"/>
      <c r="BX908" s="76"/>
      <c r="BY908" s="76"/>
      <c r="BZ908" s="76"/>
      <c r="CA908" s="76"/>
      <c r="CB908" s="76"/>
      <c r="CC908" s="76"/>
      <c r="CD908" s="76"/>
      <c r="CE908" s="76"/>
      <c r="CF908" s="76"/>
      <c r="CG908" s="76"/>
      <c r="CH908" s="76"/>
      <c r="CI908" s="76"/>
      <c r="CJ908" s="76"/>
      <c r="CK908" s="76"/>
      <c r="CL908" s="76"/>
      <c r="CM908" s="76"/>
      <c r="CN908" s="76"/>
      <c r="CO908" s="76"/>
      <c r="CP908" s="76"/>
      <c r="CQ908" s="76"/>
      <c r="CR908" s="76"/>
      <c r="CS908" s="76"/>
      <c r="CT908" s="76"/>
      <c r="CU908" s="76"/>
      <c r="CV908" s="76"/>
      <c r="CW908" s="76"/>
      <c r="CX908" s="76"/>
      <c r="CY908" s="76"/>
      <c r="CZ908" s="76"/>
      <c r="DA908" s="76"/>
      <c r="DB908" s="76"/>
      <c r="DC908" s="76"/>
      <c r="DD908" s="76"/>
      <c r="DE908" s="76"/>
      <c r="DF908" s="76"/>
      <c r="DG908" s="76"/>
      <c r="DH908" s="76"/>
      <c r="DI908" s="76"/>
      <c r="DJ908" s="76"/>
      <c r="DK908" s="76"/>
      <c r="DL908" s="76"/>
      <c r="DM908" s="76"/>
      <c r="DN908" s="76"/>
      <c r="DO908" s="76"/>
      <c r="DP908" s="76"/>
      <c r="DQ908" s="76"/>
      <c r="DR908" s="76"/>
      <c r="DS908" s="76"/>
      <c r="DT908" s="76"/>
      <c r="DU908" s="76"/>
      <c r="DV908" s="76"/>
      <c r="DW908" s="76"/>
      <c r="DX908" s="76"/>
      <c r="DY908" s="76"/>
      <c r="DZ908" s="76"/>
      <c r="EA908" s="76"/>
      <c r="EB908" s="76"/>
      <c r="EC908" s="76"/>
      <c r="ED908" s="76"/>
      <c r="EE908" s="76"/>
      <c r="EF908" s="76"/>
      <c r="EG908" s="76"/>
      <c r="EH908" s="76"/>
      <c r="EI908" s="76"/>
      <c r="EJ908" s="76"/>
      <c r="EK908" s="76"/>
      <c r="EL908" s="76"/>
      <c r="EM908" s="76"/>
      <c r="EN908" s="76"/>
      <c r="EO908" s="76"/>
      <c r="EP908" s="76"/>
      <c r="EQ908" s="76"/>
      <c r="ER908" s="76"/>
      <c r="ES908" s="76"/>
      <c r="ET908" s="76"/>
      <c r="EU908" s="76"/>
      <c r="EV908" s="76"/>
      <c r="EW908" s="76"/>
      <c r="EX908" s="76"/>
      <c r="EY908" s="76"/>
      <c r="EZ908" s="76"/>
      <c r="FA908" s="76"/>
      <c r="FB908" s="76"/>
      <c r="FC908" s="76"/>
      <c r="FD908" s="76"/>
      <c r="FE908" s="76"/>
      <c r="FF908" s="76"/>
      <c r="FG908" s="76"/>
      <c r="FH908" s="76"/>
      <c r="FI908" s="76"/>
      <c r="FJ908" s="76"/>
      <c r="FK908" s="76"/>
      <c r="FL908" s="76"/>
      <c r="FM908" s="76"/>
      <c r="FN908" s="76"/>
      <c r="FO908" s="76"/>
      <c r="FP908" s="76"/>
      <c r="FQ908" s="76"/>
      <c r="FR908" s="76"/>
      <c r="FS908" s="76"/>
      <c r="FT908" s="76"/>
      <c r="FU908" s="76"/>
      <c r="FV908" s="76"/>
      <c r="FW908" s="76"/>
      <c r="FX908" s="76"/>
      <c r="FY908" s="76"/>
      <c r="FZ908" s="76"/>
      <c r="GA908" s="76"/>
      <c r="GB908" s="76"/>
      <c r="GC908" s="76"/>
      <c r="GD908" s="76"/>
      <c r="GE908" s="76"/>
      <c r="GF908" s="76"/>
      <c r="GG908" s="76"/>
      <c r="GH908" s="76"/>
      <c r="GI908" s="76"/>
      <c r="GJ908" s="76"/>
      <c r="GK908" s="76"/>
      <c r="GL908" s="76"/>
      <c r="GM908" s="76"/>
      <c r="GN908" s="76"/>
      <c r="GO908" s="76"/>
      <c r="GP908" s="76"/>
      <c r="GQ908" s="76"/>
      <c r="GR908" s="76"/>
      <c r="GS908" s="76"/>
      <c r="GT908" s="76"/>
      <c r="GU908" s="76"/>
      <c r="GV908" s="76"/>
      <c r="GW908" s="76"/>
      <c r="GX908" s="76"/>
      <c r="GY908" s="76"/>
      <c r="GZ908" s="76"/>
      <c r="HA908" s="76"/>
      <c r="HB908" s="76"/>
      <c r="HC908" s="76"/>
      <c r="HD908" s="76"/>
      <c r="HE908" s="76"/>
      <c r="HF908" s="76"/>
      <c r="HG908" s="76"/>
      <c r="HH908" s="76"/>
      <c r="HI908" s="76"/>
      <c r="HJ908" s="76"/>
      <c r="HK908" s="76"/>
      <c r="HL908" s="76"/>
      <c r="HM908" s="76"/>
      <c r="HN908" s="76"/>
      <c r="HO908" s="76"/>
      <c r="HP908" s="76"/>
      <c r="HQ908" s="76"/>
      <c r="HR908" s="76"/>
      <c r="HS908" s="76"/>
      <c r="HT908" s="76"/>
      <c r="HU908" s="76"/>
      <c r="HV908" s="76"/>
      <c r="HW908" s="76"/>
      <c r="HX908" s="76"/>
      <c r="HY908" s="76"/>
      <c r="HZ908" s="76"/>
      <c r="IA908" s="76"/>
      <c r="IB908" s="76"/>
      <c r="IC908" s="76"/>
      <c r="ID908" s="76"/>
      <c r="IE908" s="76"/>
      <c r="IF908" s="76"/>
      <c r="IG908" s="76"/>
      <c r="IH908" s="76"/>
      <c r="II908" s="76"/>
      <c r="IJ908" s="76"/>
      <c r="IK908" s="76"/>
      <c r="IL908" s="76"/>
      <c r="IM908" s="76"/>
      <c r="IN908" s="76"/>
      <c r="IO908" s="76"/>
      <c r="IP908" s="76"/>
      <c r="IQ908" s="76"/>
      <c r="IR908" s="76"/>
      <c r="IS908" s="76"/>
      <c r="IT908" s="76"/>
      <c r="IU908" s="76"/>
      <c r="IV908" s="76"/>
    </row>
    <row r="909" spans="1:256">
      <c r="B909" s="139"/>
      <c r="C909" s="76" t="s">
        <v>1518</v>
      </c>
      <c r="D909" s="76"/>
      <c r="E909" s="31"/>
      <c r="F909" s="159">
        <f>F908+F906+F905</f>
        <v>5</v>
      </c>
      <c r="G909" s="76"/>
      <c r="H909" s="150"/>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76"/>
      <c r="AT909" s="76"/>
      <c r="AU909" s="76"/>
      <c r="AV909" s="76"/>
      <c r="AW909" s="76"/>
      <c r="AX909" s="76"/>
      <c r="AY909" s="76"/>
      <c r="AZ909" s="76"/>
      <c r="BA909" s="76"/>
      <c r="BB909" s="76"/>
      <c r="BC909" s="76"/>
      <c r="BD909" s="76"/>
      <c r="BE909" s="76"/>
      <c r="BF909" s="76"/>
      <c r="BG909" s="76"/>
      <c r="BH909" s="76"/>
      <c r="BI909" s="76"/>
      <c r="BJ909" s="76"/>
      <c r="BK909" s="76"/>
      <c r="BL909" s="76"/>
      <c r="BM909" s="76"/>
      <c r="BN909" s="76"/>
      <c r="BO909" s="76"/>
      <c r="BP909" s="76"/>
      <c r="BQ909" s="76"/>
      <c r="BR909" s="76"/>
      <c r="BS909" s="76"/>
      <c r="BT909" s="76"/>
      <c r="BU909" s="76"/>
      <c r="BV909" s="76"/>
      <c r="BW909" s="76"/>
      <c r="BX909" s="76"/>
      <c r="BY909" s="76"/>
      <c r="BZ909" s="76"/>
      <c r="CA909" s="76"/>
      <c r="CB909" s="76"/>
      <c r="CC909" s="76"/>
      <c r="CD909" s="76"/>
      <c r="CE909" s="76"/>
      <c r="CF909" s="76"/>
      <c r="CG909" s="76"/>
      <c r="CH909" s="76"/>
      <c r="CI909" s="76"/>
      <c r="CJ909" s="76"/>
      <c r="CK909" s="76"/>
      <c r="CL909" s="76"/>
      <c r="CM909" s="76"/>
      <c r="CN909" s="76"/>
      <c r="CO909" s="76"/>
      <c r="CP909" s="76"/>
      <c r="CQ909" s="76"/>
      <c r="CR909" s="76"/>
      <c r="CS909" s="76"/>
      <c r="CT909" s="76"/>
      <c r="CU909" s="76"/>
      <c r="CV909" s="76"/>
      <c r="CW909" s="76"/>
      <c r="CX909" s="76"/>
      <c r="CY909" s="76"/>
      <c r="CZ909" s="76"/>
      <c r="DA909" s="76"/>
      <c r="DB909" s="76"/>
      <c r="DC909" s="76"/>
      <c r="DD909" s="76"/>
      <c r="DE909" s="76"/>
      <c r="DF909" s="76"/>
      <c r="DG909" s="76"/>
      <c r="DH909" s="76"/>
      <c r="DI909" s="76"/>
      <c r="DJ909" s="76"/>
      <c r="DK909" s="76"/>
      <c r="DL909" s="76"/>
      <c r="DM909" s="76"/>
      <c r="DN909" s="76"/>
      <c r="DO909" s="76"/>
      <c r="DP909" s="76"/>
      <c r="DQ909" s="76"/>
      <c r="DR909" s="76"/>
      <c r="DS909" s="76"/>
      <c r="DT909" s="76"/>
      <c r="DU909" s="76"/>
      <c r="DV909" s="76"/>
      <c r="DW909" s="76"/>
      <c r="DX909" s="76"/>
      <c r="DY909" s="76"/>
      <c r="DZ909" s="76"/>
      <c r="EA909" s="76"/>
      <c r="EB909" s="76"/>
      <c r="EC909" s="76"/>
      <c r="ED909" s="76"/>
      <c r="EE909" s="76"/>
      <c r="EF909" s="76"/>
      <c r="EG909" s="76"/>
      <c r="EH909" s="76"/>
      <c r="EI909" s="76"/>
      <c r="EJ909" s="76"/>
      <c r="EK909" s="76"/>
      <c r="EL909" s="76"/>
      <c r="EM909" s="76"/>
      <c r="EN909" s="76"/>
      <c r="EO909" s="76"/>
      <c r="EP909" s="76"/>
      <c r="EQ909" s="76"/>
      <c r="ER909" s="76"/>
      <c r="ES909" s="76"/>
      <c r="ET909" s="76"/>
      <c r="EU909" s="76"/>
      <c r="EV909" s="76"/>
      <c r="EW909" s="76"/>
      <c r="EX909" s="76"/>
      <c r="EY909" s="76"/>
      <c r="EZ909" s="76"/>
      <c r="FA909" s="76"/>
      <c r="FB909" s="76"/>
      <c r="FC909" s="76"/>
      <c r="FD909" s="76"/>
      <c r="FE909" s="76"/>
      <c r="FF909" s="76"/>
      <c r="FG909" s="76"/>
      <c r="FH909" s="76"/>
      <c r="FI909" s="76"/>
      <c r="FJ909" s="76"/>
      <c r="FK909" s="76"/>
      <c r="FL909" s="76"/>
      <c r="FM909" s="76"/>
      <c r="FN909" s="76"/>
      <c r="FO909" s="76"/>
      <c r="FP909" s="76"/>
      <c r="FQ909" s="76"/>
      <c r="FR909" s="76"/>
      <c r="FS909" s="76"/>
      <c r="FT909" s="76"/>
      <c r="FU909" s="76"/>
      <c r="FV909" s="76"/>
      <c r="FW909" s="76"/>
      <c r="FX909" s="76"/>
      <c r="FY909" s="76"/>
      <c r="FZ909" s="76"/>
      <c r="GA909" s="76"/>
      <c r="GB909" s="76"/>
      <c r="GC909" s="76"/>
      <c r="GD909" s="76"/>
      <c r="GE909" s="76"/>
      <c r="GF909" s="76"/>
      <c r="GG909" s="76"/>
      <c r="GH909" s="76"/>
      <c r="GI909" s="76"/>
      <c r="GJ909" s="76"/>
      <c r="GK909" s="76"/>
      <c r="GL909" s="76"/>
      <c r="GM909" s="76"/>
      <c r="GN909" s="76"/>
      <c r="GO909" s="76"/>
      <c r="GP909" s="76"/>
      <c r="GQ909" s="76"/>
      <c r="GR909" s="76"/>
      <c r="GS909" s="76"/>
      <c r="GT909" s="76"/>
      <c r="GU909" s="76"/>
      <c r="GV909" s="76"/>
      <c r="GW909" s="76"/>
      <c r="GX909" s="76"/>
      <c r="GY909" s="76"/>
      <c r="GZ909" s="76"/>
      <c r="HA909" s="76"/>
      <c r="HB909" s="76"/>
      <c r="HC909" s="76"/>
      <c r="HD909" s="76"/>
      <c r="HE909" s="76"/>
      <c r="HF909" s="76"/>
      <c r="HG909" s="76"/>
      <c r="HH909" s="76"/>
      <c r="HI909" s="76"/>
      <c r="HJ909" s="76"/>
      <c r="HK909" s="76"/>
      <c r="HL909" s="76"/>
      <c r="HM909" s="76"/>
      <c r="HN909" s="76"/>
      <c r="HO909" s="76"/>
      <c r="HP909" s="76"/>
      <c r="HQ909" s="76"/>
      <c r="HR909" s="76"/>
      <c r="HS909" s="76"/>
      <c r="HT909" s="76"/>
      <c r="HU909" s="76"/>
      <c r="HV909" s="76"/>
      <c r="HW909" s="76"/>
      <c r="HX909" s="76"/>
      <c r="HY909" s="76"/>
      <c r="HZ909" s="76"/>
      <c r="IA909" s="76"/>
      <c r="IB909" s="76"/>
      <c r="IC909" s="76"/>
      <c r="ID909" s="76"/>
      <c r="IE909" s="76"/>
      <c r="IF909" s="76"/>
      <c r="IG909" s="76"/>
      <c r="IH909" s="76"/>
      <c r="II909" s="76"/>
      <c r="IJ909" s="76"/>
      <c r="IK909" s="76"/>
      <c r="IL909" s="76"/>
      <c r="IM909" s="76"/>
      <c r="IN909" s="76"/>
      <c r="IO909" s="76"/>
      <c r="IP909" s="76"/>
      <c r="IQ909" s="76"/>
      <c r="IR909" s="76"/>
      <c r="IS909" s="76"/>
      <c r="IT909" s="76"/>
      <c r="IU909" s="76"/>
      <c r="IV909" s="76"/>
    </row>
    <row r="910" spans="1:256">
      <c r="B910" s="39"/>
      <c r="C910" s="39" t="s">
        <v>110</v>
      </c>
      <c r="D910" s="39"/>
      <c r="E910" s="38"/>
      <c r="F910" s="38"/>
      <c r="G910" s="129"/>
      <c r="H910" s="39"/>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c r="AQ910" s="76"/>
      <c r="AR910" s="76"/>
      <c r="AS910" s="76"/>
      <c r="AT910" s="76"/>
      <c r="AU910" s="76"/>
      <c r="AV910" s="76"/>
      <c r="AW910" s="76"/>
      <c r="AX910" s="76"/>
      <c r="AY910" s="76"/>
      <c r="AZ910" s="76"/>
      <c r="BA910" s="76"/>
      <c r="BB910" s="76"/>
      <c r="BC910" s="76"/>
      <c r="BD910" s="76"/>
      <c r="BE910" s="76"/>
      <c r="BF910" s="76"/>
      <c r="BG910" s="76"/>
      <c r="BH910" s="76"/>
      <c r="BI910" s="76"/>
      <c r="BJ910" s="76"/>
      <c r="BK910" s="76"/>
      <c r="BL910" s="76"/>
      <c r="BM910" s="76"/>
      <c r="BN910" s="76"/>
      <c r="BO910" s="76"/>
      <c r="BP910" s="76"/>
      <c r="BQ910" s="76"/>
      <c r="BR910" s="76"/>
      <c r="BS910" s="76"/>
      <c r="BT910" s="76"/>
      <c r="BU910" s="76"/>
      <c r="BV910" s="76"/>
      <c r="BW910" s="76"/>
      <c r="BX910" s="76"/>
      <c r="BY910" s="76"/>
      <c r="BZ910" s="76"/>
      <c r="CA910" s="76"/>
      <c r="CB910" s="76"/>
      <c r="CC910" s="76"/>
      <c r="CD910" s="76"/>
      <c r="CE910" s="76"/>
      <c r="CF910" s="76"/>
      <c r="CG910" s="76"/>
      <c r="CH910" s="76"/>
      <c r="CI910" s="76"/>
      <c r="CJ910" s="76"/>
      <c r="CK910" s="76"/>
      <c r="CL910" s="76"/>
      <c r="CM910" s="76"/>
      <c r="CN910" s="76"/>
      <c r="CO910" s="76"/>
      <c r="CP910" s="76"/>
      <c r="CQ910" s="76"/>
      <c r="CR910" s="76"/>
      <c r="CS910" s="76"/>
      <c r="CT910" s="76"/>
      <c r="CU910" s="76"/>
      <c r="CV910" s="76"/>
      <c r="CW910" s="76"/>
      <c r="CX910" s="76"/>
      <c r="CY910" s="76"/>
      <c r="CZ910" s="76"/>
      <c r="DA910" s="76"/>
      <c r="DB910" s="76"/>
      <c r="DC910" s="76"/>
      <c r="DD910" s="76"/>
      <c r="DE910" s="76"/>
      <c r="DF910" s="76"/>
      <c r="DG910" s="76"/>
      <c r="DH910" s="76"/>
      <c r="DI910" s="76"/>
      <c r="DJ910" s="76"/>
      <c r="DK910" s="76"/>
      <c r="DL910" s="76"/>
      <c r="DM910" s="76"/>
      <c r="DN910" s="76"/>
      <c r="DO910" s="76"/>
      <c r="DP910" s="76"/>
      <c r="DQ910" s="76"/>
      <c r="DR910" s="76"/>
      <c r="DS910" s="76"/>
      <c r="DT910" s="76"/>
      <c r="DU910" s="76"/>
      <c r="DV910" s="76"/>
      <c r="DW910" s="76"/>
      <c r="DX910" s="76"/>
      <c r="DY910" s="76"/>
      <c r="DZ910" s="76"/>
      <c r="EA910" s="76"/>
      <c r="EB910" s="76"/>
      <c r="EC910" s="76"/>
      <c r="ED910" s="76"/>
      <c r="EE910" s="76"/>
      <c r="EF910" s="76"/>
      <c r="EG910" s="76"/>
      <c r="EH910" s="76"/>
      <c r="EI910" s="76"/>
      <c r="EJ910" s="76"/>
      <c r="EK910" s="76"/>
      <c r="EL910" s="76"/>
      <c r="EM910" s="76"/>
      <c r="EN910" s="76"/>
      <c r="EO910" s="76"/>
      <c r="EP910" s="76"/>
      <c r="EQ910" s="76"/>
      <c r="ER910" s="76"/>
      <c r="ES910" s="76"/>
      <c r="ET910" s="76"/>
      <c r="EU910" s="76"/>
      <c r="EV910" s="76"/>
      <c r="EW910" s="76"/>
      <c r="EX910" s="76"/>
      <c r="EY910" s="76"/>
      <c r="EZ910" s="76"/>
      <c r="FA910" s="76"/>
      <c r="FB910" s="76"/>
      <c r="FC910" s="76"/>
      <c r="FD910" s="76"/>
      <c r="FE910" s="76"/>
      <c r="FF910" s="76"/>
      <c r="FG910" s="76"/>
      <c r="FH910" s="76"/>
      <c r="FI910" s="76"/>
      <c r="FJ910" s="76"/>
      <c r="FK910" s="76"/>
      <c r="FL910" s="76"/>
      <c r="FM910" s="76"/>
      <c r="FN910" s="76"/>
      <c r="FO910" s="76"/>
      <c r="FP910" s="76"/>
      <c r="FQ910" s="76"/>
      <c r="FR910" s="76"/>
      <c r="FS910" s="76"/>
      <c r="FT910" s="76"/>
      <c r="FU910" s="76"/>
      <c r="FV910" s="76"/>
      <c r="FW910" s="76"/>
      <c r="FX910" s="76"/>
      <c r="FY910" s="76"/>
      <c r="FZ910" s="76"/>
      <c r="GA910" s="76"/>
      <c r="GB910" s="76"/>
      <c r="GC910" s="76"/>
      <c r="GD910" s="76"/>
      <c r="GE910" s="76"/>
      <c r="GF910" s="76"/>
      <c r="GG910" s="76"/>
      <c r="GH910" s="76"/>
      <c r="GI910" s="76"/>
      <c r="GJ910" s="76"/>
      <c r="GK910" s="76"/>
      <c r="GL910" s="76"/>
      <c r="GM910" s="76"/>
      <c r="GN910" s="76"/>
      <c r="GO910" s="76"/>
      <c r="GP910" s="76"/>
      <c r="GQ910" s="76"/>
      <c r="GR910" s="76"/>
      <c r="GS910" s="76"/>
      <c r="GT910" s="76"/>
      <c r="GU910" s="76"/>
      <c r="GV910" s="76"/>
      <c r="GW910" s="76"/>
      <c r="GX910" s="76"/>
      <c r="GY910" s="76"/>
      <c r="GZ910" s="76"/>
      <c r="HA910" s="76"/>
      <c r="HB910" s="76"/>
      <c r="HC910" s="76"/>
      <c r="HD910" s="76"/>
      <c r="HE910" s="76"/>
      <c r="HF910" s="76"/>
      <c r="HG910" s="76"/>
      <c r="HH910" s="76"/>
      <c r="HI910" s="76"/>
      <c r="HJ910" s="76"/>
      <c r="HK910" s="76"/>
      <c r="HL910" s="76"/>
      <c r="HM910" s="76"/>
      <c r="HN910" s="76"/>
      <c r="HO910" s="76"/>
      <c r="HP910" s="76"/>
      <c r="HQ910" s="76"/>
      <c r="HR910" s="76"/>
      <c r="HS910" s="76"/>
      <c r="HT910" s="76"/>
      <c r="HU910" s="76"/>
      <c r="HV910" s="76"/>
      <c r="HW910" s="76"/>
      <c r="HX910" s="76"/>
      <c r="HY910" s="76"/>
      <c r="HZ910" s="76"/>
      <c r="IA910" s="76"/>
      <c r="IB910" s="76"/>
      <c r="IC910" s="76"/>
      <c r="ID910" s="76"/>
      <c r="IE910" s="76"/>
      <c r="IF910" s="76"/>
      <c r="IG910" s="76"/>
      <c r="IH910" s="76"/>
      <c r="II910" s="76"/>
      <c r="IJ910" s="76"/>
      <c r="IK910" s="76"/>
      <c r="IL910" s="76"/>
      <c r="IM910" s="76"/>
      <c r="IN910" s="76"/>
      <c r="IO910" s="76"/>
      <c r="IP910" s="76"/>
      <c r="IQ910" s="76"/>
      <c r="IR910" s="76"/>
      <c r="IS910" s="76"/>
      <c r="IT910" s="76"/>
      <c r="IU910" s="76"/>
      <c r="IV910" s="76"/>
    </row>
    <row r="911" spans="1:256">
      <c r="B911" s="39"/>
      <c r="C911" s="39" t="s">
        <v>111</v>
      </c>
      <c r="D911" s="39"/>
      <c r="E911" s="38" t="s">
        <v>1189</v>
      </c>
      <c r="F911" s="84">
        <f>F909/60</f>
        <v>8.3333333333333329E-2</v>
      </c>
      <c r="G911" s="106">
        <f>'HIRE CHARGES'!D545+'HIRE CHARGES'!E545+'HIRE CHARGES'!F545</f>
        <v>924.09999999999991</v>
      </c>
      <c r="H911" s="84">
        <f>ROUND(G911*F911,2)</f>
        <v>77.010000000000005</v>
      </c>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c r="AT911" s="76"/>
      <c r="AU911" s="76"/>
      <c r="AV911" s="76"/>
      <c r="AW911" s="76"/>
      <c r="AX911" s="76"/>
      <c r="AY911" s="76"/>
      <c r="AZ911" s="76"/>
      <c r="BA911" s="76"/>
      <c r="BB911" s="76"/>
      <c r="BC911" s="76"/>
      <c r="BD911" s="76"/>
      <c r="BE911" s="76"/>
      <c r="BF911" s="76"/>
      <c r="BG911" s="76"/>
      <c r="BH911" s="76"/>
      <c r="BI911" s="76"/>
      <c r="BJ911" s="76"/>
      <c r="BK911" s="76"/>
      <c r="BL911" s="76"/>
      <c r="BM911" s="76"/>
      <c r="BN911" s="76"/>
      <c r="BO911" s="76"/>
      <c r="BP911" s="76"/>
      <c r="BQ911" s="76"/>
      <c r="BR911" s="76"/>
      <c r="BS911" s="76"/>
      <c r="BT911" s="76"/>
      <c r="BU911" s="76"/>
      <c r="BV911" s="76"/>
      <c r="BW911" s="76"/>
      <c r="BX911" s="76"/>
      <c r="BY911" s="76"/>
      <c r="BZ911" s="76"/>
      <c r="CA911" s="76"/>
      <c r="CB911" s="76"/>
      <c r="CC911" s="76"/>
      <c r="CD911" s="76"/>
      <c r="CE911" s="76"/>
      <c r="CF911" s="76"/>
      <c r="CG911" s="76"/>
      <c r="CH911" s="76"/>
      <c r="CI911" s="76"/>
      <c r="CJ911" s="76"/>
      <c r="CK911" s="76"/>
      <c r="CL911" s="76"/>
      <c r="CM911" s="76"/>
      <c r="CN911" s="76"/>
      <c r="CO911" s="76"/>
      <c r="CP911" s="76"/>
      <c r="CQ911" s="76"/>
      <c r="CR911" s="76"/>
      <c r="CS911" s="76"/>
      <c r="CT911" s="76"/>
      <c r="CU911" s="76"/>
      <c r="CV911" s="76"/>
      <c r="CW911" s="76"/>
      <c r="CX911" s="76"/>
      <c r="CY911" s="76"/>
      <c r="CZ911" s="76"/>
      <c r="DA911" s="76"/>
      <c r="DB911" s="76"/>
      <c r="DC911" s="76"/>
      <c r="DD911" s="76"/>
      <c r="DE911" s="76"/>
      <c r="DF911" s="76"/>
      <c r="DG911" s="76"/>
      <c r="DH911" s="76"/>
      <c r="DI911" s="76"/>
      <c r="DJ911" s="76"/>
      <c r="DK911" s="76"/>
      <c r="DL911" s="76"/>
      <c r="DM911" s="76"/>
      <c r="DN911" s="76"/>
      <c r="DO911" s="76"/>
      <c r="DP911" s="76"/>
      <c r="DQ911" s="76"/>
      <c r="DR911" s="76"/>
      <c r="DS911" s="76"/>
      <c r="DT911" s="76"/>
      <c r="DU911" s="76"/>
      <c r="DV911" s="76"/>
      <c r="DW911" s="76"/>
      <c r="DX911" s="76"/>
      <c r="DY911" s="76"/>
      <c r="DZ911" s="76"/>
      <c r="EA911" s="76"/>
      <c r="EB911" s="76"/>
      <c r="EC911" s="76"/>
      <c r="ED911" s="76"/>
      <c r="EE911" s="76"/>
      <c r="EF911" s="76"/>
      <c r="EG911" s="76"/>
      <c r="EH911" s="76"/>
      <c r="EI911" s="76"/>
      <c r="EJ911" s="76"/>
      <c r="EK911" s="76"/>
      <c r="EL911" s="76"/>
      <c r="EM911" s="76"/>
      <c r="EN911" s="76"/>
      <c r="EO911" s="76"/>
      <c r="EP911" s="76"/>
      <c r="EQ911" s="76"/>
      <c r="ER911" s="76"/>
      <c r="ES911" s="76"/>
      <c r="ET911" s="76"/>
      <c r="EU911" s="76"/>
      <c r="EV911" s="76"/>
      <c r="EW911" s="76"/>
      <c r="EX911" s="76"/>
      <c r="EY911" s="76"/>
      <c r="EZ911" s="76"/>
      <c r="FA911" s="76"/>
      <c r="FB911" s="76"/>
      <c r="FC911" s="76"/>
      <c r="FD911" s="76"/>
      <c r="FE911" s="76"/>
      <c r="FF911" s="76"/>
      <c r="FG911" s="76"/>
      <c r="FH911" s="76"/>
      <c r="FI911" s="76"/>
      <c r="FJ911" s="76"/>
      <c r="FK911" s="76"/>
      <c r="FL911" s="76"/>
      <c r="FM911" s="76"/>
      <c r="FN911" s="76"/>
      <c r="FO911" s="76"/>
      <c r="FP911" s="76"/>
      <c r="FQ911" s="76"/>
      <c r="FR911" s="76"/>
      <c r="FS911" s="76"/>
      <c r="FT911" s="76"/>
      <c r="FU911" s="76"/>
      <c r="FV911" s="76"/>
      <c r="FW911" s="76"/>
      <c r="FX911" s="76"/>
      <c r="FY911" s="76"/>
      <c r="FZ911" s="76"/>
      <c r="GA911" s="76"/>
      <c r="GB911" s="76"/>
      <c r="GC911" s="76"/>
      <c r="GD911" s="76"/>
      <c r="GE911" s="76"/>
      <c r="GF911" s="76"/>
      <c r="GG911" s="76"/>
      <c r="GH911" s="76"/>
      <c r="GI911" s="76"/>
      <c r="GJ911" s="76"/>
      <c r="GK911" s="76"/>
      <c r="GL911" s="76"/>
      <c r="GM911" s="76"/>
      <c r="GN911" s="76"/>
      <c r="GO911" s="76"/>
      <c r="GP911" s="76"/>
      <c r="GQ911" s="76"/>
      <c r="GR911" s="76"/>
      <c r="GS911" s="76"/>
      <c r="GT911" s="76"/>
      <c r="GU911" s="76"/>
      <c r="GV911" s="76"/>
      <c r="GW911" s="76"/>
      <c r="GX911" s="76"/>
      <c r="GY911" s="76"/>
      <c r="GZ911" s="76"/>
      <c r="HA911" s="76"/>
      <c r="HB911" s="76"/>
      <c r="HC911" s="76"/>
      <c r="HD911" s="76"/>
      <c r="HE911" s="76"/>
      <c r="HF911" s="76"/>
      <c r="HG911" s="76"/>
      <c r="HH911" s="76"/>
      <c r="HI911" s="76"/>
      <c r="HJ911" s="76"/>
      <c r="HK911" s="76"/>
      <c r="HL911" s="76"/>
      <c r="HM911" s="76"/>
      <c r="HN911" s="76"/>
      <c r="HO911" s="76"/>
      <c r="HP911" s="76"/>
      <c r="HQ911" s="76"/>
      <c r="HR911" s="76"/>
      <c r="HS911" s="76"/>
      <c r="HT911" s="76"/>
      <c r="HU911" s="76"/>
      <c r="HV911" s="76"/>
      <c r="HW911" s="76"/>
      <c r="HX911" s="76"/>
      <c r="HY911" s="76"/>
      <c r="HZ911" s="76"/>
      <c r="IA911" s="76"/>
      <c r="IB911" s="76"/>
      <c r="IC911" s="76"/>
      <c r="ID911" s="76"/>
      <c r="IE911" s="76"/>
      <c r="IF911" s="76"/>
      <c r="IG911" s="76"/>
      <c r="IH911" s="76"/>
      <c r="II911" s="76"/>
      <c r="IJ911" s="76"/>
      <c r="IK911" s="76"/>
      <c r="IL911" s="76"/>
      <c r="IM911" s="76"/>
      <c r="IN911" s="76"/>
      <c r="IO911" s="76"/>
      <c r="IP911" s="76"/>
      <c r="IQ911" s="76"/>
      <c r="IR911" s="76"/>
      <c r="IS911" s="76"/>
      <c r="IT911" s="76"/>
      <c r="IU911" s="76"/>
      <c r="IV911" s="76"/>
    </row>
    <row r="912" spans="1:256" s="76" customFormat="1">
      <c r="A912" s="859"/>
      <c r="B912" s="39"/>
      <c r="C912" s="39" t="s">
        <v>217</v>
      </c>
      <c r="D912" s="39"/>
      <c r="E912" s="39"/>
      <c r="F912" s="39"/>
      <c r="G912" s="129"/>
      <c r="H912" s="84">
        <f>SUM(H911)</f>
        <v>77.010000000000005</v>
      </c>
    </row>
    <row r="913" spans="1:256" ht="36">
      <c r="B913" s="39"/>
      <c r="C913" s="63" t="s">
        <v>8365</v>
      </c>
      <c r="D913" s="1027">
        <f>'BASIC DATA'!$C$577</f>
        <v>0.13614999999999999</v>
      </c>
      <c r="E913" s="39"/>
      <c r="F913" s="39"/>
      <c r="G913" s="129"/>
      <c r="H913" s="84">
        <f>ROUND(H912*D913,2)</f>
        <v>10.48</v>
      </c>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76"/>
      <c r="AT913" s="76"/>
      <c r="AU913" s="76"/>
      <c r="AV913" s="76"/>
      <c r="AW913" s="76"/>
      <c r="AX913" s="76"/>
      <c r="AY913" s="76"/>
      <c r="AZ913" s="76"/>
      <c r="BA913" s="76"/>
      <c r="BB913" s="76"/>
      <c r="BC913" s="76"/>
      <c r="BD913" s="76"/>
      <c r="BE913" s="76"/>
      <c r="BF913" s="76"/>
      <c r="BG913" s="76"/>
      <c r="BH913" s="76"/>
      <c r="BI913" s="76"/>
      <c r="BJ913" s="76"/>
      <c r="BK913" s="76"/>
      <c r="BL913" s="76"/>
      <c r="BM913" s="76"/>
      <c r="BN913" s="76"/>
      <c r="BO913" s="76"/>
      <c r="BP913" s="76"/>
      <c r="BQ913" s="76"/>
      <c r="BR913" s="76"/>
      <c r="BS913" s="76"/>
      <c r="BT913" s="76"/>
      <c r="BU913" s="76"/>
      <c r="BV913" s="76"/>
      <c r="BW913" s="76"/>
      <c r="BX913" s="76"/>
      <c r="BY913" s="76"/>
      <c r="BZ913" s="76"/>
      <c r="CA913" s="76"/>
      <c r="CB913" s="76"/>
      <c r="CC913" s="76"/>
      <c r="CD913" s="76"/>
      <c r="CE913" s="76"/>
      <c r="CF913" s="76"/>
      <c r="CG913" s="76"/>
      <c r="CH913" s="76"/>
      <c r="CI913" s="76"/>
      <c r="CJ913" s="76"/>
      <c r="CK913" s="76"/>
      <c r="CL913" s="76"/>
      <c r="CM913" s="76"/>
      <c r="CN913" s="76"/>
      <c r="CO913" s="76"/>
      <c r="CP913" s="76"/>
      <c r="CQ913" s="76"/>
      <c r="CR913" s="76"/>
      <c r="CS913" s="76"/>
      <c r="CT913" s="76"/>
      <c r="CU913" s="76"/>
      <c r="CV913" s="76"/>
      <c r="CW913" s="76"/>
      <c r="CX913" s="76"/>
      <c r="CY913" s="76"/>
      <c r="CZ913" s="76"/>
      <c r="DA913" s="76"/>
      <c r="DB913" s="76"/>
      <c r="DC913" s="76"/>
      <c r="DD913" s="76"/>
      <c r="DE913" s="76"/>
      <c r="DF913" s="76"/>
      <c r="DG913" s="76"/>
      <c r="DH913" s="76"/>
      <c r="DI913" s="76"/>
      <c r="DJ913" s="76"/>
      <c r="DK913" s="76"/>
      <c r="DL913" s="76"/>
      <c r="DM913" s="76"/>
      <c r="DN913" s="76"/>
      <c r="DO913" s="76"/>
      <c r="DP913" s="76"/>
      <c r="DQ913" s="76"/>
      <c r="DR913" s="76"/>
      <c r="DS913" s="76"/>
      <c r="DT913" s="76"/>
      <c r="DU913" s="76"/>
      <c r="DV913" s="76"/>
      <c r="DW913" s="76"/>
      <c r="DX913" s="76"/>
      <c r="DY913" s="76"/>
      <c r="DZ913" s="76"/>
      <c r="EA913" s="76"/>
      <c r="EB913" s="76"/>
      <c r="EC913" s="76"/>
      <c r="ED913" s="76"/>
      <c r="EE913" s="76"/>
      <c r="EF913" s="76"/>
      <c r="EG913" s="76"/>
      <c r="EH913" s="76"/>
      <c r="EI913" s="76"/>
      <c r="EJ913" s="76"/>
      <c r="EK913" s="76"/>
      <c r="EL913" s="76"/>
      <c r="EM913" s="76"/>
      <c r="EN913" s="76"/>
      <c r="EO913" s="76"/>
      <c r="EP913" s="76"/>
      <c r="EQ913" s="76"/>
      <c r="ER913" s="76"/>
      <c r="ES913" s="76"/>
      <c r="ET913" s="76"/>
      <c r="EU913" s="76"/>
      <c r="EV913" s="76"/>
      <c r="EW913" s="76"/>
      <c r="EX913" s="76"/>
      <c r="EY913" s="76"/>
      <c r="EZ913" s="76"/>
      <c r="FA913" s="76"/>
      <c r="FB913" s="76"/>
      <c r="FC913" s="76"/>
      <c r="FD913" s="76"/>
      <c r="FE913" s="76"/>
      <c r="FF913" s="76"/>
      <c r="FG913" s="76"/>
      <c r="FH913" s="76"/>
      <c r="FI913" s="76"/>
      <c r="FJ913" s="76"/>
      <c r="FK913" s="76"/>
      <c r="FL913" s="76"/>
      <c r="FM913" s="76"/>
      <c r="FN913" s="76"/>
      <c r="FO913" s="76"/>
      <c r="FP913" s="76"/>
      <c r="FQ913" s="76"/>
      <c r="FR913" s="76"/>
      <c r="FS913" s="76"/>
      <c r="FT913" s="76"/>
      <c r="FU913" s="76"/>
      <c r="FV913" s="76"/>
      <c r="FW913" s="76"/>
      <c r="FX913" s="76"/>
      <c r="FY913" s="76"/>
      <c r="FZ913" s="76"/>
      <c r="GA913" s="76"/>
      <c r="GB913" s="76"/>
      <c r="GC913" s="76"/>
      <c r="GD913" s="76"/>
      <c r="GE913" s="76"/>
      <c r="GF913" s="76"/>
      <c r="GG913" s="76"/>
      <c r="GH913" s="76"/>
      <c r="GI913" s="76"/>
      <c r="GJ913" s="76"/>
      <c r="GK913" s="76"/>
      <c r="GL913" s="76"/>
      <c r="GM913" s="76"/>
      <c r="GN913" s="76"/>
      <c r="GO913" s="76"/>
      <c r="GP913" s="76"/>
      <c r="GQ913" s="76"/>
      <c r="GR913" s="76"/>
      <c r="GS913" s="76"/>
      <c r="GT913" s="76"/>
      <c r="GU913" s="76"/>
      <c r="GV913" s="76"/>
      <c r="GW913" s="76"/>
      <c r="GX913" s="76"/>
      <c r="GY913" s="76"/>
      <c r="GZ913" s="76"/>
      <c r="HA913" s="76"/>
      <c r="HB913" s="76"/>
      <c r="HC913" s="76"/>
      <c r="HD913" s="76"/>
      <c r="HE913" s="76"/>
      <c r="HF913" s="76"/>
      <c r="HG913" s="76"/>
      <c r="HH913" s="76"/>
      <c r="HI913" s="76"/>
      <c r="HJ913" s="76"/>
      <c r="HK913" s="76"/>
      <c r="HL913" s="76"/>
      <c r="HM913" s="76"/>
      <c r="HN913" s="76"/>
      <c r="HO913" s="76"/>
      <c r="HP913" s="76"/>
      <c r="HQ913" s="76"/>
      <c r="HR913" s="76"/>
      <c r="HS913" s="76"/>
      <c r="HT913" s="76"/>
      <c r="HU913" s="76"/>
      <c r="HV913" s="76"/>
      <c r="HW913" s="76"/>
      <c r="HX913" s="76"/>
      <c r="HY913" s="76"/>
      <c r="HZ913" s="76"/>
      <c r="IA913" s="76"/>
      <c r="IB913" s="76"/>
      <c r="IC913" s="76"/>
      <c r="ID913" s="76"/>
      <c r="IE913" s="76"/>
      <c r="IF913" s="76"/>
      <c r="IG913" s="76"/>
      <c r="IH913" s="76"/>
      <c r="II913" s="76"/>
      <c r="IJ913" s="76"/>
      <c r="IK913" s="76"/>
      <c r="IL913" s="76"/>
      <c r="IM913" s="76"/>
      <c r="IN913" s="76"/>
      <c r="IO913" s="76"/>
      <c r="IP913" s="76"/>
      <c r="IQ913" s="76"/>
      <c r="IR913" s="76"/>
      <c r="IS913" s="76"/>
      <c r="IT913" s="76"/>
      <c r="IU913" s="76"/>
      <c r="IV913" s="76"/>
    </row>
    <row r="914" spans="1:256">
      <c r="B914" s="39"/>
      <c r="C914" s="39" t="s">
        <v>114</v>
      </c>
      <c r="D914" s="39"/>
      <c r="E914" s="39"/>
      <c r="F914" s="39"/>
      <c r="G914" s="156"/>
      <c r="H914" s="84">
        <f>ROUND(SUM(H912:H913)/5.5,1)</f>
        <v>15.9</v>
      </c>
    </row>
    <row r="915" spans="1:256">
      <c r="B915" s="76"/>
    </row>
    <row r="916" spans="1:256">
      <c r="A916" s="828" t="s">
        <v>6946</v>
      </c>
      <c r="B916" s="87" t="s">
        <v>1750</v>
      </c>
      <c r="C916" s="76"/>
      <c r="D916" s="76"/>
      <c r="E916" s="76"/>
      <c r="F916" s="76"/>
      <c r="G916" s="76"/>
    </row>
    <row r="917" spans="1:256">
      <c r="B917" s="76"/>
      <c r="C917" s="76"/>
      <c r="D917" s="76"/>
      <c r="E917" s="76"/>
      <c r="F917" s="76"/>
      <c r="G917" s="76"/>
    </row>
    <row r="918" spans="1:256">
      <c r="B918" s="79" t="s">
        <v>3588</v>
      </c>
    </row>
    <row r="919" spans="1:256">
      <c r="B919" s="79" t="s">
        <v>768</v>
      </c>
    </row>
    <row r="920" spans="1:256"/>
    <row r="921" spans="1:256">
      <c r="B921" s="79" t="s">
        <v>3589</v>
      </c>
    </row>
    <row r="922" spans="1:256">
      <c r="B922" s="27" t="s">
        <v>3590</v>
      </c>
    </row>
    <row r="923" spans="1:256">
      <c r="B923" s="27" t="s">
        <v>1665</v>
      </c>
    </row>
    <row r="924" spans="1:256"/>
    <row r="925" spans="1:256">
      <c r="B925" s="79" t="s">
        <v>1666</v>
      </c>
    </row>
    <row r="926" spans="1:256"/>
    <row r="927" spans="1:256">
      <c r="B927" s="27" t="s">
        <v>173</v>
      </c>
    </row>
    <row r="928" spans="1:256">
      <c r="B928" s="27" t="s">
        <v>1289</v>
      </c>
    </row>
    <row r="929" spans="2:7">
      <c r="B929" s="27" t="s">
        <v>1290</v>
      </c>
      <c r="F929" s="27" t="s">
        <v>1291</v>
      </c>
    </row>
    <row r="930" spans="2:7">
      <c r="B930" s="27" t="s">
        <v>1292</v>
      </c>
    </row>
    <row r="931" spans="2:7">
      <c r="B931" s="27" t="s">
        <v>1293</v>
      </c>
      <c r="F931" s="27">
        <v>0.12</v>
      </c>
      <c r="G931" s="27" t="s">
        <v>2603</v>
      </c>
    </row>
    <row r="932" spans="2:7">
      <c r="B932" s="27" t="s">
        <v>1294</v>
      </c>
      <c r="F932" s="27">
        <v>4000</v>
      </c>
    </row>
    <row r="933" spans="2:7">
      <c r="B933" s="27" t="s">
        <v>1295</v>
      </c>
      <c r="F933" s="27">
        <v>1.4999999999999999E-2</v>
      </c>
      <c r="G933" s="27" t="s">
        <v>3477</v>
      </c>
    </row>
    <row r="934" spans="2:7">
      <c r="B934" s="27" t="s">
        <v>1296</v>
      </c>
      <c r="F934" s="27">
        <v>60</v>
      </c>
      <c r="G934" s="27" t="s">
        <v>3477</v>
      </c>
    </row>
    <row r="935" spans="2:7">
      <c r="B935" s="27" t="s">
        <v>1297</v>
      </c>
    </row>
    <row r="936" spans="2:7">
      <c r="B936" s="27" t="s">
        <v>1298</v>
      </c>
      <c r="E936" s="76" t="s">
        <v>1434</v>
      </c>
      <c r="F936" s="101">
        <v>60</v>
      </c>
      <c r="G936" s="76" t="s">
        <v>3477</v>
      </c>
    </row>
    <row r="937" spans="2:7" ht="36">
      <c r="B937" s="36" t="s">
        <v>3473</v>
      </c>
      <c r="C937" s="36" t="s">
        <v>2378</v>
      </c>
      <c r="D937" s="36" t="s">
        <v>2370</v>
      </c>
      <c r="E937" s="36" t="s">
        <v>1166</v>
      </c>
      <c r="F937" s="65" t="s">
        <v>125</v>
      </c>
      <c r="G937" s="65" t="s">
        <v>2165</v>
      </c>
    </row>
    <row r="938" spans="2:7">
      <c r="B938" s="36">
        <v>1</v>
      </c>
      <c r="C938" s="36">
        <v>2</v>
      </c>
      <c r="D938" s="36">
        <v>3</v>
      </c>
      <c r="E938" s="36">
        <v>4</v>
      </c>
      <c r="F938" s="36">
        <v>5</v>
      </c>
      <c r="G938" s="36">
        <v>6</v>
      </c>
    </row>
    <row r="939" spans="2:7">
      <c r="B939" s="39"/>
      <c r="C939" s="39" t="s">
        <v>4647</v>
      </c>
      <c r="D939" s="39" t="s">
        <v>1172</v>
      </c>
      <c r="E939" s="84">
        <v>1</v>
      </c>
      <c r="F939" s="84">
        <f>'BASIC DATA'!C552</f>
        <v>350</v>
      </c>
      <c r="G939" s="84">
        <f>ROUND(F939*E939,2)</f>
        <v>350</v>
      </c>
    </row>
    <row r="940" spans="2:7" ht="36">
      <c r="B940" s="135"/>
      <c r="C940" s="63" t="s">
        <v>127</v>
      </c>
      <c r="D940" s="1027">
        <f>'BASIC DATA'!$C$577</f>
        <v>0.13614999999999999</v>
      </c>
      <c r="E940" s="63"/>
      <c r="F940" s="39"/>
      <c r="G940" s="84">
        <f>ROUND(G939*D940,2)</f>
        <v>47.65</v>
      </c>
    </row>
    <row r="941" spans="2:7" ht="36">
      <c r="B941" s="129"/>
      <c r="C941" s="160"/>
      <c r="D941" s="63" t="s">
        <v>1921</v>
      </c>
      <c r="E941" s="118"/>
      <c r="F941" s="39"/>
      <c r="G941" s="84">
        <f>G940+G939</f>
        <v>397.65</v>
      </c>
    </row>
    <row r="942" spans="2:7">
      <c r="B942" s="129"/>
      <c r="C942" s="151" t="s">
        <v>1585</v>
      </c>
      <c r="D942" s="39"/>
      <c r="E942" s="118"/>
      <c r="F942" s="39"/>
      <c r="G942" s="84">
        <f>ROUND(G941/F936,1)</f>
        <v>6.6</v>
      </c>
    </row>
    <row r="943" spans="2:7">
      <c r="B943" s="79" t="s">
        <v>1922</v>
      </c>
    </row>
    <row r="944" spans="2:7">
      <c r="B944" s="79" t="s">
        <v>3589</v>
      </c>
    </row>
    <row r="945" spans="2:7">
      <c r="B945" s="27" t="s">
        <v>3590</v>
      </c>
    </row>
    <row r="946" spans="2:7">
      <c r="B946" s="27" t="s">
        <v>1665</v>
      </c>
    </row>
    <row r="947" spans="2:7"/>
    <row r="948" spans="2:7">
      <c r="B948" s="79" t="s">
        <v>1666</v>
      </c>
    </row>
    <row r="949" spans="2:7"/>
    <row r="950" spans="2:7">
      <c r="B950" s="27" t="s">
        <v>173</v>
      </c>
    </row>
    <row r="951" spans="2:7">
      <c r="B951" s="27" t="s">
        <v>1289</v>
      </c>
    </row>
    <row r="952" spans="2:7">
      <c r="B952" s="27" t="s">
        <v>1290</v>
      </c>
      <c r="F952" s="27" t="s">
        <v>1923</v>
      </c>
    </row>
    <row r="953" spans="2:7">
      <c r="B953" s="27" t="s">
        <v>1292</v>
      </c>
    </row>
    <row r="954" spans="2:7">
      <c r="B954" s="27" t="s">
        <v>1924</v>
      </c>
      <c r="F954" s="27">
        <v>0.28999999999999998</v>
      </c>
      <c r="G954" s="27" t="s">
        <v>2603</v>
      </c>
    </row>
    <row r="955" spans="2:7">
      <c r="B955" s="27" t="s">
        <v>171</v>
      </c>
      <c r="F955" s="27">
        <v>1655</v>
      </c>
    </row>
    <row r="956" spans="2:7">
      <c r="B956" s="27" t="s">
        <v>1295</v>
      </c>
      <c r="F956" s="27">
        <v>50</v>
      </c>
      <c r="G956" s="27" t="s">
        <v>172</v>
      </c>
    </row>
    <row r="957" spans="2:7">
      <c r="B957" s="27" t="s">
        <v>2772</v>
      </c>
      <c r="F957" s="27">
        <v>83</v>
      </c>
      <c r="G957" s="27" t="s">
        <v>2773</v>
      </c>
    </row>
    <row r="958" spans="2:7">
      <c r="B958" s="27" t="s">
        <v>2774</v>
      </c>
    </row>
    <row r="959" spans="2:7">
      <c r="B959" s="27" t="s">
        <v>1298</v>
      </c>
      <c r="E959" s="76" t="s">
        <v>1434</v>
      </c>
      <c r="F959" s="101">
        <v>83</v>
      </c>
      <c r="G959" s="76" t="s">
        <v>2775</v>
      </c>
    </row>
    <row r="960" spans="2:7" ht="36">
      <c r="B960" s="36" t="s">
        <v>3473</v>
      </c>
      <c r="C960" s="36" t="s">
        <v>2378</v>
      </c>
      <c r="D960" s="36" t="s">
        <v>2370</v>
      </c>
      <c r="E960" s="36" t="s">
        <v>1166</v>
      </c>
      <c r="F960" s="65" t="s">
        <v>125</v>
      </c>
      <c r="G960" s="65" t="s">
        <v>2165</v>
      </c>
    </row>
    <row r="961" spans="2:7">
      <c r="B961" s="36">
        <v>1</v>
      </c>
      <c r="C961" s="36">
        <v>2</v>
      </c>
      <c r="D961" s="36">
        <v>3</v>
      </c>
      <c r="E961" s="36">
        <v>4</v>
      </c>
      <c r="F961" s="36">
        <v>5</v>
      </c>
      <c r="G961" s="36">
        <v>6</v>
      </c>
    </row>
    <row r="962" spans="2:7">
      <c r="B962" s="39"/>
      <c r="C962" s="39" t="s">
        <v>4647</v>
      </c>
      <c r="D962" s="39" t="s">
        <v>1172</v>
      </c>
      <c r="E962" s="84">
        <v>1</v>
      </c>
      <c r="F962" s="84">
        <f>'BASIC DATA'!C552</f>
        <v>350</v>
      </c>
      <c r="G962" s="84">
        <f>F962*E962</f>
        <v>350</v>
      </c>
    </row>
    <row r="963" spans="2:7" ht="36">
      <c r="B963" s="135"/>
      <c r="C963" s="63" t="s">
        <v>127</v>
      </c>
      <c r="D963" s="1027">
        <f>'BASIC DATA'!$C$577</f>
        <v>0.13614999999999999</v>
      </c>
      <c r="E963" s="63"/>
      <c r="F963" s="39"/>
      <c r="G963" s="84">
        <f>ROUND(G962*D963,2)</f>
        <v>47.65</v>
      </c>
    </row>
    <row r="964" spans="2:7" ht="36">
      <c r="B964" s="129"/>
      <c r="C964" s="160"/>
      <c r="D964" s="63" t="s">
        <v>2776</v>
      </c>
      <c r="E964" s="118"/>
      <c r="F964" s="39"/>
      <c r="G964" s="84">
        <f>G963+G962</f>
        <v>397.65</v>
      </c>
    </row>
    <row r="965" spans="2:7">
      <c r="B965" s="129"/>
      <c r="C965" s="151" t="s">
        <v>4021</v>
      </c>
      <c r="D965" s="39"/>
      <c r="E965" s="118"/>
      <c r="F965" s="39"/>
      <c r="G965" s="84">
        <f>ROUND(G964/F959,1)</f>
        <v>4.8</v>
      </c>
    </row>
    <row r="966" spans="2:7">
      <c r="B966" s="79" t="s">
        <v>2777</v>
      </c>
    </row>
    <row r="967" spans="2:7"/>
    <row r="968" spans="2:7">
      <c r="B968" s="79" t="s">
        <v>3589</v>
      </c>
    </row>
    <row r="969" spans="2:7">
      <c r="B969" s="27" t="s">
        <v>3590</v>
      </c>
    </row>
    <row r="970" spans="2:7">
      <c r="B970" s="27" t="s">
        <v>1665</v>
      </c>
    </row>
    <row r="971" spans="2:7">
      <c r="B971" s="79" t="s">
        <v>2778</v>
      </c>
    </row>
    <row r="972" spans="2:7"/>
    <row r="973" spans="2:7">
      <c r="B973" s="27" t="s">
        <v>173</v>
      </c>
    </row>
    <row r="974" spans="2:7">
      <c r="B974" s="27" t="s">
        <v>1289</v>
      </c>
    </row>
    <row r="975" spans="2:7">
      <c r="B975" s="27" t="s">
        <v>1290</v>
      </c>
      <c r="F975" s="27" t="s">
        <v>2779</v>
      </c>
    </row>
    <row r="976" spans="2:7">
      <c r="B976" s="27" t="s">
        <v>1292</v>
      </c>
    </row>
    <row r="977" spans="1:256">
      <c r="B977" s="27" t="s">
        <v>2780</v>
      </c>
      <c r="F977" s="27">
        <v>0.18</v>
      </c>
      <c r="G977" s="27" t="s">
        <v>2603</v>
      </c>
    </row>
    <row r="978" spans="1:256">
      <c r="B978" s="27" t="s">
        <v>2781</v>
      </c>
      <c r="F978" s="27">
        <v>2667</v>
      </c>
    </row>
    <row r="979" spans="1:256" s="78" customFormat="1">
      <c r="A979" s="865"/>
      <c r="B979" s="27" t="s">
        <v>1295</v>
      </c>
      <c r="C979" s="27"/>
      <c r="D979" s="27"/>
      <c r="E979" s="27"/>
      <c r="F979" s="27">
        <v>1.7000000000000001E-2</v>
      </c>
      <c r="G979" s="27" t="s">
        <v>3477</v>
      </c>
    </row>
    <row r="980" spans="1:256">
      <c r="B980" s="27" t="s">
        <v>2782</v>
      </c>
      <c r="F980" s="27">
        <v>45</v>
      </c>
      <c r="G980" s="27" t="s">
        <v>3477</v>
      </c>
    </row>
    <row r="981" spans="1:256">
      <c r="B981" s="27" t="s">
        <v>2774</v>
      </c>
    </row>
    <row r="982" spans="1:256"/>
    <row r="983" spans="1:256">
      <c r="B983" s="27" t="s">
        <v>2783</v>
      </c>
      <c r="E983" s="76" t="s">
        <v>1434</v>
      </c>
      <c r="F983" s="101">
        <v>45</v>
      </c>
      <c r="G983" s="76" t="s">
        <v>3477</v>
      </c>
    </row>
    <row r="984" spans="1:256" ht="36">
      <c r="B984" s="36" t="s">
        <v>3473</v>
      </c>
      <c r="C984" s="36" t="s">
        <v>2378</v>
      </c>
      <c r="D984" s="36" t="s">
        <v>2370</v>
      </c>
      <c r="E984" s="36" t="s">
        <v>1166</v>
      </c>
      <c r="F984" s="65" t="s">
        <v>125</v>
      </c>
      <c r="G984" s="65" t="s">
        <v>2165</v>
      </c>
    </row>
    <row r="985" spans="1:256">
      <c r="B985" s="36">
        <v>1</v>
      </c>
      <c r="C985" s="36">
        <v>2</v>
      </c>
      <c r="D985" s="36">
        <v>3</v>
      </c>
      <c r="E985" s="36">
        <v>4</v>
      </c>
      <c r="F985" s="36">
        <v>5</v>
      </c>
      <c r="G985" s="36">
        <v>6</v>
      </c>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c r="AY985" s="76"/>
      <c r="AZ985" s="76"/>
      <c r="BA985" s="76"/>
      <c r="BB985" s="76"/>
      <c r="BC985" s="76"/>
      <c r="BD985" s="76"/>
      <c r="BE985" s="76"/>
      <c r="BF985" s="76"/>
      <c r="BG985" s="76"/>
      <c r="BH985" s="76"/>
      <c r="BI985" s="76"/>
      <c r="BJ985" s="76"/>
      <c r="BK985" s="76"/>
      <c r="BL985" s="76"/>
      <c r="BM985" s="76"/>
      <c r="BN985" s="76"/>
      <c r="BO985" s="76"/>
      <c r="BP985" s="76"/>
      <c r="BQ985" s="76"/>
      <c r="BR985" s="76"/>
      <c r="BS985" s="76"/>
      <c r="BT985" s="76"/>
      <c r="BU985" s="76"/>
      <c r="BV985" s="76"/>
      <c r="BW985" s="76"/>
      <c r="BX985" s="76"/>
      <c r="BY985" s="76"/>
      <c r="BZ985" s="76"/>
      <c r="CA985" s="76"/>
      <c r="CB985" s="76"/>
      <c r="CC985" s="76"/>
      <c r="CD985" s="76"/>
      <c r="CE985" s="76"/>
      <c r="CF985" s="76"/>
      <c r="CG985" s="76"/>
      <c r="CH985" s="76"/>
      <c r="CI985" s="76"/>
      <c r="CJ985" s="76"/>
      <c r="CK985" s="76"/>
      <c r="CL985" s="76"/>
      <c r="CM985" s="76"/>
      <c r="CN985" s="76"/>
      <c r="CO985" s="76"/>
      <c r="CP985" s="76"/>
      <c r="CQ985" s="76"/>
      <c r="CR985" s="76"/>
      <c r="CS985" s="76"/>
      <c r="CT985" s="76"/>
      <c r="CU985" s="76"/>
      <c r="CV985" s="76"/>
      <c r="CW985" s="76"/>
      <c r="CX985" s="76"/>
      <c r="CY985" s="76"/>
      <c r="CZ985" s="76"/>
      <c r="DA985" s="76"/>
      <c r="DB985" s="76"/>
      <c r="DC985" s="76"/>
      <c r="DD985" s="76"/>
      <c r="DE985" s="76"/>
      <c r="DF985" s="76"/>
      <c r="DG985" s="76"/>
      <c r="DH985" s="76"/>
      <c r="DI985" s="76"/>
      <c r="DJ985" s="76"/>
      <c r="DK985" s="76"/>
      <c r="DL985" s="76"/>
      <c r="DM985" s="76"/>
      <c r="DN985" s="76"/>
      <c r="DO985" s="76"/>
      <c r="DP985" s="76"/>
      <c r="DQ985" s="76"/>
      <c r="DR985" s="76"/>
      <c r="DS985" s="76"/>
      <c r="DT985" s="76"/>
      <c r="DU985" s="76"/>
      <c r="DV985" s="76"/>
      <c r="DW985" s="76"/>
      <c r="DX985" s="76"/>
      <c r="DY985" s="76"/>
      <c r="DZ985" s="76"/>
      <c r="EA985" s="76"/>
      <c r="EB985" s="76"/>
      <c r="EC985" s="76"/>
      <c r="ED985" s="76"/>
      <c r="EE985" s="76"/>
      <c r="EF985" s="76"/>
      <c r="EG985" s="76"/>
      <c r="EH985" s="76"/>
      <c r="EI985" s="76"/>
      <c r="EJ985" s="76"/>
      <c r="EK985" s="76"/>
      <c r="EL985" s="76"/>
      <c r="EM985" s="76"/>
      <c r="EN985" s="76"/>
      <c r="EO985" s="76"/>
      <c r="EP985" s="76"/>
      <c r="EQ985" s="76"/>
      <c r="ER985" s="76"/>
      <c r="ES985" s="76"/>
      <c r="ET985" s="76"/>
      <c r="EU985" s="76"/>
      <c r="EV985" s="76"/>
      <c r="EW985" s="76"/>
      <c r="EX985" s="76"/>
      <c r="EY985" s="76"/>
      <c r="EZ985" s="76"/>
      <c r="FA985" s="76"/>
      <c r="FB985" s="76"/>
      <c r="FC985" s="76"/>
      <c r="FD985" s="76"/>
      <c r="FE985" s="76"/>
      <c r="FF985" s="76"/>
      <c r="FG985" s="76"/>
      <c r="FH985" s="76"/>
      <c r="FI985" s="76"/>
      <c r="FJ985" s="76"/>
      <c r="FK985" s="76"/>
      <c r="FL985" s="76"/>
      <c r="FM985" s="76"/>
      <c r="FN985" s="76"/>
      <c r="FO985" s="76"/>
      <c r="FP985" s="76"/>
      <c r="FQ985" s="76"/>
      <c r="FR985" s="76"/>
      <c r="FS985" s="76"/>
      <c r="FT985" s="76"/>
      <c r="FU985" s="76"/>
      <c r="FV985" s="76"/>
      <c r="FW985" s="76"/>
      <c r="FX985" s="76"/>
      <c r="FY985" s="76"/>
      <c r="FZ985" s="76"/>
      <c r="GA985" s="76"/>
      <c r="GB985" s="76"/>
      <c r="GC985" s="76"/>
      <c r="GD985" s="76"/>
      <c r="GE985" s="76"/>
      <c r="GF985" s="76"/>
      <c r="GG985" s="76"/>
      <c r="GH985" s="76"/>
      <c r="GI985" s="76"/>
      <c r="GJ985" s="76"/>
      <c r="GK985" s="76"/>
      <c r="GL985" s="76"/>
      <c r="GM985" s="76"/>
      <c r="GN985" s="76"/>
      <c r="GO985" s="76"/>
      <c r="GP985" s="76"/>
      <c r="GQ985" s="76"/>
      <c r="GR985" s="76"/>
      <c r="GS985" s="76"/>
      <c r="GT985" s="76"/>
      <c r="GU985" s="76"/>
      <c r="GV985" s="76"/>
      <c r="GW985" s="76"/>
      <c r="GX985" s="76"/>
      <c r="GY985" s="76"/>
      <c r="GZ985" s="76"/>
      <c r="HA985" s="76"/>
      <c r="HB985" s="76"/>
      <c r="HC985" s="76"/>
      <c r="HD985" s="76"/>
      <c r="HE985" s="76"/>
      <c r="HF985" s="76"/>
      <c r="HG985" s="76"/>
      <c r="HH985" s="76"/>
      <c r="HI985" s="76"/>
      <c r="HJ985" s="76"/>
      <c r="HK985" s="76"/>
      <c r="HL985" s="76"/>
      <c r="HM985" s="76"/>
      <c r="HN985" s="76"/>
      <c r="HO985" s="76"/>
      <c r="HP985" s="76"/>
      <c r="HQ985" s="76"/>
      <c r="HR985" s="76"/>
      <c r="HS985" s="76"/>
      <c r="HT985" s="76"/>
      <c r="HU985" s="76"/>
      <c r="HV985" s="76"/>
      <c r="HW985" s="76"/>
      <c r="HX985" s="76"/>
      <c r="HY985" s="76"/>
      <c r="HZ985" s="76"/>
      <c r="IA985" s="76"/>
      <c r="IB985" s="76"/>
      <c r="IC985" s="76"/>
      <c r="ID985" s="76"/>
      <c r="IE985" s="76"/>
      <c r="IF985" s="76"/>
      <c r="IG985" s="76"/>
      <c r="IH985" s="76"/>
      <c r="II985" s="76"/>
      <c r="IJ985" s="76"/>
      <c r="IK985" s="76"/>
      <c r="IL985" s="76"/>
      <c r="IM985" s="76"/>
      <c r="IN985" s="76"/>
      <c r="IO985" s="76"/>
      <c r="IP985" s="76"/>
      <c r="IQ985" s="76"/>
      <c r="IR985" s="76"/>
      <c r="IS985" s="76"/>
      <c r="IT985" s="76"/>
      <c r="IU985" s="76"/>
      <c r="IV985" s="76"/>
    </row>
    <row r="986" spans="1:256">
      <c r="B986" s="39"/>
      <c r="C986" s="39" t="s">
        <v>4647</v>
      </c>
      <c r="D986" s="39" t="s">
        <v>1172</v>
      </c>
      <c r="E986" s="84">
        <v>1</v>
      </c>
      <c r="F986" s="84">
        <f>'BASIC DATA'!C552</f>
        <v>350</v>
      </c>
      <c r="G986" s="84">
        <f>F986*E986</f>
        <v>350</v>
      </c>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c r="AR986" s="76"/>
      <c r="AS986" s="76"/>
      <c r="AT986" s="76"/>
      <c r="AU986" s="76"/>
      <c r="AV986" s="76"/>
      <c r="AW986" s="76"/>
      <c r="AX986" s="76"/>
      <c r="AY986" s="76"/>
      <c r="AZ986" s="76"/>
      <c r="BA986" s="76"/>
      <c r="BB986" s="76"/>
      <c r="BC986" s="76"/>
      <c r="BD986" s="76"/>
      <c r="BE986" s="76"/>
      <c r="BF986" s="76"/>
      <c r="BG986" s="76"/>
      <c r="BH986" s="76"/>
      <c r="BI986" s="76"/>
      <c r="BJ986" s="76"/>
      <c r="BK986" s="76"/>
      <c r="BL986" s="76"/>
      <c r="BM986" s="76"/>
      <c r="BN986" s="76"/>
      <c r="BO986" s="76"/>
      <c r="BP986" s="76"/>
      <c r="BQ986" s="76"/>
      <c r="BR986" s="76"/>
      <c r="BS986" s="76"/>
      <c r="BT986" s="76"/>
      <c r="BU986" s="76"/>
      <c r="BV986" s="76"/>
      <c r="BW986" s="76"/>
      <c r="BX986" s="76"/>
      <c r="BY986" s="76"/>
      <c r="BZ986" s="76"/>
      <c r="CA986" s="76"/>
      <c r="CB986" s="76"/>
      <c r="CC986" s="76"/>
      <c r="CD986" s="76"/>
      <c r="CE986" s="76"/>
      <c r="CF986" s="76"/>
      <c r="CG986" s="76"/>
      <c r="CH986" s="76"/>
      <c r="CI986" s="76"/>
      <c r="CJ986" s="76"/>
      <c r="CK986" s="76"/>
      <c r="CL986" s="76"/>
      <c r="CM986" s="76"/>
      <c r="CN986" s="76"/>
      <c r="CO986" s="76"/>
      <c r="CP986" s="76"/>
      <c r="CQ986" s="76"/>
      <c r="CR986" s="76"/>
      <c r="CS986" s="76"/>
      <c r="CT986" s="76"/>
      <c r="CU986" s="76"/>
      <c r="CV986" s="76"/>
      <c r="CW986" s="76"/>
      <c r="CX986" s="76"/>
      <c r="CY986" s="76"/>
      <c r="CZ986" s="76"/>
      <c r="DA986" s="76"/>
      <c r="DB986" s="76"/>
      <c r="DC986" s="76"/>
      <c r="DD986" s="76"/>
      <c r="DE986" s="76"/>
      <c r="DF986" s="76"/>
      <c r="DG986" s="76"/>
      <c r="DH986" s="76"/>
      <c r="DI986" s="76"/>
      <c r="DJ986" s="76"/>
      <c r="DK986" s="76"/>
      <c r="DL986" s="76"/>
      <c r="DM986" s="76"/>
      <c r="DN986" s="76"/>
      <c r="DO986" s="76"/>
      <c r="DP986" s="76"/>
      <c r="DQ986" s="76"/>
      <c r="DR986" s="76"/>
      <c r="DS986" s="76"/>
      <c r="DT986" s="76"/>
      <c r="DU986" s="76"/>
      <c r="DV986" s="76"/>
      <c r="DW986" s="76"/>
      <c r="DX986" s="76"/>
      <c r="DY986" s="76"/>
      <c r="DZ986" s="76"/>
      <c r="EA986" s="76"/>
      <c r="EB986" s="76"/>
      <c r="EC986" s="76"/>
      <c r="ED986" s="76"/>
      <c r="EE986" s="76"/>
      <c r="EF986" s="76"/>
      <c r="EG986" s="76"/>
      <c r="EH986" s="76"/>
      <c r="EI986" s="76"/>
      <c r="EJ986" s="76"/>
      <c r="EK986" s="76"/>
      <c r="EL986" s="76"/>
      <c r="EM986" s="76"/>
      <c r="EN986" s="76"/>
      <c r="EO986" s="76"/>
      <c r="EP986" s="76"/>
      <c r="EQ986" s="76"/>
      <c r="ER986" s="76"/>
      <c r="ES986" s="76"/>
      <c r="ET986" s="76"/>
      <c r="EU986" s="76"/>
      <c r="EV986" s="76"/>
      <c r="EW986" s="76"/>
      <c r="EX986" s="76"/>
      <c r="EY986" s="76"/>
      <c r="EZ986" s="76"/>
      <c r="FA986" s="76"/>
      <c r="FB986" s="76"/>
      <c r="FC986" s="76"/>
      <c r="FD986" s="76"/>
      <c r="FE986" s="76"/>
      <c r="FF986" s="76"/>
      <c r="FG986" s="76"/>
      <c r="FH986" s="76"/>
      <c r="FI986" s="76"/>
      <c r="FJ986" s="76"/>
      <c r="FK986" s="76"/>
      <c r="FL986" s="76"/>
      <c r="FM986" s="76"/>
      <c r="FN986" s="76"/>
      <c r="FO986" s="76"/>
      <c r="FP986" s="76"/>
      <c r="FQ986" s="76"/>
      <c r="FR986" s="76"/>
      <c r="FS986" s="76"/>
      <c r="FT986" s="76"/>
      <c r="FU986" s="76"/>
      <c r="FV986" s="76"/>
      <c r="FW986" s="76"/>
      <c r="FX986" s="76"/>
      <c r="FY986" s="76"/>
      <c r="FZ986" s="76"/>
      <c r="GA986" s="76"/>
      <c r="GB986" s="76"/>
      <c r="GC986" s="76"/>
      <c r="GD986" s="76"/>
      <c r="GE986" s="76"/>
      <c r="GF986" s="76"/>
      <c r="GG986" s="76"/>
      <c r="GH986" s="76"/>
      <c r="GI986" s="76"/>
      <c r="GJ986" s="76"/>
      <c r="GK986" s="76"/>
      <c r="GL986" s="76"/>
      <c r="GM986" s="76"/>
      <c r="GN986" s="76"/>
      <c r="GO986" s="76"/>
      <c r="GP986" s="76"/>
      <c r="GQ986" s="76"/>
      <c r="GR986" s="76"/>
      <c r="GS986" s="76"/>
      <c r="GT986" s="76"/>
      <c r="GU986" s="76"/>
      <c r="GV986" s="76"/>
      <c r="GW986" s="76"/>
      <c r="GX986" s="76"/>
      <c r="GY986" s="76"/>
      <c r="GZ986" s="76"/>
      <c r="HA986" s="76"/>
      <c r="HB986" s="76"/>
      <c r="HC986" s="76"/>
      <c r="HD986" s="76"/>
      <c r="HE986" s="76"/>
      <c r="HF986" s="76"/>
      <c r="HG986" s="76"/>
      <c r="HH986" s="76"/>
      <c r="HI986" s="76"/>
      <c r="HJ986" s="76"/>
      <c r="HK986" s="76"/>
      <c r="HL986" s="76"/>
      <c r="HM986" s="76"/>
      <c r="HN986" s="76"/>
      <c r="HO986" s="76"/>
      <c r="HP986" s="76"/>
      <c r="HQ986" s="76"/>
      <c r="HR986" s="76"/>
      <c r="HS986" s="76"/>
      <c r="HT986" s="76"/>
      <c r="HU986" s="76"/>
      <c r="HV986" s="76"/>
      <c r="HW986" s="76"/>
      <c r="HX986" s="76"/>
      <c r="HY986" s="76"/>
      <c r="HZ986" s="76"/>
      <c r="IA986" s="76"/>
      <c r="IB986" s="76"/>
      <c r="IC986" s="76"/>
      <c r="ID986" s="76"/>
      <c r="IE986" s="76"/>
      <c r="IF986" s="76"/>
      <c r="IG986" s="76"/>
      <c r="IH986" s="76"/>
      <c r="II986" s="76"/>
      <c r="IJ986" s="76"/>
      <c r="IK986" s="76"/>
      <c r="IL986" s="76"/>
      <c r="IM986" s="76"/>
      <c r="IN986" s="76"/>
      <c r="IO986" s="76"/>
      <c r="IP986" s="76"/>
      <c r="IQ986" s="76"/>
      <c r="IR986" s="76"/>
      <c r="IS986" s="76"/>
      <c r="IT986" s="76"/>
      <c r="IU986" s="76"/>
      <c r="IV986" s="76"/>
    </row>
    <row r="987" spans="1:256" ht="36">
      <c r="B987" s="135"/>
      <c r="C987" s="63" t="s">
        <v>127</v>
      </c>
      <c r="D987" s="1027">
        <f>'BASIC DATA'!$C$577</f>
        <v>0.13614999999999999</v>
      </c>
      <c r="E987" s="63"/>
      <c r="F987" s="39"/>
      <c r="G987" s="84">
        <f>ROUND(G986*D987,2)</f>
        <v>47.65</v>
      </c>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c r="AY987" s="76"/>
      <c r="AZ987" s="76"/>
      <c r="BA987" s="76"/>
      <c r="BB987" s="76"/>
      <c r="BC987" s="76"/>
      <c r="BD987" s="76"/>
      <c r="BE987" s="76"/>
      <c r="BF987" s="76"/>
      <c r="BG987" s="76"/>
      <c r="BH987" s="76"/>
      <c r="BI987" s="76"/>
      <c r="BJ987" s="76"/>
      <c r="BK987" s="76"/>
      <c r="BL987" s="76"/>
      <c r="BM987" s="76"/>
      <c r="BN987" s="76"/>
      <c r="BO987" s="76"/>
      <c r="BP987" s="76"/>
      <c r="BQ987" s="76"/>
      <c r="BR987" s="76"/>
      <c r="BS987" s="76"/>
      <c r="BT987" s="76"/>
      <c r="BU987" s="76"/>
      <c r="BV987" s="76"/>
      <c r="BW987" s="76"/>
      <c r="BX987" s="76"/>
      <c r="BY987" s="76"/>
      <c r="BZ987" s="76"/>
      <c r="CA987" s="76"/>
      <c r="CB987" s="76"/>
      <c r="CC987" s="76"/>
      <c r="CD987" s="76"/>
      <c r="CE987" s="76"/>
      <c r="CF987" s="76"/>
      <c r="CG987" s="76"/>
      <c r="CH987" s="76"/>
      <c r="CI987" s="76"/>
      <c r="CJ987" s="76"/>
      <c r="CK987" s="76"/>
      <c r="CL987" s="76"/>
      <c r="CM987" s="76"/>
      <c r="CN987" s="76"/>
      <c r="CO987" s="76"/>
      <c r="CP987" s="76"/>
      <c r="CQ987" s="76"/>
      <c r="CR987" s="76"/>
      <c r="CS987" s="76"/>
      <c r="CT987" s="76"/>
      <c r="CU987" s="76"/>
      <c r="CV987" s="76"/>
      <c r="CW987" s="76"/>
      <c r="CX987" s="76"/>
      <c r="CY987" s="76"/>
      <c r="CZ987" s="76"/>
      <c r="DA987" s="76"/>
      <c r="DB987" s="76"/>
      <c r="DC987" s="76"/>
      <c r="DD987" s="76"/>
      <c r="DE987" s="76"/>
      <c r="DF987" s="76"/>
      <c r="DG987" s="76"/>
      <c r="DH987" s="76"/>
      <c r="DI987" s="76"/>
      <c r="DJ987" s="76"/>
      <c r="DK987" s="76"/>
      <c r="DL987" s="76"/>
      <c r="DM987" s="76"/>
      <c r="DN987" s="76"/>
      <c r="DO987" s="76"/>
      <c r="DP987" s="76"/>
      <c r="DQ987" s="76"/>
      <c r="DR987" s="76"/>
      <c r="DS987" s="76"/>
      <c r="DT987" s="76"/>
      <c r="DU987" s="76"/>
      <c r="DV987" s="76"/>
      <c r="DW987" s="76"/>
      <c r="DX987" s="76"/>
      <c r="DY987" s="76"/>
      <c r="DZ987" s="76"/>
      <c r="EA987" s="76"/>
      <c r="EB987" s="76"/>
      <c r="EC987" s="76"/>
      <c r="ED987" s="76"/>
      <c r="EE987" s="76"/>
      <c r="EF987" s="76"/>
      <c r="EG987" s="76"/>
      <c r="EH987" s="76"/>
      <c r="EI987" s="76"/>
      <c r="EJ987" s="76"/>
      <c r="EK987" s="76"/>
      <c r="EL987" s="76"/>
      <c r="EM987" s="76"/>
      <c r="EN987" s="76"/>
      <c r="EO987" s="76"/>
      <c r="EP987" s="76"/>
      <c r="EQ987" s="76"/>
      <c r="ER987" s="76"/>
      <c r="ES987" s="76"/>
      <c r="ET987" s="76"/>
      <c r="EU987" s="76"/>
      <c r="EV987" s="76"/>
      <c r="EW987" s="76"/>
      <c r="EX987" s="76"/>
      <c r="EY987" s="76"/>
      <c r="EZ987" s="76"/>
      <c r="FA987" s="76"/>
      <c r="FB987" s="76"/>
      <c r="FC987" s="76"/>
      <c r="FD987" s="76"/>
      <c r="FE987" s="76"/>
      <c r="FF987" s="76"/>
      <c r="FG987" s="76"/>
      <c r="FH987" s="76"/>
      <c r="FI987" s="76"/>
      <c r="FJ987" s="76"/>
      <c r="FK987" s="76"/>
      <c r="FL987" s="76"/>
      <c r="FM987" s="76"/>
      <c r="FN987" s="76"/>
      <c r="FO987" s="76"/>
      <c r="FP987" s="76"/>
      <c r="FQ987" s="76"/>
      <c r="FR987" s="76"/>
      <c r="FS987" s="76"/>
      <c r="FT987" s="76"/>
      <c r="FU987" s="76"/>
      <c r="FV987" s="76"/>
      <c r="FW987" s="76"/>
      <c r="FX987" s="76"/>
      <c r="FY987" s="76"/>
      <c r="FZ987" s="76"/>
      <c r="GA987" s="76"/>
      <c r="GB987" s="76"/>
      <c r="GC987" s="76"/>
      <c r="GD987" s="76"/>
      <c r="GE987" s="76"/>
      <c r="GF987" s="76"/>
      <c r="GG987" s="76"/>
      <c r="GH987" s="76"/>
      <c r="GI987" s="76"/>
      <c r="GJ987" s="76"/>
      <c r="GK987" s="76"/>
      <c r="GL987" s="76"/>
      <c r="GM987" s="76"/>
      <c r="GN987" s="76"/>
      <c r="GO987" s="76"/>
      <c r="GP987" s="76"/>
      <c r="GQ987" s="76"/>
      <c r="GR987" s="76"/>
      <c r="GS987" s="76"/>
      <c r="GT987" s="76"/>
      <c r="GU987" s="76"/>
      <c r="GV987" s="76"/>
      <c r="GW987" s="76"/>
      <c r="GX987" s="76"/>
      <c r="GY987" s="76"/>
      <c r="GZ987" s="76"/>
      <c r="HA987" s="76"/>
      <c r="HB987" s="76"/>
      <c r="HC987" s="76"/>
      <c r="HD987" s="76"/>
      <c r="HE987" s="76"/>
      <c r="HF987" s="76"/>
      <c r="HG987" s="76"/>
      <c r="HH987" s="76"/>
      <c r="HI987" s="76"/>
      <c r="HJ987" s="76"/>
      <c r="HK987" s="76"/>
      <c r="HL987" s="76"/>
      <c r="HM987" s="76"/>
      <c r="HN987" s="76"/>
      <c r="HO987" s="76"/>
      <c r="HP987" s="76"/>
      <c r="HQ987" s="76"/>
      <c r="HR987" s="76"/>
      <c r="HS987" s="76"/>
      <c r="HT987" s="76"/>
      <c r="HU987" s="76"/>
      <c r="HV987" s="76"/>
      <c r="HW987" s="76"/>
      <c r="HX987" s="76"/>
      <c r="HY987" s="76"/>
      <c r="HZ987" s="76"/>
      <c r="IA987" s="76"/>
      <c r="IB987" s="76"/>
      <c r="IC987" s="76"/>
      <c r="ID987" s="76"/>
      <c r="IE987" s="76"/>
      <c r="IF987" s="76"/>
      <c r="IG987" s="76"/>
      <c r="IH987" s="76"/>
      <c r="II987" s="76"/>
      <c r="IJ987" s="76"/>
      <c r="IK987" s="76"/>
      <c r="IL987" s="76"/>
      <c r="IM987" s="76"/>
      <c r="IN987" s="76"/>
      <c r="IO987" s="76"/>
      <c r="IP987" s="76"/>
      <c r="IQ987" s="76"/>
      <c r="IR987" s="76"/>
      <c r="IS987" s="76"/>
      <c r="IT987" s="76"/>
      <c r="IU987" s="76"/>
      <c r="IV987" s="76"/>
    </row>
    <row r="988" spans="1:256" ht="36">
      <c r="B988" s="129"/>
      <c r="C988" s="160"/>
      <c r="D988" s="63" t="s">
        <v>2784</v>
      </c>
      <c r="E988" s="118"/>
      <c r="F988" s="39"/>
      <c r="G988" s="84">
        <f>G987+G986</f>
        <v>397.65</v>
      </c>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c r="AR988" s="76"/>
      <c r="AS988" s="76"/>
      <c r="AT988" s="76"/>
      <c r="AU988" s="76"/>
      <c r="AV988" s="76"/>
      <c r="AW988" s="76"/>
      <c r="AX988" s="76"/>
      <c r="AY988" s="76"/>
      <c r="AZ988" s="76"/>
      <c r="BA988" s="76"/>
      <c r="BB988" s="76"/>
      <c r="BC988" s="76"/>
      <c r="BD988" s="76"/>
      <c r="BE988" s="76"/>
      <c r="BF988" s="76"/>
      <c r="BG988" s="76"/>
      <c r="BH988" s="76"/>
      <c r="BI988" s="76"/>
      <c r="BJ988" s="76"/>
      <c r="BK988" s="76"/>
      <c r="BL988" s="76"/>
      <c r="BM988" s="76"/>
      <c r="BN988" s="76"/>
      <c r="BO988" s="76"/>
      <c r="BP988" s="76"/>
      <c r="BQ988" s="76"/>
      <c r="BR988" s="76"/>
      <c r="BS988" s="76"/>
      <c r="BT988" s="76"/>
      <c r="BU988" s="76"/>
      <c r="BV988" s="76"/>
      <c r="BW988" s="76"/>
      <c r="BX988" s="76"/>
      <c r="BY988" s="76"/>
      <c r="BZ988" s="76"/>
      <c r="CA988" s="76"/>
      <c r="CB988" s="76"/>
      <c r="CC988" s="76"/>
      <c r="CD988" s="76"/>
      <c r="CE988" s="76"/>
      <c r="CF988" s="76"/>
      <c r="CG988" s="76"/>
      <c r="CH988" s="76"/>
      <c r="CI988" s="76"/>
      <c r="CJ988" s="76"/>
      <c r="CK988" s="76"/>
      <c r="CL988" s="76"/>
      <c r="CM988" s="76"/>
      <c r="CN988" s="76"/>
      <c r="CO988" s="76"/>
      <c r="CP988" s="76"/>
      <c r="CQ988" s="76"/>
      <c r="CR988" s="76"/>
      <c r="CS988" s="76"/>
      <c r="CT988" s="76"/>
      <c r="CU988" s="76"/>
      <c r="CV988" s="76"/>
      <c r="CW988" s="76"/>
      <c r="CX988" s="76"/>
      <c r="CY988" s="76"/>
      <c r="CZ988" s="76"/>
      <c r="DA988" s="76"/>
      <c r="DB988" s="76"/>
      <c r="DC988" s="76"/>
      <c r="DD988" s="76"/>
      <c r="DE988" s="76"/>
      <c r="DF988" s="76"/>
      <c r="DG988" s="76"/>
      <c r="DH988" s="76"/>
      <c r="DI988" s="76"/>
      <c r="DJ988" s="76"/>
      <c r="DK988" s="76"/>
      <c r="DL988" s="76"/>
      <c r="DM988" s="76"/>
      <c r="DN988" s="76"/>
      <c r="DO988" s="76"/>
      <c r="DP988" s="76"/>
      <c r="DQ988" s="76"/>
      <c r="DR988" s="76"/>
      <c r="DS988" s="76"/>
      <c r="DT988" s="76"/>
      <c r="DU988" s="76"/>
      <c r="DV988" s="76"/>
      <c r="DW988" s="76"/>
      <c r="DX988" s="76"/>
      <c r="DY988" s="76"/>
      <c r="DZ988" s="76"/>
      <c r="EA988" s="76"/>
      <c r="EB988" s="76"/>
      <c r="EC988" s="76"/>
      <c r="ED988" s="76"/>
      <c r="EE988" s="76"/>
      <c r="EF988" s="76"/>
      <c r="EG988" s="76"/>
      <c r="EH988" s="76"/>
      <c r="EI988" s="76"/>
      <c r="EJ988" s="76"/>
      <c r="EK988" s="76"/>
      <c r="EL988" s="76"/>
      <c r="EM988" s="76"/>
      <c r="EN988" s="76"/>
      <c r="EO988" s="76"/>
      <c r="EP988" s="76"/>
      <c r="EQ988" s="76"/>
      <c r="ER988" s="76"/>
      <c r="ES988" s="76"/>
      <c r="ET988" s="76"/>
      <c r="EU988" s="76"/>
      <c r="EV988" s="76"/>
      <c r="EW988" s="76"/>
      <c r="EX988" s="76"/>
      <c r="EY988" s="76"/>
      <c r="EZ988" s="76"/>
      <c r="FA988" s="76"/>
      <c r="FB988" s="76"/>
      <c r="FC988" s="76"/>
      <c r="FD988" s="76"/>
      <c r="FE988" s="76"/>
      <c r="FF988" s="76"/>
      <c r="FG988" s="76"/>
      <c r="FH988" s="76"/>
      <c r="FI988" s="76"/>
      <c r="FJ988" s="76"/>
      <c r="FK988" s="76"/>
      <c r="FL988" s="76"/>
      <c r="FM988" s="76"/>
      <c r="FN988" s="76"/>
      <c r="FO988" s="76"/>
      <c r="FP988" s="76"/>
      <c r="FQ988" s="76"/>
      <c r="FR988" s="76"/>
      <c r="FS988" s="76"/>
      <c r="FT988" s="76"/>
      <c r="FU988" s="76"/>
      <c r="FV988" s="76"/>
      <c r="FW988" s="76"/>
      <c r="FX988" s="76"/>
      <c r="FY988" s="76"/>
      <c r="FZ988" s="76"/>
      <c r="GA988" s="76"/>
      <c r="GB988" s="76"/>
      <c r="GC988" s="76"/>
      <c r="GD988" s="76"/>
      <c r="GE988" s="76"/>
      <c r="GF988" s="76"/>
      <c r="GG988" s="76"/>
      <c r="GH988" s="76"/>
      <c r="GI988" s="76"/>
      <c r="GJ988" s="76"/>
      <c r="GK988" s="76"/>
      <c r="GL988" s="76"/>
      <c r="GM988" s="76"/>
      <c r="GN988" s="76"/>
      <c r="GO988" s="76"/>
      <c r="GP988" s="76"/>
      <c r="GQ988" s="76"/>
      <c r="GR988" s="76"/>
      <c r="GS988" s="76"/>
      <c r="GT988" s="76"/>
      <c r="GU988" s="76"/>
      <c r="GV988" s="76"/>
      <c r="GW988" s="76"/>
      <c r="GX988" s="76"/>
      <c r="GY988" s="76"/>
      <c r="GZ988" s="76"/>
      <c r="HA988" s="76"/>
      <c r="HB988" s="76"/>
      <c r="HC988" s="76"/>
      <c r="HD988" s="76"/>
      <c r="HE988" s="76"/>
      <c r="HF988" s="76"/>
      <c r="HG988" s="76"/>
      <c r="HH988" s="76"/>
      <c r="HI988" s="76"/>
      <c r="HJ988" s="76"/>
      <c r="HK988" s="76"/>
      <c r="HL988" s="76"/>
      <c r="HM988" s="76"/>
      <c r="HN988" s="76"/>
      <c r="HO988" s="76"/>
      <c r="HP988" s="76"/>
      <c r="HQ988" s="76"/>
      <c r="HR988" s="76"/>
      <c r="HS988" s="76"/>
      <c r="HT988" s="76"/>
      <c r="HU988" s="76"/>
      <c r="HV988" s="76"/>
      <c r="HW988" s="76"/>
      <c r="HX988" s="76"/>
      <c r="HY988" s="76"/>
      <c r="HZ988" s="76"/>
      <c r="IA988" s="76"/>
      <c r="IB988" s="76"/>
      <c r="IC988" s="76"/>
      <c r="ID988" s="76"/>
      <c r="IE988" s="76"/>
      <c r="IF988" s="76"/>
      <c r="IG988" s="76"/>
      <c r="IH988" s="76"/>
      <c r="II988" s="76"/>
      <c r="IJ988" s="76"/>
      <c r="IK988" s="76"/>
      <c r="IL988" s="76"/>
      <c r="IM988" s="76"/>
      <c r="IN988" s="76"/>
      <c r="IO988" s="76"/>
      <c r="IP988" s="76"/>
      <c r="IQ988" s="76"/>
      <c r="IR988" s="76"/>
      <c r="IS988" s="76"/>
      <c r="IT988" s="76"/>
      <c r="IU988" s="76"/>
      <c r="IV988" s="76"/>
    </row>
    <row r="989" spans="1:256">
      <c r="B989" s="129"/>
      <c r="C989" s="151" t="s">
        <v>1585</v>
      </c>
      <c r="D989" s="39"/>
      <c r="E989" s="118"/>
      <c r="F989" s="39"/>
      <c r="G989" s="84">
        <f>ROUND(G988/F983,1)</f>
        <v>8.8000000000000007</v>
      </c>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c r="AR989" s="76"/>
      <c r="AS989" s="76"/>
      <c r="AT989" s="76"/>
      <c r="AU989" s="76"/>
      <c r="AV989" s="76"/>
      <c r="AW989" s="76"/>
      <c r="AX989" s="76"/>
      <c r="AY989" s="76"/>
      <c r="AZ989" s="76"/>
      <c r="BA989" s="76"/>
      <c r="BB989" s="76"/>
      <c r="BC989" s="76"/>
      <c r="BD989" s="76"/>
      <c r="BE989" s="76"/>
      <c r="BF989" s="76"/>
      <c r="BG989" s="76"/>
      <c r="BH989" s="76"/>
      <c r="BI989" s="76"/>
      <c r="BJ989" s="76"/>
      <c r="BK989" s="76"/>
      <c r="BL989" s="76"/>
      <c r="BM989" s="76"/>
      <c r="BN989" s="76"/>
      <c r="BO989" s="76"/>
      <c r="BP989" s="76"/>
      <c r="BQ989" s="76"/>
      <c r="BR989" s="76"/>
      <c r="BS989" s="76"/>
      <c r="BT989" s="76"/>
      <c r="BU989" s="76"/>
      <c r="BV989" s="76"/>
      <c r="BW989" s="76"/>
      <c r="BX989" s="76"/>
      <c r="BY989" s="76"/>
      <c r="BZ989" s="76"/>
      <c r="CA989" s="76"/>
      <c r="CB989" s="76"/>
      <c r="CC989" s="76"/>
      <c r="CD989" s="76"/>
      <c r="CE989" s="76"/>
      <c r="CF989" s="76"/>
      <c r="CG989" s="76"/>
      <c r="CH989" s="76"/>
      <c r="CI989" s="76"/>
      <c r="CJ989" s="76"/>
      <c r="CK989" s="76"/>
      <c r="CL989" s="76"/>
      <c r="CM989" s="76"/>
      <c r="CN989" s="76"/>
      <c r="CO989" s="76"/>
      <c r="CP989" s="76"/>
      <c r="CQ989" s="76"/>
      <c r="CR989" s="76"/>
      <c r="CS989" s="76"/>
      <c r="CT989" s="76"/>
      <c r="CU989" s="76"/>
      <c r="CV989" s="76"/>
      <c r="CW989" s="76"/>
      <c r="CX989" s="76"/>
      <c r="CY989" s="76"/>
      <c r="CZ989" s="76"/>
      <c r="DA989" s="76"/>
      <c r="DB989" s="76"/>
      <c r="DC989" s="76"/>
      <c r="DD989" s="76"/>
      <c r="DE989" s="76"/>
      <c r="DF989" s="76"/>
      <c r="DG989" s="76"/>
      <c r="DH989" s="76"/>
      <c r="DI989" s="76"/>
      <c r="DJ989" s="76"/>
      <c r="DK989" s="76"/>
      <c r="DL989" s="76"/>
      <c r="DM989" s="76"/>
      <c r="DN989" s="76"/>
      <c r="DO989" s="76"/>
      <c r="DP989" s="76"/>
      <c r="DQ989" s="76"/>
      <c r="DR989" s="76"/>
      <c r="DS989" s="76"/>
      <c r="DT989" s="76"/>
      <c r="DU989" s="76"/>
      <c r="DV989" s="76"/>
      <c r="DW989" s="76"/>
      <c r="DX989" s="76"/>
      <c r="DY989" s="76"/>
      <c r="DZ989" s="76"/>
      <c r="EA989" s="76"/>
      <c r="EB989" s="76"/>
      <c r="EC989" s="76"/>
      <c r="ED989" s="76"/>
      <c r="EE989" s="76"/>
      <c r="EF989" s="76"/>
      <c r="EG989" s="76"/>
      <c r="EH989" s="76"/>
      <c r="EI989" s="76"/>
      <c r="EJ989" s="76"/>
      <c r="EK989" s="76"/>
      <c r="EL989" s="76"/>
      <c r="EM989" s="76"/>
      <c r="EN989" s="76"/>
      <c r="EO989" s="76"/>
      <c r="EP989" s="76"/>
      <c r="EQ989" s="76"/>
      <c r="ER989" s="76"/>
      <c r="ES989" s="76"/>
      <c r="ET989" s="76"/>
      <c r="EU989" s="76"/>
      <c r="EV989" s="76"/>
      <c r="EW989" s="76"/>
      <c r="EX989" s="76"/>
      <c r="EY989" s="76"/>
      <c r="EZ989" s="76"/>
      <c r="FA989" s="76"/>
      <c r="FB989" s="76"/>
      <c r="FC989" s="76"/>
      <c r="FD989" s="76"/>
      <c r="FE989" s="76"/>
      <c r="FF989" s="76"/>
      <c r="FG989" s="76"/>
      <c r="FH989" s="76"/>
      <c r="FI989" s="76"/>
      <c r="FJ989" s="76"/>
      <c r="FK989" s="76"/>
      <c r="FL989" s="76"/>
      <c r="FM989" s="76"/>
      <c r="FN989" s="76"/>
      <c r="FO989" s="76"/>
      <c r="FP989" s="76"/>
      <c r="FQ989" s="76"/>
      <c r="FR989" s="76"/>
      <c r="FS989" s="76"/>
      <c r="FT989" s="76"/>
      <c r="FU989" s="76"/>
      <c r="FV989" s="76"/>
      <c r="FW989" s="76"/>
      <c r="FX989" s="76"/>
      <c r="FY989" s="76"/>
      <c r="FZ989" s="76"/>
      <c r="GA989" s="76"/>
      <c r="GB989" s="76"/>
      <c r="GC989" s="76"/>
      <c r="GD989" s="76"/>
      <c r="GE989" s="76"/>
      <c r="GF989" s="76"/>
      <c r="GG989" s="76"/>
      <c r="GH989" s="76"/>
      <c r="GI989" s="76"/>
      <c r="GJ989" s="76"/>
      <c r="GK989" s="76"/>
      <c r="GL989" s="76"/>
      <c r="GM989" s="76"/>
      <c r="GN989" s="76"/>
      <c r="GO989" s="76"/>
      <c r="GP989" s="76"/>
      <c r="GQ989" s="76"/>
      <c r="GR989" s="76"/>
      <c r="GS989" s="76"/>
      <c r="GT989" s="76"/>
      <c r="GU989" s="76"/>
      <c r="GV989" s="76"/>
      <c r="GW989" s="76"/>
      <c r="GX989" s="76"/>
      <c r="GY989" s="76"/>
      <c r="GZ989" s="76"/>
      <c r="HA989" s="76"/>
      <c r="HB989" s="76"/>
      <c r="HC989" s="76"/>
      <c r="HD989" s="76"/>
      <c r="HE989" s="76"/>
      <c r="HF989" s="76"/>
      <c r="HG989" s="76"/>
      <c r="HH989" s="76"/>
      <c r="HI989" s="76"/>
      <c r="HJ989" s="76"/>
      <c r="HK989" s="76"/>
      <c r="HL989" s="76"/>
      <c r="HM989" s="76"/>
      <c r="HN989" s="76"/>
      <c r="HO989" s="76"/>
      <c r="HP989" s="76"/>
      <c r="HQ989" s="76"/>
      <c r="HR989" s="76"/>
      <c r="HS989" s="76"/>
      <c r="HT989" s="76"/>
      <c r="HU989" s="76"/>
      <c r="HV989" s="76"/>
      <c r="HW989" s="76"/>
      <c r="HX989" s="76"/>
      <c r="HY989" s="76"/>
      <c r="HZ989" s="76"/>
      <c r="IA989" s="76"/>
      <c r="IB989" s="76"/>
      <c r="IC989" s="76"/>
      <c r="ID989" s="76"/>
      <c r="IE989" s="76"/>
      <c r="IF989" s="76"/>
      <c r="IG989" s="76"/>
      <c r="IH989" s="76"/>
      <c r="II989" s="76"/>
      <c r="IJ989" s="76"/>
      <c r="IK989" s="76"/>
      <c r="IL989" s="76"/>
      <c r="IM989" s="76"/>
      <c r="IN989" s="76"/>
      <c r="IO989" s="76"/>
      <c r="IP989" s="76"/>
      <c r="IQ989" s="76"/>
      <c r="IR989" s="76"/>
      <c r="IS989" s="76"/>
      <c r="IT989" s="76"/>
      <c r="IU989" s="76"/>
      <c r="IV989" s="76"/>
    </row>
    <row r="990" spans="1:256">
      <c r="A990" s="859"/>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c r="AY990" s="76"/>
      <c r="AZ990" s="76"/>
      <c r="BA990" s="76"/>
      <c r="BB990" s="76"/>
      <c r="BC990" s="76"/>
      <c r="BD990" s="76"/>
      <c r="BE990" s="76"/>
      <c r="BF990" s="76"/>
      <c r="BG990" s="76"/>
      <c r="BH990" s="76"/>
      <c r="BI990" s="76"/>
      <c r="BJ990" s="76"/>
      <c r="BK990" s="76"/>
      <c r="BL990" s="76"/>
      <c r="BM990" s="76"/>
      <c r="BN990" s="76"/>
      <c r="BO990" s="76"/>
      <c r="BP990" s="76"/>
      <c r="BQ990" s="76"/>
      <c r="BR990" s="76"/>
      <c r="BS990" s="76"/>
      <c r="BT990" s="76"/>
      <c r="BU990" s="76"/>
      <c r="BV990" s="76"/>
      <c r="BW990" s="76"/>
      <c r="BX990" s="76"/>
      <c r="BY990" s="76"/>
      <c r="BZ990" s="76"/>
      <c r="CA990" s="76"/>
      <c r="CB990" s="76"/>
      <c r="CC990" s="76"/>
      <c r="CD990" s="76"/>
      <c r="CE990" s="76"/>
      <c r="CF990" s="76"/>
      <c r="CG990" s="76"/>
      <c r="CH990" s="76"/>
      <c r="CI990" s="76"/>
      <c r="CJ990" s="76"/>
      <c r="CK990" s="76"/>
      <c r="CL990" s="76"/>
      <c r="CM990" s="76"/>
      <c r="CN990" s="76"/>
      <c r="CO990" s="76"/>
      <c r="CP990" s="76"/>
      <c r="CQ990" s="76"/>
      <c r="CR990" s="76"/>
      <c r="CS990" s="76"/>
      <c r="CT990" s="76"/>
      <c r="CU990" s="76"/>
      <c r="CV990" s="76"/>
      <c r="CW990" s="76"/>
      <c r="CX990" s="76"/>
      <c r="CY990" s="76"/>
      <c r="CZ990" s="76"/>
      <c r="DA990" s="76"/>
      <c r="DB990" s="76"/>
      <c r="DC990" s="76"/>
      <c r="DD990" s="76"/>
      <c r="DE990" s="76"/>
      <c r="DF990" s="76"/>
      <c r="DG990" s="76"/>
      <c r="DH990" s="76"/>
      <c r="DI990" s="76"/>
      <c r="DJ990" s="76"/>
      <c r="DK990" s="76"/>
      <c r="DL990" s="76"/>
      <c r="DM990" s="76"/>
      <c r="DN990" s="76"/>
      <c r="DO990" s="76"/>
      <c r="DP990" s="76"/>
      <c r="DQ990" s="76"/>
      <c r="DR990" s="76"/>
      <c r="DS990" s="76"/>
      <c r="DT990" s="76"/>
      <c r="DU990" s="76"/>
      <c r="DV990" s="76"/>
      <c r="DW990" s="76"/>
      <c r="DX990" s="76"/>
      <c r="DY990" s="76"/>
      <c r="DZ990" s="76"/>
      <c r="EA990" s="76"/>
      <c r="EB990" s="76"/>
      <c r="EC990" s="76"/>
      <c r="ED990" s="76"/>
      <c r="EE990" s="76"/>
      <c r="EF990" s="76"/>
      <c r="EG990" s="76"/>
      <c r="EH990" s="76"/>
      <c r="EI990" s="76"/>
      <c r="EJ990" s="76"/>
      <c r="EK990" s="76"/>
      <c r="EL990" s="76"/>
      <c r="EM990" s="76"/>
      <c r="EN990" s="76"/>
      <c r="EO990" s="76"/>
      <c r="EP990" s="76"/>
      <c r="EQ990" s="76"/>
      <c r="ER990" s="76"/>
      <c r="ES990" s="76"/>
      <c r="ET990" s="76"/>
      <c r="EU990" s="76"/>
      <c r="EV990" s="76"/>
      <c r="EW990" s="76"/>
      <c r="EX990" s="76"/>
      <c r="EY990" s="76"/>
      <c r="EZ990" s="76"/>
      <c r="FA990" s="76"/>
      <c r="FB990" s="76"/>
      <c r="FC990" s="76"/>
      <c r="FD990" s="76"/>
      <c r="FE990" s="76"/>
      <c r="FF990" s="76"/>
      <c r="FG990" s="76"/>
      <c r="FH990" s="76"/>
      <c r="FI990" s="76"/>
      <c r="FJ990" s="76"/>
      <c r="FK990" s="76"/>
      <c r="FL990" s="76"/>
      <c r="FM990" s="76"/>
      <c r="FN990" s="76"/>
      <c r="FO990" s="76"/>
      <c r="FP990" s="76"/>
      <c r="FQ990" s="76"/>
      <c r="FR990" s="76"/>
      <c r="FS990" s="76"/>
      <c r="FT990" s="76"/>
      <c r="FU990" s="76"/>
      <c r="FV990" s="76"/>
      <c r="FW990" s="76"/>
      <c r="FX990" s="76"/>
      <c r="FY990" s="76"/>
      <c r="FZ990" s="76"/>
      <c r="GA990" s="76"/>
      <c r="GB990" s="76"/>
      <c r="GC990" s="76"/>
      <c r="GD990" s="76"/>
      <c r="GE990" s="76"/>
      <c r="GF990" s="76"/>
      <c r="GG990" s="76"/>
      <c r="GH990" s="76"/>
      <c r="GI990" s="76"/>
      <c r="GJ990" s="76"/>
      <c r="GK990" s="76"/>
      <c r="GL990" s="76"/>
      <c r="GM990" s="76"/>
      <c r="GN990" s="76"/>
      <c r="GO990" s="76"/>
      <c r="GP990" s="76"/>
      <c r="GQ990" s="76"/>
      <c r="GR990" s="76"/>
      <c r="GS990" s="76"/>
      <c r="GT990" s="76"/>
      <c r="GU990" s="76"/>
      <c r="GV990" s="76"/>
      <c r="GW990" s="76"/>
      <c r="GX990" s="76"/>
      <c r="GY990" s="76"/>
      <c r="GZ990" s="76"/>
      <c r="HA990" s="76"/>
      <c r="HB990" s="76"/>
      <c r="HC990" s="76"/>
      <c r="HD990" s="76"/>
      <c r="HE990" s="76"/>
      <c r="HF990" s="76"/>
      <c r="HG990" s="76"/>
      <c r="HH990" s="76"/>
      <c r="HI990" s="76"/>
      <c r="HJ990" s="76"/>
      <c r="HK990" s="76"/>
      <c r="HL990" s="76"/>
      <c r="HM990" s="76"/>
      <c r="HN990" s="76"/>
      <c r="HO990" s="76"/>
      <c r="HP990" s="76"/>
      <c r="HQ990" s="76"/>
      <c r="HR990" s="76"/>
      <c r="HS990" s="76"/>
      <c r="HT990" s="76"/>
      <c r="HU990" s="76"/>
      <c r="HV990" s="76"/>
      <c r="HW990" s="76"/>
      <c r="HX990" s="76"/>
      <c r="HY990" s="76"/>
      <c r="HZ990" s="76"/>
      <c r="IA990" s="76"/>
      <c r="IB990" s="76"/>
      <c r="IC990" s="76"/>
      <c r="ID990" s="76"/>
      <c r="IE990" s="76"/>
      <c r="IF990" s="76"/>
      <c r="IG990" s="76"/>
      <c r="IH990" s="76"/>
      <c r="II990" s="76"/>
      <c r="IJ990" s="76"/>
      <c r="IK990" s="76"/>
      <c r="IL990" s="76"/>
      <c r="IM990" s="76"/>
      <c r="IN990" s="76"/>
      <c r="IO990" s="76"/>
      <c r="IP990" s="76"/>
      <c r="IQ990" s="76"/>
      <c r="IR990" s="76"/>
      <c r="IS990" s="76"/>
      <c r="IT990" s="76"/>
      <c r="IU990" s="76"/>
      <c r="IV990" s="76"/>
    </row>
    <row r="991" spans="1:256" hidden="1">
      <c r="A991" s="859"/>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c r="AY991" s="76"/>
      <c r="AZ991" s="76"/>
      <c r="BA991" s="76"/>
      <c r="BB991" s="76"/>
      <c r="BC991" s="76"/>
      <c r="BD991" s="76"/>
      <c r="BE991" s="76"/>
      <c r="BF991" s="76"/>
      <c r="BG991" s="76"/>
      <c r="BH991" s="76"/>
      <c r="BI991" s="76"/>
      <c r="BJ991" s="76"/>
      <c r="BK991" s="76"/>
      <c r="BL991" s="76"/>
      <c r="BM991" s="76"/>
      <c r="BN991" s="76"/>
      <c r="BO991" s="76"/>
      <c r="BP991" s="76"/>
      <c r="BQ991" s="76"/>
      <c r="BR991" s="76"/>
      <c r="BS991" s="76"/>
      <c r="BT991" s="76"/>
      <c r="BU991" s="76"/>
      <c r="BV991" s="76"/>
      <c r="BW991" s="76"/>
      <c r="BX991" s="76"/>
      <c r="BY991" s="76"/>
      <c r="BZ991" s="76"/>
      <c r="CA991" s="76"/>
      <c r="CB991" s="76"/>
      <c r="CC991" s="76"/>
      <c r="CD991" s="76"/>
      <c r="CE991" s="76"/>
      <c r="CF991" s="76"/>
      <c r="CG991" s="76"/>
      <c r="CH991" s="76"/>
      <c r="CI991" s="76"/>
      <c r="CJ991" s="76"/>
      <c r="CK991" s="76"/>
      <c r="CL991" s="76"/>
      <c r="CM991" s="76"/>
      <c r="CN991" s="76"/>
      <c r="CO991" s="76"/>
      <c r="CP991" s="76"/>
      <c r="CQ991" s="76"/>
      <c r="CR991" s="76"/>
      <c r="CS991" s="76"/>
      <c r="CT991" s="76"/>
      <c r="CU991" s="76"/>
      <c r="CV991" s="76"/>
      <c r="CW991" s="76"/>
      <c r="CX991" s="76"/>
      <c r="CY991" s="76"/>
      <c r="CZ991" s="76"/>
      <c r="DA991" s="76"/>
      <c r="DB991" s="76"/>
      <c r="DC991" s="76"/>
      <c r="DD991" s="76"/>
      <c r="DE991" s="76"/>
      <c r="DF991" s="76"/>
      <c r="DG991" s="76"/>
      <c r="DH991" s="76"/>
      <c r="DI991" s="76"/>
      <c r="DJ991" s="76"/>
      <c r="DK991" s="76"/>
      <c r="DL991" s="76"/>
      <c r="DM991" s="76"/>
      <c r="DN991" s="76"/>
      <c r="DO991" s="76"/>
      <c r="DP991" s="76"/>
      <c r="DQ991" s="76"/>
      <c r="DR991" s="76"/>
      <c r="DS991" s="76"/>
      <c r="DT991" s="76"/>
      <c r="DU991" s="76"/>
      <c r="DV991" s="76"/>
      <c r="DW991" s="76"/>
      <c r="DX991" s="76"/>
      <c r="DY991" s="76"/>
      <c r="DZ991" s="76"/>
      <c r="EA991" s="76"/>
      <c r="EB991" s="76"/>
      <c r="EC991" s="76"/>
      <c r="ED991" s="76"/>
      <c r="EE991" s="76"/>
      <c r="EF991" s="76"/>
      <c r="EG991" s="76"/>
      <c r="EH991" s="76"/>
      <c r="EI991" s="76"/>
      <c r="EJ991" s="76"/>
      <c r="EK991" s="76"/>
      <c r="EL991" s="76"/>
      <c r="EM991" s="76"/>
      <c r="EN991" s="76"/>
      <c r="EO991" s="76"/>
      <c r="EP991" s="76"/>
      <c r="EQ991" s="76"/>
      <c r="ER991" s="76"/>
      <c r="ES991" s="76"/>
      <c r="ET991" s="76"/>
      <c r="EU991" s="76"/>
      <c r="EV991" s="76"/>
      <c r="EW991" s="76"/>
      <c r="EX991" s="76"/>
      <c r="EY991" s="76"/>
      <c r="EZ991" s="76"/>
      <c r="FA991" s="76"/>
      <c r="FB991" s="76"/>
      <c r="FC991" s="76"/>
      <c r="FD991" s="76"/>
      <c r="FE991" s="76"/>
      <c r="FF991" s="76"/>
      <c r="FG991" s="76"/>
      <c r="FH991" s="76"/>
      <c r="FI991" s="76"/>
      <c r="FJ991" s="76"/>
      <c r="FK991" s="76"/>
      <c r="FL991" s="76"/>
      <c r="FM991" s="76"/>
      <c r="FN991" s="76"/>
      <c r="FO991" s="76"/>
      <c r="FP991" s="76"/>
      <c r="FQ991" s="76"/>
      <c r="FR991" s="76"/>
      <c r="FS991" s="76"/>
      <c r="FT991" s="76"/>
      <c r="FU991" s="76"/>
      <c r="FV991" s="76"/>
      <c r="FW991" s="76"/>
      <c r="FX991" s="76"/>
      <c r="FY991" s="76"/>
      <c r="FZ991" s="76"/>
      <c r="GA991" s="76"/>
      <c r="GB991" s="76"/>
      <c r="GC991" s="76"/>
      <c r="GD991" s="76"/>
      <c r="GE991" s="76"/>
      <c r="GF991" s="76"/>
      <c r="GG991" s="76"/>
      <c r="GH991" s="76"/>
      <c r="GI991" s="76"/>
      <c r="GJ991" s="76"/>
      <c r="GK991" s="76"/>
      <c r="GL991" s="76"/>
      <c r="GM991" s="76"/>
      <c r="GN991" s="76"/>
      <c r="GO991" s="76"/>
      <c r="GP991" s="76"/>
      <c r="GQ991" s="76"/>
      <c r="GR991" s="76"/>
      <c r="GS991" s="76"/>
      <c r="GT991" s="76"/>
      <c r="GU991" s="76"/>
      <c r="GV991" s="76"/>
      <c r="GW991" s="76"/>
      <c r="GX991" s="76"/>
      <c r="GY991" s="76"/>
      <c r="GZ991" s="76"/>
      <c r="HA991" s="76"/>
      <c r="HB991" s="76"/>
      <c r="HC991" s="76"/>
      <c r="HD991" s="76"/>
      <c r="HE991" s="76"/>
      <c r="HF991" s="76"/>
      <c r="HG991" s="76"/>
      <c r="HH991" s="76"/>
      <c r="HI991" s="76"/>
      <c r="HJ991" s="76"/>
      <c r="HK991" s="76"/>
      <c r="HL991" s="76"/>
      <c r="HM991" s="76"/>
      <c r="HN991" s="76"/>
      <c r="HO991" s="76"/>
      <c r="HP991" s="76"/>
      <c r="HQ991" s="76"/>
      <c r="HR991" s="76"/>
      <c r="HS991" s="76"/>
      <c r="HT991" s="76"/>
      <c r="HU991" s="76"/>
      <c r="HV991" s="76"/>
      <c r="HW991" s="76"/>
      <c r="HX991" s="76"/>
      <c r="HY991" s="76"/>
      <c r="HZ991" s="76"/>
      <c r="IA991" s="76"/>
      <c r="IB991" s="76"/>
      <c r="IC991" s="76"/>
      <c r="ID991" s="76"/>
      <c r="IE991" s="76"/>
      <c r="IF991" s="76"/>
      <c r="IG991" s="76"/>
      <c r="IH991" s="76"/>
      <c r="II991" s="76"/>
      <c r="IJ991" s="76"/>
      <c r="IK991" s="76"/>
      <c r="IL991" s="76"/>
      <c r="IM991" s="76"/>
      <c r="IN991" s="76"/>
      <c r="IO991" s="76"/>
      <c r="IP991" s="76"/>
      <c r="IQ991" s="76"/>
      <c r="IR991" s="76"/>
      <c r="IS991" s="76"/>
      <c r="IT991" s="76"/>
      <c r="IU991" s="76"/>
      <c r="IV991" s="76"/>
    </row>
    <row r="992" spans="1:256" hidden="1">
      <c r="A992" s="859"/>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c r="AY992" s="76"/>
      <c r="AZ992" s="76"/>
      <c r="BA992" s="76"/>
      <c r="BB992" s="76"/>
      <c r="BC992" s="76"/>
      <c r="BD992" s="76"/>
      <c r="BE992" s="76"/>
      <c r="BF992" s="76"/>
      <c r="BG992" s="76"/>
      <c r="BH992" s="76"/>
      <c r="BI992" s="76"/>
      <c r="BJ992" s="76"/>
      <c r="BK992" s="76"/>
      <c r="BL992" s="76"/>
      <c r="BM992" s="76"/>
      <c r="BN992" s="76"/>
      <c r="BO992" s="76"/>
      <c r="BP992" s="76"/>
      <c r="BQ992" s="76"/>
      <c r="BR992" s="76"/>
      <c r="BS992" s="76"/>
      <c r="BT992" s="76"/>
      <c r="BU992" s="76"/>
      <c r="BV992" s="76"/>
      <c r="BW992" s="76"/>
      <c r="BX992" s="76"/>
      <c r="BY992" s="76"/>
      <c r="BZ992" s="76"/>
      <c r="CA992" s="76"/>
      <c r="CB992" s="76"/>
      <c r="CC992" s="76"/>
      <c r="CD992" s="76"/>
      <c r="CE992" s="76"/>
      <c r="CF992" s="76"/>
      <c r="CG992" s="76"/>
      <c r="CH992" s="76"/>
      <c r="CI992" s="76"/>
      <c r="CJ992" s="76"/>
      <c r="CK992" s="76"/>
      <c r="CL992" s="76"/>
      <c r="CM992" s="76"/>
      <c r="CN992" s="76"/>
      <c r="CO992" s="76"/>
      <c r="CP992" s="76"/>
      <c r="CQ992" s="76"/>
      <c r="CR992" s="76"/>
      <c r="CS992" s="76"/>
      <c r="CT992" s="76"/>
      <c r="CU992" s="76"/>
      <c r="CV992" s="76"/>
      <c r="CW992" s="76"/>
      <c r="CX992" s="76"/>
      <c r="CY992" s="76"/>
      <c r="CZ992" s="76"/>
      <c r="DA992" s="76"/>
      <c r="DB992" s="76"/>
      <c r="DC992" s="76"/>
      <c r="DD992" s="76"/>
      <c r="DE992" s="76"/>
      <c r="DF992" s="76"/>
      <c r="DG992" s="76"/>
      <c r="DH992" s="76"/>
      <c r="DI992" s="76"/>
      <c r="DJ992" s="76"/>
      <c r="DK992" s="76"/>
      <c r="DL992" s="76"/>
      <c r="DM992" s="76"/>
      <c r="DN992" s="76"/>
      <c r="DO992" s="76"/>
      <c r="DP992" s="76"/>
      <c r="DQ992" s="76"/>
      <c r="DR992" s="76"/>
      <c r="DS992" s="76"/>
      <c r="DT992" s="76"/>
      <c r="DU992" s="76"/>
      <c r="DV992" s="76"/>
      <c r="DW992" s="76"/>
      <c r="DX992" s="76"/>
      <c r="DY992" s="76"/>
      <c r="DZ992" s="76"/>
      <c r="EA992" s="76"/>
      <c r="EB992" s="76"/>
      <c r="EC992" s="76"/>
      <c r="ED992" s="76"/>
      <c r="EE992" s="76"/>
      <c r="EF992" s="76"/>
      <c r="EG992" s="76"/>
      <c r="EH992" s="76"/>
      <c r="EI992" s="76"/>
      <c r="EJ992" s="76"/>
      <c r="EK992" s="76"/>
      <c r="EL992" s="76"/>
      <c r="EM992" s="76"/>
      <c r="EN992" s="76"/>
      <c r="EO992" s="76"/>
      <c r="EP992" s="76"/>
      <c r="EQ992" s="76"/>
      <c r="ER992" s="76"/>
      <c r="ES992" s="76"/>
      <c r="ET992" s="76"/>
      <c r="EU992" s="76"/>
      <c r="EV992" s="76"/>
      <c r="EW992" s="76"/>
      <c r="EX992" s="76"/>
      <c r="EY992" s="76"/>
      <c r="EZ992" s="76"/>
      <c r="FA992" s="76"/>
      <c r="FB992" s="76"/>
      <c r="FC992" s="76"/>
      <c r="FD992" s="76"/>
      <c r="FE992" s="76"/>
      <c r="FF992" s="76"/>
      <c r="FG992" s="76"/>
      <c r="FH992" s="76"/>
      <c r="FI992" s="76"/>
      <c r="FJ992" s="76"/>
      <c r="FK992" s="76"/>
      <c r="FL992" s="76"/>
      <c r="FM992" s="76"/>
      <c r="FN992" s="76"/>
      <c r="FO992" s="76"/>
      <c r="FP992" s="76"/>
      <c r="FQ992" s="76"/>
      <c r="FR992" s="76"/>
      <c r="FS992" s="76"/>
      <c r="FT992" s="76"/>
      <c r="FU992" s="76"/>
      <c r="FV992" s="76"/>
      <c r="FW992" s="76"/>
      <c r="FX992" s="76"/>
      <c r="FY992" s="76"/>
      <c r="FZ992" s="76"/>
      <c r="GA992" s="76"/>
      <c r="GB992" s="76"/>
      <c r="GC992" s="76"/>
      <c r="GD992" s="76"/>
      <c r="GE992" s="76"/>
      <c r="GF992" s="76"/>
      <c r="GG992" s="76"/>
      <c r="GH992" s="76"/>
      <c r="GI992" s="76"/>
      <c r="GJ992" s="76"/>
      <c r="GK992" s="76"/>
      <c r="GL992" s="76"/>
      <c r="GM992" s="76"/>
      <c r="GN992" s="76"/>
      <c r="GO992" s="76"/>
      <c r="GP992" s="76"/>
      <c r="GQ992" s="76"/>
      <c r="GR992" s="76"/>
      <c r="GS992" s="76"/>
      <c r="GT992" s="76"/>
      <c r="GU992" s="76"/>
      <c r="GV992" s="76"/>
      <c r="GW992" s="76"/>
      <c r="GX992" s="76"/>
      <c r="GY992" s="76"/>
      <c r="GZ992" s="76"/>
      <c r="HA992" s="76"/>
      <c r="HB992" s="76"/>
      <c r="HC992" s="76"/>
      <c r="HD992" s="76"/>
      <c r="HE992" s="76"/>
      <c r="HF992" s="76"/>
      <c r="HG992" s="76"/>
      <c r="HH992" s="76"/>
      <c r="HI992" s="76"/>
      <c r="HJ992" s="76"/>
      <c r="HK992" s="76"/>
      <c r="HL992" s="76"/>
      <c r="HM992" s="76"/>
      <c r="HN992" s="76"/>
      <c r="HO992" s="76"/>
      <c r="HP992" s="76"/>
      <c r="HQ992" s="76"/>
      <c r="HR992" s="76"/>
      <c r="HS992" s="76"/>
      <c r="HT992" s="76"/>
      <c r="HU992" s="76"/>
      <c r="HV992" s="76"/>
      <c r="HW992" s="76"/>
      <c r="HX992" s="76"/>
      <c r="HY992" s="76"/>
      <c r="HZ992" s="76"/>
      <c r="IA992" s="76"/>
      <c r="IB992" s="76"/>
      <c r="IC992" s="76"/>
      <c r="ID992" s="76"/>
      <c r="IE992" s="76"/>
      <c r="IF992" s="76"/>
      <c r="IG992" s="76"/>
      <c r="IH992" s="76"/>
      <c r="II992" s="76"/>
      <c r="IJ992" s="76"/>
      <c r="IK992" s="76"/>
      <c r="IL992" s="76"/>
      <c r="IM992" s="76"/>
      <c r="IN992" s="76"/>
      <c r="IO992" s="76"/>
      <c r="IP992" s="76"/>
      <c r="IQ992" s="76"/>
      <c r="IR992" s="76"/>
      <c r="IS992" s="76"/>
      <c r="IT992" s="76"/>
      <c r="IU992" s="76"/>
      <c r="IV992" s="76"/>
    </row>
    <row r="993" spans="1:256" hidden="1">
      <c r="A993" s="859"/>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c r="AY993" s="76"/>
      <c r="AZ993" s="76"/>
      <c r="BA993" s="76"/>
      <c r="BB993" s="76"/>
      <c r="BC993" s="76"/>
      <c r="BD993" s="76"/>
      <c r="BE993" s="76"/>
      <c r="BF993" s="76"/>
      <c r="BG993" s="76"/>
      <c r="BH993" s="76"/>
      <c r="BI993" s="76"/>
      <c r="BJ993" s="76"/>
      <c r="BK993" s="76"/>
      <c r="BL993" s="76"/>
      <c r="BM993" s="76"/>
      <c r="BN993" s="76"/>
      <c r="BO993" s="76"/>
      <c r="BP993" s="76"/>
      <c r="BQ993" s="76"/>
      <c r="BR993" s="76"/>
      <c r="BS993" s="76"/>
      <c r="BT993" s="76"/>
      <c r="BU993" s="76"/>
      <c r="BV993" s="76"/>
      <c r="BW993" s="76"/>
      <c r="BX993" s="76"/>
      <c r="BY993" s="76"/>
      <c r="BZ993" s="76"/>
      <c r="CA993" s="76"/>
      <c r="CB993" s="76"/>
      <c r="CC993" s="76"/>
      <c r="CD993" s="76"/>
      <c r="CE993" s="76"/>
      <c r="CF993" s="76"/>
      <c r="CG993" s="76"/>
      <c r="CH993" s="76"/>
      <c r="CI993" s="76"/>
      <c r="CJ993" s="76"/>
      <c r="CK993" s="76"/>
      <c r="CL993" s="76"/>
      <c r="CM993" s="76"/>
      <c r="CN993" s="76"/>
      <c r="CO993" s="76"/>
      <c r="CP993" s="76"/>
      <c r="CQ993" s="76"/>
      <c r="CR993" s="76"/>
      <c r="CS993" s="76"/>
      <c r="CT993" s="76"/>
      <c r="CU993" s="76"/>
      <c r="CV993" s="76"/>
      <c r="CW993" s="76"/>
      <c r="CX993" s="76"/>
      <c r="CY993" s="76"/>
      <c r="CZ993" s="76"/>
      <c r="DA993" s="76"/>
      <c r="DB993" s="76"/>
      <c r="DC993" s="76"/>
      <c r="DD993" s="76"/>
      <c r="DE993" s="76"/>
      <c r="DF993" s="76"/>
      <c r="DG993" s="76"/>
      <c r="DH993" s="76"/>
      <c r="DI993" s="76"/>
      <c r="DJ993" s="76"/>
      <c r="DK993" s="76"/>
      <c r="DL993" s="76"/>
      <c r="DM993" s="76"/>
      <c r="DN993" s="76"/>
      <c r="DO993" s="76"/>
      <c r="DP993" s="76"/>
      <c r="DQ993" s="76"/>
      <c r="DR993" s="76"/>
      <c r="DS993" s="76"/>
      <c r="DT993" s="76"/>
      <c r="DU993" s="76"/>
      <c r="DV993" s="76"/>
      <c r="DW993" s="76"/>
      <c r="DX993" s="76"/>
      <c r="DY993" s="76"/>
      <c r="DZ993" s="76"/>
      <c r="EA993" s="76"/>
      <c r="EB993" s="76"/>
      <c r="EC993" s="76"/>
      <c r="ED993" s="76"/>
      <c r="EE993" s="76"/>
      <c r="EF993" s="76"/>
      <c r="EG993" s="76"/>
      <c r="EH993" s="76"/>
      <c r="EI993" s="76"/>
      <c r="EJ993" s="76"/>
      <c r="EK993" s="76"/>
      <c r="EL993" s="76"/>
      <c r="EM993" s="76"/>
      <c r="EN993" s="76"/>
      <c r="EO993" s="76"/>
      <c r="EP993" s="76"/>
      <c r="EQ993" s="76"/>
      <c r="ER993" s="76"/>
      <c r="ES993" s="76"/>
      <c r="ET993" s="76"/>
      <c r="EU993" s="76"/>
      <c r="EV993" s="76"/>
      <c r="EW993" s="76"/>
      <c r="EX993" s="76"/>
      <c r="EY993" s="76"/>
      <c r="EZ993" s="76"/>
      <c r="FA993" s="76"/>
      <c r="FB993" s="76"/>
      <c r="FC993" s="76"/>
      <c r="FD993" s="76"/>
      <c r="FE993" s="76"/>
      <c r="FF993" s="76"/>
      <c r="FG993" s="76"/>
      <c r="FH993" s="76"/>
      <c r="FI993" s="76"/>
      <c r="FJ993" s="76"/>
      <c r="FK993" s="76"/>
      <c r="FL993" s="76"/>
      <c r="FM993" s="76"/>
      <c r="FN993" s="76"/>
      <c r="FO993" s="76"/>
      <c r="FP993" s="76"/>
      <c r="FQ993" s="76"/>
      <c r="FR993" s="76"/>
      <c r="FS993" s="76"/>
      <c r="FT993" s="76"/>
      <c r="FU993" s="76"/>
      <c r="FV993" s="76"/>
      <c r="FW993" s="76"/>
      <c r="FX993" s="76"/>
      <c r="FY993" s="76"/>
      <c r="FZ993" s="76"/>
      <c r="GA993" s="76"/>
      <c r="GB993" s="76"/>
      <c r="GC993" s="76"/>
      <c r="GD993" s="76"/>
      <c r="GE993" s="76"/>
      <c r="GF993" s="76"/>
      <c r="GG993" s="76"/>
      <c r="GH993" s="76"/>
      <c r="GI993" s="76"/>
      <c r="GJ993" s="76"/>
      <c r="GK993" s="76"/>
      <c r="GL993" s="76"/>
      <c r="GM993" s="76"/>
      <c r="GN993" s="76"/>
      <c r="GO993" s="76"/>
      <c r="GP993" s="76"/>
      <c r="GQ993" s="76"/>
      <c r="GR993" s="76"/>
      <c r="GS993" s="76"/>
      <c r="GT993" s="76"/>
      <c r="GU993" s="76"/>
      <c r="GV993" s="76"/>
      <c r="GW993" s="76"/>
      <c r="GX993" s="76"/>
      <c r="GY993" s="76"/>
      <c r="GZ993" s="76"/>
      <c r="HA993" s="76"/>
      <c r="HB993" s="76"/>
      <c r="HC993" s="76"/>
      <c r="HD993" s="76"/>
      <c r="HE993" s="76"/>
      <c r="HF993" s="76"/>
      <c r="HG993" s="76"/>
      <c r="HH993" s="76"/>
      <c r="HI993" s="76"/>
      <c r="HJ993" s="76"/>
      <c r="HK993" s="76"/>
      <c r="HL993" s="76"/>
      <c r="HM993" s="76"/>
      <c r="HN993" s="76"/>
      <c r="HO993" s="76"/>
      <c r="HP993" s="76"/>
      <c r="HQ993" s="76"/>
      <c r="HR993" s="76"/>
      <c r="HS993" s="76"/>
      <c r="HT993" s="76"/>
      <c r="HU993" s="76"/>
      <c r="HV993" s="76"/>
      <c r="HW993" s="76"/>
      <c r="HX993" s="76"/>
      <c r="HY993" s="76"/>
      <c r="HZ993" s="76"/>
      <c r="IA993" s="76"/>
      <c r="IB993" s="76"/>
      <c r="IC993" s="76"/>
      <c r="ID993" s="76"/>
      <c r="IE993" s="76"/>
      <c r="IF993" s="76"/>
      <c r="IG993" s="76"/>
      <c r="IH993" s="76"/>
      <c r="II993" s="76"/>
      <c r="IJ993" s="76"/>
      <c r="IK993" s="76"/>
      <c r="IL993" s="76"/>
      <c r="IM993" s="76"/>
      <c r="IN993" s="76"/>
      <c r="IO993" s="76"/>
      <c r="IP993" s="76"/>
      <c r="IQ993" s="76"/>
      <c r="IR993" s="76"/>
      <c r="IS993" s="76"/>
      <c r="IT993" s="76"/>
      <c r="IU993" s="76"/>
      <c r="IV993" s="76"/>
    </row>
    <row r="994" spans="1:256" hidden="1">
      <c r="A994" s="859"/>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c r="AY994" s="76"/>
      <c r="AZ994" s="76"/>
      <c r="BA994" s="76"/>
      <c r="BB994" s="76"/>
      <c r="BC994" s="76"/>
      <c r="BD994" s="76"/>
      <c r="BE994" s="76"/>
      <c r="BF994" s="76"/>
      <c r="BG994" s="76"/>
      <c r="BH994" s="76"/>
      <c r="BI994" s="76"/>
      <c r="BJ994" s="76"/>
      <c r="BK994" s="76"/>
      <c r="BL994" s="76"/>
      <c r="BM994" s="76"/>
      <c r="BN994" s="76"/>
      <c r="BO994" s="76"/>
      <c r="BP994" s="76"/>
      <c r="BQ994" s="76"/>
      <c r="BR994" s="76"/>
      <c r="BS994" s="76"/>
      <c r="BT994" s="76"/>
      <c r="BU994" s="76"/>
      <c r="BV994" s="76"/>
      <c r="BW994" s="76"/>
      <c r="BX994" s="76"/>
      <c r="BY994" s="76"/>
      <c r="BZ994" s="76"/>
      <c r="CA994" s="76"/>
      <c r="CB994" s="76"/>
      <c r="CC994" s="76"/>
      <c r="CD994" s="76"/>
      <c r="CE994" s="76"/>
      <c r="CF994" s="76"/>
      <c r="CG994" s="76"/>
      <c r="CH994" s="76"/>
      <c r="CI994" s="76"/>
      <c r="CJ994" s="76"/>
      <c r="CK994" s="76"/>
      <c r="CL994" s="76"/>
      <c r="CM994" s="76"/>
      <c r="CN994" s="76"/>
      <c r="CO994" s="76"/>
      <c r="CP994" s="76"/>
      <c r="CQ994" s="76"/>
      <c r="CR994" s="76"/>
      <c r="CS994" s="76"/>
      <c r="CT994" s="76"/>
      <c r="CU994" s="76"/>
      <c r="CV994" s="76"/>
      <c r="CW994" s="76"/>
      <c r="CX994" s="76"/>
      <c r="CY994" s="76"/>
      <c r="CZ994" s="76"/>
      <c r="DA994" s="76"/>
      <c r="DB994" s="76"/>
      <c r="DC994" s="76"/>
      <c r="DD994" s="76"/>
      <c r="DE994" s="76"/>
      <c r="DF994" s="76"/>
      <c r="DG994" s="76"/>
      <c r="DH994" s="76"/>
      <c r="DI994" s="76"/>
      <c r="DJ994" s="76"/>
      <c r="DK994" s="76"/>
      <c r="DL994" s="76"/>
      <c r="DM994" s="76"/>
      <c r="DN994" s="76"/>
      <c r="DO994" s="76"/>
      <c r="DP994" s="76"/>
      <c r="DQ994" s="76"/>
      <c r="DR994" s="76"/>
      <c r="DS994" s="76"/>
      <c r="DT994" s="76"/>
      <c r="DU994" s="76"/>
      <c r="DV994" s="76"/>
      <c r="DW994" s="76"/>
      <c r="DX994" s="76"/>
      <c r="DY994" s="76"/>
      <c r="DZ994" s="76"/>
      <c r="EA994" s="76"/>
      <c r="EB994" s="76"/>
      <c r="EC994" s="76"/>
      <c r="ED994" s="76"/>
      <c r="EE994" s="76"/>
      <c r="EF994" s="76"/>
      <c r="EG994" s="76"/>
      <c r="EH994" s="76"/>
      <c r="EI994" s="76"/>
      <c r="EJ994" s="76"/>
      <c r="EK994" s="76"/>
      <c r="EL994" s="76"/>
      <c r="EM994" s="76"/>
      <c r="EN994" s="76"/>
      <c r="EO994" s="76"/>
      <c r="EP994" s="76"/>
      <c r="EQ994" s="76"/>
      <c r="ER994" s="76"/>
      <c r="ES994" s="76"/>
      <c r="ET994" s="76"/>
      <c r="EU994" s="76"/>
      <c r="EV994" s="76"/>
      <c r="EW994" s="76"/>
      <c r="EX994" s="76"/>
      <c r="EY994" s="76"/>
      <c r="EZ994" s="76"/>
      <c r="FA994" s="76"/>
      <c r="FB994" s="76"/>
      <c r="FC994" s="76"/>
      <c r="FD994" s="76"/>
      <c r="FE994" s="76"/>
      <c r="FF994" s="76"/>
      <c r="FG994" s="76"/>
      <c r="FH994" s="76"/>
      <c r="FI994" s="76"/>
      <c r="FJ994" s="76"/>
      <c r="FK994" s="76"/>
      <c r="FL994" s="76"/>
      <c r="FM994" s="76"/>
      <c r="FN994" s="76"/>
      <c r="FO994" s="76"/>
      <c r="FP994" s="76"/>
      <c r="FQ994" s="76"/>
      <c r="FR994" s="76"/>
      <c r="FS994" s="76"/>
      <c r="FT994" s="76"/>
      <c r="FU994" s="76"/>
      <c r="FV994" s="76"/>
      <c r="FW994" s="76"/>
      <c r="FX994" s="76"/>
      <c r="FY994" s="76"/>
      <c r="FZ994" s="76"/>
      <c r="GA994" s="76"/>
      <c r="GB994" s="76"/>
      <c r="GC994" s="76"/>
      <c r="GD994" s="76"/>
      <c r="GE994" s="76"/>
      <c r="GF994" s="76"/>
      <c r="GG994" s="76"/>
      <c r="GH994" s="76"/>
      <c r="GI994" s="76"/>
      <c r="GJ994" s="76"/>
      <c r="GK994" s="76"/>
      <c r="GL994" s="76"/>
      <c r="GM994" s="76"/>
      <c r="GN994" s="76"/>
      <c r="GO994" s="76"/>
      <c r="GP994" s="76"/>
      <c r="GQ994" s="76"/>
      <c r="GR994" s="76"/>
      <c r="GS994" s="76"/>
      <c r="GT994" s="76"/>
      <c r="GU994" s="76"/>
      <c r="GV994" s="76"/>
      <c r="GW994" s="76"/>
      <c r="GX994" s="76"/>
      <c r="GY994" s="76"/>
      <c r="GZ994" s="76"/>
      <c r="HA994" s="76"/>
      <c r="HB994" s="76"/>
      <c r="HC994" s="76"/>
      <c r="HD994" s="76"/>
      <c r="HE994" s="76"/>
      <c r="HF994" s="76"/>
      <c r="HG994" s="76"/>
      <c r="HH994" s="76"/>
      <c r="HI994" s="76"/>
      <c r="HJ994" s="76"/>
      <c r="HK994" s="76"/>
      <c r="HL994" s="76"/>
      <c r="HM994" s="76"/>
      <c r="HN994" s="76"/>
      <c r="HO994" s="76"/>
      <c r="HP994" s="76"/>
      <c r="HQ994" s="76"/>
      <c r="HR994" s="76"/>
      <c r="HS994" s="76"/>
      <c r="HT994" s="76"/>
      <c r="HU994" s="76"/>
      <c r="HV994" s="76"/>
      <c r="HW994" s="76"/>
      <c r="HX994" s="76"/>
      <c r="HY994" s="76"/>
      <c r="HZ994" s="76"/>
      <c r="IA994" s="76"/>
      <c r="IB994" s="76"/>
      <c r="IC994" s="76"/>
      <c r="ID994" s="76"/>
      <c r="IE994" s="76"/>
      <c r="IF994" s="76"/>
      <c r="IG994" s="76"/>
      <c r="IH994" s="76"/>
      <c r="II994" s="76"/>
      <c r="IJ994" s="76"/>
      <c r="IK994" s="76"/>
      <c r="IL994" s="76"/>
      <c r="IM994" s="76"/>
      <c r="IN994" s="76"/>
      <c r="IO994" s="76"/>
      <c r="IP994" s="76"/>
      <c r="IQ994" s="76"/>
      <c r="IR994" s="76"/>
      <c r="IS994" s="76"/>
      <c r="IT994" s="76"/>
      <c r="IU994" s="76"/>
      <c r="IV994" s="76"/>
    </row>
    <row r="995" spans="1:256" hidden="1">
      <c r="A995" s="859"/>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c r="AR995" s="76"/>
      <c r="AS995" s="76"/>
      <c r="AT995" s="76"/>
      <c r="AU995" s="76"/>
      <c r="AV995" s="76"/>
      <c r="AW995" s="76"/>
      <c r="AX995" s="76"/>
      <c r="AY995" s="76"/>
      <c r="AZ995" s="76"/>
      <c r="BA995" s="76"/>
      <c r="BB995" s="76"/>
      <c r="BC995" s="76"/>
      <c r="BD995" s="76"/>
      <c r="BE995" s="76"/>
      <c r="BF995" s="76"/>
      <c r="BG995" s="76"/>
      <c r="BH995" s="76"/>
      <c r="BI995" s="76"/>
      <c r="BJ995" s="76"/>
      <c r="BK995" s="76"/>
      <c r="BL995" s="76"/>
      <c r="BM995" s="76"/>
      <c r="BN995" s="76"/>
      <c r="BO995" s="76"/>
      <c r="BP995" s="76"/>
      <c r="BQ995" s="76"/>
      <c r="BR995" s="76"/>
      <c r="BS995" s="76"/>
      <c r="BT995" s="76"/>
      <c r="BU995" s="76"/>
      <c r="BV995" s="76"/>
      <c r="BW995" s="76"/>
      <c r="BX995" s="76"/>
      <c r="BY995" s="76"/>
      <c r="BZ995" s="76"/>
      <c r="CA995" s="76"/>
      <c r="CB995" s="76"/>
      <c r="CC995" s="76"/>
      <c r="CD995" s="76"/>
      <c r="CE995" s="76"/>
      <c r="CF995" s="76"/>
      <c r="CG995" s="76"/>
      <c r="CH995" s="76"/>
      <c r="CI995" s="76"/>
      <c r="CJ995" s="76"/>
      <c r="CK995" s="76"/>
      <c r="CL995" s="76"/>
      <c r="CM995" s="76"/>
      <c r="CN995" s="76"/>
      <c r="CO995" s="76"/>
      <c r="CP995" s="76"/>
      <c r="CQ995" s="76"/>
      <c r="CR995" s="76"/>
      <c r="CS995" s="76"/>
      <c r="CT995" s="76"/>
      <c r="CU995" s="76"/>
      <c r="CV995" s="76"/>
      <c r="CW995" s="76"/>
      <c r="CX995" s="76"/>
      <c r="CY995" s="76"/>
      <c r="CZ995" s="76"/>
      <c r="DA995" s="76"/>
      <c r="DB995" s="76"/>
      <c r="DC995" s="76"/>
      <c r="DD995" s="76"/>
      <c r="DE995" s="76"/>
      <c r="DF995" s="76"/>
      <c r="DG995" s="76"/>
      <c r="DH995" s="76"/>
      <c r="DI995" s="76"/>
      <c r="DJ995" s="76"/>
      <c r="DK995" s="76"/>
      <c r="DL995" s="76"/>
      <c r="DM995" s="76"/>
      <c r="DN995" s="76"/>
      <c r="DO995" s="76"/>
      <c r="DP995" s="76"/>
      <c r="DQ995" s="76"/>
      <c r="DR995" s="76"/>
      <c r="DS995" s="76"/>
      <c r="DT995" s="76"/>
      <c r="DU995" s="76"/>
      <c r="DV995" s="76"/>
      <c r="DW995" s="76"/>
      <c r="DX995" s="76"/>
      <c r="DY995" s="76"/>
      <c r="DZ995" s="76"/>
      <c r="EA995" s="76"/>
      <c r="EB995" s="76"/>
      <c r="EC995" s="76"/>
      <c r="ED995" s="76"/>
      <c r="EE995" s="76"/>
      <c r="EF995" s="76"/>
      <c r="EG995" s="76"/>
      <c r="EH995" s="76"/>
      <c r="EI995" s="76"/>
      <c r="EJ995" s="76"/>
      <c r="EK995" s="76"/>
      <c r="EL995" s="76"/>
      <c r="EM995" s="76"/>
      <c r="EN995" s="76"/>
      <c r="EO995" s="76"/>
      <c r="EP995" s="76"/>
      <c r="EQ995" s="76"/>
      <c r="ER995" s="76"/>
      <c r="ES995" s="76"/>
      <c r="ET995" s="76"/>
      <c r="EU995" s="76"/>
      <c r="EV995" s="76"/>
      <c r="EW995" s="76"/>
      <c r="EX995" s="76"/>
      <c r="EY995" s="76"/>
      <c r="EZ995" s="76"/>
      <c r="FA995" s="76"/>
      <c r="FB995" s="76"/>
      <c r="FC995" s="76"/>
      <c r="FD995" s="76"/>
      <c r="FE995" s="76"/>
      <c r="FF995" s="76"/>
      <c r="FG995" s="76"/>
      <c r="FH995" s="76"/>
      <c r="FI995" s="76"/>
      <c r="FJ995" s="76"/>
      <c r="FK995" s="76"/>
      <c r="FL995" s="76"/>
      <c r="FM995" s="76"/>
      <c r="FN995" s="76"/>
      <c r="FO995" s="76"/>
      <c r="FP995" s="76"/>
      <c r="FQ995" s="76"/>
      <c r="FR995" s="76"/>
      <c r="FS995" s="76"/>
      <c r="FT995" s="76"/>
      <c r="FU995" s="76"/>
      <c r="FV995" s="76"/>
      <c r="FW995" s="76"/>
      <c r="FX995" s="76"/>
      <c r="FY995" s="76"/>
      <c r="FZ995" s="76"/>
      <c r="GA995" s="76"/>
      <c r="GB995" s="76"/>
      <c r="GC995" s="76"/>
      <c r="GD995" s="76"/>
      <c r="GE995" s="76"/>
      <c r="GF995" s="76"/>
      <c r="GG995" s="76"/>
      <c r="GH995" s="76"/>
      <c r="GI995" s="76"/>
      <c r="GJ995" s="76"/>
      <c r="GK995" s="76"/>
      <c r="GL995" s="76"/>
      <c r="GM995" s="76"/>
      <c r="GN995" s="76"/>
      <c r="GO995" s="76"/>
      <c r="GP995" s="76"/>
      <c r="GQ995" s="76"/>
      <c r="GR995" s="76"/>
      <c r="GS995" s="76"/>
      <c r="GT995" s="76"/>
      <c r="GU995" s="76"/>
      <c r="GV995" s="76"/>
      <c r="GW995" s="76"/>
      <c r="GX995" s="76"/>
      <c r="GY995" s="76"/>
      <c r="GZ995" s="76"/>
      <c r="HA995" s="76"/>
      <c r="HB995" s="76"/>
      <c r="HC995" s="76"/>
      <c r="HD995" s="76"/>
      <c r="HE995" s="76"/>
      <c r="HF995" s="76"/>
      <c r="HG995" s="76"/>
      <c r="HH995" s="76"/>
      <c r="HI995" s="76"/>
      <c r="HJ995" s="76"/>
      <c r="HK995" s="76"/>
      <c r="HL995" s="76"/>
      <c r="HM995" s="76"/>
      <c r="HN995" s="76"/>
      <c r="HO995" s="76"/>
      <c r="HP995" s="76"/>
      <c r="HQ995" s="76"/>
      <c r="HR995" s="76"/>
      <c r="HS995" s="76"/>
      <c r="HT995" s="76"/>
      <c r="HU995" s="76"/>
      <c r="HV995" s="76"/>
      <c r="HW995" s="76"/>
      <c r="HX995" s="76"/>
      <c r="HY995" s="76"/>
      <c r="HZ995" s="76"/>
      <c r="IA995" s="76"/>
      <c r="IB995" s="76"/>
      <c r="IC995" s="76"/>
      <c r="ID995" s="76"/>
      <c r="IE995" s="76"/>
      <c r="IF995" s="76"/>
      <c r="IG995" s="76"/>
      <c r="IH995" s="76"/>
      <c r="II995" s="76"/>
      <c r="IJ995" s="76"/>
      <c r="IK995" s="76"/>
      <c r="IL995" s="76"/>
      <c r="IM995" s="76"/>
      <c r="IN995" s="76"/>
      <c r="IO995" s="76"/>
      <c r="IP995" s="76"/>
      <c r="IQ995" s="76"/>
      <c r="IR995" s="76"/>
      <c r="IS995" s="76"/>
      <c r="IT995" s="76"/>
      <c r="IU995" s="76"/>
      <c r="IV995" s="76"/>
    </row>
    <row r="996" spans="1:256" hidden="1">
      <c r="A996" s="859"/>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c r="AY996" s="76"/>
      <c r="AZ996" s="76"/>
      <c r="BA996" s="76"/>
      <c r="BB996" s="76"/>
      <c r="BC996" s="76"/>
      <c r="BD996" s="76"/>
      <c r="BE996" s="76"/>
      <c r="BF996" s="76"/>
      <c r="BG996" s="76"/>
      <c r="BH996" s="76"/>
      <c r="BI996" s="76"/>
      <c r="BJ996" s="76"/>
      <c r="BK996" s="76"/>
      <c r="BL996" s="76"/>
      <c r="BM996" s="76"/>
      <c r="BN996" s="76"/>
      <c r="BO996" s="76"/>
      <c r="BP996" s="76"/>
      <c r="BQ996" s="76"/>
      <c r="BR996" s="76"/>
      <c r="BS996" s="76"/>
      <c r="BT996" s="76"/>
      <c r="BU996" s="76"/>
      <c r="BV996" s="76"/>
      <c r="BW996" s="76"/>
      <c r="BX996" s="76"/>
      <c r="BY996" s="76"/>
      <c r="BZ996" s="76"/>
      <c r="CA996" s="76"/>
      <c r="CB996" s="76"/>
      <c r="CC996" s="76"/>
      <c r="CD996" s="76"/>
      <c r="CE996" s="76"/>
      <c r="CF996" s="76"/>
      <c r="CG996" s="76"/>
      <c r="CH996" s="76"/>
      <c r="CI996" s="76"/>
      <c r="CJ996" s="76"/>
      <c r="CK996" s="76"/>
      <c r="CL996" s="76"/>
      <c r="CM996" s="76"/>
      <c r="CN996" s="76"/>
      <c r="CO996" s="76"/>
      <c r="CP996" s="76"/>
      <c r="CQ996" s="76"/>
      <c r="CR996" s="76"/>
      <c r="CS996" s="76"/>
      <c r="CT996" s="76"/>
      <c r="CU996" s="76"/>
      <c r="CV996" s="76"/>
      <c r="CW996" s="76"/>
      <c r="CX996" s="76"/>
      <c r="CY996" s="76"/>
      <c r="CZ996" s="76"/>
      <c r="DA996" s="76"/>
      <c r="DB996" s="76"/>
      <c r="DC996" s="76"/>
      <c r="DD996" s="76"/>
      <c r="DE996" s="76"/>
      <c r="DF996" s="76"/>
      <c r="DG996" s="76"/>
      <c r="DH996" s="76"/>
      <c r="DI996" s="76"/>
      <c r="DJ996" s="76"/>
      <c r="DK996" s="76"/>
      <c r="DL996" s="76"/>
      <c r="DM996" s="76"/>
      <c r="DN996" s="76"/>
      <c r="DO996" s="76"/>
      <c r="DP996" s="76"/>
      <c r="DQ996" s="76"/>
      <c r="DR996" s="76"/>
      <c r="DS996" s="76"/>
      <c r="DT996" s="76"/>
      <c r="DU996" s="76"/>
      <c r="DV996" s="76"/>
      <c r="DW996" s="76"/>
      <c r="DX996" s="76"/>
      <c r="DY996" s="76"/>
      <c r="DZ996" s="76"/>
      <c r="EA996" s="76"/>
      <c r="EB996" s="76"/>
      <c r="EC996" s="76"/>
      <c r="ED996" s="76"/>
      <c r="EE996" s="76"/>
      <c r="EF996" s="76"/>
      <c r="EG996" s="76"/>
      <c r="EH996" s="76"/>
      <c r="EI996" s="76"/>
      <c r="EJ996" s="76"/>
      <c r="EK996" s="76"/>
      <c r="EL996" s="76"/>
      <c r="EM996" s="76"/>
      <c r="EN996" s="76"/>
      <c r="EO996" s="76"/>
      <c r="EP996" s="76"/>
      <c r="EQ996" s="76"/>
      <c r="ER996" s="76"/>
      <c r="ES996" s="76"/>
      <c r="ET996" s="76"/>
      <c r="EU996" s="76"/>
      <c r="EV996" s="76"/>
      <c r="EW996" s="76"/>
      <c r="EX996" s="76"/>
      <c r="EY996" s="76"/>
      <c r="EZ996" s="76"/>
      <c r="FA996" s="76"/>
      <c r="FB996" s="76"/>
      <c r="FC996" s="76"/>
      <c r="FD996" s="76"/>
      <c r="FE996" s="76"/>
      <c r="FF996" s="76"/>
      <c r="FG996" s="76"/>
      <c r="FH996" s="76"/>
      <c r="FI996" s="76"/>
      <c r="FJ996" s="76"/>
      <c r="FK996" s="76"/>
      <c r="FL996" s="76"/>
      <c r="FM996" s="76"/>
      <c r="FN996" s="76"/>
      <c r="FO996" s="76"/>
      <c r="FP996" s="76"/>
      <c r="FQ996" s="76"/>
      <c r="FR996" s="76"/>
      <c r="FS996" s="76"/>
      <c r="FT996" s="76"/>
      <c r="FU996" s="76"/>
      <c r="FV996" s="76"/>
      <c r="FW996" s="76"/>
      <c r="FX996" s="76"/>
      <c r="FY996" s="76"/>
      <c r="FZ996" s="76"/>
      <c r="GA996" s="76"/>
      <c r="GB996" s="76"/>
      <c r="GC996" s="76"/>
      <c r="GD996" s="76"/>
      <c r="GE996" s="76"/>
      <c r="GF996" s="76"/>
      <c r="GG996" s="76"/>
      <c r="GH996" s="76"/>
      <c r="GI996" s="76"/>
      <c r="GJ996" s="76"/>
      <c r="GK996" s="76"/>
      <c r="GL996" s="76"/>
      <c r="GM996" s="76"/>
      <c r="GN996" s="76"/>
      <c r="GO996" s="76"/>
      <c r="GP996" s="76"/>
      <c r="GQ996" s="76"/>
      <c r="GR996" s="76"/>
      <c r="GS996" s="76"/>
      <c r="GT996" s="76"/>
      <c r="GU996" s="76"/>
      <c r="GV996" s="76"/>
      <c r="GW996" s="76"/>
      <c r="GX996" s="76"/>
      <c r="GY996" s="76"/>
      <c r="GZ996" s="76"/>
      <c r="HA996" s="76"/>
      <c r="HB996" s="76"/>
      <c r="HC996" s="76"/>
      <c r="HD996" s="76"/>
      <c r="HE996" s="76"/>
      <c r="HF996" s="76"/>
      <c r="HG996" s="76"/>
      <c r="HH996" s="76"/>
      <c r="HI996" s="76"/>
      <c r="HJ996" s="76"/>
      <c r="HK996" s="76"/>
      <c r="HL996" s="76"/>
      <c r="HM996" s="76"/>
      <c r="HN996" s="76"/>
      <c r="HO996" s="76"/>
      <c r="HP996" s="76"/>
      <c r="HQ996" s="76"/>
      <c r="HR996" s="76"/>
      <c r="HS996" s="76"/>
      <c r="HT996" s="76"/>
      <c r="HU996" s="76"/>
      <c r="HV996" s="76"/>
      <c r="HW996" s="76"/>
      <c r="HX996" s="76"/>
      <c r="HY996" s="76"/>
      <c r="HZ996" s="76"/>
      <c r="IA996" s="76"/>
      <c r="IB996" s="76"/>
      <c r="IC996" s="76"/>
      <c r="ID996" s="76"/>
      <c r="IE996" s="76"/>
      <c r="IF996" s="76"/>
      <c r="IG996" s="76"/>
      <c r="IH996" s="76"/>
      <c r="II996" s="76"/>
      <c r="IJ996" s="76"/>
      <c r="IK996" s="76"/>
      <c r="IL996" s="76"/>
      <c r="IM996" s="76"/>
      <c r="IN996" s="76"/>
      <c r="IO996" s="76"/>
      <c r="IP996" s="76"/>
      <c r="IQ996" s="76"/>
      <c r="IR996" s="76"/>
      <c r="IS996" s="76"/>
      <c r="IT996" s="76"/>
      <c r="IU996" s="76"/>
      <c r="IV996" s="76"/>
    </row>
    <row r="997" spans="1:256" hidden="1">
      <c r="A997" s="859"/>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c r="AR997" s="76"/>
      <c r="AS997" s="76"/>
      <c r="AT997" s="76"/>
      <c r="AU997" s="76"/>
      <c r="AV997" s="76"/>
      <c r="AW997" s="76"/>
      <c r="AX997" s="76"/>
      <c r="AY997" s="76"/>
      <c r="AZ997" s="76"/>
      <c r="BA997" s="76"/>
      <c r="BB997" s="76"/>
      <c r="BC997" s="76"/>
      <c r="BD997" s="76"/>
      <c r="BE997" s="76"/>
      <c r="BF997" s="76"/>
      <c r="BG997" s="76"/>
      <c r="BH997" s="76"/>
      <c r="BI997" s="76"/>
      <c r="BJ997" s="76"/>
      <c r="BK997" s="76"/>
      <c r="BL997" s="76"/>
      <c r="BM997" s="76"/>
      <c r="BN997" s="76"/>
      <c r="BO997" s="76"/>
      <c r="BP997" s="76"/>
      <c r="BQ997" s="76"/>
      <c r="BR997" s="76"/>
      <c r="BS997" s="76"/>
      <c r="BT997" s="76"/>
      <c r="BU997" s="76"/>
      <c r="BV997" s="76"/>
      <c r="BW997" s="76"/>
      <c r="BX997" s="76"/>
      <c r="BY997" s="76"/>
      <c r="BZ997" s="76"/>
      <c r="CA997" s="76"/>
      <c r="CB997" s="76"/>
      <c r="CC997" s="76"/>
      <c r="CD997" s="76"/>
      <c r="CE997" s="76"/>
      <c r="CF997" s="76"/>
      <c r="CG997" s="76"/>
      <c r="CH997" s="76"/>
      <c r="CI997" s="76"/>
      <c r="CJ997" s="76"/>
      <c r="CK997" s="76"/>
      <c r="CL997" s="76"/>
      <c r="CM997" s="76"/>
      <c r="CN997" s="76"/>
      <c r="CO997" s="76"/>
      <c r="CP997" s="76"/>
      <c r="CQ997" s="76"/>
      <c r="CR997" s="76"/>
      <c r="CS997" s="76"/>
      <c r="CT997" s="76"/>
      <c r="CU997" s="76"/>
      <c r="CV997" s="76"/>
      <c r="CW997" s="76"/>
      <c r="CX997" s="76"/>
      <c r="CY997" s="76"/>
      <c r="CZ997" s="76"/>
      <c r="DA997" s="76"/>
      <c r="DB997" s="76"/>
      <c r="DC997" s="76"/>
      <c r="DD997" s="76"/>
      <c r="DE997" s="76"/>
      <c r="DF997" s="76"/>
      <c r="DG997" s="76"/>
      <c r="DH997" s="76"/>
      <c r="DI997" s="76"/>
      <c r="DJ997" s="76"/>
      <c r="DK997" s="76"/>
      <c r="DL997" s="76"/>
      <c r="DM997" s="76"/>
      <c r="DN997" s="76"/>
      <c r="DO997" s="76"/>
      <c r="DP997" s="76"/>
      <c r="DQ997" s="76"/>
      <c r="DR997" s="76"/>
      <c r="DS997" s="76"/>
      <c r="DT997" s="76"/>
      <c r="DU997" s="76"/>
      <c r="DV997" s="76"/>
      <c r="DW997" s="76"/>
      <c r="DX997" s="76"/>
      <c r="DY997" s="76"/>
      <c r="DZ997" s="76"/>
      <c r="EA997" s="76"/>
      <c r="EB997" s="76"/>
      <c r="EC997" s="76"/>
      <c r="ED997" s="76"/>
      <c r="EE997" s="76"/>
      <c r="EF997" s="76"/>
      <c r="EG997" s="76"/>
      <c r="EH997" s="76"/>
      <c r="EI997" s="76"/>
      <c r="EJ997" s="76"/>
      <c r="EK997" s="76"/>
      <c r="EL997" s="76"/>
      <c r="EM997" s="76"/>
      <c r="EN997" s="76"/>
      <c r="EO997" s="76"/>
      <c r="EP997" s="76"/>
      <c r="EQ997" s="76"/>
      <c r="ER997" s="76"/>
      <c r="ES997" s="76"/>
      <c r="ET997" s="76"/>
      <c r="EU997" s="76"/>
      <c r="EV997" s="76"/>
      <c r="EW997" s="76"/>
      <c r="EX997" s="76"/>
      <c r="EY997" s="76"/>
      <c r="EZ997" s="76"/>
      <c r="FA997" s="76"/>
      <c r="FB997" s="76"/>
      <c r="FC997" s="76"/>
      <c r="FD997" s="76"/>
      <c r="FE997" s="76"/>
      <c r="FF997" s="76"/>
      <c r="FG997" s="76"/>
      <c r="FH997" s="76"/>
      <c r="FI997" s="76"/>
      <c r="FJ997" s="76"/>
      <c r="FK997" s="76"/>
      <c r="FL997" s="76"/>
      <c r="FM997" s="76"/>
      <c r="FN997" s="76"/>
      <c r="FO997" s="76"/>
      <c r="FP997" s="76"/>
      <c r="FQ997" s="76"/>
      <c r="FR997" s="76"/>
      <c r="FS997" s="76"/>
      <c r="FT997" s="76"/>
      <c r="FU997" s="76"/>
      <c r="FV997" s="76"/>
      <c r="FW997" s="76"/>
      <c r="FX997" s="76"/>
      <c r="FY997" s="76"/>
      <c r="FZ997" s="76"/>
      <c r="GA997" s="76"/>
      <c r="GB997" s="76"/>
      <c r="GC997" s="76"/>
      <c r="GD997" s="76"/>
      <c r="GE997" s="76"/>
      <c r="GF997" s="76"/>
      <c r="GG997" s="76"/>
      <c r="GH997" s="76"/>
      <c r="GI997" s="76"/>
      <c r="GJ997" s="76"/>
      <c r="GK997" s="76"/>
      <c r="GL997" s="76"/>
      <c r="GM997" s="76"/>
      <c r="GN997" s="76"/>
      <c r="GO997" s="76"/>
      <c r="GP997" s="76"/>
      <c r="GQ997" s="76"/>
      <c r="GR997" s="76"/>
      <c r="GS997" s="76"/>
      <c r="GT997" s="76"/>
      <c r="GU997" s="76"/>
      <c r="GV997" s="76"/>
      <c r="GW997" s="76"/>
      <c r="GX997" s="76"/>
      <c r="GY997" s="76"/>
      <c r="GZ997" s="76"/>
      <c r="HA997" s="76"/>
      <c r="HB997" s="76"/>
      <c r="HC997" s="76"/>
      <c r="HD997" s="76"/>
      <c r="HE997" s="76"/>
      <c r="HF997" s="76"/>
      <c r="HG997" s="76"/>
      <c r="HH997" s="76"/>
      <c r="HI997" s="76"/>
      <c r="HJ997" s="76"/>
      <c r="HK997" s="76"/>
      <c r="HL997" s="76"/>
      <c r="HM997" s="76"/>
      <c r="HN997" s="76"/>
      <c r="HO997" s="76"/>
      <c r="HP997" s="76"/>
      <c r="HQ997" s="76"/>
      <c r="HR997" s="76"/>
      <c r="HS997" s="76"/>
      <c r="HT997" s="76"/>
      <c r="HU997" s="76"/>
      <c r="HV997" s="76"/>
      <c r="HW997" s="76"/>
      <c r="HX997" s="76"/>
      <c r="HY997" s="76"/>
      <c r="HZ997" s="76"/>
      <c r="IA997" s="76"/>
      <c r="IB997" s="76"/>
      <c r="IC997" s="76"/>
      <c r="ID997" s="76"/>
      <c r="IE997" s="76"/>
      <c r="IF997" s="76"/>
      <c r="IG997" s="76"/>
      <c r="IH997" s="76"/>
      <c r="II997" s="76"/>
      <c r="IJ997" s="76"/>
      <c r="IK997" s="76"/>
      <c r="IL997" s="76"/>
      <c r="IM997" s="76"/>
      <c r="IN997" s="76"/>
      <c r="IO997" s="76"/>
      <c r="IP997" s="76"/>
      <c r="IQ997" s="76"/>
      <c r="IR997" s="76"/>
      <c r="IS997" s="76"/>
      <c r="IT997" s="76"/>
      <c r="IU997" s="76"/>
      <c r="IV997" s="76"/>
    </row>
    <row r="998" spans="1:256" hidden="1">
      <c r="A998" s="859"/>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c r="AR998" s="76"/>
      <c r="AS998" s="76"/>
      <c r="AT998" s="76"/>
      <c r="AU998" s="76"/>
      <c r="AV998" s="76"/>
      <c r="AW998" s="76"/>
      <c r="AX998" s="76"/>
      <c r="AY998" s="76"/>
      <c r="AZ998" s="76"/>
      <c r="BA998" s="76"/>
      <c r="BB998" s="76"/>
      <c r="BC998" s="76"/>
      <c r="BD998" s="76"/>
      <c r="BE998" s="76"/>
      <c r="BF998" s="76"/>
      <c r="BG998" s="76"/>
      <c r="BH998" s="76"/>
      <c r="BI998" s="76"/>
      <c r="BJ998" s="76"/>
      <c r="BK998" s="76"/>
      <c r="BL998" s="76"/>
      <c r="BM998" s="76"/>
      <c r="BN998" s="76"/>
      <c r="BO998" s="76"/>
      <c r="BP998" s="76"/>
      <c r="BQ998" s="76"/>
      <c r="BR998" s="76"/>
      <c r="BS998" s="76"/>
      <c r="BT998" s="76"/>
      <c r="BU998" s="76"/>
      <c r="BV998" s="76"/>
      <c r="BW998" s="76"/>
      <c r="BX998" s="76"/>
      <c r="BY998" s="76"/>
      <c r="BZ998" s="76"/>
      <c r="CA998" s="76"/>
      <c r="CB998" s="76"/>
      <c r="CC998" s="76"/>
      <c r="CD998" s="76"/>
      <c r="CE998" s="76"/>
      <c r="CF998" s="76"/>
      <c r="CG998" s="76"/>
      <c r="CH998" s="76"/>
      <c r="CI998" s="76"/>
      <c r="CJ998" s="76"/>
      <c r="CK998" s="76"/>
      <c r="CL998" s="76"/>
      <c r="CM998" s="76"/>
      <c r="CN998" s="76"/>
      <c r="CO998" s="76"/>
      <c r="CP998" s="76"/>
      <c r="CQ998" s="76"/>
      <c r="CR998" s="76"/>
      <c r="CS998" s="76"/>
      <c r="CT998" s="76"/>
      <c r="CU998" s="76"/>
      <c r="CV998" s="76"/>
      <c r="CW998" s="76"/>
      <c r="CX998" s="76"/>
      <c r="CY998" s="76"/>
      <c r="CZ998" s="76"/>
      <c r="DA998" s="76"/>
      <c r="DB998" s="76"/>
      <c r="DC998" s="76"/>
      <c r="DD998" s="76"/>
      <c r="DE998" s="76"/>
      <c r="DF998" s="76"/>
      <c r="DG998" s="76"/>
      <c r="DH998" s="76"/>
      <c r="DI998" s="76"/>
      <c r="DJ998" s="76"/>
      <c r="DK998" s="76"/>
      <c r="DL998" s="76"/>
      <c r="DM998" s="76"/>
      <c r="DN998" s="76"/>
      <c r="DO998" s="76"/>
      <c r="DP998" s="76"/>
      <c r="DQ998" s="76"/>
      <c r="DR998" s="76"/>
      <c r="DS998" s="76"/>
      <c r="DT998" s="76"/>
      <c r="DU998" s="76"/>
      <c r="DV998" s="76"/>
      <c r="DW998" s="76"/>
      <c r="DX998" s="76"/>
      <c r="DY998" s="76"/>
      <c r="DZ998" s="76"/>
      <c r="EA998" s="76"/>
      <c r="EB998" s="76"/>
      <c r="EC998" s="76"/>
      <c r="ED998" s="76"/>
      <c r="EE998" s="76"/>
      <c r="EF998" s="76"/>
      <c r="EG998" s="76"/>
      <c r="EH998" s="76"/>
      <c r="EI998" s="76"/>
      <c r="EJ998" s="76"/>
      <c r="EK998" s="76"/>
      <c r="EL998" s="76"/>
      <c r="EM998" s="76"/>
      <c r="EN998" s="76"/>
      <c r="EO998" s="76"/>
      <c r="EP998" s="76"/>
      <c r="EQ998" s="76"/>
      <c r="ER998" s="76"/>
      <c r="ES998" s="76"/>
      <c r="ET998" s="76"/>
      <c r="EU998" s="76"/>
      <c r="EV998" s="76"/>
      <c r="EW998" s="76"/>
      <c r="EX998" s="76"/>
      <c r="EY998" s="76"/>
      <c r="EZ998" s="76"/>
      <c r="FA998" s="76"/>
      <c r="FB998" s="76"/>
      <c r="FC998" s="76"/>
      <c r="FD998" s="76"/>
      <c r="FE998" s="76"/>
      <c r="FF998" s="76"/>
      <c r="FG998" s="76"/>
      <c r="FH998" s="76"/>
      <c r="FI998" s="76"/>
      <c r="FJ998" s="76"/>
      <c r="FK998" s="76"/>
      <c r="FL998" s="76"/>
      <c r="FM998" s="76"/>
      <c r="FN998" s="76"/>
      <c r="FO998" s="76"/>
      <c r="FP998" s="76"/>
      <c r="FQ998" s="76"/>
      <c r="FR998" s="76"/>
      <c r="FS998" s="76"/>
      <c r="FT998" s="76"/>
      <c r="FU998" s="76"/>
      <c r="FV998" s="76"/>
      <c r="FW998" s="76"/>
      <c r="FX998" s="76"/>
      <c r="FY998" s="76"/>
      <c r="FZ998" s="76"/>
      <c r="GA998" s="76"/>
      <c r="GB998" s="76"/>
      <c r="GC998" s="76"/>
      <c r="GD998" s="76"/>
      <c r="GE998" s="76"/>
      <c r="GF998" s="76"/>
      <c r="GG998" s="76"/>
      <c r="GH998" s="76"/>
      <c r="GI998" s="76"/>
      <c r="GJ998" s="76"/>
      <c r="GK998" s="76"/>
      <c r="GL998" s="76"/>
      <c r="GM998" s="76"/>
      <c r="GN998" s="76"/>
      <c r="GO998" s="76"/>
      <c r="GP998" s="76"/>
      <c r="GQ998" s="76"/>
      <c r="GR998" s="76"/>
      <c r="GS998" s="76"/>
      <c r="GT998" s="76"/>
      <c r="GU998" s="76"/>
      <c r="GV998" s="76"/>
      <c r="GW998" s="76"/>
      <c r="GX998" s="76"/>
      <c r="GY998" s="76"/>
      <c r="GZ998" s="76"/>
      <c r="HA998" s="76"/>
      <c r="HB998" s="76"/>
      <c r="HC998" s="76"/>
      <c r="HD998" s="76"/>
      <c r="HE998" s="76"/>
      <c r="HF998" s="76"/>
      <c r="HG998" s="76"/>
      <c r="HH998" s="76"/>
      <c r="HI998" s="76"/>
      <c r="HJ998" s="76"/>
      <c r="HK998" s="76"/>
      <c r="HL998" s="76"/>
      <c r="HM998" s="76"/>
      <c r="HN998" s="76"/>
      <c r="HO998" s="76"/>
      <c r="HP998" s="76"/>
      <c r="HQ998" s="76"/>
      <c r="HR998" s="76"/>
      <c r="HS998" s="76"/>
      <c r="HT998" s="76"/>
      <c r="HU998" s="76"/>
      <c r="HV998" s="76"/>
      <c r="HW998" s="76"/>
      <c r="HX998" s="76"/>
      <c r="HY998" s="76"/>
      <c r="HZ998" s="76"/>
      <c r="IA998" s="76"/>
      <c r="IB998" s="76"/>
      <c r="IC998" s="76"/>
      <c r="ID998" s="76"/>
      <c r="IE998" s="76"/>
      <c r="IF998" s="76"/>
      <c r="IG998" s="76"/>
      <c r="IH998" s="76"/>
      <c r="II998" s="76"/>
      <c r="IJ998" s="76"/>
      <c r="IK998" s="76"/>
      <c r="IL998" s="76"/>
      <c r="IM998" s="76"/>
      <c r="IN998" s="76"/>
      <c r="IO998" s="76"/>
      <c r="IP998" s="76"/>
      <c r="IQ998" s="76"/>
      <c r="IR998" s="76"/>
      <c r="IS998" s="76"/>
      <c r="IT998" s="76"/>
      <c r="IU998" s="76"/>
      <c r="IV998" s="76"/>
    </row>
    <row r="999" spans="1:256" hidden="1">
      <c r="A999" s="859"/>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c r="AY999" s="76"/>
      <c r="AZ999" s="76"/>
      <c r="BA999" s="76"/>
      <c r="BB999" s="76"/>
      <c r="BC999" s="76"/>
      <c r="BD999" s="76"/>
      <c r="BE999" s="76"/>
      <c r="BF999" s="76"/>
      <c r="BG999" s="76"/>
      <c r="BH999" s="76"/>
      <c r="BI999" s="76"/>
      <c r="BJ999" s="76"/>
      <c r="BK999" s="76"/>
      <c r="BL999" s="76"/>
      <c r="BM999" s="76"/>
      <c r="BN999" s="76"/>
      <c r="BO999" s="76"/>
      <c r="BP999" s="76"/>
      <c r="BQ999" s="76"/>
      <c r="BR999" s="76"/>
      <c r="BS999" s="76"/>
      <c r="BT999" s="76"/>
      <c r="BU999" s="76"/>
      <c r="BV999" s="76"/>
      <c r="BW999" s="76"/>
      <c r="BX999" s="76"/>
      <c r="BY999" s="76"/>
      <c r="BZ999" s="76"/>
      <c r="CA999" s="76"/>
      <c r="CB999" s="76"/>
      <c r="CC999" s="76"/>
      <c r="CD999" s="76"/>
      <c r="CE999" s="76"/>
      <c r="CF999" s="76"/>
      <c r="CG999" s="76"/>
      <c r="CH999" s="76"/>
      <c r="CI999" s="76"/>
      <c r="CJ999" s="76"/>
      <c r="CK999" s="76"/>
      <c r="CL999" s="76"/>
      <c r="CM999" s="76"/>
      <c r="CN999" s="76"/>
      <c r="CO999" s="76"/>
      <c r="CP999" s="76"/>
      <c r="CQ999" s="76"/>
      <c r="CR999" s="76"/>
      <c r="CS999" s="76"/>
      <c r="CT999" s="76"/>
      <c r="CU999" s="76"/>
      <c r="CV999" s="76"/>
      <c r="CW999" s="76"/>
      <c r="CX999" s="76"/>
      <c r="CY999" s="76"/>
      <c r="CZ999" s="76"/>
      <c r="DA999" s="76"/>
      <c r="DB999" s="76"/>
      <c r="DC999" s="76"/>
      <c r="DD999" s="76"/>
      <c r="DE999" s="76"/>
      <c r="DF999" s="76"/>
      <c r="DG999" s="76"/>
      <c r="DH999" s="76"/>
      <c r="DI999" s="76"/>
      <c r="DJ999" s="76"/>
      <c r="DK999" s="76"/>
      <c r="DL999" s="76"/>
      <c r="DM999" s="76"/>
      <c r="DN999" s="76"/>
      <c r="DO999" s="76"/>
      <c r="DP999" s="76"/>
      <c r="DQ999" s="76"/>
      <c r="DR999" s="76"/>
      <c r="DS999" s="76"/>
      <c r="DT999" s="76"/>
      <c r="DU999" s="76"/>
      <c r="DV999" s="76"/>
      <c r="DW999" s="76"/>
      <c r="DX999" s="76"/>
      <c r="DY999" s="76"/>
      <c r="DZ999" s="76"/>
      <c r="EA999" s="76"/>
      <c r="EB999" s="76"/>
      <c r="EC999" s="76"/>
      <c r="ED999" s="76"/>
      <c r="EE999" s="76"/>
      <c r="EF999" s="76"/>
      <c r="EG999" s="76"/>
      <c r="EH999" s="76"/>
      <c r="EI999" s="76"/>
      <c r="EJ999" s="76"/>
      <c r="EK999" s="76"/>
      <c r="EL999" s="76"/>
      <c r="EM999" s="76"/>
      <c r="EN999" s="76"/>
      <c r="EO999" s="76"/>
      <c r="EP999" s="76"/>
      <c r="EQ999" s="76"/>
      <c r="ER999" s="76"/>
      <c r="ES999" s="76"/>
      <c r="ET999" s="76"/>
      <c r="EU999" s="76"/>
      <c r="EV999" s="76"/>
      <c r="EW999" s="76"/>
      <c r="EX999" s="76"/>
      <c r="EY999" s="76"/>
      <c r="EZ999" s="76"/>
      <c r="FA999" s="76"/>
      <c r="FB999" s="76"/>
      <c r="FC999" s="76"/>
      <c r="FD999" s="76"/>
      <c r="FE999" s="76"/>
      <c r="FF999" s="76"/>
      <c r="FG999" s="76"/>
      <c r="FH999" s="76"/>
      <c r="FI999" s="76"/>
      <c r="FJ999" s="76"/>
      <c r="FK999" s="76"/>
      <c r="FL999" s="76"/>
      <c r="FM999" s="76"/>
      <c r="FN999" s="76"/>
      <c r="FO999" s="76"/>
      <c r="FP999" s="76"/>
      <c r="FQ999" s="76"/>
      <c r="FR999" s="76"/>
      <c r="FS999" s="76"/>
      <c r="FT999" s="76"/>
      <c r="FU999" s="76"/>
      <c r="FV999" s="76"/>
      <c r="FW999" s="76"/>
      <c r="FX999" s="76"/>
      <c r="FY999" s="76"/>
      <c r="FZ999" s="76"/>
      <c r="GA999" s="76"/>
      <c r="GB999" s="76"/>
      <c r="GC999" s="76"/>
      <c r="GD999" s="76"/>
      <c r="GE999" s="76"/>
      <c r="GF999" s="76"/>
      <c r="GG999" s="76"/>
      <c r="GH999" s="76"/>
      <c r="GI999" s="76"/>
      <c r="GJ999" s="76"/>
      <c r="GK999" s="76"/>
      <c r="GL999" s="76"/>
      <c r="GM999" s="76"/>
      <c r="GN999" s="76"/>
      <c r="GO999" s="76"/>
      <c r="GP999" s="76"/>
      <c r="GQ999" s="76"/>
      <c r="GR999" s="76"/>
      <c r="GS999" s="76"/>
      <c r="GT999" s="76"/>
      <c r="GU999" s="76"/>
      <c r="GV999" s="76"/>
      <c r="GW999" s="76"/>
      <c r="GX999" s="76"/>
      <c r="GY999" s="76"/>
      <c r="GZ999" s="76"/>
      <c r="HA999" s="76"/>
      <c r="HB999" s="76"/>
      <c r="HC999" s="76"/>
      <c r="HD999" s="76"/>
      <c r="HE999" s="76"/>
      <c r="HF999" s="76"/>
      <c r="HG999" s="76"/>
      <c r="HH999" s="76"/>
      <c r="HI999" s="76"/>
      <c r="HJ999" s="76"/>
      <c r="HK999" s="76"/>
      <c r="HL999" s="76"/>
      <c r="HM999" s="76"/>
      <c r="HN999" s="76"/>
      <c r="HO999" s="76"/>
      <c r="HP999" s="76"/>
      <c r="HQ999" s="76"/>
      <c r="HR999" s="76"/>
      <c r="HS999" s="76"/>
      <c r="HT999" s="76"/>
      <c r="HU999" s="76"/>
      <c r="HV999" s="76"/>
      <c r="HW999" s="76"/>
      <c r="HX999" s="76"/>
      <c r="HY999" s="76"/>
      <c r="HZ999" s="76"/>
      <c r="IA999" s="76"/>
      <c r="IB999" s="76"/>
      <c r="IC999" s="76"/>
      <c r="ID999" s="76"/>
      <c r="IE999" s="76"/>
      <c r="IF999" s="76"/>
      <c r="IG999" s="76"/>
      <c r="IH999" s="76"/>
      <c r="II999" s="76"/>
      <c r="IJ999" s="76"/>
      <c r="IK999" s="76"/>
      <c r="IL999" s="76"/>
      <c r="IM999" s="76"/>
      <c r="IN999" s="76"/>
      <c r="IO999" s="76"/>
      <c r="IP999" s="76"/>
      <c r="IQ999" s="76"/>
      <c r="IR999" s="76"/>
      <c r="IS999" s="76"/>
      <c r="IT999" s="76"/>
      <c r="IU999" s="76"/>
      <c r="IV999" s="76"/>
    </row>
    <row r="1000" spans="1:256" hidden="1">
      <c r="A1000" s="859"/>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c r="AR1000" s="76"/>
      <c r="AS1000" s="76"/>
      <c r="AT1000" s="76"/>
      <c r="AU1000" s="76"/>
      <c r="AV1000" s="76"/>
      <c r="AW1000" s="76"/>
      <c r="AX1000" s="76"/>
      <c r="AY1000" s="76"/>
      <c r="AZ1000" s="76"/>
      <c r="BA1000" s="76"/>
      <c r="BB1000" s="76"/>
      <c r="BC1000" s="76"/>
      <c r="BD1000" s="76"/>
      <c r="BE1000" s="76"/>
      <c r="BF1000" s="76"/>
      <c r="BG1000" s="76"/>
      <c r="BH1000" s="76"/>
      <c r="BI1000" s="76"/>
      <c r="BJ1000" s="76"/>
      <c r="BK1000" s="76"/>
      <c r="BL1000" s="76"/>
      <c r="BM1000" s="76"/>
      <c r="BN1000" s="76"/>
      <c r="BO1000" s="76"/>
      <c r="BP1000" s="76"/>
      <c r="BQ1000" s="76"/>
      <c r="BR1000" s="76"/>
      <c r="BS1000" s="76"/>
      <c r="BT1000" s="76"/>
      <c r="BU1000" s="76"/>
      <c r="BV1000" s="76"/>
      <c r="BW1000" s="76"/>
      <c r="BX1000" s="76"/>
      <c r="BY1000" s="76"/>
      <c r="BZ1000" s="76"/>
      <c r="CA1000" s="76"/>
      <c r="CB1000" s="76"/>
      <c r="CC1000" s="76"/>
      <c r="CD1000" s="76"/>
      <c r="CE1000" s="76"/>
      <c r="CF1000" s="76"/>
      <c r="CG1000" s="76"/>
      <c r="CH1000" s="76"/>
      <c r="CI1000" s="76"/>
      <c r="CJ1000" s="76"/>
      <c r="CK1000" s="76"/>
      <c r="CL1000" s="76"/>
      <c r="CM1000" s="76"/>
      <c r="CN1000" s="76"/>
      <c r="CO1000" s="76"/>
      <c r="CP1000" s="76"/>
      <c r="CQ1000" s="76"/>
      <c r="CR1000" s="76"/>
      <c r="CS1000" s="76"/>
      <c r="CT1000" s="76"/>
      <c r="CU1000" s="76"/>
      <c r="CV1000" s="76"/>
      <c r="CW1000" s="76"/>
      <c r="CX1000" s="76"/>
      <c r="CY1000" s="76"/>
      <c r="CZ1000" s="76"/>
      <c r="DA1000" s="76"/>
      <c r="DB1000" s="76"/>
      <c r="DC1000" s="76"/>
      <c r="DD1000" s="76"/>
      <c r="DE1000" s="76"/>
      <c r="DF1000" s="76"/>
      <c r="DG1000" s="76"/>
      <c r="DH1000" s="76"/>
      <c r="DI1000" s="76"/>
      <c r="DJ1000" s="76"/>
      <c r="DK1000" s="76"/>
      <c r="DL1000" s="76"/>
      <c r="DM1000" s="76"/>
      <c r="DN1000" s="76"/>
      <c r="DO1000" s="76"/>
      <c r="DP1000" s="76"/>
      <c r="DQ1000" s="76"/>
      <c r="DR1000" s="76"/>
      <c r="DS1000" s="76"/>
      <c r="DT1000" s="76"/>
      <c r="DU1000" s="76"/>
      <c r="DV1000" s="76"/>
      <c r="DW1000" s="76"/>
      <c r="DX1000" s="76"/>
      <c r="DY1000" s="76"/>
      <c r="DZ1000" s="76"/>
      <c r="EA1000" s="76"/>
      <c r="EB1000" s="76"/>
      <c r="EC1000" s="76"/>
      <c r="ED1000" s="76"/>
      <c r="EE1000" s="76"/>
      <c r="EF1000" s="76"/>
      <c r="EG1000" s="76"/>
      <c r="EH1000" s="76"/>
      <c r="EI1000" s="76"/>
      <c r="EJ1000" s="76"/>
      <c r="EK1000" s="76"/>
      <c r="EL1000" s="76"/>
      <c r="EM1000" s="76"/>
      <c r="EN1000" s="76"/>
      <c r="EO1000" s="76"/>
      <c r="EP1000" s="76"/>
      <c r="EQ1000" s="76"/>
      <c r="ER1000" s="76"/>
      <c r="ES1000" s="76"/>
      <c r="ET1000" s="76"/>
      <c r="EU1000" s="76"/>
      <c r="EV1000" s="76"/>
      <c r="EW1000" s="76"/>
      <c r="EX1000" s="76"/>
      <c r="EY1000" s="76"/>
      <c r="EZ1000" s="76"/>
      <c r="FA1000" s="76"/>
      <c r="FB1000" s="76"/>
      <c r="FC1000" s="76"/>
      <c r="FD1000" s="76"/>
      <c r="FE1000" s="76"/>
      <c r="FF1000" s="76"/>
      <c r="FG1000" s="76"/>
      <c r="FH1000" s="76"/>
      <c r="FI1000" s="76"/>
      <c r="FJ1000" s="76"/>
      <c r="FK1000" s="76"/>
      <c r="FL1000" s="76"/>
      <c r="FM1000" s="76"/>
      <c r="FN1000" s="76"/>
      <c r="FO1000" s="76"/>
      <c r="FP1000" s="76"/>
      <c r="FQ1000" s="76"/>
      <c r="FR1000" s="76"/>
      <c r="FS1000" s="76"/>
      <c r="FT1000" s="76"/>
      <c r="FU1000" s="76"/>
      <c r="FV1000" s="76"/>
      <c r="FW1000" s="76"/>
      <c r="FX1000" s="76"/>
      <c r="FY1000" s="76"/>
      <c r="FZ1000" s="76"/>
      <c r="GA1000" s="76"/>
      <c r="GB1000" s="76"/>
      <c r="GC1000" s="76"/>
      <c r="GD1000" s="76"/>
      <c r="GE1000" s="76"/>
      <c r="GF1000" s="76"/>
      <c r="GG1000" s="76"/>
      <c r="GH1000" s="76"/>
      <c r="GI1000" s="76"/>
      <c r="GJ1000" s="76"/>
      <c r="GK1000" s="76"/>
      <c r="GL1000" s="76"/>
      <c r="GM1000" s="76"/>
      <c r="GN1000" s="76"/>
      <c r="GO1000" s="76"/>
      <c r="GP1000" s="76"/>
      <c r="GQ1000" s="76"/>
      <c r="GR1000" s="76"/>
      <c r="GS1000" s="76"/>
      <c r="GT1000" s="76"/>
      <c r="GU1000" s="76"/>
      <c r="GV1000" s="76"/>
      <c r="GW1000" s="76"/>
      <c r="GX1000" s="76"/>
      <c r="GY1000" s="76"/>
      <c r="GZ1000" s="76"/>
      <c r="HA1000" s="76"/>
      <c r="HB1000" s="76"/>
      <c r="HC1000" s="76"/>
      <c r="HD1000" s="76"/>
      <c r="HE1000" s="76"/>
      <c r="HF1000" s="76"/>
      <c r="HG1000" s="76"/>
      <c r="HH1000" s="76"/>
      <c r="HI1000" s="76"/>
      <c r="HJ1000" s="76"/>
      <c r="HK1000" s="76"/>
      <c r="HL1000" s="76"/>
      <c r="HM1000" s="76"/>
      <c r="HN1000" s="76"/>
      <c r="HO1000" s="76"/>
      <c r="HP1000" s="76"/>
      <c r="HQ1000" s="76"/>
      <c r="HR1000" s="76"/>
      <c r="HS1000" s="76"/>
      <c r="HT1000" s="76"/>
      <c r="HU1000" s="76"/>
      <c r="HV1000" s="76"/>
      <c r="HW1000" s="76"/>
      <c r="HX1000" s="76"/>
      <c r="HY1000" s="76"/>
      <c r="HZ1000" s="76"/>
      <c r="IA1000" s="76"/>
      <c r="IB1000" s="76"/>
      <c r="IC1000" s="76"/>
      <c r="ID1000" s="76"/>
      <c r="IE1000" s="76"/>
      <c r="IF1000" s="76"/>
      <c r="IG1000" s="76"/>
      <c r="IH1000" s="76"/>
      <c r="II1000" s="76"/>
      <c r="IJ1000" s="76"/>
      <c r="IK1000" s="76"/>
      <c r="IL1000" s="76"/>
      <c r="IM1000" s="76"/>
      <c r="IN1000" s="76"/>
      <c r="IO1000" s="76"/>
      <c r="IP1000" s="76"/>
      <c r="IQ1000" s="76"/>
      <c r="IR1000" s="76"/>
      <c r="IS1000" s="76"/>
      <c r="IT1000" s="76"/>
      <c r="IU1000" s="76"/>
      <c r="IV1000" s="76"/>
    </row>
    <row r="1001" spans="1:256" hidden="1">
      <c r="A1001" s="859"/>
      <c r="B1001" s="76"/>
      <c r="C1001" s="76"/>
      <c r="D1001" s="76"/>
      <c r="E1001" s="76"/>
      <c r="F1001" s="76"/>
      <c r="G1001" s="76"/>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c r="AL1001" s="76"/>
      <c r="AM1001" s="76"/>
      <c r="AN1001" s="76"/>
      <c r="AO1001" s="76"/>
      <c r="AP1001" s="76"/>
      <c r="AQ1001" s="76"/>
      <c r="AR1001" s="76"/>
      <c r="AS1001" s="76"/>
      <c r="AT1001" s="76"/>
      <c r="AU1001" s="76"/>
      <c r="AV1001" s="76"/>
      <c r="AW1001" s="76"/>
      <c r="AX1001" s="76"/>
      <c r="AY1001" s="76"/>
      <c r="AZ1001" s="76"/>
      <c r="BA1001" s="76"/>
      <c r="BB1001" s="76"/>
      <c r="BC1001" s="76"/>
      <c r="BD1001" s="76"/>
      <c r="BE1001" s="76"/>
      <c r="BF1001" s="76"/>
      <c r="BG1001" s="76"/>
      <c r="BH1001" s="76"/>
      <c r="BI1001" s="76"/>
      <c r="BJ1001" s="76"/>
      <c r="BK1001" s="76"/>
      <c r="BL1001" s="76"/>
      <c r="BM1001" s="76"/>
      <c r="BN1001" s="76"/>
      <c r="BO1001" s="76"/>
      <c r="BP1001" s="76"/>
      <c r="BQ1001" s="76"/>
      <c r="BR1001" s="76"/>
      <c r="BS1001" s="76"/>
      <c r="BT1001" s="76"/>
      <c r="BU1001" s="76"/>
      <c r="BV1001" s="76"/>
      <c r="BW1001" s="76"/>
      <c r="BX1001" s="76"/>
      <c r="BY1001" s="76"/>
      <c r="BZ1001" s="76"/>
      <c r="CA1001" s="76"/>
      <c r="CB1001" s="76"/>
      <c r="CC1001" s="76"/>
      <c r="CD1001" s="76"/>
      <c r="CE1001" s="76"/>
      <c r="CF1001" s="76"/>
      <c r="CG1001" s="76"/>
      <c r="CH1001" s="76"/>
      <c r="CI1001" s="76"/>
      <c r="CJ1001" s="76"/>
      <c r="CK1001" s="76"/>
      <c r="CL1001" s="76"/>
      <c r="CM1001" s="76"/>
      <c r="CN1001" s="76"/>
      <c r="CO1001" s="76"/>
      <c r="CP1001" s="76"/>
      <c r="CQ1001" s="76"/>
      <c r="CR1001" s="76"/>
      <c r="CS1001" s="76"/>
      <c r="CT1001" s="76"/>
      <c r="CU1001" s="76"/>
      <c r="CV1001" s="76"/>
      <c r="CW1001" s="76"/>
      <c r="CX1001" s="76"/>
      <c r="CY1001" s="76"/>
      <c r="CZ1001" s="76"/>
      <c r="DA1001" s="76"/>
      <c r="DB1001" s="76"/>
      <c r="DC1001" s="76"/>
      <c r="DD1001" s="76"/>
      <c r="DE1001" s="76"/>
      <c r="DF1001" s="76"/>
      <c r="DG1001" s="76"/>
      <c r="DH1001" s="76"/>
      <c r="DI1001" s="76"/>
      <c r="DJ1001" s="76"/>
      <c r="DK1001" s="76"/>
      <c r="DL1001" s="76"/>
      <c r="DM1001" s="76"/>
      <c r="DN1001" s="76"/>
      <c r="DO1001" s="76"/>
      <c r="DP1001" s="76"/>
      <c r="DQ1001" s="76"/>
      <c r="DR1001" s="76"/>
      <c r="DS1001" s="76"/>
      <c r="DT1001" s="76"/>
      <c r="DU1001" s="76"/>
      <c r="DV1001" s="76"/>
      <c r="DW1001" s="76"/>
      <c r="DX1001" s="76"/>
      <c r="DY1001" s="76"/>
      <c r="DZ1001" s="76"/>
      <c r="EA1001" s="76"/>
      <c r="EB1001" s="76"/>
      <c r="EC1001" s="76"/>
      <c r="ED1001" s="76"/>
      <c r="EE1001" s="76"/>
      <c r="EF1001" s="76"/>
      <c r="EG1001" s="76"/>
      <c r="EH1001" s="76"/>
      <c r="EI1001" s="76"/>
      <c r="EJ1001" s="76"/>
      <c r="EK1001" s="76"/>
      <c r="EL1001" s="76"/>
      <c r="EM1001" s="76"/>
      <c r="EN1001" s="76"/>
      <c r="EO1001" s="76"/>
      <c r="EP1001" s="76"/>
      <c r="EQ1001" s="76"/>
      <c r="ER1001" s="76"/>
      <c r="ES1001" s="76"/>
      <c r="ET1001" s="76"/>
      <c r="EU1001" s="76"/>
      <c r="EV1001" s="76"/>
      <c r="EW1001" s="76"/>
      <c r="EX1001" s="76"/>
      <c r="EY1001" s="76"/>
      <c r="EZ1001" s="76"/>
      <c r="FA1001" s="76"/>
      <c r="FB1001" s="76"/>
      <c r="FC1001" s="76"/>
      <c r="FD1001" s="76"/>
      <c r="FE1001" s="76"/>
      <c r="FF1001" s="76"/>
      <c r="FG1001" s="76"/>
      <c r="FH1001" s="76"/>
      <c r="FI1001" s="76"/>
      <c r="FJ1001" s="76"/>
      <c r="FK1001" s="76"/>
      <c r="FL1001" s="76"/>
      <c r="FM1001" s="76"/>
      <c r="FN1001" s="76"/>
      <c r="FO1001" s="76"/>
      <c r="FP1001" s="76"/>
      <c r="FQ1001" s="76"/>
      <c r="FR1001" s="76"/>
      <c r="FS1001" s="76"/>
      <c r="FT1001" s="76"/>
      <c r="FU1001" s="76"/>
      <c r="FV1001" s="76"/>
      <c r="FW1001" s="76"/>
      <c r="FX1001" s="76"/>
      <c r="FY1001" s="76"/>
      <c r="FZ1001" s="76"/>
      <c r="GA1001" s="76"/>
      <c r="GB1001" s="76"/>
      <c r="GC1001" s="76"/>
      <c r="GD1001" s="76"/>
      <c r="GE1001" s="76"/>
      <c r="GF1001" s="76"/>
      <c r="GG1001" s="76"/>
      <c r="GH1001" s="76"/>
      <c r="GI1001" s="76"/>
      <c r="GJ1001" s="76"/>
      <c r="GK1001" s="76"/>
      <c r="GL1001" s="76"/>
      <c r="GM1001" s="76"/>
      <c r="GN1001" s="76"/>
      <c r="GO1001" s="76"/>
      <c r="GP1001" s="76"/>
      <c r="GQ1001" s="76"/>
      <c r="GR1001" s="76"/>
      <c r="GS1001" s="76"/>
      <c r="GT1001" s="76"/>
      <c r="GU1001" s="76"/>
      <c r="GV1001" s="76"/>
      <c r="GW1001" s="76"/>
      <c r="GX1001" s="76"/>
      <c r="GY1001" s="76"/>
      <c r="GZ1001" s="76"/>
      <c r="HA1001" s="76"/>
      <c r="HB1001" s="76"/>
      <c r="HC1001" s="76"/>
      <c r="HD1001" s="76"/>
      <c r="HE1001" s="76"/>
      <c r="HF1001" s="76"/>
      <c r="HG1001" s="76"/>
      <c r="HH1001" s="76"/>
      <c r="HI1001" s="76"/>
      <c r="HJ1001" s="76"/>
      <c r="HK1001" s="76"/>
      <c r="HL1001" s="76"/>
      <c r="HM1001" s="76"/>
      <c r="HN1001" s="76"/>
      <c r="HO1001" s="76"/>
      <c r="HP1001" s="76"/>
      <c r="HQ1001" s="76"/>
      <c r="HR1001" s="76"/>
      <c r="HS1001" s="76"/>
      <c r="HT1001" s="76"/>
      <c r="HU1001" s="76"/>
      <c r="HV1001" s="76"/>
      <c r="HW1001" s="76"/>
      <c r="HX1001" s="76"/>
      <c r="HY1001" s="76"/>
      <c r="HZ1001" s="76"/>
      <c r="IA1001" s="76"/>
      <c r="IB1001" s="76"/>
      <c r="IC1001" s="76"/>
      <c r="ID1001" s="76"/>
      <c r="IE1001" s="76"/>
      <c r="IF1001" s="76"/>
      <c r="IG1001" s="76"/>
      <c r="IH1001" s="76"/>
      <c r="II1001" s="76"/>
      <c r="IJ1001" s="76"/>
      <c r="IK1001" s="76"/>
      <c r="IL1001" s="76"/>
      <c r="IM1001" s="76"/>
      <c r="IN1001" s="76"/>
      <c r="IO1001" s="76"/>
      <c r="IP1001" s="76"/>
      <c r="IQ1001" s="76"/>
      <c r="IR1001" s="76"/>
      <c r="IS1001" s="76"/>
      <c r="IT1001" s="76"/>
      <c r="IU1001" s="76"/>
      <c r="IV1001" s="76"/>
    </row>
    <row r="1002" spans="1:256" hidden="1">
      <c r="A1002" s="859"/>
      <c r="B1002" s="76"/>
      <c r="C1002" s="76"/>
      <c r="D1002" s="76"/>
      <c r="E1002" s="76"/>
      <c r="F1002" s="76"/>
      <c r="G1002" s="76"/>
      <c r="H1002" s="76"/>
      <c r="I1002" s="76"/>
      <c r="J1002" s="76"/>
      <c r="K1002" s="76"/>
      <c r="L1002" s="76"/>
      <c r="M1002" s="76"/>
      <c r="N1002" s="76"/>
      <c r="O1002" s="76"/>
      <c r="P1002" s="76"/>
      <c r="Q1002" s="76"/>
      <c r="R1002" s="76"/>
      <c r="S1002" s="76"/>
      <c r="T1002" s="76"/>
      <c r="U1002" s="76"/>
      <c r="V1002" s="76"/>
      <c r="W1002" s="76"/>
      <c r="X1002" s="76"/>
      <c r="Y1002" s="76"/>
      <c r="Z1002" s="76"/>
      <c r="AA1002" s="76"/>
      <c r="AB1002" s="76"/>
      <c r="AC1002" s="76"/>
      <c r="AD1002" s="76"/>
      <c r="AE1002" s="76"/>
      <c r="AF1002" s="76"/>
      <c r="AG1002" s="76"/>
      <c r="AH1002" s="76"/>
      <c r="AI1002" s="76"/>
      <c r="AJ1002" s="76"/>
      <c r="AK1002" s="76"/>
      <c r="AL1002" s="76"/>
      <c r="AM1002" s="76"/>
      <c r="AN1002" s="76"/>
      <c r="AO1002" s="76"/>
      <c r="AP1002" s="76"/>
      <c r="AQ1002" s="76"/>
      <c r="AR1002" s="76"/>
      <c r="AS1002" s="76"/>
      <c r="AT1002" s="76"/>
      <c r="AU1002" s="76"/>
      <c r="AV1002" s="76"/>
      <c r="AW1002" s="76"/>
      <c r="AX1002" s="76"/>
      <c r="AY1002" s="76"/>
      <c r="AZ1002" s="76"/>
      <c r="BA1002" s="76"/>
      <c r="BB1002" s="76"/>
      <c r="BC1002" s="76"/>
      <c r="BD1002" s="76"/>
      <c r="BE1002" s="76"/>
      <c r="BF1002" s="76"/>
      <c r="BG1002" s="76"/>
      <c r="BH1002" s="76"/>
      <c r="BI1002" s="76"/>
      <c r="BJ1002" s="76"/>
      <c r="BK1002" s="76"/>
      <c r="BL1002" s="76"/>
      <c r="BM1002" s="76"/>
      <c r="BN1002" s="76"/>
      <c r="BO1002" s="76"/>
      <c r="BP1002" s="76"/>
      <c r="BQ1002" s="76"/>
      <c r="BR1002" s="76"/>
      <c r="BS1002" s="76"/>
      <c r="BT1002" s="76"/>
      <c r="BU1002" s="76"/>
      <c r="BV1002" s="76"/>
      <c r="BW1002" s="76"/>
      <c r="BX1002" s="76"/>
      <c r="BY1002" s="76"/>
      <c r="BZ1002" s="76"/>
      <c r="CA1002" s="76"/>
      <c r="CB1002" s="76"/>
      <c r="CC1002" s="76"/>
      <c r="CD1002" s="76"/>
      <c r="CE1002" s="76"/>
      <c r="CF1002" s="76"/>
      <c r="CG1002" s="76"/>
      <c r="CH1002" s="76"/>
      <c r="CI1002" s="76"/>
      <c r="CJ1002" s="76"/>
      <c r="CK1002" s="76"/>
      <c r="CL1002" s="76"/>
      <c r="CM1002" s="76"/>
      <c r="CN1002" s="76"/>
      <c r="CO1002" s="76"/>
      <c r="CP1002" s="76"/>
      <c r="CQ1002" s="76"/>
      <c r="CR1002" s="76"/>
      <c r="CS1002" s="76"/>
      <c r="CT1002" s="76"/>
      <c r="CU1002" s="76"/>
      <c r="CV1002" s="76"/>
      <c r="CW1002" s="76"/>
      <c r="CX1002" s="76"/>
      <c r="CY1002" s="76"/>
      <c r="CZ1002" s="76"/>
      <c r="DA1002" s="76"/>
      <c r="DB1002" s="76"/>
      <c r="DC1002" s="76"/>
      <c r="DD1002" s="76"/>
      <c r="DE1002" s="76"/>
      <c r="DF1002" s="76"/>
      <c r="DG1002" s="76"/>
      <c r="DH1002" s="76"/>
      <c r="DI1002" s="76"/>
      <c r="DJ1002" s="76"/>
      <c r="DK1002" s="76"/>
      <c r="DL1002" s="76"/>
      <c r="DM1002" s="76"/>
      <c r="DN1002" s="76"/>
      <c r="DO1002" s="76"/>
      <c r="DP1002" s="76"/>
      <c r="DQ1002" s="76"/>
      <c r="DR1002" s="76"/>
      <c r="DS1002" s="76"/>
      <c r="DT1002" s="76"/>
      <c r="DU1002" s="76"/>
      <c r="DV1002" s="76"/>
      <c r="DW1002" s="76"/>
      <c r="DX1002" s="76"/>
      <c r="DY1002" s="76"/>
      <c r="DZ1002" s="76"/>
      <c r="EA1002" s="76"/>
      <c r="EB1002" s="76"/>
      <c r="EC1002" s="76"/>
      <c r="ED1002" s="76"/>
      <c r="EE1002" s="76"/>
      <c r="EF1002" s="76"/>
      <c r="EG1002" s="76"/>
      <c r="EH1002" s="76"/>
      <c r="EI1002" s="76"/>
      <c r="EJ1002" s="76"/>
      <c r="EK1002" s="76"/>
      <c r="EL1002" s="76"/>
      <c r="EM1002" s="76"/>
      <c r="EN1002" s="76"/>
      <c r="EO1002" s="76"/>
      <c r="EP1002" s="76"/>
      <c r="EQ1002" s="76"/>
      <c r="ER1002" s="76"/>
      <c r="ES1002" s="76"/>
      <c r="ET1002" s="76"/>
      <c r="EU1002" s="76"/>
      <c r="EV1002" s="76"/>
      <c r="EW1002" s="76"/>
      <c r="EX1002" s="76"/>
      <c r="EY1002" s="76"/>
      <c r="EZ1002" s="76"/>
      <c r="FA1002" s="76"/>
      <c r="FB1002" s="76"/>
      <c r="FC1002" s="76"/>
      <c r="FD1002" s="76"/>
      <c r="FE1002" s="76"/>
      <c r="FF1002" s="76"/>
      <c r="FG1002" s="76"/>
      <c r="FH1002" s="76"/>
      <c r="FI1002" s="76"/>
      <c r="FJ1002" s="76"/>
      <c r="FK1002" s="76"/>
      <c r="FL1002" s="76"/>
      <c r="FM1002" s="76"/>
      <c r="FN1002" s="76"/>
      <c r="FO1002" s="76"/>
      <c r="FP1002" s="76"/>
      <c r="FQ1002" s="76"/>
      <c r="FR1002" s="76"/>
      <c r="FS1002" s="76"/>
      <c r="FT1002" s="76"/>
      <c r="FU1002" s="76"/>
      <c r="FV1002" s="76"/>
      <c r="FW1002" s="76"/>
      <c r="FX1002" s="76"/>
      <c r="FY1002" s="76"/>
      <c r="FZ1002" s="76"/>
      <c r="GA1002" s="76"/>
      <c r="GB1002" s="76"/>
      <c r="GC1002" s="76"/>
      <c r="GD1002" s="76"/>
      <c r="GE1002" s="76"/>
      <c r="GF1002" s="76"/>
      <c r="GG1002" s="76"/>
      <c r="GH1002" s="76"/>
      <c r="GI1002" s="76"/>
      <c r="GJ1002" s="76"/>
      <c r="GK1002" s="76"/>
      <c r="GL1002" s="76"/>
      <c r="GM1002" s="76"/>
      <c r="GN1002" s="76"/>
      <c r="GO1002" s="76"/>
      <c r="GP1002" s="76"/>
      <c r="GQ1002" s="76"/>
      <c r="GR1002" s="76"/>
      <c r="GS1002" s="76"/>
      <c r="GT1002" s="76"/>
      <c r="GU1002" s="76"/>
      <c r="GV1002" s="76"/>
      <c r="GW1002" s="76"/>
      <c r="GX1002" s="76"/>
      <c r="GY1002" s="76"/>
      <c r="GZ1002" s="76"/>
      <c r="HA1002" s="76"/>
      <c r="HB1002" s="76"/>
      <c r="HC1002" s="76"/>
      <c r="HD1002" s="76"/>
      <c r="HE1002" s="76"/>
      <c r="HF1002" s="76"/>
      <c r="HG1002" s="76"/>
      <c r="HH1002" s="76"/>
      <c r="HI1002" s="76"/>
      <c r="HJ1002" s="76"/>
      <c r="HK1002" s="76"/>
      <c r="HL1002" s="76"/>
      <c r="HM1002" s="76"/>
      <c r="HN1002" s="76"/>
      <c r="HO1002" s="76"/>
      <c r="HP1002" s="76"/>
      <c r="HQ1002" s="76"/>
      <c r="HR1002" s="76"/>
      <c r="HS1002" s="76"/>
      <c r="HT1002" s="76"/>
      <c r="HU1002" s="76"/>
      <c r="HV1002" s="76"/>
      <c r="HW1002" s="76"/>
      <c r="HX1002" s="76"/>
      <c r="HY1002" s="76"/>
      <c r="HZ1002" s="76"/>
      <c r="IA1002" s="76"/>
      <c r="IB1002" s="76"/>
      <c r="IC1002" s="76"/>
      <c r="ID1002" s="76"/>
      <c r="IE1002" s="76"/>
      <c r="IF1002" s="76"/>
      <c r="IG1002" s="76"/>
      <c r="IH1002" s="76"/>
      <c r="II1002" s="76"/>
      <c r="IJ1002" s="76"/>
      <c r="IK1002" s="76"/>
      <c r="IL1002" s="76"/>
      <c r="IM1002" s="76"/>
      <c r="IN1002" s="76"/>
      <c r="IO1002" s="76"/>
      <c r="IP1002" s="76"/>
      <c r="IQ1002" s="76"/>
      <c r="IR1002" s="76"/>
      <c r="IS1002" s="76"/>
      <c r="IT1002" s="76"/>
      <c r="IU1002" s="76"/>
      <c r="IV1002" s="76"/>
    </row>
    <row r="1003" spans="1:256" hidden="1">
      <c r="A1003" s="859"/>
      <c r="B1003" s="76"/>
      <c r="C1003" s="76"/>
      <c r="D1003" s="76"/>
      <c r="E1003" s="76"/>
      <c r="F1003" s="76"/>
      <c r="G1003" s="76"/>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c r="AL1003" s="76"/>
      <c r="AM1003" s="76"/>
      <c r="AN1003" s="76"/>
      <c r="AO1003" s="76"/>
      <c r="AP1003" s="76"/>
      <c r="AQ1003" s="76"/>
      <c r="AR1003" s="76"/>
      <c r="AS1003" s="76"/>
      <c r="AT1003" s="76"/>
      <c r="AU1003" s="76"/>
      <c r="AV1003" s="76"/>
      <c r="AW1003" s="76"/>
      <c r="AX1003" s="76"/>
      <c r="AY1003" s="76"/>
      <c r="AZ1003" s="76"/>
      <c r="BA1003" s="76"/>
      <c r="BB1003" s="76"/>
      <c r="BC1003" s="76"/>
      <c r="BD1003" s="76"/>
      <c r="BE1003" s="76"/>
      <c r="BF1003" s="76"/>
      <c r="BG1003" s="76"/>
      <c r="BH1003" s="76"/>
      <c r="BI1003" s="76"/>
      <c r="BJ1003" s="76"/>
      <c r="BK1003" s="76"/>
      <c r="BL1003" s="76"/>
      <c r="BM1003" s="76"/>
      <c r="BN1003" s="76"/>
      <c r="BO1003" s="76"/>
      <c r="BP1003" s="76"/>
      <c r="BQ1003" s="76"/>
      <c r="BR1003" s="76"/>
      <c r="BS1003" s="76"/>
      <c r="BT1003" s="76"/>
      <c r="BU1003" s="76"/>
      <c r="BV1003" s="76"/>
      <c r="BW1003" s="76"/>
      <c r="BX1003" s="76"/>
      <c r="BY1003" s="76"/>
      <c r="BZ1003" s="76"/>
      <c r="CA1003" s="76"/>
      <c r="CB1003" s="76"/>
      <c r="CC1003" s="76"/>
      <c r="CD1003" s="76"/>
      <c r="CE1003" s="76"/>
      <c r="CF1003" s="76"/>
      <c r="CG1003" s="76"/>
      <c r="CH1003" s="76"/>
      <c r="CI1003" s="76"/>
      <c r="CJ1003" s="76"/>
      <c r="CK1003" s="76"/>
      <c r="CL1003" s="76"/>
      <c r="CM1003" s="76"/>
      <c r="CN1003" s="76"/>
      <c r="CO1003" s="76"/>
      <c r="CP1003" s="76"/>
      <c r="CQ1003" s="76"/>
      <c r="CR1003" s="76"/>
      <c r="CS1003" s="76"/>
      <c r="CT1003" s="76"/>
      <c r="CU1003" s="76"/>
      <c r="CV1003" s="76"/>
      <c r="CW1003" s="76"/>
      <c r="CX1003" s="76"/>
      <c r="CY1003" s="76"/>
      <c r="CZ1003" s="76"/>
      <c r="DA1003" s="76"/>
      <c r="DB1003" s="76"/>
      <c r="DC1003" s="76"/>
      <c r="DD1003" s="76"/>
      <c r="DE1003" s="76"/>
      <c r="DF1003" s="76"/>
      <c r="DG1003" s="76"/>
      <c r="DH1003" s="76"/>
      <c r="DI1003" s="76"/>
      <c r="DJ1003" s="76"/>
      <c r="DK1003" s="76"/>
      <c r="DL1003" s="76"/>
      <c r="DM1003" s="76"/>
      <c r="DN1003" s="76"/>
      <c r="DO1003" s="76"/>
      <c r="DP1003" s="76"/>
      <c r="DQ1003" s="76"/>
      <c r="DR1003" s="76"/>
      <c r="DS1003" s="76"/>
      <c r="DT1003" s="76"/>
      <c r="DU1003" s="76"/>
      <c r="DV1003" s="76"/>
      <c r="DW1003" s="76"/>
      <c r="DX1003" s="76"/>
      <c r="DY1003" s="76"/>
      <c r="DZ1003" s="76"/>
      <c r="EA1003" s="76"/>
      <c r="EB1003" s="76"/>
      <c r="EC1003" s="76"/>
      <c r="ED1003" s="76"/>
      <c r="EE1003" s="76"/>
      <c r="EF1003" s="76"/>
      <c r="EG1003" s="76"/>
      <c r="EH1003" s="76"/>
      <c r="EI1003" s="76"/>
      <c r="EJ1003" s="76"/>
      <c r="EK1003" s="76"/>
      <c r="EL1003" s="76"/>
      <c r="EM1003" s="76"/>
      <c r="EN1003" s="76"/>
      <c r="EO1003" s="76"/>
      <c r="EP1003" s="76"/>
      <c r="EQ1003" s="76"/>
      <c r="ER1003" s="76"/>
      <c r="ES1003" s="76"/>
      <c r="ET1003" s="76"/>
      <c r="EU1003" s="76"/>
      <c r="EV1003" s="76"/>
      <c r="EW1003" s="76"/>
      <c r="EX1003" s="76"/>
      <c r="EY1003" s="76"/>
      <c r="EZ1003" s="76"/>
      <c r="FA1003" s="76"/>
      <c r="FB1003" s="76"/>
      <c r="FC1003" s="76"/>
      <c r="FD1003" s="76"/>
      <c r="FE1003" s="76"/>
      <c r="FF1003" s="76"/>
      <c r="FG1003" s="76"/>
      <c r="FH1003" s="76"/>
      <c r="FI1003" s="76"/>
      <c r="FJ1003" s="76"/>
      <c r="FK1003" s="76"/>
      <c r="FL1003" s="76"/>
      <c r="FM1003" s="76"/>
      <c r="FN1003" s="76"/>
      <c r="FO1003" s="76"/>
      <c r="FP1003" s="76"/>
      <c r="FQ1003" s="76"/>
      <c r="FR1003" s="76"/>
      <c r="FS1003" s="76"/>
      <c r="FT1003" s="76"/>
      <c r="FU1003" s="76"/>
      <c r="FV1003" s="76"/>
      <c r="FW1003" s="76"/>
      <c r="FX1003" s="76"/>
      <c r="FY1003" s="76"/>
      <c r="FZ1003" s="76"/>
      <c r="GA1003" s="76"/>
      <c r="GB1003" s="76"/>
      <c r="GC1003" s="76"/>
      <c r="GD1003" s="76"/>
      <c r="GE1003" s="76"/>
      <c r="GF1003" s="76"/>
      <c r="GG1003" s="76"/>
      <c r="GH1003" s="76"/>
      <c r="GI1003" s="76"/>
      <c r="GJ1003" s="76"/>
      <c r="GK1003" s="76"/>
      <c r="GL1003" s="76"/>
      <c r="GM1003" s="76"/>
      <c r="GN1003" s="76"/>
      <c r="GO1003" s="76"/>
      <c r="GP1003" s="76"/>
      <c r="GQ1003" s="76"/>
      <c r="GR1003" s="76"/>
      <c r="GS1003" s="76"/>
      <c r="GT1003" s="76"/>
      <c r="GU1003" s="76"/>
      <c r="GV1003" s="76"/>
      <c r="GW1003" s="76"/>
      <c r="GX1003" s="76"/>
      <c r="GY1003" s="76"/>
      <c r="GZ1003" s="76"/>
      <c r="HA1003" s="76"/>
      <c r="HB1003" s="76"/>
      <c r="HC1003" s="76"/>
      <c r="HD1003" s="76"/>
      <c r="HE1003" s="76"/>
      <c r="HF1003" s="76"/>
      <c r="HG1003" s="76"/>
      <c r="HH1003" s="76"/>
      <c r="HI1003" s="76"/>
      <c r="HJ1003" s="76"/>
      <c r="HK1003" s="76"/>
      <c r="HL1003" s="76"/>
      <c r="HM1003" s="76"/>
      <c r="HN1003" s="76"/>
      <c r="HO1003" s="76"/>
      <c r="HP1003" s="76"/>
      <c r="HQ1003" s="76"/>
      <c r="HR1003" s="76"/>
      <c r="HS1003" s="76"/>
      <c r="HT1003" s="76"/>
      <c r="HU1003" s="76"/>
      <c r="HV1003" s="76"/>
      <c r="HW1003" s="76"/>
      <c r="HX1003" s="76"/>
      <c r="HY1003" s="76"/>
      <c r="HZ1003" s="76"/>
      <c r="IA1003" s="76"/>
      <c r="IB1003" s="76"/>
      <c r="IC1003" s="76"/>
      <c r="ID1003" s="76"/>
      <c r="IE1003" s="76"/>
      <c r="IF1003" s="76"/>
      <c r="IG1003" s="76"/>
      <c r="IH1003" s="76"/>
      <c r="II1003" s="76"/>
      <c r="IJ1003" s="76"/>
      <c r="IK1003" s="76"/>
      <c r="IL1003" s="76"/>
      <c r="IM1003" s="76"/>
      <c r="IN1003" s="76"/>
      <c r="IO1003" s="76"/>
      <c r="IP1003" s="76"/>
      <c r="IQ1003" s="76"/>
      <c r="IR1003" s="76"/>
      <c r="IS1003" s="76"/>
      <c r="IT1003" s="76"/>
      <c r="IU1003" s="76"/>
      <c r="IV1003" s="76"/>
    </row>
    <row r="1004" spans="1:256" hidden="1">
      <c r="A1004" s="859"/>
      <c r="B1004" s="76"/>
      <c r="C1004" s="76"/>
      <c r="D1004" s="76"/>
      <c r="E1004" s="76"/>
      <c r="F1004" s="76"/>
      <c r="G1004" s="76"/>
      <c r="H1004" s="76"/>
      <c r="I1004" s="76"/>
      <c r="J1004" s="76"/>
      <c r="K1004" s="76"/>
      <c r="L1004" s="76"/>
      <c r="M1004" s="76"/>
      <c r="N1004" s="76"/>
      <c r="O1004" s="76"/>
      <c r="P1004" s="76"/>
      <c r="Q1004" s="76"/>
      <c r="R1004" s="76"/>
      <c r="S1004" s="76"/>
      <c r="T1004" s="76"/>
      <c r="U1004" s="76"/>
      <c r="V1004" s="76"/>
      <c r="W1004" s="76"/>
      <c r="X1004" s="76"/>
      <c r="Y1004" s="76"/>
      <c r="Z1004" s="76"/>
      <c r="AA1004" s="76"/>
      <c r="AB1004" s="76"/>
      <c r="AC1004" s="76"/>
      <c r="AD1004" s="76"/>
      <c r="AE1004" s="76"/>
      <c r="AF1004" s="76"/>
      <c r="AG1004" s="76"/>
      <c r="AH1004" s="76"/>
      <c r="AI1004" s="76"/>
      <c r="AJ1004" s="76"/>
      <c r="AK1004" s="76"/>
      <c r="AL1004" s="76"/>
      <c r="AM1004" s="76"/>
      <c r="AN1004" s="76"/>
      <c r="AO1004" s="76"/>
      <c r="AP1004" s="76"/>
      <c r="AQ1004" s="76"/>
      <c r="AR1004" s="76"/>
      <c r="AS1004" s="76"/>
      <c r="AT1004" s="76"/>
      <c r="AU1004" s="76"/>
      <c r="AV1004" s="76"/>
      <c r="AW1004" s="76"/>
      <c r="AX1004" s="76"/>
      <c r="AY1004" s="76"/>
      <c r="AZ1004" s="76"/>
      <c r="BA1004" s="76"/>
      <c r="BB1004" s="76"/>
      <c r="BC1004" s="76"/>
      <c r="BD1004" s="76"/>
      <c r="BE1004" s="76"/>
      <c r="BF1004" s="76"/>
      <c r="BG1004" s="76"/>
      <c r="BH1004" s="76"/>
      <c r="BI1004" s="76"/>
      <c r="BJ1004" s="76"/>
      <c r="BK1004" s="76"/>
      <c r="BL1004" s="76"/>
      <c r="BM1004" s="76"/>
      <c r="BN1004" s="76"/>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c r="CT1004" s="76"/>
      <c r="CU1004" s="76"/>
      <c r="CV1004" s="76"/>
      <c r="CW1004" s="76"/>
      <c r="CX1004" s="76"/>
      <c r="CY1004" s="76"/>
      <c r="CZ1004" s="76"/>
      <c r="DA1004" s="76"/>
      <c r="DB1004" s="76"/>
      <c r="DC1004" s="76"/>
      <c r="DD1004" s="76"/>
      <c r="DE1004" s="76"/>
      <c r="DF1004" s="76"/>
      <c r="DG1004" s="76"/>
      <c r="DH1004" s="76"/>
      <c r="DI1004" s="76"/>
      <c r="DJ1004" s="76"/>
      <c r="DK1004" s="76"/>
      <c r="DL1004" s="76"/>
      <c r="DM1004" s="76"/>
      <c r="DN1004" s="76"/>
      <c r="DO1004" s="76"/>
      <c r="DP1004" s="76"/>
      <c r="DQ1004" s="76"/>
      <c r="DR1004" s="76"/>
      <c r="DS1004" s="76"/>
      <c r="DT1004" s="76"/>
      <c r="DU1004" s="76"/>
      <c r="DV1004" s="76"/>
      <c r="DW1004" s="76"/>
      <c r="DX1004" s="76"/>
      <c r="DY1004" s="76"/>
      <c r="DZ1004" s="76"/>
      <c r="EA1004" s="76"/>
      <c r="EB1004" s="76"/>
      <c r="EC1004" s="76"/>
      <c r="ED1004" s="76"/>
      <c r="EE1004" s="76"/>
      <c r="EF1004" s="76"/>
      <c r="EG1004" s="76"/>
      <c r="EH1004" s="76"/>
      <c r="EI1004" s="76"/>
      <c r="EJ1004" s="76"/>
      <c r="EK1004" s="76"/>
      <c r="EL1004" s="76"/>
      <c r="EM1004" s="76"/>
      <c r="EN1004" s="76"/>
      <c r="EO1004" s="76"/>
      <c r="EP1004" s="76"/>
      <c r="EQ1004" s="76"/>
      <c r="ER1004" s="76"/>
      <c r="ES1004" s="76"/>
      <c r="ET1004" s="76"/>
      <c r="EU1004" s="76"/>
      <c r="EV1004" s="76"/>
      <c r="EW1004" s="76"/>
      <c r="EX1004" s="76"/>
      <c r="EY1004" s="76"/>
      <c r="EZ1004" s="76"/>
      <c r="FA1004" s="76"/>
      <c r="FB1004" s="76"/>
      <c r="FC1004" s="76"/>
      <c r="FD1004" s="76"/>
      <c r="FE1004" s="76"/>
      <c r="FF1004" s="76"/>
      <c r="FG1004" s="76"/>
      <c r="FH1004" s="76"/>
      <c r="FI1004" s="76"/>
      <c r="FJ1004" s="76"/>
      <c r="FK1004" s="76"/>
      <c r="FL1004" s="76"/>
      <c r="FM1004" s="76"/>
      <c r="FN1004" s="76"/>
      <c r="FO1004" s="76"/>
      <c r="FP1004" s="76"/>
      <c r="FQ1004" s="76"/>
      <c r="FR1004" s="76"/>
      <c r="FS1004" s="76"/>
      <c r="FT1004" s="76"/>
      <c r="FU1004" s="76"/>
      <c r="FV1004" s="76"/>
      <c r="FW1004" s="76"/>
      <c r="FX1004" s="76"/>
      <c r="FY1004" s="76"/>
      <c r="FZ1004" s="76"/>
      <c r="GA1004" s="76"/>
      <c r="GB1004" s="76"/>
      <c r="GC1004" s="76"/>
      <c r="GD1004" s="76"/>
      <c r="GE1004" s="76"/>
      <c r="GF1004" s="76"/>
      <c r="GG1004" s="76"/>
      <c r="GH1004" s="76"/>
      <c r="GI1004" s="76"/>
      <c r="GJ1004" s="76"/>
      <c r="GK1004" s="76"/>
      <c r="GL1004" s="76"/>
      <c r="GM1004" s="76"/>
      <c r="GN1004" s="76"/>
      <c r="GO1004" s="76"/>
      <c r="GP1004" s="76"/>
      <c r="GQ1004" s="76"/>
      <c r="GR1004" s="76"/>
      <c r="GS1004" s="76"/>
      <c r="GT1004" s="76"/>
      <c r="GU1004" s="76"/>
      <c r="GV1004" s="76"/>
      <c r="GW1004" s="76"/>
      <c r="GX1004" s="76"/>
      <c r="GY1004" s="76"/>
      <c r="GZ1004" s="76"/>
      <c r="HA1004" s="76"/>
      <c r="HB1004" s="76"/>
      <c r="HC1004" s="76"/>
      <c r="HD1004" s="76"/>
      <c r="HE1004" s="76"/>
      <c r="HF1004" s="76"/>
      <c r="HG1004" s="76"/>
      <c r="HH1004" s="76"/>
      <c r="HI1004" s="76"/>
      <c r="HJ1004" s="76"/>
      <c r="HK1004" s="76"/>
      <c r="HL1004" s="76"/>
      <c r="HM1004" s="76"/>
      <c r="HN1004" s="76"/>
      <c r="HO1004" s="76"/>
      <c r="HP1004" s="76"/>
      <c r="HQ1004" s="76"/>
      <c r="HR1004" s="76"/>
      <c r="HS1004" s="76"/>
      <c r="HT1004" s="76"/>
      <c r="HU1004" s="76"/>
      <c r="HV1004" s="76"/>
      <c r="HW1004" s="76"/>
      <c r="HX1004" s="76"/>
      <c r="HY1004" s="76"/>
      <c r="HZ1004" s="76"/>
      <c r="IA1004" s="76"/>
      <c r="IB1004" s="76"/>
      <c r="IC1004" s="76"/>
      <c r="ID1004" s="76"/>
      <c r="IE1004" s="76"/>
      <c r="IF1004" s="76"/>
      <c r="IG1004" s="76"/>
      <c r="IH1004" s="76"/>
      <c r="II1004" s="76"/>
      <c r="IJ1004" s="76"/>
      <c r="IK1004" s="76"/>
      <c r="IL1004" s="76"/>
      <c r="IM1004" s="76"/>
      <c r="IN1004" s="76"/>
      <c r="IO1004" s="76"/>
      <c r="IP1004" s="76"/>
      <c r="IQ1004" s="76"/>
      <c r="IR1004" s="76"/>
      <c r="IS1004" s="76"/>
      <c r="IT1004" s="76"/>
      <c r="IU1004" s="76"/>
      <c r="IV1004" s="76"/>
    </row>
    <row r="1005" spans="1:256" hidden="1">
      <c r="A1005" s="859"/>
      <c r="B1005" s="76"/>
      <c r="C1005" s="76"/>
      <c r="D1005" s="76"/>
      <c r="E1005" s="76"/>
      <c r="F1005" s="76"/>
      <c r="G1005" s="76"/>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s="76"/>
      <c r="AH1005" s="76"/>
      <c r="AI1005" s="76"/>
      <c r="AJ1005" s="76"/>
      <c r="AK1005" s="76"/>
      <c r="AL1005" s="76"/>
      <c r="AM1005" s="76"/>
      <c r="AN1005" s="76"/>
      <c r="AO1005" s="76"/>
      <c r="AP1005" s="76"/>
      <c r="AQ1005" s="76"/>
      <c r="AR1005" s="76"/>
      <c r="AS1005" s="76"/>
      <c r="AT1005" s="76"/>
      <c r="AU1005" s="76"/>
      <c r="AV1005" s="76"/>
      <c r="AW1005" s="76"/>
      <c r="AX1005" s="76"/>
      <c r="AY1005" s="76"/>
      <c r="AZ1005" s="76"/>
      <c r="BA1005" s="76"/>
      <c r="BB1005" s="76"/>
      <c r="BC1005" s="76"/>
      <c r="BD1005" s="76"/>
      <c r="BE1005" s="76"/>
      <c r="BF1005" s="76"/>
      <c r="BG1005" s="76"/>
      <c r="BH1005" s="76"/>
      <c r="BI1005" s="76"/>
      <c r="BJ1005" s="76"/>
      <c r="BK1005" s="76"/>
      <c r="BL1005" s="76"/>
      <c r="BM1005" s="76"/>
      <c r="BN1005" s="76"/>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c r="CT1005" s="76"/>
      <c r="CU1005" s="76"/>
      <c r="CV1005" s="76"/>
      <c r="CW1005" s="76"/>
      <c r="CX1005" s="76"/>
      <c r="CY1005" s="76"/>
      <c r="CZ1005" s="76"/>
      <c r="DA1005" s="76"/>
      <c r="DB1005" s="76"/>
      <c r="DC1005" s="76"/>
      <c r="DD1005" s="76"/>
      <c r="DE1005" s="76"/>
      <c r="DF1005" s="76"/>
      <c r="DG1005" s="76"/>
      <c r="DH1005" s="76"/>
      <c r="DI1005" s="76"/>
      <c r="DJ1005" s="76"/>
      <c r="DK1005" s="76"/>
      <c r="DL1005" s="76"/>
      <c r="DM1005" s="76"/>
      <c r="DN1005" s="76"/>
      <c r="DO1005" s="76"/>
      <c r="DP1005" s="76"/>
      <c r="DQ1005" s="76"/>
      <c r="DR1005" s="76"/>
      <c r="DS1005" s="76"/>
      <c r="DT1005" s="76"/>
      <c r="DU1005" s="76"/>
      <c r="DV1005" s="76"/>
      <c r="DW1005" s="76"/>
      <c r="DX1005" s="76"/>
      <c r="DY1005" s="76"/>
      <c r="DZ1005" s="76"/>
      <c r="EA1005" s="76"/>
      <c r="EB1005" s="76"/>
      <c r="EC1005" s="76"/>
      <c r="ED1005" s="76"/>
      <c r="EE1005" s="76"/>
      <c r="EF1005" s="76"/>
      <c r="EG1005" s="76"/>
      <c r="EH1005" s="76"/>
      <c r="EI1005" s="76"/>
      <c r="EJ1005" s="76"/>
      <c r="EK1005" s="76"/>
      <c r="EL1005" s="76"/>
      <c r="EM1005" s="76"/>
      <c r="EN1005" s="76"/>
      <c r="EO1005" s="76"/>
      <c r="EP1005" s="76"/>
      <c r="EQ1005" s="76"/>
      <c r="ER1005" s="76"/>
      <c r="ES1005" s="76"/>
      <c r="ET1005" s="76"/>
      <c r="EU1005" s="76"/>
      <c r="EV1005" s="76"/>
      <c r="EW1005" s="76"/>
      <c r="EX1005" s="76"/>
      <c r="EY1005" s="76"/>
      <c r="EZ1005" s="76"/>
      <c r="FA1005" s="76"/>
      <c r="FB1005" s="76"/>
      <c r="FC1005" s="76"/>
      <c r="FD1005" s="76"/>
      <c r="FE1005" s="76"/>
      <c r="FF1005" s="76"/>
      <c r="FG1005" s="76"/>
      <c r="FH1005" s="76"/>
      <c r="FI1005" s="76"/>
      <c r="FJ1005" s="76"/>
      <c r="FK1005" s="76"/>
      <c r="FL1005" s="76"/>
      <c r="FM1005" s="76"/>
      <c r="FN1005" s="76"/>
      <c r="FO1005" s="76"/>
      <c r="FP1005" s="76"/>
      <c r="FQ1005" s="76"/>
      <c r="FR1005" s="76"/>
      <c r="FS1005" s="76"/>
      <c r="FT1005" s="76"/>
      <c r="FU1005" s="76"/>
      <c r="FV1005" s="76"/>
      <c r="FW1005" s="76"/>
      <c r="FX1005" s="76"/>
      <c r="FY1005" s="76"/>
      <c r="FZ1005" s="76"/>
      <c r="GA1005" s="76"/>
      <c r="GB1005" s="76"/>
      <c r="GC1005" s="76"/>
      <c r="GD1005" s="76"/>
      <c r="GE1005" s="76"/>
      <c r="GF1005" s="76"/>
      <c r="GG1005" s="76"/>
      <c r="GH1005" s="76"/>
      <c r="GI1005" s="76"/>
      <c r="GJ1005" s="76"/>
      <c r="GK1005" s="76"/>
      <c r="GL1005" s="76"/>
      <c r="GM1005" s="76"/>
      <c r="GN1005" s="76"/>
      <c r="GO1005" s="76"/>
      <c r="GP1005" s="76"/>
      <c r="GQ1005" s="76"/>
      <c r="GR1005" s="76"/>
      <c r="GS1005" s="76"/>
      <c r="GT1005" s="76"/>
      <c r="GU1005" s="76"/>
      <c r="GV1005" s="76"/>
      <c r="GW1005" s="76"/>
      <c r="GX1005" s="76"/>
      <c r="GY1005" s="76"/>
      <c r="GZ1005" s="76"/>
      <c r="HA1005" s="76"/>
      <c r="HB1005" s="76"/>
      <c r="HC1005" s="76"/>
      <c r="HD1005" s="76"/>
      <c r="HE1005" s="76"/>
      <c r="HF1005" s="76"/>
      <c r="HG1005" s="76"/>
      <c r="HH1005" s="76"/>
      <c r="HI1005" s="76"/>
      <c r="HJ1005" s="76"/>
      <c r="HK1005" s="76"/>
      <c r="HL1005" s="76"/>
      <c r="HM1005" s="76"/>
      <c r="HN1005" s="76"/>
      <c r="HO1005" s="76"/>
      <c r="HP1005" s="76"/>
      <c r="HQ1005" s="76"/>
      <c r="HR1005" s="76"/>
      <c r="HS1005" s="76"/>
      <c r="HT1005" s="76"/>
      <c r="HU1005" s="76"/>
      <c r="HV1005" s="76"/>
      <c r="HW1005" s="76"/>
      <c r="HX1005" s="76"/>
      <c r="HY1005" s="76"/>
      <c r="HZ1005" s="76"/>
      <c r="IA1005" s="76"/>
      <c r="IB1005" s="76"/>
      <c r="IC1005" s="76"/>
      <c r="ID1005" s="76"/>
      <c r="IE1005" s="76"/>
      <c r="IF1005" s="76"/>
      <c r="IG1005" s="76"/>
      <c r="IH1005" s="76"/>
      <c r="II1005" s="76"/>
      <c r="IJ1005" s="76"/>
      <c r="IK1005" s="76"/>
      <c r="IL1005" s="76"/>
      <c r="IM1005" s="76"/>
      <c r="IN1005" s="76"/>
      <c r="IO1005" s="76"/>
      <c r="IP1005" s="76"/>
      <c r="IQ1005" s="76"/>
      <c r="IR1005" s="76"/>
      <c r="IS1005" s="76"/>
      <c r="IT1005" s="76"/>
      <c r="IU1005" s="76"/>
      <c r="IV1005" s="76"/>
    </row>
    <row r="1006" spans="1:256" hidden="1">
      <c r="A1006" s="859"/>
      <c r="B1006" s="76"/>
      <c r="C1006" s="76"/>
      <c r="D1006" s="76"/>
      <c r="E1006" s="76"/>
      <c r="F1006" s="76"/>
      <c r="G1006" s="76"/>
      <c r="H1006" s="76"/>
      <c r="I1006" s="76"/>
      <c r="J1006" s="76"/>
      <c r="K1006" s="76"/>
      <c r="L1006" s="76"/>
      <c r="M1006" s="76"/>
      <c r="N1006" s="76"/>
      <c r="O1006" s="76"/>
      <c r="P1006" s="76"/>
      <c r="Q1006" s="76"/>
      <c r="R1006" s="76"/>
      <c r="S1006" s="76"/>
      <c r="T1006" s="76"/>
      <c r="U1006" s="76"/>
      <c r="V1006" s="76"/>
      <c r="W1006" s="76"/>
      <c r="X1006" s="76"/>
      <c r="Y1006" s="76"/>
      <c r="Z1006" s="76"/>
      <c r="AA1006" s="76"/>
      <c r="AB1006" s="76"/>
      <c r="AC1006" s="76"/>
      <c r="AD1006" s="76"/>
      <c r="AE1006" s="76"/>
      <c r="AF1006" s="76"/>
      <c r="AG1006" s="76"/>
      <c r="AH1006" s="76"/>
      <c r="AI1006" s="76"/>
      <c r="AJ1006" s="76"/>
      <c r="AK1006" s="76"/>
      <c r="AL1006" s="76"/>
      <c r="AM1006" s="76"/>
      <c r="AN1006" s="76"/>
      <c r="AO1006" s="76"/>
      <c r="AP1006" s="76"/>
      <c r="AQ1006" s="76"/>
      <c r="AR1006" s="76"/>
      <c r="AS1006" s="76"/>
      <c r="AT1006" s="76"/>
      <c r="AU1006" s="76"/>
      <c r="AV1006" s="76"/>
      <c r="AW1006" s="76"/>
      <c r="AX1006" s="76"/>
      <c r="AY1006" s="76"/>
      <c r="AZ1006" s="76"/>
      <c r="BA1006" s="76"/>
      <c r="BB1006" s="76"/>
      <c r="BC1006" s="76"/>
      <c r="BD1006" s="76"/>
      <c r="BE1006" s="76"/>
      <c r="BF1006" s="76"/>
      <c r="BG1006" s="76"/>
      <c r="BH1006" s="76"/>
      <c r="BI1006" s="76"/>
      <c r="BJ1006" s="76"/>
      <c r="BK1006" s="76"/>
      <c r="BL1006" s="76"/>
      <c r="BM1006" s="76"/>
      <c r="BN1006" s="76"/>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c r="CT1006" s="76"/>
      <c r="CU1006" s="76"/>
      <c r="CV1006" s="76"/>
      <c r="CW1006" s="76"/>
      <c r="CX1006" s="76"/>
      <c r="CY1006" s="76"/>
      <c r="CZ1006" s="76"/>
      <c r="DA1006" s="76"/>
      <c r="DB1006" s="76"/>
      <c r="DC1006" s="76"/>
      <c r="DD1006" s="76"/>
      <c r="DE1006" s="76"/>
      <c r="DF1006" s="76"/>
      <c r="DG1006" s="76"/>
      <c r="DH1006" s="76"/>
      <c r="DI1006" s="76"/>
      <c r="DJ1006" s="76"/>
      <c r="DK1006" s="76"/>
      <c r="DL1006" s="76"/>
      <c r="DM1006" s="76"/>
      <c r="DN1006" s="76"/>
      <c r="DO1006" s="76"/>
      <c r="DP1006" s="76"/>
      <c r="DQ1006" s="76"/>
      <c r="DR1006" s="76"/>
      <c r="DS1006" s="76"/>
      <c r="DT1006" s="76"/>
      <c r="DU1006" s="76"/>
      <c r="DV1006" s="76"/>
      <c r="DW1006" s="76"/>
      <c r="DX1006" s="76"/>
      <c r="DY1006" s="76"/>
      <c r="DZ1006" s="76"/>
      <c r="EA1006" s="76"/>
      <c r="EB1006" s="76"/>
      <c r="EC1006" s="76"/>
      <c r="ED1006" s="76"/>
      <c r="EE1006" s="76"/>
      <c r="EF1006" s="76"/>
      <c r="EG1006" s="76"/>
      <c r="EH1006" s="76"/>
      <c r="EI1006" s="76"/>
      <c r="EJ1006" s="76"/>
      <c r="EK1006" s="76"/>
      <c r="EL1006" s="76"/>
      <c r="EM1006" s="76"/>
      <c r="EN1006" s="76"/>
      <c r="EO1006" s="76"/>
      <c r="EP1006" s="76"/>
      <c r="EQ1006" s="76"/>
      <c r="ER1006" s="76"/>
      <c r="ES1006" s="76"/>
      <c r="ET1006" s="76"/>
      <c r="EU1006" s="76"/>
      <c r="EV1006" s="76"/>
      <c r="EW1006" s="76"/>
      <c r="EX1006" s="76"/>
      <c r="EY1006" s="76"/>
      <c r="EZ1006" s="76"/>
      <c r="FA1006" s="76"/>
      <c r="FB1006" s="76"/>
      <c r="FC1006" s="76"/>
      <c r="FD1006" s="76"/>
      <c r="FE1006" s="76"/>
      <c r="FF1006" s="76"/>
      <c r="FG1006" s="76"/>
      <c r="FH1006" s="76"/>
      <c r="FI1006" s="76"/>
      <c r="FJ1006" s="76"/>
      <c r="FK1006" s="76"/>
      <c r="FL1006" s="76"/>
      <c r="FM1006" s="76"/>
      <c r="FN1006" s="76"/>
      <c r="FO1006" s="76"/>
      <c r="FP1006" s="76"/>
      <c r="FQ1006" s="76"/>
      <c r="FR1006" s="76"/>
      <c r="FS1006" s="76"/>
      <c r="FT1006" s="76"/>
      <c r="FU1006" s="76"/>
      <c r="FV1006" s="76"/>
      <c r="FW1006" s="76"/>
      <c r="FX1006" s="76"/>
      <c r="FY1006" s="76"/>
      <c r="FZ1006" s="76"/>
      <c r="GA1006" s="76"/>
      <c r="GB1006" s="76"/>
      <c r="GC1006" s="76"/>
      <c r="GD1006" s="76"/>
      <c r="GE1006" s="76"/>
      <c r="GF1006" s="76"/>
      <c r="GG1006" s="76"/>
      <c r="GH1006" s="76"/>
      <c r="GI1006" s="76"/>
      <c r="GJ1006" s="76"/>
      <c r="GK1006" s="76"/>
      <c r="GL1006" s="76"/>
      <c r="GM1006" s="76"/>
      <c r="GN1006" s="76"/>
      <c r="GO1006" s="76"/>
      <c r="GP1006" s="76"/>
      <c r="GQ1006" s="76"/>
      <c r="GR1006" s="76"/>
      <c r="GS1006" s="76"/>
      <c r="GT1006" s="76"/>
      <c r="GU1006" s="76"/>
      <c r="GV1006" s="76"/>
      <c r="GW1006" s="76"/>
      <c r="GX1006" s="76"/>
      <c r="GY1006" s="76"/>
      <c r="GZ1006" s="76"/>
      <c r="HA1006" s="76"/>
      <c r="HB1006" s="76"/>
      <c r="HC1006" s="76"/>
      <c r="HD1006" s="76"/>
      <c r="HE1006" s="76"/>
      <c r="HF1006" s="76"/>
      <c r="HG1006" s="76"/>
      <c r="HH1006" s="76"/>
      <c r="HI1006" s="76"/>
      <c r="HJ1006" s="76"/>
      <c r="HK1006" s="76"/>
      <c r="HL1006" s="76"/>
      <c r="HM1006" s="76"/>
      <c r="HN1006" s="76"/>
      <c r="HO1006" s="76"/>
      <c r="HP1006" s="76"/>
      <c r="HQ1006" s="76"/>
      <c r="HR1006" s="76"/>
      <c r="HS1006" s="76"/>
      <c r="HT1006" s="76"/>
      <c r="HU1006" s="76"/>
      <c r="HV1006" s="76"/>
      <c r="HW1006" s="76"/>
      <c r="HX1006" s="76"/>
      <c r="HY1006" s="76"/>
      <c r="HZ1006" s="76"/>
      <c r="IA1006" s="76"/>
      <c r="IB1006" s="76"/>
      <c r="IC1006" s="76"/>
      <c r="ID1006" s="76"/>
      <c r="IE1006" s="76"/>
      <c r="IF1006" s="76"/>
      <c r="IG1006" s="76"/>
      <c r="IH1006" s="76"/>
      <c r="II1006" s="76"/>
      <c r="IJ1006" s="76"/>
      <c r="IK1006" s="76"/>
      <c r="IL1006" s="76"/>
      <c r="IM1006" s="76"/>
      <c r="IN1006" s="76"/>
      <c r="IO1006" s="76"/>
      <c r="IP1006" s="76"/>
      <c r="IQ1006" s="76"/>
      <c r="IR1006" s="76"/>
      <c r="IS1006" s="76"/>
      <c r="IT1006" s="76"/>
      <c r="IU1006" s="76"/>
      <c r="IV1006" s="76"/>
    </row>
    <row r="1007" spans="1:256" hidden="1">
      <c r="A1007" s="859"/>
      <c r="B1007" s="76"/>
      <c r="C1007" s="76"/>
      <c r="D1007" s="76"/>
      <c r="E1007" s="76"/>
      <c r="F1007" s="76"/>
      <c r="G1007" s="76"/>
      <c r="H1007" s="76"/>
      <c r="I1007" s="76"/>
      <c r="J1007" s="76"/>
      <c r="K1007" s="76"/>
      <c r="L1007" s="76"/>
      <c r="M1007" s="76"/>
      <c r="N1007" s="76"/>
      <c r="O1007" s="76"/>
      <c r="P1007" s="76"/>
      <c r="Q1007" s="76"/>
      <c r="R1007" s="76"/>
      <c r="S1007" s="76"/>
      <c r="T1007" s="76"/>
      <c r="U1007" s="76"/>
      <c r="V1007" s="76"/>
      <c r="W1007" s="76"/>
      <c r="X1007" s="76"/>
      <c r="Y1007" s="76"/>
      <c r="Z1007" s="76"/>
      <c r="AA1007" s="76"/>
      <c r="AB1007" s="76"/>
      <c r="AC1007" s="76"/>
      <c r="AD1007" s="76"/>
      <c r="AE1007" s="76"/>
      <c r="AF1007" s="76"/>
      <c r="AG1007" s="76"/>
      <c r="AH1007" s="76"/>
      <c r="AI1007" s="76"/>
      <c r="AJ1007" s="76"/>
      <c r="AK1007" s="76"/>
      <c r="AL1007" s="76"/>
      <c r="AM1007" s="76"/>
      <c r="AN1007" s="76"/>
      <c r="AO1007" s="76"/>
      <c r="AP1007" s="76"/>
      <c r="AQ1007" s="76"/>
      <c r="AR1007" s="76"/>
      <c r="AS1007" s="76"/>
      <c r="AT1007" s="76"/>
      <c r="AU1007" s="76"/>
      <c r="AV1007" s="76"/>
      <c r="AW1007" s="76"/>
      <c r="AX1007" s="76"/>
      <c r="AY1007" s="76"/>
      <c r="AZ1007" s="76"/>
      <c r="BA1007" s="76"/>
      <c r="BB1007" s="76"/>
      <c r="BC1007" s="76"/>
      <c r="BD1007" s="76"/>
      <c r="BE1007" s="76"/>
      <c r="BF1007" s="76"/>
      <c r="BG1007" s="76"/>
      <c r="BH1007" s="76"/>
      <c r="BI1007" s="76"/>
      <c r="BJ1007" s="76"/>
      <c r="BK1007" s="76"/>
      <c r="BL1007" s="76"/>
      <c r="BM1007" s="76"/>
      <c r="BN1007" s="76"/>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c r="CT1007" s="76"/>
      <c r="CU1007" s="76"/>
      <c r="CV1007" s="76"/>
      <c r="CW1007" s="76"/>
      <c r="CX1007" s="76"/>
      <c r="CY1007" s="76"/>
      <c r="CZ1007" s="76"/>
      <c r="DA1007" s="76"/>
      <c r="DB1007" s="76"/>
      <c r="DC1007" s="76"/>
      <c r="DD1007" s="76"/>
      <c r="DE1007" s="76"/>
      <c r="DF1007" s="76"/>
      <c r="DG1007" s="76"/>
      <c r="DH1007" s="76"/>
      <c r="DI1007" s="76"/>
      <c r="DJ1007" s="76"/>
      <c r="DK1007" s="76"/>
      <c r="DL1007" s="76"/>
      <c r="DM1007" s="76"/>
      <c r="DN1007" s="76"/>
      <c r="DO1007" s="76"/>
      <c r="DP1007" s="76"/>
      <c r="DQ1007" s="76"/>
      <c r="DR1007" s="76"/>
      <c r="DS1007" s="76"/>
      <c r="DT1007" s="76"/>
      <c r="DU1007" s="76"/>
      <c r="DV1007" s="76"/>
      <c r="DW1007" s="76"/>
      <c r="DX1007" s="76"/>
      <c r="DY1007" s="76"/>
      <c r="DZ1007" s="76"/>
      <c r="EA1007" s="76"/>
      <c r="EB1007" s="76"/>
      <c r="EC1007" s="76"/>
      <c r="ED1007" s="76"/>
      <c r="EE1007" s="76"/>
      <c r="EF1007" s="76"/>
      <c r="EG1007" s="76"/>
      <c r="EH1007" s="76"/>
      <c r="EI1007" s="76"/>
      <c r="EJ1007" s="76"/>
      <c r="EK1007" s="76"/>
      <c r="EL1007" s="76"/>
      <c r="EM1007" s="76"/>
      <c r="EN1007" s="76"/>
      <c r="EO1007" s="76"/>
      <c r="EP1007" s="76"/>
      <c r="EQ1007" s="76"/>
      <c r="ER1007" s="76"/>
      <c r="ES1007" s="76"/>
      <c r="ET1007" s="76"/>
      <c r="EU1007" s="76"/>
      <c r="EV1007" s="76"/>
      <c r="EW1007" s="76"/>
      <c r="EX1007" s="76"/>
      <c r="EY1007" s="76"/>
      <c r="EZ1007" s="76"/>
      <c r="FA1007" s="76"/>
      <c r="FB1007" s="76"/>
      <c r="FC1007" s="76"/>
      <c r="FD1007" s="76"/>
      <c r="FE1007" s="76"/>
      <c r="FF1007" s="76"/>
      <c r="FG1007" s="76"/>
      <c r="FH1007" s="76"/>
      <c r="FI1007" s="76"/>
      <c r="FJ1007" s="76"/>
      <c r="FK1007" s="76"/>
      <c r="FL1007" s="76"/>
      <c r="FM1007" s="76"/>
      <c r="FN1007" s="76"/>
      <c r="FO1007" s="76"/>
      <c r="FP1007" s="76"/>
      <c r="FQ1007" s="76"/>
      <c r="FR1007" s="76"/>
      <c r="FS1007" s="76"/>
      <c r="FT1007" s="76"/>
      <c r="FU1007" s="76"/>
      <c r="FV1007" s="76"/>
      <c r="FW1007" s="76"/>
      <c r="FX1007" s="76"/>
      <c r="FY1007" s="76"/>
      <c r="FZ1007" s="76"/>
      <c r="GA1007" s="76"/>
      <c r="GB1007" s="76"/>
      <c r="GC1007" s="76"/>
      <c r="GD1007" s="76"/>
      <c r="GE1007" s="76"/>
      <c r="GF1007" s="76"/>
      <c r="GG1007" s="76"/>
      <c r="GH1007" s="76"/>
      <c r="GI1007" s="76"/>
      <c r="GJ1007" s="76"/>
      <c r="GK1007" s="76"/>
      <c r="GL1007" s="76"/>
      <c r="GM1007" s="76"/>
      <c r="GN1007" s="76"/>
      <c r="GO1007" s="76"/>
      <c r="GP1007" s="76"/>
      <c r="GQ1007" s="76"/>
      <c r="GR1007" s="76"/>
      <c r="GS1007" s="76"/>
      <c r="GT1007" s="76"/>
      <c r="GU1007" s="76"/>
      <c r="GV1007" s="76"/>
      <c r="GW1007" s="76"/>
      <c r="GX1007" s="76"/>
      <c r="GY1007" s="76"/>
      <c r="GZ1007" s="76"/>
      <c r="HA1007" s="76"/>
      <c r="HB1007" s="76"/>
      <c r="HC1007" s="76"/>
      <c r="HD1007" s="76"/>
      <c r="HE1007" s="76"/>
      <c r="HF1007" s="76"/>
      <c r="HG1007" s="76"/>
      <c r="HH1007" s="76"/>
      <c r="HI1007" s="76"/>
      <c r="HJ1007" s="76"/>
      <c r="HK1007" s="76"/>
      <c r="HL1007" s="76"/>
      <c r="HM1007" s="76"/>
      <c r="HN1007" s="76"/>
      <c r="HO1007" s="76"/>
      <c r="HP1007" s="76"/>
      <c r="HQ1007" s="76"/>
      <c r="HR1007" s="76"/>
      <c r="HS1007" s="76"/>
      <c r="HT1007" s="76"/>
      <c r="HU1007" s="76"/>
      <c r="HV1007" s="76"/>
      <c r="HW1007" s="76"/>
      <c r="HX1007" s="76"/>
      <c r="HY1007" s="76"/>
      <c r="HZ1007" s="76"/>
      <c r="IA1007" s="76"/>
      <c r="IB1007" s="76"/>
      <c r="IC1007" s="76"/>
      <c r="ID1007" s="76"/>
      <c r="IE1007" s="76"/>
      <c r="IF1007" s="76"/>
      <c r="IG1007" s="76"/>
      <c r="IH1007" s="76"/>
      <c r="II1007" s="76"/>
      <c r="IJ1007" s="76"/>
      <c r="IK1007" s="76"/>
      <c r="IL1007" s="76"/>
      <c r="IM1007" s="76"/>
      <c r="IN1007" s="76"/>
      <c r="IO1007" s="76"/>
      <c r="IP1007" s="76"/>
      <c r="IQ1007" s="76"/>
      <c r="IR1007" s="76"/>
      <c r="IS1007" s="76"/>
      <c r="IT1007" s="76"/>
      <c r="IU1007" s="76"/>
      <c r="IV1007" s="76"/>
    </row>
    <row r="1008" spans="1:256" hidden="1">
      <c r="A1008" s="859"/>
      <c r="B1008" s="76"/>
      <c r="C1008" s="76"/>
      <c r="D1008" s="76"/>
      <c r="E1008" s="76"/>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c r="AY1008" s="76"/>
      <c r="AZ1008" s="76"/>
      <c r="BA1008" s="76"/>
      <c r="BB1008" s="76"/>
      <c r="BC1008" s="76"/>
      <c r="BD1008" s="76"/>
      <c r="BE1008" s="76"/>
      <c r="BF1008" s="76"/>
      <c r="BG1008" s="76"/>
      <c r="BH1008" s="76"/>
      <c r="BI1008" s="76"/>
      <c r="BJ1008" s="76"/>
      <c r="BK1008" s="76"/>
      <c r="BL1008" s="76"/>
      <c r="BM1008" s="76"/>
      <c r="BN1008" s="76"/>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c r="CT1008" s="76"/>
      <c r="CU1008" s="76"/>
      <c r="CV1008" s="76"/>
      <c r="CW1008" s="76"/>
      <c r="CX1008" s="76"/>
      <c r="CY1008" s="76"/>
      <c r="CZ1008" s="76"/>
      <c r="DA1008" s="76"/>
      <c r="DB1008" s="76"/>
      <c r="DC1008" s="76"/>
      <c r="DD1008" s="76"/>
      <c r="DE1008" s="76"/>
      <c r="DF1008" s="76"/>
      <c r="DG1008" s="76"/>
      <c r="DH1008" s="76"/>
      <c r="DI1008" s="76"/>
      <c r="DJ1008" s="76"/>
      <c r="DK1008" s="76"/>
      <c r="DL1008" s="76"/>
      <c r="DM1008" s="76"/>
      <c r="DN1008" s="76"/>
      <c r="DO1008" s="76"/>
      <c r="DP1008" s="76"/>
      <c r="DQ1008" s="76"/>
      <c r="DR1008" s="76"/>
      <c r="DS1008" s="76"/>
      <c r="DT1008" s="76"/>
      <c r="DU1008" s="76"/>
      <c r="DV1008" s="76"/>
      <c r="DW1008" s="76"/>
      <c r="DX1008" s="76"/>
      <c r="DY1008" s="76"/>
      <c r="DZ1008" s="76"/>
      <c r="EA1008" s="76"/>
      <c r="EB1008" s="76"/>
      <c r="EC1008" s="76"/>
      <c r="ED1008" s="76"/>
      <c r="EE1008" s="76"/>
      <c r="EF1008" s="76"/>
      <c r="EG1008" s="76"/>
      <c r="EH1008" s="76"/>
      <c r="EI1008" s="76"/>
      <c r="EJ1008" s="76"/>
      <c r="EK1008" s="76"/>
      <c r="EL1008" s="76"/>
      <c r="EM1008" s="76"/>
      <c r="EN1008" s="76"/>
      <c r="EO1008" s="76"/>
      <c r="EP1008" s="76"/>
      <c r="EQ1008" s="76"/>
      <c r="ER1008" s="76"/>
      <c r="ES1008" s="76"/>
      <c r="ET1008" s="76"/>
      <c r="EU1008" s="76"/>
      <c r="EV1008" s="76"/>
      <c r="EW1008" s="76"/>
      <c r="EX1008" s="76"/>
      <c r="EY1008" s="76"/>
      <c r="EZ1008" s="76"/>
      <c r="FA1008" s="76"/>
      <c r="FB1008" s="76"/>
      <c r="FC1008" s="76"/>
      <c r="FD1008" s="76"/>
      <c r="FE1008" s="76"/>
      <c r="FF1008" s="76"/>
      <c r="FG1008" s="76"/>
      <c r="FH1008" s="76"/>
      <c r="FI1008" s="76"/>
      <c r="FJ1008" s="76"/>
      <c r="FK1008" s="76"/>
      <c r="FL1008" s="76"/>
      <c r="FM1008" s="76"/>
      <c r="FN1008" s="76"/>
      <c r="FO1008" s="76"/>
      <c r="FP1008" s="76"/>
      <c r="FQ1008" s="76"/>
      <c r="FR1008" s="76"/>
      <c r="FS1008" s="76"/>
      <c r="FT1008" s="76"/>
      <c r="FU1008" s="76"/>
      <c r="FV1008" s="76"/>
      <c r="FW1008" s="76"/>
      <c r="FX1008" s="76"/>
      <c r="FY1008" s="76"/>
      <c r="FZ1008" s="76"/>
      <c r="GA1008" s="76"/>
      <c r="GB1008" s="76"/>
      <c r="GC1008" s="76"/>
      <c r="GD1008" s="76"/>
      <c r="GE1008" s="76"/>
      <c r="GF1008" s="76"/>
      <c r="GG1008" s="76"/>
      <c r="GH1008" s="76"/>
      <c r="GI1008" s="76"/>
      <c r="GJ1008" s="76"/>
      <c r="GK1008" s="76"/>
      <c r="GL1008" s="76"/>
      <c r="GM1008" s="76"/>
      <c r="GN1008" s="76"/>
      <c r="GO1008" s="76"/>
      <c r="GP1008" s="76"/>
      <c r="GQ1008" s="76"/>
      <c r="GR1008" s="76"/>
      <c r="GS1008" s="76"/>
      <c r="GT1008" s="76"/>
      <c r="GU1008" s="76"/>
      <c r="GV1008" s="76"/>
      <c r="GW1008" s="76"/>
      <c r="GX1008" s="76"/>
      <c r="GY1008" s="76"/>
      <c r="GZ1008" s="76"/>
      <c r="HA1008" s="76"/>
      <c r="HB1008" s="76"/>
      <c r="HC1008" s="76"/>
      <c r="HD1008" s="76"/>
      <c r="HE1008" s="76"/>
      <c r="HF1008" s="76"/>
      <c r="HG1008" s="76"/>
      <c r="HH1008" s="76"/>
      <c r="HI1008" s="76"/>
      <c r="HJ1008" s="76"/>
      <c r="HK1008" s="76"/>
      <c r="HL1008" s="76"/>
      <c r="HM1008" s="76"/>
      <c r="HN1008" s="76"/>
      <c r="HO1008" s="76"/>
      <c r="HP1008" s="76"/>
      <c r="HQ1008" s="76"/>
      <c r="HR1008" s="76"/>
      <c r="HS1008" s="76"/>
      <c r="HT1008" s="76"/>
      <c r="HU1008" s="76"/>
      <c r="HV1008" s="76"/>
      <c r="HW1008" s="76"/>
      <c r="HX1008" s="76"/>
      <c r="HY1008" s="76"/>
      <c r="HZ1008" s="76"/>
      <c r="IA1008" s="76"/>
      <c r="IB1008" s="76"/>
      <c r="IC1008" s="76"/>
      <c r="ID1008" s="76"/>
      <c r="IE1008" s="76"/>
      <c r="IF1008" s="76"/>
      <c r="IG1008" s="76"/>
      <c r="IH1008" s="76"/>
      <c r="II1008" s="76"/>
      <c r="IJ1008" s="76"/>
      <c r="IK1008" s="76"/>
      <c r="IL1008" s="76"/>
      <c r="IM1008" s="76"/>
      <c r="IN1008" s="76"/>
      <c r="IO1008" s="76"/>
      <c r="IP1008" s="76"/>
      <c r="IQ1008" s="76"/>
      <c r="IR1008" s="76"/>
      <c r="IS1008" s="76"/>
      <c r="IT1008" s="76"/>
      <c r="IU1008" s="76"/>
      <c r="IV1008" s="76"/>
    </row>
    <row r="1009" spans="1:256" hidden="1">
      <c r="A1009" s="859"/>
      <c r="B1009" s="76"/>
      <c r="C1009" s="76"/>
      <c r="D1009" s="76"/>
      <c r="E1009" s="76"/>
      <c r="F1009" s="76"/>
      <c r="G1009" s="76"/>
      <c r="H1009" s="76"/>
      <c r="I1009" s="76"/>
      <c r="J1009" s="76"/>
      <c r="K1009" s="76"/>
      <c r="L1009" s="76"/>
      <c r="M1009" s="76"/>
      <c r="N1009" s="76"/>
      <c r="O1009" s="76"/>
      <c r="P1009" s="76"/>
      <c r="Q1009" s="76"/>
      <c r="R1009" s="76"/>
      <c r="S1009" s="76"/>
      <c r="T1009" s="76"/>
      <c r="U1009" s="76"/>
      <c r="V1009" s="76"/>
      <c r="W1009" s="76"/>
      <c r="X1009" s="76"/>
      <c r="Y1009" s="76"/>
      <c r="Z1009" s="76"/>
      <c r="AA1009" s="76"/>
      <c r="AB1009" s="76"/>
      <c r="AC1009" s="76"/>
      <c r="AD1009" s="76"/>
      <c r="AE1009" s="76"/>
      <c r="AF1009" s="76"/>
      <c r="AG1009" s="76"/>
      <c r="AH1009" s="76"/>
      <c r="AI1009" s="76"/>
      <c r="AJ1009" s="76"/>
      <c r="AK1009" s="76"/>
      <c r="AL1009" s="76"/>
      <c r="AM1009" s="76"/>
      <c r="AN1009" s="76"/>
      <c r="AO1009" s="76"/>
      <c r="AP1009" s="76"/>
      <c r="AQ1009" s="76"/>
      <c r="AR1009" s="76"/>
      <c r="AS1009" s="76"/>
      <c r="AT1009" s="76"/>
      <c r="AU1009" s="76"/>
      <c r="AV1009" s="76"/>
      <c r="AW1009" s="76"/>
      <c r="AX1009" s="76"/>
      <c r="AY1009" s="76"/>
      <c r="AZ1009" s="76"/>
      <c r="BA1009" s="76"/>
      <c r="BB1009" s="76"/>
      <c r="BC1009" s="76"/>
      <c r="BD1009" s="76"/>
      <c r="BE1009" s="76"/>
      <c r="BF1009" s="76"/>
      <c r="BG1009" s="76"/>
      <c r="BH1009" s="76"/>
      <c r="BI1009" s="76"/>
      <c r="BJ1009" s="76"/>
      <c r="BK1009" s="76"/>
      <c r="BL1009" s="76"/>
      <c r="BM1009" s="76"/>
      <c r="BN1009" s="76"/>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c r="CT1009" s="76"/>
      <c r="CU1009" s="76"/>
      <c r="CV1009" s="76"/>
      <c r="CW1009" s="76"/>
      <c r="CX1009" s="76"/>
      <c r="CY1009" s="76"/>
      <c r="CZ1009" s="76"/>
      <c r="DA1009" s="76"/>
      <c r="DB1009" s="76"/>
      <c r="DC1009" s="76"/>
      <c r="DD1009" s="76"/>
      <c r="DE1009" s="76"/>
      <c r="DF1009" s="76"/>
      <c r="DG1009" s="76"/>
      <c r="DH1009" s="76"/>
      <c r="DI1009" s="76"/>
      <c r="DJ1009" s="76"/>
      <c r="DK1009" s="76"/>
      <c r="DL1009" s="76"/>
      <c r="DM1009" s="76"/>
      <c r="DN1009" s="76"/>
      <c r="DO1009" s="76"/>
      <c r="DP1009" s="76"/>
      <c r="DQ1009" s="76"/>
      <c r="DR1009" s="76"/>
      <c r="DS1009" s="76"/>
      <c r="DT1009" s="76"/>
      <c r="DU1009" s="76"/>
      <c r="DV1009" s="76"/>
      <c r="DW1009" s="76"/>
      <c r="DX1009" s="76"/>
      <c r="DY1009" s="76"/>
      <c r="DZ1009" s="76"/>
      <c r="EA1009" s="76"/>
      <c r="EB1009" s="76"/>
      <c r="EC1009" s="76"/>
      <c r="ED1009" s="76"/>
      <c r="EE1009" s="76"/>
      <c r="EF1009" s="76"/>
      <c r="EG1009" s="76"/>
      <c r="EH1009" s="76"/>
      <c r="EI1009" s="76"/>
      <c r="EJ1009" s="76"/>
      <c r="EK1009" s="76"/>
      <c r="EL1009" s="76"/>
      <c r="EM1009" s="76"/>
      <c r="EN1009" s="76"/>
      <c r="EO1009" s="76"/>
      <c r="EP1009" s="76"/>
      <c r="EQ1009" s="76"/>
      <c r="ER1009" s="76"/>
      <c r="ES1009" s="76"/>
      <c r="ET1009" s="76"/>
      <c r="EU1009" s="76"/>
      <c r="EV1009" s="76"/>
      <c r="EW1009" s="76"/>
      <c r="EX1009" s="76"/>
      <c r="EY1009" s="76"/>
      <c r="EZ1009" s="76"/>
      <c r="FA1009" s="76"/>
      <c r="FB1009" s="76"/>
      <c r="FC1009" s="76"/>
      <c r="FD1009" s="76"/>
      <c r="FE1009" s="76"/>
      <c r="FF1009" s="76"/>
      <c r="FG1009" s="76"/>
      <c r="FH1009" s="76"/>
      <c r="FI1009" s="76"/>
      <c r="FJ1009" s="76"/>
      <c r="FK1009" s="76"/>
      <c r="FL1009" s="76"/>
      <c r="FM1009" s="76"/>
      <c r="FN1009" s="76"/>
      <c r="FO1009" s="76"/>
      <c r="FP1009" s="76"/>
      <c r="FQ1009" s="76"/>
      <c r="FR1009" s="76"/>
      <c r="FS1009" s="76"/>
      <c r="FT1009" s="76"/>
      <c r="FU1009" s="76"/>
      <c r="FV1009" s="76"/>
      <c r="FW1009" s="76"/>
      <c r="FX1009" s="76"/>
      <c r="FY1009" s="76"/>
      <c r="FZ1009" s="76"/>
      <c r="GA1009" s="76"/>
      <c r="GB1009" s="76"/>
      <c r="GC1009" s="76"/>
      <c r="GD1009" s="76"/>
      <c r="GE1009" s="76"/>
      <c r="GF1009" s="76"/>
      <c r="GG1009" s="76"/>
      <c r="GH1009" s="76"/>
      <c r="GI1009" s="76"/>
      <c r="GJ1009" s="76"/>
      <c r="GK1009" s="76"/>
      <c r="GL1009" s="76"/>
      <c r="GM1009" s="76"/>
      <c r="GN1009" s="76"/>
      <c r="GO1009" s="76"/>
      <c r="GP1009" s="76"/>
      <c r="GQ1009" s="76"/>
      <c r="GR1009" s="76"/>
      <c r="GS1009" s="76"/>
      <c r="GT1009" s="76"/>
      <c r="GU1009" s="76"/>
      <c r="GV1009" s="76"/>
      <c r="GW1009" s="76"/>
      <c r="GX1009" s="76"/>
      <c r="GY1009" s="76"/>
      <c r="GZ1009" s="76"/>
      <c r="HA1009" s="76"/>
      <c r="HB1009" s="76"/>
      <c r="HC1009" s="76"/>
      <c r="HD1009" s="76"/>
      <c r="HE1009" s="76"/>
      <c r="HF1009" s="76"/>
      <c r="HG1009" s="76"/>
      <c r="HH1009" s="76"/>
      <c r="HI1009" s="76"/>
      <c r="HJ1009" s="76"/>
      <c r="HK1009" s="76"/>
      <c r="HL1009" s="76"/>
      <c r="HM1009" s="76"/>
      <c r="HN1009" s="76"/>
      <c r="HO1009" s="76"/>
      <c r="HP1009" s="76"/>
      <c r="HQ1009" s="76"/>
      <c r="HR1009" s="76"/>
      <c r="HS1009" s="76"/>
      <c r="HT1009" s="76"/>
      <c r="HU1009" s="76"/>
      <c r="HV1009" s="76"/>
      <c r="HW1009" s="76"/>
      <c r="HX1009" s="76"/>
      <c r="HY1009" s="76"/>
      <c r="HZ1009" s="76"/>
      <c r="IA1009" s="76"/>
      <c r="IB1009" s="76"/>
      <c r="IC1009" s="76"/>
      <c r="ID1009" s="76"/>
      <c r="IE1009" s="76"/>
      <c r="IF1009" s="76"/>
      <c r="IG1009" s="76"/>
      <c r="IH1009" s="76"/>
      <c r="II1009" s="76"/>
      <c r="IJ1009" s="76"/>
      <c r="IK1009" s="76"/>
      <c r="IL1009" s="76"/>
      <c r="IM1009" s="76"/>
      <c r="IN1009" s="76"/>
      <c r="IO1009" s="76"/>
      <c r="IP1009" s="76"/>
      <c r="IQ1009" s="76"/>
      <c r="IR1009" s="76"/>
      <c r="IS1009" s="76"/>
      <c r="IT1009" s="76"/>
      <c r="IU1009" s="76"/>
      <c r="IV1009" s="76"/>
    </row>
    <row r="1010" spans="1:256" hidden="1">
      <c r="A1010" s="859"/>
      <c r="B1010" s="76"/>
      <c r="C1010" s="76"/>
      <c r="D1010" s="76"/>
      <c r="E1010" s="76"/>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c r="AY1010" s="76"/>
      <c r="AZ1010" s="76"/>
      <c r="BA1010" s="76"/>
      <c r="BB1010" s="76"/>
      <c r="BC1010" s="76"/>
      <c r="BD1010" s="76"/>
      <c r="BE1010" s="76"/>
      <c r="BF1010" s="76"/>
      <c r="BG1010" s="76"/>
      <c r="BH1010" s="76"/>
      <c r="BI1010" s="76"/>
      <c r="BJ1010" s="76"/>
      <c r="BK1010" s="76"/>
      <c r="BL1010" s="76"/>
      <c r="BM1010" s="76"/>
      <c r="BN1010" s="76"/>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c r="CT1010" s="76"/>
      <c r="CU1010" s="76"/>
      <c r="CV1010" s="76"/>
      <c r="CW1010" s="76"/>
      <c r="CX1010" s="76"/>
      <c r="CY1010" s="76"/>
      <c r="CZ1010" s="76"/>
      <c r="DA1010" s="76"/>
      <c r="DB1010" s="76"/>
      <c r="DC1010" s="76"/>
      <c r="DD1010" s="76"/>
      <c r="DE1010" s="76"/>
      <c r="DF1010" s="76"/>
      <c r="DG1010" s="76"/>
      <c r="DH1010" s="76"/>
      <c r="DI1010" s="76"/>
      <c r="DJ1010" s="76"/>
      <c r="DK1010" s="76"/>
      <c r="DL1010" s="76"/>
      <c r="DM1010" s="76"/>
      <c r="DN1010" s="76"/>
      <c r="DO1010" s="76"/>
      <c r="DP1010" s="76"/>
      <c r="DQ1010" s="76"/>
      <c r="DR1010" s="76"/>
      <c r="DS1010" s="76"/>
      <c r="DT1010" s="76"/>
      <c r="DU1010" s="76"/>
      <c r="DV1010" s="76"/>
      <c r="DW1010" s="76"/>
      <c r="DX1010" s="76"/>
      <c r="DY1010" s="76"/>
      <c r="DZ1010" s="76"/>
      <c r="EA1010" s="76"/>
      <c r="EB1010" s="76"/>
      <c r="EC1010" s="76"/>
      <c r="ED1010" s="76"/>
      <c r="EE1010" s="76"/>
      <c r="EF1010" s="76"/>
      <c r="EG1010" s="76"/>
      <c r="EH1010" s="76"/>
      <c r="EI1010" s="76"/>
      <c r="EJ1010" s="76"/>
      <c r="EK1010" s="76"/>
      <c r="EL1010" s="76"/>
      <c r="EM1010" s="76"/>
      <c r="EN1010" s="76"/>
      <c r="EO1010" s="76"/>
      <c r="EP1010" s="76"/>
      <c r="EQ1010" s="76"/>
      <c r="ER1010" s="76"/>
      <c r="ES1010" s="76"/>
      <c r="ET1010" s="76"/>
      <c r="EU1010" s="76"/>
      <c r="EV1010" s="76"/>
      <c r="EW1010" s="76"/>
      <c r="EX1010" s="76"/>
      <c r="EY1010" s="76"/>
      <c r="EZ1010" s="76"/>
      <c r="FA1010" s="76"/>
      <c r="FB1010" s="76"/>
      <c r="FC1010" s="76"/>
      <c r="FD1010" s="76"/>
      <c r="FE1010" s="76"/>
      <c r="FF1010" s="76"/>
      <c r="FG1010" s="76"/>
      <c r="FH1010" s="76"/>
      <c r="FI1010" s="76"/>
      <c r="FJ1010" s="76"/>
      <c r="FK1010" s="76"/>
      <c r="FL1010" s="76"/>
      <c r="FM1010" s="76"/>
      <c r="FN1010" s="76"/>
      <c r="FO1010" s="76"/>
      <c r="FP1010" s="76"/>
      <c r="FQ1010" s="76"/>
      <c r="FR1010" s="76"/>
      <c r="FS1010" s="76"/>
      <c r="FT1010" s="76"/>
      <c r="FU1010" s="76"/>
      <c r="FV1010" s="76"/>
      <c r="FW1010" s="76"/>
      <c r="FX1010" s="76"/>
      <c r="FY1010" s="76"/>
      <c r="FZ1010" s="76"/>
      <c r="GA1010" s="76"/>
      <c r="GB1010" s="76"/>
      <c r="GC1010" s="76"/>
      <c r="GD1010" s="76"/>
      <c r="GE1010" s="76"/>
      <c r="GF1010" s="76"/>
      <c r="GG1010" s="76"/>
      <c r="GH1010" s="76"/>
      <c r="GI1010" s="76"/>
      <c r="GJ1010" s="76"/>
      <c r="GK1010" s="76"/>
      <c r="GL1010" s="76"/>
      <c r="GM1010" s="76"/>
      <c r="GN1010" s="76"/>
      <c r="GO1010" s="76"/>
      <c r="GP1010" s="76"/>
      <c r="GQ1010" s="76"/>
      <c r="GR1010" s="76"/>
      <c r="GS1010" s="76"/>
      <c r="GT1010" s="76"/>
      <c r="GU1010" s="76"/>
      <c r="GV1010" s="76"/>
      <c r="GW1010" s="76"/>
      <c r="GX1010" s="76"/>
      <c r="GY1010" s="76"/>
      <c r="GZ1010" s="76"/>
      <c r="HA1010" s="76"/>
      <c r="HB1010" s="76"/>
      <c r="HC1010" s="76"/>
      <c r="HD1010" s="76"/>
      <c r="HE1010" s="76"/>
      <c r="HF1010" s="76"/>
      <c r="HG1010" s="76"/>
      <c r="HH1010" s="76"/>
      <c r="HI1010" s="76"/>
      <c r="HJ1010" s="76"/>
      <c r="HK1010" s="76"/>
      <c r="HL1010" s="76"/>
      <c r="HM1010" s="76"/>
      <c r="HN1010" s="76"/>
      <c r="HO1010" s="76"/>
      <c r="HP1010" s="76"/>
      <c r="HQ1010" s="76"/>
      <c r="HR1010" s="76"/>
      <c r="HS1010" s="76"/>
      <c r="HT1010" s="76"/>
      <c r="HU1010" s="76"/>
      <c r="HV1010" s="76"/>
      <c r="HW1010" s="76"/>
      <c r="HX1010" s="76"/>
      <c r="HY1010" s="76"/>
      <c r="HZ1010" s="76"/>
      <c r="IA1010" s="76"/>
      <c r="IB1010" s="76"/>
      <c r="IC1010" s="76"/>
      <c r="ID1010" s="76"/>
      <c r="IE1010" s="76"/>
      <c r="IF1010" s="76"/>
      <c r="IG1010" s="76"/>
      <c r="IH1010" s="76"/>
      <c r="II1010" s="76"/>
      <c r="IJ1010" s="76"/>
      <c r="IK1010" s="76"/>
      <c r="IL1010" s="76"/>
      <c r="IM1010" s="76"/>
      <c r="IN1010" s="76"/>
      <c r="IO1010" s="76"/>
      <c r="IP1010" s="76"/>
      <c r="IQ1010" s="76"/>
      <c r="IR1010" s="76"/>
      <c r="IS1010" s="76"/>
      <c r="IT1010" s="76"/>
      <c r="IU1010" s="76"/>
      <c r="IV1010" s="76"/>
    </row>
    <row r="1011" spans="1:256" hidden="1">
      <c r="A1011" s="859"/>
      <c r="B1011" s="76"/>
      <c r="C1011" s="76"/>
      <c r="D1011" s="76"/>
      <c r="E1011" s="76"/>
      <c r="F1011" s="76"/>
      <c r="G1011" s="76"/>
      <c r="H1011" s="76"/>
      <c r="I1011" s="76"/>
      <c r="J1011" s="76"/>
      <c r="K1011" s="76"/>
      <c r="L1011" s="76"/>
      <c r="M1011" s="76"/>
      <c r="N1011" s="76"/>
      <c r="O1011" s="76"/>
      <c r="P1011" s="76"/>
      <c r="Q1011" s="76"/>
      <c r="R1011" s="76"/>
      <c r="S1011" s="76"/>
      <c r="T1011" s="76"/>
      <c r="U1011" s="76"/>
      <c r="V1011" s="76"/>
      <c r="W1011" s="76"/>
      <c r="X1011" s="76"/>
      <c r="Y1011" s="76"/>
      <c r="Z1011" s="76"/>
      <c r="AA1011" s="76"/>
      <c r="AB1011" s="76"/>
      <c r="AC1011" s="76"/>
      <c r="AD1011" s="76"/>
      <c r="AE1011" s="76"/>
      <c r="AF1011" s="76"/>
      <c r="AG1011" s="76"/>
      <c r="AH1011" s="76"/>
      <c r="AI1011" s="76"/>
      <c r="AJ1011" s="76"/>
      <c r="AK1011" s="76"/>
      <c r="AL1011" s="76"/>
      <c r="AM1011" s="76"/>
      <c r="AN1011" s="76"/>
      <c r="AO1011" s="76"/>
      <c r="AP1011" s="76"/>
      <c r="AQ1011" s="76"/>
      <c r="AR1011" s="76"/>
      <c r="AS1011" s="76"/>
      <c r="AT1011" s="76"/>
      <c r="AU1011" s="76"/>
      <c r="AV1011" s="76"/>
      <c r="AW1011" s="76"/>
      <c r="AX1011" s="76"/>
      <c r="AY1011" s="76"/>
      <c r="AZ1011" s="76"/>
      <c r="BA1011" s="76"/>
      <c r="BB1011" s="76"/>
      <c r="BC1011" s="76"/>
      <c r="BD1011" s="76"/>
      <c r="BE1011" s="76"/>
      <c r="BF1011" s="76"/>
      <c r="BG1011" s="76"/>
      <c r="BH1011" s="76"/>
      <c r="BI1011" s="76"/>
      <c r="BJ1011" s="76"/>
      <c r="BK1011" s="76"/>
      <c r="BL1011" s="76"/>
      <c r="BM1011" s="76"/>
      <c r="BN1011" s="76"/>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c r="CT1011" s="76"/>
      <c r="CU1011" s="76"/>
      <c r="CV1011" s="76"/>
      <c r="CW1011" s="76"/>
      <c r="CX1011" s="76"/>
      <c r="CY1011" s="76"/>
      <c r="CZ1011" s="76"/>
      <c r="DA1011" s="76"/>
      <c r="DB1011" s="76"/>
      <c r="DC1011" s="76"/>
      <c r="DD1011" s="76"/>
      <c r="DE1011" s="76"/>
      <c r="DF1011" s="76"/>
      <c r="DG1011" s="76"/>
      <c r="DH1011" s="76"/>
      <c r="DI1011" s="76"/>
      <c r="DJ1011" s="76"/>
      <c r="DK1011" s="76"/>
      <c r="DL1011" s="76"/>
      <c r="DM1011" s="76"/>
      <c r="DN1011" s="76"/>
      <c r="DO1011" s="76"/>
      <c r="DP1011" s="76"/>
      <c r="DQ1011" s="76"/>
      <c r="DR1011" s="76"/>
      <c r="DS1011" s="76"/>
      <c r="DT1011" s="76"/>
      <c r="DU1011" s="76"/>
      <c r="DV1011" s="76"/>
      <c r="DW1011" s="76"/>
      <c r="DX1011" s="76"/>
      <c r="DY1011" s="76"/>
      <c r="DZ1011" s="76"/>
      <c r="EA1011" s="76"/>
      <c r="EB1011" s="76"/>
      <c r="EC1011" s="76"/>
      <c r="ED1011" s="76"/>
      <c r="EE1011" s="76"/>
      <c r="EF1011" s="76"/>
      <c r="EG1011" s="76"/>
      <c r="EH1011" s="76"/>
      <c r="EI1011" s="76"/>
      <c r="EJ1011" s="76"/>
      <c r="EK1011" s="76"/>
      <c r="EL1011" s="76"/>
      <c r="EM1011" s="76"/>
      <c r="EN1011" s="76"/>
      <c r="EO1011" s="76"/>
      <c r="EP1011" s="76"/>
      <c r="EQ1011" s="76"/>
      <c r="ER1011" s="76"/>
      <c r="ES1011" s="76"/>
      <c r="ET1011" s="76"/>
      <c r="EU1011" s="76"/>
      <c r="EV1011" s="76"/>
      <c r="EW1011" s="76"/>
      <c r="EX1011" s="76"/>
      <c r="EY1011" s="76"/>
      <c r="EZ1011" s="76"/>
      <c r="FA1011" s="76"/>
      <c r="FB1011" s="76"/>
      <c r="FC1011" s="76"/>
      <c r="FD1011" s="76"/>
      <c r="FE1011" s="76"/>
      <c r="FF1011" s="76"/>
      <c r="FG1011" s="76"/>
      <c r="FH1011" s="76"/>
      <c r="FI1011" s="76"/>
      <c r="FJ1011" s="76"/>
      <c r="FK1011" s="76"/>
      <c r="FL1011" s="76"/>
      <c r="FM1011" s="76"/>
      <c r="FN1011" s="76"/>
      <c r="FO1011" s="76"/>
      <c r="FP1011" s="76"/>
      <c r="FQ1011" s="76"/>
      <c r="FR1011" s="76"/>
      <c r="FS1011" s="76"/>
      <c r="FT1011" s="76"/>
      <c r="FU1011" s="76"/>
      <c r="FV1011" s="76"/>
      <c r="FW1011" s="76"/>
      <c r="FX1011" s="76"/>
      <c r="FY1011" s="76"/>
      <c r="FZ1011" s="76"/>
      <c r="GA1011" s="76"/>
      <c r="GB1011" s="76"/>
      <c r="GC1011" s="76"/>
      <c r="GD1011" s="76"/>
      <c r="GE1011" s="76"/>
      <c r="GF1011" s="76"/>
      <c r="GG1011" s="76"/>
      <c r="GH1011" s="76"/>
      <c r="GI1011" s="76"/>
      <c r="GJ1011" s="76"/>
      <c r="GK1011" s="76"/>
      <c r="GL1011" s="76"/>
      <c r="GM1011" s="76"/>
      <c r="GN1011" s="76"/>
      <c r="GO1011" s="76"/>
      <c r="GP1011" s="76"/>
      <c r="GQ1011" s="76"/>
      <c r="GR1011" s="76"/>
      <c r="GS1011" s="76"/>
      <c r="GT1011" s="76"/>
      <c r="GU1011" s="76"/>
      <c r="GV1011" s="76"/>
      <c r="GW1011" s="76"/>
      <c r="GX1011" s="76"/>
      <c r="GY1011" s="76"/>
      <c r="GZ1011" s="76"/>
      <c r="HA1011" s="76"/>
      <c r="HB1011" s="76"/>
      <c r="HC1011" s="76"/>
      <c r="HD1011" s="76"/>
      <c r="HE1011" s="76"/>
      <c r="HF1011" s="76"/>
      <c r="HG1011" s="76"/>
      <c r="HH1011" s="76"/>
      <c r="HI1011" s="76"/>
      <c r="HJ1011" s="76"/>
      <c r="HK1011" s="76"/>
      <c r="HL1011" s="76"/>
      <c r="HM1011" s="76"/>
      <c r="HN1011" s="76"/>
      <c r="HO1011" s="76"/>
      <c r="HP1011" s="76"/>
      <c r="HQ1011" s="76"/>
      <c r="HR1011" s="76"/>
      <c r="HS1011" s="76"/>
      <c r="HT1011" s="76"/>
      <c r="HU1011" s="76"/>
      <c r="HV1011" s="76"/>
      <c r="HW1011" s="76"/>
      <c r="HX1011" s="76"/>
      <c r="HY1011" s="76"/>
      <c r="HZ1011" s="76"/>
      <c r="IA1011" s="76"/>
      <c r="IB1011" s="76"/>
      <c r="IC1011" s="76"/>
      <c r="ID1011" s="76"/>
      <c r="IE1011" s="76"/>
      <c r="IF1011" s="76"/>
      <c r="IG1011" s="76"/>
      <c r="IH1011" s="76"/>
      <c r="II1011" s="76"/>
      <c r="IJ1011" s="76"/>
      <c r="IK1011" s="76"/>
      <c r="IL1011" s="76"/>
      <c r="IM1011" s="76"/>
      <c r="IN1011" s="76"/>
      <c r="IO1011" s="76"/>
      <c r="IP1011" s="76"/>
      <c r="IQ1011" s="76"/>
      <c r="IR1011" s="76"/>
      <c r="IS1011" s="76"/>
      <c r="IT1011" s="76"/>
      <c r="IU1011" s="76"/>
      <c r="IV1011" s="76"/>
    </row>
    <row r="1012" spans="1:256" hidden="1">
      <c r="A1012" s="859"/>
      <c r="B1012" s="76"/>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6"/>
      <c r="AC1012" s="76"/>
      <c r="AD1012" s="76"/>
      <c r="AE1012" s="76"/>
      <c r="AF1012" s="76"/>
      <c r="AG1012" s="76"/>
      <c r="AH1012" s="76"/>
      <c r="AI1012" s="76"/>
      <c r="AJ1012" s="76"/>
      <c r="AK1012" s="76"/>
      <c r="AL1012" s="76"/>
      <c r="AM1012" s="76"/>
      <c r="AN1012" s="76"/>
      <c r="AO1012" s="76"/>
      <c r="AP1012" s="76"/>
      <c r="AQ1012" s="76"/>
      <c r="AR1012" s="76"/>
      <c r="AS1012" s="76"/>
      <c r="AT1012" s="76"/>
      <c r="AU1012" s="76"/>
      <c r="AV1012" s="76"/>
      <c r="AW1012" s="76"/>
      <c r="AX1012" s="76"/>
      <c r="AY1012" s="76"/>
      <c r="AZ1012" s="76"/>
      <c r="BA1012" s="76"/>
      <c r="BB1012" s="76"/>
      <c r="BC1012" s="76"/>
      <c r="BD1012" s="76"/>
      <c r="BE1012" s="76"/>
      <c r="BF1012" s="76"/>
      <c r="BG1012" s="76"/>
      <c r="BH1012" s="76"/>
      <c r="BI1012" s="76"/>
      <c r="BJ1012" s="76"/>
      <c r="BK1012" s="76"/>
      <c r="BL1012" s="76"/>
      <c r="BM1012" s="76"/>
      <c r="BN1012" s="76"/>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c r="CT1012" s="76"/>
      <c r="CU1012" s="76"/>
      <c r="CV1012" s="76"/>
      <c r="CW1012" s="76"/>
      <c r="CX1012" s="76"/>
      <c r="CY1012" s="76"/>
      <c r="CZ1012" s="76"/>
      <c r="DA1012" s="76"/>
      <c r="DB1012" s="76"/>
      <c r="DC1012" s="76"/>
      <c r="DD1012" s="76"/>
      <c r="DE1012" s="76"/>
      <c r="DF1012" s="76"/>
      <c r="DG1012" s="76"/>
      <c r="DH1012" s="76"/>
      <c r="DI1012" s="76"/>
      <c r="DJ1012" s="76"/>
      <c r="DK1012" s="76"/>
      <c r="DL1012" s="76"/>
      <c r="DM1012" s="76"/>
      <c r="DN1012" s="76"/>
      <c r="DO1012" s="76"/>
      <c r="DP1012" s="76"/>
      <c r="DQ1012" s="76"/>
      <c r="DR1012" s="76"/>
      <c r="DS1012" s="76"/>
      <c r="DT1012" s="76"/>
      <c r="DU1012" s="76"/>
      <c r="DV1012" s="76"/>
      <c r="DW1012" s="76"/>
      <c r="DX1012" s="76"/>
      <c r="DY1012" s="76"/>
      <c r="DZ1012" s="76"/>
      <c r="EA1012" s="76"/>
      <c r="EB1012" s="76"/>
      <c r="EC1012" s="76"/>
      <c r="ED1012" s="76"/>
      <c r="EE1012" s="76"/>
      <c r="EF1012" s="76"/>
      <c r="EG1012" s="76"/>
      <c r="EH1012" s="76"/>
      <c r="EI1012" s="76"/>
      <c r="EJ1012" s="76"/>
      <c r="EK1012" s="76"/>
      <c r="EL1012" s="76"/>
      <c r="EM1012" s="76"/>
      <c r="EN1012" s="76"/>
      <c r="EO1012" s="76"/>
      <c r="EP1012" s="76"/>
      <c r="EQ1012" s="76"/>
      <c r="ER1012" s="76"/>
      <c r="ES1012" s="76"/>
      <c r="ET1012" s="76"/>
      <c r="EU1012" s="76"/>
      <c r="EV1012" s="76"/>
      <c r="EW1012" s="76"/>
      <c r="EX1012" s="76"/>
      <c r="EY1012" s="76"/>
      <c r="EZ1012" s="76"/>
      <c r="FA1012" s="76"/>
      <c r="FB1012" s="76"/>
      <c r="FC1012" s="76"/>
      <c r="FD1012" s="76"/>
      <c r="FE1012" s="76"/>
      <c r="FF1012" s="76"/>
      <c r="FG1012" s="76"/>
      <c r="FH1012" s="76"/>
      <c r="FI1012" s="76"/>
      <c r="FJ1012" s="76"/>
      <c r="FK1012" s="76"/>
      <c r="FL1012" s="76"/>
      <c r="FM1012" s="76"/>
      <c r="FN1012" s="76"/>
      <c r="FO1012" s="76"/>
      <c r="FP1012" s="76"/>
      <c r="FQ1012" s="76"/>
      <c r="FR1012" s="76"/>
      <c r="FS1012" s="76"/>
      <c r="FT1012" s="76"/>
      <c r="FU1012" s="76"/>
      <c r="FV1012" s="76"/>
      <c r="FW1012" s="76"/>
      <c r="FX1012" s="76"/>
      <c r="FY1012" s="76"/>
      <c r="FZ1012" s="76"/>
      <c r="GA1012" s="76"/>
      <c r="GB1012" s="76"/>
      <c r="GC1012" s="76"/>
      <c r="GD1012" s="76"/>
      <c r="GE1012" s="76"/>
      <c r="GF1012" s="76"/>
      <c r="GG1012" s="76"/>
      <c r="GH1012" s="76"/>
      <c r="GI1012" s="76"/>
      <c r="GJ1012" s="76"/>
      <c r="GK1012" s="76"/>
      <c r="GL1012" s="76"/>
      <c r="GM1012" s="76"/>
      <c r="GN1012" s="76"/>
      <c r="GO1012" s="76"/>
      <c r="GP1012" s="76"/>
      <c r="GQ1012" s="76"/>
      <c r="GR1012" s="76"/>
      <c r="GS1012" s="76"/>
      <c r="GT1012" s="76"/>
      <c r="GU1012" s="76"/>
      <c r="GV1012" s="76"/>
      <c r="GW1012" s="76"/>
      <c r="GX1012" s="76"/>
      <c r="GY1012" s="76"/>
      <c r="GZ1012" s="76"/>
      <c r="HA1012" s="76"/>
      <c r="HB1012" s="76"/>
      <c r="HC1012" s="76"/>
      <c r="HD1012" s="76"/>
      <c r="HE1012" s="76"/>
      <c r="HF1012" s="76"/>
      <c r="HG1012" s="76"/>
      <c r="HH1012" s="76"/>
      <c r="HI1012" s="76"/>
      <c r="HJ1012" s="76"/>
      <c r="HK1012" s="76"/>
      <c r="HL1012" s="76"/>
      <c r="HM1012" s="76"/>
      <c r="HN1012" s="76"/>
      <c r="HO1012" s="76"/>
      <c r="HP1012" s="76"/>
      <c r="HQ1012" s="76"/>
      <c r="HR1012" s="76"/>
      <c r="HS1012" s="76"/>
      <c r="HT1012" s="76"/>
      <c r="HU1012" s="76"/>
      <c r="HV1012" s="76"/>
      <c r="HW1012" s="76"/>
      <c r="HX1012" s="76"/>
      <c r="HY1012" s="76"/>
      <c r="HZ1012" s="76"/>
      <c r="IA1012" s="76"/>
      <c r="IB1012" s="76"/>
      <c r="IC1012" s="76"/>
      <c r="ID1012" s="76"/>
      <c r="IE1012" s="76"/>
      <c r="IF1012" s="76"/>
      <c r="IG1012" s="76"/>
      <c r="IH1012" s="76"/>
      <c r="II1012" s="76"/>
      <c r="IJ1012" s="76"/>
      <c r="IK1012" s="76"/>
      <c r="IL1012" s="76"/>
      <c r="IM1012" s="76"/>
      <c r="IN1012" s="76"/>
      <c r="IO1012" s="76"/>
      <c r="IP1012" s="76"/>
      <c r="IQ1012" s="76"/>
      <c r="IR1012" s="76"/>
      <c r="IS1012" s="76"/>
      <c r="IT1012" s="76"/>
      <c r="IU1012" s="76"/>
      <c r="IV1012" s="76"/>
    </row>
    <row r="1013" spans="1:256" hidden="1">
      <c r="A1013" s="859"/>
      <c r="B1013" s="76"/>
      <c r="C1013" s="76"/>
      <c r="D1013" s="76"/>
      <c r="E1013" s="76"/>
      <c r="F1013" s="76"/>
      <c r="G1013" s="76"/>
      <c r="H1013" s="76"/>
      <c r="I1013" s="76"/>
      <c r="J1013" s="76"/>
      <c r="K1013" s="76"/>
      <c r="L1013" s="76"/>
      <c r="M1013" s="76"/>
      <c r="N1013" s="76"/>
      <c r="O1013" s="76"/>
      <c r="P1013" s="76"/>
      <c r="Q1013" s="76"/>
      <c r="R1013" s="76"/>
      <c r="S1013" s="76"/>
      <c r="T1013" s="76"/>
      <c r="U1013" s="76"/>
      <c r="V1013" s="76"/>
      <c r="W1013" s="76"/>
      <c r="X1013" s="76"/>
      <c r="Y1013" s="76"/>
      <c r="Z1013" s="76"/>
      <c r="AA1013" s="76"/>
      <c r="AB1013" s="76"/>
      <c r="AC1013" s="76"/>
      <c r="AD1013" s="76"/>
      <c r="AE1013" s="76"/>
      <c r="AF1013" s="76"/>
      <c r="AG1013" s="76"/>
      <c r="AH1013" s="76"/>
      <c r="AI1013" s="76"/>
      <c r="AJ1013" s="76"/>
      <c r="AK1013" s="76"/>
      <c r="AL1013" s="76"/>
      <c r="AM1013" s="76"/>
      <c r="AN1013" s="76"/>
      <c r="AO1013" s="76"/>
      <c r="AP1013" s="76"/>
      <c r="AQ1013" s="76"/>
      <c r="AR1013" s="76"/>
      <c r="AS1013" s="76"/>
      <c r="AT1013" s="76"/>
      <c r="AU1013" s="76"/>
      <c r="AV1013" s="76"/>
      <c r="AW1013" s="76"/>
      <c r="AX1013" s="76"/>
      <c r="AY1013" s="76"/>
      <c r="AZ1013" s="76"/>
      <c r="BA1013" s="76"/>
      <c r="BB1013" s="76"/>
      <c r="BC1013" s="76"/>
      <c r="BD1013" s="76"/>
      <c r="BE1013" s="76"/>
      <c r="BF1013" s="76"/>
      <c r="BG1013" s="76"/>
      <c r="BH1013" s="76"/>
      <c r="BI1013" s="76"/>
      <c r="BJ1013" s="76"/>
      <c r="BK1013" s="76"/>
      <c r="BL1013" s="76"/>
      <c r="BM1013" s="76"/>
      <c r="BN1013" s="76"/>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c r="CT1013" s="76"/>
      <c r="CU1013" s="76"/>
      <c r="CV1013" s="76"/>
      <c r="CW1013" s="76"/>
      <c r="CX1013" s="76"/>
      <c r="CY1013" s="76"/>
      <c r="CZ1013" s="76"/>
      <c r="DA1013" s="76"/>
      <c r="DB1013" s="76"/>
      <c r="DC1013" s="76"/>
      <c r="DD1013" s="76"/>
      <c r="DE1013" s="76"/>
      <c r="DF1013" s="76"/>
      <c r="DG1013" s="76"/>
      <c r="DH1013" s="76"/>
      <c r="DI1013" s="76"/>
      <c r="DJ1013" s="76"/>
      <c r="DK1013" s="76"/>
      <c r="DL1013" s="76"/>
      <c r="DM1013" s="76"/>
      <c r="DN1013" s="76"/>
      <c r="DO1013" s="76"/>
      <c r="DP1013" s="76"/>
      <c r="DQ1013" s="76"/>
      <c r="DR1013" s="76"/>
      <c r="DS1013" s="76"/>
      <c r="DT1013" s="76"/>
      <c r="DU1013" s="76"/>
      <c r="DV1013" s="76"/>
      <c r="DW1013" s="76"/>
      <c r="DX1013" s="76"/>
      <c r="DY1013" s="76"/>
      <c r="DZ1013" s="76"/>
      <c r="EA1013" s="76"/>
      <c r="EB1013" s="76"/>
      <c r="EC1013" s="76"/>
      <c r="ED1013" s="76"/>
      <c r="EE1013" s="76"/>
      <c r="EF1013" s="76"/>
      <c r="EG1013" s="76"/>
      <c r="EH1013" s="76"/>
      <c r="EI1013" s="76"/>
      <c r="EJ1013" s="76"/>
      <c r="EK1013" s="76"/>
      <c r="EL1013" s="76"/>
      <c r="EM1013" s="76"/>
      <c r="EN1013" s="76"/>
      <c r="EO1013" s="76"/>
      <c r="EP1013" s="76"/>
      <c r="EQ1013" s="76"/>
      <c r="ER1013" s="76"/>
      <c r="ES1013" s="76"/>
      <c r="ET1013" s="76"/>
      <c r="EU1013" s="76"/>
      <c r="EV1013" s="76"/>
      <c r="EW1013" s="76"/>
      <c r="EX1013" s="76"/>
      <c r="EY1013" s="76"/>
      <c r="EZ1013" s="76"/>
      <c r="FA1013" s="76"/>
      <c r="FB1013" s="76"/>
      <c r="FC1013" s="76"/>
      <c r="FD1013" s="76"/>
      <c r="FE1013" s="76"/>
      <c r="FF1013" s="76"/>
      <c r="FG1013" s="76"/>
      <c r="FH1013" s="76"/>
      <c r="FI1013" s="76"/>
      <c r="FJ1013" s="76"/>
      <c r="FK1013" s="76"/>
      <c r="FL1013" s="76"/>
      <c r="FM1013" s="76"/>
      <c r="FN1013" s="76"/>
      <c r="FO1013" s="76"/>
      <c r="FP1013" s="76"/>
      <c r="FQ1013" s="76"/>
      <c r="FR1013" s="76"/>
      <c r="FS1013" s="76"/>
      <c r="FT1013" s="76"/>
      <c r="FU1013" s="76"/>
      <c r="FV1013" s="76"/>
      <c r="FW1013" s="76"/>
      <c r="FX1013" s="76"/>
      <c r="FY1013" s="76"/>
      <c r="FZ1013" s="76"/>
      <c r="GA1013" s="76"/>
      <c r="GB1013" s="76"/>
      <c r="GC1013" s="76"/>
      <c r="GD1013" s="76"/>
      <c r="GE1013" s="76"/>
      <c r="GF1013" s="76"/>
      <c r="GG1013" s="76"/>
      <c r="GH1013" s="76"/>
      <c r="GI1013" s="76"/>
      <c r="GJ1013" s="76"/>
      <c r="GK1013" s="76"/>
      <c r="GL1013" s="76"/>
      <c r="GM1013" s="76"/>
      <c r="GN1013" s="76"/>
      <c r="GO1013" s="76"/>
      <c r="GP1013" s="76"/>
      <c r="GQ1013" s="76"/>
      <c r="GR1013" s="76"/>
      <c r="GS1013" s="76"/>
      <c r="GT1013" s="76"/>
      <c r="GU1013" s="76"/>
      <c r="GV1013" s="76"/>
      <c r="GW1013" s="76"/>
      <c r="GX1013" s="76"/>
      <c r="GY1013" s="76"/>
      <c r="GZ1013" s="76"/>
      <c r="HA1013" s="76"/>
      <c r="HB1013" s="76"/>
      <c r="HC1013" s="76"/>
      <c r="HD1013" s="76"/>
      <c r="HE1013" s="76"/>
      <c r="HF1013" s="76"/>
      <c r="HG1013" s="76"/>
      <c r="HH1013" s="76"/>
      <c r="HI1013" s="76"/>
      <c r="HJ1013" s="76"/>
      <c r="HK1013" s="76"/>
      <c r="HL1013" s="76"/>
      <c r="HM1013" s="76"/>
      <c r="HN1013" s="76"/>
      <c r="HO1013" s="76"/>
      <c r="HP1013" s="76"/>
      <c r="HQ1013" s="76"/>
      <c r="HR1013" s="76"/>
      <c r="HS1013" s="76"/>
      <c r="HT1013" s="76"/>
      <c r="HU1013" s="76"/>
      <c r="HV1013" s="76"/>
      <c r="HW1013" s="76"/>
      <c r="HX1013" s="76"/>
      <c r="HY1013" s="76"/>
      <c r="HZ1013" s="76"/>
      <c r="IA1013" s="76"/>
      <c r="IB1013" s="76"/>
      <c r="IC1013" s="76"/>
      <c r="ID1013" s="76"/>
      <c r="IE1013" s="76"/>
      <c r="IF1013" s="76"/>
      <c r="IG1013" s="76"/>
      <c r="IH1013" s="76"/>
      <c r="II1013" s="76"/>
      <c r="IJ1013" s="76"/>
      <c r="IK1013" s="76"/>
      <c r="IL1013" s="76"/>
      <c r="IM1013" s="76"/>
      <c r="IN1013" s="76"/>
      <c r="IO1013" s="76"/>
      <c r="IP1013" s="76"/>
      <c r="IQ1013" s="76"/>
      <c r="IR1013" s="76"/>
      <c r="IS1013" s="76"/>
      <c r="IT1013" s="76"/>
      <c r="IU1013" s="76"/>
      <c r="IV1013" s="76"/>
    </row>
    <row r="1014" spans="1:256" hidden="1">
      <c r="A1014" s="859"/>
      <c r="B1014" s="76"/>
      <c r="C1014" s="76"/>
      <c r="D1014" s="76"/>
      <c r="E1014" s="76"/>
      <c r="F1014" s="76"/>
      <c r="G1014" s="76"/>
      <c r="H1014" s="76"/>
      <c r="I1014" s="76"/>
      <c r="J1014" s="76"/>
      <c r="K1014" s="76"/>
      <c r="L1014" s="76"/>
      <c r="M1014" s="76"/>
      <c r="N1014" s="76"/>
      <c r="O1014" s="76"/>
      <c r="P1014" s="76"/>
      <c r="Q1014" s="76"/>
      <c r="R1014" s="76"/>
      <c r="S1014" s="76"/>
      <c r="T1014" s="76"/>
      <c r="U1014" s="76"/>
      <c r="V1014" s="76"/>
      <c r="W1014" s="76"/>
      <c r="X1014" s="76"/>
      <c r="Y1014" s="76"/>
      <c r="Z1014" s="76"/>
      <c r="AA1014" s="76"/>
      <c r="AB1014" s="76"/>
      <c r="AC1014" s="76"/>
      <c r="AD1014" s="76"/>
      <c r="AE1014" s="76"/>
      <c r="AF1014" s="76"/>
      <c r="AG1014" s="76"/>
      <c r="AH1014" s="76"/>
      <c r="AI1014" s="76"/>
      <c r="AJ1014" s="76"/>
      <c r="AK1014" s="76"/>
      <c r="AL1014" s="76"/>
      <c r="AM1014" s="76"/>
      <c r="AN1014" s="76"/>
      <c r="AO1014" s="76"/>
      <c r="AP1014" s="76"/>
      <c r="AQ1014" s="76"/>
      <c r="AR1014" s="76"/>
      <c r="AS1014" s="76"/>
      <c r="AT1014" s="76"/>
      <c r="AU1014" s="76"/>
      <c r="AV1014" s="76"/>
      <c r="AW1014" s="76"/>
      <c r="AX1014" s="76"/>
      <c r="AY1014" s="76"/>
      <c r="AZ1014" s="76"/>
      <c r="BA1014" s="76"/>
      <c r="BB1014" s="76"/>
      <c r="BC1014" s="76"/>
      <c r="BD1014" s="76"/>
      <c r="BE1014" s="76"/>
      <c r="BF1014" s="76"/>
      <c r="BG1014" s="76"/>
      <c r="BH1014" s="76"/>
      <c r="BI1014" s="76"/>
      <c r="BJ1014" s="76"/>
      <c r="BK1014" s="76"/>
      <c r="BL1014" s="76"/>
      <c r="BM1014" s="76"/>
      <c r="BN1014" s="76"/>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c r="CT1014" s="76"/>
      <c r="CU1014" s="76"/>
      <c r="CV1014" s="76"/>
      <c r="CW1014" s="76"/>
      <c r="CX1014" s="76"/>
      <c r="CY1014" s="76"/>
      <c r="CZ1014" s="76"/>
      <c r="DA1014" s="76"/>
      <c r="DB1014" s="76"/>
      <c r="DC1014" s="76"/>
      <c r="DD1014" s="76"/>
      <c r="DE1014" s="76"/>
      <c r="DF1014" s="76"/>
      <c r="DG1014" s="76"/>
      <c r="DH1014" s="76"/>
      <c r="DI1014" s="76"/>
      <c r="DJ1014" s="76"/>
      <c r="DK1014" s="76"/>
      <c r="DL1014" s="76"/>
      <c r="DM1014" s="76"/>
      <c r="DN1014" s="76"/>
      <c r="DO1014" s="76"/>
      <c r="DP1014" s="76"/>
      <c r="DQ1014" s="76"/>
      <c r="DR1014" s="76"/>
      <c r="DS1014" s="76"/>
      <c r="DT1014" s="76"/>
      <c r="DU1014" s="76"/>
      <c r="DV1014" s="76"/>
      <c r="DW1014" s="76"/>
      <c r="DX1014" s="76"/>
      <c r="DY1014" s="76"/>
      <c r="DZ1014" s="76"/>
      <c r="EA1014" s="76"/>
      <c r="EB1014" s="76"/>
      <c r="EC1014" s="76"/>
      <c r="ED1014" s="76"/>
      <c r="EE1014" s="76"/>
      <c r="EF1014" s="76"/>
      <c r="EG1014" s="76"/>
      <c r="EH1014" s="76"/>
      <c r="EI1014" s="76"/>
      <c r="EJ1014" s="76"/>
      <c r="EK1014" s="76"/>
      <c r="EL1014" s="76"/>
      <c r="EM1014" s="76"/>
      <c r="EN1014" s="76"/>
      <c r="EO1014" s="76"/>
      <c r="EP1014" s="76"/>
      <c r="EQ1014" s="76"/>
      <c r="ER1014" s="76"/>
      <c r="ES1014" s="76"/>
      <c r="ET1014" s="76"/>
      <c r="EU1014" s="76"/>
      <c r="EV1014" s="76"/>
      <c r="EW1014" s="76"/>
      <c r="EX1014" s="76"/>
      <c r="EY1014" s="76"/>
      <c r="EZ1014" s="76"/>
      <c r="FA1014" s="76"/>
      <c r="FB1014" s="76"/>
      <c r="FC1014" s="76"/>
      <c r="FD1014" s="76"/>
      <c r="FE1014" s="76"/>
      <c r="FF1014" s="76"/>
      <c r="FG1014" s="76"/>
      <c r="FH1014" s="76"/>
      <c r="FI1014" s="76"/>
      <c r="FJ1014" s="76"/>
      <c r="FK1014" s="76"/>
      <c r="FL1014" s="76"/>
      <c r="FM1014" s="76"/>
      <c r="FN1014" s="76"/>
      <c r="FO1014" s="76"/>
      <c r="FP1014" s="76"/>
      <c r="FQ1014" s="76"/>
      <c r="FR1014" s="76"/>
      <c r="FS1014" s="76"/>
      <c r="FT1014" s="76"/>
      <c r="FU1014" s="76"/>
      <c r="FV1014" s="76"/>
      <c r="FW1014" s="76"/>
      <c r="FX1014" s="76"/>
      <c r="FY1014" s="76"/>
      <c r="FZ1014" s="76"/>
      <c r="GA1014" s="76"/>
      <c r="GB1014" s="76"/>
      <c r="GC1014" s="76"/>
      <c r="GD1014" s="76"/>
      <c r="GE1014" s="76"/>
      <c r="GF1014" s="76"/>
      <c r="GG1014" s="76"/>
      <c r="GH1014" s="76"/>
      <c r="GI1014" s="76"/>
      <c r="GJ1014" s="76"/>
      <c r="GK1014" s="76"/>
      <c r="GL1014" s="76"/>
      <c r="GM1014" s="76"/>
      <c r="GN1014" s="76"/>
      <c r="GO1014" s="76"/>
      <c r="GP1014" s="76"/>
      <c r="GQ1014" s="76"/>
      <c r="GR1014" s="76"/>
      <c r="GS1014" s="76"/>
      <c r="GT1014" s="76"/>
      <c r="GU1014" s="76"/>
      <c r="GV1014" s="76"/>
      <c r="GW1014" s="76"/>
      <c r="GX1014" s="76"/>
      <c r="GY1014" s="76"/>
      <c r="GZ1014" s="76"/>
      <c r="HA1014" s="76"/>
      <c r="HB1014" s="76"/>
      <c r="HC1014" s="76"/>
      <c r="HD1014" s="76"/>
      <c r="HE1014" s="76"/>
      <c r="HF1014" s="76"/>
      <c r="HG1014" s="76"/>
      <c r="HH1014" s="76"/>
      <c r="HI1014" s="76"/>
      <c r="HJ1014" s="76"/>
      <c r="HK1014" s="76"/>
      <c r="HL1014" s="76"/>
      <c r="HM1014" s="76"/>
      <c r="HN1014" s="76"/>
      <c r="HO1014" s="76"/>
      <c r="HP1014" s="76"/>
      <c r="HQ1014" s="76"/>
      <c r="HR1014" s="76"/>
      <c r="HS1014" s="76"/>
      <c r="HT1014" s="76"/>
      <c r="HU1014" s="76"/>
      <c r="HV1014" s="76"/>
      <c r="HW1014" s="76"/>
      <c r="HX1014" s="76"/>
      <c r="HY1014" s="76"/>
      <c r="HZ1014" s="76"/>
      <c r="IA1014" s="76"/>
      <c r="IB1014" s="76"/>
      <c r="IC1014" s="76"/>
      <c r="ID1014" s="76"/>
      <c r="IE1014" s="76"/>
      <c r="IF1014" s="76"/>
      <c r="IG1014" s="76"/>
      <c r="IH1014" s="76"/>
      <c r="II1014" s="76"/>
      <c r="IJ1014" s="76"/>
      <c r="IK1014" s="76"/>
      <c r="IL1014" s="76"/>
      <c r="IM1014" s="76"/>
      <c r="IN1014" s="76"/>
      <c r="IO1014" s="76"/>
      <c r="IP1014" s="76"/>
      <c r="IQ1014" s="76"/>
      <c r="IR1014" s="76"/>
      <c r="IS1014" s="76"/>
      <c r="IT1014" s="76"/>
      <c r="IU1014" s="76"/>
      <c r="IV1014" s="76"/>
    </row>
    <row r="1015" spans="1:256" hidden="1">
      <c r="A1015" s="859"/>
      <c r="B1015" s="76"/>
      <c r="C1015" s="76"/>
      <c r="D1015" s="76"/>
      <c r="E1015" s="76"/>
      <c r="F1015" s="76"/>
      <c r="G1015" s="76"/>
      <c r="H1015" s="76"/>
      <c r="I1015" s="76"/>
      <c r="J1015" s="76"/>
      <c r="K1015" s="76"/>
      <c r="L1015" s="76"/>
      <c r="M1015" s="76"/>
      <c r="N1015" s="76"/>
      <c r="O1015" s="76"/>
      <c r="P1015" s="76"/>
      <c r="Q1015" s="76"/>
      <c r="R1015" s="76"/>
      <c r="S1015" s="76"/>
      <c r="T1015" s="76"/>
      <c r="U1015" s="76"/>
      <c r="V1015" s="76"/>
      <c r="W1015" s="76"/>
      <c r="X1015" s="76"/>
      <c r="Y1015" s="76"/>
      <c r="Z1015" s="76"/>
      <c r="AA1015" s="76"/>
      <c r="AB1015" s="76"/>
      <c r="AC1015" s="76"/>
      <c r="AD1015" s="76"/>
      <c r="AE1015" s="76"/>
      <c r="AF1015" s="76"/>
      <c r="AG1015" s="76"/>
      <c r="AH1015" s="76"/>
      <c r="AI1015" s="76"/>
      <c r="AJ1015" s="76"/>
      <c r="AK1015" s="76"/>
      <c r="AL1015" s="76"/>
      <c r="AM1015" s="76"/>
      <c r="AN1015" s="76"/>
      <c r="AO1015" s="76"/>
      <c r="AP1015" s="76"/>
      <c r="AQ1015" s="76"/>
      <c r="AR1015" s="76"/>
      <c r="AS1015" s="76"/>
      <c r="AT1015" s="76"/>
      <c r="AU1015" s="76"/>
      <c r="AV1015" s="76"/>
      <c r="AW1015" s="76"/>
      <c r="AX1015" s="76"/>
      <c r="AY1015" s="76"/>
      <c r="AZ1015" s="76"/>
      <c r="BA1015" s="76"/>
      <c r="BB1015" s="76"/>
      <c r="BC1015" s="76"/>
      <c r="BD1015" s="76"/>
      <c r="BE1015" s="76"/>
      <c r="BF1015" s="76"/>
      <c r="BG1015" s="76"/>
      <c r="BH1015" s="76"/>
      <c r="BI1015" s="76"/>
      <c r="BJ1015" s="76"/>
      <c r="BK1015" s="76"/>
      <c r="BL1015" s="76"/>
      <c r="BM1015" s="76"/>
      <c r="BN1015" s="76"/>
      <c r="BO1015" s="76"/>
      <c r="BP1015" s="76"/>
      <c r="BQ1015" s="76"/>
      <c r="BR1015" s="76"/>
      <c r="BS1015" s="76"/>
      <c r="BT1015" s="76"/>
      <c r="BU1015" s="76"/>
      <c r="BV1015" s="76"/>
      <c r="BW1015" s="76"/>
      <c r="BX1015" s="76"/>
      <c r="BY1015" s="76"/>
      <c r="BZ1015" s="76"/>
      <c r="CA1015" s="76"/>
      <c r="CB1015" s="76"/>
      <c r="CC1015" s="76"/>
      <c r="CD1015" s="76"/>
      <c r="CE1015" s="76"/>
      <c r="CF1015" s="76"/>
      <c r="CG1015" s="76"/>
      <c r="CH1015" s="76"/>
      <c r="CI1015" s="76"/>
      <c r="CJ1015" s="76"/>
      <c r="CK1015" s="76"/>
      <c r="CL1015" s="76"/>
      <c r="CM1015" s="76"/>
      <c r="CN1015" s="76"/>
      <c r="CO1015" s="76"/>
      <c r="CP1015" s="76"/>
      <c r="CQ1015" s="76"/>
      <c r="CR1015" s="76"/>
      <c r="CS1015" s="76"/>
      <c r="CT1015" s="76"/>
      <c r="CU1015" s="76"/>
      <c r="CV1015" s="76"/>
      <c r="CW1015" s="76"/>
      <c r="CX1015" s="76"/>
      <c r="CY1015" s="76"/>
      <c r="CZ1015" s="76"/>
      <c r="DA1015" s="76"/>
      <c r="DB1015" s="76"/>
      <c r="DC1015" s="76"/>
      <c r="DD1015" s="76"/>
      <c r="DE1015" s="76"/>
      <c r="DF1015" s="76"/>
      <c r="DG1015" s="76"/>
      <c r="DH1015" s="76"/>
      <c r="DI1015" s="76"/>
      <c r="DJ1015" s="76"/>
      <c r="DK1015" s="76"/>
      <c r="DL1015" s="76"/>
      <c r="DM1015" s="76"/>
      <c r="DN1015" s="76"/>
      <c r="DO1015" s="76"/>
      <c r="DP1015" s="76"/>
      <c r="DQ1015" s="76"/>
      <c r="DR1015" s="76"/>
      <c r="DS1015" s="76"/>
      <c r="DT1015" s="76"/>
      <c r="DU1015" s="76"/>
      <c r="DV1015" s="76"/>
      <c r="DW1015" s="76"/>
      <c r="DX1015" s="76"/>
      <c r="DY1015" s="76"/>
      <c r="DZ1015" s="76"/>
      <c r="EA1015" s="76"/>
      <c r="EB1015" s="76"/>
      <c r="EC1015" s="76"/>
      <c r="ED1015" s="76"/>
      <c r="EE1015" s="76"/>
      <c r="EF1015" s="76"/>
      <c r="EG1015" s="76"/>
      <c r="EH1015" s="76"/>
      <c r="EI1015" s="76"/>
      <c r="EJ1015" s="76"/>
      <c r="EK1015" s="76"/>
      <c r="EL1015" s="76"/>
      <c r="EM1015" s="76"/>
      <c r="EN1015" s="76"/>
      <c r="EO1015" s="76"/>
      <c r="EP1015" s="76"/>
      <c r="EQ1015" s="76"/>
      <c r="ER1015" s="76"/>
      <c r="ES1015" s="76"/>
      <c r="ET1015" s="76"/>
      <c r="EU1015" s="76"/>
      <c r="EV1015" s="76"/>
      <c r="EW1015" s="76"/>
      <c r="EX1015" s="76"/>
      <c r="EY1015" s="76"/>
      <c r="EZ1015" s="76"/>
      <c r="FA1015" s="76"/>
      <c r="FB1015" s="76"/>
      <c r="FC1015" s="76"/>
      <c r="FD1015" s="76"/>
      <c r="FE1015" s="76"/>
      <c r="FF1015" s="76"/>
      <c r="FG1015" s="76"/>
      <c r="FH1015" s="76"/>
      <c r="FI1015" s="76"/>
      <c r="FJ1015" s="76"/>
      <c r="FK1015" s="76"/>
      <c r="FL1015" s="76"/>
      <c r="FM1015" s="76"/>
      <c r="FN1015" s="76"/>
      <c r="FO1015" s="76"/>
      <c r="FP1015" s="76"/>
      <c r="FQ1015" s="76"/>
      <c r="FR1015" s="76"/>
      <c r="FS1015" s="76"/>
      <c r="FT1015" s="76"/>
      <c r="FU1015" s="76"/>
      <c r="FV1015" s="76"/>
      <c r="FW1015" s="76"/>
      <c r="FX1015" s="76"/>
      <c r="FY1015" s="76"/>
      <c r="FZ1015" s="76"/>
      <c r="GA1015" s="76"/>
      <c r="GB1015" s="76"/>
      <c r="GC1015" s="76"/>
      <c r="GD1015" s="76"/>
      <c r="GE1015" s="76"/>
      <c r="GF1015" s="76"/>
      <c r="GG1015" s="76"/>
      <c r="GH1015" s="76"/>
      <c r="GI1015" s="76"/>
      <c r="GJ1015" s="76"/>
      <c r="GK1015" s="76"/>
      <c r="GL1015" s="76"/>
      <c r="GM1015" s="76"/>
      <c r="GN1015" s="76"/>
      <c r="GO1015" s="76"/>
      <c r="GP1015" s="76"/>
      <c r="GQ1015" s="76"/>
      <c r="GR1015" s="76"/>
      <c r="GS1015" s="76"/>
      <c r="GT1015" s="76"/>
      <c r="GU1015" s="76"/>
      <c r="GV1015" s="76"/>
      <c r="GW1015" s="76"/>
      <c r="GX1015" s="76"/>
      <c r="GY1015" s="76"/>
      <c r="GZ1015" s="76"/>
      <c r="HA1015" s="76"/>
      <c r="HB1015" s="76"/>
      <c r="HC1015" s="76"/>
      <c r="HD1015" s="76"/>
      <c r="HE1015" s="76"/>
      <c r="HF1015" s="76"/>
      <c r="HG1015" s="76"/>
      <c r="HH1015" s="76"/>
      <c r="HI1015" s="76"/>
      <c r="HJ1015" s="76"/>
      <c r="HK1015" s="76"/>
      <c r="HL1015" s="76"/>
      <c r="HM1015" s="76"/>
      <c r="HN1015" s="76"/>
      <c r="HO1015" s="76"/>
      <c r="HP1015" s="76"/>
      <c r="HQ1015" s="76"/>
      <c r="HR1015" s="76"/>
      <c r="HS1015" s="76"/>
      <c r="HT1015" s="76"/>
      <c r="HU1015" s="76"/>
      <c r="HV1015" s="76"/>
      <c r="HW1015" s="76"/>
      <c r="HX1015" s="76"/>
      <c r="HY1015" s="76"/>
      <c r="HZ1015" s="76"/>
      <c r="IA1015" s="76"/>
      <c r="IB1015" s="76"/>
      <c r="IC1015" s="76"/>
      <c r="ID1015" s="76"/>
      <c r="IE1015" s="76"/>
      <c r="IF1015" s="76"/>
      <c r="IG1015" s="76"/>
      <c r="IH1015" s="76"/>
      <c r="II1015" s="76"/>
      <c r="IJ1015" s="76"/>
      <c r="IK1015" s="76"/>
      <c r="IL1015" s="76"/>
      <c r="IM1015" s="76"/>
      <c r="IN1015" s="76"/>
      <c r="IO1015" s="76"/>
      <c r="IP1015" s="76"/>
      <c r="IQ1015" s="76"/>
      <c r="IR1015" s="76"/>
      <c r="IS1015" s="76"/>
      <c r="IT1015" s="76"/>
      <c r="IU1015" s="76"/>
      <c r="IV1015" s="76"/>
    </row>
    <row r="1016" spans="1:256" hidden="1">
      <c r="A1016" s="859"/>
      <c r="B1016" s="76"/>
      <c r="C1016" s="76"/>
      <c r="D1016" s="76"/>
      <c r="E1016" s="76"/>
      <c r="F1016" s="76"/>
      <c r="G1016" s="76"/>
      <c r="H1016" s="76"/>
      <c r="I1016" s="76"/>
      <c r="J1016" s="76"/>
      <c r="K1016" s="76"/>
      <c r="L1016" s="76"/>
      <c r="M1016" s="76"/>
      <c r="N1016" s="76"/>
      <c r="O1016" s="76"/>
      <c r="P1016" s="76"/>
      <c r="Q1016" s="76"/>
      <c r="R1016" s="76"/>
      <c r="S1016" s="76"/>
      <c r="T1016" s="76"/>
      <c r="U1016" s="76"/>
      <c r="V1016" s="76"/>
      <c r="W1016" s="76"/>
      <c r="X1016" s="76"/>
      <c r="Y1016" s="76"/>
      <c r="Z1016" s="76"/>
      <c r="AA1016" s="76"/>
      <c r="AB1016" s="76"/>
      <c r="AC1016" s="76"/>
      <c r="AD1016" s="76"/>
      <c r="AE1016" s="76"/>
      <c r="AF1016" s="76"/>
      <c r="AG1016" s="76"/>
      <c r="AH1016" s="76"/>
      <c r="AI1016" s="76"/>
      <c r="AJ1016" s="76"/>
      <c r="AK1016" s="76"/>
      <c r="AL1016" s="76"/>
      <c r="AM1016" s="76"/>
      <c r="AN1016" s="76"/>
      <c r="AO1016" s="76"/>
      <c r="AP1016" s="76"/>
      <c r="AQ1016" s="76"/>
      <c r="AR1016" s="76"/>
      <c r="AS1016" s="76"/>
      <c r="AT1016" s="76"/>
      <c r="AU1016" s="76"/>
      <c r="AV1016" s="76"/>
      <c r="AW1016" s="76"/>
      <c r="AX1016" s="76"/>
      <c r="AY1016" s="76"/>
      <c r="AZ1016" s="76"/>
      <c r="BA1016" s="76"/>
      <c r="BB1016" s="76"/>
      <c r="BC1016" s="76"/>
      <c r="BD1016" s="76"/>
      <c r="BE1016" s="76"/>
      <c r="BF1016" s="76"/>
      <c r="BG1016" s="76"/>
      <c r="BH1016" s="76"/>
      <c r="BI1016" s="76"/>
      <c r="BJ1016" s="76"/>
      <c r="BK1016" s="76"/>
      <c r="BL1016" s="76"/>
      <c r="BM1016" s="76"/>
      <c r="BN1016" s="76"/>
      <c r="BO1016" s="76"/>
      <c r="BP1016" s="76"/>
      <c r="BQ1016" s="76"/>
      <c r="BR1016" s="76"/>
      <c r="BS1016" s="76"/>
      <c r="BT1016" s="76"/>
      <c r="BU1016" s="76"/>
      <c r="BV1016" s="76"/>
      <c r="BW1016" s="76"/>
      <c r="BX1016" s="76"/>
      <c r="BY1016" s="76"/>
      <c r="BZ1016" s="76"/>
      <c r="CA1016" s="76"/>
      <c r="CB1016" s="76"/>
      <c r="CC1016" s="76"/>
      <c r="CD1016" s="76"/>
      <c r="CE1016" s="76"/>
      <c r="CF1016" s="76"/>
      <c r="CG1016" s="76"/>
      <c r="CH1016" s="76"/>
      <c r="CI1016" s="76"/>
      <c r="CJ1016" s="76"/>
      <c r="CK1016" s="76"/>
      <c r="CL1016" s="76"/>
      <c r="CM1016" s="76"/>
      <c r="CN1016" s="76"/>
      <c r="CO1016" s="76"/>
      <c r="CP1016" s="76"/>
      <c r="CQ1016" s="76"/>
      <c r="CR1016" s="76"/>
      <c r="CS1016" s="76"/>
      <c r="CT1016" s="76"/>
      <c r="CU1016" s="76"/>
      <c r="CV1016" s="76"/>
      <c r="CW1016" s="76"/>
      <c r="CX1016" s="76"/>
      <c r="CY1016" s="76"/>
      <c r="CZ1016" s="76"/>
      <c r="DA1016" s="76"/>
      <c r="DB1016" s="76"/>
      <c r="DC1016" s="76"/>
      <c r="DD1016" s="76"/>
      <c r="DE1016" s="76"/>
      <c r="DF1016" s="76"/>
      <c r="DG1016" s="76"/>
      <c r="DH1016" s="76"/>
      <c r="DI1016" s="76"/>
      <c r="DJ1016" s="76"/>
      <c r="DK1016" s="76"/>
      <c r="DL1016" s="76"/>
      <c r="DM1016" s="76"/>
      <c r="DN1016" s="76"/>
      <c r="DO1016" s="76"/>
      <c r="DP1016" s="76"/>
      <c r="DQ1016" s="76"/>
      <c r="DR1016" s="76"/>
      <c r="DS1016" s="76"/>
      <c r="DT1016" s="76"/>
      <c r="DU1016" s="76"/>
      <c r="DV1016" s="76"/>
      <c r="DW1016" s="76"/>
      <c r="DX1016" s="76"/>
      <c r="DY1016" s="76"/>
      <c r="DZ1016" s="76"/>
      <c r="EA1016" s="76"/>
      <c r="EB1016" s="76"/>
      <c r="EC1016" s="76"/>
      <c r="ED1016" s="76"/>
      <c r="EE1016" s="76"/>
      <c r="EF1016" s="76"/>
      <c r="EG1016" s="76"/>
      <c r="EH1016" s="76"/>
      <c r="EI1016" s="76"/>
      <c r="EJ1016" s="76"/>
      <c r="EK1016" s="76"/>
      <c r="EL1016" s="76"/>
      <c r="EM1016" s="76"/>
      <c r="EN1016" s="76"/>
      <c r="EO1016" s="76"/>
      <c r="EP1016" s="76"/>
      <c r="EQ1016" s="76"/>
      <c r="ER1016" s="76"/>
      <c r="ES1016" s="76"/>
      <c r="ET1016" s="76"/>
      <c r="EU1016" s="76"/>
      <c r="EV1016" s="76"/>
      <c r="EW1016" s="76"/>
      <c r="EX1016" s="76"/>
      <c r="EY1016" s="76"/>
      <c r="EZ1016" s="76"/>
      <c r="FA1016" s="76"/>
      <c r="FB1016" s="76"/>
      <c r="FC1016" s="76"/>
      <c r="FD1016" s="76"/>
      <c r="FE1016" s="76"/>
      <c r="FF1016" s="76"/>
      <c r="FG1016" s="76"/>
      <c r="FH1016" s="76"/>
      <c r="FI1016" s="76"/>
      <c r="FJ1016" s="76"/>
      <c r="FK1016" s="76"/>
      <c r="FL1016" s="76"/>
      <c r="FM1016" s="76"/>
      <c r="FN1016" s="76"/>
      <c r="FO1016" s="76"/>
      <c r="FP1016" s="76"/>
      <c r="FQ1016" s="76"/>
      <c r="FR1016" s="76"/>
      <c r="FS1016" s="76"/>
      <c r="FT1016" s="76"/>
      <c r="FU1016" s="76"/>
      <c r="FV1016" s="76"/>
      <c r="FW1016" s="76"/>
      <c r="FX1016" s="76"/>
      <c r="FY1016" s="76"/>
      <c r="FZ1016" s="76"/>
      <c r="GA1016" s="76"/>
      <c r="GB1016" s="76"/>
      <c r="GC1016" s="76"/>
      <c r="GD1016" s="76"/>
      <c r="GE1016" s="76"/>
      <c r="GF1016" s="76"/>
      <c r="GG1016" s="76"/>
      <c r="GH1016" s="76"/>
      <c r="GI1016" s="76"/>
      <c r="GJ1016" s="76"/>
      <c r="GK1016" s="76"/>
      <c r="GL1016" s="76"/>
      <c r="GM1016" s="76"/>
      <c r="GN1016" s="76"/>
      <c r="GO1016" s="76"/>
      <c r="GP1016" s="76"/>
      <c r="GQ1016" s="76"/>
      <c r="GR1016" s="76"/>
      <c r="GS1016" s="76"/>
      <c r="GT1016" s="76"/>
      <c r="GU1016" s="76"/>
      <c r="GV1016" s="76"/>
      <c r="GW1016" s="76"/>
      <c r="GX1016" s="76"/>
      <c r="GY1016" s="76"/>
      <c r="GZ1016" s="76"/>
      <c r="HA1016" s="76"/>
      <c r="HB1016" s="76"/>
      <c r="HC1016" s="76"/>
      <c r="HD1016" s="76"/>
      <c r="HE1016" s="76"/>
      <c r="HF1016" s="76"/>
      <c r="HG1016" s="76"/>
      <c r="HH1016" s="76"/>
      <c r="HI1016" s="76"/>
      <c r="HJ1016" s="76"/>
      <c r="HK1016" s="76"/>
      <c r="HL1016" s="76"/>
      <c r="HM1016" s="76"/>
      <c r="HN1016" s="76"/>
      <c r="HO1016" s="76"/>
      <c r="HP1016" s="76"/>
      <c r="HQ1016" s="76"/>
      <c r="HR1016" s="76"/>
      <c r="HS1016" s="76"/>
      <c r="HT1016" s="76"/>
      <c r="HU1016" s="76"/>
      <c r="HV1016" s="76"/>
      <c r="HW1016" s="76"/>
      <c r="HX1016" s="76"/>
      <c r="HY1016" s="76"/>
      <c r="HZ1016" s="76"/>
      <c r="IA1016" s="76"/>
      <c r="IB1016" s="76"/>
      <c r="IC1016" s="76"/>
      <c r="ID1016" s="76"/>
      <c r="IE1016" s="76"/>
      <c r="IF1016" s="76"/>
      <c r="IG1016" s="76"/>
      <c r="IH1016" s="76"/>
      <c r="II1016" s="76"/>
      <c r="IJ1016" s="76"/>
      <c r="IK1016" s="76"/>
      <c r="IL1016" s="76"/>
      <c r="IM1016" s="76"/>
      <c r="IN1016" s="76"/>
      <c r="IO1016" s="76"/>
      <c r="IP1016" s="76"/>
      <c r="IQ1016" s="76"/>
      <c r="IR1016" s="76"/>
      <c r="IS1016" s="76"/>
      <c r="IT1016" s="76"/>
      <c r="IU1016" s="76"/>
      <c r="IV1016" s="76"/>
    </row>
    <row r="1017" spans="1:256" hidden="1">
      <c r="A1017" s="859"/>
      <c r="B1017" s="76"/>
      <c r="C1017" s="76"/>
      <c r="D1017" s="76"/>
      <c r="E1017" s="76"/>
      <c r="F1017" s="76"/>
      <c r="G1017" s="76"/>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76"/>
      <c r="AV1017" s="76"/>
      <c r="AW1017" s="76"/>
      <c r="AX1017" s="76"/>
      <c r="AY1017" s="76"/>
      <c r="AZ1017" s="76"/>
      <c r="BA1017" s="76"/>
      <c r="BB1017" s="76"/>
      <c r="BC1017" s="76"/>
      <c r="BD1017" s="76"/>
      <c r="BE1017" s="76"/>
      <c r="BF1017" s="76"/>
      <c r="BG1017" s="76"/>
      <c r="BH1017" s="76"/>
      <c r="BI1017" s="76"/>
      <c r="BJ1017" s="76"/>
      <c r="BK1017" s="76"/>
      <c r="BL1017" s="76"/>
      <c r="BM1017" s="76"/>
      <c r="BN1017" s="76"/>
      <c r="BO1017" s="76"/>
      <c r="BP1017" s="76"/>
      <c r="BQ1017" s="76"/>
      <c r="BR1017" s="76"/>
      <c r="BS1017" s="76"/>
      <c r="BT1017" s="76"/>
      <c r="BU1017" s="76"/>
      <c r="BV1017" s="76"/>
      <c r="BW1017" s="76"/>
      <c r="BX1017" s="76"/>
      <c r="BY1017" s="76"/>
      <c r="BZ1017" s="76"/>
      <c r="CA1017" s="76"/>
      <c r="CB1017" s="76"/>
      <c r="CC1017" s="76"/>
      <c r="CD1017" s="76"/>
      <c r="CE1017" s="76"/>
      <c r="CF1017" s="76"/>
      <c r="CG1017" s="76"/>
      <c r="CH1017" s="76"/>
      <c r="CI1017" s="76"/>
      <c r="CJ1017" s="76"/>
      <c r="CK1017" s="76"/>
      <c r="CL1017" s="76"/>
      <c r="CM1017" s="76"/>
      <c r="CN1017" s="76"/>
      <c r="CO1017" s="76"/>
      <c r="CP1017" s="76"/>
      <c r="CQ1017" s="76"/>
      <c r="CR1017" s="76"/>
      <c r="CS1017" s="76"/>
      <c r="CT1017" s="76"/>
      <c r="CU1017" s="76"/>
      <c r="CV1017" s="76"/>
      <c r="CW1017" s="76"/>
      <c r="CX1017" s="76"/>
      <c r="CY1017" s="76"/>
      <c r="CZ1017" s="76"/>
      <c r="DA1017" s="76"/>
      <c r="DB1017" s="76"/>
      <c r="DC1017" s="76"/>
      <c r="DD1017" s="76"/>
      <c r="DE1017" s="76"/>
      <c r="DF1017" s="76"/>
      <c r="DG1017" s="76"/>
      <c r="DH1017" s="76"/>
      <c r="DI1017" s="76"/>
      <c r="DJ1017" s="76"/>
      <c r="DK1017" s="76"/>
      <c r="DL1017" s="76"/>
      <c r="DM1017" s="76"/>
      <c r="DN1017" s="76"/>
      <c r="DO1017" s="76"/>
      <c r="DP1017" s="76"/>
      <c r="DQ1017" s="76"/>
      <c r="DR1017" s="76"/>
      <c r="DS1017" s="76"/>
      <c r="DT1017" s="76"/>
      <c r="DU1017" s="76"/>
      <c r="DV1017" s="76"/>
      <c r="DW1017" s="76"/>
      <c r="DX1017" s="76"/>
      <c r="DY1017" s="76"/>
      <c r="DZ1017" s="76"/>
      <c r="EA1017" s="76"/>
      <c r="EB1017" s="76"/>
      <c r="EC1017" s="76"/>
      <c r="ED1017" s="76"/>
      <c r="EE1017" s="76"/>
      <c r="EF1017" s="76"/>
      <c r="EG1017" s="76"/>
      <c r="EH1017" s="76"/>
      <c r="EI1017" s="76"/>
      <c r="EJ1017" s="76"/>
      <c r="EK1017" s="76"/>
      <c r="EL1017" s="76"/>
      <c r="EM1017" s="76"/>
      <c r="EN1017" s="76"/>
      <c r="EO1017" s="76"/>
      <c r="EP1017" s="76"/>
      <c r="EQ1017" s="76"/>
      <c r="ER1017" s="76"/>
      <c r="ES1017" s="76"/>
      <c r="ET1017" s="76"/>
      <c r="EU1017" s="76"/>
      <c r="EV1017" s="76"/>
      <c r="EW1017" s="76"/>
      <c r="EX1017" s="76"/>
      <c r="EY1017" s="76"/>
      <c r="EZ1017" s="76"/>
      <c r="FA1017" s="76"/>
      <c r="FB1017" s="76"/>
      <c r="FC1017" s="76"/>
      <c r="FD1017" s="76"/>
      <c r="FE1017" s="76"/>
      <c r="FF1017" s="76"/>
      <c r="FG1017" s="76"/>
      <c r="FH1017" s="76"/>
      <c r="FI1017" s="76"/>
      <c r="FJ1017" s="76"/>
      <c r="FK1017" s="76"/>
      <c r="FL1017" s="76"/>
      <c r="FM1017" s="76"/>
      <c r="FN1017" s="76"/>
      <c r="FO1017" s="76"/>
      <c r="FP1017" s="76"/>
      <c r="FQ1017" s="76"/>
      <c r="FR1017" s="76"/>
      <c r="FS1017" s="76"/>
      <c r="FT1017" s="76"/>
      <c r="FU1017" s="76"/>
      <c r="FV1017" s="76"/>
      <c r="FW1017" s="76"/>
      <c r="FX1017" s="76"/>
      <c r="FY1017" s="76"/>
      <c r="FZ1017" s="76"/>
      <c r="GA1017" s="76"/>
      <c r="GB1017" s="76"/>
      <c r="GC1017" s="76"/>
      <c r="GD1017" s="76"/>
      <c r="GE1017" s="76"/>
      <c r="GF1017" s="76"/>
      <c r="GG1017" s="76"/>
      <c r="GH1017" s="76"/>
      <c r="GI1017" s="76"/>
      <c r="GJ1017" s="76"/>
      <c r="GK1017" s="76"/>
      <c r="GL1017" s="76"/>
      <c r="GM1017" s="76"/>
      <c r="GN1017" s="76"/>
      <c r="GO1017" s="76"/>
      <c r="GP1017" s="76"/>
      <c r="GQ1017" s="76"/>
      <c r="GR1017" s="76"/>
      <c r="GS1017" s="76"/>
      <c r="GT1017" s="76"/>
      <c r="GU1017" s="76"/>
      <c r="GV1017" s="76"/>
      <c r="GW1017" s="76"/>
      <c r="GX1017" s="76"/>
      <c r="GY1017" s="76"/>
      <c r="GZ1017" s="76"/>
      <c r="HA1017" s="76"/>
      <c r="HB1017" s="76"/>
      <c r="HC1017" s="76"/>
      <c r="HD1017" s="76"/>
      <c r="HE1017" s="76"/>
      <c r="HF1017" s="76"/>
      <c r="HG1017" s="76"/>
      <c r="HH1017" s="76"/>
      <c r="HI1017" s="76"/>
      <c r="HJ1017" s="76"/>
      <c r="HK1017" s="76"/>
      <c r="HL1017" s="76"/>
      <c r="HM1017" s="76"/>
      <c r="HN1017" s="76"/>
      <c r="HO1017" s="76"/>
      <c r="HP1017" s="76"/>
      <c r="HQ1017" s="76"/>
      <c r="HR1017" s="76"/>
      <c r="HS1017" s="76"/>
      <c r="HT1017" s="76"/>
      <c r="HU1017" s="76"/>
      <c r="HV1017" s="76"/>
      <c r="HW1017" s="76"/>
      <c r="HX1017" s="76"/>
      <c r="HY1017" s="76"/>
      <c r="HZ1017" s="76"/>
      <c r="IA1017" s="76"/>
      <c r="IB1017" s="76"/>
      <c r="IC1017" s="76"/>
      <c r="ID1017" s="76"/>
      <c r="IE1017" s="76"/>
      <c r="IF1017" s="76"/>
      <c r="IG1017" s="76"/>
      <c r="IH1017" s="76"/>
      <c r="II1017" s="76"/>
      <c r="IJ1017" s="76"/>
      <c r="IK1017" s="76"/>
      <c r="IL1017" s="76"/>
      <c r="IM1017" s="76"/>
      <c r="IN1017" s="76"/>
      <c r="IO1017" s="76"/>
      <c r="IP1017" s="76"/>
      <c r="IQ1017" s="76"/>
      <c r="IR1017" s="76"/>
      <c r="IS1017" s="76"/>
      <c r="IT1017" s="76"/>
      <c r="IU1017" s="76"/>
      <c r="IV1017" s="76"/>
    </row>
    <row r="1018" spans="1:256" hidden="1">
      <c r="A1018" s="859"/>
      <c r="B1018" s="76"/>
      <c r="C1018" s="76"/>
      <c r="D1018" s="76"/>
      <c r="E1018" s="76"/>
      <c r="F1018" s="76"/>
      <c r="G1018" s="76"/>
      <c r="H1018" s="76"/>
      <c r="I1018" s="76"/>
      <c r="J1018" s="76"/>
      <c r="K1018" s="76"/>
      <c r="L1018" s="76"/>
      <c r="M1018" s="76"/>
      <c r="N1018" s="76"/>
      <c r="O1018" s="76"/>
      <c r="P1018" s="76"/>
      <c r="Q1018" s="76"/>
      <c r="R1018" s="76"/>
      <c r="S1018" s="76"/>
      <c r="T1018" s="76"/>
      <c r="U1018" s="76"/>
      <c r="V1018" s="76"/>
      <c r="W1018" s="76"/>
      <c r="X1018" s="76"/>
      <c r="Y1018" s="76"/>
      <c r="Z1018" s="76"/>
      <c r="AA1018" s="76"/>
      <c r="AB1018" s="76"/>
      <c r="AC1018" s="76"/>
      <c r="AD1018" s="76"/>
      <c r="AE1018" s="76"/>
      <c r="AF1018" s="76"/>
      <c r="AG1018" s="76"/>
      <c r="AH1018" s="76"/>
      <c r="AI1018" s="76"/>
      <c r="AJ1018" s="76"/>
      <c r="AK1018" s="76"/>
      <c r="AL1018" s="76"/>
      <c r="AM1018" s="76"/>
      <c r="AN1018" s="76"/>
      <c r="AO1018" s="76"/>
      <c r="AP1018" s="76"/>
      <c r="AQ1018" s="76"/>
      <c r="AR1018" s="76"/>
      <c r="AS1018" s="76"/>
      <c r="AT1018" s="76"/>
      <c r="AU1018" s="76"/>
      <c r="AV1018" s="76"/>
      <c r="AW1018" s="76"/>
      <c r="AX1018" s="76"/>
      <c r="AY1018" s="76"/>
      <c r="AZ1018" s="76"/>
      <c r="BA1018" s="76"/>
      <c r="BB1018" s="76"/>
      <c r="BC1018" s="76"/>
      <c r="BD1018" s="76"/>
      <c r="BE1018" s="76"/>
      <c r="BF1018" s="76"/>
      <c r="BG1018" s="76"/>
      <c r="BH1018" s="76"/>
      <c r="BI1018" s="76"/>
      <c r="BJ1018" s="76"/>
      <c r="BK1018" s="76"/>
      <c r="BL1018" s="76"/>
      <c r="BM1018" s="76"/>
      <c r="BN1018" s="76"/>
      <c r="BO1018" s="76"/>
      <c r="BP1018" s="76"/>
      <c r="BQ1018" s="76"/>
      <c r="BR1018" s="76"/>
      <c r="BS1018" s="76"/>
      <c r="BT1018" s="76"/>
      <c r="BU1018" s="76"/>
      <c r="BV1018" s="76"/>
      <c r="BW1018" s="76"/>
      <c r="BX1018" s="76"/>
      <c r="BY1018" s="76"/>
      <c r="BZ1018" s="76"/>
      <c r="CA1018" s="76"/>
      <c r="CB1018" s="76"/>
      <c r="CC1018" s="76"/>
      <c r="CD1018" s="76"/>
      <c r="CE1018" s="76"/>
      <c r="CF1018" s="76"/>
      <c r="CG1018" s="76"/>
      <c r="CH1018" s="76"/>
      <c r="CI1018" s="76"/>
      <c r="CJ1018" s="76"/>
      <c r="CK1018" s="76"/>
      <c r="CL1018" s="76"/>
      <c r="CM1018" s="76"/>
      <c r="CN1018" s="76"/>
      <c r="CO1018" s="76"/>
      <c r="CP1018" s="76"/>
      <c r="CQ1018" s="76"/>
      <c r="CR1018" s="76"/>
      <c r="CS1018" s="76"/>
      <c r="CT1018" s="76"/>
      <c r="CU1018" s="76"/>
      <c r="CV1018" s="76"/>
      <c r="CW1018" s="76"/>
      <c r="CX1018" s="76"/>
      <c r="CY1018" s="76"/>
      <c r="CZ1018" s="76"/>
      <c r="DA1018" s="76"/>
      <c r="DB1018" s="76"/>
      <c r="DC1018" s="76"/>
      <c r="DD1018" s="76"/>
      <c r="DE1018" s="76"/>
      <c r="DF1018" s="76"/>
      <c r="DG1018" s="76"/>
      <c r="DH1018" s="76"/>
      <c r="DI1018" s="76"/>
      <c r="DJ1018" s="76"/>
      <c r="DK1018" s="76"/>
      <c r="DL1018" s="76"/>
      <c r="DM1018" s="76"/>
      <c r="DN1018" s="76"/>
      <c r="DO1018" s="76"/>
      <c r="DP1018" s="76"/>
      <c r="DQ1018" s="76"/>
      <c r="DR1018" s="76"/>
      <c r="DS1018" s="76"/>
      <c r="DT1018" s="76"/>
      <c r="DU1018" s="76"/>
      <c r="DV1018" s="76"/>
      <c r="DW1018" s="76"/>
      <c r="DX1018" s="76"/>
      <c r="DY1018" s="76"/>
      <c r="DZ1018" s="76"/>
      <c r="EA1018" s="76"/>
      <c r="EB1018" s="76"/>
      <c r="EC1018" s="76"/>
      <c r="ED1018" s="76"/>
      <c r="EE1018" s="76"/>
      <c r="EF1018" s="76"/>
      <c r="EG1018" s="76"/>
      <c r="EH1018" s="76"/>
      <c r="EI1018" s="76"/>
      <c r="EJ1018" s="76"/>
      <c r="EK1018" s="76"/>
      <c r="EL1018" s="76"/>
      <c r="EM1018" s="76"/>
      <c r="EN1018" s="76"/>
      <c r="EO1018" s="76"/>
      <c r="EP1018" s="76"/>
      <c r="EQ1018" s="76"/>
      <c r="ER1018" s="76"/>
      <c r="ES1018" s="76"/>
      <c r="ET1018" s="76"/>
      <c r="EU1018" s="76"/>
      <c r="EV1018" s="76"/>
      <c r="EW1018" s="76"/>
      <c r="EX1018" s="76"/>
      <c r="EY1018" s="76"/>
      <c r="EZ1018" s="76"/>
      <c r="FA1018" s="76"/>
      <c r="FB1018" s="76"/>
      <c r="FC1018" s="76"/>
      <c r="FD1018" s="76"/>
      <c r="FE1018" s="76"/>
      <c r="FF1018" s="76"/>
      <c r="FG1018" s="76"/>
      <c r="FH1018" s="76"/>
      <c r="FI1018" s="76"/>
      <c r="FJ1018" s="76"/>
      <c r="FK1018" s="76"/>
      <c r="FL1018" s="76"/>
      <c r="FM1018" s="76"/>
      <c r="FN1018" s="76"/>
      <c r="FO1018" s="76"/>
      <c r="FP1018" s="76"/>
      <c r="FQ1018" s="76"/>
      <c r="FR1018" s="76"/>
      <c r="FS1018" s="76"/>
      <c r="FT1018" s="76"/>
      <c r="FU1018" s="76"/>
      <c r="FV1018" s="76"/>
      <c r="FW1018" s="76"/>
      <c r="FX1018" s="76"/>
      <c r="FY1018" s="76"/>
      <c r="FZ1018" s="76"/>
      <c r="GA1018" s="76"/>
      <c r="GB1018" s="76"/>
      <c r="GC1018" s="76"/>
      <c r="GD1018" s="76"/>
      <c r="GE1018" s="76"/>
      <c r="GF1018" s="76"/>
      <c r="GG1018" s="76"/>
      <c r="GH1018" s="76"/>
      <c r="GI1018" s="76"/>
      <c r="GJ1018" s="76"/>
      <c r="GK1018" s="76"/>
      <c r="GL1018" s="76"/>
      <c r="GM1018" s="76"/>
      <c r="GN1018" s="76"/>
      <c r="GO1018" s="76"/>
      <c r="GP1018" s="76"/>
      <c r="GQ1018" s="76"/>
      <c r="GR1018" s="76"/>
      <c r="GS1018" s="76"/>
      <c r="GT1018" s="76"/>
      <c r="GU1018" s="76"/>
      <c r="GV1018" s="76"/>
      <c r="GW1018" s="76"/>
      <c r="GX1018" s="76"/>
      <c r="GY1018" s="76"/>
      <c r="GZ1018" s="76"/>
      <c r="HA1018" s="76"/>
      <c r="HB1018" s="76"/>
      <c r="HC1018" s="76"/>
      <c r="HD1018" s="76"/>
      <c r="HE1018" s="76"/>
      <c r="HF1018" s="76"/>
      <c r="HG1018" s="76"/>
      <c r="HH1018" s="76"/>
      <c r="HI1018" s="76"/>
      <c r="HJ1018" s="76"/>
      <c r="HK1018" s="76"/>
      <c r="HL1018" s="76"/>
      <c r="HM1018" s="76"/>
      <c r="HN1018" s="76"/>
      <c r="HO1018" s="76"/>
      <c r="HP1018" s="76"/>
      <c r="HQ1018" s="76"/>
      <c r="HR1018" s="76"/>
      <c r="HS1018" s="76"/>
      <c r="HT1018" s="76"/>
      <c r="HU1018" s="76"/>
      <c r="HV1018" s="76"/>
      <c r="HW1018" s="76"/>
      <c r="HX1018" s="76"/>
      <c r="HY1018" s="76"/>
      <c r="HZ1018" s="76"/>
      <c r="IA1018" s="76"/>
      <c r="IB1018" s="76"/>
      <c r="IC1018" s="76"/>
      <c r="ID1018" s="76"/>
      <c r="IE1018" s="76"/>
      <c r="IF1018" s="76"/>
      <c r="IG1018" s="76"/>
      <c r="IH1018" s="76"/>
      <c r="II1018" s="76"/>
      <c r="IJ1018" s="76"/>
      <c r="IK1018" s="76"/>
      <c r="IL1018" s="76"/>
      <c r="IM1018" s="76"/>
      <c r="IN1018" s="76"/>
      <c r="IO1018" s="76"/>
      <c r="IP1018" s="76"/>
      <c r="IQ1018" s="76"/>
      <c r="IR1018" s="76"/>
      <c r="IS1018" s="76"/>
      <c r="IT1018" s="76"/>
      <c r="IU1018" s="76"/>
      <c r="IV1018" s="76"/>
    </row>
    <row r="1019" spans="1:256" hidden="1">
      <c r="A1019" s="859"/>
      <c r="B1019" s="76"/>
      <c r="C1019" s="76"/>
      <c r="D1019" s="76"/>
      <c r="E1019" s="76"/>
      <c r="F1019" s="76"/>
      <c r="G1019" s="76"/>
    </row>
    <row r="1020" spans="1:256" hidden="1">
      <c r="A1020" s="859"/>
      <c r="B1020" s="76"/>
      <c r="C1020" s="76"/>
      <c r="D1020" s="76"/>
      <c r="E1020" s="76"/>
      <c r="F1020" s="76"/>
      <c r="G1020" s="76"/>
    </row>
    <row r="1021" spans="1:256" hidden="1">
      <c r="A1021" s="859"/>
      <c r="B1021" s="76"/>
      <c r="C1021" s="76"/>
      <c r="D1021" s="76"/>
      <c r="E1021" s="76"/>
      <c r="F1021" s="76"/>
      <c r="G1021" s="76"/>
    </row>
    <row r="1022" spans="1:256" hidden="1">
      <c r="A1022" s="859"/>
      <c r="B1022" s="76"/>
      <c r="C1022" s="76"/>
      <c r="D1022" s="76"/>
      <c r="E1022" s="76"/>
      <c r="F1022" s="76"/>
      <c r="G1022" s="76"/>
    </row>
    <row r="1023" spans="1:256" hidden="1">
      <c r="A1023" s="859"/>
      <c r="B1023" s="76"/>
      <c r="C1023" s="76"/>
      <c r="D1023" s="76"/>
      <c r="E1023" s="76"/>
      <c r="F1023" s="76"/>
      <c r="G1023" s="76"/>
    </row>
    <row r="1024" spans="1:256" hidden="1"/>
    <row r="1025" hidden="1"/>
    <row r="1026" hidden="1"/>
    <row r="1027" hidden="1"/>
  </sheetData>
  <mergeCells count="20">
    <mergeCell ref="C741:D742"/>
    <mergeCell ref="B232:C232"/>
    <mergeCell ref="F38:F44"/>
    <mergeCell ref="B38:B44"/>
    <mergeCell ref="C38:C44"/>
    <mergeCell ref="D38:D44"/>
    <mergeCell ref="E38:E44"/>
    <mergeCell ref="B221:C221"/>
    <mergeCell ref="B80:H80"/>
    <mergeCell ref="B198:C198"/>
    <mergeCell ref="B3:D3"/>
    <mergeCell ref="B34:F34"/>
    <mergeCell ref="B187:C187"/>
    <mergeCell ref="B5:D5"/>
    <mergeCell ref="B110:G110"/>
    <mergeCell ref="B72:H72"/>
    <mergeCell ref="B155:C155"/>
    <mergeCell ref="B166:C166"/>
    <mergeCell ref="B87:H87"/>
    <mergeCell ref="B94:G94"/>
  </mergeCells>
  <phoneticPr fontId="5" type="noConversion"/>
  <printOptions horizontalCentered="1"/>
  <pageMargins left="0.511811023622047" right="0.511811023622047" top="0.78740157480314998" bottom="0.47244094488188998" header="0.511811023622047" footer="0.43307086614173201"/>
  <pageSetup paperSize="9" scale="50" firstPageNumber="344" orientation="portrait" useFirstPageNumber="1" r:id="rId1"/>
  <headerFooter alignWithMargins="0">
    <oddHeader>&amp;R&amp;14COM-LDLFT-2016-17</oddHeader>
    <oddFooter>&amp;R&amp;22&amp;P</oddFooter>
  </headerFooter>
  <rowBreaks count="1" manualBreakCount="1">
    <brk id="74" max="8" man="1"/>
  </rowBreaks>
</worksheet>
</file>

<file path=xl/worksheets/sheet14.xml><?xml version="1.0" encoding="utf-8"?>
<worksheet xmlns="http://schemas.openxmlformats.org/spreadsheetml/2006/main" xmlns:r="http://schemas.openxmlformats.org/officeDocument/2006/relationships">
  <sheetPr codeName="Sheet17"/>
  <dimension ref="A1:I80"/>
  <sheetViews>
    <sheetView showGridLines="0" view="pageBreakPreview" zoomScale="60" zoomScaleNormal="60" workbookViewId="0">
      <selection activeCell="JW32" sqref="JW32"/>
    </sheetView>
  </sheetViews>
  <sheetFormatPr defaultColWidth="5.7109375" defaultRowHeight="18" zeroHeight="1"/>
  <cols>
    <col min="1" max="1" width="8" style="62" customWidth="1"/>
    <col min="2" max="2" width="47.140625" style="61" customWidth="1"/>
    <col min="3" max="3" width="12.7109375" style="61" customWidth="1"/>
    <col min="4" max="4" width="15" style="61" customWidth="1"/>
    <col min="5" max="5" width="12.5703125" style="61" customWidth="1"/>
    <col min="6" max="6" width="10.42578125" style="61" customWidth="1"/>
    <col min="7" max="7" width="20.7109375" style="61" customWidth="1"/>
    <col min="8" max="8" width="9.140625" style="61" hidden="1" customWidth="1"/>
    <col min="9" max="9" width="0" style="60" hidden="1" customWidth="1"/>
    <col min="10" max="255" width="0" style="61" hidden="1" customWidth="1"/>
    <col min="256" max="16384" width="5.7109375" style="61"/>
  </cols>
  <sheetData>
    <row r="1" spans="1:8"/>
    <row r="2" spans="1:8">
      <c r="A2" s="1282" t="s">
        <v>2845</v>
      </c>
      <c r="B2" s="1282"/>
      <c r="C2" s="1282"/>
      <c r="D2" s="1282"/>
      <c r="E2" s="1282"/>
    </row>
    <row r="3" spans="1:8">
      <c r="B3" s="62"/>
      <c r="C3" s="62"/>
      <c r="D3" s="62"/>
      <c r="E3" s="62"/>
    </row>
    <row r="4" spans="1:8">
      <c r="B4" s="1242" t="s">
        <v>9884</v>
      </c>
      <c r="C4" s="1242"/>
      <c r="D4" s="1242"/>
      <c r="E4" s="1242"/>
    </row>
    <row r="5" spans="1:8">
      <c r="A5" s="61"/>
    </row>
    <row r="6" spans="1:8">
      <c r="A6" s="1286" t="s">
        <v>2847</v>
      </c>
      <c r="B6" s="1286" t="s">
        <v>2848</v>
      </c>
      <c r="C6" s="1283" t="s">
        <v>2370</v>
      </c>
      <c r="D6" s="1283" t="s">
        <v>2788</v>
      </c>
      <c r="E6" s="1283" t="s">
        <v>3221</v>
      </c>
      <c r="F6" s="1283" t="s">
        <v>4087</v>
      </c>
      <c r="G6" s="1284" t="s">
        <v>2794</v>
      </c>
    </row>
    <row r="7" spans="1:8" ht="54.75" customHeight="1">
      <c r="A7" s="1287"/>
      <c r="B7" s="1287"/>
      <c r="C7" s="1283"/>
      <c r="D7" s="1283"/>
      <c r="E7" s="1283"/>
      <c r="F7" s="1283"/>
      <c r="G7" s="1285"/>
    </row>
    <row r="8" spans="1:8">
      <c r="A8" s="504">
        <v>1</v>
      </c>
      <c r="B8" s="504">
        <v>2</v>
      </c>
      <c r="C8" s="69">
        <v>3</v>
      </c>
      <c r="D8" s="69">
        <v>4</v>
      </c>
      <c r="E8" s="69">
        <v>5</v>
      </c>
      <c r="F8" s="69">
        <v>6</v>
      </c>
      <c r="G8" s="69">
        <v>7</v>
      </c>
    </row>
    <row r="9" spans="1:8">
      <c r="A9" s="69">
        <v>1</v>
      </c>
      <c r="B9" s="849" t="s">
        <v>6202</v>
      </c>
      <c r="C9" s="50" t="s">
        <v>2374</v>
      </c>
      <c r="D9" s="264">
        <f>'HIRE CHARGES'!D492</f>
        <v>758.40000000000009</v>
      </c>
      <c r="E9" s="264">
        <f>'HIRE CHARGES'!E492</f>
        <v>872.7</v>
      </c>
      <c r="F9" s="264">
        <f>'HIRE CHARGES'!F492</f>
        <v>283.89999999999998</v>
      </c>
      <c r="G9" s="264">
        <f>SUM(D9:F9)</f>
        <v>1915</v>
      </c>
      <c r="H9" s="60"/>
    </row>
    <row r="10" spans="1:8">
      <c r="A10" s="69">
        <v>2</v>
      </c>
      <c r="B10" s="849" t="s">
        <v>6204</v>
      </c>
      <c r="C10" s="50" t="s">
        <v>2374</v>
      </c>
      <c r="D10" s="264">
        <f>'HIRE CHARGES'!D493</f>
        <v>108.3</v>
      </c>
      <c r="E10" s="264">
        <f>'HIRE CHARGES'!E493</f>
        <v>189.1</v>
      </c>
      <c r="F10" s="264">
        <f>'HIRE CHARGES'!F493</f>
        <v>164.8</v>
      </c>
      <c r="G10" s="264">
        <f t="shared" ref="G10:G72" si="0">SUM(D10:F10)</f>
        <v>462.2</v>
      </c>
      <c r="H10" s="60"/>
    </row>
    <row r="11" spans="1:8">
      <c r="A11" s="69">
        <v>3</v>
      </c>
      <c r="B11" s="849" t="s">
        <v>6205</v>
      </c>
      <c r="C11" s="50" t="s">
        <v>2374</v>
      </c>
      <c r="D11" s="264">
        <f>'HIRE CHARGES'!D494</f>
        <v>241.3</v>
      </c>
      <c r="E11" s="264">
        <f>'HIRE CHARGES'!E494</f>
        <v>714</v>
      </c>
      <c r="F11" s="264">
        <f>'HIRE CHARGES'!F494</f>
        <v>210.9</v>
      </c>
      <c r="G11" s="264">
        <f t="shared" si="0"/>
        <v>1166.2</v>
      </c>
      <c r="H11" s="60"/>
    </row>
    <row r="12" spans="1:8">
      <c r="A12" s="69">
        <v>4</v>
      </c>
      <c r="B12" s="849" t="s">
        <v>6206</v>
      </c>
      <c r="C12" s="50" t="s">
        <v>2374</v>
      </c>
      <c r="D12" s="264">
        <f>'HIRE CHARGES'!D495</f>
        <v>131.9</v>
      </c>
      <c r="E12" s="264">
        <f>'HIRE CHARGES'!E495</f>
        <v>252.2</v>
      </c>
      <c r="F12" s="264">
        <f>'HIRE CHARGES'!F495</f>
        <v>164.8</v>
      </c>
      <c r="G12" s="264">
        <f t="shared" si="0"/>
        <v>548.90000000000009</v>
      </c>
      <c r="H12" s="60"/>
    </row>
    <row r="13" spans="1:8">
      <c r="A13" s="69">
        <v>5</v>
      </c>
      <c r="B13" s="849" t="s">
        <v>6207</v>
      </c>
      <c r="C13" s="50" t="s">
        <v>2374</v>
      </c>
      <c r="D13" s="264">
        <f>'HIRE CHARGES'!D496</f>
        <v>275.60000000000002</v>
      </c>
      <c r="E13" s="264">
        <f>'HIRE CHARGES'!E496</f>
        <v>892.5</v>
      </c>
      <c r="F13" s="264">
        <f>'HIRE CHARGES'!F496</f>
        <v>210.9</v>
      </c>
      <c r="G13" s="264">
        <f t="shared" si="0"/>
        <v>1379</v>
      </c>
      <c r="H13" s="60"/>
    </row>
    <row r="14" spans="1:8">
      <c r="A14" s="69">
        <v>6</v>
      </c>
      <c r="B14" s="849" t="s">
        <v>867</v>
      </c>
      <c r="C14" s="50" t="s">
        <v>2374</v>
      </c>
      <c r="D14" s="264">
        <f>'HIRE CHARGES'!D497</f>
        <v>170.8</v>
      </c>
      <c r="E14" s="264">
        <f>'HIRE CHARGES'!E497</f>
        <v>315.2</v>
      </c>
      <c r="F14" s="264">
        <f>'HIRE CHARGES'!F497</f>
        <v>164.8</v>
      </c>
      <c r="G14" s="264">
        <f t="shared" si="0"/>
        <v>650.79999999999995</v>
      </c>
      <c r="H14" s="60"/>
    </row>
    <row r="15" spans="1:8">
      <c r="A15" s="69">
        <v>7</v>
      </c>
      <c r="B15" s="849" t="s">
        <v>868</v>
      </c>
      <c r="C15" s="50" t="s">
        <v>2374</v>
      </c>
      <c r="D15" s="264">
        <f>'HIRE CHARGES'!D498</f>
        <v>138.80000000000001</v>
      </c>
      <c r="E15" s="264">
        <f>'HIRE CHARGES'!E498</f>
        <v>700.5</v>
      </c>
      <c r="F15" s="264">
        <f>'HIRE CHARGES'!F498</f>
        <v>175.8</v>
      </c>
      <c r="G15" s="264">
        <f t="shared" si="0"/>
        <v>1015.0999999999999</v>
      </c>
      <c r="H15" s="60"/>
    </row>
    <row r="16" spans="1:8">
      <c r="A16" s="69">
        <v>8</v>
      </c>
      <c r="B16" s="849" t="s">
        <v>6666</v>
      </c>
      <c r="C16" s="50" t="s">
        <v>2374</v>
      </c>
      <c r="D16" s="264">
        <f>'HIRE CHARGES'!D499</f>
        <v>1715.5</v>
      </c>
      <c r="E16" s="264">
        <f>'HIRE CHARGES'!E499</f>
        <v>610.5</v>
      </c>
      <c r="F16" s="264">
        <f>'HIRE CHARGES'!F499</f>
        <v>236.6</v>
      </c>
      <c r="G16" s="264">
        <f t="shared" si="0"/>
        <v>2562.6</v>
      </c>
      <c r="H16" s="60"/>
    </row>
    <row r="17" spans="1:8">
      <c r="A17" s="69">
        <v>9</v>
      </c>
      <c r="B17" s="849" t="s">
        <v>6953</v>
      </c>
      <c r="C17" s="50" t="s">
        <v>2374</v>
      </c>
      <c r="D17" s="264">
        <f>'HIRE CHARGES'!D500</f>
        <v>114.6</v>
      </c>
      <c r="E17" s="264">
        <f>'HIRE CHARGES'!E500</f>
        <v>84.1</v>
      </c>
      <c r="F17" s="264">
        <f>'HIRE CHARGES'!F500</f>
        <v>340.6</v>
      </c>
      <c r="G17" s="264">
        <f t="shared" si="0"/>
        <v>539.29999999999995</v>
      </c>
      <c r="H17" s="60"/>
    </row>
    <row r="18" spans="1:8">
      <c r="A18" s="69">
        <v>10</v>
      </c>
      <c r="B18" s="849" t="s">
        <v>6954</v>
      </c>
      <c r="C18" s="50" t="s">
        <v>2374</v>
      </c>
      <c r="D18" s="264">
        <f>'HIRE CHARGES'!D501</f>
        <v>405.4</v>
      </c>
      <c r="E18" s="264">
        <f>'HIRE CHARGES'!E501</f>
        <v>252.2</v>
      </c>
      <c r="F18" s="264">
        <f>'HIRE CHARGES'!F501</f>
        <v>340.6</v>
      </c>
      <c r="G18" s="264">
        <f t="shared" si="0"/>
        <v>998.19999999999993</v>
      </c>
      <c r="H18" s="60"/>
    </row>
    <row r="19" spans="1:8">
      <c r="A19" s="69">
        <v>11</v>
      </c>
      <c r="B19" s="849" t="s">
        <v>6955</v>
      </c>
      <c r="C19" s="50" t="s">
        <v>2374</v>
      </c>
      <c r="D19" s="264">
        <f>'HIRE CHARGES'!D502</f>
        <v>620.70000000000005</v>
      </c>
      <c r="E19" s="264">
        <f>'HIRE CHARGES'!E502</f>
        <v>308.2</v>
      </c>
      <c r="F19" s="264">
        <f>'HIRE CHARGES'!F502</f>
        <v>340.6</v>
      </c>
      <c r="G19" s="264">
        <f t="shared" si="0"/>
        <v>1269.5</v>
      </c>
      <c r="H19" s="60"/>
    </row>
    <row r="20" spans="1:8">
      <c r="A20" s="69">
        <v>12</v>
      </c>
      <c r="B20" s="849" t="s">
        <v>6027</v>
      </c>
      <c r="C20" s="50" t="s">
        <v>2374</v>
      </c>
      <c r="D20" s="264">
        <f>'HIRE CHARGES'!D503</f>
        <v>42.6</v>
      </c>
      <c r="E20" s="264">
        <f>'HIRE CHARGES'!E503</f>
        <v>84.1</v>
      </c>
      <c r="F20" s="264">
        <f>'HIRE CHARGES'!F503</f>
        <v>131.80000000000001</v>
      </c>
      <c r="G20" s="264">
        <f t="shared" si="0"/>
        <v>258.5</v>
      </c>
      <c r="H20" s="60"/>
    </row>
    <row r="21" spans="1:8">
      <c r="A21" s="69">
        <v>13</v>
      </c>
      <c r="B21" s="921" t="s">
        <v>1872</v>
      </c>
      <c r="C21" s="50" t="s">
        <v>2374</v>
      </c>
      <c r="D21" s="264">
        <f>'HIRE CHARGES'!D504</f>
        <v>5.4</v>
      </c>
      <c r="E21" s="264">
        <f>'HIRE CHARGES'!E504</f>
        <v>0</v>
      </c>
      <c r="F21" s="264">
        <f>'HIRE CHARGES'!F504</f>
        <v>0</v>
      </c>
      <c r="G21" s="264">
        <f t="shared" si="0"/>
        <v>5.4</v>
      </c>
      <c r="H21" s="60"/>
    </row>
    <row r="22" spans="1:8">
      <c r="A22" s="69">
        <v>14</v>
      </c>
      <c r="B22" s="849" t="s">
        <v>6912</v>
      </c>
      <c r="C22" s="50" t="s">
        <v>2374</v>
      </c>
      <c r="D22" s="264">
        <f>'HIRE CHARGES'!D505</f>
        <v>15.8</v>
      </c>
      <c r="E22" s="264">
        <f>'HIRE CHARGES'!E505</f>
        <v>0</v>
      </c>
      <c r="F22" s="264">
        <f>'HIRE CHARGES'!F505</f>
        <v>0</v>
      </c>
      <c r="G22" s="264">
        <f t="shared" si="0"/>
        <v>15.8</v>
      </c>
      <c r="H22" s="60"/>
    </row>
    <row r="23" spans="1:8">
      <c r="A23" s="69">
        <v>15</v>
      </c>
      <c r="B23" s="849" t="s">
        <v>2769</v>
      </c>
      <c r="C23" s="50" t="s">
        <v>2374</v>
      </c>
      <c r="D23" s="264">
        <f>'HIRE CHARGES'!D506</f>
        <v>5.5</v>
      </c>
      <c r="E23" s="264">
        <f>'HIRE CHARGES'!E506</f>
        <v>0</v>
      </c>
      <c r="F23" s="264">
        <f>'HIRE CHARGES'!F506</f>
        <v>0</v>
      </c>
      <c r="G23" s="264">
        <f t="shared" si="0"/>
        <v>5.5</v>
      </c>
      <c r="H23" s="60"/>
    </row>
    <row r="24" spans="1:8">
      <c r="A24" s="69">
        <v>16</v>
      </c>
      <c r="B24" s="849" t="s">
        <v>869</v>
      </c>
      <c r="C24" s="50" t="s">
        <v>2374</v>
      </c>
      <c r="D24" s="264">
        <f>'HIRE CHARGES'!D507</f>
        <v>53.5</v>
      </c>
      <c r="E24" s="264">
        <f>'HIRE CHARGES'!E507</f>
        <v>79.3</v>
      </c>
      <c r="F24" s="264">
        <f>'HIRE CHARGES'!F507</f>
        <v>219.7</v>
      </c>
      <c r="G24" s="264">
        <f t="shared" si="0"/>
        <v>352.5</v>
      </c>
      <c r="H24" s="60"/>
    </row>
    <row r="25" spans="1:8">
      <c r="A25" s="69">
        <v>17</v>
      </c>
      <c r="B25" s="849" t="s">
        <v>870</v>
      </c>
      <c r="C25" s="50" t="s">
        <v>2374</v>
      </c>
      <c r="D25" s="264">
        <f>'HIRE CHARGES'!D508</f>
        <v>51.7</v>
      </c>
      <c r="E25" s="264">
        <f>'HIRE CHARGES'!E508</f>
        <v>28</v>
      </c>
      <c r="F25" s="264">
        <f>'HIRE CHARGES'!F508</f>
        <v>219.7</v>
      </c>
      <c r="G25" s="264">
        <f t="shared" si="0"/>
        <v>299.39999999999998</v>
      </c>
      <c r="H25" s="60"/>
    </row>
    <row r="26" spans="1:8">
      <c r="A26" s="69">
        <v>18</v>
      </c>
      <c r="B26" s="849" t="s">
        <v>871</v>
      </c>
      <c r="C26" s="50" t="s">
        <v>2374</v>
      </c>
      <c r="D26" s="264">
        <f>'HIRE CHARGES'!D509</f>
        <v>92.7</v>
      </c>
      <c r="E26" s="264">
        <f>'HIRE CHARGES'!E509</f>
        <v>158.69999999999999</v>
      </c>
      <c r="F26" s="264">
        <f>'HIRE CHARGES'!F509</f>
        <v>219.7</v>
      </c>
      <c r="G26" s="264">
        <f t="shared" si="0"/>
        <v>471.09999999999997</v>
      </c>
      <c r="H26" s="60"/>
    </row>
    <row r="27" spans="1:8">
      <c r="A27" s="69">
        <v>19</v>
      </c>
      <c r="B27" s="849" t="s">
        <v>2383</v>
      </c>
      <c r="C27" s="50" t="s">
        <v>2374</v>
      </c>
      <c r="D27" s="264">
        <f>'HIRE CHARGES'!D510</f>
        <v>91</v>
      </c>
      <c r="E27" s="264">
        <f>'HIRE CHARGES'!E510</f>
        <v>56</v>
      </c>
      <c r="F27" s="264">
        <f>'HIRE CHARGES'!F510</f>
        <v>219.7</v>
      </c>
      <c r="G27" s="264">
        <f t="shared" si="0"/>
        <v>366.7</v>
      </c>
      <c r="H27" s="60"/>
    </row>
    <row r="28" spans="1:8">
      <c r="A28" s="69">
        <v>20</v>
      </c>
      <c r="B28" s="849" t="s">
        <v>2384</v>
      </c>
      <c r="C28" s="50" t="s">
        <v>2374</v>
      </c>
      <c r="D28" s="264">
        <f>'HIRE CHARGES'!D511</f>
        <v>356.5</v>
      </c>
      <c r="E28" s="264">
        <f>'HIRE CHARGES'!E511</f>
        <v>0</v>
      </c>
      <c r="F28" s="264">
        <f>'HIRE CHARGES'!F511</f>
        <v>421.8</v>
      </c>
      <c r="G28" s="264">
        <f t="shared" si="0"/>
        <v>778.3</v>
      </c>
      <c r="H28" s="60"/>
    </row>
    <row r="29" spans="1:8">
      <c r="A29" s="69">
        <v>21</v>
      </c>
      <c r="B29" s="849" t="s">
        <v>3090</v>
      </c>
      <c r="C29" s="50" t="s">
        <v>2374</v>
      </c>
      <c r="D29" s="264">
        <f>'HIRE CHARGES'!D512</f>
        <v>822.8</v>
      </c>
      <c r="E29" s="264">
        <f>'HIRE CHARGES'!E512</f>
        <v>195</v>
      </c>
      <c r="F29" s="264">
        <f>'HIRE CHARGES'!F512</f>
        <v>175.8</v>
      </c>
      <c r="G29" s="264">
        <f t="shared" si="0"/>
        <v>1193.5999999999999</v>
      </c>
      <c r="H29" s="60"/>
    </row>
    <row r="30" spans="1:8">
      <c r="A30" s="69">
        <v>22</v>
      </c>
      <c r="B30" s="849" t="s">
        <v>2941</v>
      </c>
      <c r="C30" s="50" t="s">
        <v>2374</v>
      </c>
      <c r="D30" s="264">
        <f>'HIRE CHARGES'!D513</f>
        <v>319</v>
      </c>
      <c r="E30" s="264">
        <f>'HIRE CHARGES'!E513</f>
        <v>238</v>
      </c>
      <c r="F30" s="264">
        <f>'HIRE CHARGES'!F513</f>
        <v>283.89999999999998</v>
      </c>
      <c r="G30" s="264">
        <f t="shared" si="0"/>
        <v>840.9</v>
      </c>
      <c r="H30" s="60"/>
    </row>
    <row r="31" spans="1:8">
      <c r="A31" s="69">
        <v>23</v>
      </c>
      <c r="B31" s="849" t="s">
        <v>2942</v>
      </c>
      <c r="C31" s="50" t="s">
        <v>2374</v>
      </c>
      <c r="D31" s="264">
        <f>'HIRE CHARGES'!D514</f>
        <v>65.8</v>
      </c>
      <c r="E31" s="264">
        <f>'HIRE CHARGES'!E514</f>
        <v>634.70000000000005</v>
      </c>
      <c r="F31" s="264">
        <f>'HIRE CHARGES'!F514</f>
        <v>131.80000000000001</v>
      </c>
      <c r="G31" s="264">
        <f t="shared" si="0"/>
        <v>832.3</v>
      </c>
      <c r="H31" s="60"/>
    </row>
    <row r="32" spans="1:8">
      <c r="A32" s="69">
        <v>24</v>
      </c>
      <c r="B32" s="849" t="s">
        <v>1374</v>
      </c>
      <c r="C32" s="50" t="s">
        <v>2374</v>
      </c>
      <c r="D32" s="264">
        <f>'HIRE CHARGES'!D515</f>
        <v>85.1</v>
      </c>
      <c r="E32" s="264">
        <f>'HIRE CHARGES'!E515</f>
        <v>952.1</v>
      </c>
      <c r="F32" s="264">
        <f>'HIRE CHARGES'!F515</f>
        <v>131.80000000000001</v>
      </c>
      <c r="G32" s="264">
        <f t="shared" si="0"/>
        <v>1169</v>
      </c>
      <c r="H32" s="60"/>
    </row>
    <row r="33" spans="1:8">
      <c r="A33" s="69">
        <v>25</v>
      </c>
      <c r="B33" s="849" t="s">
        <v>1375</v>
      </c>
      <c r="C33" s="50" t="s">
        <v>2374</v>
      </c>
      <c r="D33" s="264">
        <f>'HIRE CHARGES'!D516</f>
        <v>381.6</v>
      </c>
      <c r="E33" s="264">
        <f>'HIRE CHARGES'!E516</f>
        <v>535.5</v>
      </c>
      <c r="F33" s="264">
        <f>'HIRE CHARGES'!F516</f>
        <v>164.8</v>
      </c>
      <c r="G33" s="264">
        <f t="shared" si="0"/>
        <v>1081.9000000000001</v>
      </c>
      <c r="H33" s="60"/>
    </row>
    <row r="34" spans="1:8">
      <c r="A34" s="69">
        <v>26</v>
      </c>
      <c r="B34" s="849" t="s">
        <v>3091</v>
      </c>
      <c r="C34" s="50" t="s">
        <v>2374</v>
      </c>
      <c r="D34" s="264">
        <f>'HIRE CHARGES'!D517</f>
        <v>10.199999999999999</v>
      </c>
      <c r="E34" s="264">
        <f>'HIRE CHARGES'!E517</f>
        <v>79.3</v>
      </c>
      <c r="F34" s="264">
        <f>'HIRE CHARGES'!F517</f>
        <v>111.1</v>
      </c>
      <c r="G34" s="264">
        <f t="shared" si="0"/>
        <v>200.6</v>
      </c>
      <c r="H34" s="60"/>
    </row>
    <row r="35" spans="1:8">
      <c r="A35" s="69">
        <v>27</v>
      </c>
      <c r="B35" s="849" t="s">
        <v>3092</v>
      </c>
      <c r="C35" s="50" t="s">
        <v>2374</v>
      </c>
      <c r="D35" s="264">
        <f>'HIRE CHARGES'!D518</f>
        <v>3</v>
      </c>
      <c r="E35" s="264">
        <f>'HIRE CHARGES'!E518</f>
        <v>28</v>
      </c>
      <c r="F35" s="264">
        <f>'HIRE CHARGES'!F518</f>
        <v>83.3</v>
      </c>
      <c r="G35" s="264">
        <f t="shared" si="0"/>
        <v>114.3</v>
      </c>
      <c r="H35" s="60"/>
    </row>
    <row r="36" spans="1:8">
      <c r="A36" s="69">
        <v>28</v>
      </c>
      <c r="B36" s="849" t="s">
        <v>3093</v>
      </c>
      <c r="C36" s="50" t="s">
        <v>2374</v>
      </c>
      <c r="D36" s="264">
        <f>'HIRE CHARGES'!D519</f>
        <v>15.2</v>
      </c>
      <c r="E36" s="264">
        <f>'HIRE CHARGES'!E519</f>
        <v>158.69999999999999</v>
      </c>
      <c r="F36" s="264">
        <f>'HIRE CHARGES'!F519</f>
        <v>111.1</v>
      </c>
      <c r="G36" s="264">
        <f t="shared" si="0"/>
        <v>285</v>
      </c>
      <c r="H36" s="60"/>
    </row>
    <row r="37" spans="1:8">
      <c r="A37" s="69">
        <v>29</v>
      </c>
      <c r="B37" s="849" t="s">
        <v>7099</v>
      </c>
      <c r="C37" s="50" t="s">
        <v>2374</v>
      </c>
      <c r="D37" s="264">
        <f>'HIRE CHARGES'!D520</f>
        <v>6.7</v>
      </c>
      <c r="E37" s="264">
        <f>'HIRE CHARGES'!E520</f>
        <v>56</v>
      </c>
      <c r="F37" s="264">
        <f>'HIRE CHARGES'!F520</f>
        <v>83.3</v>
      </c>
      <c r="G37" s="264">
        <f t="shared" si="0"/>
        <v>146</v>
      </c>
      <c r="H37" s="60"/>
    </row>
    <row r="38" spans="1:8">
      <c r="A38" s="69">
        <v>30</v>
      </c>
      <c r="B38" s="849" t="s">
        <v>7100</v>
      </c>
      <c r="C38" s="50" t="s">
        <v>2374</v>
      </c>
      <c r="D38" s="264">
        <f>'HIRE CHARGES'!D521</f>
        <v>48.3</v>
      </c>
      <c r="E38" s="264">
        <f>'HIRE CHARGES'!E521</f>
        <v>317.39999999999998</v>
      </c>
      <c r="F38" s="264">
        <f>'HIRE CHARGES'!F521</f>
        <v>111.1</v>
      </c>
      <c r="G38" s="264">
        <f t="shared" si="0"/>
        <v>476.79999999999995</v>
      </c>
      <c r="H38" s="60"/>
    </row>
    <row r="39" spans="1:8">
      <c r="A39" s="69">
        <v>31</v>
      </c>
      <c r="B39" s="849" t="s">
        <v>7101</v>
      </c>
      <c r="C39" s="50" t="s">
        <v>2374</v>
      </c>
      <c r="D39" s="264">
        <f>'HIRE CHARGES'!D522</f>
        <v>12.3</v>
      </c>
      <c r="E39" s="264">
        <f>'HIRE CHARGES'!E522</f>
        <v>112.1</v>
      </c>
      <c r="F39" s="264">
        <f>'HIRE CHARGES'!F522</f>
        <v>83.3</v>
      </c>
      <c r="G39" s="264">
        <f t="shared" si="0"/>
        <v>207.7</v>
      </c>
      <c r="H39" s="60"/>
    </row>
    <row r="40" spans="1:8">
      <c r="A40" s="69">
        <v>32</v>
      </c>
      <c r="B40" s="849" t="s">
        <v>2080</v>
      </c>
      <c r="C40" s="50" t="s">
        <v>2374</v>
      </c>
      <c r="D40" s="264">
        <f>'HIRE CHARGES'!D523</f>
        <v>322.7</v>
      </c>
      <c r="E40" s="264">
        <f>'HIRE CHARGES'!E523</f>
        <v>0</v>
      </c>
      <c r="F40" s="264">
        <f>'HIRE CHARGES'!F523</f>
        <v>354.9</v>
      </c>
      <c r="G40" s="264">
        <f t="shared" si="0"/>
        <v>677.59999999999991</v>
      </c>
      <c r="H40" s="60"/>
    </row>
    <row r="41" spans="1:8">
      <c r="A41" s="69">
        <v>33</v>
      </c>
      <c r="B41" s="849" t="s">
        <v>7102</v>
      </c>
      <c r="C41" s="50" t="s">
        <v>2374</v>
      </c>
      <c r="D41" s="264">
        <f>'HIRE CHARGES'!D524</f>
        <v>368.40000000000003</v>
      </c>
      <c r="E41" s="264">
        <f>'HIRE CHARGES'!E524</f>
        <v>42.8</v>
      </c>
      <c r="F41" s="264">
        <f>'HIRE CHARGES'!F524</f>
        <v>175.8</v>
      </c>
      <c r="G41" s="264">
        <f t="shared" si="0"/>
        <v>587</v>
      </c>
      <c r="H41" s="60"/>
    </row>
    <row r="42" spans="1:8">
      <c r="A42" s="69">
        <v>34</v>
      </c>
      <c r="B42" s="849" t="s">
        <v>7103</v>
      </c>
      <c r="C42" s="50" t="s">
        <v>2374</v>
      </c>
      <c r="D42" s="264">
        <f>'HIRE CHARGES'!D525</f>
        <v>580.69999999999993</v>
      </c>
      <c r="E42" s="264">
        <f>'HIRE CHARGES'!E525</f>
        <v>399.9</v>
      </c>
      <c r="F42" s="264">
        <f>'HIRE CHARGES'!F525</f>
        <v>227.1</v>
      </c>
      <c r="G42" s="264">
        <f t="shared" si="0"/>
        <v>1207.6999999999998</v>
      </c>
      <c r="H42" s="60"/>
    </row>
    <row r="43" spans="1:8">
      <c r="A43" s="69">
        <v>35</v>
      </c>
      <c r="B43" s="849" t="s">
        <v>4304</v>
      </c>
      <c r="C43" s="50" t="s">
        <v>2374</v>
      </c>
      <c r="D43" s="264">
        <f>'HIRE CHARGES'!D526</f>
        <v>99</v>
      </c>
      <c r="E43" s="264">
        <f>'HIRE CHARGES'!E526</f>
        <v>0</v>
      </c>
      <c r="F43" s="264">
        <f>'HIRE CHARGES'!F526</f>
        <v>0</v>
      </c>
      <c r="G43" s="264">
        <f t="shared" si="0"/>
        <v>99</v>
      </c>
      <c r="H43" s="60"/>
    </row>
    <row r="44" spans="1:8">
      <c r="A44" s="69">
        <v>36</v>
      </c>
      <c r="B44" s="849" t="s">
        <v>2248</v>
      </c>
      <c r="C44" s="50" t="s">
        <v>2374</v>
      </c>
      <c r="D44" s="264">
        <f>'HIRE CHARGES'!D527</f>
        <v>24.9</v>
      </c>
      <c r="E44" s="264">
        <f>'HIRE CHARGES'!E527</f>
        <v>28</v>
      </c>
      <c r="F44" s="264">
        <f>'HIRE CHARGES'!F527</f>
        <v>263.60000000000002</v>
      </c>
      <c r="G44" s="264">
        <f t="shared" si="0"/>
        <v>316.5</v>
      </c>
      <c r="H44" s="60"/>
    </row>
    <row r="45" spans="1:8">
      <c r="A45" s="69">
        <v>37</v>
      </c>
      <c r="B45" s="849" t="s">
        <v>4305</v>
      </c>
      <c r="C45" s="50" t="s">
        <v>2374</v>
      </c>
      <c r="D45" s="264">
        <f>'HIRE CHARGES'!D528</f>
        <v>110.1</v>
      </c>
      <c r="E45" s="264">
        <f>'HIRE CHARGES'!E528</f>
        <v>0</v>
      </c>
      <c r="F45" s="264">
        <f>'HIRE CHARGES'!F528</f>
        <v>219.7</v>
      </c>
      <c r="G45" s="264">
        <f t="shared" si="0"/>
        <v>329.79999999999995</v>
      </c>
      <c r="H45" s="60"/>
    </row>
    <row r="46" spans="1:8">
      <c r="A46" s="69">
        <v>38</v>
      </c>
      <c r="B46" s="849" t="s">
        <v>4306</v>
      </c>
      <c r="C46" s="50" t="s">
        <v>2374</v>
      </c>
      <c r="D46" s="264">
        <f>'HIRE CHARGES'!D529</f>
        <v>170.2</v>
      </c>
      <c r="E46" s="264">
        <f>'HIRE CHARGES'!E529</f>
        <v>798.6</v>
      </c>
      <c r="F46" s="264">
        <f>'HIRE CHARGES'!F529</f>
        <v>131.80000000000001</v>
      </c>
      <c r="G46" s="264">
        <f t="shared" si="0"/>
        <v>1100.5999999999999</v>
      </c>
      <c r="H46" s="60"/>
    </row>
    <row r="47" spans="1:8">
      <c r="A47" s="69">
        <v>39</v>
      </c>
      <c r="B47" s="849" t="s">
        <v>6243</v>
      </c>
      <c r="C47" s="50" t="s">
        <v>2374</v>
      </c>
      <c r="D47" s="264">
        <f>'HIRE CHARGES'!D530</f>
        <v>19.8</v>
      </c>
      <c r="E47" s="264">
        <f>'HIRE CHARGES'!E530</f>
        <v>0</v>
      </c>
      <c r="F47" s="264">
        <f>'HIRE CHARGES'!F530</f>
        <v>329.6</v>
      </c>
      <c r="G47" s="264">
        <f t="shared" si="0"/>
        <v>349.40000000000003</v>
      </c>
      <c r="H47" s="60"/>
    </row>
    <row r="48" spans="1:8">
      <c r="A48" s="69">
        <v>40</v>
      </c>
      <c r="B48" s="849" t="s">
        <v>4307</v>
      </c>
      <c r="C48" s="50" t="s">
        <v>2374</v>
      </c>
      <c r="D48" s="264">
        <f>'HIRE CHARGES'!D531</f>
        <v>7.6</v>
      </c>
      <c r="E48" s="264">
        <f>'HIRE CHARGES'!E531</f>
        <v>18.8</v>
      </c>
      <c r="F48" s="264">
        <f>'HIRE CHARGES'!F531</f>
        <v>158.19999999999999</v>
      </c>
      <c r="G48" s="264">
        <f t="shared" si="0"/>
        <v>184.6</v>
      </c>
      <c r="H48" s="60"/>
    </row>
    <row r="49" spans="1:8">
      <c r="A49" s="69">
        <v>41</v>
      </c>
      <c r="B49" s="849" t="s">
        <v>863</v>
      </c>
      <c r="C49" s="50" t="s">
        <v>2374</v>
      </c>
      <c r="D49" s="264">
        <f>'HIRE CHARGES'!D532</f>
        <v>8</v>
      </c>
      <c r="E49" s="264">
        <f>'HIRE CHARGES'!E532</f>
        <v>5.6</v>
      </c>
      <c r="F49" s="264">
        <f>'HIRE CHARGES'!F532</f>
        <v>158.19999999999999</v>
      </c>
      <c r="G49" s="264">
        <f t="shared" si="0"/>
        <v>171.79999999999998</v>
      </c>
      <c r="H49" s="60"/>
    </row>
    <row r="50" spans="1:8">
      <c r="A50" s="69">
        <v>42</v>
      </c>
      <c r="B50" s="849" t="s">
        <v>864</v>
      </c>
      <c r="C50" s="50" t="s">
        <v>2374</v>
      </c>
      <c r="D50" s="264">
        <f>'HIRE CHARGES'!D533</f>
        <v>8.1999999999999993</v>
      </c>
      <c r="E50" s="264">
        <f>'HIRE CHARGES'!E533</f>
        <v>28.2</v>
      </c>
      <c r="F50" s="264">
        <f>'HIRE CHARGES'!F533</f>
        <v>158.19999999999999</v>
      </c>
      <c r="G50" s="264">
        <f t="shared" si="0"/>
        <v>194.6</v>
      </c>
      <c r="H50" s="60"/>
    </row>
    <row r="51" spans="1:8">
      <c r="A51" s="69">
        <v>43</v>
      </c>
      <c r="B51" s="849" t="s">
        <v>865</v>
      </c>
      <c r="C51" s="50" t="s">
        <v>2374</v>
      </c>
      <c r="D51" s="264">
        <f>'HIRE CHARGES'!D534</f>
        <v>9.6999999999999993</v>
      </c>
      <c r="E51" s="264">
        <f>'HIRE CHARGES'!E534</f>
        <v>8.4</v>
      </c>
      <c r="F51" s="264">
        <f>'HIRE CHARGES'!F534</f>
        <v>158.19999999999999</v>
      </c>
      <c r="G51" s="264">
        <f t="shared" si="0"/>
        <v>176.29999999999998</v>
      </c>
      <c r="H51" s="60"/>
    </row>
    <row r="52" spans="1:8">
      <c r="A52" s="69">
        <v>44</v>
      </c>
      <c r="B52" s="849" t="s">
        <v>1779</v>
      </c>
      <c r="C52" s="50" t="s">
        <v>2374</v>
      </c>
      <c r="D52" s="264">
        <f>'HIRE CHARGES'!D535</f>
        <v>117.8</v>
      </c>
      <c r="E52" s="264">
        <f>'HIRE CHARGES'!E535</f>
        <v>84.1</v>
      </c>
      <c r="F52" s="264">
        <f>'HIRE CHARGES'!F535</f>
        <v>210.9</v>
      </c>
      <c r="G52" s="264">
        <f t="shared" si="0"/>
        <v>412.79999999999995</v>
      </c>
      <c r="H52" s="60"/>
    </row>
    <row r="53" spans="1:8">
      <c r="A53" s="69">
        <v>45</v>
      </c>
      <c r="B53" s="849" t="s">
        <v>1811</v>
      </c>
      <c r="C53" s="50" t="s">
        <v>2374</v>
      </c>
      <c r="D53" s="264">
        <f>'HIRE CHARGES'!D536</f>
        <v>41.9</v>
      </c>
      <c r="E53" s="264">
        <f>'HIRE CHARGES'!E536</f>
        <v>112.1</v>
      </c>
      <c r="F53" s="264">
        <f>'HIRE CHARGES'!F536</f>
        <v>142</v>
      </c>
      <c r="G53" s="264">
        <f t="shared" si="0"/>
        <v>296</v>
      </c>
      <c r="H53" s="60"/>
    </row>
    <row r="54" spans="1:8">
      <c r="A54" s="69">
        <v>46</v>
      </c>
      <c r="B54" s="849" t="s">
        <v>6058</v>
      </c>
      <c r="C54" s="50" t="s">
        <v>2374</v>
      </c>
      <c r="D54" s="264">
        <f>'HIRE CHARGES'!D537</f>
        <v>171.1</v>
      </c>
      <c r="E54" s="264">
        <f>'HIRE CHARGES'!E537</f>
        <v>0</v>
      </c>
      <c r="F54" s="264">
        <f>'HIRE CHARGES'!F537</f>
        <v>86.8</v>
      </c>
      <c r="G54" s="264">
        <f t="shared" si="0"/>
        <v>257.89999999999998</v>
      </c>
      <c r="H54" s="60"/>
    </row>
    <row r="55" spans="1:8">
      <c r="A55" s="69">
        <v>47</v>
      </c>
      <c r="B55" s="849" t="s">
        <v>6059</v>
      </c>
      <c r="C55" s="50" t="s">
        <v>2374</v>
      </c>
      <c r="D55" s="264">
        <f>'HIRE CHARGES'!D538</f>
        <v>20.7</v>
      </c>
      <c r="E55" s="264">
        <f>'HIRE CHARGES'!E538</f>
        <v>0</v>
      </c>
      <c r="F55" s="264">
        <f>'HIRE CHARGES'!F538</f>
        <v>263.60000000000002</v>
      </c>
      <c r="G55" s="264">
        <f t="shared" si="0"/>
        <v>284.3</v>
      </c>
      <c r="H55" s="60"/>
    </row>
    <row r="56" spans="1:8">
      <c r="A56" s="69">
        <v>48</v>
      </c>
      <c r="B56" s="849" t="s">
        <v>6060</v>
      </c>
      <c r="C56" s="50" t="s">
        <v>2374</v>
      </c>
      <c r="D56" s="264">
        <f>'HIRE CHARGES'!D539</f>
        <v>6.4</v>
      </c>
      <c r="E56" s="264">
        <f>'HIRE CHARGES'!E539</f>
        <v>2.8</v>
      </c>
      <c r="F56" s="264">
        <f>'HIRE CHARGES'!F539</f>
        <v>0</v>
      </c>
      <c r="G56" s="264">
        <f t="shared" si="0"/>
        <v>9.1999999999999993</v>
      </c>
      <c r="H56" s="60"/>
    </row>
    <row r="57" spans="1:8">
      <c r="A57" s="69">
        <v>49</v>
      </c>
      <c r="B57" s="849" t="s">
        <v>6061</v>
      </c>
      <c r="C57" s="50" t="s">
        <v>2374</v>
      </c>
      <c r="D57" s="264">
        <f>'HIRE CHARGES'!D540</f>
        <v>12.7</v>
      </c>
      <c r="E57" s="264">
        <f>'HIRE CHARGES'!E540</f>
        <v>0</v>
      </c>
      <c r="F57" s="264">
        <f>'HIRE CHARGES'!F540</f>
        <v>0</v>
      </c>
      <c r="G57" s="264">
        <f t="shared" si="0"/>
        <v>12.7</v>
      </c>
      <c r="H57" s="60"/>
    </row>
    <row r="58" spans="1:8">
      <c r="A58" s="69">
        <v>50</v>
      </c>
      <c r="B58" s="849" t="s">
        <v>6062</v>
      </c>
      <c r="C58" s="50" t="s">
        <v>2374</v>
      </c>
      <c r="D58" s="264">
        <f>'HIRE CHARGES'!D541</f>
        <v>197.2</v>
      </c>
      <c r="E58" s="264">
        <f>'HIRE CHARGES'!E541</f>
        <v>714</v>
      </c>
      <c r="F58" s="264">
        <f>'HIRE CHARGES'!F541</f>
        <v>210.9</v>
      </c>
      <c r="G58" s="264">
        <f t="shared" si="0"/>
        <v>1122.1000000000001</v>
      </c>
      <c r="H58" s="60"/>
    </row>
    <row r="59" spans="1:8">
      <c r="A59" s="69">
        <v>51</v>
      </c>
      <c r="B59" s="849" t="s">
        <v>6063</v>
      </c>
      <c r="C59" s="50" t="s">
        <v>2374</v>
      </c>
      <c r="D59" s="264">
        <f>'HIRE CHARGES'!D542</f>
        <v>1003.1</v>
      </c>
      <c r="E59" s="264">
        <f>'HIRE CHARGES'!E542</f>
        <v>476</v>
      </c>
      <c r="F59" s="264">
        <f>'HIRE CHARGES'!F542</f>
        <v>236.6</v>
      </c>
      <c r="G59" s="264">
        <f t="shared" si="0"/>
        <v>1715.6999999999998</v>
      </c>
      <c r="H59" s="60"/>
    </row>
    <row r="60" spans="1:8">
      <c r="A60" s="69">
        <v>52</v>
      </c>
      <c r="B60" s="849" t="s">
        <v>6064</v>
      </c>
      <c r="C60" s="50" t="s">
        <v>2374</v>
      </c>
      <c r="D60" s="264">
        <f>'HIRE CHARGES'!D543</f>
        <v>1706.6</v>
      </c>
      <c r="E60" s="264">
        <f>'HIRE CHARGES'!E543</f>
        <v>872.7</v>
      </c>
      <c r="F60" s="264">
        <f>'HIRE CHARGES'!F543</f>
        <v>236.6</v>
      </c>
      <c r="G60" s="264">
        <f t="shared" si="0"/>
        <v>2815.9</v>
      </c>
      <c r="H60" s="60"/>
    </row>
    <row r="61" spans="1:8">
      <c r="A61" s="69">
        <v>53</v>
      </c>
      <c r="B61" s="849" t="s">
        <v>866</v>
      </c>
      <c r="C61" s="50" t="s">
        <v>2374</v>
      </c>
      <c r="D61" s="264">
        <f>'HIRE CHARGES'!D544</f>
        <v>86.1</v>
      </c>
      <c r="E61" s="264">
        <f>'HIRE CHARGES'!E544</f>
        <v>0</v>
      </c>
      <c r="F61" s="264">
        <f>'HIRE CHARGES'!F544</f>
        <v>0</v>
      </c>
      <c r="G61" s="264">
        <f t="shared" si="0"/>
        <v>86.1</v>
      </c>
      <c r="H61" s="60"/>
    </row>
    <row r="62" spans="1:8">
      <c r="A62" s="69">
        <v>54</v>
      </c>
      <c r="B62" s="849" t="s">
        <v>6282</v>
      </c>
      <c r="C62" s="50" t="s">
        <v>2374</v>
      </c>
      <c r="D62" s="264">
        <f>'HIRE CHARGES'!D545</f>
        <v>446.7</v>
      </c>
      <c r="E62" s="264">
        <f>'HIRE CHARGES'!E545</f>
        <v>299.89999999999998</v>
      </c>
      <c r="F62" s="264">
        <f>'HIRE CHARGES'!F545</f>
        <v>177.5</v>
      </c>
      <c r="G62" s="264">
        <f t="shared" si="0"/>
        <v>924.09999999999991</v>
      </c>
      <c r="H62" s="60"/>
    </row>
    <row r="63" spans="1:8">
      <c r="A63" s="69">
        <v>55</v>
      </c>
      <c r="B63" s="849" t="s">
        <v>4326</v>
      </c>
      <c r="C63" s="50" t="s">
        <v>2374</v>
      </c>
      <c r="D63" s="264">
        <f>'HIRE CHARGES'!D546</f>
        <v>64.2</v>
      </c>
      <c r="E63" s="264">
        <f>'HIRE CHARGES'!E546</f>
        <v>0</v>
      </c>
      <c r="F63" s="264">
        <f>'HIRE CHARGES'!F546</f>
        <v>0</v>
      </c>
      <c r="G63" s="264">
        <f t="shared" si="0"/>
        <v>64.2</v>
      </c>
      <c r="H63" s="60"/>
    </row>
    <row r="64" spans="1:8">
      <c r="A64" s="69">
        <v>56</v>
      </c>
      <c r="B64" s="849" t="s">
        <v>4327</v>
      </c>
      <c r="C64" s="50" t="s">
        <v>2374</v>
      </c>
      <c r="D64" s="264">
        <f>'HIRE CHARGES'!D547</f>
        <v>867.1</v>
      </c>
      <c r="E64" s="264">
        <f>'HIRE CHARGES'!E547</f>
        <v>145.69999999999999</v>
      </c>
      <c r="F64" s="264">
        <f>'HIRE CHARGES'!F547</f>
        <v>189.3</v>
      </c>
      <c r="G64" s="264">
        <f t="shared" si="0"/>
        <v>1202.0999999999999</v>
      </c>
      <c r="H64" s="60"/>
    </row>
    <row r="65" spans="1:9">
      <c r="A65" s="69">
        <v>57</v>
      </c>
      <c r="B65" s="849" t="s">
        <v>253</v>
      </c>
      <c r="C65" s="50" t="s">
        <v>2374</v>
      </c>
      <c r="D65" s="264">
        <f>'HIRE CHARGES'!D548</f>
        <v>5041</v>
      </c>
      <c r="E65" s="264">
        <f>'HIRE CHARGES'!E548</f>
        <v>0</v>
      </c>
      <c r="F65" s="264">
        <f>'HIRE CHARGES'!F548</f>
        <v>0</v>
      </c>
      <c r="G65" s="264">
        <f t="shared" si="0"/>
        <v>5041</v>
      </c>
      <c r="H65" s="60"/>
    </row>
    <row r="66" spans="1:9">
      <c r="A66" s="69">
        <v>58</v>
      </c>
      <c r="B66" s="849" t="s">
        <v>6283</v>
      </c>
      <c r="C66" s="50" t="s">
        <v>2374</v>
      </c>
      <c r="D66" s="264">
        <f>'HIRE CHARGES'!D549</f>
        <v>414.1</v>
      </c>
      <c r="E66" s="264">
        <f>'HIRE CHARGES'!E549</f>
        <v>299.89999999999998</v>
      </c>
      <c r="F66" s="264">
        <f>'HIRE CHARGES'!F549</f>
        <v>177.5</v>
      </c>
      <c r="G66" s="264">
        <f t="shared" si="0"/>
        <v>891.5</v>
      </c>
      <c r="H66" s="60"/>
    </row>
    <row r="67" spans="1:9">
      <c r="A67" s="69">
        <v>59</v>
      </c>
      <c r="B67" s="849" t="s">
        <v>6284</v>
      </c>
      <c r="C67" s="50" t="s">
        <v>2374</v>
      </c>
      <c r="D67" s="264">
        <f>'HIRE CHARGES'!D550</f>
        <v>519.69999999999993</v>
      </c>
      <c r="E67" s="264">
        <f>'HIRE CHARGES'!E550</f>
        <v>299.89999999999998</v>
      </c>
      <c r="F67" s="264">
        <f>'HIRE CHARGES'!F550</f>
        <v>177.5</v>
      </c>
      <c r="G67" s="264">
        <f t="shared" si="0"/>
        <v>997.09999999999991</v>
      </c>
      <c r="H67" s="60"/>
    </row>
    <row r="68" spans="1:9">
      <c r="A68" s="69">
        <v>60</v>
      </c>
      <c r="B68" s="849" t="s">
        <v>1463</v>
      </c>
      <c r="C68" s="50" t="s">
        <v>2374</v>
      </c>
      <c r="D68" s="264">
        <f>'HIRE CHARGES'!D551</f>
        <v>22.5</v>
      </c>
      <c r="E68" s="264">
        <f>'HIRE CHARGES'!E551</f>
        <v>28</v>
      </c>
      <c r="F68" s="264">
        <f>'HIRE CHARGES'!F551</f>
        <v>198.9</v>
      </c>
      <c r="G68" s="264">
        <f t="shared" si="0"/>
        <v>249.4</v>
      </c>
      <c r="H68" s="60"/>
    </row>
    <row r="69" spans="1:9">
      <c r="A69" s="69">
        <v>61</v>
      </c>
      <c r="B69" s="849" t="s">
        <v>256</v>
      </c>
      <c r="C69" s="50" t="s">
        <v>2374</v>
      </c>
      <c r="D69" s="264">
        <f>'HIRE CHARGES'!D552</f>
        <v>11.5</v>
      </c>
      <c r="E69" s="264">
        <f>'HIRE CHARGES'!E552</f>
        <v>112.1</v>
      </c>
      <c r="F69" s="264">
        <f>'HIRE CHARGES'!F552</f>
        <v>28.7</v>
      </c>
      <c r="G69" s="264">
        <f t="shared" si="0"/>
        <v>152.29999999999998</v>
      </c>
      <c r="H69" s="60"/>
    </row>
    <row r="70" spans="1:9">
      <c r="A70" s="69">
        <v>62</v>
      </c>
      <c r="B70" s="849" t="s">
        <v>257</v>
      </c>
      <c r="C70" s="50" t="s">
        <v>2374</v>
      </c>
      <c r="D70" s="264">
        <f>'HIRE CHARGES'!D553</f>
        <v>1342.2</v>
      </c>
      <c r="E70" s="264">
        <f>'HIRE CHARGES'!E553</f>
        <v>1031.4000000000001</v>
      </c>
      <c r="F70" s="264">
        <f>'HIRE CHARGES'!F553</f>
        <v>263.60000000000002</v>
      </c>
      <c r="G70" s="264">
        <f t="shared" si="0"/>
        <v>2637.2000000000003</v>
      </c>
      <c r="H70" s="60"/>
    </row>
    <row r="71" spans="1:9">
      <c r="A71" s="69">
        <v>63</v>
      </c>
      <c r="B71" s="849" t="s">
        <v>6285</v>
      </c>
      <c r="C71" s="50" t="s">
        <v>2374</v>
      </c>
      <c r="D71" s="264">
        <f>'HIRE CHARGES'!D554</f>
        <v>188.5</v>
      </c>
      <c r="E71" s="264">
        <f>'HIRE CHARGES'!E554</f>
        <v>0</v>
      </c>
      <c r="F71" s="264">
        <f>'HIRE CHARGES'!F554</f>
        <v>283.89999999999998</v>
      </c>
      <c r="G71" s="264">
        <f t="shared" si="0"/>
        <v>472.4</v>
      </c>
      <c r="H71" s="60"/>
    </row>
    <row r="72" spans="1:9">
      <c r="A72" s="69">
        <v>64</v>
      </c>
      <c r="B72" s="849" t="s">
        <v>6286</v>
      </c>
      <c r="C72" s="50" t="s">
        <v>2374</v>
      </c>
      <c r="D72" s="264">
        <f>'HIRE CHARGES'!D555</f>
        <v>402.5</v>
      </c>
      <c r="E72" s="264">
        <f>'HIRE CHARGES'!E555</f>
        <v>299.89999999999998</v>
      </c>
      <c r="F72" s="264">
        <f>'HIRE CHARGES'!F555</f>
        <v>177.5</v>
      </c>
      <c r="G72" s="264">
        <f t="shared" si="0"/>
        <v>879.9</v>
      </c>
      <c r="H72" s="60"/>
    </row>
    <row r="73" spans="1:9">
      <c r="A73" s="69">
        <v>65</v>
      </c>
      <c r="B73" s="849" t="s">
        <v>1338</v>
      </c>
      <c r="C73" s="50" t="s">
        <v>2374</v>
      </c>
      <c r="D73" s="264">
        <f>'HIRE CHARGES'!D556</f>
        <v>16</v>
      </c>
      <c r="E73" s="264">
        <f>'HIRE CHARGES'!E556</f>
        <v>67.2</v>
      </c>
      <c r="F73" s="264">
        <f>'HIRE CHARGES'!F556</f>
        <v>0</v>
      </c>
      <c r="G73" s="264">
        <f>SUM(D73:F73)</f>
        <v>83.2</v>
      </c>
      <c r="H73" s="60"/>
    </row>
    <row r="74" spans="1:9">
      <c r="A74" s="69">
        <v>66</v>
      </c>
      <c r="B74" s="849" t="s">
        <v>6287</v>
      </c>
      <c r="C74" s="297" t="s">
        <v>2374</v>
      </c>
      <c r="D74" s="264">
        <f>'HIRE CHARGES'!D557</f>
        <v>129.4</v>
      </c>
      <c r="E74" s="264">
        <f>'HIRE CHARGES'!E557</f>
        <v>137.30000000000001</v>
      </c>
      <c r="F74" s="264">
        <f>'HIRE CHARGES'!F557</f>
        <v>263.60000000000002</v>
      </c>
      <c r="G74" s="264">
        <f>SUM(D74:F74)</f>
        <v>530.30000000000007</v>
      </c>
      <c r="H74" s="60"/>
    </row>
    <row r="75" spans="1:9">
      <c r="A75" s="69">
        <v>67</v>
      </c>
      <c r="B75" s="849" t="s">
        <v>7653</v>
      </c>
      <c r="C75" s="50" t="s">
        <v>2374</v>
      </c>
      <c r="D75" s="50"/>
      <c r="E75" s="50"/>
      <c r="F75" s="50"/>
      <c r="G75" s="264">
        <f>'HIRE CHARGES'!G558</f>
        <v>345</v>
      </c>
      <c r="H75" s="60"/>
    </row>
    <row r="76" spans="1:9">
      <c r="A76" s="69">
        <v>68</v>
      </c>
      <c r="B76" s="849" t="s">
        <v>9338</v>
      </c>
      <c r="C76" s="50" t="s">
        <v>2374</v>
      </c>
      <c r="D76" s="264">
        <f>'HIRE CHARGES'!D559</f>
        <v>3096.8</v>
      </c>
      <c r="E76" s="264">
        <f>'HIRE CHARGES'!E559</f>
        <v>118.8</v>
      </c>
      <c r="F76" s="264">
        <f>'HIRE CHARGES'!F559</f>
        <v>526.70000000000005</v>
      </c>
      <c r="G76" s="264">
        <f>SUM(D76:F76)</f>
        <v>3742.3</v>
      </c>
      <c r="H76" s="60"/>
    </row>
    <row r="77" spans="1:9">
      <c r="A77" s="69">
        <v>69</v>
      </c>
      <c r="B77" s="849" t="s">
        <v>9337</v>
      </c>
      <c r="C77" s="50" t="s">
        <v>2374</v>
      </c>
      <c r="D77" s="264">
        <f>'HIRE CHARGES'!D560</f>
        <v>2278.1</v>
      </c>
      <c r="E77" s="264">
        <f>'HIRE CHARGES'!E560</f>
        <v>75</v>
      </c>
      <c r="F77" s="264">
        <f>'HIRE CHARGES'!F560</f>
        <v>526.70000000000005</v>
      </c>
      <c r="G77" s="264">
        <f>SUM(D77:F77)</f>
        <v>2879.8</v>
      </c>
      <c r="H77" s="60"/>
    </row>
    <row r="78" spans="1:9" ht="38.25" customHeight="1">
      <c r="A78" s="69">
        <v>70</v>
      </c>
      <c r="B78" s="845" t="s">
        <v>9294</v>
      </c>
      <c r="C78" s="50" t="s">
        <v>2374</v>
      </c>
      <c r="D78" s="264">
        <f>'HIRE CHARGES'!D561</f>
        <v>121.4</v>
      </c>
      <c r="E78" s="50"/>
      <c r="F78" s="50"/>
      <c r="G78" s="264">
        <f>SUM(D78:F78)</f>
        <v>121.4</v>
      </c>
    </row>
    <row r="79" spans="1:9">
      <c r="A79" s="69">
        <v>71</v>
      </c>
      <c r="B79" s="845" t="str">
        <f>'HIRE CHARGES'!B562</f>
        <v>Concrete Placer Pump 25 Cum/Hr</v>
      </c>
      <c r="C79" s="50" t="s">
        <v>2374</v>
      </c>
      <c r="D79" s="264">
        <f>'HIRE CHARGES'!D562</f>
        <v>1004.3</v>
      </c>
      <c r="E79" s="264">
        <f>'HIRE CHARGES'!E562</f>
        <v>336.2</v>
      </c>
      <c r="F79" s="264">
        <f>'HIRE CHARGES'!F562</f>
        <v>164.8</v>
      </c>
      <c r="G79" s="264">
        <f>SUM(D79:F79)</f>
        <v>1505.3</v>
      </c>
      <c r="H79" s="60"/>
      <c r="I79" s="61"/>
    </row>
    <row r="80" spans="1:9"/>
  </sheetData>
  <mergeCells count="9">
    <mergeCell ref="A2:E2"/>
    <mergeCell ref="B4:E4"/>
    <mergeCell ref="F6:F7"/>
    <mergeCell ref="G6:G7"/>
    <mergeCell ref="A6:A7"/>
    <mergeCell ref="B6:B7"/>
    <mergeCell ref="C6:C7"/>
    <mergeCell ref="D6:D7"/>
    <mergeCell ref="E6:E7"/>
  </mergeCells>
  <phoneticPr fontId="0" type="noConversion"/>
  <printOptions horizontalCentered="1"/>
  <pageMargins left="0.70866141732283505" right="0.70866141732283505" top="0.74803149606299202" bottom="0.74803149606299202" header="0.31496062992126" footer="0.31496062992126"/>
  <pageSetup paperSize="9" scale="68" firstPageNumber="358" orientation="portrait" useFirstPageNumber="1" r:id="rId1"/>
  <headerFooter>
    <oddHeader>&amp;RHire Charges- for the year 2016-17</oddHeader>
    <oddFooter>&amp;R&amp;18&amp;P</oddFooter>
  </headerFooter>
</worksheet>
</file>

<file path=xl/worksheets/sheet15.xml><?xml version="1.0" encoding="utf-8"?>
<worksheet xmlns="http://schemas.openxmlformats.org/spreadsheetml/2006/main" xmlns:r="http://schemas.openxmlformats.org/officeDocument/2006/relationships">
  <sheetPr codeName="Sheet2"/>
  <dimension ref="A2:M562"/>
  <sheetViews>
    <sheetView showGridLines="0" topLeftCell="A292" workbookViewId="0">
      <selection activeCell="B299" sqref="B299"/>
    </sheetView>
  </sheetViews>
  <sheetFormatPr defaultColWidth="0" defaultRowHeight="12.75"/>
  <cols>
    <col min="1" max="1" width="6.28515625" style="15" customWidth="1"/>
    <col min="2" max="2" width="41.7109375" style="1" customWidth="1"/>
    <col min="3" max="3" width="12.7109375" style="1" customWidth="1"/>
    <col min="4" max="4" width="15" style="1" customWidth="1"/>
    <col min="5" max="5" width="12.5703125" style="1" customWidth="1"/>
    <col min="6" max="6" width="12.85546875" style="1" customWidth="1"/>
    <col min="7" max="7" width="10.7109375" style="1" customWidth="1"/>
    <col min="8" max="8" width="9.7109375" style="1" customWidth="1"/>
    <col min="9" max="9" width="0" style="1" hidden="1" customWidth="1"/>
    <col min="10" max="10" width="0" style="954" hidden="1" customWidth="1"/>
    <col min="11" max="16384" width="0" style="1" hidden="1"/>
  </cols>
  <sheetData>
    <row r="2" spans="1:5">
      <c r="A2" s="1196" t="s">
        <v>2845</v>
      </c>
      <c r="B2" s="1196"/>
      <c r="C2" s="1196"/>
      <c r="D2" s="1196"/>
      <c r="E2" s="1196"/>
    </row>
    <row r="3" spans="1:5">
      <c r="A3" s="2"/>
      <c r="B3" s="2"/>
      <c r="C3" s="2"/>
      <c r="D3" s="2"/>
      <c r="E3" s="2"/>
    </row>
    <row r="4" spans="1:5">
      <c r="B4" s="1196" t="s">
        <v>9884</v>
      </c>
      <c r="C4" s="1196"/>
      <c r="D4" s="1196"/>
      <c r="E4" s="1196"/>
    </row>
    <row r="5" spans="1:5" ht="13.5" thickBot="1">
      <c r="A5" s="1196" t="s">
        <v>2846</v>
      </c>
      <c r="B5" s="1196"/>
      <c r="C5" s="1196"/>
      <c r="D5" s="1196"/>
      <c r="E5" s="1196"/>
    </row>
    <row r="6" spans="1:5">
      <c r="A6" s="1290" t="s">
        <v>2847</v>
      </c>
      <c r="B6" s="1293" t="s">
        <v>2848</v>
      </c>
      <c r="C6" s="1298" t="s">
        <v>6195</v>
      </c>
      <c r="D6" s="1300" t="s">
        <v>6196</v>
      </c>
      <c r="E6" s="1296" t="s">
        <v>6197</v>
      </c>
    </row>
    <row r="7" spans="1:5">
      <c r="A7" s="1291"/>
      <c r="B7" s="1294"/>
      <c r="C7" s="1299"/>
      <c r="D7" s="1301" t="s">
        <v>6198</v>
      </c>
      <c r="E7" s="1297" t="s">
        <v>6199</v>
      </c>
    </row>
    <row r="8" spans="1:5" ht="13.5" thickBot="1">
      <c r="A8" s="1292"/>
      <c r="B8" s="1295"/>
      <c r="C8" s="1028" t="s">
        <v>6200</v>
      </c>
      <c r="D8" s="1029" t="s">
        <v>6201</v>
      </c>
      <c r="E8" s="1030" t="s">
        <v>6201</v>
      </c>
    </row>
    <row r="9" spans="1:5">
      <c r="A9" s="1031">
        <v>1</v>
      </c>
      <c r="B9" s="1032" t="s">
        <v>6202</v>
      </c>
      <c r="C9" s="1032">
        <f>'BASIC DATA'!D216</f>
        <v>2150000</v>
      </c>
      <c r="D9" s="1033">
        <f>'BASIC DATA'!C494</f>
        <v>510</v>
      </c>
      <c r="E9" s="1033">
        <f>'BASIC DATA'!C536</f>
        <v>400</v>
      </c>
    </row>
    <row r="10" spans="1:5">
      <c r="A10" s="20"/>
      <c r="B10" s="3" t="s">
        <v>6203</v>
      </c>
      <c r="C10" s="3">
        <f>'BASIC DATA'!D217</f>
        <v>86000</v>
      </c>
      <c r="D10" s="948"/>
      <c r="E10" s="948"/>
    </row>
    <row r="11" spans="1:5">
      <c r="A11" s="20">
        <v>2</v>
      </c>
      <c r="B11" s="3" t="s">
        <v>6204</v>
      </c>
      <c r="C11" s="3">
        <f>'BASIC DATA'!D218</f>
        <v>710000</v>
      </c>
      <c r="D11" s="948">
        <f>'BASIC DATA'!C476</f>
        <v>445</v>
      </c>
      <c r="E11" s="948">
        <f>'BASIC DATA'!C518</f>
        <v>400</v>
      </c>
    </row>
    <row r="12" spans="1:5">
      <c r="A12" s="20">
        <v>3</v>
      </c>
      <c r="B12" s="3" t="s">
        <v>6205</v>
      </c>
      <c r="C12" s="3">
        <f>'BASIC DATA'!D219</f>
        <v>950000</v>
      </c>
      <c r="D12" s="948">
        <f>'BASIC DATA'!C476</f>
        <v>445</v>
      </c>
      <c r="E12" s="948">
        <f>'BASIC DATA'!C518</f>
        <v>400</v>
      </c>
    </row>
    <row r="13" spans="1:5">
      <c r="A13" s="20">
        <v>4</v>
      </c>
      <c r="B13" s="3" t="s">
        <v>6206</v>
      </c>
      <c r="C13" s="3">
        <f>'BASIC DATA'!D220</f>
        <v>865000</v>
      </c>
      <c r="D13" s="948">
        <f>'BASIC DATA'!C476</f>
        <v>445</v>
      </c>
      <c r="E13" s="948">
        <f>'BASIC DATA'!C518</f>
        <v>400</v>
      </c>
    </row>
    <row r="14" spans="1:5">
      <c r="A14" s="20">
        <v>5</v>
      </c>
      <c r="B14" s="3" t="s">
        <v>2062</v>
      </c>
      <c r="C14" s="3">
        <f>'BASIC DATA'!D221</f>
        <v>1085000</v>
      </c>
      <c r="D14" s="948">
        <f>'BASIC DATA'!C476</f>
        <v>445</v>
      </c>
      <c r="E14" s="948">
        <f>'BASIC DATA'!C518</f>
        <v>400</v>
      </c>
    </row>
    <row r="15" spans="1:5">
      <c r="A15" s="20">
        <v>6</v>
      </c>
      <c r="B15" s="3" t="s">
        <v>677</v>
      </c>
      <c r="C15" s="3">
        <f>'BASIC DATA'!D222</f>
        <v>1120000</v>
      </c>
      <c r="D15" s="948">
        <f>'BASIC DATA'!C476</f>
        <v>445</v>
      </c>
      <c r="E15" s="948">
        <f>'BASIC DATA'!C518</f>
        <v>400</v>
      </c>
    </row>
    <row r="16" spans="1:5">
      <c r="A16" s="20">
        <v>7</v>
      </c>
      <c r="B16" s="3" t="s">
        <v>678</v>
      </c>
      <c r="C16" s="3">
        <f>'BASIC DATA'!D223</f>
        <v>1370000</v>
      </c>
      <c r="D16" s="948">
        <f>'BASIC DATA'!C476</f>
        <v>445</v>
      </c>
      <c r="E16" s="948">
        <f>'BASIC DATA'!C518</f>
        <v>400</v>
      </c>
    </row>
    <row r="17" spans="1:5">
      <c r="A17" s="20">
        <v>8</v>
      </c>
      <c r="B17" s="3" t="s">
        <v>6666</v>
      </c>
      <c r="C17" s="3">
        <f>'BASIC DATA'!D224</f>
        <v>5475000</v>
      </c>
      <c r="D17" s="948">
        <f>'BASIC DATA'!C491</f>
        <v>510</v>
      </c>
      <c r="E17" s="948">
        <f>'BASIC DATA'!C534</f>
        <v>400</v>
      </c>
    </row>
    <row r="18" spans="1:5">
      <c r="A18" s="20">
        <v>9</v>
      </c>
      <c r="B18" s="3" t="s">
        <v>6208</v>
      </c>
      <c r="C18" s="3">
        <f>'BASIC DATA'!D225</f>
        <v>1200000</v>
      </c>
      <c r="D18" s="948">
        <f>'BASIC DATA'!C477</f>
        <v>510</v>
      </c>
      <c r="E18" s="948">
        <f>'BASIC DATA'!C519</f>
        <v>400</v>
      </c>
    </row>
    <row r="19" spans="1:5">
      <c r="A19" s="20">
        <v>10</v>
      </c>
      <c r="B19" s="3" t="s">
        <v>6209</v>
      </c>
      <c r="C19" s="3">
        <f>'BASIC DATA'!D226</f>
        <v>4245000</v>
      </c>
      <c r="D19" s="948">
        <f>'BASIC DATA'!C477</f>
        <v>510</v>
      </c>
      <c r="E19" s="948">
        <f>'BASIC DATA'!C519</f>
        <v>400</v>
      </c>
    </row>
    <row r="20" spans="1:5">
      <c r="A20" s="20">
        <v>11</v>
      </c>
      <c r="B20" s="3" t="s">
        <v>6210</v>
      </c>
      <c r="C20" s="3">
        <f>'BASIC DATA'!D227</f>
        <v>6500000</v>
      </c>
      <c r="D20" s="948">
        <f>'BASIC DATA'!C477</f>
        <v>510</v>
      </c>
      <c r="E20" s="948">
        <f>'BASIC DATA'!C519</f>
        <v>400</v>
      </c>
    </row>
    <row r="21" spans="1:5">
      <c r="A21" s="20">
        <v>12</v>
      </c>
      <c r="B21" s="3" t="s">
        <v>6027</v>
      </c>
      <c r="C21" s="3">
        <f>'BASIC DATA'!D228</f>
        <v>530000</v>
      </c>
      <c r="D21" s="948">
        <f>'BASIC DATA'!C489</f>
        <v>445</v>
      </c>
      <c r="E21" s="948">
        <f>'BASIC DATA'!C522</f>
        <v>400</v>
      </c>
    </row>
    <row r="22" spans="1:5">
      <c r="A22" s="20">
        <v>13</v>
      </c>
      <c r="B22" s="1" t="s">
        <v>1872</v>
      </c>
      <c r="C22" s="3">
        <f>'BASIC DATA'!D229</f>
        <v>30000</v>
      </c>
      <c r="D22" s="948"/>
      <c r="E22" s="948"/>
    </row>
    <row r="23" spans="1:5">
      <c r="A23" s="20">
        <v>14</v>
      </c>
      <c r="B23" s="3" t="s">
        <v>6912</v>
      </c>
      <c r="C23" s="3">
        <f>'BASIC DATA'!D230</f>
        <v>56000</v>
      </c>
      <c r="D23" s="948"/>
      <c r="E23" s="948"/>
    </row>
    <row r="24" spans="1:5">
      <c r="A24" s="20">
        <v>15</v>
      </c>
      <c r="B24" s="3" t="s">
        <v>2769</v>
      </c>
      <c r="C24" s="3">
        <f>'BASIC DATA'!D231</f>
        <v>15500</v>
      </c>
      <c r="D24" s="948"/>
      <c r="E24" s="948"/>
    </row>
    <row r="25" spans="1:5">
      <c r="A25" s="20">
        <v>16</v>
      </c>
      <c r="B25" s="3" t="s">
        <v>679</v>
      </c>
      <c r="C25" s="3">
        <f>'BASIC DATA'!D232</f>
        <v>150000</v>
      </c>
      <c r="D25" s="948">
        <f>'BASIC DATA'!C479</f>
        <v>445</v>
      </c>
      <c r="E25" s="948">
        <f>'BASIC DATA'!C524</f>
        <v>400</v>
      </c>
    </row>
    <row r="26" spans="1:5">
      <c r="A26" s="20">
        <v>17</v>
      </c>
      <c r="B26" s="3" t="s">
        <v>6551</v>
      </c>
      <c r="C26" s="3">
        <f>'BASIC DATA'!D233</f>
        <v>145000</v>
      </c>
      <c r="D26" s="948">
        <f>'BASIC DATA'!C479</f>
        <v>445</v>
      </c>
      <c r="E26" s="948">
        <f>'BASIC DATA'!C524</f>
        <v>400</v>
      </c>
    </row>
    <row r="27" spans="1:5">
      <c r="A27" s="20">
        <v>18</v>
      </c>
      <c r="B27" s="3" t="s">
        <v>6552</v>
      </c>
      <c r="C27" s="3">
        <f>'BASIC DATA'!D234</f>
        <v>260000</v>
      </c>
      <c r="D27" s="948">
        <f>'BASIC DATA'!C479</f>
        <v>445</v>
      </c>
      <c r="E27" s="948">
        <f>'BASIC DATA'!C524</f>
        <v>400</v>
      </c>
    </row>
    <row r="28" spans="1:5">
      <c r="A28" s="20">
        <v>19</v>
      </c>
      <c r="B28" s="3" t="s">
        <v>6553</v>
      </c>
      <c r="C28" s="3">
        <f>'BASIC DATA'!D235</f>
        <v>255000</v>
      </c>
      <c r="D28" s="948">
        <f>'BASIC DATA'!C479</f>
        <v>445</v>
      </c>
      <c r="E28" s="948">
        <f>'BASIC DATA'!C524</f>
        <v>400</v>
      </c>
    </row>
    <row r="29" spans="1:5">
      <c r="A29" s="20">
        <v>20</v>
      </c>
      <c r="B29" s="3" t="s">
        <v>2384</v>
      </c>
      <c r="C29" s="3">
        <f>'BASIC DATA'!D236</f>
        <v>2361000</v>
      </c>
      <c r="D29" s="948">
        <f>'BASIC DATA'!C480</f>
        <v>445</v>
      </c>
      <c r="E29" s="948">
        <f>'BASIC DATA'!C525</f>
        <v>400</v>
      </c>
    </row>
    <row r="30" spans="1:5">
      <c r="A30" s="20">
        <v>21</v>
      </c>
      <c r="B30" s="3" t="s">
        <v>3090</v>
      </c>
      <c r="C30" s="3">
        <f>'BASIC DATA'!D237</f>
        <v>3855000</v>
      </c>
      <c r="D30" s="948">
        <f>'BASIC DATA'!C493</f>
        <v>445</v>
      </c>
      <c r="E30" s="948">
        <f>'BASIC DATA'!C535</f>
        <v>400</v>
      </c>
    </row>
    <row r="31" spans="1:5">
      <c r="A31" s="20"/>
      <c r="B31" s="3" t="s">
        <v>6203</v>
      </c>
      <c r="C31" s="3">
        <f>'BASIC DATA'!D238</f>
        <v>86000</v>
      </c>
      <c r="D31" s="948"/>
      <c r="E31" s="948"/>
    </row>
    <row r="32" spans="1:5">
      <c r="A32" s="20">
        <v>22</v>
      </c>
      <c r="B32" s="3" t="s">
        <v>2941</v>
      </c>
      <c r="C32" s="3">
        <f>'BASIC DATA'!D239</f>
        <v>1100000</v>
      </c>
      <c r="D32" s="948">
        <f>'BASIC DATA'!C482</f>
        <v>510</v>
      </c>
      <c r="E32" s="948">
        <f>'BASIC DATA'!C526</f>
        <v>400</v>
      </c>
    </row>
    <row r="33" spans="1:5">
      <c r="A33" s="20">
        <v>23</v>
      </c>
      <c r="B33" s="3" t="s">
        <v>2942</v>
      </c>
      <c r="C33" s="3">
        <f>'BASIC DATA'!D240</f>
        <v>495000</v>
      </c>
      <c r="D33" s="948">
        <f>'BASIC DATA'!C476</f>
        <v>445</v>
      </c>
      <c r="E33" s="948">
        <f>'BASIC DATA'!C518</f>
        <v>400</v>
      </c>
    </row>
    <row r="34" spans="1:5">
      <c r="A34" s="20">
        <v>24</v>
      </c>
      <c r="B34" s="3" t="s">
        <v>1374</v>
      </c>
      <c r="C34" s="3">
        <f>'BASIC DATA'!D241</f>
        <v>640000</v>
      </c>
      <c r="D34" s="948">
        <f>'BASIC DATA'!C476</f>
        <v>445</v>
      </c>
      <c r="E34" s="948">
        <f>'BASIC DATA'!C518</f>
        <v>400</v>
      </c>
    </row>
    <row r="35" spans="1:5">
      <c r="A35" s="20">
        <v>25</v>
      </c>
      <c r="B35" s="3" t="s">
        <v>1375</v>
      </c>
      <c r="C35" s="3">
        <f>'BASIC DATA'!D242</f>
        <v>2120000</v>
      </c>
      <c r="D35" s="948">
        <f>'BASIC DATA'!C484</f>
        <v>445</v>
      </c>
      <c r="E35" s="948">
        <f>'BASIC DATA'!C528</f>
        <v>400</v>
      </c>
    </row>
    <row r="36" spans="1:5">
      <c r="A36" s="20">
        <v>26</v>
      </c>
      <c r="B36" s="3" t="s">
        <v>3091</v>
      </c>
      <c r="C36" s="3">
        <f>'BASIC DATA'!D243</f>
        <v>40000</v>
      </c>
      <c r="D36" s="948">
        <f>'BASIC DATA'!C487</f>
        <v>445</v>
      </c>
      <c r="E36" s="948"/>
    </row>
    <row r="37" spans="1:5">
      <c r="A37" s="20">
        <v>27</v>
      </c>
      <c r="B37" s="3" t="s">
        <v>3092</v>
      </c>
      <c r="C37" s="3">
        <f>'BASIC DATA'!D244</f>
        <v>24500</v>
      </c>
      <c r="D37" s="948">
        <f>'BASIC DATA'!C487</f>
        <v>445</v>
      </c>
      <c r="E37" s="948"/>
    </row>
    <row r="38" spans="1:5">
      <c r="A38" s="20">
        <v>28</v>
      </c>
      <c r="B38" s="3" t="s">
        <v>3093</v>
      </c>
      <c r="C38" s="3">
        <f>'BASIC DATA'!D245</f>
        <v>60000</v>
      </c>
      <c r="D38" s="948">
        <f>'BASIC DATA'!C487</f>
        <v>445</v>
      </c>
      <c r="E38" s="948"/>
    </row>
    <row r="39" spans="1:5">
      <c r="A39" s="20">
        <v>29</v>
      </c>
      <c r="B39" s="3" t="s">
        <v>7099</v>
      </c>
      <c r="C39" s="3">
        <f>'BASIC DATA'!D246</f>
        <v>55000</v>
      </c>
      <c r="D39" s="948">
        <f>'BASIC DATA'!C487</f>
        <v>445</v>
      </c>
      <c r="E39" s="948"/>
    </row>
    <row r="40" spans="1:5">
      <c r="A40" s="20">
        <v>30</v>
      </c>
      <c r="B40" s="3" t="s">
        <v>7100</v>
      </c>
      <c r="C40" s="3">
        <f>'BASIC DATA'!D247</f>
        <v>190000</v>
      </c>
      <c r="D40" s="948">
        <f>'BASIC DATA'!C487</f>
        <v>445</v>
      </c>
      <c r="E40" s="948"/>
    </row>
    <row r="41" spans="1:5">
      <c r="A41" s="20">
        <v>31</v>
      </c>
      <c r="B41" s="3" t="s">
        <v>676</v>
      </c>
      <c r="C41" s="3">
        <f>'BASIC DATA'!D248</f>
        <v>100000</v>
      </c>
      <c r="D41" s="948">
        <f>'BASIC DATA'!C487</f>
        <v>445</v>
      </c>
      <c r="E41" s="948"/>
    </row>
    <row r="42" spans="1:5">
      <c r="A42" s="20">
        <v>32</v>
      </c>
      <c r="B42" s="3" t="s">
        <v>2080</v>
      </c>
      <c r="C42" s="3">
        <f>'BASIC DATA'!D249</f>
        <v>1058000</v>
      </c>
      <c r="D42" s="948">
        <f>'BASIC DATA'!C497</f>
        <v>510</v>
      </c>
      <c r="E42" s="948">
        <f>'BASIC DATA'!C539</f>
        <v>400</v>
      </c>
    </row>
    <row r="43" spans="1:5">
      <c r="A43" s="20">
        <v>33</v>
      </c>
      <c r="B43" s="3" t="s">
        <v>7102</v>
      </c>
      <c r="C43" s="3">
        <f>'BASIC DATA'!D250</f>
        <v>1302000</v>
      </c>
      <c r="D43" s="948">
        <f>'BASIC DATA'!C484</f>
        <v>445</v>
      </c>
      <c r="E43" s="948">
        <f>'BASIC DATA'!C528</f>
        <v>400</v>
      </c>
    </row>
    <row r="44" spans="1:5">
      <c r="A44" s="20"/>
      <c r="B44" s="3" t="s">
        <v>6203</v>
      </c>
      <c r="C44" s="3">
        <f>'BASIC DATA'!D251</f>
        <v>86000</v>
      </c>
      <c r="D44" s="948"/>
      <c r="E44" s="948"/>
    </row>
    <row r="45" spans="1:5">
      <c r="A45" s="20">
        <v>34</v>
      </c>
      <c r="B45" s="3" t="s">
        <v>7103</v>
      </c>
      <c r="C45" s="3">
        <f>'BASIC DATA'!D252</f>
        <v>1450000</v>
      </c>
      <c r="D45" s="948">
        <f>'BASIC DATA'!C494</f>
        <v>510</v>
      </c>
      <c r="E45" s="948">
        <f>'BASIC DATA'!C536</f>
        <v>400</v>
      </c>
    </row>
    <row r="46" spans="1:5">
      <c r="A46" s="20"/>
      <c r="B46" s="3" t="s">
        <v>6203</v>
      </c>
      <c r="C46" s="3">
        <f>'BASIC DATA'!D253</f>
        <v>86000</v>
      </c>
      <c r="D46" s="948"/>
      <c r="E46" s="948"/>
    </row>
    <row r="47" spans="1:5">
      <c r="A47" s="20">
        <v>35</v>
      </c>
      <c r="B47" s="3" t="s">
        <v>4304</v>
      </c>
      <c r="C47" s="3">
        <f>'BASIC DATA'!D254</f>
        <v>475000</v>
      </c>
      <c r="D47" s="948"/>
      <c r="E47" s="948"/>
    </row>
    <row r="48" spans="1:5">
      <c r="A48" s="20">
        <v>36</v>
      </c>
      <c r="B48" s="3" t="s">
        <v>2248</v>
      </c>
      <c r="C48" s="3">
        <f>'BASIC DATA'!D255</f>
        <v>102000</v>
      </c>
      <c r="D48" s="948">
        <f>'BASIC DATA'!C485</f>
        <v>445</v>
      </c>
      <c r="E48" s="948">
        <f>'BASIC DATA'!C530</f>
        <v>400</v>
      </c>
    </row>
    <row r="49" spans="1:5">
      <c r="A49" s="20">
        <v>37</v>
      </c>
      <c r="B49" s="3" t="s">
        <v>4305</v>
      </c>
      <c r="C49" s="3">
        <f>'BASIC DATA'!D256</f>
        <v>280000</v>
      </c>
      <c r="D49" s="948">
        <f>'BASIC DATA'!C485</f>
        <v>445</v>
      </c>
      <c r="E49" s="948">
        <f>'BASIC DATA'!C530</f>
        <v>400</v>
      </c>
    </row>
    <row r="50" spans="1:5">
      <c r="A50" s="20">
        <v>38</v>
      </c>
      <c r="B50" s="3" t="s">
        <v>4306</v>
      </c>
      <c r="C50" s="3">
        <f>'BASIC DATA'!D257</f>
        <v>2280000</v>
      </c>
      <c r="D50" s="948">
        <f>'BASIC DATA'!C481</f>
        <v>445</v>
      </c>
      <c r="E50" s="948">
        <f>'BASIC DATA'!C524</f>
        <v>400</v>
      </c>
    </row>
    <row r="51" spans="1:5">
      <c r="A51" s="20">
        <v>39</v>
      </c>
      <c r="B51" s="3" t="s">
        <v>6243</v>
      </c>
      <c r="C51" s="3">
        <f>'BASIC DATA'!D258</f>
        <v>65000</v>
      </c>
      <c r="D51" s="948">
        <f>'BASIC DATA'!C486</f>
        <v>445</v>
      </c>
      <c r="E51" s="948">
        <f>'BASIC DATA'!C531</f>
        <v>400</v>
      </c>
    </row>
    <row r="52" spans="1:5">
      <c r="A52" s="20">
        <v>40</v>
      </c>
      <c r="B52" s="3" t="s">
        <v>4307</v>
      </c>
      <c r="C52" s="3">
        <f>'BASIC DATA'!D259</f>
        <v>20000</v>
      </c>
      <c r="D52" s="948">
        <f>'BASIC DATA'!C495</f>
        <v>445</v>
      </c>
      <c r="E52" s="948">
        <f>'BASIC DATA'!C537</f>
        <v>400</v>
      </c>
    </row>
    <row r="53" spans="1:5">
      <c r="A53" s="20">
        <v>41</v>
      </c>
      <c r="B53" s="3" t="s">
        <v>863</v>
      </c>
      <c r="C53" s="3">
        <f>'BASIC DATA'!D260</f>
        <v>21000</v>
      </c>
      <c r="D53" s="948">
        <f>'BASIC DATA'!C495</f>
        <v>445</v>
      </c>
      <c r="E53" s="948">
        <f>'BASIC DATA'!C537</f>
        <v>400</v>
      </c>
    </row>
    <row r="54" spans="1:5">
      <c r="A54" s="20">
        <v>42</v>
      </c>
      <c r="B54" s="3" t="s">
        <v>864</v>
      </c>
      <c r="C54" s="3">
        <f>'BASIC DATA'!D261</f>
        <v>21500</v>
      </c>
      <c r="D54" s="948">
        <f>'BASIC DATA'!C495</f>
        <v>445</v>
      </c>
      <c r="E54" s="948">
        <f>'BASIC DATA'!C537</f>
        <v>400</v>
      </c>
    </row>
    <row r="55" spans="1:5">
      <c r="A55" s="20">
        <v>43</v>
      </c>
      <c r="B55" s="3" t="s">
        <v>865</v>
      </c>
      <c r="C55" s="3">
        <f>'BASIC DATA'!D262</f>
        <v>25500</v>
      </c>
      <c r="D55" s="948">
        <f>'BASIC DATA'!C495</f>
        <v>445</v>
      </c>
      <c r="E55" s="948">
        <f>'BASIC DATA'!C537</f>
        <v>400</v>
      </c>
    </row>
    <row r="56" spans="1:5">
      <c r="A56" s="20">
        <v>44</v>
      </c>
      <c r="B56" s="3" t="s">
        <v>1779</v>
      </c>
      <c r="C56" s="3">
        <f>'BASIC DATA'!D263</f>
        <v>780000</v>
      </c>
      <c r="D56" s="948">
        <f>'BASIC DATA'!C489</f>
        <v>445</v>
      </c>
      <c r="E56" s="948">
        <f>'BASIC DATA'!C522</f>
        <v>400</v>
      </c>
    </row>
    <row r="57" spans="1:5">
      <c r="A57" s="20">
        <v>45</v>
      </c>
      <c r="B57" s="3" t="s">
        <v>1811</v>
      </c>
      <c r="C57" s="3">
        <f>'BASIC DATA'!D264</f>
        <v>425000</v>
      </c>
      <c r="D57" s="948">
        <f>'BASIC DATA'!C488</f>
        <v>510</v>
      </c>
      <c r="E57" s="948">
        <f>'BASIC DATA'!C522</f>
        <v>400</v>
      </c>
    </row>
    <row r="58" spans="1:5">
      <c r="A58" s="20">
        <v>46</v>
      </c>
      <c r="B58" s="3" t="s">
        <v>6058</v>
      </c>
      <c r="C58" s="3">
        <f>'BASIC DATA'!D265</f>
        <v>580000</v>
      </c>
      <c r="D58" s="948">
        <f>'BASIC DATA'!C481</f>
        <v>445</v>
      </c>
      <c r="E58" s="948"/>
    </row>
    <row r="59" spans="1:5">
      <c r="A59" s="20">
        <v>47</v>
      </c>
      <c r="B59" s="3" t="s">
        <v>6059</v>
      </c>
      <c r="C59" s="3">
        <f>'BASIC DATA'!D266</f>
        <v>85000</v>
      </c>
      <c r="D59" s="948">
        <f>'BASIC DATA'!C486</f>
        <v>445</v>
      </c>
      <c r="E59" s="948">
        <f>'BASIC DATA'!C531</f>
        <v>400</v>
      </c>
    </row>
    <row r="60" spans="1:5">
      <c r="A60" s="20">
        <v>48</v>
      </c>
      <c r="B60" s="3" t="s">
        <v>6060</v>
      </c>
      <c r="C60" s="3">
        <f>'BASIC DATA'!D267</f>
        <v>16000</v>
      </c>
      <c r="D60" s="948"/>
      <c r="E60" s="948"/>
    </row>
    <row r="61" spans="1:5">
      <c r="A61" s="20">
        <v>49</v>
      </c>
      <c r="B61" s="3" t="s">
        <v>6061</v>
      </c>
      <c r="C61" s="3">
        <f>'BASIC DATA'!D268</f>
        <v>52000</v>
      </c>
      <c r="D61" s="948"/>
      <c r="E61" s="948"/>
    </row>
    <row r="62" spans="1:5">
      <c r="A62" s="20">
        <v>50</v>
      </c>
      <c r="B62" s="3" t="s">
        <v>6062</v>
      </c>
      <c r="C62" s="3">
        <f>'BASIC DATA'!D269</f>
        <v>850000</v>
      </c>
      <c r="D62" s="948">
        <f>'BASIC DATA'!C490</f>
        <v>445</v>
      </c>
      <c r="E62" s="948">
        <f>'BASIC DATA'!C533</f>
        <v>400</v>
      </c>
    </row>
    <row r="63" spans="1:5">
      <c r="A63" s="20">
        <v>51</v>
      </c>
      <c r="B63" s="3" t="s">
        <v>6063</v>
      </c>
      <c r="C63" s="3">
        <f>'BASIC DATA'!D270</f>
        <v>3750000</v>
      </c>
      <c r="D63" s="948">
        <f>'BASIC DATA'!C491</f>
        <v>510</v>
      </c>
      <c r="E63" s="948">
        <f>'BASIC DATA'!C534</f>
        <v>400</v>
      </c>
    </row>
    <row r="64" spans="1:5">
      <c r="A64" s="20">
        <v>52</v>
      </c>
      <c r="B64" s="3" t="s">
        <v>6064</v>
      </c>
      <c r="C64" s="3">
        <f>'BASIC DATA'!D271</f>
        <v>6380000</v>
      </c>
      <c r="D64" s="948">
        <f>'BASIC DATA'!C491</f>
        <v>510</v>
      </c>
      <c r="E64" s="948">
        <f>'BASIC DATA'!C534</f>
        <v>400</v>
      </c>
    </row>
    <row r="65" spans="1:5">
      <c r="A65" s="20">
        <v>53</v>
      </c>
      <c r="B65" s="3" t="s">
        <v>866</v>
      </c>
      <c r="C65" s="3">
        <f>'BASIC DATA'!D272</f>
        <v>653000</v>
      </c>
      <c r="D65" s="948"/>
      <c r="E65" s="948"/>
    </row>
    <row r="66" spans="1:5">
      <c r="A66" s="20">
        <v>54</v>
      </c>
      <c r="B66" s="3" t="s">
        <v>6282</v>
      </c>
      <c r="C66" s="3">
        <f>'BASIC DATA'!D273</f>
        <v>1625000</v>
      </c>
      <c r="D66" s="948">
        <f>'BASIC DATA'!C494</f>
        <v>510</v>
      </c>
      <c r="E66" s="948">
        <f>'BASIC DATA'!C536</f>
        <v>400</v>
      </c>
    </row>
    <row r="67" spans="1:5">
      <c r="A67" s="20"/>
      <c r="B67" s="3" t="s">
        <v>6203</v>
      </c>
      <c r="C67" s="3">
        <f>'BASIC DATA'!D274</f>
        <v>86000</v>
      </c>
      <c r="D67" s="948"/>
      <c r="E67" s="948"/>
    </row>
    <row r="68" spans="1:5">
      <c r="A68" s="20">
        <v>55</v>
      </c>
      <c r="B68" s="3" t="s">
        <v>4326</v>
      </c>
      <c r="C68" s="3">
        <f>'BASIC DATA'!D275</f>
        <v>240000</v>
      </c>
      <c r="D68" s="948"/>
      <c r="E68" s="948"/>
    </row>
    <row r="69" spans="1:5">
      <c r="A69" s="20">
        <v>56</v>
      </c>
      <c r="B69" s="3" t="s">
        <v>4327</v>
      </c>
      <c r="C69" s="3">
        <f>'BASIC DATA'!D276</f>
        <v>7475000</v>
      </c>
      <c r="D69" s="948">
        <f>'BASIC DATA'!C483</f>
        <v>510</v>
      </c>
      <c r="E69" s="948">
        <f>'BASIC DATA'!C529</f>
        <v>400</v>
      </c>
    </row>
    <row r="70" spans="1:5">
      <c r="A70" s="20">
        <v>57</v>
      </c>
      <c r="B70" s="3" t="s">
        <v>253</v>
      </c>
      <c r="C70" s="3">
        <f>'BASIC DATA'!D277</f>
        <v>425000</v>
      </c>
      <c r="D70" s="948"/>
      <c r="E70" s="948"/>
    </row>
    <row r="71" spans="1:5">
      <c r="A71" s="20">
        <v>58</v>
      </c>
      <c r="B71" s="3" t="s">
        <v>6283</v>
      </c>
      <c r="C71" s="3">
        <f>'BASIC DATA'!D278</f>
        <v>1475000</v>
      </c>
      <c r="D71" s="948">
        <f>'BASIC DATA'!C478</f>
        <v>510</v>
      </c>
      <c r="E71" s="948">
        <f>'BASIC DATA'!C523</f>
        <v>400</v>
      </c>
    </row>
    <row r="72" spans="1:5">
      <c r="A72" s="20"/>
      <c r="B72" s="3" t="s">
        <v>6203</v>
      </c>
      <c r="C72" s="3">
        <f>'BASIC DATA'!D279</f>
        <v>86000</v>
      </c>
      <c r="D72" s="948"/>
      <c r="E72" s="948"/>
    </row>
    <row r="73" spans="1:5">
      <c r="A73" s="20">
        <v>59</v>
      </c>
      <c r="B73" s="3" t="s">
        <v>6284</v>
      </c>
      <c r="C73" s="3">
        <f>'BASIC DATA'!D280</f>
        <v>1960000</v>
      </c>
      <c r="D73" s="948">
        <f>'BASIC DATA'!C478</f>
        <v>510</v>
      </c>
      <c r="E73" s="948">
        <f>'BASIC DATA'!C523</f>
        <v>400</v>
      </c>
    </row>
    <row r="74" spans="1:5">
      <c r="A74" s="20"/>
      <c r="B74" s="3" t="s">
        <v>6203</v>
      </c>
      <c r="C74" s="3">
        <f>'BASIC DATA'!D281</f>
        <v>86000</v>
      </c>
      <c r="D74" s="948"/>
      <c r="E74" s="948"/>
    </row>
    <row r="75" spans="1:5">
      <c r="A75" s="20">
        <v>60</v>
      </c>
      <c r="B75" s="3" t="s">
        <v>255</v>
      </c>
      <c r="C75" s="3">
        <f>'BASIC DATA'!D282</f>
        <v>56000</v>
      </c>
      <c r="D75" s="948">
        <f>'BASIC DATA'!C488</f>
        <v>510</v>
      </c>
      <c r="E75" s="948"/>
    </row>
    <row r="76" spans="1:5">
      <c r="A76" s="20">
        <v>61</v>
      </c>
      <c r="B76" s="3" t="s">
        <v>256</v>
      </c>
      <c r="C76" s="3">
        <f>'BASIC DATA'!D283</f>
        <v>260000</v>
      </c>
      <c r="D76" s="948">
        <f>'BASIC DATA'!C487</f>
        <v>445</v>
      </c>
      <c r="E76" s="948"/>
    </row>
    <row r="77" spans="1:5">
      <c r="A77" s="20">
        <v>62</v>
      </c>
      <c r="B77" s="3" t="s">
        <v>257</v>
      </c>
      <c r="C77" s="3">
        <f>'BASIC DATA'!D284</f>
        <v>2950000</v>
      </c>
      <c r="D77" s="948">
        <f>'BASIC DATA'!C496</f>
        <v>445</v>
      </c>
      <c r="E77" s="948">
        <f>'BASIC DATA'!C540</f>
        <v>400</v>
      </c>
    </row>
    <row r="78" spans="1:5">
      <c r="A78" s="20">
        <v>63</v>
      </c>
      <c r="B78" s="3" t="s">
        <v>6285</v>
      </c>
      <c r="C78" s="3">
        <f>'BASIC DATA'!D285</f>
        <v>650000</v>
      </c>
      <c r="D78" s="948">
        <f>'BASIC DATA'!C497</f>
        <v>510</v>
      </c>
      <c r="E78" s="948">
        <f>'BASIC DATA'!C539</f>
        <v>400</v>
      </c>
    </row>
    <row r="79" spans="1:5">
      <c r="A79" s="20">
        <v>64</v>
      </c>
      <c r="B79" s="3" t="s">
        <v>6286</v>
      </c>
      <c r="C79" s="3">
        <f>'BASIC DATA'!D286</f>
        <v>1422000</v>
      </c>
      <c r="D79" s="948">
        <f>'BASIC DATA'!C478</f>
        <v>510</v>
      </c>
      <c r="E79" s="948">
        <f>'BASIC DATA'!C521</f>
        <v>400</v>
      </c>
    </row>
    <row r="80" spans="1:5">
      <c r="A80" s="20"/>
      <c r="B80" s="3" t="s">
        <v>6203</v>
      </c>
      <c r="C80" s="3">
        <f>'BASIC DATA'!D287</f>
        <v>86000</v>
      </c>
      <c r="D80" s="948"/>
      <c r="E80" s="948"/>
    </row>
    <row r="81" spans="1:6">
      <c r="A81" s="20">
        <v>65</v>
      </c>
      <c r="B81" s="3" t="s">
        <v>1338</v>
      </c>
      <c r="C81" s="3">
        <f>'BASIC DATA'!D288</f>
        <v>48000</v>
      </c>
      <c r="D81" s="948"/>
      <c r="E81" s="948"/>
    </row>
    <row r="82" spans="1:6">
      <c r="A82" s="20">
        <v>66</v>
      </c>
      <c r="B82" s="3" t="s">
        <v>6287</v>
      </c>
      <c r="C82" s="3">
        <f>'BASIC DATA'!D289</f>
        <v>375000</v>
      </c>
      <c r="D82" s="948">
        <f>'BASIC DATA'!C484</f>
        <v>445</v>
      </c>
      <c r="E82" s="948">
        <f>'BASIC DATA'!C528</f>
        <v>400</v>
      </c>
    </row>
    <row r="83" spans="1:6">
      <c r="A83" s="20">
        <v>67</v>
      </c>
      <c r="B83" s="3" t="s">
        <v>9338</v>
      </c>
      <c r="C83" s="3">
        <f>'BASIC DATA'!D290</f>
        <v>14484250</v>
      </c>
      <c r="D83" s="948">
        <f>'BASIC DATA'!C483</f>
        <v>510</v>
      </c>
      <c r="E83" s="948">
        <f>'BASIC DATA'!C527</f>
        <v>400</v>
      </c>
    </row>
    <row r="84" spans="1:6">
      <c r="A84" s="20"/>
      <c r="B84" s="3" t="s">
        <v>9328</v>
      </c>
      <c r="C84" s="3">
        <f>'BASIC DATA'!D291</f>
        <v>185220</v>
      </c>
      <c r="D84" s="948"/>
      <c r="E84" s="948"/>
    </row>
    <row r="85" spans="1:6">
      <c r="A85" s="20">
        <v>68</v>
      </c>
      <c r="B85" s="3" t="s">
        <v>9337</v>
      </c>
      <c r="C85" s="3">
        <f>'BASIC DATA'!D292</f>
        <v>10390875</v>
      </c>
      <c r="D85" s="948">
        <f>'BASIC DATA'!C483</f>
        <v>510</v>
      </c>
      <c r="E85" s="948">
        <f>'BASIC DATA'!C527</f>
        <v>400</v>
      </c>
    </row>
    <row r="86" spans="1:6">
      <c r="A86" s="20"/>
      <c r="B86" s="3" t="s">
        <v>9328</v>
      </c>
      <c r="C86" s="3">
        <f>'BASIC DATA'!D293</f>
        <v>185220</v>
      </c>
      <c r="D86" s="948"/>
      <c r="E86" s="948"/>
    </row>
    <row r="87" spans="1:6">
      <c r="A87" s="20">
        <v>69</v>
      </c>
      <c r="B87" s="3" t="s">
        <v>9294</v>
      </c>
      <c r="C87" s="3">
        <f>'BASIC DATA'!D294</f>
        <v>487770</v>
      </c>
      <c r="D87" s="3"/>
      <c r="E87" s="3"/>
    </row>
    <row r="88" spans="1:6">
      <c r="A88" s="20">
        <v>70</v>
      </c>
      <c r="B88" s="1034" t="s">
        <v>9747</v>
      </c>
      <c r="C88" s="3">
        <f>'BASIC DATA'!D295</f>
        <v>3404430</v>
      </c>
      <c r="D88" s="948">
        <f>'BASIC DATA'!C481</f>
        <v>445</v>
      </c>
      <c r="E88" s="948">
        <f>'BASIC DATA'!C524</f>
        <v>400</v>
      </c>
    </row>
    <row r="89" spans="1:6">
      <c r="B89" s="7" t="s">
        <v>6288</v>
      </c>
    </row>
    <row r="90" spans="1:6">
      <c r="F90" s="19"/>
    </row>
    <row r="91" spans="1:6">
      <c r="B91" s="1" t="s">
        <v>6289</v>
      </c>
      <c r="C91" s="15" t="s">
        <v>1697</v>
      </c>
      <c r="D91" s="1" t="s">
        <v>6290</v>
      </c>
      <c r="F91" s="1035">
        <f>'BASIC DATA'!D351</f>
        <v>0.11</v>
      </c>
    </row>
    <row r="92" spans="1:6">
      <c r="B92" s="1" t="s">
        <v>6291</v>
      </c>
      <c r="C92" s="15" t="s">
        <v>1697</v>
      </c>
      <c r="D92" s="1" t="s">
        <v>6292</v>
      </c>
      <c r="E92" s="1004" t="s">
        <v>1698</v>
      </c>
      <c r="F92" s="1036" t="str">
        <f>'BASIC DATA'!D355</f>
        <v>As per RTA</v>
      </c>
    </row>
    <row r="93" spans="1:6">
      <c r="B93" s="920" t="s">
        <v>8049</v>
      </c>
      <c r="C93" s="15" t="s">
        <v>1697</v>
      </c>
      <c r="D93" s="1" t="s">
        <v>6293</v>
      </c>
      <c r="E93" s="1004"/>
      <c r="F93" s="1017">
        <f>'BASIC DATA'!D350</f>
        <v>0.01</v>
      </c>
    </row>
    <row r="94" spans="1:6">
      <c r="B94" s="1" t="s">
        <v>826</v>
      </c>
      <c r="C94" s="15" t="s">
        <v>1697</v>
      </c>
      <c r="D94" s="1" t="s">
        <v>6294</v>
      </c>
      <c r="E94" s="1004" t="s">
        <v>1698</v>
      </c>
      <c r="F94" s="1036">
        <f>'BASIC DATA'!D347</f>
        <v>57.7</v>
      </c>
    </row>
    <row r="95" spans="1:6">
      <c r="B95" s="1" t="s">
        <v>2481</v>
      </c>
      <c r="C95" s="15" t="s">
        <v>1697</v>
      </c>
      <c r="D95" s="1" t="s">
        <v>6294</v>
      </c>
      <c r="E95" s="1004" t="s">
        <v>1698</v>
      </c>
      <c r="F95" s="1036">
        <f>'BASIC DATA'!D353</f>
        <v>68.45</v>
      </c>
    </row>
    <row r="96" spans="1:6">
      <c r="B96" s="1" t="s">
        <v>6295</v>
      </c>
      <c r="C96" s="15" t="s">
        <v>1697</v>
      </c>
      <c r="D96" s="1" t="s">
        <v>6294</v>
      </c>
      <c r="E96" s="1004" t="s">
        <v>1698</v>
      </c>
      <c r="F96" s="1036">
        <f>'BASIC DATA'!D352</f>
        <v>260</v>
      </c>
    </row>
    <row r="97" spans="1:7">
      <c r="B97" s="1" t="s">
        <v>6296</v>
      </c>
      <c r="C97" s="15" t="s">
        <v>1697</v>
      </c>
      <c r="D97" s="1" t="s">
        <v>1935</v>
      </c>
      <c r="E97" s="1004" t="s">
        <v>1698</v>
      </c>
      <c r="F97" s="1036">
        <f>'BASIC DATA'!D316</f>
        <v>18000</v>
      </c>
    </row>
    <row r="98" spans="1:7">
      <c r="B98" s="1" t="s">
        <v>1936</v>
      </c>
      <c r="C98" s="15" t="s">
        <v>1697</v>
      </c>
      <c r="D98" s="1" t="s">
        <v>1937</v>
      </c>
      <c r="E98" s="1004" t="s">
        <v>1698</v>
      </c>
      <c r="F98" s="1036">
        <f>'BASIC DATA'!D348</f>
        <v>6.26</v>
      </c>
    </row>
    <row r="99" spans="1:7">
      <c r="B99" s="1" t="s">
        <v>1938</v>
      </c>
      <c r="C99" s="15" t="s">
        <v>1697</v>
      </c>
      <c r="D99" s="1" t="s">
        <v>1517</v>
      </c>
      <c r="F99" s="1017">
        <f>'BASIC DATA'!C592</f>
        <v>0.1</v>
      </c>
    </row>
    <row r="105" spans="1:7">
      <c r="A105" s="1196" t="s">
        <v>1939</v>
      </c>
      <c r="B105" s="1196"/>
      <c r="C105" s="1196"/>
      <c r="D105" s="1196"/>
      <c r="E105" s="1196"/>
      <c r="F105" s="1196"/>
      <c r="G105" s="1196"/>
    </row>
    <row r="106" spans="1:7">
      <c r="A106" s="1"/>
    </row>
    <row r="107" spans="1:7">
      <c r="A107" s="9" t="s">
        <v>1940</v>
      </c>
      <c r="B107" s="1" t="s">
        <v>1941</v>
      </c>
    </row>
    <row r="108" spans="1:7">
      <c r="A108" s="1"/>
      <c r="B108" s="1" t="s">
        <v>3798</v>
      </c>
    </row>
    <row r="109" spans="1:7">
      <c r="A109" s="1"/>
      <c r="B109" s="1" t="s">
        <v>4991</v>
      </c>
    </row>
    <row r="110" spans="1:7">
      <c r="A110" s="1"/>
    </row>
    <row r="111" spans="1:7" ht="25.5">
      <c r="A111" s="1288" t="s">
        <v>2847</v>
      </c>
      <c r="B111" s="1288" t="s">
        <v>2848</v>
      </c>
      <c r="C111" s="6" t="s">
        <v>4992</v>
      </c>
      <c r="D111" s="6" t="s">
        <v>4993</v>
      </c>
      <c r="E111" s="6" t="s">
        <v>2232</v>
      </c>
      <c r="F111" s="6" t="s">
        <v>2233</v>
      </c>
      <c r="G111" s="6" t="s">
        <v>2234</v>
      </c>
    </row>
    <row r="112" spans="1:7">
      <c r="A112" s="1289"/>
      <c r="B112" s="1289"/>
      <c r="C112" s="8" t="s">
        <v>2235</v>
      </c>
      <c r="D112" s="6" t="s">
        <v>2236</v>
      </c>
      <c r="E112" s="6" t="s">
        <v>2237</v>
      </c>
      <c r="F112" s="6" t="s">
        <v>2238</v>
      </c>
      <c r="G112" s="6" t="s">
        <v>966</v>
      </c>
    </row>
    <row r="113" spans="1:7">
      <c r="A113" s="20">
        <v>1</v>
      </c>
      <c r="B113" s="3" t="s">
        <v>6202</v>
      </c>
      <c r="C113" s="1007">
        <v>10</v>
      </c>
      <c r="D113" s="1007">
        <v>10000</v>
      </c>
      <c r="E113" s="1007">
        <v>120</v>
      </c>
      <c r="F113" s="948">
        <v>0.5</v>
      </c>
      <c r="G113" s="948">
        <v>1</v>
      </c>
    </row>
    <row r="114" spans="1:7">
      <c r="A114" s="20"/>
      <c r="B114" s="3" t="s">
        <v>6203</v>
      </c>
      <c r="C114" s="1007">
        <v>1</v>
      </c>
      <c r="D114" s="1007">
        <v>800</v>
      </c>
      <c r="E114" s="1007">
        <v>25</v>
      </c>
      <c r="F114" s="948"/>
      <c r="G114" s="948"/>
    </row>
    <row r="115" spans="1:7">
      <c r="A115" s="20">
        <v>2</v>
      </c>
      <c r="B115" s="3" t="s">
        <v>6204</v>
      </c>
      <c r="C115" s="1007">
        <v>10</v>
      </c>
      <c r="D115" s="1007">
        <v>16000</v>
      </c>
      <c r="E115" s="1007">
        <v>80</v>
      </c>
      <c r="F115" s="948">
        <v>1</v>
      </c>
      <c r="G115" s="1038">
        <v>0.75</v>
      </c>
    </row>
    <row r="116" spans="1:7">
      <c r="A116" s="20">
        <v>3</v>
      </c>
      <c r="B116" s="3" t="s">
        <v>6205</v>
      </c>
      <c r="C116" s="1007">
        <v>8</v>
      </c>
      <c r="D116" s="1007">
        <v>10000</v>
      </c>
      <c r="E116" s="1007">
        <v>100</v>
      </c>
      <c r="F116" s="948">
        <v>1</v>
      </c>
      <c r="G116" s="948">
        <v>0.75</v>
      </c>
    </row>
    <row r="117" spans="1:7">
      <c r="A117" s="20">
        <v>4</v>
      </c>
      <c r="B117" s="3" t="s">
        <v>6206</v>
      </c>
      <c r="C117" s="1007">
        <v>10</v>
      </c>
      <c r="D117" s="1007">
        <v>16000</v>
      </c>
      <c r="E117" s="1007">
        <v>80</v>
      </c>
      <c r="F117" s="948">
        <v>1</v>
      </c>
      <c r="G117" s="948">
        <v>0.75</v>
      </c>
    </row>
    <row r="118" spans="1:7">
      <c r="A118" s="20">
        <v>5</v>
      </c>
      <c r="B118" s="3" t="s">
        <v>6207</v>
      </c>
      <c r="C118" s="1007">
        <v>8</v>
      </c>
      <c r="D118" s="1007">
        <v>10000</v>
      </c>
      <c r="E118" s="1007">
        <v>100</v>
      </c>
      <c r="F118" s="948">
        <v>1</v>
      </c>
      <c r="G118" s="948">
        <v>0.75</v>
      </c>
    </row>
    <row r="119" spans="1:7">
      <c r="A119" s="20">
        <v>6</v>
      </c>
      <c r="B119" s="3" t="s">
        <v>867</v>
      </c>
      <c r="C119" s="1007">
        <v>10</v>
      </c>
      <c r="D119" s="1007">
        <v>16000</v>
      </c>
      <c r="E119" s="1007">
        <v>80</v>
      </c>
      <c r="F119" s="948">
        <v>1</v>
      </c>
      <c r="G119" s="948">
        <v>0.75</v>
      </c>
    </row>
    <row r="120" spans="1:7">
      <c r="A120" s="20">
        <v>7</v>
      </c>
      <c r="B120" s="3" t="s">
        <v>868</v>
      </c>
      <c r="C120" s="1007">
        <v>20</v>
      </c>
      <c r="D120" s="1007">
        <v>30000</v>
      </c>
      <c r="E120" s="1007">
        <v>80</v>
      </c>
      <c r="F120" s="948">
        <v>1</v>
      </c>
      <c r="G120" s="948">
        <v>1</v>
      </c>
    </row>
    <row r="121" spans="1:7">
      <c r="A121" s="20">
        <v>8</v>
      </c>
      <c r="B121" s="3" t="s">
        <v>6666</v>
      </c>
      <c r="C121" s="1007">
        <v>10</v>
      </c>
      <c r="D121" s="1007">
        <v>12000</v>
      </c>
      <c r="E121" s="1007">
        <v>200</v>
      </c>
      <c r="F121" s="948">
        <v>0.56999999999999995</v>
      </c>
      <c r="G121" s="948">
        <v>0.75</v>
      </c>
    </row>
    <row r="122" spans="1:7">
      <c r="A122" s="20">
        <v>9</v>
      </c>
      <c r="B122" s="3" t="s">
        <v>6208</v>
      </c>
      <c r="C122" s="1007">
        <v>18</v>
      </c>
      <c r="D122" s="1007">
        <v>30000</v>
      </c>
      <c r="E122" s="1007">
        <v>75</v>
      </c>
      <c r="F122" s="948">
        <v>1</v>
      </c>
      <c r="G122" s="948">
        <v>1</v>
      </c>
    </row>
    <row r="123" spans="1:7">
      <c r="A123" s="20">
        <v>10</v>
      </c>
      <c r="B123" s="3" t="s">
        <v>6209</v>
      </c>
      <c r="C123" s="1007">
        <v>18</v>
      </c>
      <c r="D123" s="1007">
        <v>30000</v>
      </c>
      <c r="E123" s="1007">
        <v>75</v>
      </c>
      <c r="F123" s="948">
        <v>1</v>
      </c>
      <c r="G123" s="948">
        <v>1</v>
      </c>
    </row>
    <row r="124" spans="1:7">
      <c r="A124" s="20">
        <v>11</v>
      </c>
      <c r="B124" s="3" t="s">
        <v>6210</v>
      </c>
      <c r="C124" s="1007">
        <v>18</v>
      </c>
      <c r="D124" s="1007">
        <v>30000</v>
      </c>
      <c r="E124" s="1007">
        <v>75</v>
      </c>
      <c r="F124" s="948">
        <v>1</v>
      </c>
      <c r="G124" s="948">
        <v>1</v>
      </c>
    </row>
    <row r="125" spans="1:7">
      <c r="A125" s="20">
        <v>12</v>
      </c>
      <c r="B125" s="3" t="s">
        <v>6027</v>
      </c>
      <c r="C125" s="1007">
        <v>15</v>
      </c>
      <c r="D125" s="1007">
        <v>30000</v>
      </c>
      <c r="E125" s="1007">
        <v>50</v>
      </c>
      <c r="F125" s="948">
        <v>1</v>
      </c>
      <c r="G125" s="948">
        <v>1</v>
      </c>
    </row>
    <row r="126" spans="1:7">
      <c r="A126" s="20">
        <v>13</v>
      </c>
      <c r="B126" s="1" t="s">
        <v>1872</v>
      </c>
      <c r="C126" s="1007"/>
      <c r="D126" s="1007">
        <v>5000</v>
      </c>
      <c r="E126" s="1007"/>
      <c r="F126" s="948"/>
      <c r="G126" s="948"/>
    </row>
    <row r="127" spans="1:7">
      <c r="A127" s="20">
        <v>14</v>
      </c>
      <c r="B127" s="3" t="s">
        <v>6912</v>
      </c>
      <c r="C127" s="1007">
        <v>3</v>
      </c>
      <c r="D127" s="1007">
        <v>5000</v>
      </c>
      <c r="E127" s="1007">
        <v>25</v>
      </c>
      <c r="F127" s="948">
        <v>1</v>
      </c>
      <c r="G127" s="948">
        <v>1</v>
      </c>
    </row>
    <row r="128" spans="1:7">
      <c r="A128" s="20">
        <v>15</v>
      </c>
      <c r="B128" s="3" t="s">
        <v>2769</v>
      </c>
      <c r="C128" s="1007">
        <v>5</v>
      </c>
      <c r="D128" s="1007">
        <v>6000</v>
      </c>
      <c r="E128" s="1007">
        <v>80</v>
      </c>
      <c r="F128" s="948">
        <v>1</v>
      </c>
      <c r="G128" s="948">
        <v>1</v>
      </c>
    </row>
    <row r="129" spans="1:7">
      <c r="A129" s="20">
        <v>16</v>
      </c>
      <c r="B129" s="3" t="s">
        <v>869</v>
      </c>
      <c r="C129" s="1007">
        <v>5</v>
      </c>
      <c r="D129" s="1007">
        <v>6000</v>
      </c>
      <c r="E129" s="1007">
        <v>80</v>
      </c>
      <c r="F129" s="948">
        <v>1</v>
      </c>
      <c r="G129" s="948">
        <v>1</v>
      </c>
    </row>
    <row r="130" spans="1:7">
      <c r="A130" s="20">
        <v>17</v>
      </c>
      <c r="B130" s="3" t="s">
        <v>870</v>
      </c>
      <c r="C130" s="1007">
        <v>5</v>
      </c>
      <c r="D130" s="1007">
        <v>6000</v>
      </c>
      <c r="E130" s="1007">
        <v>80</v>
      </c>
      <c r="F130" s="948">
        <v>1</v>
      </c>
      <c r="G130" s="948">
        <v>1</v>
      </c>
    </row>
    <row r="131" spans="1:7">
      <c r="A131" s="20">
        <v>18</v>
      </c>
      <c r="B131" s="3" t="s">
        <v>871</v>
      </c>
      <c r="C131" s="1007">
        <v>5</v>
      </c>
      <c r="D131" s="1007">
        <v>6000</v>
      </c>
      <c r="E131" s="1007">
        <v>80</v>
      </c>
      <c r="F131" s="948">
        <v>1</v>
      </c>
      <c r="G131" s="948">
        <v>1</v>
      </c>
    </row>
    <row r="132" spans="1:7">
      <c r="A132" s="20">
        <v>19</v>
      </c>
      <c r="B132" s="3" t="s">
        <v>2383</v>
      </c>
      <c r="C132" s="1007">
        <v>5</v>
      </c>
      <c r="D132" s="1007">
        <v>6000</v>
      </c>
      <c r="E132" s="1007">
        <v>80</v>
      </c>
      <c r="F132" s="948">
        <v>1</v>
      </c>
      <c r="G132" s="948">
        <v>1</v>
      </c>
    </row>
    <row r="133" spans="1:7">
      <c r="A133" s="20">
        <v>20</v>
      </c>
      <c r="B133" s="3" t="s">
        <v>2384</v>
      </c>
      <c r="C133" s="1007">
        <v>16</v>
      </c>
      <c r="D133" s="1007">
        <v>20000</v>
      </c>
      <c r="E133" s="1007">
        <v>100</v>
      </c>
      <c r="F133" s="948">
        <v>1</v>
      </c>
      <c r="G133" s="948">
        <v>1</v>
      </c>
    </row>
    <row r="134" spans="1:7">
      <c r="A134" s="20">
        <v>21</v>
      </c>
      <c r="B134" s="3" t="s">
        <v>3090</v>
      </c>
      <c r="C134" s="1007">
        <v>10</v>
      </c>
      <c r="D134" s="1007">
        <v>15000</v>
      </c>
      <c r="E134" s="1007">
        <v>100</v>
      </c>
      <c r="F134" s="948">
        <v>0.57999999999999996</v>
      </c>
      <c r="G134" s="948">
        <v>1</v>
      </c>
    </row>
    <row r="135" spans="1:7">
      <c r="A135" s="20"/>
      <c r="B135" s="3" t="s">
        <v>6203</v>
      </c>
      <c r="C135" s="1007">
        <v>1</v>
      </c>
      <c r="D135" s="1007">
        <v>800</v>
      </c>
      <c r="E135" s="1007">
        <v>25</v>
      </c>
      <c r="F135" s="948"/>
      <c r="G135" s="948"/>
    </row>
    <row r="136" spans="1:7">
      <c r="A136" s="20">
        <v>22</v>
      </c>
      <c r="B136" s="3" t="s">
        <v>2941</v>
      </c>
      <c r="C136" s="1007">
        <v>8</v>
      </c>
      <c r="D136" s="1007">
        <v>8000</v>
      </c>
      <c r="E136" s="1007">
        <v>80</v>
      </c>
      <c r="F136" s="948">
        <v>1</v>
      </c>
      <c r="G136" s="948">
        <v>1</v>
      </c>
    </row>
    <row r="137" spans="1:7">
      <c r="A137" s="20">
        <v>23</v>
      </c>
      <c r="B137" s="3" t="s">
        <v>2942</v>
      </c>
      <c r="C137" s="1007">
        <v>10</v>
      </c>
      <c r="D137" s="1007">
        <v>20000</v>
      </c>
      <c r="E137" s="1007">
        <v>100</v>
      </c>
      <c r="F137" s="948">
        <v>1</v>
      </c>
      <c r="G137" s="948">
        <v>1</v>
      </c>
    </row>
    <row r="138" spans="1:7">
      <c r="A138" s="20">
        <v>24</v>
      </c>
      <c r="B138" s="3" t="s">
        <v>1374</v>
      </c>
      <c r="C138" s="1007">
        <v>10</v>
      </c>
      <c r="D138" s="1007">
        <v>20000</v>
      </c>
      <c r="E138" s="1007">
        <v>100</v>
      </c>
      <c r="F138" s="948">
        <v>1</v>
      </c>
      <c r="G138" s="948">
        <v>1</v>
      </c>
    </row>
    <row r="139" spans="1:7">
      <c r="A139" s="20">
        <v>25</v>
      </c>
      <c r="B139" s="3" t="s">
        <v>1375</v>
      </c>
      <c r="C139" s="1007">
        <v>10</v>
      </c>
      <c r="D139" s="1007">
        <v>16000</v>
      </c>
      <c r="E139" s="1007">
        <v>120</v>
      </c>
      <c r="F139" s="948">
        <v>1</v>
      </c>
      <c r="G139" s="948">
        <v>0.75</v>
      </c>
    </row>
    <row r="140" spans="1:7">
      <c r="A140" s="20">
        <v>26</v>
      </c>
      <c r="B140" s="3" t="s">
        <v>3091</v>
      </c>
      <c r="C140" s="1007">
        <v>8</v>
      </c>
      <c r="D140" s="1007">
        <v>10000</v>
      </c>
      <c r="E140" s="1007">
        <v>100</v>
      </c>
      <c r="F140" s="948">
        <v>1</v>
      </c>
      <c r="G140" s="948">
        <v>1</v>
      </c>
    </row>
    <row r="141" spans="1:7">
      <c r="A141" s="20">
        <v>27</v>
      </c>
      <c r="B141" s="3" t="s">
        <v>3092</v>
      </c>
      <c r="C141" s="1007">
        <v>12</v>
      </c>
      <c r="D141" s="1007">
        <v>20000</v>
      </c>
      <c r="E141" s="1007">
        <v>70</v>
      </c>
      <c r="F141" s="948">
        <v>1</v>
      </c>
      <c r="G141" s="948">
        <v>1</v>
      </c>
    </row>
    <row r="142" spans="1:7">
      <c r="A142" s="20">
        <v>28</v>
      </c>
      <c r="B142" s="3" t="s">
        <v>3093</v>
      </c>
      <c r="C142" s="1007">
        <v>8</v>
      </c>
      <c r="D142" s="1007">
        <v>10000</v>
      </c>
      <c r="E142" s="1007">
        <v>100</v>
      </c>
      <c r="F142" s="948">
        <v>1</v>
      </c>
      <c r="G142" s="948">
        <v>1</v>
      </c>
    </row>
    <row r="143" spans="1:7">
      <c r="A143" s="20">
        <v>29</v>
      </c>
      <c r="B143" s="3" t="s">
        <v>7099</v>
      </c>
      <c r="C143" s="1007">
        <v>12</v>
      </c>
      <c r="D143" s="1007">
        <v>20000</v>
      </c>
      <c r="E143" s="1007">
        <v>70</v>
      </c>
      <c r="F143" s="948">
        <v>1</v>
      </c>
      <c r="G143" s="948">
        <v>1</v>
      </c>
    </row>
    <row r="144" spans="1:7">
      <c r="A144" s="20">
        <v>30</v>
      </c>
      <c r="B144" s="3" t="s">
        <v>7100</v>
      </c>
      <c r="C144" s="1007">
        <v>8</v>
      </c>
      <c r="D144" s="1007">
        <v>10000</v>
      </c>
      <c r="E144" s="1007">
        <v>100</v>
      </c>
      <c r="F144" s="948">
        <v>1</v>
      </c>
      <c r="G144" s="948">
        <v>1</v>
      </c>
    </row>
    <row r="145" spans="1:7">
      <c r="A145" s="20">
        <v>31</v>
      </c>
      <c r="B145" s="3" t="s">
        <v>7101</v>
      </c>
      <c r="C145" s="1007">
        <v>12</v>
      </c>
      <c r="D145" s="1007">
        <v>20000</v>
      </c>
      <c r="E145" s="1007">
        <v>70</v>
      </c>
      <c r="F145" s="948">
        <v>1</v>
      </c>
      <c r="G145" s="948">
        <v>1</v>
      </c>
    </row>
    <row r="146" spans="1:7">
      <c r="A146" s="20">
        <v>32</v>
      </c>
      <c r="B146" s="3" t="s">
        <v>2080</v>
      </c>
      <c r="C146" s="1007">
        <v>10</v>
      </c>
      <c r="D146" s="1007">
        <v>8000</v>
      </c>
      <c r="E146" s="1007">
        <v>80</v>
      </c>
      <c r="F146" s="948">
        <v>1</v>
      </c>
      <c r="G146" s="948">
        <v>1</v>
      </c>
    </row>
    <row r="147" spans="1:7">
      <c r="A147" s="20">
        <v>33</v>
      </c>
      <c r="B147" s="3" t="s">
        <v>7102</v>
      </c>
      <c r="C147" s="1007">
        <v>8</v>
      </c>
      <c r="D147" s="1007">
        <v>12000</v>
      </c>
      <c r="E147" s="1007">
        <v>100</v>
      </c>
      <c r="F147" s="948">
        <v>0.3</v>
      </c>
      <c r="G147" s="948">
        <v>0.1</v>
      </c>
    </row>
    <row r="148" spans="1:7">
      <c r="A148" s="20"/>
      <c r="B148" s="3" t="s">
        <v>6203</v>
      </c>
      <c r="C148" s="1007">
        <v>1</v>
      </c>
      <c r="D148" s="1007">
        <v>1200</v>
      </c>
      <c r="E148" s="1007">
        <v>25</v>
      </c>
      <c r="F148" s="948"/>
      <c r="G148" s="948"/>
    </row>
    <row r="149" spans="1:7">
      <c r="A149" s="20">
        <v>34</v>
      </c>
      <c r="B149" s="3" t="s">
        <v>7103</v>
      </c>
      <c r="C149" s="1007">
        <v>8</v>
      </c>
      <c r="D149" s="1007">
        <v>10000</v>
      </c>
      <c r="E149" s="1007">
        <v>175</v>
      </c>
      <c r="F149" s="948">
        <v>0.3</v>
      </c>
      <c r="G149" s="948">
        <v>0.7</v>
      </c>
    </row>
    <row r="150" spans="1:7">
      <c r="A150" s="20"/>
      <c r="B150" s="3" t="s">
        <v>6203</v>
      </c>
      <c r="C150" s="1007">
        <v>1</v>
      </c>
      <c r="D150" s="1007">
        <v>1200</v>
      </c>
      <c r="E150" s="1007">
        <v>25</v>
      </c>
      <c r="F150" s="948"/>
      <c r="G150" s="948"/>
    </row>
    <row r="151" spans="1:7">
      <c r="A151" s="20">
        <v>35</v>
      </c>
      <c r="B151" s="3" t="s">
        <v>4304</v>
      </c>
      <c r="C151" s="1007">
        <v>5</v>
      </c>
      <c r="D151" s="1007">
        <v>10000</v>
      </c>
      <c r="E151" s="1007">
        <v>75</v>
      </c>
      <c r="F151" s="948">
        <v>1</v>
      </c>
      <c r="G151" s="948">
        <v>1</v>
      </c>
    </row>
    <row r="152" spans="1:7">
      <c r="A152" s="20">
        <v>36</v>
      </c>
      <c r="B152" s="3" t="s">
        <v>2248</v>
      </c>
      <c r="C152" s="1007">
        <v>10</v>
      </c>
      <c r="D152" s="1007">
        <v>10000</v>
      </c>
      <c r="E152" s="1007">
        <v>80</v>
      </c>
      <c r="F152" s="948">
        <v>1</v>
      </c>
      <c r="G152" s="948">
        <v>1</v>
      </c>
    </row>
    <row r="153" spans="1:7">
      <c r="A153" s="20">
        <v>37</v>
      </c>
      <c r="B153" s="3" t="s">
        <v>4305</v>
      </c>
      <c r="C153" s="1007">
        <v>5</v>
      </c>
      <c r="D153" s="1007">
        <v>6000</v>
      </c>
      <c r="E153" s="1007">
        <v>100</v>
      </c>
      <c r="F153" s="948">
        <v>1</v>
      </c>
      <c r="G153" s="948">
        <v>1</v>
      </c>
    </row>
    <row r="154" spans="1:7">
      <c r="A154" s="20">
        <v>38</v>
      </c>
      <c r="B154" s="3" t="s">
        <v>4306</v>
      </c>
      <c r="C154" s="1007">
        <v>20</v>
      </c>
      <c r="D154" s="1007">
        <v>40000</v>
      </c>
      <c r="E154" s="1007">
        <v>75</v>
      </c>
      <c r="F154" s="948">
        <v>1</v>
      </c>
      <c r="G154" s="948">
        <v>0.75</v>
      </c>
    </row>
    <row r="155" spans="1:7">
      <c r="A155" s="20">
        <v>39</v>
      </c>
      <c r="B155" s="3" t="s">
        <v>6243</v>
      </c>
      <c r="C155" s="1007">
        <v>10</v>
      </c>
      <c r="D155" s="1007">
        <v>8000</v>
      </c>
      <c r="E155" s="1007">
        <v>80</v>
      </c>
      <c r="F155" s="948">
        <v>1</v>
      </c>
      <c r="G155" s="948">
        <v>1</v>
      </c>
    </row>
    <row r="156" spans="1:7">
      <c r="A156" s="20">
        <v>40</v>
      </c>
      <c r="B156" s="3" t="s">
        <v>4307</v>
      </c>
      <c r="C156" s="1007">
        <v>3</v>
      </c>
      <c r="D156" s="1007">
        <v>5000</v>
      </c>
      <c r="E156" s="1007">
        <v>70</v>
      </c>
      <c r="F156" s="948">
        <v>1</v>
      </c>
      <c r="G156" s="948">
        <v>0.5</v>
      </c>
    </row>
    <row r="157" spans="1:7">
      <c r="A157" s="20">
        <v>41</v>
      </c>
      <c r="B157" s="3" t="s">
        <v>863</v>
      </c>
      <c r="C157" s="1007">
        <v>3</v>
      </c>
      <c r="D157" s="1007">
        <v>5000</v>
      </c>
      <c r="E157" s="1007">
        <v>70</v>
      </c>
      <c r="F157" s="948">
        <v>1</v>
      </c>
      <c r="G157" s="948">
        <v>0.5</v>
      </c>
    </row>
    <row r="158" spans="1:7">
      <c r="A158" s="20">
        <v>42</v>
      </c>
      <c r="B158" s="3" t="s">
        <v>864</v>
      </c>
      <c r="C158" s="1007">
        <v>3</v>
      </c>
      <c r="D158" s="1007">
        <v>5000</v>
      </c>
      <c r="E158" s="1007">
        <v>70</v>
      </c>
      <c r="F158" s="948">
        <v>1</v>
      </c>
      <c r="G158" s="948">
        <v>0.5</v>
      </c>
    </row>
    <row r="159" spans="1:7">
      <c r="A159" s="20">
        <v>43</v>
      </c>
      <c r="B159" s="3" t="s">
        <v>865</v>
      </c>
      <c r="C159" s="1007">
        <v>3</v>
      </c>
      <c r="D159" s="1007">
        <v>5000</v>
      </c>
      <c r="E159" s="1007">
        <v>70</v>
      </c>
      <c r="F159" s="948">
        <v>1</v>
      </c>
      <c r="G159" s="948">
        <v>0.5</v>
      </c>
    </row>
    <row r="160" spans="1:7">
      <c r="A160" s="20">
        <v>44</v>
      </c>
      <c r="B160" s="3" t="s">
        <v>1779</v>
      </c>
      <c r="C160" s="1007">
        <v>16</v>
      </c>
      <c r="D160" s="1007">
        <v>20000</v>
      </c>
      <c r="E160" s="1007">
        <v>100</v>
      </c>
      <c r="F160" s="948">
        <v>1</v>
      </c>
      <c r="G160" s="948">
        <v>1</v>
      </c>
    </row>
    <row r="161" spans="1:7">
      <c r="A161" s="20">
        <v>45</v>
      </c>
      <c r="B161" s="3" t="s">
        <v>1811</v>
      </c>
      <c r="C161" s="1007">
        <v>15</v>
      </c>
      <c r="D161" s="1007">
        <v>30000</v>
      </c>
      <c r="E161" s="1007">
        <v>100</v>
      </c>
      <c r="F161" s="948">
        <v>1</v>
      </c>
      <c r="G161" s="948">
        <v>1</v>
      </c>
    </row>
    <row r="162" spans="1:7">
      <c r="A162" s="20">
        <v>46</v>
      </c>
      <c r="B162" s="3" t="s">
        <v>6058</v>
      </c>
      <c r="C162" s="1007">
        <v>5</v>
      </c>
      <c r="D162" s="1007">
        <v>8000</v>
      </c>
      <c r="E162" s="1007">
        <v>100</v>
      </c>
      <c r="F162" s="948">
        <v>1</v>
      </c>
      <c r="G162" s="948">
        <v>1</v>
      </c>
    </row>
    <row r="163" spans="1:7">
      <c r="A163" s="20">
        <v>47</v>
      </c>
      <c r="B163" s="3" t="s">
        <v>6059</v>
      </c>
      <c r="C163" s="1007">
        <v>10</v>
      </c>
      <c r="D163" s="1007">
        <v>10000</v>
      </c>
      <c r="E163" s="1007">
        <v>80</v>
      </c>
      <c r="F163" s="948">
        <v>1</v>
      </c>
      <c r="G163" s="948">
        <v>1</v>
      </c>
    </row>
    <row r="164" spans="1:7">
      <c r="A164" s="20">
        <v>48</v>
      </c>
      <c r="B164" s="3" t="s">
        <v>6060</v>
      </c>
      <c r="C164" s="1007">
        <v>10</v>
      </c>
      <c r="D164" s="1007">
        <v>8000</v>
      </c>
      <c r="E164" s="1007">
        <v>150</v>
      </c>
      <c r="F164" s="948">
        <v>1</v>
      </c>
      <c r="G164" s="948">
        <v>1</v>
      </c>
    </row>
    <row r="165" spans="1:7">
      <c r="A165" s="20">
        <v>49</v>
      </c>
      <c r="B165" s="3" t="s">
        <v>6061</v>
      </c>
      <c r="C165" s="1007">
        <v>10</v>
      </c>
      <c r="D165" s="1007">
        <v>10000</v>
      </c>
      <c r="E165" s="1007">
        <v>80</v>
      </c>
      <c r="F165" s="948">
        <v>1</v>
      </c>
      <c r="G165" s="948">
        <v>1</v>
      </c>
    </row>
    <row r="166" spans="1:7">
      <c r="A166" s="20">
        <v>50</v>
      </c>
      <c r="B166" s="3" t="s">
        <v>6062</v>
      </c>
      <c r="C166" s="1007">
        <v>8</v>
      </c>
      <c r="D166" s="1007">
        <v>10000</v>
      </c>
      <c r="E166" s="1007">
        <v>80</v>
      </c>
      <c r="F166" s="948">
        <v>1</v>
      </c>
      <c r="G166" s="948">
        <v>1</v>
      </c>
    </row>
    <row r="167" spans="1:7">
      <c r="A167" s="20">
        <v>51</v>
      </c>
      <c r="B167" s="3" t="s">
        <v>6063</v>
      </c>
      <c r="C167" s="1007">
        <v>10</v>
      </c>
      <c r="D167" s="1007">
        <v>12000</v>
      </c>
      <c r="E167" s="1007">
        <v>150</v>
      </c>
      <c r="F167" s="948">
        <v>0.5</v>
      </c>
      <c r="G167" s="948">
        <v>0.8</v>
      </c>
    </row>
    <row r="168" spans="1:7">
      <c r="A168" s="20">
        <v>52</v>
      </c>
      <c r="B168" s="3" t="s">
        <v>6064</v>
      </c>
      <c r="C168" s="1007">
        <v>10</v>
      </c>
      <c r="D168" s="1007">
        <v>12000</v>
      </c>
      <c r="E168" s="1007">
        <v>150</v>
      </c>
      <c r="F168" s="948">
        <v>0.5</v>
      </c>
      <c r="G168" s="948">
        <v>1</v>
      </c>
    </row>
    <row r="169" spans="1:7">
      <c r="A169" s="20">
        <v>53</v>
      </c>
      <c r="B169" s="3" t="s">
        <v>866</v>
      </c>
      <c r="C169" s="1007">
        <v>10</v>
      </c>
      <c r="D169" s="1007">
        <v>16000</v>
      </c>
      <c r="E169" s="1007">
        <v>50</v>
      </c>
      <c r="F169" s="948">
        <v>1</v>
      </c>
      <c r="G169" s="948">
        <v>1</v>
      </c>
    </row>
    <row r="170" spans="1:7">
      <c r="A170" s="20">
        <v>54</v>
      </c>
      <c r="B170" s="3" t="s">
        <v>6282</v>
      </c>
      <c r="C170" s="1007">
        <v>10</v>
      </c>
      <c r="D170" s="1007">
        <v>16000</v>
      </c>
      <c r="E170" s="1007">
        <v>175</v>
      </c>
      <c r="F170" s="948">
        <v>0.3</v>
      </c>
      <c r="G170" s="948">
        <v>0.7</v>
      </c>
    </row>
    <row r="171" spans="1:7">
      <c r="A171" s="20"/>
      <c r="B171" s="3" t="s">
        <v>6203</v>
      </c>
      <c r="C171" s="1007">
        <v>1</v>
      </c>
      <c r="D171" s="1007">
        <v>1200</v>
      </c>
      <c r="E171" s="1007">
        <v>25</v>
      </c>
      <c r="F171" s="948"/>
      <c r="G171" s="948"/>
    </row>
    <row r="172" spans="1:7">
      <c r="A172" s="20">
        <v>55</v>
      </c>
      <c r="B172" s="3" t="s">
        <v>4326</v>
      </c>
      <c r="C172" s="1007">
        <v>5</v>
      </c>
      <c r="D172" s="1007">
        <v>8000</v>
      </c>
      <c r="E172" s="1007">
        <v>80</v>
      </c>
      <c r="F172" s="948">
        <v>1</v>
      </c>
      <c r="G172" s="948">
        <v>1</v>
      </c>
    </row>
    <row r="173" spans="1:7">
      <c r="A173" s="20">
        <v>56</v>
      </c>
      <c r="B173" s="3" t="s">
        <v>4327</v>
      </c>
      <c r="C173" s="1007">
        <v>20</v>
      </c>
      <c r="D173" s="1007">
        <v>30000</v>
      </c>
      <c r="E173" s="1007">
        <v>120</v>
      </c>
      <c r="F173" s="948">
        <v>1</v>
      </c>
      <c r="G173" s="948">
        <v>1</v>
      </c>
    </row>
    <row r="174" spans="1:7">
      <c r="A174" s="20">
        <v>57</v>
      </c>
      <c r="B174" s="3" t="s">
        <v>253</v>
      </c>
      <c r="C174" s="1007">
        <v>15</v>
      </c>
      <c r="D174" s="1007">
        <v>180</v>
      </c>
      <c r="E174" s="1007">
        <v>25</v>
      </c>
      <c r="F174" s="948">
        <v>1</v>
      </c>
      <c r="G174" s="948">
        <v>1</v>
      </c>
    </row>
    <row r="175" spans="1:7">
      <c r="A175" s="20">
        <v>58</v>
      </c>
      <c r="B175" s="3" t="s">
        <v>6283</v>
      </c>
      <c r="C175" s="1007">
        <v>10</v>
      </c>
      <c r="D175" s="1007">
        <v>16000</v>
      </c>
      <c r="E175" s="1007">
        <v>175</v>
      </c>
      <c r="F175" s="948">
        <v>0.3</v>
      </c>
      <c r="G175" s="948">
        <v>0.7</v>
      </c>
    </row>
    <row r="176" spans="1:7">
      <c r="A176" s="20"/>
      <c r="B176" s="3" t="s">
        <v>6203</v>
      </c>
      <c r="C176" s="1007">
        <v>1</v>
      </c>
      <c r="D176" s="1007">
        <v>1200</v>
      </c>
      <c r="E176" s="1007">
        <v>25</v>
      </c>
      <c r="F176" s="948"/>
      <c r="G176" s="948"/>
    </row>
    <row r="177" spans="1:10">
      <c r="A177" s="20">
        <v>59</v>
      </c>
      <c r="B177" s="3" t="s">
        <v>6284</v>
      </c>
      <c r="C177" s="1007">
        <v>10</v>
      </c>
      <c r="D177" s="1007">
        <v>16000</v>
      </c>
      <c r="E177" s="1007">
        <v>175</v>
      </c>
      <c r="F177" s="948">
        <v>0.3</v>
      </c>
      <c r="G177" s="948">
        <v>0.7</v>
      </c>
    </row>
    <row r="178" spans="1:10">
      <c r="A178" s="20"/>
      <c r="B178" s="3" t="s">
        <v>6203</v>
      </c>
      <c r="C178" s="1007">
        <v>1</v>
      </c>
      <c r="D178" s="1007">
        <v>1200</v>
      </c>
      <c r="E178" s="1007">
        <v>25</v>
      </c>
      <c r="F178" s="948"/>
      <c r="G178" s="948"/>
    </row>
    <row r="179" spans="1:10">
      <c r="A179" s="20">
        <v>60</v>
      </c>
      <c r="B179" s="3" t="s">
        <v>255</v>
      </c>
      <c r="C179" s="1007">
        <v>10</v>
      </c>
      <c r="D179" s="1007">
        <v>8000</v>
      </c>
      <c r="E179" s="1007">
        <v>150</v>
      </c>
      <c r="F179" s="948">
        <v>1</v>
      </c>
      <c r="G179" s="948">
        <v>1</v>
      </c>
    </row>
    <row r="180" spans="1:10">
      <c r="A180" s="20">
        <v>61</v>
      </c>
      <c r="B180" s="3" t="s">
        <v>256</v>
      </c>
      <c r="C180" s="1007">
        <v>12</v>
      </c>
      <c r="D180" s="1007">
        <v>58000</v>
      </c>
      <c r="E180" s="1007">
        <v>80</v>
      </c>
      <c r="F180" s="948">
        <v>1</v>
      </c>
      <c r="G180" s="948">
        <v>1</v>
      </c>
    </row>
    <row r="181" spans="1:10">
      <c r="A181" s="20">
        <v>62</v>
      </c>
      <c r="B181" s="3" t="s">
        <v>257</v>
      </c>
      <c r="C181" s="1007">
        <v>8</v>
      </c>
      <c r="D181" s="1007">
        <v>8000</v>
      </c>
      <c r="E181" s="1007">
        <v>200</v>
      </c>
      <c r="F181" s="948">
        <v>1</v>
      </c>
      <c r="G181" s="948">
        <v>1</v>
      </c>
    </row>
    <row r="182" spans="1:10">
      <c r="A182" s="20">
        <v>63</v>
      </c>
      <c r="B182" s="3" t="s">
        <v>6285</v>
      </c>
      <c r="C182" s="1007">
        <v>8</v>
      </c>
      <c r="D182" s="1007">
        <v>8000</v>
      </c>
      <c r="E182" s="1007">
        <v>80</v>
      </c>
      <c r="F182" s="948">
        <v>1</v>
      </c>
      <c r="G182" s="948">
        <v>1</v>
      </c>
      <c r="J182" s="1"/>
    </row>
    <row r="183" spans="1:10">
      <c r="A183" s="20">
        <v>64</v>
      </c>
      <c r="B183" s="3" t="s">
        <v>6286</v>
      </c>
      <c r="C183" s="1007">
        <v>10</v>
      </c>
      <c r="D183" s="1007">
        <v>16000</v>
      </c>
      <c r="E183" s="1007">
        <v>175</v>
      </c>
      <c r="F183" s="948">
        <v>0.3</v>
      </c>
      <c r="G183" s="948">
        <v>0.7</v>
      </c>
      <c r="J183" s="1"/>
    </row>
    <row r="184" spans="1:10">
      <c r="A184" s="20"/>
      <c r="B184" s="3" t="s">
        <v>6203</v>
      </c>
      <c r="C184" s="1007">
        <v>1</v>
      </c>
      <c r="D184" s="1007">
        <v>1200</v>
      </c>
      <c r="E184" s="1007">
        <v>25</v>
      </c>
      <c r="F184" s="948"/>
      <c r="G184" s="948"/>
      <c r="J184" s="1"/>
    </row>
    <row r="185" spans="1:10">
      <c r="A185" s="20">
        <v>65</v>
      </c>
      <c r="B185" s="3" t="s">
        <v>1338</v>
      </c>
      <c r="C185" s="1007">
        <v>10</v>
      </c>
      <c r="D185" s="1007">
        <v>8000</v>
      </c>
      <c r="E185" s="1007">
        <v>100</v>
      </c>
      <c r="F185" s="948">
        <v>0.5</v>
      </c>
      <c r="G185" s="948">
        <v>1</v>
      </c>
      <c r="J185" s="1"/>
    </row>
    <row r="186" spans="1:10">
      <c r="A186" s="20">
        <v>66</v>
      </c>
      <c r="B186" s="3" t="s">
        <v>6287</v>
      </c>
      <c r="C186" s="1007">
        <v>8</v>
      </c>
      <c r="D186" s="1007">
        <v>8000</v>
      </c>
      <c r="E186" s="1007">
        <v>120</v>
      </c>
      <c r="F186" s="948">
        <v>1</v>
      </c>
      <c r="G186" s="948">
        <v>0.7</v>
      </c>
      <c r="J186" s="1"/>
    </row>
    <row r="187" spans="1:10">
      <c r="A187" s="20">
        <v>67</v>
      </c>
      <c r="B187" s="3" t="s">
        <v>9338</v>
      </c>
      <c r="C187" s="1039">
        <v>12</v>
      </c>
      <c r="D187" s="1039">
        <v>15000</v>
      </c>
      <c r="E187" s="1039">
        <v>120</v>
      </c>
      <c r="F187" s="948">
        <v>0.5</v>
      </c>
      <c r="G187" s="948">
        <v>1</v>
      </c>
    </row>
    <row r="188" spans="1:10">
      <c r="A188" s="20"/>
      <c r="B188" s="3" t="s">
        <v>9328</v>
      </c>
      <c r="C188" s="1039">
        <v>1</v>
      </c>
      <c r="D188" s="1039">
        <v>1200</v>
      </c>
      <c r="E188" s="1039">
        <v>25</v>
      </c>
      <c r="F188" s="948"/>
      <c r="G188" s="948"/>
    </row>
    <row r="189" spans="1:10">
      <c r="A189" s="20">
        <v>68</v>
      </c>
      <c r="B189" s="3" t="s">
        <v>9337</v>
      </c>
      <c r="C189" s="1039">
        <v>12</v>
      </c>
      <c r="D189" s="1039">
        <v>15000</v>
      </c>
      <c r="E189" s="1039">
        <v>120</v>
      </c>
      <c r="F189" s="948">
        <v>0.5</v>
      </c>
      <c r="G189" s="948">
        <v>1</v>
      </c>
    </row>
    <row r="190" spans="1:10">
      <c r="A190" s="20"/>
      <c r="B190" s="3" t="s">
        <v>9328</v>
      </c>
      <c r="C190" s="1039">
        <v>1</v>
      </c>
      <c r="D190" s="1039">
        <v>1200</v>
      </c>
      <c r="E190" s="1039">
        <v>25</v>
      </c>
      <c r="F190" s="948"/>
      <c r="G190" s="948"/>
    </row>
    <row r="191" spans="1:10">
      <c r="A191" s="20">
        <v>69</v>
      </c>
      <c r="B191" s="3" t="s">
        <v>9294</v>
      </c>
      <c r="C191" s="1039">
        <v>3</v>
      </c>
      <c r="D191" s="1039">
        <v>9000</v>
      </c>
      <c r="E191" s="1039">
        <v>100</v>
      </c>
      <c r="F191" s="948"/>
      <c r="G191" s="948"/>
    </row>
    <row r="192" spans="1:10">
      <c r="A192" s="20">
        <v>70</v>
      </c>
      <c r="B192" s="1034" t="s">
        <v>9747</v>
      </c>
      <c r="C192" s="1039">
        <v>5</v>
      </c>
      <c r="D192" s="1039">
        <v>8000</v>
      </c>
      <c r="E192" s="1039">
        <v>100</v>
      </c>
      <c r="F192" s="948">
        <v>1</v>
      </c>
      <c r="G192" s="948">
        <v>1</v>
      </c>
      <c r="J192" s="1"/>
    </row>
    <row r="193" spans="1:10">
      <c r="J193" s="1"/>
    </row>
    <row r="194" spans="1:10">
      <c r="J194" s="1"/>
    </row>
    <row r="195" spans="1:10">
      <c r="J195" s="1"/>
    </row>
    <row r="196" spans="1:10">
      <c r="J196" s="1"/>
    </row>
    <row r="197" spans="1:10">
      <c r="A197" s="1196" t="s">
        <v>1362</v>
      </c>
      <c r="B197" s="1196"/>
      <c r="C197" s="1196"/>
      <c r="D197" s="1196"/>
      <c r="E197" s="1196"/>
      <c r="F197" s="1196"/>
      <c r="G197" s="1196"/>
      <c r="H197" s="1196"/>
      <c r="I197" s="1196"/>
      <c r="J197" s="1"/>
    </row>
    <row r="198" spans="1:10">
      <c r="A198" s="1196" t="s">
        <v>872</v>
      </c>
      <c r="B198" s="1203"/>
      <c r="C198" s="1196"/>
      <c r="D198" s="1196"/>
      <c r="E198" s="1196"/>
      <c r="F198" s="1196"/>
      <c r="G198" s="1196"/>
      <c r="H198" s="1196"/>
      <c r="I198" s="1196"/>
      <c r="J198" s="1"/>
    </row>
    <row r="199" spans="1:10">
      <c r="A199" s="1196" t="s">
        <v>9954</v>
      </c>
      <c r="B199" s="1203"/>
      <c r="C199" s="1196"/>
      <c r="D199" s="1196"/>
      <c r="E199" s="1196"/>
      <c r="F199" s="1196"/>
      <c r="G199" s="1196"/>
      <c r="H199" s="1196"/>
      <c r="I199" s="1196"/>
      <c r="J199" s="1"/>
    </row>
    <row r="200" spans="1:10">
      <c r="A200" s="1"/>
      <c r="J200" s="1"/>
    </row>
    <row r="201" spans="1:10">
      <c r="A201" s="1"/>
      <c r="B201" s="1" t="s">
        <v>873</v>
      </c>
      <c r="F201" s="15" t="s">
        <v>1697</v>
      </c>
      <c r="G201" s="1" t="s">
        <v>6200</v>
      </c>
      <c r="J201" s="1"/>
    </row>
    <row r="202" spans="1:10">
      <c r="A202" s="1"/>
      <c r="B202" s="1" t="s">
        <v>874</v>
      </c>
      <c r="F202" s="15" t="s">
        <v>1697</v>
      </c>
      <c r="G202" s="1" t="s">
        <v>875</v>
      </c>
      <c r="J202" s="1"/>
    </row>
    <row r="203" spans="1:10">
      <c r="A203" s="1"/>
      <c r="B203" s="1" t="s">
        <v>2291</v>
      </c>
      <c r="F203" s="15" t="s">
        <v>1697</v>
      </c>
      <c r="G203" s="1" t="s">
        <v>876</v>
      </c>
    </row>
    <row r="204" spans="1:10">
      <c r="A204" s="1"/>
      <c r="B204" s="1" t="s">
        <v>1270</v>
      </c>
      <c r="F204" s="15" t="s">
        <v>1697</v>
      </c>
      <c r="G204" s="1" t="s">
        <v>2235</v>
      </c>
    </row>
    <row r="205" spans="1:10">
      <c r="A205" s="1"/>
      <c r="B205" s="1" t="s">
        <v>1271</v>
      </c>
      <c r="F205" s="15" t="s">
        <v>1697</v>
      </c>
      <c r="G205" s="1" t="s">
        <v>2236</v>
      </c>
    </row>
    <row r="206" spans="1:10">
      <c r="A206" s="1"/>
      <c r="B206" s="1" t="s">
        <v>3128</v>
      </c>
      <c r="F206" s="15" t="s">
        <v>1697</v>
      </c>
      <c r="G206" s="1" t="s">
        <v>3129</v>
      </c>
    </row>
    <row r="207" spans="1:10">
      <c r="A207" s="1"/>
      <c r="B207" s="1" t="s">
        <v>4820</v>
      </c>
      <c r="F207" s="15" t="s">
        <v>1697</v>
      </c>
      <c r="G207" s="1" t="s">
        <v>4821</v>
      </c>
    </row>
    <row r="208" spans="1:10">
      <c r="A208" s="1"/>
      <c r="B208" s="1" t="s">
        <v>4822</v>
      </c>
      <c r="C208" s="1" t="s">
        <v>1711</v>
      </c>
    </row>
    <row r="209" spans="1:8">
      <c r="A209" s="1"/>
      <c r="B209" s="1" t="s">
        <v>1712</v>
      </c>
      <c r="C209" s="1" t="s">
        <v>1713</v>
      </c>
    </row>
    <row r="210" spans="1:8">
      <c r="A210" s="1"/>
      <c r="B210" s="1" t="s">
        <v>1714</v>
      </c>
      <c r="C210" s="1" t="s">
        <v>4842</v>
      </c>
    </row>
    <row r="211" spans="1:8">
      <c r="A211" s="1"/>
      <c r="C211" s="1" t="s">
        <v>4823</v>
      </c>
    </row>
    <row r="212" spans="1:8">
      <c r="A212" s="1"/>
      <c r="B212" s="1" t="s">
        <v>2292</v>
      </c>
      <c r="C212" s="1" t="s">
        <v>4824</v>
      </c>
      <c r="F212" s="15" t="s">
        <v>1697</v>
      </c>
      <c r="G212" s="1017">
        <v>0.1</v>
      </c>
    </row>
    <row r="213" spans="1:8">
      <c r="A213" s="1"/>
      <c r="G213" s="1040"/>
    </row>
    <row r="214" spans="1:8" s="7" customFormat="1" ht="12.75" customHeight="1">
      <c r="A214" s="1302" t="s">
        <v>2847</v>
      </c>
      <c r="B214" s="1302" t="s">
        <v>2848</v>
      </c>
      <c r="C214" s="1305" t="s">
        <v>8046</v>
      </c>
      <c r="D214" s="1305" t="s">
        <v>8047</v>
      </c>
      <c r="E214" s="1302" t="s">
        <v>4825</v>
      </c>
      <c r="F214" s="1302" t="s">
        <v>4826</v>
      </c>
      <c r="G214" s="1309" t="s">
        <v>8048</v>
      </c>
      <c r="H214" s="1302" t="s">
        <v>4827</v>
      </c>
    </row>
    <row r="215" spans="1:8">
      <c r="A215" s="1303"/>
      <c r="B215" s="1303"/>
      <c r="C215" s="1303"/>
      <c r="D215" s="1303"/>
      <c r="E215" s="1303"/>
      <c r="F215" s="1303"/>
      <c r="G215" s="1303"/>
      <c r="H215" s="1303"/>
    </row>
    <row r="216" spans="1:8">
      <c r="A216" s="1304"/>
      <c r="B216" s="1304"/>
      <c r="C216" s="1304"/>
      <c r="D216" s="1304"/>
      <c r="E216" s="1304"/>
      <c r="F216" s="1304"/>
      <c r="G216" s="1304"/>
      <c r="H216" s="1304"/>
    </row>
    <row r="217" spans="1:8">
      <c r="A217" s="3">
        <v>1</v>
      </c>
      <c r="B217" s="3" t="s">
        <v>6202</v>
      </c>
      <c r="C217" s="951">
        <f>(1-$F$99)*('BASIC DATA'!D216/D113)</f>
        <v>193.5</v>
      </c>
      <c r="D217" s="3">
        <f>('BASIC DATA'!D216*(C113+1)/(2*C113))*$F$91*C113/D113</f>
        <v>130.07499999999999</v>
      </c>
      <c r="E217" s="951">
        <f>E113*'BASIC DATA'!D216/D113/100</f>
        <v>258</v>
      </c>
      <c r="F217" s="951">
        <f>E113*'BASIC DATA'!D216/D113/1000</f>
        <v>25.8</v>
      </c>
      <c r="G217" s="3">
        <f>ROUND(('BASIC DATA'!D216*(C113+1)/(2*C113))*$F$93*C113/D113,2)</f>
        <v>11.83</v>
      </c>
      <c r="H217" s="951">
        <f>ROUND(C217+D217+E217+F217+G217,1)</f>
        <v>619.20000000000005</v>
      </c>
    </row>
    <row r="218" spans="1:8">
      <c r="A218" s="3"/>
      <c r="B218" s="3" t="s">
        <v>6203</v>
      </c>
      <c r="C218" s="951">
        <f>(1-$F$99)*('BASIC DATA'!D217/D114)</f>
        <v>96.75</v>
      </c>
      <c r="D218" s="3">
        <f>('BASIC DATA'!D217*(C114+1)/(2*C114))*$F$91*C114/D114</f>
        <v>11.824999999999999</v>
      </c>
      <c r="E218" s="951">
        <f>E114*'BASIC DATA'!D217/D114/100</f>
        <v>26.875</v>
      </c>
      <c r="F218" s="951">
        <f>E114*'BASIC DATA'!D217/D114/1000</f>
        <v>2.6875</v>
      </c>
      <c r="G218" s="3">
        <f>ROUND(('BASIC DATA'!D217*(C114+1)/(2*C114))*$F$93*C114/D114,2)</f>
        <v>1.08</v>
      </c>
      <c r="H218" s="951">
        <f t="shared" ref="H218:H281" si="0">ROUND(C218+D218+E218+F218+G218,1)</f>
        <v>139.19999999999999</v>
      </c>
    </row>
    <row r="219" spans="1:8">
      <c r="A219" s="3">
        <v>2</v>
      </c>
      <c r="B219" s="3" t="s">
        <v>6204</v>
      </c>
      <c r="C219" s="951">
        <f>(1-$F$99)*('BASIC DATA'!D218/D115)</f>
        <v>39.9375</v>
      </c>
      <c r="D219" s="3">
        <f>('BASIC DATA'!D218*(C115+1)/(2*C115))*$F$91*C115/D115</f>
        <v>26.846875000000001</v>
      </c>
      <c r="E219" s="951">
        <f>E115*'BASIC DATA'!D218/D115/100</f>
        <v>35.5</v>
      </c>
      <c r="F219" s="951">
        <f>E115*'BASIC DATA'!D218/D115/1000</f>
        <v>3.55</v>
      </c>
      <c r="G219" s="3">
        <f>ROUND(('BASIC DATA'!D218*(C115+1)/(2*C115))*$F$93*C115/D115,2)</f>
        <v>2.44</v>
      </c>
      <c r="H219" s="951">
        <f t="shared" si="0"/>
        <v>108.3</v>
      </c>
    </row>
    <row r="220" spans="1:8">
      <c r="A220" s="3">
        <v>3</v>
      </c>
      <c r="B220" s="3" t="s">
        <v>6205</v>
      </c>
      <c r="C220" s="951">
        <f>(1-$F$99)*('BASIC DATA'!D219/D116)</f>
        <v>85.5</v>
      </c>
      <c r="D220" s="3">
        <f>('BASIC DATA'!D219*(C116+1)/(2*C116))*$F$91*C116/D116</f>
        <v>47.024999999999999</v>
      </c>
      <c r="E220" s="951">
        <f>E116*'BASIC DATA'!D219/D116/100</f>
        <v>95</v>
      </c>
      <c r="F220" s="951">
        <f>E116*'BASIC DATA'!D219/D116/1000</f>
        <v>9.5</v>
      </c>
      <c r="G220" s="3">
        <f>ROUND(('BASIC DATA'!D219*(C116+1)/(2*C116))*$F$93*C116/D116,2)</f>
        <v>4.28</v>
      </c>
      <c r="H220" s="951">
        <f t="shared" si="0"/>
        <v>241.3</v>
      </c>
    </row>
    <row r="221" spans="1:8">
      <c r="A221" s="3">
        <v>4</v>
      </c>
      <c r="B221" s="3" t="s">
        <v>6206</v>
      </c>
      <c r="C221" s="951">
        <f>(1-$F$99)*('BASIC DATA'!D220/D117)</f>
        <v>48.65625</v>
      </c>
      <c r="D221" s="3">
        <f>('BASIC DATA'!D220*(C117+1)/(2*C117))*$F$91*C117/D117</f>
        <v>32.707812500000003</v>
      </c>
      <c r="E221" s="951">
        <f>E117*'BASIC DATA'!D220/D117/100</f>
        <v>43.25</v>
      </c>
      <c r="F221" s="951">
        <f>E117*'BASIC DATA'!D220/D117/1000</f>
        <v>4.3250000000000002</v>
      </c>
      <c r="G221" s="3">
        <f>ROUND(('BASIC DATA'!D220*(C117+1)/(2*C117))*$F$93*C117/D117,2)</f>
        <v>2.97</v>
      </c>
      <c r="H221" s="951">
        <f t="shared" si="0"/>
        <v>131.9</v>
      </c>
    </row>
    <row r="222" spans="1:8">
      <c r="A222" s="3">
        <v>5</v>
      </c>
      <c r="B222" s="3" t="s">
        <v>39</v>
      </c>
      <c r="C222" s="951">
        <f>(1-$F$99)*('BASIC DATA'!D221/D118)</f>
        <v>97.65</v>
      </c>
      <c r="D222" s="3">
        <f>('BASIC DATA'!D221*(C118+1)/(2*C118))*$F$91*C118/D118</f>
        <v>53.707500000000003</v>
      </c>
      <c r="E222" s="951">
        <f>E118*'BASIC DATA'!D221/D118/100</f>
        <v>108.5</v>
      </c>
      <c r="F222" s="951">
        <f>E118*'BASIC DATA'!D221/D118/1000</f>
        <v>10.85</v>
      </c>
      <c r="G222" s="3">
        <f>ROUND(('BASIC DATA'!D221*(C118+1)/(2*C118))*$F$93*C118/D118,2)</f>
        <v>4.88</v>
      </c>
      <c r="H222" s="951">
        <f t="shared" si="0"/>
        <v>275.60000000000002</v>
      </c>
    </row>
    <row r="223" spans="1:8">
      <c r="A223" s="3">
        <v>6</v>
      </c>
      <c r="B223" s="3" t="s">
        <v>867</v>
      </c>
      <c r="C223" s="951">
        <f>(1-$F$99)*('BASIC DATA'!D222/D119)</f>
        <v>63</v>
      </c>
      <c r="D223" s="3">
        <f>('BASIC DATA'!D222*(C119+1)/(2*C119))*$F$91*C119/D119</f>
        <v>42.35</v>
      </c>
      <c r="E223" s="951">
        <f>E119*'BASIC DATA'!D222/D119/100</f>
        <v>56</v>
      </c>
      <c r="F223" s="951">
        <f>E119*'BASIC DATA'!D222/D119/1000</f>
        <v>5.6</v>
      </c>
      <c r="G223" s="3">
        <f>ROUND(('BASIC DATA'!D222*(C119+1)/(2*C119))*$F$93*C119/D119,2)</f>
        <v>3.85</v>
      </c>
      <c r="H223" s="951">
        <f t="shared" si="0"/>
        <v>170.8</v>
      </c>
    </row>
    <row r="224" spans="1:8">
      <c r="A224" s="3">
        <v>7</v>
      </c>
      <c r="B224" s="3" t="s">
        <v>868</v>
      </c>
      <c r="C224" s="951">
        <f>(1-$F$99)*('BASIC DATA'!D223/D120)</f>
        <v>41.1</v>
      </c>
      <c r="D224" s="3">
        <f>('BASIC DATA'!D223*(C120+1)/(2*C120))*$F$91*C120/D120</f>
        <v>52.744999999999997</v>
      </c>
      <c r="E224" s="951">
        <f>E120*'BASIC DATA'!D223/D120/100</f>
        <v>36.533333333333331</v>
      </c>
      <c r="F224" s="951">
        <f>E120*'BASIC DATA'!D223/D120/1000</f>
        <v>3.6533333333333333</v>
      </c>
      <c r="G224" s="3">
        <f>ROUND(('BASIC DATA'!D223*(C120+1)/(2*C120))*$F$93*C120/D120,2)</f>
        <v>4.8</v>
      </c>
      <c r="H224" s="951">
        <f t="shared" si="0"/>
        <v>138.80000000000001</v>
      </c>
    </row>
    <row r="225" spans="1:8">
      <c r="A225" s="3">
        <v>8</v>
      </c>
      <c r="B225" s="3" t="s">
        <v>6666</v>
      </c>
      <c r="C225" s="951">
        <f>(1-$F$99)*('BASIC DATA'!D224/D121)</f>
        <v>410.625</v>
      </c>
      <c r="D225" s="3">
        <f>('BASIC DATA'!D224*(C121+1)/(2*C121))*$F$91*C121/D121</f>
        <v>276.03125</v>
      </c>
      <c r="E225" s="951">
        <f>E121*'BASIC DATA'!D224/D121/100</f>
        <v>912.5</v>
      </c>
      <c r="F225" s="951">
        <f>E121*'BASIC DATA'!D224/D121/1000</f>
        <v>91.25</v>
      </c>
      <c r="G225" s="3">
        <f>ROUND(('BASIC DATA'!D224*(C121+1)/(2*C121))*$F$93*C121/D121,2)</f>
        <v>25.09</v>
      </c>
      <c r="H225" s="951">
        <f t="shared" si="0"/>
        <v>1715.5</v>
      </c>
    </row>
    <row r="226" spans="1:8">
      <c r="A226" s="3">
        <v>9</v>
      </c>
      <c r="B226" s="3" t="s">
        <v>6953</v>
      </c>
      <c r="C226" s="951">
        <f>(1-$F$99)*('BASIC DATA'!D225/D122)</f>
        <v>36</v>
      </c>
      <c r="D226" s="3">
        <f>('BASIC DATA'!D225*(C122+1)/(2*C122))*$F$91*C122/D122</f>
        <v>41.8</v>
      </c>
      <c r="E226" s="951">
        <f>E122*'BASIC DATA'!D225/D122/100</f>
        <v>30</v>
      </c>
      <c r="F226" s="951">
        <f>E122*'BASIC DATA'!D225/D122/1000</f>
        <v>3</v>
      </c>
      <c r="G226" s="3">
        <f>ROUND(('BASIC DATA'!D225*(C122+1)/(2*C122))*$F$93*C122/D122,2)</f>
        <v>3.8</v>
      </c>
      <c r="H226" s="951">
        <f t="shared" si="0"/>
        <v>114.6</v>
      </c>
    </row>
    <row r="227" spans="1:8">
      <c r="A227" s="3">
        <v>10</v>
      </c>
      <c r="B227" s="3" t="s">
        <v>6954</v>
      </c>
      <c r="C227" s="951">
        <f>(1-$F$99)*('BASIC DATA'!D226/D123)</f>
        <v>127.35000000000001</v>
      </c>
      <c r="D227" s="3">
        <f>('BASIC DATA'!D226*(C123+1)/(2*C123))*$F$91*C123/D123</f>
        <v>147.86750000000001</v>
      </c>
      <c r="E227" s="951">
        <f>E123*'BASIC DATA'!D226/D123/100</f>
        <v>106.125</v>
      </c>
      <c r="F227" s="951">
        <f>E123*'BASIC DATA'!D226/D123/1000</f>
        <v>10.612500000000001</v>
      </c>
      <c r="G227" s="3">
        <f>ROUND(('BASIC DATA'!D226*(C123+1)/(2*C123))*$F$93*C123/D123,2)</f>
        <v>13.44</v>
      </c>
      <c r="H227" s="951">
        <f t="shared" si="0"/>
        <v>405.4</v>
      </c>
    </row>
    <row r="228" spans="1:8">
      <c r="A228" s="3">
        <v>11</v>
      </c>
      <c r="B228" s="3" t="s">
        <v>6955</v>
      </c>
      <c r="C228" s="951">
        <f>(1-$F$99)*('BASIC DATA'!D227/D124)</f>
        <v>195</v>
      </c>
      <c r="D228" s="3">
        <f>('BASIC DATA'!D227*(C124+1)/(2*C124))*$F$91*C124/D124</f>
        <v>226.41666666666666</v>
      </c>
      <c r="E228" s="951">
        <f>E124*'BASIC DATA'!D227/D124/100</f>
        <v>162.5</v>
      </c>
      <c r="F228" s="951">
        <f>E124*'BASIC DATA'!D227/D124/1000</f>
        <v>16.25</v>
      </c>
      <c r="G228" s="3">
        <f>ROUND(('BASIC DATA'!D227*(C124+1)/(2*C124))*$F$93*C124/D124,2)</f>
        <v>20.58</v>
      </c>
      <c r="H228" s="951">
        <f t="shared" si="0"/>
        <v>620.70000000000005</v>
      </c>
    </row>
    <row r="229" spans="1:8">
      <c r="A229" s="3">
        <v>12</v>
      </c>
      <c r="B229" s="3" t="s">
        <v>6027</v>
      </c>
      <c r="C229" s="951">
        <f>(1-$F$99)*('BASIC DATA'!D228/D125)</f>
        <v>15.900000000000002</v>
      </c>
      <c r="D229" s="3">
        <f>('BASIC DATA'!D228*(C125+1)/(2*C125))*$F$91*C125/D125</f>
        <v>15.546666666666669</v>
      </c>
      <c r="E229" s="951">
        <f>E125*'BASIC DATA'!D228/D125/100</f>
        <v>8.8333333333333339</v>
      </c>
      <c r="F229" s="951">
        <f>E125*'BASIC DATA'!D228/D125/1000</f>
        <v>0.88333333333333341</v>
      </c>
      <c r="G229" s="3">
        <f>ROUND(('BASIC DATA'!D228*(C125+1)/(2*C125))*$F$93*C125/D125,2)</f>
        <v>1.41</v>
      </c>
      <c r="H229" s="951">
        <f t="shared" si="0"/>
        <v>42.6</v>
      </c>
    </row>
    <row r="230" spans="1:8">
      <c r="A230" s="3">
        <v>13</v>
      </c>
      <c r="B230" s="1" t="s">
        <v>1872</v>
      </c>
      <c r="C230" s="951">
        <f>(1-$F$99)*('BASIC DATA'!D229/D126)</f>
        <v>5.4</v>
      </c>
      <c r="D230" s="951"/>
      <c r="E230" s="951"/>
      <c r="F230" s="951"/>
      <c r="G230" s="3"/>
      <c r="H230" s="951">
        <f t="shared" si="0"/>
        <v>5.4</v>
      </c>
    </row>
    <row r="231" spans="1:8">
      <c r="A231" s="3">
        <v>14</v>
      </c>
      <c r="B231" s="3" t="s">
        <v>6912</v>
      </c>
      <c r="C231" s="951">
        <f>(1-$F$99)*('BASIC DATA'!D230/D127)</f>
        <v>10.08</v>
      </c>
      <c r="D231" s="3">
        <f>('BASIC DATA'!D230*(C127+1)/(2*C127))*$F$91*C127/D127</f>
        <v>2.464</v>
      </c>
      <c r="E231" s="951">
        <f>E127*'BASIC DATA'!D230/D127/100</f>
        <v>2.8</v>
      </c>
      <c r="F231" s="951">
        <f>E127*'BASIC DATA'!D230/D127/1000</f>
        <v>0.28000000000000003</v>
      </c>
      <c r="G231" s="3">
        <f>ROUND(('BASIC DATA'!D230*(C127+1)/(2*C127))*$F$93*C127/D127,2)</f>
        <v>0.22</v>
      </c>
      <c r="H231" s="951">
        <f t="shared" si="0"/>
        <v>15.8</v>
      </c>
    </row>
    <row r="232" spans="1:8">
      <c r="A232" s="3">
        <v>15</v>
      </c>
      <c r="B232" s="3" t="s">
        <v>2769</v>
      </c>
      <c r="C232" s="951">
        <f>(1-$F$99)*('BASIC DATA'!D231/D128)</f>
        <v>2.3250000000000002</v>
      </c>
      <c r="D232" s="3">
        <f>('BASIC DATA'!D231*(C128+1)/(2*C128))*$F$91*C128/D128</f>
        <v>0.85250000000000004</v>
      </c>
      <c r="E232" s="951">
        <f>E128*'BASIC DATA'!D231/D128/100</f>
        <v>2.0666666666666664</v>
      </c>
      <c r="F232" s="951">
        <f>E128*'BASIC DATA'!D231/D128/1000</f>
        <v>0.20666666666666667</v>
      </c>
      <c r="G232" s="3">
        <f>ROUND(('BASIC DATA'!D231*(C128+1)/(2*C128))*$F$93*C128/D128,2)</f>
        <v>0.08</v>
      </c>
      <c r="H232" s="951">
        <f t="shared" si="0"/>
        <v>5.5</v>
      </c>
    </row>
    <row r="233" spans="1:8">
      <c r="A233" s="3">
        <v>16</v>
      </c>
      <c r="B233" s="3" t="s">
        <v>869</v>
      </c>
      <c r="C233" s="951">
        <f>(1-$F$99)*('BASIC DATA'!D232/D129)</f>
        <v>22.5</v>
      </c>
      <c r="D233" s="3">
        <f>('BASIC DATA'!D232*(C129+1)/(2*C129))*$F$91*C129/D129</f>
        <v>8.25</v>
      </c>
      <c r="E233" s="951">
        <f>E129*'BASIC DATA'!D232/D129/100</f>
        <v>20</v>
      </c>
      <c r="F233" s="951">
        <f>E129*'BASIC DATA'!D232/D129/1000</f>
        <v>2</v>
      </c>
      <c r="G233" s="3">
        <f>ROUND(('BASIC DATA'!D232*(C129+1)/(2*C129))*$F$93*C129/D129,2)</f>
        <v>0.75</v>
      </c>
      <c r="H233" s="951">
        <f t="shared" si="0"/>
        <v>53.5</v>
      </c>
    </row>
    <row r="234" spans="1:8">
      <c r="A234" s="3">
        <v>17</v>
      </c>
      <c r="B234" s="3" t="s">
        <v>870</v>
      </c>
      <c r="C234" s="951">
        <f>(1-$F$99)*('BASIC DATA'!D233/D130)</f>
        <v>21.75</v>
      </c>
      <c r="D234" s="3">
        <f>('BASIC DATA'!D233*(C130+1)/(2*C130))*$F$91*C130/D130</f>
        <v>7.9749999999999996</v>
      </c>
      <c r="E234" s="951">
        <f>E130*'BASIC DATA'!D233/D130/100</f>
        <v>19.333333333333332</v>
      </c>
      <c r="F234" s="951">
        <f>E130*'BASIC DATA'!D233/D130/1000</f>
        <v>1.9333333333333333</v>
      </c>
      <c r="G234" s="3">
        <f>ROUND(('BASIC DATA'!D233*(C130+1)/(2*C130))*$F$93*C130/D130,2)</f>
        <v>0.73</v>
      </c>
      <c r="H234" s="951">
        <f t="shared" si="0"/>
        <v>51.7</v>
      </c>
    </row>
    <row r="235" spans="1:8">
      <c r="A235" s="3">
        <v>18</v>
      </c>
      <c r="B235" s="3" t="s">
        <v>871</v>
      </c>
      <c r="C235" s="951">
        <f>(1-$F$99)*('BASIC DATA'!D234/D131)</f>
        <v>39</v>
      </c>
      <c r="D235" s="3">
        <f>('BASIC DATA'!D234*(C131+1)/(2*C131))*$F$91*C131/D131</f>
        <v>14.3</v>
      </c>
      <c r="E235" s="951">
        <f>E131*'BASIC DATA'!D234/D131/100</f>
        <v>34.666666666666664</v>
      </c>
      <c r="F235" s="951">
        <f>E131*'BASIC DATA'!D234/D131/1000</f>
        <v>3.4666666666666663</v>
      </c>
      <c r="G235" s="3">
        <f>ROUND(('BASIC DATA'!D234*(C131+1)/(2*C131))*$F$93*C131/D131,2)</f>
        <v>1.3</v>
      </c>
      <c r="H235" s="951">
        <f t="shared" si="0"/>
        <v>92.7</v>
      </c>
    </row>
    <row r="236" spans="1:8">
      <c r="A236" s="3">
        <v>19</v>
      </c>
      <c r="B236" s="3" t="s">
        <v>2383</v>
      </c>
      <c r="C236" s="951">
        <f>(1-$F$99)*('BASIC DATA'!D235/D132)</f>
        <v>38.25</v>
      </c>
      <c r="D236" s="3">
        <f>('BASIC DATA'!D235*(C132+1)/(2*C132))*$F$91*C132/D132</f>
        <v>14.025</v>
      </c>
      <c r="E236" s="951">
        <f>E132*'BASIC DATA'!D235/D132/100</f>
        <v>34</v>
      </c>
      <c r="F236" s="951">
        <f>E132*'BASIC DATA'!D235/D132/1000</f>
        <v>3.4</v>
      </c>
      <c r="G236" s="3">
        <f>ROUND(('BASIC DATA'!D235*(C132+1)/(2*C132))*$F$93*C132/D132,2)</f>
        <v>1.28</v>
      </c>
      <c r="H236" s="951">
        <f t="shared" si="0"/>
        <v>91</v>
      </c>
    </row>
    <row r="237" spans="1:8">
      <c r="A237" s="3">
        <v>20</v>
      </c>
      <c r="B237" s="3" t="s">
        <v>2384</v>
      </c>
      <c r="C237" s="951">
        <f>(1-$F$99)*('BASIC DATA'!D236/D133)</f>
        <v>106.245</v>
      </c>
      <c r="D237" s="3">
        <f>('BASIC DATA'!D236*(C133+1)/(2*C133))*$F$91*C133/D133</f>
        <v>110.37675</v>
      </c>
      <c r="E237" s="951">
        <f>E133*'BASIC DATA'!D236/D133/100</f>
        <v>118.05</v>
      </c>
      <c r="F237" s="951">
        <f>E133*'BASIC DATA'!D236/D133/1000</f>
        <v>11.805</v>
      </c>
      <c r="G237" s="3">
        <f>ROUND(('BASIC DATA'!D236*(C133+1)/(2*C133))*$F$93*C133/D133,2)</f>
        <v>10.029999999999999</v>
      </c>
      <c r="H237" s="951">
        <f t="shared" si="0"/>
        <v>356.5</v>
      </c>
    </row>
    <row r="238" spans="1:8">
      <c r="A238" s="3">
        <v>21</v>
      </c>
      <c r="B238" s="3" t="s">
        <v>3090</v>
      </c>
      <c r="C238" s="951">
        <f>(1-$F$99)*('BASIC DATA'!D237/D134)</f>
        <v>231.3</v>
      </c>
      <c r="D238" s="3">
        <f>('BASIC DATA'!D237*(C134+1)/(2*C134))*$F$91*C134/D134</f>
        <v>155.48500000000001</v>
      </c>
      <c r="E238" s="951">
        <f>E134*'BASIC DATA'!D237/D134/100</f>
        <v>257</v>
      </c>
      <c r="F238" s="951">
        <f>E134*'BASIC DATA'!D237/D134/1000</f>
        <v>25.7</v>
      </c>
      <c r="G238" s="3">
        <f>ROUND(('BASIC DATA'!D237*(C134+1)/(2*C134))*$F$93*C134/D134,2)</f>
        <v>14.14</v>
      </c>
      <c r="H238" s="951">
        <f t="shared" si="0"/>
        <v>683.6</v>
      </c>
    </row>
    <row r="239" spans="1:8">
      <c r="A239" s="3"/>
      <c r="B239" s="3" t="s">
        <v>6203</v>
      </c>
      <c r="C239" s="951">
        <f>(1-$F$99)*('BASIC DATA'!D238/D135)</f>
        <v>96.75</v>
      </c>
      <c r="D239" s="3">
        <f>('BASIC DATA'!D238*(C135+1)/(2*C135))*$F$91*C135/D135</f>
        <v>11.824999999999999</v>
      </c>
      <c r="E239" s="951">
        <f>E135*'BASIC DATA'!D238/D135/100</f>
        <v>26.875</v>
      </c>
      <c r="F239" s="951">
        <f>E135*'BASIC DATA'!D238/D135/1000</f>
        <v>2.6875</v>
      </c>
      <c r="G239" s="3">
        <f>ROUND(('BASIC DATA'!D238*(C135+1)/(2*C135))*$F$93*C135/D135,2)</f>
        <v>1.08</v>
      </c>
      <c r="H239" s="951">
        <f t="shared" si="0"/>
        <v>139.19999999999999</v>
      </c>
    </row>
    <row r="240" spans="1:8">
      <c r="A240" s="3">
        <v>22</v>
      </c>
      <c r="B240" s="3" t="s">
        <v>2941</v>
      </c>
      <c r="C240" s="951">
        <f>(1-$F$99)*('BASIC DATA'!D239/D136)</f>
        <v>123.75</v>
      </c>
      <c r="D240" s="3">
        <f>('BASIC DATA'!D239*(C136+1)/(2*C136))*$F$91*C136/D136</f>
        <v>68.0625</v>
      </c>
      <c r="E240" s="951">
        <f>E136*'BASIC DATA'!D239/D136/100</f>
        <v>110</v>
      </c>
      <c r="F240" s="951">
        <f>E136*'BASIC DATA'!D239/D136/1000</f>
        <v>11</v>
      </c>
      <c r="G240" s="3">
        <f>ROUND(('BASIC DATA'!D239*(C136+1)/(2*C136))*$F$93*C136/D136,2)</f>
        <v>6.19</v>
      </c>
      <c r="H240" s="951">
        <f t="shared" si="0"/>
        <v>319</v>
      </c>
    </row>
    <row r="241" spans="1:8">
      <c r="A241" s="3">
        <v>23</v>
      </c>
      <c r="B241" s="3" t="s">
        <v>2942</v>
      </c>
      <c r="C241" s="951">
        <f>(1-$F$99)*('BASIC DATA'!D240/D137)</f>
        <v>22.275000000000002</v>
      </c>
      <c r="D241" s="3">
        <f>('BASIC DATA'!D240*(C137+1)/(2*C137))*$F$91*C137/D137</f>
        <v>14.973750000000001</v>
      </c>
      <c r="E241" s="951">
        <f>E137*'BASIC DATA'!D240/D137/100</f>
        <v>24.75</v>
      </c>
      <c r="F241" s="951">
        <f>E137*'BASIC DATA'!D240/D137/1000</f>
        <v>2.4750000000000001</v>
      </c>
      <c r="G241" s="3">
        <f>ROUND(('BASIC DATA'!D240*(C137+1)/(2*C137))*$F$93*C137/D137,2)</f>
        <v>1.36</v>
      </c>
      <c r="H241" s="951">
        <f t="shared" si="0"/>
        <v>65.8</v>
      </c>
    </row>
    <row r="242" spans="1:8">
      <c r="A242" s="3">
        <v>24</v>
      </c>
      <c r="B242" s="3" t="s">
        <v>1374</v>
      </c>
      <c r="C242" s="951">
        <f>(1-$F$99)*('BASIC DATA'!D241/D138)</f>
        <v>28.8</v>
      </c>
      <c r="D242" s="3">
        <f>('BASIC DATA'!D241*(C138+1)/(2*C138))*$F$91*C138/D138</f>
        <v>19.36</v>
      </c>
      <c r="E242" s="951">
        <f>E138*'BASIC DATA'!D241/D138/100</f>
        <v>32</v>
      </c>
      <c r="F242" s="951">
        <f>E138*'BASIC DATA'!D241/D138/1000</f>
        <v>3.2</v>
      </c>
      <c r="G242" s="3">
        <f>ROUND(('BASIC DATA'!D241*(C138+1)/(2*C138))*$F$93*C138/D138,2)</f>
        <v>1.76</v>
      </c>
      <c r="H242" s="951">
        <f t="shared" si="0"/>
        <v>85.1</v>
      </c>
    </row>
    <row r="243" spans="1:8">
      <c r="A243" s="3">
        <v>25</v>
      </c>
      <c r="B243" s="3" t="s">
        <v>1375</v>
      </c>
      <c r="C243" s="951">
        <f>(1-$F$99)*('BASIC DATA'!D242/D139)</f>
        <v>119.25</v>
      </c>
      <c r="D243" s="3">
        <f>('BASIC DATA'!D242*(C139+1)/(2*C139))*$F$91*C139/D139</f>
        <v>80.162499999999994</v>
      </c>
      <c r="E243" s="951">
        <f>E139*'BASIC DATA'!D242/D139/100</f>
        <v>159</v>
      </c>
      <c r="F243" s="951">
        <f>E139*'BASIC DATA'!D242/D139/1000</f>
        <v>15.9</v>
      </c>
      <c r="G243" s="3">
        <f>ROUND(('BASIC DATA'!D242*(C139+1)/(2*C139))*$F$93*C139/D139,2)</f>
        <v>7.29</v>
      </c>
      <c r="H243" s="951">
        <f t="shared" si="0"/>
        <v>381.6</v>
      </c>
    </row>
    <row r="244" spans="1:8">
      <c r="A244" s="3">
        <v>26</v>
      </c>
      <c r="B244" s="3" t="s">
        <v>3091</v>
      </c>
      <c r="C244" s="951">
        <f>(1-$F$99)*('BASIC DATA'!D243/D140)</f>
        <v>3.6</v>
      </c>
      <c r="D244" s="3">
        <f>('BASIC DATA'!D243*(C140+1)/(2*C140))*$F$91*C140/D140</f>
        <v>1.98</v>
      </c>
      <c r="E244" s="951">
        <f>E140*'BASIC DATA'!D243/D140/100</f>
        <v>4</v>
      </c>
      <c r="F244" s="951">
        <f>E140*'BASIC DATA'!D243/D140/1000</f>
        <v>0.4</v>
      </c>
      <c r="G244" s="3">
        <f>ROUND(('BASIC DATA'!D243*(C140+1)/(2*C140))*$F$93*C140/D140,2)</f>
        <v>0.18</v>
      </c>
      <c r="H244" s="951">
        <f t="shared" si="0"/>
        <v>10.199999999999999</v>
      </c>
    </row>
    <row r="245" spans="1:8">
      <c r="A245" s="3">
        <v>27</v>
      </c>
      <c r="B245" s="3" t="s">
        <v>3092</v>
      </c>
      <c r="C245" s="951">
        <f>(1-$F$99)*('BASIC DATA'!D244/D141)</f>
        <v>1.1025</v>
      </c>
      <c r="D245" s="3">
        <f>('BASIC DATA'!D244*(C141+1)/(2*C141))*$F$91*C141/D141</f>
        <v>0.87587499999999996</v>
      </c>
      <c r="E245" s="951">
        <f>E141*'BASIC DATA'!D244/D141/100</f>
        <v>0.85750000000000004</v>
      </c>
      <c r="F245" s="951">
        <f>E141*'BASIC DATA'!D244/D141/1000</f>
        <v>8.5750000000000007E-2</v>
      </c>
      <c r="G245" s="3">
        <f>ROUND(('BASIC DATA'!D244*(C141+1)/(2*C141))*$F$93*C141/D141,2)</f>
        <v>0.08</v>
      </c>
      <c r="H245" s="951">
        <f t="shared" si="0"/>
        <v>3</v>
      </c>
    </row>
    <row r="246" spans="1:8">
      <c r="A246" s="3">
        <v>28</v>
      </c>
      <c r="B246" s="3" t="s">
        <v>3093</v>
      </c>
      <c r="C246" s="951">
        <f>(1-$F$99)*('BASIC DATA'!D245/D142)</f>
        <v>5.4</v>
      </c>
      <c r="D246" s="3">
        <f>('BASIC DATA'!D245*(C142+1)/(2*C142))*$F$91*C142/D142</f>
        <v>2.97</v>
      </c>
      <c r="E246" s="951">
        <f>E142*'BASIC DATA'!D245/D142/100</f>
        <v>6</v>
      </c>
      <c r="F246" s="951">
        <f>E142*'BASIC DATA'!D245/D142/1000</f>
        <v>0.6</v>
      </c>
      <c r="G246" s="3">
        <f>ROUND(('BASIC DATA'!D245*(C142+1)/(2*C142))*$F$93*C142/D142,2)</f>
        <v>0.27</v>
      </c>
      <c r="H246" s="951">
        <f t="shared" si="0"/>
        <v>15.2</v>
      </c>
    </row>
    <row r="247" spans="1:8">
      <c r="A247" s="3">
        <v>29</v>
      </c>
      <c r="B247" s="3" t="s">
        <v>7099</v>
      </c>
      <c r="C247" s="951">
        <f>(1-$F$99)*('BASIC DATA'!D246/D143)</f>
        <v>2.4750000000000001</v>
      </c>
      <c r="D247" s="3">
        <f>('BASIC DATA'!D246*(C143+1)/(2*C143))*$F$91*C143/D143</f>
        <v>1.9662500000000001</v>
      </c>
      <c r="E247" s="951">
        <f>E143*'BASIC DATA'!D246/D143/100</f>
        <v>1.925</v>
      </c>
      <c r="F247" s="951">
        <f>E143*'BASIC DATA'!D246/D143/1000</f>
        <v>0.1925</v>
      </c>
      <c r="G247" s="3">
        <f>ROUND(('BASIC DATA'!D246*(C143+1)/(2*C143))*$F$93*C143/D143,2)</f>
        <v>0.18</v>
      </c>
      <c r="H247" s="951">
        <f t="shared" si="0"/>
        <v>6.7</v>
      </c>
    </row>
    <row r="248" spans="1:8">
      <c r="A248" s="3">
        <v>30</v>
      </c>
      <c r="B248" s="3" t="s">
        <v>7100</v>
      </c>
      <c r="C248" s="951">
        <f>(1-$F$99)*('BASIC DATA'!D247/D144)</f>
        <v>17.100000000000001</v>
      </c>
      <c r="D248" s="3">
        <f>('BASIC DATA'!D247*(C144+1)/(2*C144))*$F$91*C144/D144</f>
        <v>9.4049999999999994</v>
      </c>
      <c r="E248" s="951">
        <f>E144*'BASIC DATA'!D247/D144/100</f>
        <v>19</v>
      </c>
      <c r="F248" s="951">
        <f>E144*'BASIC DATA'!D247/D144/1000</f>
        <v>1.9</v>
      </c>
      <c r="G248" s="3">
        <f>ROUND(('BASIC DATA'!D247*(C144+1)/(2*C144))*$F$93*C144/D144,2)</f>
        <v>0.86</v>
      </c>
      <c r="H248" s="951">
        <f t="shared" si="0"/>
        <v>48.3</v>
      </c>
    </row>
    <row r="249" spans="1:8">
      <c r="A249" s="3">
        <v>31</v>
      </c>
      <c r="B249" s="3" t="s">
        <v>7101</v>
      </c>
      <c r="C249" s="951">
        <f>(1-$F$99)*('BASIC DATA'!D248/D145)</f>
        <v>4.5</v>
      </c>
      <c r="D249" s="3">
        <f>('BASIC DATA'!D248*(C145+1)/(2*C145))*$F$91*C145/D145</f>
        <v>3.5750000000000002</v>
      </c>
      <c r="E249" s="951">
        <f>E145*'BASIC DATA'!D248/D145/100</f>
        <v>3.5</v>
      </c>
      <c r="F249" s="951">
        <f>E145*'BASIC DATA'!D248/D145/1000</f>
        <v>0.35</v>
      </c>
      <c r="G249" s="3">
        <f>ROUND(('BASIC DATA'!D248*(C145+1)/(2*C145))*$F$93*C145/D145,2)</f>
        <v>0.33</v>
      </c>
      <c r="H249" s="951">
        <f t="shared" si="0"/>
        <v>12.3</v>
      </c>
    </row>
    <row r="250" spans="1:8">
      <c r="A250" s="3">
        <v>32</v>
      </c>
      <c r="B250" s="3" t="s">
        <v>2080</v>
      </c>
      <c r="C250" s="951">
        <f>(1-$F$99)*('BASIC DATA'!D249/D146)</f>
        <v>119.02500000000001</v>
      </c>
      <c r="D250" s="3">
        <f>('BASIC DATA'!D249*(C146+1)/(2*C146))*$F$91*C146/D146</f>
        <v>80.011250000000004</v>
      </c>
      <c r="E250" s="951">
        <f>E146*'BASIC DATA'!D249/D146/100</f>
        <v>105.8</v>
      </c>
      <c r="F250" s="951">
        <f>E146*'BASIC DATA'!D249/D146/1000</f>
        <v>10.58</v>
      </c>
      <c r="G250" s="3">
        <f>ROUND(('BASIC DATA'!D249*(C146+1)/(2*C146))*$F$93*C146/D146,2)</f>
        <v>7.27</v>
      </c>
      <c r="H250" s="951">
        <f t="shared" si="0"/>
        <v>322.7</v>
      </c>
    </row>
    <row r="251" spans="1:8">
      <c r="A251" s="3">
        <v>33</v>
      </c>
      <c r="B251" s="3" t="s">
        <v>7102</v>
      </c>
      <c r="C251" s="951">
        <f>(1-$F$99)*('BASIC DATA'!D250/D147)</f>
        <v>97.65</v>
      </c>
      <c r="D251" s="3">
        <f>('BASIC DATA'!D250*(C147+1)/(2*C147))*$F$91*C147/D147</f>
        <v>53.707500000000003</v>
      </c>
      <c r="E251" s="951">
        <f>E147*'BASIC DATA'!D250/D147/100</f>
        <v>108.5</v>
      </c>
      <c r="F251" s="951">
        <f>E147*'BASIC DATA'!D250/D147/1000</f>
        <v>10.85</v>
      </c>
      <c r="G251" s="3">
        <f>ROUND(('BASIC DATA'!D250*(C147+1)/(2*C147))*$F$93*C147/D147,2)</f>
        <v>4.88</v>
      </c>
      <c r="H251" s="951">
        <f t="shared" si="0"/>
        <v>275.60000000000002</v>
      </c>
    </row>
    <row r="252" spans="1:8">
      <c r="A252" s="3"/>
      <c r="B252" s="3" t="s">
        <v>6203</v>
      </c>
      <c r="C252" s="951">
        <f>(1-$F$99)*('BASIC DATA'!D251/D148)</f>
        <v>64.5</v>
      </c>
      <c r="D252" s="3">
        <f>('BASIC DATA'!D251*(C148+1)/(2*C148))*$F$91*C148/D148</f>
        <v>7.8833333333333337</v>
      </c>
      <c r="E252" s="951">
        <f>E148*'BASIC DATA'!D251/D148/100</f>
        <v>17.916666666666668</v>
      </c>
      <c r="F252" s="951">
        <f>E148*'BASIC DATA'!D251/D148/1000</f>
        <v>1.7916666666666667</v>
      </c>
      <c r="G252" s="3">
        <f>ROUND(('BASIC DATA'!D251*(C148+1)/(2*C148))*$F$93*C148/D148,2)</f>
        <v>0.72</v>
      </c>
      <c r="H252" s="951">
        <f t="shared" si="0"/>
        <v>92.8</v>
      </c>
    </row>
    <row r="253" spans="1:8">
      <c r="A253" s="3">
        <v>34</v>
      </c>
      <c r="B253" s="3" t="s">
        <v>7103</v>
      </c>
      <c r="C253" s="951">
        <f>(1-$F$99)*('BASIC DATA'!D252/D149)</f>
        <v>130.5</v>
      </c>
      <c r="D253" s="3">
        <f>('BASIC DATA'!D252*(C149+1)/(2*C149))*$F$91*C149/D149</f>
        <v>71.775000000000006</v>
      </c>
      <c r="E253" s="951">
        <f>E149*'BASIC DATA'!D252/D149/100</f>
        <v>253.75</v>
      </c>
      <c r="F253" s="951">
        <f>E149*'BASIC DATA'!D252/D149/1000</f>
        <v>25.375</v>
      </c>
      <c r="G253" s="3">
        <f>ROUND(('BASIC DATA'!D252*(C149+1)/(2*C149))*$F$93*C149/D149,2)</f>
        <v>6.53</v>
      </c>
      <c r="H253" s="951">
        <f t="shared" si="0"/>
        <v>487.9</v>
      </c>
    </row>
    <row r="254" spans="1:8">
      <c r="A254" s="3"/>
      <c r="B254" s="3" t="s">
        <v>6203</v>
      </c>
      <c r="C254" s="951">
        <f>(1-$F$99)*('BASIC DATA'!D253/D150)</f>
        <v>64.5</v>
      </c>
      <c r="D254" s="3">
        <f>('BASIC DATA'!D253*(C150+1)/(2*C150))*$F$91*C150/D150</f>
        <v>7.8833333333333337</v>
      </c>
      <c r="E254" s="951">
        <f>E150*'BASIC DATA'!D253/D150/100</f>
        <v>17.916666666666668</v>
      </c>
      <c r="F254" s="951">
        <f>E150*'BASIC DATA'!D253/D150/1000</f>
        <v>1.7916666666666667</v>
      </c>
      <c r="G254" s="3">
        <f>ROUND(('BASIC DATA'!D253*(C150+1)/(2*C150))*$F$93*C150/D150,2)</f>
        <v>0.72</v>
      </c>
      <c r="H254" s="951">
        <f t="shared" si="0"/>
        <v>92.8</v>
      </c>
    </row>
    <row r="255" spans="1:8">
      <c r="A255" s="3">
        <v>35</v>
      </c>
      <c r="B255" s="3" t="s">
        <v>4304</v>
      </c>
      <c r="C255" s="951">
        <f>(1-$F$99)*('BASIC DATA'!D254/D151)</f>
        <v>42.75</v>
      </c>
      <c r="D255" s="3">
        <f>('BASIC DATA'!D254*(C151+1)/(2*C151))*$F$91*C151/D151</f>
        <v>15.675000000000001</v>
      </c>
      <c r="E255" s="951">
        <f>E151*'BASIC DATA'!D254/D151/100</f>
        <v>35.625</v>
      </c>
      <c r="F255" s="951">
        <f>E151*'BASIC DATA'!D254/D151/1000</f>
        <v>3.5625</v>
      </c>
      <c r="G255" s="3">
        <f>ROUND(('BASIC DATA'!D254*(C151+1)/(2*C151))*$F$93*C151/D151,2)</f>
        <v>1.43</v>
      </c>
      <c r="H255" s="951">
        <f t="shared" si="0"/>
        <v>99</v>
      </c>
    </row>
    <row r="256" spans="1:8">
      <c r="A256" s="3">
        <v>36</v>
      </c>
      <c r="B256" s="3" t="s">
        <v>2248</v>
      </c>
      <c r="C256" s="951">
        <f>(1-$F$99)*('BASIC DATA'!D255/D152)</f>
        <v>9.18</v>
      </c>
      <c r="D256" s="3">
        <f>('BASIC DATA'!D255*(C152+1)/(2*C152))*$F$91*C152/D152</f>
        <v>6.1710000000000003</v>
      </c>
      <c r="E256" s="951">
        <f>E152*'BASIC DATA'!D255/D152/100</f>
        <v>8.16</v>
      </c>
      <c r="F256" s="951">
        <f>E152*'BASIC DATA'!D255/D152/1000</f>
        <v>0.81599999999999995</v>
      </c>
      <c r="G256" s="3">
        <f>ROUND(('BASIC DATA'!D255*(C152+1)/(2*C152))*$F$93*C152/D152,2)</f>
        <v>0.56000000000000005</v>
      </c>
      <c r="H256" s="951">
        <f t="shared" si="0"/>
        <v>24.9</v>
      </c>
    </row>
    <row r="257" spans="1:8">
      <c r="A257" s="3">
        <v>37</v>
      </c>
      <c r="B257" s="3" t="s">
        <v>4305</v>
      </c>
      <c r="C257" s="951">
        <f>(1-$F$99)*('BASIC DATA'!D256/D153)</f>
        <v>42</v>
      </c>
      <c r="D257" s="3">
        <f>('BASIC DATA'!D256*(C153+1)/(2*C153))*$F$91*C153/D153</f>
        <v>15.4</v>
      </c>
      <c r="E257" s="951">
        <f>E153*'BASIC DATA'!D256/D153/100</f>
        <v>46.666666666666671</v>
      </c>
      <c r="F257" s="951">
        <f>E153*'BASIC DATA'!D256/D153/1000</f>
        <v>4.666666666666667</v>
      </c>
      <c r="G257" s="3">
        <f>ROUND(('BASIC DATA'!D256*(C153+1)/(2*C153))*$F$93*C153/D153,2)</f>
        <v>1.4</v>
      </c>
      <c r="H257" s="951">
        <f t="shared" si="0"/>
        <v>110.1</v>
      </c>
    </row>
    <row r="258" spans="1:8">
      <c r="A258" s="3">
        <v>38</v>
      </c>
      <c r="B258" s="3" t="s">
        <v>4306</v>
      </c>
      <c r="C258" s="951">
        <f>(1-$F$99)*('BASIC DATA'!D257/D154)</f>
        <v>51.300000000000004</v>
      </c>
      <c r="D258" s="3">
        <f>('BASIC DATA'!D257*(C154+1)/(2*C154))*$F$91*C154/D154</f>
        <v>65.834999999999994</v>
      </c>
      <c r="E258" s="951">
        <f>E154*'BASIC DATA'!D257/D154/100</f>
        <v>42.75</v>
      </c>
      <c r="F258" s="951">
        <f>E154*'BASIC DATA'!D257/D154/1000</f>
        <v>4.2750000000000004</v>
      </c>
      <c r="G258" s="3">
        <f>ROUND(('BASIC DATA'!D257*(C154+1)/(2*C154))*$F$93*C154/D154,2)</f>
        <v>5.99</v>
      </c>
      <c r="H258" s="951">
        <f t="shared" si="0"/>
        <v>170.2</v>
      </c>
    </row>
    <row r="259" spans="1:8">
      <c r="A259" s="3">
        <v>39</v>
      </c>
      <c r="B259" s="3" t="s">
        <v>6243</v>
      </c>
      <c r="C259" s="951">
        <f>(1-$F$99)*('BASIC DATA'!D258/D155)</f>
        <v>7.3125</v>
      </c>
      <c r="D259" s="3">
        <f>('BASIC DATA'!D258*(C155+1)/(2*C155))*$F$91*C155/D155</f>
        <v>4.9156250000000004</v>
      </c>
      <c r="E259" s="951">
        <f>E155*'BASIC DATA'!D258/D155/100</f>
        <v>6.5</v>
      </c>
      <c r="F259" s="951">
        <f>E155*'BASIC DATA'!D258/D155/1000</f>
        <v>0.65</v>
      </c>
      <c r="G259" s="3">
        <f>ROUND(('BASIC DATA'!D258*(C155+1)/(2*C155))*$F$93*C155/D155,2)</f>
        <v>0.45</v>
      </c>
      <c r="H259" s="951">
        <f t="shared" si="0"/>
        <v>19.8</v>
      </c>
    </row>
    <row r="260" spans="1:8">
      <c r="A260" s="3">
        <v>40</v>
      </c>
      <c r="B260" s="3" t="s">
        <v>4307</v>
      </c>
      <c r="C260" s="951">
        <f>(1-$F$99)*('BASIC DATA'!D259/D156)</f>
        <v>3.6</v>
      </c>
      <c r="D260" s="3">
        <f>('BASIC DATA'!D259*(C156+1)/(2*C156))*$F$91*C156/D156</f>
        <v>0.88</v>
      </c>
      <c r="E260" s="951">
        <f>E156*'BASIC DATA'!D259/D156/100</f>
        <v>2.8</v>
      </c>
      <c r="F260" s="951">
        <f>E156*'BASIC DATA'!D259/D156/1000</f>
        <v>0.28000000000000003</v>
      </c>
      <c r="G260" s="3">
        <f>ROUND(('BASIC DATA'!D259*(C156+1)/(2*C156))*$F$93*C156/D156,2)</f>
        <v>0.08</v>
      </c>
      <c r="H260" s="951">
        <f t="shared" si="0"/>
        <v>7.6</v>
      </c>
    </row>
    <row r="261" spans="1:8">
      <c r="A261" s="3">
        <v>41</v>
      </c>
      <c r="B261" s="3" t="s">
        <v>863</v>
      </c>
      <c r="C261" s="951">
        <f>(1-$F$99)*('BASIC DATA'!D260/D157)</f>
        <v>3.7800000000000002</v>
      </c>
      <c r="D261" s="3">
        <f>('BASIC DATA'!D260*(C157+1)/(2*C157))*$F$91*C157/D157</f>
        <v>0.92400000000000004</v>
      </c>
      <c r="E261" s="951">
        <f>E157*'BASIC DATA'!D260/D157/100</f>
        <v>2.94</v>
      </c>
      <c r="F261" s="951">
        <f>E157*'BASIC DATA'!D260/D157/1000</f>
        <v>0.29399999999999998</v>
      </c>
      <c r="G261" s="3">
        <f>ROUND(('BASIC DATA'!D260*(C157+1)/(2*C157))*$F$93*C157/D157,2)</f>
        <v>0.08</v>
      </c>
      <c r="H261" s="951">
        <f t="shared" si="0"/>
        <v>8</v>
      </c>
    </row>
    <row r="262" spans="1:8">
      <c r="A262" s="3">
        <v>42</v>
      </c>
      <c r="B262" s="3" t="s">
        <v>864</v>
      </c>
      <c r="C262" s="951">
        <f>(1-$F$99)*('BASIC DATA'!D261/D158)</f>
        <v>3.87</v>
      </c>
      <c r="D262" s="3">
        <f>('BASIC DATA'!D261*(C158+1)/(2*C158))*$F$91*C158/D158</f>
        <v>0.94599999999999995</v>
      </c>
      <c r="E262" s="951">
        <f>E158*'BASIC DATA'!D261/D158/100</f>
        <v>3.01</v>
      </c>
      <c r="F262" s="951">
        <f>E158*'BASIC DATA'!D261/D158/1000</f>
        <v>0.30099999999999999</v>
      </c>
      <c r="G262" s="3">
        <f>ROUND(('BASIC DATA'!D261*(C158+1)/(2*C158))*$F$93*C158/D158,2)</f>
        <v>0.09</v>
      </c>
      <c r="H262" s="951">
        <f t="shared" si="0"/>
        <v>8.1999999999999993</v>
      </c>
    </row>
    <row r="263" spans="1:8">
      <c r="A263" s="3">
        <v>43</v>
      </c>
      <c r="B263" s="3" t="s">
        <v>865</v>
      </c>
      <c r="C263" s="951">
        <f>(1-$F$99)*('BASIC DATA'!D262/D159)</f>
        <v>4.59</v>
      </c>
      <c r="D263" s="3">
        <f>('BASIC DATA'!D262*(C159+1)/(2*C159))*$F$91*C159/D159</f>
        <v>1.1220000000000001</v>
      </c>
      <c r="E263" s="951">
        <f>E159*'BASIC DATA'!D262/D159/100</f>
        <v>3.57</v>
      </c>
      <c r="F263" s="951">
        <f>E159*'BASIC DATA'!D262/D159/1000</f>
        <v>0.35699999999999998</v>
      </c>
      <c r="G263" s="3">
        <f>ROUND(('BASIC DATA'!D262*(C159+1)/(2*C159))*$F$93*C159/D159,2)</f>
        <v>0.1</v>
      </c>
      <c r="H263" s="951">
        <f t="shared" si="0"/>
        <v>9.6999999999999993</v>
      </c>
    </row>
    <row r="264" spans="1:8">
      <c r="A264" s="3">
        <v>44</v>
      </c>
      <c r="B264" s="3" t="s">
        <v>1779</v>
      </c>
      <c r="C264" s="951">
        <f>(1-$F$99)*('BASIC DATA'!D263/D160)</f>
        <v>35.1</v>
      </c>
      <c r="D264" s="3">
        <f>('BASIC DATA'!D263*(C160+1)/(2*C160))*$F$91*C160/D160</f>
        <v>36.465000000000003</v>
      </c>
      <c r="E264" s="951">
        <f>E160*'BASIC DATA'!D263/D160/100</f>
        <v>39</v>
      </c>
      <c r="F264" s="951">
        <f>E160*'BASIC DATA'!D263/D160/1000</f>
        <v>3.9</v>
      </c>
      <c r="G264" s="3">
        <f>ROUND(('BASIC DATA'!D263*(C160+1)/(2*C160))*$F$93*C160/D160,2)</f>
        <v>3.32</v>
      </c>
      <c r="H264" s="951">
        <f t="shared" si="0"/>
        <v>117.8</v>
      </c>
    </row>
    <row r="265" spans="1:8">
      <c r="A265" s="3">
        <v>45</v>
      </c>
      <c r="B265" s="3" t="s">
        <v>1811</v>
      </c>
      <c r="C265" s="951">
        <f>(1-$F$99)*('BASIC DATA'!D264/D161)</f>
        <v>12.75</v>
      </c>
      <c r="D265" s="3">
        <f>('BASIC DATA'!D264*(C161+1)/(2*C161))*$F$91*C161/D161</f>
        <v>12.466666666666667</v>
      </c>
      <c r="E265" s="951">
        <f>E161*'BASIC DATA'!D264/D161/100</f>
        <v>14.166666666666668</v>
      </c>
      <c r="F265" s="951">
        <f>E161*'BASIC DATA'!D264/D161/1000</f>
        <v>1.4166666666666667</v>
      </c>
      <c r="G265" s="3">
        <f>ROUND(('BASIC DATA'!D264*(C161+1)/(2*C161))*$F$93*C161/D161,2)</f>
        <v>1.1299999999999999</v>
      </c>
      <c r="H265" s="951">
        <f t="shared" si="0"/>
        <v>41.9</v>
      </c>
    </row>
    <row r="266" spans="1:8">
      <c r="A266" s="3">
        <v>46</v>
      </c>
      <c r="B266" s="3" t="s">
        <v>6058</v>
      </c>
      <c r="C266" s="951">
        <f>(1-$F$99)*('BASIC DATA'!D265/D162)</f>
        <v>65.25</v>
      </c>
      <c r="D266" s="3">
        <f>('BASIC DATA'!D265*(C162+1)/(2*C162))*$F$91*C162/D162</f>
        <v>23.925000000000001</v>
      </c>
      <c r="E266" s="951">
        <f>E162*'BASIC DATA'!D265/D162/100</f>
        <v>72.5</v>
      </c>
      <c r="F266" s="951">
        <f>E162*'BASIC DATA'!D265/D162/1000</f>
        <v>7.25</v>
      </c>
      <c r="G266" s="3">
        <f>ROUND(('BASIC DATA'!D265*(C162+1)/(2*C162))*$F$93*C162/D162,2)</f>
        <v>2.1800000000000002</v>
      </c>
      <c r="H266" s="951">
        <f t="shared" si="0"/>
        <v>171.1</v>
      </c>
    </row>
    <row r="267" spans="1:8">
      <c r="A267" s="3">
        <v>47</v>
      </c>
      <c r="B267" s="3" t="s">
        <v>6059</v>
      </c>
      <c r="C267" s="951">
        <f>(1-$F$99)*('BASIC DATA'!D266/D163)</f>
        <v>7.65</v>
      </c>
      <c r="D267" s="3">
        <f>('BASIC DATA'!D266*(C163+1)/(2*C163))*$F$91*C163/D163</f>
        <v>5.1425000000000001</v>
      </c>
      <c r="E267" s="951">
        <f>E163*'BASIC DATA'!D266/D163/100</f>
        <v>6.8</v>
      </c>
      <c r="F267" s="951">
        <f>E163*'BASIC DATA'!D266/D163/1000</f>
        <v>0.68</v>
      </c>
      <c r="G267" s="3">
        <f>ROUND(('BASIC DATA'!D266*(C163+1)/(2*C163))*$F$93*C163/D163,2)</f>
        <v>0.47</v>
      </c>
      <c r="H267" s="951">
        <f t="shared" si="0"/>
        <v>20.7</v>
      </c>
    </row>
    <row r="268" spans="1:8">
      <c r="A268" s="3">
        <v>48</v>
      </c>
      <c r="B268" s="3" t="s">
        <v>6060</v>
      </c>
      <c r="C268" s="951">
        <f>(1-$F$99)*('BASIC DATA'!D267/D164)</f>
        <v>1.8</v>
      </c>
      <c r="D268" s="3">
        <f>('BASIC DATA'!D267*(C164+1)/(2*C164))*$F$91*C164/D164</f>
        <v>1.21</v>
      </c>
      <c r="E268" s="951">
        <f>E164*'BASIC DATA'!D267/D164/100</f>
        <v>3</v>
      </c>
      <c r="F268" s="951">
        <f>E164*'BASIC DATA'!D267/D164/1000</f>
        <v>0.3</v>
      </c>
      <c r="G268" s="3">
        <f>ROUND(('BASIC DATA'!D267*(C164+1)/(2*C164))*$F$93*C164/D164,2)</f>
        <v>0.11</v>
      </c>
      <c r="H268" s="951">
        <f t="shared" si="0"/>
        <v>6.4</v>
      </c>
    </row>
    <row r="269" spans="1:8">
      <c r="A269" s="3">
        <v>49</v>
      </c>
      <c r="B269" s="3" t="s">
        <v>6061</v>
      </c>
      <c r="C269" s="951">
        <f>(1-$F$99)*('BASIC DATA'!D268/D165)</f>
        <v>4.6800000000000006</v>
      </c>
      <c r="D269" s="3">
        <f>('BASIC DATA'!D268*(C165+1)/(2*C165))*$F$91*C165/D165</f>
        <v>3.1459999999999999</v>
      </c>
      <c r="E269" s="951">
        <f>E165*'BASIC DATA'!D268/D165/100</f>
        <v>4.16</v>
      </c>
      <c r="F269" s="951">
        <f>E165*'BASIC DATA'!D268/D165/1000</f>
        <v>0.41599999999999998</v>
      </c>
      <c r="G269" s="3">
        <f>ROUND(('BASIC DATA'!D268*(C165+1)/(2*C165))*$F$93*C165/D165,2)</f>
        <v>0.28999999999999998</v>
      </c>
      <c r="H269" s="951">
        <f t="shared" si="0"/>
        <v>12.7</v>
      </c>
    </row>
    <row r="270" spans="1:8">
      <c r="A270" s="3">
        <v>50</v>
      </c>
      <c r="B270" s="3" t="s">
        <v>6062</v>
      </c>
      <c r="C270" s="951">
        <f>(1-$F$99)*('BASIC DATA'!D269/D166)</f>
        <v>76.5</v>
      </c>
      <c r="D270" s="3">
        <f>('BASIC DATA'!D269*(C166+1)/(2*C166))*$F$91*C166/D166</f>
        <v>42.075000000000003</v>
      </c>
      <c r="E270" s="951">
        <f>E166*'BASIC DATA'!D269/D166/100</f>
        <v>68</v>
      </c>
      <c r="F270" s="951">
        <f>E166*'BASIC DATA'!D269/D166/1000</f>
        <v>6.8</v>
      </c>
      <c r="G270" s="3">
        <f>ROUND(('BASIC DATA'!D269*(C166+1)/(2*C166))*$F$93*C166/D166,2)</f>
        <v>3.83</v>
      </c>
      <c r="H270" s="951">
        <f t="shared" si="0"/>
        <v>197.2</v>
      </c>
    </row>
    <row r="271" spans="1:8">
      <c r="A271" s="3">
        <v>51</v>
      </c>
      <c r="B271" s="3" t="s">
        <v>6063</v>
      </c>
      <c r="C271" s="951">
        <f>(1-$F$99)*('BASIC DATA'!D270/D167)</f>
        <v>281.25</v>
      </c>
      <c r="D271" s="3">
        <f>('BASIC DATA'!D270*(C167+1)/(2*C167))*$F$91*C167/D167</f>
        <v>189.0625</v>
      </c>
      <c r="E271" s="951">
        <f>E167*'BASIC DATA'!D270/D167/100</f>
        <v>468.75</v>
      </c>
      <c r="F271" s="951">
        <f>E167*'BASIC DATA'!D270/D167/1000</f>
        <v>46.875</v>
      </c>
      <c r="G271" s="3">
        <f>ROUND(('BASIC DATA'!D270*(C167+1)/(2*C167))*$F$93*C167/D167,2)</f>
        <v>17.190000000000001</v>
      </c>
      <c r="H271" s="951">
        <f t="shared" si="0"/>
        <v>1003.1</v>
      </c>
    </row>
    <row r="272" spans="1:8">
      <c r="A272" s="3">
        <v>52</v>
      </c>
      <c r="B272" s="3" t="s">
        <v>6064</v>
      </c>
      <c r="C272" s="951">
        <f>(1-$F$99)*('BASIC DATA'!D271/D168)</f>
        <v>478.5</v>
      </c>
      <c r="D272" s="3">
        <f>('BASIC DATA'!D271*(C168+1)/(2*C168))*$F$91*C168/D168</f>
        <v>321.65833333333336</v>
      </c>
      <c r="E272" s="951">
        <f>E168*'BASIC DATA'!D271/D168/100</f>
        <v>797.5</v>
      </c>
      <c r="F272" s="951">
        <f>E168*'BASIC DATA'!D271/D168/1000</f>
        <v>79.75</v>
      </c>
      <c r="G272" s="3">
        <f>ROUND(('BASIC DATA'!D271*(C168+1)/(2*C168))*$F$93*C168/D168,2)</f>
        <v>29.24</v>
      </c>
      <c r="H272" s="951">
        <f t="shared" si="0"/>
        <v>1706.6</v>
      </c>
    </row>
    <row r="273" spans="1:8">
      <c r="A273" s="3">
        <v>53</v>
      </c>
      <c r="B273" s="3" t="s">
        <v>866</v>
      </c>
      <c r="C273" s="951">
        <f>(1-$F$99)*('BASIC DATA'!D272/D169)</f>
        <v>36.731250000000003</v>
      </c>
      <c r="D273" s="3">
        <f>('BASIC DATA'!D272*(C169+1)/(2*C169))*$F$91*C169/D169</f>
        <v>24.6915625</v>
      </c>
      <c r="E273" s="951">
        <f>E169*'BASIC DATA'!D272/D169/100</f>
        <v>20.40625</v>
      </c>
      <c r="F273" s="951">
        <f>E169*'BASIC DATA'!D272/D169/1000</f>
        <v>2.0406249999999999</v>
      </c>
      <c r="G273" s="3">
        <f>ROUND(('BASIC DATA'!D272*(C169+1)/(2*C169))*$F$93*C169/D169,2)</f>
        <v>2.2400000000000002</v>
      </c>
      <c r="H273" s="951">
        <f t="shared" si="0"/>
        <v>86.1</v>
      </c>
    </row>
    <row r="274" spans="1:8">
      <c r="A274" s="3">
        <v>54</v>
      </c>
      <c r="B274" s="3" t="s">
        <v>6282</v>
      </c>
      <c r="C274" s="951">
        <f>(1-$F$99)*('BASIC DATA'!D273/D170)</f>
        <v>91.40625</v>
      </c>
      <c r="D274" s="3">
        <f>('BASIC DATA'!D273*(C170+1)/(2*C170))*$F$91*C170/D170</f>
        <v>61.4453125</v>
      </c>
      <c r="E274" s="951">
        <f>E170*'BASIC DATA'!D273/D170/100</f>
        <v>177.734375</v>
      </c>
      <c r="F274" s="951">
        <f>E170*'BASIC DATA'!D273/D170/1000</f>
        <v>17.7734375</v>
      </c>
      <c r="G274" s="3">
        <f>ROUND(('BASIC DATA'!D273*(C170+1)/(2*C170))*$F$93*C170/D170,2)</f>
        <v>5.59</v>
      </c>
      <c r="H274" s="951">
        <f t="shared" si="0"/>
        <v>353.9</v>
      </c>
    </row>
    <row r="275" spans="1:8">
      <c r="A275" s="3"/>
      <c r="B275" s="3" t="s">
        <v>6203</v>
      </c>
      <c r="C275" s="951">
        <f>(1-$F$99)*('BASIC DATA'!D274/D171)</f>
        <v>64.5</v>
      </c>
      <c r="D275" s="3">
        <f>('BASIC DATA'!D274*(C171+1)/(2*C171))*$F$91*C171/D171</f>
        <v>7.8833333333333337</v>
      </c>
      <c r="E275" s="951">
        <f>E171*'BASIC DATA'!D274/D171/100</f>
        <v>17.916666666666668</v>
      </c>
      <c r="F275" s="951">
        <f>E171*'BASIC DATA'!D274/D171/1000</f>
        <v>1.7916666666666667</v>
      </c>
      <c r="G275" s="3">
        <f>ROUND(('BASIC DATA'!D274*(C171+1)/(2*C171))*$F$93*C171/D171,2)</f>
        <v>0.72</v>
      </c>
      <c r="H275" s="951">
        <f t="shared" si="0"/>
        <v>92.8</v>
      </c>
    </row>
    <row r="276" spans="1:8">
      <c r="A276" s="3">
        <v>55</v>
      </c>
      <c r="B276" s="3" t="s">
        <v>4326</v>
      </c>
      <c r="C276" s="951">
        <f>(1-$F$99)*('BASIC DATA'!D275/D172)</f>
        <v>27</v>
      </c>
      <c r="D276" s="3">
        <f>('BASIC DATA'!D275*(C172+1)/(2*C172))*$F$91*C172/D172</f>
        <v>9.9</v>
      </c>
      <c r="E276" s="951">
        <f>E172*'BASIC DATA'!D275/D172/100</f>
        <v>24</v>
      </c>
      <c r="F276" s="951">
        <f>E172*'BASIC DATA'!D275/D172/1000</f>
        <v>2.4</v>
      </c>
      <c r="G276" s="3">
        <f>ROUND(('BASIC DATA'!D275*(C172+1)/(2*C172))*$F$93*C172/D172,2)</f>
        <v>0.9</v>
      </c>
      <c r="H276" s="951">
        <f t="shared" si="0"/>
        <v>64.2</v>
      </c>
    </row>
    <row r="277" spans="1:8">
      <c r="A277" s="3">
        <v>56</v>
      </c>
      <c r="B277" s="3" t="s">
        <v>4327</v>
      </c>
      <c r="C277" s="951">
        <f>(1-$F$99)*('BASIC DATA'!D276/D173)</f>
        <v>224.25</v>
      </c>
      <c r="D277" s="3">
        <f>('BASIC DATA'!D276*(C173+1)/(2*C173))*$F$91*C173/D173</f>
        <v>287.78750000000002</v>
      </c>
      <c r="E277" s="951">
        <f>E173*'BASIC DATA'!D276/D173/100</f>
        <v>299</v>
      </c>
      <c r="F277" s="951">
        <f>E173*'BASIC DATA'!D276/D173/1000</f>
        <v>29.9</v>
      </c>
      <c r="G277" s="3">
        <f>ROUND(('BASIC DATA'!D276*(C173+1)/(2*C173))*$F$93*C173/D173,2)</f>
        <v>26.16</v>
      </c>
      <c r="H277" s="951">
        <f t="shared" si="0"/>
        <v>867.1</v>
      </c>
    </row>
    <row r="278" spans="1:8">
      <c r="A278" s="3">
        <v>57</v>
      </c>
      <c r="B278" s="3" t="s">
        <v>253</v>
      </c>
      <c r="C278" s="951">
        <f>(1-$F$99)*('BASIC DATA'!D277/D174)</f>
        <v>2125.0000000000005</v>
      </c>
      <c r="D278" s="3">
        <f>('BASIC DATA'!D277*(C174+1)/(2*C174))*$F$91*C174/D174</f>
        <v>2077.7777777777778</v>
      </c>
      <c r="E278" s="951">
        <f>E174*'BASIC DATA'!D277/D174/100</f>
        <v>590.27777777777783</v>
      </c>
      <c r="F278" s="951">
        <f>E174*'BASIC DATA'!D277/D174/1000</f>
        <v>59.027777777777779</v>
      </c>
      <c r="G278" s="3">
        <f>ROUND(('BASIC DATA'!D277*(C174+1)/(2*C174))*$F$93*C174/D174,2)</f>
        <v>188.89</v>
      </c>
      <c r="H278" s="951">
        <f t="shared" si="0"/>
        <v>5041</v>
      </c>
    </row>
    <row r="279" spans="1:8">
      <c r="A279" s="3">
        <v>58</v>
      </c>
      <c r="B279" s="3" t="s">
        <v>6283</v>
      </c>
      <c r="C279" s="951">
        <f>(1-$F$99)*('BASIC DATA'!D278/D175)</f>
        <v>82.96875</v>
      </c>
      <c r="D279" s="3">
        <f>('BASIC DATA'!D278*(C175+1)/(2*C175))*$F$91*C175/D175</f>
        <v>55.7734375</v>
      </c>
      <c r="E279" s="951">
        <f>E175*'BASIC DATA'!D278/D175/100</f>
        <v>161.328125</v>
      </c>
      <c r="F279" s="951">
        <f>E175*'BASIC DATA'!D278/D175/1000</f>
        <v>16.1328125</v>
      </c>
      <c r="G279" s="3">
        <f>ROUND(('BASIC DATA'!D278*(C175+1)/(2*C175))*$F$93*C175/D175,2)</f>
        <v>5.07</v>
      </c>
      <c r="H279" s="951">
        <f t="shared" si="0"/>
        <v>321.3</v>
      </c>
    </row>
    <row r="280" spans="1:8">
      <c r="A280" s="3"/>
      <c r="B280" s="3" t="s">
        <v>6203</v>
      </c>
      <c r="C280" s="951">
        <f>(1-$F$99)*('BASIC DATA'!D279/D176)</f>
        <v>64.5</v>
      </c>
      <c r="D280" s="3">
        <f>('BASIC DATA'!D279*(C176+1)/(2*C176))*$F$91*C176/D176</f>
        <v>7.8833333333333337</v>
      </c>
      <c r="E280" s="951">
        <f>E176*'BASIC DATA'!D279/D176/100</f>
        <v>17.916666666666668</v>
      </c>
      <c r="F280" s="951">
        <f>E176*'BASIC DATA'!D279/D176/1000</f>
        <v>1.7916666666666667</v>
      </c>
      <c r="G280" s="3">
        <f>ROUND(('BASIC DATA'!D279*(C176+1)/(2*C176))*$F$93*C176/D176,2)</f>
        <v>0.72</v>
      </c>
      <c r="H280" s="951">
        <f t="shared" si="0"/>
        <v>92.8</v>
      </c>
    </row>
    <row r="281" spans="1:8">
      <c r="A281" s="3">
        <v>59</v>
      </c>
      <c r="B281" s="3" t="s">
        <v>6284</v>
      </c>
      <c r="C281" s="951">
        <f>(1-$F$99)*('BASIC DATA'!D280/D177)</f>
        <v>110.25</v>
      </c>
      <c r="D281" s="3">
        <f>('BASIC DATA'!D280*(C177+1)/(2*C177))*$F$91*C177/D177</f>
        <v>74.112499999999997</v>
      </c>
      <c r="E281" s="951">
        <f>E177*'BASIC DATA'!D280/D177/100</f>
        <v>214.375</v>
      </c>
      <c r="F281" s="951">
        <f>E177*'BASIC DATA'!D280/D177/1000</f>
        <v>21.4375</v>
      </c>
      <c r="G281" s="3">
        <f>ROUND(('BASIC DATA'!D280*(C177+1)/(2*C177))*$F$93*C177/D177,2)</f>
        <v>6.74</v>
      </c>
      <c r="H281" s="951">
        <f t="shared" si="0"/>
        <v>426.9</v>
      </c>
    </row>
    <row r="282" spans="1:8">
      <c r="A282" s="3"/>
      <c r="B282" s="3" t="s">
        <v>6203</v>
      </c>
      <c r="C282" s="951">
        <f>(1-$F$99)*('BASIC DATA'!D281/D178)</f>
        <v>64.5</v>
      </c>
      <c r="D282" s="3">
        <f>('BASIC DATA'!D281*(C178+1)/(2*C178))*$F$91*C178/D178</f>
        <v>7.8833333333333337</v>
      </c>
      <c r="E282" s="951">
        <f>E178*'BASIC DATA'!D281/D178/100</f>
        <v>17.916666666666668</v>
      </c>
      <c r="F282" s="951">
        <f>E178*'BASIC DATA'!D281/D178/1000</f>
        <v>1.7916666666666667</v>
      </c>
      <c r="G282" s="3">
        <f>ROUND(('BASIC DATA'!D281*(C178+1)/(2*C178))*$F$93*C178/D178,2)</f>
        <v>0.72</v>
      </c>
      <c r="H282" s="951">
        <f t="shared" ref="H282:H292" si="1">ROUND(C282+D282+E282+F282+G282,1)</f>
        <v>92.8</v>
      </c>
    </row>
    <row r="283" spans="1:8">
      <c r="A283" s="3">
        <v>60</v>
      </c>
      <c r="B283" s="3" t="s">
        <v>255</v>
      </c>
      <c r="C283" s="951">
        <f>(1-$F$99)*('BASIC DATA'!D282/D179)</f>
        <v>6.3</v>
      </c>
      <c r="D283" s="3">
        <f>('BASIC DATA'!D282*(C179+1)/(2*C179))*$F$91*C179/D179</f>
        <v>4.2350000000000003</v>
      </c>
      <c r="E283" s="951">
        <f>E179*'BASIC DATA'!D282/D179/100</f>
        <v>10.5</v>
      </c>
      <c r="F283" s="951">
        <f>E179*'BASIC DATA'!D282/D179/1000</f>
        <v>1.05</v>
      </c>
      <c r="G283" s="3">
        <f>ROUND(('BASIC DATA'!D282*(C179+1)/(2*C179))*$F$93*C179/D179,2)</f>
        <v>0.39</v>
      </c>
      <c r="H283" s="951">
        <f t="shared" si="1"/>
        <v>22.5</v>
      </c>
    </row>
    <row r="284" spans="1:8">
      <c r="A284" s="3">
        <v>61</v>
      </c>
      <c r="B284" s="3" t="s">
        <v>256</v>
      </c>
      <c r="C284" s="951">
        <f>(1-$F$99)*('BASIC DATA'!D283/D180)</f>
        <v>4.0344827586206895</v>
      </c>
      <c r="D284" s="3">
        <f>('BASIC DATA'!D283*(C180+1)/(2*C180))*$F$91*C180/D180</f>
        <v>3.2051724137931035</v>
      </c>
      <c r="E284" s="951">
        <f>E180*'BASIC DATA'!D283/D180/100</f>
        <v>3.5862068965517242</v>
      </c>
      <c r="F284" s="951">
        <f>E180*'BASIC DATA'!D283/D180/1000</f>
        <v>0.35862068965517246</v>
      </c>
      <c r="G284" s="3">
        <f>ROUND(('BASIC DATA'!D283*(C180+1)/(2*C180))*$F$93*C180/D180,2)</f>
        <v>0.28999999999999998</v>
      </c>
      <c r="H284" s="951">
        <f t="shared" si="1"/>
        <v>11.5</v>
      </c>
    </row>
    <row r="285" spans="1:8">
      <c r="A285" s="3">
        <v>62</v>
      </c>
      <c r="B285" s="3" t="s">
        <v>257</v>
      </c>
      <c r="C285" s="951">
        <f>(1-$F$99)*('BASIC DATA'!D284/D181)</f>
        <v>331.875</v>
      </c>
      <c r="D285" s="3">
        <f>('BASIC DATA'!D284*(C181+1)/(2*C181))*$F$91*C181/D181</f>
        <v>182.53125</v>
      </c>
      <c r="E285" s="951">
        <f>E181*'BASIC DATA'!D284/D181/100</f>
        <v>737.5</v>
      </c>
      <c r="F285" s="951">
        <f>E181*'BASIC DATA'!D284/D181/1000</f>
        <v>73.75</v>
      </c>
      <c r="G285" s="3">
        <f>ROUND(('BASIC DATA'!D284*(C181+1)/(2*C181))*$F$93*C181/D181,2)</f>
        <v>16.59</v>
      </c>
      <c r="H285" s="951">
        <f t="shared" si="1"/>
        <v>1342.2</v>
      </c>
    </row>
    <row r="286" spans="1:8">
      <c r="A286" s="3">
        <v>63</v>
      </c>
      <c r="B286" s="3" t="s">
        <v>6285</v>
      </c>
      <c r="C286" s="951">
        <f>(1-$F$99)*('BASIC DATA'!D285/D182)</f>
        <v>73.125</v>
      </c>
      <c r="D286" s="3">
        <f>('BASIC DATA'!D285*(C182+1)/(2*C182))*$F$91*C182/D182</f>
        <v>40.21875</v>
      </c>
      <c r="E286" s="951">
        <f>E182*'BASIC DATA'!D285/D182/100</f>
        <v>65</v>
      </c>
      <c r="F286" s="951">
        <f>E182*'BASIC DATA'!D285/D182/1000</f>
        <v>6.5</v>
      </c>
      <c r="G286" s="3">
        <f>ROUND(('BASIC DATA'!D285*(C182+1)/(2*C182))*$F$93*C182/D182,2)</f>
        <v>3.66</v>
      </c>
      <c r="H286" s="951">
        <f t="shared" si="1"/>
        <v>188.5</v>
      </c>
    </row>
    <row r="287" spans="1:8">
      <c r="A287" s="3">
        <v>64</v>
      </c>
      <c r="B287" s="3" t="s">
        <v>6286</v>
      </c>
      <c r="C287" s="951">
        <f>(1-$F$99)*('BASIC DATA'!D286/D183)</f>
        <v>79.987499999999997</v>
      </c>
      <c r="D287" s="3">
        <f>('BASIC DATA'!D286*(C183+1)/(2*C183))*$F$91*C183/D183</f>
        <v>53.769374999999997</v>
      </c>
      <c r="E287" s="951">
        <f>E183*'BASIC DATA'!D286/D183/100</f>
        <v>155.53125</v>
      </c>
      <c r="F287" s="951">
        <f>E183*'BASIC DATA'!D286/D183/1000</f>
        <v>15.553125</v>
      </c>
      <c r="G287" s="3">
        <f>ROUND(('BASIC DATA'!D286*(C183+1)/(2*C183))*$F$93*C183/D183,2)</f>
        <v>4.8899999999999997</v>
      </c>
      <c r="H287" s="951">
        <f t="shared" si="1"/>
        <v>309.7</v>
      </c>
    </row>
    <row r="288" spans="1:8">
      <c r="A288" s="3"/>
      <c r="B288" s="3" t="s">
        <v>6203</v>
      </c>
      <c r="C288" s="951">
        <f>(1-$F$99)*('BASIC DATA'!D287/D184)</f>
        <v>64.5</v>
      </c>
      <c r="D288" s="3">
        <f>('BASIC DATA'!D287*(C184+1)/(2*C184))*$F$91*C184/D184</f>
        <v>7.8833333333333337</v>
      </c>
      <c r="E288" s="951">
        <f>E184*'BASIC DATA'!D287/D184/100</f>
        <v>17.916666666666668</v>
      </c>
      <c r="F288" s="951">
        <f>E184*'BASIC DATA'!D287/D184/1000</f>
        <v>1.7916666666666667</v>
      </c>
      <c r="G288" s="3">
        <f>ROUND(('BASIC DATA'!D287*(C184+1)/(2*C184))*$F$93*C184/D184,2)</f>
        <v>0.72</v>
      </c>
      <c r="H288" s="951">
        <f t="shared" si="1"/>
        <v>92.8</v>
      </c>
    </row>
    <row r="289" spans="1:8">
      <c r="A289" s="3">
        <v>65</v>
      </c>
      <c r="B289" s="3" t="s">
        <v>1338</v>
      </c>
      <c r="C289" s="951">
        <f>(1-$F$99)*('BASIC DATA'!D288/D185)</f>
        <v>5.4</v>
      </c>
      <c r="D289" s="3">
        <f>('BASIC DATA'!D288*(C185+1)/(2*C185))*$F$91*C185/D185</f>
        <v>3.63</v>
      </c>
      <c r="E289" s="951">
        <f>E185*'BASIC DATA'!D288/D185/100</f>
        <v>6</v>
      </c>
      <c r="F289" s="951">
        <f>E185*'BASIC DATA'!D288/D185/1000</f>
        <v>0.6</v>
      </c>
      <c r="G289" s="3">
        <f>ROUND(('BASIC DATA'!D288*(C185+1)/(2*C185))*$F$93*C185/D185,2)</f>
        <v>0.33</v>
      </c>
      <c r="H289" s="951">
        <f t="shared" si="1"/>
        <v>16</v>
      </c>
    </row>
    <row r="290" spans="1:8">
      <c r="A290" s="3">
        <v>66</v>
      </c>
      <c r="B290" s="3" t="s">
        <v>6287</v>
      </c>
      <c r="C290" s="951">
        <f>(1-$F$99)*('BASIC DATA'!D289/D186)</f>
        <v>42.1875</v>
      </c>
      <c r="D290" s="3">
        <f>('BASIC DATA'!D289*(C186+1)/(2*C186))*$F$91*C186/D186</f>
        <v>23.203125</v>
      </c>
      <c r="E290" s="951">
        <f>E186*'BASIC DATA'!D289/D186/100</f>
        <v>56.25</v>
      </c>
      <c r="F290" s="951">
        <f>E186*'BASIC DATA'!D289/D186/1000</f>
        <v>5.625</v>
      </c>
      <c r="G290" s="3">
        <f>ROUND(('BASIC DATA'!D289*(C186+1)/(2*C186))*$F$93*C186/D186,2)</f>
        <v>2.11</v>
      </c>
      <c r="H290" s="951">
        <f t="shared" si="1"/>
        <v>129.4</v>
      </c>
    </row>
    <row r="291" spans="1:8">
      <c r="A291" s="20">
        <v>67</v>
      </c>
      <c r="B291" s="3" t="s">
        <v>9338</v>
      </c>
      <c r="C291" s="1041">
        <f>(1-$F$99)*('BASIC DATA'!D290/D187)</f>
        <v>869.05500000000006</v>
      </c>
      <c r="D291" s="1041">
        <f>('BASIC DATA'!D290*(C187+1)/(2*C187))*$F$91*C187/D187</f>
        <v>690.4159166666667</v>
      </c>
      <c r="E291" s="1041">
        <f>E187*'BASIC DATA'!D290/D187/100</f>
        <v>1158.74</v>
      </c>
      <c r="F291" s="1041">
        <f>E187*'BASIC DATA'!D290/D187/1000</f>
        <v>115.874</v>
      </c>
      <c r="G291" s="1041">
        <f>ROUND(('BASIC DATA'!D290*(C187+1)/(2*C187))*$F$93*C187/D187,2)</f>
        <v>62.77</v>
      </c>
      <c r="H291" s="951">
        <f t="shared" si="1"/>
        <v>2896.9</v>
      </c>
    </row>
    <row r="292" spans="1:8">
      <c r="A292" s="20"/>
      <c r="B292" s="3" t="s">
        <v>9328</v>
      </c>
      <c r="C292" s="1041">
        <f>(1-$F$99)*('BASIC DATA'!D291/D188)</f>
        <v>138.91499999999999</v>
      </c>
      <c r="D292" s="1041">
        <f>('BASIC DATA'!D291*(C188+1)/(2*C188))*$F$91*C188/D188</f>
        <v>16.9785</v>
      </c>
      <c r="E292" s="1041">
        <f>E188*'BASIC DATA'!D291/D188/100</f>
        <v>38.587499999999999</v>
      </c>
      <c r="F292" s="1041">
        <f>E188*'BASIC DATA'!D291/D188/1000</f>
        <v>3.8587500000000001</v>
      </c>
      <c r="G292" s="1041">
        <f>ROUND(('BASIC DATA'!D291*(C188+1)/(2*C188))*$F$93*C188/D188,2)</f>
        <v>1.54</v>
      </c>
      <c r="H292" s="951">
        <f t="shared" si="1"/>
        <v>199.9</v>
      </c>
    </row>
    <row r="293" spans="1:8">
      <c r="A293" s="20">
        <v>68</v>
      </c>
      <c r="B293" s="3" t="s">
        <v>9337</v>
      </c>
      <c r="C293" s="1041">
        <f>(1-$F$99)*('BASIC DATA'!D292/D189)</f>
        <v>623.45249999999999</v>
      </c>
      <c r="D293" s="1041">
        <f>('BASIC DATA'!D292*(C189+1)/(2*C189))*$F$91*C189/D189</f>
        <v>495.29837500000002</v>
      </c>
      <c r="E293" s="1041">
        <f>E189*'BASIC DATA'!D292/D189/100</f>
        <v>831.27</v>
      </c>
      <c r="F293" s="1041">
        <f>E189*'BASIC DATA'!D292/D189/1000</f>
        <v>83.126999999999995</v>
      </c>
      <c r="G293" s="1041">
        <f>ROUND(('BASIC DATA'!D292*(C189+1)/(2*C189))*$F$93*C189/D189,2)</f>
        <v>45.03</v>
      </c>
      <c r="H293" s="951">
        <f>ROUND(C293+D293+E293+F293+G293,1)</f>
        <v>2078.1999999999998</v>
      </c>
    </row>
    <row r="294" spans="1:8">
      <c r="A294" s="20"/>
      <c r="B294" s="3" t="s">
        <v>9328</v>
      </c>
      <c r="C294" s="1041">
        <f>(1-$F$99)*('BASIC DATA'!D293/D190)</f>
        <v>138.91499999999999</v>
      </c>
      <c r="D294" s="1041">
        <f>('BASIC DATA'!D293*(C190+1)/(2*C190))*$F$91*C190/D190</f>
        <v>16.9785</v>
      </c>
      <c r="E294" s="1041">
        <f>E190*'BASIC DATA'!D293/D190/100</f>
        <v>38.587499999999999</v>
      </c>
      <c r="F294" s="1041">
        <f>E190*'BASIC DATA'!D293/D190/1000</f>
        <v>3.8587500000000001</v>
      </c>
      <c r="G294" s="1041">
        <f>ROUND(('BASIC DATA'!D293*(C190+1)/(2*C190))*$F$93*C190/D190,2)</f>
        <v>1.54</v>
      </c>
      <c r="H294" s="951">
        <f>ROUND(C294+D294+E294+F294+G294,1)</f>
        <v>199.9</v>
      </c>
    </row>
    <row r="295" spans="1:8">
      <c r="A295" s="20">
        <v>69</v>
      </c>
      <c r="B295" s="3" t="s">
        <v>9294</v>
      </c>
      <c r="C295" s="1041">
        <f>(1-$F$99)*('BASIC DATA'!D294/D191)</f>
        <v>48.777000000000001</v>
      </c>
      <c r="D295" s="1041">
        <f>('BASIC DATA'!D294*(C191+1)/(2*C191))*$F$91*C191/D191</f>
        <v>11.923266666666668</v>
      </c>
      <c r="E295" s="1041">
        <f>E191*'BASIC DATA'!D294/D191/100</f>
        <v>54.196666666666673</v>
      </c>
      <c r="F295" s="1041">
        <f>E191*'BASIC DATA'!D294/D191/1000</f>
        <v>5.4196666666666671</v>
      </c>
      <c r="G295" s="1041">
        <f>ROUND(('BASIC DATA'!D294*(C191+1)/(2*C191))*$F$93*C191/D191,2)</f>
        <v>1.08</v>
      </c>
      <c r="H295" s="951">
        <f>ROUND(C295+D295+E295+F295+G295,1)</f>
        <v>121.4</v>
      </c>
    </row>
    <row r="296" spans="1:8">
      <c r="A296" s="20">
        <v>70</v>
      </c>
      <c r="B296" s="3" t="str">
        <f>B192</f>
        <v>Concrete Placer Pump 25 Cum/Hr</v>
      </c>
      <c r="C296" s="1041">
        <f>(1-$F$99)*('BASIC DATA'!D295/D192)</f>
        <v>382.99837500000001</v>
      </c>
      <c r="D296" s="1041">
        <f>('BASIC DATA'!D295*(C192+1)/(2*C192))*$F$91*C192/D192</f>
        <v>140.4327375</v>
      </c>
      <c r="E296" s="1041">
        <f>E192*'BASIC DATA'!D295/D192/100</f>
        <v>425.55374999999998</v>
      </c>
      <c r="F296" s="1041">
        <f>E192*'BASIC DATA'!D295/D192/1000</f>
        <v>42.555374999999998</v>
      </c>
      <c r="G296" s="1041">
        <f>ROUND(('BASIC DATA'!D295*(C192+1)/(2*C192))*$F$93*C192/D192,2)</f>
        <v>12.77</v>
      </c>
      <c r="H296" s="951">
        <f>ROUND(C296+D296+E296+F296+G296,1)</f>
        <v>1004.3</v>
      </c>
    </row>
    <row r="297" spans="1:8">
      <c r="A297" s="16"/>
      <c r="B297" s="954"/>
      <c r="C297" s="1042"/>
      <c r="D297" s="1042"/>
      <c r="E297" s="1042"/>
      <c r="F297" s="1042"/>
      <c r="G297" s="1042"/>
      <c r="H297" s="961"/>
    </row>
    <row r="298" spans="1:8">
      <c r="A298" s="1"/>
      <c r="B298" s="7" t="s">
        <v>649</v>
      </c>
      <c r="C298" s="7"/>
      <c r="D298" s="7"/>
      <c r="E298" s="7"/>
      <c r="F298" s="7"/>
    </row>
    <row r="299" spans="1:8">
      <c r="A299" s="1"/>
      <c r="B299" s="7" t="s">
        <v>9955</v>
      </c>
      <c r="C299" s="7"/>
      <c r="D299" s="7"/>
    </row>
    <row r="300" spans="1:8">
      <c r="A300" s="1"/>
    </row>
    <row r="301" spans="1:8">
      <c r="A301" s="1"/>
      <c r="B301" s="7" t="s">
        <v>650</v>
      </c>
    </row>
    <row r="302" spans="1:8">
      <c r="A302" s="1"/>
      <c r="B302" s="1" t="s">
        <v>3130</v>
      </c>
      <c r="C302" s="15" t="s">
        <v>1697</v>
      </c>
      <c r="D302" s="1" t="s">
        <v>3131</v>
      </c>
    </row>
    <row r="303" spans="1:8">
      <c r="A303" s="1"/>
      <c r="B303" s="7" t="s">
        <v>3132</v>
      </c>
    </row>
    <row r="304" spans="1:8">
      <c r="A304" s="1"/>
      <c r="B304" s="1" t="s">
        <v>3370</v>
      </c>
      <c r="C304" s="15" t="s">
        <v>1697</v>
      </c>
      <c r="D304" s="1" t="s">
        <v>3371</v>
      </c>
    </row>
    <row r="305" spans="1:8">
      <c r="A305" s="1"/>
      <c r="B305" s="1" t="s">
        <v>3372</v>
      </c>
    </row>
    <row r="306" spans="1:8">
      <c r="A306" s="1"/>
      <c r="B306" s="7" t="s">
        <v>1143</v>
      </c>
    </row>
    <row r="307" spans="1:8">
      <c r="A307" s="1"/>
      <c r="B307" s="1" t="s">
        <v>1144</v>
      </c>
      <c r="C307" s="15" t="s">
        <v>1697</v>
      </c>
      <c r="D307" s="1" t="s">
        <v>1145</v>
      </c>
    </row>
    <row r="308" spans="1:8">
      <c r="A308" s="1"/>
      <c r="B308" s="1" t="s">
        <v>2344</v>
      </c>
      <c r="C308" s="15" t="s">
        <v>1697</v>
      </c>
      <c r="D308" s="1" t="s">
        <v>5791</v>
      </c>
    </row>
    <row r="309" spans="1:8">
      <c r="A309" s="1"/>
    </row>
    <row r="310" spans="1:8">
      <c r="A310" s="1"/>
    </row>
    <row r="311" spans="1:8">
      <c r="A311" s="1288" t="s">
        <v>2847</v>
      </c>
      <c r="B311" s="1288" t="s">
        <v>2848</v>
      </c>
      <c r="C311" s="1306" t="s">
        <v>5792</v>
      </c>
      <c r="D311" s="1306" t="s">
        <v>5793</v>
      </c>
      <c r="E311" s="1306" t="s">
        <v>5794</v>
      </c>
      <c r="F311" s="1306" t="s">
        <v>5795</v>
      </c>
      <c r="G311" s="1306" t="s">
        <v>5796</v>
      </c>
      <c r="H311" s="1310" t="s">
        <v>5797</v>
      </c>
    </row>
    <row r="312" spans="1:8">
      <c r="A312" s="1289"/>
      <c r="B312" s="1289"/>
      <c r="C312" s="1308"/>
      <c r="D312" s="1308"/>
      <c r="E312" s="1308"/>
      <c r="F312" s="1308"/>
      <c r="G312" s="1308"/>
      <c r="H312" s="1310"/>
    </row>
    <row r="313" spans="1:8">
      <c r="A313" s="20">
        <v>1</v>
      </c>
      <c r="B313" s="3" t="s">
        <v>6202</v>
      </c>
      <c r="C313" s="3">
        <v>110</v>
      </c>
      <c r="D313" s="951">
        <f>0.22*C313*F113*G113</f>
        <v>12.1</v>
      </c>
      <c r="E313" s="3"/>
      <c r="F313" s="951">
        <f>F94*D313</f>
        <v>698.17</v>
      </c>
      <c r="G313" s="951">
        <f>F313*25/100</f>
        <v>174.54249999999999</v>
      </c>
      <c r="H313" s="951">
        <f>ROUND(F313+G313,1)</f>
        <v>872.7</v>
      </c>
    </row>
    <row r="314" spans="1:8">
      <c r="A314" s="20">
        <v>2</v>
      </c>
      <c r="B314" s="3" t="s">
        <v>6204</v>
      </c>
      <c r="C314" s="3">
        <v>45</v>
      </c>
      <c r="D314" s="951"/>
      <c r="E314" s="951">
        <f>0.746*C314*F115*G115</f>
        <v>25.177500000000002</v>
      </c>
      <c r="F314" s="951">
        <f>F98*E314</f>
        <v>157.61115000000001</v>
      </c>
      <c r="G314" s="951">
        <f>F314*20/100</f>
        <v>31.52223</v>
      </c>
      <c r="H314" s="951">
        <f t="shared" ref="H314:H324" si="2">ROUND(F314+G314,1)</f>
        <v>189.1</v>
      </c>
    </row>
    <row r="315" spans="1:8">
      <c r="A315" s="20">
        <v>3</v>
      </c>
      <c r="B315" s="3" t="s">
        <v>6205</v>
      </c>
      <c r="C315" s="3">
        <v>60</v>
      </c>
      <c r="D315" s="951">
        <f>0.22*C315*F116*G116</f>
        <v>9.8999999999999986</v>
      </c>
      <c r="E315" s="951"/>
      <c r="F315" s="951">
        <f>F94*D315</f>
        <v>571.2299999999999</v>
      </c>
      <c r="G315" s="951">
        <f>F315*25/100</f>
        <v>142.80749999999998</v>
      </c>
      <c r="H315" s="951">
        <f>ROUND(F315+G315,1)</f>
        <v>714</v>
      </c>
    </row>
    <row r="316" spans="1:8">
      <c r="A316" s="20">
        <v>4</v>
      </c>
      <c r="B316" s="3" t="s">
        <v>6206</v>
      </c>
      <c r="C316" s="3">
        <v>60</v>
      </c>
      <c r="D316" s="951"/>
      <c r="E316" s="951">
        <f>0.746*C316*F117*G117</f>
        <v>33.57</v>
      </c>
      <c r="F316" s="951">
        <f>F98*E316</f>
        <v>210.1482</v>
      </c>
      <c r="G316" s="951">
        <f>F316*20/100</f>
        <v>42.029640000000001</v>
      </c>
      <c r="H316" s="951">
        <f t="shared" si="2"/>
        <v>252.2</v>
      </c>
    </row>
    <row r="317" spans="1:8">
      <c r="A317" s="20">
        <v>5</v>
      </c>
      <c r="B317" s="3" t="s">
        <v>6207</v>
      </c>
      <c r="C317" s="3">
        <v>75</v>
      </c>
      <c r="D317" s="951">
        <f>0.22*C317*F118*G118</f>
        <v>12.375</v>
      </c>
      <c r="E317" s="951"/>
      <c r="F317" s="951">
        <f>F94*D317</f>
        <v>714.03750000000002</v>
      </c>
      <c r="G317" s="951">
        <f>F317*25/100</f>
        <v>178.50937500000001</v>
      </c>
      <c r="H317" s="951">
        <f t="shared" si="2"/>
        <v>892.5</v>
      </c>
    </row>
    <row r="318" spans="1:8">
      <c r="A318" s="20">
        <v>6</v>
      </c>
      <c r="B318" s="3" t="s">
        <v>867</v>
      </c>
      <c r="C318" s="3">
        <v>75</v>
      </c>
      <c r="D318" s="951"/>
      <c r="E318" s="951">
        <f>0.746*C318*F119*G119</f>
        <v>41.962500000000006</v>
      </c>
      <c r="F318" s="951">
        <f>F98*E318</f>
        <v>262.68525000000005</v>
      </c>
      <c r="G318" s="951">
        <f>F318*20/100</f>
        <v>52.537050000000008</v>
      </c>
      <c r="H318" s="951">
        <f t="shared" si="2"/>
        <v>315.2</v>
      </c>
    </row>
    <row r="319" spans="1:8">
      <c r="A319" s="20">
        <v>7</v>
      </c>
      <c r="B319" s="3" t="s">
        <v>868</v>
      </c>
      <c r="C319" s="3">
        <v>125</v>
      </c>
      <c r="D319" s="951"/>
      <c r="E319" s="951">
        <f>0.746*C319*F120*G120</f>
        <v>93.25</v>
      </c>
      <c r="F319" s="951">
        <f>F98*E319</f>
        <v>583.745</v>
      </c>
      <c r="G319" s="951">
        <f>F319*20/100</f>
        <v>116.749</v>
      </c>
      <c r="H319" s="951">
        <f t="shared" si="2"/>
        <v>700.5</v>
      </c>
    </row>
    <row r="320" spans="1:8">
      <c r="A320" s="20">
        <v>8</v>
      </c>
      <c r="B320" s="3" t="s">
        <v>6666</v>
      </c>
      <c r="C320" s="3">
        <v>90</v>
      </c>
      <c r="D320" s="951">
        <f>0.22*C320*F121*G121</f>
        <v>8.4644999999999992</v>
      </c>
      <c r="E320" s="951"/>
      <c r="F320" s="951">
        <f>F94*D320</f>
        <v>488.40164999999996</v>
      </c>
      <c r="G320" s="951">
        <f>F320*25/100</f>
        <v>122.10041249999999</v>
      </c>
      <c r="H320" s="951">
        <f t="shared" si="2"/>
        <v>610.5</v>
      </c>
    </row>
    <row r="321" spans="1:8">
      <c r="A321" s="20">
        <v>9</v>
      </c>
      <c r="B321" s="3" t="s">
        <v>6953</v>
      </c>
      <c r="C321" s="3">
        <v>15</v>
      </c>
      <c r="D321" s="951"/>
      <c r="E321" s="951">
        <f>0.746*C321*F122*G122</f>
        <v>11.19</v>
      </c>
      <c r="F321" s="951">
        <f>F98*E321</f>
        <v>70.049399999999991</v>
      </c>
      <c r="G321" s="951">
        <f>F321*20/100</f>
        <v>14.009879999999999</v>
      </c>
      <c r="H321" s="951">
        <f t="shared" si="2"/>
        <v>84.1</v>
      </c>
    </row>
    <row r="322" spans="1:8">
      <c r="A322" s="20">
        <v>10</v>
      </c>
      <c r="B322" s="3" t="s">
        <v>6954</v>
      </c>
      <c r="C322" s="3">
        <v>45</v>
      </c>
      <c r="D322" s="951"/>
      <c r="E322" s="951">
        <f>0.746*C322*F123*G123</f>
        <v>33.57</v>
      </c>
      <c r="F322" s="951">
        <f>F98*E322</f>
        <v>210.1482</v>
      </c>
      <c r="G322" s="951">
        <f>F322*20/100</f>
        <v>42.029640000000001</v>
      </c>
      <c r="H322" s="951">
        <f t="shared" si="2"/>
        <v>252.2</v>
      </c>
    </row>
    <row r="323" spans="1:8">
      <c r="A323" s="20">
        <v>11</v>
      </c>
      <c r="B323" s="3" t="s">
        <v>6955</v>
      </c>
      <c r="C323" s="3">
        <v>55</v>
      </c>
      <c r="D323" s="951"/>
      <c r="E323" s="951">
        <f>0.746*C323*F124*G124</f>
        <v>41.03</v>
      </c>
      <c r="F323" s="951">
        <f>F98*E323</f>
        <v>256.84780000000001</v>
      </c>
      <c r="G323" s="951">
        <f>F323*20/100</f>
        <v>51.36956</v>
      </c>
      <c r="H323" s="951">
        <f t="shared" si="2"/>
        <v>308.2</v>
      </c>
    </row>
    <row r="324" spans="1:8">
      <c r="A324" s="20">
        <v>12</v>
      </c>
      <c r="B324" s="3" t="s">
        <v>6027</v>
      </c>
      <c r="C324" s="3">
        <v>15</v>
      </c>
      <c r="D324" s="951"/>
      <c r="E324" s="951">
        <f>0.746*C324*F125*G125</f>
        <v>11.19</v>
      </c>
      <c r="F324" s="951">
        <f>F98*E324</f>
        <v>70.049399999999991</v>
      </c>
      <c r="G324" s="951">
        <f>F324*20/100</f>
        <v>14.009879999999999</v>
      </c>
      <c r="H324" s="951">
        <f t="shared" si="2"/>
        <v>84.1</v>
      </c>
    </row>
    <row r="325" spans="1:8">
      <c r="A325" s="20">
        <v>13</v>
      </c>
      <c r="B325" s="1" t="s">
        <v>1872</v>
      </c>
      <c r="C325" s="3"/>
      <c r="D325" s="951"/>
      <c r="E325" s="951"/>
      <c r="F325" s="951"/>
      <c r="G325" s="951"/>
      <c r="H325" s="951"/>
    </row>
    <row r="326" spans="1:8">
      <c r="A326" s="20">
        <v>14</v>
      </c>
      <c r="B326" s="3" t="s">
        <v>6912</v>
      </c>
      <c r="C326" s="1007"/>
      <c r="D326" s="951"/>
      <c r="E326" s="951"/>
      <c r="F326" s="1041"/>
      <c r="G326" s="951"/>
      <c r="H326" s="951"/>
    </row>
    <row r="327" spans="1:8">
      <c r="A327" s="20">
        <v>15</v>
      </c>
      <c r="B327" s="3" t="s">
        <v>2769</v>
      </c>
      <c r="C327" s="1007"/>
      <c r="D327" s="951"/>
      <c r="E327" s="951"/>
      <c r="F327" s="1041"/>
      <c r="G327" s="951"/>
      <c r="H327" s="951"/>
    </row>
    <row r="328" spans="1:8">
      <c r="A328" s="20">
        <v>16</v>
      </c>
      <c r="B328" s="3" t="s">
        <v>869</v>
      </c>
      <c r="C328" s="3">
        <v>5</v>
      </c>
      <c r="D328" s="951">
        <f>0.22*C328*F129*G129</f>
        <v>1.1000000000000001</v>
      </c>
      <c r="E328" s="951"/>
      <c r="F328" s="951">
        <f>F94*D328</f>
        <v>63.470000000000006</v>
      </c>
      <c r="G328" s="951">
        <f>F328*25/100</f>
        <v>15.867500000000001</v>
      </c>
      <c r="H328" s="951">
        <f>ROUND(F328+G328,1)</f>
        <v>79.3</v>
      </c>
    </row>
    <row r="329" spans="1:8">
      <c r="A329" s="20">
        <v>17</v>
      </c>
      <c r="B329" s="3" t="s">
        <v>870</v>
      </c>
      <c r="C329" s="3">
        <v>5</v>
      </c>
      <c r="D329" s="951"/>
      <c r="E329" s="951">
        <f>0.746*C329*F130*G130</f>
        <v>3.73</v>
      </c>
      <c r="F329" s="951">
        <f>F98*E329</f>
        <v>23.349799999999998</v>
      </c>
      <c r="G329" s="951">
        <f>F329*20/100</f>
        <v>4.6699599999999997</v>
      </c>
      <c r="H329" s="951">
        <f>ROUND(F329+G329,1)</f>
        <v>28</v>
      </c>
    </row>
    <row r="330" spans="1:8">
      <c r="A330" s="20">
        <v>18</v>
      </c>
      <c r="B330" s="3" t="s">
        <v>871</v>
      </c>
      <c r="C330" s="3">
        <v>10</v>
      </c>
      <c r="D330" s="951">
        <f>0.22*C330*F131*G131</f>
        <v>2.2000000000000002</v>
      </c>
      <c r="E330" s="951"/>
      <c r="F330" s="951">
        <f>F94*D330</f>
        <v>126.94000000000001</v>
      </c>
      <c r="G330" s="951">
        <f>F330*25/100</f>
        <v>31.735000000000003</v>
      </c>
      <c r="H330" s="951">
        <f>ROUND(F330+G330,1)</f>
        <v>158.69999999999999</v>
      </c>
    </row>
    <row r="331" spans="1:8">
      <c r="A331" s="20">
        <v>19</v>
      </c>
      <c r="B331" s="3" t="s">
        <v>2383</v>
      </c>
      <c r="C331" s="3">
        <v>10</v>
      </c>
      <c r="D331" s="951"/>
      <c r="E331" s="951">
        <f>0.746*C331*F132*G132</f>
        <v>7.46</v>
      </c>
      <c r="F331" s="951">
        <f>F98*E331</f>
        <v>46.699599999999997</v>
      </c>
      <c r="G331" s="951">
        <f>F331*20/100</f>
        <v>9.3399199999999993</v>
      </c>
      <c r="H331" s="951">
        <f>ROUND(F331+G331,1)</f>
        <v>56</v>
      </c>
    </row>
    <row r="332" spans="1:8">
      <c r="A332" s="20">
        <v>20</v>
      </c>
      <c r="B332" s="3" t="s">
        <v>2384</v>
      </c>
      <c r="C332" s="1007"/>
      <c r="D332" s="951"/>
      <c r="E332" s="951"/>
      <c r="F332" s="1041"/>
      <c r="G332" s="951"/>
      <c r="H332" s="951"/>
    </row>
    <row r="333" spans="1:8">
      <c r="A333" s="20">
        <v>21</v>
      </c>
      <c r="B333" s="3" t="s">
        <v>3090</v>
      </c>
      <c r="C333" s="3">
        <v>60</v>
      </c>
      <c r="D333" s="951"/>
      <c r="E333" s="951">
        <f>0.746*C333*F134*G134</f>
        <v>25.960799999999995</v>
      </c>
      <c r="F333" s="951">
        <f>F98*E333</f>
        <v>162.51460799999995</v>
      </c>
      <c r="G333" s="951">
        <f>F333*20/100</f>
        <v>32.502921599999993</v>
      </c>
      <c r="H333" s="951">
        <f>ROUND(F333+G333,1)</f>
        <v>195</v>
      </c>
    </row>
    <row r="334" spans="1:8">
      <c r="A334" s="20">
        <v>22</v>
      </c>
      <c r="B334" s="3" t="s">
        <v>2941</v>
      </c>
      <c r="C334" s="3">
        <v>15</v>
      </c>
      <c r="D334" s="951">
        <f>0.22*C334*F136*G136</f>
        <v>3.3</v>
      </c>
      <c r="E334" s="951"/>
      <c r="F334" s="951">
        <f>F94*D334</f>
        <v>190.41</v>
      </c>
      <c r="G334" s="951">
        <f>F334*25/100</f>
        <v>47.602499999999999</v>
      </c>
      <c r="H334" s="951">
        <f t="shared" ref="H334:H343" si="3">ROUND(F334+G334,1)</f>
        <v>238</v>
      </c>
    </row>
    <row r="335" spans="1:8">
      <c r="A335" s="20">
        <v>23</v>
      </c>
      <c r="B335" s="3" t="s">
        <v>2942</v>
      </c>
      <c r="C335" s="3">
        <v>40</v>
      </c>
      <c r="D335" s="951">
        <f>0.22*C335*F137*G137</f>
        <v>8.8000000000000007</v>
      </c>
      <c r="E335" s="951"/>
      <c r="F335" s="951">
        <f>F94*D335</f>
        <v>507.76000000000005</v>
      </c>
      <c r="G335" s="951">
        <f>F335*25/100</f>
        <v>126.94000000000001</v>
      </c>
      <c r="H335" s="951">
        <f t="shared" si="3"/>
        <v>634.70000000000005</v>
      </c>
    </row>
    <row r="336" spans="1:8">
      <c r="A336" s="20">
        <v>24</v>
      </c>
      <c r="B336" s="3" t="s">
        <v>1374</v>
      </c>
      <c r="C336" s="3">
        <v>60</v>
      </c>
      <c r="D336" s="951">
        <f>0.22*C336*F138*G138</f>
        <v>13.2</v>
      </c>
      <c r="E336" s="951"/>
      <c r="F336" s="951">
        <f>F94*D336</f>
        <v>761.64</v>
      </c>
      <c r="G336" s="951">
        <f>F336*25/100</f>
        <v>190.41</v>
      </c>
      <c r="H336" s="951">
        <f t="shared" si="3"/>
        <v>952.1</v>
      </c>
    </row>
    <row r="337" spans="1:8">
      <c r="A337" s="20">
        <v>25</v>
      </c>
      <c r="B337" s="3" t="s">
        <v>1375</v>
      </c>
      <c r="C337" s="3">
        <v>45</v>
      </c>
      <c r="D337" s="951">
        <f>0.22*C337*F139*G139</f>
        <v>7.4250000000000007</v>
      </c>
      <c r="E337" s="951"/>
      <c r="F337" s="951">
        <f>F94*D337</f>
        <v>428.42250000000007</v>
      </c>
      <c r="G337" s="951">
        <f>F337*25/100</f>
        <v>107.10562500000002</v>
      </c>
      <c r="H337" s="951">
        <f t="shared" si="3"/>
        <v>535.5</v>
      </c>
    </row>
    <row r="338" spans="1:8">
      <c r="A338" s="20">
        <v>26</v>
      </c>
      <c r="B338" s="3" t="s">
        <v>3091</v>
      </c>
      <c r="C338" s="3">
        <v>5</v>
      </c>
      <c r="D338" s="951">
        <f>0.22*C338*F140*G140</f>
        <v>1.1000000000000001</v>
      </c>
      <c r="E338" s="951"/>
      <c r="F338" s="951">
        <f>F94*D338</f>
        <v>63.470000000000006</v>
      </c>
      <c r="G338" s="951">
        <f>F338*25/100</f>
        <v>15.867500000000001</v>
      </c>
      <c r="H338" s="951">
        <f t="shared" si="3"/>
        <v>79.3</v>
      </c>
    </row>
    <row r="339" spans="1:8">
      <c r="A339" s="20">
        <v>27</v>
      </c>
      <c r="B339" s="3" t="s">
        <v>3092</v>
      </c>
      <c r="C339" s="3">
        <v>5</v>
      </c>
      <c r="D339" s="951"/>
      <c r="E339" s="951">
        <f>0.746*C339*F140*G140</f>
        <v>3.73</v>
      </c>
      <c r="F339" s="951">
        <f>F98*E339</f>
        <v>23.349799999999998</v>
      </c>
      <c r="G339" s="951">
        <f>F339*20/100</f>
        <v>4.6699599999999997</v>
      </c>
      <c r="H339" s="951">
        <f t="shared" si="3"/>
        <v>28</v>
      </c>
    </row>
    <row r="340" spans="1:8">
      <c r="A340" s="20">
        <v>28</v>
      </c>
      <c r="B340" s="3" t="s">
        <v>3093</v>
      </c>
      <c r="C340" s="3">
        <v>10</v>
      </c>
      <c r="D340" s="951">
        <f>0.22*C340*F142*G142</f>
        <v>2.2000000000000002</v>
      </c>
      <c r="E340" s="951"/>
      <c r="F340" s="951">
        <f>F94*D340</f>
        <v>126.94000000000001</v>
      </c>
      <c r="G340" s="951">
        <f>F340*25/100</f>
        <v>31.735000000000003</v>
      </c>
      <c r="H340" s="951">
        <f t="shared" si="3"/>
        <v>158.69999999999999</v>
      </c>
    </row>
    <row r="341" spans="1:8">
      <c r="A341" s="20">
        <v>29</v>
      </c>
      <c r="B341" s="3" t="s">
        <v>7099</v>
      </c>
      <c r="C341" s="3">
        <v>10</v>
      </c>
      <c r="D341" s="951"/>
      <c r="E341" s="951">
        <f>0.746*C341*F142*G142</f>
        <v>7.46</v>
      </c>
      <c r="F341" s="951">
        <f>F98*E341</f>
        <v>46.699599999999997</v>
      </c>
      <c r="G341" s="951">
        <f>F341*20/100</f>
        <v>9.3399199999999993</v>
      </c>
      <c r="H341" s="951">
        <f t="shared" si="3"/>
        <v>56</v>
      </c>
    </row>
    <row r="342" spans="1:8">
      <c r="A342" s="20">
        <v>30</v>
      </c>
      <c r="B342" s="3" t="s">
        <v>7100</v>
      </c>
      <c r="C342" s="3">
        <v>20</v>
      </c>
      <c r="D342" s="951">
        <f>0.22*C342*F144*G144</f>
        <v>4.4000000000000004</v>
      </c>
      <c r="E342" s="951"/>
      <c r="F342" s="951">
        <f>F94*D342</f>
        <v>253.88000000000002</v>
      </c>
      <c r="G342" s="951">
        <f>F342*25/100</f>
        <v>63.470000000000006</v>
      </c>
      <c r="H342" s="951">
        <f t="shared" si="3"/>
        <v>317.39999999999998</v>
      </c>
    </row>
    <row r="343" spans="1:8">
      <c r="A343" s="20">
        <v>31</v>
      </c>
      <c r="B343" s="3" t="s">
        <v>7101</v>
      </c>
      <c r="C343" s="3">
        <v>20</v>
      </c>
      <c r="D343" s="951"/>
      <c r="E343" s="951">
        <f>0.746*C343*F144*G144</f>
        <v>14.92</v>
      </c>
      <c r="F343" s="951">
        <f>F98*E343</f>
        <v>93.399199999999993</v>
      </c>
      <c r="G343" s="951">
        <f>F343*20/100</f>
        <v>18.679839999999999</v>
      </c>
      <c r="H343" s="951">
        <f t="shared" si="3"/>
        <v>112.1</v>
      </c>
    </row>
    <row r="344" spans="1:8">
      <c r="A344" s="20">
        <v>32</v>
      </c>
      <c r="B344" s="3" t="s">
        <v>2080</v>
      </c>
      <c r="C344" s="1007"/>
      <c r="D344" s="951"/>
      <c r="E344" s="951"/>
      <c r="F344" s="1041"/>
      <c r="G344" s="951"/>
      <c r="H344" s="951"/>
    </row>
    <row r="345" spans="1:8">
      <c r="A345" s="20">
        <v>33</v>
      </c>
      <c r="B345" s="3" t="s">
        <v>7102</v>
      </c>
      <c r="C345" s="3">
        <v>90</v>
      </c>
      <c r="D345" s="951">
        <f>0.22*C345*F147*G147</f>
        <v>0.59400000000000008</v>
      </c>
      <c r="E345" s="951"/>
      <c r="F345" s="951">
        <f>F94*D345</f>
        <v>34.273800000000008</v>
      </c>
      <c r="G345" s="951">
        <f>F345*25/100</f>
        <v>8.5684500000000021</v>
      </c>
      <c r="H345" s="951">
        <f>ROUND(F345+G345,1)</f>
        <v>42.8</v>
      </c>
    </row>
    <row r="346" spans="1:8">
      <c r="A346" s="20">
        <v>34</v>
      </c>
      <c r="B346" s="3" t="s">
        <v>7103</v>
      </c>
      <c r="C346" s="3">
        <v>120</v>
      </c>
      <c r="D346" s="951">
        <f>0.22*C346*F149*G149</f>
        <v>5.5439999999999987</v>
      </c>
      <c r="E346" s="951"/>
      <c r="F346" s="951">
        <f>F94*D346</f>
        <v>319.88879999999995</v>
      </c>
      <c r="G346" s="951">
        <f>F346*25/100</f>
        <v>79.972199999999987</v>
      </c>
      <c r="H346" s="951">
        <f>ROUND(F346+G346,1)</f>
        <v>399.9</v>
      </c>
    </row>
    <row r="347" spans="1:8">
      <c r="A347" s="20">
        <v>35</v>
      </c>
      <c r="B347" s="3" t="s">
        <v>4304</v>
      </c>
      <c r="C347" s="1007"/>
      <c r="D347" s="951"/>
      <c r="E347" s="951"/>
      <c r="F347" s="1041"/>
      <c r="G347" s="951"/>
      <c r="H347" s="951">
        <f>ROUND(F347+G347,1)</f>
        <v>0</v>
      </c>
    </row>
    <row r="348" spans="1:8">
      <c r="A348" s="20">
        <v>36</v>
      </c>
      <c r="B348" s="3" t="s">
        <v>2248</v>
      </c>
      <c r="C348" s="3">
        <v>5</v>
      </c>
      <c r="D348" s="951"/>
      <c r="E348" s="951">
        <f>0.746*C348*F152*G152</f>
        <v>3.73</v>
      </c>
      <c r="F348" s="951">
        <f>F98*E348</f>
        <v>23.349799999999998</v>
      </c>
      <c r="G348" s="951">
        <f>F348*20/100</f>
        <v>4.6699599999999997</v>
      </c>
      <c r="H348" s="951">
        <f>ROUND(F348+G348,1)</f>
        <v>28</v>
      </c>
    </row>
    <row r="349" spans="1:8">
      <c r="A349" s="20">
        <v>37</v>
      </c>
      <c r="B349" s="3" t="s">
        <v>4305</v>
      </c>
      <c r="C349" s="1007"/>
      <c r="D349" s="951"/>
      <c r="E349" s="951"/>
      <c r="F349" s="1041"/>
      <c r="G349" s="951"/>
      <c r="H349" s="951"/>
    </row>
    <row r="350" spans="1:8">
      <c r="A350" s="20">
        <v>38</v>
      </c>
      <c r="B350" s="3" t="s">
        <v>4306</v>
      </c>
      <c r="C350" s="3">
        <v>190</v>
      </c>
      <c r="D350" s="951"/>
      <c r="E350" s="951">
        <f>0.746*C350*F154*G154</f>
        <v>106.30500000000001</v>
      </c>
      <c r="F350" s="951">
        <f>F98*E350</f>
        <v>665.46929999999998</v>
      </c>
      <c r="G350" s="951">
        <f>F350*20/100</f>
        <v>133.09385999999998</v>
      </c>
      <c r="H350" s="951">
        <f>ROUND(F350+G350,1)</f>
        <v>798.6</v>
      </c>
    </row>
    <row r="351" spans="1:8">
      <c r="A351" s="20">
        <v>39</v>
      </c>
      <c r="B351" s="3" t="s">
        <v>6243</v>
      </c>
      <c r="C351" s="1007"/>
      <c r="D351" s="951"/>
      <c r="E351" s="951"/>
      <c r="F351" s="1041"/>
      <c r="G351" s="951"/>
      <c r="H351" s="951"/>
    </row>
    <row r="352" spans="1:8">
      <c r="A352" s="20">
        <v>40</v>
      </c>
      <c r="B352" s="3" t="s">
        <v>4307</v>
      </c>
      <c r="C352" s="3">
        <v>2</v>
      </c>
      <c r="D352" s="951">
        <f>0.22*C352*F156*G156</f>
        <v>0.22</v>
      </c>
      <c r="E352" s="951"/>
      <c r="F352" s="951">
        <f>F95*D352</f>
        <v>15.059000000000001</v>
      </c>
      <c r="G352" s="951">
        <f>F352*25/100</f>
        <v>3.7647500000000003</v>
      </c>
      <c r="H352" s="951">
        <f t="shared" ref="H352:H357" si="4">ROUND(F352+G352,1)</f>
        <v>18.8</v>
      </c>
    </row>
    <row r="353" spans="1:8">
      <c r="A353" s="20">
        <v>41</v>
      </c>
      <c r="B353" s="3" t="s">
        <v>863</v>
      </c>
      <c r="C353" s="3">
        <v>2</v>
      </c>
      <c r="D353" s="951"/>
      <c r="E353" s="951">
        <f>0.746*C353*F157*G157</f>
        <v>0.746</v>
      </c>
      <c r="F353" s="951">
        <f>F98*E353</f>
        <v>4.6699599999999997</v>
      </c>
      <c r="G353" s="951">
        <f>F353*20/100</f>
        <v>0.93399199999999993</v>
      </c>
      <c r="H353" s="951">
        <f t="shared" si="4"/>
        <v>5.6</v>
      </c>
    </row>
    <row r="354" spans="1:8">
      <c r="A354" s="20">
        <v>42</v>
      </c>
      <c r="B354" s="3" t="s">
        <v>864</v>
      </c>
      <c r="C354" s="3">
        <v>3</v>
      </c>
      <c r="D354" s="951">
        <f>0.22*C354*F158*G158</f>
        <v>0.33</v>
      </c>
      <c r="E354" s="951"/>
      <c r="F354" s="951">
        <f>F95*D354</f>
        <v>22.588500000000003</v>
      </c>
      <c r="G354" s="951">
        <f>F354*25/100</f>
        <v>5.6471250000000008</v>
      </c>
      <c r="H354" s="951">
        <f t="shared" si="4"/>
        <v>28.2</v>
      </c>
    </row>
    <row r="355" spans="1:8">
      <c r="A355" s="20">
        <v>43</v>
      </c>
      <c r="B355" s="3" t="s">
        <v>865</v>
      </c>
      <c r="C355" s="3">
        <v>3</v>
      </c>
      <c r="D355" s="951"/>
      <c r="E355" s="951">
        <f>0.746*C355*F159*G159</f>
        <v>1.119</v>
      </c>
      <c r="F355" s="951">
        <f>F98*E355</f>
        <v>7.0049399999999995</v>
      </c>
      <c r="G355" s="951">
        <f>F355*20/100</f>
        <v>1.4009879999999999</v>
      </c>
      <c r="H355" s="951">
        <f t="shared" si="4"/>
        <v>8.4</v>
      </c>
    </row>
    <row r="356" spans="1:8">
      <c r="A356" s="20">
        <v>44</v>
      </c>
      <c r="B356" s="3" t="s">
        <v>1779</v>
      </c>
      <c r="C356" s="3">
        <v>15</v>
      </c>
      <c r="D356" s="951"/>
      <c r="E356" s="951">
        <f>0.746*C356*F160*G160</f>
        <v>11.19</v>
      </c>
      <c r="F356" s="951">
        <f>F98*E356</f>
        <v>70.049399999999991</v>
      </c>
      <c r="G356" s="951">
        <f>F356*20/100</f>
        <v>14.009879999999999</v>
      </c>
      <c r="H356" s="951">
        <f t="shared" si="4"/>
        <v>84.1</v>
      </c>
    </row>
    <row r="357" spans="1:8">
      <c r="A357" s="20">
        <v>45</v>
      </c>
      <c r="B357" s="3" t="s">
        <v>1811</v>
      </c>
      <c r="C357" s="3">
        <v>20</v>
      </c>
      <c r="D357" s="951"/>
      <c r="E357" s="951">
        <f>0.746*C357*F161*G161</f>
        <v>14.92</v>
      </c>
      <c r="F357" s="951">
        <f>F98*E357</f>
        <v>93.399199999999993</v>
      </c>
      <c r="G357" s="951">
        <f>F357*20/100</f>
        <v>18.679839999999999</v>
      </c>
      <c r="H357" s="951">
        <f t="shared" si="4"/>
        <v>112.1</v>
      </c>
    </row>
    <row r="358" spans="1:8">
      <c r="A358" s="20">
        <v>46</v>
      </c>
      <c r="B358" s="3" t="s">
        <v>6058</v>
      </c>
      <c r="C358" s="1007"/>
      <c r="D358" s="951"/>
      <c r="E358" s="951"/>
      <c r="F358" s="1041"/>
      <c r="G358" s="951"/>
      <c r="H358" s="951"/>
    </row>
    <row r="359" spans="1:8">
      <c r="A359" s="20">
        <v>47</v>
      </c>
      <c r="B359" s="3" t="s">
        <v>6059</v>
      </c>
      <c r="C359" s="1007"/>
      <c r="D359" s="951"/>
      <c r="E359" s="951"/>
      <c r="F359" s="1041"/>
      <c r="G359" s="951"/>
      <c r="H359" s="951"/>
    </row>
    <row r="360" spans="1:8">
      <c r="A360" s="20">
        <v>48</v>
      </c>
      <c r="B360" s="3" t="s">
        <v>6060</v>
      </c>
      <c r="C360" s="3">
        <v>0.5</v>
      </c>
      <c r="D360" s="951"/>
      <c r="E360" s="951">
        <f>0.746*C360*F164*G164</f>
        <v>0.373</v>
      </c>
      <c r="F360" s="951">
        <f>F98*E360</f>
        <v>2.3349799999999998</v>
      </c>
      <c r="G360" s="951">
        <f>F360*20/100</f>
        <v>0.46699599999999997</v>
      </c>
      <c r="H360" s="951">
        <f>ROUND(F360+G360,1)</f>
        <v>2.8</v>
      </c>
    </row>
    <row r="361" spans="1:8">
      <c r="A361" s="20">
        <v>49</v>
      </c>
      <c r="B361" s="3" t="s">
        <v>6061</v>
      </c>
      <c r="C361" s="1007"/>
      <c r="D361" s="951"/>
      <c r="E361" s="951"/>
      <c r="F361" s="1041"/>
      <c r="G361" s="951"/>
      <c r="H361" s="951"/>
    </row>
    <row r="362" spans="1:8">
      <c r="A362" s="20">
        <v>50</v>
      </c>
      <c r="B362" s="3" t="s">
        <v>6062</v>
      </c>
      <c r="C362" s="3">
        <v>45</v>
      </c>
      <c r="D362" s="951">
        <f>0.22*C362*F166*G166</f>
        <v>9.9</v>
      </c>
      <c r="E362" s="951"/>
      <c r="F362" s="951">
        <f>F94*D362</f>
        <v>571.23</v>
      </c>
      <c r="G362" s="951">
        <f>F362*25/100</f>
        <v>142.8075</v>
      </c>
      <c r="H362" s="951">
        <f>ROUND(F362+G362,1)</f>
        <v>714</v>
      </c>
    </row>
    <row r="363" spans="1:8">
      <c r="A363" s="20">
        <v>51</v>
      </c>
      <c r="B363" s="3" t="s">
        <v>6063</v>
      </c>
      <c r="C363" s="3">
        <v>75</v>
      </c>
      <c r="D363" s="951">
        <f>0.22*C363*F167*G167</f>
        <v>6.6000000000000005</v>
      </c>
      <c r="E363" s="951"/>
      <c r="F363" s="951">
        <f>F94*D363</f>
        <v>380.82000000000005</v>
      </c>
      <c r="G363" s="951">
        <f>F363*25/100</f>
        <v>95.205000000000013</v>
      </c>
      <c r="H363" s="951">
        <f>ROUND(F363+G363,1)</f>
        <v>476</v>
      </c>
    </row>
    <row r="364" spans="1:8">
      <c r="A364" s="20">
        <v>52</v>
      </c>
      <c r="B364" s="3" t="s">
        <v>6064</v>
      </c>
      <c r="C364" s="3">
        <v>110</v>
      </c>
      <c r="D364" s="951">
        <f>0.22*C364*F168*G168</f>
        <v>12.1</v>
      </c>
      <c r="E364" s="951"/>
      <c r="F364" s="951">
        <f>F94*D364</f>
        <v>698.17</v>
      </c>
      <c r="G364" s="951">
        <f>F364*25/100</f>
        <v>174.54249999999999</v>
      </c>
      <c r="H364" s="951">
        <f>ROUND(F364+G364,1)</f>
        <v>872.7</v>
      </c>
    </row>
    <row r="365" spans="1:8">
      <c r="A365" s="20">
        <v>53</v>
      </c>
      <c r="B365" s="3" t="s">
        <v>866</v>
      </c>
      <c r="C365" s="1007"/>
      <c r="D365" s="951"/>
      <c r="E365" s="951"/>
      <c r="F365" s="1041"/>
      <c r="G365" s="951"/>
      <c r="H365" s="951"/>
    </row>
    <row r="366" spans="1:8">
      <c r="A366" s="20">
        <v>54</v>
      </c>
      <c r="B366" s="3" t="s">
        <v>6282</v>
      </c>
      <c r="C366" s="3">
        <v>90</v>
      </c>
      <c r="D366" s="951">
        <f>0.22*C366*F170*G170</f>
        <v>4.1580000000000004</v>
      </c>
      <c r="E366" s="951"/>
      <c r="F366" s="951">
        <f>F94*D366</f>
        <v>239.91660000000005</v>
      </c>
      <c r="G366" s="951">
        <f>F366*25/100</f>
        <v>59.979150000000011</v>
      </c>
      <c r="H366" s="951">
        <f>ROUND(F366+G366,1)</f>
        <v>299.89999999999998</v>
      </c>
    </row>
    <row r="367" spans="1:8">
      <c r="A367" s="20">
        <v>55</v>
      </c>
      <c r="B367" s="3" t="s">
        <v>4326</v>
      </c>
      <c r="C367" s="1007"/>
      <c r="D367" s="951"/>
      <c r="E367" s="951"/>
      <c r="F367" s="1041"/>
      <c r="G367" s="951"/>
      <c r="H367" s="951"/>
    </row>
    <row r="368" spans="1:8">
      <c r="A368" s="20">
        <v>56</v>
      </c>
      <c r="B368" s="3" t="s">
        <v>4327</v>
      </c>
      <c r="C368" s="3">
        <v>26</v>
      </c>
      <c r="D368" s="951"/>
      <c r="E368" s="951">
        <f>0.746*C368*F173*G173</f>
        <v>19.396000000000001</v>
      </c>
      <c r="F368" s="951">
        <f>F98*E368</f>
        <v>121.41896</v>
      </c>
      <c r="G368" s="951">
        <f>F368*20/100</f>
        <v>24.283791999999998</v>
      </c>
      <c r="H368" s="951">
        <f>ROUND(F368+G368,1)</f>
        <v>145.69999999999999</v>
      </c>
    </row>
    <row r="369" spans="1:8">
      <c r="A369" s="20">
        <v>57</v>
      </c>
      <c r="B369" s="3" t="s">
        <v>253</v>
      </c>
      <c r="C369" s="1007"/>
      <c r="D369" s="951"/>
      <c r="E369" s="951"/>
      <c r="F369" s="1041"/>
      <c r="G369" s="951"/>
      <c r="H369" s="951"/>
    </row>
    <row r="370" spans="1:8">
      <c r="A370" s="20">
        <v>58</v>
      </c>
      <c r="B370" s="3" t="s">
        <v>6283</v>
      </c>
      <c r="C370" s="3">
        <v>90</v>
      </c>
      <c r="D370" s="951">
        <f>0.22*C370*F175*G175</f>
        <v>4.1580000000000004</v>
      </c>
      <c r="E370" s="951"/>
      <c r="F370" s="951">
        <f>F94*D370</f>
        <v>239.91660000000005</v>
      </c>
      <c r="G370" s="951">
        <f>F370*25/100</f>
        <v>59.979150000000011</v>
      </c>
      <c r="H370" s="951">
        <f>ROUND(F370+G370,1)</f>
        <v>299.89999999999998</v>
      </c>
    </row>
    <row r="371" spans="1:8">
      <c r="A371" s="20">
        <v>59</v>
      </c>
      <c r="B371" s="3" t="s">
        <v>6284</v>
      </c>
      <c r="C371" s="3">
        <v>90</v>
      </c>
      <c r="D371" s="951">
        <f>0.22*C371*F177*G177</f>
        <v>4.1580000000000004</v>
      </c>
      <c r="E371" s="951"/>
      <c r="F371" s="1041">
        <f>F94*D371</f>
        <v>239.91660000000005</v>
      </c>
      <c r="G371" s="951">
        <f>F371*25/100</f>
        <v>59.979150000000011</v>
      </c>
      <c r="H371" s="951">
        <f>ROUND(F371+G371,1)</f>
        <v>299.89999999999998</v>
      </c>
    </row>
    <row r="372" spans="1:8">
      <c r="A372" s="20">
        <v>60</v>
      </c>
      <c r="B372" s="3" t="s">
        <v>255</v>
      </c>
      <c r="C372" s="3">
        <v>5</v>
      </c>
      <c r="D372" s="951"/>
      <c r="E372" s="951">
        <f>0.746*C372*F179*G179</f>
        <v>3.73</v>
      </c>
      <c r="F372" s="951">
        <f>F98*E372</f>
        <v>23.349799999999998</v>
      </c>
      <c r="G372" s="951">
        <f>F372*20/100</f>
        <v>4.6699599999999997</v>
      </c>
      <c r="H372" s="951">
        <f>ROUND(F372+G372,1)</f>
        <v>28</v>
      </c>
    </row>
    <row r="373" spans="1:8">
      <c r="A373" s="20">
        <v>61</v>
      </c>
      <c r="B373" s="3" t="s">
        <v>256</v>
      </c>
      <c r="C373" s="3">
        <v>20</v>
      </c>
      <c r="D373" s="951"/>
      <c r="E373" s="951">
        <f>0.746*C373*F180*G180</f>
        <v>14.92</v>
      </c>
      <c r="F373" s="951">
        <f>F98*E373</f>
        <v>93.399199999999993</v>
      </c>
      <c r="G373" s="951">
        <f>F373*20/100</f>
        <v>18.679839999999999</v>
      </c>
      <c r="H373" s="951">
        <f>ROUND(F373+G373,1)</f>
        <v>112.1</v>
      </c>
    </row>
    <row r="374" spans="1:8">
      <c r="A374" s="20">
        <v>62</v>
      </c>
      <c r="B374" s="3" t="s">
        <v>257</v>
      </c>
      <c r="C374" s="3">
        <v>65</v>
      </c>
      <c r="D374" s="951">
        <f>0.22*C374*F181*G181</f>
        <v>14.3</v>
      </c>
      <c r="E374" s="951"/>
      <c r="F374" s="951">
        <f>F94*D374</f>
        <v>825.11000000000013</v>
      </c>
      <c r="G374" s="951">
        <f>F374*25/100</f>
        <v>206.27750000000003</v>
      </c>
      <c r="H374" s="951">
        <f>ROUND(F374+G374,1)</f>
        <v>1031.4000000000001</v>
      </c>
    </row>
    <row r="375" spans="1:8">
      <c r="A375" s="20">
        <v>63</v>
      </c>
      <c r="B375" s="3" t="s">
        <v>6285</v>
      </c>
      <c r="C375" s="1007"/>
      <c r="D375" s="951"/>
      <c r="E375" s="951"/>
      <c r="F375" s="1041"/>
      <c r="G375" s="951"/>
      <c r="H375" s="951"/>
    </row>
    <row r="376" spans="1:8">
      <c r="A376" s="20">
        <v>64</v>
      </c>
      <c r="B376" s="3" t="s">
        <v>6286</v>
      </c>
      <c r="C376" s="3">
        <v>90</v>
      </c>
      <c r="D376" s="951">
        <f>0.22*C376*F183*G183</f>
        <v>4.1580000000000004</v>
      </c>
      <c r="E376" s="951"/>
      <c r="F376" s="951">
        <f>F94*$D$376</f>
        <v>239.91660000000005</v>
      </c>
      <c r="G376" s="951">
        <f>F376*25/100</f>
        <v>59.979150000000011</v>
      </c>
      <c r="H376" s="951">
        <f t="shared" ref="H376:H381" si="5">ROUND(F376+G376,1)</f>
        <v>299.89999999999998</v>
      </c>
    </row>
    <row r="377" spans="1:8">
      <c r="A377" s="20">
        <v>65</v>
      </c>
      <c r="B377" s="3" t="s">
        <v>1338</v>
      </c>
      <c r="C377" s="1007">
        <v>24</v>
      </c>
      <c r="E377" s="951">
        <f>0.746*C377*F185*G185</f>
        <v>8.952</v>
      </c>
      <c r="F377" s="951">
        <f>F98*E377</f>
        <v>56.039519999999996</v>
      </c>
      <c r="G377" s="951">
        <f>F377*20/100</f>
        <v>11.207903999999999</v>
      </c>
      <c r="H377" s="951">
        <f t="shared" si="5"/>
        <v>67.2</v>
      </c>
    </row>
    <row r="378" spans="1:8">
      <c r="A378" s="1043">
        <v>66</v>
      </c>
      <c r="B378" s="1044" t="s">
        <v>6287</v>
      </c>
      <c r="C378" s="1044">
        <v>35</v>
      </c>
      <c r="D378" s="1044"/>
      <c r="E378" s="1045">
        <f>0.746*C378*F186*G186</f>
        <v>18.276999999999997</v>
      </c>
      <c r="F378" s="1045">
        <f>F98*E378</f>
        <v>114.41401999999998</v>
      </c>
      <c r="G378" s="1045">
        <f>F378*20/100</f>
        <v>22.882803999999997</v>
      </c>
      <c r="H378" s="1045">
        <f t="shared" si="5"/>
        <v>137.30000000000001</v>
      </c>
    </row>
    <row r="379" spans="1:8" s="954" customFormat="1">
      <c r="A379" s="20">
        <v>67</v>
      </c>
      <c r="B379" s="3" t="s">
        <v>9338</v>
      </c>
      <c r="C379" s="1041">
        <v>148.41</v>
      </c>
      <c r="D379" s="951">
        <f>0.22*C379*F186*G186</f>
        <v>22.855139999999999</v>
      </c>
      <c r="E379" s="1041"/>
      <c r="F379" s="951">
        <f>D379*$D$376</f>
        <v>95.031672119999996</v>
      </c>
      <c r="G379" s="951">
        <f>F379*25/100</f>
        <v>23.757918029999999</v>
      </c>
      <c r="H379" s="951">
        <f t="shared" si="5"/>
        <v>118.8</v>
      </c>
    </row>
    <row r="380" spans="1:8" s="954" customFormat="1">
      <c r="A380" s="20">
        <v>68</v>
      </c>
      <c r="B380" s="3" t="s">
        <v>9337</v>
      </c>
      <c r="C380" s="1041">
        <v>131.25</v>
      </c>
      <c r="D380" s="951">
        <f>0.22*C380*F187*G187</f>
        <v>14.4375</v>
      </c>
      <c r="E380" s="1041"/>
      <c r="F380" s="951">
        <f>D380*$D$376</f>
        <v>60.031125000000003</v>
      </c>
      <c r="G380" s="951">
        <f>F380*25/100</f>
        <v>15.007781250000001</v>
      </c>
      <c r="H380" s="951">
        <f t="shared" si="5"/>
        <v>75</v>
      </c>
    </row>
    <row r="381" spans="1:8" s="954" customFormat="1">
      <c r="A381" s="20">
        <v>69</v>
      </c>
      <c r="B381" s="3" t="str">
        <f>B296</f>
        <v>Concrete Placer Pump 25 Cum/Hr</v>
      </c>
      <c r="C381" s="1041">
        <v>60</v>
      </c>
      <c r="D381" s="951">
        <f>0.22*C381*F188*G188</f>
        <v>0</v>
      </c>
      <c r="E381" s="951">
        <f>0.746*C381*F192*G192</f>
        <v>44.76</v>
      </c>
      <c r="F381" s="951">
        <f>F98*E381</f>
        <v>280.19759999999997</v>
      </c>
      <c r="G381" s="951">
        <f>F381*20/100</f>
        <v>56.039519999999996</v>
      </c>
      <c r="H381" s="951">
        <f t="shared" si="5"/>
        <v>336.2</v>
      </c>
    </row>
    <row r="382" spans="1:8" s="954" customFormat="1">
      <c r="A382" s="16"/>
      <c r="E382" s="961"/>
      <c r="F382" s="961"/>
      <c r="G382" s="961"/>
      <c r="H382" s="961"/>
    </row>
    <row r="383" spans="1:8" s="1047" customFormat="1">
      <c r="A383" s="1046"/>
      <c r="E383" s="1048"/>
      <c r="F383" s="1048"/>
      <c r="G383" s="1048"/>
      <c r="H383" s="1048"/>
    </row>
    <row r="384" spans="1:8">
      <c r="A384" s="1"/>
      <c r="E384" s="954"/>
    </row>
    <row r="390" spans="1:7">
      <c r="A390" s="1"/>
      <c r="B390" s="7" t="s">
        <v>4088</v>
      </c>
      <c r="C390" s="7"/>
      <c r="D390" s="7"/>
    </row>
    <row r="391" spans="1:7">
      <c r="A391" s="1"/>
      <c r="B391" s="7" t="s">
        <v>9956</v>
      </c>
    </row>
    <row r="392" spans="1:7">
      <c r="A392" s="1"/>
    </row>
    <row r="393" spans="1:7">
      <c r="A393" s="1"/>
      <c r="B393" s="1" t="s">
        <v>5798</v>
      </c>
    </row>
    <row r="394" spans="1:7">
      <c r="A394" s="1"/>
      <c r="B394" s="1" t="s">
        <v>5799</v>
      </c>
    </row>
    <row r="395" spans="1:7">
      <c r="A395" s="1"/>
      <c r="B395" s="1" t="s">
        <v>5800</v>
      </c>
    </row>
    <row r="396" spans="1:7">
      <c r="A396" s="1"/>
      <c r="B396" s="1" t="s">
        <v>5903</v>
      </c>
    </row>
    <row r="397" spans="1:7">
      <c r="A397" s="1"/>
      <c r="B397" s="1" t="s">
        <v>5904</v>
      </c>
    </row>
    <row r="398" spans="1:7">
      <c r="A398" s="1"/>
    </row>
    <row r="399" spans="1:7">
      <c r="A399" s="1"/>
      <c r="B399" s="1" t="s">
        <v>5905</v>
      </c>
      <c r="E399" s="15" t="s">
        <v>1697</v>
      </c>
      <c r="F399" s="925">
        <f>'BASIC DATA'!C476</f>
        <v>445</v>
      </c>
      <c r="G399" s="1" t="s">
        <v>3427</v>
      </c>
    </row>
    <row r="400" spans="1:7">
      <c r="A400" s="1"/>
      <c r="B400" s="1" t="s">
        <v>5906</v>
      </c>
      <c r="E400" s="15" t="s">
        <v>1697</v>
      </c>
      <c r="F400" s="925">
        <f>'BASIC DATA'!C518</f>
        <v>400</v>
      </c>
      <c r="G400" s="1" t="s">
        <v>3427</v>
      </c>
    </row>
    <row r="401" spans="1:13">
      <c r="A401" s="1"/>
      <c r="B401" s="1" t="s">
        <v>5907</v>
      </c>
      <c r="E401" s="15" t="s">
        <v>1697</v>
      </c>
      <c r="F401" s="1">
        <v>10000</v>
      </c>
      <c r="G401" s="1" t="s">
        <v>3428</v>
      </c>
      <c r="J401" s="1"/>
    </row>
    <row r="402" spans="1:13">
      <c r="A402" s="1"/>
      <c r="B402" s="1" t="s">
        <v>6189</v>
      </c>
      <c r="E402" s="15" t="s">
        <v>1697</v>
      </c>
      <c r="F402" s="1">
        <v>8</v>
      </c>
      <c r="G402" s="1" t="s">
        <v>3429</v>
      </c>
      <c r="J402" s="1"/>
    </row>
    <row r="403" spans="1:13">
      <c r="A403" s="1"/>
      <c r="B403" s="1" t="s">
        <v>6190</v>
      </c>
      <c r="E403" s="15" t="s">
        <v>1697</v>
      </c>
      <c r="F403" s="1">
        <f>F401/F402</f>
        <v>1250</v>
      </c>
      <c r="G403" s="1" t="s">
        <v>3428</v>
      </c>
      <c r="J403" s="1"/>
    </row>
    <row r="404" spans="1:13">
      <c r="A404" s="1"/>
      <c r="B404" s="1" t="s">
        <v>6191</v>
      </c>
      <c r="E404" s="15" t="s">
        <v>1698</v>
      </c>
      <c r="F404" s="925">
        <f>26*12*F399</f>
        <v>138840</v>
      </c>
      <c r="J404" s="1"/>
    </row>
    <row r="405" spans="1:13">
      <c r="A405" s="1"/>
      <c r="B405" s="1" t="s">
        <v>6192</v>
      </c>
      <c r="E405" s="15" t="s">
        <v>1698</v>
      </c>
      <c r="F405" s="925">
        <f>26*12*F400</f>
        <v>124800</v>
      </c>
      <c r="J405" s="1"/>
    </row>
    <row r="406" spans="1:13">
      <c r="A406" s="1"/>
      <c r="B406" s="1" t="s">
        <v>3537</v>
      </c>
      <c r="E406" s="15" t="s">
        <v>1698</v>
      </c>
      <c r="F406" s="925">
        <f>SUM(F404:F405)</f>
        <v>263640</v>
      </c>
      <c r="J406" s="1"/>
    </row>
    <row r="407" spans="1:13">
      <c r="A407" s="1"/>
      <c r="B407" s="1" t="s">
        <v>3538</v>
      </c>
      <c r="E407" s="15" t="s">
        <v>1698</v>
      </c>
      <c r="F407" s="925">
        <f>F406/F403</f>
        <v>210.91200000000001</v>
      </c>
      <c r="J407" s="1"/>
    </row>
    <row r="408" spans="1:13">
      <c r="A408" s="1"/>
      <c r="B408" s="1" t="s">
        <v>3539</v>
      </c>
      <c r="E408" s="15" t="s">
        <v>1698</v>
      </c>
      <c r="F408" s="925">
        <v>63.65</v>
      </c>
      <c r="J408" s="1"/>
    </row>
    <row r="409" spans="1:13">
      <c r="A409" s="1"/>
      <c r="J409" s="1"/>
    </row>
    <row r="410" spans="1:13">
      <c r="A410" s="1"/>
      <c r="J410" s="1"/>
    </row>
    <row r="411" spans="1:13">
      <c r="A411" s="1288" t="s">
        <v>2847</v>
      </c>
      <c r="B411" s="1288" t="s">
        <v>2848</v>
      </c>
      <c r="C411" s="1306" t="s">
        <v>2667</v>
      </c>
      <c r="D411" s="1306" t="s">
        <v>2668</v>
      </c>
      <c r="E411" s="1314" t="s">
        <v>2669</v>
      </c>
      <c r="F411" s="1315"/>
      <c r="G411" s="1306" t="s">
        <v>2670</v>
      </c>
      <c r="H411" s="1306" t="s">
        <v>2785</v>
      </c>
      <c r="J411" s="1"/>
    </row>
    <row r="412" spans="1:13">
      <c r="A412" s="1312"/>
      <c r="B412" s="1312"/>
      <c r="C412" s="1307"/>
      <c r="D412" s="1307"/>
      <c r="E412" s="1307" t="s">
        <v>2786</v>
      </c>
      <c r="F412" s="1307" t="s">
        <v>2787</v>
      </c>
      <c r="G412" s="1307"/>
      <c r="H412" s="1307"/>
      <c r="J412" s="1"/>
    </row>
    <row r="413" spans="1:13">
      <c r="A413" s="1313"/>
      <c r="B413" s="1313"/>
      <c r="C413" s="1308"/>
      <c r="D413" s="1308"/>
      <c r="E413" s="1311"/>
      <c r="F413" s="1311"/>
      <c r="G413" s="1308"/>
      <c r="H413" s="1308"/>
      <c r="J413" s="1"/>
    </row>
    <row r="414" spans="1:13">
      <c r="A414" s="20">
        <v>1</v>
      </c>
      <c r="B414" s="3" t="s">
        <v>6202</v>
      </c>
      <c r="C414" s="3">
        <v>1</v>
      </c>
      <c r="D414" s="3">
        <v>1</v>
      </c>
      <c r="E414" s="3">
        <f>26*12*D9*C414</f>
        <v>159120</v>
      </c>
      <c r="F414" s="3">
        <f>26*12*E9*D414</f>
        <v>124800</v>
      </c>
      <c r="G414" s="951">
        <f>ROUND(D113/C113,0)</f>
        <v>1000</v>
      </c>
      <c r="H414" s="951">
        <f>ROUND((E414+F414)/G414,1)</f>
        <v>283.89999999999998</v>
      </c>
      <c r="J414" s="1"/>
      <c r="M414" s="1049"/>
    </row>
    <row r="415" spans="1:13">
      <c r="A415" s="20">
        <v>2</v>
      </c>
      <c r="B415" s="3" t="s">
        <v>6204</v>
      </c>
      <c r="C415" s="3">
        <v>1</v>
      </c>
      <c r="D415" s="3">
        <v>1</v>
      </c>
      <c r="E415" s="3">
        <f t="shared" ref="E415:E425" si="6">26*12*D11*C415</f>
        <v>138840</v>
      </c>
      <c r="F415" s="3">
        <f t="shared" ref="F415:F425" si="7">26*12*E11*D415</f>
        <v>124800</v>
      </c>
      <c r="G415" s="951">
        <f t="shared" ref="G415:G425" si="8">ROUND(D115/C115,0)</f>
        <v>1600</v>
      </c>
      <c r="H415" s="951">
        <f t="shared" ref="H415:H425" si="9">ROUND((E415+F415)/G415,1)</f>
        <v>164.8</v>
      </c>
      <c r="J415" s="1"/>
      <c r="M415" s="1049"/>
    </row>
    <row r="416" spans="1:13">
      <c r="A416" s="20">
        <v>3</v>
      </c>
      <c r="B416" s="3" t="s">
        <v>6205</v>
      </c>
      <c r="C416" s="3">
        <v>1</v>
      </c>
      <c r="D416" s="3">
        <v>1</v>
      </c>
      <c r="E416" s="3">
        <f t="shared" si="6"/>
        <v>138840</v>
      </c>
      <c r="F416" s="3">
        <f t="shared" si="7"/>
        <v>124800</v>
      </c>
      <c r="G416" s="951">
        <f t="shared" si="8"/>
        <v>1250</v>
      </c>
      <c r="H416" s="951">
        <f t="shared" si="9"/>
        <v>210.9</v>
      </c>
      <c r="J416" s="1"/>
      <c r="M416" s="1049"/>
    </row>
    <row r="417" spans="1:13">
      <c r="A417" s="20">
        <v>4</v>
      </c>
      <c r="B417" s="3" t="s">
        <v>6206</v>
      </c>
      <c r="C417" s="3">
        <v>1</v>
      </c>
      <c r="D417" s="3">
        <v>1</v>
      </c>
      <c r="E417" s="3">
        <f t="shared" si="6"/>
        <v>138840</v>
      </c>
      <c r="F417" s="3">
        <f t="shared" si="7"/>
        <v>124800</v>
      </c>
      <c r="G417" s="951">
        <f t="shared" si="8"/>
        <v>1600</v>
      </c>
      <c r="H417" s="951">
        <f t="shared" si="9"/>
        <v>164.8</v>
      </c>
      <c r="J417" s="1"/>
      <c r="M417" s="1049"/>
    </row>
    <row r="418" spans="1:13">
      <c r="A418" s="20">
        <v>5</v>
      </c>
      <c r="B418" s="3" t="s">
        <v>6207</v>
      </c>
      <c r="C418" s="3">
        <v>1</v>
      </c>
      <c r="D418" s="3">
        <v>1</v>
      </c>
      <c r="E418" s="3">
        <f t="shared" si="6"/>
        <v>138840</v>
      </c>
      <c r="F418" s="3">
        <f t="shared" si="7"/>
        <v>124800</v>
      </c>
      <c r="G418" s="951">
        <f t="shared" si="8"/>
        <v>1250</v>
      </c>
      <c r="H418" s="951">
        <f t="shared" si="9"/>
        <v>210.9</v>
      </c>
      <c r="J418" s="1"/>
      <c r="M418" s="1049"/>
    </row>
    <row r="419" spans="1:13">
      <c r="A419" s="20">
        <v>6</v>
      </c>
      <c r="B419" s="3" t="s">
        <v>867</v>
      </c>
      <c r="C419" s="3">
        <v>1</v>
      </c>
      <c r="D419" s="3">
        <v>1</v>
      </c>
      <c r="E419" s="3">
        <f t="shared" si="6"/>
        <v>138840</v>
      </c>
      <c r="F419" s="3">
        <f t="shared" si="7"/>
        <v>124800</v>
      </c>
      <c r="G419" s="951">
        <f t="shared" si="8"/>
        <v>1600</v>
      </c>
      <c r="H419" s="951">
        <f t="shared" si="9"/>
        <v>164.8</v>
      </c>
      <c r="J419" s="1"/>
      <c r="M419" s="1049"/>
    </row>
    <row r="420" spans="1:13">
      <c r="A420" s="20">
        <v>7</v>
      </c>
      <c r="B420" s="3" t="s">
        <v>868</v>
      </c>
      <c r="C420" s="3">
        <v>1</v>
      </c>
      <c r="D420" s="3">
        <v>1</v>
      </c>
      <c r="E420" s="3">
        <f t="shared" si="6"/>
        <v>138840</v>
      </c>
      <c r="F420" s="3">
        <f t="shared" si="7"/>
        <v>124800</v>
      </c>
      <c r="G420" s="951">
        <f t="shared" si="8"/>
        <v>1500</v>
      </c>
      <c r="H420" s="951">
        <f t="shared" si="9"/>
        <v>175.8</v>
      </c>
      <c r="J420" s="1"/>
      <c r="M420" s="1049"/>
    </row>
    <row r="421" spans="1:13">
      <c r="A421" s="20">
        <v>8</v>
      </c>
      <c r="B421" s="3" t="s">
        <v>6666</v>
      </c>
      <c r="C421" s="3">
        <v>1</v>
      </c>
      <c r="D421" s="3">
        <v>1</v>
      </c>
      <c r="E421" s="3">
        <f t="shared" si="6"/>
        <v>159120</v>
      </c>
      <c r="F421" s="3">
        <f t="shared" si="7"/>
        <v>124800</v>
      </c>
      <c r="G421" s="951">
        <f t="shared" si="8"/>
        <v>1200</v>
      </c>
      <c r="H421" s="951">
        <f t="shared" si="9"/>
        <v>236.6</v>
      </c>
      <c r="J421" s="1"/>
      <c r="M421" s="1049"/>
    </row>
    <row r="422" spans="1:13">
      <c r="A422" s="20">
        <v>9</v>
      </c>
      <c r="B422" s="3" t="s">
        <v>6953</v>
      </c>
      <c r="C422" s="3">
        <v>2</v>
      </c>
      <c r="D422" s="3">
        <v>2</v>
      </c>
      <c r="E422" s="3">
        <f t="shared" si="6"/>
        <v>318240</v>
      </c>
      <c r="F422" s="3">
        <f t="shared" si="7"/>
        <v>249600</v>
      </c>
      <c r="G422" s="951">
        <f t="shared" si="8"/>
        <v>1667</v>
      </c>
      <c r="H422" s="951">
        <f t="shared" si="9"/>
        <v>340.6</v>
      </c>
      <c r="J422" s="1"/>
      <c r="M422" s="1049"/>
    </row>
    <row r="423" spans="1:13">
      <c r="A423" s="20">
        <v>10</v>
      </c>
      <c r="B423" s="3" t="s">
        <v>6954</v>
      </c>
      <c r="C423" s="3">
        <v>2</v>
      </c>
      <c r="D423" s="3">
        <v>2</v>
      </c>
      <c r="E423" s="3">
        <f t="shared" si="6"/>
        <v>318240</v>
      </c>
      <c r="F423" s="3">
        <f t="shared" si="7"/>
        <v>249600</v>
      </c>
      <c r="G423" s="951">
        <f t="shared" si="8"/>
        <v>1667</v>
      </c>
      <c r="H423" s="951">
        <f t="shared" si="9"/>
        <v>340.6</v>
      </c>
      <c r="J423" s="1"/>
      <c r="M423" s="1049"/>
    </row>
    <row r="424" spans="1:13">
      <c r="A424" s="20">
        <v>11</v>
      </c>
      <c r="B424" s="3" t="s">
        <v>6955</v>
      </c>
      <c r="C424" s="3">
        <v>2</v>
      </c>
      <c r="D424" s="3">
        <v>2</v>
      </c>
      <c r="E424" s="3">
        <f t="shared" si="6"/>
        <v>318240</v>
      </c>
      <c r="F424" s="3">
        <f t="shared" si="7"/>
        <v>249600</v>
      </c>
      <c r="G424" s="951">
        <f t="shared" si="8"/>
        <v>1667</v>
      </c>
      <c r="H424" s="951">
        <f t="shared" si="9"/>
        <v>340.6</v>
      </c>
      <c r="J424" s="1"/>
      <c r="M424" s="1049"/>
    </row>
    <row r="425" spans="1:13">
      <c r="A425" s="20">
        <v>12</v>
      </c>
      <c r="B425" s="3" t="s">
        <v>6027</v>
      </c>
      <c r="C425" s="3">
        <v>1</v>
      </c>
      <c r="D425" s="3">
        <v>1</v>
      </c>
      <c r="E425" s="3">
        <f t="shared" si="6"/>
        <v>138840</v>
      </c>
      <c r="F425" s="3">
        <f t="shared" si="7"/>
        <v>124800</v>
      </c>
      <c r="G425" s="951">
        <f t="shared" si="8"/>
        <v>2000</v>
      </c>
      <c r="H425" s="951">
        <f t="shared" si="9"/>
        <v>131.80000000000001</v>
      </c>
      <c r="J425" s="1"/>
      <c r="M425" s="1049"/>
    </row>
    <row r="426" spans="1:13">
      <c r="A426" s="20">
        <v>13</v>
      </c>
      <c r="B426" s="1" t="s">
        <v>1872</v>
      </c>
      <c r="C426" s="3"/>
      <c r="D426" s="3"/>
      <c r="E426" s="951"/>
      <c r="F426" s="951"/>
      <c r="G426" s="951"/>
      <c r="H426" s="951"/>
      <c r="J426" s="1"/>
      <c r="M426" s="1049"/>
    </row>
    <row r="427" spans="1:13">
      <c r="A427" s="20">
        <v>14</v>
      </c>
      <c r="B427" s="3" t="s">
        <v>6912</v>
      </c>
      <c r="C427" s="3"/>
      <c r="D427" s="3"/>
      <c r="E427" s="951"/>
      <c r="F427" s="951"/>
      <c r="G427" s="951">
        <f t="shared" ref="G427:G434" si="10">ROUND(D127/C127,0)</f>
        <v>1667</v>
      </c>
      <c r="H427" s="951">
        <f>ROUND((E427+F427)/G427,1)</f>
        <v>0</v>
      </c>
      <c r="J427" s="1"/>
      <c r="M427" s="1049"/>
    </row>
    <row r="428" spans="1:13">
      <c r="A428" s="20">
        <v>15</v>
      </c>
      <c r="B428" s="3" t="s">
        <v>2769</v>
      </c>
      <c r="C428" s="3"/>
      <c r="D428" s="3"/>
      <c r="E428" s="951"/>
      <c r="F428" s="951"/>
      <c r="G428" s="951">
        <f t="shared" si="10"/>
        <v>1200</v>
      </c>
      <c r="H428" s="951">
        <f t="shared" ref="H428:H481" si="11">ROUND((E428+F428)/G428,1)</f>
        <v>0</v>
      </c>
      <c r="J428" s="1"/>
      <c r="M428" s="1049"/>
    </row>
    <row r="429" spans="1:13">
      <c r="A429" s="20">
        <v>16</v>
      </c>
      <c r="B429" s="3" t="s">
        <v>869</v>
      </c>
      <c r="C429" s="3">
        <v>1</v>
      </c>
      <c r="D429" s="3">
        <v>1</v>
      </c>
      <c r="E429" s="3">
        <f t="shared" ref="E429:F434" si="12">26*12*D25*C429</f>
        <v>138840</v>
      </c>
      <c r="F429" s="3">
        <f t="shared" si="12"/>
        <v>124800</v>
      </c>
      <c r="G429" s="951">
        <f t="shared" si="10"/>
        <v>1200</v>
      </c>
      <c r="H429" s="951">
        <f t="shared" si="11"/>
        <v>219.7</v>
      </c>
      <c r="J429" s="1"/>
      <c r="M429" s="1049"/>
    </row>
    <row r="430" spans="1:13">
      <c r="A430" s="20">
        <v>17</v>
      </c>
      <c r="B430" s="3" t="s">
        <v>870</v>
      </c>
      <c r="C430" s="3">
        <v>1</v>
      </c>
      <c r="D430" s="3">
        <v>1</v>
      </c>
      <c r="E430" s="3">
        <f t="shared" si="12"/>
        <v>138840</v>
      </c>
      <c r="F430" s="3">
        <f t="shared" si="12"/>
        <v>124800</v>
      </c>
      <c r="G430" s="951">
        <f t="shared" si="10"/>
        <v>1200</v>
      </c>
      <c r="H430" s="951">
        <f t="shared" si="11"/>
        <v>219.7</v>
      </c>
      <c r="J430" s="1"/>
      <c r="M430" s="1049"/>
    </row>
    <row r="431" spans="1:13">
      <c r="A431" s="20">
        <v>18</v>
      </c>
      <c r="B431" s="3" t="s">
        <v>871</v>
      </c>
      <c r="C431" s="3">
        <v>1</v>
      </c>
      <c r="D431" s="3">
        <v>1</v>
      </c>
      <c r="E431" s="3">
        <f t="shared" si="12"/>
        <v>138840</v>
      </c>
      <c r="F431" s="3">
        <f t="shared" si="12"/>
        <v>124800</v>
      </c>
      <c r="G431" s="951">
        <f t="shared" si="10"/>
        <v>1200</v>
      </c>
      <c r="H431" s="951">
        <f t="shared" si="11"/>
        <v>219.7</v>
      </c>
      <c r="J431" s="1"/>
      <c r="M431" s="1049"/>
    </row>
    <row r="432" spans="1:13">
      <c r="A432" s="20">
        <v>19</v>
      </c>
      <c r="B432" s="3" t="s">
        <v>2383</v>
      </c>
      <c r="C432" s="3">
        <v>1</v>
      </c>
      <c r="D432" s="3">
        <v>1</v>
      </c>
      <c r="E432" s="3">
        <f t="shared" si="12"/>
        <v>138840</v>
      </c>
      <c r="F432" s="3">
        <f t="shared" si="12"/>
        <v>124800</v>
      </c>
      <c r="G432" s="951">
        <f t="shared" si="10"/>
        <v>1200</v>
      </c>
      <c r="H432" s="951">
        <f t="shared" si="11"/>
        <v>219.7</v>
      </c>
      <c r="J432" s="1"/>
      <c r="M432" s="1049"/>
    </row>
    <row r="433" spans="1:13">
      <c r="A433" s="8">
        <v>20</v>
      </c>
      <c r="B433" s="4" t="s">
        <v>2384</v>
      </c>
      <c r="C433" s="4">
        <v>2</v>
      </c>
      <c r="D433" s="4">
        <v>2</v>
      </c>
      <c r="E433" s="3">
        <f t="shared" si="12"/>
        <v>277680</v>
      </c>
      <c r="F433" s="3">
        <f t="shared" si="12"/>
        <v>249600</v>
      </c>
      <c r="G433" s="951">
        <f t="shared" si="10"/>
        <v>1250</v>
      </c>
      <c r="H433" s="951">
        <f t="shared" si="11"/>
        <v>421.8</v>
      </c>
      <c r="J433" s="1"/>
      <c r="M433" s="1049"/>
    </row>
    <row r="434" spans="1:13">
      <c r="A434" s="20">
        <v>21</v>
      </c>
      <c r="B434" s="3" t="s">
        <v>3090</v>
      </c>
      <c r="C434" s="3">
        <v>1</v>
      </c>
      <c r="D434" s="3">
        <v>1</v>
      </c>
      <c r="E434" s="3">
        <f t="shared" si="12"/>
        <v>138840</v>
      </c>
      <c r="F434" s="3">
        <f t="shared" si="12"/>
        <v>124800</v>
      </c>
      <c r="G434" s="951">
        <f t="shared" si="10"/>
        <v>1500</v>
      </c>
      <c r="H434" s="951">
        <f t="shared" si="11"/>
        <v>175.8</v>
      </c>
      <c r="J434" s="1"/>
      <c r="M434" s="1049"/>
    </row>
    <row r="435" spans="1:13">
      <c r="A435" s="20">
        <v>22</v>
      </c>
      <c r="B435" s="3" t="s">
        <v>2941</v>
      </c>
      <c r="C435" s="3">
        <v>1</v>
      </c>
      <c r="D435" s="3">
        <v>1</v>
      </c>
      <c r="E435" s="3">
        <f t="shared" ref="E435:F438" si="13">26*12*D32*C435</f>
        <v>159120</v>
      </c>
      <c r="F435" s="3">
        <f t="shared" si="13"/>
        <v>124800</v>
      </c>
      <c r="G435" s="951">
        <f t="shared" ref="G435:G446" si="14">ROUND(D136/C136,0)</f>
        <v>1000</v>
      </c>
      <c r="H435" s="951">
        <f t="shared" si="11"/>
        <v>283.89999999999998</v>
      </c>
      <c r="J435" s="1"/>
      <c r="M435" s="1049"/>
    </row>
    <row r="436" spans="1:13">
      <c r="A436" s="20">
        <v>23</v>
      </c>
      <c r="B436" s="3" t="s">
        <v>2942</v>
      </c>
      <c r="C436" s="3">
        <v>1</v>
      </c>
      <c r="D436" s="3">
        <v>1</v>
      </c>
      <c r="E436" s="3">
        <f t="shared" si="13"/>
        <v>138840</v>
      </c>
      <c r="F436" s="3">
        <f t="shared" si="13"/>
        <v>124800</v>
      </c>
      <c r="G436" s="951">
        <f t="shared" si="14"/>
        <v>2000</v>
      </c>
      <c r="H436" s="951">
        <f t="shared" si="11"/>
        <v>131.80000000000001</v>
      </c>
      <c r="J436" s="1"/>
      <c r="M436" s="1049"/>
    </row>
    <row r="437" spans="1:13">
      <c r="A437" s="20">
        <v>24</v>
      </c>
      <c r="B437" s="3" t="s">
        <v>1374</v>
      </c>
      <c r="C437" s="3">
        <v>1</v>
      </c>
      <c r="D437" s="3">
        <v>1</v>
      </c>
      <c r="E437" s="3">
        <f t="shared" si="13"/>
        <v>138840</v>
      </c>
      <c r="F437" s="3">
        <f t="shared" si="13"/>
        <v>124800</v>
      </c>
      <c r="G437" s="951">
        <f t="shared" si="14"/>
        <v>2000</v>
      </c>
      <c r="H437" s="951">
        <f t="shared" si="11"/>
        <v>131.80000000000001</v>
      </c>
      <c r="J437" s="1"/>
      <c r="M437" s="1049"/>
    </row>
    <row r="438" spans="1:13">
      <c r="A438" s="20">
        <v>25</v>
      </c>
      <c r="B438" s="3" t="s">
        <v>1375</v>
      </c>
      <c r="C438" s="3">
        <v>1</v>
      </c>
      <c r="D438" s="3">
        <v>1</v>
      </c>
      <c r="E438" s="3">
        <f t="shared" si="13"/>
        <v>138840</v>
      </c>
      <c r="F438" s="3">
        <f t="shared" si="13"/>
        <v>124800</v>
      </c>
      <c r="G438" s="951">
        <f t="shared" si="14"/>
        <v>1600</v>
      </c>
      <c r="H438" s="951">
        <f t="shared" si="11"/>
        <v>164.8</v>
      </c>
      <c r="J438" s="1"/>
      <c r="M438" s="1049"/>
    </row>
    <row r="439" spans="1:13">
      <c r="A439" s="20">
        <v>26</v>
      </c>
      <c r="B439" s="3" t="s">
        <v>3091</v>
      </c>
      <c r="C439" s="3">
        <v>1</v>
      </c>
      <c r="D439" s="3"/>
      <c r="E439" s="3">
        <f t="shared" ref="E439:E446" si="15">26*12*D36*C439</f>
        <v>138840</v>
      </c>
      <c r="F439" s="3"/>
      <c r="G439" s="951">
        <f t="shared" si="14"/>
        <v>1250</v>
      </c>
      <c r="H439" s="951">
        <f t="shared" si="11"/>
        <v>111.1</v>
      </c>
      <c r="J439" s="1"/>
      <c r="M439" s="1049"/>
    </row>
    <row r="440" spans="1:13">
      <c r="A440" s="20">
        <v>27</v>
      </c>
      <c r="B440" s="3" t="s">
        <v>3092</v>
      </c>
      <c r="C440" s="3">
        <v>1</v>
      </c>
      <c r="D440" s="3"/>
      <c r="E440" s="3">
        <f t="shared" si="15"/>
        <v>138840</v>
      </c>
      <c r="F440" s="3"/>
      <c r="G440" s="951">
        <f t="shared" si="14"/>
        <v>1667</v>
      </c>
      <c r="H440" s="951">
        <f t="shared" si="11"/>
        <v>83.3</v>
      </c>
      <c r="J440" s="1"/>
      <c r="M440" s="1049"/>
    </row>
    <row r="441" spans="1:13">
      <c r="A441" s="20">
        <v>28</v>
      </c>
      <c r="B441" s="3" t="s">
        <v>3093</v>
      </c>
      <c r="C441" s="3">
        <v>1</v>
      </c>
      <c r="D441" s="3"/>
      <c r="E441" s="3">
        <f t="shared" si="15"/>
        <v>138840</v>
      </c>
      <c r="F441" s="3"/>
      <c r="G441" s="951">
        <f t="shared" si="14"/>
        <v>1250</v>
      </c>
      <c r="H441" s="951">
        <f t="shared" si="11"/>
        <v>111.1</v>
      </c>
      <c r="J441" s="1"/>
      <c r="M441" s="1049"/>
    </row>
    <row r="442" spans="1:13">
      <c r="A442" s="20">
        <v>29</v>
      </c>
      <c r="B442" s="3" t="s">
        <v>7099</v>
      </c>
      <c r="C442" s="3">
        <v>1</v>
      </c>
      <c r="D442" s="3"/>
      <c r="E442" s="3">
        <f t="shared" si="15"/>
        <v>138840</v>
      </c>
      <c r="F442" s="3"/>
      <c r="G442" s="951">
        <f t="shared" si="14"/>
        <v>1667</v>
      </c>
      <c r="H442" s="951">
        <f t="shared" si="11"/>
        <v>83.3</v>
      </c>
      <c r="J442" s="1"/>
      <c r="M442" s="1049"/>
    </row>
    <row r="443" spans="1:13">
      <c r="A443" s="20">
        <v>30</v>
      </c>
      <c r="B443" s="3" t="s">
        <v>7100</v>
      </c>
      <c r="C443" s="3">
        <v>1</v>
      </c>
      <c r="D443" s="3"/>
      <c r="E443" s="3">
        <f t="shared" si="15"/>
        <v>138840</v>
      </c>
      <c r="F443" s="3"/>
      <c r="G443" s="951">
        <f t="shared" si="14"/>
        <v>1250</v>
      </c>
      <c r="H443" s="951">
        <f t="shared" si="11"/>
        <v>111.1</v>
      </c>
      <c r="J443" s="1"/>
      <c r="M443" s="1049"/>
    </row>
    <row r="444" spans="1:13">
      <c r="A444" s="20">
        <v>31</v>
      </c>
      <c r="B444" s="3" t="s">
        <v>7101</v>
      </c>
      <c r="C444" s="3">
        <v>1</v>
      </c>
      <c r="D444" s="3"/>
      <c r="E444" s="3">
        <f t="shared" si="15"/>
        <v>138840</v>
      </c>
      <c r="F444" s="3"/>
      <c r="G444" s="951">
        <f t="shared" si="14"/>
        <v>1667</v>
      </c>
      <c r="H444" s="951">
        <f t="shared" si="11"/>
        <v>83.3</v>
      </c>
      <c r="J444" s="1"/>
      <c r="M444" s="1049"/>
    </row>
    <row r="445" spans="1:13">
      <c r="A445" s="20">
        <v>32</v>
      </c>
      <c r="B445" s="3" t="s">
        <v>2080</v>
      </c>
      <c r="C445" s="3">
        <v>1</v>
      </c>
      <c r="D445" s="3">
        <v>1</v>
      </c>
      <c r="E445" s="3">
        <f t="shared" si="15"/>
        <v>159120</v>
      </c>
      <c r="F445" s="3">
        <f>26*12*E42*D445</f>
        <v>124800</v>
      </c>
      <c r="G445" s="951">
        <f t="shared" si="14"/>
        <v>800</v>
      </c>
      <c r="H445" s="951">
        <f t="shared" si="11"/>
        <v>354.9</v>
      </c>
      <c r="J445" s="1"/>
      <c r="M445" s="1049"/>
    </row>
    <row r="446" spans="1:13">
      <c r="A446" s="20">
        <v>33</v>
      </c>
      <c r="B446" s="3" t="s">
        <v>7102</v>
      </c>
      <c r="C446" s="3">
        <v>1</v>
      </c>
      <c r="D446" s="3">
        <v>1</v>
      </c>
      <c r="E446" s="3">
        <f t="shared" si="15"/>
        <v>138840</v>
      </c>
      <c r="F446" s="3">
        <f>26*12*E43*D446</f>
        <v>124800</v>
      </c>
      <c r="G446" s="951">
        <f t="shared" si="14"/>
        <v>1500</v>
      </c>
      <c r="H446" s="951">
        <f t="shared" si="11"/>
        <v>175.8</v>
      </c>
      <c r="J446" s="1"/>
      <c r="M446" s="1049"/>
    </row>
    <row r="447" spans="1:13">
      <c r="A447" s="20">
        <v>34</v>
      </c>
      <c r="B447" s="3" t="s">
        <v>7103</v>
      </c>
      <c r="C447" s="3">
        <v>1</v>
      </c>
      <c r="D447" s="3">
        <v>1</v>
      </c>
      <c r="E447" s="3">
        <f>26*12*D45*C447</f>
        <v>159120</v>
      </c>
      <c r="F447" s="3">
        <f>26*12*E45*D447</f>
        <v>124800</v>
      </c>
      <c r="G447" s="951">
        <f>ROUND(D149/C149,0)</f>
        <v>1250</v>
      </c>
      <c r="H447" s="951">
        <f t="shared" si="11"/>
        <v>227.1</v>
      </c>
      <c r="J447" s="1"/>
      <c r="M447" s="1049"/>
    </row>
    <row r="448" spans="1:13">
      <c r="A448" s="20">
        <v>35</v>
      </c>
      <c r="B448" s="3" t="s">
        <v>4304</v>
      </c>
      <c r="C448" s="3"/>
      <c r="D448" s="3"/>
      <c r="E448" s="951"/>
      <c r="F448" s="3"/>
      <c r="G448" s="951">
        <f t="shared" ref="G448:G467" si="16">ROUND(D151/C151,0)</f>
        <v>2000</v>
      </c>
      <c r="H448" s="951">
        <f t="shared" si="11"/>
        <v>0</v>
      </c>
      <c r="J448" s="1"/>
      <c r="M448" s="1049"/>
    </row>
    <row r="449" spans="1:13">
      <c r="A449" s="20">
        <v>36</v>
      </c>
      <c r="B449" s="3" t="s">
        <v>2248</v>
      </c>
      <c r="C449" s="3">
        <v>1</v>
      </c>
      <c r="D449" s="3">
        <v>1</v>
      </c>
      <c r="E449" s="3">
        <f t="shared" ref="E449:E458" si="17">26*12*D48*C449</f>
        <v>138840</v>
      </c>
      <c r="F449" s="3">
        <f t="shared" ref="F449:F458" si="18">26*12*E48*D449</f>
        <v>124800</v>
      </c>
      <c r="G449" s="951">
        <f t="shared" si="16"/>
        <v>1000</v>
      </c>
      <c r="H449" s="951">
        <f t="shared" si="11"/>
        <v>263.60000000000002</v>
      </c>
      <c r="J449" s="1"/>
      <c r="M449" s="1049"/>
    </row>
    <row r="450" spans="1:13">
      <c r="A450" s="20">
        <v>37</v>
      </c>
      <c r="B450" s="3" t="s">
        <v>4305</v>
      </c>
      <c r="C450" s="3">
        <v>1</v>
      </c>
      <c r="D450" s="3">
        <v>1</v>
      </c>
      <c r="E450" s="3">
        <f t="shared" si="17"/>
        <v>138840</v>
      </c>
      <c r="F450" s="3">
        <f t="shared" si="18"/>
        <v>124800</v>
      </c>
      <c r="G450" s="951">
        <f t="shared" si="16"/>
        <v>1200</v>
      </c>
      <c r="H450" s="951">
        <f t="shared" si="11"/>
        <v>219.7</v>
      </c>
      <c r="J450" s="1"/>
      <c r="M450" s="1049"/>
    </row>
    <row r="451" spans="1:13">
      <c r="A451" s="20">
        <v>38</v>
      </c>
      <c r="B451" s="3" t="s">
        <v>4306</v>
      </c>
      <c r="C451" s="3">
        <v>1</v>
      </c>
      <c r="D451" s="3">
        <v>1</v>
      </c>
      <c r="E451" s="3">
        <f t="shared" si="17"/>
        <v>138840</v>
      </c>
      <c r="F451" s="3">
        <f t="shared" si="18"/>
        <v>124800</v>
      </c>
      <c r="G451" s="951">
        <f t="shared" si="16"/>
        <v>2000</v>
      </c>
      <c r="H451" s="951">
        <f t="shared" si="11"/>
        <v>131.80000000000001</v>
      </c>
      <c r="J451" s="1"/>
      <c r="M451" s="1049"/>
    </row>
    <row r="452" spans="1:13">
      <c r="A452" s="20">
        <v>39</v>
      </c>
      <c r="B452" s="3" t="s">
        <v>6243</v>
      </c>
      <c r="C452" s="3">
        <v>1</v>
      </c>
      <c r="D452" s="3">
        <v>1</v>
      </c>
      <c r="E452" s="3">
        <f t="shared" si="17"/>
        <v>138840</v>
      </c>
      <c r="F452" s="3">
        <f t="shared" si="18"/>
        <v>124800</v>
      </c>
      <c r="G452" s="951">
        <f t="shared" si="16"/>
        <v>800</v>
      </c>
      <c r="H452" s="951">
        <f t="shared" si="11"/>
        <v>329.6</v>
      </c>
      <c r="J452" s="1"/>
      <c r="M452" s="1049"/>
    </row>
    <row r="453" spans="1:13">
      <c r="A453" s="20">
        <v>40</v>
      </c>
      <c r="B453" s="3" t="s">
        <v>4307</v>
      </c>
      <c r="C453" s="3">
        <v>1</v>
      </c>
      <c r="D453" s="3">
        <v>1</v>
      </c>
      <c r="E453" s="3">
        <f t="shared" si="17"/>
        <v>138840</v>
      </c>
      <c r="F453" s="3">
        <f t="shared" si="18"/>
        <v>124800</v>
      </c>
      <c r="G453" s="951">
        <f t="shared" si="16"/>
        <v>1667</v>
      </c>
      <c r="H453" s="951">
        <f t="shared" si="11"/>
        <v>158.19999999999999</v>
      </c>
      <c r="J453" s="1"/>
      <c r="M453" s="1049"/>
    </row>
    <row r="454" spans="1:13">
      <c r="A454" s="20">
        <v>41</v>
      </c>
      <c r="B454" s="3" t="s">
        <v>863</v>
      </c>
      <c r="C454" s="3">
        <v>1</v>
      </c>
      <c r="D454" s="3">
        <v>1</v>
      </c>
      <c r="E454" s="3">
        <f t="shared" si="17"/>
        <v>138840</v>
      </c>
      <c r="F454" s="3">
        <f t="shared" si="18"/>
        <v>124800</v>
      </c>
      <c r="G454" s="951">
        <f t="shared" si="16"/>
        <v>1667</v>
      </c>
      <c r="H454" s="951">
        <f t="shared" si="11"/>
        <v>158.19999999999999</v>
      </c>
      <c r="J454" s="1"/>
      <c r="M454" s="1049"/>
    </row>
    <row r="455" spans="1:13">
      <c r="A455" s="20">
        <v>42</v>
      </c>
      <c r="B455" s="3" t="s">
        <v>864</v>
      </c>
      <c r="C455" s="3">
        <v>1</v>
      </c>
      <c r="D455" s="3">
        <v>1</v>
      </c>
      <c r="E455" s="3">
        <f t="shared" si="17"/>
        <v>138840</v>
      </c>
      <c r="F455" s="3">
        <f t="shared" si="18"/>
        <v>124800</v>
      </c>
      <c r="G455" s="951">
        <f t="shared" si="16"/>
        <v>1667</v>
      </c>
      <c r="H455" s="951">
        <f t="shared" si="11"/>
        <v>158.19999999999999</v>
      </c>
      <c r="J455" s="1"/>
      <c r="M455" s="1049"/>
    </row>
    <row r="456" spans="1:13">
      <c r="A456" s="20">
        <v>43</v>
      </c>
      <c r="B456" s="3" t="s">
        <v>865</v>
      </c>
      <c r="C456" s="3">
        <v>1</v>
      </c>
      <c r="D456" s="3">
        <v>1</v>
      </c>
      <c r="E456" s="3">
        <f t="shared" si="17"/>
        <v>138840</v>
      </c>
      <c r="F456" s="3">
        <f t="shared" si="18"/>
        <v>124800</v>
      </c>
      <c r="G456" s="951">
        <f t="shared" si="16"/>
        <v>1667</v>
      </c>
      <c r="H456" s="951">
        <f t="shared" si="11"/>
        <v>158.19999999999999</v>
      </c>
      <c r="J456" s="1"/>
      <c r="M456" s="1049"/>
    </row>
    <row r="457" spans="1:13">
      <c r="A457" s="20">
        <v>44</v>
      </c>
      <c r="B457" s="3" t="s">
        <v>1779</v>
      </c>
      <c r="C457" s="3">
        <v>1</v>
      </c>
      <c r="D457" s="3">
        <v>1</v>
      </c>
      <c r="E457" s="3">
        <f t="shared" si="17"/>
        <v>138840</v>
      </c>
      <c r="F457" s="3">
        <f t="shared" si="18"/>
        <v>124800</v>
      </c>
      <c r="G457" s="951">
        <f t="shared" si="16"/>
        <v>1250</v>
      </c>
      <c r="H457" s="951">
        <f t="shared" si="11"/>
        <v>210.9</v>
      </c>
      <c r="J457" s="1"/>
      <c r="M457" s="1049"/>
    </row>
    <row r="458" spans="1:13">
      <c r="A458" s="20">
        <v>45</v>
      </c>
      <c r="B458" s="3" t="s">
        <v>1811</v>
      </c>
      <c r="C458" s="3">
        <v>1</v>
      </c>
      <c r="D458" s="3">
        <v>1</v>
      </c>
      <c r="E458" s="3">
        <f t="shared" si="17"/>
        <v>159120</v>
      </c>
      <c r="F458" s="3">
        <f t="shared" si="18"/>
        <v>124800</v>
      </c>
      <c r="G458" s="951">
        <f t="shared" si="16"/>
        <v>2000</v>
      </c>
      <c r="H458" s="951">
        <f t="shared" si="11"/>
        <v>142</v>
      </c>
      <c r="J458" s="1"/>
      <c r="M458" s="1049"/>
    </row>
    <row r="459" spans="1:13">
      <c r="A459" s="20">
        <v>46</v>
      </c>
      <c r="B459" s="3" t="s">
        <v>6058</v>
      </c>
      <c r="C459" s="3">
        <v>1</v>
      </c>
      <c r="D459" s="3">
        <v>1</v>
      </c>
      <c r="E459" s="3">
        <f>26*12*D58*C459</f>
        <v>138840</v>
      </c>
      <c r="F459" s="3"/>
      <c r="G459" s="951">
        <f t="shared" si="16"/>
        <v>1600</v>
      </c>
      <c r="H459" s="951">
        <f t="shared" si="11"/>
        <v>86.8</v>
      </c>
      <c r="J459" s="1"/>
      <c r="M459" s="1049"/>
    </row>
    <row r="460" spans="1:13">
      <c r="A460" s="20">
        <v>47</v>
      </c>
      <c r="B460" s="3" t="s">
        <v>6059</v>
      </c>
      <c r="C460" s="3">
        <v>1</v>
      </c>
      <c r="D460" s="3">
        <v>1</v>
      </c>
      <c r="E460" s="3">
        <f>26*12*D59*C460</f>
        <v>138840</v>
      </c>
      <c r="F460" s="3">
        <f>26*12*E59*D460</f>
        <v>124800</v>
      </c>
      <c r="G460" s="951">
        <f t="shared" si="16"/>
        <v>1000</v>
      </c>
      <c r="H460" s="951">
        <f t="shared" si="11"/>
        <v>263.60000000000002</v>
      </c>
      <c r="J460" s="1"/>
      <c r="M460" s="1049"/>
    </row>
    <row r="461" spans="1:13">
      <c r="A461" s="20">
        <v>48</v>
      </c>
      <c r="B461" s="3" t="s">
        <v>6060</v>
      </c>
      <c r="C461" s="3"/>
      <c r="D461" s="3"/>
      <c r="E461" s="951"/>
      <c r="F461" s="951"/>
      <c r="G461" s="951">
        <f t="shared" si="16"/>
        <v>800</v>
      </c>
      <c r="H461" s="951">
        <f t="shared" si="11"/>
        <v>0</v>
      </c>
      <c r="J461" s="1"/>
      <c r="M461" s="1049"/>
    </row>
    <row r="462" spans="1:13">
      <c r="A462" s="20">
        <v>49</v>
      </c>
      <c r="B462" s="3" t="s">
        <v>6061</v>
      </c>
      <c r="C462" s="3"/>
      <c r="D462" s="3"/>
      <c r="E462" s="951"/>
      <c r="F462" s="951"/>
      <c r="G462" s="951">
        <f t="shared" si="16"/>
        <v>1000</v>
      </c>
      <c r="H462" s="951">
        <f t="shared" si="11"/>
        <v>0</v>
      </c>
      <c r="J462" s="1"/>
      <c r="M462" s="1049"/>
    </row>
    <row r="463" spans="1:13">
      <c r="A463" s="20">
        <v>50</v>
      </c>
      <c r="B463" s="3" t="s">
        <v>6062</v>
      </c>
      <c r="C463" s="3">
        <v>1</v>
      </c>
      <c r="D463" s="3">
        <v>1</v>
      </c>
      <c r="E463" s="3">
        <f t="shared" ref="E463:F465" si="19">26*12*D62*C463</f>
        <v>138840</v>
      </c>
      <c r="F463" s="3">
        <f t="shared" si="19"/>
        <v>124800</v>
      </c>
      <c r="G463" s="951">
        <f t="shared" si="16"/>
        <v>1250</v>
      </c>
      <c r="H463" s="951">
        <f t="shared" si="11"/>
        <v>210.9</v>
      </c>
      <c r="J463" s="1"/>
      <c r="M463" s="1049"/>
    </row>
    <row r="464" spans="1:13">
      <c r="A464" s="20">
        <v>51</v>
      </c>
      <c r="B464" s="3" t="s">
        <v>6063</v>
      </c>
      <c r="C464" s="3">
        <v>1</v>
      </c>
      <c r="D464" s="3">
        <v>1</v>
      </c>
      <c r="E464" s="3">
        <f t="shared" si="19"/>
        <v>159120</v>
      </c>
      <c r="F464" s="3">
        <f t="shared" si="19"/>
        <v>124800</v>
      </c>
      <c r="G464" s="951">
        <f t="shared" si="16"/>
        <v>1200</v>
      </c>
      <c r="H464" s="951">
        <f t="shared" si="11"/>
        <v>236.6</v>
      </c>
      <c r="J464" s="1"/>
      <c r="M464" s="1049"/>
    </row>
    <row r="465" spans="1:13">
      <c r="A465" s="20">
        <v>52</v>
      </c>
      <c r="B465" s="3" t="s">
        <v>6064</v>
      </c>
      <c r="C465" s="3">
        <v>1</v>
      </c>
      <c r="D465" s="3">
        <v>1</v>
      </c>
      <c r="E465" s="3">
        <f t="shared" si="19"/>
        <v>159120</v>
      </c>
      <c r="F465" s="3">
        <f t="shared" si="19"/>
        <v>124800</v>
      </c>
      <c r="G465" s="951">
        <f t="shared" si="16"/>
        <v>1200</v>
      </c>
      <c r="H465" s="951">
        <f t="shared" si="11"/>
        <v>236.6</v>
      </c>
      <c r="J465" s="1"/>
      <c r="M465" s="1049"/>
    </row>
    <row r="466" spans="1:13">
      <c r="A466" s="20">
        <v>53</v>
      </c>
      <c r="B466" s="3" t="s">
        <v>866</v>
      </c>
      <c r="C466" s="3"/>
      <c r="D466" s="3"/>
      <c r="E466" s="951"/>
      <c r="F466" s="951"/>
      <c r="G466" s="951">
        <f t="shared" si="16"/>
        <v>1600</v>
      </c>
      <c r="H466" s="951">
        <f t="shared" si="11"/>
        <v>0</v>
      </c>
      <c r="J466" s="1"/>
      <c r="M466" s="1049"/>
    </row>
    <row r="467" spans="1:13">
      <c r="A467" s="20">
        <v>54</v>
      </c>
      <c r="B467" s="3" t="s">
        <v>6282</v>
      </c>
      <c r="C467" s="3">
        <v>1</v>
      </c>
      <c r="D467" s="3">
        <v>1</v>
      </c>
      <c r="E467" s="3">
        <f>26*12*D66*C467</f>
        <v>159120</v>
      </c>
      <c r="F467" s="3">
        <f>26*12*E66*D467</f>
        <v>124800</v>
      </c>
      <c r="G467" s="951">
        <f t="shared" si="16"/>
        <v>1600</v>
      </c>
      <c r="H467" s="951">
        <f t="shared" si="11"/>
        <v>177.5</v>
      </c>
      <c r="J467" s="1"/>
      <c r="M467" s="1049"/>
    </row>
    <row r="468" spans="1:13">
      <c r="A468" s="20">
        <v>55</v>
      </c>
      <c r="B468" s="3" t="s">
        <v>4326</v>
      </c>
      <c r="C468" s="3"/>
      <c r="D468" s="3"/>
      <c r="E468" s="951"/>
      <c r="F468" s="3"/>
      <c r="G468" s="951">
        <f>ROUND(D172/C172,0)</f>
        <v>1600</v>
      </c>
      <c r="H468" s="951">
        <f t="shared" si="11"/>
        <v>0</v>
      </c>
      <c r="J468" s="1"/>
      <c r="M468" s="1049"/>
    </row>
    <row r="469" spans="1:13">
      <c r="A469" s="20">
        <v>56</v>
      </c>
      <c r="B469" s="3" t="s">
        <v>4327</v>
      </c>
      <c r="C469" s="3">
        <v>1</v>
      </c>
      <c r="D469" s="3">
        <v>1</v>
      </c>
      <c r="E469" s="3">
        <f>26*12*D69*C469</f>
        <v>159120</v>
      </c>
      <c r="F469" s="3">
        <f>26*12*E69*D469</f>
        <v>124800</v>
      </c>
      <c r="G469" s="951">
        <f>ROUND(D173/C173,0)</f>
        <v>1500</v>
      </c>
      <c r="H469" s="951">
        <f t="shared" si="11"/>
        <v>189.3</v>
      </c>
      <c r="J469" s="1"/>
      <c r="M469" s="1049"/>
    </row>
    <row r="470" spans="1:13">
      <c r="A470" s="20">
        <v>57</v>
      </c>
      <c r="B470" s="3" t="s">
        <v>253</v>
      </c>
      <c r="C470" s="3"/>
      <c r="D470" s="3"/>
      <c r="E470" s="951"/>
      <c r="F470" s="3"/>
      <c r="G470" s="951">
        <f>ROUND(D174/C174,0)</f>
        <v>12</v>
      </c>
      <c r="H470" s="951">
        <f t="shared" si="11"/>
        <v>0</v>
      </c>
      <c r="J470" s="1"/>
      <c r="M470" s="1049"/>
    </row>
    <row r="471" spans="1:13">
      <c r="A471" s="20">
        <v>58</v>
      </c>
      <c r="B471" s="3" t="s">
        <v>6283</v>
      </c>
      <c r="C471" s="3">
        <v>1</v>
      </c>
      <c r="D471" s="3">
        <v>1</v>
      </c>
      <c r="E471" s="3">
        <f>26*12*D71*C471</f>
        <v>159120</v>
      </c>
      <c r="F471" s="3">
        <f>26*12*E71*D471</f>
        <v>124800</v>
      </c>
      <c r="G471" s="951">
        <f>ROUND(D175/C175,0)</f>
        <v>1600</v>
      </c>
      <c r="H471" s="951">
        <f t="shared" si="11"/>
        <v>177.5</v>
      </c>
      <c r="J471" s="1"/>
      <c r="M471" s="1049"/>
    </row>
    <row r="472" spans="1:13">
      <c r="A472" s="20">
        <v>59</v>
      </c>
      <c r="B472" s="3" t="s">
        <v>6284</v>
      </c>
      <c r="C472" s="3">
        <v>1</v>
      </c>
      <c r="D472" s="3">
        <v>1</v>
      </c>
      <c r="E472" s="3">
        <f>26*12*D73*C472</f>
        <v>159120</v>
      </c>
      <c r="F472" s="3">
        <f>26*12*E73*D472</f>
        <v>124800</v>
      </c>
      <c r="G472" s="951">
        <f>ROUND(D177/C177,0)</f>
        <v>1600</v>
      </c>
      <c r="H472" s="951">
        <f t="shared" si="11"/>
        <v>177.5</v>
      </c>
      <c r="J472" s="1"/>
      <c r="M472" s="1049"/>
    </row>
    <row r="473" spans="1:13">
      <c r="A473" s="20">
        <v>60</v>
      </c>
      <c r="B473" s="3" t="s">
        <v>255</v>
      </c>
      <c r="C473" s="3">
        <v>1</v>
      </c>
      <c r="D473" s="3">
        <v>1</v>
      </c>
      <c r="E473" s="3">
        <f>26*12*D75*C473</f>
        <v>159120</v>
      </c>
      <c r="F473" s="3"/>
      <c r="G473" s="951">
        <f>ROUND(D179/C179,0)</f>
        <v>800</v>
      </c>
      <c r="H473" s="951">
        <f t="shared" si="11"/>
        <v>198.9</v>
      </c>
      <c r="J473" s="1"/>
      <c r="M473" s="1049"/>
    </row>
    <row r="474" spans="1:13">
      <c r="A474" s="20">
        <v>61</v>
      </c>
      <c r="B474" s="3" t="s">
        <v>256</v>
      </c>
      <c r="C474" s="3">
        <v>1</v>
      </c>
      <c r="D474" s="3">
        <v>1</v>
      </c>
      <c r="E474" s="3">
        <f>26*12*D76*C474</f>
        <v>138840</v>
      </c>
      <c r="F474" s="3"/>
      <c r="G474" s="951">
        <f>ROUND(D180/C180,0)</f>
        <v>4833</v>
      </c>
      <c r="H474" s="951">
        <f t="shared" si="11"/>
        <v>28.7</v>
      </c>
      <c r="J474" s="1"/>
      <c r="M474" s="1049"/>
    </row>
    <row r="475" spans="1:13">
      <c r="A475" s="20">
        <v>62</v>
      </c>
      <c r="B475" s="3" t="s">
        <v>257</v>
      </c>
      <c r="C475" s="3">
        <v>1</v>
      </c>
      <c r="D475" s="3">
        <v>1</v>
      </c>
      <c r="E475" s="3">
        <f>26*12*D77*C475</f>
        <v>138840</v>
      </c>
      <c r="F475" s="3">
        <f>26*12*E77*D475</f>
        <v>124800</v>
      </c>
      <c r="G475" s="951">
        <f>ROUND(D181/C181,0)</f>
        <v>1000</v>
      </c>
      <c r="H475" s="951">
        <f t="shared" si="11"/>
        <v>263.60000000000002</v>
      </c>
      <c r="J475" s="1"/>
      <c r="M475" s="1049"/>
    </row>
    <row r="476" spans="1:13">
      <c r="A476" s="20">
        <v>63</v>
      </c>
      <c r="B476" s="3" t="s">
        <v>6285</v>
      </c>
      <c r="C476" s="3">
        <v>1</v>
      </c>
      <c r="D476" s="3">
        <v>1</v>
      </c>
      <c r="E476" s="3">
        <f>26*12*D78*C476</f>
        <v>159120</v>
      </c>
      <c r="F476" s="3">
        <f>26*12*E78*D476</f>
        <v>124800</v>
      </c>
      <c r="G476" s="951">
        <f>ROUND(D182/C182,0)</f>
        <v>1000</v>
      </c>
      <c r="H476" s="951">
        <f t="shared" si="11"/>
        <v>283.89999999999998</v>
      </c>
      <c r="J476" s="1"/>
      <c r="M476" s="1049"/>
    </row>
    <row r="477" spans="1:13">
      <c r="A477" s="20">
        <v>64</v>
      </c>
      <c r="B477" s="3" t="s">
        <v>6286</v>
      </c>
      <c r="C477" s="3">
        <v>1</v>
      </c>
      <c r="D477" s="3">
        <v>1</v>
      </c>
      <c r="E477" s="3">
        <f>26*12*D79*C477</f>
        <v>159120</v>
      </c>
      <c r="F477" s="3">
        <f>26*12*E79*D477</f>
        <v>124800</v>
      </c>
      <c r="G477" s="951">
        <f>ROUND(D183/C183,0)</f>
        <v>1600</v>
      </c>
      <c r="H477" s="951">
        <f t="shared" si="11"/>
        <v>177.5</v>
      </c>
      <c r="J477" s="1"/>
      <c r="M477" s="1049"/>
    </row>
    <row r="478" spans="1:13">
      <c r="A478" s="20">
        <v>65</v>
      </c>
      <c r="B478" s="3" t="s">
        <v>1338</v>
      </c>
      <c r="C478" s="3"/>
      <c r="D478" s="3"/>
      <c r="E478" s="951"/>
      <c r="F478" s="3"/>
      <c r="G478" s="951">
        <f>ROUND(D185/C185,0)</f>
        <v>800</v>
      </c>
      <c r="H478" s="951">
        <f t="shared" si="11"/>
        <v>0</v>
      </c>
      <c r="J478" s="1"/>
      <c r="M478" s="1049"/>
    </row>
    <row r="479" spans="1:13">
      <c r="A479" s="20">
        <v>66</v>
      </c>
      <c r="B479" s="3" t="s">
        <v>6287</v>
      </c>
      <c r="C479" s="3">
        <v>1</v>
      </c>
      <c r="D479" s="3">
        <v>1</v>
      </c>
      <c r="E479" s="3">
        <f>26*12*D82*C479</f>
        <v>138840</v>
      </c>
      <c r="F479" s="3">
        <f>26*12*E83*D479</f>
        <v>124800</v>
      </c>
      <c r="G479" s="951">
        <f>ROUND(D186/C186,0)</f>
        <v>1000</v>
      </c>
      <c r="H479" s="951">
        <f t="shared" si="11"/>
        <v>263.60000000000002</v>
      </c>
      <c r="J479" s="1"/>
      <c r="M479" s="1049"/>
    </row>
    <row r="480" spans="1:13">
      <c r="A480" s="20">
        <v>67</v>
      </c>
      <c r="B480" s="3" t="s">
        <v>9338</v>
      </c>
      <c r="C480" s="1039">
        <v>1</v>
      </c>
      <c r="D480" s="1050">
        <v>4</v>
      </c>
      <c r="E480" s="1039">
        <f>26*12*C480*D83</f>
        <v>159120</v>
      </c>
      <c r="F480" s="1050">
        <f>26*12*E82*D480</f>
        <v>499200</v>
      </c>
      <c r="G480" s="951">
        <f>ROUND(D187/C187,0)</f>
        <v>1250</v>
      </c>
      <c r="H480" s="951">
        <f t="shared" si="11"/>
        <v>526.70000000000005</v>
      </c>
    </row>
    <row r="481" spans="1:8">
      <c r="A481" s="20">
        <v>68</v>
      </c>
      <c r="B481" s="3" t="s">
        <v>9337</v>
      </c>
      <c r="C481" s="1039">
        <v>1</v>
      </c>
      <c r="D481" s="1050">
        <v>4</v>
      </c>
      <c r="E481" s="1039">
        <f>26*12*C481*D85</f>
        <v>159120</v>
      </c>
      <c r="F481" s="1050">
        <f>26*12*E85*D481</f>
        <v>499200</v>
      </c>
      <c r="G481" s="951">
        <f>ROUND(D189/C189,0)</f>
        <v>1250</v>
      </c>
      <c r="H481" s="951">
        <f t="shared" si="11"/>
        <v>526.70000000000005</v>
      </c>
    </row>
    <row r="482" spans="1:8">
      <c r="A482" s="20">
        <v>69</v>
      </c>
      <c r="B482" s="3" t="str">
        <f>B381</f>
        <v>Concrete Placer Pump 25 Cum/Hr</v>
      </c>
      <c r="C482" s="1039">
        <v>1</v>
      </c>
      <c r="D482" s="1050">
        <v>1</v>
      </c>
      <c r="E482" s="1039">
        <f>26*12*C482*D88</f>
        <v>138840</v>
      </c>
      <c r="F482" s="1050">
        <f>26*12*E88*D482</f>
        <v>124800</v>
      </c>
      <c r="G482" s="951">
        <f>ROUND(D192/C192,0)</f>
        <v>1600</v>
      </c>
      <c r="H482" s="951">
        <f>ROUND((E482+F482)/G482,1)</f>
        <v>164.8</v>
      </c>
    </row>
    <row r="485" spans="1:8">
      <c r="A485" s="1"/>
      <c r="B485" s="1196" t="s">
        <v>6944</v>
      </c>
      <c r="C485" s="1196"/>
      <c r="D485" s="1196"/>
    </row>
    <row r="486" spans="1:8">
      <c r="A486" s="1"/>
      <c r="B486" s="1196" t="s">
        <v>9884</v>
      </c>
      <c r="C486" s="1196"/>
      <c r="D486" s="1196"/>
    </row>
    <row r="487" spans="1:8">
      <c r="A487" s="1"/>
    </row>
    <row r="488" spans="1:8">
      <c r="A488" s="1"/>
    </row>
    <row r="489" spans="1:8">
      <c r="A489" s="1288" t="s">
        <v>2847</v>
      </c>
      <c r="B489" s="1288" t="s">
        <v>2848</v>
      </c>
      <c r="C489" s="1317" t="s">
        <v>2370</v>
      </c>
      <c r="D489" s="1317" t="s">
        <v>2788</v>
      </c>
      <c r="E489" s="1317" t="s">
        <v>3221</v>
      </c>
      <c r="F489" s="1317" t="s">
        <v>4087</v>
      </c>
      <c r="G489" s="1316" t="s">
        <v>2794</v>
      </c>
    </row>
    <row r="490" spans="1:8">
      <c r="A490" s="1289"/>
      <c r="B490" s="1289"/>
      <c r="C490" s="1318"/>
      <c r="D490" s="1317"/>
      <c r="E490" s="1317"/>
      <c r="F490" s="1317"/>
      <c r="G490" s="1316"/>
    </row>
    <row r="491" spans="1:8">
      <c r="A491" s="1037">
        <v>1</v>
      </c>
      <c r="B491" s="1037">
        <v>2</v>
      </c>
      <c r="C491" s="8">
        <v>3</v>
      </c>
      <c r="D491" s="8">
        <v>4</v>
      </c>
      <c r="E491" s="8">
        <v>5</v>
      </c>
      <c r="F491" s="8">
        <v>6</v>
      </c>
      <c r="G491" s="8">
        <v>7</v>
      </c>
    </row>
    <row r="492" spans="1:8">
      <c r="A492" s="20">
        <v>1</v>
      </c>
      <c r="B492" s="3" t="s">
        <v>6202</v>
      </c>
      <c r="C492" s="3" t="s">
        <v>2374</v>
      </c>
      <c r="D492" s="951">
        <f>H217+H218</f>
        <v>758.40000000000009</v>
      </c>
      <c r="E492" s="951">
        <f t="shared" ref="E492:E504" si="20">H313</f>
        <v>872.7</v>
      </c>
      <c r="F492" s="951">
        <f t="shared" ref="F492:F504" si="21">H414</f>
        <v>283.89999999999998</v>
      </c>
      <c r="G492" s="951">
        <f>ROUND(D492+E492+F492,2)</f>
        <v>1915</v>
      </c>
    </row>
    <row r="493" spans="1:8">
      <c r="A493" s="20">
        <v>2</v>
      </c>
      <c r="B493" s="3" t="s">
        <v>6204</v>
      </c>
      <c r="C493" s="3" t="s">
        <v>2374</v>
      </c>
      <c r="D493" s="951">
        <f t="shared" ref="D493:D504" si="22">H219</f>
        <v>108.3</v>
      </c>
      <c r="E493" s="951">
        <f t="shared" si="20"/>
        <v>189.1</v>
      </c>
      <c r="F493" s="951">
        <f t="shared" si="21"/>
        <v>164.8</v>
      </c>
      <c r="G493" s="951">
        <f t="shared" ref="G493:G555" si="23">ROUND(D493+E493+F493,2)</f>
        <v>462.2</v>
      </c>
    </row>
    <row r="494" spans="1:8">
      <c r="A494" s="20">
        <v>3</v>
      </c>
      <c r="B494" s="3" t="s">
        <v>6205</v>
      </c>
      <c r="C494" s="3" t="s">
        <v>2374</v>
      </c>
      <c r="D494" s="951">
        <f t="shared" si="22"/>
        <v>241.3</v>
      </c>
      <c r="E494" s="951">
        <f t="shared" si="20"/>
        <v>714</v>
      </c>
      <c r="F494" s="951">
        <f t="shared" si="21"/>
        <v>210.9</v>
      </c>
      <c r="G494" s="951">
        <f t="shared" si="23"/>
        <v>1166.2</v>
      </c>
    </row>
    <row r="495" spans="1:8">
      <c r="A495" s="20">
        <v>4</v>
      </c>
      <c r="B495" s="3" t="s">
        <v>6206</v>
      </c>
      <c r="C495" s="3" t="s">
        <v>2374</v>
      </c>
      <c r="D495" s="951">
        <f t="shared" si="22"/>
        <v>131.9</v>
      </c>
      <c r="E495" s="951">
        <f t="shared" si="20"/>
        <v>252.2</v>
      </c>
      <c r="F495" s="951">
        <f t="shared" si="21"/>
        <v>164.8</v>
      </c>
      <c r="G495" s="951">
        <f t="shared" si="23"/>
        <v>548.9</v>
      </c>
    </row>
    <row r="496" spans="1:8">
      <c r="A496" s="20">
        <v>5</v>
      </c>
      <c r="B496" s="3" t="s">
        <v>6207</v>
      </c>
      <c r="C496" s="3" t="s">
        <v>2374</v>
      </c>
      <c r="D496" s="951">
        <f t="shared" si="22"/>
        <v>275.60000000000002</v>
      </c>
      <c r="E496" s="951">
        <f t="shared" si="20"/>
        <v>892.5</v>
      </c>
      <c r="F496" s="951">
        <f t="shared" si="21"/>
        <v>210.9</v>
      </c>
      <c r="G496" s="951">
        <f t="shared" si="23"/>
        <v>1379</v>
      </c>
    </row>
    <row r="497" spans="1:7">
      <c r="A497" s="20">
        <v>6</v>
      </c>
      <c r="B497" s="3" t="s">
        <v>867</v>
      </c>
      <c r="C497" s="3" t="s">
        <v>2374</v>
      </c>
      <c r="D497" s="951">
        <f t="shared" si="22"/>
        <v>170.8</v>
      </c>
      <c r="E497" s="951">
        <f t="shared" si="20"/>
        <v>315.2</v>
      </c>
      <c r="F497" s="951">
        <f t="shared" si="21"/>
        <v>164.8</v>
      </c>
      <c r="G497" s="951">
        <f t="shared" si="23"/>
        <v>650.79999999999995</v>
      </c>
    </row>
    <row r="498" spans="1:7">
      <c r="A498" s="20">
        <v>7</v>
      </c>
      <c r="B498" s="3" t="s">
        <v>868</v>
      </c>
      <c r="C498" s="3" t="s">
        <v>2374</v>
      </c>
      <c r="D498" s="951">
        <f t="shared" si="22"/>
        <v>138.80000000000001</v>
      </c>
      <c r="E498" s="951">
        <f t="shared" si="20"/>
        <v>700.5</v>
      </c>
      <c r="F498" s="951">
        <f t="shared" si="21"/>
        <v>175.8</v>
      </c>
      <c r="G498" s="951">
        <f t="shared" si="23"/>
        <v>1015.1</v>
      </c>
    </row>
    <row r="499" spans="1:7">
      <c r="A499" s="20">
        <v>8</v>
      </c>
      <c r="B499" s="3" t="s">
        <v>6666</v>
      </c>
      <c r="C499" s="3" t="s">
        <v>2374</v>
      </c>
      <c r="D499" s="951">
        <f t="shared" si="22"/>
        <v>1715.5</v>
      </c>
      <c r="E499" s="951">
        <f t="shared" si="20"/>
        <v>610.5</v>
      </c>
      <c r="F499" s="951">
        <f t="shared" si="21"/>
        <v>236.6</v>
      </c>
      <c r="G499" s="951">
        <f t="shared" si="23"/>
        <v>2562.6</v>
      </c>
    </row>
    <row r="500" spans="1:7">
      <c r="A500" s="20">
        <v>9</v>
      </c>
      <c r="B500" s="3" t="s">
        <v>6953</v>
      </c>
      <c r="C500" s="3" t="s">
        <v>2374</v>
      </c>
      <c r="D500" s="951">
        <f t="shared" si="22"/>
        <v>114.6</v>
      </c>
      <c r="E500" s="951">
        <f t="shared" si="20"/>
        <v>84.1</v>
      </c>
      <c r="F500" s="951">
        <f t="shared" si="21"/>
        <v>340.6</v>
      </c>
      <c r="G500" s="951">
        <f t="shared" si="23"/>
        <v>539.29999999999995</v>
      </c>
    </row>
    <row r="501" spans="1:7">
      <c r="A501" s="20">
        <v>10</v>
      </c>
      <c r="B501" s="3" t="s">
        <v>6954</v>
      </c>
      <c r="C501" s="3" t="s">
        <v>2374</v>
      </c>
      <c r="D501" s="951">
        <f t="shared" si="22"/>
        <v>405.4</v>
      </c>
      <c r="E501" s="951">
        <f t="shared" si="20"/>
        <v>252.2</v>
      </c>
      <c r="F501" s="951">
        <f t="shared" si="21"/>
        <v>340.6</v>
      </c>
      <c r="G501" s="951">
        <f t="shared" si="23"/>
        <v>998.2</v>
      </c>
    </row>
    <row r="502" spans="1:7">
      <c r="A502" s="20">
        <v>11</v>
      </c>
      <c r="B502" s="3" t="s">
        <v>6955</v>
      </c>
      <c r="C502" s="3" t="s">
        <v>2374</v>
      </c>
      <c r="D502" s="951">
        <f t="shared" si="22"/>
        <v>620.70000000000005</v>
      </c>
      <c r="E502" s="951">
        <f t="shared" si="20"/>
        <v>308.2</v>
      </c>
      <c r="F502" s="951">
        <f t="shared" si="21"/>
        <v>340.6</v>
      </c>
      <c r="G502" s="951">
        <f t="shared" si="23"/>
        <v>1269.5</v>
      </c>
    </row>
    <row r="503" spans="1:7">
      <c r="A503" s="20">
        <v>12</v>
      </c>
      <c r="B503" s="3" t="s">
        <v>6027</v>
      </c>
      <c r="C503" s="3" t="s">
        <v>2374</v>
      </c>
      <c r="D503" s="951">
        <f t="shared" si="22"/>
        <v>42.6</v>
      </c>
      <c r="E503" s="951">
        <f t="shared" si="20"/>
        <v>84.1</v>
      </c>
      <c r="F503" s="951">
        <f t="shared" si="21"/>
        <v>131.80000000000001</v>
      </c>
      <c r="G503" s="951">
        <f t="shared" si="23"/>
        <v>258.5</v>
      </c>
    </row>
    <row r="504" spans="1:7">
      <c r="A504" s="20">
        <v>13</v>
      </c>
      <c r="B504" s="1" t="s">
        <v>1872</v>
      </c>
      <c r="C504" s="3" t="s">
        <v>2374</v>
      </c>
      <c r="D504" s="951">
        <f t="shared" si="22"/>
        <v>5.4</v>
      </c>
      <c r="E504" s="951">
        <f t="shared" si="20"/>
        <v>0</v>
      </c>
      <c r="F504" s="951">
        <f t="shared" si="21"/>
        <v>0</v>
      </c>
      <c r="G504" s="951">
        <f t="shared" si="23"/>
        <v>5.4</v>
      </c>
    </row>
    <row r="505" spans="1:7">
      <c r="A505" s="20">
        <v>14</v>
      </c>
      <c r="B505" s="3" t="s">
        <v>6912</v>
      </c>
      <c r="C505" s="3" t="s">
        <v>2374</v>
      </c>
      <c r="D505" s="951">
        <f t="shared" ref="D505:D511" si="24">H231</f>
        <v>15.8</v>
      </c>
      <c r="E505" s="951">
        <f t="shared" ref="E505:E511" si="25">H326</f>
        <v>0</v>
      </c>
      <c r="F505" s="951">
        <f t="shared" ref="F505:F511" si="26">H427</f>
        <v>0</v>
      </c>
      <c r="G505" s="951">
        <f t="shared" si="23"/>
        <v>15.8</v>
      </c>
    </row>
    <row r="506" spans="1:7">
      <c r="A506" s="20">
        <v>15</v>
      </c>
      <c r="B506" s="3" t="s">
        <v>2769</v>
      </c>
      <c r="C506" s="3" t="s">
        <v>2374</v>
      </c>
      <c r="D506" s="951">
        <f t="shared" si="24"/>
        <v>5.5</v>
      </c>
      <c r="E506" s="951">
        <f t="shared" si="25"/>
        <v>0</v>
      </c>
      <c r="F506" s="951">
        <f t="shared" si="26"/>
        <v>0</v>
      </c>
      <c r="G506" s="951">
        <f t="shared" si="23"/>
        <v>5.5</v>
      </c>
    </row>
    <row r="507" spans="1:7">
      <c r="A507" s="20">
        <v>16</v>
      </c>
      <c r="B507" s="3" t="s">
        <v>869</v>
      </c>
      <c r="C507" s="3" t="s">
        <v>2374</v>
      </c>
      <c r="D507" s="951">
        <f t="shared" si="24"/>
        <v>53.5</v>
      </c>
      <c r="E507" s="951">
        <f t="shared" si="25"/>
        <v>79.3</v>
      </c>
      <c r="F507" s="951">
        <f t="shared" si="26"/>
        <v>219.7</v>
      </c>
      <c r="G507" s="951">
        <f t="shared" si="23"/>
        <v>352.5</v>
      </c>
    </row>
    <row r="508" spans="1:7">
      <c r="A508" s="20">
        <v>17</v>
      </c>
      <c r="B508" s="3" t="s">
        <v>870</v>
      </c>
      <c r="C508" s="3" t="s">
        <v>2374</v>
      </c>
      <c r="D508" s="951">
        <f t="shared" si="24"/>
        <v>51.7</v>
      </c>
      <c r="E508" s="951">
        <f t="shared" si="25"/>
        <v>28</v>
      </c>
      <c r="F508" s="951">
        <f t="shared" si="26"/>
        <v>219.7</v>
      </c>
      <c r="G508" s="951">
        <f>ROUND(D508+E508+F508,2)</f>
        <v>299.39999999999998</v>
      </c>
    </row>
    <row r="509" spans="1:7">
      <c r="A509" s="20">
        <v>18</v>
      </c>
      <c r="B509" s="3" t="s">
        <v>871</v>
      </c>
      <c r="C509" s="3" t="s">
        <v>2374</v>
      </c>
      <c r="D509" s="951">
        <f t="shared" si="24"/>
        <v>92.7</v>
      </c>
      <c r="E509" s="951">
        <f t="shared" si="25"/>
        <v>158.69999999999999</v>
      </c>
      <c r="F509" s="951">
        <f t="shared" si="26"/>
        <v>219.7</v>
      </c>
      <c r="G509" s="951">
        <f t="shared" si="23"/>
        <v>471.1</v>
      </c>
    </row>
    <row r="510" spans="1:7">
      <c r="A510" s="20">
        <v>19</v>
      </c>
      <c r="B510" s="3" t="s">
        <v>2383</v>
      </c>
      <c r="C510" s="3" t="s">
        <v>2374</v>
      </c>
      <c r="D510" s="951">
        <f t="shared" si="24"/>
        <v>91</v>
      </c>
      <c r="E510" s="951">
        <f t="shared" si="25"/>
        <v>56</v>
      </c>
      <c r="F510" s="951">
        <f t="shared" si="26"/>
        <v>219.7</v>
      </c>
      <c r="G510" s="951">
        <f t="shared" si="23"/>
        <v>366.7</v>
      </c>
    </row>
    <row r="511" spans="1:7">
      <c r="A511" s="20">
        <v>20</v>
      </c>
      <c r="B511" s="3" t="s">
        <v>2384</v>
      </c>
      <c r="C511" s="3" t="s">
        <v>2374</v>
      </c>
      <c r="D511" s="951">
        <f t="shared" si="24"/>
        <v>356.5</v>
      </c>
      <c r="E511" s="951">
        <f t="shared" si="25"/>
        <v>0</v>
      </c>
      <c r="F511" s="951">
        <f t="shared" si="26"/>
        <v>421.8</v>
      </c>
      <c r="G511" s="951">
        <f t="shared" si="23"/>
        <v>778.3</v>
      </c>
    </row>
    <row r="512" spans="1:7">
      <c r="A512" s="20">
        <v>21</v>
      </c>
      <c r="B512" s="3" t="s">
        <v>3090</v>
      </c>
      <c r="C512" s="3" t="s">
        <v>2374</v>
      </c>
      <c r="D512" s="951">
        <f>H238+H239</f>
        <v>822.8</v>
      </c>
      <c r="E512" s="951">
        <f t="shared" ref="E512:E557" si="27">H333</f>
        <v>195</v>
      </c>
      <c r="F512" s="951">
        <f t="shared" ref="F512:F557" si="28">H434</f>
        <v>175.8</v>
      </c>
      <c r="G512" s="951">
        <f t="shared" si="23"/>
        <v>1193.5999999999999</v>
      </c>
    </row>
    <row r="513" spans="1:7">
      <c r="A513" s="20">
        <v>22</v>
      </c>
      <c r="B513" s="3" t="s">
        <v>2941</v>
      </c>
      <c r="C513" s="3" t="s">
        <v>2374</v>
      </c>
      <c r="D513" s="951">
        <f>H240</f>
        <v>319</v>
      </c>
      <c r="E513" s="951">
        <f t="shared" si="27"/>
        <v>238</v>
      </c>
      <c r="F513" s="951">
        <f t="shared" si="28"/>
        <v>283.89999999999998</v>
      </c>
      <c r="G513" s="951">
        <f t="shared" si="23"/>
        <v>840.9</v>
      </c>
    </row>
    <row r="514" spans="1:7">
      <c r="A514" s="20">
        <v>23</v>
      </c>
      <c r="B514" s="3" t="s">
        <v>2942</v>
      </c>
      <c r="C514" s="3" t="s">
        <v>2374</v>
      </c>
      <c r="D514" s="951">
        <f t="shared" ref="D514:D523" si="29">H241</f>
        <v>65.8</v>
      </c>
      <c r="E514" s="951">
        <f t="shared" si="27"/>
        <v>634.70000000000005</v>
      </c>
      <c r="F514" s="951">
        <f t="shared" si="28"/>
        <v>131.80000000000001</v>
      </c>
      <c r="G514" s="951">
        <f t="shared" si="23"/>
        <v>832.3</v>
      </c>
    </row>
    <row r="515" spans="1:7">
      <c r="A515" s="20">
        <v>24</v>
      </c>
      <c r="B515" s="3" t="s">
        <v>1374</v>
      </c>
      <c r="C515" s="3" t="s">
        <v>2374</v>
      </c>
      <c r="D515" s="951">
        <f t="shared" si="29"/>
        <v>85.1</v>
      </c>
      <c r="E515" s="951">
        <f t="shared" si="27"/>
        <v>952.1</v>
      </c>
      <c r="F515" s="951">
        <f t="shared" si="28"/>
        <v>131.80000000000001</v>
      </c>
      <c r="G515" s="951">
        <f t="shared" si="23"/>
        <v>1169</v>
      </c>
    </row>
    <row r="516" spans="1:7">
      <c r="A516" s="20">
        <v>25</v>
      </c>
      <c r="B516" s="3" t="s">
        <v>1375</v>
      </c>
      <c r="C516" s="3" t="s">
        <v>2374</v>
      </c>
      <c r="D516" s="951">
        <f t="shared" si="29"/>
        <v>381.6</v>
      </c>
      <c r="E516" s="951">
        <f t="shared" si="27"/>
        <v>535.5</v>
      </c>
      <c r="F516" s="951">
        <f t="shared" si="28"/>
        <v>164.8</v>
      </c>
      <c r="G516" s="951">
        <f t="shared" si="23"/>
        <v>1081.9000000000001</v>
      </c>
    </row>
    <row r="517" spans="1:7">
      <c r="A517" s="20">
        <v>26</v>
      </c>
      <c r="B517" s="3" t="s">
        <v>3091</v>
      </c>
      <c r="C517" s="3" t="s">
        <v>2374</v>
      </c>
      <c r="D517" s="951">
        <f t="shared" si="29"/>
        <v>10.199999999999999</v>
      </c>
      <c r="E517" s="951">
        <f t="shared" si="27"/>
        <v>79.3</v>
      </c>
      <c r="F517" s="951">
        <f t="shared" si="28"/>
        <v>111.1</v>
      </c>
      <c r="G517" s="951">
        <f t="shared" si="23"/>
        <v>200.6</v>
      </c>
    </row>
    <row r="518" spans="1:7">
      <c r="A518" s="20">
        <v>27</v>
      </c>
      <c r="B518" s="3" t="s">
        <v>3092</v>
      </c>
      <c r="C518" s="3" t="s">
        <v>2374</v>
      </c>
      <c r="D518" s="951">
        <f t="shared" si="29"/>
        <v>3</v>
      </c>
      <c r="E518" s="951">
        <f t="shared" si="27"/>
        <v>28</v>
      </c>
      <c r="F518" s="951">
        <f t="shared" si="28"/>
        <v>83.3</v>
      </c>
      <c r="G518" s="951">
        <f t="shared" si="23"/>
        <v>114.3</v>
      </c>
    </row>
    <row r="519" spans="1:7">
      <c r="A519" s="20">
        <v>28</v>
      </c>
      <c r="B519" s="3" t="s">
        <v>3093</v>
      </c>
      <c r="C519" s="3" t="s">
        <v>2374</v>
      </c>
      <c r="D519" s="951">
        <f t="shared" si="29"/>
        <v>15.2</v>
      </c>
      <c r="E519" s="951">
        <f t="shared" si="27"/>
        <v>158.69999999999999</v>
      </c>
      <c r="F519" s="951">
        <f t="shared" si="28"/>
        <v>111.1</v>
      </c>
      <c r="G519" s="951">
        <f>ROUND(D519+E519+F519,2)</f>
        <v>285</v>
      </c>
    </row>
    <row r="520" spans="1:7">
      <c r="A520" s="20">
        <v>29</v>
      </c>
      <c r="B520" s="3" t="s">
        <v>7099</v>
      </c>
      <c r="C520" s="3" t="s">
        <v>2374</v>
      </c>
      <c r="D520" s="951">
        <f t="shared" si="29"/>
        <v>6.7</v>
      </c>
      <c r="E520" s="951">
        <f t="shared" si="27"/>
        <v>56</v>
      </c>
      <c r="F520" s="951">
        <f t="shared" si="28"/>
        <v>83.3</v>
      </c>
      <c r="G520" s="951">
        <f t="shared" si="23"/>
        <v>146</v>
      </c>
    </row>
    <row r="521" spans="1:7">
      <c r="A521" s="20">
        <v>30</v>
      </c>
      <c r="B521" s="3" t="s">
        <v>7100</v>
      </c>
      <c r="C521" s="3" t="s">
        <v>2374</v>
      </c>
      <c r="D521" s="951">
        <f t="shared" si="29"/>
        <v>48.3</v>
      </c>
      <c r="E521" s="951">
        <f t="shared" si="27"/>
        <v>317.39999999999998</v>
      </c>
      <c r="F521" s="951">
        <f t="shared" si="28"/>
        <v>111.1</v>
      </c>
      <c r="G521" s="951">
        <f t="shared" si="23"/>
        <v>476.8</v>
      </c>
    </row>
    <row r="522" spans="1:7">
      <c r="A522" s="20">
        <v>31</v>
      </c>
      <c r="B522" s="3" t="s">
        <v>7101</v>
      </c>
      <c r="C522" s="3" t="s">
        <v>2374</v>
      </c>
      <c r="D522" s="951">
        <f t="shared" si="29"/>
        <v>12.3</v>
      </c>
      <c r="E522" s="951">
        <f t="shared" si="27"/>
        <v>112.1</v>
      </c>
      <c r="F522" s="951">
        <f t="shared" si="28"/>
        <v>83.3</v>
      </c>
      <c r="G522" s="951">
        <f t="shared" si="23"/>
        <v>207.7</v>
      </c>
    </row>
    <row r="523" spans="1:7">
      <c r="A523" s="20">
        <v>32</v>
      </c>
      <c r="B523" s="3" t="s">
        <v>2080</v>
      </c>
      <c r="C523" s="3" t="s">
        <v>2374</v>
      </c>
      <c r="D523" s="951">
        <f t="shared" si="29"/>
        <v>322.7</v>
      </c>
      <c r="E523" s="951">
        <f t="shared" si="27"/>
        <v>0</v>
      </c>
      <c r="F523" s="951">
        <f t="shared" si="28"/>
        <v>354.9</v>
      </c>
      <c r="G523" s="951">
        <f t="shared" si="23"/>
        <v>677.6</v>
      </c>
    </row>
    <row r="524" spans="1:7">
      <c r="A524" s="20">
        <v>33</v>
      </c>
      <c r="B524" s="3" t="s">
        <v>7102</v>
      </c>
      <c r="C524" s="3" t="s">
        <v>2374</v>
      </c>
      <c r="D524" s="951">
        <f>H251+H252</f>
        <v>368.40000000000003</v>
      </c>
      <c r="E524" s="951">
        <f t="shared" si="27"/>
        <v>42.8</v>
      </c>
      <c r="F524" s="951">
        <f t="shared" si="28"/>
        <v>175.8</v>
      </c>
      <c r="G524" s="951">
        <f t="shared" si="23"/>
        <v>587</v>
      </c>
    </row>
    <row r="525" spans="1:7">
      <c r="A525" s="20">
        <v>34</v>
      </c>
      <c r="B525" s="3" t="s">
        <v>7103</v>
      </c>
      <c r="C525" s="3" t="s">
        <v>2374</v>
      </c>
      <c r="D525" s="951">
        <f>H253+H254</f>
        <v>580.69999999999993</v>
      </c>
      <c r="E525" s="951">
        <f t="shared" si="27"/>
        <v>399.9</v>
      </c>
      <c r="F525" s="951">
        <f t="shared" si="28"/>
        <v>227.1</v>
      </c>
      <c r="G525" s="951">
        <f t="shared" si="23"/>
        <v>1207.7</v>
      </c>
    </row>
    <row r="526" spans="1:7">
      <c r="A526" s="20">
        <v>35</v>
      </c>
      <c r="B526" s="3" t="s">
        <v>4304</v>
      </c>
      <c r="C526" s="3" t="s">
        <v>2374</v>
      </c>
      <c r="D526" s="951">
        <f>H255</f>
        <v>99</v>
      </c>
      <c r="E526" s="951">
        <f t="shared" si="27"/>
        <v>0</v>
      </c>
      <c r="F526" s="951">
        <f t="shared" si="28"/>
        <v>0</v>
      </c>
      <c r="G526" s="951">
        <f t="shared" si="23"/>
        <v>99</v>
      </c>
    </row>
    <row r="527" spans="1:7">
      <c r="A527" s="20">
        <v>36</v>
      </c>
      <c r="B527" s="3" t="s">
        <v>2248</v>
      </c>
      <c r="C527" s="3" t="s">
        <v>2374</v>
      </c>
      <c r="D527" s="951">
        <f t="shared" ref="D527:D544" si="30">H256</f>
        <v>24.9</v>
      </c>
      <c r="E527" s="951">
        <f t="shared" si="27"/>
        <v>28</v>
      </c>
      <c r="F527" s="951">
        <f t="shared" si="28"/>
        <v>263.60000000000002</v>
      </c>
      <c r="G527" s="951">
        <f t="shared" si="23"/>
        <v>316.5</v>
      </c>
    </row>
    <row r="528" spans="1:7">
      <c r="A528" s="20">
        <v>37</v>
      </c>
      <c r="B528" s="3" t="s">
        <v>4305</v>
      </c>
      <c r="C528" s="3" t="s">
        <v>2374</v>
      </c>
      <c r="D528" s="951">
        <f t="shared" si="30"/>
        <v>110.1</v>
      </c>
      <c r="E528" s="951">
        <f t="shared" si="27"/>
        <v>0</v>
      </c>
      <c r="F528" s="951">
        <f t="shared" si="28"/>
        <v>219.7</v>
      </c>
      <c r="G528" s="951">
        <f t="shared" si="23"/>
        <v>329.8</v>
      </c>
    </row>
    <row r="529" spans="1:7">
      <c r="A529" s="20">
        <v>38</v>
      </c>
      <c r="B529" s="3" t="s">
        <v>4306</v>
      </c>
      <c r="C529" s="3" t="s">
        <v>2374</v>
      </c>
      <c r="D529" s="951">
        <f t="shared" si="30"/>
        <v>170.2</v>
      </c>
      <c r="E529" s="951">
        <f t="shared" si="27"/>
        <v>798.6</v>
      </c>
      <c r="F529" s="951">
        <f t="shared" si="28"/>
        <v>131.80000000000001</v>
      </c>
      <c r="G529" s="951">
        <f t="shared" si="23"/>
        <v>1100.5999999999999</v>
      </c>
    </row>
    <row r="530" spans="1:7">
      <c r="A530" s="20">
        <v>39</v>
      </c>
      <c r="B530" s="3" t="s">
        <v>6243</v>
      </c>
      <c r="C530" s="3" t="s">
        <v>2374</v>
      </c>
      <c r="D530" s="951">
        <f t="shared" si="30"/>
        <v>19.8</v>
      </c>
      <c r="E530" s="951">
        <f t="shared" si="27"/>
        <v>0</v>
      </c>
      <c r="F530" s="951">
        <f t="shared" si="28"/>
        <v>329.6</v>
      </c>
      <c r="G530" s="951">
        <f>ROUND(D530+E530+F530,2)</f>
        <v>349.4</v>
      </c>
    </row>
    <row r="531" spans="1:7">
      <c r="A531" s="20">
        <v>40</v>
      </c>
      <c r="B531" s="3" t="s">
        <v>4307</v>
      </c>
      <c r="C531" s="3" t="s">
        <v>2374</v>
      </c>
      <c r="D531" s="951">
        <f t="shared" si="30"/>
        <v>7.6</v>
      </c>
      <c r="E531" s="951">
        <f t="shared" si="27"/>
        <v>18.8</v>
      </c>
      <c r="F531" s="951">
        <f t="shared" si="28"/>
        <v>158.19999999999999</v>
      </c>
      <c r="G531" s="951">
        <f t="shared" si="23"/>
        <v>184.6</v>
      </c>
    </row>
    <row r="532" spans="1:7">
      <c r="A532" s="20">
        <v>41</v>
      </c>
      <c r="B532" s="3" t="s">
        <v>863</v>
      </c>
      <c r="C532" s="3" t="s">
        <v>2374</v>
      </c>
      <c r="D532" s="951">
        <f t="shared" si="30"/>
        <v>8</v>
      </c>
      <c r="E532" s="951">
        <f t="shared" si="27"/>
        <v>5.6</v>
      </c>
      <c r="F532" s="951">
        <f t="shared" si="28"/>
        <v>158.19999999999999</v>
      </c>
      <c r="G532" s="951">
        <f t="shared" si="23"/>
        <v>171.8</v>
      </c>
    </row>
    <row r="533" spans="1:7">
      <c r="A533" s="20">
        <v>42</v>
      </c>
      <c r="B533" s="3" t="s">
        <v>864</v>
      </c>
      <c r="C533" s="3" t="s">
        <v>2374</v>
      </c>
      <c r="D533" s="951">
        <f t="shared" si="30"/>
        <v>8.1999999999999993</v>
      </c>
      <c r="E533" s="951">
        <f t="shared" si="27"/>
        <v>28.2</v>
      </c>
      <c r="F533" s="951">
        <f t="shared" si="28"/>
        <v>158.19999999999999</v>
      </c>
      <c r="G533" s="951">
        <f t="shared" si="23"/>
        <v>194.6</v>
      </c>
    </row>
    <row r="534" spans="1:7">
      <c r="A534" s="20">
        <v>43</v>
      </c>
      <c r="B534" s="3" t="s">
        <v>865</v>
      </c>
      <c r="C534" s="3" t="s">
        <v>2374</v>
      </c>
      <c r="D534" s="951">
        <f t="shared" si="30"/>
        <v>9.6999999999999993</v>
      </c>
      <c r="E534" s="951">
        <f t="shared" si="27"/>
        <v>8.4</v>
      </c>
      <c r="F534" s="951">
        <f t="shared" si="28"/>
        <v>158.19999999999999</v>
      </c>
      <c r="G534" s="951">
        <f t="shared" si="23"/>
        <v>176.3</v>
      </c>
    </row>
    <row r="535" spans="1:7">
      <c r="A535" s="20">
        <v>44</v>
      </c>
      <c r="B535" s="3" t="s">
        <v>1779</v>
      </c>
      <c r="C535" s="3" t="s">
        <v>2374</v>
      </c>
      <c r="D535" s="951">
        <f t="shared" si="30"/>
        <v>117.8</v>
      </c>
      <c r="E535" s="951">
        <f t="shared" si="27"/>
        <v>84.1</v>
      </c>
      <c r="F535" s="951">
        <f t="shared" si="28"/>
        <v>210.9</v>
      </c>
      <c r="G535" s="951">
        <f t="shared" si="23"/>
        <v>412.8</v>
      </c>
    </row>
    <row r="536" spans="1:7">
      <c r="A536" s="20">
        <v>45</v>
      </c>
      <c r="B536" s="3" t="s">
        <v>1811</v>
      </c>
      <c r="C536" s="3" t="s">
        <v>2374</v>
      </c>
      <c r="D536" s="951">
        <f t="shared" si="30"/>
        <v>41.9</v>
      </c>
      <c r="E536" s="951">
        <f t="shared" si="27"/>
        <v>112.1</v>
      </c>
      <c r="F536" s="951">
        <f t="shared" si="28"/>
        <v>142</v>
      </c>
      <c r="G536" s="951">
        <f t="shared" si="23"/>
        <v>296</v>
      </c>
    </row>
    <row r="537" spans="1:7">
      <c r="A537" s="20">
        <v>46</v>
      </c>
      <c r="B537" s="3" t="s">
        <v>6058</v>
      </c>
      <c r="C537" s="3" t="s">
        <v>2374</v>
      </c>
      <c r="D537" s="951">
        <f t="shared" si="30"/>
        <v>171.1</v>
      </c>
      <c r="E537" s="951">
        <f t="shared" si="27"/>
        <v>0</v>
      </c>
      <c r="F537" s="951">
        <f t="shared" si="28"/>
        <v>86.8</v>
      </c>
      <c r="G537" s="951">
        <f t="shared" si="23"/>
        <v>257.89999999999998</v>
      </c>
    </row>
    <row r="538" spans="1:7">
      <c r="A538" s="20">
        <v>47</v>
      </c>
      <c r="B538" s="3" t="s">
        <v>6059</v>
      </c>
      <c r="C538" s="3" t="s">
        <v>2374</v>
      </c>
      <c r="D538" s="951">
        <f t="shared" si="30"/>
        <v>20.7</v>
      </c>
      <c r="E538" s="951">
        <f t="shared" si="27"/>
        <v>0</v>
      </c>
      <c r="F538" s="951">
        <f t="shared" si="28"/>
        <v>263.60000000000002</v>
      </c>
      <c r="G538" s="951">
        <f t="shared" si="23"/>
        <v>284.3</v>
      </c>
    </row>
    <row r="539" spans="1:7">
      <c r="A539" s="20">
        <v>48</v>
      </c>
      <c r="B539" s="3" t="s">
        <v>6060</v>
      </c>
      <c r="C539" s="3" t="s">
        <v>2374</v>
      </c>
      <c r="D539" s="951">
        <f t="shared" si="30"/>
        <v>6.4</v>
      </c>
      <c r="E539" s="951">
        <f t="shared" si="27"/>
        <v>2.8</v>
      </c>
      <c r="F539" s="951">
        <f t="shared" si="28"/>
        <v>0</v>
      </c>
      <c r="G539" s="951">
        <f t="shared" si="23"/>
        <v>9.1999999999999993</v>
      </c>
    </row>
    <row r="540" spans="1:7">
      <c r="A540" s="20">
        <v>49</v>
      </c>
      <c r="B540" s="3" t="s">
        <v>6061</v>
      </c>
      <c r="C540" s="3" t="s">
        <v>2374</v>
      </c>
      <c r="D540" s="951">
        <f t="shared" si="30"/>
        <v>12.7</v>
      </c>
      <c r="E540" s="951">
        <f t="shared" si="27"/>
        <v>0</v>
      </c>
      <c r="F540" s="951">
        <f t="shared" si="28"/>
        <v>0</v>
      </c>
      <c r="G540" s="951">
        <f>ROUND(D540+E540+F540,2)</f>
        <v>12.7</v>
      </c>
    </row>
    <row r="541" spans="1:7">
      <c r="A541" s="20">
        <v>50</v>
      </c>
      <c r="B541" s="3" t="s">
        <v>6062</v>
      </c>
      <c r="C541" s="3" t="s">
        <v>2374</v>
      </c>
      <c r="D541" s="951">
        <f t="shared" si="30"/>
        <v>197.2</v>
      </c>
      <c r="E541" s="951">
        <f t="shared" si="27"/>
        <v>714</v>
      </c>
      <c r="F541" s="951">
        <f t="shared" si="28"/>
        <v>210.9</v>
      </c>
      <c r="G541" s="951">
        <f t="shared" si="23"/>
        <v>1122.0999999999999</v>
      </c>
    </row>
    <row r="542" spans="1:7">
      <c r="A542" s="20">
        <v>51</v>
      </c>
      <c r="B542" s="3" t="s">
        <v>6063</v>
      </c>
      <c r="C542" s="3" t="s">
        <v>2374</v>
      </c>
      <c r="D542" s="951">
        <f t="shared" si="30"/>
        <v>1003.1</v>
      </c>
      <c r="E542" s="951">
        <f t="shared" si="27"/>
        <v>476</v>
      </c>
      <c r="F542" s="951">
        <f t="shared" si="28"/>
        <v>236.6</v>
      </c>
      <c r="G542" s="951">
        <f t="shared" si="23"/>
        <v>1715.7</v>
      </c>
    </row>
    <row r="543" spans="1:7">
      <c r="A543" s="20">
        <v>52</v>
      </c>
      <c r="B543" s="3" t="s">
        <v>6064</v>
      </c>
      <c r="C543" s="3" t="s">
        <v>2374</v>
      </c>
      <c r="D543" s="951">
        <f>H272</f>
        <v>1706.6</v>
      </c>
      <c r="E543" s="951">
        <f t="shared" si="27"/>
        <v>872.7</v>
      </c>
      <c r="F543" s="951">
        <f t="shared" si="28"/>
        <v>236.6</v>
      </c>
      <c r="G543" s="951">
        <f t="shared" si="23"/>
        <v>2815.9</v>
      </c>
    </row>
    <row r="544" spans="1:7">
      <c r="A544" s="20">
        <v>53</v>
      </c>
      <c r="B544" s="3" t="s">
        <v>866</v>
      </c>
      <c r="C544" s="3" t="s">
        <v>2374</v>
      </c>
      <c r="D544" s="951">
        <f t="shared" si="30"/>
        <v>86.1</v>
      </c>
      <c r="E544" s="951">
        <f t="shared" si="27"/>
        <v>0</v>
      </c>
      <c r="F544" s="951">
        <f t="shared" si="28"/>
        <v>0</v>
      </c>
      <c r="G544" s="951">
        <f t="shared" si="23"/>
        <v>86.1</v>
      </c>
    </row>
    <row r="545" spans="1:7">
      <c r="A545" s="20">
        <v>54</v>
      </c>
      <c r="B545" s="3" t="s">
        <v>6282</v>
      </c>
      <c r="C545" s="3" t="s">
        <v>2374</v>
      </c>
      <c r="D545" s="951">
        <f>H274+H275</f>
        <v>446.7</v>
      </c>
      <c r="E545" s="951">
        <f t="shared" si="27"/>
        <v>299.89999999999998</v>
      </c>
      <c r="F545" s="951">
        <f t="shared" si="28"/>
        <v>177.5</v>
      </c>
      <c r="G545" s="951">
        <f t="shared" si="23"/>
        <v>924.1</v>
      </c>
    </row>
    <row r="546" spans="1:7">
      <c r="A546" s="20">
        <v>55</v>
      </c>
      <c r="B546" s="3" t="s">
        <v>4326</v>
      </c>
      <c r="C546" s="3" t="s">
        <v>2374</v>
      </c>
      <c r="D546" s="951">
        <f>H276</f>
        <v>64.2</v>
      </c>
      <c r="E546" s="951">
        <f t="shared" si="27"/>
        <v>0</v>
      </c>
      <c r="F546" s="951">
        <f t="shared" si="28"/>
        <v>0</v>
      </c>
      <c r="G546" s="951">
        <f t="shared" si="23"/>
        <v>64.2</v>
      </c>
    </row>
    <row r="547" spans="1:7">
      <c r="A547" s="20">
        <v>56</v>
      </c>
      <c r="B547" s="3" t="s">
        <v>4327</v>
      </c>
      <c r="C547" s="3" t="s">
        <v>2374</v>
      </c>
      <c r="D547" s="951">
        <f>H277</f>
        <v>867.1</v>
      </c>
      <c r="E547" s="951">
        <f t="shared" si="27"/>
        <v>145.69999999999999</v>
      </c>
      <c r="F547" s="951">
        <f t="shared" si="28"/>
        <v>189.3</v>
      </c>
      <c r="G547" s="951">
        <f t="shared" si="23"/>
        <v>1202.0999999999999</v>
      </c>
    </row>
    <row r="548" spans="1:7">
      <c r="A548" s="20">
        <v>57</v>
      </c>
      <c r="B548" s="3" t="s">
        <v>253</v>
      </c>
      <c r="C548" s="3" t="s">
        <v>2374</v>
      </c>
      <c r="D548" s="951">
        <f>H278</f>
        <v>5041</v>
      </c>
      <c r="E548" s="951">
        <f t="shared" si="27"/>
        <v>0</v>
      </c>
      <c r="F548" s="951">
        <f t="shared" si="28"/>
        <v>0</v>
      </c>
      <c r="G548" s="951">
        <f t="shared" si="23"/>
        <v>5041</v>
      </c>
    </row>
    <row r="549" spans="1:7">
      <c r="A549" s="20">
        <v>58</v>
      </c>
      <c r="B549" s="3" t="s">
        <v>6283</v>
      </c>
      <c r="C549" s="3" t="s">
        <v>2374</v>
      </c>
      <c r="D549" s="951">
        <f>H279+H280</f>
        <v>414.1</v>
      </c>
      <c r="E549" s="951">
        <f t="shared" si="27"/>
        <v>299.89999999999998</v>
      </c>
      <c r="F549" s="951">
        <f t="shared" si="28"/>
        <v>177.5</v>
      </c>
      <c r="G549" s="951">
        <f t="shared" si="23"/>
        <v>891.5</v>
      </c>
    </row>
    <row r="550" spans="1:7">
      <c r="A550" s="20">
        <v>59</v>
      </c>
      <c r="B550" s="3" t="s">
        <v>6284</v>
      </c>
      <c r="C550" s="3" t="s">
        <v>2374</v>
      </c>
      <c r="D550" s="951">
        <f>H281+H282</f>
        <v>519.69999999999993</v>
      </c>
      <c r="E550" s="951">
        <f t="shared" si="27"/>
        <v>299.89999999999998</v>
      </c>
      <c r="F550" s="951">
        <f t="shared" si="28"/>
        <v>177.5</v>
      </c>
      <c r="G550" s="951">
        <f t="shared" si="23"/>
        <v>997.1</v>
      </c>
    </row>
    <row r="551" spans="1:7">
      <c r="A551" s="20">
        <v>60</v>
      </c>
      <c r="B551" s="3" t="s">
        <v>1463</v>
      </c>
      <c r="C551" s="3" t="s">
        <v>2374</v>
      </c>
      <c r="D551" s="951">
        <f>H283</f>
        <v>22.5</v>
      </c>
      <c r="E551" s="951">
        <f t="shared" si="27"/>
        <v>28</v>
      </c>
      <c r="F551" s="951">
        <f t="shared" si="28"/>
        <v>198.9</v>
      </c>
      <c r="G551" s="951">
        <f>ROUND(D551+E551+F551,2)</f>
        <v>249.4</v>
      </c>
    </row>
    <row r="552" spans="1:7">
      <c r="A552" s="20">
        <v>61</v>
      </c>
      <c r="B552" s="3" t="s">
        <v>256</v>
      </c>
      <c r="C552" s="3" t="s">
        <v>2374</v>
      </c>
      <c r="D552" s="951">
        <f>H284</f>
        <v>11.5</v>
      </c>
      <c r="E552" s="951">
        <f t="shared" si="27"/>
        <v>112.1</v>
      </c>
      <c r="F552" s="951">
        <f t="shared" si="28"/>
        <v>28.7</v>
      </c>
      <c r="G552" s="951">
        <f t="shared" si="23"/>
        <v>152.30000000000001</v>
      </c>
    </row>
    <row r="553" spans="1:7">
      <c r="A553" s="20">
        <v>62</v>
      </c>
      <c r="B553" s="3" t="s">
        <v>257</v>
      </c>
      <c r="C553" s="3" t="s">
        <v>2374</v>
      </c>
      <c r="D553" s="951">
        <f>H285</f>
        <v>1342.2</v>
      </c>
      <c r="E553" s="951">
        <f t="shared" si="27"/>
        <v>1031.4000000000001</v>
      </c>
      <c r="F553" s="951">
        <f t="shared" si="28"/>
        <v>263.60000000000002</v>
      </c>
      <c r="G553" s="951">
        <f t="shared" si="23"/>
        <v>2637.2</v>
      </c>
    </row>
    <row r="554" spans="1:7">
      <c r="A554" s="20">
        <v>63</v>
      </c>
      <c r="B554" s="3" t="s">
        <v>6285</v>
      </c>
      <c r="C554" s="3" t="s">
        <v>2374</v>
      </c>
      <c r="D554" s="951">
        <f>H286</f>
        <v>188.5</v>
      </c>
      <c r="E554" s="951">
        <f t="shared" si="27"/>
        <v>0</v>
      </c>
      <c r="F554" s="951">
        <f t="shared" si="28"/>
        <v>283.89999999999998</v>
      </c>
      <c r="G554" s="951">
        <f t="shared" si="23"/>
        <v>472.4</v>
      </c>
    </row>
    <row r="555" spans="1:7">
      <c r="A555" s="20">
        <v>64</v>
      </c>
      <c r="B555" s="3" t="s">
        <v>6286</v>
      </c>
      <c r="C555" s="3" t="s">
        <v>2374</v>
      </c>
      <c r="D555" s="951">
        <f>H287+H288</f>
        <v>402.5</v>
      </c>
      <c r="E555" s="951">
        <f t="shared" si="27"/>
        <v>299.89999999999998</v>
      </c>
      <c r="F555" s="951">
        <f t="shared" si="28"/>
        <v>177.5</v>
      </c>
      <c r="G555" s="951">
        <f t="shared" si="23"/>
        <v>879.9</v>
      </c>
    </row>
    <row r="556" spans="1:7">
      <c r="A556" s="20">
        <v>65</v>
      </c>
      <c r="B556" s="3" t="s">
        <v>1338</v>
      </c>
      <c r="C556" s="3" t="s">
        <v>2374</v>
      </c>
      <c r="D556" s="951">
        <f>H289</f>
        <v>16</v>
      </c>
      <c r="E556" s="951">
        <f>H377</f>
        <v>67.2</v>
      </c>
      <c r="F556" s="951">
        <f t="shared" si="28"/>
        <v>0</v>
      </c>
      <c r="G556" s="951">
        <f>ROUND(D556+E556+F556,2)</f>
        <v>83.2</v>
      </c>
    </row>
    <row r="557" spans="1:7">
      <c r="A557" s="20">
        <v>66</v>
      </c>
      <c r="B557" s="3" t="s">
        <v>6287</v>
      </c>
      <c r="C557" s="1044" t="s">
        <v>2374</v>
      </c>
      <c r="D557" s="951">
        <f>H290</f>
        <v>129.4</v>
      </c>
      <c r="E557" s="951">
        <f t="shared" si="27"/>
        <v>137.30000000000001</v>
      </c>
      <c r="F557" s="951">
        <f t="shared" si="28"/>
        <v>263.60000000000002</v>
      </c>
      <c r="G557" s="951">
        <f>ROUND(D557+E557+F557,2)</f>
        <v>530.29999999999995</v>
      </c>
    </row>
    <row r="558" spans="1:7">
      <c r="A558" s="20">
        <v>67</v>
      </c>
      <c r="B558" s="4" t="s">
        <v>7653</v>
      </c>
      <c r="C558" s="4" t="s">
        <v>2374</v>
      </c>
      <c r="D558" s="3"/>
      <c r="E558" s="3"/>
      <c r="F558" s="3"/>
      <c r="G558" s="951">
        <v>345</v>
      </c>
    </row>
    <row r="559" spans="1:7">
      <c r="A559" s="20">
        <v>68</v>
      </c>
      <c r="B559" s="3" t="s">
        <v>9338</v>
      </c>
      <c r="C559" s="4" t="s">
        <v>2374</v>
      </c>
      <c r="D559" s="951">
        <f>H291+H292</f>
        <v>3096.8</v>
      </c>
      <c r="E559" s="951">
        <f>H379</f>
        <v>118.8</v>
      </c>
      <c r="F559" s="951">
        <f>H480</f>
        <v>526.70000000000005</v>
      </c>
      <c r="G559" s="951">
        <f>ROUND(D559+E559+F559,2)</f>
        <v>3742.3</v>
      </c>
    </row>
    <row r="560" spans="1:7">
      <c r="A560" s="20">
        <v>69</v>
      </c>
      <c r="B560" s="3" t="s">
        <v>9337</v>
      </c>
      <c r="C560" s="4" t="s">
        <v>2374</v>
      </c>
      <c r="D560" s="951">
        <f>H293+H294</f>
        <v>2278.1</v>
      </c>
      <c r="E560" s="951">
        <f>H380</f>
        <v>75</v>
      </c>
      <c r="F560" s="951">
        <f>H481</f>
        <v>526.70000000000005</v>
      </c>
      <c r="G560" s="951">
        <f>ROUND(D560+E560+F560,2)</f>
        <v>2879.8</v>
      </c>
    </row>
    <row r="561" spans="1:7">
      <c r="A561" s="20">
        <v>70</v>
      </c>
      <c r="B561" s="3" t="s">
        <v>9294</v>
      </c>
      <c r="C561" s="4" t="s">
        <v>2374</v>
      </c>
      <c r="D561" s="951">
        <f>H295</f>
        <v>121.4</v>
      </c>
      <c r="E561" s="3"/>
      <c r="F561" s="3"/>
      <c r="G561" s="951">
        <f>SUM(D561:F561)</f>
        <v>121.4</v>
      </c>
    </row>
    <row r="562" spans="1:7">
      <c r="A562" s="20">
        <v>71</v>
      </c>
      <c r="B562" s="1034" t="s">
        <v>9747</v>
      </c>
      <c r="C562" s="4" t="s">
        <v>2374</v>
      </c>
      <c r="D562" s="951">
        <f>H296</f>
        <v>1004.3</v>
      </c>
      <c r="E562" s="951">
        <f>H381</f>
        <v>336.2</v>
      </c>
      <c r="F562" s="951">
        <f>H482</f>
        <v>164.8</v>
      </c>
      <c r="G562" s="951">
        <f>ROUND(D562+E562+F562,2)</f>
        <v>1505.3</v>
      </c>
    </row>
  </sheetData>
  <sheetProtection password="83C7" sheet="1" objects="1" scenarios="1" selectLockedCells="1" selectUnlockedCells="1"/>
  <mergeCells count="48">
    <mergeCell ref="G489:G490"/>
    <mergeCell ref="A489:A490"/>
    <mergeCell ref="B489:B490"/>
    <mergeCell ref="C489:C490"/>
    <mergeCell ref="D489:D490"/>
    <mergeCell ref="E489:E490"/>
    <mergeCell ref="F489:F490"/>
    <mergeCell ref="A214:A216"/>
    <mergeCell ref="B485:D485"/>
    <mergeCell ref="B486:D486"/>
    <mergeCell ref="E412:E413"/>
    <mergeCell ref="F412:F413"/>
    <mergeCell ref="B411:B413"/>
    <mergeCell ref="C411:C413"/>
    <mergeCell ref="A411:A413"/>
    <mergeCell ref="E311:E312"/>
    <mergeCell ref="F311:F312"/>
    <mergeCell ref="A311:A312"/>
    <mergeCell ref="B311:B312"/>
    <mergeCell ref="C311:C312"/>
    <mergeCell ref="D411:D413"/>
    <mergeCell ref="E411:F411"/>
    <mergeCell ref="C214:C216"/>
    <mergeCell ref="B214:B216"/>
    <mergeCell ref="D214:D216"/>
    <mergeCell ref="H411:H413"/>
    <mergeCell ref="G411:G413"/>
    <mergeCell ref="H214:H216"/>
    <mergeCell ref="D311:D312"/>
    <mergeCell ref="F214:F216"/>
    <mergeCell ref="G311:G312"/>
    <mergeCell ref="G214:G216"/>
    <mergeCell ref="H311:H312"/>
    <mergeCell ref="E214:E216"/>
    <mergeCell ref="A105:G105"/>
    <mergeCell ref="A111:A112"/>
    <mergeCell ref="B111:B112"/>
    <mergeCell ref="A199:I199"/>
    <mergeCell ref="A2:E2"/>
    <mergeCell ref="B4:E4"/>
    <mergeCell ref="A5:E5"/>
    <mergeCell ref="A6:A8"/>
    <mergeCell ref="B6:B8"/>
    <mergeCell ref="E6:E7"/>
    <mergeCell ref="C6:C7"/>
    <mergeCell ref="D6:D7"/>
    <mergeCell ref="A197:I197"/>
    <mergeCell ref="A198:I198"/>
  </mergeCells>
  <phoneticPr fontId="5" type="noConversion"/>
  <printOptions horizontalCentered="1"/>
  <pageMargins left="0.98425196850393704" right="0.74803149606299213" top="0.78740157480314965" bottom="0.86614173228346458" header="0.39370078740157483" footer="0.35433070866141736"/>
  <pageSetup scale="72" firstPageNumber="69" orientation="portrait" useFirstPageNumber="1" r:id="rId1"/>
  <headerFooter alignWithMargins="0">
    <oddHeader>&amp;R&amp;9Hire Charges (Annexure III)-2016-17</oddHeader>
    <oddFooter>&amp;R&amp;P</oddFooter>
  </headerFooter>
  <ignoredErrors>
    <ignoredError sqref="D346 G314:G324 G326:G376" formula="1"/>
  </ignoredErrors>
</worksheet>
</file>

<file path=xl/worksheets/sheet16.xml><?xml version="1.0" encoding="utf-8"?>
<worksheet xmlns="http://schemas.openxmlformats.org/spreadsheetml/2006/main" xmlns:r="http://schemas.openxmlformats.org/officeDocument/2006/relationships">
  <sheetPr codeName="Sheet18"/>
  <dimension ref="A1:IU4402"/>
  <sheetViews>
    <sheetView showGridLines="0" topLeftCell="A519" zoomScale="60" workbookViewId="0">
      <selection activeCell="D516" sqref="D516"/>
    </sheetView>
  </sheetViews>
  <sheetFormatPr defaultColWidth="0" defaultRowHeight="18"/>
  <cols>
    <col min="1" max="1" width="19" style="667" customWidth="1"/>
    <col min="2" max="2" width="17.28515625" style="313" customWidth="1"/>
    <col min="3" max="3" width="48.85546875" style="313" customWidth="1"/>
    <col min="4" max="4" width="16.42578125" style="313" customWidth="1"/>
    <col min="5" max="5" width="11" style="313" customWidth="1"/>
    <col min="6" max="6" width="12.42578125" style="313" customWidth="1"/>
    <col min="7" max="7" width="16.5703125" style="313" customWidth="1"/>
    <col min="8" max="10" width="9.140625" style="313" customWidth="1"/>
    <col min="11" max="255" width="9.140625" style="313" hidden="1" customWidth="1"/>
    <col min="256" max="16384" width="14.7109375" style="313" hidden="1"/>
  </cols>
  <sheetData>
    <row r="1" spans="1:9">
      <c r="A1" s="77"/>
      <c r="B1" s="109"/>
      <c r="C1" s="108" t="s">
        <v>3661</v>
      </c>
      <c r="D1" s="109"/>
      <c r="E1" s="109"/>
      <c r="F1" s="109"/>
      <c r="G1" s="165"/>
      <c r="H1" s="26"/>
      <c r="I1" s="26"/>
    </row>
    <row r="2" spans="1:9">
      <c r="A2" s="77"/>
      <c r="B2" s="109"/>
      <c r="C2" s="108"/>
      <c r="D2" s="109"/>
      <c r="E2" s="109"/>
      <c r="F2" s="109"/>
      <c r="G2" s="165"/>
      <c r="H2" s="26"/>
      <c r="I2" s="26"/>
    </row>
    <row r="3" spans="1:9">
      <c r="A3" s="77"/>
      <c r="B3" s="109"/>
      <c r="C3" s="1253" t="s">
        <v>8004</v>
      </c>
      <c r="D3" s="1253"/>
      <c r="E3" s="1253"/>
      <c r="F3" s="1253"/>
      <c r="G3" s="165"/>
      <c r="H3" s="26"/>
      <c r="I3" s="26"/>
    </row>
    <row r="4" spans="1:9">
      <c r="A4" s="77"/>
      <c r="B4" s="109"/>
      <c r="C4" s="109"/>
      <c r="D4" s="109"/>
      <c r="E4" s="109"/>
      <c r="F4" s="109"/>
      <c r="G4" s="165"/>
      <c r="H4" s="26"/>
      <c r="I4" s="26"/>
    </row>
    <row r="5" spans="1:9">
      <c r="A5" s="125"/>
      <c r="B5" s="62"/>
      <c r="C5" s="61"/>
      <c r="D5" s="61"/>
      <c r="E5" s="61"/>
      <c r="F5" s="61"/>
      <c r="G5" s="61"/>
      <c r="H5" s="61"/>
      <c r="I5" s="61"/>
    </row>
    <row r="6" spans="1:9">
      <c r="A6" s="125"/>
      <c r="B6" s="62"/>
      <c r="C6" s="26" t="s">
        <v>1959</v>
      </c>
      <c r="D6" s="61"/>
      <c r="E6" s="61"/>
      <c r="F6" s="61"/>
      <c r="G6" s="61"/>
      <c r="H6" s="61"/>
      <c r="I6" s="61"/>
    </row>
    <row r="7" spans="1:9">
      <c r="A7" s="125"/>
      <c r="B7" s="62"/>
      <c r="C7" s="61"/>
      <c r="D7" s="61"/>
      <c r="E7" s="61"/>
      <c r="F7" s="61"/>
      <c r="G7" s="61"/>
      <c r="H7" s="61"/>
      <c r="I7" s="61"/>
    </row>
    <row r="8" spans="1:9" ht="18.75" thickBot="1">
      <c r="A8" s="125"/>
      <c r="B8" s="62"/>
      <c r="C8" s="619" t="s">
        <v>7930</v>
      </c>
      <c r="D8" s="61"/>
      <c r="E8" s="61"/>
      <c r="F8" s="61"/>
      <c r="G8" s="61"/>
      <c r="H8" s="61"/>
      <c r="I8" s="61"/>
    </row>
    <row r="9" spans="1:9" ht="18.75" thickBot="1">
      <c r="A9" s="620" t="s">
        <v>7038</v>
      </c>
      <c r="B9" s="62"/>
      <c r="C9" s="619"/>
      <c r="D9" s="61"/>
      <c r="E9" s="61"/>
      <c r="F9" s="61"/>
      <c r="G9" s="61"/>
      <c r="H9" s="61"/>
      <c r="I9" s="61"/>
    </row>
    <row r="10" spans="1:9">
      <c r="A10" s="27" t="s">
        <v>7529</v>
      </c>
      <c r="B10" s="78"/>
      <c r="C10" s="1161" t="s">
        <v>1249</v>
      </c>
      <c r="D10" s="1161"/>
      <c r="E10" s="1161"/>
      <c r="F10" s="47"/>
      <c r="G10" s="26"/>
      <c r="H10" s="26"/>
      <c r="I10" s="26"/>
    </row>
    <row r="11" spans="1:9">
      <c r="A11" s="27"/>
      <c r="B11" s="78"/>
      <c r="C11" s="26"/>
      <c r="D11" s="26"/>
      <c r="E11" s="26"/>
      <c r="F11" s="26"/>
      <c r="G11" s="26"/>
      <c r="H11" s="26"/>
      <c r="I11" s="26"/>
    </row>
    <row r="12" spans="1:9">
      <c r="A12" s="27" t="s">
        <v>7530</v>
      </c>
      <c r="B12" s="79" t="s">
        <v>1421</v>
      </c>
      <c r="C12" s="26"/>
      <c r="D12" s="26"/>
      <c r="E12" s="26"/>
      <c r="F12" s="26"/>
      <c r="G12" s="26"/>
      <c r="H12" s="26"/>
      <c r="I12" s="26"/>
    </row>
    <row r="13" spans="1:9">
      <c r="A13" s="27"/>
      <c r="B13" s="27"/>
      <c r="C13" s="26"/>
      <c r="D13" s="26"/>
      <c r="E13" s="26"/>
      <c r="F13" s="26"/>
      <c r="G13" s="26"/>
      <c r="H13" s="26"/>
      <c r="I13" s="26"/>
    </row>
    <row r="14" spans="1:9" ht="18.75">
      <c r="A14" s="27" t="s">
        <v>7531</v>
      </c>
      <c r="B14" s="26" t="s">
        <v>8896</v>
      </c>
      <c r="C14" s="26"/>
      <c r="D14" s="26"/>
      <c r="E14" s="26"/>
      <c r="F14" s="26"/>
      <c r="G14" s="26"/>
      <c r="H14" s="26"/>
      <c r="I14" s="26"/>
    </row>
    <row r="15" spans="1:9">
      <c r="A15" s="27"/>
      <c r="B15" s="26" t="s">
        <v>7994</v>
      </c>
      <c r="C15" s="26"/>
      <c r="D15" s="26"/>
      <c r="E15" s="26"/>
      <c r="F15" s="26"/>
      <c r="G15" s="26"/>
      <c r="H15" s="26"/>
      <c r="I15" s="26"/>
    </row>
    <row r="16" spans="1:9" ht="18.75">
      <c r="A16" s="27"/>
      <c r="B16" s="26" t="s">
        <v>8897</v>
      </c>
      <c r="C16" s="26"/>
      <c r="D16" s="26"/>
      <c r="E16" s="26"/>
      <c r="F16" s="26"/>
      <c r="G16" s="26"/>
      <c r="H16" s="26"/>
      <c r="I16" s="26"/>
    </row>
    <row r="17" spans="1:9">
      <c r="A17" s="27"/>
      <c r="B17" s="170" t="s">
        <v>3199</v>
      </c>
      <c r="C17" s="26"/>
      <c r="D17" s="26"/>
      <c r="E17" s="26"/>
      <c r="F17" s="26"/>
      <c r="G17" s="26"/>
      <c r="H17" s="26"/>
      <c r="I17" s="26"/>
    </row>
    <row r="18" spans="1:9">
      <c r="A18" s="27"/>
      <c r="B18" s="78"/>
      <c r="C18" s="26"/>
      <c r="D18" s="26"/>
      <c r="E18" s="26"/>
      <c r="F18" s="26"/>
      <c r="G18" s="26"/>
      <c r="H18" s="26"/>
      <c r="I18" s="26"/>
    </row>
    <row r="19" spans="1:9">
      <c r="A19" s="27"/>
      <c r="B19" s="78" t="s">
        <v>3984</v>
      </c>
      <c r="C19" s="26" t="s">
        <v>1731</v>
      </c>
      <c r="D19" s="26"/>
      <c r="E19" s="26"/>
      <c r="F19" s="26"/>
      <c r="G19" s="26"/>
      <c r="H19" s="26"/>
      <c r="I19" s="26"/>
    </row>
    <row r="20" spans="1:9">
      <c r="A20" s="27"/>
      <c r="B20" s="78"/>
      <c r="C20" s="26"/>
      <c r="D20" s="26"/>
      <c r="E20" s="26"/>
      <c r="F20" s="26"/>
      <c r="G20" s="26"/>
      <c r="H20" s="26"/>
      <c r="I20" s="26"/>
    </row>
    <row r="21" spans="1:9">
      <c r="A21" s="27"/>
      <c r="B21" s="78"/>
      <c r="C21" s="26"/>
      <c r="D21" s="26"/>
      <c r="E21" s="26"/>
      <c r="F21" s="26"/>
      <c r="G21" s="26"/>
      <c r="H21" s="26"/>
      <c r="I21" s="26"/>
    </row>
    <row r="22" spans="1:9">
      <c r="A22" s="27" t="s">
        <v>3984</v>
      </c>
      <c r="B22" s="78"/>
      <c r="C22" s="203" t="s">
        <v>2367</v>
      </c>
      <c r="D22" s="26"/>
      <c r="E22" s="171" t="s">
        <v>297</v>
      </c>
      <c r="F22" s="246">
        <v>10</v>
      </c>
      <c r="G22" s="26" t="s">
        <v>3477</v>
      </c>
      <c r="H22" s="26"/>
      <c r="I22" s="26"/>
    </row>
    <row r="23" spans="1:9">
      <c r="A23" s="27"/>
      <c r="B23" s="79" t="s">
        <v>2368</v>
      </c>
      <c r="C23" s="26"/>
      <c r="D23" s="26"/>
      <c r="E23" s="26"/>
      <c r="F23" s="26"/>
      <c r="G23" s="26"/>
      <c r="H23" s="26"/>
      <c r="I23" s="26"/>
    </row>
    <row r="24" spans="1:9">
      <c r="A24" s="27"/>
      <c r="B24" s="95" t="s">
        <v>2369</v>
      </c>
      <c r="C24" s="157" t="s">
        <v>4443</v>
      </c>
      <c r="D24" s="95" t="s">
        <v>2370</v>
      </c>
      <c r="E24" s="95" t="s">
        <v>1166</v>
      </c>
      <c r="F24" s="95" t="s">
        <v>2371</v>
      </c>
      <c r="G24" s="95" t="s">
        <v>2372</v>
      </c>
      <c r="H24" s="26"/>
      <c r="I24" s="26"/>
    </row>
    <row r="25" spans="1:9">
      <c r="A25" s="27"/>
      <c r="B25" s="114"/>
      <c r="C25" s="154"/>
      <c r="D25" s="114"/>
      <c r="E25" s="114"/>
      <c r="F25" s="114" t="s">
        <v>3485</v>
      </c>
      <c r="G25" s="114" t="s">
        <v>3485</v>
      </c>
      <c r="H25" s="26"/>
      <c r="I25" s="26"/>
    </row>
    <row r="26" spans="1:9">
      <c r="A26" s="27"/>
      <c r="B26" s="95">
        <v>1</v>
      </c>
      <c r="C26" s="93" t="s">
        <v>6976</v>
      </c>
      <c r="D26" s="95"/>
      <c r="E26" s="190">
        <v>0</v>
      </c>
      <c r="F26" s="190">
        <v>0</v>
      </c>
      <c r="G26" s="190">
        <f>E26*F26</f>
        <v>0</v>
      </c>
      <c r="H26" s="26"/>
      <c r="I26" s="26"/>
    </row>
    <row r="27" spans="1:9">
      <c r="A27" s="27"/>
      <c r="B27" s="275"/>
      <c r="C27" s="135"/>
      <c r="D27" s="105"/>
      <c r="E27" s="190">
        <v>0</v>
      </c>
      <c r="F27" s="190">
        <v>0</v>
      </c>
      <c r="G27" s="190">
        <f>E27*F27</f>
        <v>0</v>
      </c>
      <c r="H27" s="26"/>
      <c r="I27" s="26"/>
    </row>
    <row r="28" spans="1:9">
      <c r="A28" s="27"/>
      <c r="B28" s="92"/>
      <c r="C28" s="193" t="s">
        <v>2376</v>
      </c>
      <c r="D28" s="159"/>
      <c r="E28" s="238"/>
      <c r="F28" s="236" t="s">
        <v>1698</v>
      </c>
      <c r="G28" s="318">
        <f>SUM(G26:G27)</f>
        <v>0</v>
      </c>
      <c r="H28" s="26"/>
      <c r="I28" s="26"/>
    </row>
    <row r="29" spans="1:9">
      <c r="A29" s="27"/>
      <c r="B29" s="78"/>
      <c r="C29" s="26"/>
      <c r="D29" s="26"/>
      <c r="E29" s="26"/>
      <c r="F29" s="26"/>
      <c r="G29" s="26"/>
      <c r="H29" s="26"/>
      <c r="I29" s="26"/>
    </row>
    <row r="30" spans="1:9">
      <c r="A30" s="27"/>
      <c r="B30" s="27" t="s">
        <v>2377</v>
      </c>
      <c r="C30" s="26"/>
      <c r="D30" s="26"/>
      <c r="E30" s="26"/>
      <c r="F30" s="26"/>
      <c r="G30" s="26"/>
      <c r="H30" s="26"/>
      <c r="I30" s="26"/>
    </row>
    <row r="31" spans="1:9">
      <c r="A31" s="27"/>
      <c r="B31" s="95" t="s">
        <v>2369</v>
      </c>
      <c r="C31" s="157" t="s">
        <v>2378</v>
      </c>
      <c r="D31" s="95" t="s">
        <v>2370</v>
      </c>
      <c r="E31" s="95" t="s">
        <v>1166</v>
      </c>
      <c r="F31" s="95" t="s">
        <v>2371</v>
      </c>
      <c r="G31" s="95" t="s">
        <v>2372</v>
      </c>
      <c r="H31" s="26"/>
      <c r="I31" s="26"/>
    </row>
    <row r="32" spans="1:9">
      <c r="A32" s="27"/>
      <c r="B32" s="114"/>
      <c r="C32" s="154"/>
      <c r="D32" s="114"/>
      <c r="E32" s="114"/>
      <c r="F32" s="114" t="s">
        <v>3485</v>
      </c>
      <c r="G32" s="114" t="s">
        <v>3485</v>
      </c>
      <c r="H32" s="26"/>
      <c r="I32" s="26"/>
    </row>
    <row r="33" spans="1:9">
      <c r="A33" s="27"/>
      <c r="B33" s="95">
        <v>1</v>
      </c>
      <c r="C33" s="93" t="s">
        <v>6976</v>
      </c>
      <c r="D33" s="95"/>
      <c r="E33" s="190">
        <v>0</v>
      </c>
      <c r="F33" s="190">
        <v>0</v>
      </c>
      <c r="G33" s="190">
        <f>E33*F33</f>
        <v>0</v>
      </c>
      <c r="H33" s="26"/>
      <c r="I33" s="26"/>
    </row>
    <row r="34" spans="1:9">
      <c r="A34" s="27"/>
      <c r="B34" s="280"/>
      <c r="C34" s="135"/>
      <c r="D34" s="105"/>
      <c r="E34" s="190">
        <v>0</v>
      </c>
      <c r="F34" s="190">
        <v>0</v>
      </c>
      <c r="G34" s="190">
        <f>E34*F34</f>
        <v>0</v>
      </c>
      <c r="H34" s="26"/>
      <c r="I34" s="26"/>
    </row>
    <row r="35" spans="1:9">
      <c r="A35" s="27"/>
      <c r="B35" s="92"/>
      <c r="C35" s="193" t="s">
        <v>2380</v>
      </c>
      <c r="D35" s="159"/>
      <c r="E35" s="238"/>
      <c r="F35" s="236" t="s">
        <v>1698</v>
      </c>
      <c r="G35" s="318">
        <f>SUM(G33:G34)</f>
        <v>0</v>
      </c>
      <c r="H35" s="26"/>
      <c r="I35" s="26"/>
    </row>
    <row r="36" spans="1:9">
      <c r="A36" s="27"/>
      <c r="B36" s="78"/>
      <c r="C36" s="26"/>
      <c r="D36" s="26"/>
      <c r="E36" s="26"/>
      <c r="F36" s="26"/>
      <c r="G36" s="26"/>
      <c r="H36" s="26"/>
      <c r="I36" s="26"/>
    </row>
    <row r="37" spans="1:9">
      <c r="A37" s="27"/>
      <c r="B37" s="79" t="s">
        <v>2381</v>
      </c>
      <c r="C37" s="26"/>
      <c r="D37" s="26"/>
      <c r="E37" s="26"/>
      <c r="F37" s="26"/>
      <c r="G37" s="26"/>
      <c r="H37" s="26"/>
      <c r="I37" s="26"/>
    </row>
    <row r="38" spans="1:9">
      <c r="A38" s="27"/>
      <c r="B38" s="95" t="s">
        <v>2369</v>
      </c>
      <c r="C38" s="157" t="s">
        <v>2378</v>
      </c>
      <c r="D38" s="95" t="s">
        <v>2370</v>
      </c>
      <c r="E38" s="95" t="s">
        <v>1166</v>
      </c>
      <c r="F38" s="95" t="s">
        <v>2371</v>
      </c>
      <c r="G38" s="95" t="s">
        <v>2372</v>
      </c>
      <c r="H38" s="26"/>
      <c r="I38" s="26"/>
    </row>
    <row r="39" spans="1:9">
      <c r="A39" s="27"/>
      <c r="B39" s="114"/>
      <c r="C39" s="154"/>
      <c r="D39" s="114"/>
      <c r="E39" s="114"/>
      <c r="F39" s="114" t="s">
        <v>3485</v>
      </c>
      <c r="G39" s="114" t="s">
        <v>3485</v>
      </c>
      <c r="H39" s="26"/>
      <c r="I39" s="26"/>
    </row>
    <row r="40" spans="1:9">
      <c r="A40" s="27"/>
      <c r="B40" s="105">
        <v>1</v>
      </c>
      <c r="C40" s="76" t="s">
        <v>4206</v>
      </c>
      <c r="D40" s="105" t="s">
        <v>1172</v>
      </c>
      <c r="E40" s="207">
        <v>0.25</v>
      </c>
      <c r="F40" s="190">
        <f>'BASIC DATA'!$C$473</f>
        <v>450</v>
      </c>
      <c r="G40" s="190">
        <f>E40*F40</f>
        <v>112.5</v>
      </c>
      <c r="H40" s="26"/>
      <c r="I40" s="26"/>
    </row>
    <row r="41" spans="1:9">
      <c r="A41" s="27"/>
      <c r="B41" s="105">
        <v>2</v>
      </c>
      <c r="C41" s="76" t="s">
        <v>2697</v>
      </c>
      <c r="D41" s="105" t="s">
        <v>1172</v>
      </c>
      <c r="E41" s="207">
        <v>6</v>
      </c>
      <c r="F41" s="190">
        <f>'BASIC DATA'!$C$552</f>
        <v>350</v>
      </c>
      <c r="G41" s="190">
        <f>E41*F41</f>
        <v>2100</v>
      </c>
      <c r="H41" s="26"/>
      <c r="I41" s="26"/>
    </row>
    <row r="42" spans="1:9">
      <c r="A42" s="27"/>
      <c r="B42" s="92"/>
      <c r="C42" s="193" t="s">
        <v>1174</v>
      </c>
      <c r="D42" s="159"/>
      <c r="E42" s="238"/>
      <c r="F42" s="236" t="s">
        <v>1698</v>
      </c>
      <c r="G42" s="318">
        <f>SUM(G40:G41)</f>
        <v>2212.5</v>
      </c>
      <c r="H42" s="26"/>
      <c r="I42" s="26"/>
    </row>
    <row r="43" spans="1:9">
      <c r="A43" s="27"/>
      <c r="B43" s="60" t="s">
        <v>5948</v>
      </c>
      <c r="C43" s="26"/>
      <c r="D43" s="31"/>
      <c r="E43" s="85">
        <f>ROUND(G42/F22,1)</f>
        <v>221.3</v>
      </c>
      <c r="F43" s="26"/>
      <c r="G43" s="26"/>
      <c r="H43" s="26"/>
      <c r="I43" s="26"/>
    </row>
    <row r="44" spans="1:9">
      <c r="A44" s="27"/>
      <c r="B44" s="60" t="s">
        <v>3163</v>
      </c>
      <c r="C44" s="26"/>
      <c r="D44" s="31">
        <f>'BASIC DATA'!$C$577</f>
        <v>0.13614999999999999</v>
      </c>
      <c r="E44" s="85">
        <f>ROUND(E43*D44,1)</f>
        <v>30.1</v>
      </c>
      <c r="F44" s="26"/>
      <c r="G44" s="26"/>
      <c r="H44" s="26"/>
      <c r="I44" s="26"/>
    </row>
    <row r="45" spans="1:9">
      <c r="A45" s="27"/>
      <c r="B45" s="60" t="s">
        <v>5949</v>
      </c>
      <c r="C45" s="26"/>
      <c r="D45" s="31"/>
      <c r="E45" s="199">
        <f>ROUND(E44+E43,1)</f>
        <v>251.4</v>
      </c>
      <c r="F45" s="26"/>
      <c r="G45" s="26"/>
      <c r="H45" s="26"/>
      <c r="I45" s="26"/>
    </row>
    <row r="46" spans="1:9">
      <c r="A46" s="27"/>
      <c r="B46" s="26"/>
      <c r="C46" s="26"/>
      <c r="D46" s="26"/>
      <c r="E46" s="26"/>
      <c r="F46" s="26"/>
      <c r="G46" s="26"/>
      <c r="H46" s="26"/>
      <c r="I46" s="26"/>
    </row>
    <row r="47" spans="1:9">
      <c r="A47" s="27"/>
      <c r="B47" s="170" t="s">
        <v>1175</v>
      </c>
      <c r="C47" s="26"/>
      <c r="D47" s="26"/>
      <c r="E47" s="26"/>
      <c r="F47" s="26"/>
      <c r="G47" s="26"/>
      <c r="H47" s="26"/>
      <c r="I47" s="26"/>
    </row>
    <row r="48" spans="1:9">
      <c r="A48" s="27"/>
      <c r="B48" s="26" t="s">
        <v>1176</v>
      </c>
      <c r="C48" s="26"/>
      <c r="D48" s="26"/>
      <c r="E48" s="26"/>
      <c r="F48" s="171" t="s">
        <v>1698</v>
      </c>
      <c r="G48" s="68">
        <f>G28</f>
        <v>0</v>
      </c>
      <c r="H48" s="26"/>
      <c r="I48" s="26"/>
    </row>
    <row r="49" spans="1:9">
      <c r="A49" s="27"/>
      <c r="B49" s="26" t="s">
        <v>1186</v>
      </c>
      <c r="C49" s="26"/>
      <c r="D49" s="26"/>
      <c r="E49" s="26"/>
      <c r="F49" s="171" t="s">
        <v>1698</v>
      </c>
      <c r="G49" s="68">
        <f>G35</f>
        <v>0</v>
      </c>
      <c r="H49" s="26"/>
      <c r="I49" s="26"/>
    </row>
    <row r="50" spans="1:9">
      <c r="A50" s="27"/>
      <c r="B50" s="26" t="s">
        <v>2660</v>
      </c>
      <c r="C50" s="26"/>
      <c r="D50" s="26"/>
      <c r="E50" s="26"/>
      <c r="F50" s="171" t="s">
        <v>1698</v>
      </c>
      <c r="G50" s="75">
        <f>G42</f>
        <v>2212.5</v>
      </c>
      <c r="H50" s="26"/>
      <c r="I50" s="26"/>
    </row>
    <row r="51" spans="1:9">
      <c r="A51" s="27"/>
      <c r="B51" s="78"/>
      <c r="C51" s="26"/>
      <c r="D51" s="26"/>
      <c r="E51" s="171"/>
      <c r="F51" s="171" t="s">
        <v>302</v>
      </c>
      <c r="G51" s="205">
        <f>SUM(G48:G50)</f>
        <v>2212.5</v>
      </c>
      <c r="H51" s="26"/>
      <c r="I51" s="26"/>
    </row>
    <row r="52" spans="1:9">
      <c r="A52" s="27"/>
      <c r="B52" s="26" t="s">
        <v>1379</v>
      </c>
      <c r="C52" s="26"/>
      <c r="D52" s="26"/>
      <c r="E52" s="249">
        <f>'BASIC DATA'!$C$577</f>
        <v>0.13614999999999999</v>
      </c>
      <c r="F52" s="26" t="s">
        <v>1698</v>
      </c>
      <c r="G52" s="26">
        <f>ROUND(G51*E52,2)</f>
        <v>301.23</v>
      </c>
      <c r="H52" s="26"/>
      <c r="I52" s="26"/>
    </row>
    <row r="53" spans="1:9">
      <c r="A53" s="27"/>
      <c r="B53" s="26" t="s">
        <v>1191</v>
      </c>
      <c r="C53" s="26"/>
      <c r="D53" s="68">
        <f>F22</f>
        <v>10</v>
      </c>
      <c r="E53" s="68" t="str">
        <f>G22</f>
        <v>cum</v>
      </c>
      <c r="F53" s="26" t="s">
        <v>1698</v>
      </c>
      <c r="G53" s="170">
        <f>G52+G51</f>
        <v>2513.73</v>
      </c>
      <c r="H53" s="26"/>
      <c r="I53" s="26"/>
    </row>
    <row r="54" spans="1:9">
      <c r="A54" s="27"/>
      <c r="B54" s="170" t="s">
        <v>1584</v>
      </c>
      <c r="C54" s="211" t="str">
        <f>E53</f>
        <v>cum</v>
      </c>
      <c r="D54" s="26" t="s">
        <v>5891</v>
      </c>
      <c r="E54" s="26"/>
      <c r="F54" s="26" t="s">
        <v>4108</v>
      </c>
      <c r="G54" s="211">
        <f>ROUND(G53/D53,1)</f>
        <v>251.4</v>
      </c>
      <c r="H54" s="26"/>
      <c r="I54" s="621"/>
    </row>
    <row r="55" spans="1:9">
      <c r="A55" s="27"/>
      <c r="B55" s="78"/>
      <c r="C55" s="26"/>
      <c r="D55" s="26"/>
      <c r="E55" s="26"/>
      <c r="F55" s="26"/>
      <c r="G55" s="26"/>
      <c r="H55" s="26"/>
      <c r="I55" s="26"/>
    </row>
    <row r="56" spans="1:9">
      <c r="A56" s="27"/>
      <c r="B56" s="78"/>
      <c r="C56" s="26"/>
      <c r="D56" s="26"/>
      <c r="E56" s="26"/>
      <c r="F56" s="26"/>
      <c r="G56" s="26"/>
      <c r="H56" s="26"/>
      <c r="I56" s="26"/>
    </row>
    <row r="57" spans="1:9">
      <c r="A57" s="27" t="s">
        <v>7532</v>
      </c>
      <c r="B57" s="1256" t="s">
        <v>1210</v>
      </c>
      <c r="C57" s="1256"/>
      <c r="D57" s="623" t="s">
        <v>4172</v>
      </c>
      <c r="E57" s="56"/>
      <c r="F57" s="624"/>
      <c r="G57" s="54"/>
      <c r="H57" s="54"/>
      <c r="I57" s="54"/>
    </row>
    <row r="58" spans="1:9">
      <c r="A58" s="533"/>
      <c r="B58" s="56" t="s">
        <v>9022</v>
      </c>
      <c r="C58" s="57"/>
      <c r="D58" s="56"/>
      <c r="E58" s="56"/>
      <c r="F58" s="624"/>
      <c r="G58" s="54"/>
      <c r="H58" s="54"/>
      <c r="I58" s="54"/>
    </row>
    <row r="59" spans="1:9">
      <c r="A59" s="533"/>
      <c r="B59" s="56" t="s">
        <v>9023</v>
      </c>
      <c r="C59" s="57"/>
      <c r="D59" s="56"/>
      <c r="E59" s="56"/>
      <c r="F59" s="624"/>
      <c r="G59" s="54"/>
      <c r="H59" s="54"/>
      <c r="I59" s="54"/>
    </row>
    <row r="60" spans="1:9">
      <c r="A60" s="533"/>
      <c r="B60" s="56" t="s">
        <v>9024</v>
      </c>
      <c r="C60" s="56"/>
      <c r="D60" s="626"/>
      <c r="E60" s="54"/>
      <c r="F60" s="54"/>
      <c r="G60" s="54"/>
      <c r="H60" s="55"/>
      <c r="I60" s="57"/>
    </row>
    <row r="61" spans="1:9" ht="36">
      <c r="A61" s="533"/>
      <c r="B61" s="627" t="s">
        <v>6748</v>
      </c>
      <c r="C61" s="57"/>
      <c r="D61" s="626"/>
      <c r="E61" s="54"/>
      <c r="F61" s="54"/>
      <c r="G61" s="54"/>
      <c r="H61" s="55"/>
      <c r="I61" s="57"/>
    </row>
    <row r="62" spans="1:9">
      <c r="A62" s="533"/>
      <c r="B62" s="624" t="s">
        <v>359</v>
      </c>
      <c r="C62" s="57"/>
      <c r="D62" s="626"/>
      <c r="E62" s="54"/>
      <c r="F62" s="54"/>
      <c r="G62" s="54"/>
      <c r="H62" s="55"/>
      <c r="I62" s="57"/>
    </row>
    <row r="63" spans="1:9">
      <c r="A63" s="27" t="s">
        <v>3984</v>
      </c>
      <c r="B63" s="1257" t="s">
        <v>6749</v>
      </c>
      <c r="C63" s="1257"/>
      <c r="D63" s="628" t="s">
        <v>2370</v>
      </c>
      <c r="E63" s="629">
        <v>240</v>
      </c>
      <c r="F63" s="54" t="s">
        <v>3477</v>
      </c>
      <c r="G63" s="54"/>
      <c r="H63" s="55"/>
      <c r="I63" s="57"/>
    </row>
    <row r="64" spans="1:9" ht="36">
      <c r="A64" s="533"/>
      <c r="B64" s="630" t="s">
        <v>8037</v>
      </c>
      <c r="C64" s="631"/>
      <c r="D64" s="626"/>
      <c r="E64" s="54"/>
      <c r="F64" s="54"/>
      <c r="G64" s="54"/>
      <c r="H64" s="55"/>
      <c r="I64" s="57"/>
    </row>
    <row r="65" spans="1:9">
      <c r="A65" s="533"/>
      <c r="B65" s="95" t="s">
        <v>2369</v>
      </c>
      <c r="C65" s="97" t="s">
        <v>2378</v>
      </c>
      <c r="D65" s="97" t="s">
        <v>2370</v>
      </c>
      <c r="E65" s="97" t="s">
        <v>1166</v>
      </c>
      <c r="F65" s="175" t="s">
        <v>2371</v>
      </c>
      <c r="G65" s="95" t="s">
        <v>2372</v>
      </c>
      <c r="H65" s="55"/>
      <c r="I65" s="57"/>
    </row>
    <row r="66" spans="1:9">
      <c r="A66" s="533"/>
      <c r="B66" s="114"/>
      <c r="C66" s="192"/>
      <c r="D66" s="115"/>
      <c r="E66" s="115"/>
      <c r="F66" s="188" t="s">
        <v>3485</v>
      </c>
      <c r="G66" s="114" t="s">
        <v>3485</v>
      </c>
      <c r="H66" s="55"/>
      <c r="I66" s="57"/>
    </row>
    <row r="67" spans="1:9">
      <c r="A67" s="533"/>
      <c r="B67" s="632"/>
      <c r="C67" s="633" t="s">
        <v>6976</v>
      </c>
      <c r="D67" s="504"/>
      <c r="E67" s="634">
        <v>0</v>
      </c>
      <c r="F67" s="634">
        <v>0</v>
      </c>
      <c r="G67" s="635">
        <v>0</v>
      </c>
      <c r="H67" s="55"/>
      <c r="I67" s="57"/>
    </row>
    <row r="68" spans="1:9">
      <c r="A68" s="533"/>
      <c r="B68" s="636"/>
      <c r="C68" s="631"/>
      <c r="D68" s="626"/>
      <c r="E68" s="54"/>
      <c r="F68" s="54"/>
      <c r="G68" s="54"/>
      <c r="H68" s="55"/>
      <c r="I68" s="57"/>
    </row>
    <row r="69" spans="1:9">
      <c r="A69" s="533"/>
      <c r="B69" s="637" t="s">
        <v>8038</v>
      </c>
      <c r="C69" s="638"/>
      <c r="D69" s="639"/>
      <c r="E69" s="640"/>
      <c r="F69" s="640"/>
      <c r="G69" s="640"/>
      <c r="H69" s="55"/>
      <c r="I69" s="57"/>
    </row>
    <row r="70" spans="1:9">
      <c r="A70" s="27"/>
      <c r="B70" s="105" t="s">
        <v>2369</v>
      </c>
      <c r="C70" s="93" t="s">
        <v>2378</v>
      </c>
      <c r="D70" s="105" t="s">
        <v>2370</v>
      </c>
      <c r="E70" s="105" t="s">
        <v>1166</v>
      </c>
      <c r="F70" s="105" t="s">
        <v>2371</v>
      </c>
      <c r="G70" s="93" t="s">
        <v>2372</v>
      </c>
      <c r="H70" s="147"/>
      <c r="I70" s="26"/>
    </row>
    <row r="71" spans="1:9">
      <c r="A71" s="27"/>
      <c r="B71" s="114"/>
      <c r="C71" s="154"/>
      <c r="D71" s="114"/>
      <c r="E71" s="114"/>
      <c r="F71" s="114" t="s">
        <v>3485</v>
      </c>
      <c r="G71" s="176" t="s">
        <v>3485</v>
      </c>
      <c r="H71" s="147"/>
      <c r="I71" s="26"/>
    </row>
    <row r="72" spans="1:9" ht="36">
      <c r="A72" s="533"/>
      <c r="B72" s="641">
        <v>1</v>
      </c>
      <c r="C72" s="642" t="s">
        <v>6751</v>
      </c>
      <c r="D72" s="58" t="s">
        <v>1189</v>
      </c>
      <c r="E72" s="59">
        <v>6</v>
      </c>
      <c r="F72" s="59">
        <f>'HIRE CHARGES'!$D$543</f>
        <v>1706.6</v>
      </c>
      <c r="G72" s="643">
        <f>F72*E72</f>
        <v>10239.599999999999</v>
      </c>
      <c r="H72" s="644"/>
      <c r="I72" s="57"/>
    </row>
    <row r="73" spans="1:9">
      <c r="A73" s="533"/>
      <c r="B73" s="645"/>
      <c r="C73" s="642" t="s">
        <v>4173</v>
      </c>
      <c r="D73" s="58" t="s">
        <v>1189</v>
      </c>
      <c r="E73" s="59">
        <v>6</v>
      </c>
      <c r="F73" s="59">
        <f>'HIRE CHARGES'!$E$543</f>
        <v>872.7</v>
      </c>
      <c r="G73" s="643">
        <f>F73*E73</f>
        <v>5236.2000000000007</v>
      </c>
      <c r="H73" s="644"/>
      <c r="I73" s="57"/>
    </row>
    <row r="74" spans="1:9">
      <c r="A74" s="533"/>
      <c r="B74" s="645"/>
      <c r="C74" s="646" t="s">
        <v>360</v>
      </c>
      <c r="D74" s="510"/>
      <c r="E74" s="647"/>
      <c r="F74" s="648"/>
      <c r="G74" s="649">
        <f>SUM(G72:G73)</f>
        <v>15475.8</v>
      </c>
      <c r="H74" s="644"/>
      <c r="I74" s="57"/>
    </row>
    <row r="75" spans="1:9">
      <c r="A75" s="533"/>
      <c r="B75" s="650"/>
      <c r="C75" s="631"/>
      <c r="D75" s="626"/>
      <c r="E75" s="54"/>
      <c r="F75" s="54"/>
      <c r="G75" s="629"/>
      <c r="H75" s="55"/>
      <c r="I75" s="57"/>
    </row>
    <row r="76" spans="1:9">
      <c r="A76" s="533"/>
      <c r="B76" s="651" t="s">
        <v>8039</v>
      </c>
      <c r="C76" s="638"/>
      <c r="D76" s="639"/>
      <c r="E76" s="640"/>
      <c r="F76" s="640"/>
      <c r="G76" s="640"/>
      <c r="H76" s="55"/>
      <c r="I76" s="57"/>
    </row>
    <row r="77" spans="1:9">
      <c r="A77" s="27"/>
      <c r="B77" s="105" t="s">
        <v>2369</v>
      </c>
      <c r="C77" s="93" t="s">
        <v>2378</v>
      </c>
      <c r="D77" s="105" t="s">
        <v>2370</v>
      </c>
      <c r="E77" s="105" t="s">
        <v>1166</v>
      </c>
      <c r="F77" s="105" t="s">
        <v>2371</v>
      </c>
      <c r="G77" s="105" t="s">
        <v>2372</v>
      </c>
      <c r="H77" s="26"/>
      <c r="I77" s="26"/>
    </row>
    <row r="78" spans="1:9">
      <c r="A78" s="27"/>
      <c r="B78" s="114"/>
      <c r="C78" s="154"/>
      <c r="D78" s="114"/>
      <c r="E78" s="114"/>
      <c r="F78" s="114" t="s">
        <v>3485</v>
      </c>
      <c r="G78" s="114" t="s">
        <v>3485</v>
      </c>
      <c r="H78" s="26"/>
      <c r="I78" s="26"/>
    </row>
    <row r="79" spans="1:9">
      <c r="A79" s="533"/>
      <c r="B79" s="641">
        <v>1</v>
      </c>
      <c r="C79" s="642" t="s">
        <v>4206</v>
      </c>
      <c r="D79" s="58" t="s">
        <v>1581</v>
      </c>
      <c r="E79" s="59">
        <v>0.32</v>
      </c>
      <c r="F79" s="59">
        <f>'BASIC DATA'!$C$473</f>
        <v>450</v>
      </c>
      <c r="G79" s="643">
        <f>F79*E79</f>
        <v>144</v>
      </c>
      <c r="H79" s="644"/>
      <c r="I79" s="57"/>
    </row>
    <row r="80" spans="1:9">
      <c r="A80" s="533"/>
      <c r="B80" s="641">
        <v>2</v>
      </c>
      <c r="C80" s="642" t="s">
        <v>4647</v>
      </c>
      <c r="D80" s="58" t="s">
        <v>1581</v>
      </c>
      <c r="E80" s="59">
        <v>8</v>
      </c>
      <c r="F80" s="59">
        <f>'BASIC DATA'!$C$552</f>
        <v>350</v>
      </c>
      <c r="G80" s="643">
        <f>F80*E80</f>
        <v>2800</v>
      </c>
      <c r="H80" s="644"/>
      <c r="I80" s="57"/>
    </row>
    <row r="81" spans="1:9">
      <c r="A81" s="533"/>
      <c r="B81" s="641">
        <v>3</v>
      </c>
      <c r="C81" s="642" t="s">
        <v>4174</v>
      </c>
      <c r="D81" s="58" t="s">
        <v>1189</v>
      </c>
      <c r="E81" s="59">
        <v>6</v>
      </c>
      <c r="F81" s="59">
        <f>'HIRE CHARGES'!$F$543</f>
        <v>236.6</v>
      </c>
      <c r="G81" s="643">
        <f>F81*E81</f>
        <v>1419.6</v>
      </c>
      <c r="H81" s="644"/>
      <c r="I81" s="57"/>
    </row>
    <row r="82" spans="1:9">
      <c r="A82" s="533"/>
      <c r="B82" s="641"/>
      <c r="C82" s="642" t="s">
        <v>360</v>
      </c>
      <c r="D82" s="58"/>
      <c r="E82" s="59"/>
      <c r="F82" s="59"/>
      <c r="G82" s="652">
        <f>SUM(G79:G81)</f>
        <v>4363.6000000000004</v>
      </c>
      <c r="H82" s="644"/>
      <c r="I82" s="57"/>
    </row>
    <row r="83" spans="1:9">
      <c r="A83" s="533"/>
      <c r="B83" s="60" t="s">
        <v>5948</v>
      </c>
      <c r="C83" s="57"/>
      <c r="D83" s="31"/>
      <c r="E83" s="85">
        <f>ROUND(G82/E63,1)</f>
        <v>18.2</v>
      </c>
      <c r="F83" s="57"/>
      <c r="G83" s="57"/>
      <c r="H83" s="55"/>
      <c r="I83" s="57"/>
    </row>
    <row r="84" spans="1:9">
      <c r="A84" s="533"/>
      <c r="B84" s="60" t="s">
        <v>3163</v>
      </c>
      <c r="C84" s="57"/>
      <c r="D84" s="31">
        <f>'BASIC DATA'!$C$577</f>
        <v>0.13614999999999999</v>
      </c>
      <c r="E84" s="85">
        <f>ROUND(E83*D84,1)</f>
        <v>2.5</v>
      </c>
      <c r="F84" s="57"/>
      <c r="G84" s="57"/>
      <c r="H84" s="55"/>
      <c r="I84" s="57"/>
    </row>
    <row r="85" spans="1:9">
      <c r="A85" s="533"/>
      <c r="B85" s="60" t="s">
        <v>5949</v>
      </c>
      <c r="C85" s="57"/>
      <c r="D85" s="31"/>
      <c r="E85" s="199">
        <f>ROUND(E84+E83,1)</f>
        <v>20.7</v>
      </c>
      <c r="F85" s="57"/>
      <c r="G85" s="57"/>
      <c r="H85" s="55"/>
      <c r="I85" s="57"/>
    </row>
    <row r="86" spans="1:9">
      <c r="A86" s="533"/>
      <c r="B86" s="650"/>
      <c r="C86" s="631"/>
      <c r="D86" s="626"/>
      <c r="E86" s="54"/>
      <c r="F86" s="54"/>
      <c r="G86" s="54"/>
      <c r="H86" s="55"/>
      <c r="I86" s="57"/>
    </row>
    <row r="87" spans="1:9">
      <c r="A87" s="533"/>
      <c r="B87" s="653" t="s">
        <v>2987</v>
      </c>
      <c r="C87" s="57"/>
      <c r="D87" s="626"/>
      <c r="E87" s="54"/>
      <c r="F87" s="54"/>
      <c r="G87" s="54"/>
      <c r="H87" s="55"/>
      <c r="I87" s="57"/>
    </row>
    <row r="88" spans="1:9">
      <c r="A88" s="533"/>
      <c r="B88" s="654" t="s">
        <v>8040</v>
      </c>
      <c r="C88" s="57"/>
      <c r="D88" s="626"/>
      <c r="E88" s="54"/>
      <c r="F88" s="54" t="s">
        <v>4391</v>
      </c>
      <c r="G88" s="54">
        <f>G67</f>
        <v>0</v>
      </c>
      <c r="H88" s="55"/>
      <c r="I88" s="57"/>
    </row>
    <row r="89" spans="1:9">
      <c r="A89" s="533"/>
      <c r="B89" s="654" t="s">
        <v>6966</v>
      </c>
      <c r="C89" s="57"/>
      <c r="D89" s="626"/>
      <c r="E89" s="54"/>
      <c r="F89" s="54" t="s">
        <v>4391</v>
      </c>
      <c r="G89" s="54">
        <f>G74</f>
        <v>15475.8</v>
      </c>
      <c r="H89" s="55"/>
      <c r="I89" s="57"/>
    </row>
    <row r="90" spans="1:9">
      <c r="A90" s="533"/>
      <c r="B90" s="654" t="s">
        <v>8041</v>
      </c>
      <c r="C90" s="57"/>
      <c r="D90" s="626"/>
      <c r="E90" s="54"/>
      <c r="F90" s="54" t="s">
        <v>4391</v>
      </c>
      <c r="G90" s="54">
        <f>G82</f>
        <v>4363.6000000000004</v>
      </c>
      <c r="H90" s="55"/>
      <c r="I90" s="57"/>
    </row>
    <row r="91" spans="1:9">
      <c r="A91" s="533"/>
      <c r="B91" s="654" t="s">
        <v>2392</v>
      </c>
      <c r="C91" s="57"/>
      <c r="D91" s="626"/>
      <c r="E91" s="54"/>
      <c r="F91" s="54" t="s">
        <v>4391</v>
      </c>
      <c r="G91" s="647">
        <f>SUM(G88:G90)</f>
        <v>19839.400000000001</v>
      </c>
      <c r="H91" s="55"/>
      <c r="I91" s="57"/>
    </row>
    <row r="92" spans="1:9">
      <c r="A92" s="533"/>
      <c r="B92" s="26" t="s">
        <v>1379</v>
      </c>
      <c r="C92" s="26"/>
      <c r="D92" s="26"/>
      <c r="E92" s="249">
        <f>'BASIC DATA'!$C$577</f>
        <v>0.13614999999999999</v>
      </c>
      <c r="F92" s="26" t="s">
        <v>1698</v>
      </c>
      <c r="G92" s="26">
        <f>ROUND(G91*E92,2)</f>
        <v>2701.13</v>
      </c>
      <c r="H92" s="55"/>
      <c r="I92" s="57"/>
    </row>
    <row r="93" spans="1:9">
      <c r="A93" s="533"/>
      <c r="B93" s="26" t="s">
        <v>1191</v>
      </c>
      <c r="C93" s="26"/>
      <c r="D93" s="68">
        <f>E63</f>
        <v>240</v>
      </c>
      <c r="E93" s="68" t="str">
        <f>F63</f>
        <v>cum</v>
      </c>
      <c r="F93" s="26" t="s">
        <v>1698</v>
      </c>
      <c r="G93" s="170">
        <f>G92+G91</f>
        <v>22540.530000000002</v>
      </c>
      <c r="H93" s="55"/>
      <c r="I93" s="57"/>
    </row>
    <row r="94" spans="1:9">
      <c r="A94" s="533"/>
      <c r="B94" s="170" t="s">
        <v>1584</v>
      </c>
      <c r="C94" s="211" t="str">
        <f>E93</f>
        <v>cum</v>
      </c>
      <c r="D94" s="26" t="s">
        <v>5897</v>
      </c>
      <c r="E94" s="26"/>
      <c r="F94" s="26" t="s">
        <v>4108</v>
      </c>
      <c r="G94" s="211">
        <f>ROUND(G93/D93,1)</f>
        <v>93.9</v>
      </c>
      <c r="H94" s="26"/>
      <c r="I94" s="57"/>
    </row>
    <row r="95" spans="1:9">
      <c r="A95" s="533"/>
      <c r="B95" s="650"/>
      <c r="C95" s="631"/>
      <c r="D95" s="655"/>
      <c r="E95" s="54"/>
      <c r="F95" s="54"/>
      <c r="G95" s="54"/>
      <c r="H95" s="55"/>
      <c r="I95" s="57"/>
    </row>
    <row r="96" spans="1:9">
      <c r="A96" s="533"/>
      <c r="B96" s="626"/>
      <c r="C96" s="624"/>
      <c r="D96" s="57"/>
      <c r="E96" s="57"/>
      <c r="F96" s="624"/>
      <c r="G96" s="54"/>
      <c r="H96" s="54"/>
      <c r="I96" s="54"/>
    </row>
    <row r="97" spans="1:9" ht="18.75">
      <c r="A97" s="27" t="s">
        <v>7533</v>
      </c>
      <c r="B97" s="1206" t="s">
        <v>8898</v>
      </c>
      <c r="C97" s="1206"/>
      <c r="D97" s="1206"/>
      <c r="E97" s="1206"/>
      <c r="F97" s="1206"/>
      <c r="G97" s="1206"/>
      <c r="H97" s="26"/>
      <c r="I97" s="26"/>
    </row>
    <row r="98" spans="1:9">
      <c r="A98" s="27"/>
      <c r="B98" s="1206" t="s">
        <v>7995</v>
      </c>
      <c r="C98" s="1206"/>
      <c r="D98" s="1206"/>
      <c r="E98" s="1206"/>
      <c r="F98" s="1206"/>
      <c r="G98" s="27"/>
      <c r="H98" s="26"/>
      <c r="I98" s="26"/>
    </row>
    <row r="99" spans="1:9">
      <c r="A99" s="27"/>
      <c r="B99" s="26" t="s">
        <v>743</v>
      </c>
      <c r="C99" s="26"/>
      <c r="D99" s="26"/>
      <c r="E99" s="26"/>
      <c r="F99" s="26"/>
      <c r="G99" s="26"/>
      <c r="H99" s="26"/>
      <c r="I99" s="26"/>
    </row>
    <row r="100" spans="1:9" ht="18.75">
      <c r="A100" s="27"/>
      <c r="B100" s="170" t="s">
        <v>8899</v>
      </c>
      <c r="C100" s="26"/>
      <c r="D100" s="26"/>
      <c r="E100" s="26"/>
      <c r="F100" s="26"/>
      <c r="G100" s="26"/>
      <c r="H100" s="26"/>
      <c r="I100" s="26"/>
    </row>
    <row r="101" spans="1:9">
      <c r="A101" s="27"/>
      <c r="B101" s="26"/>
      <c r="C101" s="26"/>
      <c r="D101" s="26"/>
      <c r="E101" s="26"/>
      <c r="F101" s="26"/>
      <c r="G101" s="26"/>
      <c r="H101" s="26"/>
      <c r="I101" s="26"/>
    </row>
    <row r="102" spans="1:9">
      <c r="A102" s="27" t="s">
        <v>3984</v>
      </c>
      <c r="B102" s="26" t="s">
        <v>1732</v>
      </c>
      <c r="C102" s="26"/>
      <c r="D102" s="26"/>
      <c r="E102" s="26"/>
      <c r="F102" s="26"/>
      <c r="G102" s="26"/>
      <c r="H102" s="26"/>
      <c r="I102" s="26"/>
    </row>
    <row r="103" spans="1:9">
      <c r="A103" s="27" t="s">
        <v>3984</v>
      </c>
      <c r="B103" s="78"/>
      <c r="C103" s="203" t="s">
        <v>2367</v>
      </c>
      <c r="D103" s="26"/>
      <c r="E103" s="171" t="s">
        <v>297</v>
      </c>
      <c r="F103" s="246">
        <v>10</v>
      </c>
      <c r="G103" s="26" t="s">
        <v>3477</v>
      </c>
      <c r="H103" s="26"/>
      <c r="I103" s="26"/>
    </row>
    <row r="104" spans="1:9">
      <c r="A104" s="27"/>
      <c r="B104" s="79" t="s">
        <v>2368</v>
      </c>
      <c r="C104" s="26"/>
      <c r="D104" s="26"/>
      <c r="E104" s="26"/>
      <c r="F104" s="26"/>
      <c r="G104" s="26"/>
      <c r="H104" s="26"/>
      <c r="I104" s="26"/>
    </row>
    <row r="105" spans="1:9">
      <c r="A105" s="27"/>
      <c r="B105" s="95" t="s">
        <v>2369</v>
      </c>
      <c r="C105" s="157" t="s">
        <v>4443</v>
      </c>
      <c r="D105" s="95" t="s">
        <v>2370</v>
      </c>
      <c r="E105" s="95" t="s">
        <v>1166</v>
      </c>
      <c r="F105" s="95" t="s">
        <v>2371</v>
      </c>
      <c r="G105" s="95" t="s">
        <v>2372</v>
      </c>
      <c r="H105" s="26"/>
      <c r="I105" s="26"/>
    </row>
    <row r="106" spans="1:9">
      <c r="A106" s="27"/>
      <c r="B106" s="114"/>
      <c r="C106" s="154"/>
      <c r="D106" s="114"/>
      <c r="E106" s="114"/>
      <c r="F106" s="114" t="s">
        <v>3485</v>
      </c>
      <c r="G106" s="114" t="s">
        <v>3485</v>
      </c>
      <c r="H106" s="26"/>
      <c r="I106" s="26"/>
    </row>
    <row r="107" spans="1:9">
      <c r="A107" s="27"/>
      <c r="B107" s="95">
        <v>1</v>
      </c>
      <c r="C107" s="93" t="s">
        <v>6976</v>
      </c>
      <c r="D107" s="95"/>
      <c r="E107" s="190">
        <v>0</v>
      </c>
      <c r="F107" s="190">
        <v>0</v>
      </c>
      <c r="G107" s="190">
        <f>E107*F107</f>
        <v>0</v>
      </c>
      <c r="H107" s="26"/>
      <c r="I107" s="26"/>
    </row>
    <row r="108" spans="1:9">
      <c r="A108" s="27"/>
      <c r="B108" s="275"/>
      <c r="C108" s="135"/>
      <c r="D108" s="105"/>
      <c r="E108" s="190">
        <v>0</v>
      </c>
      <c r="F108" s="190">
        <v>0</v>
      </c>
      <c r="G108" s="190">
        <f>E108*F108</f>
        <v>0</v>
      </c>
      <c r="H108" s="26"/>
      <c r="I108" s="26"/>
    </row>
    <row r="109" spans="1:9">
      <c r="A109" s="27"/>
      <c r="B109" s="92"/>
      <c r="C109" s="193" t="s">
        <v>2376</v>
      </c>
      <c r="D109" s="159"/>
      <c r="E109" s="238"/>
      <c r="F109" s="236" t="s">
        <v>1698</v>
      </c>
      <c r="G109" s="318">
        <f>SUM(G107:G108)</f>
        <v>0</v>
      </c>
      <c r="H109" s="26"/>
      <c r="I109" s="26"/>
    </row>
    <row r="110" spans="1:9">
      <c r="A110" s="27"/>
      <c r="B110" s="78"/>
      <c r="C110" s="26"/>
      <c r="D110" s="26"/>
      <c r="E110" s="26"/>
      <c r="F110" s="26"/>
      <c r="G110" s="26"/>
      <c r="H110" s="26"/>
      <c r="I110" s="26"/>
    </row>
    <row r="111" spans="1:9">
      <c r="A111" s="27"/>
      <c r="B111" s="79" t="s">
        <v>2377</v>
      </c>
      <c r="C111" s="26"/>
      <c r="D111" s="26"/>
      <c r="E111" s="26"/>
      <c r="F111" s="26"/>
      <c r="G111" s="26"/>
      <c r="H111" s="26"/>
      <c r="I111" s="26"/>
    </row>
    <row r="112" spans="1:9">
      <c r="A112" s="27"/>
      <c r="B112" s="95" t="s">
        <v>2369</v>
      </c>
      <c r="C112" s="157" t="s">
        <v>2378</v>
      </c>
      <c r="D112" s="95" t="s">
        <v>2370</v>
      </c>
      <c r="E112" s="95" t="s">
        <v>1166</v>
      </c>
      <c r="F112" s="95" t="s">
        <v>2371</v>
      </c>
      <c r="G112" s="95" t="s">
        <v>2372</v>
      </c>
      <c r="H112" s="26"/>
      <c r="I112" s="26"/>
    </row>
    <row r="113" spans="1:9">
      <c r="A113" s="27"/>
      <c r="B113" s="114"/>
      <c r="C113" s="154"/>
      <c r="D113" s="114"/>
      <c r="E113" s="114"/>
      <c r="F113" s="114" t="s">
        <v>3485</v>
      </c>
      <c r="G113" s="114" t="s">
        <v>3485</v>
      </c>
      <c r="H113" s="26"/>
      <c r="I113" s="26"/>
    </row>
    <row r="114" spans="1:9">
      <c r="A114" s="27"/>
      <c r="B114" s="95">
        <v>1</v>
      </c>
      <c r="C114" s="93" t="s">
        <v>6976</v>
      </c>
      <c r="D114" s="95"/>
      <c r="E114" s="190">
        <v>0</v>
      </c>
      <c r="F114" s="190">
        <v>0</v>
      </c>
      <c r="G114" s="190">
        <f>E114*F114</f>
        <v>0</v>
      </c>
      <c r="H114" s="26"/>
      <c r="I114" s="26"/>
    </row>
    <row r="115" spans="1:9">
      <c r="A115" s="27"/>
      <c r="B115" s="280"/>
      <c r="C115" s="135"/>
      <c r="D115" s="105"/>
      <c r="E115" s="190">
        <v>0</v>
      </c>
      <c r="F115" s="190">
        <v>0</v>
      </c>
      <c r="G115" s="190">
        <f>E115*F115</f>
        <v>0</v>
      </c>
      <c r="H115" s="26"/>
      <c r="I115" s="26"/>
    </row>
    <row r="116" spans="1:9">
      <c r="A116" s="27"/>
      <c r="B116" s="176"/>
      <c r="C116" s="172" t="s">
        <v>2380</v>
      </c>
      <c r="D116" s="174"/>
      <c r="E116" s="192"/>
      <c r="F116" s="236" t="s">
        <v>1698</v>
      </c>
      <c r="G116" s="318">
        <f>SUM(G114:G115)</f>
        <v>0</v>
      </c>
      <c r="H116" s="26"/>
      <c r="I116" s="26"/>
    </row>
    <row r="117" spans="1:9">
      <c r="A117" s="27"/>
      <c r="B117" s="78"/>
      <c r="C117" s="26"/>
      <c r="D117" s="26"/>
      <c r="E117" s="26"/>
      <c r="F117" s="26"/>
      <c r="G117" s="26"/>
      <c r="H117" s="26"/>
      <c r="I117" s="26"/>
    </row>
    <row r="118" spans="1:9">
      <c r="A118" s="27"/>
      <c r="B118" s="79" t="s">
        <v>2381</v>
      </c>
      <c r="C118" s="26"/>
      <c r="D118" s="26"/>
      <c r="E118" s="26"/>
      <c r="F118" s="26"/>
      <c r="G118" s="26"/>
      <c r="H118" s="26"/>
      <c r="I118" s="26"/>
    </row>
    <row r="119" spans="1:9">
      <c r="A119" s="27"/>
      <c r="B119" s="95" t="s">
        <v>2369</v>
      </c>
      <c r="C119" s="157" t="s">
        <v>2378</v>
      </c>
      <c r="D119" s="95" t="s">
        <v>2370</v>
      </c>
      <c r="E119" s="95" t="s">
        <v>1166</v>
      </c>
      <c r="F119" s="95" t="s">
        <v>2371</v>
      </c>
      <c r="G119" s="95" t="s">
        <v>2372</v>
      </c>
      <c r="H119" s="26"/>
      <c r="I119" s="26"/>
    </row>
    <row r="120" spans="1:9">
      <c r="A120" s="27"/>
      <c r="B120" s="114"/>
      <c r="C120" s="154"/>
      <c r="D120" s="114"/>
      <c r="E120" s="114"/>
      <c r="F120" s="114" t="s">
        <v>3485</v>
      </c>
      <c r="G120" s="114" t="s">
        <v>3485</v>
      </c>
      <c r="H120" s="26"/>
      <c r="I120" s="26"/>
    </row>
    <row r="121" spans="1:9">
      <c r="A121" s="27"/>
      <c r="B121" s="105">
        <v>1</v>
      </c>
      <c r="C121" s="76" t="s">
        <v>5603</v>
      </c>
      <c r="D121" s="105" t="s">
        <v>1172</v>
      </c>
      <c r="E121" s="207">
        <v>1.25</v>
      </c>
      <c r="F121" s="190">
        <f>'BASIC DATA'!$C$514</f>
        <v>400</v>
      </c>
      <c r="G121" s="190">
        <f>E121*F121</f>
        <v>500</v>
      </c>
      <c r="H121" s="26"/>
      <c r="I121" s="26"/>
    </row>
    <row r="122" spans="1:9">
      <c r="A122" s="27"/>
      <c r="B122" s="105">
        <v>2</v>
      </c>
      <c r="C122" s="76" t="s">
        <v>1190</v>
      </c>
      <c r="D122" s="105" t="s">
        <v>1172</v>
      </c>
      <c r="E122" s="207">
        <v>1.25</v>
      </c>
      <c r="F122" s="190">
        <f>'BASIC DATA'!$C$546</f>
        <v>400</v>
      </c>
      <c r="G122" s="190">
        <f>E122*F122</f>
        <v>500</v>
      </c>
      <c r="H122" s="26"/>
      <c r="I122" s="26"/>
    </row>
    <row r="123" spans="1:9">
      <c r="A123" s="27"/>
      <c r="B123" s="105">
        <v>3</v>
      </c>
      <c r="C123" s="76" t="s">
        <v>4206</v>
      </c>
      <c r="D123" s="105" t="s">
        <v>1172</v>
      </c>
      <c r="E123" s="207">
        <v>0.25</v>
      </c>
      <c r="F123" s="190">
        <f>'BASIC DATA'!$C$473</f>
        <v>450</v>
      </c>
      <c r="G123" s="190">
        <f>E123*F123</f>
        <v>112.5</v>
      </c>
      <c r="H123" s="26"/>
      <c r="I123" s="26"/>
    </row>
    <row r="124" spans="1:9">
      <c r="A124" s="27"/>
      <c r="B124" s="105">
        <v>4</v>
      </c>
      <c r="C124" s="76" t="s">
        <v>2697</v>
      </c>
      <c r="D124" s="105" t="s">
        <v>1172</v>
      </c>
      <c r="E124" s="207">
        <v>6</v>
      </c>
      <c r="F124" s="190">
        <f>'BASIC DATA'!$C$552</f>
        <v>350</v>
      </c>
      <c r="G124" s="190">
        <f>E124*F124</f>
        <v>2100</v>
      </c>
      <c r="H124" s="26"/>
      <c r="I124" s="26"/>
    </row>
    <row r="125" spans="1:9">
      <c r="A125" s="27"/>
      <c r="B125" s="92"/>
      <c r="C125" s="193" t="s">
        <v>1174</v>
      </c>
      <c r="D125" s="159"/>
      <c r="E125" s="238"/>
      <c r="F125" s="236" t="s">
        <v>1698</v>
      </c>
      <c r="G125" s="318">
        <f>SUM(G121:G124)</f>
        <v>3212.5</v>
      </c>
      <c r="H125" s="26"/>
      <c r="I125" s="26"/>
    </row>
    <row r="126" spans="1:9">
      <c r="A126" s="27"/>
      <c r="B126" s="60" t="s">
        <v>5948</v>
      </c>
      <c r="C126" s="26"/>
      <c r="D126" s="31"/>
      <c r="E126" s="85">
        <f>ROUND(G125/F103,1)</f>
        <v>321.3</v>
      </c>
      <c r="F126" s="26"/>
      <c r="G126" s="26"/>
      <c r="H126" s="26"/>
      <c r="I126" s="26"/>
    </row>
    <row r="127" spans="1:9">
      <c r="A127" s="27"/>
      <c r="B127" s="60" t="s">
        <v>3163</v>
      </c>
      <c r="C127" s="26"/>
      <c r="D127" s="31">
        <f>'BASIC DATA'!$C$577</f>
        <v>0.13614999999999999</v>
      </c>
      <c r="E127" s="85">
        <f>ROUND(E126*D127,1)</f>
        <v>43.7</v>
      </c>
      <c r="F127" s="26"/>
      <c r="G127" s="26"/>
      <c r="H127" s="26"/>
      <c r="I127" s="26"/>
    </row>
    <row r="128" spans="1:9">
      <c r="A128" s="27"/>
      <c r="B128" s="60" t="s">
        <v>5949</v>
      </c>
      <c r="C128" s="26"/>
      <c r="D128" s="31"/>
      <c r="E128" s="199">
        <f>ROUND(E127+E126,1)</f>
        <v>365</v>
      </c>
      <c r="F128" s="26"/>
      <c r="G128" s="26"/>
      <c r="H128" s="26"/>
      <c r="I128" s="26"/>
    </row>
    <row r="129" spans="1:9">
      <c r="A129" s="27"/>
      <c r="B129" s="26"/>
      <c r="C129" s="26"/>
      <c r="D129" s="26"/>
      <c r="E129" s="26"/>
      <c r="F129" s="26"/>
      <c r="G129" s="26"/>
      <c r="H129" s="26"/>
      <c r="I129" s="26"/>
    </row>
    <row r="130" spans="1:9">
      <c r="A130" s="27"/>
      <c r="B130" s="170" t="s">
        <v>1175</v>
      </c>
      <c r="C130" s="26"/>
      <c r="D130" s="26"/>
      <c r="E130" s="26"/>
      <c r="F130" s="26"/>
      <c r="G130" s="26"/>
      <c r="H130" s="26"/>
      <c r="I130" s="26"/>
    </row>
    <row r="131" spans="1:9">
      <c r="A131" s="27"/>
      <c r="B131" s="26" t="s">
        <v>1176</v>
      </c>
      <c r="C131" s="26"/>
      <c r="D131" s="26"/>
      <c r="E131" s="26"/>
      <c r="F131" s="171" t="s">
        <v>1698</v>
      </c>
      <c r="G131" s="68">
        <f>G109</f>
        <v>0</v>
      </c>
      <c r="H131" s="26"/>
      <c r="I131" s="26"/>
    </row>
    <row r="132" spans="1:9">
      <c r="A132" s="27"/>
      <c r="B132" s="26" t="s">
        <v>1186</v>
      </c>
      <c r="C132" s="26"/>
      <c r="D132" s="26"/>
      <c r="E132" s="26"/>
      <c r="F132" s="171" t="s">
        <v>1698</v>
      </c>
      <c r="G132" s="68">
        <f>G116</f>
        <v>0</v>
      </c>
      <c r="H132" s="26"/>
      <c r="I132" s="26"/>
    </row>
    <row r="133" spans="1:9">
      <c r="A133" s="27"/>
      <c r="B133" s="26" t="s">
        <v>2660</v>
      </c>
      <c r="C133" s="26"/>
      <c r="D133" s="26"/>
      <c r="E133" s="26"/>
      <c r="F133" s="171" t="s">
        <v>1698</v>
      </c>
      <c r="G133" s="75">
        <f>G125</f>
        <v>3212.5</v>
      </c>
      <c r="H133" s="26"/>
      <c r="I133" s="26"/>
    </row>
    <row r="134" spans="1:9">
      <c r="A134" s="27"/>
      <c r="B134" s="78"/>
      <c r="C134" s="26"/>
      <c r="D134" s="26"/>
      <c r="E134" s="171"/>
      <c r="F134" s="171" t="s">
        <v>302</v>
      </c>
      <c r="G134" s="205">
        <f>SUM(G131:G133)</f>
        <v>3212.5</v>
      </c>
      <c r="H134" s="26"/>
      <c r="I134" s="26"/>
    </row>
    <row r="135" spans="1:9">
      <c r="A135" s="27"/>
      <c r="B135" s="26" t="s">
        <v>1379</v>
      </c>
      <c r="C135" s="26"/>
      <c r="D135" s="26"/>
      <c r="E135" s="249">
        <f>'BASIC DATA'!$C$577</f>
        <v>0.13614999999999999</v>
      </c>
      <c r="F135" s="26" t="s">
        <v>1698</v>
      </c>
      <c r="G135" s="26">
        <f>ROUND(G134*E135,2)</f>
        <v>437.38</v>
      </c>
      <c r="H135" s="26"/>
      <c r="I135" s="26"/>
    </row>
    <row r="136" spans="1:9">
      <c r="A136" s="27"/>
      <c r="B136" s="26" t="s">
        <v>1191</v>
      </c>
      <c r="C136" s="26"/>
      <c r="D136" s="68">
        <f>F103</f>
        <v>10</v>
      </c>
      <c r="E136" s="68" t="str">
        <f>G103</f>
        <v>cum</v>
      </c>
      <c r="F136" s="26" t="s">
        <v>1698</v>
      </c>
      <c r="G136" s="170">
        <f>G135+G134</f>
        <v>3649.88</v>
      </c>
      <c r="H136" s="26"/>
      <c r="I136" s="26"/>
    </row>
    <row r="137" spans="1:9">
      <c r="A137" s="27"/>
      <c r="B137" s="170" t="s">
        <v>1584</v>
      </c>
      <c r="C137" s="211" t="str">
        <f>E136</f>
        <v>cum</v>
      </c>
      <c r="D137" s="26" t="s">
        <v>5891</v>
      </c>
      <c r="E137" s="26"/>
      <c r="F137" s="26" t="s">
        <v>4108</v>
      </c>
      <c r="G137" s="211">
        <f>ROUND(G136/D136,1)</f>
        <v>365</v>
      </c>
      <c r="H137" s="26"/>
      <c r="I137" s="26"/>
    </row>
    <row r="138" spans="1:9">
      <c r="A138" s="27"/>
      <c r="B138" s="78"/>
      <c r="C138" s="26"/>
      <c r="D138" s="26"/>
      <c r="E138" s="26"/>
      <c r="F138" s="26"/>
      <c r="G138" s="26"/>
      <c r="H138" s="26"/>
      <c r="I138" s="26"/>
    </row>
    <row r="139" spans="1:9">
      <c r="A139" s="27"/>
      <c r="B139" s="78"/>
      <c r="C139" s="26"/>
      <c r="D139" s="26"/>
      <c r="E139" s="26"/>
      <c r="F139" s="26"/>
      <c r="G139" s="26"/>
      <c r="H139" s="26"/>
      <c r="I139" s="26"/>
    </row>
    <row r="140" spans="1:9" ht="18.75">
      <c r="A140" s="27" t="s">
        <v>7534</v>
      </c>
      <c r="B140" s="31" t="s">
        <v>8900</v>
      </c>
      <c r="C140" s="26"/>
      <c r="D140" s="31"/>
      <c r="E140" s="31"/>
      <c r="F140" s="31"/>
      <c r="G140" s="31"/>
      <c r="H140" s="31"/>
      <c r="I140" s="31"/>
    </row>
    <row r="141" spans="1:9">
      <c r="A141" s="76"/>
      <c r="B141" s="31" t="s">
        <v>2988</v>
      </c>
      <c r="C141" s="26"/>
      <c r="D141" s="31"/>
      <c r="E141" s="31"/>
      <c r="F141" s="31"/>
      <c r="G141" s="31"/>
      <c r="H141" s="31"/>
      <c r="I141" s="31"/>
    </row>
    <row r="142" spans="1:9">
      <c r="A142" s="76"/>
      <c r="B142" s="31" t="s">
        <v>1643</v>
      </c>
      <c r="C142" s="26"/>
      <c r="D142" s="31"/>
      <c r="E142" s="31"/>
      <c r="F142" s="31"/>
      <c r="G142" s="31"/>
      <c r="H142" s="31"/>
      <c r="I142" s="31"/>
    </row>
    <row r="143" spans="1:9" ht="18.75">
      <c r="A143" s="76"/>
      <c r="B143" s="314" t="s">
        <v>8901</v>
      </c>
      <c r="C143" s="26"/>
      <c r="D143" s="31"/>
      <c r="E143" s="31"/>
      <c r="F143" s="31"/>
      <c r="G143" s="31"/>
      <c r="H143" s="31"/>
      <c r="I143" s="31"/>
    </row>
    <row r="144" spans="1:9">
      <c r="A144" s="656"/>
      <c r="B144" s="624"/>
      <c r="C144" s="657" t="s">
        <v>4172</v>
      </c>
      <c r="D144" s="57"/>
      <c r="E144" s="56"/>
      <c r="F144" s="626"/>
      <c r="G144" s="54"/>
      <c r="H144" s="54"/>
      <c r="I144" s="54"/>
    </row>
    <row r="145" spans="1:9">
      <c r="A145" s="625"/>
      <c r="B145" s="1257" t="s">
        <v>6747</v>
      </c>
      <c r="C145" s="1257"/>
      <c r="D145" s="626"/>
      <c r="E145" s="54"/>
      <c r="F145" s="54"/>
      <c r="G145" s="54"/>
      <c r="H145" s="55"/>
      <c r="I145" s="56"/>
    </row>
    <row r="146" spans="1:9">
      <c r="A146" s="658"/>
      <c r="B146" s="624" t="s">
        <v>359</v>
      </c>
      <c r="C146" s="57"/>
      <c r="D146" s="626"/>
      <c r="E146" s="54"/>
      <c r="F146" s="54"/>
      <c r="G146" s="54"/>
      <c r="H146" s="55"/>
      <c r="I146" s="56"/>
    </row>
    <row r="147" spans="1:9">
      <c r="A147" s="27" t="s">
        <v>3984</v>
      </c>
      <c r="B147" s="1257" t="s">
        <v>6752</v>
      </c>
      <c r="C147" s="1257"/>
      <c r="D147" s="626"/>
      <c r="E147" s="54" t="s">
        <v>1434</v>
      </c>
      <c r="F147" s="629">
        <v>180</v>
      </c>
      <c r="G147" s="54" t="s">
        <v>3477</v>
      </c>
      <c r="H147" s="55"/>
      <c r="I147" s="56"/>
    </row>
    <row r="148" spans="1:9" ht="36">
      <c r="A148" s="27"/>
      <c r="B148" s="659" t="s">
        <v>8037</v>
      </c>
      <c r="C148" s="625"/>
      <c r="D148" s="626"/>
      <c r="E148" s="54"/>
      <c r="F148" s="629"/>
      <c r="G148" s="54"/>
      <c r="H148" s="55"/>
      <c r="I148" s="56"/>
    </row>
    <row r="149" spans="1:9">
      <c r="A149" s="27"/>
      <c r="B149" s="157" t="s">
        <v>2369</v>
      </c>
      <c r="C149" s="157" t="s">
        <v>2378</v>
      </c>
      <c r="D149" s="157" t="s">
        <v>2370</v>
      </c>
      <c r="E149" s="157" t="s">
        <v>1166</v>
      </c>
      <c r="F149" s="157" t="s">
        <v>2371</v>
      </c>
      <c r="G149" s="95" t="s">
        <v>2372</v>
      </c>
      <c r="H149" s="55"/>
      <c r="I149" s="56"/>
    </row>
    <row r="150" spans="1:9">
      <c r="A150" s="27"/>
      <c r="B150" s="176"/>
      <c r="C150" s="154"/>
      <c r="D150" s="176"/>
      <c r="E150" s="176"/>
      <c r="F150" s="176" t="s">
        <v>3485</v>
      </c>
      <c r="G150" s="114" t="s">
        <v>3485</v>
      </c>
      <c r="H150" s="55"/>
      <c r="I150" s="56"/>
    </row>
    <row r="151" spans="1:9">
      <c r="A151" s="27"/>
      <c r="B151" s="660"/>
      <c r="C151" s="661" t="s">
        <v>6976</v>
      </c>
      <c r="D151" s="504"/>
      <c r="E151" s="634">
        <v>0</v>
      </c>
      <c r="F151" s="634">
        <v>0</v>
      </c>
      <c r="G151" s="662">
        <f>F151*E151</f>
        <v>0</v>
      </c>
      <c r="H151" s="55"/>
      <c r="I151" s="56"/>
    </row>
    <row r="152" spans="1:9">
      <c r="A152" s="27"/>
      <c r="B152" s="625"/>
      <c r="C152" s="625"/>
      <c r="D152" s="626"/>
      <c r="E152" s="54"/>
      <c r="F152" s="629"/>
      <c r="G152" s="54"/>
      <c r="H152" s="55"/>
      <c r="I152" s="56"/>
    </row>
    <row r="153" spans="1:9" ht="36">
      <c r="A153" s="533"/>
      <c r="B153" s="627" t="s">
        <v>8038</v>
      </c>
      <c r="C153" s="57"/>
      <c r="D153" s="626"/>
      <c r="E153" s="54"/>
      <c r="F153" s="54"/>
      <c r="G153" s="54"/>
      <c r="H153" s="55"/>
      <c r="I153" s="57"/>
    </row>
    <row r="154" spans="1:9">
      <c r="A154" s="27"/>
      <c r="B154" s="157" t="s">
        <v>2369</v>
      </c>
      <c r="C154" s="157" t="s">
        <v>2378</v>
      </c>
      <c r="D154" s="157" t="s">
        <v>2370</v>
      </c>
      <c r="E154" s="157" t="s">
        <v>1166</v>
      </c>
      <c r="F154" s="157" t="s">
        <v>2371</v>
      </c>
      <c r="G154" s="95" t="s">
        <v>2372</v>
      </c>
      <c r="H154" s="31"/>
      <c r="I154" s="26"/>
    </row>
    <row r="155" spans="1:9">
      <c r="A155" s="27"/>
      <c r="B155" s="176"/>
      <c r="C155" s="154"/>
      <c r="D155" s="176"/>
      <c r="E155" s="176"/>
      <c r="F155" s="176" t="s">
        <v>3485</v>
      </c>
      <c r="G155" s="114" t="s">
        <v>3485</v>
      </c>
      <c r="H155" s="31"/>
      <c r="I155" s="26"/>
    </row>
    <row r="156" spans="1:9" ht="36">
      <c r="A156" s="533"/>
      <c r="B156" s="660">
        <v>1</v>
      </c>
      <c r="C156" s="661" t="s">
        <v>6751</v>
      </c>
      <c r="D156" s="504" t="s">
        <v>1189</v>
      </c>
      <c r="E156" s="634">
        <v>6</v>
      </c>
      <c r="F156" s="634">
        <f>'HIRE CHARGES'!$D$543</f>
        <v>1706.6</v>
      </c>
      <c r="G156" s="634">
        <f>F156*E156</f>
        <v>10239.599999999999</v>
      </c>
      <c r="H156" s="55"/>
      <c r="I156" s="57"/>
    </row>
    <row r="157" spans="1:9">
      <c r="A157" s="533"/>
      <c r="B157" s="645"/>
      <c r="C157" s="663" t="s">
        <v>4173</v>
      </c>
      <c r="D157" s="58" t="s">
        <v>1189</v>
      </c>
      <c r="E157" s="59">
        <v>6</v>
      </c>
      <c r="F157" s="59">
        <f>'HIRE CHARGES'!$E$543</f>
        <v>872.7</v>
      </c>
      <c r="G157" s="59">
        <f>F157*E157</f>
        <v>5236.2000000000007</v>
      </c>
      <c r="H157" s="55"/>
      <c r="I157" s="57"/>
    </row>
    <row r="158" spans="1:9">
      <c r="A158" s="533"/>
      <c r="B158" s="645"/>
      <c r="C158" s="663" t="s">
        <v>360</v>
      </c>
      <c r="D158" s="58"/>
      <c r="E158" s="59"/>
      <c r="F158" s="59"/>
      <c r="G158" s="652">
        <f>SUM(G156:G157)</f>
        <v>15475.8</v>
      </c>
      <c r="H158" s="55"/>
      <c r="I158" s="57"/>
    </row>
    <row r="159" spans="1:9">
      <c r="A159" s="533"/>
      <c r="B159" s="650"/>
      <c r="C159" s="654"/>
      <c r="D159" s="626"/>
      <c r="E159" s="54"/>
      <c r="F159" s="54"/>
      <c r="G159" s="629"/>
      <c r="H159" s="55"/>
      <c r="I159" s="57"/>
    </row>
    <row r="160" spans="1:9">
      <c r="A160" s="533"/>
      <c r="B160" s="664" t="s">
        <v>8039</v>
      </c>
      <c r="C160" s="57"/>
      <c r="D160" s="626"/>
      <c r="E160" s="54"/>
      <c r="F160" s="54"/>
      <c r="G160" s="54"/>
      <c r="H160" s="55"/>
      <c r="I160" s="57"/>
    </row>
    <row r="161" spans="1:9">
      <c r="A161" s="27"/>
      <c r="B161" s="157" t="s">
        <v>2369</v>
      </c>
      <c r="C161" s="157" t="s">
        <v>2378</v>
      </c>
      <c r="D161" s="157" t="s">
        <v>2370</v>
      </c>
      <c r="E161" s="157" t="s">
        <v>1166</v>
      </c>
      <c r="F161" s="157" t="s">
        <v>2371</v>
      </c>
      <c r="G161" s="95" t="s">
        <v>2372</v>
      </c>
      <c r="H161" s="31"/>
      <c r="I161" s="26"/>
    </row>
    <row r="162" spans="1:9">
      <c r="A162" s="27"/>
      <c r="B162" s="176"/>
      <c r="C162" s="154"/>
      <c r="D162" s="176"/>
      <c r="E162" s="176"/>
      <c r="F162" s="176" t="s">
        <v>3485</v>
      </c>
      <c r="G162" s="114" t="s">
        <v>3485</v>
      </c>
      <c r="H162" s="31"/>
      <c r="I162" s="26"/>
    </row>
    <row r="163" spans="1:9">
      <c r="A163" s="533"/>
      <c r="B163" s="632">
        <v>1</v>
      </c>
      <c r="C163" s="661" t="s">
        <v>4206</v>
      </c>
      <c r="D163" s="504" t="s">
        <v>1581</v>
      </c>
      <c r="E163" s="634">
        <v>0.24</v>
      </c>
      <c r="F163" s="634">
        <f>'BASIC DATA'!$C$473</f>
        <v>450</v>
      </c>
      <c r="G163" s="634">
        <f>F163*E163</f>
        <v>108</v>
      </c>
      <c r="H163" s="55"/>
      <c r="I163" s="57"/>
    </row>
    <row r="164" spans="1:9">
      <c r="A164" s="533"/>
      <c r="B164" s="641">
        <v>2</v>
      </c>
      <c r="C164" s="663" t="s">
        <v>4647</v>
      </c>
      <c r="D164" s="58" t="s">
        <v>1581</v>
      </c>
      <c r="E164" s="59">
        <v>6</v>
      </c>
      <c r="F164" s="59">
        <f>'BASIC DATA'!$C$552</f>
        <v>350</v>
      </c>
      <c r="G164" s="59">
        <f>F164*E164</f>
        <v>2100</v>
      </c>
      <c r="H164" s="55"/>
      <c r="I164" s="57"/>
    </row>
    <row r="165" spans="1:9">
      <c r="A165" s="533"/>
      <c r="B165" s="641">
        <v>3</v>
      </c>
      <c r="C165" s="665" t="s">
        <v>4174</v>
      </c>
      <c r="D165" s="58" t="s">
        <v>1189</v>
      </c>
      <c r="E165" s="59">
        <v>6</v>
      </c>
      <c r="F165" s="59">
        <f>'HIRE CHARGES'!$F$543</f>
        <v>236.6</v>
      </c>
      <c r="G165" s="59">
        <f>F165*E165</f>
        <v>1419.6</v>
      </c>
      <c r="H165" s="55"/>
      <c r="I165" s="57"/>
    </row>
    <row r="166" spans="1:9">
      <c r="A166" s="533"/>
      <c r="B166" s="641"/>
      <c r="C166" s="642" t="s">
        <v>360</v>
      </c>
      <c r="D166" s="58"/>
      <c r="E166" s="59"/>
      <c r="F166" s="59"/>
      <c r="G166" s="652">
        <f>SUM(G163:G165)</f>
        <v>3627.6</v>
      </c>
      <c r="H166" s="55"/>
      <c r="I166" s="57"/>
    </row>
    <row r="167" spans="1:9">
      <c r="A167" s="533"/>
      <c r="B167" s="641"/>
      <c r="C167" s="642"/>
      <c r="D167" s="58"/>
      <c r="E167" s="59"/>
      <c r="F167" s="59"/>
      <c r="G167" s="59"/>
      <c r="H167" s="55"/>
      <c r="I167" s="57"/>
    </row>
    <row r="168" spans="1:9">
      <c r="A168" s="533"/>
      <c r="B168" s="60" t="s">
        <v>5948</v>
      </c>
      <c r="C168" s="57"/>
      <c r="D168" s="31"/>
      <c r="E168" s="85">
        <f>ROUND(G166/F147,1)</f>
        <v>20.2</v>
      </c>
      <c r="F168" s="57"/>
      <c r="G168" s="57"/>
      <c r="H168" s="55"/>
      <c r="I168" s="57"/>
    </row>
    <row r="169" spans="1:9">
      <c r="A169" s="533"/>
      <c r="B169" s="60" t="s">
        <v>3163</v>
      </c>
      <c r="C169" s="57"/>
      <c r="D169" s="31">
        <f>'BASIC DATA'!$C$577</f>
        <v>0.13614999999999999</v>
      </c>
      <c r="E169" s="85">
        <f>ROUND(E168*D169,1)</f>
        <v>2.8</v>
      </c>
      <c r="F169" s="57"/>
      <c r="G169" s="57"/>
      <c r="H169" s="55"/>
      <c r="I169" s="57"/>
    </row>
    <row r="170" spans="1:9">
      <c r="A170" s="533"/>
      <c r="B170" s="60" t="s">
        <v>5949</v>
      </c>
      <c r="C170" s="57"/>
      <c r="D170" s="31"/>
      <c r="E170" s="199">
        <f>ROUND(E169+E168,1)</f>
        <v>23</v>
      </c>
      <c r="F170" s="57"/>
      <c r="G170" s="57"/>
      <c r="H170" s="55"/>
      <c r="I170" s="57"/>
    </row>
    <row r="171" spans="1:9">
      <c r="A171" s="533"/>
      <c r="B171" s="631"/>
      <c r="C171" s="57"/>
      <c r="D171" s="626"/>
      <c r="E171" s="54"/>
      <c r="F171" s="54"/>
      <c r="G171" s="54"/>
      <c r="H171" s="55"/>
      <c r="I171" s="57"/>
    </row>
    <row r="172" spans="1:9">
      <c r="A172" s="533"/>
      <c r="B172" s="666" t="s">
        <v>2987</v>
      </c>
      <c r="C172" s="57"/>
      <c r="D172" s="626"/>
      <c r="E172" s="54"/>
      <c r="F172" s="54"/>
      <c r="G172" s="54"/>
      <c r="H172" s="55"/>
      <c r="I172" s="57"/>
    </row>
    <row r="173" spans="1:9">
      <c r="A173" s="533"/>
      <c r="B173" s="1257" t="s">
        <v>8045</v>
      </c>
      <c r="C173" s="1257"/>
      <c r="D173" s="626"/>
      <c r="E173" s="54"/>
      <c r="F173" s="54" t="s">
        <v>4391</v>
      </c>
      <c r="G173" s="54">
        <f>G151</f>
        <v>0</v>
      </c>
      <c r="H173" s="55"/>
      <c r="I173" s="57"/>
    </row>
    <row r="174" spans="1:9">
      <c r="A174" s="533"/>
      <c r="B174" s="1257" t="s">
        <v>7859</v>
      </c>
      <c r="C174" s="1257"/>
      <c r="D174" s="626"/>
      <c r="E174" s="54"/>
      <c r="F174" s="54" t="s">
        <v>4391</v>
      </c>
      <c r="G174" s="54">
        <f>G158</f>
        <v>15475.8</v>
      </c>
      <c r="H174" s="55"/>
      <c r="I174" s="57"/>
    </row>
    <row r="175" spans="1:9">
      <c r="A175" s="533"/>
      <c r="B175" s="1257" t="s">
        <v>8042</v>
      </c>
      <c r="C175" s="1257"/>
      <c r="D175" s="626"/>
      <c r="E175" s="54"/>
      <c r="F175" s="54" t="s">
        <v>4391</v>
      </c>
      <c r="G175" s="54">
        <f>G166</f>
        <v>3627.6</v>
      </c>
      <c r="H175" s="55"/>
      <c r="I175" s="57"/>
    </row>
    <row r="176" spans="1:9">
      <c r="A176" s="533"/>
      <c r="B176" s="631" t="s">
        <v>2392</v>
      </c>
      <c r="C176" s="57"/>
      <c r="D176" s="626"/>
      <c r="E176" s="54"/>
      <c r="F176" s="54" t="s">
        <v>4391</v>
      </c>
      <c r="G176" s="647">
        <f>SUM(G173:G175)</f>
        <v>19103.399999999998</v>
      </c>
      <c r="H176" s="55"/>
      <c r="I176" s="57"/>
    </row>
    <row r="177" spans="1:9">
      <c r="A177" s="533"/>
      <c r="B177" s="26" t="s">
        <v>1379</v>
      </c>
      <c r="C177" s="26"/>
      <c r="D177" s="26"/>
      <c r="E177" s="249">
        <f>'BASIC DATA'!$C$577</f>
        <v>0.13614999999999999</v>
      </c>
      <c r="F177" s="26" t="s">
        <v>1698</v>
      </c>
      <c r="G177" s="26">
        <f>ROUND(G176*E177,2)</f>
        <v>2600.9299999999998</v>
      </c>
      <c r="H177" s="55"/>
      <c r="I177" s="57"/>
    </row>
    <row r="178" spans="1:9">
      <c r="A178" s="533"/>
      <c r="B178" s="26" t="s">
        <v>1191</v>
      </c>
      <c r="C178" s="26"/>
      <c r="D178" s="68">
        <f>F147</f>
        <v>180</v>
      </c>
      <c r="E178" s="68" t="str">
        <f>G147</f>
        <v>cum</v>
      </c>
      <c r="F178" s="26" t="s">
        <v>1698</v>
      </c>
      <c r="G178" s="170">
        <f>G177+G176</f>
        <v>21704.329999999998</v>
      </c>
      <c r="H178" s="55"/>
      <c r="I178" s="57"/>
    </row>
    <row r="179" spans="1:9">
      <c r="A179" s="533"/>
      <c r="B179" s="170" t="s">
        <v>1584</v>
      </c>
      <c r="C179" s="211" t="str">
        <f>E178</f>
        <v>cum</v>
      </c>
      <c r="D179" s="26" t="s">
        <v>5898</v>
      </c>
      <c r="E179" s="26"/>
      <c r="F179" s="26" t="s">
        <v>4108</v>
      </c>
      <c r="G179" s="211">
        <f>ROUND(G178/D178,1)</f>
        <v>120.6</v>
      </c>
      <c r="H179" s="26"/>
      <c r="I179" s="57"/>
    </row>
    <row r="180" spans="1:9">
      <c r="A180" s="533"/>
      <c r="B180" s="650"/>
      <c r="C180" s="631"/>
      <c r="D180" s="626"/>
      <c r="E180" s="54"/>
      <c r="F180" s="54"/>
      <c r="G180" s="54"/>
      <c r="H180" s="55"/>
      <c r="I180" s="57"/>
    </row>
    <row r="181" spans="1:9">
      <c r="A181" s="533"/>
      <c r="B181" s="650"/>
      <c r="C181" s="631"/>
      <c r="D181" s="626"/>
      <c r="E181" s="54"/>
      <c r="F181" s="54"/>
      <c r="G181" s="54"/>
      <c r="H181" s="55"/>
      <c r="I181" s="57"/>
    </row>
    <row r="182" spans="1:9" ht="18.75">
      <c r="A182" s="27" t="s">
        <v>7535</v>
      </c>
      <c r="B182" s="26" t="s">
        <v>8902</v>
      </c>
      <c r="C182" s="26"/>
      <c r="D182" s="26"/>
      <c r="E182" s="26"/>
      <c r="F182" s="26"/>
      <c r="G182" s="26"/>
      <c r="H182" s="26"/>
      <c r="I182" s="26"/>
    </row>
    <row r="183" spans="1:9">
      <c r="A183" s="27"/>
      <c r="B183" s="26" t="s">
        <v>7996</v>
      </c>
      <c r="C183" s="26"/>
      <c r="D183" s="26"/>
      <c r="E183" s="26"/>
      <c r="F183" s="26"/>
      <c r="G183" s="26"/>
      <c r="H183" s="26"/>
      <c r="I183" s="26"/>
    </row>
    <row r="184" spans="1:9">
      <c r="A184" s="27"/>
      <c r="B184" s="26" t="s">
        <v>743</v>
      </c>
      <c r="C184" s="26"/>
      <c r="D184" s="26"/>
      <c r="E184" s="26"/>
      <c r="F184" s="26"/>
      <c r="G184" s="26"/>
      <c r="H184" s="26"/>
      <c r="I184" s="26"/>
    </row>
    <row r="185" spans="1:9" ht="18.75">
      <c r="A185" s="27"/>
      <c r="B185" s="26" t="s">
        <v>8903</v>
      </c>
      <c r="C185" s="26"/>
      <c r="D185" s="26"/>
      <c r="E185" s="26"/>
      <c r="F185" s="26"/>
      <c r="G185" s="26"/>
      <c r="H185" s="26"/>
      <c r="I185" s="26"/>
    </row>
    <row r="186" spans="1:9">
      <c r="B186" s="26"/>
      <c r="C186" s="26"/>
      <c r="D186" s="26"/>
      <c r="E186" s="26"/>
      <c r="F186" s="26"/>
      <c r="G186" s="26"/>
      <c r="H186" s="26"/>
      <c r="I186" s="26"/>
    </row>
    <row r="187" spans="1:9">
      <c r="A187" s="27" t="s">
        <v>3984</v>
      </c>
      <c r="B187" s="26" t="s">
        <v>3740</v>
      </c>
      <c r="C187" s="26"/>
      <c r="D187" s="26"/>
      <c r="E187" s="26"/>
      <c r="F187" s="26"/>
      <c r="G187" s="26"/>
      <c r="H187" s="26"/>
      <c r="I187" s="26"/>
    </row>
    <row r="188" spans="1:9">
      <c r="A188" s="27"/>
      <c r="B188" s="26" t="s">
        <v>3741</v>
      </c>
      <c r="C188" s="26"/>
      <c r="D188" s="26"/>
      <c r="E188" s="78" t="s">
        <v>1697</v>
      </c>
      <c r="F188" s="68">
        <v>1.5</v>
      </c>
      <c r="G188" s="26" t="s">
        <v>2602</v>
      </c>
      <c r="H188" s="26"/>
      <c r="I188" s="26"/>
    </row>
    <row r="189" spans="1:9">
      <c r="A189" s="27"/>
      <c r="B189" s="26" t="s">
        <v>3742</v>
      </c>
      <c r="C189" s="26"/>
      <c r="D189" s="26"/>
      <c r="E189" s="78" t="s">
        <v>1697</v>
      </c>
      <c r="F189" s="68">
        <v>1.3</v>
      </c>
      <c r="G189" s="26" t="s">
        <v>2602</v>
      </c>
      <c r="H189" s="26"/>
      <c r="I189" s="26"/>
    </row>
    <row r="190" spans="1:9">
      <c r="A190" s="27"/>
      <c r="B190" s="26" t="s">
        <v>835</v>
      </c>
      <c r="C190" s="26"/>
      <c r="D190" s="26"/>
      <c r="E190" s="78" t="s">
        <v>1697</v>
      </c>
      <c r="F190" s="26">
        <f>1.5*1.8</f>
        <v>2.7</v>
      </c>
      <c r="G190" s="26" t="s">
        <v>2602</v>
      </c>
      <c r="H190" s="26"/>
      <c r="I190" s="26"/>
    </row>
    <row r="191" spans="1:9">
      <c r="A191" s="27"/>
      <c r="B191" s="26" t="s">
        <v>2360</v>
      </c>
      <c r="C191" s="26"/>
      <c r="D191" s="26"/>
      <c r="E191" s="78" t="s">
        <v>1697</v>
      </c>
      <c r="F191" s="68">
        <v>2.7</v>
      </c>
      <c r="G191" s="26" t="s">
        <v>3479</v>
      </c>
      <c r="H191" s="26"/>
      <c r="I191" s="26"/>
    </row>
    <row r="192" spans="1:9">
      <c r="A192" s="27"/>
      <c r="B192" s="26" t="s">
        <v>2361</v>
      </c>
      <c r="C192" s="26"/>
      <c r="D192" s="26"/>
      <c r="E192" s="78"/>
      <c r="F192" s="26"/>
      <c r="G192" s="26"/>
      <c r="H192" s="26"/>
      <c r="I192" s="26"/>
    </row>
    <row r="193" spans="1:9">
      <c r="A193" s="27"/>
      <c r="B193" s="26" t="s">
        <v>2362</v>
      </c>
      <c r="C193" s="26"/>
      <c r="D193" s="26"/>
      <c r="E193" s="78" t="s">
        <v>1697</v>
      </c>
      <c r="F193" s="26">
        <v>77</v>
      </c>
      <c r="G193" s="26" t="s">
        <v>3479</v>
      </c>
      <c r="H193" s="26"/>
      <c r="I193" s="26"/>
    </row>
    <row r="194" spans="1:9">
      <c r="A194" s="27"/>
      <c r="B194" s="26" t="s">
        <v>2363</v>
      </c>
      <c r="C194" s="26"/>
      <c r="D194" s="26" t="s">
        <v>2364</v>
      </c>
      <c r="E194" s="78" t="s">
        <v>1697</v>
      </c>
      <c r="F194" s="26">
        <v>29</v>
      </c>
      <c r="G194" s="26" t="s">
        <v>4041</v>
      </c>
      <c r="H194" s="26"/>
      <c r="I194" s="26"/>
    </row>
    <row r="195" spans="1:9">
      <c r="A195" s="27"/>
      <c r="B195" s="26" t="s">
        <v>4382</v>
      </c>
      <c r="C195" s="26"/>
      <c r="D195" s="26"/>
      <c r="E195" s="78" t="s">
        <v>1697</v>
      </c>
      <c r="F195" s="26">
        <v>43.5</v>
      </c>
      <c r="G195" s="26" t="s">
        <v>2602</v>
      </c>
      <c r="H195" s="26"/>
      <c r="I195" s="26"/>
    </row>
    <row r="196" spans="1:9">
      <c r="A196" s="27"/>
      <c r="B196" s="26" t="s">
        <v>3902</v>
      </c>
      <c r="C196" s="26"/>
      <c r="D196" s="26"/>
      <c r="E196" s="78" t="s">
        <v>1697</v>
      </c>
      <c r="F196" s="26">
        <v>10</v>
      </c>
      <c r="G196" s="26" t="s">
        <v>2602</v>
      </c>
      <c r="H196" s="26"/>
      <c r="I196" s="26"/>
    </row>
    <row r="197" spans="1:9">
      <c r="A197" s="27"/>
      <c r="B197" s="26" t="s">
        <v>3903</v>
      </c>
      <c r="C197" s="26"/>
      <c r="D197" s="26"/>
      <c r="E197" s="27" t="s">
        <v>1123</v>
      </c>
      <c r="F197" s="26">
        <v>2.2000000000000002</v>
      </c>
      <c r="G197" s="26" t="s">
        <v>4665</v>
      </c>
      <c r="H197" s="26"/>
      <c r="I197" s="26"/>
    </row>
    <row r="198" spans="1:9">
      <c r="A198" s="27"/>
      <c r="B198" s="26" t="s">
        <v>6120</v>
      </c>
      <c r="C198" s="26"/>
      <c r="D198" s="26"/>
      <c r="E198" s="26"/>
      <c r="F198" s="26"/>
      <c r="G198" s="26"/>
      <c r="H198" s="26"/>
      <c r="I198" s="26"/>
    </row>
    <row r="199" spans="1:9">
      <c r="A199" s="27"/>
      <c r="B199" s="26" t="s">
        <v>6337</v>
      </c>
      <c r="C199" s="26"/>
      <c r="D199" s="26"/>
      <c r="E199" s="78" t="s">
        <v>1697</v>
      </c>
      <c r="F199" s="68">
        <v>20</v>
      </c>
      <c r="G199" s="26" t="s">
        <v>3478</v>
      </c>
      <c r="H199" s="26"/>
      <c r="I199" s="26"/>
    </row>
    <row r="200" spans="1:9">
      <c r="A200" s="27"/>
      <c r="B200" s="26" t="s">
        <v>3849</v>
      </c>
      <c r="C200" s="26"/>
      <c r="D200" s="26"/>
      <c r="E200" s="78" t="s">
        <v>1697</v>
      </c>
      <c r="F200" s="26">
        <v>29</v>
      </c>
      <c r="G200" s="26" t="s">
        <v>4041</v>
      </c>
      <c r="H200" s="26"/>
      <c r="I200" s="26"/>
    </row>
    <row r="201" spans="1:9">
      <c r="A201" s="27"/>
      <c r="B201" s="26" t="s">
        <v>5703</v>
      </c>
      <c r="C201" s="26"/>
      <c r="D201" s="26"/>
      <c r="E201" s="78" t="s">
        <v>1697</v>
      </c>
      <c r="F201" s="26">
        <v>70</v>
      </c>
      <c r="G201" s="26" t="s">
        <v>3483</v>
      </c>
      <c r="H201" s="26"/>
      <c r="I201" s="26"/>
    </row>
    <row r="202" spans="1:9">
      <c r="A202" s="27"/>
      <c r="B202" s="26" t="s">
        <v>3850</v>
      </c>
      <c r="C202" s="68">
        <f>'BASIC DATA'!$D$307</f>
        <v>4028</v>
      </c>
      <c r="D202" s="26" t="s">
        <v>2290</v>
      </c>
      <c r="E202" s="78" t="s">
        <v>1698</v>
      </c>
      <c r="F202" s="68">
        <f>C202</f>
        <v>4028</v>
      </c>
      <c r="G202" s="26"/>
      <c r="H202" s="26"/>
      <c r="I202" s="26"/>
    </row>
    <row r="203" spans="1:9">
      <c r="A203" s="27"/>
      <c r="B203" s="26" t="s">
        <v>1881</v>
      </c>
      <c r="C203" s="26"/>
      <c r="D203" s="26"/>
      <c r="E203" s="78" t="s">
        <v>1697</v>
      </c>
      <c r="F203" s="68">
        <v>200</v>
      </c>
      <c r="G203" s="26" t="s">
        <v>2602</v>
      </c>
      <c r="H203" s="26"/>
      <c r="I203" s="26"/>
    </row>
    <row r="204" spans="1:9">
      <c r="A204" s="27"/>
      <c r="B204" s="26" t="s">
        <v>1882</v>
      </c>
      <c r="C204" s="26"/>
      <c r="D204" s="26" t="s">
        <v>7593</v>
      </c>
      <c r="E204" s="78" t="s">
        <v>1698</v>
      </c>
      <c r="F204" s="68">
        <f>F202/F203</f>
        <v>20.14</v>
      </c>
      <c r="G204" s="26"/>
      <c r="H204" s="26"/>
      <c r="I204" s="26"/>
    </row>
    <row r="205" spans="1:9">
      <c r="A205" s="27"/>
      <c r="B205" s="26" t="s">
        <v>3686</v>
      </c>
      <c r="C205" s="26"/>
      <c r="D205" s="26"/>
      <c r="E205" s="78" t="s">
        <v>1697</v>
      </c>
      <c r="F205" s="68">
        <v>50</v>
      </c>
      <c r="G205" s="26" t="s">
        <v>2602</v>
      </c>
      <c r="H205" s="26"/>
      <c r="I205" s="26"/>
    </row>
    <row r="206" spans="1:9">
      <c r="A206" s="27"/>
      <c r="B206" s="26" t="s">
        <v>5348</v>
      </c>
      <c r="C206" s="68">
        <f>'BASIC DATA'!$D$344</f>
        <v>185</v>
      </c>
      <c r="D206" s="26" t="s">
        <v>2618</v>
      </c>
      <c r="E206" s="78" t="s">
        <v>1698</v>
      </c>
      <c r="F206" s="68">
        <f>C206</f>
        <v>185</v>
      </c>
      <c r="G206" s="26"/>
      <c r="H206" s="26"/>
      <c r="I206" s="26"/>
    </row>
    <row r="207" spans="1:9">
      <c r="A207" s="27"/>
      <c r="B207" s="26" t="s">
        <v>5152</v>
      </c>
      <c r="C207" s="26"/>
      <c r="D207" s="78" t="s">
        <v>1697</v>
      </c>
      <c r="E207" s="316">
        <v>800</v>
      </c>
      <c r="F207" s="26" t="s">
        <v>4665</v>
      </c>
      <c r="G207" s="26"/>
      <c r="H207" s="26"/>
      <c r="I207" s="26"/>
    </row>
    <row r="208" spans="1:9">
      <c r="A208" s="27"/>
      <c r="B208" s="26" t="s">
        <v>6262</v>
      </c>
      <c r="C208" s="26"/>
      <c r="D208" s="26" t="s">
        <v>7593</v>
      </c>
      <c r="E208" s="78" t="s">
        <v>1698</v>
      </c>
      <c r="F208" s="68">
        <f>F206/E207</f>
        <v>0.23125000000000001</v>
      </c>
      <c r="G208" s="26"/>
      <c r="H208" s="26"/>
      <c r="I208" s="26"/>
    </row>
    <row r="209" spans="1:9">
      <c r="A209" s="27"/>
      <c r="B209" s="26" t="s">
        <v>3687</v>
      </c>
      <c r="C209" s="26"/>
      <c r="D209" s="26"/>
      <c r="E209" s="26"/>
      <c r="F209" s="26"/>
      <c r="G209" s="26"/>
      <c r="H209" s="26"/>
      <c r="I209" s="26"/>
    </row>
    <row r="210" spans="1:9">
      <c r="A210" s="27"/>
      <c r="B210" s="26" t="s">
        <v>3688</v>
      </c>
      <c r="C210" s="26"/>
      <c r="D210" s="26"/>
      <c r="E210" s="26"/>
      <c r="F210" s="26"/>
      <c r="G210" s="26"/>
      <c r="H210" s="26"/>
      <c r="I210" s="26"/>
    </row>
    <row r="211" spans="1:9">
      <c r="A211" s="27"/>
      <c r="B211" s="26" t="s">
        <v>2712</v>
      </c>
      <c r="C211" s="26"/>
      <c r="D211" s="26"/>
      <c r="E211" s="26"/>
      <c r="F211" s="26"/>
      <c r="G211" s="26"/>
      <c r="H211" s="26"/>
      <c r="I211" s="26"/>
    </row>
    <row r="212" spans="1:9">
      <c r="A212" s="27"/>
      <c r="B212" s="78"/>
      <c r="C212" s="26"/>
      <c r="D212" s="26"/>
      <c r="E212" s="26"/>
      <c r="F212" s="26"/>
      <c r="G212" s="26"/>
      <c r="H212" s="26"/>
      <c r="I212" s="26"/>
    </row>
    <row r="213" spans="1:9">
      <c r="A213" s="27"/>
      <c r="B213" s="78"/>
      <c r="C213" s="26"/>
      <c r="D213" s="26"/>
      <c r="E213" s="26"/>
      <c r="F213" s="26"/>
      <c r="G213" s="26"/>
      <c r="H213" s="26"/>
      <c r="I213" s="26"/>
    </row>
    <row r="214" spans="1:9">
      <c r="A214" s="27" t="s">
        <v>3984</v>
      </c>
      <c r="B214" s="78"/>
      <c r="C214" s="203" t="s">
        <v>2367</v>
      </c>
      <c r="D214" s="26"/>
      <c r="E214" s="171" t="s">
        <v>297</v>
      </c>
      <c r="F214" s="409">
        <v>100</v>
      </c>
      <c r="G214" s="26" t="s">
        <v>3477</v>
      </c>
      <c r="H214" s="26"/>
      <c r="I214" s="26"/>
    </row>
    <row r="215" spans="1:9">
      <c r="A215" s="27"/>
      <c r="B215" s="79" t="s">
        <v>2368</v>
      </c>
      <c r="C215" s="26"/>
      <c r="D215" s="26"/>
      <c r="E215" s="26"/>
      <c r="F215" s="26"/>
      <c r="G215" s="26"/>
      <c r="H215" s="26"/>
      <c r="I215" s="26"/>
    </row>
    <row r="216" spans="1:9">
      <c r="A216" s="27"/>
      <c r="B216" s="95" t="s">
        <v>2369</v>
      </c>
      <c r="C216" s="157" t="s">
        <v>4443</v>
      </c>
      <c r="D216" s="95" t="s">
        <v>2370</v>
      </c>
      <c r="E216" s="95" t="s">
        <v>1166</v>
      </c>
      <c r="F216" s="95" t="s">
        <v>2371</v>
      </c>
      <c r="G216" s="95" t="s">
        <v>2372</v>
      </c>
      <c r="H216" s="26"/>
      <c r="I216" s="26"/>
    </row>
    <row r="217" spans="1:9">
      <c r="A217" s="27"/>
      <c r="B217" s="114"/>
      <c r="C217" s="154"/>
      <c r="D217" s="114"/>
      <c r="E217" s="114"/>
      <c r="F217" s="114" t="s">
        <v>3485</v>
      </c>
      <c r="G217" s="114" t="s">
        <v>3485</v>
      </c>
      <c r="H217" s="26"/>
      <c r="I217" s="26"/>
    </row>
    <row r="218" spans="1:9">
      <c r="A218" s="27"/>
      <c r="B218" s="95">
        <v>1</v>
      </c>
      <c r="C218" s="135" t="s">
        <v>3689</v>
      </c>
      <c r="D218" s="95" t="s">
        <v>3483</v>
      </c>
      <c r="E218" s="190">
        <v>43.5</v>
      </c>
      <c r="F218" s="214">
        <f>F204</f>
        <v>20.14</v>
      </c>
      <c r="G218" s="190">
        <f>E218*F218</f>
        <v>876.09</v>
      </c>
      <c r="H218" s="26"/>
      <c r="I218" s="26"/>
    </row>
    <row r="219" spans="1:9">
      <c r="A219" s="27"/>
      <c r="B219" s="105"/>
      <c r="C219" s="135" t="s">
        <v>5125</v>
      </c>
      <c r="D219" s="224">
        <v>0.1</v>
      </c>
      <c r="E219" s="190"/>
      <c r="F219" s="214"/>
      <c r="G219" s="190">
        <f>G218*D219</f>
        <v>87.609000000000009</v>
      </c>
      <c r="H219" s="26"/>
      <c r="I219" s="26"/>
    </row>
    <row r="220" spans="1:9">
      <c r="A220" s="27"/>
      <c r="B220" s="105">
        <v>2</v>
      </c>
      <c r="C220" s="135" t="s">
        <v>3098</v>
      </c>
      <c r="D220" s="105" t="s">
        <v>2374</v>
      </c>
      <c r="E220" s="190">
        <v>6</v>
      </c>
      <c r="F220" s="214">
        <f>F208</f>
        <v>0.23125000000000001</v>
      </c>
      <c r="G220" s="190">
        <f>E220*F220</f>
        <v>1.3875000000000002</v>
      </c>
      <c r="H220" s="26"/>
      <c r="I220" s="26"/>
    </row>
    <row r="221" spans="1:9">
      <c r="A221" s="27"/>
      <c r="B221" s="105">
        <v>3</v>
      </c>
      <c r="C221" s="135" t="s">
        <v>135</v>
      </c>
      <c r="D221" s="105" t="s">
        <v>3478</v>
      </c>
      <c r="E221" s="190">
        <v>20</v>
      </c>
      <c r="F221" s="214">
        <f>'BASIC DATA'!$D$54</f>
        <v>70</v>
      </c>
      <c r="G221" s="190">
        <f>E221*F221</f>
        <v>1400</v>
      </c>
      <c r="H221" s="26"/>
      <c r="I221" s="26"/>
    </row>
    <row r="222" spans="1:9">
      <c r="A222" s="27"/>
      <c r="B222" s="105">
        <v>4</v>
      </c>
      <c r="C222" s="135" t="s">
        <v>2060</v>
      </c>
      <c r="D222" s="105" t="s">
        <v>2059</v>
      </c>
      <c r="E222" s="190">
        <v>29</v>
      </c>
      <c r="F222" s="214">
        <f>'BASIC DATA'!$D$49</f>
        <v>11</v>
      </c>
      <c r="G222" s="190">
        <f>E222*F222</f>
        <v>319</v>
      </c>
      <c r="H222" s="26"/>
      <c r="I222" s="26"/>
    </row>
    <row r="223" spans="1:9">
      <c r="A223" s="27"/>
      <c r="B223" s="105">
        <v>5</v>
      </c>
      <c r="C223" s="135" t="s">
        <v>5703</v>
      </c>
      <c r="D223" s="105" t="s">
        <v>3483</v>
      </c>
      <c r="E223" s="190">
        <v>70</v>
      </c>
      <c r="F223" s="214">
        <f>'BASIC DATA'!$D$46</f>
        <v>9</v>
      </c>
      <c r="G223" s="190">
        <f>E223*F223</f>
        <v>630</v>
      </c>
      <c r="H223" s="26"/>
      <c r="I223" s="26"/>
    </row>
    <row r="224" spans="1:9">
      <c r="A224" s="27"/>
      <c r="B224" s="114">
        <v>6</v>
      </c>
      <c r="C224" s="135" t="s">
        <v>2373</v>
      </c>
      <c r="D224" s="105" t="s">
        <v>2173</v>
      </c>
      <c r="E224" s="190">
        <v>0.5</v>
      </c>
      <c r="F224" s="214">
        <f>'BASIC DATA'!$D$359</f>
        <v>30</v>
      </c>
      <c r="G224" s="190">
        <f>E224*F224</f>
        <v>15</v>
      </c>
      <c r="H224" s="26"/>
      <c r="I224" s="26"/>
    </row>
    <row r="225" spans="1:9">
      <c r="A225" s="27"/>
      <c r="B225" s="92"/>
      <c r="C225" s="193" t="s">
        <v>2376</v>
      </c>
      <c r="D225" s="159"/>
      <c r="E225" s="238"/>
      <c r="F225" s="236" t="s">
        <v>1698</v>
      </c>
      <c r="G225" s="318">
        <f>SUM(G218:G224)</f>
        <v>3329.0865000000003</v>
      </c>
      <c r="H225" s="26"/>
      <c r="I225" s="26"/>
    </row>
    <row r="226" spans="1:9">
      <c r="A226" s="27"/>
      <c r="B226" s="78"/>
      <c r="C226" s="26"/>
      <c r="D226" s="26"/>
      <c r="E226" s="26"/>
      <c r="F226" s="26"/>
      <c r="G226" s="26"/>
      <c r="H226" s="26"/>
      <c r="I226" s="26"/>
    </row>
    <row r="227" spans="1:9">
      <c r="A227" s="27"/>
      <c r="B227" s="79" t="s">
        <v>2377</v>
      </c>
      <c r="C227" s="26"/>
      <c r="D227" s="26"/>
      <c r="E227" s="26"/>
      <c r="F227" s="26"/>
      <c r="G227" s="26"/>
      <c r="H227" s="26"/>
      <c r="I227" s="26"/>
    </row>
    <row r="228" spans="1:9">
      <c r="A228" s="27"/>
      <c r="B228" s="95" t="s">
        <v>2369</v>
      </c>
      <c r="C228" s="157" t="s">
        <v>2378</v>
      </c>
      <c r="D228" s="95" t="s">
        <v>2370</v>
      </c>
      <c r="E228" s="95" t="s">
        <v>1166</v>
      </c>
      <c r="F228" s="95" t="s">
        <v>2371</v>
      </c>
      <c r="G228" s="95" t="s">
        <v>2372</v>
      </c>
      <c r="H228" s="26"/>
      <c r="I228" s="26"/>
    </row>
    <row r="229" spans="1:9">
      <c r="A229" s="27"/>
      <c r="B229" s="114"/>
      <c r="C229" s="154"/>
      <c r="D229" s="114"/>
      <c r="E229" s="114"/>
      <c r="F229" s="114" t="s">
        <v>3485</v>
      </c>
      <c r="G229" s="114" t="s">
        <v>3485</v>
      </c>
      <c r="H229" s="26"/>
      <c r="I229" s="26"/>
    </row>
    <row r="230" spans="1:9">
      <c r="A230" s="27"/>
      <c r="B230" s="95">
        <v>1</v>
      </c>
      <c r="C230" s="135" t="s">
        <v>2062</v>
      </c>
      <c r="D230" s="95" t="s">
        <v>2374</v>
      </c>
      <c r="E230" s="190">
        <v>3</v>
      </c>
      <c r="F230" s="190">
        <f>'HIRE CHARGES'!$D$496</f>
        <v>275.60000000000002</v>
      </c>
      <c r="G230" s="190">
        <f>E230*F230</f>
        <v>826.80000000000007</v>
      </c>
      <c r="H230" s="26"/>
      <c r="I230" s="26"/>
    </row>
    <row r="231" spans="1:9">
      <c r="A231" s="27"/>
      <c r="B231" s="317"/>
      <c r="C231" s="135" t="s">
        <v>2379</v>
      </c>
      <c r="D231" s="105" t="s">
        <v>2374</v>
      </c>
      <c r="E231" s="190">
        <v>3</v>
      </c>
      <c r="F231" s="190">
        <f>'HIRE CHARGES'!$E$496</f>
        <v>892.5</v>
      </c>
      <c r="G231" s="190">
        <f>E231*F231</f>
        <v>2677.5</v>
      </c>
      <c r="H231" s="26"/>
      <c r="I231" s="26"/>
    </row>
    <row r="232" spans="1:9">
      <c r="A232" s="27"/>
      <c r="B232" s="105">
        <v>2</v>
      </c>
      <c r="C232" s="135" t="s">
        <v>2063</v>
      </c>
      <c r="D232" s="105" t="s">
        <v>2374</v>
      </c>
      <c r="E232" s="190">
        <v>6</v>
      </c>
      <c r="F232" s="190">
        <f>'HIRE CHARGES'!$D$530</f>
        <v>19.8</v>
      </c>
      <c r="G232" s="190">
        <f>E232*F232</f>
        <v>118.80000000000001</v>
      </c>
      <c r="H232" s="26"/>
      <c r="I232" s="26"/>
    </row>
    <row r="233" spans="1:9">
      <c r="A233" s="27"/>
      <c r="B233" s="280"/>
      <c r="C233" s="135" t="s">
        <v>2379</v>
      </c>
      <c r="D233" s="105" t="s">
        <v>2374</v>
      </c>
      <c r="E233" s="190">
        <v>6</v>
      </c>
      <c r="F233" s="190">
        <f>'HIRE CHARGES'!$E$530</f>
        <v>0</v>
      </c>
      <c r="G233" s="190">
        <f>E233*F233</f>
        <v>0</v>
      </c>
      <c r="H233" s="26"/>
      <c r="I233" s="26"/>
    </row>
    <row r="234" spans="1:9">
      <c r="A234" s="27"/>
      <c r="B234" s="176"/>
      <c r="C234" s="172" t="s">
        <v>2380</v>
      </c>
      <c r="D234" s="174"/>
      <c r="E234" s="192"/>
      <c r="F234" s="236" t="s">
        <v>1698</v>
      </c>
      <c r="G234" s="318">
        <f>SUM(G230:G233)</f>
        <v>3623.1000000000004</v>
      </c>
      <c r="H234" s="26"/>
      <c r="I234" s="26"/>
    </row>
    <row r="235" spans="1:9">
      <c r="A235" s="27"/>
      <c r="B235" s="78"/>
      <c r="C235" s="26"/>
      <c r="D235" s="26"/>
      <c r="E235" s="26"/>
      <c r="F235" s="26"/>
      <c r="G235" s="26"/>
      <c r="H235" s="26"/>
      <c r="I235" s="26"/>
    </row>
    <row r="236" spans="1:9">
      <c r="A236" s="27"/>
      <c r="B236" s="79" t="s">
        <v>2381</v>
      </c>
      <c r="C236" s="26"/>
      <c r="D236" s="26"/>
      <c r="E236" s="26"/>
      <c r="F236" s="26"/>
      <c r="G236" s="26"/>
      <c r="H236" s="26"/>
      <c r="I236" s="26"/>
    </row>
    <row r="237" spans="1:9">
      <c r="A237" s="27"/>
      <c r="B237" s="95" t="s">
        <v>2369</v>
      </c>
      <c r="C237" s="157" t="s">
        <v>2378</v>
      </c>
      <c r="D237" s="95" t="s">
        <v>2370</v>
      </c>
      <c r="E237" s="95" t="s">
        <v>1166</v>
      </c>
      <c r="F237" s="95" t="s">
        <v>2371</v>
      </c>
      <c r="G237" s="95" t="s">
        <v>2372</v>
      </c>
      <c r="H237" s="26"/>
      <c r="I237" s="26"/>
    </row>
    <row r="238" spans="1:9">
      <c r="A238" s="27"/>
      <c r="B238" s="114"/>
      <c r="C238" s="154"/>
      <c r="D238" s="114"/>
      <c r="E238" s="114"/>
      <c r="F238" s="114" t="s">
        <v>3485</v>
      </c>
      <c r="G238" s="114" t="s">
        <v>3485</v>
      </c>
      <c r="H238" s="26"/>
      <c r="I238" s="26"/>
    </row>
    <row r="239" spans="1:9">
      <c r="A239" s="27"/>
      <c r="B239" s="105">
        <v>1</v>
      </c>
      <c r="C239" s="76" t="s">
        <v>4606</v>
      </c>
      <c r="D239" s="105" t="s">
        <v>2374</v>
      </c>
      <c r="E239" s="207">
        <v>3</v>
      </c>
      <c r="F239" s="190">
        <f>'HIRE CHARGES'!$F$496</f>
        <v>210.9</v>
      </c>
      <c r="G239" s="190">
        <f>E239*F239</f>
        <v>632.70000000000005</v>
      </c>
      <c r="H239" s="26"/>
      <c r="I239" s="26"/>
    </row>
    <row r="240" spans="1:9">
      <c r="A240" s="27"/>
      <c r="B240" s="105">
        <v>2</v>
      </c>
      <c r="C240" s="76" t="s">
        <v>4607</v>
      </c>
      <c r="D240" s="105" t="s">
        <v>2374</v>
      </c>
      <c r="E240" s="207">
        <v>6</v>
      </c>
      <c r="F240" s="190">
        <f>'HIRE CHARGES'!$F$530</f>
        <v>329.6</v>
      </c>
      <c r="G240" s="190">
        <f t="shared" ref="G240:G246" si="0">E240*F240</f>
        <v>1977.6000000000001</v>
      </c>
      <c r="H240" s="26"/>
      <c r="I240" s="26"/>
    </row>
    <row r="241" spans="1:9">
      <c r="A241" s="27"/>
      <c r="B241" s="105">
        <v>3</v>
      </c>
      <c r="C241" s="76" t="s">
        <v>4206</v>
      </c>
      <c r="D241" s="105" t="s">
        <v>1172</v>
      </c>
      <c r="E241" s="207">
        <v>1</v>
      </c>
      <c r="F241" s="190">
        <f>'BASIC DATA'!$C$473</f>
        <v>450</v>
      </c>
      <c r="G241" s="190">
        <f t="shared" si="0"/>
        <v>450</v>
      </c>
      <c r="H241" s="26"/>
      <c r="I241" s="26"/>
    </row>
    <row r="242" spans="1:9">
      <c r="A242" s="27"/>
      <c r="B242" s="105">
        <v>4</v>
      </c>
      <c r="C242" s="76" t="s">
        <v>4608</v>
      </c>
      <c r="D242" s="105" t="s">
        <v>1172</v>
      </c>
      <c r="E242" s="207">
        <v>0.5</v>
      </c>
      <c r="F242" s="190">
        <f>'BASIC DATA'!$C$466</f>
        <v>510</v>
      </c>
      <c r="G242" s="190">
        <f t="shared" si="0"/>
        <v>255</v>
      </c>
      <c r="H242" s="26"/>
      <c r="I242" s="26"/>
    </row>
    <row r="243" spans="1:9">
      <c r="A243" s="27"/>
      <c r="B243" s="105">
        <v>5</v>
      </c>
      <c r="C243" s="76" t="s">
        <v>4609</v>
      </c>
      <c r="D243" s="105" t="s">
        <v>1172</v>
      </c>
      <c r="E243" s="207">
        <v>0.5</v>
      </c>
      <c r="F243" s="190">
        <f>'BASIC DATA'!$C$520</f>
        <v>400</v>
      </c>
      <c r="G243" s="190">
        <f t="shared" si="0"/>
        <v>200</v>
      </c>
      <c r="H243" s="26"/>
      <c r="I243" s="26"/>
    </row>
    <row r="244" spans="1:9">
      <c r="A244" s="27"/>
      <c r="B244" s="105">
        <v>6</v>
      </c>
      <c r="C244" s="76" t="s">
        <v>5603</v>
      </c>
      <c r="D244" s="105" t="s">
        <v>1172</v>
      </c>
      <c r="E244" s="207">
        <v>6</v>
      </c>
      <c r="F244" s="190">
        <f>'BASIC DATA'!$C$514</f>
        <v>400</v>
      </c>
      <c r="G244" s="190">
        <f t="shared" si="0"/>
        <v>2400</v>
      </c>
      <c r="H244" s="26"/>
      <c r="I244" s="26"/>
    </row>
    <row r="245" spans="1:9">
      <c r="A245" s="27"/>
      <c r="B245" s="105">
        <v>7</v>
      </c>
      <c r="C245" s="76" t="s">
        <v>1190</v>
      </c>
      <c r="D245" s="105" t="s">
        <v>1172</v>
      </c>
      <c r="E245" s="207">
        <v>3</v>
      </c>
      <c r="F245" s="190">
        <f>'BASIC DATA'!$C$546</f>
        <v>400</v>
      </c>
      <c r="G245" s="190">
        <f t="shared" si="0"/>
        <v>1200</v>
      </c>
      <c r="H245" s="26"/>
      <c r="I245" s="26"/>
    </row>
    <row r="246" spans="1:9">
      <c r="A246" s="27"/>
      <c r="B246" s="105">
        <v>8</v>
      </c>
      <c r="C246" s="76" t="s">
        <v>2697</v>
      </c>
      <c r="D246" s="105" t="s">
        <v>1172</v>
      </c>
      <c r="E246" s="207">
        <v>51</v>
      </c>
      <c r="F246" s="190">
        <f>'BASIC DATA'!$C$552</f>
        <v>350</v>
      </c>
      <c r="G246" s="190">
        <f t="shared" si="0"/>
        <v>17850</v>
      </c>
      <c r="H246" s="26"/>
      <c r="I246" s="26"/>
    </row>
    <row r="247" spans="1:9">
      <c r="A247" s="27"/>
      <c r="B247" s="92"/>
      <c r="C247" s="193" t="s">
        <v>1174</v>
      </c>
      <c r="D247" s="159"/>
      <c r="E247" s="238"/>
      <c r="F247" s="236" t="s">
        <v>1698</v>
      </c>
      <c r="G247" s="318">
        <f>SUM(G239:G246)</f>
        <v>24965.3</v>
      </c>
      <c r="H247" s="26"/>
      <c r="I247" s="26"/>
    </row>
    <row r="248" spans="1:9">
      <c r="A248" s="27"/>
      <c r="B248" s="60" t="s">
        <v>5948</v>
      </c>
      <c r="C248" s="31"/>
      <c r="D248" s="31"/>
      <c r="E248" s="85">
        <f>ROUND(G247/F214,1)</f>
        <v>249.7</v>
      </c>
      <c r="F248" s="26"/>
      <c r="G248" s="26"/>
      <c r="H248" s="26"/>
      <c r="I248" s="26"/>
    </row>
    <row r="249" spans="1:9">
      <c r="A249" s="27"/>
      <c r="B249" s="60" t="s">
        <v>3163</v>
      </c>
      <c r="C249" s="31"/>
      <c r="D249" s="31">
        <f>'BASIC DATA'!$C$577</f>
        <v>0.13614999999999999</v>
      </c>
      <c r="E249" s="85">
        <f>ROUND(E248*D249,1)</f>
        <v>34</v>
      </c>
      <c r="F249" s="26"/>
      <c r="G249" s="26"/>
      <c r="H249" s="26"/>
      <c r="I249" s="26"/>
    </row>
    <row r="250" spans="1:9">
      <c r="A250" s="27"/>
      <c r="B250" s="60" t="s">
        <v>5949</v>
      </c>
      <c r="C250" s="31"/>
      <c r="D250" s="31"/>
      <c r="E250" s="199">
        <f>ROUND(E249+E248,1)</f>
        <v>283.7</v>
      </c>
      <c r="F250" s="26"/>
      <c r="G250" s="26"/>
      <c r="H250" s="26"/>
      <c r="I250" s="26"/>
    </row>
    <row r="251" spans="1:9">
      <c r="A251" s="27"/>
      <c r="B251" s="26"/>
      <c r="C251" s="26"/>
      <c r="D251" s="26"/>
      <c r="E251" s="26"/>
      <c r="F251" s="26"/>
      <c r="G251" s="26"/>
      <c r="H251" s="26"/>
      <c r="I251" s="26"/>
    </row>
    <row r="252" spans="1:9">
      <c r="A252" s="27"/>
      <c r="B252" s="170" t="s">
        <v>1175</v>
      </c>
      <c r="C252" s="26"/>
      <c r="D252" s="26"/>
      <c r="E252" s="26"/>
      <c r="F252" s="26"/>
      <c r="G252" s="26"/>
      <c r="H252" s="26"/>
      <c r="I252" s="26"/>
    </row>
    <row r="253" spans="1:9">
      <c r="A253" s="27"/>
      <c r="B253" s="26" t="s">
        <v>1176</v>
      </c>
      <c r="C253" s="26"/>
      <c r="D253" s="26"/>
      <c r="E253" s="26"/>
      <c r="F253" s="171" t="s">
        <v>1698</v>
      </c>
      <c r="G253" s="68">
        <f>G225</f>
        <v>3329.0865000000003</v>
      </c>
      <c r="H253" s="26"/>
      <c r="I253" s="26"/>
    </row>
    <row r="254" spans="1:9">
      <c r="A254" s="27"/>
      <c r="B254" s="26" t="s">
        <v>1186</v>
      </c>
      <c r="C254" s="26"/>
      <c r="D254" s="26"/>
      <c r="E254" s="26"/>
      <c r="F254" s="171" t="s">
        <v>1698</v>
      </c>
      <c r="G254" s="68">
        <f>G234</f>
        <v>3623.1000000000004</v>
      </c>
      <c r="H254" s="26"/>
      <c r="I254" s="26"/>
    </row>
    <row r="255" spans="1:9">
      <c r="A255" s="27"/>
      <c r="B255" s="26" t="s">
        <v>2660</v>
      </c>
      <c r="C255" s="26"/>
      <c r="D255" s="26"/>
      <c r="E255" s="26"/>
      <c r="F255" s="171" t="s">
        <v>1698</v>
      </c>
      <c r="G255" s="75">
        <f>G247</f>
        <v>24965.3</v>
      </c>
      <c r="H255" s="26"/>
      <c r="I255" s="26"/>
    </row>
    <row r="256" spans="1:9">
      <c r="A256" s="27"/>
      <c r="B256" s="78"/>
      <c r="C256" s="26"/>
      <c r="D256" s="26"/>
      <c r="E256" s="171"/>
      <c r="F256" s="171" t="s">
        <v>302</v>
      </c>
      <c r="G256" s="205">
        <f>SUM(G253:G255)</f>
        <v>31917.486499999999</v>
      </c>
      <c r="H256" s="26"/>
      <c r="I256" s="26"/>
    </row>
    <row r="257" spans="1:9">
      <c r="A257" s="27"/>
      <c r="B257" s="26" t="s">
        <v>1379</v>
      </c>
      <c r="C257" s="26"/>
      <c r="D257" s="26"/>
      <c r="E257" s="249">
        <f>'BASIC DATA'!$C$577</f>
        <v>0.13614999999999999</v>
      </c>
      <c r="F257" s="26" t="s">
        <v>1698</v>
      </c>
      <c r="G257" s="26">
        <f>ROUND(G256*E257,2)</f>
        <v>4345.57</v>
      </c>
      <c r="H257" s="26"/>
      <c r="I257" s="26"/>
    </row>
    <row r="258" spans="1:9">
      <c r="A258" s="27"/>
      <c r="B258" s="26" t="s">
        <v>1191</v>
      </c>
      <c r="C258" s="26"/>
      <c r="D258" s="68">
        <f>F214</f>
        <v>100</v>
      </c>
      <c r="E258" s="68" t="str">
        <f>G214</f>
        <v>cum</v>
      </c>
      <c r="F258" s="26" t="s">
        <v>1698</v>
      </c>
      <c r="G258" s="170">
        <f>G257+G256</f>
        <v>36263.056499999999</v>
      </c>
      <c r="H258" s="26"/>
      <c r="I258" s="26"/>
    </row>
    <row r="259" spans="1:9">
      <c r="A259" s="27"/>
      <c r="B259" s="170" t="s">
        <v>1584</v>
      </c>
      <c r="C259" s="211" t="str">
        <f>E258</f>
        <v>cum</v>
      </c>
      <c r="D259" s="26" t="s">
        <v>5882</v>
      </c>
      <c r="E259" s="26"/>
      <c r="F259" s="26" t="s">
        <v>4108</v>
      </c>
      <c r="G259" s="211">
        <f>ROUND(G258/D258,1)</f>
        <v>362.6</v>
      </c>
      <c r="H259" s="26"/>
      <c r="I259" s="26"/>
    </row>
    <row r="260" spans="1:9">
      <c r="A260" s="27"/>
      <c r="B260" s="78"/>
      <c r="C260" s="26"/>
      <c r="D260" s="26"/>
      <c r="E260" s="26"/>
      <c r="F260" s="26"/>
      <c r="G260" s="26"/>
      <c r="H260" s="26"/>
      <c r="I260" s="26"/>
    </row>
    <row r="261" spans="1:9">
      <c r="A261" s="27"/>
      <c r="B261" s="78"/>
      <c r="C261" s="26"/>
      <c r="D261" s="26"/>
      <c r="E261" s="26"/>
      <c r="F261" s="26"/>
      <c r="G261" s="26"/>
      <c r="H261" s="26"/>
      <c r="I261" s="26"/>
    </row>
    <row r="262" spans="1:9" ht="18.75">
      <c r="A262" s="27" t="s">
        <v>7536</v>
      </c>
      <c r="B262" s="26" t="s">
        <v>8904</v>
      </c>
      <c r="C262" s="26"/>
      <c r="D262" s="26"/>
      <c r="E262" s="26"/>
      <c r="F262" s="26"/>
      <c r="G262" s="26"/>
      <c r="H262" s="26"/>
      <c r="I262" s="26"/>
    </row>
    <row r="263" spans="1:9">
      <c r="A263" s="27"/>
      <c r="B263" s="26" t="s">
        <v>7996</v>
      </c>
      <c r="C263" s="26"/>
      <c r="D263" s="26"/>
      <c r="E263" s="26"/>
      <c r="F263" s="26"/>
      <c r="G263" s="26"/>
      <c r="H263" s="26"/>
      <c r="I263" s="26"/>
    </row>
    <row r="264" spans="1:9">
      <c r="A264" s="27"/>
      <c r="B264" s="26" t="s">
        <v>4998</v>
      </c>
      <c r="C264" s="26"/>
      <c r="D264" s="26"/>
      <c r="E264" s="26"/>
      <c r="F264" s="26"/>
      <c r="G264" s="26"/>
      <c r="H264" s="26"/>
      <c r="I264" s="26"/>
    </row>
    <row r="265" spans="1:9" ht="18.75">
      <c r="A265" s="27"/>
      <c r="B265" s="170" t="s">
        <v>8905</v>
      </c>
      <c r="C265" s="26"/>
      <c r="D265" s="26"/>
      <c r="E265" s="26"/>
      <c r="F265" s="26"/>
      <c r="G265" s="26"/>
      <c r="H265" s="26"/>
      <c r="I265" s="26"/>
    </row>
    <row r="266" spans="1:9">
      <c r="B266" s="26"/>
      <c r="C266" s="26"/>
      <c r="D266" s="26"/>
      <c r="E266" s="26"/>
      <c r="F266" s="26"/>
      <c r="G266" s="26"/>
      <c r="H266" s="26"/>
      <c r="I266" s="26"/>
    </row>
    <row r="267" spans="1:9">
      <c r="A267" s="27" t="s">
        <v>3984</v>
      </c>
      <c r="B267" s="26" t="s">
        <v>3740</v>
      </c>
      <c r="C267" s="26"/>
      <c r="D267" s="26"/>
      <c r="E267" s="26"/>
      <c r="F267" s="26"/>
      <c r="G267" s="26"/>
      <c r="H267" s="26"/>
      <c r="I267" s="26"/>
    </row>
    <row r="268" spans="1:9">
      <c r="A268" s="27"/>
      <c r="B268" s="26" t="s">
        <v>979</v>
      </c>
      <c r="C268" s="26"/>
      <c r="D268" s="26"/>
      <c r="E268" s="26"/>
      <c r="F268" s="26"/>
      <c r="G268" s="26"/>
      <c r="H268" s="26"/>
      <c r="I268" s="26"/>
    </row>
    <row r="269" spans="1:9">
      <c r="A269" s="27"/>
      <c r="B269" s="26" t="s">
        <v>4999</v>
      </c>
      <c r="C269" s="26"/>
      <c r="D269" s="26"/>
      <c r="E269" s="26"/>
      <c r="F269" s="26"/>
      <c r="G269" s="26"/>
      <c r="H269" s="26"/>
      <c r="I269" s="26"/>
    </row>
    <row r="270" spans="1:9">
      <c r="A270" s="27"/>
      <c r="B270" s="26" t="s">
        <v>3062</v>
      </c>
      <c r="C270" s="26"/>
      <c r="D270" s="26"/>
      <c r="E270" s="26"/>
      <c r="F270" s="26"/>
      <c r="G270" s="26"/>
      <c r="H270" s="26"/>
      <c r="I270" s="26"/>
    </row>
    <row r="271" spans="1:9">
      <c r="A271" s="27"/>
      <c r="B271" s="26" t="s">
        <v>987</v>
      </c>
      <c r="C271" s="26"/>
      <c r="D271" s="26"/>
      <c r="E271" s="26"/>
      <c r="F271" s="26"/>
      <c r="G271" s="26"/>
      <c r="H271" s="26"/>
      <c r="I271" s="26"/>
    </row>
    <row r="272" spans="1:9">
      <c r="A272" s="27"/>
      <c r="B272" s="26" t="s">
        <v>2361</v>
      </c>
      <c r="C272" s="26"/>
      <c r="D272" s="26"/>
      <c r="E272" s="26"/>
      <c r="F272" s="26"/>
      <c r="G272" s="26"/>
      <c r="H272" s="26"/>
      <c r="I272" s="26"/>
    </row>
    <row r="273" spans="1:9">
      <c r="A273" s="27"/>
      <c r="B273" s="26" t="s">
        <v>988</v>
      </c>
      <c r="C273" s="26"/>
      <c r="D273" s="26"/>
      <c r="E273" s="78" t="s">
        <v>1697</v>
      </c>
      <c r="F273" s="68">
        <v>0.8</v>
      </c>
      <c r="G273" s="26" t="s">
        <v>2602</v>
      </c>
      <c r="H273" s="26"/>
      <c r="I273" s="26"/>
    </row>
    <row r="274" spans="1:9">
      <c r="A274" s="27"/>
      <c r="B274" s="26" t="s">
        <v>835</v>
      </c>
      <c r="C274" s="26"/>
      <c r="D274" s="26"/>
      <c r="E274" s="27" t="s">
        <v>989</v>
      </c>
      <c r="F274" s="26" t="s">
        <v>3758</v>
      </c>
      <c r="G274" s="26" t="s">
        <v>2602</v>
      </c>
      <c r="H274" s="26"/>
      <c r="I274" s="26"/>
    </row>
    <row r="275" spans="1:9">
      <c r="A275" s="27"/>
      <c r="B275" s="26" t="s">
        <v>4890</v>
      </c>
      <c r="C275" s="26"/>
      <c r="D275" s="26"/>
      <c r="E275" s="78" t="s">
        <v>1697</v>
      </c>
      <c r="F275" s="26">
        <v>1.2</v>
      </c>
      <c r="G275" s="26" t="s">
        <v>3479</v>
      </c>
      <c r="H275" s="26"/>
      <c r="I275" s="26"/>
    </row>
    <row r="276" spans="1:9">
      <c r="A276" s="27"/>
      <c r="B276" s="26" t="s">
        <v>4891</v>
      </c>
      <c r="C276" s="26"/>
      <c r="D276" s="26"/>
      <c r="E276" s="78" t="s">
        <v>1697</v>
      </c>
      <c r="F276" s="26">
        <v>125</v>
      </c>
      <c r="G276" s="26" t="s">
        <v>3479</v>
      </c>
      <c r="H276" s="26"/>
      <c r="I276" s="26"/>
    </row>
    <row r="277" spans="1:9">
      <c r="A277" s="27"/>
      <c r="B277" s="26" t="s">
        <v>4892</v>
      </c>
      <c r="C277" s="26"/>
      <c r="D277" s="26"/>
      <c r="E277" s="78" t="s">
        <v>1697</v>
      </c>
      <c r="F277" s="26">
        <v>104</v>
      </c>
      <c r="G277" s="26" t="s">
        <v>4041</v>
      </c>
      <c r="H277" s="26"/>
      <c r="I277" s="26"/>
    </row>
    <row r="278" spans="1:9">
      <c r="A278" s="27"/>
      <c r="B278" s="26" t="s">
        <v>4893</v>
      </c>
      <c r="C278" s="26"/>
      <c r="D278" s="26"/>
      <c r="E278" s="78" t="s">
        <v>1697</v>
      </c>
      <c r="F278" s="26">
        <v>93.6</v>
      </c>
      <c r="G278" s="26" t="s">
        <v>2602</v>
      </c>
      <c r="H278" s="26"/>
      <c r="I278" s="26"/>
    </row>
    <row r="279" spans="1:9">
      <c r="A279" s="27"/>
      <c r="B279" s="26" t="s">
        <v>4894</v>
      </c>
      <c r="C279" s="26"/>
      <c r="D279" s="26"/>
      <c r="E279" s="78" t="s">
        <v>1697</v>
      </c>
      <c r="F279" s="26">
        <v>4.7</v>
      </c>
      <c r="G279" s="26" t="s">
        <v>2602</v>
      </c>
      <c r="H279" s="26"/>
      <c r="I279" s="26"/>
    </row>
    <row r="280" spans="1:9">
      <c r="A280" s="27"/>
      <c r="B280" s="26"/>
      <c r="C280" s="26"/>
      <c r="D280" s="171" t="s">
        <v>1518</v>
      </c>
      <c r="E280" s="78" t="s">
        <v>1697</v>
      </c>
      <c r="F280" s="26">
        <v>98.3</v>
      </c>
      <c r="G280" s="26" t="s">
        <v>2602</v>
      </c>
      <c r="H280" s="26"/>
      <c r="I280" s="26"/>
    </row>
    <row r="281" spans="1:9">
      <c r="A281" s="27"/>
      <c r="B281" s="26" t="s">
        <v>4418</v>
      </c>
      <c r="C281" s="26"/>
      <c r="D281" s="26"/>
      <c r="E281" s="78" t="s">
        <v>1697</v>
      </c>
      <c r="F281" s="68">
        <v>8</v>
      </c>
      <c r="G281" s="26" t="s">
        <v>2602</v>
      </c>
      <c r="H281" s="26"/>
      <c r="I281" s="26"/>
    </row>
    <row r="282" spans="1:9">
      <c r="A282" s="27"/>
      <c r="B282" s="26" t="s">
        <v>3903</v>
      </c>
      <c r="C282" s="26"/>
      <c r="D282" s="26"/>
      <c r="E282" s="78" t="s">
        <v>1697</v>
      </c>
      <c r="F282" s="26">
        <v>6.15</v>
      </c>
      <c r="G282" s="26" t="s">
        <v>4665</v>
      </c>
      <c r="H282" s="26"/>
      <c r="I282" s="26"/>
    </row>
    <row r="283" spans="1:9">
      <c r="A283" s="27"/>
      <c r="B283" s="26" t="s">
        <v>4230</v>
      </c>
      <c r="C283" s="26"/>
      <c r="D283" s="26"/>
      <c r="E283" s="26"/>
      <c r="F283" s="26"/>
      <c r="G283" s="26"/>
      <c r="H283" s="26"/>
      <c r="I283" s="26"/>
    </row>
    <row r="284" spans="1:9">
      <c r="A284" s="27"/>
      <c r="B284" s="26" t="s">
        <v>6310</v>
      </c>
      <c r="C284" s="26"/>
      <c r="D284" s="26"/>
      <c r="E284" s="26"/>
      <c r="F284" s="26"/>
      <c r="G284" s="26"/>
      <c r="H284" s="26"/>
      <c r="I284" s="26"/>
    </row>
    <row r="285" spans="1:9">
      <c r="A285" s="27"/>
      <c r="B285" s="26" t="s">
        <v>3608</v>
      </c>
      <c r="C285" s="26"/>
      <c r="D285" s="26"/>
      <c r="E285" s="78" t="s">
        <v>1697</v>
      </c>
      <c r="F285" s="26">
        <v>30</v>
      </c>
      <c r="G285" s="26" t="s">
        <v>3478</v>
      </c>
      <c r="H285" s="26"/>
      <c r="I285" s="26"/>
    </row>
    <row r="286" spans="1:9">
      <c r="A286" s="27"/>
      <c r="B286" s="26" t="s">
        <v>3609</v>
      </c>
      <c r="C286" s="26"/>
      <c r="D286" s="26"/>
      <c r="E286" s="78" t="s">
        <v>1697</v>
      </c>
      <c r="F286" s="26">
        <v>2</v>
      </c>
      <c r="G286" s="26" t="s">
        <v>3478</v>
      </c>
      <c r="H286" s="26"/>
      <c r="I286" s="26"/>
    </row>
    <row r="287" spans="1:9">
      <c r="A287" s="27"/>
      <c r="B287" s="26"/>
      <c r="C287" s="26"/>
      <c r="D287" s="171" t="s">
        <v>1518</v>
      </c>
      <c r="E287" s="78" t="s">
        <v>1697</v>
      </c>
      <c r="F287" s="26">
        <v>32</v>
      </c>
      <c r="G287" s="26" t="s">
        <v>3478</v>
      </c>
      <c r="H287" s="26"/>
      <c r="I287" s="26"/>
    </row>
    <row r="288" spans="1:9">
      <c r="A288" s="27"/>
      <c r="B288" s="26" t="s">
        <v>6093</v>
      </c>
      <c r="C288" s="26"/>
      <c r="D288" s="26"/>
      <c r="E288" s="78" t="s">
        <v>1697</v>
      </c>
      <c r="F288" s="26">
        <v>104</v>
      </c>
      <c r="G288" s="26" t="s">
        <v>4041</v>
      </c>
      <c r="H288" s="26"/>
      <c r="I288" s="26"/>
    </row>
    <row r="289" spans="1:9">
      <c r="A289" s="27"/>
      <c r="B289" s="26" t="s">
        <v>6147</v>
      </c>
      <c r="C289" s="26"/>
      <c r="D289" s="26"/>
      <c r="E289" s="78" t="s">
        <v>1697</v>
      </c>
      <c r="F289" s="26">
        <v>8</v>
      </c>
      <c r="G289" s="26" t="s">
        <v>4041</v>
      </c>
      <c r="H289" s="26"/>
      <c r="I289" s="26"/>
    </row>
    <row r="290" spans="1:9">
      <c r="A290" s="27"/>
      <c r="B290" s="26" t="s">
        <v>5703</v>
      </c>
      <c r="C290" s="26"/>
      <c r="D290" s="26"/>
      <c r="E290" s="78" t="s">
        <v>1697</v>
      </c>
      <c r="F290" s="26">
        <v>150</v>
      </c>
      <c r="G290" s="26" t="s">
        <v>3483</v>
      </c>
      <c r="H290" s="26"/>
      <c r="I290" s="26"/>
    </row>
    <row r="291" spans="1:9">
      <c r="A291" s="27"/>
      <c r="B291" s="26" t="s">
        <v>3850</v>
      </c>
      <c r="C291" s="68">
        <f>'BASIC DATA'!$D$307</f>
        <v>4028</v>
      </c>
      <c r="D291" s="26" t="s">
        <v>2290</v>
      </c>
      <c r="E291" s="78" t="s">
        <v>1698</v>
      </c>
      <c r="F291" s="68">
        <f>C291</f>
        <v>4028</v>
      </c>
      <c r="G291" s="26"/>
      <c r="H291" s="26"/>
      <c r="I291" s="26"/>
    </row>
    <row r="292" spans="1:9">
      <c r="A292" s="27"/>
      <c r="B292" s="26" t="s">
        <v>99</v>
      </c>
      <c r="C292" s="26"/>
      <c r="D292" s="26"/>
      <c r="E292" s="78" t="s">
        <v>1697</v>
      </c>
      <c r="F292" s="68">
        <v>150</v>
      </c>
      <c r="G292" s="26" t="s">
        <v>2602</v>
      </c>
      <c r="H292" s="26"/>
      <c r="I292" s="26"/>
    </row>
    <row r="293" spans="1:9">
      <c r="A293" s="27"/>
      <c r="B293" s="26" t="s">
        <v>1882</v>
      </c>
      <c r="C293" s="26" t="s">
        <v>7593</v>
      </c>
      <c r="D293" s="26"/>
      <c r="E293" s="78" t="s">
        <v>1698</v>
      </c>
      <c r="F293" s="68">
        <f>F291/F292</f>
        <v>26.853333333333332</v>
      </c>
      <c r="G293" s="26"/>
      <c r="H293" s="26"/>
      <c r="I293" s="26"/>
    </row>
    <row r="294" spans="1:9">
      <c r="A294" s="27"/>
      <c r="B294" s="26" t="s">
        <v>3686</v>
      </c>
      <c r="C294" s="26"/>
      <c r="D294" s="26"/>
      <c r="E294" s="78" t="s">
        <v>1697</v>
      </c>
      <c r="F294" s="68">
        <v>50</v>
      </c>
      <c r="G294" s="26" t="s">
        <v>2602</v>
      </c>
      <c r="H294" s="26"/>
      <c r="I294" s="26"/>
    </row>
    <row r="295" spans="1:9">
      <c r="A295" s="27"/>
      <c r="B295" s="26" t="s">
        <v>5348</v>
      </c>
      <c r="C295" s="68">
        <f>'BASIC DATA'!$D$344</f>
        <v>185</v>
      </c>
      <c r="D295" s="26" t="s">
        <v>4540</v>
      </c>
      <c r="E295" s="78" t="s">
        <v>1698</v>
      </c>
      <c r="F295" s="68">
        <f>C295*50</f>
        <v>9250</v>
      </c>
      <c r="G295" s="26"/>
      <c r="H295" s="26"/>
      <c r="I295" s="26"/>
    </row>
    <row r="296" spans="1:9">
      <c r="A296" s="27"/>
      <c r="B296" s="26" t="s">
        <v>5152</v>
      </c>
      <c r="C296" s="26"/>
      <c r="D296" s="26"/>
      <c r="E296" s="78" t="s">
        <v>1697</v>
      </c>
      <c r="F296" s="316">
        <v>800</v>
      </c>
      <c r="G296" s="26" t="s">
        <v>4665</v>
      </c>
      <c r="H296" s="26"/>
      <c r="I296" s="26"/>
    </row>
    <row r="297" spans="1:9">
      <c r="A297" s="27"/>
      <c r="B297" s="26" t="s">
        <v>6262</v>
      </c>
      <c r="C297" s="26" t="s">
        <v>7593</v>
      </c>
      <c r="D297" s="26"/>
      <c r="E297" s="78" t="s">
        <v>1698</v>
      </c>
      <c r="F297" s="68">
        <f>F295/F296</f>
        <v>11.5625</v>
      </c>
      <c r="G297" s="26"/>
      <c r="H297" s="26"/>
      <c r="I297" s="26"/>
    </row>
    <row r="298" spans="1:9">
      <c r="A298" s="27"/>
      <c r="B298" s="26" t="s">
        <v>5959</v>
      </c>
      <c r="C298" s="26"/>
      <c r="D298" s="26"/>
      <c r="E298" s="26"/>
      <c r="F298" s="26"/>
      <c r="G298" s="26"/>
      <c r="H298" s="26"/>
      <c r="I298" s="26"/>
    </row>
    <row r="299" spans="1:9">
      <c r="A299" s="27"/>
      <c r="B299" s="26" t="s">
        <v>4209</v>
      </c>
      <c r="C299" s="26"/>
      <c r="D299" s="26"/>
      <c r="E299" s="26"/>
      <c r="F299" s="26"/>
      <c r="G299" s="26"/>
      <c r="H299" s="26"/>
      <c r="I299" s="26"/>
    </row>
    <row r="300" spans="1:9">
      <c r="A300" s="27"/>
      <c r="B300" s="26" t="s">
        <v>2713</v>
      </c>
      <c r="C300" s="26"/>
      <c r="D300" s="26"/>
      <c r="E300" s="26"/>
      <c r="F300" s="26"/>
      <c r="G300" s="26"/>
      <c r="H300" s="26"/>
      <c r="I300" s="26"/>
    </row>
    <row r="301" spans="1:9">
      <c r="A301" s="27"/>
      <c r="B301" s="78"/>
      <c r="C301" s="26"/>
      <c r="D301" s="26"/>
      <c r="E301" s="26"/>
      <c r="F301" s="26"/>
      <c r="G301" s="26"/>
      <c r="H301" s="26"/>
      <c r="I301" s="26"/>
    </row>
    <row r="302" spans="1:9">
      <c r="A302" s="27" t="s">
        <v>3984</v>
      </c>
      <c r="B302" s="78"/>
      <c r="C302" s="203" t="s">
        <v>2367</v>
      </c>
      <c r="D302" s="26"/>
      <c r="E302" s="171" t="s">
        <v>297</v>
      </c>
      <c r="F302" s="246">
        <v>100</v>
      </c>
      <c r="G302" s="26" t="s">
        <v>3477</v>
      </c>
      <c r="H302" s="26"/>
      <c r="I302" s="26"/>
    </row>
    <row r="303" spans="1:9">
      <c r="A303" s="27"/>
      <c r="B303" s="79" t="s">
        <v>2368</v>
      </c>
      <c r="C303" s="26"/>
      <c r="D303" s="26"/>
      <c r="E303" s="26"/>
      <c r="F303" s="26"/>
      <c r="G303" s="26"/>
      <c r="H303" s="26"/>
      <c r="I303" s="26"/>
    </row>
    <row r="304" spans="1:9">
      <c r="A304" s="27"/>
      <c r="B304" s="95" t="s">
        <v>2369</v>
      </c>
      <c r="C304" s="157" t="s">
        <v>4443</v>
      </c>
      <c r="D304" s="95" t="s">
        <v>2370</v>
      </c>
      <c r="E304" s="95" t="s">
        <v>1166</v>
      </c>
      <c r="F304" s="95" t="s">
        <v>2371</v>
      </c>
      <c r="G304" s="95" t="s">
        <v>2372</v>
      </c>
      <c r="H304" s="26"/>
      <c r="I304" s="26"/>
    </row>
    <row r="305" spans="1:9">
      <c r="A305" s="27"/>
      <c r="B305" s="114"/>
      <c r="C305" s="154"/>
      <c r="D305" s="114"/>
      <c r="E305" s="114"/>
      <c r="F305" s="114" t="s">
        <v>3485</v>
      </c>
      <c r="G305" s="114" t="s">
        <v>3485</v>
      </c>
      <c r="H305" s="26"/>
      <c r="I305" s="26"/>
    </row>
    <row r="306" spans="1:9">
      <c r="A306" s="27"/>
      <c r="B306" s="95">
        <v>1</v>
      </c>
      <c r="C306" s="135" t="s">
        <v>135</v>
      </c>
      <c r="D306" s="95" t="s">
        <v>3478</v>
      </c>
      <c r="E306" s="190">
        <v>32</v>
      </c>
      <c r="F306" s="214">
        <f>'BASIC DATA'!$D$54</f>
        <v>70</v>
      </c>
      <c r="G306" s="190">
        <f t="shared" ref="G306:G311" si="1">E306*F306</f>
        <v>2240</v>
      </c>
      <c r="H306" s="26"/>
      <c r="I306" s="26"/>
    </row>
    <row r="307" spans="1:9">
      <c r="A307" s="27"/>
      <c r="B307" s="105">
        <v>2</v>
      </c>
      <c r="C307" s="135" t="s">
        <v>4210</v>
      </c>
      <c r="D307" s="105" t="s">
        <v>4089</v>
      </c>
      <c r="E307" s="190">
        <v>8</v>
      </c>
      <c r="F307" s="214">
        <f>'BASIC DATA'!$D$50</f>
        <v>7</v>
      </c>
      <c r="G307" s="190">
        <f t="shared" si="1"/>
        <v>56</v>
      </c>
      <c r="H307" s="26"/>
      <c r="I307" s="26"/>
    </row>
    <row r="308" spans="1:9">
      <c r="A308" s="27"/>
      <c r="B308" s="105">
        <v>3</v>
      </c>
      <c r="C308" s="135" t="s">
        <v>4211</v>
      </c>
      <c r="D308" s="105" t="s">
        <v>4089</v>
      </c>
      <c r="E308" s="190">
        <v>104</v>
      </c>
      <c r="F308" s="214">
        <f>'BASIC DATA'!$D$49</f>
        <v>11</v>
      </c>
      <c r="G308" s="190">
        <f t="shared" si="1"/>
        <v>1144</v>
      </c>
      <c r="H308" s="26"/>
      <c r="I308" s="26"/>
    </row>
    <row r="309" spans="1:9">
      <c r="A309" s="27"/>
      <c r="B309" s="105">
        <v>4</v>
      </c>
      <c r="C309" s="135" t="s">
        <v>5703</v>
      </c>
      <c r="D309" s="105" t="s">
        <v>3483</v>
      </c>
      <c r="E309" s="190">
        <v>150</v>
      </c>
      <c r="F309" s="214">
        <f>'BASIC DATA'!$D$46</f>
        <v>9</v>
      </c>
      <c r="G309" s="190">
        <f t="shared" si="1"/>
        <v>1350</v>
      </c>
      <c r="H309" s="26"/>
      <c r="I309" s="26"/>
    </row>
    <row r="310" spans="1:9">
      <c r="A310" s="27"/>
      <c r="B310" s="105">
        <v>5</v>
      </c>
      <c r="C310" s="135" t="s">
        <v>3098</v>
      </c>
      <c r="D310" s="105" t="s">
        <v>2374</v>
      </c>
      <c r="E310" s="190">
        <v>16</v>
      </c>
      <c r="F310" s="214">
        <f>F297</f>
        <v>11.5625</v>
      </c>
      <c r="G310" s="190">
        <f t="shared" si="1"/>
        <v>185</v>
      </c>
      <c r="H310" s="26"/>
      <c r="I310" s="26"/>
    </row>
    <row r="311" spans="1:9">
      <c r="A311" s="27"/>
      <c r="B311" s="105">
        <v>6</v>
      </c>
      <c r="C311" s="135" t="s">
        <v>4212</v>
      </c>
      <c r="D311" s="105" t="s">
        <v>3483</v>
      </c>
      <c r="E311" s="190">
        <v>98.3</v>
      </c>
      <c r="F311" s="214">
        <f>F293</f>
        <v>26.853333333333332</v>
      </c>
      <c r="G311" s="190">
        <f t="shared" si="1"/>
        <v>2639.6826666666666</v>
      </c>
      <c r="H311" s="26"/>
      <c r="I311" s="26"/>
    </row>
    <row r="312" spans="1:9">
      <c r="A312" s="27"/>
      <c r="B312" s="365"/>
      <c r="C312" s="135" t="s">
        <v>5125</v>
      </c>
      <c r="D312" s="224">
        <v>0.1</v>
      </c>
      <c r="E312" s="190"/>
      <c r="F312" s="214"/>
      <c r="G312" s="190">
        <f>G311*D312</f>
        <v>263.96826666666669</v>
      </c>
      <c r="H312" s="26"/>
      <c r="I312" s="26"/>
    </row>
    <row r="313" spans="1:9">
      <c r="A313" s="27"/>
      <c r="B313" s="92"/>
      <c r="C313" s="193" t="s">
        <v>2376</v>
      </c>
      <c r="D313" s="159"/>
      <c r="E313" s="238"/>
      <c r="F313" s="236" t="s">
        <v>1698</v>
      </c>
      <c r="G313" s="318">
        <f>SUM(G306:G312)</f>
        <v>7878.6509333333333</v>
      </c>
      <c r="H313" s="26"/>
      <c r="I313" s="26"/>
    </row>
    <row r="314" spans="1:9">
      <c r="A314" s="27"/>
      <c r="B314" s="78"/>
      <c r="C314" s="26"/>
      <c r="D314" s="26"/>
      <c r="E314" s="26"/>
      <c r="F314" s="26"/>
      <c r="G314" s="26"/>
      <c r="H314" s="26"/>
      <c r="I314" s="26"/>
    </row>
    <row r="315" spans="1:9">
      <c r="A315" s="27"/>
      <c r="B315" s="79" t="s">
        <v>2377</v>
      </c>
      <c r="C315" s="26"/>
      <c r="D315" s="26"/>
      <c r="E315" s="26"/>
      <c r="F315" s="26"/>
      <c r="G315" s="26"/>
      <c r="H315" s="26"/>
      <c r="I315" s="26"/>
    </row>
    <row r="316" spans="1:9">
      <c r="A316" s="27"/>
      <c r="B316" s="95" t="s">
        <v>2369</v>
      </c>
      <c r="C316" s="157" t="s">
        <v>2378</v>
      </c>
      <c r="D316" s="95" t="s">
        <v>2370</v>
      </c>
      <c r="E316" s="95" t="s">
        <v>1166</v>
      </c>
      <c r="F316" s="95" t="s">
        <v>2371</v>
      </c>
      <c r="G316" s="95" t="s">
        <v>2372</v>
      </c>
      <c r="H316" s="26"/>
      <c r="I316" s="26"/>
    </row>
    <row r="317" spans="1:9">
      <c r="A317" s="27"/>
      <c r="B317" s="114"/>
      <c r="C317" s="154"/>
      <c r="D317" s="114"/>
      <c r="E317" s="114"/>
      <c r="F317" s="114" t="s">
        <v>3485</v>
      </c>
      <c r="G317" s="114" t="s">
        <v>3485</v>
      </c>
      <c r="H317" s="26"/>
      <c r="I317" s="26"/>
    </row>
    <row r="318" spans="1:9">
      <c r="A318" s="27"/>
      <c r="B318" s="95">
        <v>1</v>
      </c>
      <c r="C318" s="135" t="s">
        <v>2062</v>
      </c>
      <c r="D318" s="95" t="s">
        <v>2374</v>
      </c>
      <c r="E318" s="190">
        <v>8</v>
      </c>
      <c r="F318" s="190">
        <f>'HIRE CHARGES'!$D$496</f>
        <v>275.60000000000002</v>
      </c>
      <c r="G318" s="190">
        <f>E318*F318</f>
        <v>2204.8000000000002</v>
      </c>
      <c r="H318" s="26"/>
      <c r="I318" s="26"/>
    </row>
    <row r="319" spans="1:9">
      <c r="A319" s="27"/>
      <c r="B319" s="317"/>
      <c r="C319" s="135" t="s">
        <v>2379</v>
      </c>
      <c r="D319" s="105" t="s">
        <v>2374</v>
      </c>
      <c r="E319" s="190">
        <v>8</v>
      </c>
      <c r="F319" s="190">
        <f>'HIRE CHARGES'!$E$496</f>
        <v>892.5</v>
      </c>
      <c r="G319" s="190">
        <f>E319*F319</f>
        <v>7140</v>
      </c>
      <c r="H319" s="26"/>
      <c r="I319" s="26"/>
    </row>
    <row r="320" spans="1:9">
      <c r="A320" s="27"/>
      <c r="B320" s="105">
        <v>2</v>
      </c>
      <c r="C320" s="135" t="s">
        <v>4213</v>
      </c>
      <c r="D320" s="105" t="s">
        <v>2374</v>
      </c>
      <c r="E320" s="190">
        <v>16</v>
      </c>
      <c r="F320" s="190">
        <f>'HIRE CHARGES'!$D$530</f>
        <v>19.8</v>
      </c>
      <c r="G320" s="190">
        <f>E320*F320</f>
        <v>316.8</v>
      </c>
      <c r="H320" s="26"/>
      <c r="I320" s="26"/>
    </row>
    <row r="321" spans="1:9">
      <c r="A321" s="27"/>
      <c r="B321" s="280"/>
      <c r="C321" s="135" t="s">
        <v>2379</v>
      </c>
      <c r="D321" s="105" t="s">
        <v>2374</v>
      </c>
      <c r="E321" s="190">
        <v>16</v>
      </c>
      <c r="F321" s="190">
        <f>'HIRE CHARGES'!$E$530</f>
        <v>0</v>
      </c>
      <c r="G321" s="190">
        <f>E321*F321</f>
        <v>0</v>
      </c>
      <c r="H321" s="26"/>
      <c r="I321" s="26"/>
    </row>
    <row r="322" spans="1:9">
      <c r="A322" s="27"/>
      <c r="B322" s="176"/>
      <c r="C322" s="172" t="s">
        <v>2380</v>
      </c>
      <c r="D322" s="174"/>
      <c r="E322" s="192"/>
      <c r="F322" s="236" t="s">
        <v>1698</v>
      </c>
      <c r="G322" s="318">
        <f>SUM(G318:G321)</f>
        <v>9661.5999999999985</v>
      </c>
      <c r="H322" s="26"/>
      <c r="I322" s="26"/>
    </row>
    <row r="323" spans="1:9">
      <c r="A323" s="27"/>
      <c r="B323" s="78"/>
      <c r="C323" s="26"/>
      <c r="D323" s="26"/>
      <c r="E323" s="26"/>
      <c r="F323" s="26"/>
      <c r="G323" s="26"/>
      <c r="H323" s="26"/>
      <c r="I323" s="26"/>
    </row>
    <row r="324" spans="1:9">
      <c r="A324" s="27"/>
      <c r="B324" s="79" t="s">
        <v>2381</v>
      </c>
      <c r="C324" s="26"/>
      <c r="D324" s="26"/>
      <c r="E324" s="26"/>
      <c r="F324" s="26"/>
      <c r="G324" s="26"/>
      <c r="H324" s="26"/>
      <c r="I324" s="26"/>
    </row>
    <row r="325" spans="1:9">
      <c r="A325" s="27"/>
      <c r="B325" s="95" t="s">
        <v>2369</v>
      </c>
      <c r="C325" s="157" t="s">
        <v>2378</v>
      </c>
      <c r="D325" s="95" t="s">
        <v>2370</v>
      </c>
      <c r="E325" s="95" t="s">
        <v>1166</v>
      </c>
      <c r="F325" s="95" t="s">
        <v>2371</v>
      </c>
      <c r="G325" s="95" t="s">
        <v>2372</v>
      </c>
      <c r="H325" s="26"/>
      <c r="I325" s="26"/>
    </row>
    <row r="326" spans="1:9">
      <c r="A326" s="27"/>
      <c r="B326" s="114"/>
      <c r="C326" s="154"/>
      <c r="D326" s="114"/>
      <c r="E326" s="114"/>
      <c r="F326" s="114" t="s">
        <v>3485</v>
      </c>
      <c r="G326" s="114" t="s">
        <v>3485</v>
      </c>
      <c r="H326" s="26"/>
      <c r="I326" s="26"/>
    </row>
    <row r="327" spans="1:9">
      <c r="A327" s="27"/>
      <c r="B327" s="105">
        <v>1</v>
      </c>
      <c r="C327" s="76" t="s">
        <v>4606</v>
      </c>
      <c r="D327" s="105" t="s">
        <v>2374</v>
      </c>
      <c r="E327" s="207">
        <v>8</v>
      </c>
      <c r="F327" s="190">
        <f>'HIRE CHARGES'!$F$496</f>
        <v>210.9</v>
      </c>
      <c r="G327" s="190">
        <f>E327*F327</f>
        <v>1687.2</v>
      </c>
      <c r="H327" s="26"/>
      <c r="I327" s="26"/>
    </row>
    <row r="328" spans="1:9">
      <c r="A328" s="27"/>
      <c r="B328" s="105">
        <v>2</v>
      </c>
      <c r="C328" s="76" t="s">
        <v>4607</v>
      </c>
      <c r="D328" s="105" t="s">
        <v>2374</v>
      </c>
      <c r="E328" s="207">
        <v>16</v>
      </c>
      <c r="F328" s="190">
        <f>'HIRE CHARGES'!$F$530</f>
        <v>329.6</v>
      </c>
      <c r="G328" s="190">
        <f t="shared" ref="G328:G334" si="2">E328*F328</f>
        <v>5273.6</v>
      </c>
      <c r="H328" s="26"/>
      <c r="I328" s="26"/>
    </row>
    <row r="329" spans="1:9">
      <c r="A329" s="27"/>
      <c r="B329" s="105">
        <v>3</v>
      </c>
      <c r="C329" s="76" t="s">
        <v>4214</v>
      </c>
      <c r="D329" s="105" t="s">
        <v>1172</v>
      </c>
      <c r="E329" s="207">
        <v>1</v>
      </c>
      <c r="F329" s="190">
        <f>'BASIC DATA'!$C$466</f>
        <v>510</v>
      </c>
      <c r="G329" s="190">
        <f t="shared" si="2"/>
        <v>510</v>
      </c>
      <c r="H329" s="26"/>
      <c r="I329" s="26"/>
    </row>
    <row r="330" spans="1:9">
      <c r="A330" s="27"/>
      <c r="B330" s="105">
        <v>4</v>
      </c>
      <c r="C330" s="76" t="s">
        <v>5605</v>
      </c>
      <c r="D330" s="105" t="s">
        <v>1172</v>
      </c>
      <c r="E330" s="207">
        <v>1</v>
      </c>
      <c r="F330" s="190">
        <f>'BASIC DATA'!$C$520</f>
        <v>400</v>
      </c>
      <c r="G330" s="190">
        <f t="shared" si="2"/>
        <v>400</v>
      </c>
      <c r="H330" s="26"/>
      <c r="I330" s="26"/>
    </row>
    <row r="331" spans="1:9">
      <c r="A331" s="27"/>
      <c r="B331" s="105">
        <v>5</v>
      </c>
      <c r="C331" s="76" t="s">
        <v>4206</v>
      </c>
      <c r="D331" s="105" t="s">
        <v>1172</v>
      </c>
      <c r="E331" s="207">
        <v>1</v>
      </c>
      <c r="F331" s="190">
        <f>'BASIC DATA'!$C$473</f>
        <v>450</v>
      </c>
      <c r="G331" s="190">
        <f t="shared" si="2"/>
        <v>450</v>
      </c>
      <c r="H331" s="26"/>
      <c r="I331" s="26"/>
    </row>
    <row r="332" spans="1:9">
      <c r="A332" s="27"/>
      <c r="B332" s="105">
        <v>6</v>
      </c>
      <c r="C332" s="76" t="s">
        <v>5603</v>
      </c>
      <c r="D332" s="105" t="s">
        <v>1172</v>
      </c>
      <c r="E332" s="207">
        <v>6</v>
      </c>
      <c r="F332" s="190">
        <f>'BASIC DATA'!$C$514</f>
        <v>400</v>
      </c>
      <c r="G332" s="190">
        <f t="shared" si="2"/>
        <v>2400</v>
      </c>
      <c r="H332" s="26"/>
      <c r="I332" s="26"/>
    </row>
    <row r="333" spans="1:9">
      <c r="A333" s="27"/>
      <c r="B333" s="105">
        <v>7</v>
      </c>
      <c r="C333" s="76" t="s">
        <v>1190</v>
      </c>
      <c r="D333" s="105" t="s">
        <v>1172</v>
      </c>
      <c r="E333" s="207">
        <v>6</v>
      </c>
      <c r="F333" s="190">
        <f>'BASIC DATA'!$C$546</f>
        <v>400</v>
      </c>
      <c r="G333" s="190">
        <f t="shared" si="2"/>
        <v>2400</v>
      </c>
      <c r="H333" s="26"/>
      <c r="I333" s="26"/>
    </row>
    <row r="334" spans="1:9">
      <c r="A334" s="27"/>
      <c r="B334" s="105">
        <v>8</v>
      </c>
      <c r="C334" s="76" t="s">
        <v>2697</v>
      </c>
      <c r="D334" s="105" t="s">
        <v>1172</v>
      </c>
      <c r="E334" s="207">
        <v>51</v>
      </c>
      <c r="F334" s="190">
        <f>'BASIC DATA'!$C$552</f>
        <v>350</v>
      </c>
      <c r="G334" s="190">
        <f t="shared" si="2"/>
        <v>17850</v>
      </c>
      <c r="H334" s="26"/>
      <c r="I334" s="26"/>
    </row>
    <row r="335" spans="1:9">
      <c r="A335" s="27"/>
      <c r="B335" s="92"/>
      <c r="C335" s="193" t="s">
        <v>1174</v>
      </c>
      <c r="D335" s="159"/>
      <c r="E335" s="238"/>
      <c r="F335" s="236" t="s">
        <v>1698</v>
      </c>
      <c r="G335" s="318">
        <f>SUM(G327:G334)</f>
        <v>30970.799999999999</v>
      </c>
      <c r="H335" s="26"/>
      <c r="I335" s="26"/>
    </row>
    <row r="336" spans="1:9">
      <c r="A336" s="27"/>
      <c r="B336" s="60" t="s">
        <v>5948</v>
      </c>
      <c r="C336" s="31"/>
      <c r="D336" s="31"/>
      <c r="E336" s="85">
        <f>ROUND(G335/F302,1)</f>
        <v>309.7</v>
      </c>
      <c r="F336" s="26"/>
      <c r="G336" s="26"/>
      <c r="H336" s="26"/>
      <c r="I336" s="26"/>
    </row>
    <row r="337" spans="1:9">
      <c r="A337" s="27"/>
      <c r="B337" s="60" t="s">
        <v>3163</v>
      </c>
      <c r="C337" s="31"/>
      <c r="D337" s="31">
        <f>'BASIC DATA'!$C$577</f>
        <v>0.13614999999999999</v>
      </c>
      <c r="E337" s="85">
        <f>ROUND(E336*D337,1)</f>
        <v>42.2</v>
      </c>
      <c r="F337" s="26"/>
      <c r="G337" s="26"/>
      <c r="H337" s="26"/>
      <c r="I337" s="26"/>
    </row>
    <row r="338" spans="1:9">
      <c r="A338" s="27"/>
      <c r="B338" s="60" t="s">
        <v>5949</v>
      </c>
      <c r="C338" s="31"/>
      <c r="D338" s="31"/>
      <c r="E338" s="199">
        <f>ROUND(E337+E336,1)</f>
        <v>351.9</v>
      </c>
      <c r="F338" s="57"/>
      <c r="G338" s="26"/>
      <c r="H338" s="26"/>
      <c r="I338" s="26"/>
    </row>
    <row r="339" spans="1:9">
      <c r="A339" s="27"/>
      <c r="B339" s="26"/>
      <c r="C339" s="26"/>
      <c r="D339" s="26"/>
      <c r="E339" s="26"/>
      <c r="F339" s="26"/>
      <c r="G339" s="26"/>
      <c r="H339" s="26"/>
      <c r="I339" s="26"/>
    </row>
    <row r="340" spans="1:9">
      <c r="A340" s="27"/>
      <c r="B340" s="170" t="s">
        <v>1175</v>
      </c>
      <c r="C340" s="26"/>
      <c r="D340" s="26"/>
      <c r="E340" s="26"/>
      <c r="F340" s="26"/>
      <c r="G340" s="26"/>
      <c r="H340" s="26"/>
      <c r="I340" s="26"/>
    </row>
    <row r="341" spans="1:9">
      <c r="A341" s="27"/>
      <c r="B341" s="26" t="s">
        <v>1176</v>
      </c>
      <c r="C341" s="26"/>
      <c r="D341" s="26"/>
      <c r="E341" s="26"/>
      <c r="F341" s="171" t="s">
        <v>1698</v>
      </c>
      <c r="G341" s="68">
        <f>G313</f>
        <v>7878.6509333333333</v>
      </c>
      <c r="H341" s="26"/>
      <c r="I341" s="26"/>
    </row>
    <row r="342" spans="1:9">
      <c r="A342" s="27"/>
      <c r="B342" s="26" t="s">
        <v>1186</v>
      </c>
      <c r="C342" s="26"/>
      <c r="D342" s="26"/>
      <c r="E342" s="26"/>
      <c r="F342" s="171" t="s">
        <v>1698</v>
      </c>
      <c r="G342" s="68">
        <f>G322</f>
        <v>9661.5999999999985</v>
      </c>
      <c r="H342" s="26"/>
      <c r="I342" s="26"/>
    </row>
    <row r="343" spans="1:9">
      <c r="A343" s="27"/>
      <c r="B343" s="26" t="s">
        <v>2660</v>
      </c>
      <c r="C343" s="26"/>
      <c r="D343" s="26"/>
      <c r="E343" s="26"/>
      <c r="F343" s="171" t="s">
        <v>1698</v>
      </c>
      <c r="G343" s="75">
        <f>G335</f>
        <v>30970.799999999999</v>
      </c>
      <c r="H343" s="26"/>
      <c r="I343" s="26"/>
    </row>
    <row r="344" spans="1:9">
      <c r="A344" s="27"/>
      <c r="B344" s="78"/>
      <c r="C344" s="26"/>
      <c r="D344" s="26"/>
      <c r="E344" s="171"/>
      <c r="F344" s="171" t="s">
        <v>302</v>
      </c>
      <c r="G344" s="205">
        <f>SUM(G341:G343)</f>
        <v>48511.050933333332</v>
      </c>
      <c r="H344" s="26"/>
      <c r="I344" s="26"/>
    </row>
    <row r="345" spans="1:9">
      <c r="A345" s="27"/>
      <c r="B345" s="26" t="s">
        <v>1379</v>
      </c>
      <c r="C345" s="26"/>
      <c r="D345" s="26"/>
      <c r="E345" s="249">
        <f>'BASIC DATA'!$C$577</f>
        <v>0.13614999999999999</v>
      </c>
      <c r="F345" s="26" t="s">
        <v>1698</v>
      </c>
      <c r="G345" s="26">
        <f>ROUND(G344*E345,2)</f>
        <v>6604.78</v>
      </c>
      <c r="H345" s="26"/>
      <c r="I345" s="26"/>
    </row>
    <row r="346" spans="1:9">
      <c r="A346" s="27"/>
      <c r="B346" s="26" t="s">
        <v>1191</v>
      </c>
      <c r="C346" s="26"/>
      <c r="D346" s="68">
        <f>F302</f>
        <v>100</v>
      </c>
      <c r="E346" s="68" t="str">
        <f>G302</f>
        <v>cum</v>
      </c>
      <c r="F346" s="26" t="s">
        <v>1698</v>
      </c>
      <c r="G346" s="211">
        <f>G345+G344</f>
        <v>55115.830933333331</v>
      </c>
      <c r="H346" s="26"/>
      <c r="I346" s="26"/>
    </row>
    <row r="347" spans="1:9">
      <c r="A347" s="27"/>
      <c r="B347" s="170" t="s">
        <v>1584</v>
      </c>
      <c r="C347" s="211" t="str">
        <f>E346</f>
        <v>cum</v>
      </c>
      <c r="D347" s="26" t="s">
        <v>5882</v>
      </c>
      <c r="E347" s="26"/>
      <c r="F347" s="26" t="s">
        <v>4108</v>
      </c>
      <c r="G347" s="211">
        <f>ROUND(G346/D346,1)</f>
        <v>551.20000000000005</v>
      </c>
      <c r="H347" s="26"/>
      <c r="I347" s="26"/>
    </row>
    <row r="348" spans="1:9">
      <c r="A348" s="27"/>
      <c r="B348" s="78"/>
      <c r="C348" s="26"/>
      <c r="D348" s="26"/>
      <c r="E348" s="26"/>
      <c r="F348" s="26"/>
      <c r="G348" s="26"/>
      <c r="H348" s="26"/>
      <c r="I348" s="26"/>
    </row>
    <row r="349" spans="1:9">
      <c r="A349" s="27"/>
      <c r="B349" s="78"/>
      <c r="C349" s="26"/>
      <c r="D349" s="26"/>
      <c r="E349" s="26"/>
      <c r="F349" s="26"/>
      <c r="G349" s="26"/>
      <c r="H349" s="26"/>
      <c r="I349" s="26"/>
    </row>
    <row r="350" spans="1:9" ht="18.75">
      <c r="A350" s="27" t="s">
        <v>7537</v>
      </c>
      <c r="B350" s="31" t="s">
        <v>8906</v>
      </c>
      <c r="C350" s="31"/>
      <c r="D350" s="26"/>
      <c r="E350" s="31"/>
      <c r="F350" s="31"/>
      <c r="G350" s="31"/>
      <c r="H350" s="31"/>
      <c r="I350" s="31"/>
    </row>
    <row r="351" spans="1:9">
      <c r="A351" s="76"/>
      <c r="B351" s="31" t="s">
        <v>1410</v>
      </c>
      <c r="C351" s="31"/>
      <c r="D351" s="26"/>
      <c r="E351" s="31"/>
      <c r="F351" s="31"/>
      <c r="G351" s="31"/>
      <c r="H351" s="31"/>
      <c r="I351" s="31"/>
    </row>
    <row r="352" spans="1:9" ht="18.75">
      <c r="A352" s="76"/>
      <c r="B352" s="31" t="s">
        <v>8907</v>
      </c>
      <c r="C352" s="31"/>
      <c r="D352" s="26"/>
      <c r="E352" s="31"/>
      <c r="F352" s="31"/>
      <c r="G352" s="31"/>
      <c r="H352" s="31"/>
      <c r="I352" s="31"/>
    </row>
    <row r="353" spans="1:9">
      <c r="A353" s="76"/>
      <c r="B353" s="314" t="s">
        <v>5945</v>
      </c>
      <c r="C353" s="31"/>
      <c r="D353" s="26"/>
      <c r="E353" s="31"/>
      <c r="F353" s="31"/>
      <c r="G353" s="31"/>
      <c r="H353" s="31"/>
      <c r="I353" s="31"/>
    </row>
    <row r="354" spans="1:9">
      <c r="A354" s="658"/>
      <c r="B354" s="1258" t="s">
        <v>6753</v>
      </c>
      <c r="C354" s="1258"/>
      <c r="D354" s="622" t="s">
        <v>4172</v>
      </c>
      <c r="E354" s="54"/>
      <c r="F354" s="54"/>
      <c r="G354" s="54"/>
      <c r="H354" s="55"/>
      <c r="I354" s="56"/>
    </row>
    <row r="355" spans="1:9">
      <c r="A355" s="658"/>
      <c r="B355" s="624" t="s">
        <v>359</v>
      </c>
      <c r="C355" s="626"/>
      <c r="D355" s="57"/>
      <c r="E355" s="54"/>
      <c r="F355" s="54"/>
      <c r="G355" s="54"/>
      <c r="H355" s="55"/>
      <c r="I355" s="56"/>
    </row>
    <row r="356" spans="1:9">
      <c r="A356" s="27" t="s">
        <v>3984</v>
      </c>
      <c r="B356" s="1257" t="s">
        <v>6754</v>
      </c>
      <c r="C356" s="1257"/>
      <c r="D356" s="57"/>
      <c r="E356" s="54"/>
      <c r="F356" s="54"/>
      <c r="G356" s="54"/>
      <c r="H356" s="55"/>
      <c r="I356" s="56"/>
    </row>
    <row r="357" spans="1:9">
      <c r="A357" s="533"/>
      <c r="B357" s="656" t="s">
        <v>6747</v>
      </c>
      <c r="C357" s="57"/>
      <c r="D357" s="626"/>
      <c r="E357" s="54"/>
      <c r="F357" s="629">
        <v>10</v>
      </c>
      <c r="G357" s="54" t="s">
        <v>3477</v>
      </c>
      <c r="H357" s="55"/>
      <c r="I357" s="56"/>
    </row>
    <row r="358" spans="1:9">
      <c r="A358" s="533"/>
      <c r="B358" s="656"/>
      <c r="C358" s="57"/>
      <c r="D358" s="626"/>
      <c r="E358" s="54"/>
      <c r="F358" s="54"/>
      <c r="G358" s="54"/>
      <c r="H358" s="55"/>
      <c r="I358" s="56"/>
    </row>
    <row r="359" spans="1:9">
      <c r="A359" s="533"/>
      <c r="B359" s="622" t="s">
        <v>8043</v>
      </c>
      <c r="C359" s="57"/>
      <c r="D359" s="626"/>
      <c r="E359" s="54"/>
      <c r="F359" s="54"/>
      <c r="G359" s="54"/>
      <c r="H359" s="55"/>
      <c r="I359" s="56"/>
    </row>
    <row r="360" spans="1:9">
      <c r="A360" s="533"/>
      <c r="B360" s="36" t="s">
        <v>2369</v>
      </c>
      <c r="C360" s="36" t="s">
        <v>2378</v>
      </c>
      <c r="D360" s="36" t="s">
        <v>2370</v>
      </c>
      <c r="E360" s="36" t="s">
        <v>1166</v>
      </c>
      <c r="F360" s="36" t="s">
        <v>2371</v>
      </c>
      <c r="G360" s="36" t="s">
        <v>2372</v>
      </c>
      <c r="H360" s="55"/>
      <c r="I360" s="56"/>
    </row>
    <row r="361" spans="1:9">
      <c r="A361" s="533"/>
      <c r="B361" s="36"/>
      <c r="C361" s="38"/>
      <c r="D361" s="36"/>
      <c r="E361" s="36"/>
      <c r="F361" s="36" t="s">
        <v>3485</v>
      </c>
      <c r="G361" s="36" t="s">
        <v>3485</v>
      </c>
      <c r="H361" s="55"/>
      <c r="I361" s="56"/>
    </row>
    <row r="362" spans="1:9">
      <c r="A362" s="533"/>
      <c r="B362" s="668"/>
      <c r="C362" s="665" t="s">
        <v>6976</v>
      </c>
      <c r="D362" s="607"/>
      <c r="E362" s="59">
        <v>0</v>
      </c>
      <c r="F362" s="59">
        <v>0</v>
      </c>
      <c r="G362" s="652">
        <f>F362*E362</f>
        <v>0</v>
      </c>
      <c r="H362" s="55"/>
      <c r="I362" s="56"/>
    </row>
    <row r="363" spans="1:9">
      <c r="A363" s="533"/>
      <c r="B363" s="669"/>
      <c r="C363" s="625"/>
      <c r="D363" s="670"/>
      <c r="E363" s="54"/>
      <c r="F363" s="54"/>
      <c r="G363" s="54"/>
      <c r="H363" s="55"/>
      <c r="I363" s="56"/>
    </row>
    <row r="364" spans="1:9">
      <c r="A364" s="533"/>
      <c r="B364" s="622" t="s">
        <v>6750</v>
      </c>
      <c r="C364" s="57"/>
      <c r="D364" s="626"/>
      <c r="E364" s="54"/>
      <c r="F364" s="54"/>
      <c r="G364" s="54"/>
      <c r="H364" s="55"/>
      <c r="I364" s="56"/>
    </row>
    <row r="365" spans="1:9">
      <c r="A365" s="27"/>
      <c r="B365" s="36" t="s">
        <v>2369</v>
      </c>
      <c r="C365" s="36" t="s">
        <v>2378</v>
      </c>
      <c r="D365" s="36" t="s">
        <v>2370</v>
      </c>
      <c r="E365" s="36" t="s">
        <v>1166</v>
      </c>
      <c r="F365" s="36" t="s">
        <v>2371</v>
      </c>
      <c r="G365" s="36" t="s">
        <v>2372</v>
      </c>
      <c r="H365" s="31"/>
      <c r="I365" s="31"/>
    </row>
    <row r="366" spans="1:9">
      <c r="A366" s="27"/>
      <c r="B366" s="36"/>
      <c r="C366" s="38"/>
      <c r="D366" s="36"/>
      <c r="E366" s="36"/>
      <c r="F366" s="36" t="s">
        <v>3485</v>
      </c>
      <c r="G366" s="36" t="s">
        <v>3485</v>
      </c>
      <c r="H366" s="31"/>
      <c r="I366" s="31"/>
    </row>
    <row r="367" spans="1:9" ht="36">
      <c r="A367" s="533"/>
      <c r="B367" s="668">
        <v>1</v>
      </c>
      <c r="C367" s="665" t="s">
        <v>1461</v>
      </c>
      <c r="D367" s="607" t="s">
        <v>1189</v>
      </c>
      <c r="E367" s="59">
        <v>6</v>
      </c>
      <c r="F367" s="59">
        <f>'HIRE CHARGES'!$D$494</f>
        <v>241.3</v>
      </c>
      <c r="G367" s="59">
        <f>F367*E367</f>
        <v>1447.8000000000002</v>
      </c>
      <c r="H367" s="671"/>
      <c r="I367" s="56"/>
    </row>
    <row r="368" spans="1:9">
      <c r="A368" s="533"/>
      <c r="B368" s="645"/>
      <c r="C368" s="663" t="s">
        <v>4173</v>
      </c>
      <c r="D368" s="58" t="s">
        <v>1189</v>
      </c>
      <c r="E368" s="59">
        <v>6</v>
      </c>
      <c r="F368" s="59">
        <f>'HIRE CHARGES'!$E$494</f>
        <v>714</v>
      </c>
      <c r="G368" s="59">
        <f>F368*E368</f>
        <v>4284</v>
      </c>
      <c r="H368" s="55"/>
      <c r="I368" s="56"/>
    </row>
    <row r="369" spans="1:9">
      <c r="A369" s="533"/>
      <c r="B369" s="645"/>
      <c r="C369" s="663" t="s">
        <v>360</v>
      </c>
      <c r="D369" s="502"/>
      <c r="E369" s="672"/>
      <c r="F369" s="672"/>
      <c r="G369" s="673">
        <f>SUM(G367:G368)</f>
        <v>5731.8</v>
      </c>
      <c r="H369" s="55"/>
      <c r="I369" s="56"/>
    </row>
    <row r="370" spans="1:9">
      <c r="A370" s="533"/>
      <c r="B370" s="650"/>
      <c r="C370" s="654"/>
      <c r="D370" s="674"/>
      <c r="E370" s="675"/>
      <c r="F370" s="675"/>
      <c r="G370" s="676"/>
      <c r="H370" s="55"/>
      <c r="I370" s="56"/>
    </row>
    <row r="371" spans="1:9">
      <c r="A371" s="533"/>
      <c r="B371" s="651" t="s">
        <v>8044</v>
      </c>
      <c r="C371" s="57"/>
      <c r="D371" s="639"/>
      <c r="E371" s="640"/>
      <c r="F371" s="640"/>
      <c r="G371" s="640"/>
      <c r="H371" s="55"/>
      <c r="I371" s="56"/>
    </row>
    <row r="372" spans="1:9">
      <c r="A372" s="27"/>
      <c r="B372" s="114" t="s">
        <v>2369</v>
      </c>
      <c r="C372" s="36" t="s">
        <v>2378</v>
      </c>
      <c r="D372" s="114" t="s">
        <v>2370</v>
      </c>
      <c r="E372" s="114" t="s">
        <v>1166</v>
      </c>
      <c r="F372" s="114" t="s">
        <v>2371</v>
      </c>
      <c r="G372" s="114" t="s">
        <v>2372</v>
      </c>
      <c r="H372" s="31"/>
      <c r="I372" s="31"/>
    </row>
    <row r="373" spans="1:9">
      <c r="A373" s="27"/>
      <c r="B373" s="36"/>
      <c r="C373" s="38"/>
      <c r="D373" s="36"/>
      <c r="E373" s="36"/>
      <c r="F373" s="36" t="s">
        <v>3485</v>
      </c>
      <c r="G373" s="36" t="s">
        <v>3485</v>
      </c>
      <c r="H373" s="31"/>
      <c r="I373" s="31"/>
    </row>
    <row r="374" spans="1:9">
      <c r="A374" s="533"/>
      <c r="B374" s="641">
        <v>1</v>
      </c>
      <c r="C374" s="642" t="s">
        <v>4206</v>
      </c>
      <c r="D374" s="58" t="s">
        <v>1581</v>
      </c>
      <c r="E374" s="59">
        <v>0.2</v>
      </c>
      <c r="F374" s="59">
        <f>'BASIC DATA'!$C$473</f>
        <v>450</v>
      </c>
      <c r="G374" s="59">
        <f>F374*E374</f>
        <v>90</v>
      </c>
      <c r="H374" s="55"/>
      <c r="I374" s="56"/>
    </row>
    <row r="375" spans="1:9">
      <c r="A375" s="533"/>
      <c r="B375" s="641">
        <v>2</v>
      </c>
      <c r="C375" s="642" t="s">
        <v>4647</v>
      </c>
      <c r="D375" s="58" t="s">
        <v>1581</v>
      </c>
      <c r="E375" s="59">
        <v>5</v>
      </c>
      <c r="F375" s="59">
        <f>'BASIC DATA'!$C$552</f>
        <v>350</v>
      </c>
      <c r="G375" s="59">
        <f>F375*E375</f>
        <v>1750</v>
      </c>
      <c r="H375" s="55"/>
      <c r="I375" s="56"/>
    </row>
    <row r="376" spans="1:9">
      <c r="A376" s="533"/>
      <c r="B376" s="641">
        <v>3</v>
      </c>
      <c r="C376" s="663" t="s">
        <v>2580</v>
      </c>
      <c r="D376" s="58" t="s">
        <v>1189</v>
      </c>
      <c r="E376" s="59">
        <v>6</v>
      </c>
      <c r="F376" s="59">
        <f>'HIRE CHARGES'!$F$494</f>
        <v>210.9</v>
      </c>
      <c r="G376" s="59">
        <f>F376*E376</f>
        <v>1265.4000000000001</v>
      </c>
      <c r="H376" s="55"/>
      <c r="I376" s="56"/>
    </row>
    <row r="377" spans="1:9">
      <c r="A377" s="533"/>
      <c r="B377" s="641"/>
      <c r="C377" s="642" t="s">
        <v>360</v>
      </c>
      <c r="D377" s="58"/>
      <c r="E377" s="59"/>
      <c r="F377" s="59"/>
      <c r="G377" s="652">
        <f>SUM(G374:G376)</f>
        <v>3105.4</v>
      </c>
      <c r="H377" s="55"/>
      <c r="I377" s="56"/>
    </row>
    <row r="378" spans="1:9">
      <c r="A378" s="533"/>
      <c r="B378" s="60" t="s">
        <v>5948</v>
      </c>
      <c r="C378" s="57"/>
      <c r="D378" s="31"/>
      <c r="E378" s="85">
        <f>ROUND(G369/F357,1)</f>
        <v>573.20000000000005</v>
      </c>
      <c r="F378" s="57"/>
      <c r="G378" s="57"/>
      <c r="H378" s="55"/>
      <c r="I378" s="56"/>
    </row>
    <row r="379" spans="1:9">
      <c r="A379" s="533"/>
      <c r="B379" s="60" t="s">
        <v>3163</v>
      </c>
      <c r="C379" s="57"/>
      <c r="D379" s="31">
        <f>'BASIC DATA'!$C$577</f>
        <v>0.13614999999999999</v>
      </c>
      <c r="E379" s="85">
        <f>ROUND(E378*D379,1)</f>
        <v>78</v>
      </c>
      <c r="F379" s="57"/>
      <c r="G379" s="57"/>
      <c r="H379" s="55"/>
      <c r="I379" s="56"/>
    </row>
    <row r="380" spans="1:9">
      <c r="A380" s="533"/>
      <c r="B380" s="60" t="s">
        <v>5949</v>
      </c>
      <c r="C380" s="57"/>
      <c r="D380" s="31"/>
      <c r="E380" s="199">
        <f>ROUND(E379+E378,1)</f>
        <v>651.20000000000005</v>
      </c>
      <c r="F380" s="57"/>
      <c r="G380" s="57"/>
      <c r="H380" s="55"/>
      <c r="I380" s="56"/>
    </row>
    <row r="381" spans="1:9">
      <c r="A381" s="533"/>
      <c r="B381" s="631"/>
      <c r="C381" s="57"/>
      <c r="D381" s="626"/>
      <c r="E381" s="54"/>
      <c r="F381" s="54"/>
      <c r="G381" s="54"/>
      <c r="H381" s="55"/>
      <c r="I381" s="56"/>
    </row>
    <row r="382" spans="1:9">
      <c r="A382" s="533"/>
      <c r="B382" s="666" t="s">
        <v>2987</v>
      </c>
      <c r="C382" s="57"/>
      <c r="D382" s="626"/>
      <c r="E382" s="54"/>
      <c r="F382" s="54"/>
      <c r="G382" s="54"/>
      <c r="H382" s="55"/>
      <c r="I382" s="57"/>
    </row>
    <row r="383" spans="1:9">
      <c r="A383" s="533"/>
      <c r="B383" s="1257" t="s">
        <v>8040</v>
      </c>
      <c r="C383" s="1257"/>
      <c r="D383" s="626"/>
      <c r="E383" s="54"/>
      <c r="F383" s="54" t="s">
        <v>4391</v>
      </c>
      <c r="G383" s="54">
        <f>G362</f>
        <v>0</v>
      </c>
      <c r="H383" s="55"/>
      <c r="I383" s="57"/>
    </row>
    <row r="384" spans="1:9">
      <c r="A384" s="533"/>
      <c r="B384" s="625" t="s">
        <v>6966</v>
      </c>
      <c r="C384" s="625"/>
      <c r="D384" s="626"/>
      <c r="E384" s="54"/>
      <c r="F384" s="54" t="s">
        <v>4391</v>
      </c>
      <c r="G384" s="54">
        <f>G369</f>
        <v>5731.8</v>
      </c>
      <c r="H384" s="55"/>
      <c r="I384" s="57"/>
    </row>
    <row r="385" spans="1:9">
      <c r="A385" s="533"/>
      <c r="B385" s="1257" t="s">
        <v>8041</v>
      </c>
      <c r="C385" s="1257"/>
      <c r="D385" s="626"/>
      <c r="E385" s="54"/>
      <c r="F385" s="54" t="s">
        <v>4391</v>
      </c>
      <c r="G385" s="54">
        <f>G377</f>
        <v>3105.4</v>
      </c>
      <c r="H385" s="55"/>
      <c r="I385" s="57"/>
    </row>
    <row r="386" spans="1:9">
      <c r="A386" s="533"/>
      <c r="B386" s="654" t="s">
        <v>2392</v>
      </c>
      <c r="C386" s="57"/>
      <c r="D386" s="626"/>
      <c r="E386" s="54"/>
      <c r="F386" s="54" t="s">
        <v>4391</v>
      </c>
      <c r="G386" s="647">
        <f>SUM(G383:G385)</f>
        <v>8837.2000000000007</v>
      </c>
      <c r="H386" s="55"/>
      <c r="I386" s="57"/>
    </row>
    <row r="387" spans="1:9">
      <c r="A387" s="533"/>
      <c r="B387" s="26" t="s">
        <v>1379</v>
      </c>
      <c r="C387" s="26"/>
      <c r="D387" s="26"/>
      <c r="E387" s="249">
        <f>'BASIC DATA'!$C$577</f>
        <v>0.13614999999999999</v>
      </c>
      <c r="F387" s="26" t="s">
        <v>1698</v>
      </c>
      <c r="G387" s="26">
        <f>ROUND(G386*E387,2)</f>
        <v>1203.18</v>
      </c>
      <c r="H387" s="55"/>
      <c r="I387" s="57"/>
    </row>
    <row r="388" spans="1:9">
      <c r="A388" s="533"/>
      <c r="B388" s="26" t="s">
        <v>1191</v>
      </c>
      <c r="C388" s="26"/>
      <c r="D388" s="68">
        <f>F357</f>
        <v>10</v>
      </c>
      <c r="E388" s="68" t="str">
        <f>G357</f>
        <v>cum</v>
      </c>
      <c r="F388" s="26" t="s">
        <v>1698</v>
      </c>
      <c r="G388" s="170">
        <f>G387+G386</f>
        <v>10040.380000000001</v>
      </c>
      <c r="H388" s="55"/>
      <c r="I388" s="57"/>
    </row>
    <row r="389" spans="1:9">
      <c r="A389" s="533"/>
      <c r="B389" s="170" t="s">
        <v>1584</v>
      </c>
      <c r="C389" s="211" t="str">
        <f>E388</f>
        <v>cum</v>
      </c>
      <c r="D389" s="26" t="s">
        <v>5891</v>
      </c>
      <c r="E389" s="26"/>
      <c r="F389" s="26" t="s">
        <v>4108</v>
      </c>
      <c r="G389" s="211">
        <f>ROUND(G388/D388,1)</f>
        <v>1004</v>
      </c>
      <c r="H389" s="26"/>
      <c r="I389" s="57"/>
    </row>
    <row r="390" spans="1:9">
      <c r="A390" s="533"/>
      <c r="B390" s="650"/>
      <c r="C390" s="631"/>
      <c r="D390" s="626"/>
      <c r="E390" s="54"/>
      <c r="F390" s="54"/>
      <c r="G390" s="677"/>
      <c r="H390" s="55"/>
      <c r="I390" s="57"/>
    </row>
    <row r="391" spans="1:9">
      <c r="A391" s="533"/>
      <c r="B391" s="650"/>
      <c r="C391" s="631"/>
      <c r="D391" s="626"/>
      <c r="E391" s="54"/>
      <c r="F391" s="54"/>
      <c r="G391" s="54"/>
      <c r="H391" s="55"/>
      <c r="I391" s="57"/>
    </row>
    <row r="392" spans="1:9" ht="18.75">
      <c r="A392" s="27" t="s">
        <v>7538</v>
      </c>
      <c r="B392" s="26" t="s">
        <v>8908</v>
      </c>
      <c r="C392" s="26"/>
      <c r="D392" s="26"/>
      <c r="E392" s="26"/>
      <c r="F392" s="26"/>
      <c r="G392" s="26"/>
      <c r="H392" s="26"/>
      <c r="I392" s="26"/>
    </row>
    <row r="393" spans="1:9">
      <c r="A393" s="27"/>
      <c r="B393" s="26" t="s">
        <v>6014</v>
      </c>
      <c r="C393" s="26"/>
      <c r="D393" s="26"/>
      <c r="E393" s="26"/>
      <c r="F393" s="26"/>
      <c r="G393" s="26"/>
      <c r="H393" s="26"/>
      <c r="I393" s="26"/>
    </row>
    <row r="394" spans="1:9">
      <c r="A394" s="27"/>
      <c r="B394" s="26" t="s">
        <v>5983</v>
      </c>
      <c r="C394" s="26"/>
      <c r="D394" s="26"/>
      <c r="E394" s="26"/>
      <c r="F394" s="26"/>
      <c r="G394" s="26"/>
      <c r="H394" s="26"/>
      <c r="I394" s="26"/>
    </row>
    <row r="395" spans="1:9" ht="18.75">
      <c r="A395" s="27"/>
      <c r="B395" s="26" t="s">
        <v>8909</v>
      </c>
      <c r="C395" s="26"/>
      <c r="D395" s="26"/>
      <c r="E395" s="26"/>
      <c r="F395" s="26"/>
      <c r="G395" s="26"/>
      <c r="H395" s="26"/>
      <c r="I395" s="26"/>
    </row>
    <row r="396" spans="1:9">
      <c r="A396" s="27"/>
      <c r="B396" s="170" t="s">
        <v>4735</v>
      </c>
      <c r="C396" s="26"/>
      <c r="D396" s="26"/>
      <c r="E396" s="26"/>
      <c r="F396" s="26"/>
      <c r="G396" s="26"/>
      <c r="H396" s="26"/>
      <c r="I396" s="26"/>
    </row>
    <row r="397" spans="1:9">
      <c r="B397" s="26"/>
      <c r="C397" s="26"/>
      <c r="D397" s="26"/>
      <c r="E397" s="26"/>
      <c r="F397" s="26"/>
      <c r="G397" s="26"/>
      <c r="H397" s="26"/>
      <c r="I397" s="26"/>
    </row>
    <row r="398" spans="1:9">
      <c r="A398" s="27" t="s">
        <v>3984</v>
      </c>
      <c r="B398" s="26" t="s">
        <v>4873</v>
      </c>
      <c r="C398" s="26"/>
      <c r="D398" s="26"/>
      <c r="E398" s="26"/>
      <c r="F398" s="26"/>
      <c r="G398" s="26"/>
      <c r="H398" s="26"/>
      <c r="I398" s="26"/>
    </row>
    <row r="399" spans="1:9">
      <c r="A399" s="27"/>
      <c r="B399" s="26" t="s">
        <v>4874</v>
      </c>
      <c r="C399" s="26"/>
      <c r="D399" s="26"/>
      <c r="E399" s="78" t="s">
        <v>1697</v>
      </c>
      <c r="F399" s="68">
        <v>12.5</v>
      </c>
      <c r="G399" s="26" t="s">
        <v>2602</v>
      </c>
      <c r="H399" s="26"/>
      <c r="I399" s="26"/>
    </row>
    <row r="400" spans="1:9">
      <c r="A400" s="27"/>
      <c r="B400" s="26" t="s">
        <v>303</v>
      </c>
      <c r="C400" s="26"/>
      <c r="D400" s="26"/>
      <c r="E400" s="78" t="s">
        <v>1697</v>
      </c>
      <c r="F400" s="68">
        <v>101</v>
      </c>
      <c r="G400" s="26" t="s">
        <v>3478</v>
      </c>
      <c r="H400" s="26"/>
      <c r="I400" s="26"/>
    </row>
    <row r="401" spans="1:9">
      <c r="A401" s="27"/>
      <c r="B401" s="26" t="s">
        <v>4875</v>
      </c>
      <c r="C401" s="26"/>
      <c r="D401" s="26"/>
      <c r="E401" s="78" t="s">
        <v>1697</v>
      </c>
      <c r="F401" s="68">
        <v>5</v>
      </c>
      <c r="G401" s="26" t="s">
        <v>3478</v>
      </c>
      <c r="H401" s="26"/>
      <c r="I401" s="26"/>
    </row>
    <row r="402" spans="1:9">
      <c r="A402" s="27"/>
      <c r="B402" s="26" t="s">
        <v>4876</v>
      </c>
      <c r="C402" s="26"/>
      <c r="D402" s="26"/>
      <c r="E402" s="78" t="s">
        <v>1697</v>
      </c>
      <c r="F402" s="26">
        <v>8</v>
      </c>
      <c r="G402" s="26" t="s">
        <v>2602</v>
      </c>
      <c r="H402" s="26"/>
      <c r="I402" s="26"/>
    </row>
    <row r="403" spans="1:9">
      <c r="A403" s="27"/>
      <c r="B403" s="26" t="s">
        <v>5102</v>
      </c>
      <c r="C403" s="26"/>
      <c r="D403" s="26"/>
      <c r="E403" s="78" t="s">
        <v>1697</v>
      </c>
      <c r="F403" s="68">
        <v>1</v>
      </c>
      <c r="G403" s="26" t="s">
        <v>4665</v>
      </c>
      <c r="H403" s="26"/>
      <c r="I403" s="26"/>
    </row>
    <row r="404" spans="1:9">
      <c r="A404" s="27"/>
      <c r="B404" s="26" t="s">
        <v>5103</v>
      </c>
      <c r="C404" s="26"/>
      <c r="D404" s="26"/>
      <c r="E404" s="78" t="s">
        <v>1697</v>
      </c>
      <c r="F404" s="68">
        <v>1</v>
      </c>
      <c r="G404" s="26" t="s">
        <v>4665</v>
      </c>
      <c r="H404" s="26"/>
      <c r="I404" s="26"/>
    </row>
    <row r="405" spans="1:9">
      <c r="A405" s="27"/>
      <c r="B405" s="26" t="s">
        <v>5104</v>
      </c>
      <c r="C405" s="26"/>
      <c r="D405" s="68">
        <f>'BASIC DATA'!$D$307</f>
        <v>4028</v>
      </c>
      <c r="E405" s="26" t="s">
        <v>2290</v>
      </c>
      <c r="F405" s="78" t="s">
        <v>1698</v>
      </c>
      <c r="G405" s="68">
        <f>D405</f>
        <v>4028</v>
      </c>
      <c r="H405" s="26"/>
      <c r="I405" s="26"/>
    </row>
    <row r="406" spans="1:9">
      <c r="A406" s="27"/>
      <c r="B406" s="26" t="s">
        <v>5105</v>
      </c>
      <c r="C406" s="26"/>
      <c r="D406" s="26"/>
      <c r="E406" s="78" t="s">
        <v>1697</v>
      </c>
      <c r="F406" s="316">
        <v>150</v>
      </c>
      <c r="G406" s="26" t="s">
        <v>2602</v>
      </c>
      <c r="H406" s="26"/>
      <c r="I406" s="26"/>
    </row>
    <row r="407" spans="1:9">
      <c r="A407" s="27"/>
      <c r="B407" s="26" t="s">
        <v>2943</v>
      </c>
      <c r="C407" s="26"/>
      <c r="D407" s="26" t="s">
        <v>7593</v>
      </c>
      <c r="E407" s="26"/>
      <c r="F407" s="78" t="s">
        <v>1698</v>
      </c>
      <c r="G407" s="68">
        <f>G405/F406</f>
        <v>26.853333333333332</v>
      </c>
      <c r="H407" s="26"/>
      <c r="I407" s="26"/>
    </row>
    <row r="408" spans="1:9">
      <c r="A408" s="27"/>
      <c r="B408" s="26" t="s">
        <v>2944</v>
      </c>
      <c r="C408" s="26"/>
      <c r="D408" s="68">
        <f>'BASIC DATA'!$D$344</f>
        <v>185</v>
      </c>
      <c r="E408" s="26" t="s">
        <v>2618</v>
      </c>
      <c r="F408" s="78" t="s">
        <v>1698</v>
      </c>
      <c r="G408" s="68">
        <f>D408*50</f>
        <v>9250</v>
      </c>
      <c r="H408" s="26"/>
      <c r="I408" s="26"/>
    </row>
    <row r="409" spans="1:9">
      <c r="A409" s="27"/>
      <c r="B409" s="26" t="s">
        <v>5152</v>
      </c>
      <c r="C409" s="26"/>
      <c r="D409" s="26"/>
      <c r="E409" s="78" t="s">
        <v>1697</v>
      </c>
      <c r="F409" s="316">
        <v>800</v>
      </c>
      <c r="G409" s="26" t="s">
        <v>4665</v>
      </c>
      <c r="H409" s="26"/>
      <c r="I409" s="26"/>
    </row>
    <row r="410" spans="1:9">
      <c r="A410" s="27"/>
      <c r="B410" s="26" t="s">
        <v>1866</v>
      </c>
      <c r="C410" s="26"/>
      <c r="D410" s="26" t="s">
        <v>7593</v>
      </c>
      <c r="E410" s="26"/>
      <c r="F410" s="78" t="s">
        <v>1698</v>
      </c>
      <c r="G410" s="68">
        <f>G408/F409</f>
        <v>11.5625</v>
      </c>
      <c r="H410" s="26"/>
      <c r="I410" s="26"/>
    </row>
    <row r="411" spans="1:9">
      <c r="A411" s="27"/>
      <c r="B411" s="26"/>
      <c r="C411" s="26"/>
      <c r="D411" s="26"/>
      <c r="E411" s="26"/>
      <c r="F411" s="26"/>
      <c r="G411" s="26"/>
      <c r="H411" s="26"/>
      <c r="I411" s="26"/>
    </row>
    <row r="412" spans="1:9">
      <c r="A412" s="27"/>
      <c r="B412" s="26"/>
      <c r="C412" s="26"/>
      <c r="D412" s="26"/>
      <c r="E412" s="26"/>
      <c r="F412" s="26"/>
      <c r="G412" s="26"/>
      <c r="H412" s="26"/>
      <c r="I412" s="26"/>
    </row>
    <row r="413" spans="1:9">
      <c r="A413" s="27" t="s">
        <v>3984</v>
      </c>
      <c r="B413" s="78"/>
      <c r="C413" s="203" t="s">
        <v>2367</v>
      </c>
      <c r="D413" s="26"/>
      <c r="E413" s="171" t="s">
        <v>297</v>
      </c>
      <c r="F413" s="246">
        <v>10</v>
      </c>
      <c r="G413" s="26" t="s">
        <v>4041</v>
      </c>
      <c r="H413" s="26"/>
      <c r="I413" s="26"/>
    </row>
    <row r="414" spans="1:9">
      <c r="A414" s="27"/>
      <c r="B414" s="79" t="s">
        <v>2368</v>
      </c>
      <c r="C414" s="26"/>
      <c r="D414" s="26"/>
      <c r="E414" s="26"/>
      <c r="F414" s="26"/>
      <c r="G414" s="26"/>
      <c r="H414" s="26"/>
      <c r="I414" s="26"/>
    </row>
    <row r="415" spans="1:9">
      <c r="A415" s="27"/>
      <c r="B415" s="95" t="s">
        <v>2369</v>
      </c>
      <c r="C415" s="157" t="s">
        <v>4443</v>
      </c>
      <c r="D415" s="95" t="s">
        <v>2370</v>
      </c>
      <c r="E415" s="95" t="s">
        <v>1166</v>
      </c>
      <c r="F415" s="95" t="s">
        <v>2371</v>
      </c>
      <c r="G415" s="95" t="s">
        <v>2372</v>
      </c>
      <c r="H415" s="26"/>
      <c r="I415" s="26"/>
    </row>
    <row r="416" spans="1:9">
      <c r="A416" s="27"/>
      <c r="B416" s="114"/>
      <c r="C416" s="154"/>
      <c r="D416" s="114"/>
      <c r="E416" s="114"/>
      <c r="F416" s="114" t="s">
        <v>3485</v>
      </c>
      <c r="G416" s="114" t="s">
        <v>3485</v>
      </c>
      <c r="H416" s="26"/>
      <c r="I416" s="26"/>
    </row>
    <row r="417" spans="1:9">
      <c r="A417" s="27"/>
      <c r="B417" s="95">
        <v>1</v>
      </c>
      <c r="C417" s="135" t="s">
        <v>1867</v>
      </c>
      <c r="D417" s="95" t="s">
        <v>3478</v>
      </c>
      <c r="E417" s="190">
        <v>5</v>
      </c>
      <c r="F417" s="190">
        <f>'BASIC DATA'!$D$32/1000</f>
        <v>5.35</v>
      </c>
      <c r="G417" s="190">
        <f>E417*F417</f>
        <v>26.75</v>
      </c>
      <c r="H417" s="26"/>
      <c r="I417" s="26"/>
    </row>
    <row r="418" spans="1:9">
      <c r="A418" s="27"/>
      <c r="B418" s="105">
        <v>2</v>
      </c>
      <c r="C418" s="135" t="s">
        <v>1868</v>
      </c>
      <c r="D418" s="105" t="s">
        <v>3478</v>
      </c>
      <c r="E418" s="190">
        <v>101</v>
      </c>
      <c r="F418" s="190">
        <f>'BASIC DATA'!$D$91/1000</f>
        <v>34</v>
      </c>
      <c r="G418" s="190">
        <f>E418*F418</f>
        <v>3434</v>
      </c>
      <c r="H418" s="26"/>
      <c r="I418" s="26"/>
    </row>
    <row r="419" spans="1:9">
      <c r="A419" s="27"/>
      <c r="B419" s="105">
        <v>3</v>
      </c>
      <c r="C419" s="135" t="s">
        <v>1869</v>
      </c>
      <c r="D419" s="105" t="s">
        <v>3483</v>
      </c>
      <c r="E419" s="190">
        <v>12.5</v>
      </c>
      <c r="F419" s="190">
        <f>G407</f>
        <v>26.853333333333332</v>
      </c>
      <c r="G419" s="190">
        <f>E419*F419</f>
        <v>335.66666666666663</v>
      </c>
      <c r="H419" s="26"/>
      <c r="I419" s="26"/>
    </row>
    <row r="420" spans="1:9">
      <c r="A420" s="27"/>
      <c r="B420" s="317"/>
      <c r="C420" s="135" t="s">
        <v>5125</v>
      </c>
      <c r="D420" s="224">
        <v>0.1</v>
      </c>
      <c r="E420" s="190"/>
      <c r="F420" s="190"/>
      <c r="G420" s="190">
        <f>G419*D420</f>
        <v>33.566666666666663</v>
      </c>
      <c r="H420" s="26"/>
      <c r="I420" s="26"/>
    </row>
    <row r="421" spans="1:9">
      <c r="A421" s="27"/>
      <c r="B421" s="114">
        <v>4</v>
      </c>
      <c r="C421" s="135" t="s">
        <v>1404</v>
      </c>
      <c r="D421" s="105" t="s">
        <v>2374</v>
      </c>
      <c r="E421" s="190">
        <v>2</v>
      </c>
      <c r="F421" s="190">
        <f>G410</f>
        <v>11.5625</v>
      </c>
      <c r="G421" s="190">
        <f>E421*F421</f>
        <v>23.125</v>
      </c>
      <c r="H421" s="26"/>
      <c r="I421" s="26"/>
    </row>
    <row r="422" spans="1:9">
      <c r="A422" s="27"/>
      <c r="B422" s="92"/>
      <c r="C422" s="193" t="s">
        <v>2376</v>
      </c>
      <c r="D422" s="159"/>
      <c r="E422" s="238"/>
      <c r="F422" s="236" t="s">
        <v>1698</v>
      </c>
      <c r="G422" s="318">
        <f>SUM(G417:G421)</f>
        <v>3853.1083333333331</v>
      </c>
      <c r="H422" s="26"/>
      <c r="I422" s="26"/>
    </row>
    <row r="423" spans="1:9">
      <c r="A423" s="27"/>
      <c r="B423" s="78"/>
      <c r="C423" s="26"/>
      <c r="D423" s="26"/>
      <c r="E423" s="26"/>
      <c r="F423" s="26"/>
      <c r="G423" s="26"/>
      <c r="H423" s="26"/>
      <c r="I423" s="26"/>
    </row>
    <row r="424" spans="1:9">
      <c r="A424" s="27"/>
      <c r="B424" s="79" t="s">
        <v>2377</v>
      </c>
      <c r="C424" s="26"/>
      <c r="D424" s="26"/>
      <c r="E424" s="26"/>
      <c r="F424" s="26"/>
      <c r="G424" s="26"/>
      <c r="H424" s="26"/>
      <c r="I424" s="26"/>
    </row>
    <row r="425" spans="1:9">
      <c r="A425" s="27"/>
      <c r="B425" s="95" t="s">
        <v>2369</v>
      </c>
      <c r="C425" s="157" t="s">
        <v>2378</v>
      </c>
      <c r="D425" s="95" t="s">
        <v>2370</v>
      </c>
      <c r="E425" s="95" t="s">
        <v>1166</v>
      </c>
      <c r="F425" s="95" t="s">
        <v>2371</v>
      </c>
      <c r="G425" s="95" t="s">
        <v>2372</v>
      </c>
      <c r="H425" s="26"/>
      <c r="I425" s="26"/>
    </row>
    <row r="426" spans="1:9">
      <c r="A426" s="27"/>
      <c r="B426" s="114"/>
      <c r="C426" s="154"/>
      <c r="D426" s="114"/>
      <c r="E426" s="114"/>
      <c r="F426" s="114" t="s">
        <v>3485</v>
      </c>
      <c r="G426" s="114" t="s">
        <v>3485</v>
      </c>
      <c r="H426" s="26"/>
      <c r="I426" s="26"/>
    </row>
    <row r="427" spans="1:9">
      <c r="A427" s="27"/>
      <c r="B427" s="95">
        <v>1</v>
      </c>
      <c r="C427" s="135" t="s">
        <v>2062</v>
      </c>
      <c r="D427" s="95" t="s">
        <v>2374</v>
      </c>
      <c r="E427" s="190">
        <v>1</v>
      </c>
      <c r="F427" s="190">
        <f>'HIRE CHARGES'!$D$496</f>
        <v>275.60000000000002</v>
      </c>
      <c r="G427" s="190">
        <f>E427*F427</f>
        <v>275.60000000000002</v>
      </c>
      <c r="H427" s="26"/>
      <c r="I427" s="26"/>
    </row>
    <row r="428" spans="1:9">
      <c r="A428" s="27"/>
      <c r="B428" s="317"/>
      <c r="C428" s="135" t="s">
        <v>2379</v>
      </c>
      <c r="D428" s="105" t="s">
        <v>2374</v>
      </c>
      <c r="E428" s="190">
        <v>1</v>
      </c>
      <c r="F428" s="190">
        <f>'HIRE CHARGES'!$E$496</f>
        <v>892.5</v>
      </c>
      <c r="G428" s="190">
        <f>E428*F428</f>
        <v>892.5</v>
      </c>
      <c r="H428" s="26"/>
      <c r="I428" s="26"/>
    </row>
    <row r="429" spans="1:9">
      <c r="A429" s="27"/>
      <c r="B429" s="105">
        <v>2</v>
      </c>
      <c r="C429" s="135" t="s">
        <v>4213</v>
      </c>
      <c r="D429" s="105" t="s">
        <v>2374</v>
      </c>
      <c r="E429" s="190">
        <v>2</v>
      </c>
      <c r="F429" s="190">
        <f>'HIRE CHARGES'!$D$530</f>
        <v>19.8</v>
      </c>
      <c r="G429" s="190">
        <f>E429*F429</f>
        <v>39.6</v>
      </c>
      <c r="H429" s="26"/>
      <c r="I429" s="26"/>
    </row>
    <row r="430" spans="1:9">
      <c r="A430" s="27"/>
      <c r="B430" s="280"/>
      <c r="C430" s="135" t="s">
        <v>2379</v>
      </c>
      <c r="D430" s="105" t="s">
        <v>2374</v>
      </c>
      <c r="E430" s="190">
        <v>2</v>
      </c>
      <c r="F430" s="190">
        <f>'HIRE CHARGES'!$E$530</f>
        <v>0</v>
      </c>
      <c r="G430" s="190">
        <f>E430*F430</f>
        <v>0</v>
      </c>
      <c r="H430" s="26"/>
      <c r="I430" s="26"/>
    </row>
    <row r="431" spans="1:9">
      <c r="A431" s="27"/>
      <c r="B431" s="176"/>
      <c r="C431" s="172" t="s">
        <v>2380</v>
      </c>
      <c r="D431" s="174"/>
      <c r="E431" s="192"/>
      <c r="F431" s="236" t="s">
        <v>1698</v>
      </c>
      <c r="G431" s="318">
        <f>SUM(G427:G430)</f>
        <v>1207.6999999999998</v>
      </c>
      <c r="H431" s="26"/>
      <c r="I431" s="26"/>
    </row>
    <row r="432" spans="1:9">
      <c r="A432" s="27"/>
      <c r="B432" s="78"/>
      <c r="C432" s="26"/>
      <c r="D432" s="26"/>
      <c r="E432" s="26"/>
      <c r="F432" s="26"/>
      <c r="G432" s="26"/>
      <c r="H432" s="26"/>
      <c r="I432" s="26"/>
    </row>
    <row r="433" spans="1:9">
      <c r="A433" s="27"/>
      <c r="B433" s="79" t="s">
        <v>2381</v>
      </c>
      <c r="C433" s="26"/>
      <c r="D433" s="26"/>
      <c r="E433" s="26"/>
      <c r="F433" s="26"/>
      <c r="G433" s="26"/>
      <c r="H433" s="26"/>
      <c r="I433" s="26"/>
    </row>
    <row r="434" spans="1:9">
      <c r="A434" s="27"/>
      <c r="B434" s="95" t="s">
        <v>2369</v>
      </c>
      <c r="C434" s="157" t="s">
        <v>2378</v>
      </c>
      <c r="D434" s="95" t="s">
        <v>2370</v>
      </c>
      <c r="E434" s="95" t="s">
        <v>1166</v>
      </c>
      <c r="F434" s="95" t="s">
        <v>2371</v>
      </c>
      <c r="G434" s="95" t="s">
        <v>2372</v>
      </c>
      <c r="H434" s="26"/>
      <c r="I434" s="26"/>
    </row>
    <row r="435" spans="1:9">
      <c r="A435" s="27"/>
      <c r="B435" s="114"/>
      <c r="C435" s="154"/>
      <c r="D435" s="114"/>
      <c r="E435" s="114"/>
      <c r="F435" s="114" t="s">
        <v>3485</v>
      </c>
      <c r="G435" s="114" t="s">
        <v>3485</v>
      </c>
      <c r="H435" s="26"/>
      <c r="I435" s="26"/>
    </row>
    <row r="436" spans="1:9">
      <c r="A436" s="27"/>
      <c r="B436" s="105">
        <v>1</v>
      </c>
      <c r="C436" s="76" t="s">
        <v>4606</v>
      </c>
      <c r="D436" s="105" t="s">
        <v>2374</v>
      </c>
      <c r="E436" s="207">
        <v>1</v>
      </c>
      <c r="F436" s="190">
        <f>'HIRE CHARGES'!$F$496</f>
        <v>210.9</v>
      </c>
      <c r="G436" s="190">
        <f t="shared" ref="G436:G441" si="3">E436*F436</f>
        <v>210.9</v>
      </c>
      <c r="H436" s="26"/>
      <c r="I436" s="26"/>
    </row>
    <row r="437" spans="1:9">
      <c r="A437" s="27"/>
      <c r="B437" s="105">
        <v>2</v>
      </c>
      <c r="C437" s="76" t="s">
        <v>4607</v>
      </c>
      <c r="D437" s="105" t="s">
        <v>2374</v>
      </c>
      <c r="E437" s="207">
        <v>2</v>
      </c>
      <c r="F437" s="190">
        <f>'HIRE CHARGES'!$F$530</f>
        <v>329.6</v>
      </c>
      <c r="G437" s="190">
        <f t="shared" si="3"/>
        <v>659.2</v>
      </c>
      <c r="H437" s="26"/>
      <c r="I437" s="26"/>
    </row>
    <row r="438" spans="1:9">
      <c r="A438" s="27"/>
      <c r="B438" s="105">
        <v>3</v>
      </c>
      <c r="C438" s="76" t="s">
        <v>1356</v>
      </c>
      <c r="D438" s="105" t="s">
        <v>1172</v>
      </c>
      <c r="E438" s="207">
        <v>0.5</v>
      </c>
      <c r="F438" s="190">
        <f>'BASIC DATA'!$C$541</f>
        <v>400</v>
      </c>
      <c r="G438" s="190">
        <f t="shared" si="3"/>
        <v>200</v>
      </c>
      <c r="H438" s="26"/>
      <c r="I438" s="26"/>
    </row>
    <row r="439" spans="1:9">
      <c r="A439" s="27"/>
      <c r="B439" s="105">
        <v>4</v>
      </c>
      <c r="C439" s="76" t="s">
        <v>3836</v>
      </c>
      <c r="D439" s="105" t="s">
        <v>1172</v>
      </c>
      <c r="E439" s="207">
        <v>0.5</v>
      </c>
      <c r="F439" s="190">
        <f>'BASIC DATA'!$C$464</f>
        <v>555</v>
      </c>
      <c r="G439" s="190">
        <f t="shared" si="3"/>
        <v>277.5</v>
      </c>
      <c r="H439" s="26"/>
      <c r="I439" s="26"/>
    </row>
    <row r="440" spans="1:9">
      <c r="A440" s="27"/>
      <c r="B440" s="105">
        <v>5</v>
      </c>
      <c r="C440" s="76" t="s">
        <v>4206</v>
      </c>
      <c r="D440" s="105" t="s">
        <v>1172</v>
      </c>
      <c r="E440" s="207">
        <v>0.5</v>
      </c>
      <c r="F440" s="190">
        <f>'BASIC DATA'!$C$473</f>
        <v>450</v>
      </c>
      <c r="G440" s="190">
        <f t="shared" si="3"/>
        <v>225</v>
      </c>
      <c r="H440" s="26"/>
      <c r="I440" s="26"/>
    </row>
    <row r="441" spans="1:9">
      <c r="A441" s="27"/>
      <c r="B441" s="105">
        <v>6</v>
      </c>
      <c r="C441" s="76" t="s">
        <v>2697</v>
      </c>
      <c r="D441" s="105" t="s">
        <v>1172</v>
      </c>
      <c r="E441" s="207">
        <v>1</v>
      </c>
      <c r="F441" s="190">
        <f>'BASIC DATA'!$C$552</f>
        <v>350</v>
      </c>
      <c r="G441" s="190">
        <f t="shared" si="3"/>
        <v>350</v>
      </c>
      <c r="H441" s="26"/>
      <c r="I441" s="26"/>
    </row>
    <row r="442" spans="1:9">
      <c r="A442" s="27"/>
      <c r="B442" s="92"/>
      <c r="C442" s="193" t="s">
        <v>1174</v>
      </c>
      <c r="D442" s="159"/>
      <c r="E442" s="238"/>
      <c r="F442" s="236" t="s">
        <v>1698</v>
      </c>
      <c r="G442" s="318">
        <f>SUM(G436:G441)</f>
        <v>1922.6</v>
      </c>
      <c r="H442" s="26"/>
      <c r="I442" s="26"/>
    </row>
    <row r="443" spans="1:9">
      <c r="A443" s="27"/>
      <c r="B443" s="60" t="s">
        <v>5948</v>
      </c>
      <c r="C443" s="31"/>
      <c r="D443" s="31"/>
      <c r="E443" s="85">
        <f>ROUND(G442/F413,1)</f>
        <v>192.3</v>
      </c>
      <c r="F443" s="26"/>
      <c r="G443" s="26"/>
      <c r="H443" s="26"/>
      <c r="I443" s="26"/>
    </row>
    <row r="444" spans="1:9">
      <c r="A444" s="27"/>
      <c r="B444" s="60" t="s">
        <v>3163</v>
      </c>
      <c r="C444" s="31"/>
      <c r="D444" s="31">
        <f>'BASIC DATA'!$C$577</f>
        <v>0.13614999999999999</v>
      </c>
      <c r="E444" s="85">
        <f>ROUND(E443*D444,1)</f>
        <v>26.2</v>
      </c>
      <c r="F444" s="26"/>
      <c r="G444" s="26"/>
      <c r="H444" s="26"/>
      <c r="I444" s="26"/>
    </row>
    <row r="445" spans="1:9">
      <c r="A445" s="27"/>
      <c r="B445" s="60" t="s">
        <v>5949</v>
      </c>
      <c r="C445" s="31"/>
      <c r="D445" s="31"/>
      <c r="E445" s="199">
        <f>ROUND(E444+E443,1)</f>
        <v>218.5</v>
      </c>
      <c r="F445" s="57"/>
      <c r="G445" s="26"/>
      <c r="H445" s="26"/>
      <c r="I445" s="26"/>
    </row>
    <row r="446" spans="1:9">
      <c r="A446" s="27"/>
      <c r="B446" s="26"/>
      <c r="C446" s="26"/>
      <c r="D446" s="26"/>
      <c r="E446" s="26"/>
      <c r="F446" s="26"/>
      <c r="G446" s="26"/>
      <c r="H446" s="26"/>
      <c r="I446" s="26"/>
    </row>
    <row r="447" spans="1:9">
      <c r="A447" s="27"/>
      <c r="B447" s="170" t="s">
        <v>1175</v>
      </c>
      <c r="C447" s="26"/>
      <c r="D447" s="26"/>
      <c r="E447" s="26"/>
      <c r="F447" s="26"/>
      <c r="G447" s="26"/>
      <c r="H447" s="26"/>
      <c r="I447" s="26"/>
    </row>
    <row r="448" spans="1:9">
      <c r="A448" s="27"/>
      <c r="B448" s="26" t="s">
        <v>1176</v>
      </c>
      <c r="C448" s="26"/>
      <c r="D448" s="26"/>
      <c r="E448" s="26"/>
      <c r="F448" s="171" t="s">
        <v>1698</v>
      </c>
      <c r="G448" s="68">
        <f>G422</f>
        <v>3853.1083333333331</v>
      </c>
      <c r="H448" s="26"/>
      <c r="I448" s="26"/>
    </row>
    <row r="449" spans="1:9">
      <c r="A449" s="27"/>
      <c r="B449" s="26" t="s">
        <v>1186</v>
      </c>
      <c r="C449" s="26"/>
      <c r="D449" s="26"/>
      <c r="E449" s="26"/>
      <c r="F449" s="171" t="s">
        <v>1698</v>
      </c>
      <c r="G449" s="68">
        <f>G431</f>
        <v>1207.6999999999998</v>
      </c>
      <c r="H449" s="26"/>
      <c r="I449" s="26"/>
    </row>
    <row r="450" spans="1:9">
      <c r="A450" s="27"/>
      <c r="B450" s="26" t="s">
        <v>2660</v>
      </c>
      <c r="C450" s="26"/>
      <c r="D450" s="26"/>
      <c r="E450" s="26"/>
      <c r="F450" s="171" t="s">
        <v>1698</v>
      </c>
      <c r="G450" s="75">
        <f>G442</f>
        <v>1922.6</v>
      </c>
      <c r="H450" s="26"/>
      <c r="I450" s="26"/>
    </row>
    <row r="451" spans="1:9">
      <c r="A451" s="27"/>
      <c r="B451" s="78"/>
      <c r="C451" s="26"/>
      <c r="D451" s="26"/>
      <c r="E451" s="171"/>
      <c r="F451" s="171" t="s">
        <v>302</v>
      </c>
      <c r="G451" s="205">
        <f>SUM(G448:G450)</f>
        <v>6983.4083333333328</v>
      </c>
      <c r="H451" s="26"/>
      <c r="I451" s="26"/>
    </row>
    <row r="452" spans="1:9">
      <c r="A452" s="27"/>
      <c r="B452" s="26" t="s">
        <v>1379</v>
      </c>
      <c r="C452" s="26"/>
      <c r="D452" s="26"/>
      <c r="E452" s="249">
        <f>'BASIC DATA'!$C$577</f>
        <v>0.13614999999999999</v>
      </c>
      <c r="F452" s="26" t="s">
        <v>1698</v>
      </c>
      <c r="G452" s="26">
        <f>ROUND(G451*E452,2)</f>
        <v>950.79</v>
      </c>
      <c r="H452" s="26"/>
      <c r="I452" s="26"/>
    </row>
    <row r="453" spans="1:9">
      <c r="A453" s="27"/>
      <c r="B453" s="26" t="s">
        <v>1191</v>
      </c>
      <c r="C453" s="26"/>
      <c r="D453" s="68">
        <f>F413</f>
        <v>10</v>
      </c>
      <c r="E453" s="68" t="str">
        <f>G413</f>
        <v>Nos.</v>
      </c>
      <c r="F453" s="26" t="s">
        <v>1698</v>
      </c>
      <c r="G453" s="211">
        <f>G452+G451</f>
        <v>7934.1983333333328</v>
      </c>
      <c r="H453" s="26"/>
      <c r="I453" s="26"/>
    </row>
    <row r="454" spans="1:9">
      <c r="A454" s="27"/>
      <c r="B454" s="170" t="s">
        <v>1584</v>
      </c>
      <c r="C454" s="211" t="s">
        <v>4935</v>
      </c>
      <c r="D454" s="26" t="s">
        <v>5891</v>
      </c>
      <c r="E454" s="26"/>
      <c r="F454" s="26" t="s">
        <v>4108</v>
      </c>
      <c r="G454" s="211">
        <f>ROUND(G453/D453,1)</f>
        <v>793.4</v>
      </c>
      <c r="H454" s="26"/>
      <c r="I454" s="26"/>
    </row>
    <row r="455" spans="1:9">
      <c r="A455" s="27"/>
      <c r="B455" s="78"/>
      <c r="C455" s="26"/>
      <c r="D455" s="26"/>
      <c r="E455" s="26"/>
      <c r="F455" s="26"/>
      <c r="G455" s="26"/>
      <c r="H455" s="26"/>
      <c r="I455" s="26"/>
    </row>
    <row r="456" spans="1:9">
      <c r="A456" s="27" t="s">
        <v>7539</v>
      </c>
      <c r="B456" s="170" t="s">
        <v>464</v>
      </c>
      <c r="C456" s="26"/>
      <c r="D456" s="26"/>
      <c r="E456" s="26"/>
      <c r="F456" s="26"/>
      <c r="G456" s="26"/>
      <c r="H456" s="26"/>
      <c r="I456" s="26"/>
    </row>
    <row r="457" spans="1:9">
      <c r="A457" s="27"/>
      <c r="B457" s="26"/>
      <c r="C457" s="26"/>
      <c r="D457" s="26"/>
      <c r="E457" s="26"/>
      <c r="F457" s="26"/>
      <c r="G457" s="26"/>
      <c r="H457" s="26"/>
      <c r="I457" s="26"/>
    </row>
    <row r="458" spans="1:9" ht="18.75">
      <c r="A458" s="27" t="s">
        <v>7540</v>
      </c>
      <c r="B458" s="26" t="s">
        <v>8910</v>
      </c>
      <c r="C458" s="26"/>
      <c r="D458" s="26"/>
      <c r="E458" s="26"/>
      <c r="F458" s="26"/>
      <c r="G458" s="26"/>
      <c r="H458" s="26"/>
      <c r="I458" s="26"/>
    </row>
    <row r="459" spans="1:9">
      <c r="A459" s="27"/>
      <c r="B459" s="26" t="s">
        <v>4836</v>
      </c>
      <c r="C459" s="26"/>
      <c r="D459" s="26"/>
      <c r="E459" s="26"/>
      <c r="F459" s="26"/>
      <c r="G459" s="26"/>
      <c r="H459" s="26"/>
      <c r="I459" s="26"/>
    </row>
    <row r="460" spans="1:9">
      <c r="A460" s="27"/>
      <c r="B460" s="26" t="s">
        <v>1667</v>
      </c>
      <c r="C460" s="26"/>
      <c r="D460" s="26"/>
      <c r="E460" s="26"/>
      <c r="F460" s="26"/>
      <c r="G460" s="26"/>
      <c r="H460" s="26"/>
      <c r="I460" s="26"/>
    </row>
    <row r="461" spans="1:9" ht="18.75">
      <c r="A461" s="27"/>
      <c r="B461" s="170" t="s">
        <v>8911</v>
      </c>
      <c r="C461" s="26"/>
      <c r="D461" s="26"/>
      <c r="E461" s="26"/>
      <c r="F461" s="26"/>
      <c r="G461" s="26"/>
      <c r="H461" s="26"/>
      <c r="I461" s="26"/>
    </row>
    <row r="462" spans="1:9">
      <c r="B462" s="26"/>
      <c r="C462" s="26"/>
      <c r="D462" s="26"/>
      <c r="E462" s="26"/>
      <c r="F462" s="26"/>
      <c r="G462" s="26"/>
      <c r="H462" s="26"/>
      <c r="I462" s="26"/>
    </row>
    <row r="463" spans="1:9">
      <c r="A463" s="27" t="s">
        <v>3984</v>
      </c>
      <c r="B463" s="26" t="s">
        <v>2500</v>
      </c>
      <c r="C463" s="26"/>
      <c r="D463" s="26"/>
      <c r="E463" s="26"/>
      <c r="F463" s="26"/>
      <c r="G463" s="26"/>
      <c r="H463" s="26"/>
      <c r="I463" s="26"/>
    </row>
    <row r="464" spans="1:9">
      <c r="A464" s="27"/>
      <c r="B464" s="26" t="s">
        <v>4046</v>
      </c>
      <c r="C464" s="26"/>
      <c r="D464" s="26"/>
      <c r="E464" s="78" t="s">
        <v>1697</v>
      </c>
      <c r="F464" s="26">
        <v>8</v>
      </c>
      <c r="G464" s="26" t="s">
        <v>3033</v>
      </c>
      <c r="H464" s="26"/>
      <c r="I464" s="26"/>
    </row>
    <row r="465" spans="1:9">
      <c r="A465" s="27"/>
      <c r="B465" s="26" t="s">
        <v>4047</v>
      </c>
      <c r="C465" s="26"/>
      <c r="D465" s="26"/>
      <c r="E465" s="78" t="s">
        <v>1697</v>
      </c>
      <c r="F465" s="26">
        <v>5</v>
      </c>
      <c r="G465" s="26" t="s">
        <v>515</v>
      </c>
      <c r="H465" s="26"/>
      <c r="I465" s="26"/>
    </row>
    <row r="466" spans="1:9">
      <c r="A466" s="27"/>
      <c r="B466" s="26" t="s">
        <v>1668</v>
      </c>
      <c r="C466" s="26"/>
      <c r="D466" s="322" t="s">
        <v>1697</v>
      </c>
      <c r="E466" s="26" t="s">
        <v>4308</v>
      </c>
      <c r="F466" s="26"/>
      <c r="G466" s="26"/>
      <c r="H466" s="26"/>
      <c r="I466" s="26"/>
    </row>
    <row r="467" spans="1:9">
      <c r="A467" s="27"/>
      <c r="B467" s="26" t="s">
        <v>4049</v>
      </c>
      <c r="C467" s="26"/>
      <c r="D467" s="322" t="s">
        <v>1697</v>
      </c>
      <c r="E467" s="26" t="s">
        <v>6746</v>
      </c>
      <c r="F467" s="26"/>
      <c r="G467" s="26"/>
      <c r="H467" s="26"/>
      <c r="I467" s="26"/>
    </row>
    <row r="468" spans="1:9">
      <c r="A468" s="27"/>
      <c r="B468" s="26" t="s">
        <v>2514</v>
      </c>
      <c r="C468" s="26"/>
      <c r="D468" s="322" t="s">
        <v>1697</v>
      </c>
      <c r="E468" s="26" t="s">
        <v>6746</v>
      </c>
      <c r="F468" s="26"/>
      <c r="G468" s="26"/>
      <c r="H468" s="26"/>
      <c r="I468" s="26"/>
    </row>
    <row r="469" spans="1:9">
      <c r="A469" s="27"/>
      <c r="B469" s="26" t="s">
        <v>2515</v>
      </c>
      <c r="C469" s="26"/>
      <c r="D469" s="322" t="s">
        <v>1697</v>
      </c>
      <c r="E469" s="26" t="s">
        <v>4309</v>
      </c>
      <c r="F469" s="26"/>
      <c r="G469" s="26"/>
      <c r="H469" s="26"/>
      <c r="I469" s="26"/>
    </row>
    <row r="470" spans="1:9">
      <c r="A470" s="27"/>
      <c r="B470" s="78"/>
      <c r="C470" s="26"/>
      <c r="D470" s="26"/>
      <c r="E470" s="26"/>
      <c r="F470" s="26"/>
      <c r="G470" s="26"/>
      <c r="H470" s="26"/>
      <c r="I470" s="26"/>
    </row>
    <row r="471" spans="1:9">
      <c r="A471" s="27"/>
      <c r="B471" s="78"/>
      <c r="C471" s="26"/>
      <c r="D471" s="26"/>
      <c r="E471" s="26"/>
      <c r="F471" s="26"/>
      <c r="G471" s="26"/>
      <c r="H471" s="26"/>
      <c r="I471" s="26"/>
    </row>
    <row r="472" spans="1:9">
      <c r="A472" s="27" t="s">
        <v>3984</v>
      </c>
      <c r="B472" s="78"/>
      <c r="C472" s="203" t="s">
        <v>2367</v>
      </c>
      <c r="D472" s="26"/>
      <c r="E472" s="171" t="s">
        <v>297</v>
      </c>
      <c r="F472" s="246">
        <v>1000</v>
      </c>
      <c r="G472" s="26" t="s">
        <v>3478</v>
      </c>
      <c r="H472" s="26"/>
      <c r="I472" s="26"/>
    </row>
    <row r="473" spans="1:9">
      <c r="A473" s="27"/>
      <c r="B473" s="79" t="s">
        <v>2368</v>
      </c>
      <c r="C473" s="26"/>
      <c r="D473" s="26"/>
      <c r="E473" s="26"/>
      <c r="F473" s="26"/>
      <c r="G473" s="26"/>
      <c r="H473" s="26"/>
      <c r="I473" s="26"/>
    </row>
    <row r="474" spans="1:9">
      <c r="A474" s="27"/>
      <c r="B474" s="95" t="s">
        <v>2369</v>
      </c>
      <c r="C474" s="157" t="s">
        <v>4443</v>
      </c>
      <c r="D474" s="95" t="s">
        <v>2370</v>
      </c>
      <c r="E474" s="95" t="s">
        <v>1166</v>
      </c>
      <c r="F474" s="95" t="s">
        <v>2371</v>
      </c>
      <c r="G474" s="95" t="s">
        <v>2372</v>
      </c>
      <c r="H474" s="26"/>
      <c r="I474" s="26"/>
    </row>
    <row r="475" spans="1:9">
      <c r="A475" s="27"/>
      <c r="B475" s="114"/>
      <c r="C475" s="154"/>
      <c r="D475" s="114"/>
      <c r="E475" s="114"/>
      <c r="F475" s="114" t="s">
        <v>3485</v>
      </c>
      <c r="G475" s="114" t="s">
        <v>3485</v>
      </c>
      <c r="H475" s="26"/>
      <c r="I475" s="26"/>
    </row>
    <row r="476" spans="1:9">
      <c r="A476" s="27"/>
      <c r="B476" s="95">
        <v>1</v>
      </c>
      <c r="C476" s="135" t="s">
        <v>6235</v>
      </c>
      <c r="D476" s="95" t="s">
        <v>3478</v>
      </c>
      <c r="E476" s="190">
        <v>1050</v>
      </c>
      <c r="F476" s="214">
        <f>'BASIC DATA'!$D$91/1000</f>
        <v>34</v>
      </c>
      <c r="G476" s="190">
        <f>E476*F476</f>
        <v>35700</v>
      </c>
      <c r="H476" s="26"/>
      <c r="I476" s="26"/>
    </row>
    <row r="477" spans="1:9">
      <c r="A477" s="27"/>
      <c r="B477" s="105">
        <v>2</v>
      </c>
      <c r="C477" s="135" t="s">
        <v>2637</v>
      </c>
      <c r="D477" s="105" t="s">
        <v>3478</v>
      </c>
      <c r="E477" s="190">
        <v>8</v>
      </c>
      <c r="F477" s="214">
        <f>'BASIC DATA'!$D$30</f>
        <v>60</v>
      </c>
      <c r="G477" s="190">
        <f>E477*F477</f>
        <v>480</v>
      </c>
      <c r="H477" s="26"/>
      <c r="I477" s="26"/>
    </row>
    <row r="478" spans="1:9">
      <c r="A478" s="27"/>
      <c r="B478" s="114">
        <v>3</v>
      </c>
      <c r="C478" s="135" t="s">
        <v>2638</v>
      </c>
      <c r="D478" s="105" t="s">
        <v>2173</v>
      </c>
      <c r="E478" s="190">
        <v>3</v>
      </c>
      <c r="F478" s="214">
        <f>'BASIC DATA'!$D$359</f>
        <v>30</v>
      </c>
      <c r="G478" s="190">
        <f>E478*F478</f>
        <v>90</v>
      </c>
      <c r="H478" s="26"/>
      <c r="I478" s="26"/>
    </row>
    <row r="479" spans="1:9">
      <c r="A479" s="27"/>
      <c r="B479" s="92"/>
      <c r="C479" s="193" t="s">
        <v>2376</v>
      </c>
      <c r="D479" s="159"/>
      <c r="E479" s="238"/>
      <c r="F479" s="236" t="s">
        <v>1698</v>
      </c>
      <c r="G479" s="318">
        <f>SUM(G476:G478)</f>
        <v>36270</v>
      </c>
      <c r="H479" s="26"/>
      <c r="I479" s="26"/>
    </row>
    <row r="480" spans="1:9">
      <c r="A480" s="27"/>
      <c r="B480" s="78"/>
      <c r="C480" s="26"/>
      <c r="D480" s="26"/>
      <c r="E480" s="26"/>
      <c r="F480" s="26"/>
      <c r="G480" s="26"/>
      <c r="H480" s="26"/>
      <c r="I480" s="26"/>
    </row>
    <row r="481" spans="1:9">
      <c r="A481" s="27"/>
      <c r="B481" s="79" t="s">
        <v>2377</v>
      </c>
      <c r="C481" s="26"/>
      <c r="D481" s="26"/>
      <c r="E481" s="26"/>
      <c r="F481" s="26"/>
      <c r="G481" s="26"/>
      <c r="H481" s="26"/>
      <c r="I481" s="26"/>
    </row>
    <row r="482" spans="1:9">
      <c r="A482" s="27"/>
      <c r="B482" s="95" t="s">
        <v>2369</v>
      </c>
      <c r="C482" s="157" t="s">
        <v>2378</v>
      </c>
      <c r="D482" s="95" t="s">
        <v>2370</v>
      </c>
      <c r="E482" s="95" t="s">
        <v>1166</v>
      </c>
      <c r="F482" s="95" t="s">
        <v>2371</v>
      </c>
      <c r="G482" s="95" t="s">
        <v>2372</v>
      </c>
      <c r="H482" s="26"/>
      <c r="I482" s="26"/>
    </row>
    <row r="483" spans="1:9">
      <c r="A483" s="27"/>
      <c r="B483" s="114"/>
      <c r="C483" s="154"/>
      <c r="D483" s="114"/>
      <c r="E483" s="114"/>
      <c r="F483" s="114" t="s">
        <v>3485</v>
      </c>
      <c r="G483" s="114" t="s">
        <v>3485</v>
      </c>
      <c r="H483" s="26"/>
      <c r="I483" s="26"/>
    </row>
    <row r="484" spans="1:9">
      <c r="A484" s="27"/>
      <c r="B484" s="95">
        <v>1</v>
      </c>
      <c r="C484" s="93" t="s">
        <v>4168</v>
      </c>
      <c r="D484" s="95"/>
      <c r="E484" s="190">
        <v>0</v>
      </c>
      <c r="F484" s="190">
        <v>0</v>
      </c>
      <c r="G484" s="190">
        <f>E484*F484</f>
        <v>0</v>
      </c>
      <c r="H484" s="26"/>
      <c r="I484" s="26"/>
    </row>
    <row r="485" spans="1:9">
      <c r="A485" s="27"/>
      <c r="B485" s="280"/>
      <c r="C485" s="93"/>
      <c r="D485" s="105"/>
      <c r="E485" s="190">
        <v>0</v>
      </c>
      <c r="F485" s="190">
        <v>0</v>
      </c>
      <c r="G485" s="190">
        <f>E485*F485</f>
        <v>0</v>
      </c>
      <c r="H485" s="26"/>
      <c r="I485" s="26"/>
    </row>
    <row r="486" spans="1:9">
      <c r="A486" s="27"/>
      <c r="B486" s="176"/>
      <c r="C486" s="172" t="s">
        <v>2380</v>
      </c>
      <c r="D486" s="174"/>
      <c r="E486" s="192"/>
      <c r="F486" s="236" t="s">
        <v>1698</v>
      </c>
      <c r="G486" s="318">
        <f>SUM(G484:G485)</f>
        <v>0</v>
      </c>
      <c r="H486" s="26"/>
      <c r="I486" s="26"/>
    </row>
    <row r="487" spans="1:9">
      <c r="A487" s="27"/>
      <c r="B487" s="78"/>
      <c r="C487" s="26"/>
      <c r="D487" s="26"/>
      <c r="E487" s="26"/>
      <c r="F487" s="26"/>
      <c r="G487" s="26"/>
      <c r="H487" s="26"/>
      <c r="I487" s="26"/>
    </row>
    <row r="488" spans="1:9">
      <c r="A488" s="27"/>
      <c r="B488" s="79" t="s">
        <v>2381</v>
      </c>
      <c r="C488" s="26"/>
      <c r="D488" s="26"/>
      <c r="E488" s="26"/>
      <c r="F488" s="26"/>
      <c r="G488" s="26"/>
      <c r="H488" s="26"/>
      <c r="I488" s="26"/>
    </row>
    <row r="489" spans="1:9">
      <c r="A489" s="27"/>
      <c r="B489" s="95" t="s">
        <v>2369</v>
      </c>
      <c r="C489" s="157" t="s">
        <v>2378</v>
      </c>
      <c r="D489" s="95" t="s">
        <v>2370</v>
      </c>
      <c r="E489" s="95" t="s">
        <v>1166</v>
      </c>
      <c r="F489" s="95" t="s">
        <v>2371</v>
      </c>
      <c r="G489" s="95" t="s">
        <v>2372</v>
      </c>
      <c r="H489" s="26"/>
      <c r="I489" s="26"/>
    </row>
    <row r="490" spans="1:9">
      <c r="A490" s="27"/>
      <c r="B490" s="114"/>
      <c r="C490" s="154"/>
      <c r="D490" s="114"/>
      <c r="E490" s="114"/>
      <c r="F490" s="114" t="s">
        <v>3485</v>
      </c>
      <c r="G490" s="114" t="s">
        <v>3485</v>
      </c>
      <c r="H490" s="26"/>
      <c r="I490" s="26"/>
    </row>
    <row r="491" spans="1:9">
      <c r="A491" s="27"/>
      <c r="B491" s="105">
        <v>1</v>
      </c>
      <c r="C491" s="76" t="s">
        <v>4206</v>
      </c>
      <c r="D491" s="105" t="s">
        <v>1172</v>
      </c>
      <c r="E491" s="207">
        <v>1</v>
      </c>
      <c r="F491" s="190">
        <f>'BASIC DATA'!$C$473</f>
        <v>450</v>
      </c>
      <c r="G491" s="190">
        <f>E491*F491</f>
        <v>450</v>
      </c>
      <c r="H491" s="26"/>
      <c r="I491" s="26"/>
    </row>
    <row r="492" spans="1:9">
      <c r="A492" s="27"/>
      <c r="B492" s="105">
        <v>2</v>
      </c>
      <c r="C492" s="76" t="s">
        <v>3836</v>
      </c>
      <c r="D492" s="105" t="s">
        <v>1172</v>
      </c>
      <c r="E492" s="207">
        <v>6</v>
      </c>
      <c r="F492" s="190">
        <f>'BASIC DATA'!$C$464</f>
        <v>555</v>
      </c>
      <c r="G492" s="190">
        <f>E492*F492</f>
        <v>3330</v>
      </c>
      <c r="H492" s="26"/>
      <c r="I492" s="26"/>
    </row>
    <row r="493" spans="1:9">
      <c r="A493" s="27"/>
      <c r="B493" s="105">
        <v>3</v>
      </c>
      <c r="C493" s="76" t="s">
        <v>2697</v>
      </c>
      <c r="D493" s="105" t="s">
        <v>1172</v>
      </c>
      <c r="E493" s="207">
        <v>11</v>
      </c>
      <c r="F493" s="190">
        <f>'BASIC DATA'!$C$552</f>
        <v>350</v>
      </c>
      <c r="G493" s="190">
        <f>E493*F493</f>
        <v>3850</v>
      </c>
      <c r="H493" s="26"/>
      <c r="I493" s="26"/>
    </row>
    <row r="494" spans="1:9">
      <c r="A494" s="27"/>
      <c r="B494" s="92"/>
      <c r="C494" s="193" t="s">
        <v>1174</v>
      </c>
      <c r="D494" s="159"/>
      <c r="E494" s="238"/>
      <c r="F494" s="236" t="s">
        <v>1698</v>
      </c>
      <c r="G494" s="318">
        <f>SUM(G491:G493)</f>
        <v>7630</v>
      </c>
      <c r="H494" s="26"/>
      <c r="I494" s="26"/>
    </row>
    <row r="495" spans="1:9">
      <c r="A495" s="27"/>
      <c r="B495" s="60" t="s">
        <v>5948</v>
      </c>
      <c r="C495" s="31"/>
      <c r="D495" s="31"/>
      <c r="E495" s="85">
        <f>ROUND(G494/F472,1)</f>
        <v>7.6</v>
      </c>
      <c r="F495" s="26"/>
      <c r="G495" s="26"/>
      <c r="H495" s="26"/>
      <c r="I495" s="26"/>
    </row>
    <row r="496" spans="1:9">
      <c r="A496" s="27"/>
      <c r="B496" s="60" t="s">
        <v>3163</v>
      </c>
      <c r="C496" s="31"/>
      <c r="D496" s="31">
        <f>'BASIC DATA'!$C$577</f>
        <v>0.13614999999999999</v>
      </c>
      <c r="E496" s="85">
        <f>ROUND(E495*D496,1)</f>
        <v>1</v>
      </c>
      <c r="F496" s="26"/>
      <c r="G496" s="26"/>
      <c r="H496" s="26"/>
      <c r="I496" s="26"/>
    </row>
    <row r="497" spans="1:9">
      <c r="A497" s="27"/>
      <c r="B497" s="60" t="s">
        <v>5949</v>
      </c>
      <c r="C497" s="31"/>
      <c r="D497" s="31"/>
      <c r="E497" s="199">
        <f>ROUND(E496+E495,1)</f>
        <v>8.6</v>
      </c>
      <c r="F497" s="57"/>
      <c r="G497" s="26"/>
      <c r="H497" s="26"/>
      <c r="I497" s="26"/>
    </row>
    <row r="498" spans="1:9">
      <c r="A498" s="27"/>
      <c r="B498" s="78"/>
      <c r="C498" s="26"/>
      <c r="D498" s="26"/>
      <c r="E498" s="26"/>
      <c r="F498" s="26"/>
      <c r="G498" s="26"/>
      <c r="H498" s="26"/>
      <c r="I498" s="26"/>
    </row>
    <row r="499" spans="1:9">
      <c r="A499" s="27"/>
      <c r="B499" s="170" t="s">
        <v>1175</v>
      </c>
      <c r="C499" s="26"/>
      <c r="D499" s="26"/>
      <c r="E499" s="26"/>
      <c r="F499" s="26"/>
      <c r="G499" s="26"/>
      <c r="H499" s="26"/>
      <c r="I499" s="26"/>
    </row>
    <row r="500" spans="1:9">
      <c r="A500" s="27"/>
      <c r="B500" s="26" t="s">
        <v>1176</v>
      </c>
      <c r="C500" s="26"/>
      <c r="D500" s="26"/>
      <c r="E500" s="26"/>
      <c r="F500" s="171" t="s">
        <v>1698</v>
      </c>
      <c r="G500" s="68">
        <f>G479</f>
        <v>36270</v>
      </c>
      <c r="H500" s="26"/>
      <c r="I500" s="26"/>
    </row>
    <row r="501" spans="1:9">
      <c r="A501" s="27"/>
      <c r="B501" s="26" t="s">
        <v>1186</v>
      </c>
      <c r="C501" s="26"/>
      <c r="D501" s="26"/>
      <c r="E501" s="26"/>
      <c r="F501" s="171" t="s">
        <v>1698</v>
      </c>
      <c r="G501" s="68">
        <f>G486</f>
        <v>0</v>
      </c>
      <c r="H501" s="26"/>
      <c r="I501" s="26"/>
    </row>
    <row r="502" spans="1:9">
      <c r="A502" s="27"/>
      <c r="B502" s="26" t="s">
        <v>2660</v>
      </c>
      <c r="C502" s="26"/>
      <c r="D502" s="26"/>
      <c r="E502" s="26"/>
      <c r="F502" s="171" t="s">
        <v>1698</v>
      </c>
      <c r="G502" s="75">
        <f>G494</f>
        <v>7630</v>
      </c>
      <c r="H502" s="26"/>
      <c r="I502" s="26"/>
    </row>
    <row r="503" spans="1:9">
      <c r="A503" s="27"/>
      <c r="B503" s="78"/>
      <c r="C503" s="26"/>
      <c r="D503" s="26"/>
      <c r="E503" s="171"/>
      <c r="F503" s="171" t="s">
        <v>302</v>
      </c>
      <c r="G503" s="205">
        <f>SUM(G500:G502)</f>
        <v>43900</v>
      </c>
      <c r="H503" s="26"/>
      <c r="I503" s="26"/>
    </row>
    <row r="504" spans="1:9">
      <c r="A504" s="27"/>
      <c r="B504" s="1206" t="s">
        <v>1379</v>
      </c>
      <c r="C504" s="1206"/>
      <c r="D504" s="26"/>
      <c r="E504" s="249">
        <f>'BASIC DATA'!$C$577</f>
        <v>0.13614999999999999</v>
      </c>
      <c r="F504" s="26" t="s">
        <v>1698</v>
      </c>
      <c r="G504" s="26">
        <f>ROUND(G503*E504,2)</f>
        <v>5976.99</v>
      </c>
      <c r="H504" s="26"/>
      <c r="I504" s="26"/>
    </row>
    <row r="505" spans="1:9">
      <c r="A505" s="27"/>
      <c r="B505" s="26" t="s">
        <v>1191</v>
      </c>
      <c r="C505" s="26"/>
      <c r="D505" s="68">
        <f>F472</f>
        <v>1000</v>
      </c>
      <c r="E505" s="68" t="str">
        <f>G472</f>
        <v>kg</v>
      </c>
      <c r="F505" s="26" t="s">
        <v>1698</v>
      </c>
      <c r="G505" s="170">
        <f>G504+G503</f>
        <v>49876.99</v>
      </c>
      <c r="H505" s="26"/>
      <c r="I505" s="26"/>
    </row>
    <row r="506" spans="1:9">
      <c r="A506" s="27"/>
      <c r="B506" s="170" t="s">
        <v>1584</v>
      </c>
      <c r="C506" s="211" t="str">
        <f>E505</f>
        <v>kg</v>
      </c>
      <c r="D506" s="26" t="s">
        <v>5886</v>
      </c>
      <c r="E506" s="26"/>
      <c r="F506" s="26" t="s">
        <v>4108</v>
      </c>
      <c r="G506" s="211">
        <f>ROUND(G505/D505,1)</f>
        <v>49.9</v>
      </c>
      <c r="H506" s="26"/>
      <c r="I506" s="26"/>
    </row>
    <row r="507" spans="1:9">
      <c r="A507" s="27"/>
      <c r="B507" s="78"/>
      <c r="C507" s="26"/>
      <c r="D507" s="26"/>
      <c r="E507" s="26"/>
      <c r="F507" s="26"/>
      <c r="G507" s="26"/>
      <c r="H507" s="26"/>
      <c r="I507" s="26"/>
    </row>
    <row r="508" spans="1:9">
      <c r="A508" s="27"/>
      <c r="B508" s="78"/>
      <c r="C508" s="26"/>
      <c r="D508" s="26"/>
      <c r="E508" s="26"/>
      <c r="F508" s="26"/>
      <c r="G508" s="26"/>
      <c r="H508" s="26"/>
      <c r="I508" s="26"/>
    </row>
    <row r="509" spans="1:9" ht="18.75">
      <c r="A509" s="27" t="s">
        <v>7541</v>
      </c>
      <c r="B509" s="26" t="s">
        <v>8912</v>
      </c>
      <c r="C509" s="26"/>
      <c r="D509" s="26"/>
      <c r="E509" s="26"/>
      <c r="F509" s="26"/>
      <c r="G509" s="26"/>
      <c r="H509" s="26"/>
      <c r="I509" s="26"/>
    </row>
    <row r="510" spans="1:9">
      <c r="A510" s="27"/>
      <c r="B510" s="26" t="s">
        <v>6353</v>
      </c>
      <c r="C510" s="26"/>
      <c r="D510" s="26"/>
      <c r="E510" s="26"/>
      <c r="F510" s="26"/>
      <c r="G510" s="26"/>
      <c r="H510" s="26"/>
      <c r="I510" s="26"/>
    </row>
    <row r="511" spans="1:9">
      <c r="A511" s="27"/>
      <c r="B511" s="26" t="s">
        <v>6354</v>
      </c>
      <c r="C511" s="26"/>
      <c r="D511" s="26"/>
      <c r="E511" s="26"/>
      <c r="F511" s="26"/>
      <c r="G511" s="26"/>
      <c r="H511" s="26"/>
      <c r="I511" s="26"/>
    </row>
    <row r="512" spans="1:9">
      <c r="A512" s="27"/>
      <c r="B512" s="26" t="s">
        <v>8913</v>
      </c>
      <c r="C512" s="26"/>
      <c r="D512" s="26"/>
      <c r="E512" s="26"/>
      <c r="F512" s="26"/>
      <c r="G512" s="26"/>
      <c r="H512" s="26"/>
      <c r="I512" s="26"/>
    </row>
    <row r="513" spans="1:9">
      <c r="A513" s="27"/>
      <c r="B513" s="26"/>
      <c r="C513" s="26"/>
      <c r="D513" s="26"/>
      <c r="E513" s="26"/>
      <c r="F513" s="26"/>
      <c r="G513" s="26"/>
      <c r="H513" s="26"/>
      <c r="I513" s="26"/>
    </row>
    <row r="514" spans="1:9">
      <c r="A514" s="27" t="s">
        <v>3984</v>
      </c>
      <c r="B514" s="26" t="s">
        <v>1669</v>
      </c>
      <c r="C514" s="26"/>
      <c r="D514" s="26"/>
      <c r="E514" s="26"/>
      <c r="F514" s="26"/>
      <c r="G514" s="26"/>
      <c r="H514" s="26"/>
      <c r="I514" s="26"/>
    </row>
    <row r="515" spans="1:9">
      <c r="A515" s="27"/>
      <c r="B515" s="78"/>
      <c r="C515" s="26"/>
      <c r="D515" s="26"/>
      <c r="E515" s="26"/>
      <c r="F515" s="26"/>
      <c r="G515" s="26"/>
      <c r="H515" s="26"/>
      <c r="I515" s="26"/>
    </row>
    <row r="516" spans="1:9">
      <c r="A516" s="27"/>
      <c r="B516" s="78"/>
      <c r="C516" s="26"/>
      <c r="D516" s="26"/>
      <c r="E516" s="26"/>
      <c r="F516" s="26"/>
      <c r="G516" s="26"/>
      <c r="H516" s="26"/>
      <c r="I516" s="26"/>
    </row>
    <row r="517" spans="1:9">
      <c r="A517" s="27"/>
      <c r="B517" s="78"/>
      <c r="C517" s="26"/>
      <c r="D517" s="26"/>
      <c r="E517" s="26"/>
      <c r="F517" s="26"/>
      <c r="G517" s="26"/>
      <c r="H517" s="26"/>
      <c r="I517" s="26"/>
    </row>
    <row r="518" spans="1:9">
      <c r="A518" s="27"/>
      <c r="B518" s="78"/>
      <c r="C518" s="26"/>
      <c r="D518" s="26"/>
      <c r="E518" s="26"/>
      <c r="F518" s="26"/>
      <c r="G518" s="26"/>
      <c r="H518" s="299"/>
      <c r="I518" s="26"/>
    </row>
    <row r="519" spans="1:9">
      <c r="A519" s="27"/>
      <c r="B519" s="78"/>
      <c r="C519" s="26"/>
      <c r="D519" s="26"/>
      <c r="E519" s="26"/>
      <c r="F519" s="26"/>
      <c r="G519" s="26"/>
      <c r="H519" s="26"/>
      <c r="I519" s="26"/>
    </row>
    <row r="520" spans="1:9">
      <c r="A520" s="27"/>
      <c r="B520" s="78"/>
      <c r="C520" s="26"/>
      <c r="D520" s="26"/>
      <c r="E520" s="26"/>
      <c r="F520" s="26"/>
      <c r="G520" s="26"/>
      <c r="H520" s="26"/>
      <c r="I520" s="26"/>
    </row>
    <row r="521" spans="1:9">
      <c r="A521" s="27"/>
      <c r="B521" s="78"/>
      <c r="C521" s="26"/>
      <c r="D521" s="26"/>
      <c r="E521" s="26"/>
      <c r="F521" s="26"/>
      <c r="G521" s="26"/>
      <c r="H521" s="26"/>
      <c r="I521" s="26"/>
    </row>
    <row r="522" spans="1:9">
      <c r="A522" s="27"/>
      <c r="B522" s="78"/>
      <c r="C522" s="26"/>
      <c r="D522" s="26"/>
      <c r="E522" s="26"/>
      <c r="F522" s="26"/>
      <c r="G522" s="26"/>
      <c r="H522" s="26"/>
      <c r="I522" s="26"/>
    </row>
    <row r="523" spans="1:9">
      <c r="A523" s="27"/>
      <c r="B523" s="78"/>
      <c r="C523" s="26"/>
      <c r="D523" s="26"/>
      <c r="E523" s="26"/>
      <c r="F523" s="26"/>
      <c r="G523" s="26"/>
      <c r="H523" s="26"/>
      <c r="I523" s="26"/>
    </row>
    <row r="524" spans="1:9">
      <c r="A524" s="27"/>
      <c r="B524" s="78"/>
      <c r="C524" s="26"/>
      <c r="D524" s="26"/>
      <c r="E524" s="26"/>
      <c r="F524" s="26"/>
      <c r="G524" s="26"/>
      <c r="H524" s="26"/>
      <c r="I524" s="26"/>
    </row>
    <row r="525" spans="1:9">
      <c r="A525" s="27"/>
      <c r="B525" s="78"/>
      <c r="C525" s="26" t="s">
        <v>1670</v>
      </c>
      <c r="D525" s="26"/>
      <c r="E525" s="26"/>
      <c r="F525" s="26"/>
      <c r="G525" s="26"/>
      <c r="H525" s="26"/>
      <c r="I525" s="26"/>
    </row>
    <row r="526" spans="1:9">
      <c r="A526" s="27"/>
      <c r="B526" s="78"/>
      <c r="C526" s="26"/>
      <c r="D526" s="26"/>
      <c r="E526" s="26"/>
      <c r="F526" s="26"/>
      <c r="G526" s="26"/>
      <c r="H526" s="26"/>
      <c r="I526" s="26"/>
    </row>
    <row r="527" spans="1:9">
      <c r="A527" s="27"/>
      <c r="B527" s="26" t="s">
        <v>5781</v>
      </c>
      <c r="C527" s="26"/>
      <c r="D527" s="78" t="s">
        <v>1697</v>
      </c>
      <c r="E527" s="171" t="s">
        <v>3759</v>
      </c>
      <c r="F527" s="26" t="s">
        <v>2602</v>
      </c>
      <c r="G527" s="26"/>
      <c r="H527" s="26"/>
      <c r="I527" s="26"/>
    </row>
    <row r="528" spans="1:9">
      <c r="A528" s="27"/>
      <c r="B528" s="26" t="s">
        <v>5782</v>
      </c>
      <c r="C528" s="26"/>
      <c r="D528" s="78" t="s">
        <v>1697</v>
      </c>
      <c r="E528" s="171" t="s">
        <v>3759</v>
      </c>
      <c r="F528" s="26" t="s">
        <v>2602</v>
      </c>
      <c r="G528" s="26"/>
      <c r="H528" s="26"/>
      <c r="I528" s="26"/>
    </row>
    <row r="529" spans="1:9">
      <c r="A529" s="27"/>
      <c r="B529" s="26" t="s">
        <v>5783</v>
      </c>
      <c r="C529" s="26"/>
      <c r="D529" s="78" t="s">
        <v>1697</v>
      </c>
      <c r="E529" s="217">
        <v>216.1</v>
      </c>
      <c r="F529" s="26" t="s">
        <v>3478</v>
      </c>
      <c r="G529" s="26"/>
      <c r="H529" s="26"/>
      <c r="I529" s="26"/>
    </row>
    <row r="530" spans="1:9">
      <c r="A530" s="27"/>
      <c r="B530" s="26" t="s">
        <v>7608</v>
      </c>
      <c r="C530" s="26"/>
      <c r="D530" s="78" t="s">
        <v>1697</v>
      </c>
      <c r="E530" s="217">
        <v>342.3</v>
      </c>
      <c r="F530" s="26" t="s">
        <v>3478</v>
      </c>
      <c r="G530" s="26"/>
      <c r="H530" s="26"/>
      <c r="I530" s="26"/>
    </row>
    <row r="531" spans="1:9">
      <c r="A531" s="27"/>
      <c r="B531" s="26" t="s">
        <v>7609</v>
      </c>
      <c r="C531" s="26"/>
      <c r="D531" s="78" t="s">
        <v>1123</v>
      </c>
      <c r="E531" s="217">
        <v>56.6</v>
      </c>
      <c r="F531" s="26" t="s">
        <v>3478</v>
      </c>
      <c r="G531" s="26"/>
      <c r="H531" s="26"/>
      <c r="I531" s="26"/>
    </row>
    <row r="532" spans="1:9">
      <c r="A532" s="27"/>
      <c r="B532" s="26" t="s">
        <v>5349</v>
      </c>
      <c r="C532" s="171" t="s">
        <v>1518</v>
      </c>
      <c r="D532" s="78" t="s">
        <v>1697</v>
      </c>
      <c r="E532" s="217">
        <f>SUM(E529:E531)</f>
        <v>615</v>
      </c>
      <c r="F532" s="26" t="s">
        <v>3478</v>
      </c>
      <c r="G532" s="26"/>
      <c r="H532" s="26"/>
      <c r="I532" s="26"/>
    </row>
    <row r="533" spans="1:9">
      <c r="A533" s="27"/>
      <c r="B533" s="26" t="s">
        <v>5350</v>
      </c>
      <c r="C533" s="26"/>
      <c r="D533" s="78" t="s">
        <v>1697</v>
      </c>
      <c r="E533" s="171">
        <v>30</v>
      </c>
      <c r="F533" s="26" t="s">
        <v>2602</v>
      </c>
      <c r="G533" s="26"/>
      <c r="H533" s="26"/>
      <c r="I533" s="26"/>
    </row>
    <row r="534" spans="1:9">
      <c r="A534" s="27"/>
      <c r="B534" s="26"/>
      <c r="C534" s="26"/>
      <c r="D534" s="78" t="s">
        <v>1697</v>
      </c>
      <c r="E534" s="171">
        <v>300</v>
      </c>
      <c r="F534" s="26" t="s">
        <v>4041</v>
      </c>
      <c r="G534" s="26"/>
      <c r="H534" s="26"/>
      <c r="I534" s="26"/>
    </row>
    <row r="535" spans="1:9">
      <c r="A535" s="27"/>
      <c r="B535" s="78"/>
      <c r="C535" s="26"/>
      <c r="D535" s="26"/>
      <c r="E535" s="26"/>
      <c r="F535" s="26"/>
      <c r="G535" s="26"/>
      <c r="H535" s="26"/>
      <c r="I535" s="26"/>
    </row>
    <row r="536" spans="1:9">
      <c r="A536" s="27" t="s">
        <v>3984</v>
      </c>
      <c r="B536" s="78"/>
      <c r="C536" s="203" t="s">
        <v>2367</v>
      </c>
      <c r="D536" s="26"/>
      <c r="E536" s="171" t="s">
        <v>297</v>
      </c>
      <c r="F536" s="246">
        <v>615</v>
      </c>
      <c r="G536" s="26" t="s">
        <v>3478</v>
      </c>
      <c r="H536" s="26"/>
      <c r="I536" s="26"/>
    </row>
    <row r="537" spans="1:9">
      <c r="A537" s="27"/>
      <c r="B537" s="79" t="s">
        <v>2368</v>
      </c>
      <c r="C537" s="26"/>
      <c r="D537" s="26"/>
      <c r="E537" s="26"/>
      <c r="F537" s="26"/>
      <c r="G537" s="26"/>
      <c r="H537" s="26"/>
      <c r="I537" s="26"/>
    </row>
    <row r="538" spans="1:9">
      <c r="A538" s="27"/>
      <c r="B538" s="95" t="s">
        <v>2369</v>
      </c>
      <c r="C538" s="157" t="s">
        <v>4443</v>
      </c>
      <c r="D538" s="95" t="s">
        <v>2370</v>
      </c>
      <c r="E538" s="95" t="s">
        <v>1166</v>
      </c>
      <c r="F538" s="95" t="s">
        <v>2371</v>
      </c>
      <c r="G538" s="95" t="s">
        <v>2372</v>
      </c>
      <c r="H538" s="26"/>
      <c r="I538" s="26"/>
    </row>
    <row r="539" spans="1:9">
      <c r="A539" s="27"/>
      <c r="B539" s="114"/>
      <c r="C539" s="154"/>
      <c r="D539" s="114"/>
      <c r="E539" s="114"/>
      <c r="F539" s="114" t="s">
        <v>3485</v>
      </c>
      <c r="G539" s="114" t="s">
        <v>3485</v>
      </c>
      <c r="H539" s="26"/>
      <c r="I539" s="26"/>
    </row>
    <row r="540" spans="1:9">
      <c r="A540" s="27"/>
      <c r="B540" s="95">
        <v>1</v>
      </c>
      <c r="C540" s="135" t="s">
        <v>6812</v>
      </c>
      <c r="D540" s="95" t="s">
        <v>3478</v>
      </c>
      <c r="E540" s="190">
        <v>216.1</v>
      </c>
      <c r="F540" s="214">
        <f>'BASIC DATA'!$D$97/1000</f>
        <v>37.5</v>
      </c>
      <c r="G540" s="190">
        <f>E540*F540</f>
        <v>8103.75</v>
      </c>
      <c r="H540" s="26"/>
      <c r="I540" s="26"/>
    </row>
    <row r="541" spans="1:9">
      <c r="A541" s="27"/>
      <c r="B541" s="105">
        <v>2</v>
      </c>
      <c r="C541" s="135" t="s">
        <v>6813</v>
      </c>
      <c r="D541" s="105" t="s">
        <v>3478</v>
      </c>
      <c r="E541" s="190">
        <v>342.3</v>
      </c>
      <c r="F541" s="214">
        <f>'BASIC DATA'!$D$98/1000</f>
        <v>37.4</v>
      </c>
      <c r="G541" s="190">
        <f t="shared" ref="G541:G546" si="4">E541*F541</f>
        <v>12802.02</v>
      </c>
      <c r="H541" s="26"/>
      <c r="I541" s="26"/>
    </row>
    <row r="542" spans="1:9">
      <c r="A542" s="27"/>
      <c r="B542" s="105">
        <v>3</v>
      </c>
      <c r="C542" s="135" t="s">
        <v>6814</v>
      </c>
      <c r="D542" s="105" t="s">
        <v>3478</v>
      </c>
      <c r="E542" s="190">
        <v>56.6</v>
      </c>
      <c r="F542" s="214">
        <f>'BASIC DATA'!$D$91/1000</f>
        <v>34</v>
      </c>
      <c r="G542" s="190">
        <f t="shared" si="4"/>
        <v>1924.4</v>
      </c>
      <c r="H542" s="26"/>
      <c r="I542" s="26"/>
    </row>
    <row r="543" spans="1:9">
      <c r="A543" s="27"/>
      <c r="B543" s="105">
        <v>4</v>
      </c>
      <c r="C543" s="135" t="s">
        <v>6815</v>
      </c>
      <c r="D543" s="105" t="s">
        <v>3477</v>
      </c>
      <c r="E543" s="190">
        <v>0.5</v>
      </c>
      <c r="F543" s="214">
        <f>'BASIC DATA'!$D$28</f>
        <v>335</v>
      </c>
      <c r="G543" s="190">
        <f t="shared" si="4"/>
        <v>167.5</v>
      </c>
      <c r="H543" s="26"/>
      <c r="I543" s="26"/>
    </row>
    <row r="544" spans="1:9">
      <c r="A544" s="27"/>
      <c r="B544" s="105">
        <v>5</v>
      </c>
      <c r="C544" s="135" t="s">
        <v>958</v>
      </c>
      <c r="D544" s="105" t="s">
        <v>3477</v>
      </c>
      <c r="E544" s="190">
        <v>1.5</v>
      </c>
      <c r="F544" s="214">
        <f>'BASIC DATA'!$D$87</f>
        <v>42</v>
      </c>
      <c r="G544" s="190">
        <f t="shared" si="4"/>
        <v>63</v>
      </c>
      <c r="H544" s="26"/>
      <c r="I544" s="26"/>
    </row>
    <row r="545" spans="1:9">
      <c r="A545" s="27"/>
      <c r="B545" s="105">
        <v>6</v>
      </c>
      <c r="C545" s="135" t="s">
        <v>6816</v>
      </c>
      <c r="D545" s="105" t="s">
        <v>2059</v>
      </c>
      <c r="E545" s="190">
        <v>300</v>
      </c>
      <c r="F545" s="214">
        <f>'BASIC DATA'!$D$109</f>
        <v>80</v>
      </c>
      <c r="G545" s="190">
        <f t="shared" si="4"/>
        <v>24000</v>
      </c>
      <c r="H545" s="26"/>
      <c r="I545" s="26"/>
    </row>
    <row r="546" spans="1:9">
      <c r="A546" s="27"/>
      <c r="B546" s="114">
        <v>7</v>
      </c>
      <c r="C546" s="135" t="s">
        <v>2373</v>
      </c>
      <c r="D546" s="105" t="s">
        <v>2173</v>
      </c>
      <c r="E546" s="190">
        <v>5</v>
      </c>
      <c r="F546" s="214">
        <f>'BASIC DATA'!$D$359</f>
        <v>30</v>
      </c>
      <c r="G546" s="190">
        <f t="shared" si="4"/>
        <v>150</v>
      </c>
      <c r="H546" s="26"/>
      <c r="I546" s="26"/>
    </row>
    <row r="547" spans="1:9">
      <c r="A547" s="27"/>
      <c r="B547" s="92"/>
      <c r="C547" s="193" t="s">
        <v>2376</v>
      </c>
      <c r="D547" s="159"/>
      <c r="E547" s="238"/>
      <c r="F547" s="236" t="s">
        <v>1698</v>
      </c>
      <c r="G547" s="318">
        <f>SUM(G540:G546)</f>
        <v>47210.67</v>
      </c>
      <c r="H547" s="26"/>
      <c r="I547" s="26"/>
    </row>
    <row r="548" spans="1:9">
      <c r="A548" s="27"/>
      <c r="B548" s="78"/>
      <c r="C548" s="26"/>
      <c r="D548" s="26"/>
      <c r="E548" s="26"/>
      <c r="F548" s="26"/>
      <c r="G548" s="26"/>
      <c r="H548" s="26"/>
      <c r="I548" s="26"/>
    </row>
    <row r="549" spans="1:9">
      <c r="A549" s="27"/>
      <c r="B549" s="79" t="s">
        <v>2377</v>
      </c>
      <c r="C549" s="26"/>
      <c r="D549" s="26"/>
      <c r="E549" s="26"/>
      <c r="F549" s="26"/>
      <c r="G549" s="26"/>
      <c r="H549" s="26"/>
      <c r="I549" s="26"/>
    </row>
    <row r="550" spans="1:9">
      <c r="A550" s="27"/>
      <c r="B550" s="95" t="s">
        <v>2369</v>
      </c>
      <c r="C550" s="157" t="s">
        <v>2378</v>
      </c>
      <c r="D550" s="95" t="s">
        <v>2370</v>
      </c>
      <c r="E550" s="95" t="s">
        <v>1166</v>
      </c>
      <c r="F550" s="95" t="s">
        <v>2371</v>
      </c>
      <c r="G550" s="95" t="s">
        <v>2372</v>
      </c>
      <c r="H550" s="26"/>
      <c r="I550" s="26"/>
    </row>
    <row r="551" spans="1:9">
      <c r="A551" s="27"/>
      <c r="B551" s="114"/>
      <c r="C551" s="154"/>
      <c r="D551" s="114"/>
      <c r="E551" s="114"/>
      <c r="F551" s="114" t="s">
        <v>3485</v>
      </c>
      <c r="G551" s="114" t="s">
        <v>3485</v>
      </c>
      <c r="H551" s="26"/>
      <c r="I551" s="26"/>
    </row>
    <row r="552" spans="1:9">
      <c r="A552" s="27"/>
      <c r="B552" s="95">
        <v>1</v>
      </c>
      <c r="C552" s="135" t="s">
        <v>6911</v>
      </c>
      <c r="D552" s="95" t="s">
        <v>2374</v>
      </c>
      <c r="E552" s="190">
        <v>8</v>
      </c>
      <c r="F552" s="190">
        <f>'HIRE CHARGES'!$D$503</f>
        <v>42.6</v>
      </c>
      <c r="G552" s="190">
        <f>E552*F552</f>
        <v>340.8</v>
      </c>
      <c r="H552" s="26"/>
      <c r="I552" s="26"/>
    </row>
    <row r="553" spans="1:9">
      <c r="A553" s="27"/>
      <c r="B553" s="317"/>
      <c r="C553" s="135" t="s">
        <v>2379</v>
      </c>
      <c r="D553" s="105" t="s">
        <v>2374</v>
      </c>
      <c r="E553" s="190">
        <v>8</v>
      </c>
      <c r="F553" s="190">
        <f>'HIRE CHARGES'!$E$503</f>
        <v>84.1</v>
      </c>
      <c r="G553" s="190">
        <f>E553*F553</f>
        <v>672.8</v>
      </c>
      <c r="H553" s="26"/>
      <c r="I553" s="26"/>
    </row>
    <row r="554" spans="1:9">
      <c r="A554" s="27"/>
      <c r="B554" s="105">
        <v>2</v>
      </c>
      <c r="C554" s="135" t="s">
        <v>1338</v>
      </c>
      <c r="D554" s="105" t="s">
        <v>2374</v>
      </c>
      <c r="E554" s="190">
        <v>30</v>
      </c>
      <c r="F554" s="190">
        <f>'HIRE CHARGES'!$D$556</f>
        <v>16</v>
      </c>
      <c r="G554" s="190">
        <f>E554*F554</f>
        <v>480</v>
      </c>
      <c r="H554" s="26"/>
      <c r="I554" s="26"/>
    </row>
    <row r="555" spans="1:9">
      <c r="A555" s="27"/>
      <c r="B555" s="317"/>
      <c r="C555" s="135" t="s">
        <v>2379</v>
      </c>
      <c r="D555" s="105" t="s">
        <v>2374</v>
      </c>
      <c r="E555" s="190">
        <v>30</v>
      </c>
      <c r="F555" s="190">
        <f>'HIRE CHARGES'!$E$556</f>
        <v>67.2</v>
      </c>
      <c r="G555" s="190">
        <f>E555*F555</f>
        <v>2016</v>
      </c>
      <c r="H555" s="26"/>
      <c r="I555" s="26"/>
    </row>
    <row r="556" spans="1:9">
      <c r="A556" s="27"/>
      <c r="B556" s="105">
        <v>3</v>
      </c>
      <c r="C556" s="135" t="s">
        <v>2373</v>
      </c>
      <c r="D556" s="105" t="s">
        <v>2173</v>
      </c>
      <c r="E556" s="190">
        <v>10</v>
      </c>
      <c r="F556" s="214">
        <f>'BASIC DATA'!$D$359</f>
        <v>30</v>
      </c>
      <c r="G556" s="190">
        <f>E556*F556</f>
        <v>300</v>
      </c>
      <c r="H556" s="26"/>
      <c r="I556" s="26"/>
    </row>
    <row r="557" spans="1:9">
      <c r="A557" s="27"/>
      <c r="B557" s="176"/>
      <c r="C557" s="172" t="s">
        <v>2380</v>
      </c>
      <c r="D557" s="174"/>
      <c r="E557" s="192"/>
      <c r="F557" s="236" t="s">
        <v>1698</v>
      </c>
      <c r="G557" s="318">
        <f>SUM(G552:G556)</f>
        <v>3809.6</v>
      </c>
      <c r="H557" s="26"/>
      <c r="I557" s="26"/>
    </row>
    <row r="558" spans="1:9">
      <c r="A558" s="27"/>
      <c r="B558" s="78"/>
      <c r="C558" s="26"/>
      <c r="D558" s="26"/>
      <c r="E558" s="26"/>
      <c r="F558" s="26"/>
      <c r="G558" s="26"/>
      <c r="H558" s="26"/>
      <c r="I558" s="26"/>
    </row>
    <row r="559" spans="1:9">
      <c r="A559" s="27"/>
      <c r="B559" s="79" t="s">
        <v>2381</v>
      </c>
      <c r="C559" s="26"/>
      <c r="D559" s="26"/>
      <c r="E559" s="26"/>
      <c r="F559" s="26"/>
      <c r="G559" s="26"/>
      <c r="H559" s="26"/>
      <c r="I559" s="26"/>
    </row>
    <row r="560" spans="1:9">
      <c r="A560" s="27"/>
      <c r="B560" s="95" t="s">
        <v>2369</v>
      </c>
      <c r="C560" s="157" t="s">
        <v>2378</v>
      </c>
      <c r="D560" s="95" t="s">
        <v>2370</v>
      </c>
      <c r="E560" s="95" t="s">
        <v>1166</v>
      </c>
      <c r="F560" s="95" t="s">
        <v>2371</v>
      </c>
      <c r="G560" s="95" t="s">
        <v>2372</v>
      </c>
      <c r="H560" s="26"/>
      <c r="I560" s="26"/>
    </row>
    <row r="561" spans="1:9">
      <c r="A561" s="27"/>
      <c r="B561" s="114"/>
      <c r="C561" s="154"/>
      <c r="D561" s="114"/>
      <c r="E561" s="114"/>
      <c r="F561" s="114" t="s">
        <v>3485</v>
      </c>
      <c r="G561" s="114" t="s">
        <v>3485</v>
      </c>
      <c r="H561" s="26"/>
      <c r="I561" s="26"/>
    </row>
    <row r="562" spans="1:9">
      <c r="A562" s="27"/>
      <c r="B562" s="105">
        <v>1</v>
      </c>
      <c r="C562" s="76" t="s">
        <v>6817</v>
      </c>
      <c r="D562" s="105" t="s">
        <v>1172</v>
      </c>
      <c r="E562" s="207">
        <v>2</v>
      </c>
      <c r="F562" s="190">
        <f>'BASIC DATA'!$C$503</f>
        <v>550</v>
      </c>
      <c r="G562" s="190">
        <f>E562*F562</f>
        <v>1100</v>
      </c>
      <c r="H562" s="26"/>
      <c r="I562" s="26"/>
    </row>
    <row r="563" spans="1:9">
      <c r="A563" s="27"/>
      <c r="B563" s="105">
        <v>2</v>
      </c>
      <c r="C563" s="76" t="s">
        <v>5129</v>
      </c>
      <c r="D563" s="105" t="s">
        <v>1172</v>
      </c>
      <c r="E563" s="207">
        <v>5</v>
      </c>
      <c r="F563" s="190">
        <f>'BASIC DATA'!$C$504</f>
        <v>445</v>
      </c>
      <c r="G563" s="190">
        <f>E563*F563</f>
        <v>2225</v>
      </c>
      <c r="H563" s="26"/>
      <c r="I563" s="26"/>
    </row>
    <row r="564" spans="1:9">
      <c r="A564" s="27"/>
      <c r="B564" s="105">
        <v>3</v>
      </c>
      <c r="C564" s="76" t="s">
        <v>4206</v>
      </c>
      <c r="D564" s="105" t="s">
        <v>1172</v>
      </c>
      <c r="E564" s="207">
        <v>1</v>
      </c>
      <c r="F564" s="190">
        <f>'BASIC DATA'!$C$473</f>
        <v>450</v>
      </c>
      <c r="G564" s="190">
        <f>E564*F564</f>
        <v>450</v>
      </c>
      <c r="H564" s="26"/>
      <c r="I564" s="26"/>
    </row>
    <row r="565" spans="1:9">
      <c r="A565" s="27"/>
      <c r="B565" s="105">
        <v>4</v>
      </c>
      <c r="C565" s="76" t="s">
        <v>2697</v>
      </c>
      <c r="D565" s="105" t="s">
        <v>1172</v>
      </c>
      <c r="E565" s="207">
        <v>5</v>
      </c>
      <c r="F565" s="190">
        <f>'BASIC DATA'!$C$552</f>
        <v>350</v>
      </c>
      <c r="G565" s="190">
        <f>E565*F565</f>
        <v>1750</v>
      </c>
      <c r="H565" s="26"/>
      <c r="I565" s="26"/>
    </row>
    <row r="566" spans="1:9">
      <c r="A566" s="27"/>
      <c r="B566" s="92"/>
      <c r="C566" s="193" t="s">
        <v>1174</v>
      </c>
      <c r="D566" s="159"/>
      <c r="E566" s="238"/>
      <c r="F566" s="236" t="s">
        <v>1698</v>
      </c>
      <c r="G566" s="318">
        <f>SUM(G562:G565)</f>
        <v>5525</v>
      </c>
      <c r="H566" s="26"/>
      <c r="I566" s="26"/>
    </row>
    <row r="567" spans="1:9">
      <c r="A567" s="27"/>
      <c r="B567" s="60" t="s">
        <v>5948</v>
      </c>
      <c r="C567" s="31"/>
      <c r="D567" s="31"/>
      <c r="E567" s="85">
        <f>ROUND(G566/F536,1)</f>
        <v>9</v>
      </c>
      <c r="F567" s="26"/>
      <c r="G567" s="26"/>
      <c r="H567" s="26"/>
      <c r="I567" s="26"/>
    </row>
    <row r="568" spans="1:9">
      <c r="A568" s="27"/>
      <c r="B568" s="60" t="s">
        <v>3163</v>
      </c>
      <c r="C568" s="31"/>
      <c r="D568" s="31">
        <f>'BASIC DATA'!$C$577</f>
        <v>0.13614999999999999</v>
      </c>
      <c r="E568" s="85">
        <f>ROUND(E567*D568,1)</f>
        <v>1.2</v>
      </c>
      <c r="F568" s="26"/>
      <c r="G568" s="26"/>
      <c r="H568" s="26"/>
      <c r="I568" s="26"/>
    </row>
    <row r="569" spans="1:9">
      <c r="A569" s="27"/>
      <c r="B569" s="60" t="s">
        <v>5949</v>
      </c>
      <c r="C569" s="31"/>
      <c r="D569" s="31"/>
      <c r="E569" s="199">
        <f>ROUND(E568+E567,1)</f>
        <v>10.199999999999999</v>
      </c>
      <c r="F569" s="57"/>
      <c r="G569" s="26"/>
      <c r="H569" s="26"/>
      <c r="I569" s="26"/>
    </row>
    <row r="570" spans="1:9">
      <c r="A570" s="27"/>
      <c r="B570" s="78"/>
      <c r="C570" s="26"/>
      <c r="D570" s="26"/>
      <c r="E570" s="26"/>
      <c r="F570" s="26"/>
      <c r="G570" s="26"/>
      <c r="H570" s="26"/>
      <c r="I570" s="26"/>
    </row>
    <row r="571" spans="1:9">
      <c r="A571" s="27"/>
      <c r="B571" s="170" t="s">
        <v>1175</v>
      </c>
      <c r="C571" s="26"/>
      <c r="D571" s="26"/>
      <c r="E571" s="26"/>
      <c r="F571" s="26"/>
      <c r="G571" s="26"/>
      <c r="H571" s="26"/>
      <c r="I571" s="26"/>
    </row>
    <row r="572" spans="1:9">
      <c r="A572" s="27"/>
      <c r="B572" s="26" t="s">
        <v>1176</v>
      </c>
      <c r="C572" s="26"/>
      <c r="D572" s="26"/>
      <c r="E572" s="26"/>
      <c r="F572" s="171" t="s">
        <v>1698</v>
      </c>
      <c r="G572" s="68">
        <f>G547</f>
        <v>47210.67</v>
      </c>
      <c r="H572" s="26"/>
      <c r="I572" s="26"/>
    </row>
    <row r="573" spans="1:9">
      <c r="A573" s="27"/>
      <c r="B573" s="26" t="s">
        <v>1186</v>
      </c>
      <c r="C573" s="26"/>
      <c r="D573" s="26"/>
      <c r="E573" s="26"/>
      <c r="F573" s="171" t="s">
        <v>1698</v>
      </c>
      <c r="G573" s="68">
        <f>G557</f>
        <v>3809.6</v>
      </c>
      <c r="H573" s="26"/>
      <c r="I573" s="26"/>
    </row>
    <row r="574" spans="1:9">
      <c r="A574" s="27"/>
      <c r="B574" s="26" t="s">
        <v>2660</v>
      </c>
      <c r="C574" s="26"/>
      <c r="D574" s="26"/>
      <c r="E574" s="26"/>
      <c r="F574" s="171" t="s">
        <v>1698</v>
      </c>
      <c r="G574" s="75">
        <f>G566</f>
        <v>5525</v>
      </c>
      <c r="H574" s="26"/>
      <c r="I574" s="26"/>
    </row>
    <row r="575" spans="1:9">
      <c r="A575" s="27"/>
      <c r="B575" s="78"/>
      <c r="C575" s="26"/>
      <c r="D575" s="26"/>
      <c r="E575" s="171"/>
      <c r="F575" s="171" t="s">
        <v>302</v>
      </c>
      <c r="G575" s="205">
        <f>SUM(G572:G574)</f>
        <v>56545.27</v>
      </c>
      <c r="H575" s="26"/>
      <c r="I575" s="26"/>
    </row>
    <row r="576" spans="1:9">
      <c r="A576" s="27"/>
      <c r="B576" s="1206" t="s">
        <v>1379</v>
      </c>
      <c r="C576" s="1206"/>
      <c r="D576" s="26"/>
      <c r="E576" s="249">
        <f>'BASIC DATA'!$C$577</f>
        <v>0.13614999999999999</v>
      </c>
      <c r="F576" s="26" t="s">
        <v>1698</v>
      </c>
      <c r="G576" s="26">
        <f>ROUND(G575*E576,2)</f>
        <v>7698.64</v>
      </c>
      <c r="H576" s="26"/>
      <c r="I576" s="26"/>
    </row>
    <row r="577" spans="1:9">
      <c r="A577" s="27"/>
      <c r="B577" s="26" t="s">
        <v>1191</v>
      </c>
      <c r="C577" s="26"/>
      <c r="D577" s="68">
        <f>F536</f>
        <v>615</v>
      </c>
      <c r="E577" s="68" t="str">
        <f>G536</f>
        <v>kg</v>
      </c>
      <c r="F577" s="26" t="s">
        <v>1698</v>
      </c>
      <c r="G577" s="170">
        <f>G576+G575</f>
        <v>64243.909999999996</v>
      </c>
      <c r="H577" s="26"/>
      <c r="I577" s="26"/>
    </row>
    <row r="578" spans="1:9">
      <c r="A578" s="27"/>
      <c r="B578" s="170" t="s">
        <v>1584</v>
      </c>
      <c r="C578" s="211" t="str">
        <f>E577</f>
        <v>kg</v>
      </c>
      <c r="D578" s="26" t="s">
        <v>5899</v>
      </c>
      <c r="E578" s="26"/>
      <c r="F578" s="26" t="s">
        <v>4108</v>
      </c>
      <c r="G578" s="211">
        <f>ROUND(G577/D577,1)</f>
        <v>104.5</v>
      </c>
      <c r="H578" s="26"/>
      <c r="I578" s="26"/>
    </row>
    <row r="581" spans="1:9" ht="18.75">
      <c r="A581" s="78" t="s">
        <v>7542</v>
      </c>
      <c r="B581" s="26" t="s">
        <v>8793</v>
      </c>
      <c r="C581" s="26"/>
      <c r="D581" s="26"/>
      <c r="E581" s="26"/>
      <c r="F581" s="26"/>
      <c r="G581" s="26"/>
    </row>
    <row r="582" spans="1:9" ht="18.75">
      <c r="A582" s="78"/>
      <c r="B582" s="26" t="s">
        <v>8914</v>
      </c>
      <c r="C582" s="26"/>
      <c r="D582" s="26"/>
      <c r="E582" s="26"/>
      <c r="F582" s="26"/>
      <c r="G582" s="26"/>
    </row>
    <row r="583" spans="1:9">
      <c r="A583" s="78"/>
      <c r="B583" s="26" t="s">
        <v>7997</v>
      </c>
      <c r="C583" s="26"/>
      <c r="D583" s="26"/>
      <c r="E583" s="26"/>
      <c r="F583" s="26"/>
      <c r="G583" s="26"/>
    </row>
    <row r="584" spans="1:9">
      <c r="A584" s="78"/>
      <c r="B584" s="26" t="s">
        <v>6</v>
      </c>
      <c r="C584" s="26"/>
      <c r="D584" s="26"/>
      <c r="E584" s="26"/>
      <c r="F584" s="26"/>
      <c r="G584" s="26"/>
    </row>
    <row r="585" spans="1:9" ht="18.75">
      <c r="A585" s="78"/>
      <c r="B585" s="170" t="s">
        <v>8915</v>
      </c>
      <c r="C585" s="26"/>
      <c r="D585" s="26"/>
      <c r="E585" s="26"/>
      <c r="F585" s="26"/>
      <c r="G585" s="26"/>
    </row>
    <row r="586" spans="1:9">
      <c r="A586" s="78"/>
      <c r="B586" s="170" t="s">
        <v>7798</v>
      </c>
      <c r="C586" s="26"/>
      <c r="D586" s="26"/>
      <c r="E586" s="26"/>
      <c r="F586" s="26"/>
      <c r="G586" s="26"/>
    </row>
    <row r="587" spans="1:9">
      <c r="A587" s="62"/>
      <c r="B587" s="248" t="s">
        <v>4521</v>
      </c>
      <c r="C587" s="61"/>
      <c r="D587" s="61"/>
      <c r="E587" s="61"/>
      <c r="F587" s="61"/>
      <c r="G587" s="61"/>
    </row>
    <row r="588" spans="1:9">
      <c r="A588" s="78"/>
      <c r="B588" s="26"/>
      <c r="C588" s="26"/>
      <c r="D588" s="26"/>
      <c r="E588" s="26"/>
      <c r="F588" s="26"/>
      <c r="G588" s="26"/>
    </row>
    <row r="589" spans="1:9">
      <c r="A589" s="78"/>
      <c r="B589" s="26" t="s">
        <v>5004</v>
      </c>
      <c r="C589" s="26"/>
      <c r="D589" s="26"/>
      <c r="E589" s="26"/>
      <c r="F589" s="26"/>
      <c r="G589" s="26" t="s">
        <v>5005</v>
      </c>
    </row>
    <row r="590" spans="1:9">
      <c r="A590" s="78"/>
      <c r="B590" s="26" t="s">
        <v>5841</v>
      </c>
      <c r="C590" s="26"/>
      <c r="D590" s="26"/>
      <c r="E590" s="26"/>
      <c r="F590" s="26"/>
      <c r="G590" s="26"/>
    </row>
    <row r="591" spans="1:9">
      <c r="A591" s="78"/>
      <c r="B591" s="26" t="s">
        <v>5009</v>
      </c>
      <c r="C591" s="26"/>
      <c r="D591" s="26"/>
      <c r="E591" s="78" t="s">
        <v>6647</v>
      </c>
      <c r="F591" s="68">
        <v>1.2</v>
      </c>
      <c r="G591" s="26" t="s">
        <v>3479</v>
      </c>
    </row>
    <row r="592" spans="1:9">
      <c r="A592" s="78"/>
      <c r="B592" s="26" t="s">
        <v>5867</v>
      </c>
      <c r="C592" s="26"/>
      <c r="D592" s="26"/>
      <c r="E592" s="78" t="s">
        <v>1697</v>
      </c>
      <c r="F592" s="26">
        <v>33.909999999999997</v>
      </c>
      <c r="G592" s="26" t="s">
        <v>3478</v>
      </c>
    </row>
    <row r="593" spans="1:7">
      <c r="A593" s="78"/>
      <c r="B593" s="26" t="s">
        <v>4104</v>
      </c>
      <c r="C593" s="26"/>
      <c r="D593" s="26"/>
      <c r="E593" s="78" t="s">
        <v>1697</v>
      </c>
      <c r="F593" s="26">
        <v>25.08</v>
      </c>
      <c r="G593" s="26" t="s">
        <v>3478</v>
      </c>
    </row>
    <row r="594" spans="1:7">
      <c r="A594" s="78"/>
      <c r="B594" s="26" t="s">
        <v>4105</v>
      </c>
      <c r="C594" s="26"/>
      <c r="D594" s="26"/>
      <c r="E594" s="78" t="s">
        <v>1697</v>
      </c>
      <c r="F594" s="26">
        <v>4.2300000000000004</v>
      </c>
      <c r="G594" s="26" t="s">
        <v>3478</v>
      </c>
    </row>
    <row r="595" spans="1:7">
      <c r="A595" s="78"/>
      <c r="B595" s="26" t="s">
        <v>2065</v>
      </c>
      <c r="C595" s="26"/>
      <c r="D595" s="26"/>
      <c r="E595" s="78" t="s">
        <v>1697</v>
      </c>
      <c r="F595" s="26">
        <v>18.170000000000002</v>
      </c>
      <c r="G595" s="26" t="s">
        <v>3478</v>
      </c>
    </row>
    <row r="596" spans="1:7">
      <c r="A596" s="78"/>
      <c r="B596" s="26" t="s">
        <v>2066</v>
      </c>
      <c r="C596" s="26"/>
      <c r="D596" s="26"/>
      <c r="E596" s="78" t="s">
        <v>1697</v>
      </c>
      <c r="F596" s="26">
        <v>1.41</v>
      </c>
      <c r="G596" s="26" t="s">
        <v>3478</v>
      </c>
    </row>
    <row r="597" spans="1:7">
      <c r="A597" s="78"/>
      <c r="B597" s="26"/>
      <c r="C597" s="26"/>
      <c r="D597" s="26"/>
      <c r="E597" s="26"/>
      <c r="F597" s="26"/>
      <c r="G597" s="26"/>
    </row>
    <row r="598" spans="1:7">
      <c r="A598" s="78"/>
      <c r="B598" s="26" t="s">
        <v>2345</v>
      </c>
      <c r="C598" s="26"/>
      <c r="D598" s="117">
        <f>'BASIC DATA'!$D$98/1000</f>
        <v>37.4</v>
      </c>
      <c r="E598" s="26" t="s">
        <v>1513</v>
      </c>
      <c r="F598" s="171" t="s">
        <v>1698</v>
      </c>
      <c r="G598" s="68">
        <f>D598*33.91</f>
        <v>1268.2339999999999</v>
      </c>
    </row>
    <row r="599" spans="1:7">
      <c r="A599" s="78"/>
      <c r="B599" s="26" t="s">
        <v>3229</v>
      </c>
      <c r="C599" s="26"/>
      <c r="D599" s="117">
        <f>'BASIC DATA'!$D$97/1000</f>
        <v>37.5</v>
      </c>
      <c r="E599" s="26" t="s">
        <v>1513</v>
      </c>
      <c r="F599" s="171" t="s">
        <v>1698</v>
      </c>
      <c r="G599" s="68">
        <f>D599*25.08</f>
        <v>940.49999999999989</v>
      </c>
    </row>
    <row r="600" spans="1:7">
      <c r="A600" s="78"/>
      <c r="B600" s="26" t="s">
        <v>4070</v>
      </c>
      <c r="C600" s="26"/>
      <c r="D600" s="117">
        <f>'BASIC DATA'!$D$97/1000</f>
        <v>37.5</v>
      </c>
      <c r="E600" s="26" t="s">
        <v>1513</v>
      </c>
      <c r="F600" s="171" t="s">
        <v>1698</v>
      </c>
      <c r="G600" s="68">
        <f>D600*4.23</f>
        <v>158.62500000000003</v>
      </c>
    </row>
    <row r="601" spans="1:7">
      <c r="A601" s="78"/>
      <c r="B601" s="26" t="s">
        <v>1524</v>
      </c>
      <c r="C601" s="26"/>
      <c r="D601" s="117">
        <f>'BASIC DATA'!$D$97/1000</f>
        <v>37.5</v>
      </c>
      <c r="E601" s="26" t="s">
        <v>1513</v>
      </c>
      <c r="F601" s="171" t="s">
        <v>1698</v>
      </c>
      <c r="G601" s="68">
        <f>D601*18.17</f>
        <v>681.37500000000011</v>
      </c>
    </row>
    <row r="602" spans="1:7">
      <c r="A602" s="78"/>
      <c r="B602" s="26" t="s">
        <v>1525</v>
      </c>
      <c r="C602" s="26"/>
      <c r="D602" s="117">
        <f>'BASIC DATA'!$D$98/1000</f>
        <v>37.4</v>
      </c>
      <c r="E602" s="26" t="s">
        <v>1513</v>
      </c>
      <c r="F602" s="171" t="s">
        <v>1698</v>
      </c>
      <c r="G602" s="173">
        <f>D602*1.41</f>
        <v>52.733999999999995</v>
      </c>
    </row>
    <row r="603" spans="1:7">
      <c r="A603" s="78"/>
      <c r="B603" s="26"/>
      <c r="C603" s="26"/>
      <c r="D603" s="26"/>
      <c r="E603" s="171" t="s">
        <v>1518</v>
      </c>
      <c r="F603" s="171" t="s">
        <v>1698</v>
      </c>
      <c r="G603" s="68">
        <f>SUM(G598:G602)</f>
        <v>3101.4679999999998</v>
      </c>
    </row>
    <row r="604" spans="1:7">
      <c r="A604" s="78"/>
      <c r="B604" s="26" t="s">
        <v>5156</v>
      </c>
      <c r="C604" s="26"/>
      <c r="D604" s="249">
        <v>2.5000000000000001E-2</v>
      </c>
      <c r="E604" s="171"/>
      <c r="F604" s="171" t="s">
        <v>1698</v>
      </c>
      <c r="G604" s="68">
        <f>G603*D604</f>
        <v>77.536699999999996</v>
      </c>
    </row>
    <row r="605" spans="1:7">
      <c r="A605" s="78"/>
      <c r="B605" s="26" t="s">
        <v>1526</v>
      </c>
      <c r="C605" s="26"/>
      <c r="D605" s="117">
        <f>'BASIC DATA'!$D$84</f>
        <v>80</v>
      </c>
      <c r="E605" s="27" t="s">
        <v>1513</v>
      </c>
      <c r="F605" s="171" t="s">
        <v>1698</v>
      </c>
      <c r="G605" s="68">
        <f>D605*0.5</f>
        <v>40</v>
      </c>
    </row>
    <row r="606" spans="1:7">
      <c r="A606" s="78"/>
      <c r="B606" s="26" t="s">
        <v>4595</v>
      </c>
      <c r="C606" s="26"/>
      <c r="D606" s="117">
        <f>'BASIC DATA'!$D$358</f>
        <v>24</v>
      </c>
      <c r="E606" s="27" t="s">
        <v>1513</v>
      </c>
      <c r="F606" s="171" t="s">
        <v>1698</v>
      </c>
      <c r="G606" s="173">
        <f>D606*82.8</f>
        <v>1987.1999999999998</v>
      </c>
    </row>
    <row r="607" spans="1:7">
      <c r="A607" s="78"/>
      <c r="B607" s="26"/>
      <c r="C607" s="26"/>
      <c r="D607" s="26"/>
      <c r="E607" s="171" t="s">
        <v>1518</v>
      </c>
      <c r="F607" s="171" t="s">
        <v>1698</v>
      </c>
      <c r="G607" s="68">
        <f>SUM(G603:G606)</f>
        <v>5206.2047000000002</v>
      </c>
    </row>
    <row r="608" spans="1:7">
      <c r="A608" s="78"/>
      <c r="B608" s="26" t="s">
        <v>2711</v>
      </c>
      <c r="C608" s="26"/>
      <c r="D608" s="201">
        <f>'BASIC DATA'!$C$592</f>
        <v>0.1</v>
      </c>
      <c r="E608" s="171"/>
      <c r="F608" s="171" t="s">
        <v>1698</v>
      </c>
      <c r="G608" s="173">
        <f>G607*D608</f>
        <v>520.62047000000007</v>
      </c>
    </row>
    <row r="609" spans="1:7">
      <c r="A609" s="78"/>
      <c r="B609" s="26"/>
      <c r="C609" s="26"/>
      <c r="D609" s="26"/>
      <c r="E609" s="171" t="s">
        <v>1518</v>
      </c>
      <c r="F609" s="171" t="s">
        <v>1698</v>
      </c>
      <c r="G609" s="68">
        <f>G607-G608</f>
        <v>4685.5842300000004</v>
      </c>
    </row>
    <row r="610" spans="1:7">
      <c r="A610" s="78"/>
      <c r="B610" s="26" t="s">
        <v>1527</v>
      </c>
      <c r="C610" s="26"/>
      <c r="D610" s="26"/>
      <c r="E610" s="171"/>
      <c r="F610" s="171"/>
      <c r="G610" s="68"/>
    </row>
    <row r="611" spans="1:7">
      <c r="A611" s="78"/>
      <c r="B611" s="26" t="s">
        <v>5157</v>
      </c>
      <c r="C611" s="26"/>
      <c r="D611" s="26">
        <v>40</v>
      </c>
      <c r="E611" s="171" t="s">
        <v>4614</v>
      </c>
      <c r="F611" s="171" t="s">
        <v>1698</v>
      </c>
      <c r="G611" s="68">
        <f>G609/D611</f>
        <v>117.13960575000002</v>
      </c>
    </row>
    <row r="612" spans="1:7">
      <c r="A612" s="78"/>
      <c r="B612" s="26" t="s">
        <v>2709</v>
      </c>
      <c r="C612" s="26"/>
      <c r="D612" s="201">
        <f>'BASIC DATA'!$C$587</f>
        <v>0.15</v>
      </c>
      <c r="E612" s="171"/>
      <c r="F612" s="171" t="s">
        <v>1698</v>
      </c>
      <c r="G612" s="68">
        <f>G611*D612</f>
        <v>17.570940862500002</v>
      </c>
    </row>
    <row r="613" spans="1:7">
      <c r="A613" s="78"/>
      <c r="B613" s="26" t="s">
        <v>5143</v>
      </c>
      <c r="C613" s="26"/>
      <c r="D613" s="201">
        <f>'BASIC DATA'!$C$588</f>
        <v>0.05</v>
      </c>
      <c r="E613" s="171"/>
      <c r="F613" s="171" t="s">
        <v>1698</v>
      </c>
      <c r="G613" s="68">
        <f>G611*D613</f>
        <v>5.8569802875000008</v>
      </c>
    </row>
    <row r="614" spans="1:7">
      <c r="A614" s="78"/>
      <c r="B614" s="26" t="s">
        <v>1528</v>
      </c>
      <c r="C614" s="26"/>
      <c r="D614" s="117">
        <f>'BASIC DATA'!$D$75</f>
        <v>37</v>
      </c>
      <c r="E614" s="171"/>
      <c r="F614" s="171" t="s">
        <v>1698</v>
      </c>
      <c r="G614" s="68">
        <f>D614*2</f>
        <v>74</v>
      </c>
    </row>
    <row r="615" spans="1:7">
      <c r="A615" s="78"/>
      <c r="B615" s="26" t="s">
        <v>740</v>
      </c>
      <c r="C615" s="26"/>
      <c r="D615" s="117">
        <f>'BASIC DATA'!$D$357</f>
        <v>50</v>
      </c>
      <c r="E615" s="171"/>
      <c r="F615" s="171" t="s">
        <v>1698</v>
      </c>
      <c r="G615" s="173">
        <f>D615*0.2</f>
        <v>10</v>
      </c>
    </row>
    <row r="616" spans="1:7">
      <c r="A616" s="78"/>
      <c r="B616" s="26"/>
      <c r="C616" s="26"/>
      <c r="D616" s="26"/>
      <c r="E616" s="171" t="s">
        <v>1518</v>
      </c>
      <c r="F616" s="171" t="s">
        <v>1698</v>
      </c>
      <c r="G616" s="68">
        <f>SUM(G611:G615)</f>
        <v>224.56752690000002</v>
      </c>
    </row>
    <row r="617" spans="1:7">
      <c r="A617" s="78"/>
      <c r="B617" s="26" t="s">
        <v>741</v>
      </c>
      <c r="C617" s="26"/>
      <c r="D617" s="26"/>
      <c r="E617" s="171" t="s">
        <v>1697</v>
      </c>
      <c r="F617" s="68">
        <v>1</v>
      </c>
      <c r="G617" s="26" t="s">
        <v>3479</v>
      </c>
    </row>
    <row r="618" spans="1:7">
      <c r="A618" s="78"/>
      <c r="B618" s="26" t="s">
        <v>3669</v>
      </c>
      <c r="C618" s="26"/>
      <c r="D618" s="26"/>
      <c r="E618" s="26"/>
      <c r="F618" s="171" t="s">
        <v>1698</v>
      </c>
      <c r="G618" s="68">
        <f>G616</f>
        <v>224.56752690000002</v>
      </c>
    </row>
    <row r="619" spans="1:7">
      <c r="A619" s="78"/>
      <c r="B619" s="26" t="s">
        <v>3670</v>
      </c>
      <c r="C619" s="26"/>
      <c r="D619" s="26"/>
      <c r="E619" s="26"/>
      <c r="F619" s="171"/>
      <c r="G619" s="26"/>
    </row>
    <row r="620" spans="1:7">
      <c r="A620" s="78"/>
      <c r="B620" s="26"/>
      <c r="C620" s="26"/>
      <c r="D620" s="26"/>
      <c r="E620" s="26"/>
      <c r="F620" s="171"/>
      <c r="G620" s="26"/>
    </row>
    <row r="621" spans="1:7">
      <c r="A621" s="78"/>
      <c r="B621" s="26" t="s">
        <v>5157</v>
      </c>
      <c r="C621" s="26"/>
      <c r="D621" s="26">
        <v>30</v>
      </c>
      <c r="E621" s="171" t="s">
        <v>4614</v>
      </c>
      <c r="F621" s="171" t="s">
        <v>1698</v>
      </c>
      <c r="G621" s="68">
        <f>G609/D621</f>
        <v>156.18614100000002</v>
      </c>
    </row>
    <row r="622" spans="1:7">
      <c r="A622" s="78"/>
      <c r="B622" s="26" t="s">
        <v>4596</v>
      </c>
      <c r="C622" s="26"/>
      <c r="D622" s="201">
        <f>'BASIC DATA'!$C$587</f>
        <v>0.15</v>
      </c>
      <c r="E622" s="171"/>
      <c r="F622" s="171" t="s">
        <v>1698</v>
      </c>
      <c r="G622" s="68">
        <f>$G$621*D622</f>
        <v>23.427921150000003</v>
      </c>
    </row>
    <row r="623" spans="1:7">
      <c r="A623" s="78"/>
      <c r="B623" s="26" t="s">
        <v>4597</v>
      </c>
      <c r="C623" s="26"/>
      <c r="D623" s="201">
        <f>'BASIC DATA'!$C$588</f>
        <v>0.05</v>
      </c>
      <c r="E623" s="171"/>
      <c r="F623" s="171" t="s">
        <v>1698</v>
      </c>
      <c r="G623" s="68">
        <f>$G$621*D623</f>
        <v>7.809307050000001</v>
      </c>
    </row>
    <row r="624" spans="1:7">
      <c r="A624" s="78"/>
      <c r="B624" s="26" t="s">
        <v>1528</v>
      </c>
      <c r="C624" s="26"/>
      <c r="D624" s="117">
        <f>'BASIC DATA'!$D$75</f>
        <v>37</v>
      </c>
      <c r="E624" s="26"/>
      <c r="F624" s="171" t="s">
        <v>1698</v>
      </c>
      <c r="G624" s="68">
        <f>D624*2</f>
        <v>74</v>
      </c>
    </row>
    <row r="625" spans="1:7">
      <c r="A625" s="78"/>
      <c r="B625" s="26" t="s">
        <v>742</v>
      </c>
      <c r="C625" s="26"/>
      <c r="D625" s="117">
        <f>'BASIC DATA'!$D$357</f>
        <v>50</v>
      </c>
      <c r="E625" s="26"/>
      <c r="F625" s="171" t="s">
        <v>1698</v>
      </c>
      <c r="G625" s="173">
        <f>D625*0.2</f>
        <v>10</v>
      </c>
    </row>
    <row r="626" spans="1:7">
      <c r="A626" s="78"/>
      <c r="B626" s="26"/>
      <c r="C626" s="26"/>
      <c r="D626" s="26"/>
      <c r="E626" s="171" t="s">
        <v>1518</v>
      </c>
      <c r="F626" s="171" t="s">
        <v>1698</v>
      </c>
      <c r="G626" s="68">
        <f>SUM(G621:G625)</f>
        <v>271.42336920000002</v>
      </c>
    </row>
    <row r="627" spans="1:7">
      <c r="A627" s="78"/>
      <c r="B627" s="26" t="s">
        <v>741</v>
      </c>
      <c r="C627" s="26"/>
      <c r="D627" s="26"/>
      <c r="E627" s="171" t="s">
        <v>1697</v>
      </c>
      <c r="F627" s="68">
        <v>1</v>
      </c>
      <c r="G627" s="26" t="s">
        <v>3479</v>
      </c>
    </row>
    <row r="628" spans="1:7">
      <c r="A628" s="78"/>
      <c r="B628" s="26" t="s">
        <v>3669</v>
      </c>
      <c r="C628" s="26"/>
      <c r="D628" s="26"/>
      <c r="E628" s="26"/>
      <c r="F628" s="171" t="s">
        <v>1698</v>
      </c>
      <c r="G628" s="68">
        <f>G626</f>
        <v>271.42336920000002</v>
      </c>
    </row>
    <row r="629" spans="1:7">
      <c r="A629" s="78"/>
      <c r="B629" s="26" t="s">
        <v>3670</v>
      </c>
      <c r="C629" s="26"/>
      <c r="D629" s="26"/>
      <c r="E629" s="26"/>
      <c r="F629" s="171"/>
      <c r="G629" s="26"/>
    </row>
    <row r="630" spans="1:7">
      <c r="A630" s="78"/>
      <c r="B630" s="26"/>
      <c r="C630" s="26"/>
      <c r="D630" s="26"/>
      <c r="E630" s="26"/>
      <c r="F630" s="171"/>
      <c r="G630" s="26"/>
    </row>
    <row r="631" spans="1:7">
      <c r="A631" s="78"/>
      <c r="B631" s="26" t="s">
        <v>3671</v>
      </c>
      <c r="C631" s="26"/>
      <c r="D631" s="26"/>
      <c r="E631" s="26"/>
      <c r="F631" s="171"/>
      <c r="G631" s="26"/>
    </row>
    <row r="632" spans="1:7">
      <c r="A632" s="78"/>
      <c r="B632" s="26" t="s">
        <v>2849</v>
      </c>
      <c r="C632" s="26"/>
      <c r="D632" s="26"/>
      <c r="E632" s="26"/>
      <c r="F632" s="171"/>
      <c r="G632" s="26"/>
    </row>
    <row r="633" spans="1:7">
      <c r="A633" s="78"/>
      <c r="B633" s="26" t="s">
        <v>229</v>
      </c>
      <c r="C633" s="26"/>
      <c r="D633" s="26"/>
      <c r="E633" s="26"/>
      <c r="F633" s="171"/>
      <c r="G633" s="26"/>
    </row>
    <row r="634" spans="1:7">
      <c r="A634" s="78"/>
      <c r="B634" s="26" t="s">
        <v>230</v>
      </c>
      <c r="C634" s="26"/>
      <c r="D634" s="26"/>
      <c r="E634" s="171" t="s">
        <v>1697</v>
      </c>
      <c r="F634" s="26">
        <v>100</v>
      </c>
      <c r="G634" s="26" t="s">
        <v>3479</v>
      </c>
    </row>
    <row r="635" spans="1:7">
      <c r="A635" s="78"/>
      <c r="B635" s="26" t="s">
        <v>2671</v>
      </c>
      <c r="C635" s="26"/>
      <c r="D635" s="26"/>
      <c r="E635" s="26"/>
      <c r="F635" s="171"/>
      <c r="G635" s="26"/>
    </row>
    <row r="636" spans="1:7">
      <c r="A636" s="78"/>
      <c r="B636" s="26" t="s">
        <v>1895</v>
      </c>
      <c r="C636" s="26"/>
      <c r="D636" s="117">
        <f>'BASIC DATA'!$C$515</f>
        <v>400</v>
      </c>
      <c r="E636" s="26" t="s">
        <v>2950</v>
      </c>
      <c r="F636" s="171" t="s">
        <v>1698</v>
      </c>
      <c r="G636" s="26">
        <f>D636*4</f>
        <v>1600</v>
      </c>
    </row>
    <row r="637" spans="1:7">
      <c r="A637" s="78"/>
      <c r="B637" s="26" t="s">
        <v>4755</v>
      </c>
      <c r="C637" s="26"/>
      <c r="D637" s="117">
        <f>'BASIC DATA'!$C$510</f>
        <v>400</v>
      </c>
      <c r="E637" s="26" t="s">
        <v>2950</v>
      </c>
      <c r="F637" s="171" t="s">
        <v>1698</v>
      </c>
      <c r="G637" s="26">
        <f>D637*2</f>
        <v>800</v>
      </c>
    </row>
    <row r="638" spans="1:7">
      <c r="A638" s="78"/>
      <c r="B638" s="26" t="s">
        <v>6648</v>
      </c>
      <c r="C638" s="26"/>
      <c r="D638" s="117">
        <f>'BASIC DATA'!$C$552</f>
        <v>350</v>
      </c>
      <c r="E638" s="26" t="s">
        <v>2950</v>
      </c>
      <c r="F638" s="171" t="s">
        <v>1698</v>
      </c>
      <c r="G638" s="26">
        <f>D638*10</f>
        <v>3500</v>
      </c>
    </row>
    <row r="639" spans="1:7">
      <c r="A639" s="78"/>
      <c r="B639" s="26" t="s">
        <v>4756</v>
      </c>
      <c r="C639" s="26"/>
      <c r="D639" s="117"/>
      <c r="E639" s="26"/>
      <c r="F639" s="171"/>
      <c r="G639" s="26"/>
    </row>
    <row r="640" spans="1:7">
      <c r="A640" s="78"/>
      <c r="B640" s="26" t="s">
        <v>1896</v>
      </c>
      <c r="C640" s="26"/>
      <c r="D640" s="117">
        <f>'BASIC DATA'!$C$515</f>
        <v>400</v>
      </c>
      <c r="E640" s="26" t="s">
        <v>2950</v>
      </c>
      <c r="F640" s="171" t="s">
        <v>1698</v>
      </c>
      <c r="G640" s="26">
        <f>D640*2</f>
        <v>800</v>
      </c>
    </row>
    <row r="641" spans="1:7">
      <c r="A641" s="78"/>
      <c r="B641" s="26" t="s">
        <v>1897</v>
      </c>
      <c r="C641" s="26"/>
      <c r="D641" s="117">
        <f>'BASIC DATA'!$C$510</f>
        <v>400</v>
      </c>
      <c r="E641" s="26" t="s">
        <v>2950</v>
      </c>
      <c r="F641" s="171" t="s">
        <v>1698</v>
      </c>
      <c r="G641" s="26">
        <f>D641*1</f>
        <v>400</v>
      </c>
    </row>
    <row r="642" spans="1:7">
      <c r="A642" s="78"/>
      <c r="B642" s="26" t="s">
        <v>3719</v>
      </c>
      <c r="C642" s="26"/>
      <c r="D642" s="117">
        <f>'BASIC DATA'!$C$552</f>
        <v>350</v>
      </c>
      <c r="E642" s="26" t="s">
        <v>2950</v>
      </c>
      <c r="F642" s="171" t="s">
        <v>1698</v>
      </c>
      <c r="G642" s="174">
        <f>D642*5</f>
        <v>1750</v>
      </c>
    </row>
    <row r="643" spans="1:7">
      <c r="A643" s="78"/>
      <c r="B643" s="26"/>
      <c r="C643" s="26"/>
      <c r="D643" s="26"/>
      <c r="E643" s="171" t="s">
        <v>1518</v>
      </c>
      <c r="F643" s="171" t="s">
        <v>1698</v>
      </c>
      <c r="G643" s="26">
        <f>SUM(G636:G642)</f>
        <v>8850</v>
      </c>
    </row>
    <row r="644" spans="1:7">
      <c r="A644" s="78"/>
      <c r="B644" s="26" t="s">
        <v>2840</v>
      </c>
      <c r="C644" s="26"/>
      <c r="D644" s="26"/>
      <c r="E644" s="26"/>
      <c r="F644" s="171" t="s">
        <v>1698</v>
      </c>
      <c r="G644" s="68">
        <f>G643/F634</f>
        <v>88.5</v>
      </c>
    </row>
    <row r="645" spans="1:7">
      <c r="A645" s="78"/>
      <c r="B645" s="26" t="s">
        <v>2841</v>
      </c>
      <c r="C645" s="26"/>
      <c r="D645" s="26"/>
      <c r="E645" s="26"/>
      <c r="F645" s="26"/>
      <c r="G645" s="26"/>
    </row>
    <row r="646" spans="1:7">
      <c r="A646" s="78"/>
      <c r="B646" s="26"/>
      <c r="C646" s="26"/>
      <c r="D646" s="26"/>
      <c r="E646" s="26"/>
      <c r="F646" s="26"/>
      <c r="G646" s="26"/>
    </row>
    <row r="647" spans="1:7">
      <c r="A647" s="78" t="s">
        <v>1907</v>
      </c>
      <c r="B647" s="26" t="s">
        <v>5780</v>
      </c>
      <c r="C647" s="26"/>
      <c r="D647" s="26"/>
      <c r="E647" s="26"/>
      <c r="F647" s="26"/>
      <c r="G647" s="26"/>
    </row>
    <row r="648" spans="1:7">
      <c r="A648" s="78"/>
      <c r="B648" s="26" t="s">
        <v>2842</v>
      </c>
      <c r="C648" s="26"/>
      <c r="D648" s="26"/>
      <c r="E648" s="26"/>
      <c r="F648" s="26"/>
      <c r="G648" s="26"/>
    </row>
    <row r="649" spans="1:7">
      <c r="A649" s="78"/>
      <c r="B649" s="26" t="s">
        <v>7799</v>
      </c>
      <c r="C649" s="26"/>
      <c r="D649" s="26"/>
      <c r="E649" s="26"/>
      <c r="F649" s="26"/>
      <c r="G649" s="26"/>
    </row>
    <row r="650" spans="1:7">
      <c r="A650" s="78"/>
      <c r="B650" s="26" t="s">
        <v>7800</v>
      </c>
      <c r="C650" s="26"/>
      <c r="D650" s="26">
        <f>ROUND(50*10*8/260,2)</f>
        <v>15.38</v>
      </c>
      <c r="E650" s="26" t="s">
        <v>3760</v>
      </c>
      <c r="F650" s="26"/>
      <c r="G650" s="26"/>
    </row>
    <row r="651" spans="1:7">
      <c r="A651" s="78"/>
      <c r="B651" s="26" t="s">
        <v>2843</v>
      </c>
      <c r="C651" s="26"/>
      <c r="D651" s="26"/>
      <c r="E651" s="26"/>
      <c r="F651" s="26"/>
      <c r="G651" s="26"/>
    </row>
    <row r="652" spans="1:7">
      <c r="A652" s="78"/>
      <c r="B652" s="26" t="s">
        <v>628</v>
      </c>
      <c r="C652" s="26"/>
      <c r="D652" s="26"/>
      <c r="E652" s="26"/>
      <c r="F652" s="26"/>
      <c r="G652" s="26"/>
    </row>
    <row r="653" spans="1:7">
      <c r="A653" s="78"/>
      <c r="B653" s="26" t="s">
        <v>629</v>
      </c>
      <c r="C653" s="26"/>
      <c r="D653" s="26"/>
      <c r="E653" s="171" t="s">
        <v>2844</v>
      </c>
      <c r="F653" s="68">
        <f>G618</f>
        <v>224.56752690000002</v>
      </c>
      <c r="G653" s="26" t="s">
        <v>1168</v>
      </c>
    </row>
    <row r="654" spans="1:7">
      <c r="A654" s="78"/>
      <c r="B654" s="26" t="s">
        <v>630</v>
      </c>
      <c r="C654" s="26"/>
      <c r="D654" s="26"/>
      <c r="E654" s="26"/>
      <c r="F654" s="26" t="s">
        <v>631</v>
      </c>
      <c r="G654" s="26"/>
    </row>
    <row r="655" spans="1:7">
      <c r="A655" s="78"/>
      <c r="B655" s="26" t="s">
        <v>632</v>
      </c>
      <c r="C655" s="26"/>
      <c r="D655" s="26"/>
      <c r="E655" s="171" t="s">
        <v>2844</v>
      </c>
      <c r="F655" s="68">
        <f>G644</f>
        <v>88.5</v>
      </c>
      <c r="G655" s="26" t="s">
        <v>1168</v>
      </c>
    </row>
    <row r="656" spans="1:7">
      <c r="A656" s="78"/>
      <c r="B656" s="26" t="s">
        <v>7616</v>
      </c>
      <c r="C656" s="26"/>
      <c r="D656" s="26"/>
      <c r="E656" s="26" t="s">
        <v>7209</v>
      </c>
      <c r="F656" s="27"/>
      <c r="G656" s="26"/>
    </row>
    <row r="657" spans="1:7">
      <c r="A657" s="78"/>
      <c r="B657" s="26" t="s">
        <v>7210</v>
      </c>
      <c r="C657" s="26"/>
      <c r="D657" s="26"/>
      <c r="E657" s="26"/>
      <c r="F657" s="26"/>
      <c r="G657" s="26"/>
    </row>
    <row r="658" spans="1:7">
      <c r="A658" s="78"/>
      <c r="B658" s="26" t="s">
        <v>2389</v>
      </c>
      <c r="C658" s="26"/>
      <c r="D658" s="26"/>
      <c r="E658" s="78" t="s">
        <v>1697</v>
      </c>
      <c r="F658" s="26">
        <v>1</v>
      </c>
      <c r="G658" s="26" t="s">
        <v>4041</v>
      </c>
    </row>
    <row r="659" spans="1:7">
      <c r="A659" s="78"/>
      <c r="B659" s="26" t="s">
        <v>637</v>
      </c>
      <c r="C659" s="26"/>
      <c r="D659" s="26"/>
      <c r="E659" s="78"/>
      <c r="F659" s="26"/>
      <c r="G659" s="26"/>
    </row>
    <row r="660" spans="1:7">
      <c r="A660" s="78"/>
      <c r="B660" s="26" t="s">
        <v>2826</v>
      </c>
      <c r="C660" s="26"/>
      <c r="D660" s="26"/>
      <c r="E660" s="78" t="s">
        <v>1697</v>
      </c>
      <c r="F660" s="26">
        <v>2</v>
      </c>
      <c r="G660" s="26" t="s">
        <v>4041</v>
      </c>
    </row>
    <row r="661" spans="1:7">
      <c r="A661" s="78"/>
      <c r="B661" s="26" t="s">
        <v>891</v>
      </c>
      <c r="C661" s="26"/>
      <c r="D661" s="26"/>
      <c r="E661" s="78" t="s">
        <v>1697</v>
      </c>
      <c r="F661" s="26">
        <v>3</v>
      </c>
      <c r="G661" s="26" t="s">
        <v>4041</v>
      </c>
    </row>
    <row r="662" spans="1:7">
      <c r="A662" s="78"/>
      <c r="B662" s="26" t="s">
        <v>1593</v>
      </c>
      <c r="C662" s="26"/>
      <c r="D662" s="26"/>
      <c r="E662" s="78" t="s">
        <v>1697</v>
      </c>
      <c r="F662" s="26">
        <v>3</v>
      </c>
      <c r="G662" s="26" t="s">
        <v>4041</v>
      </c>
    </row>
    <row r="663" spans="1:7">
      <c r="A663" s="78"/>
      <c r="B663" s="26" t="s">
        <v>1594</v>
      </c>
      <c r="C663" s="26"/>
      <c r="D663" s="26"/>
      <c r="E663" s="78" t="s">
        <v>1697</v>
      </c>
      <c r="F663" s="26">
        <v>3</v>
      </c>
      <c r="G663" s="26" t="s">
        <v>4041</v>
      </c>
    </row>
    <row r="664" spans="1:7">
      <c r="A664" s="78"/>
      <c r="B664" s="26" t="s">
        <v>1595</v>
      </c>
      <c r="C664" s="26"/>
      <c r="D664" s="26"/>
      <c r="E664" s="78" t="s">
        <v>1697</v>
      </c>
      <c r="F664" s="26">
        <v>2</v>
      </c>
      <c r="G664" s="26" t="s">
        <v>4041</v>
      </c>
    </row>
    <row r="665" spans="1:7">
      <c r="A665" s="78"/>
      <c r="B665" s="26" t="s">
        <v>2093</v>
      </c>
      <c r="C665" s="26"/>
      <c r="D665" s="26"/>
      <c r="E665" s="78" t="s">
        <v>1697</v>
      </c>
      <c r="F665" s="26">
        <v>2</v>
      </c>
      <c r="G665" s="26" t="s">
        <v>4041</v>
      </c>
    </row>
    <row r="666" spans="1:7">
      <c r="A666" s="78"/>
      <c r="B666" s="26" t="s">
        <v>7211</v>
      </c>
      <c r="C666" s="26"/>
      <c r="D666" s="26"/>
      <c r="E666" s="78" t="s">
        <v>1697</v>
      </c>
      <c r="F666" s="26">
        <v>2</v>
      </c>
      <c r="G666" s="26" t="s">
        <v>4041</v>
      </c>
    </row>
    <row r="667" spans="1:7">
      <c r="A667" s="78"/>
      <c r="B667" s="26" t="s">
        <v>2095</v>
      </c>
      <c r="C667" s="26"/>
      <c r="D667" s="26"/>
      <c r="E667" s="78" t="s">
        <v>1697</v>
      </c>
      <c r="F667" s="26">
        <v>1</v>
      </c>
      <c r="G667" s="26" t="s">
        <v>4089</v>
      </c>
    </row>
    <row r="668" spans="1:7">
      <c r="A668" s="78"/>
      <c r="B668" s="26" t="s">
        <v>1046</v>
      </c>
      <c r="C668" s="26"/>
      <c r="D668" s="26"/>
      <c r="E668" s="78" t="s">
        <v>1697</v>
      </c>
      <c r="F668" s="26">
        <f>F671*1</f>
        <v>15.38</v>
      </c>
      <c r="G668" s="26" t="s">
        <v>4041</v>
      </c>
    </row>
    <row r="669" spans="1:7">
      <c r="A669" s="78"/>
      <c r="B669" s="26" t="s">
        <v>1047</v>
      </c>
      <c r="C669" s="26"/>
      <c r="D669" s="26"/>
      <c r="E669" s="78" t="s">
        <v>1697</v>
      </c>
      <c r="F669" s="26">
        <v>1</v>
      </c>
      <c r="G669" s="26" t="s">
        <v>4089</v>
      </c>
    </row>
    <row r="670" spans="1:7">
      <c r="A670" s="26"/>
      <c r="B670" s="78"/>
      <c r="C670" s="26"/>
      <c r="D670" s="26"/>
      <c r="E670" s="26"/>
      <c r="F670" s="26"/>
      <c r="G670" s="26"/>
    </row>
    <row r="671" spans="1:7">
      <c r="A671" s="26" t="s">
        <v>2039</v>
      </c>
      <c r="B671" s="78"/>
      <c r="C671" s="203" t="s">
        <v>2367</v>
      </c>
      <c r="D671" s="26"/>
      <c r="E671" s="171" t="s">
        <v>297</v>
      </c>
      <c r="F671" s="246">
        <f>D650</f>
        <v>15.38</v>
      </c>
      <c r="G671" s="26" t="s">
        <v>3477</v>
      </c>
    </row>
    <row r="672" spans="1:7">
      <c r="A672" s="26"/>
      <c r="B672" s="79" t="s">
        <v>2368</v>
      </c>
      <c r="C672" s="26"/>
      <c r="D672" s="26"/>
      <c r="E672" s="26"/>
      <c r="F672" s="26"/>
      <c r="G672" s="26"/>
    </row>
    <row r="673" spans="1:7">
      <c r="A673" s="26"/>
      <c r="B673" s="95" t="s">
        <v>2369</v>
      </c>
      <c r="C673" s="157" t="s">
        <v>4443</v>
      </c>
      <c r="D673" s="95" t="s">
        <v>2370</v>
      </c>
      <c r="E673" s="95" t="s">
        <v>1166</v>
      </c>
      <c r="F673" s="95" t="s">
        <v>2371</v>
      </c>
      <c r="G673" s="95" t="s">
        <v>2372</v>
      </c>
    </row>
    <row r="674" spans="1:7">
      <c r="A674" s="26"/>
      <c r="B674" s="114"/>
      <c r="C674" s="154"/>
      <c r="D674" s="114"/>
      <c r="E674" s="114"/>
      <c r="F674" s="114" t="s">
        <v>3485</v>
      </c>
      <c r="G674" s="114" t="s">
        <v>3485</v>
      </c>
    </row>
    <row r="675" spans="1:7">
      <c r="A675" s="26"/>
      <c r="B675" s="95">
        <v>1</v>
      </c>
      <c r="C675" s="135" t="s">
        <v>1048</v>
      </c>
      <c r="D675" s="95" t="s">
        <v>3478</v>
      </c>
      <c r="E675" s="190">
        <f>260*F671</f>
        <v>3998.8</v>
      </c>
      <c r="F675" s="214">
        <f>'BASIC DATA'!$D$32/1000</f>
        <v>5.35</v>
      </c>
      <c r="G675" s="190">
        <f>E675*F675</f>
        <v>21393.579999999998</v>
      </c>
    </row>
    <row r="676" spans="1:7">
      <c r="A676" s="26"/>
      <c r="B676" s="317"/>
      <c r="C676" s="135" t="s">
        <v>7212</v>
      </c>
      <c r="D676" s="105" t="s">
        <v>3478</v>
      </c>
      <c r="E676" s="190">
        <f>F671*3</f>
        <v>46.14</v>
      </c>
      <c r="F676" s="214">
        <f>'BASIC DATA'!$D$32/1000</f>
        <v>5.35</v>
      </c>
      <c r="G676" s="190">
        <f t="shared" ref="G676:G684" si="5">E676*F676</f>
        <v>246.84899999999999</v>
      </c>
    </row>
    <row r="677" spans="1:7">
      <c r="A677" s="26"/>
      <c r="B677" s="105">
        <v>2</v>
      </c>
      <c r="C677" s="135" t="s">
        <v>6996</v>
      </c>
      <c r="D677" s="105" t="s">
        <v>3477</v>
      </c>
      <c r="E677" s="190">
        <f>0.9*F671*0.5</f>
        <v>6.9210000000000003</v>
      </c>
      <c r="F677" s="214">
        <f>'BASIC DATA'!$D$36</f>
        <v>1175</v>
      </c>
      <c r="G677" s="190">
        <f t="shared" si="5"/>
        <v>8132.1750000000002</v>
      </c>
    </row>
    <row r="678" spans="1:7">
      <c r="A678" s="26"/>
      <c r="B678" s="317"/>
      <c r="C678" s="135" t="s">
        <v>6995</v>
      </c>
      <c r="D678" s="105" t="s">
        <v>3477</v>
      </c>
      <c r="E678" s="190">
        <f>0.9*F671*0.3</f>
        <v>4.1525999999999996</v>
      </c>
      <c r="F678" s="214">
        <f>'BASIC DATA'!$D$35</f>
        <v>1225</v>
      </c>
      <c r="G678" s="190">
        <f t="shared" si="5"/>
        <v>5086.9349999999995</v>
      </c>
    </row>
    <row r="679" spans="1:7">
      <c r="A679" s="26"/>
      <c r="B679" s="317"/>
      <c r="C679" s="135" t="s">
        <v>1050</v>
      </c>
      <c r="D679" s="105" t="s">
        <v>3477</v>
      </c>
      <c r="E679" s="190">
        <f>0.9*F671*0.2</f>
        <v>2.7684000000000002</v>
      </c>
      <c r="F679" s="214">
        <f>'BASIC DATA'!$D$34</f>
        <v>900</v>
      </c>
      <c r="G679" s="190">
        <f t="shared" si="5"/>
        <v>2491.5600000000004</v>
      </c>
    </row>
    <row r="680" spans="1:7">
      <c r="A680" s="61"/>
      <c r="B680" s="240">
        <v>3</v>
      </c>
      <c r="C680" s="326" t="s">
        <v>7941</v>
      </c>
      <c r="D680" s="240" t="s">
        <v>3477</v>
      </c>
      <c r="E680" s="255">
        <f>0.4*F671</f>
        <v>6.152000000000001</v>
      </c>
      <c r="F680" s="266">
        <f>'BASIC DATA'!$D$55</f>
        <v>95</v>
      </c>
      <c r="G680" s="255">
        <f t="shared" si="5"/>
        <v>584.44000000000005</v>
      </c>
    </row>
    <row r="681" spans="1:7">
      <c r="A681" s="26"/>
      <c r="B681" s="105">
        <v>4</v>
      </c>
      <c r="C681" s="135" t="s">
        <v>523</v>
      </c>
      <c r="D681" s="105" t="s">
        <v>3478</v>
      </c>
      <c r="E681" s="190">
        <f>E675*0.4%</f>
        <v>15.995200000000001</v>
      </c>
      <c r="F681" s="214">
        <f>'BASIC DATA'!$D$99</f>
        <v>55</v>
      </c>
      <c r="G681" s="190">
        <f t="shared" si="5"/>
        <v>879.73599999999999</v>
      </c>
    </row>
    <row r="682" spans="1:7">
      <c r="A682" s="26"/>
      <c r="B682" s="105">
        <v>5</v>
      </c>
      <c r="C682" s="135" t="s">
        <v>7213</v>
      </c>
      <c r="D682" s="105" t="s">
        <v>3479</v>
      </c>
      <c r="E682" s="190">
        <f>F671*1</f>
        <v>15.38</v>
      </c>
      <c r="F682" s="214">
        <f>F653</f>
        <v>224.56752690000002</v>
      </c>
      <c r="G682" s="190">
        <f t="shared" si="5"/>
        <v>3453.8485637220006</v>
      </c>
    </row>
    <row r="683" spans="1:7">
      <c r="A683" s="26"/>
      <c r="B683" s="317"/>
      <c r="C683" s="135" t="s">
        <v>5408</v>
      </c>
      <c r="D683" s="224">
        <v>0.1</v>
      </c>
      <c r="E683" s="190"/>
      <c r="F683" s="214"/>
      <c r="G683" s="190">
        <f>G682*D683</f>
        <v>345.38485637220009</v>
      </c>
    </row>
    <row r="684" spans="1:7">
      <c r="A684" s="26"/>
      <c r="B684" s="114">
        <v>6</v>
      </c>
      <c r="C684" s="116" t="s">
        <v>2373</v>
      </c>
      <c r="D684" s="105" t="s">
        <v>2173</v>
      </c>
      <c r="E684" s="190">
        <v>0.5</v>
      </c>
      <c r="F684" s="214">
        <f>'BASIC DATA'!$D$359</f>
        <v>30</v>
      </c>
      <c r="G684" s="190">
        <f t="shared" si="5"/>
        <v>15</v>
      </c>
    </row>
    <row r="685" spans="1:7">
      <c r="A685" s="26"/>
      <c r="B685" s="93"/>
      <c r="C685" s="31" t="s">
        <v>6842</v>
      </c>
      <c r="D685" s="31" t="s">
        <v>4043</v>
      </c>
      <c r="E685" s="198"/>
      <c r="F685" s="327" t="s">
        <v>1698</v>
      </c>
      <c r="G685" s="190">
        <v>0</v>
      </c>
    </row>
    <row r="686" spans="1:7">
      <c r="A686" s="26"/>
      <c r="B686" s="93"/>
      <c r="C686" s="31" t="s">
        <v>6843</v>
      </c>
      <c r="D686" s="31" t="s">
        <v>4043</v>
      </c>
      <c r="E686" s="198"/>
      <c r="F686" s="327" t="s">
        <v>1698</v>
      </c>
      <c r="G686" s="190">
        <v>0</v>
      </c>
    </row>
    <row r="687" spans="1:7">
      <c r="A687" s="26"/>
      <c r="B687" s="92"/>
      <c r="C687" s="193" t="s">
        <v>2376</v>
      </c>
      <c r="D687" s="159"/>
      <c r="E687" s="238"/>
      <c r="F687" s="236" t="s">
        <v>1698</v>
      </c>
      <c r="G687" s="318">
        <f>SUM(G675:G686)</f>
        <v>42629.508420094193</v>
      </c>
    </row>
    <row r="688" spans="1:7">
      <c r="A688" s="26"/>
      <c r="B688" s="78"/>
      <c r="C688" s="26"/>
      <c r="D688" s="26"/>
      <c r="E688" s="26"/>
      <c r="F688" s="26"/>
      <c r="G688" s="26"/>
    </row>
    <row r="689" spans="1:7">
      <c r="A689" s="26"/>
      <c r="B689" s="79" t="s">
        <v>2377</v>
      </c>
      <c r="C689" s="26"/>
      <c r="D689" s="26"/>
      <c r="E689" s="26"/>
      <c r="F689" s="26"/>
      <c r="G689" s="26"/>
    </row>
    <row r="690" spans="1:7">
      <c r="A690" s="26"/>
      <c r="B690" s="95" t="s">
        <v>2369</v>
      </c>
      <c r="C690" s="157" t="s">
        <v>2378</v>
      </c>
      <c r="D690" s="95" t="s">
        <v>2370</v>
      </c>
      <c r="E690" s="95" t="s">
        <v>1166</v>
      </c>
      <c r="F690" s="95" t="s">
        <v>2371</v>
      </c>
      <c r="G690" s="95" t="s">
        <v>2372</v>
      </c>
    </row>
    <row r="691" spans="1:7">
      <c r="A691" s="26"/>
      <c r="B691" s="114"/>
      <c r="C691" s="154"/>
      <c r="D691" s="114"/>
      <c r="E691" s="114"/>
      <c r="F691" s="114" t="s">
        <v>3485</v>
      </c>
      <c r="G691" s="114" t="s">
        <v>3485</v>
      </c>
    </row>
    <row r="692" spans="1:7">
      <c r="A692" s="26"/>
      <c r="B692" s="95">
        <v>1</v>
      </c>
      <c r="C692" s="135" t="s">
        <v>7214</v>
      </c>
      <c r="D692" s="95" t="s">
        <v>2374</v>
      </c>
      <c r="E692" s="190">
        <v>8</v>
      </c>
      <c r="F692" s="190">
        <f>'HIRE CHARGES'!$D$507</f>
        <v>53.5</v>
      </c>
      <c r="G692" s="190">
        <f>E692*F692</f>
        <v>428</v>
      </c>
    </row>
    <row r="693" spans="1:7">
      <c r="A693" s="26"/>
      <c r="B693" s="317"/>
      <c r="C693" s="135" t="s">
        <v>2379</v>
      </c>
      <c r="D693" s="105" t="s">
        <v>2374</v>
      </c>
      <c r="E693" s="190">
        <v>8</v>
      </c>
      <c r="F693" s="190">
        <f>'HIRE CHARGES'!$E$507</f>
        <v>79.3</v>
      </c>
      <c r="G693" s="190">
        <f t="shared" ref="G693:G699" si="6">E693*F693</f>
        <v>634.4</v>
      </c>
    </row>
    <row r="694" spans="1:7">
      <c r="A694" s="26"/>
      <c r="B694" s="105">
        <v>2</v>
      </c>
      <c r="C694" s="135" t="s">
        <v>189</v>
      </c>
      <c r="D694" s="105" t="s">
        <v>2374</v>
      </c>
      <c r="E694" s="190">
        <v>0.5</v>
      </c>
      <c r="F694" s="190">
        <f>'HIRE CHARGES'!$D$517</f>
        <v>10.199999999999999</v>
      </c>
      <c r="G694" s="190">
        <f t="shared" si="6"/>
        <v>5.0999999999999996</v>
      </c>
    </row>
    <row r="695" spans="1:7">
      <c r="A695" s="26"/>
      <c r="B695" s="317"/>
      <c r="C695" s="135" t="s">
        <v>2379</v>
      </c>
      <c r="D695" s="105" t="s">
        <v>2374</v>
      </c>
      <c r="E695" s="190">
        <v>0.5</v>
      </c>
      <c r="F695" s="190">
        <f>'HIRE CHARGES'!$E$517</f>
        <v>79.3</v>
      </c>
      <c r="G695" s="190">
        <f t="shared" si="6"/>
        <v>39.65</v>
      </c>
    </row>
    <row r="696" spans="1:7">
      <c r="A696" s="26"/>
      <c r="B696" s="105">
        <v>3</v>
      </c>
      <c r="C696" s="135" t="s">
        <v>6286</v>
      </c>
      <c r="D696" s="105" t="s">
        <v>2374</v>
      </c>
      <c r="E696" s="190">
        <v>1</v>
      </c>
      <c r="F696" s="190">
        <f>'HIRE CHARGES'!$D$555</f>
        <v>402.5</v>
      </c>
      <c r="G696" s="190">
        <f t="shared" si="6"/>
        <v>402.5</v>
      </c>
    </row>
    <row r="697" spans="1:7">
      <c r="A697" s="26"/>
      <c r="B697" s="317"/>
      <c r="C697" s="135" t="s">
        <v>2379</v>
      </c>
      <c r="D697" s="105" t="s">
        <v>2374</v>
      </c>
      <c r="E697" s="190">
        <v>1</v>
      </c>
      <c r="F697" s="190">
        <f>'HIRE CHARGES'!$E$555</f>
        <v>299.89999999999998</v>
      </c>
      <c r="G697" s="190">
        <f t="shared" si="6"/>
        <v>299.89999999999998</v>
      </c>
    </row>
    <row r="698" spans="1:7">
      <c r="A698" s="26"/>
      <c r="B698" s="105">
        <v>4</v>
      </c>
      <c r="C698" s="135" t="s">
        <v>526</v>
      </c>
      <c r="D698" s="105" t="s">
        <v>2374</v>
      </c>
      <c r="E698" s="190">
        <v>8</v>
      </c>
      <c r="F698" s="190">
        <f>'HIRE CHARGES'!$D$531</f>
        <v>7.6</v>
      </c>
      <c r="G698" s="190">
        <f t="shared" si="6"/>
        <v>60.8</v>
      </c>
    </row>
    <row r="699" spans="1:7">
      <c r="A699" s="26"/>
      <c r="B699" s="275"/>
      <c r="C699" s="139" t="s">
        <v>2379</v>
      </c>
      <c r="D699" s="114" t="s">
        <v>2374</v>
      </c>
      <c r="E699" s="182">
        <v>8</v>
      </c>
      <c r="F699" s="182">
        <f>'HIRE CHARGES'!$E$531</f>
        <v>18.8</v>
      </c>
      <c r="G699" s="190">
        <f t="shared" si="6"/>
        <v>150.4</v>
      </c>
    </row>
    <row r="700" spans="1:7">
      <c r="A700" s="26"/>
      <c r="B700" s="176"/>
      <c r="C700" s="172" t="s">
        <v>2380</v>
      </c>
      <c r="D700" s="174"/>
      <c r="E700" s="192"/>
      <c r="F700" s="275" t="s">
        <v>1698</v>
      </c>
      <c r="G700" s="318">
        <f>SUM(G692:G699)</f>
        <v>2020.7500000000002</v>
      </c>
    </row>
    <row r="701" spans="1:7">
      <c r="A701" s="26"/>
      <c r="B701" s="78"/>
      <c r="C701" s="26"/>
      <c r="D701" s="26"/>
      <c r="E701" s="26"/>
      <c r="F701" s="26"/>
      <c r="G701" s="26"/>
    </row>
    <row r="702" spans="1:7">
      <c r="A702" s="26"/>
      <c r="B702" s="79" t="s">
        <v>2381</v>
      </c>
      <c r="C702" s="26"/>
      <c r="D702" s="26"/>
      <c r="E702" s="26"/>
      <c r="F702" s="26"/>
      <c r="G702" s="26"/>
    </row>
    <row r="703" spans="1:7">
      <c r="A703" s="26"/>
      <c r="B703" s="95" t="s">
        <v>2369</v>
      </c>
      <c r="C703" s="157" t="s">
        <v>2378</v>
      </c>
      <c r="D703" s="95" t="s">
        <v>2370</v>
      </c>
      <c r="E703" s="95" t="s">
        <v>1166</v>
      </c>
      <c r="F703" s="95" t="s">
        <v>2371</v>
      </c>
      <c r="G703" s="95" t="s">
        <v>2372</v>
      </c>
    </row>
    <row r="704" spans="1:7">
      <c r="A704" s="26"/>
      <c r="B704" s="114"/>
      <c r="C704" s="154"/>
      <c r="D704" s="114"/>
      <c r="E704" s="114"/>
      <c r="F704" s="114" t="s">
        <v>3485</v>
      </c>
      <c r="G704" s="114" t="s">
        <v>3485</v>
      </c>
    </row>
    <row r="705" spans="1:7">
      <c r="A705" s="26"/>
      <c r="B705" s="105">
        <v>1</v>
      </c>
      <c r="C705" s="76" t="s">
        <v>527</v>
      </c>
      <c r="D705" s="105" t="s">
        <v>2374</v>
      </c>
      <c r="E705" s="207">
        <v>8</v>
      </c>
      <c r="F705" s="190">
        <f>'HIRE CHARGES'!$F$507</f>
        <v>219.7</v>
      </c>
      <c r="G705" s="190">
        <f>E705*F705</f>
        <v>1757.6</v>
      </c>
    </row>
    <row r="706" spans="1:7">
      <c r="A706" s="26"/>
      <c r="B706" s="105">
        <v>2</v>
      </c>
      <c r="C706" s="76" t="s">
        <v>999</v>
      </c>
      <c r="D706" s="105" t="s">
        <v>2374</v>
      </c>
      <c r="E706" s="207">
        <v>0.5</v>
      </c>
      <c r="F706" s="190">
        <f>'HIRE CHARGES'!$F$517</f>
        <v>111.1</v>
      </c>
      <c r="G706" s="190">
        <f t="shared" ref="G706:G717" si="7">E706*F706</f>
        <v>55.55</v>
      </c>
    </row>
    <row r="707" spans="1:7">
      <c r="A707" s="26"/>
      <c r="B707" s="105">
        <v>3</v>
      </c>
      <c r="C707" s="76" t="s">
        <v>1000</v>
      </c>
      <c r="D707" s="105" t="s">
        <v>2374</v>
      </c>
      <c r="E707" s="207">
        <v>1</v>
      </c>
      <c r="F707" s="190">
        <f>'HIRE CHARGES'!$F$555</f>
        <v>177.5</v>
      </c>
      <c r="G707" s="190">
        <f t="shared" si="7"/>
        <v>177.5</v>
      </c>
    </row>
    <row r="708" spans="1:7">
      <c r="A708" s="26"/>
      <c r="B708" s="105">
        <v>4</v>
      </c>
      <c r="C708" s="76" t="s">
        <v>439</v>
      </c>
      <c r="D708" s="105" t="s">
        <v>2374</v>
      </c>
      <c r="E708" s="207">
        <v>8</v>
      </c>
      <c r="F708" s="190">
        <f>'HIRE CHARGES'!$F$531</f>
        <v>158.19999999999999</v>
      </c>
      <c r="G708" s="190">
        <f t="shared" si="7"/>
        <v>1265.5999999999999</v>
      </c>
    </row>
    <row r="709" spans="1:7">
      <c r="A709" s="26"/>
      <c r="B709" s="105">
        <v>5</v>
      </c>
      <c r="C709" s="76" t="s">
        <v>4206</v>
      </c>
      <c r="D709" s="105" t="s">
        <v>1172</v>
      </c>
      <c r="E709" s="207">
        <v>1</v>
      </c>
      <c r="F709" s="190">
        <f>'BASIC DATA'!$C$473</f>
        <v>450</v>
      </c>
      <c r="G709" s="190">
        <f t="shared" si="7"/>
        <v>450</v>
      </c>
    </row>
    <row r="710" spans="1:7">
      <c r="A710" s="26"/>
      <c r="B710" s="105">
        <v>6</v>
      </c>
      <c r="C710" s="76" t="s">
        <v>440</v>
      </c>
      <c r="D710" s="105" t="s">
        <v>1172</v>
      </c>
      <c r="E710" s="207">
        <v>1</v>
      </c>
      <c r="F710" s="190">
        <f>'BASIC DATA'!$C$474</f>
        <v>445</v>
      </c>
      <c r="G710" s="190">
        <f t="shared" si="7"/>
        <v>445</v>
      </c>
    </row>
    <row r="711" spans="1:7">
      <c r="A711" s="26"/>
      <c r="B711" s="105">
        <v>7</v>
      </c>
      <c r="C711" s="76" t="s">
        <v>2697</v>
      </c>
      <c r="D711" s="105"/>
      <c r="E711" s="207"/>
      <c r="F711" s="190"/>
      <c r="G711" s="190"/>
    </row>
    <row r="712" spans="1:7">
      <c r="A712" s="26"/>
      <c r="B712" s="317"/>
      <c r="C712" s="76" t="s">
        <v>441</v>
      </c>
      <c r="D712" s="105" t="s">
        <v>1172</v>
      </c>
      <c r="E712" s="207">
        <v>11</v>
      </c>
      <c r="F712" s="190">
        <f>'BASIC DATA'!$C$552</f>
        <v>350</v>
      </c>
      <c r="G712" s="190">
        <f t="shared" si="7"/>
        <v>3850</v>
      </c>
    </row>
    <row r="713" spans="1:7">
      <c r="A713" s="26"/>
      <c r="B713" s="317"/>
      <c r="C713" s="76" t="s">
        <v>442</v>
      </c>
      <c r="D713" s="105" t="s">
        <v>1172</v>
      </c>
      <c r="E713" s="207">
        <v>4</v>
      </c>
      <c r="F713" s="190">
        <f>'BASIC DATA'!$C$552</f>
        <v>350</v>
      </c>
      <c r="G713" s="190">
        <f t="shared" si="7"/>
        <v>1400</v>
      </c>
    </row>
    <row r="714" spans="1:7">
      <c r="A714" s="26"/>
      <c r="B714" s="317"/>
      <c r="C714" s="76" t="s">
        <v>5151</v>
      </c>
      <c r="D714" s="105" t="s">
        <v>1172</v>
      </c>
      <c r="E714" s="207">
        <v>3</v>
      </c>
      <c r="F714" s="190">
        <f>'BASIC DATA'!$C$552</f>
        <v>350</v>
      </c>
      <c r="G714" s="190">
        <f t="shared" si="7"/>
        <v>1050</v>
      </c>
    </row>
    <row r="715" spans="1:7">
      <c r="A715" s="26"/>
      <c r="B715" s="317"/>
      <c r="C715" s="76" t="s">
        <v>444</v>
      </c>
      <c r="D715" s="105" t="s">
        <v>1172</v>
      </c>
      <c r="E715" s="207">
        <f>F668</f>
        <v>15.38</v>
      </c>
      <c r="F715" s="190">
        <f>'BASIC DATA'!$C$552</f>
        <v>350</v>
      </c>
      <c r="G715" s="190">
        <f t="shared" si="7"/>
        <v>5383</v>
      </c>
    </row>
    <row r="716" spans="1:7">
      <c r="A716" s="26"/>
      <c r="B716" s="317"/>
      <c r="C716" s="76" t="s">
        <v>445</v>
      </c>
      <c r="D716" s="105" t="s">
        <v>1172</v>
      </c>
      <c r="E716" s="207">
        <v>1</v>
      </c>
      <c r="F716" s="190">
        <f>'BASIC DATA'!$C$552</f>
        <v>350</v>
      </c>
      <c r="G716" s="190">
        <f t="shared" si="7"/>
        <v>350</v>
      </c>
    </row>
    <row r="717" spans="1:7">
      <c r="A717" s="26"/>
      <c r="B717" s="105">
        <v>8</v>
      </c>
      <c r="C717" s="76" t="s">
        <v>7215</v>
      </c>
      <c r="D717" s="105" t="s">
        <v>3479</v>
      </c>
      <c r="E717" s="207">
        <f>F668</f>
        <v>15.38</v>
      </c>
      <c r="F717" s="190">
        <f>F655</f>
        <v>88.5</v>
      </c>
      <c r="G717" s="190">
        <f t="shared" si="7"/>
        <v>1361.13</v>
      </c>
    </row>
    <row r="718" spans="1:7">
      <c r="A718" s="26"/>
      <c r="B718" s="317"/>
      <c r="C718" s="76" t="s">
        <v>6402</v>
      </c>
      <c r="D718" s="224">
        <v>0.1</v>
      </c>
      <c r="E718" s="207"/>
      <c r="F718" s="190"/>
      <c r="G718" s="190">
        <f>G717*D718</f>
        <v>136.11300000000003</v>
      </c>
    </row>
    <row r="719" spans="1:7">
      <c r="A719" s="26"/>
      <c r="B719" s="92"/>
      <c r="C719" s="193" t="s">
        <v>1174</v>
      </c>
      <c r="D719" s="159"/>
      <c r="E719" s="238"/>
      <c r="F719" s="236" t="s">
        <v>1698</v>
      </c>
      <c r="G719" s="318">
        <f>SUM(G705:G718)</f>
        <v>17681.493000000002</v>
      </c>
    </row>
    <row r="720" spans="1:7">
      <c r="A720" s="26"/>
      <c r="B720" s="60" t="s">
        <v>5948</v>
      </c>
      <c r="C720" s="31"/>
      <c r="D720" s="31"/>
      <c r="E720" s="85">
        <f>ROUND(G719/F671,1)</f>
        <v>1149.5999999999999</v>
      </c>
      <c r="F720" s="26"/>
      <c r="G720" s="26"/>
    </row>
    <row r="721" spans="1:7">
      <c r="A721" s="26"/>
      <c r="B721" s="60" t="s">
        <v>3163</v>
      </c>
      <c r="C721" s="31"/>
      <c r="D721" s="31">
        <f>'BASIC DATA'!$C$577</f>
        <v>0.13614999999999999</v>
      </c>
      <c r="E721" s="85">
        <f>ROUND(E720*D721,1)</f>
        <v>156.5</v>
      </c>
      <c r="F721" s="26"/>
      <c r="G721" s="26"/>
    </row>
    <row r="722" spans="1:7">
      <c r="A722" s="26"/>
      <c r="B722" s="60" t="s">
        <v>5949</v>
      </c>
      <c r="C722" s="31"/>
      <c r="D722" s="31"/>
      <c r="E722" s="199">
        <f>ROUND(E721+E720,1)</f>
        <v>1306.0999999999999</v>
      </c>
      <c r="F722" s="57"/>
      <c r="G722" s="26"/>
    </row>
    <row r="723" spans="1:7">
      <c r="A723" s="26"/>
      <c r="B723" s="26"/>
      <c r="C723" s="26"/>
      <c r="D723" s="26"/>
      <c r="E723" s="26"/>
      <c r="F723" s="26"/>
      <c r="G723" s="26"/>
    </row>
    <row r="724" spans="1:7">
      <c r="A724" s="26"/>
      <c r="B724" s="170" t="s">
        <v>1175</v>
      </c>
      <c r="C724" s="26"/>
      <c r="D724" s="26"/>
      <c r="E724" s="26"/>
      <c r="F724" s="26"/>
      <c r="G724" s="26"/>
    </row>
    <row r="725" spans="1:7">
      <c r="A725" s="26"/>
      <c r="B725" s="26" t="s">
        <v>5010</v>
      </c>
      <c r="C725" s="26"/>
      <c r="D725" s="26"/>
      <c r="E725" s="26"/>
      <c r="F725" s="171" t="s">
        <v>1698</v>
      </c>
      <c r="G725" s="68">
        <f>G687</f>
        <v>42629.508420094193</v>
      </c>
    </row>
    <row r="726" spans="1:7">
      <c r="A726" s="26"/>
      <c r="B726" s="26" t="s">
        <v>1186</v>
      </c>
      <c r="C726" s="26"/>
      <c r="D726" s="26"/>
      <c r="E726" s="26"/>
      <c r="F726" s="171" t="s">
        <v>1698</v>
      </c>
      <c r="G726" s="68">
        <f>G700</f>
        <v>2020.7500000000002</v>
      </c>
    </row>
    <row r="727" spans="1:7">
      <c r="A727" s="26"/>
      <c r="B727" s="26" t="s">
        <v>2660</v>
      </c>
      <c r="C727" s="26"/>
      <c r="D727" s="26"/>
      <c r="E727" s="26"/>
      <c r="F727" s="171" t="s">
        <v>1698</v>
      </c>
      <c r="G727" s="75">
        <f>G719</f>
        <v>17681.493000000002</v>
      </c>
    </row>
    <row r="728" spans="1:7">
      <c r="A728" s="26"/>
      <c r="B728" s="78"/>
      <c r="C728" s="26"/>
      <c r="D728" s="26"/>
      <c r="E728" s="171"/>
      <c r="F728" s="171" t="s">
        <v>302</v>
      </c>
      <c r="G728" s="205">
        <f>SUM(G725:G727)</f>
        <v>62331.751420094195</v>
      </c>
    </row>
    <row r="729" spans="1:7">
      <c r="A729" s="26"/>
      <c r="B729" s="1206" t="s">
        <v>1379</v>
      </c>
      <c r="C729" s="1206"/>
      <c r="D729" s="26"/>
      <c r="E729" s="249">
        <f>'BASIC DATA'!$C$577</f>
        <v>0.13614999999999999</v>
      </c>
      <c r="F729" s="26" t="s">
        <v>1698</v>
      </c>
      <c r="G729" s="26">
        <f>ROUND(G728*E729,2)</f>
        <v>8486.4699999999993</v>
      </c>
    </row>
    <row r="730" spans="1:7">
      <c r="A730" s="26"/>
      <c r="B730" s="26" t="s">
        <v>1191</v>
      </c>
      <c r="C730" s="26"/>
      <c r="D730" s="68">
        <f>F671</f>
        <v>15.38</v>
      </c>
      <c r="E730" s="68" t="str">
        <f>G671</f>
        <v>cum</v>
      </c>
      <c r="F730" s="26" t="s">
        <v>1698</v>
      </c>
      <c r="G730" s="211">
        <f>G729+G728</f>
        <v>70818.221420094196</v>
      </c>
    </row>
    <row r="731" spans="1:7">
      <c r="A731" s="26"/>
      <c r="B731" s="170" t="s">
        <v>1584</v>
      </c>
      <c r="C731" s="211" t="str">
        <f>E730</f>
        <v>cum</v>
      </c>
      <c r="D731" s="26" t="s">
        <v>7801</v>
      </c>
      <c r="E731" s="26"/>
      <c r="F731" s="26" t="s">
        <v>4108</v>
      </c>
      <c r="G731" s="211">
        <f>ROUND(G730/D730,1)</f>
        <v>4604.6000000000004</v>
      </c>
    </row>
    <row r="732" spans="1:7">
      <c r="A732" s="26"/>
      <c r="B732" s="78"/>
      <c r="C732" s="26"/>
      <c r="D732" s="26"/>
      <c r="E732" s="26"/>
      <c r="F732" s="26"/>
      <c r="G732" s="26"/>
    </row>
    <row r="733" spans="1:7">
      <c r="A733" s="26"/>
      <c r="B733" s="78"/>
      <c r="C733" s="26"/>
      <c r="D733" s="26"/>
      <c r="E733" s="26"/>
      <c r="F733" s="26"/>
      <c r="G733" s="26"/>
    </row>
    <row r="734" spans="1:7" ht="18.75">
      <c r="A734" s="78" t="s">
        <v>7543</v>
      </c>
      <c r="B734" s="26" t="s">
        <v>8793</v>
      </c>
      <c r="C734" s="26"/>
      <c r="D734" s="26"/>
      <c r="E734" s="26"/>
      <c r="F734" s="26"/>
      <c r="G734" s="26"/>
    </row>
    <row r="735" spans="1:7" ht="18.75">
      <c r="A735" s="78"/>
      <c r="B735" s="26" t="s">
        <v>8916</v>
      </c>
      <c r="C735" s="26"/>
      <c r="D735" s="26"/>
      <c r="E735" s="26"/>
      <c r="F735" s="26"/>
      <c r="G735" s="26"/>
    </row>
    <row r="736" spans="1:7">
      <c r="A736" s="78"/>
      <c r="B736" s="26" t="s">
        <v>7997</v>
      </c>
      <c r="C736" s="26"/>
      <c r="D736" s="26"/>
      <c r="E736" s="26"/>
      <c r="F736" s="26"/>
      <c r="G736" s="26"/>
    </row>
    <row r="737" spans="1:7">
      <c r="A737" s="78"/>
      <c r="B737" s="26" t="s">
        <v>6</v>
      </c>
      <c r="C737" s="26"/>
      <c r="D737" s="26"/>
      <c r="E737" s="26"/>
      <c r="F737" s="26"/>
      <c r="G737" s="26"/>
    </row>
    <row r="738" spans="1:7" ht="18.75">
      <c r="A738" s="78"/>
      <c r="B738" s="170" t="s">
        <v>8915</v>
      </c>
      <c r="C738" s="26"/>
      <c r="D738" s="26"/>
      <c r="E738" s="26"/>
      <c r="F738" s="26"/>
      <c r="G738" s="26"/>
    </row>
    <row r="739" spans="1:7">
      <c r="A739" s="78"/>
      <c r="B739" s="170" t="s">
        <v>7820</v>
      </c>
      <c r="C739" s="26"/>
      <c r="D739" s="26"/>
      <c r="E739" s="26"/>
      <c r="F739" s="26"/>
      <c r="G739" s="26"/>
    </row>
    <row r="740" spans="1:7">
      <c r="A740" s="62"/>
      <c r="B740" s="248" t="s">
        <v>4220</v>
      </c>
      <c r="C740" s="61"/>
      <c r="D740" s="61"/>
      <c r="E740" s="61"/>
      <c r="F740" s="61"/>
      <c r="G740" s="61"/>
    </row>
    <row r="741" spans="1:7">
      <c r="B741" s="26"/>
      <c r="C741" s="26"/>
      <c r="D741" s="26"/>
      <c r="E741" s="26"/>
      <c r="F741" s="26"/>
      <c r="G741" s="26"/>
    </row>
    <row r="742" spans="1:7">
      <c r="A742" s="78" t="s">
        <v>3984</v>
      </c>
      <c r="B742" s="26" t="s">
        <v>5780</v>
      </c>
      <c r="C742" s="26"/>
      <c r="D742" s="26"/>
      <c r="E742" s="26"/>
      <c r="F742" s="26"/>
      <c r="G742" s="26"/>
    </row>
    <row r="743" spans="1:7">
      <c r="A743" s="78"/>
      <c r="B743" s="26" t="s">
        <v>3503</v>
      </c>
      <c r="C743" s="26"/>
      <c r="D743" s="26"/>
      <c r="E743" s="26"/>
      <c r="F743" s="26"/>
      <c r="G743" s="26"/>
    </row>
    <row r="744" spans="1:7">
      <c r="A744" s="78"/>
      <c r="B744" s="26" t="s">
        <v>7821</v>
      </c>
      <c r="C744" s="26"/>
      <c r="D744" s="26"/>
      <c r="E744" s="26"/>
      <c r="F744" s="26"/>
      <c r="G744" s="26"/>
    </row>
    <row r="745" spans="1:7">
      <c r="A745" s="78"/>
      <c r="B745" s="26"/>
      <c r="C745" s="26"/>
      <c r="D745" s="26"/>
      <c r="E745" s="26"/>
      <c r="F745" s="26"/>
      <c r="G745" s="26"/>
    </row>
    <row r="746" spans="1:7">
      <c r="A746" s="62"/>
      <c r="B746" s="61" t="s">
        <v>7822</v>
      </c>
      <c r="C746" s="61"/>
      <c r="D746" s="62">
        <f>ROUND(100*4.5*8/250,2)</f>
        <v>14.4</v>
      </c>
      <c r="E746" s="61" t="s">
        <v>3760</v>
      </c>
      <c r="F746" s="61"/>
      <c r="G746" s="61"/>
    </row>
    <row r="747" spans="1:7">
      <c r="A747" s="78"/>
      <c r="B747" s="26" t="s">
        <v>2843</v>
      </c>
      <c r="C747" s="26"/>
      <c r="D747" s="26"/>
      <c r="E747" s="26"/>
      <c r="F747" s="26"/>
      <c r="G747" s="26"/>
    </row>
    <row r="748" spans="1:7">
      <c r="A748" s="78"/>
      <c r="B748" s="26" t="s">
        <v>994</v>
      </c>
      <c r="C748" s="26"/>
      <c r="D748" s="26"/>
      <c r="E748" s="26"/>
      <c r="F748" s="26"/>
      <c r="G748" s="26"/>
    </row>
    <row r="749" spans="1:7">
      <c r="A749" s="78"/>
      <c r="B749" s="26" t="s">
        <v>933</v>
      </c>
      <c r="C749" s="26"/>
      <c r="D749" s="26"/>
      <c r="E749" s="78" t="s">
        <v>1698</v>
      </c>
      <c r="F749" s="217">
        <f>G618</f>
        <v>224.56752690000002</v>
      </c>
      <c r="G749" s="26" t="s">
        <v>1168</v>
      </c>
    </row>
    <row r="750" spans="1:7">
      <c r="A750" s="78"/>
      <c r="B750" s="26" t="s">
        <v>995</v>
      </c>
      <c r="C750" s="26"/>
      <c r="D750" s="26"/>
      <c r="E750" s="78" t="s">
        <v>1697</v>
      </c>
      <c r="F750" s="26" t="s">
        <v>996</v>
      </c>
      <c r="G750" s="26"/>
    </row>
    <row r="751" spans="1:7">
      <c r="A751" s="78"/>
      <c r="B751" s="26" t="s">
        <v>934</v>
      </c>
      <c r="C751" s="26"/>
      <c r="D751" s="26"/>
      <c r="E751" s="78" t="s">
        <v>1698</v>
      </c>
      <c r="F751" s="217">
        <f>G644</f>
        <v>88.5</v>
      </c>
      <c r="G751" s="26" t="s">
        <v>1168</v>
      </c>
    </row>
    <row r="752" spans="1:7">
      <c r="A752" s="78"/>
      <c r="B752" s="26" t="s">
        <v>7616</v>
      </c>
      <c r="C752" s="26"/>
      <c r="D752" s="26"/>
      <c r="E752" s="27" t="s">
        <v>2075</v>
      </c>
      <c r="F752" s="26"/>
      <c r="G752" s="26"/>
    </row>
    <row r="753" spans="1:7">
      <c r="A753" s="78"/>
      <c r="B753" s="26" t="s">
        <v>451</v>
      </c>
      <c r="C753" s="26"/>
      <c r="D753" s="26"/>
      <c r="E753" s="26"/>
      <c r="F753" s="26"/>
      <c r="G753" s="26"/>
    </row>
    <row r="754" spans="1:7">
      <c r="A754" s="78"/>
      <c r="B754" s="26" t="s">
        <v>935</v>
      </c>
      <c r="C754" s="26"/>
      <c r="D754" s="26"/>
      <c r="E754" s="26"/>
      <c r="F754" s="26"/>
      <c r="G754" s="26"/>
    </row>
    <row r="755" spans="1:7">
      <c r="A755" s="26"/>
      <c r="B755" s="78"/>
      <c r="C755" s="26"/>
      <c r="D755" s="26"/>
      <c r="E755" s="26"/>
      <c r="F755" s="26"/>
      <c r="G755" s="26"/>
    </row>
    <row r="756" spans="1:7">
      <c r="A756" s="78" t="s">
        <v>3984</v>
      </c>
      <c r="B756" s="78"/>
      <c r="C756" s="203" t="s">
        <v>2367</v>
      </c>
      <c r="D756" s="26"/>
      <c r="E756" s="171" t="s">
        <v>297</v>
      </c>
      <c r="F756" s="246">
        <f>D746</f>
        <v>14.4</v>
      </c>
      <c r="G756" s="26" t="s">
        <v>3477</v>
      </c>
    </row>
    <row r="757" spans="1:7">
      <c r="A757" s="26"/>
      <c r="B757" s="79" t="s">
        <v>2368</v>
      </c>
      <c r="C757" s="26"/>
      <c r="D757" s="26"/>
      <c r="E757" s="26"/>
      <c r="F757" s="26"/>
      <c r="G757" s="26"/>
    </row>
    <row r="758" spans="1:7">
      <c r="A758" s="26"/>
      <c r="B758" s="95" t="s">
        <v>2369</v>
      </c>
      <c r="C758" s="157" t="s">
        <v>4443</v>
      </c>
      <c r="D758" s="95" t="s">
        <v>2370</v>
      </c>
      <c r="E758" s="95" t="s">
        <v>1166</v>
      </c>
      <c r="F758" s="95" t="s">
        <v>2371</v>
      </c>
      <c r="G758" s="95" t="s">
        <v>2372</v>
      </c>
    </row>
    <row r="759" spans="1:7">
      <c r="A759" s="26"/>
      <c r="B759" s="114"/>
      <c r="C759" s="154"/>
      <c r="D759" s="114"/>
      <c r="E759" s="114"/>
      <c r="F759" s="114" t="s">
        <v>3485</v>
      </c>
      <c r="G759" s="114" t="s">
        <v>3485</v>
      </c>
    </row>
    <row r="760" spans="1:7">
      <c r="A760" s="26"/>
      <c r="B760" s="95">
        <v>1</v>
      </c>
      <c r="C760" s="135" t="s">
        <v>1048</v>
      </c>
      <c r="D760" s="95" t="s">
        <v>3478</v>
      </c>
      <c r="E760" s="190">
        <f>250*F756</f>
        <v>3600</v>
      </c>
      <c r="F760" s="214">
        <f>'BASIC DATA'!$D$32/1000</f>
        <v>5.35</v>
      </c>
      <c r="G760" s="190">
        <f>E760*F760</f>
        <v>19260</v>
      </c>
    </row>
    <row r="761" spans="1:7">
      <c r="A761" s="26"/>
      <c r="B761" s="317"/>
      <c r="C761" s="135" t="s">
        <v>7212</v>
      </c>
      <c r="D761" s="105" t="s">
        <v>3478</v>
      </c>
      <c r="E761" s="190">
        <f>F756*3</f>
        <v>43.2</v>
      </c>
      <c r="F761" s="214">
        <f>'BASIC DATA'!$D$32/1000</f>
        <v>5.35</v>
      </c>
      <c r="G761" s="190">
        <f t="shared" ref="G761:G770" si="8">E761*F761</f>
        <v>231.12</v>
      </c>
    </row>
    <row r="762" spans="1:7">
      <c r="A762" s="26"/>
      <c r="B762" s="105">
        <v>2</v>
      </c>
      <c r="C762" s="135" t="s">
        <v>6997</v>
      </c>
      <c r="D762" s="105" t="s">
        <v>3477</v>
      </c>
      <c r="E762" s="190">
        <f>0.98*F756*0.35</f>
        <v>4.9391999999999996</v>
      </c>
      <c r="F762" s="214">
        <f>'BASIC DATA'!$D$37</f>
        <v>650</v>
      </c>
      <c r="G762" s="190">
        <f t="shared" si="8"/>
        <v>3210.4799999999996</v>
      </c>
    </row>
    <row r="763" spans="1:7">
      <c r="A763" s="26"/>
      <c r="B763" s="317"/>
      <c r="C763" s="135" t="s">
        <v>6996</v>
      </c>
      <c r="D763" s="105" t="s">
        <v>3477</v>
      </c>
      <c r="E763" s="190">
        <f>0.98*F756*0.3</f>
        <v>4.2336</v>
      </c>
      <c r="F763" s="214">
        <f>'BASIC DATA'!$D$36</f>
        <v>1175</v>
      </c>
      <c r="G763" s="190">
        <f t="shared" si="8"/>
        <v>4974.4800000000005</v>
      </c>
    </row>
    <row r="764" spans="1:7">
      <c r="A764" s="26"/>
      <c r="B764" s="317"/>
      <c r="C764" s="135" t="s">
        <v>6995</v>
      </c>
      <c r="D764" s="105" t="s">
        <v>3477</v>
      </c>
      <c r="E764" s="190">
        <f>0.98*F756*0.2</f>
        <v>2.8224</v>
      </c>
      <c r="F764" s="214">
        <f>'BASIC DATA'!$D$35</f>
        <v>1225</v>
      </c>
      <c r="G764" s="190">
        <f t="shared" si="8"/>
        <v>3457.44</v>
      </c>
    </row>
    <row r="765" spans="1:7">
      <c r="A765" s="26"/>
      <c r="B765" s="317"/>
      <c r="C765" s="135" t="s">
        <v>1050</v>
      </c>
      <c r="D765" s="105" t="s">
        <v>3477</v>
      </c>
      <c r="E765" s="190">
        <f>0.98*F756*0.15</f>
        <v>2.1168</v>
      </c>
      <c r="F765" s="214">
        <f>'BASIC DATA'!$D$34</f>
        <v>900</v>
      </c>
      <c r="G765" s="190">
        <f t="shared" si="8"/>
        <v>1905.1200000000001</v>
      </c>
    </row>
    <row r="766" spans="1:7">
      <c r="A766" s="61"/>
      <c r="B766" s="240">
        <v>3</v>
      </c>
      <c r="C766" s="326" t="s">
        <v>7941</v>
      </c>
      <c r="D766" s="240" t="s">
        <v>3477</v>
      </c>
      <c r="E766" s="255">
        <f>0.35*F756</f>
        <v>5.04</v>
      </c>
      <c r="F766" s="266">
        <f>'BASIC DATA'!$D$55</f>
        <v>95</v>
      </c>
      <c r="G766" s="255">
        <f t="shared" si="8"/>
        <v>478.8</v>
      </c>
    </row>
    <row r="767" spans="1:7">
      <c r="A767" s="26"/>
      <c r="B767" s="105">
        <v>4</v>
      </c>
      <c r="C767" s="135" t="s">
        <v>523</v>
      </c>
      <c r="D767" s="105" t="s">
        <v>3478</v>
      </c>
      <c r="E767" s="190">
        <f>E760*0.4%</f>
        <v>14.4</v>
      </c>
      <c r="F767" s="214">
        <f>'BASIC DATA'!$D$99</f>
        <v>55</v>
      </c>
      <c r="G767" s="190">
        <f t="shared" si="8"/>
        <v>792</v>
      </c>
    </row>
    <row r="768" spans="1:7">
      <c r="A768" s="26"/>
      <c r="B768" s="105">
        <v>5</v>
      </c>
      <c r="C768" s="135" t="s">
        <v>7213</v>
      </c>
      <c r="D768" s="105" t="s">
        <v>3479</v>
      </c>
      <c r="E768" s="190">
        <f>F756</f>
        <v>14.4</v>
      </c>
      <c r="F768" s="214">
        <f>F749</f>
        <v>224.56752690000002</v>
      </c>
      <c r="G768" s="190">
        <f t="shared" si="8"/>
        <v>3233.7723873600003</v>
      </c>
    </row>
    <row r="769" spans="1:7">
      <c r="A769" s="26"/>
      <c r="B769" s="317"/>
      <c r="C769" s="135" t="s">
        <v>5408</v>
      </c>
      <c r="D769" s="224">
        <v>0.1</v>
      </c>
      <c r="E769" s="190"/>
      <c r="F769" s="214"/>
      <c r="G769" s="190">
        <f>G768*D769</f>
        <v>323.37723873600004</v>
      </c>
    </row>
    <row r="770" spans="1:7">
      <c r="A770" s="26"/>
      <c r="B770" s="114">
        <v>6</v>
      </c>
      <c r="C770" s="135" t="s">
        <v>2373</v>
      </c>
      <c r="D770" s="105" t="s">
        <v>2173</v>
      </c>
      <c r="E770" s="190">
        <v>0.5</v>
      </c>
      <c r="F770" s="214">
        <f>'BASIC DATA'!$D$359</f>
        <v>30</v>
      </c>
      <c r="G770" s="190">
        <f t="shared" si="8"/>
        <v>15</v>
      </c>
    </row>
    <row r="771" spans="1:7">
      <c r="A771" s="26"/>
      <c r="B771" s="93"/>
      <c r="C771" s="31" t="s">
        <v>6842</v>
      </c>
      <c r="D771" s="31" t="s">
        <v>4043</v>
      </c>
      <c r="E771" s="198"/>
      <c r="F771" s="327" t="s">
        <v>1698</v>
      </c>
      <c r="G771" s="190">
        <v>0</v>
      </c>
    </row>
    <row r="772" spans="1:7">
      <c r="A772" s="26"/>
      <c r="B772" s="93"/>
      <c r="C772" s="31" t="s">
        <v>6843</v>
      </c>
      <c r="D772" s="31" t="s">
        <v>4043</v>
      </c>
      <c r="E772" s="198"/>
      <c r="F772" s="327" t="s">
        <v>1698</v>
      </c>
      <c r="G772" s="190">
        <v>0</v>
      </c>
    </row>
    <row r="773" spans="1:7">
      <c r="A773" s="26"/>
      <c r="B773" s="92"/>
      <c r="C773" s="193" t="s">
        <v>2376</v>
      </c>
      <c r="D773" s="159"/>
      <c r="E773" s="238"/>
      <c r="F773" s="236" t="s">
        <v>1698</v>
      </c>
      <c r="G773" s="318">
        <f>SUM(G760:G772)</f>
        <v>37881.589626096</v>
      </c>
    </row>
    <row r="774" spans="1:7">
      <c r="A774" s="26"/>
      <c r="B774" s="78"/>
      <c r="C774" s="26"/>
      <c r="D774" s="26"/>
      <c r="E774" s="26"/>
      <c r="F774" s="26"/>
      <c r="G774" s="26"/>
    </row>
    <row r="775" spans="1:7">
      <c r="A775" s="26"/>
      <c r="B775" s="79" t="s">
        <v>2377</v>
      </c>
      <c r="C775" s="26"/>
      <c r="D775" s="26"/>
      <c r="E775" s="26"/>
      <c r="F775" s="26"/>
      <c r="G775" s="26"/>
    </row>
    <row r="776" spans="1:7">
      <c r="A776" s="26"/>
      <c r="B776" s="95" t="s">
        <v>2369</v>
      </c>
      <c r="C776" s="157" t="s">
        <v>2378</v>
      </c>
      <c r="D776" s="95" t="s">
        <v>2370</v>
      </c>
      <c r="E776" s="95" t="s">
        <v>1166</v>
      </c>
      <c r="F776" s="95" t="s">
        <v>2371</v>
      </c>
      <c r="G776" s="95" t="s">
        <v>2372</v>
      </c>
    </row>
    <row r="777" spans="1:7">
      <c r="A777" s="26"/>
      <c r="B777" s="114"/>
      <c r="C777" s="154"/>
      <c r="D777" s="114"/>
      <c r="E777" s="114"/>
      <c r="F777" s="114" t="s">
        <v>3485</v>
      </c>
      <c r="G777" s="114" t="s">
        <v>3485</v>
      </c>
    </row>
    <row r="778" spans="1:7">
      <c r="A778" s="26"/>
      <c r="B778" s="95">
        <v>1</v>
      </c>
      <c r="C778" s="135" t="s">
        <v>2076</v>
      </c>
      <c r="D778" s="95" t="s">
        <v>2374</v>
      </c>
      <c r="E778" s="190">
        <v>8</v>
      </c>
      <c r="F778" s="190">
        <f>'HIRE CHARGES'!$D$509</f>
        <v>92.7</v>
      </c>
      <c r="G778" s="190">
        <f>E778*F778</f>
        <v>741.6</v>
      </c>
    </row>
    <row r="779" spans="1:7">
      <c r="A779" s="26"/>
      <c r="B779" s="317"/>
      <c r="C779" s="135" t="s">
        <v>2379</v>
      </c>
      <c r="D779" s="105" t="s">
        <v>2374</v>
      </c>
      <c r="E779" s="190">
        <v>8</v>
      </c>
      <c r="F779" s="190">
        <f>'HIRE CHARGES'!$E$509</f>
        <v>158.69999999999999</v>
      </c>
      <c r="G779" s="190">
        <f t="shared" ref="G779:G785" si="9">E779*F779</f>
        <v>1269.5999999999999</v>
      </c>
    </row>
    <row r="780" spans="1:7">
      <c r="A780" s="26"/>
      <c r="B780" s="105">
        <v>2</v>
      </c>
      <c r="C780" s="135" t="s">
        <v>189</v>
      </c>
      <c r="D780" s="105" t="s">
        <v>2374</v>
      </c>
      <c r="E780" s="190">
        <v>0.5</v>
      </c>
      <c r="F780" s="190">
        <f>'HIRE CHARGES'!$D$517</f>
        <v>10.199999999999999</v>
      </c>
      <c r="G780" s="190">
        <f t="shared" si="9"/>
        <v>5.0999999999999996</v>
      </c>
    </row>
    <row r="781" spans="1:7">
      <c r="A781" s="26"/>
      <c r="B781" s="317"/>
      <c r="C781" s="135" t="s">
        <v>2379</v>
      </c>
      <c r="D781" s="105" t="s">
        <v>2374</v>
      </c>
      <c r="E781" s="190">
        <v>0.5</v>
      </c>
      <c r="F781" s="190">
        <f>'HIRE CHARGES'!$E$517</f>
        <v>79.3</v>
      </c>
      <c r="G781" s="190">
        <f t="shared" si="9"/>
        <v>39.65</v>
      </c>
    </row>
    <row r="782" spans="1:7">
      <c r="A782" s="26"/>
      <c r="B782" s="105">
        <v>3</v>
      </c>
      <c r="C782" s="135" t="s">
        <v>6286</v>
      </c>
      <c r="D782" s="105" t="s">
        <v>2374</v>
      </c>
      <c r="E782" s="190">
        <v>1</v>
      </c>
      <c r="F782" s="190">
        <f>'HIRE CHARGES'!$D$555</f>
        <v>402.5</v>
      </c>
      <c r="G782" s="190">
        <f t="shared" si="9"/>
        <v>402.5</v>
      </c>
    </row>
    <row r="783" spans="1:7">
      <c r="A783" s="26"/>
      <c r="B783" s="317"/>
      <c r="C783" s="135" t="s">
        <v>2379</v>
      </c>
      <c r="D783" s="105" t="s">
        <v>2374</v>
      </c>
      <c r="E783" s="190">
        <v>1</v>
      </c>
      <c r="F783" s="190">
        <f>'HIRE CHARGES'!$E$555</f>
        <v>299.89999999999998</v>
      </c>
      <c r="G783" s="190">
        <f t="shared" si="9"/>
        <v>299.89999999999998</v>
      </c>
    </row>
    <row r="784" spans="1:7">
      <c r="A784" s="26"/>
      <c r="B784" s="105">
        <v>4</v>
      </c>
      <c r="C784" s="135" t="s">
        <v>5559</v>
      </c>
      <c r="D784" s="105" t="s">
        <v>2374</v>
      </c>
      <c r="E784" s="190">
        <v>8</v>
      </c>
      <c r="F784" s="190">
        <f>'HIRE CHARGES'!$D$533</f>
        <v>8.1999999999999993</v>
      </c>
      <c r="G784" s="190">
        <f t="shared" si="9"/>
        <v>65.599999999999994</v>
      </c>
    </row>
    <row r="785" spans="1:7">
      <c r="A785" s="26"/>
      <c r="B785" s="280"/>
      <c r="C785" s="135" t="s">
        <v>2379</v>
      </c>
      <c r="D785" s="105" t="s">
        <v>2374</v>
      </c>
      <c r="E785" s="190">
        <v>8</v>
      </c>
      <c r="F785" s="190">
        <f>'HIRE CHARGES'!$E$533</f>
        <v>28.2</v>
      </c>
      <c r="G785" s="190">
        <f t="shared" si="9"/>
        <v>225.6</v>
      </c>
    </row>
    <row r="786" spans="1:7">
      <c r="A786" s="26"/>
      <c r="B786" s="176"/>
      <c r="C786" s="172" t="s">
        <v>2380</v>
      </c>
      <c r="D786" s="174"/>
      <c r="E786" s="192"/>
      <c r="F786" s="236" t="s">
        <v>1698</v>
      </c>
      <c r="G786" s="318">
        <f>SUM(G778:G785)</f>
        <v>3049.5499999999997</v>
      </c>
    </row>
    <row r="787" spans="1:7">
      <c r="A787" s="26"/>
      <c r="B787" s="78"/>
      <c r="C787" s="26"/>
      <c r="D787" s="26"/>
      <c r="E787" s="26"/>
      <c r="F787" s="26"/>
      <c r="G787" s="26"/>
    </row>
    <row r="788" spans="1:7">
      <c r="A788" s="26"/>
      <c r="B788" s="79" t="s">
        <v>2381</v>
      </c>
      <c r="C788" s="26"/>
      <c r="D788" s="26"/>
      <c r="E788" s="26"/>
      <c r="F788" s="26"/>
      <c r="G788" s="26"/>
    </row>
    <row r="789" spans="1:7">
      <c r="A789" s="26"/>
      <c r="B789" s="95" t="s">
        <v>2369</v>
      </c>
      <c r="C789" s="157" t="s">
        <v>2378</v>
      </c>
      <c r="D789" s="95" t="s">
        <v>2370</v>
      </c>
      <c r="E789" s="95" t="s">
        <v>1166</v>
      </c>
      <c r="F789" s="95" t="s">
        <v>2371</v>
      </c>
      <c r="G789" s="95" t="s">
        <v>2372</v>
      </c>
    </row>
    <row r="790" spans="1:7">
      <c r="A790" s="26"/>
      <c r="B790" s="114"/>
      <c r="C790" s="154"/>
      <c r="D790" s="114"/>
      <c r="E790" s="114"/>
      <c r="F790" s="114" t="s">
        <v>3485</v>
      </c>
      <c r="G790" s="114" t="s">
        <v>3485</v>
      </c>
    </row>
    <row r="791" spans="1:7">
      <c r="A791" s="26"/>
      <c r="B791" s="105">
        <v>1</v>
      </c>
      <c r="C791" s="76" t="s">
        <v>527</v>
      </c>
      <c r="D791" s="105" t="s">
        <v>2374</v>
      </c>
      <c r="E791" s="207">
        <v>8</v>
      </c>
      <c r="F791" s="190">
        <f>'HIRE CHARGES'!$F$509</f>
        <v>219.7</v>
      </c>
      <c r="G791" s="190">
        <f>E791*F791</f>
        <v>1757.6</v>
      </c>
    </row>
    <row r="792" spans="1:7">
      <c r="A792" s="26"/>
      <c r="B792" s="105">
        <v>2</v>
      </c>
      <c r="C792" s="76" t="s">
        <v>999</v>
      </c>
      <c r="D792" s="105" t="s">
        <v>2374</v>
      </c>
      <c r="E792" s="207">
        <v>0.5</v>
      </c>
      <c r="F792" s="190">
        <f>'HIRE CHARGES'!$F$517</f>
        <v>111.1</v>
      </c>
      <c r="G792" s="190">
        <f t="shared" ref="G792:G803" si="10">E792*F792</f>
        <v>55.55</v>
      </c>
    </row>
    <row r="793" spans="1:7">
      <c r="A793" s="26"/>
      <c r="B793" s="105">
        <v>3</v>
      </c>
      <c r="C793" s="76" t="s">
        <v>1000</v>
      </c>
      <c r="D793" s="105" t="s">
        <v>2374</v>
      </c>
      <c r="E793" s="207">
        <v>1</v>
      </c>
      <c r="F793" s="190">
        <f>'HIRE CHARGES'!$F$555</f>
        <v>177.5</v>
      </c>
      <c r="G793" s="190">
        <f t="shared" si="10"/>
        <v>177.5</v>
      </c>
    </row>
    <row r="794" spans="1:7">
      <c r="A794" s="26"/>
      <c r="B794" s="105">
        <v>4</v>
      </c>
      <c r="C794" s="76" t="s">
        <v>439</v>
      </c>
      <c r="D794" s="105" t="s">
        <v>2374</v>
      </c>
      <c r="E794" s="207">
        <v>8</v>
      </c>
      <c r="F794" s="190">
        <f>'HIRE CHARGES'!$F$533</f>
        <v>158.19999999999999</v>
      </c>
      <c r="G794" s="190">
        <f t="shared" si="10"/>
        <v>1265.5999999999999</v>
      </c>
    </row>
    <row r="795" spans="1:7">
      <c r="A795" s="26"/>
      <c r="B795" s="105">
        <v>5</v>
      </c>
      <c r="C795" s="76" t="s">
        <v>440</v>
      </c>
      <c r="D795" s="105" t="s">
        <v>1172</v>
      </c>
      <c r="E795" s="207">
        <v>1</v>
      </c>
      <c r="F795" s="190">
        <f>'BASIC DATA'!$C$474</f>
        <v>445</v>
      </c>
      <c r="G795" s="190">
        <f t="shared" si="10"/>
        <v>445</v>
      </c>
    </row>
    <row r="796" spans="1:7">
      <c r="A796" s="26"/>
      <c r="B796" s="105">
        <v>6</v>
      </c>
      <c r="C796" s="76" t="s">
        <v>4206</v>
      </c>
      <c r="D796" s="105" t="s">
        <v>1172</v>
      </c>
      <c r="E796" s="207">
        <v>1</v>
      </c>
      <c r="F796" s="190">
        <f>'BASIC DATA'!$C$473</f>
        <v>450</v>
      </c>
      <c r="G796" s="190">
        <f t="shared" si="10"/>
        <v>450</v>
      </c>
    </row>
    <row r="797" spans="1:7">
      <c r="A797" s="26"/>
      <c r="B797" s="105">
        <v>7</v>
      </c>
      <c r="C797" s="76" t="s">
        <v>2697</v>
      </c>
      <c r="D797" s="105"/>
      <c r="E797" s="207"/>
      <c r="F797" s="190"/>
      <c r="G797" s="190"/>
    </row>
    <row r="798" spans="1:7">
      <c r="A798" s="26"/>
      <c r="B798" s="317"/>
      <c r="C798" s="76" t="s">
        <v>441</v>
      </c>
      <c r="D798" s="105" t="s">
        <v>1172</v>
      </c>
      <c r="E798" s="207">
        <v>11</v>
      </c>
      <c r="F798" s="190">
        <f>'BASIC DATA'!$C$552</f>
        <v>350</v>
      </c>
      <c r="G798" s="190">
        <f t="shared" si="10"/>
        <v>3850</v>
      </c>
    </row>
    <row r="799" spans="1:7">
      <c r="A799" s="26"/>
      <c r="B799" s="317"/>
      <c r="C799" s="76" t="s">
        <v>442</v>
      </c>
      <c r="D799" s="105" t="s">
        <v>1172</v>
      </c>
      <c r="E799" s="207">
        <v>4</v>
      </c>
      <c r="F799" s="190">
        <f>'BASIC DATA'!$C$552</f>
        <v>350</v>
      </c>
      <c r="G799" s="190">
        <f t="shared" si="10"/>
        <v>1400</v>
      </c>
    </row>
    <row r="800" spans="1:7">
      <c r="A800" s="26"/>
      <c r="B800" s="317"/>
      <c r="C800" s="76" t="s">
        <v>5151</v>
      </c>
      <c r="D800" s="105" t="s">
        <v>1172</v>
      </c>
      <c r="E800" s="207">
        <v>3</v>
      </c>
      <c r="F800" s="190">
        <f>'BASIC DATA'!$C$552</f>
        <v>350</v>
      </c>
      <c r="G800" s="190">
        <f t="shared" si="10"/>
        <v>1050</v>
      </c>
    </row>
    <row r="801" spans="1:7">
      <c r="A801" s="26"/>
      <c r="B801" s="317"/>
      <c r="C801" s="76" t="s">
        <v>444</v>
      </c>
      <c r="D801" s="105" t="s">
        <v>1172</v>
      </c>
      <c r="E801" s="207">
        <f>F756</f>
        <v>14.4</v>
      </c>
      <c r="F801" s="190">
        <f>'BASIC DATA'!$C$552</f>
        <v>350</v>
      </c>
      <c r="G801" s="190">
        <f t="shared" si="10"/>
        <v>5040</v>
      </c>
    </row>
    <row r="802" spans="1:7">
      <c r="A802" s="26"/>
      <c r="B802" s="317"/>
      <c r="C802" s="76" t="s">
        <v>445</v>
      </c>
      <c r="D802" s="105" t="s">
        <v>1172</v>
      </c>
      <c r="E802" s="207">
        <v>1</v>
      </c>
      <c r="F802" s="190">
        <f>'BASIC DATA'!$C$552</f>
        <v>350</v>
      </c>
      <c r="G802" s="190">
        <f t="shared" si="10"/>
        <v>350</v>
      </c>
    </row>
    <row r="803" spans="1:7">
      <c r="A803" s="26"/>
      <c r="B803" s="105">
        <v>8</v>
      </c>
      <c r="C803" s="76" t="s">
        <v>7215</v>
      </c>
      <c r="D803" s="105" t="s">
        <v>3479</v>
      </c>
      <c r="E803" s="207">
        <f>F756</f>
        <v>14.4</v>
      </c>
      <c r="F803" s="190">
        <f>F751</f>
        <v>88.5</v>
      </c>
      <c r="G803" s="190">
        <f t="shared" si="10"/>
        <v>1274.4000000000001</v>
      </c>
    </row>
    <row r="804" spans="1:7">
      <c r="A804" s="26"/>
      <c r="B804" s="317"/>
      <c r="C804" s="76" t="s">
        <v>6402</v>
      </c>
      <c r="D804" s="224">
        <v>0.1</v>
      </c>
      <c r="E804" s="207"/>
      <c r="F804" s="190"/>
      <c r="G804" s="190">
        <f>G803*D804</f>
        <v>127.44000000000001</v>
      </c>
    </row>
    <row r="805" spans="1:7">
      <c r="A805" s="26"/>
      <c r="B805" s="92"/>
      <c r="C805" s="193" t="s">
        <v>1174</v>
      </c>
      <c r="D805" s="159"/>
      <c r="E805" s="238"/>
      <c r="F805" s="236" t="s">
        <v>1698</v>
      </c>
      <c r="G805" s="318">
        <f>SUM(G791:G804)</f>
        <v>17243.09</v>
      </c>
    </row>
    <row r="806" spans="1:7">
      <c r="A806" s="26"/>
      <c r="B806" s="60" t="s">
        <v>5948</v>
      </c>
      <c r="C806" s="26"/>
      <c r="D806" s="31"/>
      <c r="E806" s="85">
        <f>ROUND(G805/F756,1)</f>
        <v>1197.4000000000001</v>
      </c>
      <c r="F806" s="26"/>
      <c r="G806" s="26"/>
    </row>
    <row r="807" spans="1:7">
      <c r="A807" s="26"/>
      <c r="B807" s="60" t="s">
        <v>3163</v>
      </c>
      <c r="C807" s="26"/>
      <c r="D807" s="31">
        <f>'BASIC DATA'!$C$577</f>
        <v>0.13614999999999999</v>
      </c>
      <c r="E807" s="85">
        <f>ROUND(E806*D807,1)</f>
        <v>163</v>
      </c>
      <c r="F807" s="26"/>
      <c r="G807" s="26"/>
    </row>
    <row r="808" spans="1:7">
      <c r="A808" s="26"/>
      <c r="B808" s="60" t="s">
        <v>5949</v>
      </c>
      <c r="C808" s="26"/>
      <c r="D808" s="31"/>
      <c r="E808" s="199">
        <f>ROUND(E807+E806,1)</f>
        <v>1360.4</v>
      </c>
      <c r="F808" s="57"/>
      <c r="G808" s="26"/>
    </row>
    <row r="809" spans="1:7">
      <c r="A809" s="26"/>
      <c r="B809" s="26"/>
      <c r="C809" s="26"/>
      <c r="D809" s="26"/>
      <c r="E809" s="26"/>
      <c r="F809" s="26"/>
      <c r="G809" s="26"/>
    </row>
    <row r="810" spans="1:7">
      <c r="A810" s="26"/>
      <c r="B810" s="170" t="s">
        <v>1175</v>
      </c>
      <c r="C810" s="26"/>
      <c r="D810" s="26"/>
      <c r="E810" s="26"/>
      <c r="F810" s="26"/>
      <c r="G810" s="26"/>
    </row>
    <row r="811" spans="1:7">
      <c r="A811" s="26"/>
      <c r="B811" s="26" t="s">
        <v>5010</v>
      </c>
      <c r="C811" s="26"/>
      <c r="D811" s="26"/>
      <c r="E811" s="26"/>
      <c r="F811" s="171" t="s">
        <v>1698</v>
      </c>
      <c r="G811" s="68">
        <f>G773</f>
        <v>37881.589626096</v>
      </c>
    </row>
    <row r="812" spans="1:7">
      <c r="A812" s="26"/>
      <c r="B812" s="26" t="s">
        <v>1186</v>
      </c>
      <c r="C812" s="26"/>
      <c r="D812" s="26"/>
      <c r="E812" s="26"/>
      <c r="F812" s="171" t="s">
        <v>1698</v>
      </c>
      <c r="G812" s="68">
        <f>G786</f>
        <v>3049.5499999999997</v>
      </c>
    </row>
    <row r="813" spans="1:7">
      <c r="A813" s="26"/>
      <c r="B813" s="26" t="s">
        <v>2660</v>
      </c>
      <c r="C813" s="26"/>
      <c r="D813" s="26"/>
      <c r="E813" s="26"/>
      <c r="F813" s="171" t="s">
        <v>1698</v>
      </c>
      <c r="G813" s="75">
        <f>G805</f>
        <v>17243.09</v>
      </c>
    </row>
    <row r="814" spans="1:7">
      <c r="A814" s="26"/>
      <c r="B814" s="78"/>
      <c r="C814" s="26"/>
      <c r="D814" s="26"/>
      <c r="E814" s="171"/>
      <c r="F814" s="171" t="s">
        <v>302</v>
      </c>
      <c r="G814" s="205">
        <f>SUM(G811:G813)</f>
        <v>58174.229626095999</v>
      </c>
    </row>
    <row r="815" spans="1:7">
      <c r="A815" s="26"/>
      <c r="B815" s="1206" t="s">
        <v>1379</v>
      </c>
      <c r="C815" s="1206"/>
      <c r="D815" s="26"/>
      <c r="E815" s="249">
        <f>'BASIC DATA'!$C$577</f>
        <v>0.13614999999999999</v>
      </c>
      <c r="F815" s="26" t="s">
        <v>1698</v>
      </c>
      <c r="G815" s="26">
        <f>ROUND(G814*E815,2)</f>
        <v>7920.42</v>
      </c>
    </row>
    <row r="816" spans="1:7">
      <c r="A816" s="26"/>
      <c r="B816" s="26" t="s">
        <v>1191</v>
      </c>
      <c r="C816" s="26"/>
      <c r="D816" s="68">
        <f>F756</f>
        <v>14.4</v>
      </c>
      <c r="E816" s="68" t="str">
        <f>G756</f>
        <v>cum</v>
      </c>
      <c r="F816" s="26" t="s">
        <v>1698</v>
      </c>
      <c r="G816" s="211">
        <f>G815+G814</f>
        <v>66094.649626095998</v>
      </c>
    </row>
    <row r="817" spans="1:7">
      <c r="A817" s="26"/>
      <c r="B817" s="170" t="s">
        <v>1584</v>
      </c>
      <c r="C817" s="211" t="str">
        <f>E816</f>
        <v>cum</v>
      </c>
      <c r="D817" s="26" t="s">
        <v>7823</v>
      </c>
      <c r="E817" s="26"/>
      <c r="F817" s="26" t="s">
        <v>4108</v>
      </c>
      <c r="G817" s="211">
        <f>ROUND(G816/D816,1)</f>
        <v>4589.8999999999996</v>
      </c>
    </row>
    <row r="818" spans="1:7">
      <c r="A818" s="26"/>
      <c r="B818" s="78"/>
      <c r="C818" s="26"/>
      <c r="D818" s="26"/>
      <c r="E818" s="26"/>
      <c r="F818" s="26"/>
      <c r="G818" s="26"/>
    </row>
    <row r="819" spans="1:7">
      <c r="A819" s="26"/>
      <c r="B819" s="78"/>
      <c r="C819" s="26"/>
      <c r="D819" s="26"/>
      <c r="E819" s="26"/>
      <c r="F819" s="26"/>
      <c r="G819" s="26"/>
    </row>
    <row r="820" spans="1:7" ht="18.75">
      <c r="A820" s="78" t="s">
        <v>7544</v>
      </c>
      <c r="B820" s="26" t="s">
        <v>8774</v>
      </c>
      <c r="C820" s="26"/>
      <c r="D820" s="26"/>
      <c r="E820" s="26"/>
      <c r="F820" s="26"/>
      <c r="G820" s="26"/>
    </row>
    <row r="821" spans="1:7" ht="18.75">
      <c r="A821" s="78"/>
      <c r="B821" s="26" t="s">
        <v>8917</v>
      </c>
      <c r="C821" s="26"/>
      <c r="D821" s="26"/>
      <c r="E821" s="26"/>
      <c r="F821" s="26"/>
      <c r="G821" s="26"/>
    </row>
    <row r="822" spans="1:7">
      <c r="A822" s="78"/>
      <c r="B822" s="26" t="s">
        <v>7997</v>
      </c>
      <c r="C822" s="26"/>
      <c r="D822" s="26"/>
      <c r="E822" s="26"/>
      <c r="F822" s="26"/>
      <c r="G822" s="26"/>
    </row>
    <row r="823" spans="1:7">
      <c r="A823" s="78"/>
      <c r="B823" s="26" t="s">
        <v>6</v>
      </c>
      <c r="C823" s="26"/>
      <c r="D823" s="26"/>
      <c r="E823" s="26"/>
      <c r="F823" s="26"/>
      <c r="G823" s="26"/>
    </row>
    <row r="824" spans="1:7" ht="18.75">
      <c r="A824" s="78"/>
      <c r="B824" s="170" t="s">
        <v>8918</v>
      </c>
      <c r="C824" s="26"/>
      <c r="D824" s="26"/>
      <c r="E824" s="26"/>
      <c r="F824" s="26"/>
      <c r="G824" s="26"/>
    </row>
    <row r="825" spans="1:7">
      <c r="A825" s="78"/>
      <c r="B825" s="170" t="s">
        <v>6563</v>
      </c>
      <c r="C825" s="26"/>
      <c r="D825" s="26"/>
      <c r="E825" s="26"/>
      <c r="F825" s="26"/>
      <c r="G825" s="26"/>
    </row>
    <row r="826" spans="1:7">
      <c r="A826" s="62"/>
      <c r="B826" s="248" t="s">
        <v>4521</v>
      </c>
      <c r="C826" s="61"/>
      <c r="D826" s="61"/>
      <c r="E826" s="61"/>
      <c r="F826" s="61"/>
      <c r="G826" s="61"/>
    </row>
    <row r="827" spans="1:7">
      <c r="A827" s="78"/>
      <c r="B827" s="26"/>
      <c r="C827" s="26"/>
      <c r="D827" s="26"/>
      <c r="E827" s="26"/>
      <c r="F827" s="26"/>
      <c r="G827" s="26"/>
    </row>
    <row r="828" spans="1:7">
      <c r="A828" s="78" t="s">
        <v>3984</v>
      </c>
      <c r="B828" s="26" t="s">
        <v>5780</v>
      </c>
      <c r="C828" s="26"/>
      <c r="D828" s="26"/>
      <c r="E828" s="26"/>
      <c r="F828" s="26"/>
      <c r="G828" s="26"/>
    </row>
    <row r="829" spans="1:7">
      <c r="A829" s="78"/>
      <c r="B829" s="26" t="s">
        <v>3791</v>
      </c>
      <c r="C829" s="26"/>
      <c r="D829" s="26"/>
      <c r="E829" s="26"/>
      <c r="F829" s="26"/>
      <c r="G829" s="26"/>
    </row>
    <row r="830" spans="1:7">
      <c r="A830" s="78"/>
      <c r="B830" s="26" t="s">
        <v>7802</v>
      </c>
      <c r="C830" s="26"/>
      <c r="D830" s="26"/>
      <c r="E830" s="26"/>
      <c r="F830" s="26"/>
      <c r="G830" s="26"/>
    </row>
    <row r="831" spans="1:7">
      <c r="A831" s="78"/>
      <c r="B831" s="26" t="s">
        <v>7803</v>
      </c>
      <c r="C831" s="26"/>
      <c r="D831" s="26">
        <f>ROUND(50*9*8/220,2)</f>
        <v>16.36</v>
      </c>
      <c r="E831" s="26" t="s">
        <v>3760</v>
      </c>
      <c r="F831" s="26"/>
      <c r="G831" s="26"/>
    </row>
    <row r="832" spans="1:7">
      <c r="A832" s="78"/>
      <c r="B832" s="26" t="s">
        <v>2843</v>
      </c>
      <c r="C832" s="26"/>
      <c r="D832" s="26"/>
      <c r="E832" s="26"/>
      <c r="F832" s="26"/>
      <c r="G832" s="26"/>
    </row>
    <row r="833" spans="1:7">
      <c r="A833" s="78"/>
      <c r="B833" s="26" t="s">
        <v>994</v>
      </c>
      <c r="C833" s="26"/>
      <c r="D833" s="26"/>
      <c r="E833" s="26"/>
      <c r="F833" s="26"/>
      <c r="G833" s="26"/>
    </row>
    <row r="834" spans="1:7">
      <c r="A834" s="78"/>
      <c r="B834" s="26" t="s">
        <v>936</v>
      </c>
      <c r="C834" s="26"/>
      <c r="D834" s="26"/>
      <c r="E834" s="68">
        <f>G618</f>
        <v>224.56752690000002</v>
      </c>
      <c r="F834" s="26" t="s">
        <v>1168</v>
      </c>
      <c r="G834" s="26"/>
    </row>
    <row r="835" spans="1:7">
      <c r="A835" s="78"/>
      <c r="B835" s="26" t="s">
        <v>3792</v>
      </c>
      <c r="C835" s="26"/>
      <c r="D835" s="26"/>
      <c r="E835" s="26"/>
      <c r="F835" s="26"/>
      <c r="G835" s="26"/>
    </row>
    <row r="836" spans="1:7">
      <c r="A836" s="78"/>
      <c r="B836" s="26" t="s">
        <v>937</v>
      </c>
      <c r="C836" s="26"/>
      <c r="D836" s="26"/>
      <c r="E836" s="68">
        <f>G644</f>
        <v>88.5</v>
      </c>
      <c r="F836" s="26" t="s">
        <v>1168</v>
      </c>
      <c r="G836" s="26"/>
    </row>
    <row r="837" spans="1:7">
      <c r="A837" s="78"/>
      <c r="B837" s="26" t="s">
        <v>4666</v>
      </c>
      <c r="C837" s="26"/>
      <c r="D837" s="26"/>
      <c r="E837" s="26"/>
      <c r="F837" s="26"/>
      <c r="G837" s="26"/>
    </row>
    <row r="838" spans="1:7">
      <c r="A838" s="78"/>
      <c r="B838" s="26" t="s">
        <v>451</v>
      </c>
      <c r="C838" s="26"/>
      <c r="D838" s="26"/>
      <c r="E838" s="26"/>
      <c r="F838" s="26"/>
      <c r="G838" s="26"/>
    </row>
    <row r="839" spans="1:7">
      <c r="A839" s="78"/>
      <c r="B839" s="26" t="s">
        <v>938</v>
      </c>
      <c r="C839" s="26"/>
      <c r="D839" s="26"/>
      <c r="E839" s="26"/>
      <c r="F839" s="26"/>
      <c r="G839" s="26"/>
    </row>
    <row r="840" spans="1:7">
      <c r="A840" s="26"/>
      <c r="B840" s="78"/>
      <c r="C840" s="26"/>
      <c r="D840" s="26"/>
      <c r="E840" s="26"/>
      <c r="F840" s="26"/>
      <c r="G840" s="26"/>
    </row>
    <row r="841" spans="1:7">
      <c r="A841" s="78" t="s">
        <v>3984</v>
      </c>
      <c r="B841" s="78"/>
      <c r="C841" s="203" t="s">
        <v>2367</v>
      </c>
      <c r="D841" s="26"/>
      <c r="E841" s="171" t="s">
        <v>297</v>
      </c>
      <c r="F841" s="246">
        <f>D831</f>
        <v>16.36</v>
      </c>
      <c r="G841" s="26" t="s">
        <v>3477</v>
      </c>
    </row>
    <row r="842" spans="1:7">
      <c r="A842" s="26"/>
      <c r="B842" s="79" t="s">
        <v>2368</v>
      </c>
      <c r="C842" s="26"/>
      <c r="D842" s="26"/>
      <c r="E842" s="26"/>
      <c r="F842" s="26"/>
      <c r="G842" s="26"/>
    </row>
    <row r="843" spans="1:7">
      <c r="A843" s="26"/>
      <c r="B843" s="95" t="s">
        <v>2369</v>
      </c>
      <c r="C843" s="157" t="s">
        <v>4443</v>
      </c>
      <c r="D843" s="95" t="s">
        <v>2370</v>
      </c>
      <c r="E843" s="95" t="s">
        <v>1166</v>
      </c>
      <c r="F843" s="95" t="s">
        <v>2371</v>
      </c>
      <c r="G843" s="95" t="s">
        <v>2372</v>
      </c>
    </row>
    <row r="844" spans="1:7">
      <c r="A844" s="26"/>
      <c r="B844" s="114"/>
      <c r="C844" s="154"/>
      <c r="D844" s="114"/>
      <c r="E844" s="114"/>
      <c r="F844" s="114" t="s">
        <v>3485</v>
      </c>
      <c r="G844" s="114" t="s">
        <v>3485</v>
      </c>
    </row>
    <row r="845" spans="1:7">
      <c r="A845" s="26"/>
      <c r="B845" s="95">
        <v>1</v>
      </c>
      <c r="C845" s="135" t="s">
        <v>1048</v>
      </c>
      <c r="D845" s="95" t="s">
        <v>3478</v>
      </c>
      <c r="E845" s="190">
        <f>220*F841</f>
        <v>3599.2</v>
      </c>
      <c r="F845" s="214">
        <f>'BASIC DATA'!$D$32/1000</f>
        <v>5.35</v>
      </c>
      <c r="G845" s="190">
        <f>E845*F845</f>
        <v>19255.719999999998</v>
      </c>
    </row>
    <row r="846" spans="1:7">
      <c r="A846" s="26"/>
      <c r="B846" s="317"/>
      <c r="C846" s="135" t="s">
        <v>7212</v>
      </c>
      <c r="D846" s="105" t="s">
        <v>3478</v>
      </c>
      <c r="E846" s="190">
        <f>F841*3</f>
        <v>49.08</v>
      </c>
      <c r="F846" s="214">
        <f>'BASIC DATA'!$D$32/1000</f>
        <v>5.35</v>
      </c>
      <c r="G846" s="190">
        <f t="shared" ref="G846:G854" si="11">E846*F846</f>
        <v>262.57799999999997</v>
      </c>
    </row>
    <row r="847" spans="1:7">
      <c r="A847" s="26"/>
      <c r="B847" s="105">
        <v>2</v>
      </c>
      <c r="C847" s="135" t="s">
        <v>6996</v>
      </c>
      <c r="D847" s="105" t="s">
        <v>3477</v>
      </c>
      <c r="E847" s="190">
        <f>0.9*F841*0.5</f>
        <v>7.3620000000000001</v>
      </c>
      <c r="F847" s="214">
        <f>'BASIC DATA'!$D$36</f>
        <v>1175</v>
      </c>
      <c r="G847" s="190">
        <f t="shared" si="11"/>
        <v>8650.35</v>
      </c>
    </row>
    <row r="848" spans="1:7">
      <c r="A848" s="26"/>
      <c r="B848" s="317"/>
      <c r="C848" s="135" t="s">
        <v>6995</v>
      </c>
      <c r="D848" s="105" t="s">
        <v>3477</v>
      </c>
      <c r="E848" s="190">
        <f>0.9*F841*0.3</f>
        <v>4.4172000000000002</v>
      </c>
      <c r="F848" s="214">
        <f>'BASIC DATA'!$D$35</f>
        <v>1225</v>
      </c>
      <c r="G848" s="190">
        <f t="shared" si="11"/>
        <v>5411.0700000000006</v>
      </c>
    </row>
    <row r="849" spans="1:7">
      <c r="A849" s="26"/>
      <c r="B849" s="317"/>
      <c r="C849" s="135" t="s">
        <v>1050</v>
      </c>
      <c r="D849" s="105" t="s">
        <v>3477</v>
      </c>
      <c r="E849" s="190">
        <f>0.9*F841*0.2</f>
        <v>2.9448000000000003</v>
      </c>
      <c r="F849" s="214">
        <f>'BASIC DATA'!$D$34</f>
        <v>900</v>
      </c>
      <c r="G849" s="190">
        <f t="shared" si="11"/>
        <v>2650.32</v>
      </c>
    </row>
    <row r="850" spans="1:7">
      <c r="A850" s="61"/>
      <c r="B850" s="240">
        <v>3</v>
      </c>
      <c r="C850" s="326" t="s">
        <v>7941</v>
      </c>
      <c r="D850" s="240" t="s">
        <v>3477</v>
      </c>
      <c r="E850" s="255">
        <f>0.4*F841</f>
        <v>6.5440000000000005</v>
      </c>
      <c r="F850" s="266">
        <f>'BASIC DATA'!$D$55</f>
        <v>95</v>
      </c>
      <c r="G850" s="255">
        <f t="shared" si="11"/>
        <v>621.68000000000006</v>
      </c>
    </row>
    <row r="851" spans="1:7">
      <c r="A851" s="61"/>
      <c r="B851" s="240">
        <v>4</v>
      </c>
      <c r="C851" s="326" t="s">
        <v>523</v>
      </c>
      <c r="D851" s="240" t="s">
        <v>3478</v>
      </c>
      <c r="E851" s="255">
        <f>E845*0.4%</f>
        <v>14.396799999999999</v>
      </c>
      <c r="F851" s="266">
        <f>'BASIC DATA'!$D$99</f>
        <v>55</v>
      </c>
      <c r="G851" s="255">
        <f t="shared" si="11"/>
        <v>791.82399999999996</v>
      </c>
    </row>
    <row r="852" spans="1:7">
      <c r="A852" s="26"/>
      <c r="B852" s="105">
        <v>5</v>
      </c>
      <c r="C852" s="135" t="s">
        <v>7213</v>
      </c>
      <c r="D852" s="105" t="s">
        <v>3479</v>
      </c>
      <c r="E852" s="190">
        <f>F841</f>
        <v>16.36</v>
      </c>
      <c r="F852" s="214">
        <f>E834</f>
        <v>224.56752690000002</v>
      </c>
      <c r="G852" s="190">
        <f t="shared" si="11"/>
        <v>3673.924740084</v>
      </c>
    </row>
    <row r="853" spans="1:7">
      <c r="A853" s="26"/>
      <c r="B853" s="317"/>
      <c r="C853" s="135" t="s">
        <v>5408</v>
      </c>
      <c r="D853" s="224">
        <v>0.1</v>
      </c>
      <c r="E853" s="190"/>
      <c r="F853" s="214"/>
      <c r="G853" s="190">
        <f>G852*D853</f>
        <v>367.39247400840003</v>
      </c>
    </row>
    <row r="854" spans="1:7">
      <c r="A854" s="26"/>
      <c r="B854" s="114">
        <v>6</v>
      </c>
      <c r="C854" s="139" t="s">
        <v>2373</v>
      </c>
      <c r="D854" s="114" t="s">
        <v>2173</v>
      </c>
      <c r="E854" s="182">
        <v>0.5</v>
      </c>
      <c r="F854" s="215">
        <f>'BASIC DATA'!$D$359</f>
        <v>30</v>
      </c>
      <c r="G854" s="182">
        <f t="shared" si="11"/>
        <v>15</v>
      </c>
    </row>
    <row r="855" spans="1:7">
      <c r="A855" s="26"/>
      <c r="B855" s="93"/>
      <c r="C855" s="31" t="s">
        <v>6842</v>
      </c>
      <c r="D855" s="31" t="s">
        <v>4043</v>
      </c>
      <c r="E855" s="198"/>
      <c r="F855" s="327" t="s">
        <v>1698</v>
      </c>
      <c r="G855" s="190">
        <v>0</v>
      </c>
    </row>
    <row r="856" spans="1:7">
      <c r="A856" s="26"/>
      <c r="B856" s="93"/>
      <c r="C856" s="31" t="s">
        <v>6843</v>
      </c>
      <c r="D856" s="31" t="s">
        <v>4043</v>
      </c>
      <c r="E856" s="198"/>
      <c r="F856" s="327" t="s">
        <v>1698</v>
      </c>
      <c r="G856" s="190">
        <v>0</v>
      </c>
    </row>
    <row r="857" spans="1:7">
      <c r="A857" s="26"/>
      <c r="B857" s="92"/>
      <c r="C857" s="193" t="s">
        <v>2376</v>
      </c>
      <c r="D857" s="159"/>
      <c r="E857" s="238"/>
      <c r="F857" s="236" t="s">
        <v>1698</v>
      </c>
      <c r="G857" s="318">
        <f>SUM(G845:G856)</f>
        <v>41699.859214092401</v>
      </c>
    </row>
    <row r="858" spans="1:7">
      <c r="A858" s="26"/>
      <c r="B858" s="78"/>
      <c r="C858" s="26"/>
      <c r="D858" s="26"/>
      <c r="E858" s="26"/>
      <c r="F858" s="26"/>
      <c r="G858" s="26"/>
    </row>
    <row r="859" spans="1:7">
      <c r="A859" s="26"/>
      <c r="B859" s="79" t="s">
        <v>2377</v>
      </c>
      <c r="C859" s="26"/>
      <c r="D859" s="26"/>
      <c r="E859" s="26"/>
      <c r="F859" s="26"/>
      <c r="G859" s="26"/>
    </row>
    <row r="860" spans="1:7">
      <c r="A860" s="26"/>
      <c r="B860" s="95" t="s">
        <v>2369</v>
      </c>
      <c r="C860" s="157" t="s">
        <v>2378</v>
      </c>
      <c r="D860" s="95" t="s">
        <v>2370</v>
      </c>
      <c r="E860" s="95" t="s">
        <v>1166</v>
      </c>
      <c r="F860" s="95" t="s">
        <v>2371</v>
      </c>
      <c r="G860" s="95" t="s">
        <v>2372</v>
      </c>
    </row>
    <row r="861" spans="1:7">
      <c r="A861" s="26"/>
      <c r="B861" s="114"/>
      <c r="C861" s="154"/>
      <c r="D861" s="114"/>
      <c r="E861" s="114"/>
      <c r="F861" s="114" t="s">
        <v>3485</v>
      </c>
      <c r="G861" s="114" t="s">
        <v>3485</v>
      </c>
    </row>
    <row r="862" spans="1:7">
      <c r="A862" s="26"/>
      <c r="B862" s="95">
        <v>1</v>
      </c>
      <c r="C862" s="135" t="s">
        <v>7214</v>
      </c>
      <c r="D862" s="95" t="s">
        <v>2374</v>
      </c>
      <c r="E862" s="190">
        <v>8</v>
      </c>
      <c r="F862" s="190">
        <f>'HIRE CHARGES'!$D$507</f>
        <v>53.5</v>
      </c>
      <c r="G862" s="190">
        <f>E862*F862</f>
        <v>428</v>
      </c>
    </row>
    <row r="863" spans="1:7">
      <c r="A863" s="26"/>
      <c r="B863" s="317"/>
      <c r="C863" s="135" t="s">
        <v>2379</v>
      </c>
      <c r="D863" s="105" t="s">
        <v>2374</v>
      </c>
      <c r="E863" s="190">
        <v>8</v>
      </c>
      <c r="F863" s="190">
        <f>'HIRE CHARGES'!$E$507</f>
        <v>79.3</v>
      </c>
      <c r="G863" s="190">
        <f t="shared" ref="G863:G869" si="12">E863*F863</f>
        <v>634.4</v>
      </c>
    </row>
    <row r="864" spans="1:7">
      <c r="A864" s="26"/>
      <c r="B864" s="105">
        <v>2</v>
      </c>
      <c r="C864" s="135" t="s">
        <v>189</v>
      </c>
      <c r="D864" s="105" t="s">
        <v>2374</v>
      </c>
      <c r="E864" s="190">
        <v>0.5</v>
      </c>
      <c r="F864" s="190">
        <f>'HIRE CHARGES'!$D$517</f>
        <v>10.199999999999999</v>
      </c>
      <c r="G864" s="190">
        <f t="shared" si="12"/>
        <v>5.0999999999999996</v>
      </c>
    </row>
    <row r="865" spans="1:7">
      <c r="A865" s="26"/>
      <c r="B865" s="317"/>
      <c r="C865" s="135" t="s">
        <v>2379</v>
      </c>
      <c r="D865" s="105" t="s">
        <v>2374</v>
      </c>
      <c r="E865" s="190">
        <v>0.5</v>
      </c>
      <c r="F865" s="190">
        <f>'HIRE CHARGES'!$E$517</f>
        <v>79.3</v>
      </c>
      <c r="G865" s="190">
        <f t="shared" si="12"/>
        <v>39.65</v>
      </c>
    </row>
    <row r="866" spans="1:7">
      <c r="A866" s="26"/>
      <c r="B866" s="105">
        <v>3</v>
      </c>
      <c r="C866" s="135" t="s">
        <v>6286</v>
      </c>
      <c r="D866" s="105" t="s">
        <v>2374</v>
      </c>
      <c r="E866" s="190">
        <v>1</v>
      </c>
      <c r="F866" s="190">
        <f>'HIRE CHARGES'!$D$555</f>
        <v>402.5</v>
      </c>
      <c r="G866" s="190">
        <f t="shared" si="12"/>
        <v>402.5</v>
      </c>
    </row>
    <row r="867" spans="1:7">
      <c r="A867" s="26"/>
      <c r="B867" s="317"/>
      <c r="C867" s="135" t="s">
        <v>2379</v>
      </c>
      <c r="D867" s="105" t="s">
        <v>2374</v>
      </c>
      <c r="E867" s="190">
        <v>1</v>
      </c>
      <c r="F867" s="190">
        <f>'HIRE CHARGES'!$E$555</f>
        <v>299.89999999999998</v>
      </c>
      <c r="G867" s="190">
        <f t="shared" si="12"/>
        <v>299.89999999999998</v>
      </c>
    </row>
    <row r="868" spans="1:7">
      <c r="A868" s="26"/>
      <c r="B868" s="105">
        <v>4</v>
      </c>
      <c r="C868" s="135" t="s">
        <v>526</v>
      </c>
      <c r="D868" s="105" t="s">
        <v>2374</v>
      </c>
      <c r="E868" s="190">
        <v>8</v>
      </c>
      <c r="F868" s="190">
        <f>'HIRE CHARGES'!$D$531</f>
        <v>7.6</v>
      </c>
      <c r="G868" s="190">
        <f t="shared" si="12"/>
        <v>60.8</v>
      </c>
    </row>
    <row r="869" spans="1:7">
      <c r="A869" s="26"/>
      <c r="B869" s="275"/>
      <c r="C869" s="139" t="s">
        <v>2379</v>
      </c>
      <c r="D869" s="114" t="s">
        <v>2374</v>
      </c>
      <c r="E869" s="182">
        <v>8</v>
      </c>
      <c r="F869" s="182">
        <f>'HIRE CHARGES'!$E$531</f>
        <v>18.8</v>
      </c>
      <c r="G869" s="190">
        <f t="shared" si="12"/>
        <v>150.4</v>
      </c>
    </row>
    <row r="870" spans="1:7">
      <c r="A870" s="26"/>
      <c r="B870" s="176"/>
      <c r="C870" s="172" t="s">
        <v>2380</v>
      </c>
      <c r="D870" s="174"/>
      <c r="E870" s="192"/>
      <c r="F870" s="275" t="s">
        <v>1698</v>
      </c>
      <c r="G870" s="318">
        <f>SUM(G862:G869)</f>
        <v>2020.7500000000002</v>
      </c>
    </row>
    <row r="871" spans="1:7">
      <c r="A871" s="26"/>
      <c r="B871" s="78"/>
      <c r="C871" s="26"/>
      <c r="D871" s="26"/>
      <c r="E871" s="26"/>
      <c r="F871" s="26"/>
      <c r="G871" s="26"/>
    </row>
    <row r="872" spans="1:7">
      <c r="A872" s="26"/>
      <c r="B872" s="79" t="s">
        <v>2381</v>
      </c>
      <c r="C872" s="26"/>
      <c r="D872" s="26"/>
      <c r="E872" s="26"/>
      <c r="F872" s="26"/>
      <c r="G872" s="26"/>
    </row>
    <row r="873" spans="1:7">
      <c r="A873" s="26"/>
      <c r="B873" s="95" t="s">
        <v>2369</v>
      </c>
      <c r="C873" s="157" t="s">
        <v>2378</v>
      </c>
      <c r="D873" s="95" t="s">
        <v>2370</v>
      </c>
      <c r="E873" s="95" t="s">
        <v>1166</v>
      </c>
      <c r="F873" s="95" t="s">
        <v>2371</v>
      </c>
      <c r="G873" s="95" t="s">
        <v>2372</v>
      </c>
    </row>
    <row r="874" spans="1:7">
      <c r="A874" s="26"/>
      <c r="B874" s="114"/>
      <c r="C874" s="154"/>
      <c r="D874" s="114"/>
      <c r="E874" s="114"/>
      <c r="F874" s="114" t="s">
        <v>3485</v>
      </c>
      <c r="G874" s="114" t="s">
        <v>3485</v>
      </c>
    </row>
    <row r="875" spans="1:7">
      <c r="A875" s="26"/>
      <c r="B875" s="105">
        <v>1</v>
      </c>
      <c r="C875" s="76" t="s">
        <v>527</v>
      </c>
      <c r="D875" s="105" t="s">
        <v>2374</v>
      </c>
      <c r="E875" s="207">
        <v>8</v>
      </c>
      <c r="F875" s="190">
        <f>'HIRE CHARGES'!$F$507</f>
        <v>219.7</v>
      </c>
      <c r="G875" s="190">
        <f>E875*F875</f>
        <v>1757.6</v>
      </c>
    </row>
    <row r="876" spans="1:7">
      <c r="A876" s="26"/>
      <c r="B876" s="105">
        <v>2</v>
      </c>
      <c r="C876" s="76" t="s">
        <v>999</v>
      </c>
      <c r="D876" s="105" t="s">
        <v>2374</v>
      </c>
      <c r="E876" s="207">
        <v>0.5</v>
      </c>
      <c r="F876" s="190">
        <f>'HIRE CHARGES'!$F$517</f>
        <v>111.1</v>
      </c>
      <c r="G876" s="190">
        <f t="shared" ref="G876:G887" si="13">E876*F876</f>
        <v>55.55</v>
      </c>
    </row>
    <row r="877" spans="1:7">
      <c r="A877" s="26"/>
      <c r="B877" s="105">
        <v>3</v>
      </c>
      <c r="C877" s="76" t="s">
        <v>1000</v>
      </c>
      <c r="D877" s="105" t="s">
        <v>2374</v>
      </c>
      <c r="E877" s="207">
        <v>1</v>
      </c>
      <c r="F877" s="190">
        <f>'HIRE CHARGES'!$F$555</f>
        <v>177.5</v>
      </c>
      <c r="G877" s="190">
        <f t="shared" si="13"/>
        <v>177.5</v>
      </c>
    </row>
    <row r="878" spans="1:7">
      <c r="A878" s="26"/>
      <c r="B878" s="105">
        <v>4</v>
      </c>
      <c r="C878" s="76" t="s">
        <v>5148</v>
      </c>
      <c r="D878" s="105" t="s">
        <v>2374</v>
      </c>
      <c r="E878" s="207">
        <v>8</v>
      </c>
      <c r="F878" s="190">
        <f>'HIRE CHARGES'!$F$531</f>
        <v>158.19999999999999</v>
      </c>
      <c r="G878" s="190">
        <f t="shared" si="13"/>
        <v>1265.5999999999999</v>
      </c>
    </row>
    <row r="879" spans="1:7">
      <c r="A879" s="26"/>
      <c r="B879" s="105">
        <v>5</v>
      </c>
      <c r="C879" s="76" t="s">
        <v>440</v>
      </c>
      <c r="D879" s="105" t="s">
        <v>1172</v>
      </c>
      <c r="E879" s="207">
        <v>1</v>
      </c>
      <c r="F879" s="190">
        <f>'BASIC DATA'!$C$474</f>
        <v>445</v>
      </c>
      <c r="G879" s="190">
        <f t="shared" si="13"/>
        <v>445</v>
      </c>
    </row>
    <row r="880" spans="1:7">
      <c r="A880" s="26"/>
      <c r="B880" s="105">
        <v>6</v>
      </c>
      <c r="C880" s="76" t="s">
        <v>4206</v>
      </c>
      <c r="D880" s="105" t="s">
        <v>1172</v>
      </c>
      <c r="E880" s="207">
        <v>1</v>
      </c>
      <c r="F880" s="190">
        <f>'BASIC DATA'!$C$473</f>
        <v>450</v>
      </c>
      <c r="G880" s="190">
        <f t="shared" si="13"/>
        <v>450</v>
      </c>
    </row>
    <row r="881" spans="1:7">
      <c r="A881" s="26"/>
      <c r="B881" s="105">
        <v>7</v>
      </c>
      <c r="C881" s="76" t="s">
        <v>2697</v>
      </c>
      <c r="D881" s="105"/>
      <c r="E881" s="207"/>
      <c r="F881" s="190"/>
      <c r="G881" s="190"/>
    </row>
    <row r="882" spans="1:7">
      <c r="A882" s="26"/>
      <c r="B882" s="317"/>
      <c r="C882" s="76" t="s">
        <v>441</v>
      </c>
      <c r="D882" s="105" t="s">
        <v>1172</v>
      </c>
      <c r="E882" s="207">
        <v>11</v>
      </c>
      <c r="F882" s="190">
        <f>'BASIC DATA'!$C$552</f>
        <v>350</v>
      </c>
      <c r="G882" s="190">
        <f t="shared" si="13"/>
        <v>3850</v>
      </c>
    </row>
    <row r="883" spans="1:7">
      <c r="A883" s="26"/>
      <c r="B883" s="317"/>
      <c r="C883" s="76" t="s">
        <v>442</v>
      </c>
      <c r="D883" s="105" t="s">
        <v>1172</v>
      </c>
      <c r="E883" s="207">
        <v>4</v>
      </c>
      <c r="F883" s="190">
        <f>'BASIC DATA'!$C$552</f>
        <v>350</v>
      </c>
      <c r="G883" s="190">
        <f t="shared" si="13"/>
        <v>1400</v>
      </c>
    </row>
    <row r="884" spans="1:7">
      <c r="A884" s="26"/>
      <c r="B884" s="317"/>
      <c r="C884" s="76" t="s">
        <v>5151</v>
      </c>
      <c r="D884" s="105" t="s">
        <v>1172</v>
      </c>
      <c r="E884" s="207">
        <v>3</v>
      </c>
      <c r="F884" s="190">
        <f>'BASIC DATA'!$C$552</f>
        <v>350</v>
      </c>
      <c r="G884" s="190">
        <f t="shared" si="13"/>
        <v>1050</v>
      </c>
    </row>
    <row r="885" spans="1:7">
      <c r="A885" s="26"/>
      <c r="B885" s="317"/>
      <c r="C885" s="76" t="s">
        <v>444</v>
      </c>
      <c r="D885" s="105" t="s">
        <v>1172</v>
      </c>
      <c r="E885" s="207">
        <f>F841</f>
        <v>16.36</v>
      </c>
      <c r="F885" s="190">
        <f>'BASIC DATA'!$C$552</f>
        <v>350</v>
      </c>
      <c r="G885" s="190">
        <f t="shared" si="13"/>
        <v>5726</v>
      </c>
    </row>
    <row r="886" spans="1:7">
      <c r="A886" s="26"/>
      <c r="B886" s="105">
        <v>8</v>
      </c>
      <c r="C886" s="76" t="s">
        <v>445</v>
      </c>
      <c r="D886" s="105" t="s">
        <v>1172</v>
      </c>
      <c r="E886" s="207">
        <v>1</v>
      </c>
      <c r="F886" s="190">
        <f>'BASIC DATA'!$C$552</f>
        <v>350</v>
      </c>
      <c r="G886" s="190">
        <f t="shared" si="13"/>
        <v>350</v>
      </c>
    </row>
    <row r="887" spans="1:7">
      <c r="A887" s="26"/>
      <c r="B887" s="105">
        <v>9</v>
      </c>
      <c r="C887" s="76" t="s">
        <v>7215</v>
      </c>
      <c r="D887" s="105" t="s">
        <v>3479</v>
      </c>
      <c r="E887" s="207">
        <f>F841</f>
        <v>16.36</v>
      </c>
      <c r="F887" s="190">
        <f>E836</f>
        <v>88.5</v>
      </c>
      <c r="G887" s="190">
        <f t="shared" si="13"/>
        <v>1447.86</v>
      </c>
    </row>
    <row r="888" spans="1:7">
      <c r="A888" s="26"/>
      <c r="B888" s="92"/>
      <c r="C888" s="193" t="s">
        <v>1174</v>
      </c>
      <c r="D888" s="159"/>
      <c r="E888" s="238"/>
      <c r="F888" s="236" t="s">
        <v>1698</v>
      </c>
      <c r="G888" s="318">
        <f>SUM(G875:G887)</f>
        <v>17975.11</v>
      </c>
    </row>
    <row r="889" spans="1:7">
      <c r="A889" s="26"/>
      <c r="B889" s="60" t="s">
        <v>5948</v>
      </c>
      <c r="C889" s="31"/>
      <c r="D889" s="31"/>
      <c r="E889" s="85">
        <f>ROUND(G888/F841,1)</f>
        <v>1098.7</v>
      </c>
      <c r="F889" s="26"/>
      <c r="G889" s="26"/>
    </row>
    <row r="890" spans="1:7">
      <c r="A890" s="26"/>
      <c r="B890" s="60" t="s">
        <v>3163</v>
      </c>
      <c r="C890" s="31"/>
      <c r="D890" s="31">
        <f>'BASIC DATA'!$C$577</f>
        <v>0.13614999999999999</v>
      </c>
      <c r="E890" s="85">
        <f>ROUND(E889*D890,1)</f>
        <v>149.6</v>
      </c>
      <c r="F890" s="26"/>
      <c r="G890" s="26"/>
    </row>
    <row r="891" spans="1:7">
      <c r="A891" s="26"/>
      <c r="B891" s="60" t="s">
        <v>5949</v>
      </c>
      <c r="C891" s="31"/>
      <c r="D891" s="31"/>
      <c r="E891" s="199">
        <f>ROUND(E890+E889,1)</f>
        <v>1248.3</v>
      </c>
      <c r="F891" s="57"/>
      <c r="G891" s="26"/>
    </row>
    <row r="892" spans="1:7">
      <c r="A892" s="26"/>
      <c r="B892" s="78"/>
      <c r="C892" s="26"/>
      <c r="D892" s="26"/>
      <c r="E892" s="26"/>
      <c r="F892" s="26"/>
      <c r="G892" s="26"/>
    </row>
    <row r="893" spans="1:7">
      <c r="A893" s="26"/>
      <c r="B893" s="170" t="s">
        <v>1175</v>
      </c>
      <c r="C893" s="26"/>
      <c r="D893" s="26"/>
      <c r="E893" s="26"/>
      <c r="F893" s="26"/>
      <c r="G893" s="26"/>
    </row>
    <row r="894" spans="1:7">
      <c r="A894" s="26"/>
      <c r="B894" s="26" t="s">
        <v>5010</v>
      </c>
      <c r="C894" s="26"/>
      <c r="D894" s="26"/>
      <c r="E894" s="26"/>
      <c r="F894" s="171" t="s">
        <v>1698</v>
      </c>
      <c r="G894" s="68">
        <f>G857</f>
        <v>41699.859214092401</v>
      </c>
    </row>
    <row r="895" spans="1:7">
      <c r="A895" s="26"/>
      <c r="B895" s="26" t="s">
        <v>1186</v>
      </c>
      <c r="C895" s="26"/>
      <c r="D895" s="26"/>
      <c r="E895" s="26"/>
      <c r="F895" s="171" t="s">
        <v>1698</v>
      </c>
      <c r="G895" s="68">
        <f>G870</f>
        <v>2020.7500000000002</v>
      </c>
    </row>
    <row r="896" spans="1:7">
      <c r="A896" s="26"/>
      <c r="B896" s="26" t="s">
        <v>2660</v>
      </c>
      <c r="C896" s="26"/>
      <c r="D896" s="26"/>
      <c r="E896" s="26"/>
      <c r="F896" s="171" t="s">
        <v>1698</v>
      </c>
      <c r="G896" s="75">
        <f>G888</f>
        <v>17975.11</v>
      </c>
    </row>
    <row r="897" spans="1:7">
      <c r="A897" s="26"/>
      <c r="B897" s="78"/>
      <c r="C897" s="26"/>
      <c r="D897" s="26"/>
      <c r="E897" s="171"/>
      <c r="F897" s="171" t="s">
        <v>302</v>
      </c>
      <c r="G897" s="205">
        <f>SUM(G894:G896)</f>
        <v>61695.719214092402</v>
      </c>
    </row>
    <row r="898" spans="1:7">
      <c r="A898" s="26"/>
      <c r="B898" s="1206" t="s">
        <v>1379</v>
      </c>
      <c r="C898" s="1206"/>
      <c r="D898" s="26"/>
      <c r="E898" s="249">
        <f>'BASIC DATA'!$C$577</f>
        <v>0.13614999999999999</v>
      </c>
      <c r="F898" s="26" t="s">
        <v>1698</v>
      </c>
      <c r="G898" s="26">
        <f>ROUND(G897*E898,2)</f>
        <v>8399.8700000000008</v>
      </c>
    </row>
    <row r="899" spans="1:7">
      <c r="A899" s="26"/>
      <c r="B899" s="26" t="s">
        <v>1191</v>
      </c>
      <c r="C899" s="26"/>
      <c r="D899" s="68">
        <f>F841</f>
        <v>16.36</v>
      </c>
      <c r="E899" s="68" t="str">
        <f>G841</f>
        <v>cum</v>
      </c>
      <c r="F899" s="26" t="s">
        <v>1698</v>
      </c>
      <c r="G899" s="211">
        <f>G898+G897</f>
        <v>70095.589214092397</v>
      </c>
    </row>
    <row r="900" spans="1:7">
      <c r="A900" s="26"/>
      <c r="B900" s="170" t="s">
        <v>1584</v>
      </c>
      <c r="C900" s="211" t="str">
        <f>E899</f>
        <v>cum</v>
      </c>
      <c r="D900" s="26" t="s">
        <v>7676</v>
      </c>
      <c r="E900" s="26"/>
      <c r="F900" s="26" t="s">
        <v>4108</v>
      </c>
      <c r="G900" s="211">
        <f>ROUND(G899/D899,1)</f>
        <v>4284.6000000000004</v>
      </c>
    </row>
    <row r="901" spans="1:7">
      <c r="A901" s="26"/>
      <c r="B901" s="78"/>
      <c r="C901" s="26"/>
      <c r="D901" s="26"/>
      <c r="E901" s="26"/>
      <c r="F901" s="26"/>
      <c r="G901" s="26"/>
    </row>
    <row r="902" spans="1:7">
      <c r="A902" s="26"/>
      <c r="B902" s="78"/>
      <c r="C902" s="26"/>
      <c r="D902" s="26"/>
      <c r="E902" s="26"/>
      <c r="F902" s="26"/>
      <c r="G902" s="26"/>
    </row>
    <row r="903" spans="1:7" ht="18.75">
      <c r="A903" s="78" t="s">
        <v>7545</v>
      </c>
      <c r="B903" s="26" t="s">
        <v>8919</v>
      </c>
      <c r="C903" s="26"/>
      <c r="D903" s="26"/>
      <c r="E903" s="26"/>
      <c r="F903" s="26"/>
      <c r="G903" s="26"/>
    </row>
    <row r="904" spans="1:7" ht="18.75">
      <c r="A904" s="78"/>
      <c r="B904" s="26" t="s">
        <v>8920</v>
      </c>
      <c r="C904" s="26"/>
      <c r="D904" s="26"/>
      <c r="E904" s="26"/>
      <c r="F904" s="26"/>
      <c r="G904" s="26"/>
    </row>
    <row r="905" spans="1:7">
      <c r="A905" s="78"/>
      <c r="B905" s="26" t="s">
        <v>7997</v>
      </c>
      <c r="C905" s="26"/>
      <c r="D905" s="26"/>
      <c r="E905" s="26"/>
      <c r="F905" s="26"/>
      <c r="G905" s="26"/>
    </row>
    <row r="906" spans="1:7">
      <c r="A906" s="78"/>
      <c r="B906" s="26" t="s">
        <v>6</v>
      </c>
      <c r="C906" s="26"/>
      <c r="D906" s="26"/>
      <c r="E906" s="26"/>
      <c r="F906" s="26"/>
      <c r="G906" s="26"/>
    </row>
    <row r="907" spans="1:7" ht="18.75">
      <c r="A907" s="78"/>
      <c r="B907" s="170" t="s">
        <v>8918</v>
      </c>
      <c r="C907" s="26"/>
      <c r="D907" s="26"/>
      <c r="E907" s="26"/>
      <c r="F907" s="26"/>
      <c r="G907" s="26"/>
    </row>
    <row r="908" spans="1:7">
      <c r="A908" s="78"/>
      <c r="B908" s="170" t="s">
        <v>6563</v>
      </c>
      <c r="C908" s="26"/>
      <c r="D908" s="26"/>
      <c r="E908" s="26"/>
      <c r="F908" s="26"/>
      <c r="G908" s="26"/>
    </row>
    <row r="909" spans="1:7">
      <c r="A909" s="62"/>
      <c r="B909" s="248" t="s">
        <v>4220</v>
      </c>
      <c r="C909" s="61"/>
      <c r="D909" s="61"/>
      <c r="E909" s="61"/>
      <c r="F909" s="61"/>
      <c r="G909" s="61"/>
    </row>
    <row r="910" spans="1:7">
      <c r="A910" s="78"/>
      <c r="B910" s="26"/>
      <c r="C910" s="26"/>
      <c r="D910" s="26"/>
      <c r="E910" s="26"/>
      <c r="F910" s="26"/>
      <c r="G910" s="26"/>
    </row>
    <row r="911" spans="1:7">
      <c r="A911" s="78" t="s">
        <v>3984</v>
      </c>
      <c r="B911" s="26" t="s">
        <v>5780</v>
      </c>
      <c r="C911" s="26"/>
      <c r="D911" s="26"/>
      <c r="E911" s="26"/>
      <c r="F911" s="26"/>
      <c r="G911" s="26"/>
    </row>
    <row r="912" spans="1:7">
      <c r="A912" s="78"/>
      <c r="B912" s="26" t="s">
        <v>2071</v>
      </c>
      <c r="C912" s="26"/>
      <c r="D912" s="26"/>
      <c r="E912" s="26"/>
      <c r="F912" s="26"/>
      <c r="G912" s="26"/>
    </row>
    <row r="913" spans="1:7">
      <c r="A913" s="78"/>
      <c r="B913" s="26" t="s">
        <v>7824</v>
      </c>
      <c r="C913" s="26"/>
      <c r="D913" s="26"/>
      <c r="E913" s="26"/>
      <c r="F913" s="26"/>
      <c r="G913" s="26"/>
    </row>
    <row r="914" spans="1:7">
      <c r="A914" s="78"/>
      <c r="B914" s="26" t="s">
        <v>7825</v>
      </c>
      <c r="C914" s="26"/>
      <c r="D914" s="26">
        <f>ROUND(100*4*8/220,2)</f>
        <v>14.55</v>
      </c>
      <c r="E914" s="26" t="s">
        <v>3760</v>
      </c>
      <c r="F914" s="26"/>
      <c r="G914" s="26"/>
    </row>
    <row r="915" spans="1:7">
      <c r="A915" s="78"/>
      <c r="B915" s="26" t="s">
        <v>2843</v>
      </c>
      <c r="C915" s="26"/>
      <c r="D915" s="26"/>
      <c r="E915" s="26"/>
      <c r="F915" s="26"/>
      <c r="G915" s="26"/>
    </row>
    <row r="916" spans="1:7">
      <c r="A916" s="78"/>
      <c r="B916" s="26" t="s">
        <v>994</v>
      </c>
      <c r="C916" s="26"/>
      <c r="D916" s="26"/>
      <c r="E916" s="26"/>
      <c r="F916" s="26"/>
      <c r="G916" s="26"/>
    </row>
    <row r="917" spans="1:7">
      <c r="A917" s="78"/>
      <c r="B917" s="26" t="s">
        <v>936</v>
      </c>
      <c r="C917" s="26"/>
      <c r="D917" s="26"/>
      <c r="E917" s="68">
        <f>G618</f>
        <v>224.56752690000002</v>
      </c>
      <c r="F917" s="26" t="s">
        <v>1168</v>
      </c>
      <c r="G917" s="26"/>
    </row>
    <row r="918" spans="1:7">
      <c r="A918" s="78"/>
      <c r="B918" s="26" t="s">
        <v>2839</v>
      </c>
      <c r="C918" s="26"/>
      <c r="D918" s="26"/>
      <c r="E918" s="26"/>
      <c r="F918" s="26"/>
      <c r="G918" s="26"/>
    </row>
    <row r="919" spans="1:7">
      <c r="A919" s="78"/>
      <c r="B919" s="26" t="s">
        <v>939</v>
      </c>
      <c r="C919" s="26"/>
      <c r="D919" s="26"/>
      <c r="E919" s="68">
        <f>G644</f>
        <v>88.5</v>
      </c>
      <c r="F919" s="26" t="s">
        <v>1168</v>
      </c>
      <c r="G919" s="26"/>
    </row>
    <row r="920" spans="1:7">
      <c r="A920" s="78"/>
      <c r="B920" s="26" t="s">
        <v>4666</v>
      </c>
      <c r="C920" s="26"/>
      <c r="D920" s="26"/>
      <c r="E920" s="26"/>
      <c r="F920" s="26"/>
      <c r="G920" s="26"/>
    </row>
    <row r="921" spans="1:7">
      <c r="A921" s="78"/>
      <c r="B921" s="26" t="s">
        <v>451</v>
      </c>
      <c r="C921" s="26"/>
      <c r="D921" s="26"/>
      <c r="E921" s="26"/>
      <c r="F921" s="26"/>
      <c r="G921" s="26"/>
    </row>
    <row r="922" spans="1:7">
      <c r="A922" s="78"/>
      <c r="B922" s="26" t="s">
        <v>940</v>
      </c>
      <c r="C922" s="26"/>
      <c r="D922" s="26"/>
      <c r="E922" s="26"/>
      <c r="F922" s="26"/>
      <c r="G922" s="26"/>
    </row>
    <row r="923" spans="1:7">
      <c r="A923" s="26"/>
      <c r="B923" s="78"/>
      <c r="C923" s="26"/>
      <c r="D923" s="26"/>
      <c r="E923" s="26"/>
      <c r="F923" s="26"/>
      <c r="G923" s="26"/>
    </row>
    <row r="924" spans="1:7">
      <c r="A924" s="78" t="s">
        <v>3984</v>
      </c>
      <c r="B924" s="78"/>
      <c r="C924" s="203" t="s">
        <v>2367</v>
      </c>
      <c r="D924" s="26"/>
      <c r="E924" s="171" t="s">
        <v>297</v>
      </c>
      <c r="F924" s="246">
        <f>D914</f>
        <v>14.55</v>
      </c>
      <c r="G924" s="26" t="s">
        <v>3477</v>
      </c>
    </row>
    <row r="925" spans="1:7">
      <c r="A925" s="26"/>
      <c r="B925" s="79" t="s">
        <v>2368</v>
      </c>
      <c r="C925" s="26"/>
      <c r="D925" s="26"/>
      <c r="E925" s="26"/>
      <c r="F925" s="26"/>
      <c r="G925" s="26"/>
    </row>
    <row r="926" spans="1:7">
      <c r="A926" s="26"/>
      <c r="B926" s="95" t="s">
        <v>2369</v>
      </c>
      <c r="C926" s="157" t="s">
        <v>4443</v>
      </c>
      <c r="D926" s="95" t="s">
        <v>2370</v>
      </c>
      <c r="E926" s="95" t="s">
        <v>1166</v>
      </c>
      <c r="F926" s="95" t="s">
        <v>2371</v>
      </c>
      <c r="G926" s="95" t="s">
        <v>2372</v>
      </c>
    </row>
    <row r="927" spans="1:7">
      <c r="A927" s="26"/>
      <c r="B927" s="114"/>
      <c r="C927" s="154"/>
      <c r="D927" s="114"/>
      <c r="E927" s="114"/>
      <c r="F927" s="114" t="s">
        <v>3485</v>
      </c>
      <c r="G927" s="114" t="s">
        <v>3485</v>
      </c>
    </row>
    <row r="928" spans="1:7">
      <c r="A928" s="26"/>
      <c r="B928" s="95">
        <v>1</v>
      </c>
      <c r="C928" s="135" t="s">
        <v>1048</v>
      </c>
      <c r="D928" s="95" t="s">
        <v>3478</v>
      </c>
      <c r="E928" s="190">
        <f>220*F924</f>
        <v>3201</v>
      </c>
      <c r="F928" s="214">
        <f>'BASIC DATA'!$D$32/1000</f>
        <v>5.35</v>
      </c>
      <c r="G928" s="190">
        <f>E928*F928</f>
        <v>17125.349999999999</v>
      </c>
    </row>
    <row r="929" spans="1:7">
      <c r="A929" s="26"/>
      <c r="B929" s="317"/>
      <c r="C929" s="135" t="s">
        <v>7212</v>
      </c>
      <c r="D929" s="105" t="s">
        <v>3478</v>
      </c>
      <c r="E929" s="190">
        <f>F924*3</f>
        <v>43.650000000000006</v>
      </c>
      <c r="F929" s="214">
        <f>'BASIC DATA'!$D$32/1000</f>
        <v>5.35</v>
      </c>
      <c r="G929" s="190">
        <f t="shared" ref="G929:G938" si="14">E929*F929</f>
        <v>233.5275</v>
      </c>
    </row>
    <row r="930" spans="1:7">
      <c r="A930" s="26"/>
      <c r="B930" s="105">
        <v>2</v>
      </c>
      <c r="C930" s="135" t="s">
        <v>6997</v>
      </c>
      <c r="D930" s="105" t="s">
        <v>3477</v>
      </c>
      <c r="E930" s="190">
        <f>0.98*F924*0.35</f>
        <v>4.9906499999999996</v>
      </c>
      <c r="F930" s="214">
        <f>'BASIC DATA'!$D$37</f>
        <v>650</v>
      </c>
      <c r="G930" s="190">
        <f t="shared" si="14"/>
        <v>3243.9224999999997</v>
      </c>
    </row>
    <row r="931" spans="1:7">
      <c r="A931" s="26"/>
      <c r="B931" s="317"/>
      <c r="C931" s="135" t="s">
        <v>6996</v>
      </c>
      <c r="D931" s="105" t="s">
        <v>3477</v>
      </c>
      <c r="E931" s="190">
        <f>0.98*F924*0.3</f>
        <v>4.2777000000000003</v>
      </c>
      <c r="F931" s="214">
        <f>'BASIC DATA'!$D$36</f>
        <v>1175</v>
      </c>
      <c r="G931" s="190">
        <f t="shared" si="14"/>
        <v>5026.2975000000006</v>
      </c>
    </row>
    <row r="932" spans="1:7">
      <c r="A932" s="26"/>
      <c r="B932" s="317"/>
      <c r="C932" s="135" t="s">
        <v>6995</v>
      </c>
      <c r="D932" s="105" t="s">
        <v>3477</v>
      </c>
      <c r="E932" s="190">
        <f>0.98*F924*0.2</f>
        <v>2.8518000000000003</v>
      </c>
      <c r="F932" s="214">
        <f>'BASIC DATA'!$D$35</f>
        <v>1225</v>
      </c>
      <c r="G932" s="190">
        <f t="shared" si="14"/>
        <v>3493.4550000000004</v>
      </c>
    </row>
    <row r="933" spans="1:7">
      <c r="A933" s="26"/>
      <c r="B933" s="317"/>
      <c r="C933" s="135" t="s">
        <v>1050</v>
      </c>
      <c r="D933" s="105" t="s">
        <v>3477</v>
      </c>
      <c r="E933" s="190">
        <f>0.98*F924*0.15</f>
        <v>2.1388500000000001</v>
      </c>
      <c r="F933" s="214">
        <f>'BASIC DATA'!$D$34</f>
        <v>900</v>
      </c>
      <c r="G933" s="190">
        <f t="shared" si="14"/>
        <v>1924.9650000000001</v>
      </c>
    </row>
    <row r="934" spans="1:7">
      <c r="A934" s="61"/>
      <c r="B934" s="240">
        <v>3</v>
      </c>
      <c r="C934" s="326" t="s">
        <v>7941</v>
      </c>
      <c r="D934" s="240" t="s">
        <v>3477</v>
      </c>
      <c r="E934" s="255">
        <f>0.35*F924</f>
        <v>5.0925000000000002</v>
      </c>
      <c r="F934" s="266">
        <f>'BASIC DATA'!$D$55</f>
        <v>95</v>
      </c>
      <c r="G934" s="255">
        <f t="shared" si="14"/>
        <v>483.78750000000002</v>
      </c>
    </row>
    <row r="935" spans="1:7">
      <c r="A935" s="26"/>
      <c r="B935" s="105">
        <v>4</v>
      </c>
      <c r="C935" s="135" t="s">
        <v>523</v>
      </c>
      <c r="D935" s="105" t="s">
        <v>3478</v>
      </c>
      <c r="E935" s="190">
        <f>E928*0.4%</f>
        <v>12.804</v>
      </c>
      <c r="F935" s="214">
        <f>'BASIC DATA'!$D$99</f>
        <v>55</v>
      </c>
      <c r="G935" s="190">
        <f t="shared" si="14"/>
        <v>704.22</v>
      </c>
    </row>
    <row r="936" spans="1:7">
      <c r="A936" s="26"/>
      <c r="B936" s="105">
        <v>5</v>
      </c>
      <c r="C936" s="135" t="s">
        <v>7213</v>
      </c>
      <c r="D936" s="105" t="s">
        <v>3479</v>
      </c>
      <c r="E936" s="190">
        <f>F924</f>
        <v>14.55</v>
      </c>
      <c r="F936" s="214">
        <f>E917</f>
        <v>224.56752690000002</v>
      </c>
      <c r="G936" s="190">
        <f t="shared" si="14"/>
        <v>3267.4575163950003</v>
      </c>
    </row>
    <row r="937" spans="1:7">
      <c r="A937" s="26"/>
      <c r="B937" s="317"/>
      <c r="C937" s="135" t="s">
        <v>5408</v>
      </c>
      <c r="D937" s="224">
        <v>0.1</v>
      </c>
      <c r="E937" s="190"/>
      <c r="F937" s="214"/>
      <c r="G937" s="190">
        <f>G936*D937</f>
        <v>326.74575163950004</v>
      </c>
    </row>
    <row r="938" spans="1:7">
      <c r="A938" s="26"/>
      <c r="B938" s="114">
        <v>6</v>
      </c>
      <c r="C938" s="139" t="s">
        <v>2373</v>
      </c>
      <c r="D938" s="114" t="s">
        <v>2173</v>
      </c>
      <c r="E938" s="182">
        <v>0.5</v>
      </c>
      <c r="F938" s="215">
        <f>'BASIC DATA'!$D$359</f>
        <v>30</v>
      </c>
      <c r="G938" s="182">
        <f t="shared" si="14"/>
        <v>15</v>
      </c>
    </row>
    <row r="939" spans="1:7">
      <c r="A939" s="26"/>
      <c r="B939" s="93"/>
      <c r="C939" s="31" t="s">
        <v>6842</v>
      </c>
      <c r="D939" s="31" t="s">
        <v>4043</v>
      </c>
      <c r="E939" s="198"/>
      <c r="F939" s="327" t="s">
        <v>1698</v>
      </c>
      <c r="G939" s="190">
        <v>0</v>
      </c>
    </row>
    <row r="940" spans="1:7">
      <c r="A940" s="26"/>
      <c r="B940" s="93"/>
      <c r="C940" s="31" t="s">
        <v>6843</v>
      </c>
      <c r="D940" s="31" t="s">
        <v>4043</v>
      </c>
      <c r="E940" s="198"/>
      <c r="F940" s="327" t="s">
        <v>1698</v>
      </c>
      <c r="G940" s="190">
        <v>0</v>
      </c>
    </row>
    <row r="941" spans="1:7">
      <c r="A941" s="26"/>
      <c r="B941" s="92"/>
      <c r="C941" s="193" t="s">
        <v>2376</v>
      </c>
      <c r="D941" s="159"/>
      <c r="E941" s="238"/>
      <c r="F941" s="236" t="s">
        <v>1698</v>
      </c>
      <c r="G941" s="318">
        <f>SUM(G928:G940)</f>
        <v>35844.728268034502</v>
      </c>
    </row>
    <row r="942" spans="1:7">
      <c r="A942" s="26"/>
      <c r="B942" s="78"/>
      <c r="C942" s="26"/>
      <c r="D942" s="26"/>
      <c r="E942" s="26"/>
      <c r="F942" s="26"/>
      <c r="G942" s="26"/>
    </row>
    <row r="943" spans="1:7">
      <c r="A943" s="26"/>
      <c r="B943" s="79" t="s">
        <v>2377</v>
      </c>
      <c r="C943" s="26"/>
      <c r="D943" s="26"/>
      <c r="E943" s="26"/>
      <c r="F943" s="26"/>
      <c r="G943" s="26"/>
    </row>
    <row r="944" spans="1:7">
      <c r="A944" s="26"/>
      <c r="B944" s="95" t="s">
        <v>2369</v>
      </c>
      <c r="C944" s="157" t="s">
        <v>2378</v>
      </c>
      <c r="D944" s="95" t="s">
        <v>2370</v>
      </c>
      <c r="E944" s="95" t="s">
        <v>1166</v>
      </c>
      <c r="F944" s="95" t="s">
        <v>2371</v>
      </c>
      <c r="G944" s="95" t="s">
        <v>2372</v>
      </c>
    </row>
    <row r="945" spans="1:7">
      <c r="A945" s="26"/>
      <c r="B945" s="114"/>
      <c r="C945" s="154"/>
      <c r="D945" s="114"/>
      <c r="E945" s="114"/>
      <c r="F945" s="114" t="s">
        <v>3485</v>
      </c>
      <c r="G945" s="114" t="s">
        <v>3485</v>
      </c>
    </row>
    <row r="946" spans="1:7">
      <c r="A946" s="26"/>
      <c r="B946" s="95">
        <v>1</v>
      </c>
      <c r="C946" s="135" t="s">
        <v>525</v>
      </c>
      <c r="D946" s="95" t="s">
        <v>2374</v>
      </c>
      <c r="E946" s="190">
        <v>8</v>
      </c>
      <c r="F946" s="190">
        <f>'HIRE CHARGES'!$D$509</f>
        <v>92.7</v>
      </c>
      <c r="G946" s="190">
        <f>E946*F946</f>
        <v>741.6</v>
      </c>
    </row>
    <row r="947" spans="1:7">
      <c r="A947" s="26"/>
      <c r="B947" s="317"/>
      <c r="C947" s="135" t="s">
        <v>2379</v>
      </c>
      <c r="D947" s="105" t="s">
        <v>2374</v>
      </c>
      <c r="E947" s="190">
        <v>8</v>
      </c>
      <c r="F947" s="190">
        <f>'HIRE CHARGES'!$E$509</f>
        <v>158.69999999999999</v>
      </c>
      <c r="G947" s="190">
        <f t="shared" ref="G947:G953" si="15">E947*F947</f>
        <v>1269.5999999999999</v>
      </c>
    </row>
    <row r="948" spans="1:7">
      <c r="A948" s="26"/>
      <c r="B948" s="105">
        <v>2</v>
      </c>
      <c r="C948" s="135" t="s">
        <v>189</v>
      </c>
      <c r="D948" s="105" t="s">
        <v>2374</v>
      </c>
      <c r="E948" s="190">
        <v>0.5</v>
      </c>
      <c r="F948" s="190">
        <f>'HIRE CHARGES'!$D$517</f>
        <v>10.199999999999999</v>
      </c>
      <c r="G948" s="190">
        <f t="shared" si="15"/>
        <v>5.0999999999999996</v>
      </c>
    </row>
    <row r="949" spans="1:7">
      <c r="A949" s="26"/>
      <c r="B949" s="317"/>
      <c r="C949" s="135" t="s">
        <v>2379</v>
      </c>
      <c r="D949" s="105" t="s">
        <v>2374</v>
      </c>
      <c r="E949" s="190">
        <v>0.5</v>
      </c>
      <c r="F949" s="190">
        <f>'HIRE CHARGES'!$E$517</f>
        <v>79.3</v>
      </c>
      <c r="G949" s="190">
        <f t="shared" si="15"/>
        <v>39.65</v>
      </c>
    </row>
    <row r="950" spans="1:7">
      <c r="A950" s="26"/>
      <c r="B950" s="105">
        <v>3</v>
      </c>
      <c r="C950" s="135" t="s">
        <v>6286</v>
      </c>
      <c r="D950" s="105" t="s">
        <v>2374</v>
      </c>
      <c r="E950" s="190">
        <v>1</v>
      </c>
      <c r="F950" s="190">
        <f>'HIRE CHARGES'!$D$555</f>
        <v>402.5</v>
      </c>
      <c r="G950" s="190">
        <f t="shared" si="15"/>
        <v>402.5</v>
      </c>
    </row>
    <row r="951" spans="1:7">
      <c r="A951" s="26"/>
      <c r="B951" s="317"/>
      <c r="C951" s="135" t="s">
        <v>2379</v>
      </c>
      <c r="D951" s="105" t="s">
        <v>2374</v>
      </c>
      <c r="E951" s="190">
        <v>1</v>
      </c>
      <c r="F951" s="190">
        <f>'HIRE CHARGES'!$E$555</f>
        <v>299.89999999999998</v>
      </c>
      <c r="G951" s="190">
        <f t="shared" si="15"/>
        <v>299.89999999999998</v>
      </c>
    </row>
    <row r="952" spans="1:7">
      <c r="A952" s="26"/>
      <c r="B952" s="105">
        <v>4</v>
      </c>
      <c r="C952" s="135" t="s">
        <v>703</v>
      </c>
      <c r="D952" s="105" t="s">
        <v>2374</v>
      </c>
      <c r="E952" s="190">
        <v>8</v>
      </c>
      <c r="F952" s="190">
        <f>'HIRE CHARGES'!$D$533</f>
        <v>8.1999999999999993</v>
      </c>
      <c r="G952" s="190">
        <f t="shared" si="15"/>
        <v>65.599999999999994</v>
      </c>
    </row>
    <row r="953" spans="1:7">
      <c r="A953" s="26"/>
      <c r="B953" s="275"/>
      <c r="C953" s="139" t="s">
        <v>2379</v>
      </c>
      <c r="D953" s="114" t="s">
        <v>2374</v>
      </c>
      <c r="E953" s="182">
        <v>8</v>
      </c>
      <c r="F953" s="182">
        <f>'HIRE CHARGES'!$E$533</f>
        <v>28.2</v>
      </c>
      <c r="G953" s="190">
        <f t="shared" si="15"/>
        <v>225.6</v>
      </c>
    </row>
    <row r="954" spans="1:7">
      <c r="A954" s="26"/>
      <c r="B954" s="176"/>
      <c r="C954" s="172" t="s">
        <v>2380</v>
      </c>
      <c r="D954" s="174"/>
      <c r="E954" s="192"/>
      <c r="F954" s="275" t="s">
        <v>1698</v>
      </c>
      <c r="G954" s="318">
        <f>SUM(G946:G953)</f>
        <v>3049.5499999999997</v>
      </c>
    </row>
    <row r="955" spans="1:7">
      <c r="A955" s="26"/>
      <c r="B955" s="78"/>
      <c r="C955" s="26"/>
      <c r="D955" s="26"/>
      <c r="E955" s="26"/>
      <c r="F955" s="26"/>
      <c r="G955" s="26"/>
    </row>
    <row r="956" spans="1:7">
      <c r="A956" s="26"/>
      <c r="B956" s="79" t="s">
        <v>2381</v>
      </c>
      <c r="C956" s="26"/>
      <c r="D956" s="26"/>
      <c r="E956" s="26"/>
      <c r="F956" s="26"/>
      <c r="G956" s="26"/>
    </row>
    <row r="957" spans="1:7">
      <c r="A957" s="26"/>
      <c r="B957" s="95" t="s">
        <v>2369</v>
      </c>
      <c r="C957" s="157" t="s">
        <v>2378</v>
      </c>
      <c r="D957" s="95" t="s">
        <v>2370</v>
      </c>
      <c r="E957" s="95" t="s">
        <v>1166</v>
      </c>
      <c r="F957" s="95" t="s">
        <v>2371</v>
      </c>
      <c r="G957" s="95" t="s">
        <v>2372</v>
      </c>
    </row>
    <row r="958" spans="1:7">
      <c r="A958" s="26"/>
      <c r="B958" s="114"/>
      <c r="C958" s="154"/>
      <c r="D958" s="114"/>
      <c r="E958" s="114"/>
      <c r="F958" s="114" t="s">
        <v>3485</v>
      </c>
      <c r="G958" s="114" t="s">
        <v>3485</v>
      </c>
    </row>
    <row r="959" spans="1:7">
      <c r="A959" s="26"/>
      <c r="B959" s="105">
        <v>1</v>
      </c>
      <c r="C959" s="76" t="s">
        <v>527</v>
      </c>
      <c r="D959" s="105" t="s">
        <v>2374</v>
      </c>
      <c r="E959" s="207">
        <v>8</v>
      </c>
      <c r="F959" s="190">
        <f>'HIRE CHARGES'!$F$509</f>
        <v>219.7</v>
      </c>
      <c r="G959" s="190">
        <f>E959*F959</f>
        <v>1757.6</v>
      </c>
    </row>
    <row r="960" spans="1:7">
      <c r="A960" s="26"/>
      <c r="B960" s="105">
        <v>2</v>
      </c>
      <c r="C960" s="76" t="s">
        <v>999</v>
      </c>
      <c r="D960" s="105" t="s">
        <v>2374</v>
      </c>
      <c r="E960" s="207">
        <v>0.5</v>
      </c>
      <c r="F960" s="190">
        <f>'HIRE CHARGES'!$F$517</f>
        <v>111.1</v>
      </c>
      <c r="G960" s="190">
        <f t="shared" ref="G960:G971" si="16">E960*F960</f>
        <v>55.55</v>
      </c>
    </row>
    <row r="961" spans="1:7">
      <c r="A961" s="26"/>
      <c r="B961" s="105">
        <v>3</v>
      </c>
      <c r="C961" s="76" t="s">
        <v>1000</v>
      </c>
      <c r="D961" s="105" t="s">
        <v>2374</v>
      </c>
      <c r="E961" s="207">
        <v>1</v>
      </c>
      <c r="F961" s="190">
        <f>'HIRE CHARGES'!$F$555</f>
        <v>177.5</v>
      </c>
      <c r="G961" s="190">
        <f t="shared" si="16"/>
        <v>177.5</v>
      </c>
    </row>
    <row r="962" spans="1:7">
      <c r="A962" s="26"/>
      <c r="B962" s="105">
        <v>4</v>
      </c>
      <c r="C962" s="76" t="s">
        <v>5148</v>
      </c>
      <c r="D962" s="105" t="s">
        <v>2374</v>
      </c>
      <c r="E962" s="207">
        <v>8</v>
      </c>
      <c r="F962" s="190">
        <f>'HIRE CHARGES'!$F$533</f>
        <v>158.19999999999999</v>
      </c>
      <c r="G962" s="190">
        <f t="shared" si="16"/>
        <v>1265.5999999999999</v>
      </c>
    </row>
    <row r="963" spans="1:7">
      <c r="A963" s="26"/>
      <c r="B963" s="105">
        <v>5</v>
      </c>
      <c r="C963" s="76" t="s">
        <v>440</v>
      </c>
      <c r="D963" s="105" t="s">
        <v>1172</v>
      </c>
      <c r="E963" s="207">
        <v>1</v>
      </c>
      <c r="F963" s="190">
        <f>'BASIC DATA'!$C$474</f>
        <v>445</v>
      </c>
      <c r="G963" s="190">
        <f t="shared" si="16"/>
        <v>445</v>
      </c>
    </row>
    <row r="964" spans="1:7">
      <c r="A964" s="26"/>
      <c r="B964" s="105">
        <v>6</v>
      </c>
      <c r="C964" s="76" t="s">
        <v>4206</v>
      </c>
      <c r="D964" s="105" t="s">
        <v>1172</v>
      </c>
      <c r="E964" s="207">
        <v>1</v>
      </c>
      <c r="F964" s="190">
        <f>'BASIC DATA'!$C$473</f>
        <v>450</v>
      </c>
      <c r="G964" s="190">
        <f t="shared" si="16"/>
        <v>450</v>
      </c>
    </row>
    <row r="965" spans="1:7">
      <c r="A965" s="26"/>
      <c r="B965" s="105">
        <v>7</v>
      </c>
      <c r="C965" s="76" t="s">
        <v>2697</v>
      </c>
      <c r="D965" s="105"/>
      <c r="E965" s="207"/>
      <c r="F965" s="190"/>
      <c r="G965" s="190"/>
    </row>
    <row r="966" spans="1:7">
      <c r="A966" s="26"/>
      <c r="B966" s="317"/>
      <c r="C966" s="76" t="s">
        <v>441</v>
      </c>
      <c r="D966" s="105" t="s">
        <v>1172</v>
      </c>
      <c r="E966" s="207">
        <v>11</v>
      </c>
      <c r="F966" s="190">
        <f>'BASIC DATA'!$C$552</f>
        <v>350</v>
      </c>
      <c r="G966" s="190">
        <f t="shared" si="16"/>
        <v>3850</v>
      </c>
    </row>
    <row r="967" spans="1:7">
      <c r="A967" s="26"/>
      <c r="B967" s="317"/>
      <c r="C967" s="76" t="s">
        <v>442</v>
      </c>
      <c r="D967" s="105" t="s">
        <v>1172</v>
      </c>
      <c r="E967" s="207">
        <v>4</v>
      </c>
      <c r="F967" s="190">
        <f>'BASIC DATA'!$C$552</f>
        <v>350</v>
      </c>
      <c r="G967" s="190">
        <f t="shared" si="16"/>
        <v>1400</v>
      </c>
    </row>
    <row r="968" spans="1:7">
      <c r="A968" s="26"/>
      <c r="B968" s="317"/>
      <c r="C968" s="76" t="s">
        <v>5151</v>
      </c>
      <c r="D968" s="105" t="s">
        <v>1172</v>
      </c>
      <c r="E968" s="207">
        <v>3</v>
      </c>
      <c r="F968" s="190">
        <f>'BASIC DATA'!$C$552</f>
        <v>350</v>
      </c>
      <c r="G968" s="190">
        <f t="shared" si="16"/>
        <v>1050</v>
      </c>
    </row>
    <row r="969" spans="1:7">
      <c r="A969" s="26"/>
      <c r="B969" s="317"/>
      <c r="C969" s="76" t="s">
        <v>444</v>
      </c>
      <c r="D969" s="105" t="s">
        <v>1172</v>
      </c>
      <c r="E969" s="207">
        <f>F924</f>
        <v>14.55</v>
      </c>
      <c r="F969" s="190">
        <f>'BASIC DATA'!$C$552</f>
        <v>350</v>
      </c>
      <c r="G969" s="190">
        <f t="shared" si="16"/>
        <v>5092.5</v>
      </c>
    </row>
    <row r="970" spans="1:7">
      <c r="A970" s="26"/>
      <c r="B970" s="317"/>
      <c r="C970" s="76" t="s">
        <v>445</v>
      </c>
      <c r="D970" s="105" t="s">
        <v>1172</v>
      </c>
      <c r="E970" s="207">
        <v>1</v>
      </c>
      <c r="F970" s="190">
        <f>'BASIC DATA'!$C$552</f>
        <v>350</v>
      </c>
      <c r="G970" s="190">
        <f t="shared" si="16"/>
        <v>350</v>
      </c>
    </row>
    <row r="971" spans="1:7">
      <c r="A971" s="26"/>
      <c r="B971" s="105">
        <v>8</v>
      </c>
      <c r="C971" s="76" t="s">
        <v>7215</v>
      </c>
      <c r="D971" s="105" t="s">
        <v>3479</v>
      </c>
      <c r="E971" s="207">
        <f>F924</f>
        <v>14.55</v>
      </c>
      <c r="F971" s="190">
        <f>E919</f>
        <v>88.5</v>
      </c>
      <c r="G971" s="190">
        <f t="shared" si="16"/>
        <v>1287.675</v>
      </c>
    </row>
    <row r="972" spans="1:7">
      <c r="A972" s="26"/>
      <c r="B972" s="317"/>
      <c r="C972" s="76" t="s">
        <v>6402</v>
      </c>
      <c r="D972" s="224">
        <v>0.1</v>
      </c>
      <c r="E972" s="207"/>
      <c r="F972" s="190"/>
      <c r="G972" s="190">
        <f>G971*D972</f>
        <v>128.76750000000001</v>
      </c>
    </row>
    <row r="973" spans="1:7">
      <c r="A973" s="26"/>
      <c r="B973" s="92"/>
      <c r="C973" s="193" t="s">
        <v>1174</v>
      </c>
      <c r="D973" s="159"/>
      <c r="E973" s="238"/>
      <c r="F973" s="236" t="s">
        <v>1698</v>
      </c>
      <c r="G973" s="318">
        <f>SUM(G959:G972)</f>
        <v>17310.192500000001</v>
      </c>
    </row>
    <row r="974" spans="1:7">
      <c r="A974" s="26"/>
      <c r="B974" s="60" t="s">
        <v>5948</v>
      </c>
      <c r="C974" s="26"/>
      <c r="D974" s="31"/>
      <c r="E974" s="85">
        <f>ROUND(G973/F924,1)</f>
        <v>1189.7</v>
      </c>
      <c r="F974" s="26"/>
      <c r="G974" s="26"/>
    </row>
    <row r="975" spans="1:7">
      <c r="A975" s="26"/>
      <c r="B975" s="60" t="s">
        <v>3163</v>
      </c>
      <c r="C975" s="26"/>
      <c r="D975" s="31">
        <f>'BASIC DATA'!$C$577</f>
        <v>0.13614999999999999</v>
      </c>
      <c r="E975" s="85">
        <f>ROUND(E974*D975,1)</f>
        <v>162</v>
      </c>
      <c r="F975" s="26"/>
      <c r="G975" s="26"/>
    </row>
    <row r="976" spans="1:7">
      <c r="A976" s="26"/>
      <c r="B976" s="60" t="s">
        <v>5949</v>
      </c>
      <c r="C976" s="26"/>
      <c r="D976" s="31"/>
      <c r="E976" s="199">
        <f>ROUND(E975+E974,1)</f>
        <v>1351.7</v>
      </c>
      <c r="F976" s="57"/>
      <c r="G976" s="26"/>
    </row>
    <row r="977" spans="1:7">
      <c r="A977" s="26"/>
      <c r="B977" s="26"/>
      <c r="C977" s="26"/>
      <c r="D977" s="26"/>
      <c r="E977" s="26"/>
      <c r="F977" s="26"/>
      <c r="G977" s="26"/>
    </row>
    <row r="978" spans="1:7">
      <c r="A978" s="26"/>
      <c r="B978" s="170" t="s">
        <v>1175</v>
      </c>
      <c r="C978" s="26"/>
      <c r="D978" s="26"/>
      <c r="E978" s="26"/>
      <c r="F978" s="26"/>
      <c r="G978" s="26"/>
    </row>
    <row r="979" spans="1:7">
      <c r="A979" s="26"/>
      <c r="B979" s="26" t="s">
        <v>5010</v>
      </c>
      <c r="C979" s="26"/>
      <c r="D979" s="26"/>
      <c r="E979" s="26"/>
      <c r="F979" s="171" t="s">
        <v>1698</v>
      </c>
      <c r="G979" s="68">
        <f>G941</f>
        <v>35844.728268034502</v>
      </c>
    </row>
    <row r="980" spans="1:7">
      <c r="A980" s="26"/>
      <c r="B980" s="26" t="s">
        <v>1186</v>
      </c>
      <c r="C980" s="26"/>
      <c r="D980" s="26"/>
      <c r="E980" s="26"/>
      <c r="F980" s="171" t="s">
        <v>1698</v>
      </c>
      <c r="G980" s="68">
        <f>G954</f>
        <v>3049.5499999999997</v>
      </c>
    </row>
    <row r="981" spans="1:7">
      <c r="A981" s="26"/>
      <c r="B981" s="26" t="s">
        <v>2660</v>
      </c>
      <c r="C981" s="26"/>
      <c r="D981" s="26"/>
      <c r="E981" s="26"/>
      <c r="F981" s="171" t="s">
        <v>1698</v>
      </c>
      <c r="G981" s="75">
        <f>G973</f>
        <v>17310.192500000001</v>
      </c>
    </row>
    <row r="982" spans="1:7">
      <c r="A982" s="26"/>
      <c r="B982" s="78"/>
      <c r="C982" s="26"/>
      <c r="D982" s="26"/>
      <c r="E982" s="171"/>
      <c r="F982" s="171" t="s">
        <v>302</v>
      </c>
      <c r="G982" s="205">
        <f>SUM(G979:G981)</f>
        <v>56204.470768034502</v>
      </c>
    </row>
    <row r="983" spans="1:7">
      <c r="A983" s="26"/>
      <c r="B983" s="1206" t="s">
        <v>1379</v>
      </c>
      <c r="C983" s="1206"/>
      <c r="D983" s="26"/>
      <c r="E983" s="249">
        <f>'BASIC DATA'!$C$577</f>
        <v>0.13614999999999999</v>
      </c>
      <c r="F983" s="26" t="s">
        <v>1698</v>
      </c>
      <c r="G983" s="26">
        <f>ROUND(G982*E983,2)</f>
        <v>7652.24</v>
      </c>
    </row>
    <row r="984" spans="1:7">
      <c r="A984" s="26"/>
      <c r="B984" s="26" t="s">
        <v>1191</v>
      </c>
      <c r="C984" s="26"/>
      <c r="D984" s="68">
        <f>F924</f>
        <v>14.55</v>
      </c>
      <c r="E984" s="68" t="str">
        <f>G924</f>
        <v>cum</v>
      </c>
      <c r="F984" s="26" t="s">
        <v>1698</v>
      </c>
      <c r="G984" s="211">
        <f>G983+G982</f>
        <v>63856.7107680345</v>
      </c>
    </row>
    <row r="985" spans="1:7">
      <c r="A985" s="26"/>
      <c r="B985" s="170" t="s">
        <v>1584</v>
      </c>
      <c r="C985" s="211" t="str">
        <f>E984</f>
        <v>cum</v>
      </c>
      <c r="D985" s="26" t="s">
        <v>7826</v>
      </c>
      <c r="E985" s="26"/>
      <c r="F985" s="26" t="s">
        <v>4108</v>
      </c>
      <c r="G985" s="211">
        <f>ROUND(G984/D984,1)</f>
        <v>4388.8</v>
      </c>
    </row>
    <row r="986" spans="1:7">
      <c r="A986" s="26"/>
      <c r="B986" s="78"/>
      <c r="C986" s="26"/>
      <c r="D986" s="26"/>
      <c r="E986" s="26"/>
      <c r="F986" s="26"/>
      <c r="G986" s="26"/>
    </row>
    <row r="987" spans="1:7">
      <c r="A987" s="26"/>
      <c r="B987" s="78"/>
      <c r="C987" s="26"/>
      <c r="D987" s="26"/>
      <c r="E987" s="26"/>
      <c r="F987" s="26"/>
      <c r="G987" s="26"/>
    </row>
    <row r="988" spans="1:7" ht="18.75">
      <c r="A988" s="78" t="s">
        <v>7546</v>
      </c>
      <c r="B988" s="26" t="s">
        <v>8618</v>
      </c>
      <c r="C988" s="26"/>
      <c r="D988" s="26"/>
      <c r="E988" s="26"/>
      <c r="F988" s="26"/>
      <c r="G988" s="26"/>
    </row>
    <row r="989" spans="1:7" ht="18.75">
      <c r="A989" s="78"/>
      <c r="B989" s="26" t="s">
        <v>8921</v>
      </c>
      <c r="C989" s="26"/>
      <c r="D989" s="26"/>
      <c r="E989" s="26"/>
      <c r="F989" s="26"/>
      <c r="G989" s="26"/>
    </row>
    <row r="990" spans="1:7">
      <c r="A990" s="78"/>
      <c r="B990" s="26" t="s">
        <v>7997</v>
      </c>
      <c r="C990" s="26"/>
      <c r="D990" s="26"/>
      <c r="E990" s="26"/>
      <c r="F990" s="26"/>
      <c r="G990" s="26"/>
    </row>
    <row r="991" spans="1:7">
      <c r="A991" s="78"/>
      <c r="B991" s="26" t="s">
        <v>6</v>
      </c>
      <c r="C991" s="26"/>
      <c r="D991" s="26"/>
      <c r="E991" s="26"/>
      <c r="F991" s="26"/>
      <c r="G991" s="26"/>
    </row>
    <row r="992" spans="1:7" ht="18.75">
      <c r="A992" s="78"/>
      <c r="B992" s="26" t="s">
        <v>8922</v>
      </c>
      <c r="C992" s="26"/>
      <c r="D992" s="26"/>
      <c r="E992" s="26"/>
      <c r="F992" s="26"/>
      <c r="G992" s="26"/>
    </row>
    <row r="993" spans="1:7">
      <c r="A993" s="78"/>
      <c r="B993" s="170" t="s">
        <v>7804</v>
      </c>
      <c r="C993" s="26"/>
      <c r="D993" s="26"/>
      <c r="E993" s="26"/>
      <c r="F993" s="26"/>
      <c r="G993" s="26"/>
    </row>
    <row r="994" spans="1:7">
      <c r="A994" s="62"/>
      <c r="B994" s="248" t="s">
        <v>4521</v>
      </c>
      <c r="C994" s="61"/>
      <c r="D994" s="61"/>
      <c r="E994" s="61"/>
      <c r="F994" s="61"/>
      <c r="G994" s="61"/>
    </row>
    <row r="995" spans="1:7">
      <c r="A995" s="78"/>
      <c r="B995" s="26"/>
      <c r="C995" s="26"/>
      <c r="D995" s="26"/>
      <c r="E995" s="26"/>
      <c r="F995" s="26"/>
      <c r="G995" s="26"/>
    </row>
    <row r="996" spans="1:7">
      <c r="A996" s="78" t="s">
        <v>3984</v>
      </c>
      <c r="B996" s="26" t="s">
        <v>5780</v>
      </c>
      <c r="C996" s="26"/>
      <c r="D996" s="26"/>
      <c r="E996" s="26"/>
      <c r="F996" s="26"/>
      <c r="G996" s="26"/>
    </row>
    <row r="997" spans="1:7">
      <c r="A997" s="78"/>
      <c r="B997" s="26" t="s">
        <v>4664</v>
      </c>
      <c r="C997" s="26"/>
      <c r="D997" s="26"/>
      <c r="E997" s="26"/>
      <c r="F997" s="26"/>
      <c r="G997" s="26"/>
    </row>
    <row r="998" spans="1:7">
      <c r="A998" s="78"/>
      <c r="B998" s="26" t="s">
        <v>7805</v>
      </c>
      <c r="C998" s="26"/>
      <c r="D998" s="26"/>
      <c r="E998" s="26"/>
      <c r="F998" s="26"/>
      <c r="G998" s="26"/>
    </row>
    <row r="999" spans="1:7">
      <c r="A999" s="78"/>
      <c r="B999" s="26" t="s">
        <v>7806</v>
      </c>
      <c r="C999" s="26"/>
      <c r="D999" s="26">
        <f>ROUND(50*11*8/310,2)</f>
        <v>14.19</v>
      </c>
      <c r="E999" s="26" t="s">
        <v>3760</v>
      </c>
      <c r="F999" s="26"/>
      <c r="G999" s="26"/>
    </row>
    <row r="1000" spans="1:7">
      <c r="A1000" s="78"/>
      <c r="B1000" s="26" t="s">
        <v>2843</v>
      </c>
      <c r="C1000" s="26"/>
      <c r="D1000" s="26"/>
      <c r="E1000" s="26"/>
      <c r="F1000" s="26"/>
      <c r="G1000" s="26"/>
    </row>
    <row r="1001" spans="1:7">
      <c r="A1001" s="78"/>
      <c r="B1001" s="26" t="s">
        <v>3534</v>
      </c>
      <c r="C1001" s="26"/>
      <c r="D1001" s="26"/>
      <c r="E1001" s="26"/>
      <c r="F1001" s="26"/>
      <c r="G1001" s="26"/>
    </row>
    <row r="1002" spans="1:7">
      <c r="A1002" s="78"/>
      <c r="B1002" s="26" t="s">
        <v>941</v>
      </c>
      <c r="C1002" s="26"/>
      <c r="D1002" s="26"/>
      <c r="E1002" s="26"/>
      <c r="F1002" s="68">
        <f>G618</f>
        <v>224.56752690000002</v>
      </c>
      <c r="G1002" s="26" t="s">
        <v>1168</v>
      </c>
    </row>
    <row r="1003" spans="1:7">
      <c r="A1003" s="78"/>
      <c r="B1003" s="26" t="s">
        <v>3792</v>
      </c>
      <c r="C1003" s="26"/>
      <c r="D1003" s="26"/>
      <c r="E1003" s="26"/>
      <c r="F1003" s="26"/>
      <c r="G1003" s="26"/>
    </row>
    <row r="1004" spans="1:7">
      <c r="A1004" s="78"/>
      <c r="B1004" s="26" t="s">
        <v>942</v>
      </c>
      <c r="C1004" s="26"/>
      <c r="D1004" s="26"/>
      <c r="E1004" s="26"/>
      <c r="F1004" s="68">
        <f>G644</f>
        <v>88.5</v>
      </c>
      <c r="G1004" s="26" t="s">
        <v>1168</v>
      </c>
    </row>
    <row r="1005" spans="1:7">
      <c r="A1005" s="78"/>
      <c r="B1005" s="26" t="s">
        <v>6257</v>
      </c>
      <c r="C1005" s="26"/>
      <c r="D1005" s="26"/>
      <c r="E1005" s="26"/>
      <c r="F1005" s="26"/>
      <c r="G1005" s="26"/>
    </row>
    <row r="1006" spans="1:7">
      <c r="A1006" s="78"/>
      <c r="B1006" s="26" t="s">
        <v>451</v>
      </c>
      <c r="C1006" s="26"/>
      <c r="D1006" s="26"/>
      <c r="E1006" s="26"/>
      <c r="F1006" s="26"/>
      <c r="G1006" s="26"/>
    </row>
    <row r="1007" spans="1:7">
      <c r="A1007" s="78"/>
      <c r="B1007" s="26" t="s">
        <v>943</v>
      </c>
      <c r="C1007" s="26"/>
      <c r="D1007" s="26"/>
      <c r="E1007" s="26"/>
      <c r="F1007" s="26"/>
      <c r="G1007" s="26"/>
    </row>
    <row r="1008" spans="1:7">
      <c r="A1008" s="26"/>
      <c r="B1008" s="78"/>
      <c r="C1008" s="26"/>
      <c r="D1008" s="26"/>
      <c r="E1008" s="26"/>
      <c r="F1008" s="26"/>
      <c r="G1008" s="26"/>
    </row>
    <row r="1009" spans="1:7">
      <c r="A1009" s="78" t="s">
        <v>3984</v>
      </c>
      <c r="B1009" s="78"/>
      <c r="C1009" s="203" t="s">
        <v>2367</v>
      </c>
      <c r="D1009" s="26"/>
      <c r="E1009" s="171" t="s">
        <v>297</v>
      </c>
      <c r="F1009" s="246">
        <f>D999</f>
        <v>14.19</v>
      </c>
      <c r="G1009" s="26" t="s">
        <v>3477</v>
      </c>
    </row>
    <row r="1010" spans="1:7">
      <c r="A1010" s="26"/>
      <c r="B1010" s="79" t="s">
        <v>2368</v>
      </c>
      <c r="C1010" s="26"/>
      <c r="D1010" s="26"/>
      <c r="E1010" s="26"/>
      <c r="F1010" s="26"/>
      <c r="G1010" s="26"/>
    </row>
    <row r="1011" spans="1:7">
      <c r="A1011" s="26"/>
      <c r="B1011" s="95" t="s">
        <v>2369</v>
      </c>
      <c r="C1011" s="157" t="s">
        <v>4443</v>
      </c>
      <c r="D1011" s="95" t="s">
        <v>2370</v>
      </c>
      <c r="E1011" s="95" t="s">
        <v>1166</v>
      </c>
      <c r="F1011" s="95" t="s">
        <v>2371</v>
      </c>
      <c r="G1011" s="95" t="s">
        <v>2372</v>
      </c>
    </row>
    <row r="1012" spans="1:7">
      <c r="A1012" s="26"/>
      <c r="B1012" s="114"/>
      <c r="C1012" s="154"/>
      <c r="D1012" s="114"/>
      <c r="E1012" s="114"/>
      <c r="F1012" s="114" t="s">
        <v>3485</v>
      </c>
      <c r="G1012" s="114" t="s">
        <v>3485</v>
      </c>
    </row>
    <row r="1013" spans="1:7">
      <c r="A1013" s="26"/>
      <c r="B1013" s="95">
        <v>1</v>
      </c>
      <c r="C1013" s="135" t="s">
        <v>1048</v>
      </c>
      <c r="D1013" s="95" t="s">
        <v>3478</v>
      </c>
      <c r="E1013" s="190">
        <f>310*F1009</f>
        <v>4398.8999999999996</v>
      </c>
      <c r="F1013" s="214">
        <f>'BASIC DATA'!$D$32/1000</f>
        <v>5.35</v>
      </c>
      <c r="G1013" s="190">
        <f>E1013*F1013</f>
        <v>23534.114999999998</v>
      </c>
    </row>
    <row r="1014" spans="1:7">
      <c r="A1014" s="26"/>
      <c r="B1014" s="317"/>
      <c r="C1014" s="135" t="s">
        <v>7212</v>
      </c>
      <c r="D1014" s="105" t="s">
        <v>3478</v>
      </c>
      <c r="E1014" s="190">
        <f>F1009*3</f>
        <v>42.57</v>
      </c>
      <c r="F1014" s="214">
        <f>'BASIC DATA'!$D$32/1000</f>
        <v>5.35</v>
      </c>
      <c r="G1014" s="190">
        <f t="shared" ref="G1014:G1022" si="17">E1014*F1014</f>
        <v>227.74949999999998</v>
      </c>
    </row>
    <row r="1015" spans="1:7">
      <c r="A1015" s="26"/>
      <c r="B1015" s="105">
        <v>2</v>
      </c>
      <c r="C1015" s="135" t="s">
        <v>6996</v>
      </c>
      <c r="D1015" s="105" t="s">
        <v>3477</v>
      </c>
      <c r="E1015" s="190">
        <f>0.9*F1009*0.5</f>
        <v>6.3854999999999995</v>
      </c>
      <c r="F1015" s="214">
        <f>'BASIC DATA'!$D$36</f>
        <v>1175</v>
      </c>
      <c r="G1015" s="190">
        <f t="shared" si="17"/>
        <v>7502.9624999999996</v>
      </c>
    </row>
    <row r="1016" spans="1:7">
      <c r="A1016" s="26"/>
      <c r="B1016" s="317"/>
      <c r="C1016" s="135" t="s">
        <v>6995</v>
      </c>
      <c r="D1016" s="105" t="s">
        <v>3477</v>
      </c>
      <c r="E1016" s="190">
        <f>0.9*F1009*0.3</f>
        <v>3.8312999999999997</v>
      </c>
      <c r="F1016" s="214">
        <f>'BASIC DATA'!$D$35</f>
        <v>1225</v>
      </c>
      <c r="G1016" s="190">
        <f t="shared" si="17"/>
        <v>4693.3424999999997</v>
      </c>
    </row>
    <row r="1017" spans="1:7">
      <c r="A1017" s="26"/>
      <c r="B1017" s="317"/>
      <c r="C1017" s="135" t="s">
        <v>1050</v>
      </c>
      <c r="D1017" s="105" t="s">
        <v>3477</v>
      </c>
      <c r="E1017" s="190">
        <f>0.9*F1009*0.2</f>
        <v>2.5541999999999998</v>
      </c>
      <c r="F1017" s="214">
        <f>'BASIC DATA'!$D$34</f>
        <v>900</v>
      </c>
      <c r="G1017" s="190">
        <f t="shared" si="17"/>
        <v>2298.7799999999997</v>
      </c>
    </row>
    <row r="1018" spans="1:7">
      <c r="A1018" s="61"/>
      <c r="B1018" s="240">
        <v>3</v>
      </c>
      <c r="C1018" s="326" t="s">
        <v>7941</v>
      </c>
      <c r="D1018" s="240" t="s">
        <v>3477</v>
      </c>
      <c r="E1018" s="255">
        <f>0.4*F1009</f>
        <v>5.6760000000000002</v>
      </c>
      <c r="F1018" s="266">
        <f>'BASIC DATA'!$D$55</f>
        <v>95</v>
      </c>
      <c r="G1018" s="255">
        <f t="shared" si="17"/>
        <v>539.22</v>
      </c>
    </row>
    <row r="1019" spans="1:7">
      <c r="A1019" s="26"/>
      <c r="B1019" s="105">
        <v>4</v>
      </c>
      <c r="C1019" s="135" t="s">
        <v>523</v>
      </c>
      <c r="D1019" s="105" t="s">
        <v>3478</v>
      </c>
      <c r="E1019" s="190">
        <f>E1013*0.4%</f>
        <v>17.595599999999997</v>
      </c>
      <c r="F1019" s="214">
        <f>'BASIC DATA'!$D$99</f>
        <v>55</v>
      </c>
      <c r="G1019" s="190">
        <f t="shared" si="17"/>
        <v>967.75799999999981</v>
      </c>
    </row>
    <row r="1020" spans="1:7">
      <c r="A1020" s="26"/>
      <c r="B1020" s="105">
        <v>5</v>
      </c>
      <c r="C1020" s="135" t="s">
        <v>7213</v>
      </c>
      <c r="D1020" s="105" t="s">
        <v>3479</v>
      </c>
      <c r="E1020" s="190">
        <f>F1009</f>
        <v>14.19</v>
      </c>
      <c r="F1020" s="214">
        <f>F1002</f>
        <v>224.56752690000002</v>
      </c>
      <c r="G1020" s="190">
        <f t="shared" si="17"/>
        <v>3186.6132067110002</v>
      </c>
    </row>
    <row r="1021" spans="1:7">
      <c r="A1021" s="26"/>
      <c r="B1021" s="317"/>
      <c r="C1021" s="135" t="s">
        <v>5408</v>
      </c>
      <c r="D1021" s="224">
        <v>0.1</v>
      </c>
      <c r="E1021" s="190"/>
      <c r="F1021" s="214"/>
      <c r="G1021" s="190">
        <f>G1020*D1021</f>
        <v>318.66132067110004</v>
      </c>
    </row>
    <row r="1022" spans="1:7">
      <c r="A1022" s="26"/>
      <c r="B1022" s="114">
        <v>6</v>
      </c>
      <c r="C1022" s="139" t="s">
        <v>2373</v>
      </c>
      <c r="D1022" s="114" t="s">
        <v>2173</v>
      </c>
      <c r="E1022" s="182">
        <v>0.5</v>
      </c>
      <c r="F1022" s="215">
        <f>'BASIC DATA'!$D$359</f>
        <v>30</v>
      </c>
      <c r="G1022" s="182">
        <f t="shared" si="17"/>
        <v>15</v>
      </c>
    </row>
    <row r="1023" spans="1:7">
      <c r="A1023" s="26"/>
      <c r="B1023" s="93"/>
      <c r="C1023" s="31" t="s">
        <v>6842</v>
      </c>
      <c r="D1023" s="31" t="s">
        <v>4043</v>
      </c>
      <c r="E1023" s="198"/>
      <c r="F1023" s="327" t="s">
        <v>1698</v>
      </c>
      <c r="G1023" s="190">
        <v>0</v>
      </c>
    </row>
    <row r="1024" spans="1:7">
      <c r="A1024" s="26"/>
      <c r="B1024" s="93"/>
      <c r="C1024" s="31" t="s">
        <v>6843</v>
      </c>
      <c r="D1024" s="31" t="s">
        <v>4043</v>
      </c>
      <c r="E1024" s="198"/>
      <c r="F1024" s="327" t="s">
        <v>1698</v>
      </c>
      <c r="G1024" s="190">
        <v>0</v>
      </c>
    </row>
    <row r="1025" spans="1:7">
      <c r="A1025" s="26"/>
      <c r="B1025" s="92"/>
      <c r="C1025" s="193" t="s">
        <v>2376</v>
      </c>
      <c r="D1025" s="159"/>
      <c r="E1025" s="238"/>
      <c r="F1025" s="236" t="s">
        <v>1698</v>
      </c>
      <c r="G1025" s="318">
        <f>SUM(G1013:G1024)</f>
        <v>43284.202027382096</v>
      </c>
    </row>
    <row r="1026" spans="1:7">
      <c r="A1026" s="26"/>
      <c r="B1026" s="78"/>
      <c r="C1026" s="26"/>
      <c r="D1026" s="26"/>
      <c r="E1026" s="26"/>
      <c r="F1026" s="26"/>
      <c r="G1026" s="26"/>
    </row>
    <row r="1027" spans="1:7">
      <c r="A1027" s="26"/>
      <c r="B1027" s="79" t="s">
        <v>2377</v>
      </c>
      <c r="C1027" s="26"/>
      <c r="D1027" s="26"/>
      <c r="E1027" s="26"/>
      <c r="F1027" s="26"/>
      <c r="G1027" s="26"/>
    </row>
    <row r="1028" spans="1:7">
      <c r="A1028" s="26"/>
      <c r="B1028" s="95" t="s">
        <v>2369</v>
      </c>
      <c r="C1028" s="157" t="s">
        <v>2378</v>
      </c>
      <c r="D1028" s="95" t="s">
        <v>2370</v>
      </c>
      <c r="E1028" s="95" t="s">
        <v>1166</v>
      </c>
      <c r="F1028" s="95" t="s">
        <v>2371</v>
      </c>
      <c r="G1028" s="95" t="s">
        <v>2372</v>
      </c>
    </row>
    <row r="1029" spans="1:7">
      <c r="A1029" s="26"/>
      <c r="B1029" s="114"/>
      <c r="C1029" s="154"/>
      <c r="D1029" s="114"/>
      <c r="E1029" s="114"/>
      <c r="F1029" s="114" t="s">
        <v>3485</v>
      </c>
      <c r="G1029" s="114" t="s">
        <v>3485</v>
      </c>
    </row>
    <row r="1030" spans="1:7">
      <c r="A1030" s="26"/>
      <c r="B1030" s="95">
        <v>1</v>
      </c>
      <c r="C1030" s="135" t="s">
        <v>7214</v>
      </c>
      <c r="D1030" s="95" t="s">
        <v>2374</v>
      </c>
      <c r="E1030" s="190">
        <v>8</v>
      </c>
      <c r="F1030" s="190">
        <f>'HIRE CHARGES'!$D$507</f>
        <v>53.5</v>
      </c>
      <c r="G1030" s="190">
        <f>F1030*E1030</f>
        <v>428</v>
      </c>
    </row>
    <row r="1031" spans="1:7">
      <c r="A1031" s="26"/>
      <c r="B1031" s="317"/>
      <c r="C1031" s="135" t="s">
        <v>2379</v>
      </c>
      <c r="D1031" s="105" t="s">
        <v>2374</v>
      </c>
      <c r="E1031" s="190">
        <v>8</v>
      </c>
      <c r="F1031" s="190">
        <f>'HIRE CHARGES'!$E$507</f>
        <v>79.3</v>
      </c>
      <c r="G1031" s="190">
        <f t="shared" ref="G1031:G1037" si="18">F1031*E1031</f>
        <v>634.4</v>
      </c>
    </row>
    <row r="1032" spans="1:7">
      <c r="A1032" s="26"/>
      <c r="B1032" s="105">
        <v>2</v>
      </c>
      <c r="C1032" s="135" t="s">
        <v>189</v>
      </c>
      <c r="D1032" s="105" t="s">
        <v>2374</v>
      </c>
      <c r="E1032" s="190">
        <v>0.5</v>
      </c>
      <c r="F1032" s="190">
        <f>'HIRE CHARGES'!$D$517</f>
        <v>10.199999999999999</v>
      </c>
      <c r="G1032" s="190">
        <f t="shared" si="18"/>
        <v>5.0999999999999996</v>
      </c>
    </row>
    <row r="1033" spans="1:7">
      <c r="A1033" s="26"/>
      <c r="B1033" s="317"/>
      <c r="C1033" s="135" t="s">
        <v>2379</v>
      </c>
      <c r="D1033" s="105" t="s">
        <v>2374</v>
      </c>
      <c r="E1033" s="190">
        <v>0.5</v>
      </c>
      <c r="F1033" s="190">
        <f>'HIRE CHARGES'!$E$517</f>
        <v>79.3</v>
      </c>
      <c r="G1033" s="190">
        <f t="shared" si="18"/>
        <v>39.65</v>
      </c>
    </row>
    <row r="1034" spans="1:7">
      <c r="A1034" s="26"/>
      <c r="B1034" s="105">
        <v>3</v>
      </c>
      <c r="C1034" s="135" t="s">
        <v>6286</v>
      </c>
      <c r="D1034" s="105" t="s">
        <v>2374</v>
      </c>
      <c r="E1034" s="190">
        <v>1</v>
      </c>
      <c r="F1034" s="190">
        <f>'HIRE CHARGES'!$D$555</f>
        <v>402.5</v>
      </c>
      <c r="G1034" s="190">
        <f t="shared" si="18"/>
        <v>402.5</v>
      </c>
    </row>
    <row r="1035" spans="1:7">
      <c r="A1035" s="26"/>
      <c r="B1035" s="317"/>
      <c r="C1035" s="135" t="s">
        <v>2379</v>
      </c>
      <c r="D1035" s="105" t="s">
        <v>2374</v>
      </c>
      <c r="E1035" s="190">
        <v>1</v>
      </c>
      <c r="F1035" s="190">
        <f>'HIRE CHARGES'!$E$555</f>
        <v>299.89999999999998</v>
      </c>
      <c r="G1035" s="190">
        <f t="shared" si="18"/>
        <v>299.89999999999998</v>
      </c>
    </row>
    <row r="1036" spans="1:7">
      <c r="A1036" s="26"/>
      <c r="B1036" s="105">
        <v>4</v>
      </c>
      <c r="C1036" s="135" t="s">
        <v>526</v>
      </c>
      <c r="D1036" s="105" t="s">
        <v>2374</v>
      </c>
      <c r="E1036" s="190">
        <v>8</v>
      </c>
      <c r="F1036" s="190">
        <f>'HIRE CHARGES'!$D$531</f>
        <v>7.6</v>
      </c>
      <c r="G1036" s="190">
        <f t="shared" si="18"/>
        <v>60.8</v>
      </c>
    </row>
    <row r="1037" spans="1:7">
      <c r="A1037" s="26"/>
      <c r="B1037" s="275"/>
      <c r="C1037" s="139" t="s">
        <v>2379</v>
      </c>
      <c r="D1037" s="114" t="s">
        <v>2374</v>
      </c>
      <c r="E1037" s="182">
        <v>8</v>
      </c>
      <c r="F1037" s="182">
        <f>'HIRE CHARGES'!$E$531</f>
        <v>18.8</v>
      </c>
      <c r="G1037" s="190">
        <f t="shared" si="18"/>
        <v>150.4</v>
      </c>
    </row>
    <row r="1038" spans="1:7">
      <c r="A1038" s="26"/>
      <c r="B1038" s="176"/>
      <c r="C1038" s="172" t="s">
        <v>2380</v>
      </c>
      <c r="D1038" s="174"/>
      <c r="E1038" s="192"/>
      <c r="F1038" s="275" t="s">
        <v>1698</v>
      </c>
      <c r="G1038" s="318">
        <f>SUM(G1030:G1037)</f>
        <v>2020.7500000000002</v>
      </c>
    </row>
    <row r="1039" spans="1:7">
      <c r="A1039" s="26"/>
      <c r="B1039" s="78"/>
      <c r="C1039" s="26"/>
      <c r="D1039" s="26"/>
      <c r="E1039" s="26"/>
      <c r="F1039" s="26"/>
      <c r="G1039" s="26"/>
    </row>
    <row r="1040" spans="1:7">
      <c r="A1040" s="26"/>
      <c r="B1040" s="79" t="s">
        <v>2381</v>
      </c>
      <c r="C1040" s="26"/>
      <c r="D1040" s="26"/>
      <c r="E1040" s="26"/>
      <c r="F1040" s="26"/>
      <c r="G1040" s="26"/>
    </row>
    <row r="1041" spans="1:7">
      <c r="A1041" s="26"/>
      <c r="B1041" s="95" t="s">
        <v>2369</v>
      </c>
      <c r="C1041" s="157" t="s">
        <v>2378</v>
      </c>
      <c r="D1041" s="95" t="s">
        <v>2370</v>
      </c>
      <c r="E1041" s="95" t="s">
        <v>1166</v>
      </c>
      <c r="F1041" s="95" t="s">
        <v>2371</v>
      </c>
      <c r="G1041" s="95" t="s">
        <v>2372</v>
      </c>
    </row>
    <row r="1042" spans="1:7">
      <c r="A1042" s="26"/>
      <c r="B1042" s="114"/>
      <c r="C1042" s="154"/>
      <c r="D1042" s="114"/>
      <c r="E1042" s="114"/>
      <c r="F1042" s="114" t="s">
        <v>3485</v>
      </c>
      <c r="G1042" s="114" t="s">
        <v>3485</v>
      </c>
    </row>
    <row r="1043" spans="1:7">
      <c r="A1043" s="26"/>
      <c r="B1043" s="105">
        <v>1</v>
      </c>
      <c r="C1043" s="76" t="s">
        <v>527</v>
      </c>
      <c r="D1043" s="105" t="s">
        <v>2374</v>
      </c>
      <c r="E1043" s="207">
        <v>8</v>
      </c>
      <c r="F1043" s="190">
        <f>'HIRE CHARGES'!$F$507</f>
        <v>219.7</v>
      </c>
      <c r="G1043" s="190">
        <f>E1043*F1043</f>
        <v>1757.6</v>
      </c>
    </row>
    <row r="1044" spans="1:7">
      <c r="A1044" s="26"/>
      <c r="B1044" s="105">
        <v>2</v>
      </c>
      <c r="C1044" s="76" t="s">
        <v>999</v>
      </c>
      <c r="D1044" s="105" t="s">
        <v>2374</v>
      </c>
      <c r="E1044" s="207">
        <v>0.5</v>
      </c>
      <c r="F1044" s="190">
        <f>'HIRE CHARGES'!$F$517</f>
        <v>111.1</v>
      </c>
      <c r="G1044" s="190">
        <f t="shared" ref="G1044:G1055" si="19">E1044*F1044</f>
        <v>55.55</v>
      </c>
    </row>
    <row r="1045" spans="1:7">
      <c r="A1045" s="26"/>
      <c r="B1045" s="105">
        <v>3</v>
      </c>
      <c r="C1045" s="76" t="s">
        <v>1000</v>
      </c>
      <c r="D1045" s="105" t="s">
        <v>2374</v>
      </c>
      <c r="E1045" s="207">
        <v>1</v>
      </c>
      <c r="F1045" s="190">
        <f>'HIRE CHARGES'!$F$555</f>
        <v>177.5</v>
      </c>
      <c r="G1045" s="190">
        <f t="shared" si="19"/>
        <v>177.5</v>
      </c>
    </row>
    <row r="1046" spans="1:7">
      <c r="A1046" s="26"/>
      <c r="B1046" s="105">
        <v>4</v>
      </c>
      <c r="C1046" s="76" t="s">
        <v>5148</v>
      </c>
      <c r="D1046" s="105" t="s">
        <v>2374</v>
      </c>
      <c r="E1046" s="207">
        <v>8</v>
      </c>
      <c r="F1046" s="190">
        <f>'HIRE CHARGES'!$F$531</f>
        <v>158.19999999999999</v>
      </c>
      <c r="G1046" s="190">
        <f t="shared" si="19"/>
        <v>1265.5999999999999</v>
      </c>
    </row>
    <row r="1047" spans="1:7">
      <c r="A1047" s="26"/>
      <c r="B1047" s="105">
        <v>5</v>
      </c>
      <c r="C1047" s="76" t="s">
        <v>440</v>
      </c>
      <c r="D1047" s="105" t="s">
        <v>1172</v>
      </c>
      <c r="E1047" s="207">
        <v>1</v>
      </c>
      <c r="F1047" s="190">
        <f>'BASIC DATA'!$C$474</f>
        <v>445</v>
      </c>
      <c r="G1047" s="190">
        <f t="shared" si="19"/>
        <v>445</v>
      </c>
    </row>
    <row r="1048" spans="1:7">
      <c r="A1048" s="26"/>
      <c r="B1048" s="105">
        <v>6</v>
      </c>
      <c r="C1048" s="76" t="s">
        <v>4206</v>
      </c>
      <c r="D1048" s="105" t="s">
        <v>1172</v>
      </c>
      <c r="E1048" s="207">
        <v>1</v>
      </c>
      <c r="F1048" s="190">
        <f>'BASIC DATA'!$C$473</f>
        <v>450</v>
      </c>
      <c r="G1048" s="190">
        <f t="shared" si="19"/>
        <v>450</v>
      </c>
    </row>
    <row r="1049" spans="1:7">
      <c r="A1049" s="26"/>
      <c r="B1049" s="105">
        <v>7</v>
      </c>
      <c r="C1049" s="76" t="s">
        <v>2697</v>
      </c>
      <c r="D1049" s="105"/>
      <c r="E1049" s="207"/>
      <c r="F1049" s="190"/>
      <c r="G1049" s="190"/>
    </row>
    <row r="1050" spans="1:7">
      <c r="A1050" s="26"/>
      <c r="B1050" s="317"/>
      <c r="C1050" s="76" t="s">
        <v>441</v>
      </c>
      <c r="D1050" s="105" t="s">
        <v>1172</v>
      </c>
      <c r="E1050" s="207">
        <v>11</v>
      </c>
      <c r="F1050" s="190">
        <f>'BASIC DATA'!$C$552</f>
        <v>350</v>
      </c>
      <c r="G1050" s="190">
        <f t="shared" si="19"/>
        <v>3850</v>
      </c>
    </row>
    <row r="1051" spans="1:7">
      <c r="A1051" s="26"/>
      <c r="B1051" s="317"/>
      <c r="C1051" s="76" t="s">
        <v>442</v>
      </c>
      <c r="D1051" s="105" t="s">
        <v>1172</v>
      </c>
      <c r="E1051" s="207">
        <v>4</v>
      </c>
      <c r="F1051" s="190">
        <f>'BASIC DATA'!$C$552</f>
        <v>350</v>
      </c>
      <c r="G1051" s="190">
        <f t="shared" si="19"/>
        <v>1400</v>
      </c>
    </row>
    <row r="1052" spans="1:7">
      <c r="A1052" s="26"/>
      <c r="B1052" s="317"/>
      <c r="C1052" s="76" t="s">
        <v>5151</v>
      </c>
      <c r="D1052" s="105" t="s">
        <v>1172</v>
      </c>
      <c r="E1052" s="207">
        <v>3</v>
      </c>
      <c r="F1052" s="190">
        <f>'BASIC DATA'!$C$552</f>
        <v>350</v>
      </c>
      <c r="G1052" s="190">
        <f t="shared" si="19"/>
        <v>1050</v>
      </c>
    </row>
    <row r="1053" spans="1:7">
      <c r="A1053" s="26"/>
      <c r="B1053" s="317"/>
      <c r="C1053" s="76" t="s">
        <v>444</v>
      </c>
      <c r="D1053" s="105" t="s">
        <v>1172</v>
      </c>
      <c r="E1053" s="207">
        <f>F1009</f>
        <v>14.19</v>
      </c>
      <c r="F1053" s="190">
        <f>'BASIC DATA'!$C$552</f>
        <v>350</v>
      </c>
      <c r="G1053" s="190">
        <f t="shared" si="19"/>
        <v>4966.5</v>
      </c>
    </row>
    <row r="1054" spans="1:7">
      <c r="A1054" s="26"/>
      <c r="B1054" s="317"/>
      <c r="C1054" s="76" t="s">
        <v>445</v>
      </c>
      <c r="D1054" s="105" t="s">
        <v>1172</v>
      </c>
      <c r="E1054" s="207">
        <v>1</v>
      </c>
      <c r="F1054" s="190">
        <f>'BASIC DATA'!$C$552</f>
        <v>350</v>
      </c>
      <c r="G1054" s="190">
        <f t="shared" si="19"/>
        <v>350</v>
      </c>
    </row>
    <row r="1055" spans="1:7">
      <c r="A1055" s="26"/>
      <c r="B1055" s="105">
        <v>8</v>
      </c>
      <c r="C1055" s="76" t="s">
        <v>7215</v>
      </c>
      <c r="D1055" s="105" t="s">
        <v>3479</v>
      </c>
      <c r="E1055" s="207">
        <f>F1009</f>
        <v>14.19</v>
      </c>
      <c r="F1055" s="190">
        <f>F1004</f>
        <v>88.5</v>
      </c>
      <c r="G1055" s="190">
        <f t="shared" si="19"/>
        <v>1255.8150000000001</v>
      </c>
    </row>
    <row r="1056" spans="1:7">
      <c r="A1056" s="26"/>
      <c r="B1056" s="317"/>
      <c r="C1056" s="76" t="s">
        <v>6402</v>
      </c>
      <c r="D1056" s="224">
        <v>0.1</v>
      </c>
      <c r="E1056" s="207"/>
      <c r="F1056" s="190"/>
      <c r="G1056" s="190">
        <f>G1055*D1056</f>
        <v>125.58150000000001</v>
      </c>
    </row>
    <row r="1057" spans="1:7">
      <c r="A1057" s="26"/>
      <c r="B1057" s="92"/>
      <c r="C1057" s="193" t="s">
        <v>1174</v>
      </c>
      <c r="D1057" s="159"/>
      <c r="E1057" s="238"/>
      <c r="F1057" s="236" t="s">
        <v>1698</v>
      </c>
      <c r="G1057" s="318">
        <f>SUM(G1043:G1056)</f>
        <v>17149.146499999999</v>
      </c>
    </row>
    <row r="1058" spans="1:7">
      <c r="A1058" s="26"/>
      <c r="B1058" s="60" t="s">
        <v>5948</v>
      </c>
      <c r="C1058" s="26"/>
      <c r="D1058" s="31"/>
      <c r="E1058" s="85">
        <f>ROUND(G1057/F1009,1)</f>
        <v>1208.5</v>
      </c>
      <c r="F1058" s="26"/>
      <c r="G1058" s="26"/>
    </row>
    <row r="1059" spans="1:7">
      <c r="A1059" s="26"/>
      <c r="B1059" s="60" t="s">
        <v>3163</v>
      </c>
      <c r="C1059" s="26"/>
      <c r="D1059" s="31">
        <f>'BASIC DATA'!$C$577</f>
        <v>0.13614999999999999</v>
      </c>
      <c r="E1059" s="85">
        <f>ROUND(E1058*D1059,1)</f>
        <v>164.5</v>
      </c>
      <c r="F1059" s="26"/>
      <c r="G1059" s="26"/>
    </row>
    <row r="1060" spans="1:7">
      <c r="A1060" s="26"/>
      <c r="B1060" s="60" t="s">
        <v>5949</v>
      </c>
      <c r="C1060" s="26"/>
      <c r="D1060" s="31"/>
      <c r="E1060" s="199">
        <f>ROUND(E1059+E1058,1)</f>
        <v>1373</v>
      </c>
      <c r="F1060" s="57"/>
      <c r="G1060" s="26"/>
    </row>
    <row r="1061" spans="1:7">
      <c r="A1061" s="26"/>
      <c r="B1061" s="26"/>
      <c r="C1061" s="26"/>
      <c r="D1061" s="26"/>
      <c r="E1061" s="26"/>
      <c r="F1061" s="26"/>
      <c r="G1061" s="26"/>
    </row>
    <row r="1062" spans="1:7">
      <c r="A1062" s="26"/>
      <c r="B1062" s="170" t="s">
        <v>1175</v>
      </c>
      <c r="C1062" s="26"/>
      <c r="D1062" s="26"/>
      <c r="E1062" s="26"/>
      <c r="F1062" s="26"/>
      <c r="G1062" s="26"/>
    </row>
    <row r="1063" spans="1:7">
      <c r="A1063" s="26"/>
      <c r="B1063" s="26" t="s">
        <v>5010</v>
      </c>
      <c r="C1063" s="26"/>
      <c r="D1063" s="26"/>
      <c r="E1063" s="26"/>
      <c r="F1063" s="171" t="s">
        <v>1698</v>
      </c>
      <c r="G1063" s="68">
        <f>G1025</f>
        <v>43284.202027382096</v>
      </c>
    </row>
    <row r="1064" spans="1:7">
      <c r="A1064" s="26"/>
      <c r="B1064" s="26" t="s">
        <v>1186</v>
      </c>
      <c r="C1064" s="26"/>
      <c r="D1064" s="26"/>
      <c r="E1064" s="26"/>
      <c r="F1064" s="171" t="s">
        <v>1698</v>
      </c>
      <c r="G1064" s="68">
        <f>G1038</f>
        <v>2020.7500000000002</v>
      </c>
    </row>
    <row r="1065" spans="1:7">
      <c r="A1065" s="26"/>
      <c r="B1065" s="26" t="s">
        <v>2660</v>
      </c>
      <c r="C1065" s="26"/>
      <c r="D1065" s="26"/>
      <c r="E1065" s="26"/>
      <c r="F1065" s="171" t="s">
        <v>1698</v>
      </c>
      <c r="G1065" s="75">
        <f>G1057</f>
        <v>17149.146499999999</v>
      </c>
    </row>
    <row r="1066" spans="1:7">
      <c r="A1066" s="26"/>
      <c r="B1066" s="78"/>
      <c r="C1066" s="26"/>
      <c r="D1066" s="26"/>
      <c r="E1066" s="171"/>
      <c r="F1066" s="171" t="s">
        <v>302</v>
      </c>
      <c r="G1066" s="205">
        <f>SUM(G1063:G1065)</f>
        <v>62454.098527382099</v>
      </c>
    </row>
    <row r="1067" spans="1:7">
      <c r="A1067" s="26"/>
      <c r="B1067" s="1206" t="s">
        <v>1379</v>
      </c>
      <c r="C1067" s="1206"/>
      <c r="D1067" s="26"/>
      <c r="E1067" s="249">
        <f>'BASIC DATA'!$C$577</f>
        <v>0.13614999999999999</v>
      </c>
      <c r="F1067" s="26" t="s">
        <v>1698</v>
      </c>
      <c r="G1067" s="26">
        <f>ROUND(G1066*E1067,2)</f>
        <v>8503.1299999999992</v>
      </c>
    </row>
    <row r="1068" spans="1:7">
      <c r="A1068" s="26"/>
      <c r="B1068" s="26" t="s">
        <v>1191</v>
      </c>
      <c r="C1068" s="26"/>
      <c r="D1068" s="68">
        <f>F1009</f>
        <v>14.19</v>
      </c>
      <c r="E1068" s="68" t="str">
        <f>G1009</f>
        <v>cum</v>
      </c>
      <c r="F1068" s="26" t="s">
        <v>1698</v>
      </c>
      <c r="G1068" s="211">
        <f>G1067+G1066</f>
        <v>70957.228527382103</v>
      </c>
    </row>
    <row r="1069" spans="1:7">
      <c r="A1069" s="26"/>
      <c r="B1069" s="170" t="s">
        <v>1584</v>
      </c>
      <c r="C1069" s="211" t="str">
        <f>E1068</f>
        <v>cum</v>
      </c>
      <c r="D1069" s="26" t="s">
        <v>7807</v>
      </c>
      <c r="E1069" s="26"/>
      <c r="F1069" s="26" t="s">
        <v>4108</v>
      </c>
      <c r="G1069" s="211">
        <f>ROUND(G1068/D1068,1)</f>
        <v>5000.5</v>
      </c>
    </row>
    <row r="1070" spans="1:7">
      <c r="A1070" s="26"/>
      <c r="B1070" s="78"/>
      <c r="C1070" s="26"/>
      <c r="D1070" s="26"/>
      <c r="E1070" s="26"/>
      <c r="F1070" s="26"/>
      <c r="G1070" s="26"/>
    </row>
    <row r="1071" spans="1:7">
      <c r="A1071" s="26"/>
      <c r="B1071" s="78"/>
      <c r="C1071" s="26"/>
      <c r="D1071" s="26"/>
      <c r="E1071" s="26"/>
      <c r="F1071" s="26"/>
      <c r="G1071" s="26"/>
    </row>
    <row r="1072" spans="1:7" ht="18.75">
      <c r="A1072" s="78" t="s">
        <v>7547</v>
      </c>
      <c r="B1072" s="26" t="s">
        <v>8618</v>
      </c>
      <c r="C1072" s="26"/>
      <c r="D1072" s="26"/>
      <c r="E1072" s="26"/>
      <c r="F1072" s="26"/>
      <c r="G1072" s="26"/>
    </row>
    <row r="1073" spans="1:7" ht="18.75">
      <c r="A1073" s="78"/>
      <c r="B1073" s="26" t="s">
        <v>8921</v>
      </c>
      <c r="C1073" s="26"/>
      <c r="D1073" s="26"/>
      <c r="E1073" s="26"/>
      <c r="F1073" s="26"/>
      <c r="G1073" s="26"/>
    </row>
    <row r="1074" spans="1:7">
      <c r="A1074" s="78"/>
      <c r="B1074" s="26" t="s">
        <v>8923</v>
      </c>
      <c r="C1074" s="26"/>
      <c r="D1074" s="26"/>
      <c r="E1074" s="26"/>
      <c r="F1074" s="26"/>
      <c r="G1074" s="26"/>
    </row>
    <row r="1075" spans="1:7">
      <c r="A1075" s="78"/>
      <c r="B1075" s="26" t="s">
        <v>6528</v>
      </c>
      <c r="C1075" s="26"/>
      <c r="D1075" s="26"/>
      <c r="E1075" s="26"/>
      <c r="F1075" s="26"/>
      <c r="G1075" s="26"/>
    </row>
    <row r="1076" spans="1:7" ht="18.75">
      <c r="A1076" s="78"/>
      <c r="B1076" s="26" t="s">
        <v>8924</v>
      </c>
      <c r="C1076" s="26"/>
      <c r="D1076" s="26"/>
      <c r="E1076" s="26"/>
      <c r="F1076" s="26"/>
      <c r="G1076" s="26"/>
    </row>
    <row r="1077" spans="1:7">
      <c r="A1077" s="78"/>
      <c r="B1077" s="170" t="s">
        <v>7783</v>
      </c>
      <c r="C1077" s="26"/>
      <c r="D1077" s="26"/>
      <c r="E1077" s="26"/>
      <c r="F1077" s="26"/>
      <c r="G1077" s="26"/>
    </row>
    <row r="1078" spans="1:7">
      <c r="A1078" s="62"/>
      <c r="B1078" s="248" t="s">
        <v>4521</v>
      </c>
      <c r="C1078" s="61"/>
      <c r="D1078" s="61"/>
      <c r="E1078" s="61"/>
      <c r="F1078" s="61"/>
      <c r="G1078" s="61"/>
    </row>
    <row r="1079" spans="1:7">
      <c r="A1079" s="78"/>
      <c r="B1079" s="26"/>
      <c r="C1079" s="26"/>
      <c r="D1079" s="26"/>
      <c r="E1079" s="26"/>
      <c r="F1079" s="26"/>
      <c r="G1079" s="26"/>
    </row>
    <row r="1080" spans="1:7">
      <c r="A1080" s="78" t="s">
        <v>3984</v>
      </c>
      <c r="B1080" s="26" t="s">
        <v>5780</v>
      </c>
      <c r="C1080" s="26"/>
      <c r="D1080" s="26"/>
      <c r="E1080" s="26"/>
      <c r="F1080" s="26"/>
      <c r="G1080" s="26"/>
    </row>
    <row r="1081" spans="1:7">
      <c r="A1081" s="78"/>
      <c r="B1081" s="26" t="s">
        <v>5311</v>
      </c>
      <c r="C1081" s="26"/>
      <c r="D1081" s="26"/>
      <c r="E1081" s="26"/>
      <c r="F1081" s="26"/>
      <c r="G1081" s="26"/>
    </row>
    <row r="1082" spans="1:7">
      <c r="A1082" s="78"/>
      <c r="B1082" s="26" t="s">
        <v>7808</v>
      </c>
      <c r="C1082" s="26"/>
      <c r="D1082" s="26"/>
      <c r="E1082" s="26"/>
      <c r="F1082" s="26"/>
      <c r="G1082" s="26"/>
    </row>
    <row r="1083" spans="1:7">
      <c r="A1083" s="78"/>
      <c r="B1083" s="26" t="s">
        <v>7809</v>
      </c>
      <c r="C1083" s="26"/>
      <c r="D1083" s="26">
        <f>ROUND(50*12*8/320,2)</f>
        <v>15</v>
      </c>
      <c r="E1083" s="26" t="s">
        <v>3760</v>
      </c>
      <c r="F1083" s="26"/>
      <c r="G1083" s="26"/>
    </row>
    <row r="1084" spans="1:7">
      <c r="A1084" s="78"/>
      <c r="B1084" s="26" t="s">
        <v>2843</v>
      </c>
      <c r="C1084" s="26"/>
      <c r="D1084" s="26"/>
      <c r="E1084" s="26"/>
      <c r="F1084" s="26"/>
      <c r="G1084" s="26"/>
    </row>
    <row r="1085" spans="1:7">
      <c r="A1085" s="78"/>
      <c r="B1085" s="26" t="s">
        <v>5312</v>
      </c>
      <c r="C1085" s="26"/>
      <c r="D1085" s="26"/>
      <c r="E1085" s="26"/>
      <c r="F1085" s="26"/>
      <c r="G1085" s="26"/>
    </row>
    <row r="1086" spans="1:7">
      <c r="A1086" s="78"/>
      <c r="B1086" s="26" t="s">
        <v>944</v>
      </c>
      <c r="C1086" s="26"/>
      <c r="D1086" s="26"/>
      <c r="E1086" s="26"/>
      <c r="F1086" s="68">
        <f>G618</f>
        <v>224.56752690000002</v>
      </c>
      <c r="G1086" s="26" t="s">
        <v>1168</v>
      </c>
    </row>
    <row r="1087" spans="1:7">
      <c r="A1087" s="78"/>
      <c r="B1087" s="26" t="s">
        <v>5313</v>
      </c>
      <c r="C1087" s="26"/>
      <c r="D1087" s="26"/>
      <c r="E1087" s="26"/>
      <c r="F1087" s="26"/>
      <c r="G1087" s="26"/>
    </row>
    <row r="1088" spans="1:7">
      <c r="A1088" s="78"/>
      <c r="B1088" s="26" t="s">
        <v>942</v>
      </c>
      <c r="C1088" s="26"/>
      <c r="D1088" s="26"/>
      <c r="E1088" s="26"/>
      <c r="F1088" s="68">
        <f>G644</f>
        <v>88.5</v>
      </c>
      <c r="G1088" s="26" t="s">
        <v>1168</v>
      </c>
    </row>
    <row r="1089" spans="1:7">
      <c r="A1089" s="78"/>
      <c r="B1089" s="26" t="s">
        <v>5314</v>
      </c>
      <c r="C1089" s="26"/>
      <c r="D1089" s="26"/>
      <c r="E1089" s="26"/>
      <c r="F1089" s="26"/>
      <c r="G1089" s="26"/>
    </row>
    <row r="1090" spans="1:7">
      <c r="A1090" s="78"/>
      <c r="B1090" s="26" t="s">
        <v>451</v>
      </c>
      <c r="C1090" s="26"/>
      <c r="D1090" s="26"/>
      <c r="E1090" s="26"/>
      <c r="F1090" s="26"/>
      <c r="G1090" s="26"/>
    </row>
    <row r="1091" spans="1:7">
      <c r="A1091" s="78"/>
      <c r="B1091" s="26" t="s">
        <v>945</v>
      </c>
      <c r="C1091" s="26"/>
      <c r="D1091" s="26"/>
      <c r="E1091" s="26"/>
      <c r="F1091" s="26"/>
      <c r="G1091" s="26"/>
    </row>
    <row r="1092" spans="1:7">
      <c r="A1092" s="78"/>
      <c r="B1092" s="26" t="s">
        <v>6922</v>
      </c>
      <c r="C1092" s="26"/>
      <c r="D1092" s="26"/>
      <c r="E1092" s="26"/>
      <c r="F1092" s="26"/>
      <c r="G1092" s="26"/>
    </row>
    <row r="1093" spans="1:7">
      <c r="A1093" s="26"/>
      <c r="B1093" s="78"/>
      <c r="C1093" s="26"/>
      <c r="D1093" s="26"/>
      <c r="E1093" s="26"/>
      <c r="F1093" s="26"/>
      <c r="G1093" s="26"/>
    </row>
    <row r="1094" spans="1:7">
      <c r="A1094" s="78" t="s">
        <v>3984</v>
      </c>
      <c r="B1094" s="78"/>
      <c r="C1094" s="203" t="s">
        <v>2367</v>
      </c>
      <c r="D1094" s="26"/>
      <c r="E1094" s="171" t="s">
        <v>297</v>
      </c>
      <c r="F1094" s="246">
        <f>D1083</f>
        <v>15</v>
      </c>
      <c r="G1094" s="26" t="s">
        <v>3477</v>
      </c>
    </row>
    <row r="1095" spans="1:7">
      <c r="A1095" s="26"/>
      <c r="B1095" s="79" t="s">
        <v>2368</v>
      </c>
      <c r="C1095" s="26"/>
      <c r="D1095" s="26"/>
      <c r="E1095" s="26"/>
      <c r="F1095" s="26"/>
      <c r="G1095" s="26"/>
    </row>
    <row r="1096" spans="1:7">
      <c r="A1096" s="26"/>
      <c r="B1096" s="95" t="s">
        <v>2369</v>
      </c>
      <c r="C1096" s="157" t="s">
        <v>4443</v>
      </c>
      <c r="D1096" s="95" t="s">
        <v>2370</v>
      </c>
      <c r="E1096" s="95" t="s">
        <v>1166</v>
      </c>
      <c r="F1096" s="95" t="s">
        <v>2371</v>
      </c>
      <c r="G1096" s="95" t="s">
        <v>2372</v>
      </c>
    </row>
    <row r="1097" spans="1:7">
      <c r="A1097" s="26"/>
      <c r="B1097" s="114"/>
      <c r="C1097" s="154"/>
      <c r="D1097" s="114"/>
      <c r="E1097" s="114"/>
      <c r="F1097" s="114" t="s">
        <v>3485</v>
      </c>
      <c r="G1097" s="114" t="s">
        <v>3485</v>
      </c>
    </row>
    <row r="1098" spans="1:7">
      <c r="A1098" s="26"/>
      <c r="B1098" s="95">
        <v>1</v>
      </c>
      <c r="C1098" s="135" t="s">
        <v>1048</v>
      </c>
      <c r="D1098" s="95" t="s">
        <v>3478</v>
      </c>
      <c r="E1098" s="190">
        <f>320*F1094</f>
        <v>4800</v>
      </c>
      <c r="F1098" s="214">
        <f>'BASIC DATA'!$D$32/1000</f>
        <v>5.35</v>
      </c>
      <c r="G1098" s="190">
        <f>E1098*F1098</f>
        <v>25680</v>
      </c>
    </row>
    <row r="1099" spans="1:7">
      <c r="A1099" s="26"/>
      <c r="B1099" s="317"/>
      <c r="C1099" s="135" t="s">
        <v>1049</v>
      </c>
      <c r="D1099" s="105" t="s">
        <v>3478</v>
      </c>
      <c r="E1099" s="190">
        <f>F1094*5</f>
        <v>75</v>
      </c>
      <c r="F1099" s="214">
        <f>'BASIC DATA'!$D$32/1000</f>
        <v>5.35</v>
      </c>
      <c r="G1099" s="190">
        <f t="shared" ref="G1099:G1107" si="20">E1099*F1099</f>
        <v>401.25</v>
      </c>
    </row>
    <row r="1100" spans="1:7">
      <c r="A1100" s="26"/>
      <c r="B1100" s="105">
        <v>2</v>
      </c>
      <c r="C1100" s="135" t="s">
        <v>6996</v>
      </c>
      <c r="D1100" s="105" t="s">
        <v>3477</v>
      </c>
      <c r="E1100" s="190">
        <f>0.9*F1094*0.5</f>
        <v>6.75</v>
      </c>
      <c r="F1100" s="214">
        <f>'BASIC DATA'!$D$36</f>
        <v>1175</v>
      </c>
      <c r="G1100" s="190">
        <f t="shared" si="20"/>
        <v>7931.25</v>
      </c>
    </row>
    <row r="1101" spans="1:7">
      <c r="A1101" s="26"/>
      <c r="B1101" s="317"/>
      <c r="C1101" s="135" t="s">
        <v>6995</v>
      </c>
      <c r="D1101" s="105" t="s">
        <v>3477</v>
      </c>
      <c r="E1101" s="190">
        <f>0.9*F1094*0.3</f>
        <v>4.05</v>
      </c>
      <c r="F1101" s="214">
        <f>'BASIC DATA'!$D$35</f>
        <v>1225</v>
      </c>
      <c r="G1101" s="190">
        <f t="shared" si="20"/>
        <v>4961.25</v>
      </c>
    </row>
    <row r="1102" spans="1:7">
      <c r="A1102" s="26"/>
      <c r="B1102" s="317"/>
      <c r="C1102" s="135" t="s">
        <v>1050</v>
      </c>
      <c r="D1102" s="105" t="s">
        <v>3477</v>
      </c>
      <c r="E1102" s="190">
        <f>0.9*F1094*0.2</f>
        <v>2.7</v>
      </c>
      <c r="F1102" s="214">
        <f>'BASIC DATA'!$D$34</f>
        <v>900</v>
      </c>
      <c r="G1102" s="190">
        <f t="shared" si="20"/>
        <v>2430</v>
      </c>
    </row>
    <row r="1103" spans="1:7">
      <c r="A1103" s="61"/>
      <c r="B1103" s="240">
        <v>3</v>
      </c>
      <c r="C1103" s="326" t="s">
        <v>7941</v>
      </c>
      <c r="D1103" s="240" t="s">
        <v>3477</v>
      </c>
      <c r="E1103" s="255">
        <f>0.4*F1094</f>
        <v>6</v>
      </c>
      <c r="F1103" s="266">
        <f>'BASIC DATA'!$D$55</f>
        <v>95</v>
      </c>
      <c r="G1103" s="255">
        <f t="shared" si="20"/>
        <v>570</v>
      </c>
    </row>
    <row r="1104" spans="1:7">
      <c r="A1104" s="26"/>
      <c r="B1104" s="105">
        <v>4</v>
      </c>
      <c r="C1104" s="135" t="s">
        <v>523</v>
      </c>
      <c r="D1104" s="105" t="s">
        <v>3478</v>
      </c>
      <c r="E1104" s="190">
        <f>E1098*0.4%</f>
        <v>19.2</v>
      </c>
      <c r="F1104" s="214">
        <f>'BASIC DATA'!$D$99</f>
        <v>55</v>
      </c>
      <c r="G1104" s="190">
        <f t="shared" si="20"/>
        <v>1056</v>
      </c>
    </row>
    <row r="1105" spans="1:7">
      <c r="A1105" s="26"/>
      <c r="B1105" s="105">
        <v>5</v>
      </c>
      <c r="C1105" s="135" t="s">
        <v>5315</v>
      </c>
      <c r="D1105" s="105" t="s">
        <v>3479</v>
      </c>
      <c r="E1105" s="190">
        <f>F1094*2</f>
        <v>30</v>
      </c>
      <c r="F1105" s="214">
        <f>F1086</f>
        <v>224.56752690000002</v>
      </c>
      <c r="G1105" s="190">
        <f t="shared" si="20"/>
        <v>6737.0258070000009</v>
      </c>
    </row>
    <row r="1106" spans="1:7">
      <c r="A1106" s="26"/>
      <c r="B1106" s="317"/>
      <c r="C1106" s="135" t="s">
        <v>5408</v>
      </c>
      <c r="D1106" s="224">
        <v>0.25</v>
      </c>
      <c r="E1106" s="190"/>
      <c r="F1106" s="214"/>
      <c r="G1106" s="190">
        <f>G1105*D1106</f>
        <v>1684.2564517500002</v>
      </c>
    </row>
    <row r="1107" spans="1:7">
      <c r="A1107" s="26"/>
      <c r="B1107" s="114">
        <v>6</v>
      </c>
      <c r="C1107" s="139" t="s">
        <v>2373</v>
      </c>
      <c r="D1107" s="114" t="s">
        <v>2173</v>
      </c>
      <c r="E1107" s="182">
        <v>0.5</v>
      </c>
      <c r="F1107" s="215">
        <f>'BASIC DATA'!$D$359</f>
        <v>30</v>
      </c>
      <c r="G1107" s="182">
        <f t="shared" si="20"/>
        <v>15</v>
      </c>
    </row>
    <row r="1108" spans="1:7">
      <c r="A1108" s="26"/>
      <c r="B1108" s="93"/>
      <c r="C1108" s="31" t="s">
        <v>6842</v>
      </c>
      <c r="D1108" s="31" t="s">
        <v>4043</v>
      </c>
      <c r="E1108" s="198"/>
      <c r="F1108" s="327" t="s">
        <v>1698</v>
      </c>
      <c r="G1108" s="190">
        <v>0</v>
      </c>
    </row>
    <row r="1109" spans="1:7">
      <c r="A1109" s="26"/>
      <c r="B1109" s="93"/>
      <c r="C1109" s="31" t="s">
        <v>6843</v>
      </c>
      <c r="D1109" s="31" t="s">
        <v>4043</v>
      </c>
      <c r="E1109" s="198"/>
      <c r="F1109" s="327" t="s">
        <v>1698</v>
      </c>
      <c r="G1109" s="190">
        <v>0</v>
      </c>
    </row>
    <row r="1110" spans="1:7">
      <c r="A1110" s="26"/>
      <c r="B1110" s="92"/>
      <c r="C1110" s="193" t="s">
        <v>2376</v>
      </c>
      <c r="D1110" s="159"/>
      <c r="E1110" s="238"/>
      <c r="F1110" s="236" t="s">
        <v>1698</v>
      </c>
      <c r="G1110" s="318">
        <f>SUM(G1098:G1109)</f>
        <v>51466.032258749998</v>
      </c>
    </row>
    <row r="1111" spans="1:7">
      <c r="A1111" s="26"/>
      <c r="B1111" s="78"/>
      <c r="C1111" s="26"/>
      <c r="D1111" s="26"/>
      <c r="E1111" s="26"/>
      <c r="F1111" s="26"/>
      <c r="G1111" s="26"/>
    </row>
    <row r="1112" spans="1:7">
      <c r="A1112" s="26"/>
      <c r="B1112" s="79" t="s">
        <v>2377</v>
      </c>
      <c r="C1112" s="26"/>
      <c r="D1112" s="26"/>
      <c r="E1112" s="26"/>
      <c r="F1112" s="26"/>
      <c r="G1112" s="26"/>
    </row>
    <row r="1113" spans="1:7">
      <c r="A1113" s="26"/>
      <c r="B1113" s="95" t="s">
        <v>2369</v>
      </c>
      <c r="C1113" s="157" t="s">
        <v>2378</v>
      </c>
      <c r="D1113" s="95" t="s">
        <v>2370</v>
      </c>
      <c r="E1113" s="95" t="s">
        <v>1166</v>
      </c>
      <c r="F1113" s="95" t="s">
        <v>2371</v>
      </c>
      <c r="G1113" s="95" t="s">
        <v>2372</v>
      </c>
    </row>
    <row r="1114" spans="1:7">
      <c r="A1114" s="26"/>
      <c r="B1114" s="114"/>
      <c r="C1114" s="154"/>
      <c r="D1114" s="114"/>
      <c r="E1114" s="114"/>
      <c r="F1114" s="114" t="s">
        <v>3485</v>
      </c>
      <c r="G1114" s="114" t="s">
        <v>3485</v>
      </c>
    </row>
    <row r="1115" spans="1:7">
      <c r="A1115" s="26"/>
      <c r="B1115" s="95">
        <v>1</v>
      </c>
      <c r="C1115" s="135" t="s">
        <v>7214</v>
      </c>
      <c r="D1115" s="95" t="s">
        <v>2374</v>
      </c>
      <c r="E1115" s="190">
        <v>8</v>
      </c>
      <c r="F1115" s="190">
        <f>'HIRE CHARGES'!$D$507</f>
        <v>53.5</v>
      </c>
      <c r="G1115" s="190">
        <f>E1115*F1115</f>
        <v>428</v>
      </c>
    </row>
    <row r="1116" spans="1:7">
      <c r="A1116" s="26"/>
      <c r="B1116" s="317"/>
      <c r="C1116" s="135" t="s">
        <v>2379</v>
      </c>
      <c r="D1116" s="105" t="s">
        <v>2374</v>
      </c>
      <c r="E1116" s="190">
        <v>8</v>
      </c>
      <c r="F1116" s="190">
        <f>'HIRE CHARGES'!$E$507</f>
        <v>79.3</v>
      </c>
      <c r="G1116" s="190">
        <f t="shared" ref="G1116:G1122" si="21">E1116*F1116</f>
        <v>634.4</v>
      </c>
    </row>
    <row r="1117" spans="1:7">
      <c r="A1117" s="26"/>
      <c r="B1117" s="105">
        <v>2</v>
      </c>
      <c r="C1117" s="135" t="s">
        <v>189</v>
      </c>
      <c r="D1117" s="105" t="s">
        <v>2374</v>
      </c>
      <c r="E1117" s="190">
        <v>0.5</v>
      </c>
      <c r="F1117" s="190">
        <f>'HIRE CHARGES'!$D$517</f>
        <v>10.199999999999999</v>
      </c>
      <c r="G1117" s="190">
        <f t="shared" si="21"/>
        <v>5.0999999999999996</v>
      </c>
    </row>
    <row r="1118" spans="1:7">
      <c r="A1118" s="26"/>
      <c r="B1118" s="317"/>
      <c r="C1118" s="135" t="s">
        <v>2379</v>
      </c>
      <c r="D1118" s="105" t="s">
        <v>2374</v>
      </c>
      <c r="E1118" s="190">
        <v>0.5</v>
      </c>
      <c r="F1118" s="190">
        <f>'HIRE CHARGES'!$E$517</f>
        <v>79.3</v>
      </c>
      <c r="G1118" s="190">
        <f t="shared" si="21"/>
        <v>39.65</v>
      </c>
    </row>
    <row r="1119" spans="1:7">
      <c r="A1119" s="26"/>
      <c r="B1119" s="105">
        <v>3</v>
      </c>
      <c r="C1119" s="135" t="s">
        <v>6286</v>
      </c>
      <c r="D1119" s="105" t="s">
        <v>2374</v>
      </c>
      <c r="E1119" s="190">
        <v>1</v>
      </c>
      <c r="F1119" s="190">
        <f>'HIRE CHARGES'!$D$555</f>
        <v>402.5</v>
      </c>
      <c r="G1119" s="190">
        <f t="shared" si="21"/>
        <v>402.5</v>
      </c>
    </row>
    <row r="1120" spans="1:7">
      <c r="A1120" s="26"/>
      <c r="B1120" s="317"/>
      <c r="C1120" s="135" t="s">
        <v>2379</v>
      </c>
      <c r="D1120" s="105" t="s">
        <v>2374</v>
      </c>
      <c r="E1120" s="190">
        <v>1</v>
      </c>
      <c r="F1120" s="190">
        <f>'HIRE CHARGES'!$E$555</f>
        <v>299.89999999999998</v>
      </c>
      <c r="G1120" s="190">
        <f t="shared" si="21"/>
        <v>299.89999999999998</v>
      </c>
    </row>
    <row r="1121" spans="1:7">
      <c r="A1121" s="26"/>
      <c r="B1121" s="105">
        <v>4</v>
      </c>
      <c r="C1121" s="135" t="s">
        <v>526</v>
      </c>
      <c r="D1121" s="105" t="s">
        <v>2374</v>
      </c>
      <c r="E1121" s="190">
        <v>8</v>
      </c>
      <c r="F1121" s="190">
        <f>'HIRE CHARGES'!$D$531</f>
        <v>7.6</v>
      </c>
      <c r="G1121" s="190">
        <f t="shared" si="21"/>
        <v>60.8</v>
      </c>
    </row>
    <row r="1122" spans="1:7">
      <c r="A1122" s="26"/>
      <c r="B1122" s="275"/>
      <c r="C1122" s="139" t="s">
        <v>2379</v>
      </c>
      <c r="D1122" s="114" t="s">
        <v>2374</v>
      </c>
      <c r="E1122" s="182">
        <v>8</v>
      </c>
      <c r="F1122" s="182">
        <f>'HIRE CHARGES'!$E$531</f>
        <v>18.8</v>
      </c>
      <c r="G1122" s="190">
        <f t="shared" si="21"/>
        <v>150.4</v>
      </c>
    </row>
    <row r="1123" spans="1:7">
      <c r="A1123" s="26"/>
      <c r="B1123" s="176"/>
      <c r="C1123" s="172" t="s">
        <v>2380</v>
      </c>
      <c r="D1123" s="174"/>
      <c r="E1123" s="192"/>
      <c r="F1123" s="275" t="s">
        <v>1698</v>
      </c>
      <c r="G1123" s="318">
        <f>SUM(G1115:G1122)</f>
        <v>2020.7500000000002</v>
      </c>
    </row>
    <row r="1124" spans="1:7">
      <c r="A1124" s="26"/>
      <c r="B1124" s="78"/>
      <c r="C1124" s="26"/>
      <c r="D1124" s="26"/>
      <c r="E1124" s="26"/>
      <c r="F1124" s="26"/>
      <c r="G1124" s="26"/>
    </row>
    <row r="1125" spans="1:7">
      <c r="A1125" s="26"/>
      <c r="B1125" s="79" t="s">
        <v>2381</v>
      </c>
      <c r="C1125" s="26"/>
      <c r="D1125" s="26"/>
      <c r="E1125" s="26"/>
      <c r="F1125" s="26"/>
      <c r="G1125" s="26"/>
    </row>
    <row r="1126" spans="1:7">
      <c r="A1126" s="26"/>
      <c r="B1126" s="95" t="s">
        <v>2369</v>
      </c>
      <c r="C1126" s="157" t="s">
        <v>2378</v>
      </c>
      <c r="D1126" s="95" t="s">
        <v>2370</v>
      </c>
      <c r="E1126" s="95" t="s">
        <v>1166</v>
      </c>
      <c r="F1126" s="95" t="s">
        <v>2371</v>
      </c>
      <c r="G1126" s="95" t="s">
        <v>2372</v>
      </c>
    </row>
    <row r="1127" spans="1:7">
      <c r="A1127" s="26"/>
      <c r="B1127" s="114"/>
      <c r="C1127" s="154"/>
      <c r="D1127" s="114"/>
      <c r="E1127" s="114"/>
      <c r="F1127" s="114" t="s">
        <v>3485</v>
      </c>
      <c r="G1127" s="114" t="s">
        <v>3485</v>
      </c>
    </row>
    <row r="1128" spans="1:7">
      <c r="A1128" s="26"/>
      <c r="B1128" s="105">
        <v>1</v>
      </c>
      <c r="C1128" s="76" t="s">
        <v>527</v>
      </c>
      <c r="D1128" s="105" t="s">
        <v>2374</v>
      </c>
      <c r="E1128" s="207">
        <v>8</v>
      </c>
      <c r="F1128" s="190">
        <f>'HIRE CHARGES'!$F$507</f>
        <v>219.7</v>
      </c>
      <c r="G1128" s="190">
        <f>E1128*F1128</f>
        <v>1757.6</v>
      </c>
    </row>
    <row r="1129" spans="1:7">
      <c r="A1129" s="26"/>
      <c r="B1129" s="105">
        <v>2</v>
      </c>
      <c r="C1129" s="76" t="s">
        <v>999</v>
      </c>
      <c r="D1129" s="105" t="s">
        <v>2374</v>
      </c>
      <c r="E1129" s="207">
        <v>0.5</v>
      </c>
      <c r="F1129" s="190">
        <f>'HIRE CHARGES'!$F$517</f>
        <v>111.1</v>
      </c>
      <c r="G1129" s="190">
        <f t="shared" ref="G1129:G1140" si="22">E1129*F1129</f>
        <v>55.55</v>
      </c>
    </row>
    <row r="1130" spans="1:7">
      <c r="A1130" s="26"/>
      <c r="B1130" s="105">
        <v>3</v>
      </c>
      <c r="C1130" s="76" t="s">
        <v>1000</v>
      </c>
      <c r="D1130" s="105" t="s">
        <v>2374</v>
      </c>
      <c r="E1130" s="207">
        <v>1</v>
      </c>
      <c r="F1130" s="190">
        <f>'HIRE CHARGES'!$F$555</f>
        <v>177.5</v>
      </c>
      <c r="G1130" s="190">
        <f t="shared" si="22"/>
        <v>177.5</v>
      </c>
    </row>
    <row r="1131" spans="1:7">
      <c r="A1131" s="26"/>
      <c r="B1131" s="105">
        <v>4</v>
      </c>
      <c r="C1131" s="76" t="s">
        <v>5148</v>
      </c>
      <c r="D1131" s="105" t="s">
        <v>2374</v>
      </c>
      <c r="E1131" s="207">
        <v>8</v>
      </c>
      <c r="F1131" s="190">
        <f>'HIRE CHARGES'!$F$531</f>
        <v>158.19999999999999</v>
      </c>
      <c r="G1131" s="190">
        <f t="shared" si="22"/>
        <v>1265.5999999999999</v>
      </c>
    </row>
    <row r="1132" spans="1:7">
      <c r="A1132" s="26"/>
      <c r="B1132" s="105">
        <v>5</v>
      </c>
      <c r="C1132" s="76" t="s">
        <v>440</v>
      </c>
      <c r="D1132" s="105" t="s">
        <v>1172</v>
      </c>
      <c r="E1132" s="207">
        <v>1</v>
      </c>
      <c r="F1132" s="190">
        <f>'BASIC DATA'!$C$474</f>
        <v>445</v>
      </c>
      <c r="G1132" s="190">
        <f t="shared" si="22"/>
        <v>445</v>
      </c>
    </row>
    <row r="1133" spans="1:7">
      <c r="A1133" s="26"/>
      <c r="B1133" s="105">
        <v>6</v>
      </c>
      <c r="C1133" s="76" t="s">
        <v>4206</v>
      </c>
      <c r="D1133" s="105" t="s">
        <v>1172</v>
      </c>
      <c r="E1133" s="207">
        <v>1</v>
      </c>
      <c r="F1133" s="190">
        <f>'BASIC DATA'!$C$473</f>
        <v>450</v>
      </c>
      <c r="G1133" s="190">
        <f t="shared" si="22"/>
        <v>450</v>
      </c>
    </row>
    <row r="1134" spans="1:7">
      <c r="A1134" s="26"/>
      <c r="B1134" s="105">
        <v>7</v>
      </c>
      <c r="C1134" s="76" t="s">
        <v>2697</v>
      </c>
      <c r="D1134" s="105"/>
      <c r="E1134" s="207"/>
      <c r="F1134" s="190"/>
      <c r="G1134" s="190"/>
    </row>
    <row r="1135" spans="1:7">
      <c r="A1135" s="26"/>
      <c r="B1135" s="317"/>
      <c r="C1135" s="76" t="s">
        <v>441</v>
      </c>
      <c r="D1135" s="105" t="s">
        <v>1172</v>
      </c>
      <c r="E1135" s="207">
        <v>11</v>
      </c>
      <c r="F1135" s="190">
        <f>'BASIC DATA'!$C$552</f>
        <v>350</v>
      </c>
      <c r="G1135" s="190">
        <f t="shared" si="22"/>
        <v>3850</v>
      </c>
    </row>
    <row r="1136" spans="1:7">
      <c r="A1136" s="26"/>
      <c r="B1136" s="317"/>
      <c r="C1136" s="76" t="s">
        <v>442</v>
      </c>
      <c r="D1136" s="105" t="s">
        <v>1172</v>
      </c>
      <c r="E1136" s="207">
        <v>4</v>
      </c>
      <c r="F1136" s="190">
        <f>'BASIC DATA'!$C$552</f>
        <v>350</v>
      </c>
      <c r="G1136" s="190">
        <f t="shared" si="22"/>
        <v>1400</v>
      </c>
    </row>
    <row r="1137" spans="1:7">
      <c r="A1137" s="26"/>
      <c r="B1137" s="317"/>
      <c r="C1137" s="76" t="s">
        <v>1751</v>
      </c>
      <c r="D1137" s="105" t="s">
        <v>1172</v>
      </c>
      <c r="E1137" s="207">
        <v>4</v>
      </c>
      <c r="F1137" s="190">
        <f>'BASIC DATA'!$C$552</f>
        <v>350</v>
      </c>
      <c r="G1137" s="190">
        <f t="shared" si="22"/>
        <v>1400</v>
      </c>
    </row>
    <row r="1138" spans="1:7">
      <c r="A1138" s="26"/>
      <c r="B1138" s="317"/>
      <c r="C1138" s="76" t="s">
        <v>444</v>
      </c>
      <c r="D1138" s="105" t="s">
        <v>1172</v>
      </c>
      <c r="E1138" s="207">
        <f>F1094</f>
        <v>15</v>
      </c>
      <c r="F1138" s="190">
        <f>'BASIC DATA'!$C$552</f>
        <v>350</v>
      </c>
      <c r="G1138" s="190">
        <f t="shared" si="22"/>
        <v>5250</v>
      </c>
    </row>
    <row r="1139" spans="1:7">
      <c r="A1139" s="26"/>
      <c r="B1139" s="317"/>
      <c r="C1139" s="76" t="s">
        <v>445</v>
      </c>
      <c r="D1139" s="105" t="s">
        <v>1172</v>
      </c>
      <c r="E1139" s="207">
        <v>1</v>
      </c>
      <c r="F1139" s="190">
        <f>'BASIC DATA'!$C$552</f>
        <v>350</v>
      </c>
      <c r="G1139" s="190">
        <f t="shared" si="22"/>
        <v>350</v>
      </c>
    </row>
    <row r="1140" spans="1:7">
      <c r="A1140" s="26"/>
      <c r="B1140" s="105">
        <v>8</v>
      </c>
      <c r="C1140" s="76" t="s">
        <v>7215</v>
      </c>
      <c r="D1140" s="105" t="s">
        <v>3479</v>
      </c>
      <c r="E1140" s="207">
        <f>F1094</f>
        <v>15</v>
      </c>
      <c r="F1140" s="190">
        <f>F1088</f>
        <v>88.5</v>
      </c>
      <c r="G1140" s="190">
        <f t="shared" si="22"/>
        <v>1327.5</v>
      </c>
    </row>
    <row r="1141" spans="1:7">
      <c r="A1141" s="26"/>
      <c r="B1141" s="317"/>
      <c r="C1141" s="76" t="s">
        <v>6402</v>
      </c>
      <c r="D1141" s="224">
        <v>0.25</v>
      </c>
      <c r="E1141" s="207"/>
      <c r="F1141" s="190"/>
      <c r="G1141" s="190">
        <f>G1140*D1141</f>
        <v>331.875</v>
      </c>
    </row>
    <row r="1142" spans="1:7">
      <c r="A1142" s="26"/>
      <c r="B1142" s="92"/>
      <c r="C1142" s="193" t="s">
        <v>1174</v>
      </c>
      <c r="D1142" s="159"/>
      <c r="E1142" s="238"/>
      <c r="F1142" s="236" t="s">
        <v>1698</v>
      </c>
      <c r="G1142" s="318">
        <f>SUM(G1128:G1141)</f>
        <v>18060.625</v>
      </c>
    </row>
    <row r="1143" spans="1:7">
      <c r="A1143" s="26"/>
      <c r="B1143" s="60" t="s">
        <v>5948</v>
      </c>
      <c r="C1143" s="26"/>
      <c r="D1143" s="31"/>
      <c r="E1143" s="85">
        <f>ROUND(G1142/F1094,1)</f>
        <v>1204</v>
      </c>
      <c r="F1143" s="26"/>
      <c r="G1143" s="26"/>
    </row>
    <row r="1144" spans="1:7">
      <c r="A1144" s="26"/>
      <c r="B1144" s="60" t="s">
        <v>3163</v>
      </c>
      <c r="C1144" s="26"/>
      <c r="D1144" s="31">
        <f>'BASIC DATA'!$C$577</f>
        <v>0.13614999999999999</v>
      </c>
      <c r="E1144" s="85">
        <f>ROUND(E1143*D1144,1)</f>
        <v>163.9</v>
      </c>
      <c r="F1144" s="26"/>
      <c r="G1144" s="26"/>
    </row>
    <row r="1145" spans="1:7">
      <c r="A1145" s="26"/>
      <c r="B1145" s="60" t="s">
        <v>5949</v>
      </c>
      <c r="C1145" s="26"/>
      <c r="D1145" s="31"/>
      <c r="E1145" s="199">
        <f>ROUND(E1144+E1143,1)</f>
        <v>1367.9</v>
      </c>
      <c r="F1145" s="57"/>
      <c r="G1145" s="26"/>
    </row>
    <row r="1146" spans="1:7">
      <c r="A1146" s="26"/>
      <c r="B1146" s="26"/>
      <c r="C1146" s="26"/>
      <c r="D1146" s="26"/>
      <c r="E1146" s="26"/>
      <c r="F1146" s="26"/>
      <c r="G1146" s="26"/>
    </row>
    <row r="1147" spans="1:7">
      <c r="A1147" s="26"/>
      <c r="B1147" s="170" t="s">
        <v>1175</v>
      </c>
      <c r="C1147" s="26"/>
      <c r="D1147" s="26"/>
      <c r="E1147" s="26"/>
      <c r="F1147" s="26"/>
      <c r="G1147" s="26"/>
    </row>
    <row r="1148" spans="1:7">
      <c r="A1148" s="26"/>
      <c r="B1148" s="26" t="s">
        <v>5010</v>
      </c>
      <c r="C1148" s="26"/>
      <c r="D1148" s="26"/>
      <c r="E1148" s="26"/>
      <c r="F1148" s="171" t="s">
        <v>1698</v>
      </c>
      <c r="G1148" s="68">
        <f>G1110</f>
        <v>51466.032258749998</v>
      </c>
    </row>
    <row r="1149" spans="1:7">
      <c r="A1149" s="26"/>
      <c r="B1149" s="26" t="s">
        <v>1186</v>
      </c>
      <c r="C1149" s="26"/>
      <c r="D1149" s="26"/>
      <c r="E1149" s="26"/>
      <c r="F1149" s="171" t="s">
        <v>1698</v>
      </c>
      <c r="G1149" s="68">
        <f>G1123</f>
        <v>2020.7500000000002</v>
      </c>
    </row>
    <row r="1150" spans="1:7">
      <c r="A1150" s="26"/>
      <c r="B1150" s="26" t="s">
        <v>2660</v>
      </c>
      <c r="C1150" s="26"/>
      <c r="D1150" s="26"/>
      <c r="E1150" s="26"/>
      <c r="F1150" s="171" t="s">
        <v>1698</v>
      </c>
      <c r="G1150" s="75">
        <f>G1142</f>
        <v>18060.625</v>
      </c>
    </row>
    <row r="1151" spans="1:7">
      <c r="A1151" s="26"/>
      <c r="B1151" s="78"/>
      <c r="C1151" s="26"/>
      <c r="D1151" s="26"/>
      <c r="E1151" s="171"/>
      <c r="F1151" s="171" t="s">
        <v>302</v>
      </c>
      <c r="G1151" s="205">
        <f>SUM(G1148:G1150)</f>
        <v>71547.407258749998</v>
      </c>
    </row>
    <row r="1152" spans="1:7">
      <c r="A1152" s="26"/>
      <c r="B1152" s="1206" t="s">
        <v>1379</v>
      </c>
      <c r="C1152" s="1206"/>
      <c r="D1152" s="26"/>
      <c r="E1152" s="249">
        <f>'BASIC DATA'!$C$577</f>
        <v>0.13614999999999999</v>
      </c>
      <c r="F1152" s="26" t="s">
        <v>1698</v>
      </c>
      <c r="G1152" s="26">
        <f>ROUND(G1151*E1152,2)</f>
        <v>9741.18</v>
      </c>
    </row>
    <row r="1153" spans="1:7">
      <c r="A1153" s="26"/>
      <c r="B1153" s="26" t="s">
        <v>1191</v>
      </c>
      <c r="C1153" s="26"/>
      <c r="D1153" s="68">
        <f>F1094</f>
        <v>15</v>
      </c>
      <c r="E1153" s="68" t="str">
        <f>G1094</f>
        <v>cum</v>
      </c>
      <c r="F1153" s="26" t="s">
        <v>1698</v>
      </c>
      <c r="G1153" s="211">
        <f>G1152+G1151</f>
        <v>81288.587258749991</v>
      </c>
    </row>
    <row r="1154" spans="1:7">
      <c r="A1154" s="26"/>
      <c r="B1154" s="170" t="s">
        <v>1584</v>
      </c>
      <c r="C1154" s="211" t="str">
        <f>E1153</f>
        <v>cum</v>
      </c>
      <c r="D1154" s="26" t="s">
        <v>4709</v>
      </c>
      <c r="E1154" s="26"/>
      <c r="F1154" s="26" t="s">
        <v>4108</v>
      </c>
      <c r="G1154" s="211">
        <f>ROUND(G1153/D1153,1)</f>
        <v>5419.2</v>
      </c>
    </row>
    <row r="1155" spans="1:7">
      <c r="A1155" s="26"/>
      <c r="B1155" s="78"/>
      <c r="C1155" s="26"/>
      <c r="D1155" s="26"/>
      <c r="E1155" s="26"/>
      <c r="F1155" s="26"/>
      <c r="G1155" s="26"/>
    </row>
    <row r="1156" spans="1:7">
      <c r="A1156" s="26"/>
      <c r="B1156" s="78"/>
      <c r="C1156" s="26"/>
      <c r="D1156" s="26"/>
      <c r="E1156" s="26"/>
      <c r="F1156" s="26"/>
      <c r="G1156" s="26"/>
    </row>
    <row r="1157" spans="1:7" ht="18.75">
      <c r="A1157" s="78" t="s">
        <v>7548</v>
      </c>
      <c r="B1157" s="26" t="s">
        <v>8622</v>
      </c>
      <c r="C1157" s="26"/>
      <c r="D1157" s="26"/>
      <c r="E1157" s="26"/>
      <c r="F1157" s="26"/>
      <c r="G1157" s="26"/>
    </row>
    <row r="1158" spans="1:7" ht="18.75">
      <c r="A1158" s="78"/>
      <c r="B1158" s="26" t="s">
        <v>8925</v>
      </c>
      <c r="C1158" s="26"/>
      <c r="D1158" s="26"/>
      <c r="E1158" s="26"/>
      <c r="F1158" s="26"/>
      <c r="G1158" s="26"/>
    </row>
    <row r="1159" spans="1:7">
      <c r="A1159" s="78"/>
      <c r="B1159" s="26" t="s">
        <v>8923</v>
      </c>
      <c r="C1159" s="26"/>
      <c r="D1159" s="26"/>
      <c r="E1159" s="26"/>
      <c r="F1159" s="26"/>
      <c r="G1159" s="26"/>
    </row>
    <row r="1160" spans="1:7">
      <c r="A1160" s="78"/>
      <c r="B1160" s="26" t="s">
        <v>6528</v>
      </c>
      <c r="C1160" s="26"/>
      <c r="D1160" s="26"/>
      <c r="E1160" s="26"/>
      <c r="F1160" s="26"/>
      <c r="G1160" s="26"/>
    </row>
    <row r="1161" spans="1:7" ht="18.75">
      <c r="A1161" s="78"/>
      <c r="B1161" s="26" t="s">
        <v>8924</v>
      </c>
      <c r="C1161" s="26"/>
      <c r="D1161" s="26"/>
      <c r="E1161" s="26"/>
      <c r="F1161" s="26"/>
      <c r="G1161" s="26"/>
    </row>
    <row r="1162" spans="1:7">
      <c r="A1162" s="78"/>
      <c r="B1162" s="170" t="s">
        <v>7775</v>
      </c>
      <c r="C1162" s="26"/>
      <c r="D1162" s="26"/>
      <c r="E1162" s="26"/>
      <c r="F1162" s="26"/>
      <c r="G1162" s="26"/>
    </row>
    <row r="1163" spans="1:7">
      <c r="A1163" s="62"/>
      <c r="B1163" s="248" t="s">
        <v>4522</v>
      </c>
      <c r="C1163" s="61"/>
      <c r="D1163" s="61"/>
      <c r="E1163" s="61"/>
      <c r="F1163" s="61"/>
      <c r="G1163" s="61"/>
    </row>
    <row r="1164" spans="1:7">
      <c r="A1164" s="78"/>
      <c r="B1164" s="26"/>
      <c r="C1164" s="26"/>
      <c r="D1164" s="26"/>
      <c r="E1164" s="26"/>
      <c r="F1164" s="26"/>
      <c r="G1164" s="26"/>
    </row>
    <row r="1165" spans="1:7">
      <c r="A1165" s="78" t="s">
        <v>3984</v>
      </c>
      <c r="B1165" s="26" t="s">
        <v>5780</v>
      </c>
      <c r="C1165" s="26"/>
      <c r="D1165" s="26"/>
      <c r="E1165" s="26"/>
      <c r="F1165" s="26"/>
      <c r="G1165" s="26"/>
    </row>
    <row r="1166" spans="1:7">
      <c r="A1166" s="78"/>
      <c r="B1166" s="26" t="s">
        <v>6964</v>
      </c>
      <c r="C1166" s="26"/>
      <c r="D1166" s="26"/>
      <c r="E1166" s="26"/>
      <c r="F1166" s="26"/>
      <c r="G1166" s="26"/>
    </row>
    <row r="1167" spans="1:7">
      <c r="A1167" s="78"/>
      <c r="B1167" s="26" t="s">
        <v>7776</v>
      </c>
      <c r="C1167" s="26"/>
      <c r="D1167" s="26"/>
      <c r="E1167" s="26"/>
      <c r="F1167" s="26"/>
      <c r="G1167" s="26"/>
    </row>
    <row r="1168" spans="1:7">
      <c r="A1168" s="78"/>
      <c r="B1168" s="26" t="s">
        <v>7777</v>
      </c>
      <c r="C1168" s="26"/>
      <c r="D1168" s="26">
        <f>ROUND(50*13*8/330,2)</f>
        <v>15.76</v>
      </c>
      <c r="E1168" s="26" t="s">
        <v>3760</v>
      </c>
      <c r="F1168" s="26"/>
      <c r="G1168" s="26"/>
    </row>
    <row r="1169" spans="1:7">
      <c r="A1169" s="78"/>
      <c r="B1169" s="26" t="s">
        <v>2843</v>
      </c>
      <c r="C1169" s="26"/>
      <c r="D1169" s="26"/>
      <c r="E1169" s="26"/>
      <c r="F1169" s="26"/>
      <c r="G1169" s="26"/>
    </row>
    <row r="1170" spans="1:7">
      <c r="A1170" s="78"/>
      <c r="B1170" s="26" t="s">
        <v>5312</v>
      </c>
      <c r="C1170" s="26"/>
      <c r="D1170" s="26"/>
      <c r="E1170" s="26"/>
      <c r="F1170" s="26"/>
      <c r="G1170" s="26"/>
    </row>
    <row r="1171" spans="1:7">
      <c r="A1171" s="78"/>
      <c r="B1171" s="26" t="s">
        <v>946</v>
      </c>
      <c r="C1171" s="26"/>
      <c r="D1171" s="26"/>
      <c r="E1171" s="26"/>
      <c r="F1171" s="68">
        <f>G618</f>
        <v>224.56752690000002</v>
      </c>
      <c r="G1171" s="26" t="s">
        <v>1168</v>
      </c>
    </row>
    <row r="1172" spans="1:7">
      <c r="A1172" s="78"/>
      <c r="B1172" s="26" t="s">
        <v>6965</v>
      </c>
      <c r="C1172" s="26"/>
      <c r="D1172" s="26"/>
      <c r="E1172" s="26"/>
      <c r="F1172" s="26"/>
      <c r="G1172" s="26"/>
    </row>
    <row r="1173" spans="1:7">
      <c r="A1173" s="78"/>
      <c r="B1173" s="26" t="s">
        <v>942</v>
      </c>
      <c r="C1173" s="26"/>
      <c r="D1173" s="26"/>
      <c r="E1173" s="26"/>
      <c r="F1173" s="68">
        <f>G644</f>
        <v>88.5</v>
      </c>
      <c r="G1173" s="26" t="s">
        <v>1168</v>
      </c>
    </row>
    <row r="1174" spans="1:7">
      <c r="A1174" s="78"/>
      <c r="B1174" s="26" t="s">
        <v>5739</v>
      </c>
      <c r="C1174" s="26"/>
      <c r="D1174" s="26"/>
      <c r="E1174" s="26"/>
      <c r="F1174" s="26"/>
      <c r="G1174" s="26"/>
    </row>
    <row r="1175" spans="1:7">
      <c r="A1175" s="78"/>
      <c r="B1175" s="26" t="s">
        <v>451</v>
      </c>
      <c r="C1175" s="26"/>
      <c r="D1175" s="26"/>
      <c r="E1175" s="26"/>
      <c r="F1175" s="26"/>
      <c r="G1175" s="26"/>
    </row>
    <row r="1176" spans="1:7">
      <c r="A1176" s="78"/>
      <c r="B1176" s="26" t="s">
        <v>947</v>
      </c>
      <c r="C1176" s="26"/>
      <c r="D1176" s="26"/>
      <c r="E1176" s="26"/>
      <c r="F1176" s="26"/>
      <c r="G1176" s="26"/>
    </row>
    <row r="1177" spans="1:7">
      <c r="A1177" s="26"/>
      <c r="B1177" s="78"/>
      <c r="C1177" s="26"/>
      <c r="D1177" s="26"/>
      <c r="E1177" s="26"/>
      <c r="F1177" s="26"/>
      <c r="G1177" s="26"/>
    </row>
    <row r="1178" spans="1:7">
      <c r="A1178" s="26"/>
      <c r="B1178" s="78"/>
      <c r="C1178" s="26"/>
      <c r="D1178" s="26"/>
      <c r="E1178" s="26"/>
      <c r="F1178" s="26"/>
      <c r="G1178" s="26"/>
    </row>
    <row r="1179" spans="1:7">
      <c r="A1179" s="78" t="s">
        <v>3984</v>
      </c>
      <c r="B1179" s="78"/>
      <c r="C1179" s="203" t="s">
        <v>2367</v>
      </c>
      <c r="D1179" s="26"/>
      <c r="E1179" s="171" t="s">
        <v>297</v>
      </c>
      <c r="F1179" s="246">
        <f>D1168</f>
        <v>15.76</v>
      </c>
      <c r="G1179" s="26" t="s">
        <v>3477</v>
      </c>
    </row>
    <row r="1180" spans="1:7">
      <c r="A1180" s="26"/>
      <c r="B1180" s="79" t="s">
        <v>2368</v>
      </c>
      <c r="C1180" s="26"/>
      <c r="D1180" s="26"/>
      <c r="E1180" s="26"/>
      <c r="F1180" s="26"/>
      <c r="G1180" s="26"/>
    </row>
    <row r="1181" spans="1:7">
      <c r="A1181" s="26"/>
      <c r="B1181" s="95" t="s">
        <v>2369</v>
      </c>
      <c r="C1181" s="157" t="s">
        <v>4443</v>
      </c>
      <c r="D1181" s="95" t="s">
        <v>2370</v>
      </c>
      <c r="E1181" s="95" t="s">
        <v>1166</v>
      </c>
      <c r="F1181" s="95" t="s">
        <v>2371</v>
      </c>
      <c r="G1181" s="95" t="s">
        <v>2372</v>
      </c>
    </row>
    <row r="1182" spans="1:7">
      <c r="A1182" s="26"/>
      <c r="B1182" s="114"/>
      <c r="C1182" s="154"/>
      <c r="D1182" s="114"/>
      <c r="E1182" s="114"/>
      <c r="F1182" s="114" t="s">
        <v>3485</v>
      </c>
      <c r="G1182" s="114" t="s">
        <v>3485</v>
      </c>
    </row>
    <row r="1183" spans="1:7">
      <c r="A1183" s="26"/>
      <c r="B1183" s="95">
        <v>1</v>
      </c>
      <c r="C1183" s="135" t="s">
        <v>1048</v>
      </c>
      <c r="D1183" s="95" t="s">
        <v>3478</v>
      </c>
      <c r="E1183" s="190">
        <f>330*F1179</f>
        <v>5200.8</v>
      </c>
      <c r="F1183" s="214">
        <f>'BASIC DATA'!$D$32/1000</f>
        <v>5.35</v>
      </c>
      <c r="G1183" s="190">
        <f>E1183*F1183</f>
        <v>27824.28</v>
      </c>
    </row>
    <row r="1184" spans="1:7">
      <c r="A1184" s="26"/>
      <c r="B1184" s="317"/>
      <c r="C1184" s="135" t="s">
        <v>1049</v>
      </c>
      <c r="D1184" s="105" t="s">
        <v>3478</v>
      </c>
      <c r="E1184" s="190">
        <f>F1179*5</f>
        <v>78.8</v>
      </c>
      <c r="F1184" s="214">
        <f>'BASIC DATA'!$D$32/1000</f>
        <v>5.35</v>
      </c>
      <c r="G1184" s="190">
        <f t="shared" ref="G1184:G1191" si="23">E1184*F1184</f>
        <v>421.58</v>
      </c>
    </row>
    <row r="1185" spans="1:7">
      <c r="A1185" s="26"/>
      <c r="B1185" s="105">
        <v>2</v>
      </c>
      <c r="C1185" s="135" t="s">
        <v>6995</v>
      </c>
      <c r="D1185" s="105" t="s">
        <v>3477</v>
      </c>
      <c r="E1185" s="190">
        <f>0.8*F1179*0.65</f>
        <v>8.1951999999999998</v>
      </c>
      <c r="F1185" s="214">
        <f>'BASIC DATA'!$D$35</f>
        <v>1225</v>
      </c>
      <c r="G1185" s="190">
        <f t="shared" si="23"/>
        <v>10039.119999999999</v>
      </c>
    </row>
    <row r="1186" spans="1:7">
      <c r="A1186" s="26"/>
      <c r="B1186" s="317"/>
      <c r="C1186" s="135" t="s">
        <v>1050</v>
      </c>
      <c r="D1186" s="105" t="s">
        <v>3477</v>
      </c>
      <c r="E1186" s="190">
        <f>0.8*F1179*0.35</f>
        <v>4.4127999999999998</v>
      </c>
      <c r="F1186" s="214">
        <f>'BASIC DATA'!$D$34</f>
        <v>900</v>
      </c>
      <c r="G1186" s="190">
        <f t="shared" si="23"/>
        <v>3971.52</v>
      </c>
    </row>
    <row r="1187" spans="1:7">
      <c r="A1187" s="61"/>
      <c r="B1187" s="240">
        <v>3</v>
      </c>
      <c r="C1187" s="326" t="s">
        <v>7941</v>
      </c>
      <c r="D1187" s="240" t="s">
        <v>3477</v>
      </c>
      <c r="E1187" s="255">
        <f>0.45*F1179</f>
        <v>7.0919999999999996</v>
      </c>
      <c r="F1187" s="266">
        <f>'BASIC DATA'!$D$55</f>
        <v>95</v>
      </c>
      <c r="G1187" s="255">
        <f t="shared" si="23"/>
        <v>673.74</v>
      </c>
    </row>
    <row r="1188" spans="1:7">
      <c r="A1188" s="26"/>
      <c r="B1188" s="105">
        <v>4</v>
      </c>
      <c r="C1188" s="135" t="s">
        <v>523</v>
      </c>
      <c r="D1188" s="105" t="s">
        <v>3478</v>
      </c>
      <c r="E1188" s="190">
        <f>E1183*0.4%</f>
        <v>20.8032</v>
      </c>
      <c r="F1188" s="214">
        <f>'BASIC DATA'!$D$99</f>
        <v>55</v>
      </c>
      <c r="G1188" s="190">
        <f t="shared" si="23"/>
        <v>1144.1759999999999</v>
      </c>
    </row>
    <row r="1189" spans="1:7">
      <c r="A1189" s="26"/>
      <c r="B1189" s="105">
        <v>5</v>
      </c>
      <c r="C1189" s="135" t="s">
        <v>5315</v>
      </c>
      <c r="D1189" s="105" t="s">
        <v>3479</v>
      </c>
      <c r="E1189" s="190">
        <f>F1179*2</f>
        <v>31.52</v>
      </c>
      <c r="F1189" s="214">
        <f>F1171</f>
        <v>224.56752690000002</v>
      </c>
      <c r="G1189" s="190">
        <f t="shared" si="23"/>
        <v>7078.3684478880004</v>
      </c>
    </row>
    <row r="1190" spans="1:7">
      <c r="A1190" s="26"/>
      <c r="B1190" s="317"/>
      <c r="C1190" s="135" t="s">
        <v>6403</v>
      </c>
      <c r="D1190" s="224">
        <v>0.25</v>
      </c>
      <c r="E1190" s="190"/>
      <c r="F1190" s="214"/>
      <c r="G1190" s="190">
        <f>G1189*D1190</f>
        <v>1769.5921119720001</v>
      </c>
    </row>
    <row r="1191" spans="1:7">
      <c r="A1191" s="26"/>
      <c r="B1191" s="114">
        <v>6</v>
      </c>
      <c r="C1191" s="139" t="s">
        <v>2373</v>
      </c>
      <c r="D1191" s="114" t="s">
        <v>2173</v>
      </c>
      <c r="E1191" s="182">
        <v>0.5</v>
      </c>
      <c r="F1191" s="215">
        <f>'BASIC DATA'!$D$359</f>
        <v>30</v>
      </c>
      <c r="G1191" s="182">
        <f t="shared" si="23"/>
        <v>15</v>
      </c>
    </row>
    <row r="1192" spans="1:7">
      <c r="A1192" s="26"/>
      <c r="B1192" s="93"/>
      <c r="C1192" s="31" t="s">
        <v>6842</v>
      </c>
      <c r="D1192" s="31" t="s">
        <v>4043</v>
      </c>
      <c r="E1192" s="198"/>
      <c r="F1192" s="327" t="s">
        <v>1698</v>
      </c>
      <c r="G1192" s="190">
        <v>0</v>
      </c>
    </row>
    <row r="1193" spans="1:7">
      <c r="A1193" s="26"/>
      <c r="B1193" s="93"/>
      <c r="C1193" s="31" t="s">
        <v>6843</v>
      </c>
      <c r="D1193" s="31" t="s">
        <v>4043</v>
      </c>
      <c r="E1193" s="198"/>
      <c r="F1193" s="327" t="s">
        <v>1698</v>
      </c>
      <c r="G1193" s="190">
        <v>0</v>
      </c>
    </row>
    <row r="1194" spans="1:7">
      <c r="A1194" s="26"/>
      <c r="B1194" s="92"/>
      <c r="C1194" s="193" t="s">
        <v>2376</v>
      </c>
      <c r="D1194" s="159"/>
      <c r="E1194" s="238"/>
      <c r="F1194" s="236" t="s">
        <v>1698</v>
      </c>
      <c r="G1194" s="318">
        <f>SUM(G1183:G1193)</f>
        <v>52937.376559859993</v>
      </c>
    </row>
    <row r="1195" spans="1:7">
      <c r="A1195" s="26"/>
      <c r="B1195" s="78"/>
      <c r="C1195" s="26"/>
      <c r="D1195" s="26"/>
      <c r="E1195" s="26"/>
      <c r="F1195" s="26"/>
      <c r="G1195" s="26"/>
    </row>
    <row r="1196" spans="1:7">
      <c r="A1196" s="26"/>
      <c r="B1196" s="79" t="s">
        <v>2377</v>
      </c>
      <c r="C1196" s="26"/>
      <c r="D1196" s="26"/>
      <c r="E1196" s="26"/>
      <c r="F1196" s="26"/>
      <c r="G1196" s="26"/>
    </row>
    <row r="1197" spans="1:7">
      <c r="A1197" s="26"/>
      <c r="B1197" s="95" t="s">
        <v>2369</v>
      </c>
      <c r="C1197" s="157" t="s">
        <v>2378</v>
      </c>
      <c r="D1197" s="95" t="s">
        <v>2370</v>
      </c>
      <c r="E1197" s="95" t="s">
        <v>1166</v>
      </c>
      <c r="F1197" s="95" t="s">
        <v>2371</v>
      </c>
      <c r="G1197" s="95" t="s">
        <v>2372</v>
      </c>
    </row>
    <row r="1198" spans="1:7">
      <c r="A1198" s="26"/>
      <c r="B1198" s="114"/>
      <c r="C1198" s="154"/>
      <c r="D1198" s="114"/>
      <c r="E1198" s="114"/>
      <c r="F1198" s="114" t="s">
        <v>3485</v>
      </c>
      <c r="G1198" s="114" t="s">
        <v>3485</v>
      </c>
    </row>
    <row r="1199" spans="1:7">
      <c r="A1199" s="26"/>
      <c r="B1199" s="95">
        <v>1</v>
      </c>
      <c r="C1199" s="135" t="s">
        <v>7214</v>
      </c>
      <c r="D1199" s="95" t="s">
        <v>2374</v>
      </c>
      <c r="E1199" s="190">
        <v>8</v>
      </c>
      <c r="F1199" s="190">
        <f>'HIRE CHARGES'!$D$507</f>
        <v>53.5</v>
      </c>
      <c r="G1199" s="190">
        <f>E1199*F1199</f>
        <v>428</v>
      </c>
    </row>
    <row r="1200" spans="1:7">
      <c r="A1200" s="26"/>
      <c r="B1200" s="317"/>
      <c r="C1200" s="135" t="s">
        <v>2379</v>
      </c>
      <c r="D1200" s="105" t="s">
        <v>2374</v>
      </c>
      <c r="E1200" s="190">
        <v>8</v>
      </c>
      <c r="F1200" s="190">
        <f>'HIRE CHARGES'!$E$507</f>
        <v>79.3</v>
      </c>
      <c r="G1200" s="190">
        <f t="shared" ref="G1200:G1206" si="24">E1200*F1200</f>
        <v>634.4</v>
      </c>
    </row>
    <row r="1201" spans="1:7">
      <c r="A1201" s="26"/>
      <c r="B1201" s="105">
        <v>2</v>
      </c>
      <c r="C1201" s="135" t="s">
        <v>189</v>
      </c>
      <c r="D1201" s="105" t="s">
        <v>2374</v>
      </c>
      <c r="E1201" s="190">
        <v>0.5</v>
      </c>
      <c r="F1201" s="190">
        <f>'HIRE CHARGES'!$D$517</f>
        <v>10.199999999999999</v>
      </c>
      <c r="G1201" s="190">
        <f t="shared" si="24"/>
        <v>5.0999999999999996</v>
      </c>
    </row>
    <row r="1202" spans="1:7">
      <c r="A1202" s="26"/>
      <c r="B1202" s="317"/>
      <c r="C1202" s="135" t="s">
        <v>2379</v>
      </c>
      <c r="D1202" s="105" t="s">
        <v>2374</v>
      </c>
      <c r="E1202" s="190">
        <v>0.5</v>
      </c>
      <c r="F1202" s="190">
        <f>'HIRE CHARGES'!$E$517</f>
        <v>79.3</v>
      </c>
      <c r="G1202" s="190">
        <f t="shared" si="24"/>
        <v>39.65</v>
      </c>
    </row>
    <row r="1203" spans="1:7">
      <c r="A1203" s="26"/>
      <c r="B1203" s="105">
        <v>3</v>
      </c>
      <c r="C1203" s="135" t="s">
        <v>6286</v>
      </c>
      <c r="D1203" s="105" t="s">
        <v>2374</v>
      </c>
      <c r="E1203" s="190">
        <v>1</v>
      </c>
      <c r="F1203" s="190">
        <f>'HIRE CHARGES'!$D$555</f>
        <v>402.5</v>
      </c>
      <c r="G1203" s="190">
        <f t="shared" si="24"/>
        <v>402.5</v>
      </c>
    </row>
    <row r="1204" spans="1:7">
      <c r="A1204" s="26"/>
      <c r="B1204" s="317"/>
      <c r="C1204" s="135" t="s">
        <v>2379</v>
      </c>
      <c r="D1204" s="105" t="s">
        <v>2374</v>
      </c>
      <c r="E1204" s="190">
        <v>1</v>
      </c>
      <c r="F1204" s="190">
        <f>'HIRE CHARGES'!$E$555</f>
        <v>299.89999999999998</v>
      </c>
      <c r="G1204" s="190">
        <f t="shared" si="24"/>
        <v>299.89999999999998</v>
      </c>
    </row>
    <row r="1205" spans="1:7">
      <c r="A1205" s="26"/>
      <c r="B1205" s="105">
        <v>4</v>
      </c>
      <c r="C1205" s="135" t="s">
        <v>526</v>
      </c>
      <c r="D1205" s="105" t="s">
        <v>2374</v>
      </c>
      <c r="E1205" s="190">
        <v>8</v>
      </c>
      <c r="F1205" s="190">
        <f>'HIRE CHARGES'!$D$531</f>
        <v>7.6</v>
      </c>
      <c r="G1205" s="190">
        <f t="shared" si="24"/>
        <v>60.8</v>
      </c>
    </row>
    <row r="1206" spans="1:7">
      <c r="A1206" s="26"/>
      <c r="B1206" s="275"/>
      <c r="C1206" s="139" t="s">
        <v>2379</v>
      </c>
      <c r="D1206" s="114" t="s">
        <v>2374</v>
      </c>
      <c r="E1206" s="182">
        <v>8</v>
      </c>
      <c r="F1206" s="182">
        <f>'HIRE CHARGES'!$E$531</f>
        <v>18.8</v>
      </c>
      <c r="G1206" s="182">
        <f t="shared" si="24"/>
        <v>150.4</v>
      </c>
    </row>
    <row r="1207" spans="1:7">
      <c r="A1207" s="26"/>
      <c r="B1207" s="176"/>
      <c r="C1207" s="172" t="s">
        <v>2380</v>
      </c>
      <c r="D1207" s="174"/>
      <c r="E1207" s="192"/>
      <c r="F1207" s="275" t="s">
        <v>1698</v>
      </c>
      <c r="G1207" s="434">
        <f>SUM(G1199:G1206)</f>
        <v>2020.7500000000002</v>
      </c>
    </row>
    <row r="1208" spans="1:7">
      <c r="A1208" s="26"/>
      <c r="B1208" s="78"/>
      <c r="C1208" s="26"/>
      <c r="D1208" s="26"/>
      <c r="E1208" s="26"/>
      <c r="F1208" s="26"/>
      <c r="G1208" s="26"/>
    </row>
    <row r="1209" spans="1:7">
      <c r="A1209" s="26"/>
      <c r="B1209" s="79" t="s">
        <v>2381</v>
      </c>
      <c r="C1209" s="26"/>
      <c r="D1209" s="26"/>
      <c r="E1209" s="26"/>
      <c r="F1209" s="26"/>
      <c r="G1209" s="26"/>
    </row>
    <row r="1210" spans="1:7">
      <c r="A1210" s="26"/>
      <c r="B1210" s="95" t="s">
        <v>2369</v>
      </c>
      <c r="C1210" s="157" t="s">
        <v>2378</v>
      </c>
      <c r="D1210" s="95" t="s">
        <v>2370</v>
      </c>
      <c r="E1210" s="95" t="s">
        <v>1166</v>
      </c>
      <c r="F1210" s="95" t="s">
        <v>2371</v>
      </c>
      <c r="G1210" s="95" t="s">
        <v>2372</v>
      </c>
    </row>
    <row r="1211" spans="1:7">
      <c r="A1211" s="26"/>
      <c r="B1211" s="114"/>
      <c r="C1211" s="154"/>
      <c r="D1211" s="114"/>
      <c r="E1211" s="114"/>
      <c r="F1211" s="114" t="s">
        <v>3485</v>
      </c>
      <c r="G1211" s="114" t="s">
        <v>3485</v>
      </c>
    </row>
    <row r="1212" spans="1:7">
      <c r="A1212" s="26"/>
      <c r="B1212" s="105">
        <v>1</v>
      </c>
      <c r="C1212" s="76" t="s">
        <v>527</v>
      </c>
      <c r="D1212" s="105" t="s">
        <v>2374</v>
      </c>
      <c r="E1212" s="207">
        <v>8</v>
      </c>
      <c r="F1212" s="190">
        <f>'HIRE CHARGES'!$F$507</f>
        <v>219.7</v>
      </c>
      <c r="G1212" s="190">
        <f>E1212*F1212</f>
        <v>1757.6</v>
      </c>
    </row>
    <row r="1213" spans="1:7">
      <c r="A1213" s="26"/>
      <c r="B1213" s="105">
        <v>2</v>
      </c>
      <c r="C1213" s="76" t="s">
        <v>999</v>
      </c>
      <c r="D1213" s="105" t="s">
        <v>2374</v>
      </c>
      <c r="E1213" s="207">
        <v>0.5</v>
      </c>
      <c r="F1213" s="190">
        <f>'HIRE CHARGES'!$F$517</f>
        <v>111.1</v>
      </c>
      <c r="G1213" s="190">
        <f t="shared" ref="G1213:G1224" si="25">E1213*F1213</f>
        <v>55.55</v>
      </c>
    </row>
    <row r="1214" spans="1:7">
      <c r="A1214" s="26"/>
      <c r="B1214" s="105">
        <v>3</v>
      </c>
      <c r="C1214" s="76" t="s">
        <v>1000</v>
      </c>
      <c r="D1214" s="105" t="s">
        <v>2374</v>
      </c>
      <c r="E1214" s="207">
        <v>1</v>
      </c>
      <c r="F1214" s="190">
        <f>'HIRE CHARGES'!$F$555</f>
        <v>177.5</v>
      </c>
      <c r="G1214" s="190">
        <f t="shared" si="25"/>
        <v>177.5</v>
      </c>
    </row>
    <row r="1215" spans="1:7">
      <c r="A1215" s="26"/>
      <c r="B1215" s="105">
        <v>4</v>
      </c>
      <c r="C1215" s="76" t="s">
        <v>5148</v>
      </c>
      <c r="D1215" s="105" t="s">
        <v>2374</v>
      </c>
      <c r="E1215" s="207">
        <v>8</v>
      </c>
      <c r="F1215" s="190">
        <f>'HIRE CHARGES'!$F$531</f>
        <v>158.19999999999999</v>
      </c>
      <c r="G1215" s="190">
        <f t="shared" si="25"/>
        <v>1265.5999999999999</v>
      </c>
    </row>
    <row r="1216" spans="1:7">
      <c r="A1216" s="26"/>
      <c r="B1216" s="105">
        <v>5</v>
      </c>
      <c r="C1216" s="76" t="s">
        <v>440</v>
      </c>
      <c r="D1216" s="105" t="s">
        <v>1172</v>
      </c>
      <c r="E1216" s="207">
        <v>1</v>
      </c>
      <c r="F1216" s="190">
        <f>'BASIC DATA'!$C$474</f>
        <v>445</v>
      </c>
      <c r="G1216" s="190">
        <f t="shared" si="25"/>
        <v>445</v>
      </c>
    </row>
    <row r="1217" spans="1:7">
      <c r="A1217" s="26"/>
      <c r="B1217" s="105">
        <v>6</v>
      </c>
      <c r="C1217" s="76" t="s">
        <v>4206</v>
      </c>
      <c r="D1217" s="105" t="s">
        <v>1172</v>
      </c>
      <c r="E1217" s="207">
        <v>1</v>
      </c>
      <c r="F1217" s="190">
        <f>'BASIC DATA'!$C$473</f>
        <v>450</v>
      </c>
      <c r="G1217" s="190">
        <f t="shared" si="25"/>
        <v>450</v>
      </c>
    </row>
    <row r="1218" spans="1:7">
      <c r="A1218" s="26"/>
      <c r="B1218" s="105">
        <v>7</v>
      </c>
      <c r="C1218" s="76" t="s">
        <v>2697</v>
      </c>
      <c r="D1218" s="105"/>
      <c r="E1218" s="207"/>
      <c r="F1218" s="190"/>
      <c r="G1218" s="190"/>
    </row>
    <row r="1219" spans="1:7">
      <c r="A1219" s="26"/>
      <c r="B1219" s="317"/>
      <c r="C1219" s="76" t="s">
        <v>441</v>
      </c>
      <c r="D1219" s="105" t="s">
        <v>1172</v>
      </c>
      <c r="E1219" s="207">
        <v>11</v>
      </c>
      <c r="F1219" s="190">
        <f>'BASIC DATA'!$C$552</f>
        <v>350</v>
      </c>
      <c r="G1219" s="190">
        <f t="shared" si="25"/>
        <v>3850</v>
      </c>
    </row>
    <row r="1220" spans="1:7">
      <c r="A1220" s="26"/>
      <c r="B1220" s="317"/>
      <c r="C1220" s="76" t="s">
        <v>442</v>
      </c>
      <c r="D1220" s="105" t="s">
        <v>1172</v>
      </c>
      <c r="E1220" s="207">
        <v>4</v>
      </c>
      <c r="F1220" s="190">
        <f>'BASIC DATA'!$C$552</f>
        <v>350</v>
      </c>
      <c r="G1220" s="190">
        <f t="shared" si="25"/>
        <v>1400</v>
      </c>
    </row>
    <row r="1221" spans="1:7">
      <c r="A1221" s="26"/>
      <c r="B1221" s="317"/>
      <c r="C1221" s="76" t="s">
        <v>5151</v>
      </c>
      <c r="D1221" s="105" t="s">
        <v>1172</v>
      </c>
      <c r="E1221" s="207">
        <v>4</v>
      </c>
      <c r="F1221" s="190">
        <f>'BASIC DATA'!$C$552</f>
        <v>350</v>
      </c>
      <c r="G1221" s="190">
        <f t="shared" si="25"/>
        <v>1400</v>
      </c>
    </row>
    <row r="1222" spans="1:7">
      <c r="A1222" s="26"/>
      <c r="B1222" s="317"/>
      <c r="C1222" s="76" t="s">
        <v>444</v>
      </c>
      <c r="D1222" s="105" t="s">
        <v>1172</v>
      </c>
      <c r="E1222" s="207">
        <f>F1179</f>
        <v>15.76</v>
      </c>
      <c r="F1222" s="190">
        <f>'BASIC DATA'!$C$552</f>
        <v>350</v>
      </c>
      <c r="G1222" s="190">
        <f t="shared" si="25"/>
        <v>5516</v>
      </c>
    </row>
    <row r="1223" spans="1:7">
      <c r="A1223" s="26"/>
      <c r="B1223" s="317"/>
      <c r="C1223" s="76" t="s">
        <v>445</v>
      </c>
      <c r="D1223" s="105" t="s">
        <v>1172</v>
      </c>
      <c r="E1223" s="207">
        <v>1</v>
      </c>
      <c r="F1223" s="190">
        <f>'BASIC DATA'!$C$552</f>
        <v>350</v>
      </c>
      <c r="G1223" s="190">
        <f t="shared" si="25"/>
        <v>350</v>
      </c>
    </row>
    <row r="1224" spans="1:7">
      <c r="A1224" s="26"/>
      <c r="B1224" s="105">
        <v>8</v>
      </c>
      <c r="C1224" s="76" t="s">
        <v>7215</v>
      </c>
      <c r="D1224" s="105" t="s">
        <v>3479</v>
      </c>
      <c r="E1224" s="207">
        <f>F1179*2</f>
        <v>31.52</v>
      </c>
      <c r="F1224" s="190">
        <f>F1173</f>
        <v>88.5</v>
      </c>
      <c r="G1224" s="190">
        <f t="shared" si="25"/>
        <v>2789.52</v>
      </c>
    </row>
    <row r="1225" spans="1:7">
      <c r="A1225" s="26"/>
      <c r="B1225" s="317"/>
      <c r="C1225" s="76" t="s">
        <v>6402</v>
      </c>
      <c r="D1225" s="224">
        <v>0.25</v>
      </c>
      <c r="E1225" s="207"/>
      <c r="F1225" s="190"/>
      <c r="G1225" s="190">
        <f>G1224*D1225</f>
        <v>697.38</v>
      </c>
    </row>
    <row r="1226" spans="1:7">
      <c r="A1226" s="26"/>
      <c r="B1226" s="92"/>
      <c r="C1226" s="193" t="s">
        <v>1174</v>
      </c>
      <c r="D1226" s="159"/>
      <c r="E1226" s="238"/>
      <c r="F1226" s="236" t="s">
        <v>1698</v>
      </c>
      <c r="G1226" s="318">
        <f>SUM(G1212:G1225)</f>
        <v>20154.150000000001</v>
      </c>
    </row>
    <row r="1227" spans="1:7">
      <c r="A1227" s="26"/>
      <c r="B1227" s="60" t="s">
        <v>5948</v>
      </c>
      <c r="C1227" s="31"/>
      <c r="D1227" s="31"/>
      <c r="E1227" s="85">
        <f>ROUND(G1226/F1179,1)</f>
        <v>1278.8</v>
      </c>
      <c r="F1227" s="26"/>
      <c r="G1227" s="26"/>
    </row>
    <row r="1228" spans="1:7">
      <c r="A1228" s="26"/>
      <c r="B1228" s="60" t="s">
        <v>3163</v>
      </c>
      <c r="C1228" s="31"/>
      <c r="D1228" s="31">
        <f>'BASIC DATA'!$C$577</f>
        <v>0.13614999999999999</v>
      </c>
      <c r="E1228" s="85">
        <f>ROUND(E1227*D1228,1)</f>
        <v>174.1</v>
      </c>
      <c r="F1228" s="26"/>
      <c r="G1228" s="26"/>
    </row>
    <row r="1229" spans="1:7">
      <c r="A1229" s="26"/>
      <c r="B1229" s="60" t="s">
        <v>5949</v>
      </c>
      <c r="C1229" s="31"/>
      <c r="D1229" s="31"/>
      <c r="E1229" s="199">
        <f>ROUND(E1228+E1227,1)</f>
        <v>1452.9</v>
      </c>
      <c r="F1229" s="57"/>
      <c r="G1229" s="26"/>
    </row>
    <row r="1230" spans="1:7">
      <c r="A1230" s="26"/>
      <c r="B1230" s="78"/>
      <c r="C1230" s="26"/>
      <c r="D1230" s="26"/>
      <c r="E1230" s="26"/>
      <c r="F1230" s="26"/>
      <c r="G1230" s="26"/>
    </row>
    <row r="1231" spans="1:7">
      <c r="A1231" s="26"/>
      <c r="B1231" s="170" t="s">
        <v>1175</v>
      </c>
      <c r="C1231" s="26"/>
      <c r="D1231" s="26"/>
      <c r="E1231" s="26"/>
      <c r="F1231" s="26"/>
      <c r="G1231" s="26"/>
    </row>
    <row r="1232" spans="1:7">
      <c r="A1232" s="26"/>
      <c r="B1232" s="26" t="s">
        <v>5010</v>
      </c>
      <c r="C1232" s="26"/>
      <c r="D1232" s="26"/>
      <c r="E1232" s="26"/>
      <c r="F1232" s="171" t="s">
        <v>1698</v>
      </c>
      <c r="G1232" s="68">
        <f>G1194</f>
        <v>52937.376559859993</v>
      </c>
    </row>
    <row r="1233" spans="1:7">
      <c r="A1233" s="26"/>
      <c r="B1233" s="26" t="s">
        <v>1186</v>
      </c>
      <c r="C1233" s="26"/>
      <c r="D1233" s="26"/>
      <c r="E1233" s="26"/>
      <c r="F1233" s="171" t="s">
        <v>1698</v>
      </c>
      <c r="G1233" s="68">
        <f>G1207</f>
        <v>2020.7500000000002</v>
      </c>
    </row>
    <row r="1234" spans="1:7">
      <c r="A1234" s="26"/>
      <c r="B1234" s="26" t="s">
        <v>2660</v>
      </c>
      <c r="C1234" s="26"/>
      <c r="D1234" s="26"/>
      <c r="E1234" s="26"/>
      <c r="F1234" s="171" t="s">
        <v>1698</v>
      </c>
      <c r="G1234" s="75">
        <f>G1226</f>
        <v>20154.150000000001</v>
      </c>
    </row>
    <row r="1235" spans="1:7">
      <c r="A1235" s="26"/>
      <c r="B1235" s="78"/>
      <c r="C1235" s="26"/>
      <c r="D1235" s="26"/>
      <c r="E1235" s="171"/>
      <c r="F1235" s="171" t="s">
        <v>302</v>
      </c>
      <c r="G1235" s="205">
        <f>SUM(G1232:G1234)</f>
        <v>75112.276559859994</v>
      </c>
    </row>
    <row r="1236" spans="1:7">
      <c r="A1236" s="26"/>
      <c r="B1236" s="1206" t="s">
        <v>1379</v>
      </c>
      <c r="C1236" s="1206"/>
      <c r="D1236" s="26"/>
      <c r="E1236" s="249">
        <f>'BASIC DATA'!$C$577</f>
        <v>0.13614999999999999</v>
      </c>
      <c r="F1236" s="26" t="s">
        <v>1698</v>
      </c>
      <c r="G1236" s="26">
        <f>ROUND(G1235*E1236,2)</f>
        <v>10226.540000000001</v>
      </c>
    </row>
    <row r="1237" spans="1:7">
      <c r="A1237" s="26"/>
      <c r="B1237" s="26" t="s">
        <v>1191</v>
      </c>
      <c r="C1237" s="26"/>
      <c r="D1237" s="68">
        <f>F1179</f>
        <v>15.76</v>
      </c>
      <c r="E1237" s="68" t="str">
        <f>G1179</f>
        <v>cum</v>
      </c>
      <c r="F1237" s="26" t="s">
        <v>1698</v>
      </c>
      <c r="G1237" s="170">
        <f>G1236+G1235</f>
        <v>85338.816559859988</v>
      </c>
    </row>
    <row r="1238" spans="1:7">
      <c r="A1238" s="26"/>
      <c r="B1238" s="170" t="s">
        <v>1584</v>
      </c>
      <c r="C1238" s="211" t="str">
        <f>E1237</f>
        <v>cum</v>
      </c>
      <c r="D1238" s="26" t="s">
        <v>7778</v>
      </c>
      <c r="E1238" s="26"/>
      <c r="F1238" s="26" t="s">
        <v>4108</v>
      </c>
      <c r="G1238" s="211">
        <f>ROUND(G1237/D1237,1)</f>
        <v>5414.9</v>
      </c>
    </row>
    <row r="1239" spans="1:7">
      <c r="A1239" s="26"/>
      <c r="B1239" s="78"/>
      <c r="C1239" s="26"/>
      <c r="D1239" s="26"/>
      <c r="E1239" s="26"/>
      <c r="F1239" s="26"/>
      <c r="G1239" s="26"/>
    </row>
    <row r="1240" spans="1:7">
      <c r="A1240" s="26"/>
      <c r="B1240" s="78"/>
      <c r="C1240" s="26"/>
      <c r="D1240" s="26"/>
      <c r="E1240" s="26"/>
      <c r="F1240" s="26"/>
      <c r="G1240" s="26"/>
    </row>
    <row r="1241" spans="1:7" ht="18.75">
      <c r="A1241" s="78" t="s">
        <v>7549</v>
      </c>
      <c r="B1241" s="26" t="s">
        <v>8793</v>
      </c>
      <c r="C1241" s="26"/>
      <c r="D1241" s="26"/>
      <c r="E1241" s="26"/>
      <c r="F1241" s="26"/>
      <c r="G1241" s="26"/>
    </row>
    <row r="1242" spans="1:7" ht="18.75">
      <c r="A1242" s="78"/>
      <c r="B1242" s="26" t="s">
        <v>8926</v>
      </c>
      <c r="C1242" s="26"/>
      <c r="D1242" s="26"/>
      <c r="E1242" s="26"/>
      <c r="F1242" s="26"/>
      <c r="G1242" s="26"/>
    </row>
    <row r="1243" spans="1:7">
      <c r="A1243" s="78"/>
      <c r="B1243" s="26" t="s">
        <v>8923</v>
      </c>
      <c r="C1243" s="26"/>
      <c r="D1243" s="26"/>
      <c r="E1243" s="26"/>
      <c r="F1243" s="26"/>
      <c r="G1243" s="26"/>
    </row>
    <row r="1244" spans="1:7">
      <c r="A1244" s="78"/>
      <c r="B1244" s="26" t="s">
        <v>6528</v>
      </c>
      <c r="C1244" s="26"/>
      <c r="D1244" s="26"/>
      <c r="E1244" s="26"/>
      <c r="F1244" s="26"/>
      <c r="G1244" s="26"/>
    </row>
    <row r="1245" spans="1:7" ht="18.75">
      <c r="A1245" s="78"/>
      <c r="B1245" s="26" t="s">
        <v>8924</v>
      </c>
      <c r="C1245" s="26"/>
      <c r="D1245" s="26"/>
      <c r="E1245" s="26"/>
      <c r="F1245" s="26"/>
      <c r="G1245" s="26"/>
    </row>
    <row r="1246" spans="1:7">
      <c r="A1246" s="78"/>
      <c r="B1246" s="170" t="s">
        <v>7779</v>
      </c>
      <c r="C1246" s="26"/>
      <c r="D1246" s="26"/>
      <c r="E1246" s="26"/>
      <c r="F1246" s="26"/>
      <c r="G1246" s="26"/>
    </row>
    <row r="1247" spans="1:7">
      <c r="A1247" s="62"/>
      <c r="B1247" s="248" t="s">
        <v>4522</v>
      </c>
      <c r="C1247" s="61"/>
      <c r="D1247" s="61"/>
      <c r="E1247" s="61"/>
      <c r="F1247" s="61"/>
      <c r="G1247" s="61"/>
    </row>
    <row r="1248" spans="1:7">
      <c r="A1248" s="78"/>
      <c r="B1248" s="26"/>
      <c r="C1248" s="26"/>
      <c r="D1248" s="26"/>
      <c r="E1248" s="26"/>
      <c r="F1248" s="26"/>
      <c r="G1248" s="26"/>
    </row>
    <row r="1249" spans="1:7">
      <c r="A1249" s="78" t="s">
        <v>3984</v>
      </c>
      <c r="B1249" s="26" t="s">
        <v>5780</v>
      </c>
      <c r="C1249" s="26"/>
      <c r="D1249" s="26"/>
      <c r="E1249" s="26"/>
      <c r="F1249" s="26"/>
      <c r="G1249" s="26"/>
    </row>
    <row r="1250" spans="1:7">
      <c r="A1250" s="78"/>
      <c r="B1250" s="26" t="s">
        <v>3113</v>
      </c>
      <c r="C1250" s="26"/>
      <c r="D1250" s="26"/>
      <c r="E1250" s="26"/>
      <c r="F1250" s="26"/>
      <c r="G1250" s="26"/>
    </row>
    <row r="1251" spans="1:7">
      <c r="A1251" s="78"/>
      <c r="B1251" s="26" t="s">
        <v>7780</v>
      </c>
      <c r="C1251" s="26"/>
      <c r="D1251" s="26"/>
      <c r="E1251" s="26"/>
      <c r="F1251" s="26"/>
      <c r="G1251" s="26"/>
    </row>
    <row r="1252" spans="1:7">
      <c r="A1252" s="78"/>
      <c r="B1252" s="26" t="s">
        <v>7781</v>
      </c>
      <c r="C1252" s="26"/>
      <c r="D1252" s="26">
        <f>ROUND(50*11*8/280,2)</f>
        <v>15.71</v>
      </c>
      <c r="E1252" s="26" t="s">
        <v>3760</v>
      </c>
      <c r="F1252" s="26"/>
      <c r="G1252" s="26"/>
    </row>
    <row r="1253" spans="1:7">
      <c r="A1253" s="78"/>
      <c r="B1253" s="26" t="s">
        <v>2843</v>
      </c>
      <c r="C1253" s="26"/>
      <c r="D1253" s="26"/>
      <c r="E1253" s="26"/>
      <c r="F1253" s="26"/>
      <c r="G1253" s="26"/>
    </row>
    <row r="1254" spans="1:7">
      <c r="A1254" s="78"/>
      <c r="B1254" s="26" t="s">
        <v>1816</v>
      </c>
      <c r="C1254" s="26"/>
      <c r="D1254" s="26"/>
      <c r="E1254" s="26"/>
      <c r="F1254" s="26"/>
      <c r="G1254" s="26"/>
    </row>
    <row r="1255" spans="1:7">
      <c r="A1255" s="78"/>
      <c r="B1255" s="26" t="s">
        <v>948</v>
      </c>
      <c r="C1255" s="26"/>
      <c r="D1255" s="68">
        <f>G618</f>
        <v>224.56752690000002</v>
      </c>
      <c r="E1255" s="26" t="s">
        <v>1168</v>
      </c>
      <c r="F1255" s="26"/>
      <c r="G1255" s="26"/>
    </row>
    <row r="1256" spans="1:7">
      <c r="A1256" s="78"/>
      <c r="B1256" s="26" t="s">
        <v>2908</v>
      </c>
      <c r="C1256" s="26"/>
      <c r="D1256" s="26"/>
      <c r="E1256" s="26"/>
      <c r="F1256" s="26"/>
      <c r="G1256" s="26"/>
    </row>
    <row r="1257" spans="1:7">
      <c r="A1257" s="78"/>
      <c r="B1257" s="26" t="s">
        <v>949</v>
      </c>
      <c r="C1257" s="26"/>
      <c r="D1257" s="68">
        <f>G644</f>
        <v>88.5</v>
      </c>
      <c r="E1257" s="26" t="s">
        <v>1168</v>
      </c>
      <c r="F1257" s="26"/>
      <c r="G1257" s="26"/>
    </row>
    <row r="1258" spans="1:7">
      <c r="A1258" s="78"/>
      <c r="B1258" s="26" t="s">
        <v>2909</v>
      </c>
      <c r="C1258" s="26"/>
      <c r="D1258" s="26"/>
      <c r="E1258" s="26"/>
      <c r="F1258" s="26"/>
      <c r="G1258" s="26"/>
    </row>
    <row r="1259" spans="1:7">
      <c r="A1259" s="78"/>
      <c r="B1259" s="26" t="s">
        <v>451</v>
      </c>
      <c r="C1259" s="26"/>
      <c r="D1259" s="26"/>
      <c r="E1259" s="26"/>
      <c r="F1259" s="26"/>
      <c r="G1259" s="26"/>
    </row>
    <row r="1260" spans="1:7">
      <c r="A1260" s="78"/>
      <c r="B1260" s="26" t="s">
        <v>950</v>
      </c>
      <c r="C1260" s="26"/>
      <c r="D1260" s="26"/>
      <c r="E1260" s="26"/>
      <c r="F1260" s="26"/>
      <c r="G1260" s="26"/>
    </row>
    <row r="1261" spans="1:7">
      <c r="A1261" s="78"/>
      <c r="B1261" s="26" t="s">
        <v>6408</v>
      </c>
      <c r="C1261" s="26"/>
      <c r="D1261" s="26"/>
      <c r="E1261" s="26"/>
      <c r="F1261" s="26"/>
      <c r="G1261" s="26"/>
    </row>
    <row r="1262" spans="1:7">
      <c r="A1262" s="26"/>
      <c r="B1262" s="78"/>
      <c r="C1262" s="26"/>
      <c r="D1262" s="26"/>
      <c r="E1262" s="26"/>
      <c r="F1262" s="26"/>
      <c r="G1262" s="26"/>
    </row>
    <row r="1263" spans="1:7">
      <c r="A1263" s="78" t="s">
        <v>3984</v>
      </c>
      <c r="B1263" s="78"/>
      <c r="C1263" s="203" t="s">
        <v>2367</v>
      </c>
      <c r="D1263" s="26"/>
      <c r="E1263" s="171" t="s">
        <v>297</v>
      </c>
      <c r="F1263" s="246">
        <f>D1252</f>
        <v>15.71</v>
      </c>
      <c r="G1263" s="26" t="s">
        <v>3477</v>
      </c>
    </row>
    <row r="1264" spans="1:7">
      <c r="A1264" s="26"/>
      <c r="B1264" s="79" t="s">
        <v>2368</v>
      </c>
      <c r="C1264" s="26"/>
      <c r="D1264" s="26"/>
      <c r="E1264" s="26"/>
      <c r="F1264" s="26"/>
      <c r="G1264" s="26"/>
    </row>
    <row r="1265" spans="1:7">
      <c r="A1265" s="26"/>
      <c r="B1265" s="95" t="s">
        <v>2369</v>
      </c>
      <c r="C1265" s="157" t="s">
        <v>4443</v>
      </c>
      <c r="D1265" s="95" t="s">
        <v>2370</v>
      </c>
      <c r="E1265" s="95" t="s">
        <v>1166</v>
      </c>
      <c r="F1265" s="95" t="s">
        <v>2371</v>
      </c>
      <c r="G1265" s="95" t="s">
        <v>2372</v>
      </c>
    </row>
    <row r="1266" spans="1:7">
      <c r="A1266" s="26"/>
      <c r="B1266" s="114"/>
      <c r="C1266" s="154"/>
      <c r="D1266" s="114"/>
      <c r="E1266" s="114"/>
      <c r="F1266" s="114" t="s">
        <v>3485</v>
      </c>
      <c r="G1266" s="114" t="s">
        <v>3485</v>
      </c>
    </row>
    <row r="1267" spans="1:7">
      <c r="A1267" s="26"/>
      <c r="B1267" s="95">
        <v>1</v>
      </c>
      <c r="C1267" s="135" t="s">
        <v>1048</v>
      </c>
      <c r="D1267" s="95" t="s">
        <v>3478</v>
      </c>
      <c r="E1267" s="190">
        <f>280*F1263</f>
        <v>4398.8</v>
      </c>
      <c r="F1267" s="214">
        <f>'BASIC DATA'!$D$32/1000</f>
        <v>5.35</v>
      </c>
      <c r="G1267" s="190">
        <f>E1267*F1267</f>
        <v>23533.579999999998</v>
      </c>
    </row>
    <row r="1268" spans="1:7">
      <c r="A1268" s="26"/>
      <c r="B1268" s="317"/>
      <c r="C1268" s="135" t="s">
        <v>1049</v>
      </c>
      <c r="D1268" s="105" t="s">
        <v>3478</v>
      </c>
      <c r="E1268" s="190">
        <f>F1263*5</f>
        <v>78.550000000000011</v>
      </c>
      <c r="F1268" s="214">
        <f>'BASIC DATA'!$D$32/1000</f>
        <v>5.35</v>
      </c>
      <c r="G1268" s="190">
        <f t="shared" ref="G1268:G1275" si="26">E1268*F1268</f>
        <v>420.24250000000001</v>
      </c>
    </row>
    <row r="1269" spans="1:7">
      <c r="A1269" s="26"/>
      <c r="B1269" s="105">
        <v>2</v>
      </c>
      <c r="C1269" s="135" t="s">
        <v>6995</v>
      </c>
      <c r="D1269" s="105" t="s">
        <v>3477</v>
      </c>
      <c r="E1269" s="190">
        <f>0.8*F1263*0.65</f>
        <v>8.1692000000000018</v>
      </c>
      <c r="F1269" s="214">
        <f>'BASIC DATA'!$D$35</f>
        <v>1225</v>
      </c>
      <c r="G1269" s="190">
        <f t="shared" si="26"/>
        <v>10007.270000000002</v>
      </c>
    </row>
    <row r="1270" spans="1:7">
      <c r="A1270" s="26"/>
      <c r="B1270" s="317"/>
      <c r="C1270" s="135" t="s">
        <v>1050</v>
      </c>
      <c r="D1270" s="105" t="s">
        <v>3477</v>
      </c>
      <c r="E1270" s="190">
        <f>0.8*0.35*F1263</f>
        <v>4.3987999999999996</v>
      </c>
      <c r="F1270" s="214">
        <f>'BASIC DATA'!$D$34</f>
        <v>900</v>
      </c>
      <c r="G1270" s="190">
        <f t="shared" si="26"/>
        <v>3958.9199999999996</v>
      </c>
    </row>
    <row r="1271" spans="1:7">
      <c r="A1271" s="61"/>
      <c r="B1271" s="240">
        <v>3</v>
      </c>
      <c r="C1271" s="326" t="s">
        <v>7941</v>
      </c>
      <c r="D1271" s="240" t="s">
        <v>3477</v>
      </c>
      <c r="E1271" s="255">
        <f>0.45*F1263</f>
        <v>7.0695000000000006</v>
      </c>
      <c r="F1271" s="266">
        <f>'BASIC DATA'!$D$55</f>
        <v>95</v>
      </c>
      <c r="G1271" s="255">
        <f t="shared" si="26"/>
        <v>671.60250000000008</v>
      </c>
    </row>
    <row r="1272" spans="1:7">
      <c r="A1272" s="26"/>
      <c r="B1272" s="105">
        <v>4</v>
      </c>
      <c r="C1272" s="135" t="s">
        <v>523</v>
      </c>
      <c r="D1272" s="105" t="s">
        <v>3478</v>
      </c>
      <c r="E1272" s="190">
        <f>E1267*0.4%</f>
        <v>17.595200000000002</v>
      </c>
      <c r="F1272" s="214">
        <f>'BASIC DATA'!$D$99</f>
        <v>55</v>
      </c>
      <c r="G1272" s="190">
        <f t="shared" si="26"/>
        <v>967.7360000000001</v>
      </c>
    </row>
    <row r="1273" spans="1:7">
      <c r="A1273" s="26"/>
      <c r="B1273" s="105">
        <v>5</v>
      </c>
      <c r="C1273" s="135" t="s">
        <v>7213</v>
      </c>
      <c r="D1273" s="105" t="s">
        <v>3479</v>
      </c>
      <c r="E1273" s="190">
        <f>F1263*2</f>
        <v>31.42</v>
      </c>
      <c r="F1273" s="214">
        <f>D1255</f>
        <v>224.56752690000002</v>
      </c>
      <c r="G1273" s="190">
        <f t="shared" si="26"/>
        <v>7055.9116951980013</v>
      </c>
    </row>
    <row r="1274" spans="1:7">
      <c r="A1274" s="26"/>
      <c r="B1274" s="317"/>
      <c r="C1274" s="135" t="s">
        <v>5408</v>
      </c>
      <c r="D1274" s="224">
        <v>0.25</v>
      </c>
      <c r="E1274" s="190"/>
      <c r="F1274" s="214"/>
      <c r="G1274" s="190">
        <f>G1273*D1274</f>
        <v>1763.9779237995003</v>
      </c>
    </row>
    <row r="1275" spans="1:7">
      <c r="A1275" s="26"/>
      <c r="B1275" s="114">
        <v>6</v>
      </c>
      <c r="C1275" s="139" t="s">
        <v>2373</v>
      </c>
      <c r="D1275" s="114" t="s">
        <v>2173</v>
      </c>
      <c r="E1275" s="182">
        <v>0.5</v>
      </c>
      <c r="F1275" s="215">
        <f>'BASIC DATA'!$D$359</f>
        <v>30</v>
      </c>
      <c r="G1275" s="182">
        <f t="shared" si="26"/>
        <v>15</v>
      </c>
    </row>
    <row r="1276" spans="1:7">
      <c r="A1276" s="26"/>
      <c r="B1276" s="1223" t="s">
        <v>7857</v>
      </c>
      <c r="C1276" s="1224"/>
      <c r="D1276" s="1224"/>
      <c r="E1276" s="1226"/>
      <c r="F1276" s="327" t="s">
        <v>1698</v>
      </c>
      <c r="G1276" s="190">
        <v>0</v>
      </c>
    </row>
    <row r="1277" spans="1:7">
      <c r="A1277" s="26"/>
      <c r="B1277" s="1325" t="s">
        <v>7858</v>
      </c>
      <c r="C1277" s="1326"/>
      <c r="D1277" s="1326"/>
      <c r="E1277" s="1327"/>
      <c r="F1277" s="327" t="s">
        <v>1698</v>
      </c>
      <c r="G1277" s="190">
        <v>0</v>
      </c>
    </row>
    <row r="1278" spans="1:7">
      <c r="A1278" s="26"/>
      <c r="B1278" s="92"/>
      <c r="C1278" s="193" t="s">
        <v>2376</v>
      </c>
      <c r="D1278" s="159"/>
      <c r="E1278" s="238"/>
      <c r="F1278" s="236" t="s">
        <v>1698</v>
      </c>
      <c r="G1278" s="318">
        <f>SUM(G1267:G1277)</f>
        <v>48394.240618997501</v>
      </c>
    </row>
    <row r="1279" spans="1:7">
      <c r="A1279" s="26"/>
      <c r="B1279" s="78"/>
      <c r="C1279" s="26"/>
      <c r="D1279" s="26"/>
      <c r="E1279" s="26"/>
      <c r="F1279" s="26"/>
      <c r="G1279" s="26"/>
    </row>
    <row r="1280" spans="1:7">
      <c r="A1280" s="26"/>
      <c r="B1280" s="79" t="s">
        <v>2377</v>
      </c>
      <c r="C1280" s="26"/>
      <c r="D1280" s="26"/>
      <c r="E1280" s="26"/>
      <c r="F1280" s="26"/>
      <c r="G1280" s="26"/>
    </row>
    <row r="1281" spans="1:7">
      <c r="A1281" s="26"/>
      <c r="B1281" s="95" t="s">
        <v>2369</v>
      </c>
      <c r="C1281" s="157" t="s">
        <v>2378</v>
      </c>
      <c r="D1281" s="95" t="s">
        <v>2370</v>
      </c>
      <c r="E1281" s="95" t="s">
        <v>1166</v>
      </c>
      <c r="F1281" s="95" t="s">
        <v>2371</v>
      </c>
      <c r="G1281" s="95" t="s">
        <v>2372</v>
      </c>
    </row>
    <row r="1282" spans="1:7">
      <c r="A1282" s="26"/>
      <c r="B1282" s="114"/>
      <c r="C1282" s="154"/>
      <c r="D1282" s="114"/>
      <c r="E1282" s="114"/>
      <c r="F1282" s="114" t="s">
        <v>3485</v>
      </c>
      <c r="G1282" s="114" t="s">
        <v>3485</v>
      </c>
    </row>
    <row r="1283" spans="1:7">
      <c r="A1283" s="26"/>
      <c r="B1283" s="95">
        <v>1</v>
      </c>
      <c r="C1283" s="135" t="s">
        <v>7214</v>
      </c>
      <c r="D1283" s="95" t="s">
        <v>2374</v>
      </c>
      <c r="E1283" s="190">
        <v>8</v>
      </c>
      <c r="F1283" s="190">
        <f>'HIRE CHARGES'!$D$507</f>
        <v>53.5</v>
      </c>
      <c r="G1283" s="190">
        <f>E1283*F1283</f>
        <v>428</v>
      </c>
    </row>
    <row r="1284" spans="1:7">
      <c r="A1284" s="26"/>
      <c r="B1284" s="317"/>
      <c r="C1284" s="135" t="s">
        <v>2379</v>
      </c>
      <c r="D1284" s="105" t="s">
        <v>2374</v>
      </c>
      <c r="E1284" s="190">
        <v>8</v>
      </c>
      <c r="F1284" s="190">
        <f>'HIRE CHARGES'!$E$507</f>
        <v>79.3</v>
      </c>
      <c r="G1284" s="190">
        <f t="shared" ref="G1284:G1290" si="27">E1284*F1284</f>
        <v>634.4</v>
      </c>
    </row>
    <row r="1285" spans="1:7">
      <c r="A1285" s="26"/>
      <c r="B1285" s="105">
        <v>2</v>
      </c>
      <c r="C1285" s="135" t="s">
        <v>189</v>
      </c>
      <c r="D1285" s="105" t="s">
        <v>2374</v>
      </c>
      <c r="E1285" s="190">
        <v>0.5</v>
      </c>
      <c r="F1285" s="190">
        <f>'HIRE CHARGES'!$D$517</f>
        <v>10.199999999999999</v>
      </c>
      <c r="G1285" s="190">
        <f t="shared" si="27"/>
        <v>5.0999999999999996</v>
      </c>
    </row>
    <row r="1286" spans="1:7">
      <c r="A1286" s="26"/>
      <c r="B1286" s="317"/>
      <c r="C1286" s="135" t="s">
        <v>2379</v>
      </c>
      <c r="D1286" s="105" t="s">
        <v>2374</v>
      </c>
      <c r="E1286" s="190">
        <v>0.5</v>
      </c>
      <c r="F1286" s="190">
        <f>'HIRE CHARGES'!$E$517</f>
        <v>79.3</v>
      </c>
      <c r="G1286" s="190">
        <f t="shared" si="27"/>
        <v>39.65</v>
      </c>
    </row>
    <row r="1287" spans="1:7">
      <c r="A1287" s="26"/>
      <c r="B1287" s="105">
        <v>3</v>
      </c>
      <c r="C1287" s="135" t="s">
        <v>6286</v>
      </c>
      <c r="D1287" s="105" t="s">
        <v>2374</v>
      </c>
      <c r="E1287" s="190">
        <v>1</v>
      </c>
      <c r="F1287" s="190">
        <f>'HIRE CHARGES'!$D$555</f>
        <v>402.5</v>
      </c>
      <c r="G1287" s="190">
        <f t="shared" si="27"/>
        <v>402.5</v>
      </c>
    </row>
    <row r="1288" spans="1:7">
      <c r="A1288" s="26"/>
      <c r="B1288" s="317"/>
      <c r="C1288" s="135" t="s">
        <v>2379</v>
      </c>
      <c r="D1288" s="105" t="s">
        <v>2374</v>
      </c>
      <c r="E1288" s="190">
        <v>1</v>
      </c>
      <c r="F1288" s="190">
        <f>'HIRE CHARGES'!$E$555</f>
        <v>299.89999999999998</v>
      </c>
      <c r="G1288" s="190">
        <f t="shared" si="27"/>
        <v>299.89999999999998</v>
      </c>
    </row>
    <row r="1289" spans="1:7">
      <c r="A1289" s="26"/>
      <c r="B1289" s="105">
        <v>4</v>
      </c>
      <c r="C1289" s="135" t="s">
        <v>526</v>
      </c>
      <c r="D1289" s="105" t="s">
        <v>2374</v>
      </c>
      <c r="E1289" s="190">
        <v>8</v>
      </c>
      <c r="F1289" s="190">
        <f>'HIRE CHARGES'!$D$531</f>
        <v>7.6</v>
      </c>
      <c r="G1289" s="190">
        <f t="shared" si="27"/>
        <v>60.8</v>
      </c>
    </row>
    <row r="1290" spans="1:7">
      <c r="A1290" s="26"/>
      <c r="B1290" s="275"/>
      <c r="C1290" s="139" t="s">
        <v>2379</v>
      </c>
      <c r="D1290" s="114" t="s">
        <v>2374</v>
      </c>
      <c r="E1290" s="182">
        <v>8</v>
      </c>
      <c r="F1290" s="182">
        <f>'HIRE CHARGES'!$E$531</f>
        <v>18.8</v>
      </c>
      <c r="G1290" s="190">
        <f t="shared" si="27"/>
        <v>150.4</v>
      </c>
    </row>
    <row r="1291" spans="1:7">
      <c r="A1291" s="26"/>
      <c r="B1291" s="176"/>
      <c r="C1291" s="172" t="s">
        <v>2380</v>
      </c>
      <c r="D1291" s="174"/>
      <c r="E1291" s="192"/>
      <c r="F1291" s="275" t="s">
        <v>1698</v>
      </c>
      <c r="G1291" s="318">
        <f>SUM(G1283:G1290)</f>
        <v>2020.7500000000002</v>
      </c>
    </row>
    <row r="1292" spans="1:7">
      <c r="A1292" s="26"/>
      <c r="B1292" s="78"/>
      <c r="C1292" s="26"/>
      <c r="D1292" s="26"/>
      <c r="E1292" s="26"/>
      <c r="F1292" s="26"/>
      <c r="G1292" s="26"/>
    </row>
    <row r="1293" spans="1:7">
      <c r="A1293" s="26"/>
      <c r="B1293" s="79" t="s">
        <v>2381</v>
      </c>
      <c r="C1293" s="26"/>
      <c r="D1293" s="26"/>
      <c r="E1293" s="26"/>
      <c r="F1293" s="26"/>
      <c r="G1293" s="26"/>
    </row>
    <row r="1294" spans="1:7">
      <c r="A1294" s="26"/>
      <c r="B1294" s="95" t="s">
        <v>2369</v>
      </c>
      <c r="C1294" s="157" t="s">
        <v>2378</v>
      </c>
      <c r="D1294" s="95" t="s">
        <v>2370</v>
      </c>
      <c r="E1294" s="95" t="s">
        <v>1166</v>
      </c>
      <c r="F1294" s="95" t="s">
        <v>2371</v>
      </c>
      <c r="G1294" s="95" t="s">
        <v>2372</v>
      </c>
    </row>
    <row r="1295" spans="1:7">
      <c r="A1295" s="26"/>
      <c r="B1295" s="114"/>
      <c r="C1295" s="154"/>
      <c r="D1295" s="114"/>
      <c r="E1295" s="114"/>
      <c r="F1295" s="114" t="s">
        <v>3485</v>
      </c>
      <c r="G1295" s="114" t="s">
        <v>3485</v>
      </c>
    </row>
    <row r="1296" spans="1:7">
      <c r="A1296" s="26"/>
      <c r="B1296" s="105">
        <v>1</v>
      </c>
      <c r="C1296" s="76" t="s">
        <v>527</v>
      </c>
      <c r="D1296" s="105" t="s">
        <v>2374</v>
      </c>
      <c r="E1296" s="207">
        <v>8</v>
      </c>
      <c r="F1296" s="190">
        <f>'HIRE CHARGES'!$F$507</f>
        <v>219.7</v>
      </c>
      <c r="G1296" s="190">
        <f>E1296*F1296</f>
        <v>1757.6</v>
      </c>
    </row>
    <row r="1297" spans="1:7">
      <c r="A1297" s="26"/>
      <c r="B1297" s="105">
        <v>2</v>
      </c>
      <c r="C1297" s="76" t="s">
        <v>999</v>
      </c>
      <c r="D1297" s="105" t="s">
        <v>2374</v>
      </c>
      <c r="E1297" s="207">
        <v>0.5</v>
      </c>
      <c r="F1297" s="190">
        <f>'HIRE CHARGES'!$F$517</f>
        <v>111.1</v>
      </c>
      <c r="G1297" s="190">
        <f t="shared" ref="G1297:G1308" si="28">E1297*F1297</f>
        <v>55.55</v>
      </c>
    </row>
    <row r="1298" spans="1:7">
      <c r="A1298" s="26"/>
      <c r="B1298" s="105">
        <v>3</v>
      </c>
      <c r="C1298" s="76" t="s">
        <v>1000</v>
      </c>
      <c r="D1298" s="105" t="s">
        <v>2374</v>
      </c>
      <c r="E1298" s="207">
        <v>1</v>
      </c>
      <c r="F1298" s="190">
        <f>'HIRE CHARGES'!$F$555</f>
        <v>177.5</v>
      </c>
      <c r="G1298" s="190">
        <f t="shared" si="28"/>
        <v>177.5</v>
      </c>
    </row>
    <row r="1299" spans="1:7">
      <c r="A1299" s="26"/>
      <c r="B1299" s="105">
        <v>4</v>
      </c>
      <c r="C1299" s="76" t="s">
        <v>5148</v>
      </c>
      <c r="D1299" s="105" t="s">
        <v>2374</v>
      </c>
      <c r="E1299" s="207">
        <v>8</v>
      </c>
      <c r="F1299" s="190">
        <f>'HIRE CHARGES'!$F$531</f>
        <v>158.19999999999999</v>
      </c>
      <c r="G1299" s="190">
        <f t="shared" si="28"/>
        <v>1265.5999999999999</v>
      </c>
    </row>
    <row r="1300" spans="1:7">
      <c r="A1300" s="26"/>
      <c r="B1300" s="105">
        <v>5</v>
      </c>
      <c r="C1300" s="76" t="s">
        <v>440</v>
      </c>
      <c r="D1300" s="105" t="s">
        <v>1172</v>
      </c>
      <c r="E1300" s="207">
        <v>1</v>
      </c>
      <c r="F1300" s="190">
        <f>'BASIC DATA'!$C$474</f>
        <v>445</v>
      </c>
      <c r="G1300" s="190">
        <f t="shared" si="28"/>
        <v>445</v>
      </c>
    </row>
    <row r="1301" spans="1:7">
      <c r="A1301" s="26"/>
      <c r="B1301" s="105">
        <v>6</v>
      </c>
      <c r="C1301" s="76" t="s">
        <v>4206</v>
      </c>
      <c r="D1301" s="105" t="s">
        <v>1172</v>
      </c>
      <c r="E1301" s="207">
        <v>1</v>
      </c>
      <c r="F1301" s="190">
        <f>'BASIC DATA'!$C$473</f>
        <v>450</v>
      </c>
      <c r="G1301" s="190">
        <f t="shared" si="28"/>
        <v>450</v>
      </c>
    </row>
    <row r="1302" spans="1:7">
      <c r="A1302" s="26"/>
      <c r="B1302" s="105">
        <v>7</v>
      </c>
      <c r="C1302" s="76" t="s">
        <v>2697</v>
      </c>
      <c r="D1302" s="105"/>
      <c r="E1302" s="207"/>
      <c r="F1302" s="190"/>
      <c r="G1302" s="190"/>
    </row>
    <row r="1303" spans="1:7">
      <c r="A1303" s="26"/>
      <c r="B1303" s="317"/>
      <c r="C1303" s="76" t="s">
        <v>441</v>
      </c>
      <c r="D1303" s="105" t="s">
        <v>1172</v>
      </c>
      <c r="E1303" s="207">
        <v>11</v>
      </c>
      <c r="F1303" s="190">
        <f>'BASIC DATA'!$C$552</f>
        <v>350</v>
      </c>
      <c r="G1303" s="190">
        <f t="shared" si="28"/>
        <v>3850</v>
      </c>
    </row>
    <row r="1304" spans="1:7">
      <c r="A1304" s="26"/>
      <c r="B1304" s="317"/>
      <c r="C1304" s="76" t="s">
        <v>442</v>
      </c>
      <c r="D1304" s="105" t="s">
        <v>1172</v>
      </c>
      <c r="E1304" s="207">
        <v>4</v>
      </c>
      <c r="F1304" s="190">
        <f>'BASIC DATA'!$C$552</f>
        <v>350</v>
      </c>
      <c r="G1304" s="190">
        <f t="shared" si="28"/>
        <v>1400</v>
      </c>
    </row>
    <row r="1305" spans="1:7">
      <c r="A1305" s="26"/>
      <c r="B1305" s="317"/>
      <c r="C1305" s="76" t="s">
        <v>5151</v>
      </c>
      <c r="D1305" s="105" t="s">
        <v>1172</v>
      </c>
      <c r="E1305" s="207">
        <v>4</v>
      </c>
      <c r="F1305" s="190">
        <f>'BASIC DATA'!$C$552</f>
        <v>350</v>
      </c>
      <c r="G1305" s="190">
        <f t="shared" si="28"/>
        <v>1400</v>
      </c>
    </row>
    <row r="1306" spans="1:7">
      <c r="A1306" s="26"/>
      <c r="B1306" s="317"/>
      <c r="C1306" s="76" t="s">
        <v>444</v>
      </c>
      <c r="D1306" s="105" t="s">
        <v>1172</v>
      </c>
      <c r="E1306" s="207">
        <f>F1263</f>
        <v>15.71</v>
      </c>
      <c r="F1306" s="190">
        <f>'BASIC DATA'!$C$552</f>
        <v>350</v>
      </c>
      <c r="G1306" s="190">
        <f t="shared" si="28"/>
        <v>5498.5</v>
      </c>
    </row>
    <row r="1307" spans="1:7">
      <c r="A1307" s="26"/>
      <c r="B1307" s="317"/>
      <c r="C1307" s="76" t="s">
        <v>445</v>
      </c>
      <c r="D1307" s="105" t="s">
        <v>1172</v>
      </c>
      <c r="E1307" s="207">
        <v>1</v>
      </c>
      <c r="F1307" s="190">
        <f>'BASIC DATA'!$C$552</f>
        <v>350</v>
      </c>
      <c r="G1307" s="190">
        <f t="shared" si="28"/>
        <v>350</v>
      </c>
    </row>
    <row r="1308" spans="1:7">
      <c r="A1308" s="26"/>
      <c r="B1308" s="105">
        <v>8</v>
      </c>
      <c r="C1308" s="76" t="s">
        <v>7215</v>
      </c>
      <c r="D1308" s="105" t="s">
        <v>3479</v>
      </c>
      <c r="E1308" s="207">
        <f>F1263*2</f>
        <v>31.42</v>
      </c>
      <c r="F1308" s="190">
        <f>D1257</f>
        <v>88.5</v>
      </c>
      <c r="G1308" s="190">
        <f t="shared" si="28"/>
        <v>2780.67</v>
      </c>
    </row>
    <row r="1309" spans="1:7">
      <c r="A1309" s="26"/>
      <c r="B1309" s="317"/>
      <c r="C1309" s="76" t="s">
        <v>6402</v>
      </c>
      <c r="D1309" s="224">
        <v>0.25</v>
      </c>
      <c r="E1309" s="207"/>
      <c r="F1309" s="190"/>
      <c r="G1309" s="190">
        <f>G1308*D1309</f>
        <v>695.16750000000002</v>
      </c>
    </row>
    <row r="1310" spans="1:7">
      <c r="A1310" s="26"/>
      <c r="B1310" s="92"/>
      <c r="C1310" s="193" t="s">
        <v>1174</v>
      </c>
      <c r="D1310" s="159"/>
      <c r="E1310" s="238"/>
      <c r="F1310" s="236" t="s">
        <v>1698</v>
      </c>
      <c r="G1310" s="318">
        <f>SUM(G1296:G1309)</f>
        <v>20125.587499999998</v>
      </c>
    </row>
    <row r="1311" spans="1:7">
      <c r="A1311" s="26"/>
      <c r="B1311" s="60" t="s">
        <v>5948</v>
      </c>
      <c r="C1311" s="26"/>
      <c r="D1311" s="31"/>
      <c r="E1311" s="85">
        <f>ROUND(G1310/F1263,1)</f>
        <v>1281.0999999999999</v>
      </c>
      <c r="F1311" s="26"/>
      <c r="G1311" s="26"/>
    </row>
    <row r="1312" spans="1:7">
      <c r="A1312" s="26"/>
      <c r="B1312" s="60" t="s">
        <v>3163</v>
      </c>
      <c r="C1312" s="26"/>
      <c r="D1312" s="31">
        <f>'BASIC DATA'!$C$577</f>
        <v>0.13614999999999999</v>
      </c>
      <c r="E1312" s="85">
        <f>ROUND(E1311*D1312,1)</f>
        <v>174.4</v>
      </c>
      <c r="F1312" s="26"/>
      <c r="G1312" s="26"/>
    </row>
    <row r="1313" spans="1:7">
      <c r="A1313" s="26"/>
      <c r="B1313" s="60" t="s">
        <v>5949</v>
      </c>
      <c r="C1313" s="26"/>
      <c r="D1313" s="31"/>
      <c r="E1313" s="199">
        <f>ROUND(E1312+E1311,1)</f>
        <v>1455.5</v>
      </c>
      <c r="F1313" s="57"/>
      <c r="G1313" s="26"/>
    </row>
    <row r="1314" spans="1:7">
      <c r="A1314" s="26"/>
      <c r="B1314" s="26"/>
      <c r="C1314" s="26"/>
      <c r="D1314" s="26"/>
      <c r="E1314" s="26"/>
      <c r="F1314" s="26"/>
      <c r="G1314" s="26"/>
    </row>
    <row r="1315" spans="1:7">
      <c r="A1315" s="26"/>
      <c r="B1315" s="170" t="s">
        <v>1175</v>
      </c>
      <c r="C1315" s="26"/>
      <c r="D1315" s="26"/>
      <c r="E1315" s="26"/>
      <c r="F1315" s="26"/>
      <c r="G1315" s="26"/>
    </row>
    <row r="1316" spans="1:7">
      <c r="A1316" s="26"/>
      <c r="B1316" s="26" t="s">
        <v>5010</v>
      </c>
      <c r="C1316" s="26"/>
      <c r="D1316" s="26"/>
      <c r="E1316" s="26"/>
      <c r="F1316" s="171" t="s">
        <v>1698</v>
      </c>
      <c r="G1316" s="68">
        <f>G1278</f>
        <v>48394.240618997501</v>
      </c>
    </row>
    <row r="1317" spans="1:7">
      <c r="A1317" s="26"/>
      <c r="B1317" s="26" t="s">
        <v>1186</v>
      </c>
      <c r="C1317" s="26"/>
      <c r="D1317" s="26"/>
      <c r="E1317" s="26"/>
      <c r="F1317" s="171" t="s">
        <v>1698</v>
      </c>
      <c r="G1317" s="68">
        <f>G1291</f>
        <v>2020.7500000000002</v>
      </c>
    </row>
    <row r="1318" spans="1:7">
      <c r="A1318" s="26"/>
      <c r="B1318" s="26" t="s">
        <v>2660</v>
      </c>
      <c r="C1318" s="26"/>
      <c r="D1318" s="26"/>
      <c r="E1318" s="26"/>
      <c r="F1318" s="171" t="s">
        <v>1698</v>
      </c>
      <c r="G1318" s="75">
        <f>G1310</f>
        <v>20125.587499999998</v>
      </c>
    </row>
    <row r="1319" spans="1:7">
      <c r="A1319" s="26"/>
      <c r="B1319" s="78"/>
      <c r="C1319" s="26"/>
      <c r="D1319" s="26"/>
      <c r="E1319" s="171"/>
      <c r="F1319" s="171" t="s">
        <v>302</v>
      </c>
      <c r="G1319" s="205">
        <f>SUM(G1316:G1318)</f>
        <v>70540.578118997495</v>
      </c>
    </row>
    <row r="1320" spans="1:7">
      <c r="A1320" s="26"/>
      <c r="B1320" s="1206" t="s">
        <v>1379</v>
      </c>
      <c r="C1320" s="1206"/>
      <c r="D1320" s="26"/>
      <c r="E1320" s="249">
        <f>'BASIC DATA'!$C$577</f>
        <v>0.13614999999999999</v>
      </c>
      <c r="F1320" s="26" t="s">
        <v>1698</v>
      </c>
      <c r="G1320" s="26">
        <f>ROUND(G1319*E1320,2)</f>
        <v>9604.1</v>
      </c>
    </row>
    <row r="1321" spans="1:7">
      <c r="A1321" s="26"/>
      <c r="B1321" s="26" t="s">
        <v>1191</v>
      </c>
      <c r="C1321" s="26"/>
      <c r="D1321" s="68">
        <f>F1263</f>
        <v>15.71</v>
      </c>
      <c r="E1321" s="68" t="str">
        <f>G1263</f>
        <v>cum</v>
      </c>
      <c r="F1321" s="26" t="s">
        <v>1698</v>
      </c>
      <c r="G1321" s="170">
        <f>G1320+G1319</f>
        <v>80144.678118997501</v>
      </c>
    </row>
    <row r="1322" spans="1:7">
      <c r="A1322" s="26"/>
      <c r="B1322" s="170" t="s">
        <v>1584</v>
      </c>
      <c r="C1322" s="211" t="str">
        <f>E1321</f>
        <v>cum</v>
      </c>
      <c r="D1322" s="26" t="s">
        <v>7782</v>
      </c>
      <c r="E1322" s="26"/>
      <c r="F1322" s="26" t="s">
        <v>4108</v>
      </c>
      <c r="G1322" s="211">
        <f>ROUND(G1321/D1321,1)</f>
        <v>5101.5</v>
      </c>
    </row>
    <row r="1323" spans="1:7">
      <c r="A1323" s="26"/>
      <c r="B1323" s="78"/>
      <c r="C1323" s="26"/>
      <c r="D1323" s="26"/>
      <c r="E1323" s="26"/>
      <c r="F1323" s="26"/>
      <c r="G1323" s="26"/>
    </row>
    <row r="1324" spans="1:7">
      <c r="A1324" s="26"/>
      <c r="B1324" s="78"/>
      <c r="C1324" s="26"/>
      <c r="D1324" s="26"/>
      <c r="E1324" s="26"/>
      <c r="F1324" s="26"/>
      <c r="G1324" s="26"/>
    </row>
    <row r="1325" spans="1:7" ht="18.75">
      <c r="A1325" s="78" t="s">
        <v>7550</v>
      </c>
      <c r="B1325" s="26" t="s">
        <v>8774</v>
      </c>
      <c r="C1325" s="26"/>
      <c r="D1325" s="26"/>
      <c r="E1325" s="26"/>
      <c r="F1325" s="26"/>
      <c r="G1325" s="26"/>
    </row>
    <row r="1326" spans="1:7" ht="18.75">
      <c r="A1326" s="78"/>
      <c r="B1326" s="26" t="s">
        <v>8927</v>
      </c>
      <c r="C1326" s="26"/>
      <c r="D1326" s="26"/>
      <c r="E1326" s="26"/>
      <c r="F1326" s="26"/>
      <c r="G1326" s="26"/>
    </row>
    <row r="1327" spans="1:7">
      <c r="A1327" s="78"/>
      <c r="B1327" s="26" t="s">
        <v>8923</v>
      </c>
      <c r="C1327" s="26"/>
      <c r="D1327" s="26"/>
      <c r="E1327" s="26"/>
      <c r="F1327" s="26"/>
      <c r="G1327" s="26"/>
    </row>
    <row r="1328" spans="1:7">
      <c r="A1328" s="78"/>
      <c r="B1328" s="26" t="s">
        <v>6528</v>
      </c>
      <c r="C1328" s="26"/>
      <c r="D1328" s="26"/>
      <c r="E1328" s="26"/>
      <c r="F1328" s="26"/>
      <c r="G1328" s="26"/>
    </row>
    <row r="1329" spans="1:7" ht="18.75">
      <c r="A1329" s="78"/>
      <c r="B1329" s="26" t="s">
        <v>8928</v>
      </c>
      <c r="C1329" s="26"/>
      <c r="D1329" s="26"/>
      <c r="E1329" s="26"/>
      <c r="F1329" s="26"/>
      <c r="G1329" s="26"/>
    </row>
    <row r="1330" spans="1:7">
      <c r="A1330" s="78"/>
      <c r="B1330" s="170" t="s">
        <v>6563</v>
      </c>
      <c r="C1330" s="26"/>
      <c r="D1330" s="26"/>
      <c r="E1330" s="26"/>
      <c r="F1330" s="26"/>
      <c r="G1330" s="26"/>
    </row>
    <row r="1331" spans="1:7">
      <c r="A1331" s="62"/>
      <c r="B1331" s="248" t="s">
        <v>4522</v>
      </c>
      <c r="C1331" s="61"/>
      <c r="D1331" s="61"/>
      <c r="E1331" s="61"/>
      <c r="F1331" s="61"/>
      <c r="G1331" s="61"/>
    </row>
    <row r="1332" spans="1:7">
      <c r="A1332" s="78"/>
      <c r="B1332" s="26"/>
      <c r="C1332" s="26"/>
      <c r="D1332" s="26"/>
      <c r="E1332" s="26"/>
      <c r="F1332" s="26"/>
      <c r="G1332" s="26"/>
    </row>
    <row r="1333" spans="1:7">
      <c r="A1333" s="78" t="s">
        <v>3984</v>
      </c>
      <c r="B1333" s="26" t="s">
        <v>5780</v>
      </c>
      <c r="C1333" s="26"/>
      <c r="D1333" s="26"/>
      <c r="E1333" s="26"/>
      <c r="F1333" s="26"/>
      <c r="G1333" s="26"/>
    </row>
    <row r="1334" spans="1:7">
      <c r="A1334" s="78"/>
      <c r="B1334" s="26" t="s">
        <v>6964</v>
      </c>
      <c r="C1334" s="26"/>
      <c r="D1334" s="26"/>
      <c r="E1334" s="26"/>
      <c r="F1334" s="26"/>
      <c r="G1334" s="26"/>
    </row>
    <row r="1335" spans="1:7">
      <c r="A1335" s="78"/>
      <c r="B1335" s="26" t="s">
        <v>16</v>
      </c>
      <c r="C1335" s="26"/>
      <c r="D1335" s="26"/>
      <c r="E1335" s="26"/>
      <c r="F1335" s="26"/>
      <c r="G1335" s="26"/>
    </row>
    <row r="1336" spans="1:7">
      <c r="A1336" s="78"/>
      <c r="B1336" s="26" t="s">
        <v>1418</v>
      </c>
      <c r="C1336" s="26"/>
      <c r="D1336" s="26"/>
      <c r="E1336" s="26">
        <f>50*10*8/220</f>
        <v>18.181818181818183</v>
      </c>
      <c r="F1336" s="26" t="s">
        <v>1416</v>
      </c>
      <c r="G1336" s="26"/>
    </row>
    <row r="1337" spans="1:7">
      <c r="A1337" s="78"/>
      <c r="B1337" s="26" t="s">
        <v>2843</v>
      </c>
      <c r="C1337" s="26"/>
      <c r="D1337" s="26"/>
      <c r="E1337" s="26"/>
      <c r="F1337" s="26"/>
      <c r="G1337" s="26"/>
    </row>
    <row r="1338" spans="1:7">
      <c r="A1338" s="78"/>
      <c r="B1338" s="26" t="s">
        <v>1816</v>
      </c>
      <c r="C1338" s="26"/>
      <c r="D1338" s="26"/>
      <c r="E1338" s="26"/>
      <c r="F1338" s="26"/>
      <c r="G1338" s="26"/>
    </row>
    <row r="1339" spans="1:7">
      <c r="A1339" s="78"/>
      <c r="B1339" s="26" t="s">
        <v>946</v>
      </c>
      <c r="C1339" s="26"/>
      <c r="D1339" s="26"/>
      <c r="E1339" s="26"/>
      <c r="F1339" s="68">
        <f>G618</f>
        <v>224.56752690000002</v>
      </c>
      <c r="G1339" s="26" t="s">
        <v>1168</v>
      </c>
    </row>
    <row r="1340" spans="1:7">
      <c r="A1340" s="78"/>
      <c r="B1340" s="26" t="s">
        <v>2137</v>
      </c>
      <c r="C1340" s="26"/>
      <c r="D1340" s="26"/>
      <c r="E1340" s="26"/>
      <c r="F1340" s="26"/>
      <c r="G1340" s="26"/>
    </row>
    <row r="1341" spans="1:7">
      <c r="A1341" s="78"/>
      <c r="B1341" s="26" t="s">
        <v>951</v>
      </c>
      <c r="C1341" s="26"/>
      <c r="D1341" s="26"/>
      <c r="E1341" s="26"/>
      <c r="F1341" s="68">
        <f>G644</f>
        <v>88.5</v>
      </c>
      <c r="G1341" s="26" t="s">
        <v>1168</v>
      </c>
    </row>
    <row r="1342" spans="1:7">
      <c r="A1342" s="78"/>
      <c r="B1342" s="26" t="s">
        <v>5790</v>
      </c>
      <c r="C1342" s="26"/>
      <c r="D1342" s="26"/>
      <c r="E1342" s="26"/>
      <c r="F1342" s="26"/>
      <c r="G1342" s="26"/>
    </row>
    <row r="1343" spans="1:7">
      <c r="A1343" s="78"/>
      <c r="B1343" s="26" t="s">
        <v>451</v>
      </c>
      <c r="C1343" s="26"/>
      <c r="D1343" s="26"/>
      <c r="E1343" s="26"/>
      <c r="F1343" s="26"/>
      <c r="G1343" s="26"/>
    </row>
    <row r="1344" spans="1:7">
      <c r="A1344" s="78"/>
      <c r="B1344" s="26" t="s">
        <v>947</v>
      </c>
      <c r="C1344" s="26"/>
      <c r="D1344" s="26"/>
      <c r="E1344" s="26"/>
      <c r="F1344" s="26"/>
      <c r="G1344" s="26"/>
    </row>
    <row r="1345" spans="1:7">
      <c r="A1345" s="26"/>
      <c r="B1345" s="78"/>
      <c r="C1345" s="26"/>
      <c r="D1345" s="26"/>
      <c r="E1345" s="26"/>
      <c r="F1345" s="26"/>
      <c r="G1345" s="26"/>
    </row>
    <row r="1346" spans="1:7">
      <c r="A1346" s="26"/>
      <c r="B1346" s="78"/>
      <c r="C1346" s="26"/>
      <c r="D1346" s="26"/>
      <c r="E1346" s="26"/>
      <c r="F1346" s="26"/>
      <c r="G1346" s="26"/>
    </row>
    <row r="1347" spans="1:7">
      <c r="A1347" s="78" t="s">
        <v>3984</v>
      </c>
      <c r="B1347" s="78"/>
      <c r="C1347" s="203" t="s">
        <v>2367</v>
      </c>
      <c r="D1347" s="26"/>
      <c r="E1347" s="171" t="s">
        <v>297</v>
      </c>
      <c r="F1347" s="246">
        <v>18</v>
      </c>
      <c r="G1347" s="26" t="s">
        <v>3477</v>
      </c>
    </row>
    <row r="1348" spans="1:7">
      <c r="A1348" s="26"/>
      <c r="B1348" s="79" t="s">
        <v>2368</v>
      </c>
      <c r="C1348" s="26"/>
      <c r="D1348" s="26"/>
      <c r="E1348" s="26"/>
      <c r="F1348" s="26"/>
      <c r="G1348" s="26"/>
    </row>
    <row r="1349" spans="1:7">
      <c r="A1349" s="26"/>
      <c r="B1349" s="95" t="s">
        <v>2369</v>
      </c>
      <c r="C1349" s="157" t="s">
        <v>4443</v>
      </c>
      <c r="D1349" s="95" t="s">
        <v>2370</v>
      </c>
      <c r="E1349" s="95" t="s">
        <v>1166</v>
      </c>
      <c r="F1349" s="95" t="s">
        <v>2371</v>
      </c>
      <c r="G1349" s="95" t="s">
        <v>2372</v>
      </c>
    </row>
    <row r="1350" spans="1:7">
      <c r="A1350" s="26"/>
      <c r="B1350" s="114"/>
      <c r="C1350" s="154"/>
      <c r="D1350" s="114"/>
      <c r="E1350" s="114"/>
      <c r="F1350" s="114" t="s">
        <v>3485</v>
      </c>
      <c r="G1350" s="114" t="s">
        <v>3485</v>
      </c>
    </row>
    <row r="1351" spans="1:7">
      <c r="A1351" s="26"/>
      <c r="B1351" s="95">
        <v>1</v>
      </c>
      <c r="C1351" s="135" t="s">
        <v>1048</v>
      </c>
      <c r="D1351" s="95" t="s">
        <v>3478</v>
      </c>
      <c r="E1351" s="190">
        <f>220*F1347</f>
        <v>3960</v>
      </c>
      <c r="F1351" s="214">
        <f>'BASIC DATA'!$D$32/1000</f>
        <v>5.35</v>
      </c>
      <c r="G1351" s="190">
        <f>E1351*F1351</f>
        <v>21186</v>
      </c>
    </row>
    <row r="1352" spans="1:7">
      <c r="A1352" s="26"/>
      <c r="B1352" s="317"/>
      <c r="C1352" s="135" t="s">
        <v>1049</v>
      </c>
      <c r="D1352" s="105" t="s">
        <v>3478</v>
      </c>
      <c r="E1352" s="190">
        <f>F1347*5</f>
        <v>90</v>
      </c>
      <c r="F1352" s="214">
        <f>'BASIC DATA'!$D$32/1000</f>
        <v>5.35</v>
      </c>
      <c r="G1352" s="190">
        <f t="shared" ref="G1352:G1359" si="29">E1352*F1352</f>
        <v>481.49999999999994</v>
      </c>
    </row>
    <row r="1353" spans="1:7">
      <c r="A1353" s="26"/>
      <c r="B1353" s="105">
        <v>2</v>
      </c>
      <c r="C1353" s="135" t="s">
        <v>6995</v>
      </c>
      <c r="D1353" s="105" t="s">
        <v>3477</v>
      </c>
      <c r="E1353" s="190">
        <f>0.8*F1347*0.65</f>
        <v>9.3600000000000012</v>
      </c>
      <c r="F1353" s="214">
        <f>'BASIC DATA'!$D$35</f>
        <v>1225</v>
      </c>
      <c r="G1353" s="190">
        <f t="shared" si="29"/>
        <v>11466.000000000002</v>
      </c>
    </row>
    <row r="1354" spans="1:7">
      <c r="A1354" s="26"/>
      <c r="B1354" s="317"/>
      <c r="C1354" s="135" t="s">
        <v>1050</v>
      </c>
      <c r="D1354" s="105" t="s">
        <v>3477</v>
      </c>
      <c r="E1354" s="190">
        <f>0.8*F1347*0.35</f>
        <v>5.04</v>
      </c>
      <c r="F1354" s="214">
        <f>'BASIC DATA'!$D$34</f>
        <v>900</v>
      </c>
      <c r="G1354" s="190">
        <f t="shared" si="29"/>
        <v>4536</v>
      </c>
    </row>
    <row r="1355" spans="1:7">
      <c r="A1355" s="61"/>
      <c r="B1355" s="240">
        <v>3</v>
      </c>
      <c r="C1355" s="326" t="s">
        <v>7941</v>
      </c>
      <c r="D1355" s="240" t="s">
        <v>3477</v>
      </c>
      <c r="E1355" s="255">
        <f>0.45*F1347</f>
        <v>8.1</v>
      </c>
      <c r="F1355" s="266">
        <f>'BASIC DATA'!$D$55</f>
        <v>95</v>
      </c>
      <c r="G1355" s="255">
        <f t="shared" si="29"/>
        <v>769.5</v>
      </c>
    </row>
    <row r="1356" spans="1:7">
      <c r="A1356" s="26"/>
      <c r="B1356" s="105">
        <v>4</v>
      </c>
      <c r="C1356" s="135" t="s">
        <v>523</v>
      </c>
      <c r="D1356" s="105" t="s">
        <v>3478</v>
      </c>
      <c r="E1356" s="190">
        <f>E1351*0.4%</f>
        <v>15.84</v>
      </c>
      <c r="F1356" s="214">
        <f>'BASIC DATA'!$D$99</f>
        <v>55</v>
      </c>
      <c r="G1356" s="190">
        <f t="shared" si="29"/>
        <v>871.2</v>
      </c>
    </row>
    <row r="1357" spans="1:7">
      <c r="A1357" s="26"/>
      <c r="B1357" s="105">
        <v>5</v>
      </c>
      <c r="C1357" s="135" t="s">
        <v>7213</v>
      </c>
      <c r="D1357" s="105" t="s">
        <v>3479</v>
      </c>
      <c r="E1357" s="190">
        <f>F1347*2</f>
        <v>36</v>
      </c>
      <c r="F1357" s="214">
        <f>F1339</f>
        <v>224.56752690000002</v>
      </c>
      <c r="G1357" s="190">
        <f t="shared" si="29"/>
        <v>8084.4309684000009</v>
      </c>
    </row>
    <row r="1358" spans="1:7">
      <c r="A1358" s="26"/>
      <c r="B1358" s="317"/>
      <c r="C1358" s="135" t="s">
        <v>5408</v>
      </c>
      <c r="D1358" s="224">
        <v>0.25</v>
      </c>
      <c r="E1358" s="190"/>
      <c r="F1358" s="214"/>
      <c r="G1358" s="190">
        <f>G1357*D1358</f>
        <v>2021.1077421000002</v>
      </c>
    </row>
    <row r="1359" spans="1:7">
      <c r="A1359" s="26"/>
      <c r="B1359" s="114">
        <v>6</v>
      </c>
      <c r="C1359" s="139" t="s">
        <v>2373</v>
      </c>
      <c r="D1359" s="114" t="s">
        <v>2173</v>
      </c>
      <c r="E1359" s="182">
        <v>0.5</v>
      </c>
      <c r="F1359" s="215">
        <f>'BASIC DATA'!$D$359</f>
        <v>30</v>
      </c>
      <c r="G1359" s="182">
        <f t="shared" si="29"/>
        <v>15</v>
      </c>
    </row>
    <row r="1360" spans="1:7">
      <c r="A1360" s="26"/>
      <c r="B1360" s="93"/>
      <c r="C1360" s="31" t="s">
        <v>6842</v>
      </c>
      <c r="D1360" s="31" t="s">
        <v>4043</v>
      </c>
      <c r="E1360" s="198"/>
      <c r="F1360" s="327" t="s">
        <v>1698</v>
      </c>
      <c r="G1360" s="190">
        <v>0</v>
      </c>
    </row>
    <row r="1361" spans="1:7">
      <c r="A1361" s="26"/>
      <c r="B1361" s="93"/>
      <c r="C1361" s="31" t="s">
        <v>6843</v>
      </c>
      <c r="D1361" s="31" t="s">
        <v>4043</v>
      </c>
      <c r="E1361" s="198"/>
      <c r="F1361" s="327" t="s">
        <v>1698</v>
      </c>
      <c r="G1361" s="190">
        <v>0</v>
      </c>
    </row>
    <row r="1362" spans="1:7">
      <c r="A1362" s="26"/>
      <c r="B1362" s="92"/>
      <c r="C1362" s="193" t="s">
        <v>2376</v>
      </c>
      <c r="D1362" s="159"/>
      <c r="E1362" s="238"/>
      <c r="F1362" s="236" t="s">
        <v>1698</v>
      </c>
      <c r="G1362" s="318">
        <f>SUM(G1351:G1361)</f>
        <v>49430.738710500002</v>
      </c>
    </row>
    <row r="1363" spans="1:7">
      <c r="A1363" s="26"/>
      <c r="B1363" s="78"/>
      <c r="C1363" s="26"/>
      <c r="D1363" s="26"/>
      <c r="E1363" s="26"/>
      <c r="F1363" s="26"/>
      <c r="G1363" s="26"/>
    </row>
    <row r="1364" spans="1:7">
      <c r="A1364" s="26"/>
      <c r="B1364" s="79" t="s">
        <v>2377</v>
      </c>
      <c r="C1364" s="26"/>
      <c r="D1364" s="26"/>
      <c r="E1364" s="26"/>
      <c r="F1364" s="26"/>
      <c r="G1364" s="26"/>
    </row>
    <row r="1365" spans="1:7">
      <c r="A1365" s="26"/>
      <c r="B1365" s="95" t="s">
        <v>2369</v>
      </c>
      <c r="C1365" s="157" t="s">
        <v>2378</v>
      </c>
      <c r="D1365" s="95" t="s">
        <v>2370</v>
      </c>
      <c r="E1365" s="95" t="s">
        <v>1166</v>
      </c>
      <c r="F1365" s="95" t="s">
        <v>2371</v>
      </c>
      <c r="G1365" s="95" t="s">
        <v>2372</v>
      </c>
    </row>
    <row r="1366" spans="1:7">
      <c r="A1366" s="26"/>
      <c r="B1366" s="114"/>
      <c r="C1366" s="154"/>
      <c r="D1366" s="114"/>
      <c r="E1366" s="114"/>
      <c r="F1366" s="114" t="s">
        <v>3485</v>
      </c>
      <c r="G1366" s="114" t="s">
        <v>3485</v>
      </c>
    </row>
    <row r="1367" spans="1:7">
      <c r="A1367" s="26"/>
      <c r="B1367" s="95">
        <v>1</v>
      </c>
      <c r="C1367" s="135" t="s">
        <v>7214</v>
      </c>
      <c r="D1367" s="95" t="s">
        <v>2374</v>
      </c>
      <c r="E1367" s="190">
        <v>8</v>
      </c>
      <c r="F1367" s="190">
        <f>'HIRE CHARGES'!$D$507</f>
        <v>53.5</v>
      </c>
      <c r="G1367" s="190">
        <f>E1367*F1367</f>
        <v>428</v>
      </c>
    </row>
    <row r="1368" spans="1:7">
      <c r="A1368" s="26"/>
      <c r="B1368" s="317"/>
      <c r="C1368" s="135" t="s">
        <v>2379</v>
      </c>
      <c r="D1368" s="105" t="s">
        <v>2374</v>
      </c>
      <c r="E1368" s="190">
        <v>8</v>
      </c>
      <c r="F1368" s="190">
        <f>'HIRE CHARGES'!$E$507</f>
        <v>79.3</v>
      </c>
      <c r="G1368" s="190">
        <f t="shared" ref="G1368:G1374" si="30">E1368*F1368</f>
        <v>634.4</v>
      </c>
    </row>
    <row r="1369" spans="1:7">
      <c r="A1369" s="26"/>
      <c r="B1369" s="105">
        <v>2</v>
      </c>
      <c r="C1369" s="135" t="s">
        <v>189</v>
      </c>
      <c r="D1369" s="105" t="s">
        <v>2374</v>
      </c>
      <c r="E1369" s="190">
        <v>0.5</v>
      </c>
      <c r="F1369" s="190">
        <f>'HIRE CHARGES'!$D$517</f>
        <v>10.199999999999999</v>
      </c>
      <c r="G1369" s="190">
        <f t="shared" si="30"/>
        <v>5.0999999999999996</v>
      </c>
    </row>
    <row r="1370" spans="1:7">
      <c r="A1370" s="26"/>
      <c r="B1370" s="317"/>
      <c r="C1370" s="135" t="s">
        <v>2379</v>
      </c>
      <c r="D1370" s="105" t="s">
        <v>2374</v>
      </c>
      <c r="E1370" s="190">
        <v>0.5</v>
      </c>
      <c r="F1370" s="190">
        <f>'HIRE CHARGES'!$E$517</f>
        <v>79.3</v>
      </c>
      <c r="G1370" s="190">
        <f t="shared" si="30"/>
        <v>39.65</v>
      </c>
    </row>
    <row r="1371" spans="1:7">
      <c r="A1371" s="26"/>
      <c r="B1371" s="105">
        <v>3</v>
      </c>
      <c r="C1371" s="135" t="s">
        <v>6286</v>
      </c>
      <c r="D1371" s="105" t="s">
        <v>2374</v>
      </c>
      <c r="E1371" s="190">
        <v>1</v>
      </c>
      <c r="F1371" s="190">
        <f>'HIRE CHARGES'!$D$555</f>
        <v>402.5</v>
      </c>
      <c r="G1371" s="190">
        <f t="shared" si="30"/>
        <v>402.5</v>
      </c>
    </row>
    <row r="1372" spans="1:7">
      <c r="A1372" s="26"/>
      <c r="B1372" s="317"/>
      <c r="C1372" s="135" t="s">
        <v>2379</v>
      </c>
      <c r="D1372" s="105" t="s">
        <v>2374</v>
      </c>
      <c r="E1372" s="190">
        <v>1</v>
      </c>
      <c r="F1372" s="190">
        <f>'HIRE CHARGES'!$E$555</f>
        <v>299.89999999999998</v>
      </c>
      <c r="G1372" s="190">
        <f t="shared" si="30"/>
        <v>299.89999999999998</v>
      </c>
    </row>
    <row r="1373" spans="1:7">
      <c r="A1373" s="26"/>
      <c r="B1373" s="105">
        <v>4</v>
      </c>
      <c r="C1373" s="135" t="s">
        <v>526</v>
      </c>
      <c r="D1373" s="105" t="s">
        <v>2374</v>
      </c>
      <c r="E1373" s="190">
        <v>8</v>
      </c>
      <c r="F1373" s="190">
        <f>'HIRE CHARGES'!$D$531</f>
        <v>7.6</v>
      </c>
      <c r="G1373" s="190">
        <f t="shared" si="30"/>
        <v>60.8</v>
      </c>
    </row>
    <row r="1374" spans="1:7">
      <c r="A1374" s="26"/>
      <c r="B1374" s="275"/>
      <c r="C1374" s="139" t="s">
        <v>2379</v>
      </c>
      <c r="D1374" s="114" t="s">
        <v>2374</v>
      </c>
      <c r="E1374" s="182">
        <v>8</v>
      </c>
      <c r="F1374" s="182">
        <f>'HIRE CHARGES'!$E$531</f>
        <v>18.8</v>
      </c>
      <c r="G1374" s="182">
        <f t="shared" si="30"/>
        <v>150.4</v>
      </c>
    </row>
    <row r="1375" spans="1:7">
      <c r="A1375" s="26"/>
      <c r="B1375" s="176"/>
      <c r="C1375" s="172" t="s">
        <v>2380</v>
      </c>
      <c r="D1375" s="174"/>
      <c r="E1375" s="192"/>
      <c r="F1375" s="275" t="s">
        <v>1698</v>
      </c>
      <c r="G1375" s="434">
        <f>SUM(G1367:G1374)</f>
        <v>2020.7500000000002</v>
      </c>
    </row>
    <row r="1376" spans="1:7">
      <c r="A1376" s="26"/>
      <c r="B1376" s="78"/>
      <c r="C1376" s="26"/>
      <c r="D1376" s="26"/>
      <c r="E1376" s="26"/>
      <c r="F1376" s="26"/>
      <c r="G1376" s="26"/>
    </row>
    <row r="1377" spans="1:7">
      <c r="A1377" s="26"/>
      <c r="B1377" s="79" t="s">
        <v>2381</v>
      </c>
      <c r="C1377" s="26"/>
      <c r="D1377" s="26"/>
      <c r="E1377" s="26"/>
      <c r="F1377" s="26"/>
      <c r="G1377" s="26"/>
    </row>
    <row r="1378" spans="1:7">
      <c r="A1378" s="26"/>
      <c r="B1378" s="95" t="s">
        <v>2369</v>
      </c>
      <c r="C1378" s="157" t="s">
        <v>2378</v>
      </c>
      <c r="D1378" s="95" t="s">
        <v>2370</v>
      </c>
      <c r="E1378" s="95" t="s">
        <v>1166</v>
      </c>
      <c r="F1378" s="95" t="s">
        <v>2371</v>
      </c>
      <c r="G1378" s="95" t="s">
        <v>2372</v>
      </c>
    </row>
    <row r="1379" spans="1:7">
      <c r="A1379" s="26"/>
      <c r="B1379" s="114"/>
      <c r="C1379" s="154"/>
      <c r="D1379" s="114"/>
      <c r="E1379" s="114"/>
      <c r="F1379" s="114" t="s">
        <v>3485</v>
      </c>
      <c r="G1379" s="114" t="s">
        <v>3485</v>
      </c>
    </row>
    <row r="1380" spans="1:7">
      <c r="A1380" s="26"/>
      <c r="B1380" s="105">
        <v>1</v>
      </c>
      <c r="C1380" s="76" t="s">
        <v>527</v>
      </c>
      <c r="D1380" s="105" t="s">
        <v>2374</v>
      </c>
      <c r="E1380" s="207">
        <v>8</v>
      </c>
      <c r="F1380" s="190">
        <f>'HIRE CHARGES'!$F$507</f>
        <v>219.7</v>
      </c>
      <c r="G1380" s="190">
        <f>E1380*F1380</f>
        <v>1757.6</v>
      </c>
    </row>
    <row r="1381" spans="1:7">
      <c r="A1381" s="26"/>
      <c r="B1381" s="105">
        <v>2</v>
      </c>
      <c r="C1381" s="76" t="s">
        <v>999</v>
      </c>
      <c r="D1381" s="105" t="s">
        <v>2374</v>
      </c>
      <c r="E1381" s="207">
        <v>0.5</v>
      </c>
      <c r="F1381" s="190">
        <f>'HIRE CHARGES'!$F$517</f>
        <v>111.1</v>
      </c>
      <c r="G1381" s="190">
        <f t="shared" ref="G1381:G1392" si="31">E1381*F1381</f>
        <v>55.55</v>
      </c>
    </row>
    <row r="1382" spans="1:7">
      <c r="A1382" s="26"/>
      <c r="B1382" s="105">
        <v>3</v>
      </c>
      <c r="C1382" s="76" t="s">
        <v>1000</v>
      </c>
      <c r="D1382" s="105" t="s">
        <v>2374</v>
      </c>
      <c r="E1382" s="207">
        <v>1</v>
      </c>
      <c r="F1382" s="190">
        <f>'HIRE CHARGES'!$F$555</f>
        <v>177.5</v>
      </c>
      <c r="G1382" s="190">
        <f t="shared" si="31"/>
        <v>177.5</v>
      </c>
    </row>
    <row r="1383" spans="1:7">
      <c r="A1383" s="26"/>
      <c r="B1383" s="105">
        <v>4</v>
      </c>
      <c r="C1383" s="76" t="s">
        <v>5148</v>
      </c>
      <c r="D1383" s="105" t="s">
        <v>2374</v>
      </c>
      <c r="E1383" s="207">
        <v>8</v>
      </c>
      <c r="F1383" s="190">
        <f>'HIRE CHARGES'!$F$531</f>
        <v>158.19999999999999</v>
      </c>
      <c r="G1383" s="190">
        <f t="shared" si="31"/>
        <v>1265.5999999999999</v>
      </c>
    </row>
    <row r="1384" spans="1:7">
      <c r="A1384" s="26"/>
      <c r="B1384" s="105">
        <v>5</v>
      </c>
      <c r="C1384" s="76" t="s">
        <v>440</v>
      </c>
      <c r="D1384" s="105" t="s">
        <v>1172</v>
      </c>
      <c r="E1384" s="207">
        <v>1</v>
      </c>
      <c r="F1384" s="190">
        <f>'BASIC DATA'!$C$474</f>
        <v>445</v>
      </c>
      <c r="G1384" s="190">
        <f t="shared" si="31"/>
        <v>445</v>
      </c>
    </row>
    <row r="1385" spans="1:7">
      <c r="A1385" s="26"/>
      <c r="B1385" s="105">
        <v>6</v>
      </c>
      <c r="C1385" s="76" t="s">
        <v>4206</v>
      </c>
      <c r="D1385" s="105" t="s">
        <v>1172</v>
      </c>
      <c r="E1385" s="207">
        <v>1</v>
      </c>
      <c r="F1385" s="190">
        <f>'BASIC DATA'!$C$473</f>
        <v>450</v>
      </c>
      <c r="G1385" s="190">
        <f t="shared" si="31"/>
        <v>450</v>
      </c>
    </row>
    <row r="1386" spans="1:7">
      <c r="A1386" s="26"/>
      <c r="B1386" s="105">
        <v>7</v>
      </c>
      <c r="C1386" s="76" t="s">
        <v>2697</v>
      </c>
      <c r="D1386" s="105"/>
      <c r="E1386" s="207"/>
      <c r="F1386" s="190"/>
      <c r="G1386" s="190"/>
    </row>
    <row r="1387" spans="1:7">
      <c r="A1387" s="26"/>
      <c r="B1387" s="317"/>
      <c r="C1387" s="76" t="s">
        <v>441</v>
      </c>
      <c r="D1387" s="105" t="s">
        <v>1172</v>
      </c>
      <c r="E1387" s="207">
        <v>11</v>
      </c>
      <c r="F1387" s="190">
        <f>'BASIC DATA'!$C$552</f>
        <v>350</v>
      </c>
      <c r="G1387" s="190">
        <f t="shared" si="31"/>
        <v>3850</v>
      </c>
    </row>
    <row r="1388" spans="1:7">
      <c r="A1388" s="26"/>
      <c r="B1388" s="317"/>
      <c r="C1388" s="76" t="s">
        <v>442</v>
      </c>
      <c r="D1388" s="105" t="s">
        <v>1172</v>
      </c>
      <c r="E1388" s="207">
        <v>4</v>
      </c>
      <c r="F1388" s="190">
        <f>'BASIC DATA'!$C$552</f>
        <v>350</v>
      </c>
      <c r="G1388" s="190">
        <f t="shared" si="31"/>
        <v>1400</v>
      </c>
    </row>
    <row r="1389" spans="1:7">
      <c r="A1389" s="26"/>
      <c r="B1389" s="317"/>
      <c r="C1389" s="76" t="s">
        <v>5151</v>
      </c>
      <c r="D1389" s="105" t="s">
        <v>1172</v>
      </c>
      <c r="E1389" s="207">
        <v>4</v>
      </c>
      <c r="F1389" s="190">
        <f>'BASIC DATA'!$C$552</f>
        <v>350</v>
      </c>
      <c r="G1389" s="190">
        <f t="shared" si="31"/>
        <v>1400</v>
      </c>
    </row>
    <row r="1390" spans="1:7">
      <c r="A1390" s="26"/>
      <c r="B1390" s="317"/>
      <c r="C1390" s="76" t="s">
        <v>444</v>
      </c>
      <c r="D1390" s="105" t="s">
        <v>1172</v>
      </c>
      <c r="E1390" s="207">
        <f>F1347</f>
        <v>18</v>
      </c>
      <c r="F1390" s="190">
        <f>'BASIC DATA'!$C$552</f>
        <v>350</v>
      </c>
      <c r="G1390" s="190">
        <f t="shared" si="31"/>
        <v>6300</v>
      </c>
    </row>
    <row r="1391" spans="1:7">
      <c r="A1391" s="26"/>
      <c r="B1391" s="317"/>
      <c r="C1391" s="76" t="s">
        <v>445</v>
      </c>
      <c r="D1391" s="105" t="s">
        <v>1172</v>
      </c>
      <c r="E1391" s="207">
        <v>1</v>
      </c>
      <c r="F1391" s="190">
        <f>'BASIC DATA'!$C$552</f>
        <v>350</v>
      </c>
      <c r="G1391" s="190">
        <f t="shared" si="31"/>
        <v>350</v>
      </c>
    </row>
    <row r="1392" spans="1:7">
      <c r="A1392" s="26"/>
      <c r="B1392" s="105">
        <v>8</v>
      </c>
      <c r="C1392" s="76" t="s">
        <v>7215</v>
      </c>
      <c r="D1392" s="105" t="s">
        <v>3479</v>
      </c>
      <c r="E1392" s="207">
        <f>F1347*2</f>
        <v>36</v>
      </c>
      <c r="F1392" s="190">
        <f>F1341</f>
        <v>88.5</v>
      </c>
      <c r="G1392" s="190">
        <f t="shared" si="31"/>
        <v>3186</v>
      </c>
    </row>
    <row r="1393" spans="1:7">
      <c r="A1393" s="26"/>
      <c r="B1393" s="317"/>
      <c r="C1393" s="76" t="s">
        <v>6402</v>
      </c>
      <c r="D1393" s="224">
        <v>0.25</v>
      </c>
      <c r="E1393" s="207"/>
      <c r="F1393" s="190"/>
      <c r="G1393" s="190">
        <f>G1392*D1393</f>
        <v>796.5</v>
      </c>
    </row>
    <row r="1394" spans="1:7">
      <c r="A1394" s="26"/>
      <c r="B1394" s="92"/>
      <c r="C1394" s="193" t="s">
        <v>1174</v>
      </c>
      <c r="D1394" s="159"/>
      <c r="E1394" s="238"/>
      <c r="F1394" s="236" t="s">
        <v>1698</v>
      </c>
      <c r="G1394" s="318">
        <f>SUM(G1380:G1393)</f>
        <v>21433.75</v>
      </c>
    </row>
    <row r="1395" spans="1:7">
      <c r="A1395" s="26"/>
      <c r="B1395" s="60" t="s">
        <v>5948</v>
      </c>
      <c r="C1395" s="26"/>
      <c r="D1395" s="31"/>
      <c r="E1395" s="85">
        <f>ROUND(G1394/F1347,1)</f>
        <v>1190.8</v>
      </c>
      <c r="F1395" s="26"/>
      <c r="G1395" s="26"/>
    </row>
    <row r="1396" spans="1:7">
      <c r="A1396" s="26"/>
      <c r="B1396" s="60" t="s">
        <v>3163</v>
      </c>
      <c r="C1396" s="26"/>
      <c r="D1396" s="31">
        <f>'BASIC DATA'!$C$577</f>
        <v>0.13614999999999999</v>
      </c>
      <c r="E1396" s="85">
        <f>ROUND(E1395*D1396,1)</f>
        <v>162.1</v>
      </c>
      <c r="F1396" s="26"/>
      <c r="G1396" s="26"/>
    </row>
    <row r="1397" spans="1:7">
      <c r="A1397" s="26"/>
      <c r="B1397" s="60" t="s">
        <v>5949</v>
      </c>
      <c r="C1397" s="26"/>
      <c r="D1397" s="31"/>
      <c r="E1397" s="199">
        <f>ROUND(E1396+E1395,1)</f>
        <v>1352.9</v>
      </c>
      <c r="F1397" s="57"/>
      <c r="G1397" s="26"/>
    </row>
    <row r="1398" spans="1:7">
      <c r="A1398" s="26"/>
      <c r="B1398" s="26"/>
      <c r="C1398" s="26"/>
      <c r="D1398" s="26"/>
      <c r="E1398" s="26"/>
      <c r="F1398" s="26"/>
      <c r="G1398" s="26"/>
    </row>
    <row r="1399" spans="1:7">
      <c r="A1399" s="26"/>
      <c r="B1399" s="170" t="s">
        <v>1175</v>
      </c>
      <c r="C1399" s="26"/>
      <c r="D1399" s="26"/>
      <c r="E1399" s="26"/>
      <c r="F1399" s="26"/>
      <c r="G1399" s="26"/>
    </row>
    <row r="1400" spans="1:7">
      <c r="A1400" s="26"/>
      <c r="B1400" s="26" t="s">
        <v>5010</v>
      </c>
      <c r="C1400" s="26"/>
      <c r="D1400" s="26"/>
      <c r="E1400" s="26"/>
      <c r="F1400" s="171" t="s">
        <v>1698</v>
      </c>
      <c r="G1400" s="68">
        <f>G1362</f>
        <v>49430.738710500002</v>
      </c>
    </row>
    <row r="1401" spans="1:7">
      <c r="A1401" s="26"/>
      <c r="B1401" s="26" t="s">
        <v>1186</v>
      </c>
      <c r="C1401" s="26"/>
      <c r="D1401" s="26"/>
      <c r="E1401" s="26"/>
      <c r="F1401" s="171" t="s">
        <v>1698</v>
      </c>
      <c r="G1401" s="68">
        <f>G1375</f>
        <v>2020.7500000000002</v>
      </c>
    </row>
    <row r="1402" spans="1:7">
      <c r="A1402" s="26"/>
      <c r="B1402" s="26" t="s">
        <v>2660</v>
      </c>
      <c r="C1402" s="26"/>
      <c r="D1402" s="26"/>
      <c r="E1402" s="26"/>
      <c r="F1402" s="171" t="s">
        <v>1698</v>
      </c>
      <c r="G1402" s="75">
        <f>G1394</f>
        <v>21433.75</v>
      </c>
    </row>
    <row r="1403" spans="1:7">
      <c r="A1403" s="26"/>
      <c r="B1403" s="78"/>
      <c r="C1403" s="26"/>
      <c r="D1403" s="26"/>
      <c r="E1403" s="171"/>
      <c r="F1403" s="171" t="s">
        <v>302</v>
      </c>
      <c r="G1403" s="205">
        <f>SUM(G1400:G1402)</f>
        <v>72885.238710500009</v>
      </c>
    </row>
    <row r="1404" spans="1:7">
      <c r="A1404" s="26"/>
      <c r="B1404" s="1206" t="s">
        <v>1379</v>
      </c>
      <c r="C1404" s="1206"/>
      <c r="D1404" s="26"/>
      <c r="E1404" s="249">
        <f>'BASIC DATA'!$C$577</f>
        <v>0.13614999999999999</v>
      </c>
      <c r="F1404" s="26" t="s">
        <v>1698</v>
      </c>
      <c r="G1404" s="26">
        <f>ROUND(G1403*E1404,2)</f>
        <v>9923.33</v>
      </c>
    </row>
    <row r="1405" spans="1:7">
      <c r="A1405" s="26"/>
      <c r="B1405" s="26" t="s">
        <v>1191</v>
      </c>
      <c r="C1405" s="26"/>
      <c r="D1405" s="68">
        <f>F1347</f>
        <v>18</v>
      </c>
      <c r="E1405" s="68" t="str">
        <f>G1347</f>
        <v>cum</v>
      </c>
      <c r="F1405" s="26" t="s">
        <v>1698</v>
      </c>
      <c r="G1405" s="170">
        <f>G1404+G1403</f>
        <v>82808.568710500011</v>
      </c>
    </row>
    <row r="1406" spans="1:7">
      <c r="A1406" s="26"/>
      <c r="B1406" s="170" t="s">
        <v>1584</v>
      </c>
      <c r="C1406" s="211" t="str">
        <f>E1405</f>
        <v>cum</v>
      </c>
      <c r="D1406" s="26" t="s">
        <v>6785</v>
      </c>
      <c r="E1406" s="26"/>
      <c r="F1406" s="26" t="s">
        <v>4108</v>
      </c>
      <c r="G1406" s="211">
        <f>ROUND(G1405/D1405,1)</f>
        <v>4600.5</v>
      </c>
    </row>
    <row r="1407" spans="1:7">
      <c r="A1407" s="26"/>
      <c r="B1407" s="78"/>
      <c r="C1407" s="26"/>
      <c r="D1407" s="26"/>
      <c r="E1407" s="26"/>
      <c r="F1407" s="26"/>
      <c r="G1407" s="26"/>
    </row>
    <row r="1408" spans="1:7">
      <c r="A1408" s="26"/>
      <c r="B1408" s="78"/>
      <c r="C1408" s="26"/>
      <c r="D1408" s="26"/>
      <c r="E1408" s="26"/>
      <c r="F1408" s="26"/>
      <c r="G1408" s="26"/>
    </row>
    <row r="1409" spans="1:7" ht="18.75">
      <c r="A1409" s="78" t="s">
        <v>7551</v>
      </c>
      <c r="B1409" s="26" t="s">
        <v>8618</v>
      </c>
      <c r="C1409" s="26"/>
      <c r="D1409" s="26"/>
      <c r="E1409" s="26"/>
      <c r="F1409" s="26"/>
      <c r="G1409" s="26"/>
    </row>
    <row r="1410" spans="1:7" ht="18.75">
      <c r="A1410" s="78"/>
      <c r="B1410" s="26" t="s">
        <v>8925</v>
      </c>
      <c r="C1410" s="26"/>
      <c r="D1410" s="26"/>
      <c r="E1410" s="26"/>
      <c r="F1410" s="26"/>
      <c r="G1410" s="26"/>
    </row>
    <row r="1411" spans="1:7">
      <c r="A1411" s="78"/>
      <c r="B1411" s="26" t="s">
        <v>8929</v>
      </c>
      <c r="C1411" s="26"/>
      <c r="D1411" s="26"/>
      <c r="E1411" s="26"/>
      <c r="F1411" s="26"/>
      <c r="G1411" s="26"/>
    </row>
    <row r="1412" spans="1:7">
      <c r="A1412" s="78"/>
      <c r="B1412" s="26" t="s">
        <v>3535</v>
      </c>
      <c r="C1412" s="26"/>
      <c r="D1412" s="26"/>
      <c r="E1412" s="26"/>
      <c r="F1412" s="26"/>
      <c r="G1412" s="26"/>
    </row>
    <row r="1413" spans="1:7" ht="18.75">
      <c r="A1413" s="78"/>
      <c r="B1413" s="170" t="s">
        <v>8930</v>
      </c>
      <c r="C1413" s="26"/>
      <c r="D1413" s="26"/>
      <c r="E1413" s="26"/>
      <c r="F1413" s="26"/>
      <c r="G1413" s="26"/>
    </row>
    <row r="1414" spans="1:7">
      <c r="A1414" s="325" t="s">
        <v>1940</v>
      </c>
      <c r="B1414" s="170" t="s">
        <v>1351</v>
      </c>
      <c r="C1414" s="26"/>
      <c r="D1414" s="26"/>
      <c r="E1414" s="26"/>
      <c r="F1414" s="26"/>
      <c r="G1414" s="26"/>
    </row>
    <row r="1415" spans="1:7">
      <c r="A1415" s="78"/>
      <c r="B1415" s="170" t="s">
        <v>3578</v>
      </c>
      <c r="C1415" s="26"/>
      <c r="D1415" s="26"/>
      <c r="E1415" s="26"/>
      <c r="F1415" s="26"/>
      <c r="G1415" s="26"/>
    </row>
    <row r="1416" spans="1:7">
      <c r="A1416" s="62"/>
      <c r="B1416" s="248" t="s">
        <v>4522</v>
      </c>
      <c r="C1416" s="61"/>
      <c r="D1416" s="61"/>
      <c r="E1416" s="61"/>
      <c r="F1416" s="61"/>
      <c r="G1416" s="61"/>
    </row>
    <row r="1417" spans="1:7">
      <c r="A1417" s="78"/>
      <c r="B1417" s="26"/>
      <c r="C1417" s="26"/>
      <c r="D1417" s="26"/>
      <c r="E1417" s="26"/>
      <c r="F1417" s="26"/>
      <c r="G1417" s="26"/>
    </row>
    <row r="1418" spans="1:7">
      <c r="A1418" s="78" t="s">
        <v>3984</v>
      </c>
      <c r="B1418" s="26" t="s">
        <v>5780</v>
      </c>
      <c r="C1418" s="26"/>
      <c r="D1418" s="26"/>
      <c r="E1418" s="26"/>
      <c r="F1418" s="26"/>
      <c r="G1418" s="26"/>
    </row>
    <row r="1419" spans="1:7">
      <c r="A1419" s="78"/>
      <c r="B1419" s="26" t="s">
        <v>3536</v>
      </c>
      <c r="C1419" s="26"/>
      <c r="D1419" s="26"/>
      <c r="E1419" s="26"/>
      <c r="F1419" s="26"/>
      <c r="G1419" s="26"/>
    </row>
    <row r="1420" spans="1:7">
      <c r="A1420" s="78"/>
      <c r="B1420" s="26" t="s">
        <v>235</v>
      </c>
      <c r="C1420" s="26"/>
      <c r="D1420" s="26"/>
      <c r="E1420" s="26"/>
      <c r="F1420" s="26"/>
      <c r="G1420" s="26"/>
    </row>
    <row r="1421" spans="1:7">
      <c r="A1421" s="78"/>
      <c r="B1421" s="26" t="s">
        <v>1419</v>
      </c>
      <c r="C1421" s="26"/>
      <c r="D1421" s="26"/>
      <c r="E1421" s="26">
        <f>50*13*8/350</f>
        <v>14.857142857142858</v>
      </c>
      <c r="F1421" s="26" t="s">
        <v>1417</v>
      </c>
      <c r="G1421" s="26"/>
    </row>
    <row r="1422" spans="1:7">
      <c r="A1422" s="78"/>
      <c r="B1422" s="26" t="s">
        <v>2843</v>
      </c>
      <c r="C1422" s="26"/>
      <c r="D1422" s="26"/>
      <c r="E1422" s="26"/>
      <c r="F1422" s="26"/>
      <c r="G1422" s="26"/>
    </row>
    <row r="1423" spans="1:7" ht="18.75">
      <c r="A1423" s="78"/>
      <c r="B1423" s="26" t="s">
        <v>8931</v>
      </c>
      <c r="C1423" s="26"/>
      <c r="D1423" s="26"/>
      <c r="E1423" s="26"/>
      <c r="F1423" s="26"/>
      <c r="G1423" s="26"/>
    </row>
    <row r="1424" spans="1:7">
      <c r="A1424" s="78"/>
      <c r="B1424" s="26" t="s">
        <v>952</v>
      </c>
      <c r="C1424" s="26"/>
      <c r="D1424" s="26"/>
      <c r="E1424" s="26"/>
      <c r="F1424" s="68">
        <f>G618</f>
        <v>224.56752690000002</v>
      </c>
      <c r="G1424" s="26" t="s">
        <v>3761</v>
      </c>
    </row>
    <row r="1425" spans="1:7">
      <c r="A1425" s="78"/>
      <c r="B1425" s="26" t="s">
        <v>7998</v>
      </c>
      <c r="C1425" s="26"/>
      <c r="D1425" s="26"/>
      <c r="E1425" s="26"/>
      <c r="F1425" s="68">
        <f>F1424*10%</f>
        <v>22.456752690000002</v>
      </c>
      <c r="G1425" s="26" t="s">
        <v>3761</v>
      </c>
    </row>
    <row r="1426" spans="1:7">
      <c r="A1426" s="78"/>
      <c r="B1426" s="26" t="s">
        <v>3624</v>
      </c>
      <c r="C1426" s="26"/>
      <c r="D1426" s="26"/>
      <c r="E1426" s="26"/>
      <c r="F1426" s="68">
        <f>SUM(F1424:F1425)</f>
        <v>247.02427959000002</v>
      </c>
      <c r="G1426" s="26" t="s">
        <v>3761</v>
      </c>
    </row>
    <row r="1427" spans="1:7">
      <c r="A1427" s="78"/>
      <c r="B1427" s="26" t="s">
        <v>953</v>
      </c>
      <c r="C1427" s="26"/>
      <c r="D1427" s="26"/>
      <c r="E1427" s="26"/>
      <c r="F1427" s="68">
        <f>G644</f>
        <v>88.5</v>
      </c>
      <c r="G1427" s="26" t="s">
        <v>3761</v>
      </c>
    </row>
    <row r="1428" spans="1:7">
      <c r="A1428" s="78"/>
      <c r="B1428" s="26" t="s">
        <v>4774</v>
      </c>
      <c r="C1428" s="26"/>
      <c r="D1428" s="26"/>
      <c r="E1428" s="26"/>
      <c r="F1428" s="26"/>
      <c r="G1428" s="26"/>
    </row>
    <row r="1429" spans="1:7">
      <c r="A1429" s="78"/>
      <c r="B1429" s="26" t="s">
        <v>451</v>
      </c>
      <c r="C1429" s="26"/>
      <c r="D1429" s="26"/>
      <c r="E1429" s="26"/>
      <c r="F1429" s="26"/>
      <c r="G1429" s="26"/>
    </row>
    <row r="1430" spans="1:7">
      <c r="A1430" s="78"/>
      <c r="B1430" s="26" t="s">
        <v>1975</v>
      </c>
      <c r="C1430" s="26"/>
      <c r="D1430" s="26"/>
      <c r="E1430" s="26"/>
      <c r="F1430" s="26"/>
      <c r="G1430" s="26"/>
    </row>
    <row r="1431" spans="1:7">
      <c r="A1431" s="26"/>
      <c r="B1431" s="78"/>
      <c r="C1431" s="26"/>
      <c r="D1431" s="26"/>
      <c r="E1431" s="26"/>
      <c r="F1431" s="26"/>
      <c r="G1431" s="26"/>
    </row>
    <row r="1432" spans="1:7">
      <c r="A1432" s="26"/>
      <c r="B1432" s="78"/>
      <c r="C1432" s="26"/>
      <c r="D1432" s="26"/>
      <c r="E1432" s="26"/>
      <c r="F1432" s="26"/>
      <c r="G1432" s="26"/>
    </row>
    <row r="1433" spans="1:7">
      <c r="A1433" s="78" t="s">
        <v>3984</v>
      </c>
      <c r="B1433" s="78"/>
      <c r="C1433" s="203" t="s">
        <v>2367</v>
      </c>
      <c r="D1433" s="26"/>
      <c r="E1433" s="171" t="s">
        <v>297</v>
      </c>
      <c r="F1433" s="246">
        <v>15</v>
      </c>
      <c r="G1433" s="26" t="s">
        <v>3477</v>
      </c>
    </row>
    <row r="1434" spans="1:7">
      <c r="A1434" s="26"/>
      <c r="B1434" s="79" t="s">
        <v>2368</v>
      </c>
      <c r="C1434" s="26"/>
      <c r="D1434" s="26"/>
      <c r="E1434" s="26"/>
      <c r="F1434" s="26"/>
      <c r="G1434" s="26"/>
    </row>
    <row r="1435" spans="1:7">
      <c r="A1435" s="26"/>
      <c r="B1435" s="95" t="s">
        <v>2369</v>
      </c>
      <c r="C1435" s="157" t="s">
        <v>4443</v>
      </c>
      <c r="D1435" s="95" t="s">
        <v>2370</v>
      </c>
      <c r="E1435" s="95" t="s">
        <v>1166</v>
      </c>
      <c r="F1435" s="95" t="s">
        <v>2371</v>
      </c>
      <c r="G1435" s="95" t="s">
        <v>2372</v>
      </c>
    </row>
    <row r="1436" spans="1:7">
      <c r="A1436" s="26"/>
      <c r="B1436" s="114"/>
      <c r="C1436" s="154"/>
      <c r="D1436" s="114"/>
      <c r="E1436" s="114"/>
      <c r="F1436" s="114" t="s">
        <v>3485</v>
      </c>
      <c r="G1436" s="114" t="s">
        <v>3485</v>
      </c>
    </row>
    <row r="1437" spans="1:7">
      <c r="A1437" s="26"/>
      <c r="B1437" s="95">
        <v>1</v>
      </c>
      <c r="C1437" s="135" t="s">
        <v>1048</v>
      </c>
      <c r="D1437" s="95" t="s">
        <v>3478</v>
      </c>
      <c r="E1437" s="190">
        <f>350*F1433</f>
        <v>5250</v>
      </c>
      <c r="F1437" s="214">
        <f>'BASIC DATA'!$D$32/1000</f>
        <v>5.35</v>
      </c>
      <c r="G1437" s="190">
        <f>E1437*F1437</f>
        <v>28087.499999999996</v>
      </c>
    </row>
    <row r="1438" spans="1:7">
      <c r="A1438" s="26"/>
      <c r="B1438" s="105">
        <v>2</v>
      </c>
      <c r="C1438" s="135" t="s">
        <v>6995</v>
      </c>
      <c r="D1438" s="105" t="s">
        <v>3477</v>
      </c>
      <c r="E1438" s="190">
        <f>0.8*F1433*0.65</f>
        <v>7.8000000000000007</v>
      </c>
      <c r="F1438" s="214">
        <f>'BASIC DATA'!$D$35</f>
        <v>1225</v>
      </c>
      <c r="G1438" s="190">
        <f t="shared" ref="G1438:G1443" si="32">E1438*F1438</f>
        <v>9555</v>
      </c>
    </row>
    <row r="1439" spans="1:7">
      <c r="A1439" s="26"/>
      <c r="B1439" s="317"/>
      <c r="C1439" s="135" t="s">
        <v>1050</v>
      </c>
      <c r="D1439" s="105" t="s">
        <v>3477</v>
      </c>
      <c r="E1439" s="190">
        <f>0.8*F1433*0.35</f>
        <v>4.1999999999999993</v>
      </c>
      <c r="F1439" s="214">
        <f>'BASIC DATA'!$D$34</f>
        <v>900</v>
      </c>
      <c r="G1439" s="190">
        <f t="shared" si="32"/>
        <v>3779.9999999999995</v>
      </c>
    </row>
    <row r="1440" spans="1:7">
      <c r="A1440" s="61"/>
      <c r="B1440" s="240">
        <v>3</v>
      </c>
      <c r="C1440" s="326" t="s">
        <v>7941</v>
      </c>
      <c r="D1440" s="240" t="s">
        <v>3477</v>
      </c>
      <c r="E1440" s="255">
        <f>0.45*F1433</f>
        <v>6.75</v>
      </c>
      <c r="F1440" s="266">
        <f>'BASIC DATA'!$D$55</f>
        <v>95</v>
      </c>
      <c r="G1440" s="255">
        <f t="shared" si="32"/>
        <v>641.25</v>
      </c>
    </row>
    <row r="1441" spans="1:7">
      <c r="A1441" s="26"/>
      <c r="B1441" s="105">
        <v>4</v>
      </c>
      <c r="C1441" s="135" t="s">
        <v>523</v>
      </c>
      <c r="D1441" s="105" t="s">
        <v>3478</v>
      </c>
      <c r="E1441" s="190">
        <f>E1437*0.4%</f>
        <v>21</v>
      </c>
      <c r="F1441" s="214">
        <f>'BASIC DATA'!$D$99</f>
        <v>55</v>
      </c>
      <c r="G1441" s="190">
        <f t="shared" si="32"/>
        <v>1155</v>
      </c>
    </row>
    <row r="1442" spans="1:7">
      <c r="A1442" s="26"/>
      <c r="B1442" s="105">
        <v>5</v>
      </c>
      <c r="C1442" s="135" t="s">
        <v>6219</v>
      </c>
      <c r="D1442" s="105" t="s">
        <v>3479</v>
      </c>
      <c r="E1442" s="190">
        <f>5.5*F1433</f>
        <v>82.5</v>
      </c>
      <c r="F1442" s="214">
        <f>F1426</f>
        <v>247.02427959000002</v>
      </c>
      <c r="G1442" s="190">
        <f t="shared" si="32"/>
        <v>20379.503066175002</v>
      </c>
    </row>
    <row r="1443" spans="1:7">
      <c r="A1443" s="26"/>
      <c r="B1443" s="114">
        <v>6</v>
      </c>
      <c r="C1443" s="139" t="s">
        <v>2373</v>
      </c>
      <c r="D1443" s="114" t="s">
        <v>2173</v>
      </c>
      <c r="E1443" s="182">
        <v>0.5</v>
      </c>
      <c r="F1443" s="215">
        <f>'BASIC DATA'!$D$359</f>
        <v>30</v>
      </c>
      <c r="G1443" s="182">
        <f t="shared" si="32"/>
        <v>15</v>
      </c>
    </row>
    <row r="1444" spans="1:7">
      <c r="A1444" s="26"/>
      <c r="B1444" s="93"/>
      <c r="C1444" s="31" t="s">
        <v>6842</v>
      </c>
      <c r="D1444" s="31" t="s">
        <v>4043</v>
      </c>
      <c r="E1444" s="198"/>
      <c r="F1444" s="327" t="s">
        <v>1698</v>
      </c>
      <c r="G1444" s="190">
        <v>0</v>
      </c>
    </row>
    <row r="1445" spans="1:7">
      <c r="A1445" s="26"/>
      <c r="B1445" s="93"/>
      <c r="C1445" s="31" t="s">
        <v>6843</v>
      </c>
      <c r="D1445" s="31" t="s">
        <v>4043</v>
      </c>
      <c r="E1445" s="198"/>
      <c r="F1445" s="327" t="s">
        <v>1698</v>
      </c>
      <c r="G1445" s="190">
        <v>0</v>
      </c>
    </row>
    <row r="1446" spans="1:7">
      <c r="A1446" s="26"/>
      <c r="B1446" s="92"/>
      <c r="C1446" s="193" t="s">
        <v>2376</v>
      </c>
      <c r="D1446" s="159"/>
      <c r="E1446" s="238"/>
      <c r="F1446" s="236" t="s">
        <v>1698</v>
      </c>
      <c r="G1446" s="318">
        <f>SUM(G1437:G1445)</f>
        <v>63613.253066175006</v>
      </c>
    </row>
    <row r="1447" spans="1:7">
      <c r="A1447" s="26"/>
      <c r="B1447" s="78"/>
      <c r="C1447" s="26"/>
      <c r="D1447" s="26"/>
      <c r="E1447" s="26"/>
      <c r="F1447" s="26"/>
      <c r="G1447" s="26"/>
    </row>
    <row r="1448" spans="1:7">
      <c r="A1448" s="26"/>
      <c r="B1448" s="79" t="s">
        <v>2377</v>
      </c>
      <c r="C1448" s="26"/>
      <c r="D1448" s="26"/>
      <c r="E1448" s="26"/>
      <c r="F1448" s="26"/>
      <c r="G1448" s="26"/>
    </row>
    <row r="1449" spans="1:7">
      <c r="A1449" s="26"/>
      <c r="B1449" s="95" t="s">
        <v>2369</v>
      </c>
      <c r="C1449" s="157" t="s">
        <v>2378</v>
      </c>
      <c r="D1449" s="95" t="s">
        <v>2370</v>
      </c>
      <c r="E1449" s="95" t="s">
        <v>1166</v>
      </c>
      <c r="F1449" s="95" t="s">
        <v>2371</v>
      </c>
      <c r="G1449" s="95" t="s">
        <v>2372</v>
      </c>
    </row>
    <row r="1450" spans="1:7">
      <c r="A1450" s="26"/>
      <c r="B1450" s="114"/>
      <c r="C1450" s="154"/>
      <c r="D1450" s="114"/>
      <c r="E1450" s="114"/>
      <c r="F1450" s="114" t="s">
        <v>3485</v>
      </c>
      <c r="G1450" s="114" t="s">
        <v>3485</v>
      </c>
    </row>
    <row r="1451" spans="1:7">
      <c r="A1451" s="26"/>
      <c r="B1451" s="95">
        <v>1</v>
      </c>
      <c r="C1451" s="135" t="s">
        <v>7214</v>
      </c>
      <c r="D1451" s="95" t="s">
        <v>2374</v>
      </c>
      <c r="E1451" s="190">
        <v>8</v>
      </c>
      <c r="F1451" s="190">
        <f>'HIRE CHARGES'!$D$507</f>
        <v>53.5</v>
      </c>
      <c r="G1451" s="190">
        <f t="shared" ref="G1451:G1456" si="33">E1451*F1451</f>
        <v>428</v>
      </c>
    </row>
    <row r="1452" spans="1:7">
      <c r="A1452" s="26"/>
      <c r="B1452" s="317"/>
      <c r="C1452" s="135" t="s">
        <v>2379</v>
      </c>
      <c r="D1452" s="105" t="s">
        <v>2374</v>
      </c>
      <c r="E1452" s="190">
        <v>8</v>
      </c>
      <c r="F1452" s="190">
        <f>'HIRE CHARGES'!$E$507</f>
        <v>79.3</v>
      </c>
      <c r="G1452" s="190">
        <f t="shared" si="33"/>
        <v>634.4</v>
      </c>
    </row>
    <row r="1453" spans="1:7">
      <c r="A1453" s="26"/>
      <c r="B1453" s="105">
        <v>2</v>
      </c>
      <c r="C1453" s="135" t="s">
        <v>189</v>
      </c>
      <c r="D1453" s="105" t="s">
        <v>2374</v>
      </c>
      <c r="E1453" s="190">
        <v>0.5</v>
      </c>
      <c r="F1453" s="190">
        <f>'HIRE CHARGES'!$D$517</f>
        <v>10.199999999999999</v>
      </c>
      <c r="G1453" s="190">
        <f t="shared" si="33"/>
        <v>5.0999999999999996</v>
      </c>
    </row>
    <row r="1454" spans="1:7">
      <c r="A1454" s="26"/>
      <c r="B1454" s="317"/>
      <c r="C1454" s="135" t="s">
        <v>2379</v>
      </c>
      <c r="D1454" s="105" t="s">
        <v>2374</v>
      </c>
      <c r="E1454" s="190">
        <v>0.5</v>
      </c>
      <c r="F1454" s="190">
        <f>'HIRE CHARGES'!$E$517</f>
        <v>79.3</v>
      </c>
      <c r="G1454" s="190">
        <f t="shared" si="33"/>
        <v>39.65</v>
      </c>
    </row>
    <row r="1455" spans="1:7">
      <c r="A1455" s="26"/>
      <c r="B1455" s="105">
        <v>3</v>
      </c>
      <c r="C1455" s="135" t="s">
        <v>526</v>
      </c>
      <c r="D1455" s="105" t="s">
        <v>2374</v>
      </c>
      <c r="E1455" s="190">
        <v>8</v>
      </c>
      <c r="F1455" s="190">
        <f>'HIRE CHARGES'!$D$531</f>
        <v>7.6</v>
      </c>
      <c r="G1455" s="190">
        <f t="shared" si="33"/>
        <v>60.8</v>
      </c>
    </row>
    <row r="1456" spans="1:7">
      <c r="A1456" s="26"/>
      <c r="B1456" s="365"/>
      <c r="C1456" s="139" t="s">
        <v>2379</v>
      </c>
      <c r="D1456" s="114" t="s">
        <v>2374</v>
      </c>
      <c r="E1456" s="182">
        <v>8</v>
      </c>
      <c r="F1456" s="182">
        <f>'HIRE CHARGES'!$E$531</f>
        <v>18.8</v>
      </c>
      <c r="G1456" s="190">
        <f t="shared" si="33"/>
        <v>150.4</v>
      </c>
    </row>
    <row r="1457" spans="1:7">
      <c r="A1457" s="26"/>
      <c r="B1457" s="176"/>
      <c r="C1457" s="172" t="s">
        <v>2380</v>
      </c>
      <c r="D1457" s="174"/>
      <c r="E1457" s="192"/>
      <c r="F1457" s="275" t="s">
        <v>1698</v>
      </c>
      <c r="G1457" s="318">
        <f>SUM(G1451:G1456)</f>
        <v>1318.3500000000001</v>
      </c>
    </row>
    <row r="1458" spans="1:7">
      <c r="A1458" s="26"/>
      <c r="B1458" s="78"/>
      <c r="C1458" s="26"/>
      <c r="D1458" s="26"/>
      <c r="E1458" s="26"/>
      <c r="F1458" s="26"/>
      <c r="G1458" s="26"/>
    </row>
    <row r="1459" spans="1:7">
      <c r="A1459" s="26"/>
      <c r="B1459" s="79" t="s">
        <v>2381</v>
      </c>
      <c r="C1459" s="26"/>
      <c r="D1459" s="26"/>
      <c r="E1459" s="26"/>
      <c r="F1459" s="26"/>
      <c r="G1459" s="26"/>
    </row>
    <row r="1460" spans="1:7">
      <c r="A1460" s="26"/>
      <c r="B1460" s="95" t="s">
        <v>2369</v>
      </c>
      <c r="C1460" s="157" t="s">
        <v>2378</v>
      </c>
      <c r="D1460" s="95" t="s">
        <v>2370</v>
      </c>
      <c r="E1460" s="95" t="s">
        <v>1166</v>
      </c>
      <c r="F1460" s="95" t="s">
        <v>2371</v>
      </c>
      <c r="G1460" s="95" t="s">
        <v>2372</v>
      </c>
    </row>
    <row r="1461" spans="1:7">
      <c r="A1461" s="26"/>
      <c r="B1461" s="114"/>
      <c r="C1461" s="154"/>
      <c r="D1461" s="114"/>
      <c r="E1461" s="114"/>
      <c r="F1461" s="114" t="s">
        <v>3485</v>
      </c>
      <c r="G1461" s="114" t="s">
        <v>3485</v>
      </c>
    </row>
    <row r="1462" spans="1:7">
      <c r="A1462" s="26"/>
      <c r="B1462" s="105">
        <v>1</v>
      </c>
      <c r="C1462" s="76" t="s">
        <v>527</v>
      </c>
      <c r="D1462" s="105" t="s">
        <v>2374</v>
      </c>
      <c r="E1462" s="207">
        <v>8</v>
      </c>
      <c r="F1462" s="190">
        <f>'HIRE CHARGES'!$F$507</f>
        <v>219.7</v>
      </c>
      <c r="G1462" s="190">
        <f>E1462*F1462</f>
        <v>1757.6</v>
      </c>
    </row>
    <row r="1463" spans="1:7">
      <c r="A1463" s="26"/>
      <c r="B1463" s="105">
        <v>2</v>
      </c>
      <c r="C1463" s="76" t="s">
        <v>999</v>
      </c>
      <c r="D1463" s="105" t="s">
        <v>2374</v>
      </c>
      <c r="E1463" s="207">
        <v>0.5</v>
      </c>
      <c r="F1463" s="190">
        <f>'HIRE CHARGES'!$F$517</f>
        <v>111.1</v>
      </c>
      <c r="G1463" s="190">
        <f t="shared" ref="G1463:G1473" si="34">E1463*F1463</f>
        <v>55.55</v>
      </c>
    </row>
    <row r="1464" spans="1:7">
      <c r="A1464" s="26"/>
      <c r="B1464" s="105">
        <v>3</v>
      </c>
      <c r="C1464" s="76" t="s">
        <v>5148</v>
      </c>
      <c r="D1464" s="105" t="s">
        <v>2374</v>
      </c>
      <c r="E1464" s="207">
        <v>8</v>
      </c>
      <c r="F1464" s="190">
        <f>'HIRE CHARGES'!$F$531</f>
        <v>158.19999999999999</v>
      </c>
      <c r="G1464" s="190">
        <f t="shared" si="34"/>
        <v>1265.5999999999999</v>
      </c>
    </row>
    <row r="1465" spans="1:7">
      <c r="A1465" s="26"/>
      <c r="B1465" s="105">
        <v>4</v>
      </c>
      <c r="C1465" s="76" t="s">
        <v>440</v>
      </c>
      <c r="D1465" s="105" t="s">
        <v>1172</v>
      </c>
      <c r="E1465" s="207">
        <v>1</v>
      </c>
      <c r="F1465" s="190">
        <f>'BASIC DATA'!$C$474</f>
        <v>445</v>
      </c>
      <c r="G1465" s="190">
        <f t="shared" si="34"/>
        <v>445</v>
      </c>
    </row>
    <row r="1466" spans="1:7">
      <c r="A1466" s="26"/>
      <c r="B1466" s="105">
        <v>5</v>
      </c>
      <c r="C1466" s="76" t="s">
        <v>4206</v>
      </c>
      <c r="D1466" s="105" t="s">
        <v>1172</v>
      </c>
      <c r="E1466" s="207">
        <v>1</v>
      </c>
      <c r="F1466" s="190">
        <f>'BASIC DATA'!$C$473</f>
        <v>450</v>
      </c>
      <c r="G1466" s="190">
        <f t="shared" si="34"/>
        <v>450</v>
      </c>
    </row>
    <row r="1467" spans="1:7">
      <c r="A1467" s="26"/>
      <c r="B1467" s="105">
        <v>6</v>
      </c>
      <c r="C1467" s="76" t="s">
        <v>2697</v>
      </c>
      <c r="D1467" s="105"/>
      <c r="E1467" s="207"/>
      <c r="F1467" s="190"/>
      <c r="G1467" s="190"/>
    </row>
    <row r="1468" spans="1:7">
      <c r="A1468" s="26"/>
      <c r="B1468" s="317"/>
      <c r="C1468" s="76" t="s">
        <v>441</v>
      </c>
      <c r="D1468" s="105" t="s">
        <v>1172</v>
      </c>
      <c r="E1468" s="207">
        <v>11</v>
      </c>
      <c r="F1468" s="190">
        <f>'BASIC DATA'!$C$552</f>
        <v>350</v>
      </c>
      <c r="G1468" s="190">
        <f t="shared" si="34"/>
        <v>3850</v>
      </c>
    </row>
    <row r="1469" spans="1:7">
      <c r="A1469" s="26"/>
      <c r="B1469" s="317"/>
      <c r="C1469" s="76" t="s">
        <v>442</v>
      </c>
      <c r="D1469" s="105" t="s">
        <v>1172</v>
      </c>
      <c r="E1469" s="207">
        <v>4</v>
      </c>
      <c r="F1469" s="190">
        <f>'BASIC DATA'!$C$552</f>
        <v>350</v>
      </c>
      <c r="G1469" s="190">
        <f t="shared" si="34"/>
        <v>1400</v>
      </c>
    </row>
    <row r="1470" spans="1:7">
      <c r="A1470" s="26"/>
      <c r="B1470" s="317"/>
      <c r="C1470" s="76" t="s">
        <v>5151</v>
      </c>
      <c r="D1470" s="105" t="s">
        <v>1172</v>
      </c>
      <c r="E1470" s="207">
        <v>3</v>
      </c>
      <c r="F1470" s="190">
        <f>'BASIC DATA'!$C$552</f>
        <v>350</v>
      </c>
      <c r="G1470" s="190">
        <f t="shared" si="34"/>
        <v>1050</v>
      </c>
    </row>
    <row r="1471" spans="1:7">
      <c r="A1471" s="26"/>
      <c r="B1471" s="317"/>
      <c r="C1471" s="76" t="s">
        <v>444</v>
      </c>
      <c r="D1471" s="105" t="s">
        <v>1172</v>
      </c>
      <c r="E1471" s="207">
        <f>F1433</f>
        <v>15</v>
      </c>
      <c r="F1471" s="190">
        <f>'BASIC DATA'!$C$552</f>
        <v>350</v>
      </c>
      <c r="G1471" s="190">
        <f t="shared" si="34"/>
        <v>5250</v>
      </c>
    </row>
    <row r="1472" spans="1:7">
      <c r="A1472" s="26"/>
      <c r="B1472" s="317"/>
      <c r="C1472" s="76" t="s">
        <v>445</v>
      </c>
      <c r="D1472" s="105" t="s">
        <v>1172</v>
      </c>
      <c r="E1472" s="207">
        <v>1</v>
      </c>
      <c r="F1472" s="190">
        <f>'BASIC DATA'!$C$552</f>
        <v>350</v>
      </c>
      <c r="G1472" s="190">
        <f t="shared" si="34"/>
        <v>350</v>
      </c>
    </row>
    <row r="1473" spans="1:7">
      <c r="A1473" s="26"/>
      <c r="B1473" s="105">
        <v>7</v>
      </c>
      <c r="C1473" s="76" t="s">
        <v>7215</v>
      </c>
      <c r="D1473" s="105" t="s">
        <v>3479</v>
      </c>
      <c r="E1473" s="207">
        <f>5.5*F1433</f>
        <v>82.5</v>
      </c>
      <c r="F1473" s="190">
        <f>F1427</f>
        <v>88.5</v>
      </c>
      <c r="G1473" s="190">
        <f t="shared" si="34"/>
        <v>7301.25</v>
      </c>
    </row>
    <row r="1474" spans="1:7">
      <c r="A1474" s="26"/>
      <c r="B1474" s="92"/>
      <c r="C1474" s="193" t="s">
        <v>1174</v>
      </c>
      <c r="D1474" s="159"/>
      <c r="E1474" s="238"/>
      <c r="F1474" s="236" t="s">
        <v>1698</v>
      </c>
      <c r="G1474" s="318">
        <f>SUM(G1462:G1473)</f>
        <v>23175</v>
      </c>
    </row>
    <row r="1475" spans="1:7">
      <c r="A1475" s="26"/>
      <c r="B1475" s="60" t="s">
        <v>5948</v>
      </c>
      <c r="C1475" s="26"/>
      <c r="D1475" s="31"/>
      <c r="E1475" s="85">
        <f>ROUND(G1474/F1433,1)</f>
        <v>1545</v>
      </c>
      <c r="F1475" s="26"/>
      <c r="G1475" s="26"/>
    </row>
    <row r="1476" spans="1:7">
      <c r="A1476" s="26"/>
      <c r="B1476" s="60" t="s">
        <v>3163</v>
      </c>
      <c r="C1476" s="26"/>
      <c r="D1476" s="31">
        <f>'BASIC DATA'!$C$577</f>
        <v>0.13614999999999999</v>
      </c>
      <c r="E1476" s="85">
        <f>ROUND(E1475*D1476,1)</f>
        <v>210.4</v>
      </c>
      <c r="F1476" s="26"/>
      <c r="G1476" s="26"/>
    </row>
    <row r="1477" spans="1:7">
      <c r="A1477" s="26"/>
      <c r="B1477" s="60" t="s">
        <v>5949</v>
      </c>
      <c r="C1477" s="26"/>
      <c r="D1477" s="31"/>
      <c r="E1477" s="199">
        <f>ROUND(E1476+E1475,1)</f>
        <v>1755.4</v>
      </c>
      <c r="F1477" s="57"/>
      <c r="G1477" s="26"/>
    </row>
    <row r="1478" spans="1:7">
      <c r="A1478" s="26"/>
      <c r="B1478" s="26"/>
      <c r="C1478" s="26"/>
      <c r="D1478" s="26"/>
      <c r="E1478" s="26"/>
      <c r="F1478" s="26"/>
      <c r="G1478" s="26"/>
    </row>
    <row r="1479" spans="1:7">
      <c r="A1479" s="26"/>
      <c r="B1479" s="170" t="s">
        <v>1175</v>
      </c>
      <c r="C1479" s="26"/>
      <c r="D1479" s="26"/>
      <c r="E1479" s="26"/>
      <c r="F1479" s="26"/>
      <c r="G1479" s="26"/>
    </row>
    <row r="1480" spans="1:7">
      <c r="A1480" s="26"/>
      <c r="B1480" s="26" t="s">
        <v>5010</v>
      </c>
      <c r="C1480" s="26"/>
      <c r="D1480" s="26"/>
      <c r="E1480" s="26"/>
      <c r="F1480" s="171" t="s">
        <v>1698</v>
      </c>
      <c r="G1480" s="68">
        <f>G1446</f>
        <v>63613.253066175006</v>
      </c>
    </row>
    <row r="1481" spans="1:7">
      <c r="A1481" s="26"/>
      <c r="B1481" s="26" t="s">
        <v>1186</v>
      </c>
      <c r="C1481" s="26"/>
      <c r="D1481" s="26"/>
      <c r="E1481" s="26"/>
      <c r="F1481" s="171" t="s">
        <v>1698</v>
      </c>
      <c r="G1481" s="68">
        <f>G1457</f>
        <v>1318.3500000000001</v>
      </c>
    </row>
    <row r="1482" spans="1:7">
      <c r="A1482" s="26"/>
      <c r="B1482" s="26" t="s">
        <v>2660</v>
      </c>
      <c r="C1482" s="26"/>
      <c r="D1482" s="26"/>
      <c r="E1482" s="26"/>
      <c r="F1482" s="171" t="s">
        <v>1698</v>
      </c>
      <c r="G1482" s="75">
        <f>G1474</f>
        <v>23175</v>
      </c>
    </row>
    <row r="1483" spans="1:7">
      <c r="A1483" s="26"/>
      <c r="B1483" s="78"/>
      <c r="C1483" s="26"/>
      <c r="D1483" s="26"/>
      <c r="E1483" s="171"/>
      <c r="F1483" s="171" t="s">
        <v>302</v>
      </c>
      <c r="G1483" s="205">
        <f>SUM(G1480:G1482)</f>
        <v>88106.603066175012</v>
      </c>
    </row>
    <row r="1484" spans="1:7">
      <c r="A1484" s="26"/>
      <c r="B1484" s="1206" t="s">
        <v>1379</v>
      </c>
      <c r="C1484" s="1206"/>
      <c r="D1484" s="26"/>
      <c r="E1484" s="249">
        <f>'BASIC DATA'!$C$577</f>
        <v>0.13614999999999999</v>
      </c>
      <c r="F1484" s="26" t="s">
        <v>1698</v>
      </c>
      <c r="G1484" s="26">
        <f>ROUND(G1483*E1484,2)</f>
        <v>11995.71</v>
      </c>
    </row>
    <row r="1485" spans="1:7">
      <c r="A1485" s="26"/>
      <c r="B1485" s="26" t="s">
        <v>1191</v>
      </c>
      <c r="C1485" s="26"/>
      <c r="D1485" s="68">
        <f>F1433</f>
        <v>15</v>
      </c>
      <c r="E1485" s="68" t="str">
        <f>G1433</f>
        <v>cum</v>
      </c>
      <c r="F1485" s="26" t="s">
        <v>1698</v>
      </c>
      <c r="G1485" s="170">
        <f>G1484+G1483</f>
        <v>100102.313066175</v>
      </c>
    </row>
    <row r="1486" spans="1:7">
      <c r="A1486" s="26"/>
      <c r="B1486" s="170" t="s">
        <v>1584</v>
      </c>
      <c r="C1486" s="211" t="str">
        <f>E1485</f>
        <v>cum</v>
      </c>
      <c r="D1486" s="26" t="s">
        <v>4709</v>
      </c>
      <c r="E1486" s="26"/>
      <c r="F1486" s="26" t="s">
        <v>4108</v>
      </c>
      <c r="G1486" s="211">
        <f>ROUND(G1485/D1485,1)</f>
        <v>6673.5</v>
      </c>
    </row>
    <row r="1487" spans="1:7">
      <c r="A1487" s="26"/>
      <c r="B1487" s="78"/>
      <c r="C1487" s="26"/>
      <c r="D1487" s="26"/>
      <c r="E1487" s="26"/>
      <c r="F1487" s="26"/>
      <c r="G1487" s="26"/>
    </row>
    <row r="1488" spans="1:7">
      <c r="A1488" s="26"/>
      <c r="B1488" s="78"/>
      <c r="C1488" s="26"/>
      <c r="D1488" s="26"/>
      <c r="E1488" s="26"/>
      <c r="F1488" s="26"/>
      <c r="G1488" s="26"/>
    </row>
    <row r="1489" spans="1:7" ht="18.75">
      <c r="A1489" s="78" t="s">
        <v>7552</v>
      </c>
      <c r="B1489" s="26" t="s">
        <v>8618</v>
      </c>
      <c r="C1489" s="26"/>
      <c r="D1489" s="26"/>
      <c r="E1489" s="26"/>
      <c r="F1489" s="26"/>
      <c r="G1489" s="26"/>
    </row>
    <row r="1490" spans="1:7" ht="18.75">
      <c r="A1490" s="78"/>
      <c r="B1490" s="26" t="s">
        <v>8921</v>
      </c>
      <c r="C1490" s="26"/>
      <c r="D1490" s="26"/>
      <c r="E1490" s="26"/>
      <c r="F1490" s="26"/>
      <c r="G1490" s="26"/>
    </row>
    <row r="1491" spans="1:7">
      <c r="A1491" s="78"/>
      <c r="B1491" s="26" t="s">
        <v>8932</v>
      </c>
      <c r="C1491" s="26"/>
      <c r="D1491" s="26"/>
      <c r="E1491" s="26"/>
      <c r="F1491" s="26"/>
      <c r="G1491" s="26"/>
    </row>
    <row r="1492" spans="1:7">
      <c r="A1492" s="78"/>
      <c r="B1492" s="26" t="s">
        <v>3535</v>
      </c>
      <c r="C1492" s="26"/>
      <c r="D1492" s="26"/>
      <c r="E1492" s="26"/>
      <c r="F1492" s="26"/>
      <c r="G1492" s="26"/>
    </row>
    <row r="1493" spans="1:7" ht="18.75">
      <c r="A1493" s="78"/>
      <c r="B1493" s="170" t="s">
        <v>8933</v>
      </c>
      <c r="C1493" s="26"/>
      <c r="D1493" s="26"/>
      <c r="E1493" s="26"/>
      <c r="F1493" s="26"/>
      <c r="G1493" s="26"/>
    </row>
    <row r="1494" spans="1:7">
      <c r="A1494" s="78" t="s">
        <v>1940</v>
      </c>
      <c r="B1494" s="170" t="s">
        <v>1351</v>
      </c>
      <c r="C1494" s="26"/>
      <c r="D1494" s="26"/>
      <c r="E1494" s="26"/>
      <c r="F1494" s="26"/>
      <c r="G1494" s="26"/>
    </row>
    <row r="1495" spans="1:7">
      <c r="A1495" s="78"/>
      <c r="B1495" s="170" t="s">
        <v>7783</v>
      </c>
      <c r="C1495" s="26"/>
      <c r="D1495" s="26"/>
      <c r="E1495" s="26"/>
      <c r="F1495" s="26"/>
      <c r="G1495" s="26"/>
    </row>
    <row r="1496" spans="1:7">
      <c r="A1496" s="62"/>
      <c r="B1496" s="248" t="s">
        <v>4521</v>
      </c>
      <c r="C1496" s="61"/>
      <c r="D1496" s="61"/>
      <c r="E1496" s="61"/>
      <c r="F1496" s="61"/>
      <c r="G1496" s="61"/>
    </row>
    <row r="1497" spans="1:7">
      <c r="A1497" s="78"/>
      <c r="B1497" s="26"/>
      <c r="C1497" s="26"/>
      <c r="D1497" s="26"/>
      <c r="E1497" s="26"/>
      <c r="F1497" s="26"/>
      <c r="G1497" s="26"/>
    </row>
    <row r="1498" spans="1:7">
      <c r="A1498" s="78" t="s">
        <v>3984</v>
      </c>
      <c r="B1498" s="26" t="s">
        <v>5780</v>
      </c>
      <c r="C1498" s="26"/>
      <c r="D1498" s="26"/>
      <c r="E1498" s="26"/>
      <c r="F1498" s="26"/>
      <c r="G1498" s="26"/>
    </row>
    <row r="1499" spans="1:7">
      <c r="A1499" s="78"/>
      <c r="B1499" s="26" t="s">
        <v>387</v>
      </c>
      <c r="C1499" s="26"/>
      <c r="D1499" s="26"/>
      <c r="E1499" s="26"/>
      <c r="F1499" s="26"/>
      <c r="G1499" s="26"/>
    </row>
    <row r="1500" spans="1:7">
      <c r="A1500" s="78"/>
      <c r="B1500" s="26" t="s">
        <v>7784</v>
      </c>
      <c r="C1500" s="26"/>
      <c r="D1500" s="26"/>
      <c r="E1500" s="26"/>
      <c r="F1500" s="26"/>
      <c r="G1500" s="26"/>
    </row>
    <row r="1501" spans="1:7">
      <c r="A1501" s="78"/>
      <c r="B1501" s="26" t="s">
        <v>7785</v>
      </c>
      <c r="C1501" s="26"/>
      <c r="D1501" s="26">
        <f>ROUND(50*12*8/320,2)</f>
        <v>15</v>
      </c>
      <c r="E1501" s="26" t="s">
        <v>3760</v>
      </c>
      <c r="F1501" s="26"/>
      <c r="G1501" s="26"/>
    </row>
    <row r="1502" spans="1:7">
      <c r="A1502" s="78"/>
      <c r="B1502" s="26" t="s">
        <v>2843</v>
      </c>
      <c r="C1502" s="26"/>
      <c r="D1502" s="26"/>
      <c r="E1502" s="26"/>
      <c r="F1502" s="26"/>
      <c r="G1502" s="26"/>
    </row>
    <row r="1503" spans="1:7" ht="18.75">
      <c r="A1503" s="78"/>
      <c r="B1503" s="26" t="s">
        <v>8934</v>
      </c>
      <c r="C1503" s="26"/>
      <c r="D1503" s="26"/>
      <c r="E1503" s="26"/>
      <c r="F1503" s="26"/>
      <c r="G1503" s="26"/>
    </row>
    <row r="1504" spans="1:7">
      <c r="A1504" s="78"/>
      <c r="B1504" s="26" t="s">
        <v>1976</v>
      </c>
      <c r="C1504" s="26"/>
      <c r="D1504" s="26"/>
      <c r="E1504" s="26"/>
      <c r="F1504" s="68">
        <f>G618</f>
        <v>224.56752690000002</v>
      </c>
      <c r="G1504" s="26" t="s">
        <v>1168</v>
      </c>
    </row>
    <row r="1505" spans="1:7">
      <c r="A1505" s="78"/>
      <c r="B1505" s="26" t="s">
        <v>7999</v>
      </c>
      <c r="C1505" s="26"/>
      <c r="D1505" s="26"/>
      <c r="E1505" s="26"/>
      <c r="F1505" s="68">
        <f>F1504*10%</f>
        <v>22.456752690000002</v>
      </c>
      <c r="G1505" s="26" t="s">
        <v>1168</v>
      </c>
    </row>
    <row r="1506" spans="1:7">
      <c r="A1506" s="78"/>
      <c r="B1506" s="26" t="s">
        <v>4452</v>
      </c>
      <c r="C1506" s="26"/>
      <c r="D1506" s="26"/>
      <c r="E1506" s="26"/>
      <c r="F1506" s="68">
        <f>SUM(F1504:F1505)</f>
        <v>247.02427959000002</v>
      </c>
      <c r="G1506" s="26" t="s">
        <v>1168</v>
      </c>
    </row>
    <row r="1507" spans="1:7">
      <c r="A1507" s="78"/>
      <c r="B1507" s="26" t="s">
        <v>1977</v>
      </c>
      <c r="C1507" s="26"/>
      <c r="D1507" s="26"/>
      <c r="E1507" s="26"/>
      <c r="F1507" s="68">
        <f>G644</f>
        <v>88.5</v>
      </c>
      <c r="G1507" s="26" t="s">
        <v>1168</v>
      </c>
    </row>
    <row r="1508" spans="1:7">
      <c r="A1508" s="78"/>
      <c r="B1508" s="26" t="s">
        <v>1150</v>
      </c>
      <c r="C1508" s="26"/>
      <c r="D1508" s="26"/>
      <c r="E1508" s="26"/>
      <c r="F1508" s="26"/>
      <c r="G1508" s="26"/>
    </row>
    <row r="1509" spans="1:7">
      <c r="A1509" s="78"/>
      <c r="B1509" s="26" t="s">
        <v>451</v>
      </c>
      <c r="C1509" s="26"/>
      <c r="D1509" s="26"/>
      <c r="E1509" s="26"/>
      <c r="F1509" s="26"/>
      <c r="G1509" s="26"/>
    </row>
    <row r="1510" spans="1:7">
      <c r="A1510" s="78"/>
      <c r="B1510" s="26" t="s">
        <v>947</v>
      </c>
      <c r="C1510" s="26"/>
      <c r="D1510" s="26"/>
      <c r="E1510" s="26"/>
      <c r="F1510" s="26"/>
      <c r="G1510" s="26"/>
    </row>
    <row r="1511" spans="1:7">
      <c r="A1511" s="26"/>
      <c r="B1511" s="78"/>
      <c r="C1511" s="26"/>
      <c r="D1511" s="26"/>
      <c r="E1511" s="26"/>
      <c r="F1511" s="26"/>
      <c r="G1511" s="26"/>
    </row>
    <row r="1512" spans="1:7">
      <c r="A1512" s="78" t="s">
        <v>3984</v>
      </c>
      <c r="B1512" s="78"/>
      <c r="C1512" s="203" t="s">
        <v>2367</v>
      </c>
      <c r="D1512" s="26"/>
      <c r="E1512" s="171" t="s">
        <v>297</v>
      </c>
      <c r="F1512" s="246">
        <f>D1501</f>
        <v>15</v>
      </c>
      <c r="G1512" s="26" t="s">
        <v>3477</v>
      </c>
    </row>
    <row r="1513" spans="1:7">
      <c r="A1513" s="26"/>
      <c r="B1513" s="79" t="s">
        <v>2368</v>
      </c>
      <c r="C1513" s="26"/>
      <c r="D1513" s="26"/>
      <c r="E1513" s="26"/>
      <c r="F1513" s="26"/>
      <c r="G1513" s="26"/>
    </row>
    <row r="1514" spans="1:7">
      <c r="A1514" s="26"/>
      <c r="B1514" s="95" t="s">
        <v>2369</v>
      </c>
      <c r="C1514" s="157" t="s">
        <v>4443</v>
      </c>
      <c r="D1514" s="95" t="s">
        <v>2370</v>
      </c>
      <c r="E1514" s="95" t="s">
        <v>1166</v>
      </c>
      <c r="F1514" s="95" t="s">
        <v>2371</v>
      </c>
      <c r="G1514" s="95" t="s">
        <v>2372</v>
      </c>
    </row>
    <row r="1515" spans="1:7">
      <c r="A1515" s="26"/>
      <c r="B1515" s="114"/>
      <c r="C1515" s="154"/>
      <c r="D1515" s="114"/>
      <c r="E1515" s="114"/>
      <c r="F1515" s="114" t="s">
        <v>3485</v>
      </c>
      <c r="G1515" s="114" t="s">
        <v>3485</v>
      </c>
    </row>
    <row r="1516" spans="1:7">
      <c r="A1516" s="26"/>
      <c r="B1516" s="95">
        <v>1</v>
      </c>
      <c r="C1516" s="135" t="s">
        <v>1048</v>
      </c>
      <c r="D1516" s="95" t="s">
        <v>3478</v>
      </c>
      <c r="E1516" s="190">
        <f>320*F1512</f>
        <v>4800</v>
      </c>
      <c r="F1516" s="214">
        <f>'BASIC DATA'!$D$32/1000</f>
        <v>5.35</v>
      </c>
      <c r="G1516" s="190">
        <f>E1516*F1516</f>
        <v>25680</v>
      </c>
    </row>
    <row r="1517" spans="1:7">
      <c r="A1517" s="26"/>
      <c r="B1517" s="317"/>
      <c r="C1517" s="135" t="s">
        <v>1151</v>
      </c>
      <c r="D1517" s="105" t="s">
        <v>3478</v>
      </c>
      <c r="E1517" s="190">
        <f>F1512*2</f>
        <v>30</v>
      </c>
      <c r="F1517" s="214">
        <f>'BASIC DATA'!$D$32/1000</f>
        <v>5.35</v>
      </c>
      <c r="G1517" s="190">
        <f t="shared" ref="G1517:G1524" si="35">E1517*F1517</f>
        <v>160.5</v>
      </c>
    </row>
    <row r="1518" spans="1:7">
      <c r="A1518" s="26"/>
      <c r="B1518" s="105">
        <v>2</v>
      </c>
      <c r="C1518" s="135" t="s">
        <v>6996</v>
      </c>
      <c r="D1518" s="105" t="s">
        <v>3477</v>
      </c>
      <c r="E1518" s="190">
        <f>0.9*F1512*0.5</f>
        <v>6.75</v>
      </c>
      <c r="F1518" s="214">
        <f>'BASIC DATA'!$D$36</f>
        <v>1175</v>
      </c>
      <c r="G1518" s="190">
        <f t="shared" si="35"/>
        <v>7931.25</v>
      </c>
    </row>
    <row r="1519" spans="1:7">
      <c r="A1519" s="26"/>
      <c r="B1519" s="317"/>
      <c r="C1519" s="135" t="s">
        <v>6995</v>
      </c>
      <c r="D1519" s="105" t="s">
        <v>3477</v>
      </c>
      <c r="E1519" s="190">
        <f>0.9*F1512*0.3</f>
        <v>4.05</v>
      </c>
      <c r="F1519" s="214">
        <f>'BASIC DATA'!$D$35</f>
        <v>1225</v>
      </c>
      <c r="G1519" s="190">
        <f t="shared" si="35"/>
        <v>4961.25</v>
      </c>
    </row>
    <row r="1520" spans="1:7">
      <c r="A1520" s="26"/>
      <c r="B1520" s="317"/>
      <c r="C1520" s="135" t="s">
        <v>1050</v>
      </c>
      <c r="D1520" s="105" t="s">
        <v>3477</v>
      </c>
      <c r="E1520" s="190">
        <f>0.9*F1512*0.2</f>
        <v>2.7</v>
      </c>
      <c r="F1520" s="214">
        <f>'BASIC DATA'!$D$34</f>
        <v>900</v>
      </c>
      <c r="G1520" s="190">
        <f t="shared" si="35"/>
        <v>2430</v>
      </c>
    </row>
    <row r="1521" spans="1:7">
      <c r="A1521" s="61"/>
      <c r="B1521" s="240">
        <v>3</v>
      </c>
      <c r="C1521" s="326" t="s">
        <v>7941</v>
      </c>
      <c r="D1521" s="240" t="s">
        <v>3477</v>
      </c>
      <c r="E1521" s="255">
        <f>0.4*F1512</f>
        <v>6</v>
      </c>
      <c r="F1521" s="266">
        <f>'BASIC DATA'!$D$55</f>
        <v>95</v>
      </c>
      <c r="G1521" s="255">
        <f t="shared" si="35"/>
        <v>570</v>
      </c>
    </row>
    <row r="1522" spans="1:7">
      <c r="A1522" s="26"/>
      <c r="B1522" s="105">
        <v>4</v>
      </c>
      <c r="C1522" s="135" t="s">
        <v>523</v>
      </c>
      <c r="D1522" s="105" t="s">
        <v>3478</v>
      </c>
      <c r="E1522" s="190">
        <f>E1516*0.4%</f>
        <v>19.2</v>
      </c>
      <c r="F1522" s="214">
        <f>'BASIC DATA'!$D$99</f>
        <v>55</v>
      </c>
      <c r="G1522" s="190">
        <f t="shared" si="35"/>
        <v>1056</v>
      </c>
    </row>
    <row r="1523" spans="1:7">
      <c r="A1523" s="26"/>
      <c r="B1523" s="105">
        <v>5</v>
      </c>
      <c r="C1523" s="135" t="s">
        <v>6219</v>
      </c>
      <c r="D1523" s="105" t="s">
        <v>3479</v>
      </c>
      <c r="E1523" s="190">
        <f>4*F1512</f>
        <v>60</v>
      </c>
      <c r="F1523" s="214">
        <f>F1506</f>
        <v>247.02427959000002</v>
      </c>
      <c r="G1523" s="190">
        <f t="shared" si="35"/>
        <v>14821.456775400002</v>
      </c>
    </row>
    <row r="1524" spans="1:7">
      <c r="A1524" s="26"/>
      <c r="B1524" s="114">
        <v>6</v>
      </c>
      <c r="C1524" s="139" t="s">
        <v>2373</v>
      </c>
      <c r="D1524" s="114" t="s">
        <v>2173</v>
      </c>
      <c r="E1524" s="182">
        <v>0.5</v>
      </c>
      <c r="F1524" s="215">
        <f>'BASIC DATA'!$D$359</f>
        <v>30</v>
      </c>
      <c r="G1524" s="182">
        <f t="shared" si="35"/>
        <v>15</v>
      </c>
    </row>
    <row r="1525" spans="1:7">
      <c r="A1525" s="26"/>
      <c r="B1525" s="93"/>
      <c r="C1525" s="31" t="s">
        <v>6842</v>
      </c>
      <c r="D1525" s="31" t="s">
        <v>4043</v>
      </c>
      <c r="E1525" s="198"/>
      <c r="F1525" s="327" t="s">
        <v>1698</v>
      </c>
      <c r="G1525" s="190">
        <v>0</v>
      </c>
    </row>
    <row r="1526" spans="1:7">
      <c r="A1526" s="26"/>
      <c r="B1526" s="93"/>
      <c r="C1526" s="31" t="s">
        <v>6843</v>
      </c>
      <c r="D1526" s="31" t="s">
        <v>4043</v>
      </c>
      <c r="E1526" s="198"/>
      <c r="F1526" s="327" t="s">
        <v>1698</v>
      </c>
      <c r="G1526" s="190">
        <v>0</v>
      </c>
    </row>
    <row r="1527" spans="1:7">
      <c r="A1527" s="26"/>
      <c r="B1527" s="92"/>
      <c r="C1527" s="193" t="s">
        <v>2376</v>
      </c>
      <c r="D1527" s="159"/>
      <c r="E1527" s="238"/>
      <c r="F1527" s="236" t="s">
        <v>1698</v>
      </c>
      <c r="G1527" s="318">
        <f>SUM(G1516:G1526)</f>
        <v>57625.456775400002</v>
      </c>
    </row>
    <row r="1528" spans="1:7">
      <c r="A1528" s="26"/>
      <c r="B1528" s="78"/>
      <c r="C1528" s="26"/>
      <c r="D1528" s="26"/>
      <c r="E1528" s="26"/>
      <c r="F1528" s="26"/>
      <c r="G1528" s="26"/>
    </row>
    <row r="1529" spans="1:7">
      <c r="A1529" s="26"/>
      <c r="B1529" s="79" t="s">
        <v>2377</v>
      </c>
      <c r="C1529" s="26"/>
      <c r="D1529" s="26"/>
      <c r="E1529" s="26"/>
      <c r="F1529" s="26"/>
      <c r="G1529" s="26"/>
    </row>
    <row r="1530" spans="1:7">
      <c r="A1530" s="26"/>
      <c r="B1530" s="95" t="s">
        <v>2369</v>
      </c>
      <c r="C1530" s="157" t="s">
        <v>2378</v>
      </c>
      <c r="D1530" s="95" t="s">
        <v>2370</v>
      </c>
      <c r="E1530" s="95" t="s">
        <v>1166</v>
      </c>
      <c r="F1530" s="95" t="s">
        <v>2371</v>
      </c>
      <c r="G1530" s="95" t="s">
        <v>2372</v>
      </c>
    </row>
    <row r="1531" spans="1:7">
      <c r="A1531" s="26"/>
      <c r="B1531" s="114"/>
      <c r="C1531" s="154"/>
      <c r="D1531" s="114"/>
      <c r="E1531" s="114"/>
      <c r="F1531" s="114" t="s">
        <v>3485</v>
      </c>
      <c r="G1531" s="114" t="s">
        <v>3485</v>
      </c>
    </row>
    <row r="1532" spans="1:7">
      <c r="A1532" s="26"/>
      <c r="B1532" s="95">
        <v>1</v>
      </c>
      <c r="C1532" s="135" t="s">
        <v>7214</v>
      </c>
      <c r="D1532" s="95" t="s">
        <v>2374</v>
      </c>
      <c r="E1532" s="190">
        <v>8</v>
      </c>
      <c r="F1532" s="190">
        <f>'HIRE CHARGES'!$D$507</f>
        <v>53.5</v>
      </c>
      <c r="G1532" s="190">
        <f t="shared" ref="G1532:G1537" si="36">E1532*F1532</f>
        <v>428</v>
      </c>
    </row>
    <row r="1533" spans="1:7">
      <c r="A1533" s="26"/>
      <c r="B1533" s="317"/>
      <c r="C1533" s="135" t="s">
        <v>2379</v>
      </c>
      <c r="D1533" s="105" t="s">
        <v>2374</v>
      </c>
      <c r="E1533" s="190">
        <v>8</v>
      </c>
      <c r="F1533" s="190">
        <f>'HIRE CHARGES'!$E$507</f>
        <v>79.3</v>
      </c>
      <c r="G1533" s="190">
        <f t="shared" si="36"/>
        <v>634.4</v>
      </c>
    </row>
    <row r="1534" spans="1:7">
      <c r="A1534" s="26"/>
      <c r="B1534" s="105">
        <v>2</v>
      </c>
      <c r="C1534" s="135" t="s">
        <v>189</v>
      </c>
      <c r="D1534" s="105" t="s">
        <v>2374</v>
      </c>
      <c r="E1534" s="190">
        <v>0.5</v>
      </c>
      <c r="F1534" s="190">
        <f>'HIRE CHARGES'!$D$517</f>
        <v>10.199999999999999</v>
      </c>
      <c r="G1534" s="190">
        <f t="shared" si="36"/>
        <v>5.0999999999999996</v>
      </c>
    </row>
    <row r="1535" spans="1:7">
      <c r="A1535" s="26"/>
      <c r="B1535" s="317"/>
      <c r="C1535" s="135" t="s">
        <v>2379</v>
      </c>
      <c r="D1535" s="105" t="s">
        <v>2374</v>
      </c>
      <c r="E1535" s="190">
        <v>0.5</v>
      </c>
      <c r="F1535" s="190">
        <f>'HIRE CHARGES'!$E$517</f>
        <v>79.3</v>
      </c>
      <c r="G1535" s="190">
        <f t="shared" si="36"/>
        <v>39.65</v>
      </c>
    </row>
    <row r="1536" spans="1:7">
      <c r="A1536" s="26"/>
      <c r="B1536" s="105">
        <v>3</v>
      </c>
      <c r="C1536" s="135" t="s">
        <v>526</v>
      </c>
      <c r="D1536" s="105" t="s">
        <v>2374</v>
      </c>
      <c r="E1536" s="190">
        <v>8</v>
      </c>
      <c r="F1536" s="190">
        <f>'HIRE CHARGES'!$D$531</f>
        <v>7.6</v>
      </c>
      <c r="G1536" s="190">
        <f t="shared" si="36"/>
        <v>60.8</v>
      </c>
    </row>
    <row r="1537" spans="1:7">
      <c r="A1537" s="26"/>
      <c r="B1537" s="365"/>
      <c r="C1537" s="139" t="s">
        <v>2379</v>
      </c>
      <c r="D1537" s="114" t="s">
        <v>2374</v>
      </c>
      <c r="E1537" s="182">
        <v>8</v>
      </c>
      <c r="F1537" s="182">
        <f>'HIRE CHARGES'!$E$531</f>
        <v>18.8</v>
      </c>
      <c r="G1537" s="190">
        <f t="shared" si="36"/>
        <v>150.4</v>
      </c>
    </row>
    <row r="1538" spans="1:7">
      <c r="A1538" s="26"/>
      <c r="B1538" s="176"/>
      <c r="C1538" s="172" t="s">
        <v>2380</v>
      </c>
      <c r="D1538" s="174"/>
      <c r="E1538" s="192"/>
      <c r="F1538" s="275" t="s">
        <v>1698</v>
      </c>
      <c r="G1538" s="318">
        <f>SUM(G1532:G1537)</f>
        <v>1318.3500000000001</v>
      </c>
    </row>
    <row r="1539" spans="1:7">
      <c r="A1539" s="26"/>
      <c r="B1539" s="78"/>
      <c r="C1539" s="26"/>
      <c r="D1539" s="26"/>
      <c r="E1539" s="26"/>
      <c r="F1539" s="26"/>
      <c r="G1539" s="26"/>
    </row>
    <row r="1540" spans="1:7">
      <c r="A1540" s="26"/>
      <c r="B1540" s="79" t="s">
        <v>2381</v>
      </c>
      <c r="C1540" s="26"/>
      <c r="D1540" s="26"/>
      <c r="E1540" s="26"/>
      <c r="F1540" s="26"/>
      <c r="G1540" s="26"/>
    </row>
    <row r="1541" spans="1:7">
      <c r="A1541" s="26"/>
      <c r="B1541" s="95" t="s">
        <v>2369</v>
      </c>
      <c r="C1541" s="157" t="s">
        <v>2378</v>
      </c>
      <c r="D1541" s="95" t="s">
        <v>2370</v>
      </c>
      <c r="E1541" s="95" t="s">
        <v>1166</v>
      </c>
      <c r="F1541" s="95" t="s">
        <v>2371</v>
      </c>
      <c r="G1541" s="95" t="s">
        <v>2372</v>
      </c>
    </row>
    <row r="1542" spans="1:7">
      <c r="A1542" s="26"/>
      <c r="B1542" s="114"/>
      <c r="C1542" s="154"/>
      <c r="D1542" s="114"/>
      <c r="E1542" s="114"/>
      <c r="F1542" s="114" t="s">
        <v>3485</v>
      </c>
      <c r="G1542" s="114" t="s">
        <v>3485</v>
      </c>
    </row>
    <row r="1543" spans="1:7">
      <c r="A1543" s="26"/>
      <c r="B1543" s="105">
        <v>1</v>
      </c>
      <c r="C1543" s="76" t="s">
        <v>527</v>
      </c>
      <c r="D1543" s="105" t="s">
        <v>2374</v>
      </c>
      <c r="E1543" s="207">
        <v>8</v>
      </c>
      <c r="F1543" s="190">
        <f>'HIRE CHARGES'!$F$507</f>
        <v>219.7</v>
      </c>
      <c r="G1543" s="190">
        <f>E1543*F1543</f>
        <v>1757.6</v>
      </c>
    </row>
    <row r="1544" spans="1:7">
      <c r="A1544" s="26"/>
      <c r="B1544" s="105">
        <v>2</v>
      </c>
      <c r="C1544" s="76" t="s">
        <v>999</v>
      </c>
      <c r="D1544" s="105" t="s">
        <v>2374</v>
      </c>
      <c r="E1544" s="207">
        <v>0.5</v>
      </c>
      <c r="F1544" s="190">
        <f>'HIRE CHARGES'!$F$517</f>
        <v>111.1</v>
      </c>
      <c r="G1544" s="190">
        <f t="shared" ref="G1544:G1554" si="37">E1544*F1544</f>
        <v>55.55</v>
      </c>
    </row>
    <row r="1545" spans="1:7">
      <c r="A1545" s="26"/>
      <c r="B1545" s="105">
        <v>3</v>
      </c>
      <c r="C1545" s="76" t="s">
        <v>5148</v>
      </c>
      <c r="D1545" s="105" t="s">
        <v>2374</v>
      </c>
      <c r="E1545" s="207">
        <v>8</v>
      </c>
      <c r="F1545" s="190">
        <f>'HIRE CHARGES'!$F$531</f>
        <v>158.19999999999999</v>
      </c>
      <c r="G1545" s="190">
        <f t="shared" si="37"/>
        <v>1265.5999999999999</v>
      </c>
    </row>
    <row r="1546" spans="1:7">
      <c r="A1546" s="26"/>
      <c r="B1546" s="105">
        <v>4</v>
      </c>
      <c r="C1546" s="76" t="s">
        <v>440</v>
      </c>
      <c r="D1546" s="105" t="s">
        <v>1172</v>
      </c>
      <c r="E1546" s="207">
        <v>1</v>
      </c>
      <c r="F1546" s="190">
        <f>'BASIC DATA'!$C$474</f>
        <v>445</v>
      </c>
      <c r="G1546" s="190">
        <f t="shared" si="37"/>
        <v>445</v>
      </c>
    </row>
    <row r="1547" spans="1:7">
      <c r="A1547" s="26"/>
      <c r="B1547" s="105">
        <v>5</v>
      </c>
      <c r="C1547" s="76" t="s">
        <v>4206</v>
      </c>
      <c r="D1547" s="105" t="s">
        <v>1172</v>
      </c>
      <c r="E1547" s="207">
        <v>1</v>
      </c>
      <c r="F1547" s="190">
        <f>'BASIC DATA'!$C$473</f>
        <v>450</v>
      </c>
      <c r="G1547" s="190">
        <f t="shared" si="37"/>
        <v>450</v>
      </c>
    </row>
    <row r="1548" spans="1:7">
      <c r="A1548" s="26"/>
      <c r="B1548" s="105">
        <v>6</v>
      </c>
      <c r="C1548" s="76" t="s">
        <v>2697</v>
      </c>
      <c r="D1548" s="105"/>
      <c r="E1548" s="207"/>
      <c r="F1548" s="190"/>
      <c r="G1548" s="190"/>
    </row>
    <row r="1549" spans="1:7">
      <c r="A1549" s="26"/>
      <c r="B1549" s="317"/>
      <c r="C1549" s="76" t="s">
        <v>441</v>
      </c>
      <c r="D1549" s="105" t="s">
        <v>1172</v>
      </c>
      <c r="E1549" s="207">
        <v>11</v>
      </c>
      <c r="F1549" s="190">
        <f>'BASIC DATA'!$C$552</f>
        <v>350</v>
      </c>
      <c r="G1549" s="190">
        <f t="shared" si="37"/>
        <v>3850</v>
      </c>
    </row>
    <row r="1550" spans="1:7">
      <c r="A1550" s="26"/>
      <c r="B1550" s="317"/>
      <c r="C1550" s="76" t="s">
        <v>442</v>
      </c>
      <c r="D1550" s="105" t="s">
        <v>1172</v>
      </c>
      <c r="E1550" s="207">
        <v>4</v>
      </c>
      <c r="F1550" s="190">
        <f>'BASIC DATA'!$C$552</f>
        <v>350</v>
      </c>
      <c r="G1550" s="190">
        <f t="shared" si="37"/>
        <v>1400</v>
      </c>
    </row>
    <row r="1551" spans="1:7">
      <c r="A1551" s="26"/>
      <c r="B1551" s="317"/>
      <c r="C1551" s="76" t="s">
        <v>5151</v>
      </c>
      <c r="D1551" s="105" t="s">
        <v>1172</v>
      </c>
      <c r="E1551" s="207">
        <v>3</v>
      </c>
      <c r="F1551" s="190">
        <f>'BASIC DATA'!$C$552</f>
        <v>350</v>
      </c>
      <c r="G1551" s="190">
        <f t="shared" si="37"/>
        <v>1050</v>
      </c>
    </row>
    <row r="1552" spans="1:7">
      <c r="A1552" s="26"/>
      <c r="B1552" s="317"/>
      <c r="C1552" s="76" t="s">
        <v>444</v>
      </c>
      <c r="D1552" s="105" t="s">
        <v>1172</v>
      </c>
      <c r="E1552" s="207">
        <f>F1512</f>
        <v>15</v>
      </c>
      <c r="F1552" s="190">
        <f>'BASIC DATA'!$C$552</f>
        <v>350</v>
      </c>
      <c r="G1552" s="190">
        <f t="shared" si="37"/>
        <v>5250</v>
      </c>
    </row>
    <row r="1553" spans="1:7">
      <c r="A1553" s="26"/>
      <c r="B1553" s="317"/>
      <c r="C1553" s="76" t="s">
        <v>445</v>
      </c>
      <c r="D1553" s="105" t="s">
        <v>1172</v>
      </c>
      <c r="E1553" s="207">
        <v>1</v>
      </c>
      <c r="F1553" s="190">
        <f>'BASIC DATA'!$C$552</f>
        <v>350</v>
      </c>
      <c r="G1553" s="190">
        <f t="shared" si="37"/>
        <v>350</v>
      </c>
    </row>
    <row r="1554" spans="1:7">
      <c r="A1554" s="26"/>
      <c r="B1554" s="105">
        <v>7</v>
      </c>
      <c r="C1554" s="76" t="s">
        <v>7215</v>
      </c>
      <c r="D1554" s="105" t="s">
        <v>3479</v>
      </c>
      <c r="E1554" s="207">
        <f>4*F1512</f>
        <v>60</v>
      </c>
      <c r="F1554" s="190">
        <f>F1507</f>
        <v>88.5</v>
      </c>
      <c r="G1554" s="190">
        <f t="shared" si="37"/>
        <v>5310</v>
      </c>
    </row>
    <row r="1555" spans="1:7">
      <c r="A1555" s="26"/>
      <c r="B1555" s="92"/>
      <c r="C1555" s="193" t="s">
        <v>1174</v>
      </c>
      <c r="D1555" s="159"/>
      <c r="E1555" s="238"/>
      <c r="F1555" s="236" t="s">
        <v>1698</v>
      </c>
      <c r="G1555" s="318">
        <f>SUM(G1543:G1554)</f>
        <v>21183.75</v>
      </c>
    </row>
    <row r="1556" spans="1:7">
      <c r="A1556" s="26"/>
      <c r="B1556" s="60" t="s">
        <v>5948</v>
      </c>
      <c r="C1556" s="26"/>
      <c r="D1556" s="31"/>
      <c r="E1556" s="85">
        <f>ROUND(G1555/F1512,1)</f>
        <v>1412.3</v>
      </c>
      <c r="F1556" s="26"/>
      <c r="G1556" s="26"/>
    </row>
    <row r="1557" spans="1:7">
      <c r="A1557" s="26"/>
      <c r="B1557" s="60" t="s">
        <v>3163</v>
      </c>
      <c r="C1557" s="26"/>
      <c r="D1557" s="31">
        <f>'BASIC DATA'!$C$577</f>
        <v>0.13614999999999999</v>
      </c>
      <c r="E1557" s="85">
        <f>ROUND(E1556*D1557,1)</f>
        <v>192.3</v>
      </c>
      <c r="F1557" s="26"/>
      <c r="G1557" s="26"/>
    </row>
    <row r="1558" spans="1:7">
      <c r="A1558" s="26"/>
      <c r="B1558" s="60" t="s">
        <v>5949</v>
      </c>
      <c r="C1558" s="26"/>
      <c r="D1558" s="31"/>
      <c r="E1558" s="199">
        <f>ROUND(E1557+E1556,1)</f>
        <v>1604.6</v>
      </c>
      <c r="F1558" s="57"/>
      <c r="G1558" s="26"/>
    </row>
    <row r="1559" spans="1:7">
      <c r="A1559" s="26"/>
      <c r="B1559" s="26"/>
      <c r="C1559" s="26"/>
      <c r="D1559" s="26"/>
      <c r="E1559" s="26"/>
      <c r="F1559" s="26"/>
      <c r="G1559" s="26"/>
    </row>
    <row r="1560" spans="1:7">
      <c r="A1560" s="26"/>
      <c r="B1560" s="170" t="s">
        <v>1175</v>
      </c>
      <c r="C1560" s="26"/>
      <c r="D1560" s="26"/>
      <c r="E1560" s="26"/>
      <c r="F1560" s="26"/>
      <c r="G1560" s="26"/>
    </row>
    <row r="1561" spans="1:7">
      <c r="A1561" s="26"/>
      <c r="B1561" s="26" t="s">
        <v>5010</v>
      </c>
      <c r="C1561" s="26"/>
      <c r="D1561" s="26"/>
      <c r="E1561" s="26"/>
      <c r="F1561" s="171" t="s">
        <v>1698</v>
      </c>
      <c r="G1561" s="68">
        <f>G1527</f>
        <v>57625.456775400002</v>
      </c>
    </row>
    <row r="1562" spans="1:7">
      <c r="A1562" s="26"/>
      <c r="B1562" s="26" t="s">
        <v>1186</v>
      </c>
      <c r="C1562" s="26"/>
      <c r="D1562" s="26"/>
      <c r="E1562" s="26"/>
      <c r="F1562" s="171" t="s">
        <v>1698</v>
      </c>
      <c r="G1562" s="68">
        <f>G1538</f>
        <v>1318.3500000000001</v>
      </c>
    </row>
    <row r="1563" spans="1:7">
      <c r="A1563" s="26"/>
      <c r="B1563" s="26" t="s">
        <v>2660</v>
      </c>
      <c r="C1563" s="26"/>
      <c r="D1563" s="26"/>
      <c r="E1563" s="26"/>
      <c r="F1563" s="171" t="s">
        <v>1698</v>
      </c>
      <c r="G1563" s="75">
        <f>G1555</f>
        <v>21183.75</v>
      </c>
    </row>
    <row r="1564" spans="1:7">
      <c r="A1564" s="26"/>
      <c r="B1564" s="78"/>
      <c r="C1564" s="26"/>
      <c r="D1564" s="26"/>
      <c r="E1564" s="171"/>
      <c r="F1564" s="171" t="s">
        <v>302</v>
      </c>
      <c r="G1564" s="205">
        <f>SUM(G1561:G1563)</f>
        <v>80127.556775400008</v>
      </c>
    </row>
    <row r="1565" spans="1:7">
      <c r="A1565" s="26"/>
      <c r="B1565" s="1206" t="s">
        <v>1379</v>
      </c>
      <c r="C1565" s="1206"/>
      <c r="D1565" s="26"/>
      <c r="E1565" s="249">
        <f>'BASIC DATA'!$C$577</f>
        <v>0.13614999999999999</v>
      </c>
      <c r="F1565" s="26" t="s">
        <v>1698</v>
      </c>
      <c r="G1565" s="26">
        <f>ROUND(G1564*E1565,2)</f>
        <v>10909.37</v>
      </c>
    </row>
    <row r="1566" spans="1:7">
      <c r="A1566" s="26"/>
      <c r="B1566" s="26" t="s">
        <v>1191</v>
      </c>
      <c r="C1566" s="26"/>
      <c r="D1566" s="68">
        <f>F1512</f>
        <v>15</v>
      </c>
      <c r="E1566" s="68" t="str">
        <f>G1512</f>
        <v>cum</v>
      </c>
      <c r="F1566" s="26" t="s">
        <v>1698</v>
      </c>
      <c r="G1566" s="211">
        <f>G1565+G1564</f>
        <v>91036.926775400003</v>
      </c>
    </row>
    <row r="1567" spans="1:7">
      <c r="A1567" s="26"/>
      <c r="B1567" s="170" t="s">
        <v>1584</v>
      </c>
      <c r="C1567" s="211" t="str">
        <f>E1566</f>
        <v>cum</v>
      </c>
      <c r="D1567" s="26" t="s">
        <v>4709</v>
      </c>
      <c r="E1567" s="26"/>
      <c r="F1567" s="26" t="s">
        <v>4108</v>
      </c>
      <c r="G1567" s="211">
        <f>ROUND(G1566/D1566,1)</f>
        <v>6069.1</v>
      </c>
    </row>
    <row r="1568" spans="1:7">
      <c r="A1568" s="26"/>
      <c r="B1568" s="78"/>
      <c r="C1568" s="26"/>
      <c r="D1568" s="26"/>
      <c r="E1568" s="26"/>
      <c r="F1568" s="26"/>
      <c r="G1568" s="26"/>
    </row>
    <row r="1569" spans="1:7">
      <c r="A1569" s="26"/>
      <c r="B1569" s="78"/>
      <c r="C1569" s="26"/>
      <c r="D1569" s="26"/>
      <c r="E1569" s="26"/>
      <c r="F1569" s="26"/>
      <c r="G1569" s="26"/>
    </row>
    <row r="1570" spans="1:7" ht="18.75">
      <c r="A1570" s="78" t="s">
        <v>7553</v>
      </c>
      <c r="B1570" s="26" t="s">
        <v>8935</v>
      </c>
      <c r="C1570" s="26"/>
      <c r="D1570" s="26"/>
      <c r="E1570" s="26"/>
      <c r="F1570" s="26"/>
      <c r="G1570" s="26"/>
    </row>
    <row r="1571" spans="1:7" ht="18.75">
      <c r="A1571" s="78"/>
      <c r="B1571" s="26" t="s">
        <v>8936</v>
      </c>
      <c r="C1571" s="26"/>
      <c r="D1571" s="26"/>
      <c r="E1571" s="26"/>
      <c r="F1571" s="26"/>
      <c r="G1571" s="26"/>
    </row>
    <row r="1572" spans="1:7">
      <c r="A1572" s="78"/>
      <c r="B1572" s="26" t="s">
        <v>8937</v>
      </c>
      <c r="C1572" s="26"/>
      <c r="D1572" s="26"/>
      <c r="E1572" s="26"/>
      <c r="F1572" s="26"/>
      <c r="G1572" s="26"/>
    </row>
    <row r="1573" spans="1:7">
      <c r="A1573" s="78"/>
      <c r="B1573" s="26" t="s">
        <v>4138</v>
      </c>
      <c r="C1573" s="26"/>
      <c r="D1573" s="26"/>
      <c r="E1573" s="26"/>
      <c r="F1573" s="26"/>
      <c r="G1573" s="26"/>
    </row>
    <row r="1574" spans="1:7" ht="18.75">
      <c r="A1574" s="78"/>
      <c r="B1574" s="170" t="s">
        <v>8938</v>
      </c>
      <c r="C1574" s="26"/>
      <c r="D1574" s="26"/>
      <c r="E1574" s="26"/>
      <c r="F1574" s="26"/>
      <c r="G1574" s="26"/>
    </row>
    <row r="1575" spans="1:7">
      <c r="A1575" s="78"/>
      <c r="B1575" s="170" t="s">
        <v>3578</v>
      </c>
      <c r="C1575" s="26"/>
      <c r="D1575" s="26"/>
      <c r="E1575" s="26"/>
      <c r="F1575" s="26"/>
      <c r="G1575" s="26"/>
    </row>
    <row r="1576" spans="1:7">
      <c r="A1576" s="62"/>
      <c r="B1576" s="248" t="s">
        <v>4522</v>
      </c>
      <c r="C1576" s="61"/>
      <c r="D1576" s="61"/>
      <c r="E1576" s="61"/>
      <c r="F1576" s="61"/>
      <c r="G1576" s="61"/>
    </row>
    <row r="1577" spans="1:7">
      <c r="A1577" s="78"/>
      <c r="B1577" s="26"/>
      <c r="C1577" s="26"/>
      <c r="D1577" s="26"/>
      <c r="E1577" s="26"/>
      <c r="F1577" s="26"/>
      <c r="G1577" s="26"/>
    </row>
    <row r="1578" spans="1:7">
      <c r="A1578" s="78" t="s">
        <v>3984</v>
      </c>
      <c r="B1578" s="26" t="s">
        <v>5780</v>
      </c>
      <c r="C1578" s="26"/>
      <c r="D1578" s="26"/>
      <c r="E1578" s="26"/>
      <c r="F1578" s="26"/>
      <c r="G1578" s="26"/>
    </row>
    <row r="1579" spans="1:7">
      <c r="A1579" s="78"/>
      <c r="B1579" s="26" t="s">
        <v>4139</v>
      </c>
      <c r="C1579" s="26"/>
      <c r="D1579" s="26"/>
      <c r="E1579" s="26"/>
      <c r="F1579" s="26"/>
      <c r="G1579" s="26"/>
    </row>
    <row r="1580" spans="1:7">
      <c r="A1580" s="78"/>
      <c r="B1580" s="26" t="s">
        <v>4140</v>
      </c>
      <c r="C1580" s="26"/>
      <c r="D1580" s="26"/>
      <c r="E1580" s="26"/>
      <c r="F1580" s="26"/>
      <c r="G1580" s="26"/>
    </row>
    <row r="1581" spans="1:7">
      <c r="A1581" s="78"/>
      <c r="B1581" s="26" t="s">
        <v>3690</v>
      </c>
      <c r="C1581" s="26"/>
      <c r="D1581" s="26"/>
      <c r="E1581" s="26"/>
      <c r="F1581" s="26"/>
      <c r="G1581" s="26"/>
    </row>
    <row r="1582" spans="1:7">
      <c r="A1582" s="78"/>
      <c r="B1582" s="26" t="s">
        <v>3022</v>
      </c>
      <c r="C1582" s="26"/>
      <c r="D1582" s="26"/>
      <c r="E1582" s="26"/>
      <c r="F1582" s="26"/>
      <c r="G1582" s="26"/>
    </row>
    <row r="1583" spans="1:7">
      <c r="A1583" s="78"/>
      <c r="B1583" s="26" t="s">
        <v>3601</v>
      </c>
      <c r="C1583" s="26"/>
      <c r="D1583" s="26"/>
      <c r="E1583" s="26">
        <f>50*12*8/350</f>
        <v>13.714285714285714</v>
      </c>
      <c r="F1583" s="26" t="s">
        <v>3602</v>
      </c>
      <c r="G1583" s="26" t="s">
        <v>3760</v>
      </c>
    </row>
    <row r="1584" spans="1:7">
      <c r="A1584" s="78"/>
      <c r="B1584" s="26" t="s">
        <v>6037</v>
      </c>
      <c r="C1584" s="26"/>
      <c r="D1584" s="26"/>
      <c r="E1584" s="26"/>
      <c r="F1584" s="26"/>
      <c r="G1584" s="26"/>
    </row>
    <row r="1585" spans="1:7">
      <c r="A1585" s="78"/>
      <c r="B1585" s="26" t="s">
        <v>2843</v>
      </c>
      <c r="C1585" s="26"/>
      <c r="D1585" s="26"/>
      <c r="E1585" s="26"/>
      <c r="F1585" s="26"/>
      <c r="G1585" s="26"/>
    </row>
    <row r="1586" spans="1:7">
      <c r="A1586" s="78"/>
      <c r="B1586" s="26" t="s">
        <v>6038</v>
      </c>
      <c r="C1586" s="26"/>
      <c r="D1586" s="26"/>
      <c r="E1586" s="26"/>
      <c r="F1586" s="26"/>
      <c r="G1586" s="26"/>
    </row>
    <row r="1587" spans="1:7">
      <c r="A1587" s="78"/>
      <c r="B1587" s="26" t="s">
        <v>451</v>
      </c>
      <c r="C1587" s="26"/>
      <c r="D1587" s="26"/>
      <c r="E1587" s="26"/>
      <c r="F1587" s="26"/>
      <c r="G1587" s="26"/>
    </row>
    <row r="1588" spans="1:7">
      <c r="A1588" s="78"/>
      <c r="B1588" s="26" t="s">
        <v>1978</v>
      </c>
      <c r="C1588" s="26"/>
      <c r="D1588" s="26"/>
      <c r="E1588" s="26"/>
      <c r="F1588" s="26"/>
      <c r="G1588" s="26"/>
    </row>
    <row r="1589" spans="1:7">
      <c r="A1589" s="26"/>
      <c r="B1589" s="78"/>
      <c r="C1589" s="26"/>
      <c r="D1589" s="26"/>
      <c r="E1589" s="26"/>
      <c r="F1589" s="26"/>
      <c r="G1589" s="26"/>
    </row>
    <row r="1590" spans="1:7">
      <c r="A1590" s="78" t="s">
        <v>3984</v>
      </c>
      <c r="B1590" s="78"/>
      <c r="C1590" s="203" t="s">
        <v>2367</v>
      </c>
      <c r="D1590" s="26"/>
      <c r="E1590" s="171" t="s">
        <v>297</v>
      </c>
      <c r="F1590" s="246">
        <v>14</v>
      </c>
      <c r="G1590" s="26" t="s">
        <v>3477</v>
      </c>
    </row>
    <row r="1591" spans="1:7">
      <c r="A1591" s="26"/>
      <c r="B1591" s="79" t="s">
        <v>2368</v>
      </c>
      <c r="C1591" s="26"/>
      <c r="D1591" s="26"/>
      <c r="E1591" s="26"/>
      <c r="F1591" s="26"/>
      <c r="G1591" s="26"/>
    </row>
    <row r="1592" spans="1:7">
      <c r="A1592" s="26"/>
      <c r="B1592" s="95" t="s">
        <v>2369</v>
      </c>
      <c r="C1592" s="157" t="s">
        <v>4443</v>
      </c>
      <c r="D1592" s="95" t="s">
        <v>2370</v>
      </c>
      <c r="E1592" s="95" t="s">
        <v>1166</v>
      </c>
      <c r="F1592" s="95" t="s">
        <v>2371</v>
      </c>
      <c r="G1592" s="95" t="s">
        <v>2372</v>
      </c>
    </row>
    <row r="1593" spans="1:7">
      <c r="A1593" s="26"/>
      <c r="B1593" s="114"/>
      <c r="C1593" s="154"/>
      <c r="D1593" s="114"/>
      <c r="E1593" s="114"/>
      <c r="F1593" s="114" t="s">
        <v>3485</v>
      </c>
      <c r="G1593" s="114" t="s">
        <v>3485</v>
      </c>
    </row>
    <row r="1594" spans="1:7">
      <c r="A1594" s="26"/>
      <c r="B1594" s="95">
        <v>1</v>
      </c>
      <c r="C1594" s="135" t="s">
        <v>1048</v>
      </c>
      <c r="D1594" s="95" t="s">
        <v>3478</v>
      </c>
      <c r="E1594" s="190">
        <f>350*F1590</f>
        <v>4900</v>
      </c>
      <c r="F1594" s="214">
        <f>'BASIC DATA'!$D$32/1000</f>
        <v>5.35</v>
      </c>
      <c r="G1594" s="190">
        <f>E1594*F1594</f>
        <v>26215</v>
      </c>
    </row>
    <row r="1595" spans="1:7">
      <c r="A1595" s="26"/>
      <c r="B1595" s="105">
        <v>2</v>
      </c>
      <c r="C1595" s="135" t="s">
        <v>6995</v>
      </c>
      <c r="D1595" s="105" t="s">
        <v>3477</v>
      </c>
      <c r="E1595" s="190">
        <f>0.8*0.65*F1590</f>
        <v>7.28</v>
      </c>
      <c r="F1595" s="214">
        <f>'BASIC DATA'!$D$35</f>
        <v>1225</v>
      </c>
      <c r="G1595" s="190">
        <f>E1595*F1595</f>
        <v>8918</v>
      </c>
    </row>
    <row r="1596" spans="1:7">
      <c r="A1596" s="26"/>
      <c r="B1596" s="317"/>
      <c r="C1596" s="135" t="s">
        <v>1050</v>
      </c>
      <c r="D1596" s="105" t="s">
        <v>3477</v>
      </c>
      <c r="E1596" s="190">
        <f>0.8*0.35*F1590</f>
        <v>3.9199999999999995</v>
      </c>
      <c r="F1596" s="214">
        <f>'BASIC DATA'!$D$34</f>
        <v>900</v>
      </c>
      <c r="G1596" s="190">
        <f>E1596*F1596</f>
        <v>3527.9999999999995</v>
      </c>
    </row>
    <row r="1597" spans="1:7">
      <c r="A1597" s="61"/>
      <c r="B1597" s="240">
        <v>3</v>
      </c>
      <c r="C1597" s="326" t="s">
        <v>7941</v>
      </c>
      <c r="D1597" s="240" t="s">
        <v>3477</v>
      </c>
      <c r="E1597" s="255">
        <f>0.45*F1590</f>
        <v>6.3</v>
      </c>
      <c r="F1597" s="266">
        <f>'BASIC DATA'!$D$55</f>
        <v>95</v>
      </c>
      <c r="G1597" s="255">
        <f>E1597*F1597</f>
        <v>598.5</v>
      </c>
    </row>
    <row r="1598" spans="1:7">
      <c r="A1598" s="26"/>
      <c r="B1598" s="114">
        <v>4</v>
      </c>
      <c r="C1598" s="135" t="s">
        <v>523</v>
      </c>
      <c r="D1598" s="105" t="s">
        <v>3478</v>
      </c>
      <c r="E1598" s="190">
        <f>E1594*0.4%</f>
        <v>19.600000000000001</v>
      </c>
      <c r="F1598" s="214">
        <f>'BASIC DATA'!$D$99</f>
        <v>55</v>
      </c>
      <c r="G1598" s="190">
        <f>E1598*F1598</f>
        <v>1078</v>
      </c>
    </row>
    <row r="1599" spans="1:7">
      <c r="A1599" s="26"/>
      <c r="B1599" s="93"/>
      <c r="C1599" s="187"/>
      <c r="D1599" s="187"/>
      <c r="E1599" s="331" t="s">
        <v>2375</v>
      </c>
      <c r="F1599" s="332" t="s">
        <v>1698</v>
      </c>
      <c r="G1599" s="179">
        <f>SUM(G1594:G1598)</f>
        <v>40337.5</v>
      </c>
    </row>
    <row r="1600" spans="1:7">
      <c r="A1600" s="61"/>
      <c r="B1600" s="444"/>
      <c r="C1600" s="60" t="s">
        <v>6039</v>
      </c>
      <c r="D1600" s="60"/>
      <c r="E1600" s="522">
        <v>0.01</v>
      </c>
      <c r="F1600" s="678" t="s">
        <v>1698</v>
      </c>
      <c r="G1600" s="255">
        <f>E1600*$G$1599</f>
        <v>403.375</v>
      </c>
    </row>
    <row r="1601" spans="1:7">
      <c r="A1601" s="26"/>
      <c r="B1601" s="93"/>
      <c r="C1601" s="31" t="s">
        <v>6844</v>
      </c>
      <c r="D1601" s="31" t="s">
        <v>4043</v>
      </c>
      <c r="E1601" s="198"/>
      <c r="F1601" s="327" t="s">
        <v>1698</v>
      </c>
      <c r="G1601" s="190"/>
    </row>
    <row r="1602" spans="1:7">
      <c r="A1602" s="26"/>
      <c r="B1602" s="93"/>
      <c r="C1602" s="31" t="s">
        <v>6845</v>
      </c>
      <c r="D1602" s="31" t="s">
        <v>4043</v>
      </c>
      <c r="E1602" s="198"/>
      <c r="F1602" s="327" t="s">
        <v>1698</v>
      </c>
      <c r="G1602" s="190"/>
    </row>
    <row r="1603" spans="1:7">
      <c r="A1603" s="26"/>
      <c r="B1603" s="92"/>
      <c r="C1603" s="193" t="s">
        <v>2376</v>
      </c>
      <c r="D1603" s="159"/>
      <c r="E1603" s="238"/>
      <c r="F1603" s="236" t="s">
        <v>1698</v>
      </c>
      <c r="G1603" s="318">
        <f>SUM(G1599:G1602)</f>
        <v>40740.875</v>
      </c>
    </row>
    <row r="1604" spans="1:7">
      <c r="A1604" s="26"/>
      <c r="B1604" s="78"/>
      <c r="C1604" s="26"/>
      <c r="D1604" s="26"/>
      <c r="E1604" s="26"/>
      <c r="F1604" s="26"/>
      <c r="G1604" s="26"/>
    </row>
    <row r="1605" spans="1:7">
      <c r="A1605" s="26"/>
      <c r="B1605" s="79" t="s">
        <v>2377</v>
      </c>
      <c r="C1605" s="26"/>
      <c r="D1605" s="26"/>
      <c r="E1605" s="26"/>
      <c r="F1605" s="26"/>
      <c r="G1605" s="26"/>
    </row>
    <row r="1606" spans="1:7">
      <c r="A1606" s="26"/>
      <c r="B1606" s="95" t="s">
        <v>2369</v>
      </c>
      <c r="C1606" s="157" t="s">
        <v>2378</v>
      </c>
      <c r="D1606" s="95" t="s">
        <v>2370</v>
      </c>
      <c r="E1606" s="95" t="s">
        <v>1166</v>
      </c>
      <c r="F1606" s="95" t="s">
        <v>2371</v>
      </c>
      <c r="G1606" s="95" t="s">
        <v>2372</v>
      </c>
    </row>
    <row r="1607" spans="1:7">
      <c r="A1607" s="26"/>
      <c r="B1607" s="114"/>
      <c r="C1607" s="154"/>
      <c r="D1607" s="114"/>
      <c r="E1607" s="114"/>
      <c r="F1607" s="114" t="s">
        <v>3485</v>
      </c>
      <c r="G1607" s="114" t="s">
        <v>3485</v>
      </c>
    </row>
    <row r="1608" spans="1:7">
      <c r="A1608" s="26"/>
      <c r="B1608" s="95">
        <v>1</v>
      </c>
      <c r="C1608" s="135" t="s">
        <v>7214</v>
      </c>
      <c r="D1608" s="95" t="s">
        <v>2374</v>
      </c>
      <c r="E1608" s="190">
        <v>8</v>
      </c>
      <c r="F1608" s="190">
        <f>'HIRE CHARGES'!$D$507</f>
        <v>53.5</v>
      </c>
      <c r="G1608" s="190">
        <f>E1608*F1608</f>
        <v>428</v>
      </c>
    </row>
    <row r="1609" spans="1:7">
      <c r="A1609" s="26"/>
      <c r="B1609" s="317"/>
      <c r="C1609" s="135" t="s">
        <v>2379</v>
      </c>
      <c r="D1609" s="105" t="s">
        <v>2374</v>
      </c>
      <c r="E1609" s="190">
        <v>8</v>
      </c>
      <c r="F1609" s="190">
        <f>'HIRE CHARGES'!$E$507</f>
        <v>79.3</v>
      </c>
      <c r="G1609" s="190">
        <f>E1609*F1609</f>
        <v>634.4</v>
      </c>
    </row>
    <row r="1610" spans="1:7">
      <c r="A1610" s="26"/>
      <c r="B1610" s="105">
        <v>2</v>
      </c>
      <c r="C1610" s="135" t="s">
        <v>189</v>
      </c>
      <c r="D1610" s="105" t="s">
        <v>2374</v>
      </c>
      <c r="E1610" s="190">
        <v>0.5</v>
      </c>
      <c r="F1610" s="190">
        <f>'HIRE CHARGES'!$D$517</f>
        <v>10.199999999999999</v>
      </c>
      <c r="G1610" s="190">
        <f>E1610*F1610</f>
        <v>5.0999999999999996</v>
      </c>
    </row>
    <row r="1611" spans="1:7">
      <c r="A1611" s="26"/>
      <c r="B1611" s="317"/>
      <c r="C1611" s="135" t="s">
        <v>2379</v>
      </c>
      <c r="D1611" s="105" t="s">
        <v>2374</v>
      </c>
      <c r="E1611" s="190">
        <v>0.5</v>
      </c>
      <c r="F1611" s="190">
        <f>'HIRE CHARGES'!$E$517</f>
        <v>79.3</v>
      </c>
      <c r="G1611" s="190">
        <f>E1611*F1611</f>
        <v>39.65</v>
      </c>
    </row>
    <row r="1612" spans="1:7">
      <c r="A1612" s="26"/>
      <c r="B1612" s="114">
        <v>3</v>
      </c>
      <c r="C1612" s="139" t="s">
        <v>5732</v>
      </c>
      <c r="D1612" s="114" t="s">
        <v>2173</v>
      </c>
      <c r="E1612" s="182">
        <v>5</v>
      </c>
      <c r="F1612" s="215">
        <f>'BASIC DATA'!$D$359</f>
        <v>30</v>
      </c>
      <c r="G1612" s="190">
        <f>E1612*F1612</f>
        <v>150</v>
      </c>
    </row>
    <row r="1613" spans="1:7">
      <c r="A1613" s="26"/>
      <c r="B1613" s="176"/>
      <c r="C1613" s="172" t="s">
        <v>2380</v>
      </c>
      <c r="D1613" s="174"/>
      <c r="E1613" s="192"/>
      <c r="F1613" s="275" t="s">
        <v>1698</v>
      </c>
      <c r="G1613" s="318">
        <f>SUM(G1608:G1612)</f>
        <v>1257.1500000000001</v>
      </c>
    </row>
    <row r="1614" spans="1:7">
      <c r="A1614" s="26"/>
      <c r="B1614" s="78"/>
      <c r="C1614" s="26"/>
      <c r="D1614" s="26"/>
      <c r="E1614" s="26"/>
      <c r="F1614" s="26"/>
      <c r="G1614" s="26"/>
    </row>
    <row r="1615" spans="1:7">
      <c r="A1615" s="26"/>
      <c r="B1615" s="79" t="s">
        <v>2381</v>
      </c>
      <c r="C1615" s="26"/>
      <c r="D1615" s="26"/>
      <c r="E1615" s="26"/>
      <c r="F1615" s="26"/>
      <c r="G1615" s="26"/>
    </row>
    <row r="1616" spans="1:7">
      <c r="A1616" s="26"/>
      <c r="B1616" s="95" t="s">
        <v>2369</v>
      </c>
      <c r="C1616" s="157" t="s">
        <v>2378</v>
      </c>
      <c r="D1616" s="95" t="s">
        <v>2370</v>
      </c>
      <c r="E1616" s="95" t="s">
        <v>1166</v>
      </c>
      <c r="F1616" s="95" t="s">
        <v>2371</v>
      </c>
      <c r="G1616" s="95" t="s">
        <v>2372</v>
      </c>
    </row>
    <row r="1617" spans="1:7">
      <c r="A1617" s="26"/>
      <c r="B1617" s="114"/>
      <c r="C1617" s="154"/>
      <c r="D1617" s="114"/>
      <c r="E1617" s="114"/>
      <c r="F1617" s="114" t="s">
        <v>3485</v>
      </c>
      <c r="G1617" s="114" t="s">
        <v>3485</v>
      </c>
    </row>
    <row r="1618" spans="1:7">
      <c r="A1618" s="26"/>
      <c r="B1618" s="105">
        <v>1</v>
      </c>
      <c r="C1618" s="76" t="s">
        <v>527</v>
      </c>
      <c r="D1618" s="105" t="s">
        <v>2374</v>
      </c>
      <c r="E1618" s="207">
        <v>8</v>
      </c>
      <c r="F1618" s="190">
        <f>'HIRE CHARGES'!$F$507</f>
        <v>219.7</v>
      </c>
      <c r="G1618" s="190">
        <f>E1618*F1618</f>
        <v>1757.6</v>
      </c>
    </row>
    <row r="1619" spans="1:7">
      <c r="A1619" s="26"/>
      <c r="B1619" s="105">
        <v>2</v>
      </c>
      <c r="C1619" s="76" t="s">
        <v>999</v>
      </c>
      <c r="D1619" s="105" t="s">
        <v>2374</v>
      </c>
      <c r="E1619" s="207">
        <v>0.5</v>
      </c>
      <c r="F1619" s="190">
        <f>'HIRE CHARGES'!$F$517</f>
        <v>111.1</v>
      </c>
      <c r="G1619" s="190">
        <f t="shared" ref="G1619:G1627" si="38">E1619*F1619</f>
        <v>55.55</v>
      </c>
    </row>
    <row r="1620" spans="1:7">
      <c r="A1620" s="26"/>
      <c r="B1620" s="105">
        <v>3</v>
      </c>
      <c r="C1620" s="76" t="s">
        <v>5733</v>
      </c>
      <c r="D1620" s="105" t="s">
        <v>1172</v>
      </c>
      <c r="E1620" s="207">
        <v>1</v>
      </c>
      <c r="F1620" s="190">
        <f>'BASIC DATA'!$C$515</f>
        <v>400</v>
      </c>
      <c r="G1620" s="190">
        <f t="shared" si="38"/>
        <v>400</v>
      </c>
    </row>
    <row r="1621" spans="1:7">
      <c r="A1621" s="26"/>
      <c r="B1621" s="105">
        <v>4</v>
      </c>
      <c r="C1621" s="76" t="s">
        <v>4206</v>
      </c>
      <c r="D1621" s="105" t="s">
        <v>1172</v>
      </c>
      <c r="E1621" s="207">
        <v>1</v>
      </c>
      <c r="F1621" s="190">
        <f>'BASIC DATA'!$C$473</f>
        <v>450</v>
      </c>
      <c r="G1621" s="190">
        <f t="shared" si="38"/>
        <v>450</v>
      </c>
    </row>
    <row r="1622" spans="1:7">
      <c r="A1622" s="26"/>
      <c r="B1622" s="105">
        <v>5</v>
      </c>
      <c r="C1622" s="76" t="s">
        <v>2697</v>
      </c>
      <c r="D1622" s="105"/>
      <c r="E1622" s="207"/>
      <c r="F1622" s="190"/>
      <c r="G1622" s="190"/>
    </row>
    <row r="1623" spans="1:7">
      <c r="A1623" s="26"/>
      <c r="B1623" s="317"/>
      <c r="C1623" s="76" t="s">
        <v>5734</v>
      </c>
      <c r="D1623" s="105" t="s">
        <v>1172</v>
      </c>
      <c r="E1623" s="207">
        <v>4</v>
      </c>
      <c r="F1623" s="190">
        <f>'BASIC DATA'!$C$552</f>
        <v>350</v>
      </c>
      <c r="G1623" s="190">
        <f t="shared" si="38"/>
        <v>1400</v>
      </c>
    </row>
    <row r="1624" spans="1:7">
      <c r="A1624" s="26"/>
      <c r="B1624" s="317"/>
      <c r="C1624" s="76" t="s">
        <v>441</v>
      </c>
      <c r="D1624" s="105" t="s">
        <v>1172</v>
      </c>
      <c r="E1624" s="207">
        <v>11</v>
      </c>
      <c r="F1624" s="190">
        <f>'BASIC DATA'!$C$552</f>
        <v>350</v>
      </c>
      <c r="G1624" s="190">
        <f t="shared" si="38"/>
        <v>3850</v>
      </c>
    </row>
    <row r="1625" spans="1:7">
      <c r="A1625" s="26"/>
      <c r="B1625" s="317"/>
      <c r="C1625" s="76" t="s">
        <v>442</v>
      </c>
      <c r="D1625" s="105" t="s">
        <v>1172</v>
      </c>
      <c r="E1625" s="207">
        <v>4</v>
      </c>
      <c r="F1625" s="190">
        <f>'BASIC DATA'!$C$552</f>
        <v>350</v>
      </c>
      <c r="G1625" s="190">
        <f t="shared" si="38"/>
        <v>1400</v>
      </c>
    </row>
    <row r="1626" spans="1:7">
      <c r="A1626" s="26"/>
      <c r="B1626" s="317"/>
      <c r="C1626" s="76" t="s">
        <v>5735</v>
      </c>
      <c r="D1626" s="105" t="s">
        <v>1172</v>
      </c>
      <c r="E1626" s="207">
        <v>2</v>
      </c>
      <c r="F1626" s="190">
        <f>'BASIC DATA'!$C$552</f>
        <v>350</v>
      </c>
      <c r="G1626" s="190">
        <f t="shared" si="38"/>
        <v>700</v>
      </c>
    </row>
    <row r="1627" spans="1:7">
      <c r="A1627" s="26"/>
      <c r="B1627" s="317"/>
      <c r="C1627" s="76" t="s">
        <v>444</v>
      </c>
      <c r="D1627" s="105" t="s">
        <v>1172</v>
      </c>
      <c r="E1627" s="207">
        <v>16</v>
      </c>
      <c r="F1627" s="190">
        <f>'BASIC DATA'!$C$552</f>
        <v>350</v>
      </c>
      <c r="G1627" s="190">
        <f t="shared" si="38"/>
        <v>5600</v>
      </c>
    </row>
    <row r="1628" spans="1:7">
      <c r="A1628" s="26"/>
      <c r="B1628" s="92"/>
      <c r="C1628" s="193" t="s">
        <v>1174</v>
      </c>
      <c r="D1628" s="159"/>
      <c r="E1628" s="238"/>
      <c r="F1628" s="236" t="s">
        <v>1698</v>
      </c>
      <c r="G1628" s="318">
        <f>SUM(G1618:G1627)</f>
        <v>15613.15</v>
      </c>
    </row>
    <row r="1629" spans="1:7">
      <c r="A1629" s="26"/>
      <c r="B1629" s="60" t="s">
        <v>5948</v>
      </c>
      <c r="C1629" s="26"/>
      <c r="D1629" s="31"/>
      <c r="E1629" s="85">
        <f>ROUND(G1628/F1590,1)</f>
        <v>1115.2</v>
      </c>
      <c r="F1629" s="26"/>
      <c r="G1629" s="26"/>
    </row>
    <row r="1630" spans="1:7">
      <c r="A1630" s="26"/>
      <c r="B1630" s="60" t="s">
        <v>3163</v>
      </c>
      <c r="C1630" s="26"/>
      <c r="D1630" s="31">
        <f>'BASIC DATA'!$C$577</f>
        <v>0.13614999999999999</v>
      </c>
      <c r="E1630" s="85">
        <f>ROUND(E1629*D1630,1)</f>
        <v>151.80000000000001</v>
      </c>
      <c r="F1630" s="26"/>
      <c r="G1630" s="26"/>
    </row>
    <row r="1631" spans="1:7">
      <c r="A1631" s="26"/>
      <c r="B1631" s="60" t="s">
        <v>5949</v>
      </c>
      <c r="C1631" s="26"/>
      <c r="D1631" s="31"/>
      <c r="E1631" s="199">
        <f>ROUND(E1630+E1629,1)</f>
        <v>1267</v>
      </c>
      <c r="F1631" s="57"/>
      <c r="G1631" s="26"/>
    </row>
    <row r="1632" spans="1:7">
      <c r="A1632" s="26"/>
      <c r="B1632" s="26"/>
      <c r="C1632" s="26"/>
      <c r="D1632" s="26"/>
      <c r="E1632" s="26"/>
      <c r="F1632" s="26"/>
      <c r="G1632" s="26"/>
    </row>
    <row r="1633" spans="1:7">
      <c r="A1633" s="26"/>
      <c r="B1633" s="170" t="s">
        <v>1175</v>
      </c>
      <c r="C1633" s="26"/>
      <c r="D1633" s="26"/>
      <c r="E1633" s="26"/>
      <c r="F1633" s="26"/>
      <c r="G1633" s="26"/>
    </row>
    <row r="1634" spans="1:7">
      <c r="A1634" s="26"/>
      <c r="B1634" s="26" t="s">
        <v>5010</v>
      </c>
      <c r="C1634" s="26"/>
      <c r="D1634" s="26"/>
      <c r="E1634" s="26"/>
      <c r="F1634" s="171" t="s">
        <v>1698</v>
      </c>
      <c r="G1634" s="68">
        <f>G1603</f>
        <v>40740.875</v>
      </c>
    </row>
    <row r="1635" spans="1:7">
      <c r="A1635" s="26"/>
      <c r="B1635" s="26" t="s">
        <v>1186</v>
      </c>
      <c r="C1635" s="26"/>
      <c r="D1635" s="26"/>
      <c r="E1635" s="26"/>
      <c r="F1635" s="171" t="s">
        <v>1698</v>
      </c>
      <c r="G1635" s="68">
        <f>G1613</f>
        <v>1257.1500000000001</v>
      </c>
    </row>
    <row r="1636" spans="1:7">
      <c r="A1636" s="26"/>
      <c r="B1636" s="26" t="s">
        <v>2660</v>
      </c>
      <c r="C1636" s="26"/>
      <c r="D1636" s="26"/>
      <c r="E1636" s="26"/>
      <c r="F1636" s="171" t="s">
        <v>1698</v>
      </c>
      <c r="G1636" s="75">
        <f>G1628</f>
        <v>15613.15</v>
      </c>
    </row>
    <row r="1637" spans="1:7">
      <c r="A1637" s="26"/>
      <c r="B1637" s="78"/>
      <c r="C1637" s="26"/>
      <c r="D1637" s="26"/>
      <c r="E1637" s="171"/>
      <c r="F1637" s="171" t="s">
        <v>302</v>
      </c>
      <c r="G1637" s="205">
        <f>SUM(G1634:G1636)</f>
        <v>57611.175000000003</v>
      </c>
    </row>
    <row r="1638" spans="1:7">
      <c r="A1638" s="26"/>
      <c r="B1638" s="1206" t="s">
        <v>1379</v>
      </c>
      <c r="C1638" s="1206"/>
      <c r="D1638" s="26"/>
      <c r="E1638" s="249">
        <f>'BASIC DATA'!$C$577</f>
        <v>0.13614999999999999</v>
      </c>
      <c r="F1638" s="26" t="s">
        <v>1698</v>
      </c>
      <c r="G1638" s="26">
        <f>ROUND(G1637*E1638,2)</f>
        <v>7843.76</v>
      </c>
    </row>
    <row r="1639" spans="1:7">
      <c r="A1639" s="26"/>
      <c r="B1639" s="26" t="s">
        <v>1191</v>
      </c>
      <c r="C1639" s="26"/>
      <c r="D1639" s="68">
        <f>F1590</f>
        <v>14</v>
      </c>
      <c r="E1639" s="68" t="str">
        <f>G1590</f>
        <v>cum</v>
      </c>
      <c r="F1639" s="26" t="s">
        <v>1698</v>
      </c>
      <c r="G1639" s="211">
        <f>G1638+G1637</f>
        <v>65454.935000000005</v>
      </c>
    </row>
    <row r="1640" spans="1:7">
      <c r="A1640" s="26"/>
      <c r="B1640" s="170" t="s">
        <v>1584</v>
      </c>
      <c r="C1640" s="211" t="str">
        <f>E1639</f>
        <v>cum</v>
      </c>
      <c r="D1640" s="26" t="s">
        <v>4710</v>
      </c>
      <c r="E1640" s="26"/>
      <c r="F1640" s="26" t="s">
        <v>4108</v>
      </c>
      <c r="G1640" s="211">
        <f>ROUND(G1639/D1639,1)</f>
        <v>4675.3999999999996</v>
      </c>
    </row>
    <row r="1641" spans="1:7">
      <c r="A1641" s="26"/>
      <c r="B1641" s="78"/>
      <c r="C1641" s="26"/>
      <c r="D1641" s="26"/>
      <c r="E1641" s="26"/>
      <c r="F1641" s="26"/>
      <c r="G1641" s="26"/>
    </row>
    <row r="1642" spans="1:7">
      <c r="A1642" s="26"/>
      <c r="B1642" s="78"/>
      <c r="C1642" s="26"/>
      <c r="D1642" s="26"/>
      <c r="E1642" s="26"/>
      <c r="F1642" s="26"/>
      <c r="G1642" s="26"/>
    </row>
    <row r="1643" spans="1:7" ht="18.75">
      <c r="A1643" s="78" t="s">
        <v>7554</v>
      </c>
      <c r="B1643" s="26" t="s">
        <v>8793</v>
      </c>
      <c r="C1643" s="26"/>
      <c r="D1643" s="26"/>
      <c r="E1643" s="26"/>
      <c r="F1643" s="26"/>
      <c r="G1643" s="26"/>
    </row>
    <row r="1644" spans="1:7" ht="18.75">
      <c r="A1644" s="78"/>
      <c r="B1644" s="26" t="s">
        <v>8939</v>
      </c>
      <c r="C1644" s="26"/>
      <c r="D1644" s="26"/>
      <c r="E1644" s="26"/>
      <c r="F1644" s="26"/>
      <c r="G1644" s="26"/>
    </row>
    <row r="1645" spans="1:7">
      <c r="A1645" s="78"/>
      <c r="B1645" s="26" t="s">
        <v>8940</v>
      </c>
      <c r="C1645" s="26"/>
      <c r="D1645" s="26"/>
      <c r="E1645" s="26"/>
      <c r="F1645" s="26"/>
      <c r="G1645" s="26"/>
    </row>
    <row r="1646" spans="1:7">
      <c r="A1646" s="78"/>
      <c r="B1646" s="26" t="s">
        <v>2565</v>
      </c>
      <c r="C1646" s="26"/>
      <c r="D1646" s="26"/>
      <c r="E1646" s="26"/>
      <c r="F1646" s="26"/>
      <c r="G1646" s="26"/>
    </row>
    <row r="1647" spans="1:7" ht="18.75">
      <c r="A1647" s="78"/>
      <c r="B1647" s="170" t="s">
        <v>8941</v>
      </c>
      <c r="C1647" s="26"/>
      <c r="D1647" s="26"/>
      <c r="E1647" s="26"/>
      <c r="F1647" s="26"/>
      <c r="G1647" s="26"/>
    </row>
    <row r="1648" spans="1:7">
      <c r="A1648" s="78" t="s">
        <v>1940</v>
      </c>
      <c r="B1648" s="170" t="s">
        <v>1351</v>
      </c>
      <c r="C1648" s="26"/>
      <c r="D1648" s="26"/>
      <c r="E1648" s="26"/>
      <c r="F1648" s="26"/>
      <c r="G1648" s="26"/>
    </row>
    <row r="1649" spans="1:7">
      <c r="A1649" s="78"/>
      <c r="B1649" s="170" t="s">
        <v>7779</v>
      </c>
      <c r="C1649" s="26"/>
      <c r="D1649" s="26"/>
      <c r="E1649" s="26"/>
      <c r="F1649" s="26"/>
      <c r="G1649" s="26"/>
    </row>
    <row r="1650" spans="1:7">
      <c r="A1650" s="62"/>
      <c r="B1650" s="248" t="s">
        <v>4521</v>
      </c>
      <c r="C1650" s="61"/>
      <c r="D1650" s="61"/>
      <c r="E1650" s="61"/>
      <c r="F1650" s="61"/>
      <c r="G1650" s="61"/>
    </row>
    <row r="1651" spans="1:7">
      <c r="A1651" s="78"/>
      <c r="B1651" s="26"/>
      <c r="C1651" s="26"/>
      <c r="D1651" s="26"/>
      <c r="E1651" s="26"/>
      <c r="F1651" s="26"/>
      <c r="G1651" s="26"/>
    </row>
    <row r="1652" spans="1:7">
      <c r="A1652" s="78" t="s">
        <v>3984</v>
      </c>
      <c r="B1652" s="26" t="s">
        <v>5780</v>
      </c>
      <c r="C1652" s="26"/>
      <c r="D1652" s="26"/>
      <c r="E1652" s="26"/>
      <c r="F1652" s="26"/>
      <c r="G1652" s="26"/>
    </row>
    <row r="1653" spans="1:7">
      <c r="A1653" s="78"/>
      <c r="B1653" s="26" t="s">
        <v>2571</v>
      </c>
      <c r="C1653" s="26"/>
      <c r="D1653" s="26"/>
      <c r="E1653" s="26"/>
      <c r="F1653" s="26"/>
      <c r="G1653" s="26"/>
    </row>
    <row r="1654" spans="1:7">
      <c r="A1654" s="78"/>
      <c r="B1654" s="26" t="s">
        <v>7786</v>
      </c>
      <c r="C1654" s="26"/>
      <c r="D1654" s="26"/>
      <c r="E1654" s="26"/>
      <c r="F1654" s="26"/>
      <c r="G1654" s="26"/>
    </row>
    <row r="1655" spans="1:7">
      <c r="A1655" s="78"/>
      <c r="B1655" s="26" t="s">
        <v>7787</v>
      </c>
      <c r="C1655" s="26"/>
      <c r="D1655" s="26"/>
      <c r="E1655" s="26">
        <f>ROUND(50*10*8/280,2)</f>
        <v>14.29</v>
      </c>
      <c r="F1655" s="26" t="s">
        <v>3760</v>
      </c>
      <c r="G1655" s="26"/>
    </row>
    <row r="1656" spans="1:7">
      <c r="A1656" s="78"/>
      <c r="B1656" s="26" t="s">
        <v>2843</v>
      </c>
      <c r="C1656" s="26"/>
      <c r="D1656" s="26"/>
      <c r="E1656" s="26"/>
      <c r="F1656" s="26"/>
      <c r="G1656" s="26"/>
    </row>
    <row r="1657" spans="1:7">
      <c r="A1657" s="78"/>
      <c r="B1657" s="26" t="s">
        <v>6739</v>
      </c>
      <c r="C1657" s="26"/>
      <c r="D1657" s="26"/>
      <c r="E1657" s="26"/>
      <c r="F1657" s="26"/>
      <c r="G1657" s="26"/>
    </row>
    <row r="1658" spans="1:7">
      <c r="A1658" s="78"/>
      <c r="B1658" s="26" t="s">
        <v>451</v>
      </c>
      <c r="C1658" s="26"/>
      <c r="D1658" s="26"/>
      <c r="E1658" s="26"/>
      <c r="F1658" s="26"/>
      <c r="G1658" s="26"/>
    </row>
    <row r="1659" spans="1:7">
      <c r="A1659" s="78"/>
      <c r="B1659" s="26" t="s">
        <v>1979</v>
      </c>
      <c r="C1659" s="26"/>
      <c r="D1659" s="26"/>
      <c r="E1659" s="26"/>
      <c r="F1659" s="26"/>
      <c r="G1659" s="26"/>
    </row>
    <row r="1660" spans="1:7">
      <c r="A1660" s="26"/>
      <c r="B1660" s="78"/>
      <c r="C1660" s="26"/>
      <c r="D1660" s="26"/>
      <c r="E1660" s="26"/>
      <c r="F1660" s="26"/>
      <c r="G1660" s="26"/>
    </row>
    <row r="1661" spans="1:7">
      <c r="A1661" s="26"/>
      <c r="B1661" s="78"/>
      <c r="C1661" s="26"/>
      <c r="D1661" s="26"/>
      <c r="E1661" s="26"/>
      <c r="F1661" s="26"/>
      <c r="G1661" s="26"/>
    </row>
    <row r="1662" spans="1:7">
      <c r="A1662" s="78" t="s">
        <v>3984</v>
      </c>
      <c r="B1662" s="78"/>
      <c r="C1662" s="203" t="s">
        <v>2367</v>
      </c>
      <c r="D1662" s="26"/>
      <c r="E1662" s="171" t="s">
        <v>297</v>
      </c>
      <c r="F1662" s="246">
        <f>E1655</f>
        <v>14.29</v>
      </c>
      <c r="G1662" s="26" t="s">
        <v>3477</v>
      </c>
    </row>
    <row r="1663" spans="1:7">
      <c r="A1663" s="26"/>
      <c r="B1663" s="79" t="s">
        <v>2368</v>
      </c>
      <c r="C1663" s="26"/>
      <c r="D1663" s="26"/>
      <c r="E1663" s="26"/>
      <c r="F1663" s="26"/>
      <c r="G1663" s="26"/>
    </row>
    <row r="1664" spans="1:7">
      <c r="A1664" s="26"/>
      <c r="B1664" s="95" t="s">
        <v>2369</v>
      </c>
      <c r="C1664" s="157" t="s">
        <v>4443</v>
      </c>
      <c r="D1664" s="95" t="s">
        <v>2370</v>
      </c>
      <c r="E1664" s="95" t="s">
        <v>1166</v>
      </c>
      <c r="F1664" s="95" t="s">
        <v>2371</v>
      </c>
      <c r="G1664" s="95" t="s">
        <v>2372</v>
      </c>
    </row>
    <row r="1665" spans="1:7">
      <c r="A1665" s="26"/>
      <c r="B1665" s="114"/>
      <c r="C1665" s="154"/>
      <c r="D1665" s="114"/>
      <c r="E1665" s="114"/>
      <c r="F1665" s="114" t="s">
        <v>3485</v>
      </c>
      <c r="G1665" s="114" t="s">
        <v>3485</v>
      </c>
    </row>
    <row r="1666" spans="1:7">
      <c r="A1666" s="26"/>
      <c r="B1666" s="95">
        <v>1</v>
      </c>
      <c r="C1666" s="135" t="s">
        <v>1048</v>
      </c>
      <c r="D1666" s="95" t="s">
        <v>3478</v>
      </c>
      <c r="E1666" s="190">
        <f>280*F1662</f>
        <v>4001.2</v>
      </c>
      <c r="F1666" s="214">
        <f>'BASIC DATA'!$D$32/1000</f>
        <v>5.35</v>
      </c>
      <c r="G1666" s="190">
        <f t="shared" ref="G1666:G1671" si="39">E1666*F1666</f>
        <v>21406.42</v>
      </c>
    </row>
    <row r="1667" spans="1:7">
      <c r="A1667" s="26"/>
      <c r="B1667" s="105">
        <v>2</v>
      </c>
      <c r="C1667" s="135" t="s">
        <v>6996</v>
      </c>
      <c r="D1667" s="105" t="s">
        <v>3477</v>
      </c>
      <c r="E1667" s="190">
        <f>0.9*F1662*0.5</f>
        <v>6.4304999999999994</v>
      </c>
      <c r="F1667" s="214">
        <f>'BASIC DATA'!$D$36</f>
        <v>1175</v>
      </c>
      <c r="G1667" s="190">
        <f t="shared" si="39"/>
        <v>7555.8374999999996</v>
      </c>
    </row>
    <row r="1668" spans="1:7">
      <c r="A1668" s="26"/>
      <c r="B1668" s="317"/>
      <c r="C1668" s="135" t="s">
        <v>6995</v>
      </c>
      <c r="D1668" s="105" t="s">
        <v>3477</v>
      </c>
      <c r="E1668" s="190">
        <f>0.9*F1662*0.3</f>
        <v>3.8582999999999994</v>
      </c>
      <c r="F1668" s="214">
        <f>'BASIC DATA'!$D$35</f>
        <v>1225</v>
      </c>
      <c r="G1668" s="190">
        <f t="shared" si="39"/>
        <v>4726.4174999999996</v>
      </c>
    </row>
    <row r="1669" spans="1:7">
      <c r="A1669" s="26"/>
      <c r="B1669" s="317"/>
      <c r="C1669" s="135" t="s">
        <v>1050</v>
      </c>
      <c r="D1669" s="105" t="s">
        <v>3477</v>
      </c>
      <c r="E1669" s="190">
        <f>0.9*F1662*0.2</f>
        <v>2.5722</v>
      </c>
      <c r="F1669" s="214">
        <f>'BASIC DATA'!$D$34</f>
        <v>900</v>
      </c>
      <c r="G1669" s="190">
        <f t="shared" si="39"/>
        <v>2314.98</v>
      </c>
    </row>
    <row r="1670" spans="1:7">
      <c r="A1670" s="61"/>
      <c r="B1670" s="240">
        <v>3</v>
      </c>
      <c r="C1670" s="326" t="s">
        <v>7941</v>
      </c>
      <c r="D1670" s="240" t="s">
        <v>3477</v>
      </c>
      <c r="E1670" s="255">
        <f>0.4*F1662</f>
        <v>5.7160000000000002</v>
      </c>
      <c r="F1670" s="266">
        <f>'BASIC DATA'!$D$55</f>
        <v>95</v>
      </c>
      <c r="G1670" s="255">
        <f t="shared" si="39"/>
        <v>543.02</v>
      </c>
    </row>
    <row r="1671" spans="1:7">
      <c r="A1671" s="26"/>
      <c r="B1671" s="114">
        <v>4</v>
      </c>
      <c r="C1671" s="135" t="s">
        <v>523</v>
      </c>
      <c r="D1671" s="105" t="s">
        <v>3478</v>
      </c>
      <c r="E1671" s="190">
        <f>E1666*0.4%</f>
        <v>16.004799999999999</v>
      </c>
      <c r="F1671" s="214">
        <f>'BASIC DATA'!$D$99</f>
        <v>55</v>
      </c>
      <c r="G1671" s="190">
        <f t="shared" si="39"/>
        <v>880.26400000000001</v>
      </c>
    </row>
    <row r="1672" spans="1:7">
      <c r="A1672" s="26"/>
      <c r="B1672" s="93"/>
      <c r="C1672" s="31" t="s">
        <v>6844</v>
      </c>
      <c r="D1672" s="31" t="s">
        <v>4043</v>
      </c>
      <c r="E1672" s="198"/>
      <c r="F1672" s="327" t="s">
        <v>1698</v>
      </c>
      <c r="G1672" s="190">
        <v>0</v>
      </c>
    </row>
    <row r="1673" spans="1:7">
      <c r="A1673" s="26"/>
      <c r="B1673" s="93"/>
      <c r="C1673" s="31" t="s">
        <v>6845</v>
      </c>
      <c r="D1673" s="31" t="s">
        <v>4043</v>
      </c>
      <c r="E1673" s="198"/>
      <c r="F1673" s="327" t="s">
        <v>1698</v>
      </c>
      <c r="G1673" s="190">
        <v>0</v>
      </c>
    </row>
    <row r="1674" spans="1:7">
      <c r="A1674" s="26"/>
      <c r="B1674" s="92"/>
      <c r="C1674" s="193" t="s">
        <v>2376</v>
      </c>
      <c r="D1674" s="159"/>
      <c r="E1674" s="238"/>
      <c r="F1674" s="236" t="s">
        <v>1698</v>
      </c>
      <c r="G1674" s="318">
        <f>SUM(G1666:G1673)</f>
        <v>37426.939000000006</v>
      </c>
    </row>
    <row r="1675" spans="1:7">
      <c r="A1675" s="26"/>
      <c r="B1675" s="78"/>
      <c r="C1675" s="26"/>
      <c r="D1675" s="26"/>
      <c r="E1675" s="26"/>
      <c r="F1675" s="26"/>
      <c r="G1675" s="26"/>
    </row>
    <row r="1676" spans="1:7">
      <c r="A1676" s="26"/>
      <c r="B1676" s="79" t="s">
        <v>2377</v>
      </c>
      <c r="C1676" s="26"/>
      <c r="D1676" s="26"/>
      <c r="E1676" s="26"/>
      <c r="F1676" s="26"/>
      <c r="G1676" s="26"/>
    </row>
    <row r="1677" spans="1:7">
      <c r="A1677" s="26"/>
      <c r="B1677" s="95" t="s">
        <v>2369</v>
      </c>
      <c r="C1677" s="157" t="s">
        <v>2378</v>
      </c>
      <c r="D1677" s="95" t="s">
        <v>2370</v>
      </c>
      <c r="E1677" s="95" t="s">
        <v>1166</v>
      </c>
      <c r="F1677" s="95" t="s">
        <v>2371</v>
      </c>
      <c r="G1677" s="95" t="s">
        <v>2372</v>
      </c>
    </row>
    <row r="1678" spans="1:7">
      <c r="A1678" s="26"/>
      <c r="B1678" s="114"/>
      <c r="C1678" s="154"/>
      <c r="D1678" s="114"/>
      <c r="E1678" s="114"/>
      <c r="F1678" s="114" t="s">
        <v>3485</v>
      </c>
      <c r="G1678" s="114" t="s">
        <v>3485</v>
      </c>
    </row>
    <row r="1679" spans="1:7">
      <c r="A1679" s="26"/>
      <c r="B1679" s="95">
        <v>1</v>
      </c>
      <c r="C1679" s="153" t="s">
        <v>7214</v>
      </c>
      <c r="D1679" s="175" t="s">
        <v>2374</v>
      </c>
      <c r="E1679" s="179">
        <v>8</v>
      </c>
      <c r="F1679" s="190">
        <f>'HIRE CHARGES'!$D$507</f>
        <v>53.5</v>
      </c>
      <c r="G1679" s="190">
        <f t="shared" ref="G1679:G1684" si="40">E1679*F1679</f>
        <v>428</v>
      </c>
    </row>
    <row r="1680" spans="1:7">
      <c r="A1680" s="26"/>
      <c r="B1680" s="317"/>
      <c r="C1680" s="152" t="s">
        <v>2379</v>
      </c>
      <c r="D1680" s="33" t="s">
        <v>2374</v>
      </c>
      <c r="E1680" s="190">
        <v>8</v>
      </c>
      <c r="F1680" s="190">
        <f>'HIRE CHARGES'!$E$507</f>
        <v>79.3</v>
      </c>
      <c r="G1680" s="190">
        <f t="shared" si="40"/>
        <v>634.4</v>
      </c>
    </row>
    <row r="1681" spans="1:7">
      <c r="A1681" s="26"/>
      <c r="B1681" s="105">
        <v>2</v>
      </c>
      <c r="C1681" s="152" t="s">
        <v>189</v>
      </c>
      <c r="D1681" s="33" t="s">
        <v>2374</v>
      </c>
      <c r="E1681" s="190">
        <v>0.5</v>
      </c>
      <c r="F1681" s="190">
        <f>'HIRE CHARGES'!$D$517</f>
        <v>10.199999999999999</v>
      </c>
      <c r="G1681" s="190">
        <f t="shared" si="40"/>
        <v>5.0999999999999996</v>
      </c>
    </row>
    <row r="1682" spans="1:7">
      <c r="A1682" s="26"/>
      <c r="B1682" s="317"/>
      <c r="C1682" s="152" t="s">
        <v>2379</v>
      </c>
      <c r="D1682" s="33" t="s">
        <v>2374</v>
      </c>
      <c r="E1682" s="190">
        <v>0.5</v>
      </c>
      <c r="F1682" s="190">
        <f>'HIRE CHARGES'!$E$517</f>
        <v>79.3</v>
      </c>
      <c r="G1682" s="190">
        <f t="shared" si="40"/>
        <v>39.65</v>
      </c>
    </row>
    <row r="1683" spans="1:7">
      <c r="A1683" s="26"/>
      <c r="B1683" s="105">
        <v>3</v>
      </c>
      <c r="C1683" s="152" t="s">
        <v>526</v>
      </c>
      <c r="D1683" s="33" t="s">
        <v>2374</v>
      </c>
      <c r="E1683" s="190">
        <v>8</v>
      </c>
      <c r="F1683" s="190">
        <f>'HIRE CHARGES'!$D$531</f>
        <v>7.6</v>
      </c>
      <c r="G1683" s="190">
        <f t="shared" si="40"/>
        <v>60.8</v>
      </c>
    </row>
    <row r="1684" spans="1:7">
      <c r="A1684" s="26"/>
      <c r="B1684" s="365"/>
      <c r="C1684" s="116" t="s">
        <v>2379</v>
      </c>
      <c r="D1684" s="33" t="s">
        <v>2374</v>
      </c>
      <c r="E1684" s="182">
        <v>8</v>
      </c>
      <c r="F1684" s="207">
        <f>'HIRE CHARGES'!$E$531</f>
        <v>18.8</v>
      </c>
      <c r="G1684" s="190">
        <f t="shared" si="40"/>
        <v>150.4</v>
      </c>
    </row>
    <row r="1685" spans="1:7">
      <c r="A1685" s="26"/>
      <c r="B1685" s="176"/>
      <c r="C1685" s="172" t="s">
        <v>2380</v>
      </c>
      <c r="D1685" s="174"/>
      <c r="E1685" s="192"/>
      <c r="F1685" s="236" t="s">
        <v>1698</v>
      </c>
      <c r="G1685" s="318">
        <f>SUM(G1679:G1684)</f>
        <v>1318.3500000000001</v>
      </c>
    </row>
    <row r="1686" spans="1:7">
      <c r="A1686" s="26"/>
      <c r="B1686" s="78"/>
      <c r="C1686" s="26"/>
      <c r="D1686" s="26"/>
      <c r="E1686" s="26"/>
      <c r="F1686" s="26"/>
      <c r="G1686" s="26"/>
    </row>
    <row r="1687" spans="1:7">
      <c r="A1687" s="26"/>
      <c r="B1687" s="79" t="s">
        <v>2381</v>
      </c>
      <c r="C1687" s="26"/>
      <c r="D1687" s="26"/>
      <c r="E1687" s="26"/>
      <c r="F1687" s="26"/>
      <c r="G1687" s="26"/>
    </row>
    <row r="1688" spans="1:7">
      <c r="A1688" s="26"/>
      <c r="B1688" s="95" t="s">
        <v>2369</v>
      </c>
      <c r="C1688" s="157" t="s">
        <v>2378</v>
      </c>
      <c r="D1688" s="95" t="s">
        <v>2370</v>
      </c>
      <c r="E1688" s="95" t="s">
        <v>1166</v>
      </c>
      <c r="F1688" s="95" t="s">
        <v>2371</v>
      </c>
      <c r="G1688" s="95" t="s">
        <v>2372</v>
      </c>
    </row>
    <row r="1689" spans="1:7">
      <c r="A1689" s="26"/>
      <c r="B1689" s="114"/>
      <c r="C1689" s="154"/>
      <c r="D1689" s="114"/>
      <c r="E1689" s="114"/>
      <c r="F1689" s="114" t="s">
        <v>3485</v>
      </c>
      <c r="G1689" s="114" t="s">
        <v>3485</v>
      </c>
    </row>
    <row r="1690" spans="1:7">
      <c r="A1690" s="26"/>
      <c r="B1690" s="105">
        <v>1</v>
      </c>
      <c r="C1690" s="76" t="s">
        <v>527</v>
      </c>
      <c r="D1690" s="105" t="s">
        <v>2374</v>
      </c>
      <c r="E1690" s="207">
        <v>8</v>
      </c>
      <c r="F1690" s="190">
        <f>'HIRE CHARGES'!$F$507</f>
        <v>219.7</v>
      </c>
      <c r="G1690" s="190">
        <f>E1690*F1690</f>
        <v>1757.6</v>
      </c>
    </row>
    <row r="1691" spans="1:7">
      <c r="A1691" s="26"/>
      <c r="B1691" s="105">
        <v>2</v>
      </c>
      <c r="C1691" s="76" t="s">
        <v>999</v>
      </c>
      <c r="D1691" s="105" t="s">
        <v>2374</v>
      </c>
      <c r="E1691" s="207">
        <v>0.5</v>
      </c>
      <c r="F1691" s="190">
        <f>'HIRE CHARGES'!$F$517</f>
        <v>111.1</v>
      </c>
      <c r="G1691" s="190">
        <f t="shared" ref="G1691:G1700" si="41">E1691*F1691</f>
        <v>55.55</v>
      </c>
    </row>
    <row r="1692" spans="1:7">
      <c r="A1692" s="26"/>
      <c r="B1692" s="105">
        <v>3</v>
      </c>
      <c r="C1692" s="76" t="s">
        <v>439</v>
      </c>
      <c r="D1692" s="105" t="s">
        <v>2374</v>
      </c>
      <c r="E1692" s="207">
        <v>8</v>
      </c>
      <c r="F1692" s="190">
        <f>'HIRE CHARGES'!$F$531</f>
        <v>158.19999999999999</v>
      </c>
      <c r="G1692" s="190">
        <f t="shared" si="41"/>
        <v>1265.5999999999999</v>
      </c>
    </row>
    <row r="1693" spans="1:7">
      <c r="A1693" s="26"/>
      <c r="B1693" s="105">
        <v>4</v>
      </c>
      <c r="C1693" s="76" t="s">
        <v>440</v>
      </c>
      <c r="D1693" s="105" t="s">
        <v>1172</v>
      </c>
      <c r="E1693" s="207">
        <v>1</v>
      </c>
      <c r="F1693" s="190">
        <f>'BASIC DATA'!$C$474</f>
        <v>445</v>
      </c>
      <c r="G1693" s="190">
        <f t="shared" si="41"/>
        <v>445</v>
      </c>
    </row>
    <row r="1694" spans="1:7">
      <c r="A1694" s="26"/>
      <c r="B1694" s="105">
        <v>5</v>
      </c>
      <c r="C1694" s="76" t="s">
        <v>4206</v>
      </c>
      <c r="D1694" s="105" t="s">
        <v>1172</v>
      </c>
      <c r="E1694" s="207">
        <v>1</v>
      </c>
      <c r="F1694" s="190">
        <f>'BASIC DATA'!$C$473</f>
        <v>450</v>
      </c>
      <c r="G1694" s="190">
        <f t="shared" si="41"/>
        <v>450</v>
      </c>
    </row>
    <row r="1695" spans="1:7">
      <c r="A1695" s="26"/>
      <c r="B1695" s="105">
        <v>6</v>
      </c>
      <c r="C1695" s="76" t="s">
        <v>2697</v>
      </c>
      <c r="D1695" s="105"/>
      <c r="E1695" s="207"/>
      <c r="F1695" s="190"/>
      <c r="G1695" s="190"/>
    </row>
    <row r="1696" spans="1:7">
      <c r="A1696" s="26"/>
      <c r="B1696" s="317"/>
      <c r="C1696" s="76" t="s">
        <v>441</v>
      </c>
      <c r="D1696" s="105" t="s">
        <v>1172</v>
      </c>
      <c r="E1696" s="207">
        <v>11</v>
      </c>
      <c r="F1696" s="190">
        <f>'BASIC DATA'!$C$552</f>
        <v>350</v>
      </c>
      <c r="G1696" s="190">
        <f t="shared" si="41"/>
        <v>3850</v>
      </c>
    </row>
    <row r="1697" spans="1:7">
      <c r="A1697" s="26"/>
      <c r="B1697" s="317"/>
      <c r="C1697" s="76" t="s">
        <v>442</v>
      </c>
      <c r="D1697" s="105" t="s">
        <v>1172</v>
      </c>
      <c r="E1697" s="207">
        <v>4</v>
      </c>
      <c r="F1697" s="190">
        <f>'BASIC DATA'!$C$552</f>
        <v>350</v>
      </c>
      <c r="G1697" s="190">
        <f t="shared" si="41"/>
        <v>1400</v>
      </c>
    </row>
    <row r="1698" spans="1:7">
      <c r="A1698" s="26"/>
      <c r="B1698" s="317"/>
      <c r="C1698" s="76" t="s">
        <v>5151</v>
      </c>
      <c r="D1698" s="105" t="s">
        <v>1172</v>
      </c>
      <c r="E1698" s="207">
        <v>3</v>
      </c>
      <c r="F1698" s="190">
        <f>'BASIC DATA'!$C$552</f>
        <v>350</v>
      </c>
      <c r="G1698" s="190">
        <f t="shared" si="41"/>
        <v>1050</v>
      </c>
    </row>
    <row r="1699" spans="1:7">
      <c r="A1699" s="26"/>
      <c r="B1699" s="317"/>
      <c r="C1699" s="76" t="s">
        <v>444</v>
      </c>
      <c r="D1699" s="105" t="s">
        <v>1172</v>
      </c>
      <c r="E1699" s="207">
        <f>F1662</f>
        <v>14.29</v>
      </c>
      <c r="F1699" s="190">
        <f>'BASIC DATA'!$C$552</f>
        <v>350</v>
      </c>
      <c r="G1699" s="190">
        <f t="shared" si="41"/>
        <v>5001.5</v>
      </c>
    </row>
    <row r="1700" spans="1:7">
      <c r="A1700" s="26"/>
      <c r="B1700" s="317"/>
      <c r="C1700" s="76" t="s">
        <v>445</v>
      </c>
      <c r="D1700" s="105" t="s">
        <v>1172</v>
      </c>
      <c r="E1700" s="207">
        <v>1</v>
      </c>
      <c r="F1700" s="190">
        <f>'BASIC DATA'!$C$552</f>
        <v>350</v>
      </c>
      <c r="G1700" s="190">
        <f t="shared" si="41"/>
        <v>350</v>
      </c>
    </row>
    <row r="1701" spans="1:7">
      <c r="A1701" s="26"/>
      <c r="B1701" s="92"/>
      <c r="C1701" s="193" t="s">
        <v>1174</v>
      </c>
      <c r="D1701" s="159"/>
      <c r="E1701" s="238"/>
      <c r="F1701" s="236" t="s">
        <v>1698</v>
      </c>
      <c r="G1701" s="318">
        <f>SUM(G1690:G1700)</f>
        <v>15625.25</v>
      </c>
    </row>
    <row r="1702" spans="1:7">
      <c r="A1702" s="26"/>
      <c r="B1702" s="60" t="s">
        <v>5948</v>
      </c>
      <c r="C1702" s="26"/>
      <c r="D1702" s="31"/>
      <c r="E1702" s="85">
        <f>ROUND(G1701/F1662,1)</f>
        <v>1093.4000000000001</v>
      </c>
      <c r="F1702" s="26"/>
      <c r="G1702" s="26"/>
    </row>
    <row r="1703" spans="1:7">
      <c r="A1703" s="26"/>
      <c r="B1703" s="60" t="s">
        <v>3163</v>
      </c>
      <c r="C1703" s="26"/>
      <c r="D1703" s="31">
        <f>'BASIC DATA'!$C$577</f>
        <v>0.13614999999999999</v>
      </c>
      <c r="E1703" s="85">
        <f>ROUND(E1702*D1703,1)</f>
        <v>148.9</v>
      </c>
      <c r="F1703" s="26"/>
      <c r="G1703" s="26"/>
    </row>
    <row r="1704" spans="1:7">
      <c r="A1704" s="26"/>
      <c r="B1704" s="60" t="s">
        <v>5949</v>
      </c>
      <c r="C1704" s="26"/>
      <c r="D1704" s="31"/>
      <c r="E1704" s="199">
        <f>ROUND(E1703+E1702,1)</f>
        <v>1242.3</v>
      </c>
      <c r="F1704" s="57"/>
      <c r="G1704" s="26"/>
    </row>
    <row r="1705" spans="1:7">
      <c r="A1705" s="26"/>
      <c r="B1705" s="26"/>
      <c r="C1705" s="26"/>
      <c r="D1705" s="26"/>
      <c r="E1705" s="26"/>
      <c r="F1705" s="26"/>
      <c r="G1705" s="26"/>
    </row>
    <row r="1706" spans="1:7">
      <c r="A1706" s="26"/>
      <c r="B1706" s="170" t="s">
        <v>1175</v>
      </c>
      <c r="C1706" s="26"/>
      <c r="D1706" s="26"/>
      <c r="E1706" s="26"/>
      <c r="F1706" s="26"/>
      <c r="G1706" s="26"/>
    </row>
    <row r="1707" spans="1:7">
      <c r="A1707" s="26"/>
      <c r="B1707" s="26" t="s">
        <v>5010</v>
      </c>
      <c r="C1707" s="26"/>
      <c r="D1707" s="26"/>
      <c r="E1707" s="26"/>
      <c r="F1707" s="171" t="s">
        <v>1698</v>
      </c>
      <c r="G1707" s="68">
        <f>G1674</f>
        <v>37426.939000000006</v>
      </c>
    </row>
    <row r="1708" spans="1:7">
      <c r="A1708" s="26"/>
      <c r="B1708" s="26" t="s">
        <v>1186</v>
      </c>
      <c r="C1708" s="26"/>
      <c r="D1708" s="26"/>
      <c r="E1708" s="26"/>
      <c r="F1708" s="171" t="s">
        <v>1698</v>
      </c>
      <c r="G1708" s="68">
        <f>G1685</f>
        <v>1318.3500000000001</v>
      </c>
    </row>
    <row r="1709" spans="1:7">
      <c r="A1709" s="26"/>
      <c r="B1709" s="26" t="s">
        <v>2660</v>
      </c>
      <c r="C1709" s="26"/>
      <c r="D1709" s="26"/>
      <c r="E1709" s="26"/>
      <c r="F1709" s="171" t="s">
        <v>1698</v>
      </c>
      <c r="G1709" s="173">
        <f>G1701</f>
        <v>15625.25</v>
      </c>
    </row>
    <row r="1710" spans="1:7">
      <c r="A1710" s="26"/>
      <c r="B1710" s="78"/>
      <c r="C1710" s="26"/>
      <c r="D1710" s="26"/>
      <c r="E1710" s="171"/>
      <c r="F1710" s="171" t="s">
        <v>302</v>
      </c>
      <c r="G1710" s="205">
        <f>SUM(G1707:G1709)</f>
        <v>54370.539000000004</v>
      </c>
    </row>
    <row r="1711" spans="1:7">
      <c r="A1711" s="26"/>
      <c r="B1711" s="1206" t="s">
        <v>1379</v>
      </c>
      <c r="C1711" s="1206"/>
      <c r="D1711" s="26"/>
      <c r="E1711" s="249">
        <f>'BASIC DATA'!$C$577</f>
        <v>0.13614999999999999</v>
      </c>
      <c r="F1711" s="26" t="s">
        <v>1698</v>
      </c>
      <c r="G1711" s="26">
        <f>ROUND(G1710*E1711,2)</f>
        <v>7402.55</v>
      </c>
    </row>
    <row r="1712" spans="1:7">
      <c r="A1712" s="26"/>
      <c r="B1712" s="26" t="s">
        <v>1191</v>
      </c>
      <c r="C1712" s="26"/>
      <c r="D1712" s="68">
        <f>F1662</f>
        <v>14.29</v>
      </c>
      <c r="E1712" s="68" t="str">
        <f>G1662</f>
        <v>cum</v>
      </c>
      <c r="F1712" s="26" t="s">
        <v>1698</v>
      </c>
      <c r="G1712" s="211">
        <f>G1711+G1710</f>
        <v>61773.089000000007</v>
      </c>
    </row>
    <row r="1713" spans="1:7">
      <c r="A1713" s="26"/>
      <c r="B1713" s="170" t="s">
        <v>1584</v>
      </c>
      <c r="C1713" s="211" t="str">
        <f>E1712</f>
        <v>cum</v>
      </c>
      <c r="D1713" s="26" t="s">
        <v>7788</v>
      </c>
      <c r="E1713" s="26"/>
      <c r="F1713" s="26" t="s">
        <v>4108</v>
      </c>
      <c r="G1713" s="211">
        <f>ROUND(G1712/D1712,1)</f>
        <v>4322.8</v>
      </c>
    </row>
    <row r="1714" spans="1:7">
      <c r="A1714" s="26"/>
      <c r="B1714" s="78"/>
      <c r="C1714" s="26"/>
      <c r="D1714" s="26"/>
      <c r="E1714" s="26"/>
      <c r="F1714" s="26"/>
      <c r="G1714" s="26"/>
    </row>
    <row r="1715" spans="1:7">
      <c r="A1715" s="26"/>
      <c r="B1715" s="78"/>
      <c r="C1715" s="26"/>
      <c r="D1715" s="26"/>
      <c r="E1715" s="26"/>
      <c r="F1715" s="26"/>
      <c r="G1715" s="26"/>
    </row>
    <row r="1716" spans="1:7" ht="18.75">
      <c r="A1716" s="78" t="s">
        <v>7555</v>
      </c>
      <c r="B1716" s="26" t="s">
        <v>8942</v>
      </c>
      <c r="C1716" s="26"/>
      <c r="D1716" s="26"/>
      <c r="E1716" s="26"/>
      <c r="F1716" s="26"/>
      <c r="G1716" s="26"/>
    </row>
    <row r="1717" spans="1:7" ht="18.75">
      <c r="A1717" s="78"/>
      <c r="B1717" s="26" t="s">
        <v>8943</v>
      </c>
      <c r="C1717" s="26"/>
      <c r="D1717" s="26"/>
      <c r="E1717" s="26"/>
      <c r="F1717" s="26"/>
      <c r="G1717" s="26"/>
    </row>
    <row r="1718" spans="1:7">
      <c r="A1718" s="78"/>
      <c r="B1718" s="26" t="s">
        <v>8944</v>
      </c>
      <c r="C1718" s="26"/>
      <c r="D1718" s="26"/>
      <c r="E1718" s="26"/>
      <c r="F1718" s="26"/>
      <c r="G1718" s="26"/>
    </row>
    <row r="1719" spans="1:7">
      <c r="A1719" s="78"/>
      <c r="B1719" s="26" t="s">
        <v>3535</v>
      </c>
      <c r="C1719" s="26"/>
      <c r="D1719" s="26"/>
      <c r="E1719" s="26"/>
      <c r="F1719" s="26"/>
      <c r="G1719" s="26"/>
    </row>
    <row r="1720" spans="1:7" ht="18.75">
      <c r="A1720" s="78"/>
      <c r="B1720" s="170" t="s">
        <v>8933</v>
      </c>
      <c r="C1720" s="26"/>
      <c r="D1720" s="26"/>
      <c r="E1720" s="26"/>
      <c r="F1720" s="26"/>
      <c r="G1720" s="26"/>
    </row>
    <row r="1721" spans="1:7">
      <c r="A1721" s="78" t="s">
        <v>1940</v>
      </c>
      <c r="B1721" s="170" t="s">
        <v>1351</v>
      </c>
      <c r="C1721" s="26"/>
      <c r="D1721" s="26"/>
      <c r="E1721" s="26"/>
      <c r="F1721" s="26"/>
      <c r="G1721" s="26"/>
    </row>
    <row r="1722" spans="1:7">
      <c r="A1722" s="78"/>
      <c r="B1722" s="170" t="s">
        <v>7775</v>
      </c>
      <c r="C1722" s="26"/>
      <c r="D1722" s="26"/>
      <c r="E1722" s="26"/>
      <c r="F1722" s="26"/>
      <c r="G1722" s="26"/>
    </row>
    <row r="1723" spans="1:7">
      <c r="A1723" s="62"/>
      <c r="B1723" s="248" t="s">
        <v>4522</v>
      </c>
      <c r="C1723" s="61"/>
      <c r="D1723" s="61"/>
      <c r="E1723" s="61"/>
      <c r="F1723" s="61"/>
      <c r="G1723" s="61"/>
    </row>
    <row r="1724" spans="1:7">
      <c r="A1724" s="78"/>
      <c r="B1724" s="26"/>
      <c r="C1724" s="26"/>
      <c r="D1724" s="26"/>
      <c r="E1724" s="26"/>
      <c r="F1724" s="26"/>
      <c r="G1724" s="26"/>
    </row>
    <row r="1725" spans="1:7">
      <c r="A1725" s="78" t="s">
        <v>3984</v>
      </c>
      <c r="B1725" s="26" t="s">
        <v>5780</v>
      </c>
      <c r="C1725" s="26"/>
      <c r="D1725" s="26"/>
      <c r="E1725" s="26"/>
      <c r="F1725" s="26"/>
      <c r="G1725" s="26"/>
    </row>
    <row r="1726" spans="1:7">
      <c r="A1726" s="78"/>
      <c r="B1726" s="26" t="s">
        <v>6964</v>
      </c>
      <c r="C1726" s="26"/>
      <c r="D1726" s="26"/>
      <c r="E1726" s="26"/>
      <c r="F1726" s="26"/>
      <c r="G1726" s="26"/>
    </row>
    <row r="1727" spans="1:7">
      <c r="A1727" s="78"/>
      <c r="B1727" s="26" t="s">
        <v>7789</v>
      </c>
      <c r="C1727" s="26"/>
      <c r="D1727" s="26"/>
      <c r="E1727" s="26"/>
      <c r="F1727" s="26"/>
      <c r="G1727" s="26"/>
    </row>
    <row r="1728" spans="1:7">
      <c r="A1728" s="78"/>
      <c r="B1728" s="26" t="s">
        <v>7777</v>
      </c>
      <c r="C1728" s="26"/>
      <c r="D1728" s="26"/>
      <c r="E1728" s="68">
        <f>ROUND(50*13*8/330,2)</f>
        <v>15.76</v>
      </c>
      <c r="F1728" s="26" t="s">
        <v>3760</v>
      </c>
      <c r="G1728" s="26"/>
    </row>
    <row r="1729" spans="1:7">
      <c r="A1729" s="78"/>
      <c r="B1729" s="26" t="s">
        <v>2843</v>
      </c>
      <c r="C1729" s="26"/>
      <c r="D1729" s="26"/>
      <c r="E1729" s="26"/>
      <c r="F1729" s="26"/>
      <c r="G1729" s="26"/>
    </row>
    <row r="1730" spans="1:7">
      <c r="A1730" s="78"/>
      <c r="B1730" s="26" t="s">
        <v>3658</v>
      </c>
      <c r="C1730" s="26"/>
      <c r="D1730" s="26"/>
      <c r="E1730" s="26"/>
      <c r="F1730" s="26"/>
      <c r="G1730" s="26"/>
    </row>
    <row r="1731" spans="1:7">
      <c r="A1731" s="78"/>
      <c r="B1731" s="26" t="s">
        <v>1980</v>
      </c>
      <c r="C1731" s="26"/>
      <c r="D1731" s="26"/>
      <c r="E1731" s="26"/>
      <c r="F1731" s="68">
        <f>G618</f>
        <v>224.56752690000002</v>
      </c>
      <c r="G1731" s="26" t="s">
        <v>1168</v>
      </c>
    </row>
    <row r="1732" spans="1:7">
      <c r="A1732" s="78"/>
      <c r="B1732" s="26" t="s">
        <v>8000</v>
      </c>
      <c r="C1732" s="26"/>
      <c r="D1732" s="26"/>
      <c r="E1732" s="26"/>
      <c r="F1732" s="68">
        <f>F1731*10%</f>
        <v>22.456752690000002</v>
      </c>
      <c r="G1732" s="26" t="s">
        <v>1168</v>
      </c>
    </row>
    <row r="1733" spans="1:7">
      <c r="A1733" s="78"/>
      <c r="B1733" s="26" t="s">
        <v>2394</v>
      </c>
      <c r="C1733" s="26"/>
      <c r="D1733" s="26"/>
      <c r="E1733" s="26"/>
      <c r="F1733" s="68">
        <f>SUM(F1731:F1732)</f>
        <v>247.02427959000002</v>
      </c>
      <c r="G1733" s="26" t="s">
        <v>1168</v>
      </c>
    </row>
    <row r="1734" spans="1:7">
      <c r="A1734" s="78"/>
      <c r="B1734" s="26" t="s">
        <v>1981</v>
      </c>
      <c r="C1734" s="26"/>
      <c r="D1734" s="26"/>
      <c r="E1734" s="26"/>
      <c r="F1734" s="68">
        <f>G644</f>
        <v>88.5</v>
      </c>
      <c r="G1734" s="26" t="s">
        <v>1168</v>
      </c>
    </row>
    <row r="1735" spans="1:7">
      <c r="A1735" s="78"/>
      <c r="B1735" s="26" t="s">
        <v>451</v>
      </c>
      <c r="C1735" s="26"/>
      <c r="D1735" s="26"/>
      <c r="E1735" s="26"/>
      <c r="F1735" s="26"/>
      <c r="G1735" s="26"/>
    </row>
    <row r="1736" spans="1:7">
      <c r="A1736" s="78"/>
      <c r="B1736" s="26" t="s">
        <v>1982</v>
      </c>
      <c r="C1736" s="26"/>
      <c r="D1736" s="26"/>
      <c r="E1736" s="26"/>
      <c r="F1736" s="26"/>
      <c r="G1736" s="26"/>
    </row>
    <row r="1737" spans="1:7">
      <c r="A1737" s="26"/>
      <c r="B1737" s="78"/>
      <c r="C1737" s="26"/>
      <c r="D1737" s="26"/>
      <c r="E1737" s="26"/>
      <c r="F1737" s="26"/>
      <c r="G1737" s="26"/>
    </row>
    <row r="1738" spans="1:7">
      <c r="A1738" s="78" t="s">
        <v>3984</v>
      </c>
      <c r="B1738" s="78"/>
      <c r="C1738" s="203" t="s">
        <v>2367</v>
      </c>
      <c r="D1738" s="26"/>
      <c r="E1738" s="171" t="s">
        <v>297</v>
      </c>
      <c r="F1738" s="246">
        <f>E1728</f>
        <v>15.76</v>
      </c>
      <c r="G1738" s="26" t="s">
        <v>3477</v>
      </c>
    </row>
    <row r="1739" spans="1:7">
      <c r="A1739" s="26"/>
      <c r="B1739" s="79" t="s">
        <v>2368</v>
      </c>
      <c r="C1739" s="26"/>
      <c r="D1739" s="26"/>
      <c r="E1739" s="26"/>
      <c r="F1739" s="26"/>
      <c r="G1739" s="26"/>
    </row>
    <row r="1740" spans="1:7">
      <c r="A1740" s="26"/>
      <c r="B1740" s="95" t="s">
        <v>2369</v>
      </c>
      <c r="C1740" s="157" t="s">
        <v>4443</v>
      </c>
      <c r="D1740" s="95" t="s">
        <v>2370</v>
      </c>
      <c r="E1740" s="95" t="s">
        <v>1166</v>
      </c>
      <c r="F1740" s="95" t="s">
        <v>2371</v>
      </c>
      <c r="G1740" s="95" t="s">
        <v>2372</v>
      </c>
    </row>
    <row r="1741" spans="1:7">
      <c r="A1741" s="26"/>
      <c r="B1741" s="114"/>
      <c r="C1741" s="154"/>
      <c r="D1741" s="114"/>
      <c r="E1741" s="114"/>
      <c r="F1741" s="114" t="s">
        <v>3485</v>
      </c>
      <c r="G1741" s="114" t="s">
        <v>3485</v>
      </c>
    </row>
    <row r="1742" spans="1:7">
      <c r="A1742" s="26"/>
      <c r="B1742" s="95">
        <v>1</v>
      </c>
      <c r="C1742" s="135" t="s">
        <v>1048</v>
      </c>
      <c r="D1742" s="95" t="s">
        <v>3478</v>
      </c>
      <c r="E1742" s="190">
        <f>330*F1738</f>
        <v>5200.8</v>
      </c>
      <c r="F1742" s="214">
        <f>'BASIC DATA'!$D$32/1000</f>
        <v>5.35</v>
      </c>
      <c r="G1742" s="190">
        <f>E1742*F1742</f>
        <v>27824.28</v>
      </c>
    </row>
    <row r="1743" spans="1:7">
      <c r="A1743" s="26"/>
      <c r="B1743" s="317"/>
      <c r="C1743" s="135" t="s">
        <v>1049</v>
      </c>
      <c r="D1743" s="105" t="s">
        <v>3478</v>
      </c>
      <c r="E1743" s="190">
        <f>5*F1738</f>
        <v>78.8</v>
      </c>
      <c r="F1743" s="214">
        <f>'BASIC DATA'!$D$32/1000</f>
        <v>5.35</v>
      </c>
      <c r="G1743" s="190">
        <f t="shared" ref="G1743:G1749" si="42">E1743*F1743</f>
        <v>421.58</v>
      </c>
    </row>
    <row r="1744" spans="1:7">
      <c r="A1744" s="26"/>
      <c r="B1744" s="105">
        <v>2</v>
      </c>
      <c r="C1744" s="135" t="s">
        <v>6995</v>
      </c>
      <c r="D1744" s="105" t="s">
        <v>3477</v>
      </c>
      <c r="E1744" s="190">
        <f>0.8*F1738*0.65</f>
        <v>8.1951999999999998</v>
      </c>
      <c r="F1744" s="214">
        <f>'BASIC DATA'!$D$35</f>
        <v>1225</v>
      </c>
      <c r="G1744" s="190">
        <f t="shared" si="42"/>
        <v>10039.119999999999</v>
      </c>
    </row>
    <row r="1745" spans="1:7">
      <c r="A1745" s="26"/>
      <c r="B1745" s="317"/>
      <c r="C1745" s="135" t="s">
        <v>1050</v>
      </c>
      <c r="D1745" s="105" t="s">
        <v>3477</v>
      </c>
      <c r="E1745" s="190">
        <f>0.8*F1738*0.35</f>
        <v>4.4127999999999998</v>
      </c>
      <c r="F1745" s="214">
        <f>'BASIC DATA'!$D$34</f>
        <v>900</v>
      </c>
      <c r="G1745" s="190">
        <f t="shared" si="42"/>
        <v>3971.52</v>
      </c>
    </row>
    <row r="1746" spans="1:7">
      <c r="A1746" s="61"/>
      <c r="B1746" s="240">
        <v>3</v>
      </c>
      <c r="C1746" s="326" t="s">
        <v>7941</v>
      </c>
      <c r="D1746" s="240" t="s">
        <v>3477</v>
      </c>
      <c r="E1746" s="255">
        <f>0.45*F1738</f>
        <v>7.0919999999999996</v>
      </c>
      <c r="F1746" s="266">
        <f>'BASIC DATA'!$D$55</f>
        <v>95</v>
      </c>
      <c r="G1746" s="255">
        <f t="shared" si="42"/>
        <v>673.74</v>
      </c>
    </row>
    <row r="1747" spans="1:7">
      <c r="A1747" s="26"/>
      <c r="B1747" s="105">
        <v>4</v>
      </c>
      <c r="C1747" s="135" t="s">
        <v>523</v>
      </c>
      <c r="D1747" s="105" t="s">
        <v>3478</v>
      </c>
      <c r="E1747" s="190">
        <f>E1742*0.4%</f>
        <v>20.8032</v>
      </c>
      <c r="F1747" s="214">
        <f>'BASIC DATA'!$D$99</f>
        <v>55</v>
      </c>
      <c r="G1747" s="190">
        <f t="shared" si="42"/>
        <v>1144.1759999999999</v>
      </c>
    </row>
    <row r="1748" spans="1:7">
      <c r="A1748" s="26"/>
      <c r="B1748" s="105">
        <v>5</v>
      </c>
      <c r="C1748" s="135" t="s">
        <v>6219</v>
      </c>
      <c r="D1748" s="105" t="s">
        <v>3479</v>
      </c>
      <c r="E1748" s="190">
        <f>F1738</f>
        <v>15.76</v>
      </c>
      <c r="F1748" s="214">
        <f>F1731</f>
        <v>224.56752690000002</v>
      </c>
      <c r="G1748" s="190">
        <f t="shared" si="42"/>
        <v>3539.1842239440002</v>
      </c>
    </row>
    <row r="1749" spans="1:7">
      <c r="A1749" s="26"/>
      <c r="B1749" s="114">
        <v>6</v>
      </c>
      <c r="C1749" s="139" t="s">
        <v>2373</v>
      </c>
      <c r="D1749" s="114" t="s">
        <v>2173</v>
      </c>
      <c r="E1749" s="182">
        <v>0.5</v>
      </c>
      <c r="F1749" s="215">
        <f>'BASIC DATA'!$D$359</f>
        <v>30</v>
      </c>
      <c r="G1749" s="182">
        <f t="shared" si="42"/>
        <v>15</v>
      </c>
    </row>
    <row r="1750" spans="1:7">
      <c r="A1750" s="26"/>
      <c r="B1750" s="93"/>
      <c r="C1750" s="31" t="s">
        <v>6844</v>
      </c>
      <c r="D1750" s="31" t="s">
        <v>4043</v>
      </c>
      <c r="E1750" s="198"/>
      <c r="F1750" s="327" t="s">
        <v>1698</v>
      </c>
      <c r="G1750" s="190">
        <v>0</v>
      </c>
    </row>
    <row r="1751" spans="1:7">
      <c r="A1751" s="26"/>
      <c r="B1751" s="93"/>
      <c r="C1751" s="31" t="s">
        <v>6845</v>
      </c>
      <c r="D1751" s="31" t="s">
        <v>4043</v>
      </c>
      <c r="E1751" s="198"/>
      <c r="F1751" s="327" t="s">
        <v>1698</v>
      </c>
      <c r="G1751" s="190">
        <v>0</v>
      </c>
    </row>
    <row r="1752" spans="1:7">
      <c r="A1752" s="26"/>
      <c r="B1752" s="92"/>
      <c r="C1752" s="193" t="s">
        <v>2376</v>
      </c>
      <c r="D1752" s="159"/>
      <c r="E1752" s="238"/>
      <c r="F1752" s="236" t="s">
        <v>1698</v>
      </c>
      <c r="G1752" s="318">
        <f>SUM(G1742:G1751)</f>
        <v>47628.600223943991</v>
      </c>
    </row>
    <row r="1753" spans="1:7">
      <c r="A1753" s="26"/>
      <c r="B1753" s="78"/>
      <c r="C1753" s="26"/>
      <c r="D1753" s="26"/>
      <c r="E1753" s="26"/>
      <c r="F1753" s="26"/>
      <c r="G1753" s="26"/>
    </row>
    <row r="1754" spans="1:7">
      <c r="A1754" s="26"/>
      <c r="B1754" s="79" t="s">
        <v>2377</v>
      </c>
      <c r="C1754" s="26"/>
      <c r="D1754" s="26"/>
      <c r="E1754" s="26"/>
      <c r="F1754" s="26"/>
      <c r="G1754" s="26"/>
    </row>
    <row r="1755" spans="1:7">
      <c r="A1755" s="26"/>
      <c r="B1755" s="95" t="s">
        <v>2369</v>
      </c>
      <c r="C1755" s="157" t="s">
        <v>2378</v>
      </c>
      <c r="D1755" s="95" t="s">
        <v>2370</v>
      </c>
      <c r="E1755" s="95" t="s">
        <v>1166</v>
      </c>
      <c r="F1755" s="95" t="s">
        <v>2371</v>
      </c>
      <c r="G1755" s="95" t="s">
        <v>2372</v>
      </c>
    </row>
    <row r="1756" spans="1:7">
      <c r="A1756" s="26"/>
      <c r="B1756" s="114"/>
      <c r="C1756" s="154"/>
      <c r="D1756" s="114"/>
      <c r="E1756" s="114"/>
      <c r="F1756" s="114" t="s">
        <v>3485</v>
      </c>
      <c r="G1756" s="114" t="s">
        <v>3485</v>
      </c>
    </row>
    <row r="1757" spans="1:7">
      <c r="A1757" s="26"/>
      <c r="B1757" s="95">
        <v>1</v>
      </c>
      <c r="C1757" s="153" t="s">
        <v>7214</v>
      </c>
      <c r="D1757" s="175" t="s">
        <v>2374</v>
      </c>
      <c r="E1757" s="179">
        <v>8</v>
      </c>
      <c r="F1757" s="190">
        <f>'HIRE CHARGES'!$D$507</f>
        <v>53.5</v>
      </c>
      <c r="G1757" s="190">
        <f t="shared" ref="G1757:G1762" si="43">E1757*F1757</f>
        <v>428</v>
      </c>
    </row>
    <row r="1758" spans="1:7">
      <c r="A1758" s="26"/>
      <c r="B1758" s="317"/>
      <c r="C1758" s="152" t="s">
        <v>2379</v>
      </c>
      <c r="D1758" s="33" t="s">
        <v>2374</v>
      </c>
      <c r="E1758" s="190">
        <v>8</v>
      </c>
      <c r="F1758" s="190">
        <f>'HIRE CHARGES'!$E$507</f>
        <v>79.3</v>
      </c>
      <c r="G1758" s="190">
        <f t="shared" si="43"/>
        <v>634.4</v>
      </c>
    </row>
    <row r="1759" spans="1:7">
      <c r="A1759" s="26"/>
      <c r="B1759" s="105">
        <v>2</v>
      </c>
      <c r="C1759" s="152" t="s">
        <v>189</v>
      </c>
      <c r="D1759" s="33" t="s">
        <v>2374</v>
      </c>
      <c r="E1759" s="190">
        <v>0.5</v>
      </c>
      <c r="F1759" s="190">
        <f>'HIRE CHARGES'!$D$517</f>
        <v>10.199999999999999</v>
      </c>
      <c r="G1759" s="190">
        <f t="shared" si="43"/>
        <v>5.0999999999999996</v>
      </c>
    </row>
    <row r="1760" spans="1:7" ht="18.75" thickBot="1">
      <c r="A1760" s="26"/>
      <c r="B1760" s="317"/>
      <c r="C1760" s="152" t="s">
        <v>2379</v>
      </c>
      <c r="D1760" s="33" t="s">
        <v>2374</v>
      </c>
      <c r="E1760" s="190">
        <v>0.5</v>
      </c>
      <c r="F1760" s="190">
        <f>'HIRE CHARGES'!$E$517</f>
        <v>79.3</v>
      </c>
      <c r="G1760" s="190">
        <f t="shared" si="43"/>
        <v>39.65</v>
      </c>
    </row>
    <row r="1761" spans="1:7">
      <c r="A1761" s="26"/>
      <c r="B1761" s="105">
        <v>3</v>
      </c>
      <c r="C1761" s="135" t="s">
        <v>526</v>
      </c>
      <c r="D1761" s="679" t="s">
        <v>2374</v>
      </c>
      <c r="E1761" s="207">
        <v>8</v>
      </c>
      <c r="F1761" s="190">
        <f>'HIRE CHARGES'!$D$531</f>
        <v>7.6</v>
      </c>
      <c r="G1761" s="190">
        <f t="shared" si="43"/>
        <v>60.8</v>
      </c>
    </row>
    <row r="1762" spans="1:7" ht="18.75" thickBot="1">
      <c r="A1762" s="26"/>
      <c r="B1762" s="365"/>
      <c r="C1762" s="139" t="s">
        <v>2379</v>
      </c>
      <c r="D1762" s="680" t="s">
        <v>2374</v>
      </c>
      <c r="E1762" s="181">
        <v>8</v>
      </c>
      <c r="F1762" s="207">
        <f>'HIRE CHARGES'!$E$531</f>
        <v>18.8</v>
      </c>
      <c r="G1762" s="190">
        <f t="shared" si="43"/>
        <v>150.4</v>
      </c>
    </row>
    <row r="1763" spans="1:7">
      <c r="A1763" s="26"/>
      <c r="B1763" s="176"/>
      <c r="C1763" s="172" t="s">
        <v>2380</v>
      </c>
      <c r="D1763" s="174"/>
      <c r="E1763" s="192"/>
      <c r="F1763" s="236" t="s">
        <v>1698</v>
      </c>
      <c r="G1763" s="318">
        <f>SUM(G1757:G1762)</f>
        <v>1318.3500000000001</v>
      </c>
    </row>
    <row r="1764" spans="1:7">
      <c r="A1764" s="26"/>
      <c r="B1764" s="78"/>
      <c r="C1764" s="26"/>
      <c r="D1764" s="26"/>
      <c r="E1764" s="26"/>
      <c r="F1764" s="26"/>
      <c r="G1764" s="26"/>
    </row>
    <row r="1765" spans="1:7">
      <c r="A1765" s="26"/>
      <c r="B1765" s="79" t="s">
        <v>2381</v>
      </c>
      <c r="C1765" s="26"/>
      <c r="D1765" s="26"/>
      <c r="E1765" s="26"/>
      <c r="F1765" s="26"/>
      <c r="G1765" s="26"/>
    </row>
    <row r="1766" spans="1:7">
      <c r="A1766" s="26"/>
      <c r="B1766" s="95" t="s">
        <v>2369</v>
      </c>
      <c r="C1766" s="157" t="s">
        <v>2378</v>
      </c>
      <c r="D1766" s="95" t="s">
        <v>2370</v>
      </c>
      <c r="E1766" s="95" t="s">
        <v>1166</v>
      </c>
      <c r="F1766" s="95" t="s">
        <v>2371</v>
      </c>
      <c r="G1766" s="95" t="s">
        <v>2372</v>
      </c>
    </row>
    <row r="1767" spans="1:7">
      <c r="A1767" s="26"/>
      <c r="B1767" s="114"/>
      <c r="C1767" s="154"/>
      <c r="D1767" s="114"/>
      <c r="E1767" s="114"/>
      <c r="F1767" s="114" t="s">
        <v>3485</v>
      </c>
      <c r="G1767" s="114" t="s">
        <v>3485</v>
      </c>
    </row>
    <row r="1768" spans="1:7">
      <c r="A1768" s="26"/>
      <c r="B1768" s="105">
        <v>1</v>
      </c>
      <c r="C1768" s="76" t="s">
        <v>527</v>
      </c>
      <c r="D1768" s="95" t="s">
        <v>2374</v>
      </c>
      <c r="E1768" s="179">
        <v>8</v>
      </c>
      <c r="F1768" s="179">
        <f>'HIRE CHARGES'!$F$507</f>
        <v>219.7</v>
      </c>
      <c r="G1768" s="190">
        <f>E1768*F1768</f>
        <v>1757.6</v>
      </c>
    </row>
    <row r="1769" spans="1:7">
      <c r="A1769" s="26"/>
      <c r="B1769" s="105">
        <v>2</v>
      </c>
      <c r="C1769" s="76" t="s">
        <v>999</v>
      </c>
      <c r="D1769" s="105" t="s">
        <v>2374</v>
      </c>
      <c r="E1769" s="190">
        <v>0.5</v>
      </c>
      <c r="F1769" s="190">
        <f>'HIRE CHARGES'!$F$517</f>
        <v>111.1</v>
      </c>
      <c r="G1769" s="190">
        <f t="shared" ref="G1769:G1779" si="44">E1769*F1769</f>
        <v>55.55</v>
      </c>
    </row>
    <row r="1770" spans="1:7">
      <c r="A1770" s="26"/>
      <c r="B1770" s="105">
        <v>3</v>
      </c>
      <c r="C1770" s="76" t="s">
        <v>439</v>
      </c>
      <c r="D1770" s="105" t="s">
        <v>2374</v>
      </c>
      <c r="E1770" s="190">
        <v>8</v>
      </c>
      <c r="F1770" s="190">
        <f>'HIRE CHARGES'!$F$531</f>
        <v>158.19999999999999</v>
      </c>
      <c r="G1770" s="190">
        <f t="shared" si="44"/>
        <v>1265.5999999999999</v>
      </c>
    </row>
    <row r="1771" spans="1:7">
      <c r="A1771" s="26"/>
      <c r="B1771" s="105">
        <v>4</v>
      </c>
      <c r="C1771" s="76" t="s">
        <v>440</v>
      </c>
      <c r="D1771" s="105" t="s">
        <v>1172</v>
      </c>
      <c r="E1771" s="190">
        <v>1</v>
      </c>
      <c r="F1771" s="190">
        <f>'BASIC DATA'!$C$474</f>
        <v>445</v>
      </c>
      <c r="G1771" s="190">
        <f t="shared" si="44"/>
        <v>445</v>
      </c>
    </row>
    <row r="1772" spans="1:7">
      <c r="A1772" s="26"/>
      <c r="B1772" s="105">
        <v>5</v>
      </c>
      <c r="C1772" s="76" t="s">
        <v>4206</v>
      </c>
      <c r="D1772" s="105" t="s">
        <v>1172</v>
      </c>
      <c r="E1772" s="190">
        <v>1</v>
      </c>
      <c r="F1772" s="190">
        <f>'BASIC DATA'!$C$473</f>
        <v>450</v>
      </c>
      <c r="G1772" s="190">
        <f t="shared" si="44"/>
        <v>450</v>
      </c>
    </row>
    <row r="1773" spans="1:7">
      <c r="A1773" s="26"/>
      <c r="B1773" s="105">
        <v>6</v>
      </c>
      <c r="C1773" s="76" t="s">
        <v>2697</v>
      </c>
      <c r="D1773" s="105"/>
      <c r="E1773" s="190"/>
      <c r="F1773" s="190"/>
      <c r="G1773" s="190"/>
    </row>
    <row r="1774" spans="1:7">
      <c r="A1774" s="26"/>
      <c r="B1774" s="317"/>
      <c r="C1774" s="76" t="s">
        <v>441</v>
      </c>
      <c r="D1774" s="105" t="s">
        <v>1172</v>
      </c>
      <c r="E1774" s="190">
        <v>11</v>
      </c>
      <c r="F1774" s="190">
        <f>'BASIC DATA'!$C$552</f>
        <v>350</v>
      </c>
      <c r="G1774" s="190">
        <f t="shared" si="44"/>
        <v>3850</v>
      </c>
    </row>
    <row r="1775" spans="1:7">
      <c r="A1775" s="26"/>
      <c r="B1775" s="317"/>
      <c r="C1775" s="76" t="s">
        <v>442</v>
      </c>
      <c r="D1775" s="105" t="s">
        <v>1172</v>
      </c>
      <c r="E1775" s="190">
        <v>4</v>
      </c>
      <c r="F1775" s="190">
        <f>'BASIC DATA'!$C$552</f>
        <v>350</v>
      </c>
      <c r="G1775" s="190">
        <f t="shared" si="44"/>
        <v>1400</v>
      </c>
    </row>
    <row r="1776" spans="1:7">
      <c r="A1776" s="26"/>
      <c r="B1776" s="317"/>
      <c r="C1776" s="76" t="s">
        <v>5151</v>
      </c>
      <c r="D1776" s="105" t="s">
        <v>1172</v>
      </c>
      <c r="E1776" s="190">
        <v>3</v>
      </c>
      <c r="F1776" s="190">
        <f>'BASIC DATA'!$C$552</f>
        <v>350</v>
      </c>
      <c r="G1776" s="190">
        <f t="shared" si="44"/>
        <v>1050</v>
      </c>
    </row>
    <row r="1777" spans="1:7">
      <c r="A1777" s="26"/>
      <c r="B1777" s="317"/>
      <c r="C1777" s="76" t="s">
        <v>444</v>
      </c>
      <c r="D1777" s="105" t="s">
        <v>1172</v>
      </c>
      <c r="E1777" s="190">
        <f>F1738</f>
        <v>15.76</v>
      </c>
      <c r="F1777" s="190">
        <f>'BASIC DATA'!$C$552</f>
        <v>350</v>
      </c>
      <c r="G1777" s="190">
        <f t="shared" si="44"/>
        <v>5516</v>
      </c>
    </row>
    <row r="1778" spans="1:7">
      <c r="A1778" s="26"/>
      <c r="B1778" s="317"/>
      <c r="C1778" s="76" t="s">
        <v>445</v>
      </c>
      <c r="D1778" s="105" t="s">
        <v>1172</v>
      </c>
      <c r="E1778" s="190">
        <v>1</v>
      </c>
      <c r="F1778" s="190">
        <f>'BASIC DATA'!$C$552</f>
        <v>350</v>
      </c>
      <c r="G1778" s="190">
        <f t="shared" si="44"/>
        <v>350</v>
      </c>
    </row>
    <row r="1779" spans="1:7">
      <c r="A1779" s="26"/>
      <c r="B1779" s="93">
        <v>7</v>
      </c>
      <c r="C1779" s="76" t="s">
        <v>7215</v>
      </c>
      <c r="D1779" s="114" t="s">
        <v>3479</v>
      </c>
      <c r="E1779" s="182">
        <f>F1738</f>
        <v>15.76</v>
      </c>
      <c r="F1779" s="182">
        <f>F1734</f>
        <v>88.5</v>
      </c>
      <c r="G1779" s="190">
        <f t="shared" si="44"/>
        <v>1394.76</v>
      </c>
    </row>
    <row r="1780" spans="1:7">
      <c r="A1780" s="26"/>
      <c r="B1780" s="92"/>
      <c r="C1780" s="193" t="s">
        <v>1174</v>
      </c>
      <c r="D1780" s="159"/>
      <c r="E1780" s="238"/>
      <c r="F1780" s="236" t="s">
        <v>1698</v>
      </c>
      <c r="G1780" s="318">
        <f>SUM(G1768:G1779)</f>
        <v>17534.509999999998</v>
      </c>
    </row>
    <row r="1781" spans="1:7">
      <c r="A1781" s="26"/>
      <c r="B1781" s="60" t="s">
        <v>5948</v>
      </c>
      <c r="C1781" s="31"/>
      <c r="D1781" s="31"/>
      <c r="E1781" s="85">
        <f>ROUND(G1780/F1738,1)</f>
        <v>1112.5999999999999</v>
      </c>
      <c r="F1781" s="26"/>
      <c r="G1781" s="26"/>
    </row>
    <row r="1782" spans="1:7">
      <c r="A1782" s="26"/>
      <c r="B1782" s="60" t="s">
        <v>3163</v>
      </c>
      <c r="C1782" s="31"/>
      <c r="D1782" s="31">
        <f>'BASIC DATA'!$C$577</f>
        <v>0.13614999999999999</v>
      </c>
      <c r="E1782" s="85">
        <f>ROUND(E1781*D1782,1)</f>
        <v>151.5</v>
      </c>
      <c r="F1782" s="26"/>
      <c r="G1782" s="26"/>
    </row>
    <row r="1783" spans="1:7">
      <c r="A1783" s="26"/>
      <c r="B1783" s="60" t="s">
        <v>5949</v>
      </c>
      <c r="C1783" s="31"/>
      <c r="D1783" s="31"/>
      <c r="E1783" s="199">
        <f>ROUND(E1782+E1781,1)</f>
        <v>1264.0999999999999</v>
      </c>
      <c r="F1783" s="57"/>
      <c r="G1783" s="26"/>
    </row>
    <row r="1784" spans="1:7">
      <c r="A1784" s="26"/>
      <c r="B1784" s="78"/>
      <c r="C1784" s="26"/>
      <c r="D1784" s="26"/>
      <c r="E1784" s="26"/>
      <c r="F1784" s="26"/>
      <c r="G1784" s="26"/>
    </row>
    <row r="1785" spans="1:7">
      <c r="A1785" s="26"/>
      <c r="B1785" s="170" t="s">
        <v>1175</v>
      </c>
      <c r="C1785" s="26"/>
      <c r="D1785" s="26"/>
      <c r="E1785" s="26"/>
      <c r="F1785" s="26"/>
      <c r="G1785" s="26"/>
    </row>
    <row r="1786" spans="1:7">
      <c r="A1786" s="26"/>
      <c r="B1786" s="26" t="s">
        <v>5010</v>
      </c>
      <c r="C1786" s="26"/>
      <c r="D1786" s="26"/>
      <c r="E1786" s="26"/>
      <c r="F1786" s="171" t="s">
        <v>1698</v>
      </c>
      <c r="G1786" s="68">
        <f>G1752</f>
        <v>47628.600223943991</v>
      </c>
    </row>
    <row r="1787" spans="1:7">
      <c r="A1787" s="26"/>
      <c r="B1787" s="26" t="s">
        <v>1186</v>
      </c>
      <c r="C1787" s="26"/>
      <c r="D1787" s="26"/>
      <c r="E1787" s="26"/>
      <c r="F1787" s="171" t="s">
        <v>1698</v>
      </c>
      <c r="G1787" s="68">
        <f>G1763</f>
        <v>1318.3500000000001</v>
      </c>
    </row>
    <row r="1788" spans="1:7">
      <c r="A1788" s="26"/>
      <c r="B1788" s="26" t="s">
        <v>2660</v>
      </c>
      <c r="C1788" s="26"/>
      <c r="D1788" s="26"/>
      <c r="E1788" s="26"/>
      <c r="F1788" s="171" t="s">
        <v>1698</v>
      </c>
      <c r="G1788" s="75">
        <f>G1780</f>
        <v>17534.509999999998</v>
      </c>
    </row>
    <row r="1789" spans="1:7">
      <c r="A1789" s="26"/>
      <c r="B1789" s="78"/>
      <c r="C1789" s="26"/>
      <c r="D1789" s="26"/>
      <c r="E1789" s="171"/>
      <c r="F1789" s="171" t="s">
        <v>302</v>
      </c>
      <c r="G1789" s="205">
        <f>SUM(G1786:G1788)</f>
        <v>66481.460223943985</v>
      </c>
    </row>
    <row r="1790" spans="1:7">
      <c r="A1790" s="26"/>
      <c r="B1790" s="1206" t="s">
        <v>1379</v>
      </c>
      <c r="C1790" s="1206"/>
      <c r="D1790" s="26"/>
      <c r="E1790" s="249">
        <f>'BASIC DATA'!$C$577</f>
        <v>0.13614999999999999</v>
      </c>
      <c r="F1790" s="26" t="s">
        <v>1698</v>
      </c>
      <c r="G1790" s="26">
        <f>ROUND(G1789*E1790,2)</f>
        <v>9051.4500000000007</v>
      </c>
    </row>
    <row r="1791" spans="1:7">
      <c r="A1791" s="26"/>
      <c r="B1791" s="26" t="s">
        <v>1191</v>
      </c>
      <c r="C1791" s="26"/>
      <c r="D1791" s="68">
        <f>F1738</f>
        <v>15.76</v>
      </c>
      <c r="E1791" s="68" t="str">
        <f>G1738</f>
        <v>cum</v>
      </c>
      <c r="F1791" s="26" t="s">
        <v>1698</v>
      </c>
      <c r="G1791" s="211">
        <f>G1790+G1789</f>
        <v>75532.910223943982</v>
      </c>
    </row>
    <row r="1792" spans="1:7">
      <c r="A1792" s="26"/>
      <c r="B1792" s="170" t="s">
        <v>1584</v>
      </c>
      <c r="C1792" s="211" t="str">
        <f>E1791</f>
        <v>cum</v>
      </c>
      <c r="D1792" s="26" t="s">
        <v>7778</v>
      </c>
      <c r="E1792" s="26"/>
      <c r="F1792" s="26" t="s">
        <v>4108</v>
      </c>
      <c r="G1792" s="211">
        <f>ROUND(G1791/D1791,1)</f>
        <v>4792.7</v>
      </c>
    </row>
    <row r="1793" spans="1:7">
      <c r="A1793" s="26"/>
      <c r="B1793" s="78"/>
      <c r="C1793" s="26"/>
      <c r="D1793" s="26"/>
      <c r="E1793" s="26"/>
      <c r="F1793" s="26"/>
      <c r="G1793" s="26"/>
    </row>
    <row r="1794" spans="1:7">
      <c r="A1794" s="26"/>
      <c r="B1794" s="78"/>
      <c r="C1794" s="26"/>
      <c r="D1794" s="26"/>
      <c r="E1794" s="26"/>
      <c r="F1794" s="26"/>
      <c r="G1794" s="26"/>
    </row>
    <row r="1795" spans="1:7" ht="18.75">
      <c r="A1795" s="78" t="s">
        <v>7556</v>
      </c>
      <c r="B1795" s="26" t="s">
        <v>8793</v>
      </c>
      <c r="C1795" s="26"/>
      <c r="D1795" s="26"/>
      <c r="E1795" s="26"/>
      <c r="F1795" s="26"/>
      <c r="G1795" s="26"/>
    </row>
    <row r="1796" spans="1:7" ht="18.75">
      <c r="A1796" s="78"/>
      <c r="B1796" s="26" t="s">
        <v>8916</v>
      </c>
      <c r="C1796" s="26"/>
      <c r="D1796" s="26"/>
      <c r="E1796" s="26"/>
      <c r="F1796" s="26"/>
      <c r="G1796" s="26"/>
    </row>
    <row r="1797" spans="1:7">
      <c r="A1797" s="78"/>
      <c r="B1797" s="26" t="s">
        <v>8945</v>
      </c>
      <c r="C1797" s="26"/>
      <c r="D1797" s="26"/>
      <c r="E1797" s="26"/>
      <c r="F1797" s="26"/>
      <c r="G1797" s="26"/>
    </row>
    <row r="1798" spans="1:7">
      <c r="A1798" s="78"/>
      <c r="B1798" s="26" t="s">
        <v>355</v>
      </c>
      <c r="C1798" s="26"/>
      <c r="D1798" s="26"/>
      <c r="E1798" s="26"/>
      <c r="F1798" s="26"/>
      <c r="G1798" s="26"/>
    </row>
    <row r="1799" spans="1:7">
      <c r="A1799" s="78"/>
      <c r="B1799" s="26" t="s">
        <v>8946</v>
      </c>
      <c r="C1799" s="26"/>
      <c r="D1799" s="26"/>
      <c r="E1799" s="26"/>
      <c r="F1799" s="26"/>
      <c r="G1799" s="26"/>
    </row>
    <row r="1800" spans="1:7">
      <c r="A1800" s="78" t="s">
        <v>1940</v>
      </c>
      <c r="B1800" s="170" t="s">
        <v>1351</v>
      </c>
      <c r="C1800" s="26"/>
      <c r="D1800" s="26"/>
      <c r="E1800" s="26"/>
      <c r="F1800" s="26"/>
      <c r="G1800" s="26"/>
    </row>
    <row r="1801" spans="1:7">
      <c r="A1801" s="78"/>
      <c r="B1801" s="170" t="s">
        <v>7820</v>
      </c>
      <c r="C1801" s="26"/>
      <c r="D1801" s="26"/>
      <c r="E1801" s="26"/>
      <c r="F1801" s="26"/>
      <c r="G1801" s="26"/>
    </row>
    <row r="1802" spans="1:7">
      <c r="A1802" s="62"/>
      <c r="B1802" s="248" t="s">
        <v>4220</v>
      </c>
      <c r="C1802" s="61"/>
      <c r="D1802" s="61"/>
      <c r="E1802" s="61"/>
      <c r="F1802" s="61"/>
      <c r="G1802" s="61"/>
    </row>
    <row r="1803" spans="1:7">
      <c r="A1803" s="78"/>
      <c r="B1803" s="26"/>
      <c r="C1803" s="26"/>
      <c r="D1803" s="26"/>
      <c r="E1803" s="26"/>
      <c r="F1803" s="26"/>
      <c r="G1803" s="26"/>
    </row>
    <row r="1804" spans="1:7">
      <c r="A1804" s="78" t="s">
        <v>3984</v>
      </c>
      <c r="B1804" s="26" t="s">
        <v>5780</v>
      </c>
      <c r="C1804" s="26"/>
      <c r="D1804" s="26"/>
      <c r="E1804" s="26"/>
      <c r="F1804" s="26"/>
      <c r="G1804" s="26"/>
    </row>
    <row r="1805" spans="1:7">
      <c r="A1805" s="78"/>
      <c r="B1805" s="26" t="s">
        <v>356</v>
      </c>
      <c r="C1805" s="26"/>
      <c r="D1805" s="26"/>
      <c r="E1805" s="26"/>
      <c r="F1805" s="26"/>
      <c r="G1805" s="26"/>
    </row>
    <row r="1806" spans="1:7">
      <c r="A1806" s="78"/>
      <c r="B1806" s="26" t="s">
        <v>7827</v>
      </c>
      <c r="C1806" s="26"/>
      <c r="D1806" s="26"/>
      <c r="E1806" s="26"/>
      <c r="F1806" s="26"/>
      <c r="G1806" s="26"/>
    </row>
    <row r="1807" spans="1:7">
      <c r="A1807" s="78"/>
      <c r="B1807" s="26" t="s">
        <v>7828</v>
      </c>
      <c r="C1807" s="26"/>
      <c r="D1807" s="26">
        <f>ROUND(100*4.5*8/250,2)</f>
        <v>14.4</v>
      </c>
      <c r="E1807" s="26" t="s">
        <v>3760</v>
      </c>
      <c r="F1807" s="26"/>
      <c r="G1807" s="26"/>
    </row>
    <row r="1808" spans="1:7">
      <c r="A1808" s="78"/>
      <c r="B1808" s="26" t="s">
        <v>2843</v>
      </c>
      <c r="C1808" s="26"/>
      <c r="D1808" s="26"/>
      <c r="E1808" s="26"/>
      <c r="F1808" s="26"/>
      <c r="G1808" s="26"/>
    </row>
    <row r="1809" spans="1:7">
      <c r="A1809" s="78"/>
      <c r="B1809" s="26" t="s">
        <v>357</v>
      </c>
      <c r="C1809" s="26"/>
      <c r="D1809" s="26"/>
      <c r="E1809" s="26"/>
      <c r="F1809" s="26"/>
      <c r="G1809" s="26"/>
    </row>
    <row r="1810" spans="1:7">
      <c r="A1810" s="78"/>
      <c r="B1810" s="26" t="s">
        <v>1983</v>
      </c>
      <c r="C1810" s="26"/>
      <c r="D1810" s="26"/>
      <c r="E1810" s="26"/>
      <c r="F1810" s="68">
        <f>G618</f>
        <v>224.56752690000002</v>
      </c>
      <c r="G1810" s="26" t="s">
        <v>1168</v>
      </c>
    </row>
    <row r="1811" spans="1:7">
      <c r="A1811" s="78"/>
      <c r="B1811" s="26" t="s">
        <v>8001</v>
      </c>
      <c r="C1811" s="26"/>
      <c r="D1811" s="26"/>
      <c r="E1811" s="26"/>
      <c r="F1811" s="68">
        <f>F1810*5%</f>
        <v>11.228376345000001</v>
      </c>
      <c r="G1811" s="26" t="s">
        <v>1168</v>
      </c>
    </row>
    <row r="1812" spans="1:7">
      <c r="A1812" s="78"/>
      <c r="B1812" s="26" t="s">
        <v>1871</v>
      </c>
      <c r="C1812" s="26"/>
      <c r="D1812" s="26"/>
      <c r="E1812" s="26"/>
      <c r="F1812" s="68">
        <f>SUM(F1810:F1811)</f>
        <v>235.79590324500003</v>
      </c>
      <c r="G1812" s="26" t="s">
        <v>1168</v>
      </c>
    </row>
    <row r="1813" spans="1:7">
      <c r="A1813" s="78"/>
      <c r="B1813" s="26" t="s">
        <v>358</v>
      </c>
      <c r="C1813" s="26"/>
      <c r="D1813" s="26"/>
      <c r="E1813" s="26"/>
      <c r="F1813" s="26"/>
      <c r="G1813" s="26"/>
    </row>
    <row r="1814" spans="1:7">
      <c r="A1814" s="78"/>
      <c r="B1814" s="26" t="s">
        <v>953</v>
      </c>
      <c r="C1814" s="26"/>
      <c r="D1814" s="26"/>
      <c r="E1814" s="26"/>
      <c r="F1814" s="68">
        <f>G644</f>
        <v>88.5</v>
      </c>
      <c r="G1814" s="26" t="s">
        <v>1168</v>
      </c>
    </row>
    <row r="1815" spans="1:7">
      <c r="A1815" s="78"/>
      <c r="B1815" s="26" t="s">
        <v>2920</v>
      </c>
      <c r="C1815" s="26"/>
      <c r="D1815" s="26"/>
      <c r="E1815" s="26"/>
      <c r="F1815" s="26"/>
      <c r="G1815" s="26"/>
    </row>
    <row r="1816" spans="1:7">
      <c r="A1816" s="78"/>
      <c r="B1816" s="26" t="s">
        <v>451</v>
      </c>
      <c r="C1816" s="26"/>
      <c r="D1816" s="26"/>
      <c r="E1816" s="26"/>
      <c r="F1816" s="26"/>
      <c r="G1816" s="26"/>
    </row>
    <row r="1817" spans="1:7">
      <c r="A1817" s="62"/>
      <c r="B1817" s="61" t="s">
        <v>1984</v>
      </c>
      <c r="C1817" s="61"/>
      <c r="D1817" s="61"/>
      <c r="E1817" s="61"/>
      <c r="F1817" s="61"/>
      <c r="G1817" s="61"/>
    </row>
    <row r="1818" spans="1:7">
      <c r="A1818" s="62"/>
      <c r="B1818" s="61" t="s">
        <v>3079</v>
      </c>
      <c r="C1818" s="61"/>
      <c r="D1818" s="61"/>
      <c r="E1818" s="61"/>
      <c r="F1818" s="61"/>
      <c r="G1818" s="61"/>
    </row>
    <row r="1819" spans="1:7">
      <c r="A1819" s="26"/>
      <c r="B1819" s="78"/>
      <c r="C1819" s="26"/>
      <c r="D1819" s="26"/>
      <c r="E1819" s="26"/>
      <c r="F1819" s="26"/>
      <c r="G1819" s="26"/>
    </row>
    <row r="1820" spans="1:7">
      <c r="A1820" s="26"/>
      <c r="B1820" s="78"/>
      <c r="C1820" s="26"/>
      <c r="D1820" s="26"/>
      <c r="E1820" s="26"/>
      <c r="F1820" s="26"/>
      <c r="G1820" s="26"/>
    </row>
    <row r="1821" spans="1:7">
      <c r="A1821" s="78" t="s">
        <v>3984</v>
      </c>
      <c r="B1821" s="78"/>
      <c r="C1821" s="203" t="s">
        <v>2367</v>
      </c>
      <c r="D1821" s="26"/>
      <c r="E1821" s="171" t="s">
        <v>297</v>
      </c>
      <c r="F1821" s="246">
        <f>D1807</f>
        <v>14.4</v>
      </c>
      <c r="G1821" s="26" t="s">
        <v>3477</v>
      </c>
    </row>
    <row r="1822" spans="1:7">
      <c r="A1822" s="26"/>
      <c r="B1822" s="79" t="s">
        <v>2368</v>
      </c>
      <c r="C1822" s="26"/>
      <c r="D1822" s="26"/>
      <c r="E1822" s="26"/>
      <c r="F1822" s="26"/>
      <c r="G1822" s="26"/>
    </row>
    <row r="1823" spans="1:7">
      <c r="A1823" s="26"/>
      <c r="B1823" s="95" t="s">
        <v>2369</v>
      </c>
      <c r="C1823" s="157" t="s">
        <v>4443</v>
      </c>
      <c r="D1823" s="95" t="s">
        <v>2370</v>
      </c>
      <c r="E1823" s="95" t="s">
        <v>1166</v>
      </c>
      <c r="F1823" s="95" t="s">
        <v>2371</v>
      </c>
      <c r="G1823" s="95" t="s">
        <v>2372</v>
      </c>
    </row>
    <row r="1824" spans="1:7">
      <c r="A1824" s="26"/>
      <c r="B1824" s="114"/>
      <c r="C1824" s="154"/>
      <c r="D1824" s="114"/>
      <c r="E1824" s="114"/>
      <c r="F1824" s="114" t="s">
        <v>3485</v>
      </c>
      <c r="G1824" s="114" t="s">
        <v>3485</v>
      </c>
    </row>
    <row r="1825" spans="1:7">
      <c r="A1825" s="26"/>
      <c r="B1825" s="95">
        <v>1</v>
      </c>
      <c r="C1825" s="135" t="s">
        <v>1048</v>
      </c>
      <c r="D1825" s="95" t="s">
        <v>3478</v>
      </c>
      <c r="E1825" s="190">
        <f>250*F1821</f>
        <v>3600</v>
      </c>
      <c r="F1825" s="214">
        <f>'BASIC DATA'!$D$32/1000</f>
        <v>5.35</v>
      </c>
      <c r="G1825" s="190">
        <f>E1825*F1825</f>
        <v>19260</v>
      </c>
    </row>
    <row r="1826" spans="1:7">
      <c r="A1826" s="26"/>
      <c r="B1826" s="317"/>
      <c r="C1826" s="135" t="s">
        <v>1049</v>
      </c>
      <c r="D1826" s="105" t="s">
        <v>3478</v>
      </c>
      <c r="E1826" s="190">
        <f>F1821*5</f>
        <v>72</v>
      </c>
      <c r="F1826" s="214">
        <f>'BASIC DATA'!$D$32/1000</f>
        <v>5.35</v>
      </c>
      <c r="G1826" s="190">
        <f t="shared" ref="G1826:G1833" si="45">E1826*F1826</f>
        <v>385.2</v>
      </c>
    </row>
    <row r="1827" spans="1:7">
      <c r="A1827" s="26"/>
      <c r="B1827" s="105">
        <v>2</v>
      </c>
      <c r="C1827" s="135" t="s">
        <v>6997</v>
      </c>
      <c r="D1827" s="105" t="s">
        <v>3477</v>
      </c>
      <c r="E1827" s="190">
        <f>0.98*F1821*0.35</f>
        <v>4.9391999999999996</v>
      </c>
      <c r="F1827" s="214">
        <f>'BASIC DATA'!$D$37</f>
        <v>650</v>
      </c>
      <c r="G1827" s="190">
        <f t="shared" si="45"/>
        <v>3210.4799999999996</v>
      </c>
    </row>
    <row r="1828" spans="1:7">
      <c r="A1828" s="26"/>
      <c r="B1828" s="317"/>
      <c r="C1828" s="135" t="s">
        <v>6996</v>
      </c>
      <c r="D1828" s="105" t="s">
        <v>3477</v>
      </c>
      <c r="E1828" s="190">
        <f>0.98*F1821*0.3</f>
        <v>4.2336</v>
      </c>
      <c r="F1828" s="214">
        <f>'BASIC DATA'!$D$36</f>
        <v>1175</v>
      </c>
      <c r="G1828" s="190">
        <f t="shared" si="45"/>
        <v>4974.4800000000005</v>
      </c>
    </row>
    <row r="1829" spans="1:7">
      <c r="A1829" s="26"/>
      <c r="B1829" s="317"/>
      <c r="C1829" s="135" t="s">
        <v>6995</v>
      </c>
      <c r="D1829" s="105" t="s">
        <v>3477</v>
      </c>
      <c r="E1829" s="190">
        <f>0.98*F1821*0.2</f>
        <v>2.8224</v>
      </c>
      <c r="F1829" s="214">
        <f>'BASIC DATA'!$D$35</f>
        <v>1225</v>
      </c>
      <c r="G1829" s="190">
        <f t="shared" si="45"/>
        <v>3457.44</v>
      </c>
    </row>
    <row r="1830" spans="1:7">
      <c r="A1830" s="26"/>
      <c r="B1830" s="317"/>
      <c r="C1830" s="135" t="s">
        <v>1050</v>
      </c>
      <c r="D1830" s="105" t="s">
        <v>3477</v>
      </c>
      <c r="E1830" s="190">
        <f>0.98*F1821*0.15</f>
        <v>2.1168</v>
      </c>
      <c r="F1830" s="214">
        <f>'BASIC DATA'!$D$34</f>
        <v>900</v>
      </c>
      <c r="G1830" s="190">
        <f t="shared" si="45"/>
        <v>1905.1200000000001</v>
      </c>
    </row>
    <row r="1831" spans="1:7">
      <c r="A1831" s="61"/>
      <c r="B1831" s="240">
        <v>3</v>
      </c>
      <c r="C1831" s="326" t="s">
        <v>7941</v>
      </c>
      <c r="D1831" s="240" t="s">
        <v>3477</v>
      </c>
      <c r="E1831" s="255">
        <f>0.35*F1821</f>
        <v>5.04</v>
      </c>
      <c r="F1831" s="266">
        <f>'BASIC DATA'!$D$55</f>
        <v>95</v>
      </c>
      <c r="G1831" s="255">
        <f t="shared" si="45"/>
        <v>478.8</v>
      </c>
    </row>
    <row r="1832" spans="1:7">
      <c r="A1832" s="26"/>
      <c r="B1832" s="105">
        <v>4</v>
      </c>
      <c r="C1832" s="135" t="s">
        <v>523</v>
      </c>
      <c r="D1832" s="105" t="s">
        <v>3478</v>
      </c>
      <c r="E1832" s="190">
        <f>E1825*0.4%</f>
        <v>14.4</v>
      </c>
      <c r="F1832" s="214">
        <f>'BASIC DATA'!$D$99</f>
        <v>55</v>
      </c>
      <c r="G1832" s="190">
        <f t="shared" si="45"/>
        <v>792</v>
      </c>
    </row>
    <row r="1833" spans="1:7">
      <c r="A1833" s="26"/>
      <c r="B1833" s="105">
        <v>5</v>
      </c>
      <c r="C1833" s="135" t="s">
        <v>7213</v>
      </c>
      <c r="D1833" s="105" t="s">
        <v>3479</v>
      </c>
      <c r="E1833" s="190">
        <f>2.75*F1821</f>
        <v>39.6</v>
      </c>
      <c r="F1833" s="214">
        <f>F1812</f>
        <v>235.79590324500003</v>
      </c>
      <c r="G1833" s="190">
        <f t="shared" si="45"/>
        <v>9337.5177685020008</v>
      </c>
    </row>
    <row r="1834" spans="1:7">
      <c r="A1834" s="26"/>
      <c r="B1834" s="114">
        <v>6</v>
      </c>
      <c r="C1834" s="139" t="s">
        <v>6403</v>
      </c>
      <c r="D1834" s="681">
        <v>0.3</v>
      </c>
      <c r="E1834" s="182"/>
      <c r="F1834" s="215"/>
      <c r="G1834" s="182">
        <f>G1833*D1834</f>
        <v>2801.2553305506003</v>
      </c>
    </row>
    <row r="1835" spans="1:7">
      <c r="A1835" s="26"/>
      <c r="B1835" s="93"/>
      <c r="C1835" s="31" t="s">
        <v>6844</v>
      </c>
      <c r="D1835" s="31" t="s">
        <v>4043</v>
      </c>
      <c r="E1835" s="198"/>
      <c r="F1835" s="327" t="s">
        <v>1698</v>
      </c>
      <c r="G1835" s="190">
        <v>0</v>
      </c>
    </row>
    <row r="1836" spans="1:7">
      <c r="A1836" s="26"/>
      <c r="B1836" s="93"/>
      <c r="C1836" s="31" t="s">
        <v>6845</v>
      </c>
      <c r="D1836" s="31" t="s">
        <v>4043</v>
      </c>
      <c r="E1836" s="198"/>
      <c r="F1836" s="327" t="s">
        <v>1698</v>
      </c>
      <c r="G1836" s="190">
        <v>0</v>
      </c>
    </row>
    <row r="1837" spans="1:7">
      <c r="A1837" s="26"/>
      <c r="B1837" s="92"/>
      <c r="C1837" s="193" t="s">
        <v>2376</v>
      </c>
      <c r="D1837" s="159"/>
      <c r="E1837" s="238"/>
      <c r="F1837" s="236" t="s">
        <v>1698</v>
      </c>
      <c r="G1837" s="318">
        <f>SUM(G1825:G1836)</f>
        <v>46602.293099052607</v>
      </c>
    </row>
    <row r="1838" spans="1:7">
      <c r="A1838" s="26"/>
      <c r="B1838" s="78"/>
      <c r="C1838" s="26"/>
      <c r="D1838" s="26"/>
      <c r="E1838" s="26"/>
      <c r="F1838" s="26"/>
      <c r="G1838" s="26"/>
    </row>
    <row r="1839" spans="1:7">
      <c r="A1839" s="26"/>
      <c r="B1839" s="79" t="s">
        <v>2377</v>
      </c>
      <c r="C1839" s="26"/>
      <c r="D1839" s="26"/>
      <c r="E1839" s="26"/>
      <c r="F1839" s="26"/>
      <c r="G1839" s="26"/>
    </row>
    <row r="1840" spans="1:7">
      <c r="A1840" s="26"/>
      <c r="B1840" s="95" t="s">
        <v>2369</v>
      </c>
      <c r="C1840" s="157" t="s">
        <v>2378</v>
      </c>
      <c r="D1840" s="95" t="s">
        <v>2370</v>
      </c>
      <c r="E1840" s="95" t="s">
        <v>1166</v>
      </c>
      <c r="F1840" s="95" t="s">
        <v>2371</v>
      </c>
      <c r="G1840" s="95" t="s">
        <v>2372</v>
      </c>
    </row>
    <row r="1841" spans="1:7">
      <c r="A1841" s="26"/>
      <c r="B1841" s="114"/>
      <c r="C1841" s="154"/>
      <c r="D1841" s="114"/>
      <c r="E1841" s="114"/>
      <c r="F1841" s="114" t="s">
        <v>3485</v>
      </c>
      <c r="G1841" s="114" t="s">
        <v>3485</v>
      </c>
    </row>
    <row r="1842" spans="1:7">
      <c r="A1842" s="26"/>
      <c r="B1842" s="95">
        <v>1</v>
      </c>
      <c r="C1842" s="153" t="s">
        <v>525</v>
      </c>
      <c r="D1842" s="175" t="s">
        <v>2374</v>
      </c>
      <c r="E1842" s="179">
        <v>8</v>
      </c>
      <c r="F1842" s="190">
        <f>'HIRE CHARGES'!$D$509</f>
        <v>92.7</v>
      </c>
      <c r="G1842" s="190">
        <f t="shared" ref="G1842:G1847" si="46">F1842*E1842</f>
        <v>741.6</v>
      </c>
    </row>
    <row r="1843" spans="1:7">
      <c r="A1843" s="26"/>
      <c r="B1843" s="317"/>
      <c r="C1843" s="152" t="s">
        <v>2379</v>
      </c>
      <c r="D1843" s="33" t="s">
        <v>2374</v>
      </c>
      <c r="E1843" s="190">
        <v>8</v>
      </c>
      <c r="F1843" s="190">
        <f>'HIRE CHARGES'!$E$509</f>
        <v>158.69999999999999</v>
      </c>
      <c r="G1843" s="190">
        <f t="shared" si="46"/>
        <v>1269.5999999999999</v>
      </c>
    </row>
    <row r="1844" spans="1:7">
      <c r="A1844" s="26"/>
      <c r="B1844" s="105">
        <v>2</v>
      </c>
      <c r="C1844" s="152" t="s">
        <v>189</v>
      </c>
      <c r="D1844" s="33" t="s">
        <v>2374</v>
      </c>
      <c r="E1844" s="190">
        <v>0.5</v>
      </c>
      <c r="F1844" s="190">
        <f>'HIRE CHARGES'!$D$517</f>
        <v>10.199999999999999</v>
      </c>
      <c r="G1844" s="190">
        <f t="shared" si="46"/>
        <v>5.0999999999999996</v>
      </c>
    </row>
    <row r="1845" spans="1:7">
      <c r="A1845" s="26"/>
      <c r="B1845" s="317"/>
      <c r="C1845" s="152" t="s">
        <v>2379</v>
      </c>
      <c r="D1845" s="33" t="s">
        <v>2374</v>
      </c>
      <c r="E1845" s="190">
        <v>0.5</v>
      </c>
      <c r="F1845" s="190">
        <f>'HIRE CHARGES'!$E$517</f>
        <v>79.3</v>
      </c>
      <c r="G1845" s="190">
        <f t="shared" si="46"/>
        <v>39.65</v>
      </c>
    </row>
    <row r="1846" spans="1:7">
      <c r="A1846" s="26"/>
      <c r="B1846" s="105">
        <v>3</v>
      </c>
      <c r="C1846" s="152" t="s">
        <v>703</v>
      </c>
      <c r="D1846" s="33" t="s">
        <v>2374</v>
      </c>
      <c r="E1846" s="190">
        <v>8</v>
      </c>
      <c r="F1846" s="190">
        <f>'HIRE CHARGES'!$D$533</f>
        <v>8.1999999999999993</v>
      </c>
      <c r="G1846" s="190">
        <f t="shared" si="46"/>
        <v>65.599999999999994</v>
      </c>
    </row>
    <row r="1847" spans="1:7">
      <c r="A1847" s="26"/>
      <c r="B1847" s="365"/>
      <c r="C1847" s="116" t="s">
        <v>2379</v>
      </c>
      <c r="D1847" s="33" t="s">
        <v>2374</v>
      </c>
      <c r="E1847" s="182">
        <v>8</v>
      </c>
      <c r="F1847" s="207">
        <f>'HIRE CHARGES'!$E$533</f>
        <v>28.2</v>
      </c>
      <c r="G1847" s="190">
        <f t="shared" si="46"/>
        <v>225.6</v>
      </c>
    </row>
    <row r="1848" spans="1:7">
      <c r="A1848" s="26"/>
      <c r="B1848" s="176"/>
      <c r="C1848" s="172" t="s">
        <v>2380</v>
      </c>
      <c r="D1848" s="174"/>
      <c r="E1848" s="192"/>
      <c r="F1848" s="236" t="s">
        <v>1698</v>
      </c>
      <c r="G1848" s="318">
        <f>SUM(G1842:G1847)</f>
        <v>2347.1499999999996</v>
      </c>
    </row>
    <row r="1849" spans="1:7">
      <c r="A1849" s="26"/>
      <c r="B1849" s="78"/>
      <c r="C1849" s="26"/>
      <c r="D1849" s="26"/>
      <c r="E1849" s="26"/>
      <c r="F1849" s="26"/>
      <c r="G1849" s="26"/>
    </row>
    <row r="1850" spans="1:7">
      <c r="A1850" s="26"/>
      <c r="B1850" s="79" t="s">
        <v>2381</v>
      </c>
      <c r="C1850" s="26"/>
      <c r="D1850" s="26"/>
      <c r="E1850" s="26"/>
      <c r="F1850" s="26"/>
      <c r="G1850" s="26"/>
    </row>
    <row r="1851" spans="1:7">
      <c r="A1851" s="26"/>
      <c r="B1851" s="95" t="s">
        <v>2369</v>
      </c>
      <c r="C1851" s="157" t="s">
        <v>2378</v>
      </c>
      <c r="D1851" s="95" t="s">
        <v>2370</v>
      </c>
      <c r="E1851" s="95" t="s">
        <v>1166</v>
      </c>
      <c r="F1851" s="95" t="s">
        <v>2371</v>
      </c>
      <c r="G1851" s="95" t="s">
        <v>2372</v>
      </c>
    </row>
    <row r="1852" spans="1:7">
      <c r="A1852" s="26"/>
      <c r="B1852" s="114"/>
      <c r="C1852" s="154"/>
      <c r="D1852" s="105"/>
      <c r="E1852" s="105"/>
      <c r="F1852" s="105" t="s">
        <v>3485</v>
      </c>
      <c r="G1852" s="114" t="s">
        <v>3485</v>
      </c>
    </row>
    <row r="1853" spans="1:7">
      <c r="A1853" s="26"/>
      <c r="B1853" s="105">
        <v>1</v>
      </c>
      <c r="C1853" s="76" t="s">
        <v>527</v>
      </c>
      <c r="D1853" s="95" t="s">
        <v>2374</v>
      </c>
      <c r="E1853" s="179">
        <v>8</v>
      </c>
      <c r="F1853" s="179">
        <f>'HIRE CHARGES'!$F$509</f>
        <v>219.7</v>
      </c>
      <c r="G1853" s="207">
        <f>E1853*F1853</f>
        <v>1757.6</v>
      </c>
    </row>
    <row r="1854" spans="1:7">
      <c r="A1854" s="26"/>
      <c r="B1854" s="105">
        <v>2</v>
      </c>
      <c r="C1854" s="76" t="s">
        <v>999</v>
      </c>
      <c r="D1854" s="105" t="s">
        <v>2374</v>
      </c>
      <c r="E1854" s="190">
        <v>0.5</v>
      </c>
      <c r="F1854" s="190">
        <f>'HIRE CHARGES'!$F$517</f>
        <v>111.1</v>
      </c>
      <c r="G1854" s="207">
        <f t="shared" ref="G1854:G1864" si="47">E1854*F1854</f>
        <v>55.55</v>
      </c>
    </row>
    <row r="1855" spans="1:7">
      <c r="A1855" s="26"/>
      <c r="B1855" s="105">
        <v>3</v>
      </c>
      <c r="C1855" s="76" t="s">
        <v>439</v>
      </c>
      <c r="D1855" s="105" t="s">
        <v>2374</v>
      </c>
      <c r="E1855" s="190">
        <v>8</v>
      </c>
      <c r="F1855" s="190">
        <f>'HIRE CHARGES'!$F$533</f>
        <v>158.19999999999999</v>
      </c>
      <c r="G1855" s="207">
        <f t="shared" si="47"/>
        <v>1265.5999999999999</v>
      </c>
    </row>
    <row r="1856" spans="1:7">
      <c r="A1856" s="26"/>
      <c r="B1856" s="105">
        <v>4</v>
      </c>
      <c r="C1856" s="76" t="s">
        <v>440</v>
      </c>
      <c r="D1856" s="105" t="s">
        <v>1172</v>
      </c>
      <c r="E1856" s="190">
        <v>1</v>
      </c>
      <c r="F1856" s="190">
        <f>'BASIC DATA'!$C$474</f>
        <v>445</v>
      </c>
      <c r="G1856" s="207">
        <f t="shared" si="47"/>
        <v>445</v>
      </c>
    </row>
    <row r="1857" spans="1:7">
      <c r="A1857" s="26"/>
      <c r="B1857" s="105">
        <v>5</v>
      </c>
      <c r="C1857" s="76" t="s">
        <v>4206</v>
      </c>
      <c r="D1857" s="105" t="s">
        <v>1172</v>
      </c>
      <c r="E1857" s="190">
        <v>1</v>
      </c>
      <c r="F1857" s="190">
        <f>'BASIC DATA'!$C$473</f>
        <v>450</v>
      </c>
      <c r="G1857" s="207">
        <f t="shared" si="47"/>
        <v>450</v>
      </c>
    </row>
    <row r="1858" spans="1:7">
      <c r="A1858" s="26"/>
      <c r="B1858" s="105">
        <v>6</v>
      </c>
      <c r="C1858" s="76" t="s">
        <v>2697</v>
      </c>
      <c r="D1858" s="105"/>
      <c r="E1858" s="190"/>
      <c r="F1858" s="190"/>
      <c r="G1858" s="207"/>
    </row>
    <row r="1859" spans="1:7">
      <c r="A1859" s="26"/>
      <c r="B1859" s="317"/>
      <c r="C1859" s="76" t="s">
        <v>441</v>
      </c>
      <c r="D1859" s="105" t="s">
        <v>1172</v>
      </c>
      <c r="E1859" s="190">
        <v>11</v>
      </c>
      <c r="F1859" s="190">
        <f>'BASIC DATA'!$C$552</f>
        <v>350</v>
      </c>
      <c r="G1859" s="207">
        <f t="shared" si="47"/>
        <v>3850</v>
      </c>
    </row>
    <row r="1860" spans="1:7">
      <c r="A1860" s="26"/>
      <c r="B1860" s="317"/>
      <c r="C1860" s="76" t="s">
        <v>442</v>
      </c>
      <c r="D1860" s="105" t="s">
        <v>1172</v>
      </c>
      <c r="E1860" s="190">
        <v>4</v>
      </c>
      <c r="F1860" s="190">
        <f>'BASIC DATA'!$C$552</f>
        <v>350</v>
      </c>
      <c r="G1860" s="207">
        <f t="shared" si="47"/>
        <v>1400</v>
      </c>
    </row>
    <row r="1861" spans="1:7">
      <c r="A1861" s="26"/>
      <c r="B1861" s="317"/>
      <c r="C1861" s="76" t="s">
        <v>5151</v>
      </c>
      <c r="D1861" s="105" t="s">
        <v>1172</v>
      </c>
      <c r="E1861" s="190">
        <v>6</v>
      </c>
      <c r="F1861" s="190">
        <f>'BASIC DATA'!$C$552</f>
        <v>350</v>
      </c>
      <c r="G1861" s="207">
        <f t="shared" si="47"/>
        <v>2100</v>
      </c>
    </row>
    <row r="1862" spans="1:7">
      <c r="A1862" s="26"/>
      <c r="B1862" s="317"/>
      <c r="C1862" s="76" t="s">
        <v>444</v>
      </c>
      <c r="D1862" s="105" t="s">
        <v>1172</v>
      </c>
      <c r="E1862" s="190">
        <f>F1821</f>
        <v>14.4</v>
      </c>
      <c r="F1862" s="190">
        <f>'BASIC DATA'!$C$552</f>
        <v>350</v>
      </c>
      <c r="G1862" s="207">
        <f t="shared" si="47"/>
        <v>5040</v>
      </c>
    </row>
    <row r="1863" spans="1:7">
      <c r="A1863" s="26"/>
      <c r="B1863" s="317"/>
      <c r="C1863" s="76" t="s">
        <v>445</v>
      </c>
      <c r="D1863" s="105" t="s">
        <v>1172</v>
      </c>
      <c r="E1863" s="190">
        <v>1</v>
      </c>
      <c r="F1863" s="190">
        <f>'BASIC DATA'!$C$552</f>
        <v>350</v>
      </c>
      <c r="G1863" s="207">
        <f t="shared" si="47"/>
        <v>350</v>
      </c>
    </row>
    <row r="1864" spans="1:7">
      <c r="A1864" s="26"/>
      <c r="B1864" s="105">
        <v>7</v>
      </c>
      <c r="C1864" s="76" t="s">
        <v>7215</v>
      </c>
      <c r="D1864" s="105" t="s">
        <v>3479</v>
      </c>
      <c r="E1864" s="190">
        <f>2.75*F1821</f>
        <v>39.6</v>
      </c>
      <c r="F1864" s="190">
        <f>F1814</f>
        <v>88.5</v>
      </c>
      <c r="G1864" s="207">
        <f t="shared" si="47"/>
        <v>3504.6</v>
      </c>
    </row>
    <row r="1865" spans="1:7">
      <c r="A1865" s="26"/>
      <c r="B1865" s="365"/>
      <c r="C1865" s="76" t="s">
        <v>6402</v>
      </c>
      <c r="D1865" s="681">
        <v>0.3</v>
      </c>
      <c r="E1865" s="182"/>
      <c r="F1865" s="182"/>
      <c r="G1865" s="207">
        <f>G1864*D1865</f>
        <v>1051.3799999999999</v>
      </c>
    </row>
    <row r="1866" spans="1:7">
      <c r="A1866" s="26"/>
      <c r="B1866" s="92"/>
      <c r="C1866" s="193" t="s">
        <v>1174</v>
      </c>
      <c r="D1866" s="159"/>
      <c r="E1866" s="238"/>
      <c r="F1866" s="236" t="s">
        <v>1698</v>
      </c>
      <c r="G1866" s="318">
        <f>SUM(G1853:G1865)</f>
        <v>21269.73</v>
      </c>
    </row>
    <row r="1867" spans="1:7">
      <c r="A1867" s="26"/>
      <c r="B1867" s="60" t="s">
        <v>5948</v>
      </c>
      <c r="C1867" s="31"/>
      <c r="D1867" s="31"/>
      <c r="E1867" s="85">
        <f>ROUND(G1866/F1821,1)</f>
        <v>1477.1</v>
      </c>
      <c r="F1867" s="26"/>
      <c r="G1867" s="26"/>
    </row>
    <row r="1868" spans="1:7">
      <c r="A1868" s="26"/>
      <c r="B1868" s="60" t="s">
        <v>3163</v>
      </c>
      <c r="C1868" s="31"/>
      <c r="D1868" s="31">
        <f>'BASIC DATA'!$C$577</f>
        <v>0.13614999999999999</v>
      </c>
      <c r="E1868" s="85">
        <f>ROUND(E1867*D1868,1)</f>
        <v>201.1</v>
      </c>
      <c r="F1868" s="26"/>
      <c r="G1868" s="26"/>
    </row>
    <row r="1869" spans="1:7">
      <c r="A1869" s="26"/>
      <c r="B1869" s="60" t="s">
        <v>5949</v>
      </c>
      <c r="C1869" s="31"/>
      <c r="D1869" s="31"/>
      <c r="E1869" s="199">
        <f>ROUND(E1868+E1867,1)</f>
        <v>1678.2</v>
      </c>
      <c r="F1869" s="57"/>
      <c r="G1869" s="26"/>
    </row>
    <row r="1870" spans="1:7">
      <c r="A1870" s="26"/>
      <c r="B1870" s="78"/>
      <c r="C1870" s="26"/>
      <c r="D1870" s="26"/>
      <c r="E1870" s="26"/>
      <c r="F1870" s="26"/>
      <c r="G1870" s="26"/>
    </row>
    <row r="1871" spans="1:7">
      <c r="A1871" s="26"/>
      <c r="B1871" s="170" t="s">
        <v>1175</v>
      </c>
      <c r="C1871" s="26"/>
      <c r="D1871" s="26"/>
      <c r="E1871" s="26"/>
      <c r="F1871" s="26"/>
      <c r="G1871" s="26"/>
    </row>
    <row r="1872" spans="1:7">
      <c r="A1872" s="26"/>
      <c r="B1872" s="26" t="s">
        <v>5010</v>
      </c>
      <c r="C1872" s="26"/>
      <c r="D1872" s="26"/>
      <c r="E1872" s="26"/>
      <c r="F1872" s="171" t="s">
        <v>1698</v>
      </c>
      <c r="G1872" s="68">
        <f>G1837</f>
        <v>46602.293099052607</v>
      </c>
    </row>
    <row r="1873" spans="1:7">
      <c r="A1873" s="26"/>
      <c r="B1873" s="26" t="s">
        <v>1186</v>
      </c>
      <c r="C1873" s="26"/>
      <c r="D1873" s="26"/>
      <c r="E1873" s="26"/>
      <c r="F1873" s="171" t="s">
        <v>1698</v>
      </c>
      <c r="G1873" s="68">
        <f>G1848</f>
        <v>2347.1499999999996</v>
      </c>
    </row>
    <row r="1874" spans="1:7">
      <c r="A1874" s="26"/>
      <c r="B1874" s="26" t="s">
        <v>2660</v>
      </c>
      <c r="C1874" s="26"/>
      <c r="D1874" s="26"/>
      <c r="E1874" s="26"/>
      <c r="F1874" s="171" t="s">
        <v>1698</v>
      </c>
      <c r="G1874" s="75">
        <f>G1866</f>
        <v>21269.73</v>
      </c>
    </row>
    <row r="1875" spans="1:7">
      <c r="A1875" s="26"/>
      <c r="B1875" s="78"/>
      <c r="C1875" s="26"/>
      <c r="D1875" s="26"/>
      <c r="E1875" s="171"/>
      <c r="F1875" s="171" t="s">
        <v>302</v>
      </c>
      <c r="G1875" s="205">
        <f>SUM(G1872:G1874)</f>
        <v>70219.173099052612</v>
      </c>
    </row>
    <row r="1876" spans="1:7">
      <c r="A1876" s="26"/>
      <c r="B1876" s="1206" t="s">
        <v>1379</v>
      </c>
      <c r="C1876" s="1206"/>
      <c r="D1876" s="26"/>
      <c r="E1876" s="249">
        <f>'BASIC DATA'!$C$577</f>
        <v>0.13614999999999999</v>
      </c>
      <c r="F1876" s="26" t="s">
        <v>1698</v>
      </c>
      <c r="G1876" s="26">
        <f>ROUND(G1875*E1876,2)</f>
        <v>9560.34</v>
      </c>
    </row>
    <row r="1877" spans="1:7">
      <c r="A1877" s="26"/>
      <c r="B1877" s="26" t="s">
        <v>1191</v>
      </c>
      <c r="C1877" s="26"/>
      <c r="D1877" s="68">
        <f>F1821</f>
        <v>14.4</v>
      </c>
      <c r="E1877" s="68" t="str">
        <f>G1821</f>
        <v>cum</v>
      </c>
      <c r="F1877" s="26" t="s">
        <v>1698</v>
      </c>
      <c r="G1877" s="170">
        <f>G1876+G1875</f>
        <v>79779.513099052609</v>
      </c>
    </row>
    <row r="1878" spans="1:7">
      <c r="A1878" s="26"/>
      <c r="B1878" s="170" t="s">
        <v>1584</v>
      </c>
      <c r="C1878" s="211" t="str">
        <f>E1877</f>
        <v>cum</v>
      </c>
      <c r="D1878" s="26" t="s">
        <v>7823</v>
      </c>
      <c r="E1878" s="26"/>
      <c r="F1878" s="26" t="s">
        <v>4108</v>
      </c>
      <c r="G1878" s="211">
        <f>ROUND(G1877/D1877,1)</f>
        <v>5540.2</v>
      </c>
    </row>
    <row r="1879" spans="1:7">
      <c r="A1879" s="26"/>
      <c r="B1879" s="78"/>
      <c r="C1879" s="26"/>
      <c r="D1879" s="26"/>
      <c r="E1879" s="26"/>
      <c r="F1879" s="26"/>
      <c r="G1879" s="26"/>
    </row>
    <row r="1880" spans="1:7">
      <c r="A1880" s="26"/>
      <c r="B1880" s="78"/>
      <c r="C1880" s="26"/>
      <c r="D1880" s="26"/>
      <c r="E1880" s="26"/>
      <c r="F1880" s="26"/>
      <c r="G1880" s="26"/>
    </row>
    <row r="1881" spans="1:7" ht="18.75">
      <c r="A1881" s="78" t="s">
        <v>7557</v>
      </c>
      <c r="B1881" s="26" t="s">
        <v>8774</v>
      </c>
      <c r="C1881" s="26"/>
      <c r="D1881" s="26"/>
      <c r="E1881" s="26"/>
      <c r="F1881" s="26"/>
      <c r="G1881" s="26"/>
    </row>
    <row r="1882" spans="1:7" ht="18.75">
      <c r="A1882" s="78"/>
      <c r="B1882" s="26" t="s">
        <v>8947</v>
      </c>
      <c r="C1882" s="26"/>
      <c r="D1882" s="26"/>
      <c r="E1882" s="26"/>
      <c r="F1882" s="26"/>
      <c r="G1882" s="26"/>
    </row>
    <row r="1883" spans="1:7">
      <c r="A1883" s="78"/>
      <c r="B1883" s="26" t="s">
        <v>8945</v>
      </c>
      <c r="C1883" s="26"/>
      <c r="D1883" s="26"/>
      <c r="E1883" s="26"/>
      <c r="F1883" s="26"/>
      <c r="G1883" s="26"/>
    </row>
    <row r="1884" spans="1:7">
      <c r="A1884" s="78"/>
      <c r="B1884" s="26" t="s">
        <v>355</v>
      </c>
      <c r="C1884" s="26"/>
      <c r="D1884" s="26"/>
      <c r="E1884" s="26"/>
      <c r="F1884" s="26"/>
      <c r="G1884" s="26"/>
    </row>
    <row r="1885" spans="1:7" ht="18.75">
      <c r="A1885" s="78"/>
      <c r="B1885" s="170" t="s">
        <v>8948</v>
      </c>
      <c r="C1885" s="26"/>
      <c r="D1885" s="26"/>
      <c r="E1885" s="26"/>
      <c r="F1885" s="26"/>
      <c r="G1885" s="26"/>
    </row>
    <row r="1886" spans="1:7">
      <c r="A1886" s="78" t="s">
        <v>1940</v>
      </c>
      <c r="B1886" s="170" t="s">
        <v>1351</v>
      </c>
      <c r="C1886" s="26"/>
      <c r="D1886" s="26"/>
      <c r="E1886" s="26"/>
      <c r="F1886" s="26"/>
      <c r="G1886" s="26"/>
    </row>
    <row r="1887" spans="1:7">
      <c r="A1887" s="78"/>
      <c r="B1887" s="170" t="s">
        <v>6563</v>
      </c>
      <c r="C1887" s="26"/>
      <c r="D1887" s="26"/>
      <c r="E1887" s="26"/>
      <c r="F1887" s="26"/>
      <c r="G1887" s="26"/>
    </row>
    <row r="1888" spans="1:7">
      <c r="A1888" s="62"/>
      <c r="B1888" s="248" t="s">
        <v>4220</v>
      </c>
      <c r="C1888" s="61"/>
      <c r="D1888" s="61"/>
      <c r="E1888" s="61"/>
      <c r="F1888" s="61"/>
      <c r="G1888" s="61"/>
    </row>
    <row r="1889" spans="1:7">
      <c r="A1889" s="78"/>
      <c r="B1889" s="26"/>
      <c r="C1889" s="26"/>
      <c r="D1889" s="26"/>
      <c r="E1889" s="26"/>
      <c r="F1889" s="26"/>
      <c r="G1889" s="26"/>
    </row>
    <row r="1890" spans="1:7">
      <c r="A1890" s="78" t="s">
        <v>3984</v>
      </c>
      <c r="B1890" s="26" t="s">
        <v>5780</v>
      </c>
      <c r="C1890" s="26"/>
      <c r="D1890" s="26"/>
      <c r="E1890" s="26"/>
      <c r="F1890" s="26"/>
      <c r="G1890" s="26"/>
    </row>
    <row r="1891" spans="1:7">
      <c r="A1891" s="78"/>
      <c r="B1891" s="26" t="s">
        <v>1521</v>
      </c>
      <c r="C1891" s="26"/>
      <c r="D1891" s="26"/>
      <c r="E1891" s="26"/>
      <c r="F1891" s="26"/>
      <c r="G1891" s="26"/>
    </row>
    <row r="1892" spans="1:7">
      <c r="A1892" s="78"/>
      <c r="B1892" s="26" t="s">
        <v>7829</v>
      </c>
      <c r="C1892" s="26"/>
      <c r="D1892" s="26"/>
      <c r="E1892" s="26"/>
      <c r="F1892" s="26"/>
      <c r="G1892" s="26"/>
    </row>
    <row r="1893" spans="1:7">
      <c r="A1893" s="78"/>
      <c r="B1893" s="26" t="s">
        <v>7830</v>
      </c>
      <c r="C1893" s="26"/>
      <c r="D1893" s="26">
        <f>ROUND(100*4*8/220,2)</f>
        <v>14.55</v>
      </c>
      <c r="E1893" s="26" t="s">
        <v>3760</v>
      </c>
      <c r="F1893" s="26"/>
      <c r="G1893" s="26"/>
    </row>
    <row r="1894" spans="1:7">
      <c r="A1894" s="78"/>
      <c r="B1894" s="26" t="s">
        <v>2843</v>
      </c>
      <c r="C1894" s="26"/>
      <c r="D1894" s="26"/>
      <c r="E1894" s="26"/>
      <c r="F1894" s="26"/>
      <c r="G1894" s="26"/>
    </row>
    <row r="1895" spans="1:7">
      <c r="A1895" s="78"/>
      <c r="B1895" s="26" t="s">
        <v>357</v>
      </c>
      <c r="C1895" s="26"/>
      <c r="D1895" s="26"/>
      <c r="E1895" s="26"/>
      <c r="F1895" s="26"/>
      <c r="G1895" s="26"/>
    </row>
    <row r="1896" spans="1:7">
      <c r="A1896" s="78"/>
      <c r="B1896" s="26" t="s">
        <v>1985</v>
      </c>
      <c r="C1896" s="26"/>
      <c r="D1896" s="26"/>
      <c r="E1896" s="26"/>
      <c r="F1896" s="68">
        <f>G618</f>
        <v>224.56752690000002</v>
      </c>
      <c r="G1896" s="26" t="s">
        <v>1168</v>
      </c>
    </row>
    <row r="1897" spans="1:7">
      <c r="A1897" s="78"/>
      <c r="B1897" s="26" t="s">
        <v>6089</v>
      </c>
      <c r="C1897" s="26"/>
      <c r="D1897" s="26"/>
      <c r="E1897" s="26"/>
      <c r="F1897" s="68">
        <f>F1896*5%</f>
        <v>11.228376345000001</v>
      </c>
      <c r="G1897" s="26" t="s">
        <v>1168</v>
      </c>
    </row>
    <row r="1898" spans="1:7">
      <c r="A1898" s="78"/>
      <c r="B1898" s="26" t="s">
        <v>6088</v>
      </c>
      <c r="C1898" s="26"/>
      <c r="D1898" s="26"/>
      <c r="E1898" s="26"/>
      <c r="F1898" s="68">
        <f>SUM(F1896:F1897)</f>
        <v>235.79590324500003</v>
      </c>
      <c r="G1898" s="26" t="s">
        <v>1168</v>
      </c>
    </row>
    <row r="1899" spans="1:7">
      <c r="A1899" s="78"/>
      <c r="B1899" s="26" t="s">
        <v>1522</v>
      </c>
      <c r="C1899" s="26"/>
      <c r="D1899" s="26"/>
      <c r="E1899" s="26"/>
      <c r="F1899" s="26"/>
      <c r="G1899" s="26"/>
    </row>
    <row r="1900" spans="1:7">
      <c r="A1900" s="78"/>
      <c r="B1900" s="26" t="s">
        <v>1986</v>
      </c>
      <c r="C1900" s="26"/>
      <c r="D1900" s="26"/>
      <c r="E1900" s="26"/>
      <c r="F1900" s="68">
        <f>G644</f>
        <v>88.5</v>
      </c>
      <c r="G1900" s="26" t="s">
        <v>1168</v>
      </c>
    </row>
    <row r="1901" spans="1:7">
      <c r="A1901" s="78"/>
      <c r="B1901" s="26" t="s">
        <v>1523</v>
      </c>
      <c r="C1901" s="26"/>
      <c r="D1901" s="26"/>
      <c r="E1901" s="26"/>
      <c r="F1901" s="26"/>
      <c r="G1901" s="26"/>
    </row>
    <row r="1902" spans="1:7">
      <c r="A1902" s="78"/>
      <c r="B1902" s="26" t="s">
        <v>451</v>
      </c>
      <c r="C1902" s="26"/>
      <c r="D1902" s="26"/>
      <c r="E1902" s="26"/>
      <c r="F1902" s="26"/>
      <c r="G1902" s="26"/>
    </row>
    <row r="1903" spans="1:7">
      <c r="A1903" s="62"/>
      <c r="B1903" s="61" t="s">
        <v>1984</v>
      </c>
      <c r="C1903" s="61"/>
      <c r="D1903" s="61"/>
      <c r="E1903" s="61"/>
      <c r="F1903" s="61"/>
      <c r="G1903" s="61"/>
    </row>
    <row r="1904" spans="1:7">
      <c r="A1904" s="62"/>
      <c r="B1904" s="61" t="s">
        <v>3079</v>
      </c>
      <c r="C1904" s="61"/>
      <c r="D1904" s="61"/>
      <c r="E1904" s="61"/>
      <c r="F1904" s="61"/>
      <c r="G1904" s="61"/>
    </row>
    <row r="1905" spans="1:7">
      <c r="A1905" s="26"/>
      <c r="B1905" s="78"/>
      <c r="C1905" s="26"/>
      <c r="D1905" s="26"/>
      <c r="E1905" s="26"/>
      <c r="F1905" s="26"/>
      <c r="G1905" s="26"/>
    </row>
    <row r="1906" spans="1:7">
      <c r="A1906" s="78" t="s">
        <v>3984</v>
      </c>
      <c r="B1906" s="78"/>
      <c r="C1906" s="203" t="s">
        <v>2367</v>
      </c>
      <c r="D1906" s="26"/>
      <c r="E1906" s="171" t="s">
        <v>297</v>
      </c>
      <c r="F1906" s="246">
        <f>D1893</f>
        <v>14.55</v>
      </c>
      <c r="G1906" s="26" t="s">
        <v>3477</v>
      </c>
    </row>
    <row r="1907" spans="1:7">
      <c r="A1907" s="26"/>
      <c r="B1907" s="79" t="s">
        <v>2368</v>
      </c>
      <c r="C1907" s="26"/>
      <c r="D1907" s="26"/>
      <c r="E1907" s="26"/>
      <c r="F1907" s="26"/>
      <c r="G1907" s="26"/>
    </row>
    <row r="1908" spans="1:7">
      <c r="A1908" s="26"/>
      <c r="B1908" s="95" t="s">
        <v>2369</v>
      </c>
      <c r="C1908" s="157" t="s">
        <v>4443</v>
      </c>
      <c r="D1908" s="95" t="s">
        <v>2370</v>
      </c>
      <c r="E1908" s="95" t="s">
        <v>1166</v>
      </c>
      <c r="F1908" s="95" t="s">
        <v>2371</v>
      </c>
      <c r="G1908" s="95" t="s">
        <v>2372</v>
      </c>
    </row>
    <row r="1909" spans="1:7">
      <c r="A1909" s="26"/>
      <c r="B1909" s="114"/>
      <c r="C1909" s="154"/>
      <c r="D1909" s="114"/>
      <c r="E1909" s="114"/>
      <c r="F1909" s="114" t="s">
        <v>3485</v>
      </c>
      <c r="G1909" s="114" t="s">
        <v>3485</v>
      </c>
    </row>
    <row r="1910" spans="1:7">
      <c r="A1910" s="26"/>
      <c r="B1910" s="95">
        <v>1</v>
      </c>
      <c r="C1910" s="135" t="s">
        <v>1048</v>
      </c>
      <c r="D1910" s="95" t="s">
        <v>3478</v>
      </c>
      <c r="E1910" s="190">
        <f>220*F1906</f>
        <v>3201</v>
      </c>
      <c r="F1910" s="214">
        <f>'BASIC DATA'!$D$32/1000</f>
        <v>5.35</v>
      </c>
      <c r="G1910" s="190">
        <f>E1910*F1910</f>
        <v>17125.349999999999</v>
      </c>
    </row>
    <row r="1911" spans="1:7">
      <c r="A1911" s="26"/>
      <c r="B1911" s="317"/>
      <c r="C1911" s="135" t="s">
        <v>1049</v>
      </c>
      <c r="D1911" s="105" t="s">
        <v>3478</v>
      </c>
      <c r="E1911" s="190">
        <f>F1906*5</f>
        <v>72.75</v>
      </c>
      <c r="F1911" s="214">
        <f>'BASIC DATA'!$D$32/1000</f>
        <v>5.35</v>
      </c>
      <c r="G1911" s="190">
        <f t="shared" ref="G1911:G1918" si="48">E1911*F1911</f>
        <v>389.21249999999998</v>
      </c>
    </row>
    <row r="1912" spans="1:7">
      <c r="A1912" s="26"/>
      <c r="B1912" s="105">
        <v>2</v>
      </c>
      <c r="C1912" s="135" t="s">
        <v>6997</v>
      </c>
      <c r="D1912" s="105" t="s">
        <v>3477</v>
      </c>
      <c r="E1912" s="190">
        <f>0.98*F1906*0.35</f>
        <v>4.9906499999999996</v>
      </c>
      <c r="F1912" s="214">
        <f>'BASIC DATA'!$D$37</f>
        <v>650</v>
      </c>
      <c r="G1912" s="190">
        <f t="shared" si="48"/>
        <v>3243.9224999999997</v>
      </c>
    </row>
    <row r="1913" spans="1:7">
      <c r="A1913" s="26"/>
      <c r="B1913" s="317"/>
      <c r="C1913" s="135" t="s">
        <v>6996</v>
      </c>
      <c r="D1913" s="105" t="s">
        <v>3477</v>
      </c>
      <c r="E1913" s="190">
        <f>0.98*F1906*0.3</f>
        <v>4.2777000000000003</v>
      </c>
      <c r="F1913" s="214">
        <f>'BASIC DATA'!$D$36</f>
        <v>1175</v>
      </c>
      <c r="G1913" s="190">
        <f t="shared" si="48"/>
        <v>5026.2975000000006</v>
      </c>
    </row>
    <row r="1914" spans="1:7">
      <c r="A1914" s="26"/>
      <c r="B1914" s="317"/>
      <c r="C1914" s="135" t="s">
        <v>6995</v>
      </c>
      <c r="D1914" s="105" t="s">
        <v>3477</v>
      </c>
      <c r="E1914" s="190">
        <f>0.98*F1906*0.2</f>
        <v>2.8518000000000003</v>
      </c>
      <c r="F1914" s="214">
        <f>'BASIC DATA'!$D$35</f>
        <v>1225</v>
      </c>
      <c r="G1914" s="190">
        <f t="shared" si="48"/>
        <v>3493.4550000000004</v>
      </c>
    </row>
    <row r="1915" spans="1:7">
      <c r="A1915" s="26"/>
      <c r="B1915" s="317"/>
      <c r="C1915" s="135" t="s">
        <v>1050</v>
      </c>
      <c r="D1915" s="105" t="s">
        <v>3477</v>
      </c>
      <c r="E1915" s="190">
        <f>0.98*F1906*0.15</f>
        <v>2.1388500000000001</v>
      </c>
      <c r="F1915" s="214">
        <f>'BASIC DATA'!$D$34</f>
        <v>900</v>
      </c>
      <c r="G1915" s="190">
        <f t="shared" si="48"/>
        <v>1924.9650000000001</v>
      </c>
    </row>
    <row r="1916" spans="1:7">
      <c r="A1916" s="61"/>
      <c r="B1916" s="240">
        <v>3</v>
      </c>
      <c r="C1916" s="326" t="s">
        <v>7941</v>
      </c>
      <c r="D1916" s="240" t="s">
        <v>3477</v>
      </c>
      <c r="E1916" s="255">
        <f>0.35*F1906</f>
        <v>5.0925000000000002</v>
      </c>
      <c r="F1916" s="266">
        <f>'BASIC DATA'!$D$55</f>
        <v>95</v>
      </c>
      <c r="G1916" s="255">
        <f t="shared" si="48"/>
        <v>483.78750000000002</v>
      </c>
    </row>
    <row r="1917" spans="1:7">
      <c r="A1917" s="26"/>
      <c r="B1917" s="105">
        <v>4</v>
      </c>
      <c r="C1917" s="135" t="s">
        <v>523</v>
      </c>
      <c r="D1917" s="105" t="s">
        <v>3478</v>
      </c>
      <c r="E1917" s="190">
        <f>E1910*0.4%</f>
        <v>12.804</v>
      </c>
      <c r="F1917" s="214">
        <f>'BASIC DATA'!$D$99</f>
        <v>55</v>
      </c>
      <c r="G1917" s="190">
        <f t="shared" si="48"/>
        <v>704.22</v>
      </c>
    </row>
    <row r="1918" spans="1:7">
      <c r="A1918" s="26"/>
      <c r="B1918" s="105">
        <v>5</v>
      </c>
      <c r="C1918" s="135" t="s">
        <v>954</v>
      </c>
      <c r="D1918" s="105" t="s">
        <v>3479</v>
      </c>
      <c r="E1918" s="190">
        <f>2.75*F1906</f>
        <v>40.012500000000003</v>
      </c>
      <c r="F1918" s="214">
        <f>F1898</f>
        <v>235.79590324500003</v>
      </c>
      <c r="G1918" s="190">
        <f t="shared" si="48"/>
        <v>9434.7835785905645</v>
      </c>
    </row>
    <row r="1919" spans="1:7">
      <c r="A1919" s="26"/>
      <c r="B1919" s="114">
        <v>6</v>
      </c>
      <c r="C1919" s="139" t="s">
        <v>5408</v>
      </c>
      <c r="D1919" s="681">
        <v>0.3</v>
      </c>
      <c r="E1919" s="182"/>
      <c r="F1919" s="182"/>
      <c r="G1919" s="182">
        <f>G1918*D1919</f>
        <v>2830.4350735771691</v>
      </c>
    </row>
    <row r="1920" spans="1:7">
      <c r="A1920" s="26"/>
      <c r="B1920" s="93"/>
      <c r="C1920" s="31" t="s">
        <v>6844</v>
      </c>
      <c r="D1920" s="31" t="s">
        <v>4043</v>
      </c>
      <c r="E1920" s="198"/>
      <c r="F1920" s="327" t="s">
        <v>1698</v>
      </c>
      <c r="G1920" s="190">
        <v>0</v>
      </c>
    </row>
    <row r="1921" spans="1:7">
      <c r="A1921" s="26"/>
      <c r="B1921" s="93"/>
      <c r="C1921" s="31" t="s">
        <v>6845</v>
      </c>
      <c r="D1921" s="31" t="s">
        <v>4043</v>
      </c>
      <c r="E1921" s="198"/>
      <c r="F1921" s="327" t="s">
        <v>1698</v>
      </c>
      <c r="G1921" s="190">
        <v>0</v>
      </c>
    </row>
    <row r="1922" spans="1:7">
      <c r="A1922" s="26"/>
      <c r="B1922" s="92"/>
      <c r="C1922" s="193" t="s">
        <v>2376</v>
      </c>
      <c r="D1922" s="159"/>
      <c r="E1922" s="238"/>
      <c r="F1922" s="236" t="s">
        <v>1698</v>
      </c>
      <c r="G1922" s="318">
        <f>SUM(G1910:G1921)</f>
        <v>44656.428652167735</v>
      </c>
    </row>
    <row r="1923" spans="1:7">
      <c r="A1923" s="26"/>
      <c r="B1923" s="78"/>
      <c r="C1923" s="26"/>
      <c r="D1923" s="26"/>
      <c r="E1923" s="26"/>
      <c r="F1923" s="26"/>
      <c r="G1923" s="26"/>
    </row>
    <row r="1924" spans="1:7">
      <c r="A1924" s="26"/>
      <c r="B1924" s="79" t="s">
        <v>2377</v>
      </c>
      <c r="C1924" s="26"/>
      <c r="D1924" s="26"/>
      <c r="E1924" s="26"/>
      <c r="F1924" s="26"/>
      <c r="G1924" s="26"/>
    </row>
    <row r="1925" spans="1:7">
      <c r="A1925" s="26"/>
      <c r="B1925" s="95" t="s">
        <v>2369</v>
      </c>
      <c r="C1925" s="157" t="s">
        <v>2378</v>
      </c>
      <c r="D1925" s="95" t="s">
        <v>2370</v>
      </c>
      <c r="E1925" s="95" t="s">
        <v>1166</v>
      </c>
      <c r="F1925" s="95" t="s">
        <v>2371</v>
      </c>
      <c r="G1925" s="95" t="s">
        <v>2372</v>
      </c>
    </row>
    <row r="1926" spans="1:7">
      <c r="A1926" s="26"/>
      <c r="B1926" s="114"/>
      <c r="C1926" s="154"/>
      <c r="D1926" s="114"/>
      <c r="E1926" s="114"/>
      <c r="F1926" s="114" t="s">
        <v>3485</v>
      </c>
      <c r="G1926" s="114" t="s">
        <v>3485</v>
      </c>
    </row>
    <row r="1927" spans="1:7">
      <c r="A1927" s="26"/>
      <c r="B1927" s="95">
        <v>1</v>
      </c>
      <c r="C1927" s="153" t="s">
        <v>525</v>
      </c>
      <c r="D1927" s="175" t="s">
        <v>2374</v>
      </c>
      <c r="E1927" s="179">
        <v>8</v>
      </c>
      <c r="F1927" s="190">
        <f>'HIRE CHARGES'!$D$509</f>
        <v>92.7</v>
      </c>
      <c r="G1927" s="190">
        <f t="shared" ref="G1927:G1932" si="49">E1927*F1927</f>
        <v>741.6</v>
      </c>
    </row>
    <row r="1928" spans="1:7">
      <c r="A1928" s="26"/>
      <c r="B1928" s="317"/>
      <c r="C1928" s="152" t="s">
        <v>2379</v>
      </c>
      <c r="D1928" s="33" t="s">
        <v>2374</v>
      </c>
      <c r="E1928" s="190">
        <v>8</v>
      </c>
      <c r="F1928" s="190">
        <f>'HIRE CHARGES'!$E$509</f>
        <v>158.69999999999999</v>
      </c>
      <c r="G1928" s="190">
        <f t="shared" si="49"/>
        <v>1269.5999999999999</v>
      </c>
    </row>
    <row r="1929" spans="1:7">
      <c r="A1929" s="26"/>
      <c r="B1929" s="105">
        <v>2</v>
      </c>
      <c r="C1929" s="152" t="s">
        <v>189</v>
      </c>
      <c r="D1929" s="33" t="s">
        <v>2374</v>
      </c>
      <c r="E1929" s="190">
        <v>0.5</v>
      </c>
      <c r="F1929" s="190">
        <f>'HIRE CHARGES'!$D$517</f>
        <v>10.199999999999999</v>
      </c>
      <c r="G1929" s="190">
        <f t="shared" si="49"/>
        <v>5.0999999999999996</v>
      </c>
    </row>
    <row r="1930" spans="1:7">
      <c r="A1930" s="26"/>
      <c r="B1930" s="317"/>
      <c r="C1930" s="152" t="s">
        <v>2379</v>
      </c>
      <c r="D1930" s="33" t="s">
        <v>2374</v>
      </c>
      <c r="E1930" s="190">
        <v>0.5</v>
      </c>
      <c r="F1930" s="190">
        <f>'HIRE CHARGES'!$E$517</f>
        <v>79.3</v>
      </c>
      <c r="G1930" s="190">
        <f t="shared" si="49"/>
        <v>39.65</v>
      </c>
    </row>
    <row r="1931" spans="1:7">
      <c r="A1931" s="26"/>
      <c r="B1931" s="105">
        <v>3</v>
      </c>
      <c r="C1931" s="152" t="s">
        <v>703</v>
      </c>
      <c r="D1931" s="33" t="s">
        <v>2374</v>
      </c>
      <c r="E1931" s="190">
        <v>8</v>
      </c>
      <c r="F1931" s="190">
        <f>'HIRE CHARGES'!$D$533</f>
        <v>8.1999999999999993</v>
      </c>
      <c r="G1931" s="190">
        <f t="shared" si="49"/>
        <v>65.599999999999994</v>
      </c>
    </row>
    <row r="1932" spans="1:7">
      <c r="A1932" s="26"/>
      <c r="B1932" s="365"/>
      <c r="C1932" s="116" t="s">
        <v>2379</v>
      </c>
      <c r="D1932" s="33" t="s">
        <v>2374</v>
      </c>
      <c r="E1932" s="182">
        <v>8</v>
      </c>
      <c r="F1932" s="207">
        <f>'HIRE CHARGES'!$E$533</f>
        <v>28.2</v>
      </c>
      <c r="G1932" s="190">
        <f t="shared" si="49"/>
        <v>225.6</v>
      </c>
    </row>
    <row r="1933" spans="1:7">
      <c r="A1933" s="26"/>
      <c r="B1933" s="176"/>
      <c r="C1933" s="172" t="s">
        <v>2380</v>
      </c>
      <c r="D1933" s="174"/>
      <c r="E1933" s="192"/>
      <c r="F1933" s="236" t="s">
        <v>1698</v>
      </c>
      <c r="G1933" s="318">
        <f>SUM(G1927:G1932)</f>
        <v>2347.1499999999996</v>
      </c>
    </row>
    <row r="1934" spans="1:7">
      <c r="A1934" s="26"/>
      <c r="B1934" s="78"/>
      <c r="C1934" s="26"/>
      <c r="D1934" s="26"/>
      <c r="E1934" s="26"/>
      <c r="F1934" s="26"/>
      <c r="G1934" s="26"/>
    </row>
    <row r="1935" spans="1:7">
      <c r="A1935" s="26"/>
      <c r="B1935" s="79" t="s">
        <v>2381</v>
      </c>
      <c r="C1935" s="26"/>
      <c r="D1935" s="26"/>
      <c r="E1935" s="26"/>
      <c r="F1935" s="26"/>
      <c r="G1935" s="26"/>
    </row>
    <row r="1936" spans="1:7">
      <c r="A1936" s="26"/>
      <c r="B1936" s="95" t="s">
        <v>2369</v>
      </c>
      <c r="C1936" s="157" t="s">
        <v>2378</v>
      </c>
      <c r="D1936" s="95" t="s">
        <v>2370</v>
      </c>
      <c r="E1936" s="95" t="s">
        <v>1166</v>
      </c>
      <c r="F1936" s="95" t="s">
        <v>2371</v>
      </c>
      <c r="G1936" s="95" t="s">
        <v>2372</v>
      </c>
    </row>
    <row r="1937" spans="1:7">
      <c r="A1937" s="26"/>
      <c r="B1937" s="114"/>
      <c r="C1937" s="154"/>
      <c r="D1937" s="105"/>
      <c r="E1937" s="105"/>
      <c r="F1937" s="105" t="s">
        <v>3485</v>
      </c>
      <c r="G1937" s="114" t="s">
        <v>3485</v>
      </c>
    </row>
    <row r="1938" spans="1:7">
      <c r="A1938" s="26"/>
      <c r="B1938" s="105">
        <v>1</v>
      </c>
      <c r="C1938" s="76" t="s">
        <v>527</v>
      </c>
      <c r="D1938" s="95" t="s">
        <v>2374</v>
      </c>
      <c r="E1938" s="179">
        <v>8</v>
      </c>
      <c r="F1938" s="179">
        <f>'HIRE CHARGES'!$F$509</f>
        <v>219.7</v>
      </c>
      <c r="G1938" s="207">
        <f>E1938*F1938</f>
        <v>1757.6</v>
      </c>
    </row>
    <row r="1939" spans="1:7">
      <c r="A1939" s="26"/>
      <c r="B1939" s="105">
        <v>2</v>
      </c>
      <c r="C1939" s="76" t="s">
        <v>999</v>
      </c>
      <c r="D1939" s="105" t="s">
        <v>2374</v>
      </c>
      <c r="E1939" s="190">
        <v>0.5</v>
      </c>
      <c r="F1939" s="190">
        <f>'HIRE CHARGES'!$F$517</f>
        <v>111.1</v>
      </c>
      <c r="G1939" s="207">
        <f t="shared" ref="G1939:G1949" si="50">E1939*F1939</f>
        <v>55.55</v>
      </c>
    </row>
    <row r="1940" spans="1:7">
      <c r="A1940" s="26"/>
      <c r="B1940" s="105">
        <v>3</v>
      </c>
      <c r="C1940" s="76" t="s">
        <v>439</v>
      </c>
      <c r="D1940" s="105" t="s">
        <v>2374</v>
      </c>
      <c r="E1940" s="190">
        <v>8</v>
      </c>
      <c r="F1940" s="190">
        <f>'HIRE CHARGES'!$F$533</f>
        <v>158.19999999999999</v>
      </c>
      <c r="G1940" s="207">
        <f t="shared" si="50"/>
        <v>1265.5999999999999</v>
      </c>
    </row>
    <row r="1941" spans="1:7">
      <c r="A1941" s="26"/>
      <c r="B1941" s="105">
        <v>4</v>
      </c>
      <c r="C1941" s="76" t="s">
        <v>440</v>
      </c>
      <c r="D1941" s="105" t="s">
        <v>1172</v>
      </c>
      <c r="E1941" s="190">
        <v>1</v>
      </c>
      <c r="F1941" s="190">
        <f>'BASIC DATA'!$C$474</f>
        <v>445</v>
      </c>
      <c r="G1941" s="207">
        <f t="shared" si="50"/>
        <v>445</v>
      </c>
    </row>
    <row r="1942" spans="1:7">
      <c r="A1942" s="26"/>
      <c r="B1942" s="105">
        <v>5</v>
      </c>
      <c r="C1942" s="76" t="s">
        <v>4206</v>
      </c>
      <c r="D1942" s="105" t="s">
        <v>1172</v>
      </c>
      <c r="E1942" s="190">
        <v>1</v>
      </c>
      <c r="F1942" s="190">
        <f>'BASIC DATA'!$C$473</f>
        <v>450</v>
      </c>
      <c r="G1942" s="207">
        <f t="shared" si="50"/>
        <v>450</v>
      </c>
    </row>
    <row r="1943" spans="1:7">
      <c r="A1943" s="26"/>
      <c r="B1943" s="105">
        <v>6</v>
      </c>
      <c r="C1943" s="76" t="s">
        <v>2697</v>
      </c>
      <c r="D1943" s="105"/>
      <c r="E1943" s="190"/>
      <c r="F1943" s="190"/>
      <c r="G1943" s="207"/>
    </row>
    <row r="1944" spans="1:7">
      <c r="A1944" s="26"/>
      <c r="B1944" s="317"/>
      <c r="C1944" s="76" t="s">
        <v>441</v>
      </c>
      <c r="D1944" s="105" t="s">
        <v>1172</v>
      </c>
      <c r="E1944" s="190">
        <v>11</v>
      </c>
      <c r="F1944" s="190">
        <f>'BASIC DATA'!$C$552</f>
        <v>350</v>
      </c>
      <c r="G1944" s="207">
        <f t="shared" si="50"/>
        <v>3850</v>
      </c>
    </row>
    <row r="1945" spans="1:7">
      <c r="A1945" s="26"/>
      <c r="B1945" s="317"/>
      <c r="C1945" s="76" t="s">
        <v>442</v>
      </c>
      <c r="D1945" s="105" t="s">
        <v>1172</v>
      </c>
      <c r="E1945" s="190">
        <v>4</v>
      </c>
      <c r="F1945" s="190">
        <f>'BASIC DATA'!$C$552</f>
        <v>350</v>
      </c>
      <c r="G1945" s="207">
        <f t="shared" si="50"/>
        <v>1400</v>
      </c>
    </row>
    <row r="1946" spans="1:7">
      <c r="A1946" s="26"/>
      <c r="B1946" s="317"/>
      <c r="C1946" s="76" t="s">
        <v>5151</v>
      </c>
      <c r="D1946" s="105" t="s">
        <v>1172</v>
      </c>
      <c r="E1946" s="190">
        <v>6</v>
      </c>
      <c r="F1946" s="190">
        <f>'BASIC DATA'!$C$552</f>
        <v>350</v>
      </c>
      <c r="G1946" s="207">
        <f t="shared" si="50"/>
        <v>2100</v>
      </c>
    </row>
    <row r="1947" spans="1:7">
      <c r="A1947" s="26"/>
      <c r="B1947" s="317"/>
      <c r="C1947" s="76" t="s">
        <v>444</v>
      </c>
      <c r="D1947" s="105" t="s">
        <v>1172</v>
      </c>
      <c r="E1947" s="190">
        <f>F1906</f>
        <v>14.55</v>
      </c>
      <c r="F1947" s="190">
        <f>'BASIC DATA'!$C$552</f>
        <v>350</v>
      </c>
      <c r="G1947" s="207">
        <f t="shared" si="50"/>
        <v>5092.5</v>
      </c>
    </row>
    <row r="1948" spans="1:7">
      <c r="A1948" s="26"/>
      <c r="B1948" s="317"/>
      <c r="C1948" s="76" t="s">
        <v>445</v>
      </c>
      <c r="D1948" s="105" t="s">
        <v>1172</v>
      </c>
      <c r="E1948" s="190">
        <v>1</v>
      </c>
      <c r="F1948" s="190">
        <f>'BASIC DATA'!$C$552</f>
        <v>350</v>
      </c>
      <c r="G1948" s="207">
        <f t="shared" si="50"/>
        <v>350</v>
      </c>
    </row>
    <row r="1949" spans="1:7">
      <c r="A1949" s="26"/>
      <c r="B1949" s="105">
        <v>7</v>
      </c>
      <c r="C1949" s="76" t="s">
        <v>7215</v>
      </c>
      <c r="D1949" s="105" t="s">
        <v>3479</v>
      </c>
      <c r="E1949" s="190">
        <f>F1906*2.75</f>
        <v>40.012500000000003</v>
      </c>
      <c r="F1949" s="190">
        <f>F1900</f>
        <v>88.5</v>
      </c>
      <c r="G1949" s="207">
        <f t="shared" si="50"/>
        <v>3541.1062500000003</v>
      </c>
    </row>
    <row r="1950" spans="1:7">
      <c r="A1950" s="26"/>
      <c r="B1950" s="365"/>
      <c r="C1950" s="76" t="s">
        <v>6402</v>
      </c>
      <c r="D1950" s="681">
        <v>0.3</v>
      </c>
      <c r="E1950" s="182"/>
      <c r="F1950" s="182"/>
      <c r="G1950" s="207">
        <f>G1949*D1950</f>
        <v>1062.3318750000001</v>
      </c>
    </row>
    <row r="1951" spans="1:7">
      <c r="A1951" s="26"/>
      <c r="B1951" s="92"/>
      <c r="C1951" s="193" t="s">
        <v>1174</v>
      </c>
      <c r="D1951" s="159"/>
      <c r="E1951" s="238"/>
      <c r="F1951" s="236" t="s">
        <v>1698</v>
      </c>
      <c r="G1951" s="318">
        <f>SUM(G1938:G1950)</f>
        <v>21369.688125000001</v>
      </c>
    </row>
    <row r="1952" spans="1:7">
      <c r="A1952" s="26"/>
      <c r="B1952" s="60" t="s">
        <v>5948</v>
      </c>
      <c r="C1952" s="26"/>
      <c r="D1952" s="31"/>
      <c r="E1952" s="85">
        <f>ROUND(G1951/F1906,1)</f>
        <v>1468.7</v>
      </c>
      <c r="F1952" s="26"/>
      <c r="G1952" s="26"/>
    </row>
    <row r="1953" spans="1:7">
      <c r="A1953" s="26"/>
      <c r="B1953" s="60" t="s">
        <v>3163</v>
      </c>
      <c r="C1953" s="26"/>
      <c r="D1953" s="31">
        <f>'BASIC DATA'!$C$577</f>
        <v>0.13614999999999999</v>
      </c>
      <c r="E1953" s="85">
        <f>ROUND(E1952*D1953,1)</f>
        <v>200</v>
      </c>
      <c r="F1953" s="26"/>
      <c r="G1953" s="26"/>
    </row>
    <row r="1954" spans="1:7">
      <c r="A1954" s="26"/>
      <c r="B1954" s="60" t="s">
        <v>5949</v>
      </c>
      <c r="C1954" s="26"/>
      <c r="D1954" s="31"/>
      <c r="E1954" s="199">
        <f>ROUND(E1953+E1952,1)</f>
        <v>1668.7</v>
      </c>
      <c r="F1954" s="57"/>
      <c r="G1954" s="26"/>
    </row>
    <row r="1955" spans="1:7">
      <c r="A1955" s="26"/>
      <c r="B1955" s="26"/>
      <c r="C1955" s="26"/>
      <c r="D1955" s="26"/>
      <c r="E1955" s="26"/>
      <c r="F1955" s="26"/>
      <c r="G1955" s="26"/>
    </row>
    <row r="1956" spans="1:7">
      <c r="A1956" s="26"/>
      <c r="B1956" s="170" t="s">
        <v>1175</v>
      </c>
      <c r="C1956" s="26"/>
      <c r="D1956" s="26"/>
      <c r="E1956" s="26"/>
      <c r="F1956" s="26"/>
      <c r="G1956" s="26"/>
    </row>
    <row r="1957" spans="1:7">
      <c r="A1957" s="26"/>
      <c r="B1957" s="26" t="s">
        <v>5010</v>
      </c>
      <c r="C1957" s="26"/>
      <c r="D1957" s="26"/>
      <c r="E1957" s="26"/>
      <c r="F1957" s="171" t="s">
        <v>1698</v>
      </c>
      <c r="G1957" s="68">
        <f>G1922</f>
        <v>44656.428652167735</v>
      </c>
    </row>
    <row r="1958" spans="1:7">
      <c r="A1958" s="26"/>
      <c r="B1958" s="26" t="s">
        <v>1186</v>
      </c>
      <c r="C1958" s="26"/>
      <c r="D1958" s="26"/>
      <c r="E1958" s="26"/>
      <c r="F1958" s="171" t="s">
        <v>1698</v>
      </c>
      <c r="G1958" s="68">
        <f>G1933</f>
        <v>2347.1499999999996</v>
      </c>
    </row>
    <row r="1959" spans="1:7">
      <c r="A1959" s="26"/>
      <c r="B1959" s="26" t="s">
        <v>2660</v>
      </c>
      <c r="C1959" s="26"/>
      <c r="D1959" s="26"/>
      <c r="E1959" s="26"/>
      <c r="F1959" s="171" t="s">
        <v>1698</v>
      </c>
      <c r="G1959" s="75">
        <f>G1951</f>
        <v>21369.688125000001</v>
      </c>
    </row>
    <row r="1960" spans="1:7">
      <c r="A1960" s="26"/>
      <c r="B1960" s="78"/>
      <c r="C1960" s="26"/>
      <c r="D1960" s="26"/>
      <c r="E1960" s="171"/>
      <c r="F1960" s="171" t="s">
        <v>302</v>
      </c>
      <c r="G1960" s="205">
        <f>SUM(G1957:G1959)</f>
        <v>68373.266777167737</v>
      </c>
    </row>
    <row r="1961" spans="1:7">
      <c r="A1961" s="26"/>
      <c r="B1961" s="1206" t="s">
        <v>1379</v>
      </c>
      <c r="C1961" s="1206"/>
      <c r="D1961" s="26"/>
      <c r="E1961" s="249">
        <f>'BASIC DATA'!$C$577</f>
        <v>0.13614999999999999</v>
      </c>
      <c r="F1961" s="26" t="s">
        <v>1698</v>
      </c>
      <c r="G1961" s="26">
        <f>ROUND(G1960*E1961,2)</f>
        <v>9309.02</v>
      </c>
    </row>
    <row r="1962" spans="1:7">
      <c r="A1962" s="26"/>
      <c r="B1962" s="26" t="s">
        <v>1191</v>
      </c>
      <c r="C1962" s="26"/>
      <c r="D1962" s="68">
        <f>F1906</f>
        <v>14.55</v>
      </c>
      <c r="E1962" s="68" t="str">
        <f>G1906</f>
        <v>cum</v>
      </c>
      <c r="F1962" s="26" t="s">
        <v>1698</v>
      </c>
      <c r="G1962" s="211">
        <f>G1961+G1960</f>
        <v>77682.286777167741</v>
      </c>
    </row>
    <row r="1963" spans="1:7">
      <c r="A1963" s="26"/>
      <c r="B1963" s="170" t="s">
        <v>1584</v>
      </c>
      <c r="C1963" s="211" t="str">
        <f>E1962</f>
        <v>cum</v>
      </c>
      <c r="D1963" s="26" t="s">
        <v>7826</v>
      </c>
      <c r="E1963" s="26"/>
      <c r="F1963" s="26" t="s">
        <v>4108</v>
      </c>
      <c r="G1963" s="211">
        <f>ROUND(G1962/D1962,1)</f>
        <v>5339</v>
      </c>
    </row>
    <row r="1964" spans="1:7">
      <c r="A1964" s="26"/>
      <c r="B1964" s="78"/>
      <c r="C1964" s="26"/>
      <c r="D1964" s="26"/>
      <c r="E1964" s="26"/>
      <c r="F1964" s="26"/>
      <c r="G1964" s="26"/>
    </row>
    <row r="1965" spans="1:7">
      <c r="A1965" s="26"/>
      <c r="B1965" s="78"/>
      <c r="C1965" s="26"/>
      <c r="D1965" s="26"/>
      <c r="E1965" s="26"/>
      <c r="F1965" s="26"/>
      <c r="G1965" s="26"/>
    </row>
    <row r="1966" spans="1:7" ht="18.75">
      <c r="A1966" s="78" t="s">
        <v>7558</v>
      </c>
      <c r="B1966" s="26" t="s">
        <v>8774</v>
      </c>
      <c r="C1966" s="26"/>
      <c r="D1966" s="26"/>
      <c r="E1966" s="26"/>
      <c r="F1966" s="26"/>
      <c r="G1966" s="26"/>
    </row>
    <row r="1967" spans="1:7" ht="18.75">
      <c r="A1967" s="78"/>
      <c r="B1967" s="26" t="s">
        <v>8917</v>
      </c>
      <c r="C1967" s="26"/>
      <c r="D1967" s="26"/>
      <c r="E1967" s="26"/>
      <c r="F1967" s="26"/>
      <c r="G1967" s="26"/>
    </row>
    <row r="1968" spans="1:7">
      <c r="A1968" s="78"/>
      <c r="B1968" s="26" t="s">
        <v>8945</v>
      </c>
      <c r="C1968" s="26"/>
      <c r="D1968" s="26"/>
      <c r="E1968" s="26"/>
      <c r="F1968" s="26"/>
      <c r="G1968" s="26"/>
    </row>
    <row r="1969" spans="1:7">
      <c r="A1969" s="78"/>
      <c r="B1969" s="26" t="s">
        <v>355</v>
      </c>
      <c r="C1969" s="26"/>
      <c r="D1969" s="26"/>
      <c r="E1969" s="26"/>
      <c r="F1969" s="26"/>
      <c r="G1969" s="26"/>
    </row>
    <row r="1970" spans="1:7" ht="18.75">
      <c r="A1970" s="78"/>
      <c r="B1970" s="170" t="s">
        <v>8948</v>
      </c>
      <c r="C1970" s="26"/>
      <c r="D1970" s="26"/>
      <c r="E1970" s="26"/>
      <c r="F1970" s="26"/>
      <c r="G1970" s="26"/>
    </row>
    <row r="1971" spans="1:7">
      <c r="A1971" s="78" t="s">
        <v>1940</v>
      </c>
      <c r="B1971" s="170" t="s">
        <v>1351</v>
      </c>
      <c r="C1971" s="26"/>
      <c r="D1971" s="26"/>
      <c r="E1971" s="26"/>
      <c r="F1971" s="26"/>
      <c r="G1971" s="26"/>
    </row>
    <row r="1972" spans="1:7">
      <c r="A1972" s="78"/>
      <c r="B1972" s="170" t="s">
        <v>6563</v>
      </c>
      <c r="C1972" s="26"/>
      <c r="D1972" s="26"/>
      <c r="E1972" s="26"/>
      <c r="F1972" s="26"/>
      <c r="G1972" s="26"/>
    </row>
    <row r="1973" spans="1:7">
      <c r="A1973" s="62"/>
      <c r="B1973" s="248" t="s">
        <v>4521</v>
      </c>
      <c r="C1973" s="61"/>
      <c r="D1973" s="61"/>
      <c r="E1973" s="61"/>
      <c r="F1973" s="61"/>
      <c r="G1973" s="61"/>
    </row>
    <row r="1974" spans="1:7">
      <c r="A1974" s="78"/>
      <c r="B1974" s="26"/>
      <c r="C1974" s="26"/>
      <c r="D1974" s="26"/>
      <c r="E1974" s="26"/>
      <c r="F1974" s="26"/>
      <c r="G1974" s="26"/>
    </row>
    <row r="1975" spans="1:7">
      <c r="A1975" s="78" t="s">
        <v>3984</v>
      </c>
      <c r="B1975" s="26" t="s">
        <v>5780</v>
      </c>
      <c r="C1975" s="26"/>
      <c r="D1975" s="26"/>
      <c r="E1975" s="26"/>
      <c r="F1975" s="26"/>
      <c r="G1975" s="26"/>
    </row>
    <row r="1976" spans="1:7">
      <c r="A1976" s="78"/>
      <c r="B1976" s="26" t="s">
        <v>2624</v>
      </c>
      <c r="C1976" s="26"/>
      <c r="D1976" s="26"/>
      <c r="E1976" s="26"/>
      <c r="F1976" s="26"/>
      <c r="G1976" s="26"/>
    </row>
    <row r="1977" spans="1:7">
      <c r="A1977" s="78"/>
      <c r="B1977" s="26" t="s">
        <v>7674</v>
      </c>
      <c r="C1977" s="26"/>
      <c r="D1977" s="26"/>
      <c r="E1977" s="26"/>
      <c r="F1977" s="26"/>
      <c r="G1977" s="26"/>
    </row>
    <row r="1978" spans="1:7">
      <c r="A1978" s="78"/>
      <c r="B1978" s="26" t="s">
        <v>7675</v>
      </c>
      <c r="C1978" s="26"/>
      <c r="D1978" s="26"/>
      <c r="E1978" s="26">
        <f>ROUND(50*9*8/220,2)</f>
        <v>16.36</v>
      </c>
      <c r="F1978" s="26" t="s">
        <v>3760</v>
      </c>
      <c r="G1978" s="26"/>
    </row>
    <row r="1979" spans="1:7">
      <c r="A1979" s="78"/>
      <c r="B1979" s="26" t="s">
        <v>2843</v>
      </c>
      <c r="C1979" s="26"/>
      <c r="D1979" s="26"/>
      <c r="E1979" s="26"/>
      <c r="F1979" s="26"/>
      <c r="G1979" s="26"/>
    </row>
    <row r="1980" spans="1:7">
      <c r="A1980" s="78"/>
      <c r="B1980" s="26" t="s">
        <v>357</v>
      </c>
      <c r="C1980" s="26"/>
      <c r="D1980" s="26"/>
      <c r="E1980" s="26"/>
      <c r="F1980" s="26"/>
      <c r="G1980" s="26"/>
    </row>
    <row r="1981" spans="1:7">
      <c r="A1981" s="78"/>
      <c r="B1981" s="26" t="s">
        <v>1987</v>
      </c>
      <c r="C1981" s="26"/>
      <c r="D1981" s="26"/>
      <c r="E1981" s="26"/>
      <c r="F1981" s="68">
        <f>G618</f>
        <v>224.56752690000002</v>
      </c>
      <c r="G1981" s="26" t="s">
        <v>1168</v>
      </c>
    </row>
    <row r="1982" spans="1:7">
      <c r="A1982" s="78"/>
      <c r="B1982" s="26" t="s">
        <v>4690</v>
      </c>
      <c r="C1982" s="26"/>
      <c r="D1982" s="26"/>
      <c r="E1982" s="26"/>
      <c r="F1982" s="68">
        <f>F1981*5%</f>
        <v>11.228376345000001</v>
      </c>
      <c r="G1982" s="26" t="s">
        <v>1168</v>
      </c>
    </row>
    <row r="1983" spans="1:7">
      <c r="A1983" s="78"/>
      <c r="B1983" s="26" t="s">
        <v>3642</v>
      </c>
      <c r="C1983" s="26"/>
      <c r="D1983" s="26"/>
      <c r="E1983" s="26"/>
      <c r="F1983" s="68">
        <f>SUM(F1981:F1982)</f>
        <v>235.79590324500003</v>
      </c>
      <c r="G1983" s="26" t="s">
        <v>1168</v>
      </c>
    </row>
    <row r="1984" spans="1:7">
      <c r="A1984" s="78"/>
      <c r="B1984" s="26" t="s">
        <v>1522</v>
      </c>
      <c r="C1984" s="26"/>
      <c r="D1984" s="26"/>
      <c r="E1984" s="26"/>
      <c r="F1984" s="26"/>
      <c r="G1984" s="26"/>
    </row>
    <row r="1985" spans="1:7">
      <c r="A1985" s="78"/>
      <c r="B1985" s="26" t="s">
        <v>1988</v>
      </c>
      <c r="C1985" s="26"/>
      <c r="D1985" s="26"/>
      <c r="E1985" s="26"/>
      <c r="F1985" s="68">
        <f>G644</f>
        <v>88.5</v>
      </c>
      <c r="G1985" s="26" t="s">
        <v>1168</v>
      </c>
    </row>
    <row r="1986" spans="1:7">
      <c r="A1986" s="78"/>
      <c r="B1986" s="26" t="s">
        <v>3643</v>
      </c>
      <c r="C1986" s="26"/>
      <c r="D1986" s="26"/>
      <c r="E1986" s="26"/>
      <c r="F1986" s="26"/>
      <c r="G1986" s="26"/>
    </row>
    <row r="1987" spans="1:7">
      <c r="A1987" s="78"/>
      <c r="B1987" s="26" t="s">
        <v>451</v>
      </c>
      <c r="C1987" s="26"/>
      <c r="D1987" s="26"/>
      <c r="E1987" s="26"/>
      <c r="F1987" s="26"/>
      <c r="G1987" s="26"/>
    </row>
    <row r="1988" spans="1:7">
      <c r="A1988" s="62"/>
      <c r="B1988" s="61" t="s">
        <v>1989</v>
      </c>
      <c r="C1988" s="61"/>
      <c r="D1988" s="61"/>
      <c r="E1988" s="61"/>
      <c r="F1988" s="61"/>
      <c r="G1988" s="61"/>
    </row>
    <row r="1989" spans="1:7">
      <c r="A1989" s="62"/>
      <c r="B1989" s="61" t="s">
        <v>3079</v>
      </c>
      <c r="C1989" s="61"/>
      <c r="D1989" s="61"/>
      <c r="E1989" s="61"/>
      <c r="F1989" s="61"/>
      <c r="G1989" s="61"/>
    </row>
    <row r="1990" spans="1:7">
      <c r="A1990" s="26"/>
      <c r="B1990" s="78"/>
      <c r="C1990" s="26"/>
      <c r="D1990" s="26"/>
      <c r="E1990" s="26"/>
      <c r="F1990" s="26"/>
      <c r="G1990" s="26"/>
    </row>
    <row r="1991" spans="1:7">
      <c r="A1991" s="78" t="s">
        <v>3984</v>
      </c>
      <c r="B1991" s="78"/>
      <c r="C1991" s="203" t="s">
        <v>2367</v>
      </c>
      <c r="D1991" s="26"/>
      <c r="E1991" s="171" t="s">
        <v>297</v>
      </c>
      <c r="F1991" s="246">
        <f>E1978</f>
        <v>16.36</v>
      </c>
      <c r="G1991" s="26" t="s">
        <v>3477</v>
      </c>
    </row>
    <row r="1992" spans="1:7">
      <c r="A1992" s="26"/>
      <c r="B1992" s="79" t="s">
        <v>2368</v>
      </c>
      <c r="C1992" s="26"/>
      <c r="D1992" s="26"/>
      <c r="E1992" s="26"/>
      <c r="F1992" s="26"/>
      <c r="G1992" s="26"/>
    </row>
    <row r="1993" spans="1:7">
      <c r="A1993" s="26"/>
      <c r="B1993" s="95" t="s">
        <v>2369</v>
      </c>
      <c r="C1993" s="157" t="s">
        <v>4443</v>
      </c>
      <c r="D1993" s="95" t="s">
        <v>2370</v>
      </c>
      <c r="E1993" s="95" t="s">
        <v>1166</v>
      </c>
      <c r="F1993" s="95" t="s">
        <v>2371</v>
      </c>
      <c r="G1993" s="95" t="s">
        <v>2372</v>
      </c>
    </row>
    <row r="1994" spans="1:7">
      <c r="A1994" s="26"/>
      <c r="B1994" s="114"/>
      <c r="C1994" s="154"/>
      <c r="D1994" s="114"/>
      <c r="E1994" s="114"/>
      <c r="F1994" s="114" t="s">
        <v>3485</v>
      </c>
      <c r="G1994" s="114" t="s">
        <v>3485</v>
      </c>
    </row>
    <row r="1995" spans="1:7">
      <c r="A1995" s="26"/>
      <c r="B1995" s="95">
        <v>1</v>
      </c>
      <c r="C1995" s="135" t="s">
        <v>1048</v>
      </c>
      <c r="D1995" s="95" t="s">
        <v>3478</v>
      </c>
      <c r="E1995" s="190">
        <f>220*F1991</f>
        <v>3599.2</v>
      </c>
      <c r="F1995" s="214">
        <f>'BASIC DATA'!$D$32/1000</f>
        <v>5.35</v>
      </c>
      <c r="G1995" s="190">
        <f>E1995*F1995</f>
        <v>19255.719999999998</v>
      </c>
    </row>
    <row r="1996" spans="1:7">
      <c r="A1996" s="26"/>
      <c r="B1996" s="317"/>
      <c r="C1996" s="135" t="s">
        <v>1049</v>
      </c>
      <c r="D1996" s="105" t="s">
        <v>3478</v>
      </c>
      <c r="E1996" s="190">
        <f>F1991*5</f>
        <v>81.8</v>
      </c>
      <c r="F1996" s="214">
        <f>'BASIC DATA'!$D$32/1000</f>
        <v>5.35</v>
      </c>
      <c r="G1996" s="190">
        <f t="shared" ref="G1996:G2002" si="51">E1996*F1996</f>
        <v>437.62999999999994</v>
      </c>
    </row>
    <row r="1997" spans="1:7">
      <c r="A1997" s="26"/>
      <c r="B1997" s="105">
        <v>2</v>
      </c>
      <c r="C1997" s="135" t="s">
        <v>6996</v>
      </c>
      <c r="D1997" s="105" t="s">
        <v>3477</v>
      </c>
      <c r="E1997" s="190">
        <f>0.9*F1991*0.5</f>
        <v>7.3620000000000001</v>
      </c>
      <c r="F1997" s="214">
        <f>'BASIC DATA'!$D$36</f>
        <v>1175</v>
      </c>
      <c r="G1997" s="190">
        <f t="shared" si="51"/>
        <v>8650.35</v>
      </c>
    </row>
    <row r="1998" spans="1:7">
      <c r="A1998" s="26"/>
      <c r="B1998" s="317"/>
      <c r="C1998" s="135" t="s">
        <v>6995</v>
      </c>
      <c r="D1998" s="105" t="s">
        <v>3477</v>
      </c>
      <c r="E1998" s="190">
        <f>0.9*F1991*0.3</f>
        <v>4.4172000000000002</v>
      </c>
      <c r="F1998" s="214">
        <f>'BASIC DATA'!$D$35</f>
        <v>1225</v>
      </c>
      <c r="G1998" s="190">
        <f t="shared" si="51"/>
        <v>5411.0700000000006</v>
      </c>
    </row>
    <row r="1999" spans="1:7">
      <c r="A1999" s="26"/>
      <c r="B1999" s="317"/>
      <c r="C1999" s="135" t="s">
        <v>1050</v>
      </c>
      <c r="D1999" s="105" t="s">
        <v>3477</v>
      </c>
      <c r="E1999" s="190">
        <f>0.9*F1991*0.2</f>
        <v>2.9448000000000003</v>
      </c>
      <c r="F1999" s="214">
        <f>'BASIC DATA'!$D$34</f>
        <v>900</v>
      </c>
      <c r="G1999" s="190">
        <f t="shared" si="51"/>
        <v>2650.32</v>
      </c>
    </row>
    <row r="2000" spans="1:7">
      <c r="A2000" s="61"/>
      <c r="B2000" s="240">
        <v>3</v>
      </c>
      <c r="C2000" s="326" t="s">
        <v>7941</v>
      </c>
      <c r="D2000" s="240" t="s">
        <v>3477</v>
      </c>
      <c r="E2000" s="255">
        <f>0.4*F1991</f>
        <v>6.5440000000000005</v>
      </c>
      <c r="F2000" s="266">
        <f>'BASIC DATA'!$D$55</f>
        <v>95</v>
      </c>
      <c r="G2000" s="255">
        <f t="shared" si="51"/>
        <v>621.68000000000006</v>
      </c>
    </row>
    <row r="2001" spans="1:7">
      <c r="A2001" s="26"/>
      <c r="B2001" s="105">
        <v>4</v>
      </c>
      <c r="C2001" s="135" t="s">
        <v>523</v>
      </c>
      <c r="D2001" s="105" t="s">
        <v>3478</v>
      </c>
      <c r="E2001" s="190">
        <f>E1995*0.4%</f>
        <v>14.396799999999999</v>
      </c>
      <c r="F2001" s="214">
        <f>'BASIC DATA'!$D$99</f>
        <v>55</v>
      </c>
      <c r="G2001" s="190">
        <f t="shared" si="51"/>
        <v>791.82399999999996</v>
      </c>
    </row>
    <row r="2002" spans="1:7">
      <c r="A2002" s="26"/>
      <c r="B2002" s="105">
        <v>5</v>
      </c>
      <c r="C2002" s="135" t="s">
        <v>7213</v>
      </c>
      <c r="D2002" s="105" t="s">
        <v>3479</v>
      </c>
      <c r="E2002" s="190">
        <f>F1991*2.75</f>
        <v>44.989999999999995</v>
      </c>
      <c r="F2002" s="214">
        <f>F1983</f>
        <v>235.79590324500003</v>
      </c>
      <c r="G2002" s="190">
        <f t="shared" si="51"/>
        <v>10608.457686992549</v>
      </c>
    </row>
    <row r="2003" spans="1:7">
      <c r="A2003" s="26"/>
      <c r="B2003" s="114">
        <v>6</v>
      </c>
      <c r="C2003" s="139" t="s">
        <v>5408</v>
      </c>
      <c r="D2003" s="681">
        <v>0.3</v>
      </c>
      <c r="E2003" s="182"/>
      <c r="F2003" s="182"/>
      <c r="G2003" s="182">
        <f>G2002*D2003</f>
        <v>3182.5373060977649</v>
      </c>
    </row>
    <row r="2004" spans="1:7">
      <c r="A2004" s="26"/>
      <c r="B2004" s="93"/>
      <c r="C2004" s="31" t="s">
        <v>6844</v>
      </c>
      <c r="D2004" s="31" t="s">
        <v>4043</v>
      </c>
      <c r="E2004" s="198"/>
      <c r="F2004" s="327" t="s">
        <v>1698</v>
      </c>
      <c r="G2004" s="190">
        <v>0</v>
      </c>
    </row>
    <row r="2005" spans="1:7">
      <c r="A2005" s="26"/>
      <c r="B2005" s="93"/>
      <c r="C2005" s="31" t="s">
        <v>6845</v>
      </c>
      <c r="D2005" s="31" t="s">
        <v>4043</v>
      </c>
      <c r="E2005" s="198"/>
      <c r="F2005" s="327" t="s">
        <v>1698</v>
      </c>
      <c r="G2005" s="190">
        <v>0</v>
      </c>
    </row>
    <row r="2006" spans="1:7">
      <c r="A2006" s="26"/>
      <c r="B2006" s="92"/>
      <c r="C2006" s="193" t="s">
        <v>2376</v>
      </c>
      <c r="D2006" s="159"/>
      <c r="E2006" s="238"/>
      <c r="F2006" s="236" t="s">
        <v>1698</v>
      </c>
      <c r="G2006" s="318">
        <f>SUM(G1995:G2005)</f>
        <v>51609.588993090314</v>
      </c>
    </row>
    <row r="2007" spans="1:7">
      <c r="A2007" s="26"/>
      <c r="B2007" s="78"/>
      <c r="C2007" s="26"/>
      <c r="D2007" s="26"/>
      <c r="E2007" s="26"/>
      <c r="F2007" s="26"/>
      <c r="G2007" s="26"/>
    </row>
    <row r="2008" spans="1:7">
      <c r="A2008" s="26"/>
      <c r="B2008" s="79" t="s">
        <v>2377</v>
      </c>
      <c r="C2008" s="26"/>
      <c r="D2008" s="26"/>
      <c r="E2008" s="26"/>
      <c r="F2008" s="26"/>
      <c r="G2008" s="26"/>
    </row>
    <row r="2009" spans="1:7">
      <c r="A2009" s="26"/>
      <c r="B2009" s="95" t="s">
        <v>2369</v>
      </c>
      <c r="C2009" s="157" t="s">
        <v>2378</v>
      </c>
      <c r="D2009" s="95" t="s">
        <v>2370</v>
      </c>
      <c r="E2009" s="95" t="s">
        <v>1166</v>
      </c>
      <c r="F2009" s="95" t="s">
        <v>2371</v>
      </c>
      <c r="G2009" s="95" t="s">
        <v>2372</v>
      </c>
    </row>
    <row r="2010" spans="1:7">
      <c r="A2010" s="26"/>
      <c r="B2010" s="114"/>
      <c r="C2010" s="154"/>
      <c r="D2010" s="114"/>
      <c r="E2010" s="114"/>
      <c r="F2010" s="114" t="s">
        <v>3485</v>
      </c>
      <c r="G2010" s="114" t="s">
        <v>3485</v>
      </c>
    </row>
    <row r="2011" spans="1:7">
      <c r="A2011" s="26"/>
      <c r="B2011" s="95">
        <v>1</v>
      </c>
      <c r="C2011" s="153" t="s">
        <v>7214</v>
      </c>
      <c r="D2011" s="175" t="s">
        <v>2374</v>
      </c>
      <c r="E2011" s="179">
        <v>8</v>
      </c>
      <c r="F2011" s="190">
        <f>'HIRE CHARGES'!$D$507</f>
        <v>53.5</v>
      </c>
      <c r="G2011" s="190">
        <f t="shared" ref="G2011:G2016" si="52">E2011*F2011</f>
        <v>428</v>
      </c>
    </row>
    <row r="2012" spans="1:7">
      <c r="A2012" s="26"/>
      <c r="B2012" s="317"/>
      <c r="C2012" s="152" t="s">
        <v>2379</v>
      </c>
      <c r="D2012" s="33" t="s">
        <v>2374</v>
      </c>
      <c r="E2012" s="190">
        <v>8</v>
      </c>
      <c r="F2012" s="190">
        <f>'HIRE CHARGES'!$E$507</f>
        <v>79.3</v>
      </c>
      <c r="G2012" s="190">
        <f t="shared" si="52"/>
        <v>634.4</v>
      </c>
    </row>
    <row r="2013" spans="1:7">
      <c r="A2013" s="26"/>
      <c r="B2013" s="105">
        <v>2</v>
      </c>
      <c r="C2013" s="152" t="s">
        <v>189</v>
      </c>
      <c r="D2013" s="33" t="s">
        <v>2374</v>
      </c>
      <c r="E2013" s="190">
        <v>0.5</v>
      </c>
      <c r="F2013" s="190">
        <f>'HIRE CHARGES'!$D$517</f>
        <v>10.199999999999999</v>
      </c>
      <c r="G2013" s="190">
        <f t="shared" si="52"/>
        <v>5.0999999999999996</v>
      </c>
    </row>
    <row r="2014" spans="1:7">
      <c r="A2014" s="26"/>
      <c r="B2014" s="317"/>
      <c r="C2014" s="152" t="s">
        <v>2379</v>
      </c>
      <c r="D2014" s="33" t="s">
        <v>2374</v>
      </c>
      <c r="E2014" s="190">
        <v>0.5</v>
      </c>
      <c r="F2014" s="190">
        <f>'HIRE CHARGES'!$E$517</f>
        <v>79.3</v>
      </c>
      <c r="G2014" s="190">
        <f t="shared" si="52"/>
        <v>39.65</v>
      </c>
    </row>
    <row r="2015" spans="1:7">
      <c r="A2015" s="26"/>
      <c r="B2015" s="105">
        <v>3</v>
      </c>
      <c r="C2015" s="152" t="s">
        <v>526</v>
      </c>
      <c r="D2015" s="33" t="s">
        <v>2374</v>
      </c>
      <c r="E2015" s="190">
        <v>8</v>
      </c>
      <c r="F2015" s="190">
        <f>'HIRE CHARGES'!$D$531</f>
        <v>7.6</v>
      </c>
      <c r="G2015" s="190">
        <f t="shared" si="52"/>
        <v>60.8</v>
      </c>
    </row>
    <row r="2016" spans="1:7">
      <c r="A2016" s="26"/>
      <c r="B2016" s="365"/>
      <c r="C2016" s="116" t="s">
        <v>2379</v>
      </c>
      <c r="D2016" s="33" t="s">
        <v>2374</v>
      </c>
      <c r="E2016" s="182">
        <v>8</v>
      </c>
      <c r="F2016" s="207">
        <f>'HIRE CHARGES'!$E$531</f>
        <v>18.8</v>
      </c>
      <c r="G2016" s="190">
        <f t="shared" si="52"/>
        <v>150.4</v>
      </c>
    </row>
    <row r="2017" spans="1:7">
      <c r="A2017" s="26"/>
      <c r="B2017" s="176"/>
      <c r="C2017" s="172" t="s">
        <v>2380</v>
      </c>
      <c r="D2017" s="174"/>
      <c r="E2017" s="192"/>
      <c r="F2017" s="236" t="s">
        <v>1698</v>
      </c>
      <c r="G2017" s="318">
        <f>SUM(G2011:G2016)</f>
        <v>1318.3500000000001</v>
      </c>
    </row>
    <row r="2018" spans="1:7">
      <c r="A2018" s="26"/>
      <c r="B2018" s="78"/>
      <c r="C2018" s="26"/>
      <c r="D2018" s="26"/>
      <c r="E2018" s="26"/>
      <c r="F2018" s="26"/>
      <c r="G2018" s="26"/>
    </row>
    <row r="2019" spans="1:7">
      <c r="A2019" s="26"/>
      <c r="B2019" s="79" t="s">
        <v>2381</v>
      </c>
      <c r="C2019" s="26"/>
      <c r="D2019" s="26"/>
      <c r="E2019" s="26"/>
      <c r="F2019" s="26"/>
      <c r="G2019" s="26"/>
    </row>
    <row r="2020" spans="1:7">
      <c r="A2020" s="26"/>
      <c r="B2020" s="95" t="s">
        <v>2369</v>
      </c>
      <c r="C2020" s="157" t="s">
        <v>2378</v>
      </c>
      <c r="D2020" s="95" t="s">
        <v>2370</v>
      </c>
      <c r="E2020" s="95" t="s">
        <v>1166</v>
      </c>
      <c r="F2020" s="95" t="s">
        <v>2371</v>
      </c>
      <c r="G2020" s="95" t="s">
        <v>2372</v>
      </c>
    </row>
    <row r="2021" spans="1:7">
      <c r="A2021" s="26"/>
      <c r="B2021" s="114"/>
      <c r="C2021" s="154"/>
      <c r="D2021" s="105"/>
      <c r="E2021" s="105"/>
      <c r="F2021" s="105" t="s">
        <v>3485</v>
      </c>
      <c r="G2021" s="114" t="s">
        <v>3485</v>
      </c>
    </row>
    <row r="2022" spans="1:7">
      <c r="A2022" s="26"/>
      <c r="B2022" s="105">
        <v>1</v>
      </c>
      <c r="C2022" s="76" t="s">
        <v>527</v>
      </c>
      <c r="D2022" s="95" t="s">
        <v>2374</v>
      </c>
      <c r="E2022" s="179">
        <v>8</v>
      </c>
      <c r="F2022" s="179">
        <f>'HIRE CHARGES'!$F$507</f>
        <v>219.7</v>
      </c>
      <c r="G2022" s="207">
        <f>E2022*F2022</f>
        <v>1757.6</v>
      </c>
    </row>
    <row r="2023" spans="1:7">
      <c r="A2023" s="26"/>
      <c r="B2023" s="105">
        <v>2</v>
      </c>
      <c r="C2023" s="76" t="s">
        <v>999</v>
      </c>
      <c r="D2023" s="105" t="s">
        <v>2374</v>
      </c>
      <c r="E2023" s="190">
        <v>0.5</v>
      </c>
      <c r="F2023" s="190">
        <f>'HIRE CHARGES'!$F$517</f>
        <v>111.1</v>
      </c>
      <c r="G2023" s="207">
        <f t="shared" ref="G2023:G2033" si="53">E2023*F2023</f>
        <v>55.55</v>
      </c>
    </row>
    <row r="2024" spans="1:7">
      <c r="A2024" s="26"/>
      <c r="B2024" s="105">
        <v>3</v>
      </c>
      <c r="C2024" s="76" t="s">
        <v>439</v>
      </c>
      <c r="D2024" s="105" t="s">
        <v>2374</v>
      </c>
      <c r="E2024" s="190">
        <v>8</v>
      </c>
      <c r="F2024" s="190">
        <f>'HIRE CHARGES'!$F$531</f>
        <v>158.19999999999999</v>
      </c>
      <c r="G2024" s="207">
        <f t="shared" si="53"/>
        <v>1265.5999999999999</v>
      </c>
    </row>
    <row r="2025" spans="1:7">
      <c r="A2025" s="26"/>
      <c r="B2025" s="105">
        <v>4</v>
      </c>
      <c r="C2025" s="76" t="s">
        <v>440</v>
      </c>
      <c r="D2025" s="105" t="s">
        <v>1172</v>
      </c>
      <c r="E2025" s="190">
        <v>1</v>
      </c>
      <c r="F2025" s="190">
        <f>'BASIC DATA'!$C$474</f>
        <v>445</v>
      </c>
      <c r="G2025" s="207">
        <f t="shared" si="53"/>
        <v>445</v>
      </c>
    </row>
    <row r="2026" spans="1:7">
      <c r="A2026" s="26"/>
      <c r="B2026" s="105">
        <v>5</v>
      </c>
      <c r="C2026" s="76" t="s">
        <v>4206</v>
      </c>
      <c r="D2026" s="105" t="s">
        <v>1172</v>
      </c>
      <c r="E2026" s="190">
        <v>1</v>
      </c>
      <c r="F2026" s="190">
        <f>'BASIC DATA'!$C$473</f>
        <v>450</v>
      </c>
      <c r="G2026" s="207">
        <f t="shared" si="53"/>
        <v>450</v>
      </c>
    </row>
    <row r="2027" spans="1:7">
      <c r="A2027" s="26"/>
      <c r="B2027" s="105">
        <v>6</v>
      </c>
      <c r="C2027" s="76" t="s">
        <v>2697</v>
      </c>
      <c r="D2027" s="105"/>
      <c r="E2027" s="190"/>
      <c r="F2027" s="190"/>
      <c r="G2027" s="207"/>
    </row>
    <row r="2028" spans="1:7">
      <c r="A2028" s="26"/>
      <c r="B2028" s="317"/>
      <c r="C2028" s="76" t="s">
        <v>441</v>
      </c>
      <c r="D2028" s="105" t="s">
        <v>1172</v>
      </c>
      <c r="E2028" s="190">
        <v>11</v>
      </c>
      <c r="F2028" s="190">
        <f>'BASIC DATA'!$C$552</f>
        <v>350</v>
      </c>
      <c r="G2028" s="207">
        <f t="shared" si="53"/>
        <v>3850</v>
      </c>
    </row>
    <row r="2029" spans="1:7">
      <c r="A2029" s="26"/>
      <c r="B2029" s="317"/>
      <c r="C2029" s="76" t="s">
        <v>442</v>
      </c>
      <c r="D2029" s="105" t="s">
        <v>1172</v>
      </c>
      <c r="E2029" s="190">
        <v>4</v>
      </c>
      <c r="F2029" s="190">
        <f>'BASIC DATA'!$C$552</f>
        <v>350</v>
      </c>
      <c r="G2029" s="207">
        <f t="shared" si="53"/>
        <v>1400</v>
      </c>
    </row>
    <row r="2030" spans="1:7">
      <c r="A2030" s="26"/>
      <c r="B2030" s="317"/>
      <c r="C2030" s="76" t="s">
        <v>5151</v>
      </c>
      <c r="D2030" s="105" t="s">
        <v>1172</v>
      </c>
      <c r="E2030" s="190">
        <v>5</v>
      </c>
      <c r="F2030" s="190">
        <f>'BASIC DATA'!$C$552</f>
        <v>350</v>
      </c>
      <c r="G2030" s="207">
        <f t="shared" si="53"/>
        <v>1750</v>
      </c>
    </row>
    <row r="2031" spans="1:7">
      <c r="A2031" s="26"/>
      <c r="B2031" s="317"/>
      <c r="C2031" s="76" t="s">
        <v>444</v>
      </c>
      <c r="D2031" s="105" t="s">
        <v>1172</v>
      </c>
      <c r="E2031" s="190">
        <f>F1991</f>
        <v>16.36</v>
      </c>
      <c r="F2031" s="190">
        <f>'BASIC DATA'!$C$552</f>
        <v>350</v>
      </c>
      <c r="G2031" s="207">
        <f t="shared" si="53"/>
        <v>5726</v>
      </c>
    </row>
    <row r="2032" spans="1:7">
      <c r="A2032" s="26"/>
      <c r="B2032" s="317"/>
      <c r="C2032" s="76" t="s">
        <v>445</v>
      </c>
      <c r="D2032" s="105" t="s">
        <v>1172</v>
      </c>
      <c r="E2032" s="190">
        <v>1</v>
      </c>
      <c r="F2032" s="190">
        <f>'BASIC DATA'!$C$552</f>
        <v>350</v>
      </c>
      <c r="G2032" s="207">
        <f t="shared" si="53"/>
        <v>350</v>
      </c>
    </row>
    <row r="2033" spans="1:7">
      <c r="A2033" s="26"/>
      <c r="B2033" s="105">
        <v>7</v>
      </c>
      <c r="C2033" s="76" t="s">
        <v>7215</v>
      </c>
      <c r="D2033" s="105" t="s">
        <v>3479</v>
      </c>
      <c r="E2033" s="190">
        <f>F1991*2.75</f>
        <v>44.989999999999995</v>
      </c>
      <c r="F2033" s="190">
        <f>F1985</f>
        <v>88.5</v>
      </c>
      <c r="G2033" s="207">
        <f t="shared" si="53"/>
        <v>3981.6149999999993</v>
      </c>
    </row>
    <row r="2034" spans="1:7">
      <c r="A2034" s="26"/>
      <c r="B2034" s="365"/>
      <c r="C2034" s="76" t="s">
        <v>6402</v>
      </c>
      <c r="D2034" s="681">
        <v>0.3</v>
      </c>
      <c r="E2034" s="182"/>
      <c r="F2034" s="182"/>
      <c r="G2034" s="207">
        <f>G2033*D2034</f>
        <v>1194.4844999999998</v>
      </c>
    </row>
    <row r="2035" spans="1:7">
      <c r="A2035" s="26"/>
      <c r="B2035" s="92"/>
      <c r="C2035" s="193" t="s">
        <v>1174</v>
      </c>
      <c r="D2035" s="159"/>
      <c r="E2035" s="238"/>
      <c r="F2035" s="236" t="s">
        <v>1698</v>
      </c>
      <c r="G2035" s="318">
        <f>SUM(G2022:G2034)</f>
        <v>22225.849499999997</v>
      </c>
    </row>
    <row r="2036" spans="1:7">
      <c r="A2036" s="26"/>
      <c r="B2036" s="60" t="s">
        <v>5948</v>
      </c>
      <c r="C2036" s="31"/>
      <c r="D2036" s="31"/>
      <c r="E2036" s="85">
        <f>ROUND(G2035/F1991,1)</f>
        <v>1358.5</v>
      </c>
      <c r="F2036" s="26"/>
      <c r="G2036" s="26"/>
    </row>
    <row r="2037" spans="1:7">
      <c r="A2037" s="26"/>
      <c r="B2037" s="60" t="s">
        <v>3163</v>
      </c>
      <c r="C2037" s="31"/>
      <c r="D2037" s="31">
        <f>'BASIC DATA'!$C$577</f>
        <v>0.13614999999999999</v>
      </c>
      <c r="E2037" s="85">
        <f>ROUND(E2036*D2037,1)</f>
        <v>185</v>
      </c>
      <c r="F2037" s="26"/>
      <c r="G2037" s="26"/>
    </row>
    <row r="2038" spans="1:7">
      <c r="A2038" s="26"/>
      <c r="B2038" s="60" t="s">
        <v>5949</v>
      </c>
      <c r="C2038" s="31"/>
      <c r="D2038" s="31"/>
      <c r="E2038" s="199">
        <f>ROUND(E2037+E2036,1)</f>
        <v>1543.5</v>
      </c>
      <c r="F2038" s="57"/>
      <c r="G2038" s="26"/>
    </row>
    <row r="2039" spans="1:7">
      <c r="A2039" s="26"/>
      <c r="B2039" s="78"/>
      <c r="C2039" s="26"/>
      <c r="D2039" s="26"/>
      <c r="E2039" s="26"/>
      <c r="F2039" s="26"/>
      <c r="G2039" s="26"/>
    </row>
    <row r="2040" spans="1:7">
      <c r="A2040" s="26"/>
      <c r="B2040" s="170" t="s">
        <v>1175</v>
      </c>
      <c r="C2040" s="26"/>
      <c r="D2040" s="26"/>
      <c r="E2040" s="26"/>
      <c r="F2040" s="26"/>
      <c r="G2040" s="26"/>
    </row>
    <row r="2041" spans="1:7">
      <c r="A2041" s="26"/>
      <c r="B2041" s="26" t="s">
        <v>5010</v>
      </c>
      <c r="C2041" s="26"/>
      <c r="D2041" s="26"/>
      <c r="E2041" s="26"/>
      <c r="F2041" s="171" t="s">
        <v>1698</v>
      </c>
      <c r="G2041" s="68">
        <f>G2006</f>
        <v>51609.588993090314</v>
      </c>
    </row>
    <row r="2042" spans="1:7">
      <c r="A2042" s="26"/>
      <c r="B2042" s="26" t="s">
        <v>1186</v>
      </c>
      <c r="C2042" s="26"/>
      <c r="D2042" s="26"/>
      <c r="E2042" s="26"/>
      <c r="F2042" s="171" t="s">
        <v>1698</v>
      </c>
      <c r="G2042" s="68">
        <f>G2017</f>
        <v>1318.3500000000001</v>
      </c>
    </row>
    <row r="2043" spans="1:7">
      <c r="A2043" s="26"/>
      <c r="B2043" s="26" t="s">
        <v>2660</v>
      </c>
      <c r="C2043" s="26"/>
      <c r="D2043" s="26"/>
      <c r="E2043" s="26"/>
      <c r="F2043" s="171" t="s">
        <v>1698</v>
      </c>
      <c r="G2043" s="75">
        <f>G2035</f>
        <v>22225.849499999997</v>
      </c>
    </row>
    <row r="2044" spans="1:7">
      <c r="A2044" s="26"/>
      <c r="B2044" s="78"/>
      <c r="C2044" s="26"/>
      <c r="D2044" s="26"/>
      <c r="E2044" s="171"/>
      <c r="F2044" s="171" t="s">
        <v>302</v>
      </c>
      <c r="G2044" s="205">
        <f>SUM(G2041:G2043)</f>
        <v>75153.788493090309</v>
      </c>
    </row>
    <row r="2045" spans="1:7">
      <c r="A2045" s="26"/>
      <c r="B2045" s="1206" t="s">
        <v>1379</v>
      </c>
      <c r="C2045" s="1206"/>
      <c r="D2045" s="26"/>
      <c r="E2045" s="249">
        <f>'BASIC DATA'!$C$577</f>
        <v>0.13614999999999999</v>
      </c>
      <c r="F2045" s="26" t="s">
        <v>1698</v>
      </c>
      <c r="G2045" s="26">
        <f>ROUND(G2044*E2045,2)</f>
        <v>10232.19</v>
      </c>
    </row>
    <row r="2046" spans="1:7">
      <c r="A2046" s="26"/>
      <c r="B2046" s="26" t="s">
        <v>1191</v>
      </c>
      <c r="C2046" s="26"/>
      <c r="D2046" s="68">
        <f>F1991</f>
        <v>16.36</v>
      </c>
      <c r="E2046" s="68" t="str">
        <f>G1991</f>
        <v>cum</v>
      </c>
      <c r="F2046" s="26" t="s">
        <v>1698</v>
      </c>
      <c r="G2046" s="211">
        <f>G2045+G2044</f>
        <v>85385.978493090312</v>
      </c>
    </row>
    <row r="2047" spans="1:7">
      <c r="A2047" s="26"/>
      <c r="B2047" s="170" t="s">
        <v>1584</v>
      </c>
      <c r="C2047" s="211" t="str">
        <f>E2046</f>
        <v>cum</v>
      </c>
      <c r="D2047" s="26" t="s">
        <v>7676</v>
      </c>
      <c r="E2047" s="26"/>
      <c r="F2047" s="26" t="s">
        <v>4108</v>
      </c>
      <c r="G2047" s="211">
        <f>ROUND(G2046/D2046,1)</f>
        <v>5219.2</v>
      </c>
    </row>
    <row r="2048" spans="1:7">
      <c r="A2048" s="26"/>
      <c r="B2048" s="78"/>
      <c r="C2048" s="26"/>
      <c r="D2048" s="26"/>
      <c r="E2048" s="26"/>
      <c r="F2048" s="26"/>
      <c r="G2048" s="26"/>
    </row>
    <row r="2049" spans="1:7">
      <c r="A2049" s="26"/>
      <c r="B2049" s="78"/>
      <c r="C2049" s="26"/>
      <c r="D2049" s="26"/>
      <c r="E2049" s="26"/>
      <c r="F2049" s="26"/>
      <c r="G2049" s="26"/>
    </row>
    <row r="2050" spans="1:7" ht="18.75">
      <c r="A2050" s="78" t="s">
        <v>7559</v>
      </c>
      <c r="B2050" s="26" t="s">
        <v>8618</v>
      </c>
      <c r="C2050" s="26"/>
      <c r="D2050" s="26"/>
      <c r="E2050" s="26"/>
      <c r="F2050" s="26"/>
      <c r="G2050" s="26"/>
    </row>
    <row r="2051" spans="1:7" ht="18.75">
      <c r="A2051" s="78"/>
      <c r="B2051" s="26" t="s">
        <v>8921</v>
      </c>
      <c r="C2051" s="26"/>
      <c r="D2051" s="26"/>
      <c r="E2051" s="26"/>
      <c r="F2051" s="26"/>
      <c r="G2051" s="26"/>
    </row>
    <row r="2052" spans="1:7">
      <c r="A2052" s="78"/>
      <c r="B2052" s="26" t="s">
        <v>8949</v>
      </c>
      <c r="C2052" s="26"/>
      <c r="D2052" s="26"/>
      <c r="E2052" s="26"/>
      <c r="F2052" s="26"/>
      <c r="G2052" s="26"/>
    </row>
    <row r="2053" spans="1:7">
      <c r="A2053" s="78"/>
      <c r="B2053" s="26" t="s">
        <v>6528</v>
      </c>
      <c r="C2053" s="26"/>
      <c r="D2053" s="26"/>
      <c r="E2053" s="26"/>
      <c r="F2053" s="26"/>
      <c r="G2053" s="26"/>
    </row>
    <row r="2054" spans="1:7" ht="18.75">
      <c r="A2054" s="78"/>
      <c r="B2054" s="26" t="s">
        <v>8950</v>
      </c>
      <c r="C2054" s="26"/>
      <c r="D2054" s="26"/>
      <c r="E2054" s="26"/>
      <c r="F2054" s="26"/>
      <c r="G2054" s="26"/>
    </row>
    <row r="2055" spans="1:7">
      <c r="A2055" s="78"/>
      <c r="B2055" s="170" t="s">
        <v>7783</v>
      </c>
      <c r="C2055" s="26"/>
      <c r="D2055" s="26"/>
      <c r="E2055" s="26"/>
      <c r="F2055" s="26"/>
      <c r="G2055" s="26"/>
    </row>
    <row r="2056" spans="1:7">
      <c r="A2056" s="62"/>
      <c r="B2056" s="248" t="s">
        <v>4521</v>
      </c>
      <c r="C2056" s="61"/>
      <c r="D2056" s="61"/>
      <c r="E2056" s="61"/>
      <c r="F2056" s="61"/>
      <c r="G2056" s="61"/>
    </row>
    <row r="2057" spans="1:7">
      <c r="A2057" s="78"/>
      <c r="B2057" s="26"/>
      <c r="C2057" s="26"/>
      <c r="D2057" s="26"/>
      <c r="E2057" s="26"/>
      <c r="F2057" s="26"/>
      <c r="G2057" s="26"/>
    </row>
    <row r="2058" spans="1:7">
      <c r="A2058" s="78" t="s">
        <v>1940</v>
      </c>
      <c r="B2058" s="26" t="s">
        <v>1351</v>
      </c>
      <c r="C2058" s="26"/>
      <c r="D2058" s="26"/>
      <c r="E2058" s="26"/>
      <c r="F2058" s="26"/>
      <c r="G2058" s="26"/>
    </row>
    <row r="2059" spans="1:7">
      <c r="A2059" s="78"/>
      <c r="B2059" s="26"/>
      <c r="C2059" s="26"/>
      <c r="D2059" s="26"/>
      <c r="E2059" s="26"/>
      <c r="F2059" s="26"/>
      <c r="G2059" s="26"/>
    </row>
    <row r="2060" spans="1:7">
      <c r="A2060" s="78" t="s">
        <v>3984</v>
      </c>
      <c r="B2060" s="26" t="s">
        <v>5780</v>
      </c>
      <c r="C2060" s="26"/>
      <c r="D2060" s="26"/>
      <c r="E2060" s="26"/>
      <c r="F2060" s="26"/>
      <c r="G2060" s="26"/>
    </row>
    <row r="2061" spans="1:7">
      <c r="A2061" s="78"/>
      <c r="B2061" s="26" t="s">
        <v>4477</v>
      </c>
      <c r="C2061" s="26"/>
      <c r="D2061" s="26"/>
      <c r="E2061" s="26"/>
      <c r="F2061" s="26"/>
      <c r="G2061" s="26"/>
    </row>
    <row r="2062" spans="1:7">
      <c r="A2062" s="78"/>
      <c r="B2062" s="26" t="s">
        <v>7810</v>
      </c>
      <c r="C2062" s="26"/>
      <c r="D2062" s="26"/>
      <c r="E2062" s="26"/>
      <c r="F2062" s="26"/>
      <c r="G2062" s="26"/>
    </row>
    <row r="2063" spans="1:7">
      <c r="A2063" s="78"/>
      <c r="B2063" s="26" t="s">
        <v>7811</v>
      </c>
      <c r="C2063" s="26"/>
      <c r="D2063" s="26">
        <f>ROUND(50*13*8/320,2)</f>
        <v>16.25</v>
      </c>
      <c r="E2063" s="26" t="s">
        <v>3760</v>
      </c>
      <c r="F2063" s="26"/>
      <c r="G2063" s="26"/>
    </row>
    <row r="2064" spans="1:7">
      <c r="A2064" s="78"/>
      <c r="B2064" s="26" t="s">
        <v>2843</v>
      </c>
      <c r="C2064" s="26"/>
      <c r="D2064" s="26"/>
      <c r="E2064" s="26"/>
      <c r="F2064" s="26"/>
      <c r="G2064" s="26"/>
    </row>
    <row r="2065" spans="1:7">
      <c r="A2065" s="78"/>
      <c r="B2065" s="26" t="s">
        <v>4478</v>
      </c>
      <c r="C2065" s="26"/>
      <c r="D2065" s="26"/>
      <c r="E2065" s="26"/>
      <c r="F2065" s="26"/>
      <c r="G2065" s="26"/>
    </row>
    <row r="2066" spans="1:7">
      <c r="A2066" s="78"/>
      <c r="B2066" s="26" t="s">
        <v>1990</v>
      </c>
      <c r="C2066" s="26"/>
      <c r="D2066" s="26"/>
      <c r="E2066" s="26"/>
      <c r="F2066" s="68">
        <f>G618</f>
        <v>224.56752690000002</v>
      </c>
      <c r="G2066" s="26" t="s">
        <v>1168</v>
      </c>
    </row>
    <row r="2067" spans="1:7">
      <c r="A2067" s="78"/>
      <c r="B2067" s="26" t="s">
        <v>6133</v>
      </c>
      <c r="C2067" s="26"/>
      <c r="D2067" s="26"/>
      <c r="E2067" s="26"/>
      <c r="F2067" s="26"/>
      <c r="G2067" s="26"/>
    </row>
    <row r="2068" spans="1:7">
      <c r="A2068" s="78"/>
      <c r="B2068" s="26" t="s">
        <v>1991</v>
      </c>
      <c r="C2068" s="26"/>
      <c r="D2068" s="26"/>
      <c r="E2068" s="26"/>
      <c r="F2068" s="68">
        <f>G644</f>
        <v>88.5</v>
      </c>
      <c r="G2068" s="26" t="s">
        <v>1168</v>
      </c>
    </row>
    <row r="2069" spans="1:7">
      <c r="A2069" s="78"/>
      <c r="B2069" s="26" t="s">
        <v>2104</v>
      </c>
      <c r="C2069" s="26"/>
      <c r="D2069" s="26"/>
      <c r="E2069" s="26"/>
      <c r="F2069" s="26"/>
      <c r="G2069" s="26"/>
    </row>
    <row r="2070" spans="1:7">
      <c r="A2070" s="78"/>
      <c r="B2070" s="26" t="s">
        <v>451</v>
      </c>
      <c r="C2070" s="26"/>
      <c r="D2070" s="26"/>
      <c r="E2070" s="26"/>
      <c r="F2070" s="26"/>
      <c r="G2070" s="26"/>
    </row>
    <row r="2071" spans="1:7">
      <c r="A2071" s="62"/>
      <c r="B2071" s="61" t="s">
        <v>1989</v>
      </c>
      <c r="C2071" s="61"/>
      <c r="D2071" s="61"/>
      <c r="E2071" s="61"/>
      <c r="F2071" s="61"/>
      <c r="G2071" s="61"/>
    </row>
    <row r="2072" spans="1:7">
      <c r="A2072" s="62"/>
      <c r="B2072" s="61" t="s">
        <v>2105</v>
      </c>
      <c r="C2072" s="61"/>
      <c r="D2072" s="61"/>
      <c r="E2072" s="61"/>
      <c r="F2072" s="61"/>
      <c r="G2072" s="61"/>
    </row>
    <row r="2073" spans="1:7">
      <c r="A2073" s="26"/>
      <c r="B2073" s="78"/>
      <c r="C2073" s="26"/>
      <c r="D2073" s="26"/>
      <c r="E2073" s="26"/>
      <c r="F2073" s="26"/>
      <c r="G2073" s="26"/>
    </row>
    <row r="2074" spans="1:7">
      <c r="A2074" s="78" t="s">
        <v>3984</v>
      </c>
      <c r="B2074" s="78"/>
      <c r="C2074" s="203" t="s">
        <v>2367</v>
      </c>
      <c r="D2074" s="26"/>
      <c r="E2074" s="171" t="s">
        <v>297</v>
      </c>
      <c r="F2074" s="246">
        <f>D2063</f>
        <v>16.25</v>
      </c>
      <c r="G2074" s="26" t="s">
        <v>3477</v>
      </c>
    </row>
    <row r="2075" spans="1:7">
      <c r="A2075" s="26"/>
      <c r="B2075" s="79" t="s">
        <v>2368</v>
      </c>
      <c r="C2075" s="26"/>
      <c r="D2075" s="26"/>
      <c r="E2075" s="26"/>
      <c r="F2075" s="26"/>
      <c r="G2075" s="26"/>
    </row>
    <row r="2076" spans="1:7">
      <c r="A2076" s="26"/>
      <c r="B2076" s="95" t="s">
        <v>2369</v>
      </c>
      <c r="C2076" s="157" t="s">
        <v>4443</v>
      </c>
      <c r="D2076" s="95" t="s">
        <v>2370</v>
      </c>
      <c r="E2076" s="95" t="s">
        <v>1166</v>
      </c>
      <c r="F2076" s="95" t="s">
        <v>2371</v>
      </c>
      <c r="G2076" s="95" t="s">
        <v>2372</v>
      </c>
    </row>
    <row r="2077" spans="1:7">
      <c r="A2077" s="26"/>
      <c r="B2077" s="114"/>
      <c r="C2077" s="154"/>
      <c r="D2077" s="114"/>
      <c r="E2077" s="114"/>
      <c r="F2077" s="114" t="s">
        <v>3485</v>
      </c>
      <c r="G2077" s="114" t="s">
        <v>3485</v>
      </c>
    </row>
    <row r="2078" spans="1:7">
      <c r="A2078" s="26"/>
      <c r="B2078" s="95">
        <v>1</v>
      </c>
      <c r="C2078" s="135" t="s">
        <v>1048</v>
      </c>
      <c r="D2078" s="95" t="s">
        <v>3478</v>
      </c>
      <c r="E2078" s="190">
        <f>320*F2074</f>
        <v>5200</v>
      </c>
      <c r="F2078" s="214">
        <f>'BASIC DATA'!$D$32/1000</f>
        <v>5.35</v>
      </c>
      <c r="G2078" s="190">
        <f>E2078*F2078</f>
        <v>27819.999999999996</v>
      </c>
    </row>
    <row r="2079" spans="1:7">
      <c r="A2079" s="26"/>
      <c r="B2079" s="317"/>
      <c r="C2079" s="135" t="s">
        <v>1049</v>
      </c>
      <c r="D2079" s="105" t="s">
        <v>3478</v>
      </c>
      <c r="E2079" s="190">
        <f>F2074*5</f>
        <v>81.25</v>
      </c>
      <c r="F2079" s="214">
        <f>'BASIC DATA'!$D$32/1000</f>
        <v>5.35</v>
      </c>
      <c r="G2079" s="190">
        <f t="shared" ref="G2079:G2087" si="54">E2079*F2079</f>
        <v>434.68749999999994</v>
      </c>
    </row>
    <row r="2080" spans="1:7">
      <c r="A2080" s="26"/>
      <c r="B2080" s="105">
        <v>2</v>
      </c>
      <c r="C2080" s="135" t="s">
        <v>6996</v>
      </c>
      <c r="D2080" s="105" t="s">
        <v>3477</v>
      </c>
      <c r="E2080" s="190">
        <f>0.9*F2074*0.5</f>
        <v>7.3125</v>
      </c>
      <c r="F2080" s="214">
        <f>'BASIC DATA'!$D$36</f>
        <v>1175</v>
      </c>
      <c r="G2080" s="190">
        <f t="shared" si="54"/>
        <v>8592.1875</v>
      </c>
    </row>
    <row r="2081" spans="1:7">
      <c r="A2081" s="26"/>
      <c r="B2081" s="317"/>
      <c r="C2081" s="135" t="s">
        <v>6995</v>
      </c>
      <c r="D2081" s="105" t="s">
        <v>3477</v>
      </c>
      <c r="E2081" s="190">
        <f>0.9*F2074*0.3</f>
        <v>4.3875000000000002</v>
      </c>
      <c r="F2081" s="214">
        <f>'BASIC DATA'!$D$35</f>
        <v>1225</v>
      </c>
      <c r="G2081" s="190">
        <f t="shared" si="54"/>
        <v>5374.6875</v>
      </c>
    </row>
    <row r="2082" spans="1:7">
      <c r="A2082" s="26"/>
      <c r="B2082" s="317"/>
      <c r="C2082" s="135" t="s">
        <v>1050</v>
      </c>
      <c r="D2082" s="105" t="s">
        <v>3477</v>
      </c>
      <c r="E2082" s="190">
        <f>0.9*F2074*0.2</f>
        <v>2.9250000000000003</v>
      </c>
      <c r="F2082" s="214">
        <f>'BASIC DATA'!$D$34</f>
        <v>900</v>
      </c>
      <c r="G2082" s="190">
        <f t="shared" si="54"/>
        <v>2632.5000000000005</v>
      </c>
    </row>
    <row r="2083" spans="1:7">
      <c r="A2083" s="61"/>
      <c r="B2083" s="240">
        <v>3</v>
      </c>
      <c r="C2083" s="326" t="s">
        <v>7941</v>
      </c>
      <c r="D2083" s="240" t="s">
        <v>3477</v>
      </c>
      <c r="E2083" s="255">
        <f>0.4*F2074</f>
        <v>6.5</v>
      </c>
      <c r="F2083" s="266">
        <f>'BASIC DATA'!$D$55</f>
        <v>95</v>
      </c>
      <c r="G2083" s="255">
        <f t="shared" si="54"/>
        <v>617.5</v>
      </c>
    </row>
    <row r="2084" spans="1:7">
      <c r="A2084" s="26"/>
      <c r="B2084" s="105">
        <v>4</v>
      </c>
      <c r="C2084" s="135" t="s">
        <v>523</v>
      </c>
      <c r="D2084" s="105" t="s">
        <v>3478</v>
      </c>
      <c r="E2084" s="190">
        <f>E2078*0.4%</f>
        <v>20.8</v>
      </c>
      <c r="F2084" s="214">
        <f>'BASIC DATA'!$D$99</f>
        <v>55</v>
      </c>
      <c r="G2084" s="190">
        <f t="shared" si="54"/>
        <v>1144</v>
      </c>
    </row>
    <row r="2085" spans="1:7">
      <c r="A2085" s="26"/>
      <c r="B2085" s="105">
        <v>5</v>
      </c>
      <c r="C2085" s="135" t="s">
        <v>7213</v>
      </c>
      <c r="D2085" s="105" t="s">
        <v>3479</v>
      </c>
      <c r="E2085" s="190">
        <f>F2074*3.25</f>
        <v>52.8125</v>
      </c>
      <c r="F2085" s="214">
        <f>F2066</f>
        <v>224.56752690000002</v>
      </c>
      <c r="G2085" s="190">
        <f t="shared" si="54"/>
        <v>11859.97251440625</v>
      </c>
    </row>
    <row r="2086" spans="1:7">
      <c r="A2086" s="26"/>
      <c r="B2086" s="317"/>
      <c r="C2086" s="135" t="s">
        <v>5408</v>
      </c>
      <c r="D2086" s="224">
        <v>0.25</v>
      </c>
      <c r="E2086" s="190"/>
      <c r="F2086" s="214"/>
      <c r="G2086" s="190">
        <f>G2085*D2086</f>
        <v>2964.9931286015626</v>
      </c>
    </row>
    <row r="2087" spans="1:7">
      <c r="A2087" s="26"/>
      <c r="B2087" s="114">
        <v>6</v>
      </c>
      <c r="C2087" s="135" t="s">
        <v>2373</v>
      </c>
      <c r="D2087" s="105" t="s">
        <v>2173</v>
      </c>
      <c r="E2087" s="190">
        <v>0.5</v>
      </c>
      <c r="F2087" s="214">
        <f>'BASIC DATA'!$D$359</f>
        <v>30</v>
      </c>
      <c r="G2087" s="190">
        <f t="shared" si="54"/>
        <v>15</v>
      </c>
    </row>
    <row r="2088" spans="1:7">
      <c r="A2088" s="26"/>
      <c r="B2088" s="93"/>
      <c r="C2088" s="31" t="s">
        <v>6844</v>
      </c>
      <c r="D2088" s="31" t="s">
        <v>4043</v>
      </c>
      <c r="E2088" s="198"/>
      <c r="F2088" s="327" t="s">
        <v>1698</v>
      </c>
      <c r="G2088" s="190">
        <v>0</v>
      </c>
    </row>
    <row r="2089" spans="1:7">
      <c r="A2089" s="26"/>
      <c r="B2089" s="93"/>
      <c r="C2089" s="31" t="s">
        <v>6845</v>
      </c>
      <c r="D2089" s="31" t="s">
        <v>4043</v>
      </c>
      <c r="E2089" s="198"/>
      <c r="F2089" s="327" t="s">
        <v>1698</v>
      </c>
      <c r="G2089" s="190">
        <v>0</v>
      </c>
    </row>
    <row r="2090" spans="1:7">
      <c r="A2090" s="26"/>
      <c r="B2090" s="92"/>
      <c r="C2090" s="193" t="s">
        <v>2376</v>
      </c>
      <c r="D2090" s="159"/>
      <c r="E2090" s="238"/>
      <c r="F2090" s="236" t="s">
        <v>1698</v>
      </c>
      <c r="G2090" s="318">
        <f>SUM(G2078:G2089)</f>
        <v>61455.528143007818</v>
      </c>
    </row>
    <row r="2091" spans="1:7">
      <c r="A2091" s="26"/>
      <c r="B2091" s="78"/>
      <c r="C2091" s="26"/>
      <c r="D2091" s="26"/>
      <c r="E2091" s="26"/>
      <c r="F2091" s="26"/>
      <c r="G2091" s="26"/>
    </row>
    <row r="2092" spans="1:7">
      <c r="A2092" s="26"/>
      <c r="B2092" s="79" t="s">
        <v>2377</v>
      </c>
      <c r="C2092" s="26"/>
      <c r="D2092" s="26"/>
      <c r="E2092" s="26"/>
      <c r="F2092" s="26"/>
      <c r="G2092" s="26"/>
    </row>
    <row r="2093" spans="1:7">
      <c r="A2093" s="26"/>
      <c r="B2093" s="95" t="s">
        <v>2369</v>
      </c>
      <c r="C2093" s="157" t="s">
        <v>2378</v>
      </c>
      <c r="D2093" s="95" t="s">
        <v>2370</v>
      </c>
      <c r="E2093" s="95" t="s">
        <v>1166</v>
      </c>
      <c r="F2093" s="95" t="s">
        <v>2371</v>
      </c>
      <c r="G2093" s="95" t="s">
        <v>2372</v>
      </c>
    </row>
    <row r="2094" spans="1:7">
      <c r="A2094" s="26"/>
      <c r="B2094" s="114"/>
      <c r="C2094" s="154"/>
      <c r="D2094" s="114"/>
      <c r="E2094" s="114"/>
      <c r="F2094" s="114" t="s">
        <v>3485</v>
      </c>
      <c r="G2094" s="114" t="s">
        <v>3485</v>
      </c>
    </row>
    <row r="2095" spans="1:7">
      <c r="A2095" s="26"/>
      <c r="B2095" s="95">
        <v>1</v>
      </c>
      <c r="C2095" s="153" t="s">
        <v>7214</v>
      </c>
      <c r="D2095" s="175" t="s">
        <v>2374</v>
      </c>
      <c r="E2095" s="179">
        <v>8</v>
      </c>
      <c r="F2095" s="190">
        <f>'HIRE CHARGES'!$D$507</f>
        <v>53.5</v>
      </c>
      <c r="G2095" s="190">
        <f t="shared" ref="G2095:G2100" si="55">E2095*F2095</f>
        <v>428</v>
      </c>
    </row>
    <row r="2096" spans="1:7">
      <c r="A2096" s="26"/>
      <c r="B2096" s="317"/>
      <c r="C2096" s="152" t="s">
        <v>2379</v>
      </c>
      <c r="D2096" s="33" t="s">
        <v>2374</v>
      </c>
      <c r="E2096" s="190">
        <v>8</v>
      </c>
      <c r="F2096" s="190">
        <f>'HIRE CHARGES'!$E$507</f>
        <v>79.3</v>
      </c>
      <c r="G2096" s="190">
        <f t="shared" si="55"/>
        <v>634.4</v>
      </c>
    </row>
    <row r="2097" spans="1:7">
      <c r="A2097" s="26"/>
      <c r="B2097" s="105">
        <v>2</v>
      </c>
      <c r="C2097" s="152" t="s">
        <v>189</v>
      </c>
      <c r="D2097" s="33" t="s">
        <v>2374</v>
      </c>
      <c r="E2097" s="190">
        <v>0.5</v>
      </c>
      <c r="F2097" s="190">
        <f>'HIRE CHARGES'!$D$517</f>
        <v>10.199999999999999</v>
      </c>
      <c r="G2097" s="190">
        <f t="shared" si="55"/>
        <v>5.0999999999999996</v>
      </c>
    </row>
    <row r="2098" spans="1:7" ht="18.75" thickBot="1">
      <c r="A2098" s="26"/>
      <c r="B2098" s="317"/>
      <c r="C2098" s="152" t="s">
        <v>2379</v>
      </c>
      <c r="D2098" s="33" t="s">
        <v>2374</v>
      </c>
      <c r="E2098" s="190">
        <v>0.5</v>
      </c>
      <c r="F2098" s="190">
        <f>'HIRE CHARGES'!$E$517</f>
        <v>79.3</v>
      </c>
      <c r="G2098" s="190">
        <f t="shared" si="55"/>
        <v>39.65</v>
      </c>
    </row>
    <row r="2099" spans="1:7">
      <c r="A2099" s="26"/>
      <c r="B2099" s="105">
        <v>3</v>
      </c>
      <c r="C2099" s="135" t="s">
        <v>526</v>
      </c>
      <c r="D2099" s="679" t="s">
        <v>2374</v>
      </c>
      <c r="E2099" s="207">
        <v>8</v>
      </c>
      <c r="F2099" s="190">
        <f>'HIRE CHARGES'!$D$531</f>
        <v>7.6</v>
      </c>
      <c r="G2099" s="190">
        <f t="shared" si="55"/>
        <v>60.8</v>
      </c>
    </row>
    <row r="2100" spans="1:7" ht="18.75" thickBot="1">
      <c r="A2100" s="26"/>
      <c r="B2100" s="365"/>
      <c r="C2100" s="139" t="s">
        <v>2379</v>
      </c>
      <c r="D2100" s="680" t="s">
        <v>2374</v>
      </c>
      <c r="E2100" s="181">
        <v>8</v>
      </c>
      <c r="F2100" s="207">
        <f>'HIRE CHARGES'!$E$531</f>
        <v>18.8</v>
      </c>
      <c r="G2100" s="190">
        <f t="shared" si="55"/>
        <v>150.4</v>
      </c>
    </row>
    <row r="2101" spans="1:7">
      <c r="A2101" s="26"/>
      <c r="B2101" s="176"/>
      <c r="C2101" s="172" t="s">
        <v>2380</v>
      </c>
      <c r="D2101" s="174"/>
      <c r="E2101" s="192"/>
      <c r="F2101" s="236" t="s">
        <v>1698</v>
      </c>
      <c r="G2101" s="318">
        <f>SUM(G2095:G2100)</f>
        <v>1318.3500000000001</v>
      </c>
    </row>
    <row r="2102" spans="1:7">
      <c r="A2102" s="26"/>
      <c r="B2102" s="78"/>
      <c r="C2102" s="26"/>
      <c r="D2102" s="26"/>
      <c r="E2102" s="26"/>
      <c r="F2102" s="26"/>
      <c r="G2102" s="26"/>
    </row>
    <row r="2103" spans="1:7">
      <c r="A2103" s="26"/>
      <c r="B2103" s="79" t="s">
        <v>2381</v>
      </c>
      <c r="C2103" s="26"/>
      <c r="D2103" s="26"/>
      <c r="E2103" s="26"/>
      <c r="F2103" s="26"/>
      <c r="G2103" s="26"/>
    </row>
    <row r="2104" spans="1:7">
      <c r="A2104" s="26"/>
      <c r="B2104" s="95" t="s">
        <v>2369</v>
      </c>
      <c r="C2104" s="157" t="s">
        <v>2378</v>
      </c>
      <c r="D2104" s="95" t="s">
        <v>2370</v>
      </c>
      <c r="E2104" s="95" t="s">
        <v>1166</v>
      </c>
      <c r="F2104" s="95" t="s">
        <v>2371</v>
      </c>
      <c r="G2104" s="95" t="s">
        <v>2372</v>
      </c>
    </row>
    <row r="2105" spans="1:7">
      <c r="A2105" s="26"/>
      <c r="B2105" s="114"/>
      <c r="C2105" s="154"/>
      <c r="D2105" s="105"/>
      <c r="E2105" s="105"/>
      <c r="F2105" s="105" t="s">
        <v>3485</v>
      </c>
      <c r="G2105" s="114" t="s">
        <v>3485</v>
      </c>
    </row>
    <row r="2106" spans="1:7">
      <c r="A2106" s="26"/>
      <c r="B2106" s="95">
        <v>1</v>
      </c>
      <c r="C2106" s="76" t="s">
        <v>527</v>
      </c>
      <c r="D2106" s="95" t="s">
        <v>2374</v>
      </c>
      <c r="E2106" s="179">
        <v>8</v>
      </c>
      <c r="F2106" s="179">
        <f>'HIRE CHARGES'!$F$507</f>
        <v>219.7</v>
      </c>
      <c r="G2106" s="207">
        <f>E2106*F2106</f>
        <v>1757.6</v>
      </c>
    </row>
    <row r="2107" spans="1:7">
      <c r="A2107" s="26"/>
      <c r="B2107" s="105">
        <v>2</v>
      </c>
      <c r="C2107" s="76" t="s">
        <v>999</v>
      </c>
      <c r="D2107" s="105" t="s">
        <v>2374</v>
      </c>
      <c r="E2107" s="190">
        <v>0.5</v>
      </c>
      <c r="F2107" s="190">
        <f>'HIRE CHARGES'!$F$517</f>
        <v>111.1</v>
      </c>
      <c r="G2107" s="207">
        <f t="shared" ref="G2107:G2117" si="56">E2107*F2107</f>
        <v>55.55</v>
      </c>
    </row>
    <row r="2108" spans="1:7">
      <c r="A2108" s="26"/>
      <c r="B2108" s="105">
        <v>3</v>
      </c>
      <c r="C2108" s="76" t="s">
        <v>439</v>
      </c>
      <c r="D2108" s="105" t="s">
        <v>2374</v>
      </c>
      <c r="E2108" s="190">
        <v>8</v>
      </c>
      <c r="F2108" s="190">
        <f>'HIRE CHARGES'!$F$531</f>
        <v>158.19999999999999</v>
      </c>
      <c r="G2108" s="207">
        <f t="shared" si="56"/>
        <v>1265.5999999999999</v>
      </c>
    </row>
    <row r="2109" spans="1:7">
      <c r="A2109" s="26"/>
      <c r="B2109" s="105">
        <v>4</v>
      </c>
      <c r="C2109" s="76" t="s">
        <v>440</v>
      </c>
      <c r="D2109" s="105" t="s">
        <v>1172</v>
      </c>
      <c r="E2109" s="190">
        <v>1</v>
      </c>
      <c r="F2109" s="190">
        <f>'BASIC DATA'!$C$474</f>
        <v>445</v>
      </c>
      <c r="G2109" s="207">
        <f t="shared" si="56"/>
        <v>445</v>
      </c>
    </row>
    <row r="2110" spans="1:7">
      <c r="A2110" s="26"/>
      <c r="B2110" s="105">
        <v>5</v>
      </c>
      <c r="C2110" s="76" t="s">
        <v>4206</v>
      </c>
      <c r="D2110" s="105" t="s">
        <v>1172</v>
      </c>
      <c r="E2110" s="190">
        <v>1</v>
      </c>
      <c r="F2110" s="190">
        <f>'BASIC DATA'!$C$473</f>
        <v>450</v>
      </c>
      <c r="G2110" s="207">
        <f t="shared" si="56"/>
        <v>450</v>
      </c>
    </row>
    <row r="2111" spans="1:7">
      <c r="A2111" s="26"/>
      <c r="B2111" s="105">
        <v>6</v>
      </c>
      <c r="C2111" s="76" t="s">
        <v>2697</v>
      </c>
      <c r="D2111" s="105"/>
      <c r="E2111" s="190"/>
      <c r="F2111" s="190"/>
      <c r="G2111" s="207"/>
    </row>
    <row r="2112" spans="1:7">
      <c r="A2112" s="26"/>
      <c r="B2112" s="317"/>
      <c r="C2112" s="76" t="s">
        <v>441</v>
      </c>
      <c r="D2112" s="105" t="s">
        <v>1172</v>
      </c>
      <c r="E2112" s="190">
        <v>11</v>
      </c>
      <c r="F2112" s="190">
        <f>'BASIC DATA'!$C$552</f>
        <v>350</v>
      </c>
      <c r="G2112" s="207">
        <f t="shared" si="56"/>
        <v>3850</v>
      </c>
    </row>
    <row r="2113" spans="1:7">
      <c r="A2113" s="26"/>
      <c r="B2113" s="317"/>
      <c r="C2113" s="76" t="s">
        <v>442</v>
      </c>
      <c r="D2113" s="105" t="s">
        <v>1172</v>
      </c>
      <c r="E2113" s="190">
        <v>4</v>
      </c>
      <c r="F2113" s="190">
        <f>'BASIC DATA'!$C$552</f>
        <v>350</v>
      </c>
      <c r="G2113" s="207">
        <f t="shared" si="56"/>
        <v>1400</v>
      </c>
    </row>
    <row r="2114" spans="1:7">
      <c r="A2114" s="26"/>
      <c r="B2114" s="317"/>
      <c r="C2114" s="76" t="s">
        <v>5151</v>
      </c>
      <c r="D2114" s="105" t="s">
        <v>1172</v>
      </c>
      <c r="E2114" s="190">
        <v>5</v>
      </c>
      <c r="F2114" s="190">
        <f>'BASIC DATA'!$C$552</f>
        <v>350</v>
      </c>
      <c r="G2114" s="207">
        <f t="shared" si="56"/>
        <v>1750</v>
      </c>
    </row>
    <row r="2115" spans="1:7">
      <c r="A2115" s="26"/>
      <c r="B2115" s="317"/>
      <c r="C2115" s="76" t="s">
        <v>444</v>
      </c>
      <c r="D2115" s="105" t="s">
        <v>1172</v>
      </c>
      <c r="E2115" s="190">
        <f>F2074</f>
        <v>16.25</v>
      </c>
      <c r="F2115" s="190">
        <f>'BASIC DATA'!$C$552</f>
        <v>350</v>
      </c>
      <c r="G2115" s="207">
        <f t="shared" si="56"/>
        <v>5687.5</v>
      </c>
    </row>
    <row r="2116" spans="1:7">
      <c r="A2116" s="26"/>
      <c r="B2116" s="317"/>
      <c r="C2116" s="76" t="s">
        <v>445</v>
      </c>
      <c r="D2116" s="105" t="s">
        <v>1172</v>
      </c>
      <c r="E2116" s="190">
        <v>1</v>
      </c>
      <c r="F2116" s="190">
        <f>'BASIC DATA'!$C$552</f>
        <v>350</v>
      </c>
      <c r="G2116" s="207">
        <f t="shared" si="56"/>
        <v>350</v>
      </c>
    </row>
    <row r="2117" spans="1:7">
      <c r="A2117" s="26"/>
      <c r="B2117" s="105">
        <v>7</v>
      </c>
      <c r="C2117" s="76" t="s">
        <v>7215</v>
      </c>
      <c r="D2117" s="105" t="s">
        <v>3479</v>
      </c>
      <c r="E2117" s="190">
        <f>3.25*F2074</f>
        <v>52.8125</v>
      </c>
      <c r="F2117" s="190">
        <f>F2068</f>
        <v>88.5</v>
      </c>
      <c r="G2117" s="207">
        <f t="shared" si="56"/>
        <v>4673.90625</v>
      </c>
    </row>
    <row r="2118" spans="1:7">
      <c r="A2118" s="26"/>
      <c r="B2118" s="365"/>
      <c r="C2118" s="76" t="s">
        <v>6402</v>
      </c>
      <c r="D2118" s="681">
        <v>0.25</v>
      </c>
      <c r="E2118" s="182"/>
      <c r="F2118" s="182"/>
      <c r="G2118" s="207">
        <f>G2117*D2118</f>
        <v>1168.4765625</v>
      </c>
    </row>
    <row r="2119" spans="1:7">
      <c r="A2119" s="26"/>
      <c r="B2119" s="92"/>
      <c r="C2119" s="193" t="s">
        <v>1174</v>
      </c>
      <c r="D2119" s="159"/>
      <c r="E2119" s="238"/>
      <c r="F2119" s="236" t="s">
        <v>1698</v>
      </c>
      <c r="G2119" s="318">
        <f>SUM(G2106:G2118)</f>
        <v>22853.6328125</v>
      </c>
    </row>
    <row r="2120" spans="1:7">
      <c r="A2120" s="26"/>
      <c r="B2120" s="60" t="s">
        <v>5948</v>
      </c>
      <c r="C2120" s="26"/>
      <c r="D2120" s="31"/>
      <c r="E2120" s="85">
        <f>ROUND(G2119/F2074,1)</f>
        <v>1406.4</v>
      </c>
      <c r="F2120" s="26"/>
      <c r="G2120" s="26"/>
    </row>
    <row r="2121" spans="1:7">
      <c r="A2121" s="26"/>
      <c r="B2121" s="60" t="s">
        <v>3163</v>
      </c>
      <c r="C2121" s="26"/>
      <c r="D2121" s="31">
        <f>'BASIC DATA'!$C$577</f>
        <v>0.13614999999999999</v>
      </c>
      <c r="E2121" s="85">
        <f>ROUND(E2120*D2121,1)</f>
        <v>191.5</v>
      </c>
      <c r="F2121" s="26"/>
      <c r="G2121" s="26"/>
    </row>
    <row r="2122" spans="1:7">
      <c r="A2122" s="26"/>
      <c r="B2122" s="60" t="s">
        <v>5949</v>
      </c>
      <c r="C2122" s="26"/>
      <c r="D2122" s="31"/>
      <c r="E2122" s="199">
        <f>ROUND(E2121+E2120,1)</f>
        <v>1597.9</v>
      </c>
      <c r="F2122" s="57"/>
      <c r="G2122" s="26"/>
    </row>
    <row r="2123" spans="1:7">
      <c r="A2123" s="26"/>
      <c r="B2123" s="26"/>
      <c r="C2123" s="26"/>
      <c r="D2123" s="26"/>
      <c r="E2123" s="26"/>
      <c r="F2123" s="26"/>
      <c r="G2123" s="26"/>
    </row>
    <row r="2124" spans="1:7">
      <c r="A2124" s="26"/>
      <c r="B2124" s="170" t="s">
        <v>1175</v>
      </c>
      <c r="C2124" s="26"/>
      <c r="D2124" s="26"/>
      <c r="E2124" s="26"/>
      <c r="F2124" s="26"/>
      <c r="G2124" s="26"/>
    </row>
    <row r="2125" spans="1:7">
      <c r="A2125" s="26"/>
      <c r="B2125" s="26" t="s">
        <v>5010</v>
      </c>
      <c r="C2125" s="26"/>
      <c r="D2125" s="26"/>
      <c r="E2125" s="26"/>
      <c r="F2125" s="171" t="s">
        <v>1698</v>
      </c>
      <c r="G2125" s="68">
        <f>G2090</f>
        <v>61455.528143007818</v>
      </c>
    </row>
    <row r="2126" spans="1:7">
      <c r="A2126" s="26"/>
      <c r="B2126" s="26" t="s">
        <v>1186</v>
      </c>
      <c r="C2126" s="26"/>
      <c r="D2126" s="26"/>
      <c r="E2126" s="26"/>
      <c r="F2126" s="171" t="s">
        <v>1698</v>
      </c>
      <c r="G2126" s="68">
        <f>G2101</f>
        <v>1318.3500000000001</v>
      </c>
    </row>
    <row r="2127" spans="1:7">
      <c r="A2127" s="26"/>
      <c r="B2127" s="26" t="s">
        <v>2660</v>
      </c>
      <c r="C2127" s="26"/>
      <c r="D2127" s="26"/>
      <c r="E2127" s="26"/>
      <c r="F2127" s="171" t="s">
        <v>1698</v>
      </c>
      <c r="G2127" s="75">
        <f>G2119</f>
        <v>22853.6328125</v>
      </c>
    </row>
    <row r="2128" spans="1:7">
      <c r="A2128" s="26"/>
      <c r="B2128" s="78"/>
      <c r="C2128" s="26"/>
      <c r="D2128" s="26"/>
      <c r="E2128" s="171"/>
      <c r="F2128" s="171" t="s">
        <v>302</v>
      </c>
      <c r="G2128" s="205">
        <f>SUM(G2125:G2127)</f>
        <v>85627.510955507809</v>
      </c>
    </row>
    <row r="2129" spans="1:7">
      <c r="A2129" s="26"/>
      <c r="B2129" s="1206" t="s">
        <v>1379</v>
      </c>
      <c r="C2129" s="1206"/>
      <c r="D2129" s="26"/>
      <c r="E2129" s="249">
        <f>'BASIC DATA'!$C$577</f>
        <v>0.13614999999999999</v>
      </c>
      <c r="F2129" s="26" t="s">
        <v>1698</v>
      </c>
      <c r="G2129" s="26">
        <f>ROUND(G2128*E2129,2)</f>
        <v>11658.19</v>
      </c>
    </row>
    <row r="2130" spans="1:7">
      <c r="A2130" s="26"/>
      <c r="B2130" s="26" t="s">
        <v>1191</v>
      </c>
      <c r="C2130" s="26"/>
      <c r="D2130" s="68">
        <f>F2074</f>
        <v>16.25</v>
      </c>
      <c r="E2130" s="68" t="str">
        <f>G2074</f>
        <v>cum</v>
      </c>
      <c r="F2130" s="26" t="s">
        <v>1698</v>
      </c>
      <c r="G2130" s="211">
        <f>G2129+G2128</f>
        <v>97285.700955507811</v>
      </c>
    </row>
    <row r="2131" spans="1:7">
      <c r="A2131" s="26"/>
      <c r="B2131" s="170" t="s">
        <v>1584</v>
      </c>
      <c r="C2131" s="211" t="str">
        <f>E2130</f>
        <v>cum</v>
      </c>
      <c r="D2131" s="26" t="s">
        <v>7812</v>
      </c>
      <c r="E2131" s="26"/>
      <c r="F2131" s="26" t="s">
        <v>4108</v>
      </c>
      <c r="G2131" s="211">
        <f>ROUND(G2130/D2130,1)</f>
        <v>5986.8</v>
      </c>
    </row>
    <row r="2132" spans="1:7">
      <c r="A2132" s="26"/>
      <c r="B2132" s="78"/>
      <c r="C2132" s="26"/>
      <c r="D2132" s="26"/>
      <c r="E2132" s="26"/>
      <c r="F2132" s="26"/>
      <c r="G2132" s="26"/>
    </row>
    <row r="2133" spans="1:7">
      <c r="A2133" s="26"/>
      <c r="B2133" s="78"/>
      <c r="C2133" s="26"/>
      <c r="D2133" s="26"/>
      <c r="E2133" s="26"/>
      <c r="F2133" s="26"/>
      <c r="G2133" s="26"/>
    </row>
    <row r="2134" spans="1:7" ht="18.75">
      <c r="A2134" s="78" t="s">
        <v>7560</v>
      </c>
      <c r="B2134" s="26" t="s">
        <v>8793</v>
      </c>
      <c r="C2134" s="26"/>
      <c r="D2134" s="26"/>
      <c r="E2134" s="26"/>
      <c r="F2134" s="26"/>
      <c r="G2134" s="26"/>
    </row>
    <row r="2135" spans="1:7" ht="18.75">
      <c r="A2135" s="78"/>
      <c r="B2135" s="26" t="s">
        <v>8951</v>
      </c>
      <c r="C2135" s="26"/>
      <c r="D2135" s="26"/>
      <c r="E2135" s="26"/>
      <c r="F2135" s="26"/>
      <c r="G2135" s="26"/>
    </row>
    <row r="2136" spans="1:7" ht="18.75">
      <c r="A2136" s="78"/>
      <c r="B2136" s="26" t="s">
        <v>8952</v>
      </c>
      <c r="C2136" s="26"/>
      <c r="D2136" s="26"/>
      <c r="E2136" s="26"/>
      <c r="F2136" s="26"/>
      <c r="G2136" s="26"/>
    </row>
    <row r="2137" spans="1:7">
      <c r="A2137" s="78"/>
      <c r="B2137" s="26" t="s">
        <v>8953</v>
      </c>
      <c r="C2137" s="26"/>
      <c r="D2137" s="26"/>
      <c r="E2137" s="26"/>
      <c r="F2137" s="26"/>
      <c r="G2137" s="26"/>
    </row>
    <row r="2138" spans="1:7">
      <c r="A2138" s="78"/>
      <c r="B2138" s="26" t="s">
        <v>3541</v>
      </c>
      <c r="C2138" s="26"/>
      <c r="D2138" s="26"/>
      <c r="E2138" s="26"/>
      <c r="F2138" s="26"/>
      <c r="G2138" s="26"/>
    </row>
    <row r="2139" spans="1:7" ht="18.75">
      <c r="A2139" s="78"/>
      <c r="B2139" s="26" t="s">
        <v>8954</v>
      </c>
      <c r="C2139" s="26"/>
      <c r="D2139" s="26"/>
      <c r="E2139" s="26"/>
      <c r="F2139" s="26"/>
      <c r="G2139" s="26"/>
    </row>
    <row r="2140" spans="1:7">
      <c r="A2140" s="78" t="s">
        <v>1940</v>
      </c>
      <c r="B2140" s="170" t="s">
        <v>1351</v>
      </c>
      <c r="C2140" s="26"/>
      <c r="D2140" s="26"/>
      <c r="E2140" s="26"/>
      <c r="F2140" s="26"/>
      <c r="G2140" s="26"/>
    </row>
    <row r="2141" spans="1:7">
      <c r="A2141" s="78"/>
      <c r="B2141" s="170" t="s">
        <v>7798</v>
      </c>
      <c r="C2141" s="26"/>
      <c r="D2141" s="26"/>
      <c r="E2141" s="26"/>
      <c r="F2141" s="26"/>
      <c r="G2141" s="26"/>
    </row>
    <row r="2142" spans="1:7">
      <c r="A2142" s="62"/>
      <c r="B2142" s="248" t="s">
        <v>3579</v>
      </c>
      <c r="C2142" s="61"/>
      <c r="D2142" s="61"/>
      <c r="E2142" s="61"/>
      <c r="F2142" s="61"/>
      <c r="G2142" s="61"/>
    </row>
    <row r="2143" spans="1:7">
      <c r="A2143" s="78"/>
      <c r="B2143" s="170" t="s">
        <v>3399</v>
      </c>
      <c r="C2143" s="26"/>
      <c r="D2143" s="26"/>
      <c r="E2143" s="26"/>
      <c r="F2143" s="26"/>
      <c r="G2143" s="26"/>
    </row>
    <row r="2144" spans="1:7">
      <c r="A2144" s="78"/>
      <c r="B2144" s="26"/>
      <c r="C2144" s="26"/>
      <c r="D2144" s="26"/>
      <c r="E2144" s="26"/>
      <c r="F2144" s="26"/>
      <c r="G2144" s="26"/>
    </row>
    <row r="2145" spans="1:7">
      <c r="A2145" s="78" t="s">
        <v>3984</v>
      </c>
      <c r="B2145" s="26" t="s">
        <v>5780</v>
      </c>
      <c r="C2145" s="26"/>
      <c r="D2145" s="26"/>
      <c r="E2145" s="26"/>
      <c r="F2145" s="26"/>
      <c r="G2145" s="26"/>
    </row>
    <row r="2146" spans="1:7">
      <c r="A2146" s="78"/>
      <c r="B2146" s="26" t="s">
        <v>6321</v>
      </c>
      <c r="C2146" s="26"/>
      <c r="D2146" s="26"/>
      <c r="E2146" s="26"/>
      <c r="F2146" s="26"/>
      <c r="G2146" s="26"/>
    </row>
    <row r="2147" spans="1:7">
      <c r="A2147" s="78"/>
      <c r="B2147" s="26" t="s">
        <v>7813</v>
      </c>
      <c r="C2147" s="26"/>
      <c r="D2147" s="26"/>
      <c r="E2147" s="26"/>
      <c r="F2147" s="26"/>
      <c r="G2147" s="26"/>
    </row>
    <row r="2148" spans="1:7">
      <c r="A2148" s="78"/>
      <c r="B2148" s="26" t="s">
        <v>6322</v>
      </c>
      <c r="C2148" s="26"/>
      <c r="D2148" s="26"/>
      <c r="E2148" s="26"/>
      <c r="F2148" s="26"/>
      <c r="G2148" s="26"/>
    </row>
    <row r="2149" spans="1:7">
      <c r="A2149" s="78"/>
      <c r="B2149" s="26" t="s">
        <v>7814</v>
      </c>
      <c r="C2149" s="26"/>
      <c r="D2149" s="26"/>
      <c r="E2149" s="26">
        <f>ROUND(50*10*8/260,2)</f>
        <v>15.38</v>
      </c>
      <c r="F2149" s="26"/>
      <c r="G2149" s="26" t="s">
        <v>3760</v>
      </c>
    </row>
    <row r="2150" spans="1:7">
      <c r="A2150" s="78"/>
      <c r="B2150" s="26" t="s">
        <v>2843</v>
      </c>
      <c r="C2150" s="26"/>
      <c r="D2150" s="26"/>
      <c r="E2150" s="26"/>
      <c r="F2150" s="26"/>
      <c r="G2150" s="26"/>
    </row>
    <row r="2151" spans="1:7">
      <c r="A2151" s="78"/>
      <c r="B2151" s="26" t="s">
        <v>6323</v>
      </c>
      <c r="C2151" s="26"/>
      <c r="D2151" s="26"/>
      <c r="E2151" s="26"/>
      <c r="F2151" s="26"/>
      <c r="G2151" s="26"/>
    </row>
    <row r="2152" spans="1:7">
      <c r="A2152" s="78"/>
      <c r="B2152" s="26" t="s">
        <v>1992</v>
      </c>
      <c r="C2152" s="26"/>
      <c r="D2152" s="26"/>
      <c r="E2152" s="26"/>
      <c r="F2152" s="68">
        <f>G618</f>
        <v>224.56752690000002</v>
      </c>
      <c r="G2152" s="26" t="s">
        <v>1168</v>
      </c>
    </row>
    <row r="2153" spans="1:7">
      <c r="A2153" s="78"/>
      <c r="B2153" s="26" t="s">
        <v>1522</v>
      </c>
      <c r="C2153" s="26"/>
      <c r="D2153" s="26"/>
      <c r="E2153" s="26"/>
      <c r="F2153" s="26"/>
      <c r="G2153" s="26"/>
    </row>
    <row r="2154" spans="1:7">
      <c r="A2154" s="78"/>
      <c r="B2154" s="26" t="s">
        <v>1993</v>
      </c>
      <c r="C2154" s="26"/>
      <c r="D2154" s="26"/>
      <c r="E2154" s="26"/>
      <c r="F2154" s="68">
        <f>G644</f>
        <v>88.5</v>
      </c>
      <c r="G2154" s="26" t="s">
        <v>1168</v>
      </c>
    </row>
    <row r="2155" spans="1:7">
      <c r="A2155" s="78"/>
      <c r="B2155" s="26" t="s">
        <v>1523</v>
      </c>
      <c r="C2155" s="26"/>
      <c r="D2155" s="26"/>
      <c r="E2155" s="26"/>
      <c r="F2155" s="26"/>
      <c r="G2155" s="26"/>
    </row>
    <row r="2156" spans="1:7">
      <c r="A2156" s="78"/>
      <c r="B2156" s="26" t="s">
        <v>7815</v>
      </c>
      <c r="C2156" s="26"/>
      <c r="D2156" s="26">
        <f>ROUND(15.38/0.85,2)</f>
        <v>18.09</v>
      </c>
      <c r="E2156" s="26" t="s">
        <v>3760</v>
      </c>
      <c r="F2156" s="26"/>
      <c r="G2156" s="26"/>
    </row>
    <row r="2157" spans="1:7">
      <c r="A2157" s="78"/>
      <c r="B2157" s="26" t="s">
        <v>451</v>
      </c>
      <c r="C2157" s="26"/>
      <c r="D2157" s="26"/>
      <c r="E2157" s="26"/>
      <c r="F2157" s="26"/>
      <c r="G2157" s="26"/>
    </row>
    <row r="2158" spans="1:7">
      <c r="A2158" s="62"/>
      <c r="B2158" s="61" t="s">
        <v>1994</v>
      </c>
      <c r="C2158" s="61"/>
      <c r="D2158" s="61"/>
      <c r="E2158" s="61"/>
      <c r="F2158" s="61"/>
      <c r="G2158" s="61"/>
    </row>
    <row r="2159" spans="1:7">
      <c r="A2159" s="62"/>
      <c r="B2159" s="61" t="s">
        <v>7006</v>
      </c>
      <c r="C2159" s="61"/>
      <c r="D2159" s="61"/>
      <c r="E2159" s="61"/>
      <c r="F2159" s="61"/>
      <c r="G2159" s="61"/>
    </row>
    <row r="2160" spans="1:7">
      <c r="A2160" s="26"/>
      <c r="B2160" s="78"/>
      <c r="C2160" s="26"/>
      <c r="D2160" s="26"/>
      <c r="E2160" s="26"/>
      <c r="F2160" s="26"/>
      <c r="G2160" s="26"/>
    </row>
    <row r="2161" spans="1:7">
      <c r="A2161" s="78" t="s">
        <v>3984</v>
      </c>
      <c r="B2161" s="78"/>
      <c r="C2161" s="203" t="s">
        <v>2367</v>
      </c>
      <c r="D2161" s="26"/>
      <c r="E2161" s="171" t="s">
        <v>297</v>
      </c>
      <c r="F2161" s="246">
        <f>D2156</f>
        <v>18.09</v>
      </c>
      <c r="G2161" s="26" t="s">
        <v>3477</v>
      </c>
    </row>
    <row r="2162" spans="1:7">
      <c r="A2162" s="26"/>
      <c r="B2162" s="79" t="s">
        <v>2368</v>
      </c>
      <c r="C2162" s="26"/>
      <c r="D2162" s="26"/>
      <c r="E2162" s="26"/>
      <c r="F2162" s="26"/>
      <c r="G2162" s="26"/>
    </row>
    <row r="2163" spans="1:7">
      <c r="A2163" s="26"/>
      <c r="B2163" s="95" t="s">
        <v>2369</v>
      </c>
      <c r="C2163" s="157" t="s">
        <v>4443</v>
      </c>
      <c r="D2163" s="95" t="s">
        <v>2370</v>
      </c>
      <c r="E2163" s="95" t="s">
        <v>1166</v>
      </c>
      <c r="F2163" s="95" t="s">
        <v>2371</v>
      </c>
      <c r="G2163" s="95" t="s">
        <v>2372</v>
      </c>
    </row>
    <row r="2164" spans="1:7">
      <c r="A2164" s="26"/>
      <c r="B2164" s="114"/>
      <c r="C2164" s="154"/>
      <c r="D2164" s="114"/>
      <c r="E2164" s="114"/>
      <c r="F2164" s="114" t="s">
        <v>3485</v>
      </c>
      <c r="G2164" s="114" t="s">
        <v>3485</v>
      </c>
    </row>
    <row r="2165" spans="1:7">
      <c r="A2165" s="26"/>
      <c r="B2165" s="95">
        <v>1</v>
      </c>
      <c r="C2165" s="135" t="s">
        <v>1048</v>
      </c>
      <c r="D2165" s="95" t="s">
        <v>3478</v>
      </c>
      <c r="E2165" s="190">
        <f>260*F2161</f>
        <v>4703.3999999999996</v>
      </c>
      <c r="F2165" s="214">
        <f>'BASIC DATA'!$D$32/1000</f>
        <v>5.35</v>
      </c>
      <c r="G2165" s="190">
        <f>E2165*F2165</f>
        <v>25163.189999999995</v>
      </c>
    </row>
    <row r="2166" spans="1:7">
      <c r="A2166" s="26"/>
      <c r="B2166" s="317"/>
      <c r="C2166" s="135" t="s">
        <v>2122</v>
      </c>
      <c r="D2166" s="105" t="s">
        <v>3478</v>
      </c>
      <c r="E2166" s="190">
        <f>F2161*4</f>
        <v>72.36</v>
      </c>
      <c r="F2166" s="214">
        <f>'BASIC DATA'!$D$32/1000</f>
        <v>5.35</v>
      </c>
      <c r="G2166" s="190">
        <f t="shared" ref="G2166:G2173" si="57">E2166*F2166</f>
        <v>387.12599999999998</v>
      </c>
    </row>
    <row r="2167" spans="1:7">
      <c r="A2167" s="26"/>
      <c r="B2167" s="105">
        <v>2</v>
      </c>
      <c r="C2167" s="135" t="s">
        <v>6996</v>
      </c>
      <c r="D2167" s="105" t="s">
        <v>3477</v>
      </c>
      <c r="E2167" s="190">
        <f>0.765*F2161*0.5</f>
        <v>6.9194250000000004</v>
      </c>
      <c r="F2167" s="214">
        <f>'BASIC DATA'!$D$36</f>
        <v>1175</v>
      </c>
      <c r="G2167" s="190">
        <f t="shared" si="57"/>
        <v>8130.3243750000001</v>
      </c>
    </row>
    <row r="2168" spans="1:7">
      <c r="A2168" s="26"/>
      <c r="B2168" s="317"/>
      <c r="C2168" s="135" t="s">
        <v>6995</v>
      </c>
      <c r="D2168" s="105" t="s">
        <v>3477</v>
      </c>
      <c r="E2168" s="190">
        <f>0.765*F2161*0.3</f>
        <v>4.1516549999999999</v>
      </c>
      <c r="F2168" s="214">
        <f>'BASIC DATA'!$D$35</f>
        <v>1225</v>
      </c>
      <c r="G2168" s="190">
        <f t="shared" si="57"/>
        <v>5085.7773749999997</v>
      </c>
    </row>
    <row r="2169" spans="1:7">
      <c r="A2169" s="26"/>
      <c r="B2169" s="317"/>
      <c r="C2169" s="135" t="s">
        <v>1050</v>
      </c>
      <c r="D2169" s="105" t="s">
        <v>3477</v>
      </c>
      <c r="E2169" s="190">
        <f>0.765*F2161*0.2</f>
        <v>2.7677700000000005</v>
      </c>
      <c r="F2169" s="214">
        <f>'BASIC DATA'!$D$34</f>
        <v>900</v>
      </c>
      <c r="G2169" s="190">
        <f t="shared" si="57"/>
        <v>2490.9930000000004</v>
      </c>
    </row>
    <row r="2170" spans="1:7">
      <c r="A2170" s="26"/>
      <c r="B2170" s="105">
        <v>3</v>
      </c>
      <c r="C2170" s="135" t="s">
        <v>2123</v>
      </c>
      <c r="D2170" s="105" t="s">
        <v>3477</v>
      </c>
      <c r="E2170" s="190">
        <f>0.25*F2161</f>
        <v>4.5225</v>
      </c>
      <c r="F2170" s="214">
        <f>'BASIC DATA'!$D$96</f>
        <v>350</v>
      </c>
      <c r="G2170" s="190">
        <f t="shared" si="57"/>
        <v>1582.875</v>
      </c>
    </row>
    <row r="2171" spans="1:7">
      <c r="A2171" s="61"/>
      <c r="B2171" s="240">
        <v>4</v>
      </c>
      <c r="C2171" s="326" t="s">
        <v>7941</v>
      </c>
      <c r="D2171" s="240" t="s">
        <v>3477</v>
      </c>
      <c r="E2171" s="255">
        <f>0.34*F2161</f>
        <v>6.1506000000000007</v>
      </c>
      <c r="F2171" s="266">
        <f>'BASIC DATA'!$D$55</f>
        <v>95</v>
      </c>
      <c r="G2171" s="255">
        <f t="shared" si="57"/>
        <v>584.30700000000002</v>
      </c>
    </row>
    <row r="2172" spans="1:7">
      <c r="A2172" s="26"/>
      <c r="B2172" s="105">
        <v>5</v>
      </c>
      <c r="C2172" s="135" t="s">
        <v>523</v>
      </c>
      <c r="D2172" s="105" t="s">
        <v>3478</v>
      </c>
      <c r="E2172" s="190">
        <f>E2165*0.4%</f>
        <v>18.813599999999997</v>
      </c>
      <c r="F2172" s="214">
        <f>'BASIC DATA'!$D$99</f>
        <v>55</v>
      </c>
      <c r="G2172" s="190">
        <f t="shared" si="57"/>
        <v>1034.7479999999998</v>
      </c>
    </row>
    <row r="2173" spans="1:7">
      <c r="A2173" s="26"/>
      <c r="B2173" s="317"/>
      <c r="C2173" s="135" t="s">
        <v>7213</v>
      </c>
      <c r="D2173" s="105" t="s">
        <v>3479</v>
      </c>
      <c r="E2173" s="190">
        <f>2.75*F2161</f>
        <v>49.747500000000002</v>
      </c>
      <c r="F2173" s="214">
        <f>F2152</f>
        <v>224.56752690000002</v>
      </c>
      <c r="G2173" s="190">
        <f t="shared" si="57"/>
        <v>11171.673044457752</v>
      </c>
    </row>
    <row r="2174" spans="1:7">
      <c r="A2174" s="26"/>
      <c r="B2174" s="114">
        <v>6</v>
      </c>
      <c r="C2174" s="139" t="s">
        <v>5408</v>
      </c>
      <c r="D2174" s="681">
        <v>0.3</v>
      </c>
      <c r="E2174" s="182"/>
      <c r="F2174" s="215"/>
      <c r="G2174" s="182">
        <f>G2173*D2174</f>
        <v>3351.5019133373253</v>
      </c>
    </row>
    <row r="2175" spans="1:7">
      <c r="A2175" s="26"/>
      <c r="B2175" s="93"/>
      <c r="C2175" s="31" t="s">
        <v>6844</v>
      </c>
      <c r="D2175" s="31" t="s">
        <v>4043</v>
      </c>
      <c r="E2175" s="198"/>
      <c r="F2175" s="327" t="s">
        <v>1698</v>
      </c>
      <c r="G2175" s="190">
        <v>0</v>
      </c>
    </row>
    <row r="2176" spans="1:7">
      <c r="A2176" s="26"/>
      <c r="B2176" s="93"/>
      <c r="C2176" s="31" t="s">
        <v>6845</v>
      </c>
      <c r="D2176" s="31" t="s">
        <v>4043</v>
      </c>
      <c r="E2176" s="198"/>
      <c r="F2176" s="327" t="s">
        <v>1698</v>
      </c>
      <c r="G2176" s="190">
        <v>0</v>
      </c>
    </row>
    <row r="2177" spans="1:7">
      <c r="A2177" s="26"/>
      <c r="B2177" s="92"/>
      <c r="C2177" s="193" t="s">
        <v>2376</v>
      </c>
      <c r="D2177" s="159"/>
      <c r="E2177" s="238"/>
      <c r="F2177" s="236" t="s">
        <v>1698</v>
      </c>
      <c r="G2177" s="318">
        <f>SUM(G2165:G2176)</f>
        <v>58982.515707795072</v>
      </c>
    </row>
    <row r="2178" spans="1:7">
      <c r="A2178" s="26"/>
      <c r="B2178" s="78"/>
      <c r="C2178" s="26"/>
      <c r="D2178" s="26"/>
      <c r="E2178" s="26"/>
      <c r="F2178" s="26"/>
      <c r="G2178" s="26"/>
    </row>
    <row r="2179" spans="1:7">
      <c r="A2179" s="26"/>
      <c r="B2179" s="79" t="s">
        <v>2377</v>
      </c>
      <c r="C2179" s="26"/>
      <c r="D2179" s="26"/>
      <c r="E2179" s="26"/>
      <c r="F2179" s="26"/>
      <c r="G2179" s="26"/>
    </row>
    <row r="2180" spans="1:7">
      <c r="A2180" s="26"/>
      <c r="B2180" s="95" t="s">
        <v>2369</v>
      </c>
      <c r="C2180" s="157" t="s">
        <v>2378</v>
      </c>
      <c r="D2180" s="95" t="s">
        <v>2370</v>
      </c>
      <c r="E2180" s="95" t="s">
        <v>1166</v>
      </c>
      <c r="F2180" s="95" t="s">
        <v>2371</v>
      </c>
      <c r="G2180" s="95" t="s">
        <v>2372</v>
      </c>
    </row>
    <row r="2181" spans="1:7">
      <c r="A2181" s="26"/>
      <c r="B2181" s="114"/>
      <c r="C2181" s="154"/>
      <c r="D2181" s="114"/>
      <c r="E2181" s="114"/>
      <c r="F2181" s="114" t="s">
        <v>3485</v>
      </c>
      <c r="G2181" s="114" t="s">
        <v>3485</v>
      </c>
    </row>
    <row r="2182" spans="1:7">
      <c r="A2182" s="26"/>
      <c r="B2182" s="95">
        <v>1</v>
      </c>
      <c r="C2182" s="153" t="s">
        <v>7214</v>
      </c>
      <c r="D2182" s="175" t="s">
        <v>2374</v>
      </c>
      <c r="E2182" s="179">
        <v>8</v>
      </c>
      <c r="F2182" s="190">
        <f>'HIRE CHARGES'!$D$507</f>
        <v>53.5</v>
      </c>
      <c r="G2182" s="190">
        <f t="shared" ref="G2182:G2187" si="58">E2182*F2182</f>
        <v>428</v>
      </c>
    </row>
    <row r="2183" spans="1:7">
      <c r="A2183" s="26"/>
      <c r="B2183" s="317"/>
      <c r="C2183" s="152" t="s">
        <v>2379</v>
      </c>
      <c r="D2183" s="33" t="s">
        <v>2374</v>
      </c>
      <c r="E2183" s="190">
        <v>8</v>
      </c>
      <c r="F2183" s="190">
        <f>'HIRE CHARGES'!$E$507</f>
        <v>79.3</v>
      </c>
      <c r="G2183" s="190">
        <f t="shared" si="58"/>
        <v>634.4</v>
      </c>
    </row>
    <row r="2184" spans="1:7">
      <c r="A2184" s="26"/>
      <c r="B2184" s="105">
        <v>2</v>
      </c>
      <c r="C2184" s="152" t="s">
        <v>189</v>
      </c>
      <c r="D2184" s="33" t="s">
        <v>2374</v>
      </c>
      <c r="E2184" s="190">
        <v>0.5</v>
      </c>
      <c r="F2184" s="190">
        <f>'HIRE CHARGES'!$D$517</f>
        <v>10.199999999999999</v>
      </c>
      <c r="G2184" s="190">
        <f t="shared" si="58"/>
        <v>5.0999999999999996</v>
      </c>
    </row>
    <row r="2185" spans="1:7">
      <c r="A2185" s="26"/>
      <c r="B2185" s="317"/>
      <c r="C2185" s="152" t="s">
        <v>2379</v>
      </c>
      <c r="D2185" s="33" t="s">
        <v>2374</v>
      </c>
      <c r="E2185" s="190">
        <v>0.5</v>
      </c>
      <c r="F2185" s="190">
        <f>'HIRE CHARGES'!$E$517</f>
        <v>79.3</v>
      </c>
      <c r="G2185" s="190">
        <f t="shared" si="58"/>
        <v>39.65</v>
      </c>
    </row>
    <row r="2186" spans="1:7">
      <c r="A2186" s="26"/>
      <c r="B2186" s="105">
        <v>3</v>
      </c>
      <c r="C2186" s="152" t="s">
        <v>703</v>
      </c>
      <c r="D2186" s="33" t="s">
        <v>2374</v>
      </c>
      <c r="E2186" s="190">
        <v>8</v>
      </c>
      <c r="F2186" s="190">
        <f>'HIRE CHARGES'!$D$533</f>
        <v>8.1999999999999993</v>
      </c>
      <c r="G2186" s="190">
        <f t="shared" si="58"/>
        <v>65.599999999999994</v>
      </c>
    </row>
    <row r="2187" spans="1:7">
      <c r="A2187" s="26"/>
      <c r="B2187" s="365"/>
      <c r="C2187" s="116" t="s">
        <v>2379</v>
      </c>
      <c r="D2187" s="33" t="s">
        <v>2374</v>
      </c>
      <c r="E2187" s="182">
        <v>8</v>
      </c>
      <c r="F2187" s="207">
        <f>'HIRE CHARGES'!$E$533</f>
        <v>28.2</v>
      </c>
      <c r="G2187" s="190">
        <f t="shared" si="58"/>
        <v>225.6</v>
      </c>
    </row>
    <row r="2188" spans="1:7">
      <c r="A2188" s="26"/>
      <c r="B2188" s="176"/>
      <c r="C2188" s="172" t="s">
        <v>2380</v>
      </c>
      <c r="D2188" s="174"/>
      <c r="E2188" s="192"/>
      <c r="F2188" s="236" t="s">
        <v>1698</v>
      </c>
      <c r="G2188" s="318">
        <f>SUM(G2182:G2187)</f>
        <v>1398.35</v>
      </c>
    </row>
    <row r="2189" spans="1:7">
      <c r="A2189" s="26"/>
      <c r="B2189" s="78"/>
      <c r="C2189" s="26"/>
      <c r="D2189" s="26"/>
      <c r="E2189" s="26"/>
      <c r="F2189" s="26"/>
      <c r="G2189" s="26"/>
    </row>
    <row r="2190" spans="1:7">
      <c r="A2190" s="26"/>
      <c r="B2190" s="79" t="s">
        <v>2381</v>
      </c>
      <c r="C2190" s="26"/>
      <c r="D2190" s="26"/>
      <c r="E2190" s="26"/>
      <c r="F2190" s="26"/>
      <c r="G2190" s="26"/>
    </row>
    <row r="2191" spans="1:7">
      <c r="A2191" s="26"/>
      <c r="B2191" s="95" t="s">
        <v>2369</v>
      </c>
      <c r="C2191" s="157" t="s">
        <v>2378</v>
      </c>
      <c r="D2191" s="95" t="s">
        <v>2370</v>
      </c>
      <c r="E2191" s="95" t="s">
        <v>1166</v>
      </c>
      <c r="F2191" s="95" t="s">
        <v>2371</v>
      </c>
      <c r="G2191" s="95" t="s">
        <v>2372</v>
      </c>
    </row>
    <row r="2192" spans="1:7">
      <c r="A2192" s="26"/>
      <c r="B2192" s="114"/>
      <c r="C2192" s="154"/>
      <c r="D2192" s="105"/>
      <c r="E2192" s="105"/>
      <c r="F2192" s="105" t="s">
        <v>3485</v>
      </c>
      <c r="G2192" s="114" t="s">
        <v>3485</v>
      </c>
    </row>
    <row r="2193" spans="1:7">
      <c r="A2193" s="26"/>
      <c r="B2193" s="95">
        <v>1</v>
      </c>
      <c r="C2193" s="76" t="s">
        <v>527</v>
      </c>
      <c r="D2193" s="95" t="s">
        <v>2374</v>
      </c>
      <c r="E2193" s="179">
        <v>8</v>
      </c>
      <c r="F2193" s="179">
        <f>'HIRE CHARGES'!$F$507</f>
        <v>219.7</v>
      </c>
      <c r="G2193" s="207">
        <f>E2193*F2193</f>
        <v>1757.6</v>
      </c>
    </row>
    <row r="2194" spans="1:7">
      <c r="A2194" s="26"/>
      <c r="B2194" s="105">
        <v>2</v>
      </c>
      <c r="C2194" s="76" t="s">
        <v>999</v>
      </c>
      <c r="D2194" s="105" t="s">
        <v>2374</v>
      </c>
      <c r="E2194" s="190">
        <v>0.5</v>
      </c>
      <c r="F2194" s="190">
        <f>'HIRE CHARGES'!$F$517</f>
        <v>111.1</v>
      </c>
      <c r="G2194" s="207">
        <f t="shared" ref="G2194:G2206" si="59">E2194*F2194</f>
        <v>55.55</v>
      </c>
    </row>
    <row r="2195" spans="1:7">
      <c r="A2195" s="26"/>
      <c r="B2195" s="105">
        <v>3</v>
      </c>
      <c r="C2195" s="76" t="s">
        <v>439</v>
      </c>
      <c r="D2195" s="105" t="s">
        <v>2374</v>
      </c>
      <c r="E2195" s="190">
        <v>8</v>
      </c>
      <c r="F2195" s="190">
        <f>'HIRE CHARGES'!$F$533</f>
        <v>158.19999999999999</v>
      </c>
      <c r="G2195" s="207">
        <f t="shared" si="59"/>
        <v>1265.5999999999999</v>
      </c>
    </row>
    <row r="2196" spans="1:7">
      <c r="A2196" s="26"/>
      <c r="B2196" s="105">
        <v>4</v>
      </c>
      <c r="C2196" s="76" t="s">
        <v>440</v>
      </c>
      <c r="D2196" s="105" t="s">
        <v>1172</v>
      </c>
      <c r="E2196" s="190">
        <v>1</v>
      </c>
      <c r="F2196" s="190">
        <f>'BASIC DATA'!$C$474</f>
        <v>445</v>
      </c>
      <c r="G2196" s="207">
        <f t="shared" si="59"/>
        <v>445</v>
      </c>
    </row>
    <row r="2197" spans="1:7">
      <c r="A2197" s="26"/>
      <c r="B2197" s="105">
        <v>5</v>
      </c>
      <c r="C2197" s="76" t="s">
        <v>4206</v>
      </c>
      <c r="D2197" s="105" t="s">
        <v>1172</v>
      </c>
      <c r="E2197" s="190">
        <v>1</v>
      </c>
      <c r="F2197" s="190">
        <f>'BASIC DATA'!$C$473</f>
        <v>450</v>
      </c>
      <c r="G2197" s="207">
        <f t="shared" si="59"/>
        <v>450</v>
      </c>
    </row>
    <row r="2198" spans="1:7">
      <c r="A2198" s="26"/>
      <c r="B2198" s="105">
        <v>6</v>
      </c>
      <c r="C2198" s="76" t="s">
        <v>2697</v>
      </c>
      <c r="D2198" s="105"/>
      <c r="E2198" s="190"/>
      <c r="F2198" s="190"/>
      <c r="G2198" s="207"/>
    </row>
    <row r="2199" spans="1:7">
      <c r="A2199" s="26"/>
      <c r="B2199" s="317"/>
      <c r="C2199" s="76" t="s">
        <v>441</v>
      </c>
      <c r="D2199" s="105" t="s">
        <v>1172</v>
      </c>
      <c r="E2199" s="190">
        <v>11</v>
      </c>
      <c r="F2199" s="190">
        <f>'BASIC DATA'!$C$552</f>
        <v>350</v>
      </c>
      <c r="G2199" s="207">
        <f t="shared" si="59"/>
        <v>3850</v>
      </c>
    </row>
    <row r="2200" spans="1:7">
      <c r="A2200" s="26"/>
      <c r="B2200" s="317"/>
      <c r="C2200" s="76" t="s">
        <v>442</v>
      </c>
      <c r="D2200" s="105" t="s">
        <v>1172</v>
      </c>
      <c r="E2200" s="190">
        <v>4</v>
      </c>
      <c r="F2200" s="190">
        <f>'BASIC DATA'!$C$552</f>
        <v>350</v>
      </c>
      <c r="G2200" s="207">
        <f t="shared" si="59"/>
        <v>1400</v>
      </c>
    </row>
    <row r="2201" spans="1:7">
      <c r="A2201" s="26"/>
      <c r="B2201" s="317"/>
      <c r="C2201" s="76" t="s">
        <v>5151</v>
      </c>
      <c r="D2201" s="105" t="s">
        <v>1172</v>
      </c>
      <c r="E2201" s="190">
        <v>5</v>
      </c>
      <c r="F2201" s="190">
        <f>'BASIC DATA'!$C$552</f>
        <v>350</v>
      </c>
      <c r="G2201" s="207">
        <f t="shared" si="59"/>
        <v>1750</v>
      </c>
    </row>
    <row r="2202" spans="1:7">
      <c r="A2202" s="26"/>
      <c r="B2202" s="317"/>
      <c r="C2202" s="76" t="s">
        <v>2124</v>
      </c>
      <c r="D2202" s="105" t="s">
        <v>1172</v>
      </c>
      <c r="E2202" s="190">
        <v>2</v>
      </c>
      <c r="F2202" s="190">
        <f>'BASIC DATA'!$C$552</f>
        <v>350</v>
      </c>
      <c r="G2202" s="207">
        <f t="shared" si="59"/>
        <v>700</v>
      </c>
    </row>
    <row r="2203" spans="1:7">
      <c r="A2203" s="26"/>
      <c r="B2203" s="317"/>
      <c r="C2203" s="76" t="s">
        <v>444</v>
      </c>
      <c r="D2203" s="105" t="s">
        <v>1172</v>
      </c>
      <c r="E2203" s="190">
        <f>E2149</f>
        <v>15.38</v>
      </c>
      <c r="F2203" s="190">
        <f>'BASIC DATA'!$C$552</f>
        <v>350</v>
      </c>
      <c r="G2203" s="207">
        <f t="shared" si="59"/>
        <v>5383</v>
      </c>
    </row>
    <row r="2204" spans="1:7">
      <c r="A2204" s="26"/>
      <c r="B2204" s="317"/>
      <c r="C2204" s="76" t="s">
        <v>2125</v>
      </c>
      <c r="D2204" s="105" t="s">
        <v>1172</v>
      </c>
      <c r="E2204" s="190">
        <v>2</v>
      </c>
      <c r="F2204" s="190">
        <f>'BASIC DATA'!$C$552</f>
        <v>350</v>
      </c>
      <c r="G2204" s="207">
        <f t="shared" si="59"/>
        <v>700</v>
      </c>
    </row>
    <row r="2205" spans="1:7">
      <c r="A2205" s="26"/>
      <c r="B2205" s="317"/>
      <c r="C2205" s="76" t="s">
        <v>445</v>
      </c>
      <c r="D2205" s="105" t="s">
        <v>1172</v>
      </c>
      <c r="E2205" s="190">
        <v>1</v>
      </c>
      <c r="F2205" s="190">
        <f>'BASIC DATA'!$C$552</f>
        <v>350</v>
      </c>
      <c r="G2205" s="207">
        <f t="shared" si="59"/>
        <v>350</v>
      </c>
    </row>
    <row r="2206" spans="1:7">
      <c r="A2206" s="26"/>
      <c r="B2206" s="105">
        <v>7</v>
      </c>
      <c r="C2206" s="76" t="s">
        <v>2126</v>
      </c>
      <c r="D2206" s="105" t="s">
        <v>3479</v>
      </c>
      <c r="E2206" s="190">
        <f>2.75*F2161</f>
        <v>49.747500000000002</v>
      </c>
      <c r="F2206" s="190">
        <f>F2154</f>
        <v>88.5</v>
      </c>
      <c r="G2206" s="207">
        <f t="shared" si="59"/>
        <v>4402.6537500000004</v>
      </c>
    </row>
    <row r="2207" spans="1:7">
      <c r="A2207" s="26"/>
      <c r="B2207" s="365"/>
      <c r="C2207" s="76" t="s">
        <v>5940</v>
      </c>
      <c r="D2207" s="681">
        <v>0.3</v>
      </c>
      <c r="E2207" s="182"/>
      <c r="F2207" s="182"/>
      <c r="G2207" s="207">
        <f>G2206*D2207</f>
        <v>1320.7961250000001</v>
      </c>
    </row>
    <row r="2208" spans="1:7">
      <c r="A2208" s="26"/>
      <c r="B2208" s="92"/>
      <c r="C2208" s="193" t="s">
        <v>1174</v>
      </c>
      <c r="D2208" s="159"/>
      <c r="E2208" s="238"/>
      <c r="F2208" s="236" t="s">
        <v>1698</v>
      </c>
      <c r="G2208" s="318">
        <f>SUM(G2193:G2207)</f>
        <v>23830.199875000002</v>
      </c>
    </row>
    <row r="2209" spans="1:7">
      <c r="A2209" s="26"/>
      <c r="B2209" s="60" t="s">
        <v>5948</v>
      </c>
      <c r="C2209" s="31"/>
      <c r="D2209" s="31"/>
      <c r="E2209" s="85">
        <f>ROUND(G2208/F2161,1)</f>
        <v>1317.3</v>
      </c>
      <c r="F2209" s="26"/>
      <c r="G2209" s="26"/>
    </row>
    <row r="2210" spans="1:7">
      <c r="A2210" s="26"/>
      <c r="B2210" s="60" t="s">
        <v>3163</v>
      </c>
      <c r="C2210" s="31"/>
      <c r="D2210" s="31">
        <f>'BASIC DATA'!$C$577</f>
        <v>0.13614999999999999</v>
      </c>
      <c r="E2210" s="85">
        <f>ROUND(E2209*D2210,1)</f>
        <v>179.4</v>
      </c>
      <c r="F2210" s="26"/>
      <c r="G2210" s="26"/>
    </row>
    <row r="2211" spans="1:7">
      <c r="A2211" s="26"/>
      <c r="B2211" s="60" t="s">
        <v>5949</v>
      </c>
      <c r="C2211" s="31"/>
      <c r="D2211" s="31"/>
      <c r="E2211" s="199">
        <f>ROUND(E2210+E2209,1)</f>
        <v>1496.7</v>
      </c>
      <c r="F2211" s="57"/>
      <c r="G2211" s="26"/>
    </row>
    <row r="2212" spans="1:7">
      <c r="A2212" s="26"/>
      <c r="B2212" s="78"/>
      <c r="C2212" s="26"/>
      <c r="D2212" s="26"/>
      <c r="E2212" s="26"/>
      <c r="F2212" s="26"/>
      <c r="G2212" s="26"/>
    </row>
    <row r="2213" spans="1:7">
      <c r="A2213" s="26"/>
      <c r="B2213" s="170" t="s">
        <v>1175</v>
      </c>
      <c r="C2213" s="26"/>
      <c r="D2213" s="26"/>
      <c r="E2213" s="26"/>
      <c r="F2213" s="26"/>
      <c r="G2213" s="26"/>
    </row>
    <row r="2214" spans="1:7">
      <c r="A2214" s="26"/>
      <c r="B2214" s="26" t="s">
        <v>5010</v>
      </c>
      <c r="C2214" s="26"/>
      <c r="D2214" s="26"/>
      <c r="E2214" s="26"/>
      <c r="F2214" s="171" t="s">
        <v>1698</v>
      </c>
      <c r="G2214" s="68">
        <f>G2177</f>
        <v>58982.515707795072</v>
      </c>
    </row>
    <row r="2215" spans="1:7">
      <c r="A2215" s="26"/>
      <c r="B2215" s="26" t="s">
        <v>1186</v>
      </c>
      <c r="C2215" s="26"/>
      <c r="D2215" s="26"/>
      <c r="E2215" s="26"/>
      <c r="F2215" s="171" t="s">
        <v>1698</v>
      </c>
      <c r="G2215" s="68">
        <f>G2188</f>
        <v>1398.35</v>
      </c>
    </row>
    <row r="2216" spans="1:7">
      <c r="A2216" s="26"/>
      <c r="B2216" s="26" t="s">
        <v>2660</v>
      </c>
      <c r="C2216" s="26"/>
      <c r="D2216" s="26"/>
      <c r="E2216" s="26"/>
      <c r="F2216" s="171" t="s">
        <v>1698</v>
      </c>
      <c r="G2216" s="75">
        <f>G2208</f>
        <v>23830.199875000002</v>
      </c>
    </row>
    <row r="2217" spans="1:7">
      <c r="A2217" s="26"/>
      <c r="B2217" s="78"/>
      <c r="C2217" s="26"/>
      <c r="D2217" s="26"/>
      <c r="E2217" s="171"/>
      <c r="F2217" s="171" t="s">
        <v>302</v>
      </c>
      <c r="G2217" s="205">
        <f>SUM(G2214:G2216)</f>
        <v>84211.065582795069</v>
      </c>
    </row>
    <row r="2218" spans="1:7">
      <c r="A2218" s="26"/>
      <c r="B2218" s="1206" t="s">
        <v>1379</v>
      </c>
      <c r="C2218" s="1206"/>
      <c r="D2218" s="26"/>
      <c r="E2218" s="249">
        <f>'BASIC DATA'!$C$577</f>
        <v>0.13614999999999999</v>
      </c>
      <c r="F2218" s="26" t="s">
        <v>1698</v>
      </c>
      <c r="G2218" s="26">
        <f>ROUND(G2217*E2218,2)</f>
        <v>11465.34</v>
      </c>
    </row>
    <row r="2219" spans="1:7">
      <c r="A2219" s="26"/>
      <c r="B2219" s="26" t="s">
        <v>1191</v>
      </c>
      <c r="C2219" s="26"/>
      <c r="D2219" s="68">
        <f>F2161</f>
        <v>18.09</v>
      </c>
      <c r="E2219" s="68" t="str">
        <f>G2161</f>
        <v>cum</v>
      </c>
      <c r="F2219" s="26" t="s">
        <v>1698</v>
      </c>
      <c r="G2219" s="211">
        <f>G2218+G2217</f>
        <v>95676.405582795065</v>
      </c>
    </row>
    <row r="2220" spans="1:7">
      <c r="A2220" s="26"/>
      <c r="B2220" s="170" t="s">
        <v>1584</v>
      </c>
      <c r="C2220" s="211" t="str">
        <f>E2219</f>
        <v>cum</v>
      </c>
      <c r="D2220" s="26" t="s">
        <v>7817</v>
      </c>
      <c r="E2220" s="26"/>
      <c r="F2220" s="26" t="s">
        <v>4108</v>
      </c>
      <c r="G2220" s="211">
        <f>ROUND(G2219/D2219,1)</f>
        <v>5288.9</v>
      </c>
    </row>
    <row r="2221" spans="1:7">
      <c r="A2221" s="26"/>
      <c r="B2221" s="78"/>
      <c r="C2221" s="26"/>
      <c r="D2221" s="26"/>
      <c r="E2221" s="26"/>
      <c r="F2221" s="26"/>
      <c r="G2221" s="26"/>
    </row>
    <row r="2222" spans="1:7">
      <c r="A2222" s="26"/>
      <c r="B2222" s="78"/>
      <c r="C2222" s="26"/>
      <c r="D2222" s="26"/>
      <c r="E2222" s="26"/>
      <c r="F2222" s="26"/>
      <c r="G2222" s="26"/>
    </row>
    <row r="2223" spans="1:7" ht="18.75">
      <c r="A2223" s="78" t="s">
        <v>7561</v>
      </c>
      <c r="B2223" s="26" t="s">
        <v>8793</v>
      </c>
      <c r="C2223" s="26"/>
      <c r="D2223" s="26"/>
      <c r="E2223" s="26"/>
      <c r="F2223" s="26"/>
      <c r="G2223" s="26"/>
    </row>
    <row r="2224" spans="1:7" ht="18.75">
      <c r="A2224" s="78"/>
      <c r="B2224" s="26" t="s">
        <v>8955</v>
      </c>
      <c r="C2224" s="26"/>
      <c r="D2224" s="26"/>
      <c r="E2224" s="26"/>
      <c r="F2224" s="26"/>
      <c r="G2224" s="26"/>
    </row>
    <row r="2225" spans="1:7">
      <c r="A2225" s="78"/>
      <c r="B2225" s="26" t="s">
        <v>8956</v>
      </c>
      <c r="C2225" s="26"/>
      <c r="D2225" s="26"/>
      <c r="E2225" s="26"/>
      <c r="F2225" s="26"/>
      <c r="G2225" s="26"/>
    </row>
    <row r="2226" spans="1:7">
      <c r="A2226" s="78"/>
      <c r="B2226" s="26" t="s">
        <v>2565</v>
      </c>
      <c r="C2226" s="26"/>
      <c r="D2226" s="26"/>
      <c r="E2226" s="26"/>
      <c r="F2226" s="26"/>
      <c r="G2226" s="26"/>
    </row>
    <row r="2227" spans="1:7" ht="18.75">
      <c r="A2227" s="78"/>
      <c r="B2227" s="170" t="s">
        <v>8957</v>
      </c>
      <c r="C2227" s="26"/>
      <c r="D2227" s="26"/>
      <c r="E2227" s="26"/>
      <c r="F2227" s="26"/>
      <c r="G2227" s="26"/>
    </row>
    <row r="2228" spans="1:7">
      <c r="A2228" s="78" t="s">
        <v>1940</v>
      </c>
      <c r="B2228" s="170" t="s">
        <v>1351</v>
      </c>
      <c r="C2228" s="26"/>
      <c r="D2228" s="26"/>
      <c r="E2228" s="26"/>
      <c r="F2228" s="26"/>
      <c r="G2228" s="26"/>
    </row>
    <row r="2229" spans="1:7">
      <c r="A2229" s="78"/>
      <c r="B2229" s="170" t="s">
        <v>7798</v>
      </c>
      <c r="C2229" s="26"/>
      <c r="D2229" s="26"/>
      <c r="E2229" s="26"/>
      <c r="F2229" s="26"/>
      <c r="G2229" s="26"/>
    </row>
    <row r="2230" spans="1:7">
      <c r="A2230" s="62"/>
      <c r="B2230" s="248" t="s">
        <v>4521</v>
      </c>
      <c r="C2230" s="61"/>
      <c r="D2230" s="61"/>
      <c r="E2230" s="61"/>
      <c r="F2230" s="61"/>
      <c r="G2230" s="61"/>
    </row>
    <row r="2231" spans="1:7">
      <c r="A2231" s="78"/>
      <c r="B2231" s="26"/>
      <c r="C2231" s="26"/>
      <c r="D2231" s="26"/>
      <c r="E2231" s="26"/>
      <c r="F2231" s="26"/>
      <c r="G2231" s="26"/>
    </row>
    <row r="2232" spans="1:7">
      <c r="A2232" s="78" t="s">
        <v>3984</v>
      </c>
      <c r="B2232" s="26" t="s">
        <v>5780</v>
      </c>
      <c r="C2232" s="26"/>
      <c r="D2232" s="26"/>
      <c r="E2232" s="26"/>
      <c r="F2232" s="26"/>
      <c r="G2232" s="26"/>
    </row>
    <row r="2233" spans="1:7">
      <c r="A2233" s="78"/>
      <c r="B2233" s="26" t="s">
        <v>3990</v>
      </c>
      <c r="C2233" s="26"/>
      <c r="D2233" s="26"/>
      <c r="E2233" s="26"/>
      <c r="F2233" s="26"/>
      <c r="G2233" s="26"/>
    </row>
    <row r="2234" spans="1:7">
      <c r="A2234" s="78"/>
      <c r="B2234" s="26" t="s">
        <v>7818</v>
      </c>
      <c r="C2234" s="26"/>
      <c r="D2234" s="26"/>
      <c r="E2234" s="26"/>
      <c r="F2234" s="26"/>
      <c r="G2234" s="26"/>
    </row>
    <row r="2235" spans="1:7">
      <c r="A2235" s="78"/>
      <c r="B2235" s="26" t="s">
        <v>7819</v>
      </c>
      <c r="C2235" s="26"/>
      <c r="D2235" s="26">
        <f>ROUND(50*10*8/260,2)</f>
        <v>15.38</v>
      </c>
      <c r="E2235" s="26" t="s">
        <v>3760</v>
      </c>
      <c r="F2235" s="26"/>
      <c r="G2235" s="26"/>
    </row>
    <row r="2236" spans="1:7">
      <c r="A2236" s="78"/>
      <c r="B2236" s="26" t="s">
        <v>2843</v>
      </c>
      <c r="C2236" s="26"/>
      <c r="D2236" s="26"/>
      <c r="E2236" s="26"/>
      <c r="F2236" s="26"/>
      <c r="G2236" s="26"/>
    </row>
    <row r="2237" spans="1:7">
      <c r="A2237" s="78"/>
      <c r="B2237" s="26" t="s">
        <v>3982</v>
      </c>
      <c r="C2237" s="26"/>
      <c r="D2237" s="26"/>
      <c r="E2237" s="26"/>
      <c r="F2237" s="26"/>
      <c r="G2237" s="26"/>
    </row>
    <row r="2238" spans="1:7">
      <c r="A2238" s="78"/>
      <c r="B2238" s="26" t="s">
        <v>1995</v>
      </c>
      <c r="C2238" s="26"/>
      <c r="D2238" s="26"/>
      <c r="E2238" s="26"/>
      <c r="F2238" s="68">
        <f>G618</f>
        <v>224.56752690000002</v>
      </c>
      <c r="G2238" s="26" t="s">
        <v>1168</v>
      </c>
    </row>
    <row r="2239" spans="1:7">
      <c r="A2239" s="78"/>
      <c r="B2239" s="26" t="s">
        <v>8002</v>
      </c>
      <c r="C2239" s="26"/>
      <c r="D2239" s="26"/>
      <c r="E2239" s="26"/>
      <c r="F2239" s="68">
        <f>F2238*5%</f>
        <v>11.228376345000001</v>
      </c>
      <c r="G2239" s="26" t="s">
        <v>1168</v>
      </c>
    </row>
    <row r="2240" spans="1:7">
      <c r="A2240" s="78"/>
      <c r="B2240" s="26" t="s">
        <v>5728</v>
      </c>
      <c r="C2240" s="26"/>
      <c r="D2240" s="26"/>
      <c r="E2240" s="26"/>
      <c r="F2240" s="68">
        <f>SUM(F2238:F2239)</f>
        <v>235.79590324500003</v>
      </c>
      <c r="G2240" s="26" t="s">
        <v>1168</v>
      </c>
    </row>
    <row r="2241" spans="1:7">
      <c r="A2241" s="78"/>
      <c r="B2241" s="26" t="s">
        <v>3983</v>
      </c>
      <c r="C2241" s="26"/>
      <c r="D2241" s="26"/>
      <c r="E2241" s="26"/>
      <c r="F2241" s="26"/>
      <c r="G2241" s="26"/>
    </row>
    <row r="2242" spans="1:7">
      <c r="A2242" s="78"/>
      <c r="B2242" s="26" t="s">
        <v>1996</v>
      </c>
      <c r="C2242" s="26"/>
      <c r="D2242" s="26"/>
      <c r="E2242" s="26"/>
      <c r="F2242" s="68">
        <f>G644</f>
        <v>88.5</v>
      </c>
      <c r="G2242" s="26" t="s">
        <v>1168</v>
      </c>
    </row>
    <row r="2243" spans="1:7">
      <c r="A2243" s="78"/>
      <c r="B2243" s="26" t="s">
        <v>353</v>
      </c>
      <c r="C2243" s="26"/>
      <c r="D2243" s="26"/>
      <c r="E2243" s="26"/>
      <c r="F2243" s="26"/>
      <c r="G2243" s="26"/>
    </row>
    <row r="2244" spans="1:7">
      <c r="A2244" s="78"/>
      <c r="B2244" s="26" t="s">
        <v>451</v>
      </c>
      <c r="C2244" s="26"/>
      <c r="D2244" s="26"/>
      <c r="E2244" s="26"/>
      <c r="F2244" s="26"/>
      <c r="G2244" s="26"/>
    </row>
    <row r="2245" spans="1:7">
      <c r="A2245" s="62"/>
      <c r="B2245" s="61" t="s">
        <v>1997</v>
      </c>
      <c r="C2245" s="61"/>
      <c r="D2245" s="61"/>
      <c r="E2245" s="61"/>
      <c r="F2245" s="61"/>
      <c r="G2245" s="61"/>
    </row>
    <row r="2246" spans="1:7">
      <c r="A2246" s="26"/>
      <c r="B2246" s="78"/>
      <c r="C2246" s="26"/>
      <c r="D2246" s="26"/>
      <c r="E2246" s="26"/>
      <c r="F2246" s="26"/>
      <c r="G2246" s="26"/>
    </row>
    <row r="2247" spans="1:7">
      <c r="A2247" s="26"/>
      <c r="B2247" s="78"/>
      <c r="C2247" s="26"/>
      <c r="D2247" s="26"/>
      <c r="E2247" s="26"/>
      <c r="F2247" s="26"/>
      <c r="G2247" s="26"/>
    </row>
    <row r="2248" spans="1:7">
      <c r="A2248" s="78" t="s">
        <v>3984</v>
      </c>
      <c r="B2248" s="78"/>
      <c r="C2248" s="203" t="s">
        <v>2367</v>
      </c>
      <c r="D2248" s="26"/>
      <c r="E2248" s="171" t="s">
        <v>297</v>
      </c>
      <c r="F2248" s="246">
        <f>D2235</f>
        <v>15.38</v>
      </c>
      <c r="G2248" s="26" t="s">
        <v>3477</v>
      </c>
    </row>
    <row r="2249" spans="1:7">
      <c r="A2249" s="26"/>
      <c r="B2249" s="79" t="s">
        <v>2368</v>
      </c>
      <c r="C2249" s="26"/>
      <c r="D2249" s="26"/>
      <c r="E2249" s="26"/>
      <c r="F2249" s="26"/>
      <c r="G2249" s="26"/>
    </row>
    <row r="2250" spans="1:7">
      <c r="A2250" s="26"/>
      <c r="B2250" s="95" t="s">
        <v>2369</v>
      </c>
      <c r="C2250" s="157" t="s">
        <v>4443</v>
      </c>
      <c r="D2250" s="95" t="s">
        <v>2370</v>
      </c>
      <c r="E2250" s="95" t="s">
        <v>1166</v>
      </c>
      <c r="F2250" s="95" t="s">
        <v>2371</v>
      </c>
      <c r="G2250" s="95" t="s">
        <v>2372</v>
      </c>
    </row>
    <row r="2251" spans="1:7">
      <c r="A2251" s="26"/>
      <c r="B2251" s="114"/>
      <c r="C2251" s="154"/>
      <c r="D2251" s="114"/>
      <c r="E2251" s="114"/>
      <c r="F2251" s="114" t="s">
        <v>3485</v>
      </c>
      <c r="G2251" s="114" t="s">
        <v>3485</v>
      </c>
    </row>
    <row r="2252" spans="1:7">
      <c r="A2252" s="26"/>
      <c r="B2252" s="95">
        <v>1</v>
      </c>
      <c r="C2252" s="135" t="s">
        <v>1048</v>
      </c>
      <c r="D2252" s="95" t="s">
        <v>3478</v>
      </c>
      <c r="E2252" s="190">
        <f>260*F2248</f>
        <v>3998.8</v>
      </c>
      <c r="F2252" s="214">
        <f>'BASIC DATA'!$D$32/1000</f>
        <v>5.35</v>
      </c>
      <c r="G2252" s="190">
        <f>E2252*F2252</f>
        <v>21393.579999999998</v>
      </c>
    </row>
    <row r="2253" spans="1:7">
      <c r="A2253" s="26"/>
      <c r="B2253" s="317"/>
      <c r="C2253" s="135" t="s">
        <v>1049</v>
      </c>
      <c r="D2253" s="105" t="s">
        <v>3478</v>
      </c>
      <c r="E2253" s="190">
        <f>F2248*5</f>
        <v>76.900000000000006</v>
      </c>
      <c r="F2253" s="214">
        <f>'BASIC DATA'!$D$32/1000</f>
        <v>5.35</v>
      </c>
      <c r="G2253" s="190">
        <f t="shared" ref="G2253:G2261" si="60">E2253*F2253</f>
        <v>411.41500000000002</v>
      </c>
    </row>
    <row r="2254" spans="1:7">
      <c r="A2254" s="26"/>
      <c r="B2254" s="105">
        <v>2</v>
      </c>
      <c r="C2254" s="135" t="s">
        <v>6996</v>
      </c>
      <c r="D2254" s="105" t="s">
        <v>3477</v>
      </c>
      <c r="E2254" s="190">
        <f>0.9*F2248*0.5</f>
        <v>6.9210000000000003</v>
      </c>
      <c r="F2254" s="214">
        <f>'BASIC DATA'!$D$36</f>
        <v>1175</v>
      </c>
      <c r="G2254" s="190">
        <f t="shared" si="60"/>
        <v>8132.1750000000002</v>
      </c>
    </row>
    <row r="2255" spans="1:7">
      <c r="A2255" s="26"/>
      <c r="B2255" s="317"/>
      <c r="C2255" s="135" t="s">
        <v>6995</v>
      </c>
      <c r="D2255" s="105" t="s">
        <v>3477</v>
      </c>
      <c r="E2255" s="190">
        <f>0.9*F2248*0.3</f>
        <v>4.1525999999999996</v>
      </c>
      <c r="F2255" s="214">
        <f>'BASIC DATA'!$D$35</f>
        <v>1225</v>
      </c>
      <c r="G2255" s="190">
        <f t="shared" si="60"/>
        <v>5086.9349999999995</v>
      </c>
    </row>
    <row r="2256" spans="1:7">
      <c r="A2256" s="26"/>
      <c r="B2256" s="317"/>
      <c r="C2256" s="135" t="s">
        <v>1050</v>
      </c>
      <c r="D2256" s="105" t="s">
        <v>3477</v>
      </c>
      <c r="E2256" s="190">
        <f>0.9*F2248*0.2</f>
        <v>2.7684000000000002</v>
      </c>
      <c r="F2256" s="214">
        <f>'BASIC DATA'!$D$34</f>
        <v>900</v>
      </c>
      <c r="G2256" s="190">
        <f t="shared" si="60"/>
        <v>2491.5600000000004</v>
      </c>
    </row>
    <row r="2257" spans="1:7">
      <c r="A2257" s="61"/>
      <c r="B2257" s="240">
        <v>3</v>
      </c>
      <c r="C2257" s="326" t="s">
        <v>7941</v>
      </c>
      <c r="D2257" s="240" t="s">
        <v>3477</v>
      </c>
      <c r="E2257" s="255">
        <f>0.4*F2248</f>
        <v>6.152000000000001</v>
      </c>
      <c r="F2257" s="266">
        <f>'BASIC DATA'!$D$55</f>
        <v>95</v>
      </c>
      <c r="G2257" s="255">
        <f t="shared" si="60"/>
        <v>584.44000000000005</v>
      </c>
    </row>
    <row r="2258" spans="1:7">
      <c r="A2258" s="26"/>
      <c r="B2258" s="105">
        <v>4</v>
      </c>
      <c r="C2258" s="135" t="s">
        <v>523</v>
      </c>
      <c r="D2258" s="105" t="s">
        <v>3478</v>
      </c>
      <c r="E2258" s="190">
        <f>E2252*0.4%</f>
        <v>15.995200000000001</v>
      </c>
      <c r="F2258" s="214">
        <f>'BASIC DATA'!$D$99</f>
        <v>55</v>
      </c>
      <c r="G2258" s="190">
        <f t="shared" si="60"/>
        <v>879.73599999999999</v>
      </c>
    </row>
    <row r="2259" spans="1:7">
      <c r="A2259" s="26"/>
      <c r="B2259" s="105">
        <v>5</v>
      </c>
      <c r="C2259" s="135" t="s">
        <v>7213</v>
      </c>
      <c r="D2259" s="105" t="s">
        <v>3479</v>
      </c>
      <c r="E2259" s="190">
        <f>2*F2248</f>
        <v>30.76</v>
      </c>
      <c r="F2259" s="214">
        <f>F2240</f>
        <v>235.79590324500003</v>
      </c>
      <c r="G2259" s="190">
        <f t="shared" si="60"/>
        <v>7253.0819838162015</v>
      </c>
    </row>
    <row r="2260" spans="1:7">
      <c r="A2260" s="26"/>
      <c r="B2260" s="317"/>
      <c r="C2260" s="135" t="s">
        <v>5408</v>
      </c>
      <c r="D2260" s="224">
        <v>0.15</v>
      </c>
      <c r="E2260" s="190"/>
      <c r="F2260" s="214"/>
      <c r="G2260" s="190">
        <f>G2259*D2260</f>
        <v>1087.9622975724301</v>
      </c>
    </row>
    <row r="2261" spans="1:7">
      <c r="A2261" s="26"/>
      <c r="B2261" s="114">
        <v>6</v>
      </c>
      <c r="C2261" s="139" t="s">
        <v>2373</v>
      </c>
      <c r="D2261" s="114" t="s">
        <v>2173</v>
      </c>
      <c r="E2261" s="182">
        <v>0.5</v>
      </c>
      <c r="F2261" s="215">
        <f>'BASIC DATA'!$D$359</f>
        <v>30</v>
      </c>
      <c r="G2261" s="182">
        <f t="shared" si="60"/>
        <v>15</v>
      </c>
    </row>
    <row r="2262" spans="1:7">
      <c r="A2262" s="26"/>
      <c r="B2262" s="93"/>
      <c r="C2262" s="31" t="s">
        <v>6844</v>
      </c>
      <c r="D2262" s="31" t="s">
        <v>4043</v>
      </c>
      <c r="E2262" s="198"/>
      <c r="F2262" s="327" t="s">
        <v>1698</v>
      </c>
      <c r="G2262" s="190">
        <v>0</v>
      </c>
    </row>
    <row r="2263" spans="1:7">
      <c r="A2263" s="26"/>
      <c r="B2263" s="93"/>
      <c r="C2263" s="31" t="s">
        <v>6845</v>
      </c>
      <c r="D2263" s="31" t="s">
        <v>4043</v>
      </c>
      <c r="E2263" s="198"/>
      <c r="F2263" s="327" t="s">
        <v>1698</v>
      </c>
      <c r="G2263" s="190">
        <v>0</v>
      </c>
    </row>
    <row r="2264" spans="1:7">
      <c r="A2264" s="26"/>
      <c r="B2264" s="92"/>
      <c r="C2264" s="193" t="s">
        <v>2376</v>
      </c>
      <c r="D2264" s="159"/>
      <c r="E2264" s="238"/>
      <c r="F2264" s="236" t="s">
        <v>1698</v>
      </c>
      <c r="G2264" s="318">
        <f>SUM(G2252:G2263)</f>
        <v>47335.885281388619</v>
      </c>
    </row>
    <row r="2265" spans="1:7">
      <c r="A2265" s="26"/>
      <c r="B2265" s="78"/>
      <c r="C2265" s="26"/>
      <c r="D2265" s="26"/>
      <c r="E2265" s="26"/>
      <c r="F2265" s="26"/>
      <c r="G2265" s="26"/>
    </row>
    <row r="2266" spans="1:7">
      <c r="A2266" s="26"/>
      <c r="B2266" s="79" t="s">
        <v>2377</v>
      </c>
      <c r="C2266" s="26"/>
      <c r="D2266" s="26"/>
      <c r="E2266" s="26"/>
      <c r="F2266" s="26"/>
      <c r="G2266" s="26"/>
    </row>
    <row r="2267" spans="1:7">
      <c r="A2267" s="26"/>
      <c r="B2267" s="95" t="s">
        <v>2369</v>
      </c>
      <c r="C2267" s="157" t="s">
        <v>2378</v>
      </c>
      <c r="D2267" s="95" t="s">
        <v>2370</v>
      </c>
      <c r="E2267" s="95" t="s">
        <v>1166</v>
      </c>
      <c r="F2267" s="95" t="s">
        <v>2371</v>
      </c>
      <c r="G2267" s="95" t="s">
        <v>2372</v>
      </c>
    </row>
    <row r="2268" spans="1:7">
      <c r="A2268" s="26"/>
      <c r="B2268" s="114"/>
      <c r="C2268" s="154"/>
      <c r="D2268" s="114"/>
      <c r="E2268" s="114"/>
      <c r="F2268" s="114" t="s">
        <v>3485</v>
      </c>
      <c r="G2268" s="114" t="s">
        <v>3485</v>
      </c>
    </row>
    <row r="2269" spans="1:7">
      <c r="A2269" s="26"/>
      <c r="B2269" s="95">
        <v>1</v>
      </c>
      <c r="C2269" s="153" t="s">
        <v>7214</v>
      </c>
      <c r="D2269" s="175" t="s">
        <v>2374</v>
      </c>
      <c r="E2269" s="179">
        <v>8</v>
      </c>
      <c r="F2269" s="190">
        <f>'HIRE CHARGES'!$D$507</f>
        <v>53.5</v>
      </c>
      <c r="G2269" s="190">
        <f t="shared" ref="G2269:G2274" si="61">E2269*F2269</f>
        <v>428</v>
      </c>
    </row>
    <row r="2270" spans="1:7">
      <c r="A2270" s="26"/>
      <c r="B2270" s="317"/>
      <c r="C2270" s="152" t="s">
        <v>2379</v>
      </c>
      <c r="D2270" s="33" t="s">
        <v>2374</v>
      </c>
      <c r="E2270" s="190">
        <v>8</v>
      </c>
      <c r="F2270" s="190">
        <f>'HIRE CHARGES'!$E$507</f>
        <v>79.3</v>
      </c>
      <c r="G2270" s="190">
        <f t="shared" si="61"/>
        <v>634.4</v>
      </c>
    </row>
    <row r="2271" spans="1:7">
      <c r="A2271" s="26"/>
      <c r="B2271" s="105">
        <v>2</v>
      </c>
      <c r="C2271" s="152" t="s">
        <v>189</v>
      </c>
      <c r="D2271" s="33" t="s">
        <v>2374</v>
      </c>
      <c r="E2271" s="190">
        <v>0.5</v>
      </c>
      <c r="F2271" s="190">
        <f>'HIRE CHARGES'!$D$517</f>
        <v>10.199999999999999</v>
      </c>
      <c r="G2271" s="190">
        <f t="shared" si="61"/>
        <v>5.0999999999999996</v>
      </c>
    </row>
    <row r="2272" spans="1:7">
      <c r="A2272" s="26"/>
      <c r="B2272" s="317"/>
      <c r="C2272" s="152" t="s">
        <v>2379</v>
      </c>
      <c r="D2272" s="33" t="s">
        <v>2374</v>
      </c>
      <c r="E2272" s="190">
        <v>0.5</v>
      </c>
      <c r="F2272" s="190">
        <f>'HIRE CHARGES'!$E$517</f>
        <v>79.3</v>
      </c>
      <c r="G2272" s="190">
        <f t="shared" si="61"/>
        <v>39.65</v>
      </c>
    </row>
    <row r="2273" spans="1:7">
      <c r="A2273" s="26"/>
      <c r="B2273" s="105">
        <v>3</v>
      </c>
      <c r="C2273" s="152" t="s">
        <v>526</v>
      </c>
      <c r="D2273" s="33" t="s">
        <v>2374</v>
      </c>
      <c r="E2273" s="190">
        <v>8</v>
      </c>
      <c r="F2273" s="190">
        <f>'HIRE CHARGES'!$D$531</f>
        <v>7.6</v>
      </c>
      <c r="G2273" s="190">
        <f t="shared" si="61"/>
        <v>60.8</v>
      </c>
    </row>
    <row r="2274" spans="1:7">
      <c r="A2274" s="26"/>
      <c r="B2274" s="365"/>
      <c r="C2274" s="116" t="s">
        <v>2379</v>
      </c>
      <c r="D2274" s="33" t="s">
        <v>2374</v>
      </c>
      <c r="E2274" s="182">
        <v>8</v>
      </c>
      <c r="F2274" s="207">
        <f>'HIRE CHARGES'!$E$531</f>
        <v>18.8</v>
      </c>
      <c r="G2274" s="190">
        <f t="shared" si="61"/>
        <v>150.4</v>
      </c>
    </row>
    <row r="2275" spans="1:7">
      <c r="A2275" s="26"/>
      <c r="B2275" s="176"/>
      <c r="C2275" s="172" t="s">
        <v>2380</v>
      </c>
      <c r="D2275" s="174"/>
      <c r="E2275" s="192"/>
      <c r="F2275" s="236" t="s">
        <v>1698</v>
      </c>
      <c r="G2275" s="318">
        <f>SUM(G2269:G2274)</f>
        <v>1318.3500000000001</v>
      </c>
    </row>
    <row r="2276" spans="1:7">
      <c r="A2276" s="26"/>
      <c r="B2276" s="78"/>
      <c r="C2276" s="26"/>
      <c r="D2276" s="26"/>
      <c r="E2276" s="26"/>
      <c r="F2276" s="26"/>
      <c r="G2276" s="26"/>
    </row>
    <row r="2277" spans="1:7">
      <c r="A2277" s="26"/>
      <c r="B2277" s="79" t="s">
        <v>2381</v>
      </c>
      <c r="C2277" s="26"/>
      <c r="D2277" s="26"/>
      <c r="E2277" s="26"/>
      <c r="F2277" s="26"/>
      <c r="G2277" s="26"/>
    </row>
    <row r="2278" spans="1:7">
      <c r="A2278" s="26"/>
      <c r="B2278" s="95" t="s">
        <v>2369</v>
      </c>
      <c r="C2278" s="157" t="s">
        <v>2378</v>
      </c>
      <c r="D2278" s="95" t="s">
        <v>2370</v>
      </c>
      <c r="E2278" s="95" t="s">
        <v>1166</v>
      </c>
      <c r="F2278" s="95" t="s">
        <v>2371</v>
      </c>
      <c r="G2278" s="95" t="s">
        <v>2372</v>
      </c>
    </row>
    <row r="2279" spans="1:7">
      <c r="A2279" s="26"/>
      <c r="B2279" s="114"/>
      <c r="C2279" s="154"/>
      <c r="D2279" s="105"/>
      <c r="E2279" s="105"/>
      <c r="F2279" s="105" t="s">
        <v>3485</v>
      </c>
      <c r="G2279" s="114" t="s">
        <v>3485</v>
      </c>
    </row>
    <row r="2280" spans="1:7">
      <c r="A2280" s="26"/>
      <c r="B2280" s="95">
        <v>1</v>
      </c>
      <c r="C2280" s="76" t="s">
        <v>527</v>
      </c>
      <c r="D2280" s="95" t="s">
        <v>2374</v>
      </c>
      <c r="E2280" s="179">
        <v>8</v>
      </c>
      <c r="F2280" s="179">
        <f>'HIRE CHARGES'!$F$507</f>
        <v>219.7</v>
      </c>
      <c r="G2280" s="207">
        <f>E2280*F2280</f>
        <v>1757.6</v>
      </c>
    </row>
    <row r="2281" spans="1:7">
      <c r="A2281" s="26"/>
      <c r="B2281" s="105">
        <v>2</v>
      </c>
      <c r="C2281" s="76" t="s">
        <v>999</v>
      </c>
      <c r="D2281" s="105" t="s">
        <v>2374</v>
      </c>
      <c r="E2281" s="190">
        <v>0.5</v>
      </c>
      <c r="F2281" s="190">
        <f>'HIRE CHARGES'!$F$517</f>
        <v>111.1</v>
      </c>
      <c r="G2281" s="207">
        <f t="shared" ref="G2281:G2291" si="62">E2281*F2281</f>
        <v>55.55</v>
      </c>
    </row>
    <row r="2282" spans="1:7">
      <c r="A2282" s="26"/>
      <c r="B2282" s="105">
        <v>3</v>
      </c>
      <c r="C2282" s="76" t="s">
        <v>439</v>
      </c>
      <c r="D2282" s="105" t="s">
        <v>2374</v>
      </c>
      <c r="E2282" s="190">
        <v>8</v>
      </c>
      <c r="F2282" s="190">
        <f>'HIRE CHARGES'!$F$531</f>
        <v>158.19999999999999</v>
      </c>
      <c r="G2282" s="207">
        <f t="shared" si="62"/>
        <v>1265.5999999999999</v>
      </c>
    </row>
    <row r="2283" spans="1:7">
      <c r="A2283" s="26"/>
      <c r="B2283" s="105">
        <v>4</v>
      </c>
      <c r="C2283" s="76" t="s">
        <v>440</v>
      </c>
      <c r="D2283" s="105" t="s">
        <v>1172</v>
      </c>
      <c r="E2283" s="190">
        <v>1</v>
      </c>
      <c r="F2283" s="190">
        <f>'BASIC DATA'!$C$474</f>
        <v>445</v>
      </c>
      <c r="G2283" s="207">
        <f t="shared" si="62"/>
        <v>445</v>
      </c>
    </row>
    <row r="2284" spans="1:7">
      <c r="A2284" s="26"/>
      <c r="B2284" s="105">
        <v>5</v>
      </c>
      <c r="C2284" s="76" t="s">
        <v>4206</v>
      </c>
      <c r="D2284" s="105" t="s">
        <v>1172</v>
      </c>
      <c r="E2284" s="190">
        <v>1</v>
      </c>
      <c r="F2284" s="190">
        <f>'BASIC DATA'!$C$473</f>
        <v>450</v>
      </c>
      <c r="G2284" s="207">
        <f t="shared" si="62"/>
        <v>450</v>
      </c>
    </row>
    <row r="2285" spans="1:7">
      <c r="A2285" s="26"/>
      <c r="B2285" s="105">
        <v>6</v>
      </c>
      <c r="C2285" s="76" t="s">
        <v>2697</v>
      </c>
      <c r="D2285" s="105"/>
      <c r="E2285" s="190"/>
      <c r="F2285" s="190"/>
      <c r="G2285" s="207"/>
    </row>
    <row r="2286" spans="1:7">
      <c r="A2286" s="26"/>
      <c r="B2286" s="317"/>
      <c r="C2286" s="76" t="s">
        <v>441</v>
      </c>
      <c r="D2286" s="105" t="s">
        <v>1172</v>
      </c>
      <c r="E2286" s="190">
        <v>11</v>
      </c>
      <c r="F2286" s="190">
        <f>'BASIC DATA'!$C$552</f>
        <v>350</v>
      </c>
      <c r="G2286" s="207">
        <f t="shared" si="62"/>
        <v>3850</v>
      </c>
    </row>
    <row r="2287" spans="1:7">
      <c r="A2287" s="26"/>
      <c r="B2287" s="317"/>
      <c r="C2287" s="76" t="s">
        <v>442</v>
      </c>
      <c r="D2287" s="105" t="s">
        <v>1172</v>
      </c>
      <c r="E2287" s="190">
        <v>4</v>
      </c>
      <c r="F2287" s="190">
        <f>'BASIC DATA'!$C$552</f>
        <v>350</v>
      </c>
      <c r="G2287" s="207">
        <f t="shared" si="62"/>
        <v>1400</v>
      </c>
    </row>
    <row r="2288" spans="1:7">
      <c r="A2288" s="26"/>
      <c r="B2288" s="317"/>
      <c r="C2288" s="76" t="s">
        <v>5151</v>
      </c>
      <c r="D2288" s="105" t="s">
        <v>1172</v>
      </c>
      <c r="E2288" s="190">
        <v>3</v>
      </c>
      <c r="F2288" s="190">
        <f>'BASIC DATA'!$C$552</f>
        <v>350</v>
      </c>
      <c r="G2288" s="207">
        <f t="shared" si="62"/>
        <v>1050</v>
      </c>
    </row>
    <row r="2289" spans="1:7">
      <c r="A2289" s="26"/>
      <c r="B2289" s="317"/>
      <c r="C2289" s="76" t="s">
        <v>444</v>
      </c>
      <c r="D2289" s="105" t="s">
        <v>1172</v>
      </c>
      <c r="E2289" s="190">
        <f>F2248</f>
        <v>15.38</v>
      </c>
      <c r="F2289" s="190">
        <f>'BASIC DATA'!$C$552</f>
        <v>350</v>
      </c>
      <c r="G2289" s="207">
        <f t="shared" si="62"/>
        <v>5383</v>
      </c>
    </row>
    <row r="2290" spans="1:7">
      <c r="A2290" s="26"/>
      <c r="B2290" s="317"/>
      <c r="C2290" s="76" t="s">
        <v>445</v>
      </c>
      <c r="D2290" s="105" t="s">
        <v>1172</v>
      </c>
      <c r="E2290" s="190">
        <v>1</v>
      </c>
      <c r="F2290" s="190">
        <f>'BASIC DATA'!$C$552</f>
        <v>350</v>
      </c>
      <c r="G2290" s="207">
        <f t="shared" si="62"/>
        <v>350</v>
      </c>
    </row>
    <row r="2291" spans="1:7">
      <c r="A2291" s="26"/>
      <c r="B2291" s="105">
        <v>7</v>
      </c>
      <c r="C2291" s="76" t="s">
        <v>2126</v>
      </c>
      <c r="D2291" s="105" t="s">
        <v>3479</v>
      </c>
      <c r="E2291" s="190">
        <f>2*F2248</f>
        <v>30.76</v>
      </c>
      <c r="F2291" s="190">
        <f>F2242</f>
        <v>88.5</v>
      </c>
      <c r="G2291" s="207">
        <f t="shared" si="62"/>
        <v>2722.26</v>
      </c>
    </row>
    <row r="2292" spans="1:7">
      <c r="A2292" s="26"/>
      <c r="B2292" s="365"/>
      <c r="C2292" s="76" t="s">
        <v>5940</v>
      </c>
      <c r="D2292" s="681">
        <v>0.15</v>
      </c>
      <c r="E2292" s="182"/>
      <c r="F2292" s="182"/>
      <c r="G2292" s="207">
        <f>G2291*D2292</f>
        <v>408.339</v>
      </c>
    </row>
    <row r="2293" spans="1:7">
      <c r="A2293" s="26"/>
      <c r="B2293" s="92"/>
      <c r="C2293" s="193" t="s">
        <v>1174</v>
      </c>
      <c r="D2293" s="159"/>
      <c r="E2293" s="238"/>
      <c r="F2293" s="236" t="s">
        <v>1698</v>
      </c>
      <c r="G2293" s="318">
        <f>SUM(G2280:G2292)</f>
        <v>19137.349000000002</v>
      </c>
    </row>
    <row r="2294" spans="1:7">
      <c r="A2294" s="26"/>
      <c r="B2294" s="60" t="s">
        <v>5948</v>
      </c>
      <c r="C2294" s="31"/>
      <c r="D2294" s="31"/>
      <c r="E2294" s="85">
        <f>ROUND(G2293/F2248,1)</f>
        <v>1244.3</v>
      </c>
      <c r="F2294" s="26"/>
      <c r="G2294" s="26"/>
    </row>
    <row r="2295" spans="1:7">
      <c r="A2295" s="26"/>
      <c r="B2295" s="60" t="s">
        <v>3163</v>
      </c>
      <c r="C2295" s="31"/>
      <c r="D2295" s="31">
        <f>'BASIC DATA'!$C$577</f>
        <v>0.13614999999999999</v>
      </c>
      <c r="E2295" s="85">
        <f>ROUND(E2294*D2295,1)</f>
        <v>169.4</v>
      </c>
      <c r="F2295" s="26"/>
      <c r="G2295" s="26"/>
    </row>
    <row r="2296" spans="1:7">
      <c r="A2296" s="26"/>
      <c r="B2296" s="60" t="s">
        <v>5949</v>
      </c>
      <c r="C2296" s="31"/>
      <c r="D2296" s="31"/>
      <c r="E2296" s="199">
        <f>ROUND(E2295+E2294,1)</f>
        <v>1413.7</v>
      </c>
      <c r="F2296" s="57"/>
      <c r="G2296" s="26"/>
    </row>
    <row r="2297" spans="1:7">
      <c r="A2297" s="26"/>
      <c r="B2297" s="78"/>
      <c r="C2297" s="26"/>
      <c r="D2297" s="26"/>
      <c r="E2297" s="26"/>
      <c r="F2297" s="26"/>
      <c r="G2297" s="26"/>
    </row>
    <row r="2298" spans="1:7">
      <c r="A2298" s="26"/>
      <c r="B2298" s="170" t="s">
        <v>1175</v>
      </c>
      <c r="C2298" s="26"/>
      <c r="D2298" s="26"/>
      <c r="E2298" s="26"/>
      <c r="F2298" s="26"/>
      <c r="G2298" s="26"/>
    </row>
    <row r="2299" spans="1:7">
      <c r="A2299" s="26"/>
      <c r="B2299" s="26" t="s">
        <v>5010</v>
      </c>
      <c r="C2299" s="26"/>
      <c r="D2299" s="26"/>
      <c r="E2299" s="26"/>
      <c r="F2299" s="171" t="s">
        <v>1698</v>
      </c>
      <c r="G2299" s="68">
        <f>G2264</f>
        <v>47335.885281388619</v>
      </c>
    </row>
    <row r="2300" spans="1:7">
      <c r="A2300" s="26"/>
      <c r="B2300" s="26" t="s">
        <v>1186</v>
      </c>
      <c r="C2300" s="26"/>
      <c r="D2300" s="26"/>
      <c r="E2300" s="26"/>
      <c r="F2300" s="171" t="s">
        <v>1698</v>
      </c>
      <c r="G2300" s="68">
        <f>G2275</f>
        <v>1318.3500000000001</v>
      </c>
    </row>
    <row r="2301" spans="1:7">
      <c r="A2301" s="26"/>
      <c r="B2301" s="26" t="s">
        <v>2660</v>
      </c>
      <c r="C2301" s="26"/>
      <c r="D2301" s="26"/>
      <c r="E2301" s="26"/>
      <c r="F2301" s="171" t="s">
        <v>1698</v>
      </c>
      <c r="G2301" s="75">
        <f>G2293</f>
        <v>19137.349000000002</v>
      </c>
    </row>
    <row r="2302" spans="1:7">
      <c r="A2302" s="26"/>
      <c r="B2302" s="78"/>
      <c r="C2302" s="26"/>
      <c r="D2302" s="26"/>
      <c r="E2302" s="171"/>
      <c r="F2302" s="171" t="s">
        <v>302</v>
      </c>
      <c r="G2302" s="205">
        <f>SUM(G2299:G2301)</f>
        <v>67791.584281388612</v>
      </c>
    </row>
    <row r="2303" spans="1:7">
      <c r="A2303" s="26"/>
      <c r="B2303" s="1206" t="s">
        <v>1379</v>
      </c>
      <c r="C2303" s="1206"/>
      <c r="D2303" s="26"/>
      <c r="E2303" s="249">
        <f>'BASIC DATA'!$C$577</f>
        <v>0.13614999999999999</v>
      </c>
      <c r="F2303" s="26" t="s">
        <v>1698</v>
      </c>
      <c r="G2303" s="26">
        <f>ROUND(G2302*E2303,2)</f>
        <v>9229.82</v>
      </c>
    </row>
    <row r="2304" spans="1:7">
      <c r="A2304" s="26"/>
      <c r="B2304" s="26" t="s">
        <v>1191</v>
      </c>
      <c r="C2304" s="26"/>
      <c r="D2304" s="68">
        <f>F2248</f>
        <v>15.38</v>
      </c>
      <c r="E2304" s="68" t="str">
        <f>G2248</f>
        <v>cum</v>
      </c>
      <c r="F2304" s="26" t="s">
        <v>1698</v>
      </c>
      <c r="G2304" s="211">
        <f>G2303+G2302</f>
        <v>77021.404281388619</v>
      </c>
    </row>
    <row r="2305" spans="1:7">
      <c r="A2305" s="26"/>
      <c r="B2305" s="170" t="s">
        <v>1584</v>
      </c>
      <c r="C2305" s="211" t="str">
        <f>E2304</f>
        <v>cum</v>
      </c>
      <c r="D2305" s="26" t="s">
        <v>7801</v>
      </c>
      <c r="E2305" s="26"/>
      <c r="F2305" s="26" t="s">
        <v>4108</v>
      </c>
      <c r="G2305" s="211">
        <f>ROUND(G2304/D2304,1)</f>
        <v>5007.8999999999996</v>
      </c>
    </row>
    <row r="2306" spans="1:7">
      <c r="A2306" s="26"/>
      <c r="B2306" s="78"/>
      <c r="C2306" s="26"/>
      <c r="D2306" s="26"/>
      <c r="E2306" s="26"/>
      <c r="F2306" s="26"/>
      <c r="G2306" s="26"/>
    </row>
    <row r="2307" spans="1:7">
      <c r="A2307" s="26"/>
      <c r="B2307" s="78"/>
      <c r="C2307" s="26"/>
      <c r="D2307" s="26"/>
      <c r="E2307" s="26"/>
      <c r="F2307" s="26"/>
      <c r="G2307" s="26"/>
    </row>
    <row r="2308" spans="1:7" ht="18.75">
      <c r="A2308" s="78" t="s">
        <v>7562</v>
      </c>
      <c r="B2308" s="26" t="s">
        <v>8799</v>
      </c>
      <c r="C2308" s="26"/>
      <c r="D2308" s="26"/>
      <c r="E2308" s="26"/>
      <c r="F2308" s="26"/>
      <c r="G2308" s="26"/>
    </row>
    <row r="2309" spans="1:7" ht="18.75">
      <c r="A2309" s="78"/>
      <c r="B2309" s="26" t="s">
        <v>8916</v>
      </c>
      <c r="C2309" s="26"/>
      <c r="D2309" s="26"/>
      <c r="E2309" s="26"/>
      <c r="F2309" s="26"/>
      <c r="G2309" s="26"/>
    </row>
    <row r="2310" spans="1:7" ht="18.75">
      <c r="A2310" s="78"/>
      <c r="B2310" s="26" t="s">
        <v>8958</v>
      </c>
      <c r="C2310" s="26"/>
      <c r="D2310" s="26"/>
      <c r="E2310" s="26"/>
      <c r="F2310" s="26"/>
      <c r="G2310" s="26"/>
    </row>
    <row r="2311" spans="1:7">
      <c r="A2311" s="78"/>
      <c r="B2311" s="26" t="s">
        <v>6</v>
      </c>
      <c r="C2311" s="26"/>
      <c r="D2311" s="26"/>
      <c r="E2311" s="26"/>
      <c r="F2311" s="26"/>
      <c r="G2311" s="26"/>
    </row>
    <row r="2312" spans="1:7" ht="18.75">
      <c r="A2312" s="78"/>
      <c r="B2312" s="170" t="s">
        <v>8915</v>
      </c>
      <c r="C2312" s="26"/>
      <c r="D2312" s="26"/>
      <c r="E2312" s="26"/>
      <c r="F2312" s="26"/>
      <c r="G2312" s="26"/>
    </row>
    <row r="2313" spans="1:7">
      <c r="A2313" s="78" t="s">
        <v>1940</v>
      </c>
      <c r="B2313" s="170" t="s">
        <v>4662</v>
      </c>
      <c r="C2313" s="26"/>
      <c r="D2313" s="26"/>
      <c r="E2313" s="26"/>
      <c r="F2313" s="26"/>
      <c r="G2313" s="26"/>
    </row>
    <row r="2314" spans="1:7">
      <c r="A2314" s="78"/>
      <c r="B2314" s="170" t="s">
        <v>7820</v>
      </c>
      <c r="C2314" s="26"/>
      <c r="D2314" s="26"/>
      <c r="E2314" s="26"/>
      <c r="F2314" s="26"/>
      <c r="G2314" s="26"/>
    </row>
    <row r="2315" spans="1:7">
      <c r="A2315" s="62"/>
      <c r="B2315" s="248" t="s">
        <v>4220</v>
      </c>
      <c r="C2315" s="61"/>
      <c r="D2315" s="61"/>
      <c r="E2315" s="61"/>
      <c r="F2315" s="61"/>
      <c r="G2315" s="61"/>
    </row>
    <row r="2316" spans="1:7">
      <c r="A2316" s="78"/>
      <c r="B2316" s="26"/>
      <c r="C2316" s="26"/>
      <c r="D2316" s="26"/>
      <c r="E2316" s="26"/>
      <c r="F2316" s="26"/>
      <c r="G2316" s="26"/>
    </row>
    <row r="2317" spans="1:7">
      <c r="A2317" s="78" t="s">
        <v>3984</v>
      </c>
      <c r="B2317" s="26" t="s">
        <v>5780</v>
      </c>
      <c r="C2317" s="26"/>
      <c r="D2317" s="26"/>
      <c r="E2317" s="26"/>
      <c r="F2317" s="26"/>
      <c r="G2317" s="26"/>
    </row>
    <row r="2318" spans="1:7">
      <c r="A2318" s="78"/>
      <c r="B2318" s="26" t="s">
        <v>3222</v>
      </c>
      <c r="C2318" s="26"/>
      <c r="D2318" s="26"/>
      <c r="E2318" s="26"/>
      <c r="F2318" s="26"/>
      <c r="G2318" s="26"/>
    </row>
    <row r="2319" spans="1:7">
      <c r="A2319" s="78"/>
      <c r="B2319" s="26" t="s">
        <v>7831</v>
      </c>
      <c r="C2319" s="26"/>
      <c r="D2319" s="26"/>
      <c r="E2319" s="26"/>
      <c r="F2319" s="26"/>
      <c r="G2319" s="26"/>
    </row>
    <row r="2320" spans="1:7">
      <c r="A2320" s="78"/>
      <c r="B2320" s="26" t="s">
        <v>7828</v>
      </c>
      <c r="C2320" s="26"/>
      <c r="D2320" s="26">
        <f>ROUND(100*4.5*8/250,2)</f>
        <v>14.4</v>
      </c>
      <c r="E2320" s="26" t="s">
        <v>3760</v>
      </c>
      <c r="F2320" s="26"/>
      <c r="G2320" s="26"/>
    </row>
    <row r="2321" spans="1:7">
      <c r="A2321" s="78"/>
      <c r="B2321" s="26" t="s">
        <v>2843</v>
      </c>
      <c r="C2321" s="26"/>
      <c r="D2321" s="26"/>
      <c r="E2321" s="26"/>
      <c r="F2321" s="26"/>
      <c r="G2321" s="26"/>
    </row>
    <row r="2322" spans="1:7">
      <c r="A2322" s="78"/>
      <c r="B2322" s="26" t="s">
        <v>3982</v>
      </c>
      <c r="C2322" s="26"/>
      <c r="D2322" s="26"/>
      <c r="E2322" s="26"/>
      <c r="F2322" s="26"/>
      <c r="G2322" s="26"/>
    </row>
    <row r="2323" spans="1:7">
      <c r="A2323" s="78"/>
      <c r="B2323" s="26" t="s">
        <v>1998</v>
      </c>
      <c r="C2323" s="26"/>
      <c r="D2323" s="26"/>
      <c r="E2323" s="26"/>
      <c r="F2323" s="68">
        <f>G618</f>
        <v>224.56752690000002</v>
      </c>
      <c r="G2323" s="26" t="s">
        <v>1168</v>
      </c>
    </row>
    <row r="2324" spans="1:7">
      <c r="A2324" s="78"/>
      <c r="B2324" s="26" t="s">
        <v>6583</v>
      </c>
      <c r="C2324" s="26"/>
      <c r="D2324" s="26"/>
      <c r="E2324" s="26"/>
      <c r="F2324" s="68">
        <f>F2323*5%</f>
        <v>11.228376345000001</v>
      </c>
      <c r="G2324" s="26" t="s">
        <v>1168</v>
      </c>
    </row>
    <row r="2325" spans="1:7">
      <c r="A2325" s="78"/>
      <c r="B2325" s="26" t="s">
        <v>2924</v>
      </c>
      <c r="C2325" s="26"/>
      <c r="D2325" s="26"/>
      <c r="E2325" s="26"/>
      <c r="F2325" s="68">
        <f>SUM(F2323:F2324)</f>
        <v>235.79590324500003</v>
      </c>
      <c r="G2325" s="26" t="s">
        <v>1168</v>
      </c>
    </row>
    <row r="2326" spans="1:7">
      <c r="A2326" s="78"/>
      <c r="B2326" s="26" t="s">
        <v>726</v>
      </c>
      <c r="C2326" s="26"/>
      <c r="D2326" s="26"/>
      <c r="E2326" s="26"/>
      <c r="F2326" s="26"/>
      <c r="G2326" s="26"/>
    </row>
    <row r="2327" spans="1:7">
      <c r="A2327" s="78"/>
      <c r="B2327" s="26" t="s">
        <v>1999</v>
      </c>
      <c r="C2327" s="26"/>
      <c r="D2327" s="26"/>
      <c r="E2327" s="26"/>
      <c r="F2327" s="68">
        <f>G644</f>
        <v>88.5</v>
      </c>
      <c r="G2327" s="26" t="s">
        <v>1168</v>
      </c>
    </row>
    <row r="2328" spans="1:7">
      <c r="A2328" s="78"/>
      <c r="B2328" s="26" t="s">
        <v>353</v>
      </c>
      <c r="C2328" s="26"/>
      <c r="D2328" s="26"/>
      <c r="E2328" s="26"/>
      <c r="F2328" s="26"/>
      <c r="G2328" s="26"/>
    </row>
    <row r="2329" spans="1:7">
      <c r="A2329" s="78"/>
      <c r="B2329" s="26" t="s">
        <v>451</v>
      </c>
      <c r="C2329" s="26"/>
      <c r="D2329" s="26"/>
      <c r="E2329" s="26"/>
      <c r="F2329" s="26"/>
      <c r="G2329" s="26"/>
    </row>
    <row r="2330" spans="1:7">
      <c r="A2330" s="78"/>
      <c r="B2330" s="26" t="s">
        <v>2000</v>
      </c>
      <c r="C2330" s="26"/>
      <c r="D2330" s="26"/>
      <c r="E2330" s="26"/>
      <c r="F2330" s="26"/>
      <c r="G2330" s="26"/>
    </row>
    <row r="2331" spans="1:7">
      <c r="A2331" s="26"/>
      <c r="B2331" s="78"/>
      <c r="C2331" s="26"/>
      <c r="D2331" s="26"/>
      <c r="E2331" s="26"/>
      <c r="F2331" s="26"/>
      <c r="G2331" s="26"/>
    </row>
    <row r="2332" spans="1:7">
      <c r="A2332" s="78" t="s">
        <v>3984</v>
      </c>
      <c r="B2332" s="78"/>
      <c r="C2332" s="203" t="s">
        <v>2367</v>
      </c>
      <c r="D2332" s="26"/>
      <c r="E2332" s="171" t="s">
        <v>297</v>
      </c>
      <c r="F2332" s="246">
        <f>D2320</f>
        <v>14.4</v>
      </c>
      <c r="G2332" s="26" t="s">
        <v>3477</v>
      </c>
    </row>
    <row r="2333" spans="1:7">
      <c r="A2333" s="26"/>
      <c r="B2333" s="79" t="s">
        <v>2368</v>
      </c>
      <c r="C2333" s="26"/>
      <c r="D2333" s="26"/>
      <c r="E2333" s="26"/>
      <c r="F2333" s="26"/>
      <c r="G2333" s="26"/>
    </row>
    <row r="2334" spans="1:7">
      <c r="A2334" s="26"/>
      <c r="B2334" s="95" t="s">
        <v>2369</v>
      </c>
      <c r="C2334" s="157" t="s">
        <v>4443</v>
      </c>
      <c r="D2334" s="95" t="s">
        <v>2370</v>
      </c>
      <c r="E2334" s="95" t="s">
        <v>1166</v>
      </c>
      <c r="F2334" s="95" t="s">
        <v>2371</v>
      </c>
      <c r="G2334" s="95" t="s">
        <v>2372</v>
      </c>
    </row>
    <row r="2335" spans="1:7">
      <c r="A2335" s="26"/>
      <c r="B2335" s="114"/>
      <c r="C2335" s="154"/>
      <c r="D2335" s="114"/>
      <c r="E2335" s="114"/>
      <c r="F2335" s="114" t="s">
        <v>3485</v>
      </c>
      <c r="G2335" s="114" t="s">
        <v>3485</v>
      </c>
    </row>
    <row r="2336" spans="1:7">
      <c r="A2336" s="26"/>
      <c r="B2336" s="95">
        <v>1</v>
      </c>
      <c r="C2336" s="135" t="s">
        <v>1048</v>
      </c>
      <c r="D2336" s="95" t="s">
        <v>3478</v>
      </c>
      <c r="E2336" s="190">
        <f>250*F2332</f>
        <v>3600</v>
      </c>
      <c r="F2336" s="214">
        <f>'BASIC DATA'!$D$32/1000</f>
        <v>5.35</v>
      </c>
      <c r="G2336" s="190">
        <f>E2336*F2336</f>
        <v>19260</v>
      </c>
    </row>
    <row r="2337" spans="1:7">
      <c r="A2337" s="26"/>
      <c r="B2337" s="317"/>
      <c r="C2337" s="135" t="s">
        <v>1049</v>
      </c>
      <c r="D2337" s="105" t="s">
        <v>3478</v>
      </c>
      <c r="E2337" s="190">
        <f>F2332*5</f>
        <v>72</v>
      </c>
      <c r="F2337" s="214">
        <f>'BASIC DATA'!$D$32/1000</f>
        <v>5.35</v>
      </c>
      <c r="G2337" s="190">
        <f t="shared" ref="G2337:G2344" si="63">E2337*F2337</f>
        <v>385.2</v>
      </c>
    </row>
    <row r="2338" spans="1:7">
      <c r="A2338" s="26"/>
      <c r="B2338" s="105">
        <v>2</v>
      </c>
      <c r="C2338" s="135" t="s">
        <v>6997</v>
      </c>
      <c r="D2338" s="105" t="s">
        <v>3477</v>
      </c>
      <c r="E2338" s="190">
        <f>0.98*F2332*0.35</f>
        <v>4.9391999999999996</v>
      </c>
      <c r="F2338" s="214">
        <f>'BASIC DATA'!$D$37</f>
        <v>650</v>
      </c>
      <c r="G2338" s="190">
        <f t="shared" si="63"/>
        <v>3210.4799999999996</v>
      </c>
    </row>
    <row r="2339" spans="1:7">
      <c r="A2339" s="26"/>
      <c r="B2339" s="317"/>
      <c r="C2339" s="135" t="s">
        <v>6996</v>
      </c>
      <c r="D2339" s="105" t="s">
        <v>3477</v>
      </c>
      <c r="E2339" s="190">
        <f>0.98*F2332*0.3</f>
        <v>4.2336</v>
      </c>
      <c r="F2339" s="214">
        <f>'BASIC DATA'!$D$36</f>
        <v>1175</v>
      </c>
      <c r="G2339" s="190">
        <f t="shared" si="63"/>
        <v>4974.4800000000005</v>
      </c>
    </row>
    <row r="2340" spans="1:7">
      <c r="A2340" s="26"/>
      <c r="B2340" s="317"/>
      <c r="C2340" s="135" t="s">
        <v>6995</v>
      </c>
      <c r="D2340" s="105" t="s">
        <v>3477</v>
      </c>
      <c r="E2340" s="190">
        <f>0.98*F2332*0.2</f>
        <v>2.8224</v>
      </c>
      <c r="F2340" s="214">
        <f>'BASIC DATA'!$D$35</f>
        <v>1225</v>
      </c>
      <c r="G2340" s="190">
        <f t="shared" si="63"/>
        <v>3457.44</v>
      </c>
    </row>
    <row r="2341" spans="1:7">
      <c r="A2341" s="26"/>
      <c r="B2341" s="317"/>
      <c r="C2341" s="135" t="s">
        <v>1050</v>
      </c>
      <c r="D2341" s="105" t="s">
        <v>3477</v>
      </c>
      <c r="E2341" s="190">
        <f>0.98*F2332*0.15</f>
        <v>2.1168</v>
      </c>
      <c r="F2341" s="214">
        <f>'BASIC DATA'!$D$34</f>
        <v>900</v>
      </c>
      <c r="G2341" s="190">
        <f t="shared" si="63"/>
        <v>1905.1200000000001</v>
      </c>
    </row>
    <row r="2342" spans="1:7">
      <c r="A2342" s="61"/>
      <c r="B2342" s="240">
        <v>3</v>
      </c>
      <c r="C2342" s="326" t="s">
        <v>7941</v>
      </c>
      <c r="D2342" s="240" t="s">
        <v>3477</v>
      </c>
      <c r="E2342" s="255">
        <f>0.35*F2332</f>
        <v>5.04</v>
      </c>
      <c r="F2342" s="266">
        <f>'BASIC DATA'!$D$55</f>
        <v>95</v>
      </c>
      <c r="G2342" s="255">
        <f t="shared" si="63"/>
        <v>478.8</v>
      </c>
    </row>
    <row r="2343" spans="1:7">
      <c r="A2343" s="26"/>
      <c r="B2343" s="105">
        <v>4</v>
      </c>
      <c r="C2343" s="135" t="s">
        <v>523</v>
      </c>
      <c r="D2343" s="105" t="s">
        <v>3478</v>
      </c>
      <c r="E2343" s="190">
        <f>0.4%*E2336</f>
        <v>14.4</v>
      </c>
      <c r="F2343" s="214">
        <f>'BASIC DATA'!$D$99</f>
        <v>55</v>
      </c>
      <c r="G2343" s="190">
        <f t="shared" si="63"/>
        <v>792</v>
      </c>
    </row>
    <row r="2344" spans="1:7">
      <c r="A2344" s="26"/>
      <c r="B2344" s="105">
        <v>5</v>
      </c>
      <c r="C2344" s="135" t="s">
        <v>7213</v>
      </c>
      <c r="D2344" s="105" t="s">
        <v>3479</v>
      </c>
      <c r="E2344" s="190">
        <f>2*F2332</f>
        <v>28.8</v>
      </c>
      <c r="F2344" s="214">
        <f>F2325</f>
        <v>235.79590324500003</v>
      </c>
      <c r="G2344" s="190">
        <f t="shared" si="63"/>
        <v>6790.922013456001</v>
      </c>
    </row>
    <row r="2345" spans="1:7">
      <c r="A2345" s="26"/>
      <c r="B2345" s="114">
        <v>6</v>
      </c>
      <c r="C2345" s="139" t="s">
        <v>5408</v>
      </c>
      <c r="D2345" s="681">
        <v>0.15</v>
      </c>
      <c r="E2345" s="182"/>
      <c r="F2345" s="215"/>
      <c r="G2345" s="182">
        <f>G2344*D2345</f>
        <v>1018.6383020184001</v>
      </c>
    </row>
    <row r="2346" spans="1:7">
      <c r="A2346" s="26"/>
      <c r="B2346" s="93"/>
      <c r="C2346" s="31" t="s">
        <v>6844</v>
      </c>
      <c r="D2346" s="31" t="s">
        <v>4043</v>
      </c>
      <c r="E2346" s="198"/>
      <c r="F2346" s="327" t="s">
        <v>1698</v>
      </c>
      <c r="G2346" s="190">
        <v>0</v>
      </c>
    </row>
    <row r="2347" spans="1:7">
      <c r="A2347" s="26"/>
      <c r="B2347" s="93"/>
      <c r="C2347" s="31" t="s">
        <v>6845</v>
      </c>
      <c r="D2347" s="31" t="s">
        <v>4043</v>
      </c>
      <c r="E2347" s="198"/>
      <c r="F2347" s="327" t="s">
        <v>1698</v>
      </c>
      <c r="G2347" s="190">
        <v>0</v>
      </c>
    </row>
    <row r="2348" spans="1:7">
      <c r="A2348" s="26"/>
      <c r="B2348" s="92"/>
      <c r="C2348" s="193" t="s">
        <v>2376</v>
      </c>
      <c r="D2348" s="159"/>
      <c r="E2348" s="238"/>
      <c r="F2348" s="236" t="s">
        <v>1698</v>
      </c>
      <c r="G2348" s="318">
        <f>SUM(G2336:G2347)</f>
        <v>42273.080315474406</v>
      </c>
    </row>
    <row r="2349" spans="1:7">
      <c r="A2349" s="26"/>
      <c r="B2349" s="78"/>
      <c r="C2349" s="26"/>
      <c r="D2349" s="26"/>
      <c r="E2349" s="26"/>
      <c r="F2349" s="26"/>
      <c r="G2349" s="26"/>
    </row>
    <row r="2350" spans="1:7">
      <c r="A2350" s="26"/>
      <c r="B2350" s="79" t="s">
        <v>2377</v>
      </c>
      <c r="C2350" s="26"/>
      <c r="D2350" s="26"/>
      <c r="E2350" s="26"/>
      <c r="F2350" s="26"/>
      <c r="G2350" s="26"/>
    </row>
    <row r="2351" spans="1:7">
      <c r="A2351" s="26"/>
      <c r="B2351" s="95" t="s">
        <v>2369</v>
      </c>
      <c r="C2351" s="157" t="s">
        <v>2378</v>
      </c>
      <c r="D2351" s="95" t="s">
        <v>2370</v>
      </c>
      <c r="E2351" s="95" t="s">
        <v>1166</v>
      </c>
      <c r="F2351" s="95" t="s">
        <v>2371</v>
      </c>
      <c r="G2351" s="95" t="s">
        <v>2372</v>
      </c>
    </row>
    <row r="2352" spans="1:7">
      <c r="A2352" s="26"/>
      <c r="B2352" s="114"/>
      <c r="C2352" s="154"/>
      <c r="D2352" s="114"/>
      <c r="E2352" s="114"/>
      <c r="F2352" s="114" t="s">
        <v>3485</v>
      </c>
      <c r="G2352" s="114" t="s">
        <v>3485</v>
      </c>
    </row>
    <row r="2353" spans="1:7">
      <c r="A2353" s="26"/>
      <c r="B2353" s="95">
        <v>1</v>
      </c>
      <c r="C2353" s="153" t="s">
        <v>525</v>
      </c>
      <c r="D2353" s="175" t="s">
        <v>2374</v>
      </c>
      <c r="E2353" s="179">
        <v>8</v>
      </c>
      <c r="F2353" s="190">
        <f>'HIRE CHARGES'!$D$509</f>
        <v>92.7</v>
      </c>
      <c r="G2353" s="190">
        <f t="shared" ref="G2353:G2358" si="64">E2353*F2353</f>
        <v>741.6</v>
      </c>
    </row>
    <row r="2354" spans="1:7">
      <c r="A2354" s="26"/>
      <c r="B2354" s="317"/>
      <c r="C2354" s="152" t="s">
        <v>2379</v>
      </c>
      <c r="D2354" s="33" t="s">
        <v>2374</v>
      </c>
      <c r="E2354" s="190">
        <v>8</v>
      </c>
      <c r="F2354" s="190">
        <f>'HIRE CHARGES'!$E$509</f>
        <v>158.69999999999999</v>
      </c>
      <c r="G2354" s="190">
        <f t="shared" si="64"/>
        <v>1269.5999999999999</v>
      </c>
    </row>
    <row r="2355" spans="1:7">
      <c r="A2355" s="26"/>
      <c r="B2355" s="105">
        <v>2</v>
      </c>
      <c r="C2355" s="152" t="s">
        <v>189</v>
      </c>
      <c r="D2355" s="33" t="s">
        <v>2374</v>
      </c>
      <c r="E2355" s="190">
        <v>0.5</v>
      </c>
      <c r="F2355" s="190">
        <f>'HIRE CHARGES'!$D$517</f>
        <v>10.199999999999999</v>
      </c>
      <c r="G2355" s="190">
        <f t="shared" si="64"/>
        <v>5.0999999999999996</v>
      </c>
    </row>
    <row r="2356" spans="1:7">
      <c r="A2356" s="26"/>
      <c r="B2356" s="317"/>
      <c r="C2356" s="152" t="s">
        <v>2379</v>
      </c>
      <c r="D2356" s="33" t="s">
        <v>2374</v>
      </c>
      <c r="E2356" s="190">
        <v>0.5</v>
      </c>
      <c r="F2356" s="190">
        <f>'HIRE CHARGES'!$E$517</f>
        <v>79.3</v>
      </c>
      <c r="G2356" s="190">
        <f t="shared" si="64"/>
        <v>39.65</v>
      </c>
    </row>
    <row r="2357" spans="1:7">
      <c r="A2357" s="26"/>
      <c r="B2357" s="105">
        <v>3</v>
      </c>
      <c r="C2357" s="152" t="s">
        <v>703</v>
      </c>
      <c r="D2357" s="33" t="s">
        <v>2374</v>
      </c>
      <c r="E2357" s="190">
        <v>8</v>
      </c>
      <c r="F2357" s="190">
        <f>'HIRE CHARGES'!$D$533</f>
        <v>8.1999999999999993</v>
      </c>
      <c r="G2357" s="190">
        <f t="shared" si="64"/>
        <v>65.599999999999994</v>
      </c>
    </row>
    <row r="2358" spans="1:7">
      <c r="A2358" s="26"/>
      <c r="B2358" s="365"/>
      <c r="C2358" s="116" t="s">
        <v>2379</v>
      </c>
      <c r="D2358" s="33" t="s">
        <v>2374</v>
      </c>
      <c r="E2358" s="182">
        <v>8</v>
      </c>
      <c r="F2358" s="207">
        <f>'HIRE CHARGES'!$E$533</f>
        <v>28.2</v>
      </c>
      <c r="G2358" s="190">
        <f t="shared" si="64"/>
        <v>225.6</v>
      </c>
    </row>
    <row r="2359" spans="1:7">
      <c r="A2359" s="26"/>
      <c r="B2359" s="176"/>
      <c r="C2359" s="172" t="s">
        <v>2380</v>
      </c>
      <c r="D2359" s="174"/>
      <c r="E2359" s="192"/>
      <c r="F2359" s="236" t="s">
        <v>1698</v>
      </c>
      <c r="G2359" s="318">
        <f>SUM(G2353:G2358)</f>
        <v>2347.1499999999996</v>
      </c>
    </row>
    <row r="2360" spans="1:7">
      <c r="A2360" s="26"/>
      <c r="B2360" s="78"/>
      <c r="C2360" s="26"/>
      <c r="D2360" s="26"/>
      <c r="E2360" s="26"/>
      <c r="F2360" s="26"/>
      <c r="G2360" s="26"/>
    </row>
    <row r="2361" spans="1:7">
      <c r="A2361" s="26"/>
      <c r="B2361" s="79" t="s">
        <v>2381</v>
      </c>
      <c r="C2361" s="26"/>
      <c r="D2361" s="26"/>
      <c r="E2361" s="26"/>
      <c r="F2361" s="26"/>
      <c r="G2361" s="26"/>
    </row>
    <row r="2362" spans="1:7">
      <c r="A2362" s="26"/>
      <c r="B2362" s="95" t="s">
        <v>2369</v>
      </c>
      <c r="C2362" s="157" t="s">
        <v>2378</v>
      </c>
      <c r="D2362" s="95" t="s">
        <v>2370</v>
      </c>
      <c r="E2362" s="95" t="s">
        <v>1166</v>
      </c>
      <c r="F2362" s="95" t="s">
        <v>2371</v>
      </c>
      <c r="G2362" s="95" t="s">
        <v>2372</v>
      </c>
    </row>
    <row r="2363" spans="1:7">
      <c r="A2363" s="26"/>
      <c r="B2363" s="114"/>
      <c r="C2363" s="154"/>
      <c r="D2363" s="105"/>
      <c r="E2363" s="105"/>
      <c r="F2363" s="105" t="s">
        <v>3485</v>
      </c>
      <c r="G2363" s="114" t="s">
        <v>3485</v>
      </c>
    </row>
    <row r="2364" spans="1:7">
      <c r="A2364" s="26"/>
      <c r="B2364" s="95">
        <v>1</v>
      </c>
      <c r="C2364" s="76" t="s">
        <v>527</v>
      </c>
      <c r="D2364" s="95" t="s">
        <v>2374</v>
      </c>
      <c r="E2364" s="179">
        <v>8</v>
      </c>
      <c r="F2364" s="179">
        <f>'HIRE CHARGES'!$F$509</f>
        <v>219.7</v>
      </c>
      <c r="G2364" s="207">
        <f>E2364*F2364</f>
        <v>1757.6</v>
      </c>
    </row>
    <row r="2365" spans="1:7">
      <c r="A2365" s="26"/>
      <c r="B2365" s="105">
        <v>2</v>
      </c>
      <c r="C2365" s="76" t="s">
        <v>999</v>
      </c>
      <c r="D2365" s="105" t="s">
        <v>2374</v>
      </c>
      <c r="E2365" s="190">
        <v>0.5</v>
      </c>
      <c r="F2365" s="190">
        <f>'HIRE CHARGES'!$F$517</f>
        <v>111.1</v>
      </c>
      <c r="G2365" s="207">
        <f t="shared" ref="G2365:G2375" si="65">E2365*F2365</f>
        <v>55.55</v>
      </c>
    </row>
    <row r="2366" spans="1:7">
      <c r="A2366" s="26"/>
      <c r="B2366" s="105">
        <v>3</v>
      </c>
      <c r="C2366" s="76" t="s">
        <v>439</v>
      </c>
      <c r="D2366" s="105" t="s">
        <v>2374</v>
      </c>
      <c r="E2366" s="190">
        <v>8</v>
      </c>
      <c r="F2366" s="190">
        <f>'HIRE CHARGES'!$F$533</f>
        <v>158.19999999999999</v>
      </c>
      <c r="G2366" s="207">
        <f t="shared" si="65"/>
        <v>1265.5999999999999</v>
      </c>
    </row>
    <row r="2367" spans="1:7">
      <c r="A2367" s="26"/>
      <c r="B2367" s="105">
        <v>4</v>
      </c>
      <c r="C2367" s="76" t="s">
        <v>440</v>
      </c>
      <c r="D2367" s="105" t="s">
        <v>1172</v>
      </c>
      <c r="E2367" s="190">
        <v>1</v>
      </c>
      <c r="F2367" s="190">
        <f>'BASIC DATA'!$C$474</f>
        <v>445</v>
      </c>
      <c r="G2367" s="207">
        <f t="shared" si="65"/>
        <v>445</v>
      </c>
    </row>
    <row r="2368" spans="1:7">
      <c r="A2368" s="26"/>
      <c r="B2368" s="105">
        <v>5</v>
      </c>
      <c r="C2368" s="76" t="s">
        <v>4206</v>
      </c>
      <c r="D2368" s="105" t="s">
        <v>1172</v>
      </c>
      <c r="E2368" s="190">
        <v>1</v>
      </c>
      <c r="F2368" s="190">
        <f>'BASIC DATA'!$C$473</f>
        <v>450</v>
      </c>
      <c r="G2368" s="207">
        <f t="shared" si="65"/>
        <v>450</v>
      </c>
    </row>
    <row r="2369" spans="1:7">
      <c r="A2369" s="26"/>
      <c r="B2369" s="105">
        <v>6</v>
      </c>
      <c r="C2369" s="76" t="s">
        <v>2697</v>
      </c>
      <c r="D2369" s="105"/>
      <c r="E2369" s="190"/>
      <c r="F2369" s="190"/>
      <c r="G2369" s="207"/>
    </row>
    <row r="2370" spans="1:7">
      <c r="A2370" s="26"/>
      <c r="B2370" s="317"/>
      <c r="C2370" s="76" t="s">
        <v>441</v>
      </c>
      <c r="D2370" s="105" t="s">
        <v>1172</v>
      </c>
      <c r="E2370" s="190">
        <v>11</v>
      </c>
      <c r="F2370" s="190">
        <f>'BASIC DATA'!$C$552</f>
        <v>350</v>
      </c>
      <c r="G2370" s="207">
        <f t="shared" si="65"/>
        <v>3850</v>
      </c>
    </row>
    <row r="2371" spans="1:7">
      <c r="A2371" s="26"/>
      <c r="B2371" s="317"/>
      <c r="C2371" s="76" t="s">
        <v>442</v>
      </c>
      <c r="D2371" s="105" t="s">
        <v>1172</v>
      </c>
      <c r="E2371" s="190">
        <v>4</v>
      </c>
      <c r="F2371" s="190">
        <f>'BASIC DATA'!$C$552</f>
        <v>350</v>
      </c>
      <c r="G2371" s="207">
        <f t="shared" si="65"/>
        <v>1400</v>
      </c>
    </row>
    <row r="2372" spans="1:7">
      <c r="A2372" s="26"/>
      <c r="B2372" s="317"/>
      <c r="C2372" s="76" t="s">
        <v>5151</v>
      </c>
      <c r="D2372" s="105" t="s">
        <v>1172</v>
      </c>
      <c r="E2372" s="190">
        <v>3</v>
      </c>
      <c r="F2372" s="190">
        <f>'BASIC DATA'!$C$552</f>
        <v>350</v>
      </c>
      <c r="G2372" s="207">
        <f t="shared" si="65"/>
        <v>1050</v>
      </c>
    </row>
    <row r="2373" spans="1:7">
      <c r="A2373" s="26"/>
      <c r="B2373" s="317"/>
      <c r="C2373" s="76" t="s">
        <v>444</v>
      </c>
      <c r="D2373" s="105" t="s">
        <v>1172</v>
      </c>
      <c r="E2373" s="190">
        <f>F2332</f>
        <v>14.4</v>
      </c>
      <c r="F2373" s="190">
        <f>'BASIC DATA'!$C$552</f>
        <v>350</v>
      </c>
      <c r="G2373" s="207">
        <f t="shared" si="65"/>
        <v>5040</v>
      </c>
    </row>
    <row r="2374" spans="1:7">
      <c r="A2374" s="26"/>
      <c r="B2374" s="317"/>
      <c r="C2374" s="76" t="s">
        <v>445</v>
      </c>
      <c r="D2374" s="105" t="s">
        <v>1172</v>
      </c>
      <c r="E2374" s="190">
        <v>1</v>
      </c>
      <c r="F2374" s="190">
        <f>'BASIC DATA'!$C$552</f>
        <v>350</v>
      </c>
      <c r="G2374" s="207">
        <f t="shared" si="65"/>
        <v>350</v>
      </c>
    </row>
    <row r="2375" spans="1:7">
      <c r="A2375" s="26"/>
      <c r="B2375" s="105">
        <v>7</v>
      </c>
      <c r="C2375" s="76" t="s">
        <v>7215</v>
      </c>
      <c r="D2375" s="105" t="s">
        <v>3479</v>
      </c>
      <c r="E2375" s="190">
        <f>2*F2332</f>
        <v>28.8</v>
      </c>
      <c r="F2375" s="190">
        <f>F2327</f>
        <v>88.5</v>
      </c>
      <c r="G2375" s="207">
        <f t="shared" si="65"/>
        <v>2548.8000000000002</v>
      </c>
    </row>
    <row r="2376" spans="1:7">
      <c r="A2376" s="26"/>
      <c r="B2376" s="365"/>
      <c r="C2376" s="76" t="s">
        <v>6402</v>
      </c>
      <c r="D2376" s="681">
        <v>0.15</v>
      </c>
      <c r="E2376" s="182"/>
      <c r="F2376" s="182"/>
      <c r="G2376" s="207">
        <f>G2375*D2376</f>
        <v>382.32</v>
      </c>
    </row>
    <row r="2377" spans="1:7">
      <c r="A2377" s="26"/>
      <c r="B2377" s="92"/>
      <c r="C2377" s="193" t="s">
        <v>1174</v>
      </c>
      <c r="D2377" s="159"/>
      <c r="E2377" s="238"/>
      <c r="F2377" s="236" t="s">
        <v>1698</v>
      </c>
      <c r="G2377" s="318">
        <f>SUM(G2364:G2376)</f>
        <v>18594.87</v>
      </c>
    </row>
    <row r="2378" spans="1:7">
      <c r="A2378" s="26"/>
      <c r="B2378" s="60" t="s">
        <v>5948</v>
      </c>
      <c r="C2378" s="26"/>
      <c r="D2378" s="31"/>
      <c r="E2378" s="85">
        <f>ROUND(G2377/F2332,1)</f>
        <v>1291.3</v>
      </c>
      <c r="F2378" s="26"/>
      <c r="G2378" s="26"/>
    </row>
    <row r="2379" spans="1:7">
      <c r="A2379" s="26"/>
      <c r="B2379" s="60" t="s">
        <v>3163</v>
      </c>
      <c r="C2379" s="26"/>
      <c r="D2379" s="31">
        <f>'BASIC DATA'!$C$577</f>
        <v>0.13614999999999999</v>
      </c>
      <c r="E2379" s="85">
        <f>ROUND(E2378*D2379,1)</f>
        <v>175.8</v>
      </c>
      <c r="F2379" s="26"/>
      <c r="G2379" s="26"/>
    </row>
    <row r="2380" spans="1:7">
      <c r="A2380" s="26"/>
      <c r="B2380" s="60" t="s">
        <v>5949</v>
      </c>
      <c r="C2380" s="26"/>
      <c r="D2380" s="31"/>
      <c r="E2380" s="199">
        <f>ROUND(E2379+E2378,1)</f>
        <v>1467.1</v>
      </c>
      <c r="F2380" s="57"/>
      <c r="G2380" s="26"/>
    </row>
    <row r="2381" spans="1:7">
      <c r="A2381" s="26"/>
      <c r="B2381" s="26"/>
      <c r="C2381" s="26"/>
      <c r="D2381" s="26"/>
      <c r="E2381" s="26"/>
      <c r="F2381" s="26"/>
      <c r="G2381" s="26"/>
    </row>
    <row r="2382" spans="1:7">
      <c r="A2382" s="26"/>
      <c r="B2382" s="170" t="s">
        <v>1175</v>
      </c>
      <c r="C2382" s="26"/>
      <c r="D2382" s="26"/>
      <c r="E2382" s="26"/>
      <c r="F2382" s="26"/>
      <c r="G2382" s="26"/>
    </row>
    <row r="2383" spans="1:7">
      <c r="A2383" s="26"/>
      <c r="B2383" s="26" t="s">
        <v>5010</v>
      </c>
      <c r="C2383" s="26"/>
      <c r="D2383" s="26"/>
      <c r="E2383" s="26"/>
      <c r="F2383" s="171" t="s">
        <v>1698</v>
      </c>
      <c r="G2383" s="68">
        <f>G2348</f>
        <v>42273.080315474406</v>
      </c>
    </row>
    <row r="2384" spans="1:7">
      <c r="A2384" s="26"/>
      <c r="B2384" s="26" t="s">
        <v>1186</v>
      </c>
      <c r="C2384" s="26"/>
      <c r="D2384" s="26"/>
      <c r="E2384" s="26"/>
      <c r="F2384" s="171" t="s">
        <v>1698</v>
      </c>
      <c r="G2384" s="68">
        <f>G2359</f>
        <v>2347.1499999999996</v>
      </c>
    </row>
    <row r="2385" spans="1:7">
      <c r="A2385" s="26"/>
      <c r="B2385" s="26" t="s">
        <v>2660</v>
      </c>
      <c r="C2385" s="26"/>
      <c r="D2385" s="26"/>
      <c r="E2385" s="26"/>
      <c r="F2385" s="171" t="s">
        <v>1698</v>
      </c>
      <c r="G2385" s="75">
        <f>G2377</f>
        <v>18594.87</v>
      </c>
    </row>
    <row r="2386" spans="1:7">
      <c r="A2386" s="26"/>
      <c r="B2386" s="78"/>
      <c r="C2386" s="26"/>
      <c r="D2386" s="26"/>
      <c r="E2386" s="171"/>
      <c r="F2386" s="171" t="s">
        <v>302</v>
      </c>
      <c r="G2386" s="205">
        <f>SUM(G2383:G2385)</f>
        <v>63215.10031547441</v>
      </c>
    </row>
    <row r="2387" spans="1:7">
      <c r="A2387" s="26"/>
      <c r="B2387" s="1206" t="s">
        <v>1379</v>
      </c>
      <c r="C2387" s="1206"/>
      <c r="D2387" s="26"/>
      <c r="E2387" s="249">
        <f>'BASIC DATA'!$C$577</f>
        <v>0.13614999999999999</v>
      </c>
      <c r="F2387" s="26" t="s">
        <v>1698</v>
      </c>
      <c r="G2387" s="26">
        <f>ROUND(G2386*E2387,2)</f>
        <v>8606.74</v>
      </c>
    </row>
    <row r="2388" spans="1:7">
      <c r="A2388" s="26"/>
      <c r="B2388" s="26" t="s">
        <v>1191</v>
      </c>
      <c r="C2388" s="26"/>
      <c r="D2388" s="68">
        <f>F2332</f>
        <v>14.4</v>
      </c>
      <c r="E2388" s="68" t="str">
        <f>G2332</f>
        <v>cum</v>
      </c>
      <c r="F2388" s="26" t="s">
        <v>1698</v>
      </c>
      <c r="G2388" s="211">
        <f>G2387+G2386</f>
        <v>71821.840315474416</v>
      </c>
    </row>
    <row r="2389" spans="1:7">
      <c r="A2389" s="26"/>
      <c r="B2389" s="170" t="s">
        <v>1584</v>
      </c>
      <c r="C2389" s="211" t="str">
        <f>E2388</f>
        <v>cum</v>
      </c>
      <c r="D2389" s="26" t="s">
        <v>7823</v>
      </c>
      <c r="E2389" s="26"/>
      <c r="F2389" s="26" t="s">
        <v>4108</v>
      </c>
      <c r="G2389" s="211">
        <f>ROUND(G2388/D2388,1)</f>
        <v>4987.6000000000004</v>
      </c>
    </row>
    <row r="2390" spans="1:7">
      <c r="A2390" s="26"/>
      <c r="B2390" s="78"/>
      <c r="C2390" s="26"/>
      <c r="D2390" s="26"/>
      <c r="E2390" s="26"/>
      <c r="F2390" s="26"/>
      <c r="G2390" s="26"/>
    </row>
    <row r="2391" spans="1:7">
      <c r="A2391" s="26"/>
      <c r="B2391" s="78"/>
      <c r="C2391" s="26"/>
      <c r="D2391" s="26"/>
      <c r="E2391" s="26"/>
      <c r="F2391" s="26"/>
      <c r="G2391" s="26"/>
    </row>
    <row r="2392" spans="1:7" ht="18.75">
      <c r="A2392" s="78" t="s">
        <v>7563</v>
      </c>
      <c r="B2392" s="26" t="s">
        <v>8618</v>
      </c>
      <c r="C2392" s="26"/>
      <c r="D2392" s="26"/>
      <c r="E2392" s="26"/>
      <c r="F2392" s="26"/>
      <c r="G2392" s="26"/>
    </row>
    <row r="2393" spans="1:7" ht="18.75">
      <c r="A2393" s="78"/>
      <c r="B2393" s="26" t="s">
        <v>8925</v>
      </c>
      <c r="C2393" s="26"/>
      <c r="D2393" s="26"/>
      <c r="E2393" s="26"/>
      <c r="F2393" s="26"/>
      <c r="G2393" s="26"/>
    </row>
    <row r="2394" spans="1:7">
      <c r="A2394" s="78"/>
      <c r="B2394" s="26" t="s">
        <v>8959</v>
      </c>
      <c r="C2394" s="26"/>
      <c r="D2394" s="26"/>
      <c r="E2394" s="26"/>
      <c r="F2394" s="26"/>
      <c r="G2394" s="26"/>
    </row>
    <row r="2395" spans="1:7">
      <c r="A2395" s="78"/>
      <c r="B2395" s="26" t="s">
        <v>3535</v>
      </c>
      <c r="C2395" s="26"/>
      <c r="D2395" s="26"/>
      <c r="E2395" s="26"/>
      <c r="F2395" s="26"/>
      <c r="G2395" s="26"/>
    </row>
    <row r="2396" spans="1:7" ht="18.75">
      <c r="A2396" s="78"/>
      <c r="B2396" s="170" t="s">
        <v>8948</v>
      </c>
      <c r="C2396" s="26"/>
      <c r="D2396" s="26"/>
      <c r="E2396" s="26"/>
      <c r="F2396" s="26"/>
      <c r="G2396" s="26"/>
    </row>
    <row r="2397" spans="1:7">
      <c r="A2397" s="78" t="s">
        <v>1940</v>
      </c>
      <c r="B2397" s="170" t="s">
        <v>1351</v>
      </c>
      <c r="C2397" s="26"/>
      <c r="D2397" s="26"/>
      <c r="E2397" s="26"/>
      <c r="F2397" s="26"/>
      <c r="G2397" s="26"/>
    </row>
    <row r="2398" spans="1:7">
      <c r="A2398" s="78"/>
      <c r="B2398" s="170" t="s">
        <v>7775</v>
      </c>
      <c r="C2398" s="26"/>
      <c r="D2398" s="26"/>
      <c r="E2398" s="26"/>
      <c r="F2398" s="26"/>
      <c r="G2398" s="26"/>
    </row>
    <row r="2399" spans="1:7">
      <c r="A2399" s="62"/>
      <c r="B2399" s="248" t="s">
        <v>4522</v>
      </c>
      <c r="C2399" s="61"/>
      <c r="D2399" s="61"/>
      <c r="E2399" s="61"/>
      <c r="F2399" s="61"/>
      <c r="G2399" s="61"/>
    </row>
    <row r="2400" spans="1:7">
      <c r="A2400" s="78"/>
      <c r="B2400" s="26"/>
      <c r="C2400" s="26"/>
      <c r="D2400" s="26"/>
      <c r="E2400" s="26"/>
      <c r="F2400" s="26"/>
      <c r="G2400" s="26"/>
    </row>
    <row r="2401" spans="1:7">
      <c r="A2401" s="78" t="s">
        <v>3984</v>
      </c>
      <c r="B2401" s="26" t="s">
        <v>5780</v>
      </c>
      <c r="C2401" s="26"/>
      <c r="D2401" s="26"/>
      <c r="E2401" s="26"/>
      <c r="F2401" s="26"/>
      <c r="G2401" s="26"/>
    </row>
    <row r="2402" spans="1:7">
      <c r="A2402" s="78"/>
      <c r="B2402" s="26" t="s">
        <v>3833</v>
      </c>
      <c r="C2402" s="26"/>
      <c r="D2402" s="26"/>
      <c r="E2402" s="26"/>
      <c r="F2402" s="26"/>
      <c r="G2402" s="26"/>
    </row>
    <row r="2403" spans="1:7">
      <c r="A2403" s="78"/>
      <c r="B2403" s="26" t="s">
        <v>7790</v>
      </c>
      <c r="C2403" s="26"/>
      <c r="D2403" s="26"/>
      <c r="E2403" s="26"/>
      <c r="F2403" s="26"/>
      <c r="G2403" s="26"/>
    </row>
    <row r="2404" spans="1:7">
      <c r="A2404" s="78"/>
      <c r="B2404" s="26" t="s">
        <v>7791</v>
      </c>
      <c r="C2404" s="26"/>
      <c r="D2404" s="26"/>
      <c r="E2404" s="26">
        <f>ROUND(50*13*8/330,2)</f>
        <v>15.76</v>
      </c>
      <c r="F2404" s="26"/>
      <c r="G2404" s="26" t="s">
        <v>3760</v>
      </c>
    </row>
    <row r="2405" spans="1:7">
      <c r="A2405" s="78"/>
      <c r="B2405" s="26" t="s">
        <v>2843</v>
      </c>
      <c r="C2405" s="26"/>
      <c r="D2405" s="26"/>
      <c r="E2405" s="26"/>
      <c r="F2405" s="26"/>
      <c r="G2405" s="26"/>
    </row>
    <row r="2406" spans="1:7">
      <c r="A2406" s="78"/>
      <c r="B2406" s="26" t="s">
        <v>3668</v>
      </c>
      <c r="C2406" s="26"/>
      <c r="D2406" s="26"/>
      <c r="E2406" s="26"/>
      <c r="F2406" s="26"/>
      <c r="G2406" s="26"/>
    </row>
    <row r="2407" spans="1:7">
      <c r="A2407" s="78"/>
      <c r="B2407" s="26" t="s">
        <v>2001</v>
      </c>
      <c r="C2407" s="26"/>
      <c r="D2407" s="26"/>
      <c r="E2407" s="26"/>
      <c r="F2407" s="68">
        <f>G628</f>
        <v>271.42336920000002</v>
      </c>
      <c r="G2407" s="26" t="s">
        <v>1168</v>
      </c>
    </row>
    <row r="2408" spans="1:7">
      <c r="A2408" s="78"/>
      <c r="B2408" s="26" t="s">
        <v>3746</v>
      </c>
      <c r="C2408" s="26"/>
      <c r="D2408" s="26"/>
      <c r="E2408" s="26"/>
      <c r="F2408" s="26"/>
      <c r="G2408" s="26"/>
    </row>
    <row r="2409" spans="1:7">
      <c r="A2409" s="78"/>
      <c r="B2409" s="26" t="s">
        <v>2002</v>
      </c>
      <c r="C2409" s="26"/>
      <c r="D2409" s="26"/>
      <c r="E2409" s="26"/>
      <c r="F2409" s="68">
        <f>G644</f>
        <v>88.5</v>
      </c>
      <c r="G2409" s="26" t="s">
        <v>1168</v>
      </c>
    </row>
    <row r="2410" spans="1:7">
      <c r="A2410" s="78"/>
      <c r="B2410" s="26" t="s">
        <v>3747</v>
      </c>
      <c r="C2410" s="26"/>
      <c r="D2410" s="26"/>
      <c r="E2410" s="26"/>
      <c r="F2410" s="26"/>
      <c r="G2410" s="26"/>
    </row>
    <row r="2411" spans="1:7">
      <c r="A2411" s="78"/>
      <c r="B2411" s="26" t="s">
        <v>451</v>
      </c>
      <c r="C2411" s="26"/>
      <c r="D2411" s="26"/>
      <c r="E2411" s="26"/>
      <c r="F2411" s="26"/>
      <c r="G2411" s="26"/>
    </row>
    <row r="2412" spans="1:7">
      <c r="A2412" s="78"/>
      <c r="B2412" s="26" t="s">
        <v>2003</v>
      </c>
      <c r="C2412" s="26"/>
      <c r="D2412" s="26"/>
      <c r="E2412" s="26"/>
      <c r="F2412" s="26"/>
      <c r="G2412" s="26"/>
    </row>
    <row r="2413" spans="1:7">
      <c r="A2413" s="26"/>
      <c r="B2413" s="78"/>
      <c r="C2413" s="26"/>
      <c r="D2413" s="26"/>
      <c r="E2413" s="26"/>
      <c r="F2413" s="26"/>
      <c r="G2413" s="26"/>
    </row>
    <row r="2414" spans="1:7">
      <c r="A2414" s="78" t="s">
        <v>3984</v>
      </c>
      <c r="B2414" s="78"/>
      <c r="C2414" s="203" t="s">
        <v>2367</v>
      </c>
      <c r="D2414" s="26"/>
      <c r="E2414" s="171" t="s">
        <v>297</v>
      </c>
      <c r="F2414" s="246">
        <f>E2404</f>
        <v>15.76</v>
      </c>
      <c r="G2414" s="26" t="s">
        <v>3477</v>
      </c>
    </row>
    <row r="2415" spans="1:7">
      <c r="A2415" s="26"/>
      <c r="B2415" s="79" t="s">
        <v>2368</v>
      </c>
      <c r="C2415" s="26"/>
      <c r="D2415" s="26"/>
      <c r="E2415" s="26"/>
      <c r="F2415" s="26"/>
      <c r="G2415" s="26"/>
    </row>
    <row r="2416" spans="1:7">
      <c r="A2416" s="26"/>
      <c r="B2416" s="95" t="s">
        <v>2369</v>
      </c>
      <c r="C2416" s="157" t="s">
        <v>4443</v>
      </c>
      <c r="D2416" s="95" t="s">
        <v>2370</v>
      </c>
      <c r="E2416" s="95" t="s">
        <v>1166</v>
      </c>
      <c r="F2416" s="95" t="s">
        <v>2371</v>
      </c>
      <c r="G2416" s="95" t="s">
        <v>2372</v>
      </c>
    </row>
    <row r="2417" spans="1:7">
      <c r="A2417" s="26"/>
      <c r="B2417" s="114"/>
      <c r="C2417" s="154"/>
      <c r="D2417" s="114"/>
      <c r="E2417" s="114"/>
      <c r="F2417" s="114" t="s">
        <v>3485</v>
      </c>
      <c r="G2417" s="114" t="s">
        <v>3485</v>
      </c>
    </row>
    <row r="2418" spans="1:7">
      <c r="A2418" s="26"/>
      <c r="B2418" s="95">
        <v>1</v>
      </c>
      <c r="C2418" s="135" t="s">
        <v>1048</v>
      </c>
      <c r="D2418" s="95" t="s">
        <v>3478</v>
      </c>
      <c r="E2418" s="190">
        <f>330*F2414</f>
        <v>5200.8</v>
      </c>
      <c r="F2418" s="214">
        <f>'BASIC DATA'!$D$32/1000</f>
        <v>5.35</v>
      </c>
      <c r="G2418" s="190">
        <f>E2418*F2418</f>
        <v>27824.28</v>
      </c>
    </row>
    <row r="2419" spans="1:7">
      <c r="A2419" s="26"/>
      <c r="B2419" s="317"/>
      <c r="C2419" s="135" t="s">
        <v>1049</v>
      </c>
      <c r="D2419" s="105" t="s">
        <v>3478</v>
      </c>
      <c r="E2419" s="190">
        <f>F2414*5</f>
        <v>78.8</v>
      </c>
      <c r="F2419" s="214">
        <f>'BASIC DATA'!$D$32/1000</f>
        <v>5.35</v>
      </c>
      <c r="G2419" s="190">
        <f t="shared" ref="G2419:G2426" si="66">E2419*F2419</f>
        <v>421.58</v>
      </c>
    </row>
    <row r="2420" spans="1:7">
      <c r="A2420" s="26"/>
      <c r="B2420" s="105">
        <v>2</v>
      </c>
      <c r="C2420" s="135" t="s">
        <v>6995</v>
      </c>
      <c r="D2420" s="105" t="s">
        <v>3477</v>
      </c>
      <c r="E2420" s="190">
        <f>0.8*F2414*0.65</f>
        <v>8.1951999999999998</v>
      </c>
      <c r="F2420" s="214">
        <f>'BASIC DATA'!$D$35</f>
        <v>1225</v>
      </c>
      <c r="G2420" s="190">
        <f t="shared" si="66"/>
        <v>10039.119999999999</v>
      </c>
    </row>
    <row r="2421" spans="1:7">
      <c r="A2421" s="26"/>
      <c r="B2421" s="317"/>
      <c r="C2421" s="135" t="s">
        <v>1050</v>
      </c>
      <c r="D2421" s="105" t="s">
        <v>3477</v>
      </c>
      <c r="E2421" s="190">
        <f>0.8*F2414*0.35</f>
        <v>4.4127999999999998</v>
      </c>
      <c r="F2421" s="214">
        <f>'BASIC DATA'!$D$34</f>
        <v>900</v>
      </c>
      <c r="G2421" s="190">
        <f t="shared" si="66"/>
        <v>3971.52</v>
      </c>
    </row>
    <row r="2422" spans="1:7">
      <c r="A2422" s="61"/>
      <c r="B2422" s="240">
        <v>3</v>
      </c>
      <c r="C2422" s="326" t="s">
        <v>7941</v>
      </c>
      <c r="D2422" s="240" t="s">
        <v>3477</v>
      </c>
      <c r="E2422" s="255">
        <f>0.45*F2414</f>
        <v>7.0919999999999996</v>
      </c>
      <c r="F2422" s="266">
        <f>'BASIC DATA'!$D$55</f>
        <v>95</v>
      </c>
      <c r="G2422" s="255">
        <f t="shared" si="66"/>
        <v>673.74</v>
      </c>
    </row>
    <row r="2423" spans="1:7">
      <c r="A2423" s="26"/>
      <c r="B2423" s="105">
        <v>4</v>
      </c>
      <c r="C2423" s="135" t="s">
        <v>523</v>
      </c>
      <c r="D2423" s="105" t="s">
        <v>3478</v>
      </c>
      <c r="E2423" s="190">
        <f>E2418*0.4%</f>
        <v>20.8032</v>
      </c>
      <c r="F2423" s="214">
        <f>'BASIC DATA'!$D$99</f>
        <v>55</v>
      </c>
      <c r="G2423" s="190">
        <f t="shared" si="66"/>
        <v>1144.1759999999999</v>
      </c>
    </row>
    <row r="2424" spans="1:7">
      <c r="A2424" s="26"/>
      <c r="B2424" s="105">
        <v>5</v>
      </c>
      <c r="C2424" s="135" t="s">
        <v>3748</v>
      </c>
      <c r="D2424" s="105" t="s">
        <v>3479</v>
      </c>
      <c r="E2424" s="190">
        <f>2.5*F2414</f>
        <v>39.4</v>
      </c>
      <c r="F2424" s="214">
        <f>F2407</f>
        <v>271.42336920000002</v>
      </c>
      <c r="G2424" s="190">
        <f t="shared" si="66"/>
        <v>10694.08074648</v>
      </c>
    </row>
    <row r="2425" spans="1:7">
      <c r="A2425" s="26"/>
      <c r="B2425" s="317"/>
      <c r="C2425" s="135" t="s">
        <v>5408</v>
      </c>
      <c r="D2425" s="224">
        <v>2.5</v>
      </c>
      <c r="E2425" s="190"/>
      <c r="F2425" s="214"/>
      <c r="G2425" s="190">
        <f>G2424*D2425</f>
        <v>26735.201866200001</v>
      </c>
    </row>
    <row r="2426" spans="1:7">
      <c r="A2426" s="26"/>
      <c r="B2426" s="114">
        <v>6</v>
      </c>
      <c r="C2426" s="139" t="s">
        <v>2373</v>
      </c>
      <c r="D2426" s="114" t="s">
        <v>2173</v>
      </c>
      <c r="E2426" s="182">
        <v>1</v>
      </c>
      <c r="F2426" s="215">
        <f>'BASIC DATA'!$D$359</f>
        <v>30</v>
      </c>
      <c r="G2426" s="182">
        <f t="shared" si="66"/>
        <v>30</v>
      </c>
    </row>
    <row r="2427" spans="1:7">
      <c r="A2427" s="26"/>
      <c r="B2427" s="93"/>
      <c r="C2427" s="31" t="s">
        <v>6844</v>
      </c>
      <c r="D2427" s="31" t="s">
        <v>4043</v>
      </c>
      <c r="E2427" s="198"/>
      <c r="F2427" s="327" t="s">
        <v>1698</v>
      </c>
      <c r="G2427" s="190">
        <v>0</v>
      </c>
    </row>
    <row r="2428" spans="1:7">
      <c r="A2428" s="26"/>
      <c r="B2428" s="93"/>
      <c r="C2428" s="31" t="s">
        <v>6845</v>
      </c>
      <c r="D2428" s="31" t="s">
        <v>4043</v>
      </c>
      <c r="E2428" s="198"/>
      <c r="F2428" s="327" t="s">
        <v>1698</v>
      </c>
      <c r="G2428" s="190">
        <v>0</v>
      </c>
    </row>
    <row r="2429" spans="1:7">
      <c r="A2429" s="26"/>
      <c r="B2429" s="92"/>
      <c r="C2429" s="193" t="s">
        <v>2376</v>
      </c>
      <c r="D2429" s="159"/>
      <c r="E2429" s="238"/>
      <c r="F2429" s="236" t="s">
        <v>1698</v>
      </c>
      <c r="G2429" s="318">
        <f>SUM(G2418:G2428)</f>
        <v>81533.698612679989</v>
      </c>
    </row>
    <row r="2430" spans="1:7">
      <c r="A2430" s="26"/>
      <c r="B2430" s="78"/>
      <c r="C2430" s="26"/>
      <c r="D2430" s="26"/>
      <c r="E2430" s="26"/>
      <c r="F2430" s="26"/>
      <c r="G2430" s="26"/>
    </row>
    <row r="2431" spans="1:7">
      <c r="A2431" s="26"/>
      <c r="B2431" s="79" t="s">
        <v>2377</v>
      </c>
      <c r="C2431" s="26"/>
      <c r="D2431" s="26"/>
      <c r="E2431" s="26"/>
      <c r="F2431" s="26"/>
      <c r="G2431" s="26"/>
    </row>
    <row r="2432" spans="1:7">
      <c r="A2432" s="26"/>
      <c r="B2432" s="95" t="s">
        <v>2369</v>
      </c>
      <c r="C2432" s="157" t="s">
        <v>2378</v>
      </c>
      <c r="D2432" s="95" t="s">
        <v>2370</v>
      </c>
      <c r="E2432" s="95" t="s">
        <v>1166</v>
      </c>
      <c r="F2432" s="95" t="s">
        <v>2371</v>
      </c>
      <c r="G2432" s="95" t="s">
        <v>2372</v>
      </c>
    </row>
    <row r="2433" spans="1:7">
      <c r="A2433" s="26"/>
      <c r="B2433" s="114"/>
      <c r="C2433" s="154"/>
      <c r="D2433" s="114"/>
      <c r="E2433" s="114"/>
      <c r="F2433" s="114" t="s">
        <v>3485</v>
      </c>
      <c r="G2433" s="114" t="s">
        <v>3485</v>
      </c>
    </row>
    <row r="2434" spans="1:7">
      <c r="A2434" s="26"/>
      <c r="B2434" s="95">
        <v>1</v>
      </c>
      <c r="C2434" s="153" t="s">
        <v>7214</v>
      </c>
      <c r="D2434" s="175" t="s">
        <v>2374</v>
      </c>
      <c r="E2434" s="179">
        <v>8</v>
      </c>
      <c r="F2434" s="190">
        <f>'HIRE CHARGES'!$D$507</f>
        <v>53.5</v>
      </c>
      <c r="G2434" s="190">
        <f t="shared" ref="G2434:G2439" si="67">E2434*F2434</f>
        <v>428</v>
      </c>
    </row>
    <row r="2435" spans="1:7">
      <c r="A2435" s="26"/>
      <c r="B2435" s="317"/>
      <c r="C2435" s="152" t="s">
        <v>2379</v>
      </c>
      <c r="D2435" s="33" t="s">
        <v>2374</v>
      </c>
      <c r="E2435" s="190">
        <v>8</v>
      </c>
      <c r="F2435" s="190">
        <f>'HIRE CHARGES'!$E$507</f>
        <v>79.3</v>
      </c>
      <c r="G2435" s="190">
        <f t="shared" si="67"/>
        <v>634.4</v>
      </c>
    </row>
    <row r="2436" spans="1:7">
      <c r="A2436" s="26"/>
      <c r="B2436" s="105">
        <v>2</v>
      </c>
      <c r="C2436" s="152" t="s">
        <v>189</v>
      </c>
      <c r="D2436" s="33" t="s">
        <v>2374</v>
      </c>
      <c r="E2436" s="190">
        <v>0.5</v>
      </c>
      <c r="F2436" s="190">
        <f>'HIRE CHARGES'!$D$517</f>
        <v>10.199999999999999</v>
      </c>
      <c r="G2436" s="190">
        <f t="shared" si="67"/>
        <v>5.0999999999999996</v>
      </c>
    </row>
    <row r="2437" spans="1:7">
      <c r="A2437" s="26"/>
      <c r="B2437" s="317"/>
      <c r="C2437" s="152" t="s">
        <v>2379</v>
      </c>
      <c r="D2437" s="33" t="s">
        <v>2374</v>
      </c>
      <c r="E2437" s="190">
        <v>0.5</v>
      </c>
      <c r="F2437" s="190">
        <f>'HIRE CHARGES'!$E$517</f>
        <v>79.3</v>
      </c>
      <c r="G2437" s="190">
        <f t="shared" si="67"/>
        <v>39.65</v>
      </c>
    </row>
    <row r="2438" spans="1:7">
      <c r="A2438" s="26"/>
      <c r="B2438" s="105">
        <v>3</v>
      </c>
      <c r="C2438" s="152" t="s">
        <v>526</v>
      </c>
      <c r="D2438" s="33" t="s">
        <v>2374</v>
      </c>
      <c r="E2438" s="190">
        <v>8</v>
      </c>
      <c r="F2438" s="190">
        <f>'HIRE CHARGES'!$D$531</f>
        <v>7.6</v>
      </c>
      <c r="G2438" s="190">
        <f t="shared" si="67"/>
        <v>60.8</v>
      </c>
    </row>
    <row r="2439" spans="1:7">
      <c r="A2439" s="26"/>
      <c r="B2439" s="365"/>
      <c r="C2439" s="116" t="s">
        <v>2379</v>
      </c>
      <c r="D2439" s="33" t="s">
        <v>2374</v>
      </c>
      <c r="E2439" s="182">
        <v>8</v>
      </c>
      <c r="F2439" s="207">
        <f>'HIRE CHARGES'!$E$531</f>
        <v>18.8</v>
      </c>
      <c r="G2439" s="190">
        <f t="shared" si="67"/>
        <v>150.4</v>
      </c>
    </row>
    <row r="2440" spans="1:7">
      <c r="A2440" s="26"/>
      <c r="B2440" s="176"/>
      <c r="C2440" s="172" t="s">
        <v>2380</v>
      </c>
      <c r="D2440" s="174"/>
      <c r="E2440" s="192"/>
      <c r="F2440" s="236" t="s">
        <v>1698</v>
      </c>
      <c r="G2440" s="318">
        <f>SUM(G2434:G2439)</f>
        <v>1318.3500000000001</v>
      </c>
    </row>
    <row r="2441" spans="1:7">
      <c r="A2441" s="26"/>
      <c r="B2441" s="78"/>
      <c r="C2441" s="26"/>
      <c r="D2441" s="26"/>
      <c r="E2441" s="26"/>
      <c r="F2441" s="26"/>
      <c r="G2441" s="26"/>
    </row>
    <row r="2442" spans="1:7">
      <c r="A2442" s="26"/>
      <c r="B2442" s="79" t="s">
        <v>2381</v>
      </c>
      <c r="C2442" s="26"/>
      <c r="D2442" s="26"/>
      <c r="E2442" s="26"/>
      <c r="F2442" s="26"/>
      <c r="G2442" s="26"/>
    </row>
    <row r="2443" spans="1:7">
      <c r="A2443" s="26"/>
      <c r="B2443" s="95" t="s">
        <v>2369</v>
      </c>
      <c r="C2443" s="157" t="s">
        <v>2378</v>
      </c>
      <c r="D2443" s="95" t="s">
        <v>2370</v>
      </c>
      <c r="E2443" s="95" t="s">
        <v>1166</v>
      </c>
      <c r="F2443" s="95" t="s">
        <v>2371</v>
      </c>
      <c r="G2443" s="95" t="s">
        <v>2372</v>
      </c>
    </row>
    <row r="2444" spans="1:7">
      <c r="A2444" s="26"/>
      <c r="B2444" s="114"/>
      <c r="C2444" s="154"/>
      <c r="D2444" s="105"/>
      <c r="E2444" s="105"/>
      <c r="F2444" s="105" t="s">
        <v>3485</v>
      </c>
      <c r="G2444" s="114" t="s">
        <v>3485</v>
      </c>
    </row>
    <row r="2445" spans="1:7">
      <c r="A2445" s="26"/>
      <c r="B2445" s="95">
        <v>1</v>
      </c>
      <c r="C2445" s="76" t="s">
        <v>527</v>
      </c>
      <c r="D2445" s="95" t="s">
        <v>2374</v>
      </c>
      <c r="E2445" s="179">
        <v>8</v>
      </c>
      <c r="F2445" s="179">
        <f>'HIRE CHARGES'!$F$507</f>
        <v>219.7</v>
      </c>
      <c r="G2445" s="207">
        <f>E2445*F2445</f>
        <v>1757.6</v>
      </c>
    </row>
    <row r="2446" spans="1:7">
      <c r="A2446" s="26"/>
      <c r="B2446" s="105">
        <v>2</v>
      </c>
      <c r="C2446" s="76" t="s">
        <v>999</v>
      </c>
      <c r="D2446" s="105" t="s">
        <v>2374</v>
      </c>
      <c r="E2446" s="190">
        <v>0.5</v>
      </c>
      <c r="F2446" s="190">
        <f>'HIRE CHARGES'!$F$517</f>
        <v>111.1</v>
      </c>
      <c r="G2446" s="207">
        <f t="shared" ref="G2446:G2456" si="68">E2446*F2446</f>
        <v>55.55</v>
      </c>
    </row>
    <row r="2447" spans="1:7">
      <c r="A2447" s="26"/>
      <c r="B2447" s="105">
        <v>3</v>
      </c>
      <c r="C2447" s="76" t="s">
        <v>439</v>
      </c>
      <c r="D2447" s="105" t="s">
        <v>2374</v>
      </c>
      <c r="E2447" s="190">
        <v>8</v>
      </c>
      <c r="F2447" s="190">
        <f>'HIRE CHARGES'!$F$531</f>
        <v>158.19999999999999</v>
      </c>
      <c r="G2447" s="207">
        <f t="shared" si="68"/>
        <v>1265.5999999999999</v>
      </c>
    </row>
    <row r="2448" spans="1:7">
      <c r="A2448" s="26"/>
      <c r="B2448" s="105">
        <v>4</v>
      </c>
      <c r="C2448" s="76" t="s">
        <v>440</v>
      </c>
      <c r="D2448" s="105" t="s">
        <v>1172</v>
      </c>
      <c r="E2448" s="190">
        <v>2</v>
      </c>
      <c r="F2448" s="190">
        <f>'BASIC DATA'!$C$474</f>
        <v>445</v>
      </c>
      <c r="G2448" s="207">
        <f t="shared" si="68"/>
        <v>890</v>
      </c>
    </row>
    <row r="2449" spans="1:7">
      <c r="A2449" s="26"/>
      <c r="B2449" s="105">
        <v>5</v>
      </c>
      <c r="C2449" s="76" t="s">
        <v>4206</v>
      </c>
      <c r="D2449" s="105" t="s">
        <v>1172</v>
      </c>
      <c r="E2449" s="190">
        <v>1</v>
      </c>
      <c r="F2449" s="190">
        <f>'BASIC DATA'!$C$473</f>
        <v>450</v>
      </c>
      <c r="G2449" s="207">
        <f t="shared" si="68"/>
        <v>450</v>
      </c>
    </row>
    <row r="2450" spans="1:7">
      <c r="A2450" s="26"/>
      <c r="B2450" s="105">
        <v>6</v>
      </c>
      <c r="C2450" s="76" t="s">
        <v>2697</v>
      </c>
      <c r="D2450" s="105"/>
      <c r="E2450" s="190"/>
      <c r="F2450" s="190"/>
      <c r="G2450" s="207"/>
    </row>
    <row r="2451" spans="1:7">
      <c r="A2451" s="26"/>
      <c r="B2451" s="317"/>
      <c r="C2451" s="76" t="s">
        <v>441</v>
      </c>
      <c r="D2451" s="105" t="s">
        <v>1172</v>
      </c>
      <c r="E2451" s="190">
        <v>11</v>
      </c>
      <c r="F2451" s="190">
        <f>'BASIC DATA'!$C$552</f>
        <v>350</v>
      </c>
      <c r="G2451" s="207">
        <f t="shared" si="68"/>
        <v>3850</v>
      </c>
    </row>
    <row r="2452" spans="1:7">
      <c r="A2452" s="26"/>
      <c r="B2452" s="317"/>
      <c r="C2452" s="76" t="s">
        <v>442</v>
      </c>
      <c r="D2452" s="105" t="s">
        <v>1172</v>
      </c>
      <c r="E2452" s="190">
        <v>4</v>
      </c>
      <c r="F2452" s="190">
        <f>'BASIC DATA'!$C$552</f>
        <v>350</v>
      </c>
      <c r="G2452" s="207">
        <f t="shared" si="68"/>
        <v>1400</v>
      </c>
    </row>
    <row r="2453" spans="1:7">
      <c r="A2453" s="26"/>
      <c r="B2453" s="317"/>
      <c r="C2453" s="76" t="s">
        <v>5151</v>
      </c>
      <c r="D2453" s="105" t="s">
        <v>1172</v>
      </c>
      <c r="E2453" s="190">
        <v>4</v>
      </c>
      <c r="F2453" s="190">
        <f>'BASIC DATA'!$C$552</f>
        <v>350</v>
      </c>
      <c r="G2453" s="207">
        <f t="shared" si="68"/>
        <v>1400</v>
      </c>
    </row>
    <row r="2454" spans="1:7">
      <c r="A2454" s="26"/>
      <c r="B2454" s="317"/>
      <c r="C2454" s="76" t="s">
        <v>444</v>
      </c>
      <c r="D2454" s="105" t="s">
        <v>1172</v>
      </c>
      <c r="E2454" s="190">
        <f>F2414</f>
        <v>15.76</v>
      </c>
      <c r="F2454" s="190">
        <f>'BASIC DATA'!$C$552</f>
        <v>350</v>
      </c>
      <c r="G2454" s="207">
        <f t="shared" si="68"/>
        <v>5516</v>
      </c>
    </row>
    <row r="2455" spans="1:7">
      <c r="A2455" s="26"/>
      <c r="B2455" s="317"/>
      <c r="C2455" s="76" t="s">
        <v>445</v>
      </c>
      <c r="D2455" s="105" t="s">
        <v>1172</v>
      </c>
      <c r="E2455" s="190">
        <v>1</v>
      </c>
      <c r="F2455" s="190">
        <f>'BASIC DATA'!$C$552</f>
        <v>350</v>
      </c>
      <c r="G2455" s="207">
        <f t="shared" si="68"/>
        <v>350</v>
      </c>
    </row>
    <row r="2456" spans="1:7">
      <c r="A2456" s="26"/>
      <c r="B2456" s="105">
        <v>7</v>
      </c>
      <c r="C2456" s="76" t="s">
        <v>7215</v>
      </c>
      <c r="D2456" s="105" t="s">
        <v>3479</v>
      </c>
      <c r="E2456" s="190">
        <f>2.5*F2414</f>
        <v>39.4</v>
      </c>
      <c r="F2456" s="190">
        <f>F2409</f>
        <v>88.5</v>
      </c>
      <c r="G2456" s="207">
        <f t="shared" si="68"/>
        <v>3486.9</v>
      </c>
    </row>
    <row r="2457" spans="1:7">
      <c r="A2457" s="26"/>
      <c r="B2457" s="365"/>
      <c r="C2457" s="76" t="s">
        <v>6402</v>
      </c>
      <c r="D2457" s="681">
        <v>2.5</v>
      </c>
      <c r="E2457" s="182"/>
      <c r="F2457" s="182"/>
      <c r="G2457" s="207">
        <f>G2456*D2457</f>
        <v>8717.25</v>
      </c>
    </row>
    <row r="2458" spans="1:7">
      <c r="A2458" s="26"/>
      <c r="B2458" s="92"/>
      <c r="C2458" s="193" t="s">
        <v>1174</v>
      </c>
      <c r="D2458" s="159"/>
      <c r="E2458" s="238"/>
      <c r="F2458" s="236" t="s">
        <v>1698</v>
      </c>
      <c r="G2458" s="318">
        <f>SUM(G2445:G2457)</f>
        <v>29138.9</v>
      </c>
    </row>
    <row r="2459" spans="1:7">
      <c r="A2459" s="26"/>
      <c r="B2459" s="60" t="s">
        <v>5948</v>
      </c>
      <c r="C2459" s="31"/>
      <c r="D2459" s="31"/>
      <c r="E2459" s="85">
        <f>ROUND(G2458/F2414,1)</f>
        <v>1848.9</v>
      </c>
      <c r="F2459" s="26"/>
      <c r="G2459" s="26"/>
    </row>
    <row r="2460" spans="1:7">
      <c r="A2460" s="26"/>
      <c r="B2460" s="60" t="s">
        <v>3163</v>
      </c>
      <c r="C2460" s="31"/>
      <c r="D2460" s="31">
        <f>'BASIC DATA'!$C$577</f>
        <v>0.13614999999999999</v>
      </c>
      <c r="E2460" s="85">
        <f>ROUND(E2459*D2460,1)</f>
        <v>251.7</v>
      </c>
      <c r="F2460" s="26"/>
      <c r="G2460" s="26"/>
    </row>
    <row r="2461" spans="1:7">
      <c r="A2461" s="26"/>
      <c r="B2461" s="60" t="s">
        <v>5949</v>
      </c>
      <c r="C2461" s="31"/>
      <c r="D2461" s="31"/>
      <c r="E2461" s="199">
        <f>ROUND(E2460+E2459,1)</f>
        <v>2100.6</v>
      </c>
      <c r="F2461" s="57"/>
      <c r="G2461" s="26"/>
    </row>
    <row r="2462" spans="1:7">
      <c r="A2462" s="26"/>
      <c r="B2462" s="78"/>
      <c r="C2462" s="26"/>
      <c r="D2462" s="26"/>
      <c r="E2462" s="26"/>
      <c r="F2462" s="26"/>
      <c r="G2462" s="26"/>
    </row>
    <row r="2463" spans="1:7">
      <c r="A2463" s="26"/>
      <c r="B2463" s="170" t="s">
        <v>1175</v>
      </c>
      <c r="C2463" s="26"/>
      <c r="D2463" s="26"/>
      <c r="E2463" s="26"/>
      <c r="F2463" s="26"/>
      <c r="G2463" s="26"/>
    </row>
    <row r="2464" spans="1:7">
      <c r="A2464" s="26"/>
      <c r="B2464" s="26" t="s">
        <v>5010</v>
      </c>
      <c r="C2464" s="26"/>
      <c r="D2464" s="26"/>
      <c r="E2464" s="26"/>
      <c r="F2464" s="171" t="s">
        <v>1698</v>
      </c>
      <c r="G2464" s="68">
        <f>G2429</f>
        <v>81533.698612679989</v>
      </c>
    </row>
    <row r="2465" spans="1:7">
      <c r="A2465" s="26"/>
      <c r="B2465" s="26" t="s">
        <v>1186</v>
      </c>
      <c r="C2465" s="26"/>
      <c r="D2465" s="26"/>
      <c r="E2465" s="26"/>
      <c r="F2465" s="171" t="s">
        <v>1698</v>
      </c>
      <c r="G2465" s="68">
        <f>G2440</f>
        <v>1318.3500000000001</v>
      </c>
    </row>
    <row r="2466" spans="1:7">
      <c r="A2466" s="26"/>
      <c r="B2466" s="26" t="s">
        <v>2660</v>
      </c>
      <c r="C2466" s="26"/>
      <c r="D2466" s="26"/>
      <c r="E2466" s="26"/>
      <c r="F2466" s="171" t="s">
        <v>1698</v>
      </c>
      <c r="G2466" s="75">
        <f>G2458</f>
        <v>29138.9</v>
      </c>
    </row>
    <row r="2467" spans="1:7">
      <c r="A2467" s="26"/>
      <c r="B2467" s="78"/>
      <c r="C2467" s="26"/>
      <c r="D2467" s="26"/>
      <c r="E2467" s="171"/>
      <c r="F2467" s="171" t="s">
        <v>302</v>
      </c>
      <c r="G2467" s="205">
        <f>SUM(G2464:G2466)</f>
        <v>111990.94861267999</v>
      </c>
    </row>
    <row r="2468" spans="1:7">
      <c r="A2468" s="26"/>
      <c r="B2468" s="1206" t="s">
        <v>1379</v>
      </c>
      <c r="C2468" s="1206"/>
      <c r="D2468" s="26"/>
      <c r="E2468" s="249">
        <f>'BASIC DATA'!$C$577</f>
        <v>0.13614999999999999</v>
      </c>
      <c r="F2468" s="26" t="s">
        <v>1698</v>
      </c>
      <c r="G2468" s="26">
        <f>ROUND(G2467*E2468,2)</f>
        <v>15247.57</v>
      </c>
    </row>
    <row r="2469" spans="1:7">
      <c r="A2469" s="26"/>
      <c r="B2469" s="26" t="s">
        <v>1191</v>
      </c>
      <c r="C2469" s="26"/>
      <c r="D2469" s="68">
        <f>F2414</f>
        <v>15.76</v>
      </c>
      <c r="E2469" s="68" t="str">
        <f>G2414</f>
        <v>cum</v>
      </c>
      <c r="F2469" s="26" t="s">
        <v>1698</v>
      </c>
      <c r="G2469" s="211">
        <f>G2468+G2467</f>
        <v>127238.51861268</v>
      </c>
    </row>
    <row r="2470" spans="1:7">
      <c r="A2470" s="26"/>
      <c r="B2470" s="170" t="s">
        <v>1584</v>
      </c>
      <c r="C2470" s="211" t="str">
        <f>E2469</f>
        <v>cum</v>
      </c>
      <c r="D2470" s="26" t="s">
        <v>7778</v>
      </c>
      <c r="E2470" s="26"/>
      <c r="F2470" s="26" t="s">
        <v>4108</v>
      </c>
      <c r="G2470" s="211">
        <f>ROUND(G2469/D2469,1)</f>
        <v>8073.5</v>
      </c>
    </row>
    <row r="2471" spans="1:7">
      <c r="A2471" s="26"/>
      <c r="B2471" s="78"/>
      <c r="C2471" s="26"/>
      <c r="D2471" s="26"/>
      <c r="E2471" s="26"/>
      <c r="F2471" s="26"/>
      <c r="G2471" s="26"/>
    </row>
    <row r="2472" spans="1:7">
      <c r="A2472" s="26"/>
      <c r="B2472" s="78"/>
      <c r="C2472" s="26"/>
      <c r="D2472" s="26"/>
      <c r="E2472" s="26"/>
      <c r="F2472" s="26"/>
      <c r="G2472" s="26"/>
    </row>
    <row r="2473" spans="1:7" ht="18.75">
      <c r="A2473" s="78" t="s">
        <v>7564</v>
      </c>
      <c r="B2473" s="26" t="s">
        <v>8618</v>
      </c>
      <c r="C2473" s="26"/>
      <c r="D2473" s="26"/>
      <c r="E2473" s="26"/>
      <c r="F2473" s="26"/>
      <c r="G2473" s="26"/>
    </row>
    <row r="2474" spans="1:7" ht="18.75">
      <c r="A2474" s="78"/>
      <c r="B2474" s="26" t="s">
        <v>8960</v>
      </c>
      <c r="C2474" s="26"/>
      <c r="D2474" s="26"/>
      <c r="E2474" s="26"/>
      <c r="F2474" s="26"/>
      <c r="G2474" s="26"/>
    </row>
    <row r="2475" spans="1:7">
      <c r="A2475" s="78"/>
      <c r="B2475" s="26" t="s">
        <v>8961</v>
      </c>
      <c r="C2475" s="26"/>
      <c r="D2475" s="26"/>
      <c r="E2475" s="26"/>
      <c r="F2475" s="26"/>
      <c r="G2475" s="26"/>
    </row>
    <row r="2476" spans="1:7">
      <c r="A2476" s="78"/>
      <c r="B2476" s="26" t="s">
        <v>1586</v>
      </c>
      <c r="C2476" s="26"/>
      <c r="D2476" s="26"/>
      <c r="E2476" s="26"/>
      <c r="F2476" s="26"/>
      <c r="G2476" s="26"/>
    </row>
    <row r="2477" spans="1:7" ht="18.75">
      <c r="A2477" s="78"/>
      <c r="B2477" s="170" t="s">
        <v>8962</v>
      </c>
      <c r="C2477" s="26"/>
      <c r="D2477" s="26"/>
      <c r="E2477" s="26"/>
      <c r="F2477" s="26"/>
      <c r="G2477" s="26"/>
    </row>
    <row r="2478" spans="1:7">
      <c r="A2478" s="78"/>
      <c r="B2478" s="26"/>
      <c r="C2478" s="26"/>
      <c r="D2478" s="26"/>
      <c r="E2478" s="26"/>
      <c r="F2478" s="26"/>
      <c r="G2478" s="26"/>
    </row>
    <row r="2479" spans="1:7">
      <c r="A2479" s="78" t="s">
        <v>1940</v>
      </c>
      <c r="B2479" s="170" t="s">
        <v>4662</v>
      </c>
      <c r="C2479" s="26"/>
      <c r="D2479" s="26"/>
      <c r="E2479" s="26"/>
      <c r="F2479" s="26"/>
      <c r="G2479" s="26"/>
    </row>
    <row r="2480" spans="1:7">
      <c r="A2480" s="78"/>
      <c r="B2480" s="170" t="s">
        <v>7775</v>
      </c>
      <c r="C2480" s="26"/>
      <c r="D2480" s="26"/>
      <c r="E2480" s="26"/>
      <c r="F2480" s="26"/>
      <c r="G2480" s="26"/>
    </row>
    <row r="2481" spans="1:7">
      <c r="A2481" s="62"/>
      <c r="B2481" s="248" t="s">
        <v>4522</v>
      </c>
      <c r="C2481" s="61"/>
      <c r="D2481" s="61"/>
      <c r="E2481" s="61"/>
      <c r="F2481" s="61"/>
      <c r="G2481" s="61"/>
    </row>
    <row r="2482" spans="1:7">
      <c r="A2482" s="78"/>
      <c r="B2482" s="26"/>
      <c r="C2482" s="26"/>
      <c r="D2482" s="26"/>
      <c r="E2482" s="26"/>
      <c r="F2482" s="26"/>
      <c r="G2482" s="26"/>
    </row>
    <row r="2483" spans="1:7">
      <c r="A2483" s="78" t="s">
        <v>3984</v>
      </c>
      <c r="B2483" s="26" t="s">
        <v>5780</v>
      </c>
      <c r="C2483" s="26"/>
      <c r="D2483" s="26"/>
      <c r="E2483" s="26"/>
      <c r="F2483" s="26"/>
      <c r="G2483" s="26"/>
    </row>
    <row r="2484" spans="1:7">
      <c r="A2484" s="78"/>
      <c r="B2484" s="26" t="s">
        <v>2251</v>
      </c>
      <c r="C2484" s="26"/>
      <c r="D2484" s="26"/>
      <c r="E2484" s="26"/>
      <c r="F2484" s="26"/>
      <c r="G2484" s="26"/>
    </row>
    <row r="2485" spans="1:7">
      <c r="A2485" s="78"/>
      <c r="B2485" s="26" t="s">
        <v>7792</v>
      </c>
      <c r="C2485" s="26"/>
      <c r="D2485" s="26"/>
      <c r="E2485" s="26"/>
      <c r="F2485" s="26"/>
      <c r="G2485" s="26"/>
    </row>
    <row r="2486" spans="1:7">
      <c r="A2486" s="78"/>
      <c r="B2486" s="26" t="s">
        <v>7791</v>
      </c>
      <c r="C2486" s="26"/>
      <c r="D2486" s="26"/>
      <c r="E2486" s="26">
        <f>ROUND(50*13*8/330,2)</f>
        <v>15.76</v>
      </c>
      <c r="F2486" s="26" t="s">
        <v>1443</v>
      </c>
      <c r="G2486" s="26" t="s">
        <v>3760</v>
      </c>
    </row>
    <row r="2487" spans="1:7">
      <c r="A2487" s="78"/>
      <c r="B2487" s="26" t="s">
        <v>2843</v>
      </c>
      <c r="C2487" s="26"/>
      <c r="D2487" s="26"/>
      <c r="E2487" s="26"/>
      <c r="F2487" s="26"/>
      <c r="G2487" s="26"/>
    </row>
    <row r="2488" spans="1:7">
      <c r="A2488" s="78"/>
      <c r="B2488" s="26" t="s">
        <v>1361</v>
      </c>
      <c r="C2488" s="26"/>
      <c r="D2488" s="26"/>
      <c r="E2488" s="26"/>
      <c r="F2488" s="26"/>
      <c r="G2488" s="26"/>
    </row>
    <row r="2489" spans="1:7">
      <c r="A2489" s="78"/>
      <c r="B2489" s="26" t="s">
        <v>2004</v>
      </c>
      <c r="C2489" s="26"/>
      <c r="D2489" s="26"/>
      <c r="E2489" s="26"/>
      <c r="F2489" s="68">
        <f>G618</f>
        <v>224.56752690000002</v>
      </c>
      <c r="G2489" s="26" t="s">
        <v>1168</v>
      </c>
    </row>
    <row r="2490" spans="1:7">
      <c r="A2490" s="78"/>
      <c r="B2490" s="26" t="s">
        <v>4095</v>
      </c>
      <c r="C2490" s="26"/>
      <c r="D2490" s="26"/>
      <c r="E2490" s="26"/>
      <c r="F2490" s="26"/>
      <c r="G2490" s="26"/>
    </row>
    <row r="2491" spans="1:7">
      <c r="A2491" s="78"/>
      <c r="B2491" s="26" t="s">
        <v>2005</v>
      </c>
      <c r="C2491" s="26"/>
      <c r="D2491" s="26"/>
      <c r="E2491" s="26"/>
      <c r="F2491" s="68">
        <f>G644</f>
        <v>88.5</v>
      </c>
      <c r="G2491" s="26" t="s">
        <v>1168</v>
      </c>
    </row>
    <row r="2492" spans="1:7">
      <c r="A2492" s="78"/>
      <c r="B2492" s="26" t="s">
        <v>4692</v>
      </c>
      <c r="C2492" s="26"/>
      <c r="D2492" s="26"/>
      <c r="E2492" s="26"/>
      <c r="F2492" s="26"/>
      <c r="G2492" s="26"/>
    </row>
    <row r="2493" spans="1:7">
      <c r="A2493" s="78"/>
      <c r="B2493" s="26" t="s">
        <v>451</v>
      </c>
      <c r="C2493" s="26"/>
      <c r="D2493" s="26"/>
      <c r="E2493" s="26"/>
      <c r="F2493" s="26"/>
      <c r="G2493" s="26"/>
    </row>
    <row r="2494" spans="1:7">
      <c r="A2494" s="78"/>
      <c r="B2494" s="26" t="s">
        <v>2003</v>
      </c>
      <c r="C2494" s="26"/>
      <c r="D2494" s="26"/>
      <c r="E2494" s="26"/>
      <c r="F2494" s="26"/>
      <c r="G2494" s="26"/>
    </row>
    <row r="2495" spans="1:7">
      <c r="A2495" s="26"/>
      <c r="B2495" s="78"/>
      <c r="C2495" s="26"/>
      <c r="D2495" s="26"/>
      <c r="E2495" s="26"/>
      <c r="F2495" s="26"/>
      <c r="G2495" s="26"/>
    </row>
    <row r="2496" spans="1:7">
      <c r="A2496" s="78" t="s">
        <v>3984</v>
      </c>
      <c r="B2496" s="78"/>
      <c r="C2496" s="203" t="s">
        <v>2367</v>
      </c>
      <c r="D2496" s="26"/>
      <c r="E2496" s="171" t="s">
        <v>297</v>
      </c>
      <c r="F2496" s="246">
        <f>E2486</f>
        <v>15.76</v>
      </c>
      <c r="G2496" s="26" t="s">
        <v>3477</v>
      </c>
    </row>
    <row r="2497" spans="1:7">
      <c r="A2497" s="26"/>
      <c r="B2497" s="79" t="s">
        <v>2368</v>
      </c>
      <c r="C2497" s="26"/>
      <c r="D2497" s="26"/>
      <c r="E2497" s="26"/>
      <c r="F2497" s="26"/>
      <c r="G2497" s="26"/>
    </row>
    <row r="2498" spans="1:7">
      <c r="A2498" s="26"/>
      <c r="B2498" s="95" t="s">
        <v>2369</v>
      </c>
      <c r="C2498" s="157" t="s">
        <v>4443</v>
      </c>
      <c r="D2498" s="95" t="s">
        <v>2370</v>
      </c>
      <c r="E2498" s="95" t="s">
        <v>1166</v>
      </c>
      <c r="F2498" s="95" t="s">
        <v>2371</v>
      </c>
      <c r="G2498" s="95" t="s">
        <v>2372</v>
      </c>
    </row>
    <row r="2499" spans="1:7">
      <c r="A2499" s="26"/>
      <c r="B2499" s="114"/>
      <c r="C2499" s="154"/>
      <c r="D2499" s="114"/>
      <c r="E2499" s="114"/>
      <c r="F2499" s="114" t="s">
        <v>3485</v>
      </c>
      <c r="G2499" s="114" t="s">
        <v>3485</v>
      </c>
    </row>
    <row r="2500" spans="1:7">
      <c r="A2500" s="26"/>
      <c r="B2500" s="95">
        <v>1</v>
      </c>
      <c r="C2500" s="135" t="s">
        <v>1048</v>
      </c>
      <c r="D2500" s="95" t="s">
        <v>3478</v>
      </c>
      <c r="E2500" s="190">
        <f>330*F2496</f>
        <v>5200.8</v>
      </c>
      <c r="F2500" s="214">
        <f>'BASIC DATA'!$D$32/1000</f>
        <v>5.35</v>
      </c>
      <c r="G2500" s="190">
        <f>E2500*F2500</f>
        <v>27824.28</v>
      </c>
    </row>
    <row r="2501" spans="1:7">
      <c r="A2501" s="26"/>
      <c r="B2501" s="317"/>
      <c r="C2501" s="135" t="s">
        <v>1049</v>
      </c>
      <c r="D2501" s="105" t="s">
        <v>3478</v>
      </c>
      <c r="E2501" s="190">
        <f>F2496*5</f>
        <v>78.8</v>
      </c>
      <c r="F2501" s="214">
        <f>'BASIC DATA'!$D$32/1000</f>
        <v>5.35</v>
      </c>
      <c r="G2501" s="190">
        <f t="shared" ref="G2501:G2508" si="69">E2501*F2501</f>
        <v>421.58</v>
      </c>
    </row>
    <row r="2502" spans="1:7">
      <c r="A2502" s="26"/>
      <c r="B2502" s="105">
        <v>2</v>
      </c>
      <c r="C2502" s="135" t="s">
        <v>6995</v>
      </c>
      <c r="D2502" s="105" t="s">
        <v>3477</v>
      </c>
      <c r="E2502" s="190">
        <f>0.8*F2496*0.65</f>
        <v>8.1951999999999998</v>
      </c>
      <c r="F2502" s="214">
        <f>'BASIC DATA'!$D$35</f>
        <v>1225</v>
      </c>
      <c r="G2502" s="190">
        <f t="shared" si="69"/>
        <v>10039.119999999999</v>
      </c>
    </row>
    <row r="2503" spans="1:7">
      <c r="A2503" s="26"/>
      <c r="B2503" s="317"/>
      <c r="C2503" s="135" t="s">
        <v>1050</v>
      </c>
      <c r="D2503" s="105" t="s">
        <v>3477</v>
      </c>
      <c r="E2503" s="190">
        <f>0.8*F2496*0.35</f>
        <v>4.4127999999999998</v>
      </c>
      <c r="F2503" s="214">
        <f>'BASIC DATA'!$D$34</f>
        <v>900</v>
      </c>
      <c r="G2503" s="190">
        <f t="shared" si="69"/>
        <v>3971.52</v>
      </c>
    </row>
    <row r="2504" spans="1:7">
      <c r="A2504" s="61"/>
      <c r="B2504" s="240">
        <v>3</v>
      </c>
      <c r="C2504" s="326" t="s">
        <v>7941</v>
      </c>
      <c r="D2504" s="240" t="s">
        <v>3477</v>
      </c>
      <c r="E2504" s="255">
        <f>0.45*F2496</f>
        <v>7.0919999999999996</v>
      </c>
      <c r="F2504" s="266">
        <f>'BASIC DATA'!$D$55</f>
        <v>95</v>
      </c>
      <c r="G2504" s="255">
        <f t="shared" si="69"/>
        <v>673.74</v>
      </c>
    </row>
    <row r="2505" spans="1:7">
      <c r="A2505" s="26"/>
      <c r="B2505" s="105">
        <v>4</v>
      </c>
      <c r="C2505" s="135" t="s">
        <v>523</v>
      </c>
      <c r="D2505" s="105" t="s">
        <v>3478</v>
      </c>
      <c r="E2505" s="190">
        <f>E2500*0.4%</f>
        <v>20.8032</v>
      </c>
      <c r="F2505" s="214">
        <f>'BASIC DATA'!$D$99</f>
        <v>55</v>
      </c>
      <c r="G2505" s="190">
        <f t="shared" si="69"/>
        <v>1144.1759999999999</v>
      </c>
    </row>
    <row r="2506" spans="1:7">
      <c r="A2506" s="26"/>
      <c r="B2506" s="105">
        <v>5</v>
      </c>
      <c r="C2506" s="135" t="s">
        <v>5315</v>
      </c>
      <c r="D2506" s="105" t="s">
        <v>3479</v>
      </c>
      <c r="E2506" s="190">
        <f>5*F2496</f>
        <v>78.8</v>
      </c>
      <c r="F2506" s="214">
        <f>F2489</f>
        <v>224.56752690000002</v>
      </c>
      <c r="G2506" s="190">
        <f t="shared" si="69"/>
        <v>17695.921119720002</v>
      </c>
    </row>
    <row r="2507" spans="1:7">
      <c r="A2507" s="26"/>
      <c r="B2507" s="317"/>
      <c r="C2507" s="135" t="s">
        <v>5408</v>
      </c>
      <c r="D2507" s="224">
        <v>0.5</v>
      </c>
      <c r="E2507" s="190"/>
      <c r="F2507" s="214"/>
      <c r="G2507" s="190">
        <f>G2506*D2507</f>
        <v>8847.960559860001</v>
      </c>
    </row>
    <row r="2508" spans="1:7">
      <c r="A2508" s="26"/>
      <c r="B2508" s="114">
        <v>6</v>
      </c>
      <c r="C2508" s="139" t="s">
        <v>2373</v>
      </c>
      <c r="D2508" s="114" t="s">
        <v>2173</v>
      </c>
      <c r="E2508" s="182">
        <v>1</v>
      </c>
      <c r="F2508" s="215">
        <f>'BASIC DATA'!$D$359</f>
        <v>30</v>
      </c>
      <c r="G2508" s="182">
        <f t="shared" si="69"/>
        <v>30</v>
      </c>
    </row>
    <row r="2509" spans="1:7">
      <c r="A2509" s="26"/>
      <c r="B2509" s="93"/>
      <c r="C2509" s="31" t="s">
        <v>6844</v>
      </c>
      <c r="D2509" s="31" t="s">
        <v>4043</v>
      </c>
      <c r="E2509" s="198"/>
      <c r="F2509" s="327" t="s">
        <v>1698</v>
      </c>
      <c r="G2509" s="190">
        <v>0</v>
      </c>
    </row>
    <row r="2510" spans="1:7">
      <c r="A2510" s="26"/>
      <c r="B2510" s="93"/>
      <c r="C2510" s="31" t="s">
        <v>6845</v>
      </c>
      <c r="D2510" s="31" t="s">
        <v>4043</v>
      </c>
      <c r="E2510" s="198"/>
      <c r="F2510" s="327" t="s">
        <v>1698</v>
      </c>
      <c r="G2510" s="190">
        <v>0</v>
      </c>
    </row>
    <row r="2511" spans="1:7">
      <c r="A2511" s="26"/>
      <c r="B2511" s="92"/>
      <c r="C2511" s="193" t="s">
        <v>2376</v>
      </c>
      <c r="D2511" s="159"/>
      <c r="E2511" s="238"/>
      <c r="F2511" s="236" t="s">
        <v>1698</v>
      </c>
      <c r="G2511" s="318">
        <f>SUM(G2500:G2510)</f>
        <v>70648.297679579991</v>
      </c>
    </row>
    <row r="2512" spans="1:7">
      <c r="A2512" s="26"/>
      <c r="B2512" s="78"/>
      <c r="C2512" s="26"/>
      <c r="D2512" s="26"/>
      <c r="E2512" s="26"/>
      <c r="F2512" s="26"/>
      <c r="G2512" s="26"/>
    </row>
    <row r="2513" spans="1:7">
      <c r="A2513" s="26"/>
      <c r="B2513" s="79" t="s">
        <v>2377</v>
      </c>
      <c r="C2513" s="26"/>
      <c r="D2513" s="26"/>
      <c r="E2513" s="26"/>
      <c r="F2513" s="26"/>
      <c r="G2513" s="26"/>
    </row>
    <row r="2514" spans="1:7">
      <c r="A2514" s="26"/>
      <c r="B2514" s="95" t="s">
        <v>2369</v>
      </c>
      <c r="C2514" s="157" t="s">
        <v>2378</v>
      </c>
      <c r="D2514" s="95" t="s">
        <v>2370</v>
      </c>
      <c r="E2514" s="95" t="s">
        <v>1166</v>
      </c>
      <c r="F2514" s="95" t="s">
        <v>2371</v>
      </c>
      <c r="G2514" s="95" t="s">
        <v>2372</v>
      </c>
    </row>
    <row r="2515" spans="1:7">
      <c r="A2515" s="26"/>
      <c r="B2515" s="114"/>
      <c r="C2515" s="154"/>
      <c r="D2515" s="114"/>
      <c r="E2515" s="114"/>
      <c r="F2515" s="114" t="s">
        <v>3485</v>
      </c>
      <c r="G2515" s="114" t="s">
        <v>3485</v>
      </c>
    </row>
    <row r="2516" spans="1:7">
      <c r="A2516" s="26"/>
      <c r="B2516" s="95">
        <v>1</v>
      </c>
      <c r="C2516" s="153" t="s">
        <v>7214</v>
      </c>
      <c r="D2516" s="175" t="s">
        <v>2374</v>
      </c>
      <c r="E2516" s="179">
        <v>8</v>
      </c>
      <c r="F2516" s="190">
        <f>'HIRE CHARGES'!$D$507</f>
        <v>53.5</v>
      </c>
      <c r="G2516" s="190">
        <f t="shared" ref="G2516:G2521" si="70">E2516*F2516</f>
        <v>428</v>
      </c>
    </row>
    <row r="2517" spans="1:7">
      <c r="A2517" s="26"/>
      <c r="B2517" s="317"/>
      <c r="C2517" s="152" t="s">
        <v>2379</v>
      </c>
      <c r="D2517" s="33" t="s">
        <v>2374</v>
      </c>
      <c r="E2517" s="190">
        <v>8</v>
      </c>
      <c r="F2517" s="190">
        <f>'HIRE CHARGES'!$E$507</f>
        <v>79.3</v>
      </c>
      <c r="G2517" s="190">
        <f t="shared" si="70"/>
        <v>634.4</v>
      </c>
    </row>
    <row r="2518" spans="1:7">
      <c r="A2518" s="26"/>
      <c r="B2518" s="105">
        <v>2</v>
      </c>
      <c r="C2518" s="152" t="s">
        <v>189</v>
      </c>
      <c r="D2518" s="33" t="s">
        <v>2374</v>
      </c>
      <c r="E2518" s="190">
        <v>0.5</v>
      </c>
      <c r="F2518" s="190">
        <f>'HIRE CHARGES'!$D$517</f>
        <v>10.199999999999999</v>
      </c>
      <c r="G2518" s="190">
        <f t="shared" si="70"/>
        <v>5.0999999999999996</v>
      </c>
    </row>
    <row r="2519" spans="1:7">
      <c r="A2519" s="26"/>
      <c r="B2519" s="317"/>
      <c r="C2519" s="152" t="s">
        <v>2379</v>
      </c>
      <c r="D2519" s="33" t="s">
        <v>2374</v>
      </c>
      <c r="E2519" s="190">
        <v>0.5</v>
      </c>
      <c r="F2519" s="190">
        <f>'HIRE CHARGES'!$E$517</f>
        <v>79.3</v>
      </c>
      <c r="G2519" s="190">
        <f t="shared" si="70"/>
        <v>39.65</v>
      </c>
    </row>
    <row r="2520" spans="1:7">
      <c r="A2520" s="26"/>
      <c r="B2520" s="105">
        <v>3</v>
      </c>
      <c r="C2520" s="152" t="s">
        <v>526</v>
      </c>
      <c r="D2520" s="33" t="s">
        <v>2374</v>
      </c>
      <c r="E2520" s="190">
        <v>8</v>
      </c>
      <c r="F2520" s="190">
        <f>'HIRE CHARGES'!$D$531</f>
        <v>7.6</v>
      </c>
      <c r="G2520" s="190">
        <f t="shared" si="70"/>
        <v>60.8</v>
      </c>
    </row>
    <row r="2521" spans="1:7">
      <c r="A2521" s="26"/>
      <c r="B2521" s="365"/>
      <c r="C2521" s="116" t="s">
        <v>2379</v>
      </c>
      <c r="D2521" s="33" t="s">
        <v>2374</v>
      </c>
      <c r="E2521" s="182">
        <v>8</v>
      </c>
      <c r="F2521" s="207">
        <f>'HIRE CHARGES'!$E$531</f>
        <v>18.8</v>
      </c>
      <c r="G2521" s="190">
        <f t="shared" si="70"/>
        <v>150.4</v>
      </c>
    </row>
    <row r="2522" spans="1:7">
      <c r="A2522" s="26"/>
      <c r="B2522" s="176"/>
      <c r="C2522" s="172" t="s">
        <v>2380</v>
      </c>
      <c r="D2522" s="174"/>
      <c r="E2522" s="192"/>
      <c r="F2522" s="236" t="s">
        <v>1698</v>
      </c>
      <c r="G2522" s="318">
        <f>SUM(G2516:G2521)</f>
        <v>1318.3500000000001</v>
      </c>
    </row>
    <row r="2523" spans="1:7">
      <c r="A2523" s="26"/>
      <c r="B2523" s="78"/>
      <c r="C2523" s="26"/>
      <c r="D2523" s="26"/>
      <c r="E2523" s="26"/>
      <c r="F2523" s="26"/>
      <c r="G2523" s="26"/>
    </row>
    <row r="2524" spans="1:7">
      <c r="A2524" s="26"/>
      <c r="B2524" s="79" t="s">
        <v>2381</v>
      </c>
      <c r="C2524" s="26"/>
      <c r="D2524" s="26"/>
      <c r="E2524" s="26"/>
      <c r="F2524" s="26"/>
      <c r="G2524" s="26"/>
    </row>
    <row r="2525" spans="1:7">
      <c r="A2525" s="26"/>
      <c r="B2525" s="95" t="s">
        <v>2369</v>
      </c>
      <c r="C2525" s="157" t="s">
        <v>2378</v>
      </c>
      <c r="D2525" s="95" t="s">
        <v>2370</v>
      </c>
      <c r="E2525" s="95" t="s">
        <v>1166</v>
      </c>
      <c r="F2525" s="95" t="s">
        <v>2371</v>
      </c>
      <c r="G2525" s="95" t="s">
        <v>2372</v>
      </c>
    </row>
    <row r="2526" spans="1:7">
      <c r="A2526" s="26"/>
      <c r="B2526" s="114"/>
      <c r="C2526" s="154"/>
      <c r="D2526" s="105"/>
      <c r="E2526" s="105"/>
      <c r="F2526" s="105" t="s">
        <v>3485</v>
      </c>
      <c r="G2526" s="114" t="s">
        <v>3485</v>
      </c>
    </row>
    <row r="2527" spans="1:7">
      <c r="A2527" s="26"/>
      <c r="B2527" s="95">
        <v>1</v>
      </c>
      <c r="C2527" s="76" t="s">
        <v>527</v>
      </c>
      <c r="D2527" s="95" t="s">
        <v>2374</v>
      </c>
      <c r="E2527" s="179">
        <v>8</v>
      </c>
      <c r="F2527" s="179">
        <f>'HIRE CHARGES'!$F$507</f>
        <v>219.7</v>
      </c>
      <c r="G2527" s="207">
        <f>E2527*F2527</f>
        <v>1757.6</v>
      </c>
    </row>
    <row r="2528" spans="1:7">
      <c r="A2528" s="26"/>
      <c r="B2528" s="105">
        <v>2</v>
      </c>
      <c r="C2528" s="76" t="s">
        <v>999</v>
      </c>
      <c r="D2528" s="105" t="s">
        <v>2374</v>
      </c>
      <c r="E2528" s="190">
        <v>0.5</v>
      </c>
      <c r="F2528" s="190">
        <f>'HIRE CHARGES'!$F$517</f>
        <v>111.1</v>
      </c>
      <c r="G2528" s="207">
        <f t="shared" ref="G2528:G2538" si="71">E2528*F2528</f>
        <v>55.55</v>
      </c>
    </row>
    <row r="2529" spans="1:7">
      <c r="A2529" s="26"/>
      <c r="B2529" s="105">
        <v>3</v>
      </c>
      <c r="C2529" s="76" t="s">
        <v>439</v>
      </c>
      <c r="D2529" s="105" t="s">
        <v>2374</v>
      </c>
      <c r="E2529" s="190">
        <v>8</v>
      </c>
      <c r="F2529" s="190">
        <f>'HIRE CHARGES'!$F$531</f>
        <v>158.19999999999999</v>
      </c>
      <c r="G2529" s="207">
        <f t="shared" si="71"/>
        <v>1265.5999999999999</v>
      </c>
    </row>
    <row r="2530" spans="1:7">
      <c r="A2530" s="26"/>
      <c r="B2530" s="105">
        <v>4</v>
      </c>
      <c r="C2530" s="76" t="s">
        <v>440</v>
      </c>
      <c r="D2530" s="105" t="s">
        <v>1172</v>
      </c>
      <c r="E2530" s="190">
        <v>1</v>
      </c>
      <c r="F2530" s="190">
        <f>'BASIC DATA'!$C$474</f>
        <v>445</v>
      </c>
      <c r="G2530" s="207">
        <f t="shared" si="71"/>
        <v>445</v>
      </c>
    </row>
    <row r="2531" spans="1:7">
      <c r="A2531" s="26"/>
      <c r="B2531" s="105">
        <v>5</v>
      </c>
      <c r="C2531" s="76" t="s">
        <v>4206</v>
      </c>
      <c r="D2531" s="105" t="s">
        <v>1172</v>
      </c>
      <c r="E2531" s="190">
        <v>1</v>
      </c>
      <c r="F2531" s="190">
        <f>'BASIC DATA'!$C$473</f>
        <v>450</v>
      </c>
      <c r="G2531" s="207">
        <f t="shared" si="71"/>
        <v>450</v>
      </c>
    </row>
    <row r="2532" spans="1:7">
      <c r="A2532" s="26"/>
      <c r="B2532" s="105">
        <v>6</v>
      </c>
      <c r="C2532" s="76" t="s">
        <v>2697</v>
      </c>
      <c r="D2532" s="105"/>
      <c r="E2532" s="190"/>
      <c r="F2532" s="190"/>
      <c r="G2532" s="207"/>
    </row>
    <row r="2533" spans="1:7">
      <c r="A2533" s="26"/>
      <c r="B2533" s="317"/>
      <c r="C2533" s="76" t="s">
        <v>441</v>
      </c>
      <c r="D2533" s="105" t="s">
        <v>1172</v>
      </c>
      <c r="E2533" s="190">
        <v>11</v>
      </c>
      <c r="F2533" s="190">
        <f>'BASIC DATA'!$C$552</f>
        <v>350</v>
      </c>
      <c r="G2533" s="207">
        <f t="shared" si="71"/>
        <v>3850</v>
      </c>
    </row>
    <row r="2534" spans="1:7">
      <c r="A2534" s="26"/>
      <c r="B2534" s="317"/>
      <c r="C2534" s="76" t="s">
        <v>442</v>
      </c>
      <c r="D2534" s="105" t="s">
        <v>1172</v>
      </c>
      <c r="E2534" s="190">
        <v>4</v>
      </c>
      <c r="F2534" s="190">
        <f>'BASIC DATA'!$C$552</f>
        <v>350</v>
      </c>
      <c r="G2534" s="207">
        <f t="shared" si="71"/>
        <v>1400</v>
      </c>
    </row>
    <row r="2535" spans="1:7">
      <c r="A2535" s="26"/>
      <c r="B2535" s="317"/>
      <c r="C2535" s="76" t="s">
        <v>5151</v>
      </c>
      <c r="D2535" s="105" t="s">
        <v>1172</v>
      </c>
      <c r="E2535" s="190">
        <v>3</v>
      </c>
      <c r="F2535" s="190">
        <f>'BASIC DATA'!$C$552</f>
        <v>350</v>
      </c>
      <c r="G2535" s="207">
        <f t="shared" si="71"/>
        <v>1050</v>
      </c>
    </row>
    <row r="2536" spans="1:7">
      <c r="A2536" s="26"/>
      <c r="B2536" s="317"/>
      <c r="C2536" s="76" t="s">
        <v>444</v>
      </c>
      <c r="D2536" s="105" t="s">
        <v>1172</v>
      </c>
      <c r="E2536" s="190">
        <f>F2496</f>
        <v>15.76</v>
      </c>
      <c r="F2536" s="190">
        <f>'BASIC DATA'!$C$552</f>
        <v>350</v>
      </c>
      <c r="G2536" s="207">
        <f t="shared" si="71"/>
        <v>5516</v>
      </c>
    </row>
    <row r="2537" spans="1:7">
      <c r="A2537" s="26"/>
      <c r="B2537" s="317"/>
      <c r="C2537" s="76" t="s">
        <v>445</v>
      </c>
      <c r="D2537" s="105" t="s">
        <v>1172</v>
      </c>
      <c r="E2537" s="190">
        <v>1</v>
      </c>
      <c r="F2537" s="190">
        <f>'BASIC DATA'!$C$552</f>
        <v>350</v>
      </c>
      <c r="G2537" s="207">
        <f t="shared" si="71"/>
        <v>350</v>
      </c>
    </row>
    <row r="2538" spans="1:7">
      <c r="A2538" s="26"/>
      <c r="B2538" s="105">
        <v>7</v>
      </c>
      <c r="C2538" s="76" t="s">
        <v>7215</v>
      </c>
      <c r="D2538" s="105" t="s">
        <v>3479</v>
      </c>
      <c r="E2538" s="190">
        <f>5*F2496</f>
        <v>78.8</v>
      </c>
      <c r="F2538" s="190">
        <f>F2491</f>
        <v>88.5</v>
      </c>
      <c r="G2538" s="207">
        <f t="shared" si="71"/>
        <v>6973.8</v>
      </c>
    </row>
    <row r="2539" spans="1:7">
      <c r="A2539" s="26"/>
      <c r="B2539" s="365"/>
      <c r="C2539" s="76" t="s">
        <v>6402</v>
      </c>
      <c r="D2539" s="681">
        <v>0.5</v>
      </c>
      <c r="E2539" s="182"/>
      <c r="F2539" s="182"/>
      <c r="G2539" s="207">
        <f>G2538*D2539</f>
        <v>3486.9</v>
      </c>
    </row>
    <row r="2540" spans="1:7">
      <c r="A2540" s="26"/>
      <c r="B2540" s="92"/>
      <c r="C2540" s="193" t="s">
        <v>1174</v>
      </c>
      <c r="D2540" s="159"/>
      <c r="E2540" s="238"/>
      <c r="F2540" s="236" t="s">
        <v>1698</v>
      </c>
      <c r="G2540" s="318">
        <f>SUM(G2527:G2539)</f>
        <v>26600.45</v>
      </c>
    </row>
    <row r="2541" spans="1:7">
      <c r="A2541" s="26"/>
      <c r="B2541" s="60" t="s">
        <v>5948</v>
      </c>
      <c r="C2541" s="31"/>
      <c r="D2541" s="31"/>
      <c r="E2541" s="85">
        <f>ROUND(G2540/F2496,1)</f>
        <v>1687.8</v>
      </c>
      <c r="F2541" s="26"/>
      <c r="G2541" s="26"/>
    </row>
    <row r="2542" spans="1:7">
      <c r="A2542" s="26"/>
      <c r="B2542" s="60" t="s">
        <v>3163</v>
      </c>
      <c r="C2542" s="31"/>
      <c r="D2542" s="31">
        <f>'BASIC DATA'!$C$577</f>
        <v>0.13614999999999999</v>
      </c>
      <c r="E2542" s="85">
        <f>ROUND(E2541*D2542,1)</f>
        <v>229.8</v>
      </c>
      <c r="F2542" s="26"/>
      <c r="G2542" s="26"/>
    </row>
    <row r="2543" spans="1:7">
      <c r="A2543" s="26"/>
      <c r="B2543" s="60" t="s">
        <v>5949</v>
      </c>
      <c r="C2543" s="31"/>
      <c r="D2543" s="31"/>
      <c r="E2543" s="199">
        <f>ROUND(E2542+E2541,1)</f>
        <v>1917.6</v>
      </c>
      <c r="F2543" s="57"/>
      <c r="G2543" s="26"/>
    </row>
    <row r="2544" spans="1:7">
      <c r="A2544" s="26"/>
      <c r="B2544" s="78"/>
      <c r="C2544" s="26"/>
      <c r="D2544" s="26"/>
      <c r="E2544" s="26"/>
      <c r="F2544" s="26"/>
      <c r="G2544" s="26"/>
    </row>
    <row r="2545" spans="1:7">
      <c r="A2545" s="26"/>
      <c r="B2545" s="170" t="s">
        <v>1175</v>
      </c>
      <c r="C2545" s="26"/>
      <c r="D2545" s="26"/>
      <c r="E2545" s="26"/>
      <c r="F2545" s="26"/>
      <c r="G2545" s="26"/>
    </row>
    <row r="2546" spans="1:7">
      <c r="A2546" s="26"/>
      <c r="B2546" s="26" t="s">
        <v>5010</v>
      </c>
      <c r="C2546" s="26"/>
      <c r="D2546" s="26"/>
      <c r="E2546" s="26"/>
      <c r="F2546" s="171" t="s">
        <v>1698</v>
      </c>
      <c r="G2546" s="68">
        <f>G2511</f>
        <v>70648.297679579991</v>
      </c>
    </row>
    <row r="2547" spans="1:7">
      <c r="A2547" s="26"/>
      <c r="B2547" s="26" t="s">
        <v>1186</v>
      </c>
      <c r="C2547" s="26"/>
      <c r="D2547" s="26"/>
      <c r="E2547" s="26"/>
      <c r="F2547" s="171" t="s">
        <v>1698</v>
      </c>
      <c r="G2547" s="68">
        <f>G2522</f>
        <v>1318.3500000000001</v>
      </c>
    </row>
    <row r="2548" spans="1:7">
      <c r="A2548" s="26"/>
      <c r="B2548" s="26" t="s">
        <v>2660</v>
      </c>
      <c r="C2548" s="26"/>
      <c r="D2548" s="26"/>
      <c r="E2548" s="26"/>
      <c r="F2548" s="171" t="s">
        <v>1698</v>
      </c>
      <c r="G2548" s="75">
        <f>G2540</f>
        <v>26600.45</v>
      </c>
    </row>
    <row r="2549" spans="1:7">
      <c r="A2549" s="26"/>
      <c r="B2549" s="78"/>
      <c r="C2549" s="26"/>
      <c r="D2549" s="26"/>
      <c r="E2549" s="171"/>
      <c r="F2549" s="171" t="s">
        <v>302</v>
      </c>
      <c r="G2549" s="205">
        <f>SUM(G2546:G2548)</f>
        <v>98567.097679579994</v>
      </c>
    </row>
    <row r="2550" spans="1:7">
      <c r="A2550" s="26"/>
      <c r="B2550" s="1206" t="s">
        <v>1379</v>
      </c>
      <c r="C2550" s="1206"/>
      <c r="D2550" s="26"/>
      <c r="E2550" s="249">
        <f>'BASIC DATA'!$C$577</f>
        <v>0.13614999999999999</v>
      </c>
      <c r="F2550" s="26" t="s">
        <v>1698</v>
      </c>
      <c r="G2550" s="26">
        <f>ROUND(G2549*E2550,2)</f>
        <v>13419.91</v>
      </c>
    </row>
    <row r="2551" spans="1:7">
      <c r="A2551" s="26"/>
      <c r="B2551" s="26" t="s">
        <v>1191</v>
      </c>
      <c r="C2551" s="26"/>
      <c r="D2551" s="68">
        <f>F2496</f>
        <v>15.76</v>
      </c>
      <c r="E2551" s="68" t="str">
        <f>G2496</f>
        <v>cum</v>
      </c>
      <c r="F2551" s="26" t="s">
        <v>1698</v>
      </c>
      <c r="G2551" s="211">
        <f>G2550+G2549</f>
        <v>111987.00767958</v>
      </c>
    </row>
    <row r="2552" spans="1:7">
      <c r="A2552" s="26"/>
      <c r="B2552" s="170" t="s">
        <v>1584</v>
      </c>
      <c r="C2552" s="211" t="str">
        <f>E2551</f>
        <v>cum</v>
      </c>
      <c r="D2552" s="26" t="s">
        <v>7778</v>
      </c>
      <c r="E2552" s="26"/>
      <c r="F2552" s="26" t="s">
        <v>4108</v>
      </c>
      <c r="G2552" s="211">
        <f>ROUND(G2551/D2551,1)</f>
        <v>7105.8</v>
      </c>
    </row>
    <row r="2553" spans="1:7">
      <c r="A2553" s="26"/>
      <c r="B2553" s="78"/>
      <c r="C2553" s="26"/>
      <c r="D2553" s="26"/>
      <c r="E2553" s="26"/>
      <c r="F2553" s="26"/>
      <c r="G2553" s="26"/>
    </row>
    <row r="2554" spans="1:7">
      <c r="A2554" s="26"/>
      <c r="B2554" s="78"/>
      <c r="C2554" s="26"/>
      <c r="D2554" s="26"/>
      <c r="E2554" s="26"/>
      <c r="F2554" s="26"/>
      <c r="G2554" s="26"/>
    </row>
    <row r="2555" spans="1:7" ht="18.75">
      <c r="A2555" s="78" t="s">
        <v>7565</v>
      </c>
      <c r="B2555" s="26" t="s">
        <v>8963</v>
      </c>
      <c r="C2555" s="26"/>
      <c r="D2555" s="26"/>
      <c r="E2555" s="26"/>
      <c r="F2555" s="26"/>
      <c r="G2555" s="26"/>
    </row>
    <row r="2556" spans="1:7" ht="18.75">
      <c r="A2556" s="78"/>
      <c r="B2556" s="26" t="s">
        <v>8964</v>
      </c>
      <c r="C2556" s="26"/>
      <c r="D2556" s="26"/>
      <c r="E2556" s="26"/>
      <c r="F2556" s="26"/>
      <c r="G2556" s="26"/>
    </row>
    <row r="2557" spans="1:7">
      <c r="A2557" s="78"/>
      <c r="B2557" s="26" t="s">
        <v>8965</v>
      </c>
      <c r="C2557" s="26"/>
      <c r="D2557" s="26"/>
      <c r="E2557" s="26"/>
      <c r="F2557" s="26"/>
      <c r="G2557" s="26"/>
    </row>
    <row r="2558" spans="1:7">
      <c r="A2558" s="78"/>
      <c r="B2558" s="26" t="s">
        <v>3944</v>
      </c>
      <c r="C2558" s="26"/>
      <c r="D2558" s="26"/>
      <c r="E2558" s="26"/>
      <c r="F2558" s="26"/>
      <c r="G2558" s="26"/>
    </row>
    <row r="2559" spans="1:7" ht="18.75">
      <c r="A2559" s="78"/>
      <c r="B2559" s="26" t="s">
        <v>8966</v>
      </c>
      <c r="C2559" s="26"/>
      <c r="D2559" s="26"/>
      <c r="E2559" s="26"/>
      <c r="F2559" s="26"/>
      <c r="G2559" s="26"/>
    </row>
    <row r="2560" spans="1:7">
      <c r="A2560" s="78"/>
      <c r="B2560" s="170" t="s">
        <v>2873</v>
      </c>
      <c r="C2560" s="26"/>
      <c r="D2560" s="26"/>
      <c r="E2560" s="26"/>
      <c r="F2560" s="26"/>
      <c r="G2560" s="26"/>
    </row>
    <row r="2561" spans="1:7">
      <c r="A2561" s="78" t="s">
        <v>1940</v>
      </c>
      <c r="B2561" s="170" t="s">
        <v>55</v>
      </c>
      <c r="C2561" s="26"/>
      <c r="D2561" s="26"/>
      <c r="E2561" s="26"/>
      <c r="F2561" s="26"/>
      <c r="G2561" s="26"/>
    </row>
    <row r="2562" spans="1:7">
      <c r="A2562" s="78"/>
      <c r="B2562" s="170" t="s">
        <v>7775</v>
      </c>
      <c r="C2562" s="26"/>
      <c r="D2562" s="26"/>
      <c r="E2562" s="26"/>
      <c r="F2562" s="26"/>
      <c r="G2562" s="26"/>
    </row>
    <row r="2563" spans="1:7">
      <c r="A2563" s="62"/>
      <c r="B2563" s="248" t="s">
        <v>4522</v>
      </c>
      <c r="C2563" s="61"/>
      <c r="D2563" s="61"/>
      <c r="E2563" s="61"/>
      <c r="F2563" s="61"/>
      <c r="G2563" s="61"/>
    </row>
    <row r="2564" spans="1:7">
      <c r="A2564" s="78"/>
      <c r="B2564" s="26"/>
      <c r="C2564" s="26"/>
      <c r="D2564" s="26"/>
      <c r="E2564" s="26"/>
      <c r="F2564" s="26"/>
      <c r="G2564" s="26"/>
    </row>
    <row r="2565" spans="1:7">
      <c r="A2565" s="78" t="s">
        <v>3984</v>
      </c>
      <c r="B2565" s="26" t="s">
        <v>5780</v>
      </c>
      <c r="C2565" s="26"/>
      <c r="D2565" s="26"/>
      <c r="E2565" s="26"/>
      <c r="F2565" s="26"/>
      <c r="G2565" s="26"/>
    </row>
    <row r="2566" spans="1:7">
      <c r="A2566" s="78"/>
      <c r="B2566" s="26" t="s">
        <v>2251</v>
      </c>
      <c r="C2566" s="26"/>
      <c r="D2566" s="26"/>
      <c r="E2566" s="26"/>
      <c r="F2566" s="26"/>
      <c r="G2566" s="26"/>
    </row>
    <row r="2567" spans="1:7">
      <c r="A2567" s="78"/>
      <c r="B2567" s="26" t="s">
        <v>7793</v>
      </c>
      <c r="C2567" s="26"/>
      <c r="D2567" s="26"/>
      <c r="E2567" s="26"/>
      <c r="F2567" s="26"/>
      <c r="G2567" s="26"/>
    </row>
    <row r="2568" spans="1:7">
      <c r="A2568" s="78"/>
      <c r="B2568" s="26" t="s">
        <v>7791</v>
      </c>
      <c r="C2568" s="26"/>
      <c r="D2568" s="26"/>
      <c r="E2568" s="68">
        <f>ROUND(50*13*8/330,2)</f>
        <v>15.76</v>
      </c>
      <c r="F2568" s="26" t="s">
        <v>3760</v>
      </c>
      <c r="G2568" s="26"/>
    </row>
    <row r="2569" spans="1:7">
      <c r="A2569" s="78"/>
      <c r="B2569" s="26" t="s">
        <v>2843</v>
      </c>
      <c r="C2569" s="26"/>
      <c r="D2569" s="26"/>
      <c r="E2569" s="26"/>
      <c r="F2569" s="26"/>
      <c r="G2569" s="26"/>
    </row>
    <row r="2570" spans="1:7">
      <c r="A2570" s="78"/>
      <c r="B2570" s="26" t="s">
        <v>5192</v>
      </c>
      <c r="C2570" s="26"/>
      <c r="D2570" s="26"/>
      <c r="E2570" s="26"/>
      <c r="F2570" s="26"/>
      <c r="G2570" s="26"/>
    </row>
    <row r="2571" spans="1:7">
      <c r="A2571" s="78"/>
      <c r="B2571" s="26" t="s">
        <v>2006</v>
      </c>
      <c r="C2571" s="26"/>
      <c r="D2571" s="26"/>
      <c r="E2571" s="26"/>
      <c r="F2571" s="68">
        <f>G618</f>
        <v>224.56752690000002</v>
      </c>
      <c r="G2571" s="26" t="s">
        <v>1168</v>
      </c>
    </row>
    <row r="2572" spans="1:7">
      <c r="A2572" s="78"/>
      <c r="B2572" s="26" t="s">
        <v>2007</v>
      </c>
      <c r="C2572" s="26"/>
      <c r="D2572" s="26"/>
      <c r="E2572" s="26"/>
      <c r="F2572" s="68">
        <f>G644</f>
        <v>88.5</v>
      </c>
      <c r="G2572" s="26" t="s">
        <v>1168</v>
      </c>
    </row>
    <row r="2573" spans="1:7">
      <c r="A2573" s="78"/>
      <c r="B2573" s="26" t="s">
        <v>5193</v>
      </c>
      <c r="C2573" s="26"/>
      <c r="D2573" s="26"/>
      <c r="E2573" s="26"/>
      <c r="F2573" s="26"/>
      <c r="G2573" s="26"/>
    </row>
    <row r="2574" spans="1:7">
      <c r="A2574" s="78"/>
      <c r="B2574" s="26" t="s">
        <v>451</v>
      </c>
      <c r="C2574" s="26"/>
      <c r="D2574" s="26"/>
      <c r="E2574" s="26"/>
      <c r="F2574" s="26"/>
      <c r="G2574" s="26"/>
    </row>
    <row r="2575" spans="1:7">
      <c r="A2575" s="78"/>
      <c r="B2575" s="26" t="s">
        <v>2008</v>
      </c>
      <c r="C2575" s="26"/>
      <c r="D2575" s="26"/>
      <c r="E2575" s="26"/>
      <c r="F2575" s="26"/>
      <c r="G2575" s="26"/>
    </row>
    <row r="2576" spans="1:7">
      <c r="A2576" s="78"/>
      <c r="B2576" s="26" t="s">
        <v>5194</v>
      </c>
      <c r="C2576" s="26"/>
      <c r="D2576" s="26"/>
      <c r="E2576" s="26"/>
      <c r="F2576" s="26"/>
      <c r="G2576" s="26"/>
    </row>
    <row r="2577" spans="1:7">
      <c r="A2577" s="26"/>
      <c r="B2577" s="78"/>
      <c r="C2577" s="26"/>
      <c r="D2577" s="26"/>
      <c r="E2577" s="26"/>
      <c r="F2577" s="26"/>
      <c r="G2577" s="26"/>
    </row>
    <row r="2578" spans="1:7">
      <c r="A2578" s="78" t="s">
        <v>3984</v>
      </c>
      <c r="B2578" s="78"/>
      <c r="C2578" s="203" t="s">
        <v>2367</v>
      </c>
      <c r="D2578" s="26"/>
      <c r="E2578" s="171" t="s">
        <v>297</v>
      </c>
      <c r="F2578" s="246">
        <f>E2568</f>
        <v>15.76</v>
      </c>
      <c r="G2578" s="26" t="s">
        <v>3477</v>
      </c>
    </row>
    <row r="2579" spans="1:7">
      <c r="A2579" s="26"/>
      <c r="B2579" s="79" t="s">
        <v>2368</v>
      </c>
      <c r="C2579" s="26"/>
      <c r="D2579" s="26"/>
      <c r="E2579" s="26"/>
      <c r="F2579" s="26"/>
      <c r="G2579" s="26"/>
    </row>
    <row r="2580" spans="1:7">
      <c r="A2580" s="26"/>
      <c r="B2580" s="95" t="s">
        <v>2369</v>
      </c>
      <c r="C2580" s="157" t="s">
        <v>4443</v>
      </c>
      <c r="D2580" s="95" t="s">
        <v>2370</v>
      </c>
      <c r="E2580" s="95" t="s">
        <v>1166</v>
      </c>
      <c r="F2580" s="95" t="s">
        <v>2371</v>
      </c>
      <c r="G2580" s="95" t="s">
        <v>2372</v>
      </c>
    </row>
    <row r="2581" spans="1:7">
      <c r="A2581" s="26"/>
      <c r="B2581" s="114"/>
      <c r="C2581" s="154"/>
      <c r="D2581" s="114"/>
      <c r="E2581" s="114"/>
      <c r="F2581" s="114" t="s">
        <v>3485</v>
      </c>
      <c r="G2581" s="114" t="s">
        <v>3485</v>
      </c>
    </row>
    <row r="2582" spans="1:7">
      <c r="A2582" s="26"/>
      <c r="B2582" s="95">
        <v>1</v>
      </c>
      <c r="C2582" s="135" t="s">
        <v>1048</v>
      </c>
      <c r="D2582" s="95" t="s">
        <v>3478</v>
      </c>
      <c r="E2582" s="190">
        <f>330*F2578</f>
        <v>5200.8</v>
      </c>
      <c r="F2582" s="214">
        <f>'BASIC DATA'!$D$32/1000</f>
        <v>5.35</v>
      </c>
      <c r="G2582" s="190">
        <f>E2582*F2582</f>
        <v>27824.28</v>
      </c>
    </row>
    <row r="2583" spans="1:7">
      <c r="A2583" s="26"/>
      <c r="B2583" s="317"/>
      <c r="C2583" s="135" t="s">
        <v>1049</v>
      </c>
      <c r="D2583" s="105" t="s">
        <v>3478</v>
      </c>
      <c r="E2583" s="190">
        <f>F2578*5</f>
        <v>78.8</v>
      </c>
      <c r="F2583" s="214">
        <f>'BASIC DATA'!$D$32/1000</f>
        <v>5.35</v>
      </c>
      <c r="G2583" s="190">
        <f t="shared" ref="G2583:G2589" si="72">E2583*F2583</f>
        <v>421.58</v>
      </c>
    </row>
    <row r="2584" spans="1:7">
      <c r="A2584" s="26"/>
      <c r="B2584" s="105">
        <v>2</v>
      </c>
      <c r="C2584" s="135" t="s">
        <v>6995</v>
      </c>
      <c r="D2584" s="105" t="s">
        <v>3477</v>
      </c>
      <c r="E2584" s="190">
        <f>0.8*F2578*0.65</f>
        <v>8.1951999999999998</v>
      </c>
      <c r="F2584" s="214">
        <f>'BASIC DATA'!$D$35</f>
        <v>1225</v>
      </c>
      <c r="G2584" s="190">
        <f t="shared" si="72"/>
        <v>10039.119999999999</v>
      </c>
    </row>
    <row r="2585" spans="1:7">
      <c r="A2585" s="26"/>
      <c r="B2585" s="317"/>
      <c r="C2585" s="135" t="s">
        <v>1050</v>
      </c>
      <c r="D2585" s="105" t="s">
        <v>3477</v>
      </c>
      <c r="E2585" s="190">
        <f>0.8*F2578*0.35</f>
        <v>4.4127999999999998</v>
      </c>
      <c r="F2585" s="214">
        <f>'BASIC DATA'!$D$34</f>
        <v>900</v>
      </c>
      <c r="G2585" s="190">
        <f t="shared" si="72"/>
        <v>3971.52</v>
      </c>
    </row>
    <row r="2586" spans="1:7">
      <c r="A2586" s="61"/>
      <c r="B2586" s="240">
        <v>3</v>
      </c>
      <c r="C2586" s="326" t="s">
        <v>7941</v>
      </c>
      <c r="D2586" s="240" t="s">
        <v>3477</v>
      </c>
      <c r="E2586" s="255">
        <f>0.45*F2578</f>
        <v>7.0919999999999996</v>
      </c>
      <c r="F2586" s="266">
        <f>'BASIC DATA'!$D$55</f>
        <v>95</v>
      </c>
      <c r="G2586" s="255">
        <f t="shared" si="72"/>
        <v>673.74</v>
      </c>
    </row>
    <row r="2587" spans="1:7">
      <c r="A2587" s="26"/>
      <c r="B2587" s="105">
        <v>4</v>
      </c>
      <c r="C2587" s="135" t="s">
        <v>523</v>
      </c>
      <c r="D2587" s="105" t="s">
        <v>3478</v>
      </c>
      <c r="E2587" s="190">
        <f>E2582*0.4%</f>
        <v>20.8032</v>
      </c>
      <c r="F2587" s="214">
        <f>'BASIC DATA'!$D$99</f>
        <v>55</v>
      </c>
      <c r="G2587" s="190">
        <f t="shared" si="72"/>
        <v>1144.1759999999999</v>
      </c>
    </row>
    <row r="2588" spans="1:7">
      <c r="A2588" s="26"/>
      <c r="B2588" s="105">
        <v>5</v>
      </c>
      <c r="C2588" s="135" t="s">
        <v>5315</v>
      </c>
      <c r="D2588" s="105" t="s">
        <v>3479</v>
      </c>
      <c r="E2588" s="190">
        <f>F2578*0.5</f>
        <v>7.88</v>
      </c>
      <c r="F2588" s="214">
        <f>F2571</f>
        <v>224.56752690000002</v>
      </c>
      <c r="G2588" s="190">
        <f t="shared" si="72"/>
        <v>1769.5921119720001</v>
      </c>
    </row>
    <row r="2589" spans="1:7">
      <c r="A2589" s="26"/>
      <c r="B2589" s="114">
        <v>6</v>
      </c>
      <c r="C2589" s="139" t="s">
        <v>5195</v>
      </c>
      <c r="D2589" s="114" t="s">
        <v>2173</v>
      </c>
      <c r="E2589" s="182">
        <v>5</v>
      </c>
      <c r="F2589" s="215">
        <f>'BASIC DATA'!$D$359</f>
        <v>30</v>
      </c>
      <c r="G2589" s="182">
        <f t="shared" si="72"/>
        <v>150</v>
      </c>
    </row>
    <row r="2590" spans="1:7">
      <c r="A2590" s="26"/>
      <c r="B2590" s="93"/>
      <c r="C2590" s="31" t="s">
        <v>6844</v>
      </c>
      <c r="D2590" s="31" t="s">
        <v>4043</v>
      </c>
      <c r="E2590" s="198"/>
      <c r="F2590" s="327" t="s">
        <v>1698</v>
      </c>
      <c r="G2590" s="190">
        <v>0</v>
      </c>
    </row>
    <row r="2591" spans="1:7">
      <c r="A2591" s="26"/>
      <c r="B2591" s="93"/>
      <c r="C2591" s="31" t="s">
        <v>6845</v>
      </c>
      <c r="D2591" s="31" t="s">
        <v>4043</v>
      </c>
      <c r="E2591" s="198"/>
      <c r="F2591" s="327" t="s">
        <v>1698</v>
      </c>
      <c r="G2591" s="190">
        <v>0</v>
      </c>
    </row>
    <row r="2592" spans="1:7">
      <c r="A2592" s="26"/>
      <c r="B2592" s="92"/>
      <c r="C2592" s="193" t="s">
        <v>2376</v>
      </c>
      <c r="D2592" s="159"/>
      <c r="E2592" s="238"/>
      <c r="F2592" s="236" t="s">
        <v>1698</v>
      </c>
      <c r="G2592" s="318">
        <f>SUM(G2582:G2591)</f>
        <v>45994.008111971991</v>
      </c>
    </row>
    <row r="2593" spans="1:7">
      <c r="A2593" s="26"/>
      <c r="B2593" s="78"/>
      <c r="C2593" s="26"/>
      <c r="D2593" s="26"/>
      <c r="E2593" s="26"/>
      <c r="F2593" s="26"/>
      <c r="G2593" s="26"/>
    </row>
    <row r="2594" spans="1:7">
      <c r="A2594" s="26"/>
      <c r="B2594" s="79" t="s">
        <v>2377</v>
      </c>
      <c r="C2594" s="26"/>
      <c r="D2594" s="26"/>
      <c r="E2594" s="26"/>
      <c r="F2594" s="26"/>
      <c r="G2594" s="26"/>
    </row>
    <row r="2595" spans="1:7">
      <c r="A2595" s="26"/>
      <c r="B2595" s="95" t="s">
        <v>2369</v>
      </c>
      <c r="C2595" s="157" t="s">
        <v>2378</v>
      </c>
      <c r="D2595" s="95" t="s">
        <v>2370</v>
      </c>
      <c r="E2595" s="95" t="s">
        <v>1166</v>
      </c>
      <c r="F2595" s="95" t="s">
        <v>2371</v>
      </c>
      <c r="G2595" s="95" t="s">
        <v>2372</v>
      </c>
    </row>
    <row r="2596" spans="1:7">
      <c r="A2596" s="26"/>
      <c r="B2596" s="114"/>
      <c r="C2596" s="154"/>
      <c r="D2596" s="114"/>
      <c r="E2596" s="114"/>
      <c r="F2596" s="114" t="s">
        <v>3485</v>
      </c>
      <c r="G2596" s="114" t="s">
        <v>3485</v>
      </c>
    </row>
    <row r="2597" spans="1:7">
      <c r="A2597" s="26"/>
      <c r="B2597" s="95">
        <v>1</v>
      </c>
      <c r="C2597" s="153" t="s">
        <v>7214</v>
      </c>
      <c r="D2597" s="175" t="s">
        <v>2374</v>
      </c>
      <c r="E2597" s="179">
        <v>8</v>
      </c>
      <c r="F2597" s="190">
        <f>'HIRE CHARGES'!$D$507</f>
        <v>53.5</v>
      </c>
      <c r="G2597" s="190">
        <f t="shared" ref="G2597:G2602" si="73">E2597*F2597</f>
        <v>428</v>
      </c>
    </row>
    <row r="2598" spans="1:7">
      <c r="A2598" s="26"/>
      <c r="B2598" s="317"/>
      <c r="C2598" s="152" t="s">
        <v>2379</v>
      </c>
      <c r="D2598" s="33" t="s">
        <v>2374</v>
      </c>
      <c r="E2598" s="190">
        <v>8</v>
      </c>
      <c r="F2598" s="190">
        <f>'HIRE CHARGES'!$E$507</f>
        <v>79.3</v>
      </c>
      <c r="G2598" s="190">
        <f t="shared" si="73"/>
        <v>634.4</v>
      </c>
    </row>
    <row r="2599" spans="1:7">
      <c r="A2599" s="26"/>
      <c r="B2599" s="105">
        <v>2</v>
      </c>
      <c r="C2599" s="152" t="s">
        <v>189</v>
      </c>
      <c r="D2599" s="33" t="s">
        <v>2374</v>
      </c>
      <c r="E2599" s="190">
        <v>0.5</v>
      </c>
      <c r="F2599" s="190">
        <f>'HIRE CHARGES'!$D$517</f>
        <v>10.199999999999999</v>
      </c>
      <c r="G2599" s="190">
        <f t="shared" si="73"/>
        <v>5.0999999999999996</v>
      </c>
    </row>
    <row r="2600" spans="1:7">
      <c r="A2600" s="26"/>
      <c r="B2600" s="317"/>
      <c r="C2600" s="152" t="s">
        <v>2379</v>
      </c>
      <c r="D2600" s="33" t="s">
        <v>2374</v>
      </c>
      <c r="E2600" s="190">
        <v>0.5</v>
      </c>
      <c r="F2600" s="190">
        <f>'HIRE CHARGES'!$E$517</f>
        <v>79.3</v>
      </c>
      <c r="G2600" s="190">
        <f t="shared" si="73"/>
        <v>39.65</v>
      </c>
    </row>
    <row r="2601" spans="1:7">
      <c r="A2601" s="26"/>
      <c r="B2601" s="105">
        <v>3</v>
      </c>
      <c r="C2601" s="152" t="s">
        <v>526</v>
      </c>
      <c r="D2601" s="33" t="s">
        <v>2374</v>
      </c>
      <c r="E2601" s="190">
        <v>8</v>
      </c>
      <c r="F2601" s="190">
        <f>'HIRE CHARGES'!$D$531</f>
        <v>7.6</v>
      </c>
      <c r="G2601" s="190">
        <f t="shared" si="73"/>
        <v>60.8</v>
      </c>
    </row>
    <row r="2602" spans="1:7">
      <c r="A2602" s="26"/>
      <c r="B2602" s="365"/>
      <c r="C2602" s="116" t="s">
        <v>2379</v>
      </c>
      <c r="D2602" s="33" t="s">
        <v>2374</v>
      </c>
      <c r="E2602" s="182">
        <v>8</v>
      </c>
      <c r="F2602" s="207">
        <f>'HIRE CHARGES'!$E$531</f>
        <v>18.8</v>
      </c>
      <c r="G2602" s="190">
        <f t="shared" si="73"/>
        <v>150.4</v>
      </c>
    </row>
    <row r="2603" spans="1:7">
      <c r="A2603" s="26"/>
      <c r="B2603" s="176"/>
      <c r="C2603" s="172" t="s">
        <v>2380</v>
      </c>
      <c r="D2603" s="174"/>
      <c r="E2603" s="192"/>
      <c r="F2603" s="236" t="s">
        <v>1698</v>
      </c>
      <c r="G2603" s="318">
        <f>SUM(G2597:G2602)</f>
        <v>1318.3500000000001</v>
      </c>
    </row>
    <row r="2604" spans="1:7">
      <c r="A2604" s="26"/>
      <c r="B2604" s="78"/>
      <c r="C2604" s="26"/>
      <c r="D2604" s="26"/>
      <c r="E2604" s="26"/>
      <c r="F2604" s="26"/>
      <c r="G2604" s="26"/>
    </row>
    <row r="2605" spans="1:7">
      <c r="A2605" s="26"/>
      <c r="B2605" s="79" t="s">
        <v>2381</v>
      </c>
      <c r="C2605" s="26"/>
      <c r="D2605" s="26"/>
      <c r="E2605" s="26"/>
      <c r="F2605" s="26"/>
      <c r="G2605" s="26"/>
    </row>
    <row r="2606" spans="1:7">
      <c r="A2606" s="26"/>
      <c r="B2606" s="95" t="s">
        <v>2369</v>
      </c>
      <c r="C2606" s="157" t="s">
        <v>2378</v>
      </c>
      <c r="D2606" s="95" t="s">
        <v>2370</v>
      </c>
      <c r="E2606" s="95" t="s">
        <v>1166</v>
      </c>
      <c r="F2606" s="95" t="s">
        <v>2371</v>
      </c>
      <c r="G2606" s="95" t="s">
        <v>2372</v>
      </c>
    </row>
    <row r="2607" spans="1:7">
      <c r="A2607" s="26"/>
      <c r="B2607" s="114"/>
      <c r="C2607" s="154"/>
      <c r="D2607" s="105"/>
      <c r="E2607" s="105"/>
      <c r="F2607" s="105" t="s">
        <v>3485</v>
      </c>
      <c r="G2607" s="114" t="s">
        <v>3485</v>
      </c>
    </row>
    <row r="2608" spans="1:7">
      <c r="A2608" s="26"/>
      <c r="B2608" s="95">
        <v>1</v>
      </c>
      <c r="C2608" s="76" t="s">
        <v>527</v>
      </c>
      <c r="D2608" s="95" t="s">
        <v>2374</v>
      </c>
      <c r="E2608" s="179">
        <v>8</v>
      </c>
      <c r="F2608" s="179">
        <f>'HIRE CHARGES'!$F$507</f>
        <v>219.7</v>
      </c>
      <c r="G2608" s="207">
        <f>E2608*F2608</f>
        <v>1757.6</v>
      </c>
    </row>
    <row r="2609" spans="1:7">
      <c r="A2609" s="26"/>
      <c r="B2609" s="105">
        <v>2</v>
      </c>
      <c r="C2609" s="76" t="s">
        <v>999</v>
      </c>
      <c r="D2609" s="105" t="s">
        <v>2374</v>
      </c>
      <c r="E2609" s="190">
        <v>0.5</v>
      </c>
      <c r="F2609" s="190">
        <f>'HIRE CHARGES'!$F$517</f>
        <v>111.1</v>
      </c>
      <c r="G2609" s="207">
        <f>E2609*F2609</f>
        <v>55.55</v>
      </c>
    </row>
    <row r="2610" spans="1:7">
      <c r="A2610" s="26"/>
      <c r="B2610" s="105">
        <v>3</v>
      </c>
      <c r="C2610" s="76" t="s">
        <v>439</v>
      </c>
      <c r="D2610" s="105" t="s">
        <v>2374</v>
      </c>
      <c r="E2610" s="190">
        <v>8</v>
      </c>
      <c r="F2610" s="190">
        <f>'HIRE CHARGES'!$F$531</f>
        <v>158.19999999999999</v>
      </c>
      <c r="G2610" s="207">
        <f t="shared" ref="G2610:G2618" si="74">E2610*F2610</f>
        <v>1265.5999999999999</v>
      </c>
    </row>
    <row r="2611" spans="1:7">
      <c r="A2611" s="26"/>
      <c r="B2611" s="105">
        <v>4</v>
      </c>
      <c r="C2611" s="76" t="s">
        <v>440</v>
      </c>
      <c r="D2611" s="105" t="s">
        <v>1172</v>
      </c>
      <c r="E2611" s="190">
        <v>2</v>
      </c>
      <c r="F2611" s="190">
        <f>'BASIC DATA'!$C$474</f>
        <v>445</v>
      </c>
      <c r="G2611" s="207">
        <f t="shared" si="74"/>
        <v>890</v>
      </c>
    </row>
    <row r="2612" spans="1:7">
      <c r="A2612" s="26"/>
      <c r="B2612" s="105">
        <v>5</v>
      </c>
      <c r="C2612" s="76" t="s">
        <v>4206</v>
      </c>
      <c r="D2612" s="105" t="s">
        <v>1172</v>
      </c>
      <c r="E2612" s="190">
        <v>1</v>
      </c>
      <c r="F2612" s="190">
        <f>'BASIC DATA'!$C$473</f>
        <v>450</v>
      </c>
      <c r="G2612" s="207">
        <f t="shared" si="74"/>
        <v>450</v>
      </c>
    </row>
    <row r="2613" spans="1:7">
      <c r="A2613" s="26"/>
      <c r="B2613" s="105">
        <v>6</v>
      </c>
      <c r="C2613" s="76" t="s">
        <v>2697</v>
      </c>
      <c r="D2613" s="105"/>
      <c r="E2613" s="190"/>
      <c r="F2613" s="190"/>
      <c r="G2613" s="207"/>
    </row>
    <row r="2614" spans="1:7">
      <c r="A2614" s="26"/>
      <c r="B2614" s="317"/>
      <c r="C2614" s="76" t="s">
        <v>441</v>
      </c>
      <c r="D2614" s="105" t="s">
        <v>1172</v>
      </c>
      <c r="E2614" s="190">
        <v>11</v>
      </c>
      <c r="F2614" s="190">
        <f>'BASIC DATA'!$C$552</f>
        <v>350</v>
      </c>
      <c r="G2614" s="207">
        <f t="shared" si="74"/>
        <v>3850</v>
      </c>
    </row>
    <row r="2615" spans="1:7">
      <c r="A2615" s="26"/>
      <c r="B2615" s="317"/>
      <c r="C2615" s="76" t="s">
        <v>442</v>
      </c>
      <c r="D2615" s="105" t="s">
        <v>1172</v>
      </c>
      <c r="E2615" s="190">
        <v>4</v>
      </c>
      <c r="F2615" s="190">
        <f>'BASIC DATA'!$C$552</f>
        <v>350</v>
      </c>
      <c r="G2615" s="207">
        <f t="shared" si="74"/>
        <v>1400</v>
      </c>
    </row>
    <row r="2616" spans="1:7">
      <c r="A2616" s="26"/>
      <c r="B2616" s="317"/>
      <c r="C2616" s="76" t="s">
        <v>5151</v>
      </c>
      <c r="D2616" s="105" t="s">
        <v>1172</v>
      </c>
      <c r="E2616" s="190">
        <v>4</v>
      </c>
      <c r="F2616" s="190">
        <f>'BASIC DATA'!$C$552</f>
        <v>350</v>
      </c>
      <c r="G2616" s="207">
        <f t="shared" si="74"/>
        <v>1400</v>
      </c>
    </row>
    <row r="2617" spans="1:7">
      <c r="A2617" s="26"/>
      <c r="B2617" s="317"/>
      <c r="C2617" s="76" t="s">
        <v>444</v>
      </c>
      <c r="D2617" s="105" t="s">
        <v>1172</v>
      </c>
      <c r="E2617" s="190">
        <f>F2578</f>
        <v>15.76</v>
      </c>
      <c r="F2617" s="190">
        <f>'BASIC DATA'!$C$552</f>
        <v>350</v>
      </c>
      <c r="G2617" s="207">
        <f t="shared" si="74"/>
        <v>5516</v>
      </c>
    </row>
    <row r="2618" spans="1:7">
      <c r="A2618" s="26"/>
      <c r="B2618" s="317"/>
      <c r="C2618" s="76" t="s">
        <v>445</v>
      </c>
      <c r="D2618" s="105" t="s">
        <v>1172</v>
      </c>
      <c r="E2618" s="190">
        <v>2</v>
      </c>
      <c r="F2618" s="190">
        <f>'BASIC DATA'!$C$552</f>
        <v>350</v>
      </c>
      <c r="G2618" s="207">
        <f t="shared" si="74"/>
        <v>700</v>
      </c>
    </row>
    <row r="2619" spans="1:7">
      <c r="A2619" s="26"/>
      <c r="B2619" s="105">
        <v>7</v>
      </c>
      <c r="C2619" s="76" t="s">
        <v>7215</v>
      </c>
      <c r="D2619" s="105" t="s">
        <v>3479</v>
      </c>
      <c r="E2619" s="190">
        <f>0.5*F2578</f>
        <v>7.88</v>
      </c>
      <c r="F2619" s="190">
        <f>F2572</f>
        <v>88.5</v>
      </c>
      <c r="G2619" s="207">
        <f>E2619*F2619</f>
        <v>697.38</v>
      </c>
    </row>
    <row r="2620" spans="1:7">
      <c r="A2620" s="26"/>
      <c r="B2620" s="92"/>
      <c r="C2620" s="193" t="s">
        <v>1174</v>
      </c>
      <c r="D2620" s="159"/>
      <c r="E2620" s="238"/>
      <c r="F2620" s="236" t="s">
        <v>1698</v>
      </c>
      <c r="G2620" s="318">
        <f>SUM(G2608:G2619)</f>
        <v>17982.13</v>
      </c>
    </row>
    <row r="2621" spans="1:7">
      <c r="A2621" s="26"/>
      <c r="B2621" s="60" t="s">
        <v>5948</v>
      </c>
      <c r="C2621" s="26"/>
      <c r="D2621" s="31"/>
      <c r="E2621" s="85">
        <f>ROUND(G2620/F2578,1)</f>
        <v>1141</v>
      </c>
      <c r="F2621" s="26"/>
      <c r="G2621" s="26"/>
    </row>
    <row r="2622" spans="1:7">
      <c r="A2622" s="26"/>
      <c r="B2622" s="60" t="s">
        <v>3163</v>
      </c>
      <c r="C2622" s="26"/>
      <c r="D2622" s="31">
        <f>'BASIC DATA'!$C$577</f>
        <v>0.13614999999999999</v>
      </c>
      <c r="E2622" s="85">
        <f>ROUND(E2621*D2622,1)</f>
        <v>155.30000000000001</v>
      </c>
      <c r="F2622" s="26"/>
      <c r="G2622" s="26"/>
    </row>
    <row r="2623" spans="1:7">
      <c r="A2623" s="26"/>
      <c r="B2623" s="60" t="s">
        <v>5949</v>
      </c>
      <c r="C2623" s="26"/>
      <c r="D2623" s="31"/>
      <c r="E2623" s="199">
        <f>ROUND(E2622+E2621,1)</f>
        <v>1296.3</v>
      </c>
      <c r="F2623" s="57"/>
      <c r="G2623" s="26"/>
    </row>
    <row r="2624" spans="1:7">
      <c r="A2624" s="26"/>
      <c r="B2624" s="26"/>
      <c r="C2624" s="26"/>
      <c r="D2624" s="26"/>
      <c r="E2624" s="26"/>
      <c r="F2624" s="26"/>
      <c r="G2624" s="26"/>
    </row>
    <row r="2625" spans="1:7">
      <c r="A2625" s="26"/>
      <c r="B2625" s="170" t="s">
        <v>1175</v>
      </c>
      <c r="C2625" s="26"/>
      <c r="D2625" s="26"/>
      <c r="E2625" s="26"/>
      <c r="F2625" s="26"/>
      <c r="G2625" s="26"/>
    </row>
    <row r="2626" spans="1:7">
      <c r="A2626" s="26"/>
      <c r="B2626" s="26" t="s">
        <v>5010</v>
      </c>
      <c r="C2626" s="26"/>
      <c r="D2626" s="26"/>
      <c r="E2626" s="26"/>
      <c r="F2626" s="171" t="s">
        <v>1698</v>
      </c>
      <c r="G2626" s="68">
        <f>G2592</f>
        <v>45994.008111971991</v>
      </c>
    </row>
    <row r="2627" spans="1:7">
      <c r="A2627" s="26"/>
      <c r="B2627" s="26" t="s">
        <v>1186</v>
      </c>
      <c r="C2627" s="26"/>
      <c r="D2627" s="26"/>
      <c r="E2627" s="26"/>
      <c r="F2627" s="171" t="s">
        <v>1698</v>
      </c>
      <c r="G2627" s="68">
        <f>G2603</f>
        <v>1318.3500000000001</v>
      </c>
    </row>
    <row r="2628" spans="1:7">
      <c r="A2628" s="26"/>
      <c r="B2628" s="26" t="s">
        <v>2660</v>
      </c>
      <c r="C2628" s="26"/>
      <c r="D2628" s="26"/>
      <c r="E2628" s="26"/>
      <c r="F2628" s="171" t="s">
        <v>1698</v>
      </c>
      <c r="G2628" s="75">
        <f>G2620</f>
        <v>17982.13</v>
      </c>
    </row>
    <row r="2629" spans="1:7">
      <c r="A2629" s="26"/>
      <c r="B2629" s="78"/>
      <c r="C2629" s="26"/>
      <c r="D2629" s="26"/>
      <c r="E2629" s="171"/>
      <c r="F2629" s="171" t="s">
        <v>302</v>
      </c>
      <c r="G2629" s="205">
        <f>SUM(G2626:G2628)</f>
        <v>65294.488111971994</v>
      </c>
    </row>
    <row r="2630" spans="1:7">
      <c r="A2630" s="26"/>
      <c r="B2630" s="1206" t="s">
        <v>1379</v>
      </c>
      <c r="C2630" s="1206"/>
      <c r="D2630" s="26"/>
      <c r="E2630" s="249">
        <f>'BASIC DATA'!$C$577</f>
        <v>0.13614999999999999</v>
      </c>
      <c r="F2630" s="26" t="s">
        <v>1698</v>
      </c>
      <c r="G2630" s="26">
        <f>ROUND(G2629*E2630,2)</f>
        <v>8889.84</v>
      </c>
    </row>
    <row r="2631" spans="1:7">
      <c r="A2631" s="26"/>
      <c r="B2631" s="26" t="s">
        <v>1191</v>
      </c>
      <c r="C2631" s="26"/>
      <c r="D2631" s="68">
        <f>F2578</f>
        <v>15.76</v>
      </c>
      <c r="E2631" s="68" t="str">
        <f>G2578</f>
        <v>cum</v>
      </c>
      <c r="F2631" s="26" t="s">
        <v>1698</v>
      </c>
      <c r="G2631" s="211">
        <f>G2630+G2629</f>
        <v>74184.32811197199</v>
      </c>
    </row>
    <row r="2632" spans="1:7">
      <c r="A2632" s="26"/>
      <c r="B2632" s="170" t="s">
        <v>1584</v>
      </c>
      <c r="C2632" s="211" t="str">
        <f>E2631</f>
        <v>cum</v>
      </c>
      <c r="D2632" s="26" t="s">
        <v>7778</v>
      </c>
      <c r="E2632" s="26"/>
      <c r="F2632" s="26" t="s">
        <v>4108</v>
      </c>
      <c r="G2632" s="211">
        <f>ROUND(G2631/D2631,1)</f>
        <v>4707.1000000000004</v>
      </c>
    </row>
    <row r="2633" spans="1:7">
      <c r="A2633" s="26"/>
      <c r="B2633" s="78"/>
      <c r="C2633" s="26"/>
      <c r="D2633" s="26"/>
      <c r="E2633" s="26"/>
      <c r="F2633" s="26"/>
      <c r="G2633" s="26"/>
    </row>
    <row r="2634" spans="1:7">
      <c r="A2634" s="26"/>
      <c r="B2634" s="78"/>
      <c r="C2634" s="26"/>
      <c r="D2634" s="26"/>
      <c r="E2634" s="26"/>
      <c r="F2634" s="26"/>
      <c r="G2634" s="26"/>
    </row>
    <row r="2635" spans="1:7">
      <c r="A2635" s="78" t="s">
        <v>7566</v>
      </c>
      <c r="B2635" s="26" t="s">
        <v>8967</v>
      </c>
      <c r="C2635" s="26"/>
      <c r="D2635" s="26"/>
      <c r="E2635" s="26"/>
      <c r="F2635" s="26"/>
      <c r="G2635" s="26"/>
    </row>
    <row r="2636" spans="1:7" ht="18.75">
      <c r="A2636" s="78"/>
      <c r="B2636" s="26" t="s">
        <v>8943</v>
      </c>
      <c r="C2636" s="26"/>
      <c r="D2636" s="26"/>
      <c r="E2636" s="26"/>
      <c r="F2636" s="26"/>
      <c r="G2636" s="26"/>
    </row>
    <row r="2637" spans="1:7">
      <c r="A2637" s="78"/>
      <c r="B2637" s="26" t="s">
        <v>8968</v>
      </c>
      <c r="C2637" s="26"/>
      <c r="D2637" s="26"/>
      <c r="E2637" s="26"/>
      <c r="F2637" s="26"/>
      <c r="G2637" s="26"/>
    </row>
    <row r="2638" spans="1:7">
      <c r="A2638" s="78"/>
      <c r="B2638" s="26" t="s">
        <v>4144</v>
      </c>
      <c r="C2638" s="26"/>
      <c r="D2638" s="26"/>
      <c r="E2638" s="26"/>
      <c r="F2638" s="26"/>
      <c r="G2638" s="26"/>
    </row>
    <row r="2639" spans="1:7" ht="18.75">
      <c r="A2639" s="78"/>
      <c r="B2639" s="170" t="s">
        <v>8933</v>
      </c>
      <c r="C2639" s="26"/>
      <c r="D2639" s="26"/>
      <c r="E2639" s="26"/>
      <c r="F2639" s="26"/>
      <c r="G2639" s="26"/>
    </row>
    <row r="2640" spans="1:7">
      <c r="A2640" s="78" t="s">
        <v>1940</v>
      </c>
      <c r="B2640" s="170" t="s">
        <v>55</v>
      </c>
      <c r="C2640" s="26"/>
      <c r="D2640" s="26"/>
      <c r="E2640" s="26"/>
      <c r="F2640" s="26"/>
      <c r="G2640" s="26"/>
    </row>
    <row r="2641" spans="1:7">
      <c r="A2641" s="78"/>
      <c r="B2641" s="170" t="s">
        <v>7775</v>
      </c>
      <c r="C2641" s="26"/>
      <c r="D2641" s="26"/>
      <c r="E2641" s="26"/>
      <c r="F2641" s="26"/>
      <c r="G2641" s="26"/>
    </row>
    <row r="2642" spans="1:7">
      <c r="A2642" s="62"/>
      <c r="B2642" s="248" t="s">
        <v>4522</v>
      </c>
      <c r="C2642" s="61"/>
      <c r="D2642" s="61"/>
      <c r="E2642" s="61"/>
      <c r="F2642" s="61"/>
      <c r="G2642" s="61"/>
    </row>
    <row r="2643" spans="1:7">
      <c r="A2643" s="78"/>
      <c r="B2643" s="26"/>
      <c r="C2643" s="26"/>
      <c r="D2643" s="26"/>
      <c r="E2643" s="26"/>
      <c r="F2643" s="26"/>
      <c r="G2643" s="26"/>
    </row>
    <row r="2644" spans="1:7">
      <c r="A2644" s="78" t="s">
        <v>3984</v>
      </c>
      <c r="B2644" s="26" t="s">
        <v>5780</v>
      </c>
      <c r="C2644" s="26"/>
      <c r="D2644" s="26"/>
      <c r="E2644" s="26"/>
      <c r="F2644" s="26"/>
      <c r="G2644" s="26"/>
    </row>
    <row r="2645" spans="1:7">
      <c r="A2645" s="78"/>
      <c r="B2645" s="26" t="s">
        <v>2251</v>
      </c>
      <c r="C2645" s="26"/>
      <c r="D2645" s="26"/>
      <c r="E2645" s="26"/>
      <c r="F2645" s="26"/>
      <c r="G2645" s="26"/>
    </row>
    <row r="2646" spans="1:7">
      <c r="A2646" s="78"/>
      <c r="B2646" s="26" t="s">
        <v>7794</v>
      </c>
      <c r="C2646" s="26"/>
      <c r="D2646" s="26"/>
      <c r="E2646" s="26"/>
      <c r="F2646" s="26"/>
      <c r="G2646" s="26"/>
    </row>
    <row r="2647" spans="1:7">
      <c r="A2647" s="78"/>
      <c r="B2647" s="26" t="s">
        <v>7777</v>
      </c>
      <c r="C2647" s="26"/>
      <c r="D2647" s="26"/>
      <c r="E2647" s="26">
        <f>ROUND(50*13*8/330,2)</f>
        <v>15.76</v>
      </c>
      <c r="F2647" s="26" t="s">
        <v>3760</v>
      </c>
      <c r="G2647" s="26"/>
    </row>
    <row r="2648" spans="1:7">
      <c r="A2648" s="78"/>
      <c r="B2648" s="26" t="s">
        <v>2843</v>
      </c>
      <c r="C2648" s="26"/>
      <c r="D2648" s="26"/>
      <c r="E2648" s="26"/>
      <c r="F2648" s="26"/>
      <c r="G2648" s="26"/>
    </row>
    <row r="2649" spans="1:7">
      <c r="A2649" s="78"/>
      <c r="B2649" s="26" t="s">
        <v>4145</v>
      </c>
      <c r="C2649" s="26"/>
      <c r="D2649" s="26"/>
      <c r="E2649" s="26"/>
      <c r="F2649" s="26"/>
      <c r="G2649" s="26"/>
    </row>
    <row r="2650" spans="1:7">
      <c r="A2650" s="78"/>
      <c r="B2650" s="26" t="s">
        <v>2009</v>
      </c>
      <c r="C2650" s="26"/>
      <c r="D2650" s="26"/>
      <c r="E2650" s="26"/>
      <c r="F2650" s="68">
        <f>G618</f>
        <v>224.56752690000002</v>
      </c>
      <c r="G2650" s="26" t="s">
        <v>1168</v>
      </c>
    </row>
    <row r="2651" spans="1:7">
      <c r="A2651" s="78"/>
      <c r="B2651" s="26" t="s">
        <v>6133</v>
      </c>
      <c r="C2651" s="26"/>
      <c r="D2651" s="26"/>
      <c r="E2651" s="26"/>
      <c r="F2651" s="26"/>
      <c r="G2651" s="26"/>
    </row>
    <row r="2652" spans="1:7">
      <c r="A2652" s="78"/>
      <c r="B2652" s="26" t="s">
        <v>2010</v>
      </c>
      <c r="C2652" s="26"/>
      <c r="D2652" s="26"/>
      <c r="E2652" s="26"/>
      <c r="F2652" s="68">
        <f>G644</f>
        <v>88.5</v>
      </c>
      <c r="G2652" s="26" t="s">
        <v>1168</v>
      </c>
    </row>
    <row r="2653" spans="1:7">
      <c r="A2653" s="78"/>
      <c r="B2653" s="26" t="s">
        <v>5314</v>
      </c>
      <c r="C2653" s="26"/>
      <c r="D2653" s="26"/>
      <c r="E2653" s="26"/>
      <c r="F2653" s="26"/>
      <c r="G2653" s="26"/>
    </row>
    <row r="2654" spans="1:7">
      <c r="A2654" s="78"/>
      <c r="B2654" s="26" t="s">
        <v>451</v>
      </c>
      <c r="C2654" s="26"/>
      <c r="D2654" s="26"/>
      <c r="E2654" s="26"/>
      <c r="F2654" s="26"/>
      <c r="G2654" s="26"/>
    </row>
    <row r="2655" spans="1:7">
      <c r="A2655" s="78"/>
      <c r="B2655" s="26" t="s">
        <v>2011</v>
      </c>
      <c r="C2655" s="26"/>
      <c r="D2655" s="26"/>
      <c r="E2655" s="26"/>
      <c r="F2655" s="26"/>
      <c r="G2655" s="26"/>
    </row>
    <row r="2656" spans="1:7">
      <c r="A2656" s="78"/>
      <c r="B2656" s="26" t="s">
        <v>4146</v>
      </c>
      <c r="C2656" s="26"/>
      <c r="D2656" s="26"/>
      <c r="E2656" s="26"/>
      <c r="F2656" s="26"/>
      <c r="G2656" s="26"/>
    </row>
    <row r="2657" spans="1:7">
      <c r="A2657" s="26"/>
      <c r="B2657" s="78"/>
      <c r="C2657" s="26"/>
      <c r="D2657" s="26"/>
      <c r="E2657" s="26"/>
      <c r="F2657" s="26"/>
      <c r="G2657" s="26"/>
    </row>
    <row r="2658" spans="1:7">
      <c r="A2658" s="78" t="s">
        <v>3984</v>
      </c>
      <c r="B2658" s="78"/>
      <c r="C2658" s="203" t="s">
        <v>2367</v>
      </c>
      <c r="D2658" s="26"/>
      <c r="E2658" s="171" t="s">
        <v>297</v>
      </c>
      <c r="F2658" s="246">
        <f>E2647</f>
        <v>15.76</v>
      </c>
      <c r="G2658" s="26" t="s">
        <v>3477</v>
      </c>
    </row>
    <row r="2659" spans="1:7">
      <c r="A2659" s="26"/>
      <c r="B2659" s="79" t="s">
        <v>2368</v>
      </c>
      <c r="C2659" s="26"/>
      <c r="D2659" s="26"/>
      <c r="E2659" s="26"/>
      <c r="F2659" s="26"/>
      <c r="G2659" s="26"/>
    </row>
    <row r="2660" spans="1:7">
      <c r="A2660" s="26"/>
      <c r="B2660" s="95" t="s">
        <v>2369</v>
      </c>
      <c r="C2660" s="157" t="s">
        <v>4443</v>
      </c>
      <c r="D2660" s="95" t="s">
        <v>2370</v>
      </c>
      <c r="E2660" s="95" t="s">
        <v>1166</v>
      </c>
      <c r="F2660" s="95" t="s">
        <v>2371</v>
      </c>
      <c r="G2660" s="95" t="s">
        <v>2372</v>
      </c>
    </row>
    <row r="2661" spans="1:7">
      <c r="A2661" s="26"/>
      <c r="B2661" s="114"/>
      <c r="C2661" s="154"/>
      <c r="D2661" s="114"/>
      <c r="E2661" s="114"/>
      <c r="F2661" s="114" t="s">
        <v>3485</v>
      </c>
      <c r="G2661" s="114" t="s">
        <v>3485</v>
      </c>
    </row>
    <row r="2662" spans="1:7">
      <c r="A2662" s="26"/>
      <c r="B2662" s="95">
        <v>1</v>
      </c>
      <c r="C2662" s="135" t="s">
        <v>1048</v>
      </c>
      <c r="D2662" s="95" t="s">
        <v>3478</v>
      </c>
      <c r="E2662" s="190">
        <f>330*F2658</f>
        <v>5200.8</v>
      </c>
      <c r="F2662" s="214">
        <f>'BASIC DATA'!$D$32/1000</f>
        <v>5.35</v>
      </c>
      <c r="G2662" s="190">
        <f>E2662*F2662</f>
        <v>27824.28</v>
      </c>
    </row>
    <row r="2663" spans="1:7">
      <c r="A2663" s="26"/>
      <c r="B2663" s="317"/>
      <c r="C2663" s="135" t="s">
        <v>1049</v>
      </c>
      <c r="D2663" s="105" t="s">
        <v>3478</v>
      </c>
      <c r="E2663" s="190">
        <f>F2658*5</f>
        <v>78.8</v>
      </c>
      <c r="F2663" s="214">
        <f>'BASIC DATA'!$D$32/1000</f>
        <v>5.35</v>
      </c>
      <c r="G2663" s="190">
        <f t="shared" ref="G2663:G2670" si="75">E2663*F2663</f>
        <v>421.58</v>
      </c>
    </row>
    <row r="2664" spans="1:7">
      <c r="A2664" s="26"/>
      <c r="B2664" s="105">
        <v>2</v>
      </c>
      <c r="C2664" s="135" t="s">
        <v>6995</v>
      </c>
      <c r="D2664" s="105" t="s">
        <v>3477</v>
      </c>
      <c r="E2664" s="190">
        <f>0.8*F2658*0.65</f>
        <v>8.1951999999999998</v>
      </c>
      <c r="F2664" s="214">
        <f>'BASIC DATA'!$D$35</f>
        <v>1225</v>
      </c>
      <c r="G2664" s="190">
        <f t="shared" si="75"/>
        <v>10039.119999999999</v>
      </c>
    </row>
    <row r="2665" spans="1:7">
      <c r="A2665" s="26"/>
      <c r="B2665" s="317"/>
      <c r="C2665" s="135" t="s">
        <v>1050</v>
      </c>
      <c r="D2665" s="105" t="s">
        <v>3477</v>
      </c>
      <c r="E2665" s="190">
        <f>0.8*F2658*0.35</f>
        <v>4.4127999999999998</v>
      </c>
      <c r="F2665" s="214">
        <f>'BASIC DATA'!$D$34</f>
        <v>900</v>
      </c>
      <c r="G2665" s="190">
        <f t="shared" si="75"/>
        <v>3971.52</v>
      </c>
    </row>
    <row r="2666" spans="1:7">
      <c r="A2666" s="61"/>
      <c r="B2666" s="240">
        <v>3</v>
      </c>
      <c r="C2666" s="326" t="s">
        <v>7941</v>
      </c>
      <c r="D2666" s="240" t="s">
        <v>3477</v>
      </c>
      <c r="E2666" s="255">
        <f>0.45*F2658</f>
        <v>7.0919999999999996</v>
      </c>
      <c r="F2666" s="266">
        <f>'BASIC DATA'!$D$55</f>
        <v>95</v>
      </c>
      <c r="G2666" s="255">
        <f t="shared" si="75"/>
        <v>673.74</v>
      </c>
    </row>
    <row r="2667" spans="1:7">
      <c r="A2667" s="26"/>
      <c r="B2667" s="105">
        <v>4</v>
      </c>
      <c r="C2667" s="135" t="s">
        <v>523</v>
      </c>
      <c r="D2667" s="105" t="s">
        <v>3478</v>
      </c>
      <c r="E2667" s="190">
        <f>E2662*0.4%</f>
        <v>20.8032</v>
      </c>
      <c r="F2667" s="214">
        <f>'BASIC DATA'!$D$99</f>
        <v>55</v>
      </c>
      <c r="G2667" s="190">
        <f t="shared" si="75"/>
        <v>1144.1759999999999</v>
      </c>
    </row>
    <row r="2668" spans="1:7">
      <c r="A2668" s="26"/>
      <c r="B2668" s="105">
        <v>5</v>
      </c>
      <c r="C2668" s="135" t="s">
        <v>7213</v>
      </c>
      <c r="D2668" s="105" t="s">
        <v>3479</v>
      </c>
      <c r="E2668" s="190">
        <f>4.5*F2658</f>
        <v>70.92</v>
      </c>
      <c r="F2668" s="214">
        <f>F2650</f>
        <v>224.56752690000002</v>
      </c>
      <c r="G2668" s="190">
        <f t="shared" si="75"/>
        <v>15926.329007748001</v>
      </c>
    </row>
    <row r="2669" spans="1:7">
      <c r="A2669" s="26"/>
      <c r="B2669" s="317"/>
      <c r="C2669" s="135" t="s">
        <v>5408</v>
      </c>
      <c r="D2669" s="224">
        <v>0.25</v>
      </c>
      <c r="E2669" s="190"/>
      <c r="F2669" s="214"/>
      <c r="G2669" s="190">
        <f>G2668*D2669</f>
        <v>3981.5822519370004</v>
      </c>
    </row>
    <row r="2670" spans="1:7">
      <c r="A2670" s="26"/>
      <c r="B2670" s="114">
        <v>6</v>
      </c>
      <c r="C2670" s="139" t="s">
        <v>2373</v>
      </c>
      <c r="D2670" s="114" t="s">
        <v>2173</v>
      </c>
      <c r="E2670" s="182">
        <v>0.5</v>
      </c>
      <c r="F2670" s="215">
        <f>'BASIC DATA'!$D$359</f>
        <v>30</v>
      </c>
      <c r="G2670" s="182">
        <f t="shared" si="75"/>
        <v>15</v>
      </c>
    </row>
    <row r="2671" spans="1:7">
      <c r="A2671" s="26"/>
      <c r="B2671" s="93"/>
      <c r="C2671" s="31" t="s">
        <v>6844</v>
      </c>
      <c r="D2671" s="31" t="s">
        <v>4043</v>
      </c>
      <c r="E2671" s="198"/>
      <c r="F2671" s="327" t="s">
        <v>1698</v>
      </c>
      <c r="G2671" s="190">
        <v>0</v>
      </c>
    </row>
    <row r="2672" spans="1:7">
      <c r="A2672" s="26"/>
      <c r="B2672" s="93"/>
      <c r="C2672" s="31" t="s">
        <v>6845</v>
      </c>
      <c r="D2672" s="31" t="s">
        <v>4043</v>
      </c>
      <c r="E2672" s="198"/>
      <c r="F2672" s="327" t="s">
        <v>1698</v>
      </c>
      <c r="G2672" s="190">
        <v>0</v>
      </c>
    </row>
    <row r="2673" spans="1:7">
      <c r="A2673" s="26"/>
      <c r="B2673" s="92"/>
      <c r="C2673" s="193" t="s">
        <v>2376</v>
      </c>
      <c r="D2673" s="159"/>
      <c r="E2673" s="238"/>
      <c r="F2673" s="236" t="s">
        <v>1698</v>
      </c>
      <c r="G2673" s="318">
        <f>SUM(G2662:G2672)</f>
        <v>63997.327259684986</v>
      </c>
    </row>
    <row r="2674" spans="1:7">
      <c r="A2674" s="26"/>
      <c r="B2674" s="78"/>
      <c r="C2674" s="26"/>
      <c r="D2674" s="26"/>
      <c r="E2674" s="26"/>
      <c r="F2674" s="26"/>
      <c r="G2674" s="26"/>
    </row>
    <row r="2675" spans="1:7">
      <c r="A2675" s="26"/>
      <c r="B2675" s="79" t="s">
        <v>2377</v>
      </c>
      <c r="C2675" s="26"/>
      <c r="D2675" s="26"/>
      <c r="E2675" s="26"/>
      <c r="F2675" s="26"/>
      <c r="G2675" s="26"/>
    </row>
    <row r="2676" spans="1:7">
      <c r="A2676" s="26"/>
      <c r="B2676" s="95" t="s">
        <v>2369</v>
      </c>
      <c r="C2676" s="157" t="s">
        <v>2378</v>
      </c>
      <c r="D2676" s="95" t="s">
        <v>2370</v>
      </c>
      <c r="E2676" s="95" t="s">
        <v>1166</v>
      </c>
      <c r="F2676" s="95" t="s">
        <v>2371</v>
      </c>
      <c r="G2676" s="95" t="s">
        <v>2372</v>
      </c>
    </row>
    <row r="2677" spans="1:7">
      <c r="A2677" s="26"/>
      <c r="B2677" s="114"/>
      <c r="C2677" s="154"/>
      <c r="D2677" s="114"/>
      <c r="E2677" s="114"/>
      <c r="F2677" s="114" t="s">
        <v>3485</v>
      </c>
      <c r="G2677" s="114" t="s">
        <v>3485</v>
      </c>
    </row>
    <row r="2678" spans="1:7">
      <c r="A2678" s="26"/>
      <c r="B2678" s="95">
        <v>1</v>
      </c>
      <c r="C2678" s="153" t="s">
        <v>7214</v>
      </c>
      <c r="D2678" s="175" t="s">
        <v>2374</v>
      </c>
      <c r="E2678" s="179">
        <v>8</v>
      </c>
      <c r="F2678" s="190">
        <f>'HIRE CHARGES'!$D$507</f>
        <v>53.5</v>
      </c>
      <c r="G2678" s="190">
        <f t="shared" ref="G2678:G2683" si="76">E2678*F2678</f>
        <v>428</v>
      </c>
    </row>
    <row r="2679" spans="1:7">
      <c r="A2679" s="26"/>
      <c r="B2679" s="317"/>
      <c r="C2679" s="152" t="s">
        <v>2379</v>
      </c>
      <c r="D2679" s="33" t="s">
        <v>2374</v>
      </c>
      <c r="E2679" s="190">
        <v>8</v>
      </c>
      <c r="F2679" s="190">
        <f>'HIRE CHARGES'!$E$507</f>
        <v>79.3</v>
      </c>
      <c r="G2679" s="190">
        <f t="shared" si="76"/>
        <v>634.4</v>
      </c>
    </row>
    <row r="2680" spans="1:7">
      <c r="A2680" s="26"/>
      <c r="B2680" s="105">
        <v>2</v>
      </c>
      <c r="C2680" s="152" t="s">
        <v>189</v>
      </c>
      <c r="D2680" s="33" t="s">
        <v>2374</v>
      </c>
      <c r="E2680" s="190">
        <v>0.5</v>
      </c>
      <c r="F2680" s="190">
        <f>'HIRE CHARGES'!$D$517</f>
        <v>10.199999999999999</v>
      </c>
      <c r="G2680" s="190">
        <f t="shared" si="76"/>
        <v>5.0999999999999996</v>
      </c>
    </row>
    <row r="2681" spans="1:7">
      <c r="A2681" s="26"/>
      <c r="B2681" s="317"/>
      <c r="C2681" s="152" t="s">
        <v>2379</v>
      </c>
      <c r="D2681" s="33" t="s">
        <v>2374</v>
      </c>
      <c r="E2681" s="190">
        <v>0.5</v>
      </c>
      <c r="F2681" s="190">
        <f>'HIRE CHARGES'!$E$517</f>
        <v>79.3</v>
      </c>
      <c r="G2681" s="190">
        <f t="shared" si="76"/>
        <v>39.65</v>
      </c>
    </row>
    <row r="2682" spans="1:7">
      <c r="A2682" s="26"/>
      <c r="B2682" s="105">
        <v>3</v>
      </c>
      <c r="C2682" s="152" t="s">
        <v>4147</v>
      </c>
      <c r="D2682" s="33" t="s">
        <v>2374</v>
      </c>
      <c r="E2682" s="190">
        <v>8</v>
      </c>
      <c r="F2682" s="190">
        <f>'HIRE CHARGES'!$D$531</f>
        <v>7.6</v>
      </c>
      <c r="G2682" s="190">
        <f t="shared" si="76"/>
        <v>60.8</v>
      </c>
    </row>
    <row r="2683" spans="1:7">
      <c r="A2683" s="26"/>
      <c r="B2683" s="365"/>
      <c r="C2683" s="116" t="s">
        <v>2379</v>
      </c>
      <c r="D2683" s="33" t="s">
        <v>2374</v>
      </c>
      <c r="E2683" s="182">
        <v>8</v>
      </c>
      <c r="F2683" s="207">
        <f>'HIRE CHARGES'!$E$531</f>
        <v>18.8</v>
      </c>
      <c r="G2683" s="190">
        <f t="shared" si="76"/>
        <v>150.4</v>
      </c>
    </row>
    <row r="2684" spans="1:7">
      <c r="A2684" s="26"/>
      <c r="B2684" s="176"/>
      <c r="C2684" s="172" t="s">
        <v>2380</v>
      </c>
      <c r="D2684" s="174"/>
      <c r="E2684" s="192"/>
      <c r="F2684" s="236" t="s">
        <v>1698</v>
      </c>
      <c r="G2684" s="318">
        <f>SUM(G2678:G2683)</f>
        <v>1318.3500000000001</v>
      </c>
    </row>
    <row r="2685" spans="1:7">
      <c r="A2685" s="26"/>
      <c r="B2685" s="78"/>
      <c r="C2685" s="26"/>
      <c r="D2685" s="26"/>
      <c r="E2685" s="26"/>
      <c r="F2685" s="26"/>
      <c r="G2685" s="26"/>
    </row>
    <row r="2686" spans="1:7">
      <c r="A2686" s="26"/>
      <c r="B2686" s="79" t="s">
        <v>2381</v>
      </c>
      <c r="C2686" s="26"/>
      <c r="D2686" s="26"/>
      <c r="E2686" s="26"/>
      <c r="F2686" s="26"/>
      <c r="G2686" s="26"/>
    </row>
    <row r="2687" spans="1:7">
      <c r="A2687" s="26"/>
      <c r="B2687" s="95" t="s">
        <v>2369</v>
      </c>
      <c r="C2687" s="157" t="s">
        <v>2378</v>
      </c>
      <c r="D2687" s="95" t="s">
        <v>2370</v>
      </c>
      <c r="E2687" s="95" t="s">
        <v>1166</v>
      </c>
      <c r="F2687" s="95" t="s">
        <v>2371</v>
      </c>
      <c r="G2687" s="95" t="s">
        <v>2372</v>
      </c>
    </row>
    <row r="2688" spans="1:7">
      <c r="A2688" s="26"/>
      <c r="B2688" s="114"/>
      <c r="C2688" s="154"/>
      <c r="D2688" s="105"/>
      <c r="E2688" s="105"/>
      <c r="F2688" s="105" t="s">
        <v>3485</v>
      </c>
      <c r="G2688" s="114" t="s">
        <v>3485</v>
      </c>
    </row>
    <row r="2689" spans="1:7">
      <c r="A2689" s="26"/>
      <c r="B2689" s="95">
        <v>1</v>
      </c>
      <c r="C2689" s="76" t="s">
        <v>527</v>
      </c>
      <c r="D2689" s="95" t="s">
        <v>2374</v>
      </c>
      <c r="E2689" s="179">
        <v>8</v>
      </c>
      <c r="F2689" s="179">
        <f>'HIRE CHARGES'!$F$507</f>
        <v>219.7</v>
      </c>
      <c r="G2689" s="207">
        <f>E2689*F2689</f>
        <v>1757.6</v>
      </c>
    </row>
    <row r="2690" spans="1:7">
      <c r="A2690" s="26"/>
      <c r="B2690" s="105">
        <v>2</v>
      </c>
      <c r="C2690" s="76" t="s">
        <v>999</v>
      </c>
      <c r="D2690" s="105" t="s">
        <v>2374</v>
      </c>
      <c r="E2690" s="190">
        <v>0.5</v>
      </c>
      <c r="F2690" s="190">
        <f>'HIRE CHARGES'!$F$517</f>
        <v>111.1</v>
      </c>
      <c r="G2690" s="207">
        <f t="shared" ref="G2690:G2700" si="77">E2690*F2690</f>
        <v>55.55</v>
      </c>
    </row>
    <row r="2691" spans="1:7">
      <c r="A2691" s="26"/>
      <c r="B2691" s="105">
        <v>3</v>
      </c>
      <c r="C2691" s="76" t="s">
        <v>439</v>
      </c>
      <c r="D2691" s="105" t="s">
        <v>2374</v>
      </c>
      <c r="E2691" s="190">
        <v>8</v>
      </c>
      <c r="F2691" s="190">
        <f>'HIRE CHARGES'!$F$531</f>
        <v>158.19999999999999</v>
      </c>
      <c r="G2691" s="207">
        <f t="shared" si="77"/>
        <v>1265.5999999999999</v>
      </c>
    </row>
    <row r="2692" spans="1:7">
      <c r="A2692" s="26"/>
      <c r="B2692" s="105">
        <v>4</v>
      </c>
      <c r="C2692" s="76" t="s">
        <v>440</v>
      </c>
      <c r="D2692" s="105" t="s">
        <v>1172</v>
      </c>
      <c r="E2692" s="190">
        <v>1</v>
      </c>
      <c r="F2692" s="190">
        <f>'BASIC DATA'!$C$474</f>
        <v>445</v>
      </c>
      <c r="G2692" s="207">
        <f t="shared" si="77"/>
        <v>445</v>
      </c>
    </row>
    <row r="2693" spans="1:7">
      <c r="A2693" s="26"/>
      <c r="B2693" s="105">
        <v>5</v>
      </c>
      <c r="C2693" s="76" t="s">
        <v>4206</v>
      </c>
      <c r="D2693" s="105" t="s">
        <v>1172</v>
      </c>
      <c r="E2693" s="190">
        <v>1</v>
      </c>
      <c r="F2693" s="190">
        <f>'BASIC DATA'!$C$473</f>
        <v>450</v>
      </c>
      <c r="G2693" s="207">
        <f t="shared" si="77"/>
        <v>450</v>
      </c>
    </row>
    <row r="2694" spans="1:7">
      <c r="A2694" s="26"/>
      <c r="B2694" s="105">
        <v>6</v>
      </c>
      <c r="C2694" s="76" t="s">
        <v>2697</v>
      </c>
      <c r="D2694" s="105"/>
      <c r="E2694" s="190"/>
      <c r="F2694" s="190"/>
      <c r="G2694" s="207"/>
    </row>
    <row r="2695" spans="1:7">
      <c r="A2695" s="26"/>
      <c r="B2695" s="317"/>
      <c r="C2695" s="76" t="s">
        <v>441</v>
      </c>
      <c r="D2695" s="105" t="s">
        <v>1172</v>
      </c>
      <c r="E2695" s="190">
        <v>11</v>
      </c>
      <c r="F2695" s="190">
        <f>'BASIC DATA'!$C$552</f>
        <v>350</v>
      </c>
      <c r="G2695" s="207">
        <f t="shared" si="77"/>
        <v>3850</v>
      </c>
    </row>
    <row r="2696" spans="1:7">
      <c r="A2696" s="26"/>
      <c r="B2696" s="317"/>
      <c r="C2696" s="76" t="s">
        <v>442</v>
      </c>
      <c r="D2696" s="105" t="s">
        <v>1172</v>
      </c>
      <c r="E2696" s="190">
        <v>4</v>
      </c>
      <c r="F2696" s="190">
        <f>'BASIC DATA'!$C$552</f>
        <v>350</v>
      </c>
      <c r="G2696" s="207">
        <f t="shared" si="77"/>
        <v>1400</v>
      </c>
    </row>
    <row r="2697" spans="1:7">
      <c r="A2697" s="26"/>
      <c r="B2697" s="317"/>
      <c r="C2697" s="76" t="s">
        <v>5151</v>
      </c>
      <c r="D2697" s="105" t="s">
        <v>1172</v>
      </c>
      <c r="E2697" s="190">
        <v>5</v>
      </c>
      <c r="F2697" s="190">
        <f>'BASIC DATA'!$C$552</f>
        <v>350</v>
      </c>
      <c r="G2697" s="207">
        <f t="shared" si="77"/>
        <v>1750</v>
      </c>
    </row>
    <row r="2698" spans="1:7">
      <c r="A2698" s="26"/>
      <c r="B2698" s="317"/>
      <c r="C2698" s="76" t="s">
        <v>444</v>
      </c>
      <c r="D2698" s="105" t="s">
        <v>1172</v>
      </c>
      <c r="E2698" s="190">
        <f>F2658</f>
        <v>15.76</v>
      </c>
      <c r="F2698" s="190">
        <f>'BASIC DATA'!$C$552</f>
        <v>350</v>
      </c>
      <c r="G2698" s="207">
        <f t="shared" si="77"/>
        <v>5516</v>
      </c>
    </row>
    <row r="2699" spans="1:7">
      <c r="A2699" s="26"/>
      <c r="B2699" s="317"/>
      <c r="C2699" s="76" t="s">
        <v>445</v>
      </c>
      <c r="D2699" s="105" t="s">
        <v>1172</v>
      </c>
      <c r="E2699" s="190">
        <v>1</v>
      </c>
      <c r="F2699" s="190">
        <f>'BASIC DATA'!$C$552</f>
        <v>350</v>
      </c>
      <c r="G2699" s="207">
        <f t="shared" si="77"/>
        <v>350</v>
      </c>
    </row>
    <row r="2700" spans="1:7">
      <c r="A2700" s="26"/>
      <c r="B2700" s="105">
        <v>7</v>
      </c>
      <c r="C2700" s="76" t="s">
        <v>7215</v>
      </c>
      <c r="D2700" s="105" t="s">
        <v>3479</v>
      </c>
      <c r="E2700" s="190">
        <f>4.5*F2658</f>
        <v>70.92</v>
      </c>
      <c r="F2700" s="190">
        <f>F2652</f>
        <v>88.5</v>
      </c>
      <c r="G2700" s="207">
        <f t="shared" si="77"/>
        <v>6276.42</v>
      </c>
    </row>
    <row r="2701" spans="1:7">
      <c r="A2701" s="26"/>
      <c r="B2701" s="317"/>
      <c r="C2701" s="76" t="s">
        <v>6402</v>
      </c>
      <c r="D2701" s="224">
        <v>0.25</v>
      </c>
      <c r="E2701" s="190"/>
      <c r="F2701" s="190"/>
      <c r="G2701" s="207">
        <f>G2700*D2701</f>
        <v>1569.105</v>
      </c>
    </row>
    <row r="2702" spans="1:7">
      <c r="A2702" s="26"/>
      <c r="B2702" s="92"/>
      <c r="C2702" s="193" t="s">
        <v>1174</v>
      </c>
      <c r="D2702" s="159"/>
      <c r="E2702" s="238"/>
      <c r="F2702" s="236" t="s">
        <v>1698</v>
      </c>
      <c r="G2702" s="318">
        <f>SUM(G2689:G2701)</f>
        <v>24685.274999999998</v>
      </c>
    </row>
    <row r="2703" spans="1:7">
      <c r="A2703" s="26"/>
      <c r="B2703" s="60" t="s">
        <v>5948</v>
      </c>
      <c r="C2703" s="31"/>
      <c r="D2703" s="31"/>
      <c r="E2703" s="85">
        <f>ROUND(G2702/F2658,1)</f>
        <v>1566.3</v>
      </c>
      <c r="F2703" s="26"/>
      <c r="G2703" s="26"/>
    </row>
    <row r="2704" spans="1:7">
      <c r="A2704" s="26"/>
      <c r="B2704" s="60" t="s">
        <v>3163</v>
      </c>
      <c r="C2704" s="31"/>
      <c r="D2704" s="31">
        <f>'BASIC DATA'!$C$577</f>
        <v>0.13614999999999999</v>
      </c>
      <c r="E2704" s="85">
        <f>ROUND(E2703*D2704,1)</f>
        <v>213.3</v>
      </c>
      <c r="F2704" s="26"/>
      <c r="G2704" s="26"/>
    </row>
    <row r="2705" spans="1:7">
      <c r="A2705" s="26"/>
      <c r="B2705" s="60" t="s">
        <v>5949</v>
      </c>
      <c r="C2705" s="31"/>
      <c r="D2705" s="31"/>
      <c r="E2705" s="199">
        <f>ROUND(E2704+E2703,1)</f>
        <v>1779.6</v>
      </c>
      <c r="F2705" s="57"/>
      <c r="G2705" s="26"/>
    </row>
    <row r="2706" spans="1:7">
      <c r="A2706" s="26"/>
      <c r="B2706" s="78"/>
      <c r="C2706" s="26"/>
      <c r="D2706" s="26"/>
      <c r="E2706" s="26"/>
      <c r="F2706" s="26"/>
      <c r="G2706" s="26"/>
    </row>
    <row r="2707" spans="1:7">
      <c r="A2707" s="26"/>
      <c r="B2707" s="170" t="s">
        <v>1175</v>
      </c>
      <c r="C2707" s="26"/>
      <c r="D2707" s="26"/>
      <c r="E2707" s="26"/>
      <c r="F2707" s="26"/>
      <c r="G2707" s="26"/>
    </row>
    <row r="2708" spans="1:7">
      <c r="A2708" s="26"/>
      <c r="B2708" s="26" t="s">
        <v>5010</v>
      </c>
      <c r="C2708" s="26"/>
      <c r="D2708" s="26"/>
      <c r="E2708" s="26"/>
      <c r="F2708" s="171" t="s">
        <v>1698</v>
      </c>
      <c r="G2708" s="68">
        <f>G2673</f>
        <v>63997.327259684986</v>
      </c>
    </row>
    <row r="2709" spans="1:7">
      <c r="A2709" s="26"/>
      <c r="B2709" s="26" t="s">
        <v>1186</v>
      </c>
      <c r="C2709" s="26"/>
      <c r="D2709" s="26"/>
      <c r="E2709" s="26"/>
      <c r="F2709" s="171" t="s">
        <v>1698</v>
      </c>
      <c r="G2709" s="68">
        <f>G2684</f>
        <v>1318.3500000000001</v>
      </c>
    </row>
    <row r="2710" spans="1:7">
      <c r="A2710" s="26"/>
      <c r="B2710" s="26" t="s">
        <v>2660</v>
      </c>
      <c r="C2710" s="26"/>
      <c r="D2710" s="26"/>
      <c r="E2710" s="26"/>
      <c r="F2710" s="171" t="s">
        <v>1698</v>
      </c>
      <c r="G2710" s="75">
        <f>G2702</f>
        <v>24685.274999999998</v>
      </c>
    </row>
    <row r="2711" spans="1:7">
      <c r="A2711" s="26"/>
      <c r="B2711" s="78"/>
      <c r="C2711" s="26"/>
      <c r="D2711" s="26"/>
      <c r="E2711" s="171"/>
      <c r="F2711" s="171" t="s">
        <v>302</v>
      </c>
      <c r="G2711" s="205">
        <f>SUM(G2708:G2710)</f>
        <v>90000.952259684986</v>
      </c>
    </row>
    <row r="2712" spans="1:7">
      <c r="A2712" s="26"/>
      <c r="B2712" s="1206" t="s">
        <v>1379</v>
      </c>
      <c r="C2712" s="1206"/>
      <c r="D2712" s="26"/>
      <c r="E2712" s="249">
        <f>'BASIC DATA'!$C$577</f>
        <v>0.13614999999999999</v>
      </c>
      <c r="F2712" s="26" t="s">
        <v>1698</v>
      </c>
      <c r="G2712" s="26">
        <f>ROUND(G2711*E2712,2)</f>
        <v>12253.63</v>
      </c>
    </row>
    <row r="2713" spans="1:7">
      <c r="A2713" s="26"/>
      <c r="B2713" s="26" t="s">
        <v>1191</v>
      </c>
      <c r="C2713" s="26"/>
      <c r="D2713" s="68">
        <f>F2658</f>
        <v>15.76</v>
      </c>
      <c r="E2713" s="68" t="str">
        <f>G2658</f>
        <v>cum</v>
      </c>
      <c r="F2713" s="26" t="s">
        <v>1698</v>
      </c>
      <c r="G2713" s="211">
        <f>G2712+G2711</f>
        <v>102254.58225968499</v>
      </c>
    </row>
    <row r="2714" spans="1:7">
      <c r="A2714" s="26"/>
      <c r="B2714" s="170" t="s">
        <v>1584</v>
      </c>
      <c r="C2714" s="211" t="str">
        <f>E2713</f>
        <v>cum</v>
      </c>
      <c r="D2714" s="26" t="s">
        <v>7778</v>
      </c>
      <c r="E2714" s="26"/>
      <c r="F2714" s="26" t="s">
        <v>4108</v>
      </c>
      <c r="G2714" s="211">
        <f>ROUND(G2713/D2713,1)</f>
        <v>6488.2</v>
      </c>
    </row>
    <row r="2715" spans="1:7">
      <c r="A2715" s="26"/>
      <c r="B2715" s="78"/>
      <c r="C2715" s="26"/>
      <c r="D2715" s="26"/>
      <c r="E2715" s="26"/>
      <c r="F2715" s="171"/>
      <c r="G2715" s="68"/>
    </row>
    <row r="2716" spans="1:7">
      <c r="A2716" s="78" t="s">
        <v>7567</v>
      </c>
      <c r="B2716" s="248" t="s">
        <v>1472</v>
      </c>
      <c r="C2716" s="61"/>
      <c r="D2716" s="61"/>
      <c r="E2716" s="61"/>
      <c r="F2716" s="61"/>
      <c r="G2716" s="61"/>
    </row>
    <row r="2717" spans="1:7">
      <c r="A2717" s="61"/>
      <c r="B2717" s="62"/>
      <c r="C2717" s="61"/>
      <c r="D2717" s="61"/>
      <c r="E2717" s="61"/>
      <c r="F2717" s="61"/>
      <c r="G2717" s="61"/>
    </row>
    <row r="2718" spans="1:7">
      <c r="A2718" s="78" t="s">
        <v>7568</v>
      </c>
      <c r="B2718" s="1241" t="s">
        <v>8969</v>
      </c>
      <c r="C2718" s="1241"/>
      <c r="D2718" s="1241"/>
      <c r="E2718" s="1241"/>
      <c r="F2718" s="1241"/>
      <c r="G2718" s="62"/>
    </row>
    <row r="2719" spans="1:7">
      <c r="A2719" s="78" t="s">
        <v>3984</v>
      </c>
      <c r="B2719" s="61" t="s">
        <v>5063</v>
      </c>
      <c r="C2719" s="61"/>
      <c r="D2719" s="61"/>
      <c r="E2719" s="61"/>
      <c r="F2719" s="61"/>
      <c r="G2719" s="61"/>
    </row>
    <row r="2720" spans="1:7">
      <c r="A2720" s="61"/>
      <c r="B2720" s="61" t="s">
        <v>5064</v>
      </c>
      <c r="C2720" s="61"/>
      <c r="D2720" s="61"/>
      <c r="E2720" s="61"/>
      <c r="F2720" s="61"/>
      <c r="G2720" s="61"/>
    </row>
    <row r="2721" spans="1:7">
      <c r="A2721" s="61"/>
      <c r="B2721" s="61"/>
      <c r="C2721" s="61" t="s">
        <v>5065</v>
      </c>
      <c r="D2721" s="61"/>
      <c r="E2721" s="61"/>
      <c r="F2721" s="61"/>
      <c r="G2721" s="61"/>
    </row>
    <row r="2722" spans="1:7">
      <c r="A2722" s="61"/>
      <c r="B2722" s="682" t="s">
        <v>5066</v>
      </c>
      <c r="C2722" s="61" t="s">
        <v>6786</v>
      </c>
      <c r="D2722" s="61"/>
      <c r="E2722" s="61"/>
      <c r="F2722" s="61"/>
      <c r="G2722" s="61"/>
    </row>
    <row r="2723" spans="1:7">
      <c r="A2723" s="61"/>
      <c r="B2723" s="61"/>
      <c r="C2723" s="61" t="s">
        <v>6787</v>
      </c>
      <c r="D2723" s="61"/>
      <c r="E2723" s="61"/>
      <c r="F2723" s="61"/>
      <c r="G2723" s="61"/>
    </row>
    <row r="2724" spans="1:7">
      <c r="A2724" s="61"/>
      <c r="B2724" s="248" t="s">
        <v>6788</v>
      </c>
      <c r="C2724" s="61"/>
      <c r="D2724" s="61"/>
      <c r="E2724" s="61"/>
      <c r="F2724" s="61"/>
      <c r="G2724" s="61"/>
    </row>
    <row r="2725" spans="1:7">
      <c r="A2725" s="61"/>
      <c r="B2725" s="223">
        <v>0.12</v>
      </c>
      <c r="C2725" s="61" t="s">
        <v>1460</v>
      </c>
      <c r="D2725" s="223">
        <f>'BASIC DATA'!$C$541</f>
        <v>400</v>
      </c>
      <c r="E2725" s="223" t="s">
        <v>1581</v>
      </c>
      <c r="F2725" s="223">
        <f>D2725*B2725</f>
        <v>48</v>
      </c>
      <c r="G2725" s="61"/>
    </row>
    <row r="2726" spans="1:7">
      <c r="A2726" s="61"/>
      <c r="B2726" s="223">
        <v>1</v>
      </c>
      <c r="C2726" s="61" t="s">
        <v>6789</v>
      </c>
      <c r="D2726" s="223">
        <f>'BASIC DATA'!$C$474</f>
        <v>445</v>
      </c>
      <c r="E2726" s="223" t="s">
        <v>1581</v>
      </c>
      <c r="F2726" s="223">
        <f>D2726*B2726</f>
        <v>445</v>
      </c>
      <c r="G2726" s="61"/>
    </row>
    <row r="2727" spans="1:7">
      <c r="A2727" s="61"/>
      <c r="B2727" s="223">
        <v>2</v>
      </c>
      <c r="C2727" s="61" t="s">
        <v>6790</v>
      </c>
      <c r="D2727" s="223">
        <f>'BASIC DATA'!$C$552</f>
        <v>350</v>
      </c>
      <c r="E2727" s="223" t="s">
        <v>1581</v>
      </c>
      <c r="F2727" s="223">
        <f>D2727*B2727</f>
        <v>700</v>
      </c>
      <c r="G2727" s="61"/>
    </row>
    <row r="2728" spans="1:7">
      <c r="A2728" s="61"/>
      <c r="B2728" s="223"/>
      <c r="C2728" s="222" t="s">
        <v>6791</v>
      </c>
      <c r="D2728" s="223"/>
      <c r="E2728" s="223"/>
      <c r="F2728" s="223">
        <f>SUM(F2725:F2727)</f>
        <v>1193</v>
      </c>
      <c r="G2728" s="61"/>
    </row>
    <row r="2729" spans="1:7">
      <c r="A2729" s="61"/>
      <c r="B2729" s="248" t="s">
        <v>6966</v>
      </c>
      <c r="C2729" s="61"/>
      <c r="D2729" s="223"/>
      <c r="E2729" s="223"/>
      <c r="F2729" s="223"/>
      <c r="G2729" s="61"/>
    </row>
    <row r="2730" spans="1:7">
      <c r="A2730" s="61"/>
      <c r="B2730" s="223">
        <v>2</v>
      </c>
      <c r="C2730" s="61" t="s">
        <v>6967</v>
      </c>
      <c r="D2730" s="223">
        <f>'HIRE CHARGES'!$D$550</f>
        <v>519.69999999999993</v>
      </c>
      <c r="E2730" s="223" t="s">
        <v>1189</v>
      </c>
      <c r="F2730" s="223">
        <f>D2730*B2730</f>
        <v>1039.3999999999999</v>
      </c>
      <c r="G2730" s="61"/>
    </row>
    <row r="2731" spans="1:7">
      <c r="A2731" s="61"/>
      <c r="B2731" s="223"/>
      <c r="C2731" s="61" t="s">
        <v>6968</v>
      </c>
      <c r="D2731" s="223"/>
      <c r="E2731" s="223"/>
      <c r="F2731" s="223"/>
      <c r="G2731" s="61"/>
    </row>
    <row r="2732" spans="1:7">
      <c r="A2732" s="61"/>
      <c r="B2732" s="223"/>
      <c r="C2732" s="61" t="s">
        <v>1465</v>
      </c>
      <c r="D2732" s="223">
        <f>'HIRE CHARGES'!$E$550</f>
        <v>299.89999999999998</v>
      </c>
      <c r="E2732" s="223" t="s">
        <v>1189</v>
      </c>
      <c r="F2732" s="223">
        <f>D2732*B2730</f>
        <v>599.79999999999995</v>
      </c>
      <c r="G2732" s="61"/>
    </row>
    <row r="2733" spans="1:7">
      <c r="A2733" s="61"/>
      <c r="B2733" s="223"/>
      <c r="C2733" s="61" t="s">
        <v>1466</v>
      </c>
      <c r="D2733" s="223">
        <f>'HIRE CHARGES'!$F$549</f>
        <v>177.5</v>
      </c>
      <c r="E2733" s="223" t="s">
        <v>1189</v>
      </c>
      <c r="F2733" s="223">
        <f>D2733*B2730</f>
        <v>355</v>
      </c>
      <c r="G2733" s="61"/>
    </row>
    <row r="2734" spans="1:7">
      <c r="A2734" s="61"/>
      <c r="B2734" s="223"/>
      <c r="C2734" s="61" t="s">
        <v>7628</v>
      </c>
      <c r="D2734" s="223"/>
      <c r="E2734" s="223"/>
      <c r="F2734" s="223">
        <f>0.1*SUM(F2730:F2733)</f>
        <v>199.42</v>
      </c>
      <c r="G2734" s="61"/>
    </row>
    <row r="2735" spans="1:7">
      <c r="A2735" s="61"/>
      <c r="B2735" s="223"/>
      <c r="C2735" s="222" t="s">
        <v>5636</v>
      </c>
      <c r="D2735" s="223"/>
      <c r="E2735" s="223"/>
      <c r="F2735" s="223">
        <f>SUM(F2730:F2734)</f>
        <v>2193.62</v>
      </c>
      <c r="G2735" s="61"/>
    </row>
    <row r="2736" spans="1:7">
      <c r="A2736" s="61"/>
      <c r="B2736" s="223"/>
      <c r="C2736" s="222" t="s">
        <v>5637</v>
      </c>
      <c r="D2736" s="223"/>
      <c r="E2736" s="223"/>
      <c r="F2736" s="223">
        <f>F2735+F2728</f>
        <v>3386.62</v>
      </c>
      <c r="G2736" s="61"/>
    </row>
    <row r="2737" spans="1:7" ht="36">
      <c r="A2737" s="61"/>
      <c r="B2737" s="223"/>
      <c r="C2737" s="49" t="s">
        <v>4711</v>
      </c>
      <c r="D2737" s="291">
        <f>'BASIC DATA'!$C$577</f>
        <v>0.13614999999999999</v>
      </c>
      <c r="E2737" s="223"/>
      <c r="F2737" s="223">
        <f>D2737*F2736</f>
        <v>461.08831299999997</v>
      </c>
      <c r="G2737" s="61"/>
    </row>
    <row r="2738" spans="1:7">
      <c r="A2738" s="61"/>
      <c r="B2738" s="223"/>
      <c r="C2738" s="61"/>
      <c r="D2738" s="223"/>
      <c r="E2738" s="223"/>
      <c r="F2738" s="223"/>
      <c r="G2738" s="61"/>
    </row>
    <row r="2739" spans="1:7">
      <c r="A2739" s="61"/>
      <c r="B2739" s="223"/>
      <c r="C2739" s="248" t="s">
        <v>4712</v>
      </c>
      <c r="D2739" s="223"/>
      <c r="E2739" s="223"/>
      <c r="F2739" s="381">
        <f>F2737+F2735+F2728</f>
        <v>3847.7083130000001</v>
      </c>
      <c r="G2739" s="61"/>
    </row>
    <row r="2740" spans="1:7">
      <c r="A2740" s="61"/>
      <c r="B2740" s="223"/>
      <c r="C2740" s="61" t="s">
        <v>5638</v>
      </c>
      <c r="D2740" s="61"/>
      <c r="E2740" s="223"/>
      <c r="F2740" s="536">
        <f>ROUND(F2739,1)</f>
        <v>3847.7</v>
      </c>
      <c r="G2740" s="61"/>
    </row>
    <row r="2741" spans="1:7">
      <c r="A2741" s="61"/>
      <c r="B2741" s="223"/>
      <c r="C2741" s="61" t="s">
        <v>5948</v>
      </c>
      <c r="D2741" s="61"/>
      <c r="E2741" s="223">
        <f>ROUND(F2728+F2734/1,1)</f>
        <v>1392.4</v>
      </c>
      <c r="F2741" s="61"/>
      <c r="G2741" s="61"/>
    </row>
    <row r="2742" spans="1:7">
      <c r="A2742" s="61"/>
      <c r="B2742" s="223"/>
      <c r="C2742" s="61" t="s">
        <v>2576</v>
      </c>
      <c r="D2742" s="291">
        <f>'BASIC DATA'!$C$577</f>
        <v>0.13614999999999999</v>
      </c>
      <c r="E2742" s="223">
        <f>ROUND(E2741*D2742,1)</f>
        <v>189.6</v>
      </c>
      <c r="F2742" s="61"/>
      <c r="G2742" s="61"/>
    </row>
    <row r="2743" spans="1:7">
      <c r="A2743" s="61"/>
      <c r="B2743" s="223"/>
      <c r="C2743" s="61" t="s">
        <v>5950</v>
      </c>
      <c r="D2743" s="223"/>
      <c r="E2743" s="683">
        <f>ROUND(E2742+E2741,1)</f>
        <v>1582</v>
      </c>
      <c r="F2743" s="61"/>
      <c r="G2743" s="61"/>
    </row>
    <row r="2744" spans="1:7">
      <c r="A2744" s="61"/>
      <c r="B2744" s="223"/>
      <c r="C2744" s="61"/>
      <c r="D2744" s="223"/>
      <c r="E2744" s="223"/>
      <c r="F2744" s="223"/>
      <c r="G2744" s="61"/>
    </row>
    <row r="2745" spans="1:7">
      <c r="A2745" s="61"/>
      <c r="B2745" s="684" t="s">
        <v>5639</v>
      </c>
      <c r="C2745" s="61" t="s">
        <v>5640</v>
      </c>
      <c r="D2745" s="223"/>
      <c r="E2745" s="223"/>
      <c r="F2745" s="223"/>
      <c r="G2745" s="61"/>
    </row>
    <row r="2746" spans="1:7">
      <c r="A2746" s="61"/>
      <c r="B2746" s="223"/>
      <c r="C2746" s="61" t="s">
        <v>5641</v>
      </c>
      <c r="D2746" s="223"/>
      <c r="E2746" s="223"/>
      <c r="F2746" s="223"/>
      <c r="G2746" s="61"/>
    </row>
    <row r="2747" spans="1:7">
      <c r="A2747" s="61"/>
      <c r="B2747" s="248" t="s">
        <v>6788</v>
      </c>
      <c r="C2747" s="61"/>
      <c r="D2747" s="223"/>
      <c r="E2747" s="223"/>
      <c r="F2747" s="223"/>
      <c r="G2747" s="61"/>
    </row>
    <row r="2748" spans="1:7">
      <c r="A2748" s="61"/>
      <c r="B2748" s="223">
        <v>0.15</v>
      </c>
      <c r="C2748" s="61" t="s">
        <v>1460</v>
      </c>
      <c r="D2748" s="223">
        <f>'BASIC DATA'!$C$541</f>
        <v>400</v>
      </c>
      <c r="E2748" s="223" t="s">
        <v>1581</v>
      </c>
      <c r="F2748" s="223">
        <f>D2748*B2748</f>
        <v>60</v>
      </c>
      <c r="G2748" s="61"/>
    </row>
    <row r="2749" spans="1:7">
      <c r="A2749" s="61"/>
      <c r="B2749" s="223">
        <v>1.25</v>
      </c>
      <c r="C2749" s="61" t="s">
        <v>6789</v>
      </c>
      <c r="D2749" s="223">
        <f>'BASIC DATA'!$C$474</f>
        <v>445</v>
      </c>
      <c r="E2749" s="223" t="s">
        <v>1581</v>
      </c>
      <c r="F2749" s="223">
        <f>D2749*B2749</f>
        <v>556.25</v>
      </c>
      <c r="G2749" s="61"/>
    </row>
    <row r="2750" spans="1:7">
      <c r="A2750" s="61"/>
      <c r="B2750" s="223">
        <v>2.5</v>
      </c>
      <c r="C2750" s="61" t="s">
        <v>6790</v>
      </c>
      <c r="D2750" s="223">
        <f>'BASIC DATA'!$C$552</f>
        <v>350</v>
      </c>
      <c r="E2750" s="223" t="s">
        <v>1581</v>
      </c>
      <c r="F2750" s="223">
        <f>D2750*B2750</f>
        <v>875</v>
      </c>
      <c r="G2750" s="61"/>
    </row>
    <row r="2751" spans="1:7">
      <c r="A2751" s="61"/>
      <c r="B2751" s="223"/>
      <c r="C2751" s="222" t="s">
        <v>6791</v>
      </c>
      <c r="D2751" s="223"/>
      <c r="E2751" s="223"/>
      <c r="F2751" s="223">
        <f>SUM(F2748:F2750)</f>
        <v>1491.25</v>
      </c>
      <c r="G2751" s="61"/>
    </row>
    <row r="2752" spans="1:7">
      <c r="A2752" s="61"/>
      <c r="B2752" s="248" t="s">
        <v>6966</v>
      </c>
      <c r="C2752" s="61"/>
      <c r="D2752" s="223"/>
      <c r="E2752" s="223"/>
      <c r="F2752" s="223"/>
      <c r="G2752" s="61"/>
    </row>
    <row r="2753" spans="1:7">
      <c r="A2753" s="61"/>
      <c r="B2753" s="223">
        <v>3</v>
      </c>
      <c r="C2753" s="61" t="s">
        <v>6967</v>
      </c>
      <c r="D2753" s="223">
        <f>'HIRE CHARGES'!$D$550</f>
        <v>519.69999999999993</v>
      </c>
      <c r="E2753" s="223" t="s">
        <v>1189</v>
      </c>
      <c r="F2753" s="223">
        <f>D2753*B2753</f>
        <v>1559.1</v>
      </c>
      <c r="G2753" s="61"/>
    </row>
    <row r="2754" spans="1:7">
      <c r="A2754" s="61"/>
      <c r="B2754" s="223"/>
      <c r="C2754" s="61" t="s">
        <v>6968</v>
      </c>
      <c r="D2754" s="223"/>
      <c r="E2754" s="223"/>
      <c r="F2754" s="223"/>
      <c r="G2754" s="61"/>
    </row>
    <row r="2755" spans="1:7">
      <c r="A2755" s="61"/>
      <c r="B2755" s="223"/>
      <c r="C2755" s="61" t="s">
        <v>1465</v>
      </c>
      <c r="D2755" s="223">
        <f>'HIRE CHARGES'!$E$550</f>
        <v>299.89999999999998</v>
      </c>
      <c r="E2755" s="223" t="s">
        <v>1189</v>
      </c>
      <c r="F2755" s="223">
        <f>D2755*B2753</f>
        <v>899.69999999999993</v>
      </c>
      <c r="G2755" s="61"/>
    </row>
    <row r="2756" spans="1:7">
      <c r="A2756" s="61"/>
      <c r="B2756" s="223"/>
      <c r="C2756" s="61" t="s">
        <v>1466</v>
      </c>
      <c r="D2756" s="223">
        <f>'HIRE CHARGES'!$F$549</f>
        <v>177.5</v>
      </c>
      <c r="E2756" s="223" t="s">
        <v>1189</v>
      </c>
      <c r="F2756" s="223">
        <f>D2756*B2753</f>
        <v>532.5</v>
      </c>
      <c r="G2756" s="61"/>
    </row>
    <row r="2757" spans="1:7">
      <c r="A2757" s="61"/>
      <c r="B2757" s="223"/>
      <c r="C2757" s="61" t="s">
        <v>7628</v>
      </c>
      <c r="D2757" s="223"/>
      <c r="E2757" s="223"/>
      <c r="F2757" s="223">
        <f>0.1*SUM(F2753:F2756)</f>
        <v>299.13</v>
      </c>
      <c r="G2757" s="61"/>
    </row>
    <row r="2758" spans="1:7">
      <c r="A2758" s="61"/>
      <c r="B2758" s="223"/>
      <c r="C2758" s="222" t="s">
        <v>5636</v>
      </c>
      <c r="D2758" s="223"/>
      <c r="E2758" s="223"/>
      <c r="F2758" s="223">
        <f>SUM(F2753:F2757)</f>
        <v>3290.43</v>
      </c>
      <c r="G2758" s="61"/>
    </row>
    <row r="2759" spans="1:7">
      <c r="A2759" s="61"/>
      <c r="B2759" s="223"/>
      <c r="C2759" s="222" t="s">
        <v>5637</v>
      </c>
      <c r="D2759" s="223"/>
      <c r="E2759" s="223"/>
      <c r="F2759" s="223">
        <f>F2758+F2751</f>
        <v>4781.68</v>
      </c>
      <c r="G2759" s="61"/>
    </row>
    <row r="2760" spans="1:7" ht="36">
      <c r="A2760" s="61"/>
      <c r="B2760" s="223"/>
      <c r="C2760" s="49" t="s">
        <v>4711</v>
      </c>
      <c r="D2760" s="291">
        <f>'BASIC DATA'!$C$577</f>
        <v>0.13614999999999999</v>
      </c>
      <c r="E2760" s="223"/>
      <c r="F2760" s="223">
        <f>F2759*D2760</f>
        <v>651.02573200000006</v>
      </c>
      <c r="G2760" s="61"/>
    </row>
    <row r="2761" spans="1:7">
      <c r="A2761" s="61"/>
      <c r="B2761" s="223"/>
      <c r="C2761" s="61"/>
      <c r="D2761" s="223"/>
      <c r="E2761" s="223"/>
      <c r="F2761" s="223"/>
      <c r="G2761" s="61"/>
    </row>
    <row r="2762" spans="1:7">
      <c r="A2762" s="61"/>
      <c r="B2762" s="410" t="s">
        <v>3625</v>
      </c>
      <c r="C2762" s="61"/>
      <c r="D2762" s="223"/>
      <c r="E2762" s="223"/>
      <c r="F2762" s="381">
        <f>F2760+F2758++F2751</f>
        <v>5432.7057320000004</v>
      </c>
      <c r="G2762" s="61"/>
    </row>
    <row r="2763" spans="1:7">
      <c r="A2763" s="61"/>
      <c r="B2763" s="61"/>
      <c r="C2763" s="61" t="s">
        <v>2969</v>
      </c>
      <c r="D2763" s="223"/>
      <c r="E2763" s="536">
        <f>ROUND(F2762,1)</f>
        <v>5432.7</v>
      </c>
      <c r="F2763" s="61"/>
      <c r="G2763" s="61"/>
    </row>
    <row r="2764" spans="1:7">
      <c r="A2764" s="61"/>
      <c r="B2764" s="61"/>
      <c r="C2764" s="61"/>
      <c r="D2764" s="223"/>
      <c r="E2764" s="223"/>
      <c r="F2764" s="61"/>
      <c r="G2764" s="61"/>
    </row>
    <row r="2765" spans="1:7">
      <c r="A2765" s="61"/>
      <c r="B2765" s="223"/>
      <c r="C2765" s="61" t="s">
        <v>5948</v>
      </c>
      <c r="D2765" s="223"/>
      <c r="E2765" s="223">
        <f>ROUND(F2751+F2757/1,1)</f>
        <v>1790.4</v>
      </c>
      <c r="F2765" s="61"/>
      <c r="G2765" s="61"/>
    </row>
    <row r="2766" spans="1:7">
      <c r="A2766" s="61"/>
      <c r="B2766" s="223"/>
      <c r="C2766" s="61" t="s">
        <v>2576</v>
      </c>
      <c r="D2766" s="223">
        <f>'BASIC DATA'!$C$577</f>
        <v>0.13614999999999999</v>
      </c>
      <c r="E2766" s="223">
        <f>ROUND(E2765*D2766,1)</f>
        <v>243.8</v>
      </c>
      <c r="F2766" s="61"/>
      <c r="G2766" s="61"/>
    </row>
    <row r="2767" spans="1:7">
      <c r="A2767" s="61"/>
      <c r="B2767" s="223"/>
      <c r="C2767" s="61" t="s">
        <v>5950</v>
      </c>
      <c r="D2767" s="223"/>
      <c r="E2767" s="683">
        <f>ROUND(E2766+E2765,1)</f>
        <v>2034.2</v>
      </c>
      <c r="F2767" s="61"/>
      <c r="G2767" s="61"/>
    </row>
    <row r="2768" spans="1:7">
      <c r="A2768" s="26"/>
      <c r="B2768" s="78"/>
      <c r="C2768" s="26"/>
      <c r="D2768" s="26"/>
      <c r="E2768" s="26"/>
      <c r="F2768" s="26"/>
      <c r="G2768" s="26"/>
    </row>
    <row r="2769" spans="1:7">
      <c r="A2769" s="26"/>
      <c r="B2769" s="78"/>
      <c r="C2769" s="26"/>
      <c r="D2769" s="26"/>
      <c r="E2769" s="26"/>
      <c r="F2769" s="26"/>
      <c r="G2769" s="26"/>
    </row>
    <row r="2770" spans="1:7">
      <c r="A2770" s="78" t="s">
        <v>7569</v>
      </c>
      <c r="B2770" s="26" t="s">
        <v>8970</v>
      </c>
      <c r="C2770" s="26"/>
      <c r="D2770" s="26"/>
      <c r="E2770" s="26"/>
      <c r="F2770" s="26"/>
      <c r="G2770" s="26"/>
    </row>
    <row r="2771" spans="1:7">
      <c r="A2771" s="78"/>
      <c r="B2771" s="26" t="s">
        <v>5207</v>
      </c>
      <c r="C2771" s="26"/>
      <c r="D2771" s="26"/>
      <c r="E2771" s="26"/>
      <c r="F2771" s="26"/>
      <c r="G2771" s="26"/>
    </row>
    <row r="2772" spans="1:7" ht="18.75">
      <c r="A2772" s="78"/>
      <c r="B2772" s="170" t="s">
        <v>8957</v>
      </c>
      <c r="C2772" s="26"/>
      <c r="D2772" s="26"/>
      <c r="E2772" s="26"/>
      <c r="F2772" s="26"/>
      <c r="G2772" s="26"/>
    </row>
    <row r="2773" spans="1:7">
      <c r="A2773" s="78"/>
      <c r="B2773" s="26"/>
      <c r="C2773" s="26"/>
      <c r="D2773" s="26"/>
      <c r="E2773" s="26"/>
      <c r="F2773" s="26"/>
      <c r="G2773" s="26"/>
    </row>
    <row r="2774" spans="1:7">
      <c r="A2774" s="78" t="s">
        <v>3984</v>
      </c>
      <c r="B2774" s="26" t="s">
        <v>5208</v>
      </c>
      <c r="C2774" s="26"/>
      <c r="D2774" s="26"/>
      <c r="E2774" s="26"/>
      <c r="F2774" s="26"/>
      <c r="G2774" s="26"/>
    </row>
    <row r="2775" spans="1:7">
      <c r="A2775" s="78"/>
      <c r="B2775" s="26" t="s">
        <v>2714</v>
      </c>
      <c r="C2775" s="26"/>
      <c r="D2775" s="26"/>
      <c r="E2775" s="78" t="s">
        <v>1697</v>
      </c>
      <c r="F2775" s="68">
        <v>7.5</v>
      </c>
      <c r="G2775" s="26" t="s">
        <v>3477</v>
      </c>
    </row>
    <row r="2776" spans="1:7">
      <c r="A2776" s="78"/>
      <c r="B2776" s="26" t="s">
        <v>3720</v>
      </c>
      <c r="C2776" s="26"/>
      <c r="D2776" s="26"/>
      <c r="E2776" s="26"/>
      <c r="F2776" s="26"/>
      <c r="G2776" s="26"/>
    </row>
    <row r="2777" spans="1:7">
      <c r="A2777" s="26"/>
      <c r="B2777" s="78"/>
      <c r="C2777" s="26"/>
      <c r="D2777" s="26"/>
      <c r="E2777" s="26"/>
      <c r="F2777" s="26"/>
      <c r="G2777" s="26"/>
    </row>
    <row r="2778" spans="1:7">
      <c r="A2778" s="78" t="s">
        <v>3984</v>
      </c>
      <c r="B2778" s="78"/>
      <c r="C2778" s="203" t="s">
        <v>2367</v>
      </c>
      <c r="D2778" s="26"/>
      <c r="E2778" s="171" t="s">
        <v>297</v>
      </c>
      <c r="F2778" s="246">
        <v>15</v>
      </c>
      <c r="G2778" s="26" t="s">
        <v>3477</v>
      </c>
    </row>
    <row r="2779" spans="1:7">
      <c r="A2779" s="26"/>
      <c r="B2779" s="79" t="s">
        <v>2368</v>
      </c>
      <c r="C2779" s="26"/>
      <c r="D2779" s="26"/>
      <c r="E2779" s="26"/>
      <c r="F2779" s="26"/>
      <c r="G2779" s="26"/>
    </row>
    <row r="2780" spans="1:7">
      <c r="A2780" s="26"/>
      <c r="B2780" s="95" t="s">
        <v>2369</v>
      </c>
      <c r="C2780" s="157" t="s">
        <v>4443</v>
      </c>
      <c r="D2780" s="95" t="s">
        <v>2370</v>
      </c>
      <c r="E2780" s="95" t="s">
        <v>1166</v>
      </c>
      <c r="F2780" s="95" t="s">
        <v>2371</v>
      </c>
      <c r="G2780" s="95" t="s">
        <v>2372</v>
      </c>
    </row>
    <row r="2781" spans="1:7">
      <c r="A2781" s="26"/>
      <c r="B2781" s="114"/>
      <c r="C2781" s="154"/>
      <c r="D2781" s="114"/>
      <c r="E2781" s="114"/>
      <c r="F2781" s="114" t="s">
        <v>3485</v>
      </c>
      <c r="G2781" s="114" t="s">
        <v>3485</v>
      </c>
    </row>
    <row r="2782" spans="1:7">
      <c r="A2782" s="61"/>
      <c r="B2782" s="295">
        <v>1</v>
      </c>
      <c r="C2782" s="326" t="s">
        <v>7871</v>
      </c>
      <c r="D2782" s="295" t="s">
        <v>3477</v>
      </c>
      <c r="E2782" s="255">
        <v>15.75</v>
      </c>
      <c r="F2782" s="255">
        <f>'BASIC DATA'!$D$56</f>
        <v>95</v>
      </c>
      <c r="G2782" s="255">
        <f>E2782*F2782</f>
        <v>1496.25</v>
      </c>
    </row>
    <row r="2783" spans="1:7">
      <c r="A2783" s="26"/>
      <c r="B2783" s="365"/>
      <c r="C2783" s="139"/>
      <c r="D2783" s="114"/>
      <c r="E2783" s="182"/>
      <c r="F2783" s="182">
        <v>0</v>
      </c>
      <c r="G2783" s="182">
        <f>E2783*F2783</f>
        <v>0</v>
      </c>
    </row>
    <row r="2784" spans="1:7">
      <c r="A2784" s="26"/>
      <c r="B2784" s="93"/>
      <c r="C2784" s="31" t="s">
        <v>6846</v>
      </c>
      <c r="D2784" s="31" t="s">
        <v>4043</v>
      </c>
      <c r="E2784" s="198"/>
      <c r="F2784" s="275" t="s">
        <v>1698</v>
      </c>
      <c r="G2784" s="190">
        <v>0</v>
      </c>
    </row>
    <row r="2785" spans="1:7">
      <c r="A2785" s="26"/>
      <c r="B2785" s="92"/>
      <c r="C2785" s="193" t="s">
        <v>2376</v>
      </c>
      <c r="D2785" s="159"/>
      <c r="E2785" s="238"/>
      <c r="F2785" s="236" t="s">
        <v>1698</v>
      </c>
      <c r="G2785" s="318">
        <f>SUM(G2782:G2784)</f>
        <v>1496.25</v>
      </c>
    </row>
    <row r="2786" spans="1:7">
      <c r="A2786" s="26"/>
      <c r="B2786" s="78"/>
      <c r="C2786" s="26"/>
      <c r="D2786" s="26"/>
      <c r="E2786" s="26"/>
      <c r="F2786" s="26"/>
      <c r="G2786" s="26"/>
    </row>
    <row r="2787" spans="1:7">
      <c r="A2787" s="26"/>
      <c r="B2787" s="79" t="s">
        <v>2377</v>
      </c>
      <c r="C2787" s="26"/>
      <c r="D2787" s="26"/>
      <c r="E2787" s="26"/>
      <c r="F2787" s="26"/>
      <c r="G2787" s="26"/>
    </row>
    <row r="2788" spans="1:7">
      <c r="A2788" s="26"/>
      <c r="B2788" s="95" t="s">
        <v>2369</v>
      </c>
      <c r="C2788" s="157" t="s">
        <v>2378</v>
      </c>
      <c r="D2788" s="95" t="s">
        <v>2370</v>
      </c>
      <c r="E2788" s="95" t="s">
        <v>1166</v>
      </c>
      <c r="F2788" s="95" t="s">
        <v>2371</v>
      </c>
      <c r="G2788" s="95" t="s">
        <v>2372</v>
      </c>
    </row>
    <row r="2789" spans="1:7">
      <c r="A2789" s="26"/>
      <c r="B2789" s="114"/>
      <c r="C2789" s="154"/>
      <c r="D2789" s="114"/>
      <c r="E2789" s="114"/>
      <c r="F2789" s="114" t="s">
        <v>3485</v>
      </c>
      <c r="G2789" s="114" t="s">
        <v>3485</v>
      </c>
    </row>
    <row r="2790" spans="1:7">
      <c r="A2790" s="26"/>
      <c r="B2790" s="95">
        <v>1</v>
      </c>
      <c r="C2790" s="95" t="s">
        <v>1130</v>
      </c>
      <c r="D2790" s="175"/>
      <c r="E2790" s="179">
        <v>0</v>
      </c>
      <c r="F2790" s="190">
        <v>0</v>
      </c>
      <c r="G2790" s="190">
        <f>E2790*F2790</f>
        <v>0</v>
      </c>
    </row>
    <row r="2791" spans="1:7">
      <c r="A2791" s="26"/>
      <c r="B2791" s="365"/>
      <c r="C2791" s="116"/>
      <c r="D2791" s="188"/>
      <c r="E2791" s="182">
        <v>0</v>
      </c>
      <c r="F2791" s="182">
        <v>0</v>
      </c>
      <c r="G2791" s="182">
        <f>E2791*F2791</f>
        <v>0</v>
      </c>
    </row>
    <row r="2792" spans="1:7">
      <c r="A2792" s="26"/>
      <c r="B2792" s="176"/>
      <c r="C2792" s="172" t="s">
        <v>2380</v>
      </c>
      <c r="D2792" s="174"/>
      <c r="E2792" s="192"/>
      <c r="F2792" s="275" t="s">
        <v>1698</v>
      </c>
      <c r="G2792" s="434">
        <f>SUM(G2790:G2791)</f>
        <v>0</v>
      </c>
    </row>
    <row r="2793" spans="1:7">
      <c r="A2793" s="26"/>
      <c r="B2793" s="78"/>
      <c r="C2793" s="26"/>
      <c r="D2793" s="26"/>
      <c r="E2793" s="26"/>
      <c r="F2793" s="26"/>
      <c r="G2793" s="26"/>
    </row>
    <row r="2794" spans="1:7">
      <c r="A2794" s="26"/>
      <c r="B2794" s="79" t="s">
        <v>2381</v>
      </c>
      <c r="C2794" s="26"/>
      <c r="D2794" s="26"/>
      <c r="E2794" s="26"/>
      <c r="F2794" s="26"/>
      <c r="G2794" s="26"/>
    </row>
    <row r="2795" spans="1:7">
      <c r="A2795" s="26"/>
      <c r="B2795" s="95" t="s">
        <v>2369</v>
      </c>
      <c r="C2795" s="157" t="s">
        <v>2378</v>
      </c>
      <c r="D2795" s="95" t="s">
        <v>2370</v>
      </c>
      <c r="E2795" s="95" t="s">
        <v>1166</v>
      </c>
      <c r="F2795" s="95" t="s">
        <v>2371</v>
      </c>
      <c r="G2795" s="95" t="s">
        <v>2372</v>
      </c>
    </row>
    <row r="2796" spans="1:7">
      <c r="A2796" s="26"/>
      <c r="B2796" s="114"/>
      <c r="C2796" s="154"/>
      <c r="D2796" s="105"/>
      <c r="E2796" s="105"/>
      <c r="F2796" s="105" t="s">
        <v>3485</v>
      </c>
      <c r="G2796" s="114" t="s">
        <v>3485</v>
      </c>
    </row>
    <row r="2797" spans="1:7">
      <c r="A2797" s="26"/>
      <c r="B2797" s="95">
        <v>1</v>
      </c>
      <c r="C2797" s="76" t="s">
        <v>4206</v>
      </c>
      <c r="D2797" s="95" t="s">
        <v>1172</v>
      </c>
      <c r="E2797" s="179">
        <v>0.25</v>
      </c>
      <c r="F2797" s="190">
        <f>'BASIC DATA'!$C$473</f>
        <v>450</v>
      </c>
      <c r="G2797" s="207">
        <f>E2797*F2797</f>
        <v>112.5</v>
      </c>
    </row>
    <row r="2798" spans="1:7">
      <c r="A2798" s="26"/>
      <c r="B2798" s="105">
        <v>2</v>
      </c>
      <c r="C2798" s="76" t="s">
        <v>2697</v>
      </c>
      <c r="D2798" s="105" t="s">
        <v>1172</v>
      </c>
      <c r="E2798" s="190">
        <v>4</v>
      </c>
      <c r="F2798" s="190">
        <f>'BASIC DATA'!$C$552</f>
        <v>350</v>
      </c>
      <c r="G2798" s="207">
        <f>E2798*F2798</f>
        <v>1400</v>
      </c>
    </row>
    <row r="2799" spans="1:7">
      <c r="A2799" s="26"/>
      <c r="B2799" s="92"/>
      <c r="C2799" s="193" t="s">
        <v>1174</v>
      </c>
      <c r="D2799" s="159"/>
      <c r="E2799" s="238"/>
      <c r="F2799" s="236" t="s">
        <v>1698</v>
      </c>
      <c r="G2799" s="318">
        <f>SUM(G2797:G2798)</f>
        <v>1512.5</v>
      </c>
    </row>
    <row r="2800" spans="1:7">
      <c r="A2800" s="26"/>
      <c r="B2800" s="60" t="s">
        <v>5948</v>
      </c>
      <c r="C2800" s="31"/>
      <c r="D2800" s="31"/>
      <c r="E2800" s="85">
        <f>ROUND(G2799/F2778,1)</f>
        <v>100.8</v>
      </c>
      <c r="F2800" s="26"/>
      <c r="G2800" s="26"/>
    </row>
    <row r="2801" spans="1:7">
      <c r="A2801" s="26"/>
      <c r="B2801" s="60" t="s">
        <v>3163</v>
      </c>
      <c r="C2801" s="31"/>
      <c r="D2801" s="31">
        <f>'BASIC DATA'!$C$577</f>
        <v>0.13614999999999999</v>
      </c>
      <c r="E2801" s="85">
        <f>ROUND(E2800*D2801,1)</f>
        <v>13.7</v>
      </c>
      <c r="F2801" s="26"/>
      <c r="G2801" s="26"/>
    </row>
    <row r="2802" spans="1:7">
      <c r="A2802" s="26"/>
      <c r="B2802" s="60" t="s">
        <v>5949</v>
      </c>
      <c r="C2802" s="31"/>
      <c r="D2802" s="31"/>
      <c r="E2802" s="199">
        <f>ROUND(E2801+E2800,1)</f>
        <v>114.5</v>
      </c>
      <c r="F2802" s="56"/>
      <c r="G2802" s="26"/>
    </row>
    <row r="2803" spans="1:7">
      <c r="A2803" s="26"/>
      <c r="B2803" s="78"/>
      <c r="C2803" s="26"/>
      <c r="D2803" s="26"/>
      <c r="E2803" s="26"/>
      <c r="F2803" s="26"/>
      <c r="G2803" s="26"/>
    </row>
    <row r="2804" spans="1:7">
      <c r="A2804" s="26"/>
      <c r="B2804" s="170" t="s">
        <v>1175</v>
      </c>
      <c r="C2804" s="26"/>
      <c r="D2804" s="26"/>
      <c r="E2804" s="26"/>
      <c r="F2804" s="26"/>
      <c r="G2804" s="26"/>
    </row>
    <row r="2805" spans="1:7">
      <c r="A2805" s="26"/>
      <c r="B2805" s="26" t="s">
        <v>5010</v>
      </c>
      <c r="C2805" s="26"/>
      <c r="D2805" s="26"/>
      <c r="E2805" s="26"/>
      <c r="F2805" s="171" t="s">
        <v>1698</v>
      </c>
      <c r="G2805" s="68">
        <f>G2785</f>
        <v>1496.25</v>
      </c>
    </row>
    <row r="2806" spans="1:7">
      <c r="A2806" s="26"/>
      <c r="B2806" s="26" t="s">
        <v>1186</v>
      </c>
      <c r="C2806" s="26"/>
      <c r="D2806" s="26"/>
      <c r="E2806" s="26"/>
      <c r="F2806" s="171" t="s">
        <v>1698</v>
      </c>
      <c r="G2806" s="68">
        <f>G2792</f>
        <v>0</v>
      </c>
    </row>
    <row r="2807" spans="1:7">
      <c r="A2807" s="26"/>
      <c r="B2807" s="26" t="s">
        <v>2660</v>
      </c>
      <c r="C2807" s="26"/>
      <c r="D2807" s="26"/>
      <c r="E2807" s="26"/>
      <c r="F2807" s="171" t="s">
        <v>1698</v>
      </c>
      <c r="G2807" s="75">
        <f>G2799</f>
        <v>1512.5</v>
      </c>
    </row>
    <row r="2808" spans="1:7">
      <c r="A2808" s="26"/>
      <c r="B2808" s="78"/>
      <c r="C2808" s="26"/>
      <c r="D2808" s="26"/>
      <c r="E2808" s="171"/>
      <c r="F2808" s="171" t="s">
        <v>302</v>
      </c>
      <c r="G2808" s="205">
        <f>SUM(G2805:G2807)</f>
        <v>3008.75</v>
      </c>
    </row>
    <row r="2809" spans="1:7">
      <c r="A2809" s="26"/>
      <c r="B2809" s="1206" t="s">
        <v>1379</v>
      </c>
      <c r="C2809" s="1206"/>
      <c r="D2809" s="26"/>
      <c r="E2809" s="249">
        <f>'BASIC DATA'!$C$577</f>
        <v>0.13614999999999999</v>
      </c>
      <c r="F2809" s="26" t="s">
        <v>1698</v>
      </c>
      <c r="G2809" s="26">
        <f>ROUND(G2808*E2809,2)</f>
        <v>409.64</v>
      </c>
    </row>
    <row r="2810" spans="1:7">
      <c r="A2810" s="26"/>
      <c r="B2810" s="26" t="s">
        <v>1191</v>
      </c>
      <c r="C2810" s="26"/>
      <c r="D2810" s="68">
        <f>F2778</f>
        <v>15</v>
      </c>
      <c r="E2810" s="68" t="str">
        <f>G2778</f>
        <v>cum</v>
      </c>
      <c r="F2810" s="26" t="s">
        <v>1698</v>
      </c>
      <c r="G2810" s="170">
        <f>G2809+G2808</f>
        <v>3418.39</v>
      </c>
    </row>
    <row r="2811" spans="1:7">
      <c r="A2811" s="26"/>
      <c r="B2811" s="170" t="s">
        <v>1584</v>
      </c>
      <c r="C2811" s="211" t="str">
        <f>E2810</f>
        <v>cum</v>
      </c>
      <c r="D2811" s="26" t="s">
        <v>4709</v>
      </c>
      <c r="E2811" s="26"/>
      <c r="F2811" s="26" t="s">
        <v>4108</v>
      </c>
      <c r="G2811" s="211">
        <f>ROUND(G2810/D2810,1)</f>
        <v>227.9</v>
      </c>
    </row>
    <row r="2812" spans="1:7">
      <c r="A2812" s="26"/>
      <c r="B2812" s="78"/>
      <c r="C2812" s="26"/>
      <c r="D2812" s="26"/>
      <c r="E2812" s="26"/>
      <c r="F2812" s="26"/>
      <c r="G2812" s="26"/>
    </row>
    <row r="2813" spans="1:7">
      <c r="A2813" s="78" t="s">
        <v>7570</v>
      </c>
      <c r="B2813" s="170" t="s">
        <v>228</v>
      </c>
      <c r="C2813" s="26"/>
      <c r="D2813" s="26"/>
      <c r="E2813" s="26"/>
      <c r="F2813" s="26"/>
      <c r="G2813" s="26"/>
    </row>
    <row r="2814" spans="1:7">
      <c r="A2814" s="78"/>
      <c r="B2814" s="26"/>
      <c r="C2814" s="26"/>
      <c r="D2814" s="26"/>
      <c r="E2814" s="26"/>
      <c r="F2814" s="26"/>
      <c r="G2814" s="26"/>
    </row>
    <row r="2815" spans="1:7" ht="18.75">
      <c r="A2815" s="78" t="s">
        <v>7571</v>
      </c>
      <c r="B2815" s="26" t="s">
        <v>8971</v>
      </c>
      <c r="C2815" s="26"/>
      <c r="D2815" s="26"/>
      <c r="E2815" s="26"/>
      <c r="F2815" s="26"/>
      <c r="G2815" s="26"/>
    </row>
    <row r="2816" spans="1:7" ht="18.75">
      <c r="A2816" s="78"/>
      <c r="B2816" s="26" t="s">
        <v>8972</v>
      </c>
      <c r="C2816" s="26"/>
      <c r="D2816" s="26"/>
      <c r="E2816" s="26"/>
      <c r="F2816" s="26"/>
      <c r="G2816" s="26"/>
    </row>
    <row r="2817" spans="1:7">
      <c r="A2817" s="78"/>
      <c r="B2817" s="26" t="s">
        <v>4368</v>
      </c>
      <c r="C2817" s="26"/>
      <c r="D2817" s="26"/>
      <c r="E2817" s="26"/>
      <c r="F2817" s="26"/>
      <c r="G2817" s="26"/>
    </row>
    <row r="2818" spans="1:7" ht="18.75">
      <c r="A2818" s="78"/>
      <c r="B2818" s="26" t="s">
        <v>8973</v>
      </c>
      <c r="C2818" s="26"/>
      <c r="D2818" s="26"/>
      <c r="E2818" s="26"/>
      <c r="F2818" s="26"/>
      <c r="G2818" s="26"/>
    </row>
    <row r="2819" spans="1:7">
      <c r="A2819" s="78"/>
      <c r="B2819" s="170" t="s">
        <v>3581</v>
      </c>
      <c r="C2819" s="26"/>
      <c r="D2819" s="26"/>
      <c r="E2819" s="26"/>
      <c r="F2819" s="26"/>
      <c r="G2819" s="26"/>
    </row>
    <row r="2820" spans="1:7">
      <c r="A2820" s="62"/>
      <c r="B2820" s="248" t="s">
        <v>3580</v>
      </c>
      <c r="C2820" s="61"/>
      <c r="D2820" s="61"/>
      <c r="E2820" s="61"/>
      <c r="F2820" s="61"/>
      <c r="G2820" s="61"/>
    </row>
    <row r="2821" spans="1:7">
      <c r="A2821" s="78"/>
      <c r="B2821" s="26"/>
      <c r="C2821" s="26"/>
      <c r="D2821" s="26"/>
      <c r="E2821" s="26"/>
      <c r="F2821" s="26"/>
      <c r="G2821" s="26"/>
    </row>
    <row r="2822" spans="1:7">
      <c r="A2822" s="78" t="s">
        <v>3984</v>
      </c>
      <c r="B2822" s="26" t="s">
        <v>5011</v>
      </c>
      <c r="C2822" s="26"/>
      <c r="D2822" s="26"/>
      <c r="E2822" s="26"/>
      <c r="F2822" s="26"/>
      <c r="G2822" s="26"/>
    </row>
    <row r="2823" spans="1:7">
      <c r="A2823" s="62"/>
      <c r="B2823" s="61" t="s">
        <v>304</v>
      </c>
      <c r="C2823" s="61"/>
      <c r="D2823" s="61"/>
      <c r="E2823" s="62"/>
      <c r="F2823" s="61"/>
      <c r="G2823" s="61"/>
    </row>
    <row r="2824" spans="1:7">
      <c r="A2824" s="78"/>
      <c r="B2824" s="26" t="s">
        <v>3133</v>
      </c>
      <c r="C2824" s="26"/>
      <c r="D2824" s="26"/>
      <c r="E2824" s="78" t="s">
        <v>1697</v>
      </c>
      <c r="F2824" s="26" t="s">
        <v>3407</v>
      </c>
      <c r="G2824" s="26"/>
    </row>
    <row r="2825" spans="1:7">
      <c r="A2825" s="78"/>
      <c r="B2825" s="26" t="s">
        <v>3134</v>
      </c>
      <c r="C2825" s="26"/>
      <c r="D2825" s="26"/>
      <c r="E2825" s="78" t="s">
        <v>1697</v>
      </c>
      <c r="F2825" s="68">
        <v>5</v>
      </c>
      <c r="G2825" s="26" t="s">
        <v>3760</v>
      </c>
    </row>
    <row r="2826" spans="1:7">
      <c r="A2826" s="26"/>
      <c r="B2826" s="78"/>
      <c r="C2826" s="26"/>
      <c r="D2826" s="26"/>
      <c r="E2826" s="26"/>
      <c r="F2826" s="26"/>
      <c r="G2826" s="26"/>
    </row>
    <row r="2827" spans="1:7">
      <c r="A2827" s="78" t="s">
        <v>3984</v>
      </c>
      <c r="B2827" s="78"/>
      <c r="C2827" s="203" t="s">
        <v>2367</v>
      </c>
      <c r="D2827" s="26"/>
      <c r="E2827" s="171" t="s">
        <v>297</v>
      </c>
      <c r="F2827" s="246">
        <v>10</v>
      </c>
      <c r="G2827" s="26" t="s">
        <v>3477</v>
      </c>
    </row>
    <row r="2828" spans="1:7">
      <c r="A2828" s="26"/>
      <c r="B2828" s="79" t="s">
        <v>2368</v>
      </c>
      <c r="C2828" s="26"/>
      <c r="D2828" s="26"/>
      <c r="E2828" s="26"/>
      <c r="F2828" s="26"/>
      <c r="G2828" s="26"/>
    </row>
    <row r="2829" spans="1:7">
      <c r="A2829" s="26"/>
      <c r="B2829" s="95" t="s">
        <v>2369</v>
      </c>
      <c r="C2829" s="157" t="s">
        <v>4443</v>
      </c>
      <c r="D2829" s="95" t="s">
        <v>2370</v>
      </c>
      <c r="E2829" s="95" t="s">
        <v>1166</v>
      </c>
      <c r="F2829" s="95" t="s">
        <v>2371</v>
      </c>
      <c r="G2829" s="95" t="s">
        <v>2372</v>
      </c>
    </row>
    <row r="2830" spans="1:7">
      <c r="A2830" s="26"/>
      <c r="B2830" s="114"/>
      <c r="C2830" s="154"/>
      <c r="D2830" s="114"/>
      <c r="E2830" s="114"/>
      <c r="F2830" s="114" t="s">
        <v>3485</v>
      </c>
      <c r="G2830" s="114" t="s">
        <v>3485</v>
      </c>
    </row>
    <row r="2831" spans="1:7">
      <c r="A2831" s="26"/>
      <c r="B2831" s="95">
        <v>1</v>
      </c>
      <c r="C2831" s="135" t="s">
        <v>5853</v>
      </c>
      <c r="D2831" s="95" t="s">
        <v>3478</v>
      </c>
      <c r="E2831" s="190">
        <f>143*10</f>
        <v>1430</v>
      </c>
      <c r="F2831" s="214">
        <f>'BASIC DATA'!$D$32/1000</f>
        <v>5.35</v>
      </c>
      <c r="G2831" s="190">
        <f>E2831*F2831</f>
        <v>7650.4999999999991</v>
      </c>
    </row>
    <row r="2832" spans="1:7">
      <c r="A2832" s="26"/>
      <c r="B2832" s="105">
        <v>2</v>
      </c>
      <c r="C2832" s="135" t="s">
        <v>5012</v>
      </c>
      <c r="D2832" s="105" t="s">
        <v>3477</v>
      </c>
      <c r="E2832" s="190">
        <f>0.85*10</f>
        <v>8.5</v>
      </c>
      <c r="F2832" s="214">
        <f>'BASIC DATA'!$D$107</f>
        <v>155</v>
      </c>
      <c r="G2832" s="190">
        <f>E2832*F2832</f>
        <v>1317.5</v>
      </c>
    </row>
    <row r="2833" spans="1:7">
      <c r="A2833" s="26"/>
      <c r="B2833" s="105">
        <v>3</v>
      </c>
      <c r="C2833" s="135" t="s">
        <v>1358</v>
      </c>
      <c r="D2833" s="105" t="s">
        <v>3477</v>
      </c>
      <c r="E2833" s="190">
        <f>0.15*10</f>
        <v>1.5</v>
      </c>
      <c r="F2833" s="214">
        <f>'BASIC DATA'!$D$96</f>
        <v>350</v>
      </c>
      <c r="G2833" s="190">
        <f>E2833*F2833</f>
        <v>525</v>
      </c>
    </row>
    <row r="2834" spans="1:7">
      <c r="A2834" s="61"/>
      <c r="B2834" s="237">
        <v>4</v>
      </c>
      <c r="C2834" s="306" t="s">
        <v>6827</v>
      </c>
      <c r="D2834" s="237" t="s">
        <v>3477</v>
      </c>
      <c r="E2834" s="289">
        <f>0.4*10</f>
        <v>4</v>
      </c>
      <c r="F2834" s="284">
        <f>'BASIC DATA'!$D$57</f>
        <v>165</v>
      </c>
      <c r="G2834" s="289">
        <f>E2834*F2834</f>
        <v>660</v>
      </c>
    </row>
    <row r="2835" spans="1:7">
      <c r="A2835" s="26"/>
      <c r="B2835" s="93"/>
      <c r="C2835" s="31" t="s">
        <v>7017</v>
      </c>
      <c r="D2835" s="31" t="s">
        <v>4043</v>
      </c>
      <c r="E2835" s="198"/>
      <c r="F2835" s="280" t="s">
        <v>1698</v>
      </c>
      <c r="G2835" s="190">
        <v>0</v>
      </c>
    </row>
    <row r="2836" spans="1:7">
      <c r="A2836" s="26"/>
      <c r="B2836" s="93"/>
      <c r="C2836" s="31" t="s">
        <v>7018</v>
      </c>
      <c r="D2836" s="31" t="s">
        <v>4043</v>
      </c>
      <c r="E2836" s="198"/>
      <c r="F2836" s="275" t="s">
        <v>1698</v>
      </c>
      <c r="G2836" s="190">
        <v>0</v>
      </c>
    </row>
    <row r="2837" spans="1:7">
      <c r="A2837" s="26"/>
      <c r="B2837" s="92"/>
      <c r="C2837" s="193" t="s">
        <v>2376</v>
      </c>
      <c r="D2837" s="159"/>
      <c r="E2837" s="238"/>
      <c r="F2837" s="236" t="s">
        <v>1698</v>
      </c>
      <c r="G2837" s="318">
        <f>SUM(G2831:G2836)</f>
        <v>10153</v>
      </c>
    </row>
    <row r="2838" spans="1:7">
      <c r="A2838" s="26"/>
      <c r="B2838" s="78"/>
      <c r="C2838" s="26"/>
      <c r="D2838" s="26"/>
      <c r="E2838" s="26"/>
      <c r="F2838" s="26"/>
      <c r="G2838" s="26"/>
    </row>
    <row r="2839" spans="1:7">
      <c r="A2839" s="26"/>
      <c r="B2839" s="79" t="s">
        <v>2377</v>
      </c>
      <c r="C2839" s="26"/>
      <c r="D2839" s="26"/>
      <c r="E2839" s="26"/>
      <c r="F2839" s="26"/>
      <c r="G2839" s="26"/>
    </row>
    <row r="2840" spans="1:7">
      <c r="A2840" s="26"/>
      <c r="B2840" s="95" t="s">
        <v>2369</v>
      </c>
      <c r="C2840" s="157" t="s">
        <v>2378</v>
      </c>
      <c r="D2840" s="95" t="s">
        <v>2370</v>
      </c>
      <c r="E2840" s="95" t="s">
        <v>1166</v>
      </c>
      <c r="F2840" s="95" t="s">
        <v>2371</v>
      </c>
      <c r="G2840" s="95" t="s">
        <v>2372</v>
      </c>
    </row>
    <row r="2841" spans="1:7">
      <c r="A2841" s="26"/>
      <c r="B2841" s="114"/>
      <c r="C2841" s="154"/>
      <c r="D2841" s="114"/>
      <c r="E2841" s="114"/>
      <c r="F2841" s="114" t="s">
        <v>3485</v>
      </c>
      <c r="G2841" s="114" t="s">
        <v>3485</v>
      </c>
    </row>
    <row r="2842" spans="1:7">
      <c r="A2842" s="26"/>
      <c r="B2842" s="95">
        <v>1</v>
      </c>
      <c r="C2842" s="153" t="s">
        <v>6286</v>
      </c>
      <c r="D2842" s="175" t="s">
        <v>2374</v>
      </c>
      <c r="E2842" s="179">
        <v>1</v>
      </c>
      <c r="F2842" s="190">
        <f>'HIRE CHARGES'!$D$555</f>
        <v>402.5</v>
      </c>
      <c r="G2842" s="190">
        <f>E2842*F2842</f>
        <v>402.5</v>
      </c>
    </row>
    <row r="2843" spans="1:7">
      <c r="A2843" s="26"/>
      <c r="B2843" s="317"/>
      <c r="C2843" s="152" t="s">
        <v>2379</v>
      </c>
      <c r="D2843" s="33" t="s">
        <v>2374</v>
      </c>
      <c r="E2843" s="190">
        <v>1</v>
      </c>
      <c r="F2843" s="190">
        <f>'HIRE CHARGES'!$E$555</f>
        <v>299.89999999999998</v>
      </c>
      <c r="G2843" s="190">
        <f>E2843*F2843</f>
        <v>299.89999999999998</v>
      </c>
    </row>
    <row r="2844" spans="1:7">
      <c r="A2844" s="26"/>
      <c r="B2844" s="105">
        <v>2</v>
      </c>
      <c r="C2844" s="152" t="s">
        <v>189</v>
      </c>
      <c r="D2844" s="33" t="s">
        <v>2374</v>
      </c>
      <c r="E2844" s="190">
        <v>0.5</v>
      </c>
      <c r="F2844" s="190">
        <f>'HIRE CHARGES'!$D$517</f>
        <v>10.199999999999999</v>
      </c>
      <c r="G2844" s="190">
        <f>E2844*F2844</f>
        <v>5.0999999999999996</v>
      </c>
    </row>
    <row r="2845" spans="1:7">
      <c r="A2845" s="26"/>
      <c r="B2845" s="365"/>
      <c r="C2845" s="116" t="s">
        <v>2379</v>
      </c>
      <c r="D2845" s="188" t="s">
        <v>2374</v>
      </c>
      <c r="E2845" s="182">
        <v>0.5</v>
      </c>
      <c r="F2845" s="182">
        <f>'HIRE CHARGES'!$E$517</f>
        <v>79.3</v>
      </c>
      <c r="G2845" s="190">
        <f>E2845*F2845</f>
        <v>39.65</v>
      </c>
    </row>
    <row r="2846" spans="1:7">
      <c r="A2846" s="26"/>
      <c r="B2846" s="176"/>
      <c r="C2846" s="172" t="s">
        <v>2380</v>
      </c>
      <c r="D2846" s="174"/>
      <c r="E2846" s="192"/>
      <c r="F2846" s="275" t="s">
        <v>1698</v>
      </c>
      <c r="G2846" s="318">
        <f>SUM(G2842:G2845)</f>
        <v>747.15</v>
      </c>
    </row>
    <row r="2847" spans="1:7">
      <c r="A2847" s="26"/>
      <c r="B2847" s="78"/>
      <c r="C2847" s="26"/>
      <c r="D2847" s="26"/>
      <c r="E2847" s="26"/>
      <c r="F2847" s="26"/>
      <c r="G2847" s="26"/>
    </row>
    <row r="2848" spans="1:7">
      <c r="A2848" s="26"/>
      <c r="B2848" s="79" t="s">
        <v>2381</v>
      </c>
      <c r="C2848" s="26"/>
      <c r="D2848" s="26"/>
      <c r="E2848" s="26"/>
      <c r="F2848" s="26"/>
      <c r="G2848" s="26"/>
    </row>
    <row r="2849" spans="1:7">
      <c r="A2849" s="26"/>
      <c r="B2849" s="95" t="s">
        <v>2369</v>
      </c>
      <c r="C2849" s="157" t="s">
        <v>2378</v>
      </c>
      <c r="D2849" s="95" t="s">
        <v>2370</v>
      </c>
      <c r="E2849" s="95" t="s">
        <v>1166</v>
      </c>
      <c r="F2849" s="95" t="s">
        <v>2371</v>
      </c>
      <c r="G2849" s="95" t="s">
        <v>2372</v>
      </c>
    </row>
    <row r="2850" spans="1:7">
      <c r="A2850" s="26"/>
      <c r="B2850" s="114"/>
      <c r="C2850" s="154"/>
      <c r="D2850" s="105"/>
      <c r="E2850" s="105"/>
      <c r="F2850" s="105" t="s">
        <v>3485</v>
      </c>
      <c r="G2850" s="114" t="s">
        <v>3485</v>
      </c>
    </row>
    <row r="2851" spans="1:7">
      <c r="A2851" s="26"/>
      <c r="B2851" s="95">
        <v>1</v>
      </c>
      <c r="C2851" s="76" t="s">
        <v>1000</v>
      </c>
      <c r="D2851" s="95" t="s">
        <v>2374</v>
      </c>
      <c r="E2851" s="179">
        <v>1</v>
      </c>
      <c r="F2851" s="179">
        <f>'HIRE CHARGES'!$F$555</f>
        <v>177.5</v>
      </c>
      <c r="G2851" s="207">
        <f>E2851*F2851</f>
        <v>177.5</v>
      </c>
    </row>
    <row r="2852" spans="1:7">
      <c r="A2852" s="26"/>
      <c r="B2852" s="105">
        <v>2</v>
      </c>
      <c r="C2852" s="76" t="s">
        <v>999</v>
      </c>
      <c r="D2852" s="105" t="s">
        <v>2374</v>
      </c>
      <c r="E2852" s="190">
        <v>0.5</v>
      </c>
      <c r="F2852" s="190">
        <f>'HIRE CHARGES'!$F$517</f>
        <v>111.1</v>
      </c>
      <c r="G2852" s="207">
        <f>E2852*F2852</f>
        <v>55.55</v>
      </c>
    </row>
    <row r="2853" spans="1:7">
      <c r="A2853" s="26"/>
      <c r="B2853" s="105">
        <v>3</v>
      </c>
      <c r="C2853" s="76" t="s">
        <v>4206</v>
      </c>
      <c r="D2853" s="105" t="s">
        <v>1172</v>
      </c>
      <c r="E2853" s="190">
        <v>1</v>
      </c>
      <c r="F2853" s="190">
        <f>'BASIC DATA'!$C$473</f>
        <v>450</v>
      </c>
      <c r="G2853" s="207">
        <f>E2853*F2853</f>
        <v>450</v>
      </c>
    </row>
    <row r="2854" spans="1:7">
      <c r="A2854" s="26"/>
      <c r="B2854" s="105">
        <v>4</v>
      </c>
      <c r="C2854" s="76" t="s">
        <v>440</v>
      </c>
      <c r="D2854" s="105" t="s">
        <v>1172</v>
      </c>
      <c r="E2854" s="190">
        <v>1</v>
      </c>
      <c r="F2854" s="190">
        <f>'BASIC DATA'!$C$474</f>
        <v>445</v>
      </c>
      <c r="G2854" s="207">
        <f>E2854*F2854</f>
        <v>445</v>
      </c>
    </row>
    <row r="2855" spans="1:7">
      <c r="A2855" s="26"/>
      <c r="B2855" s="105">
        <v>5</v>
      </c>
      <c r="C2855" s="76" t="s">
        <v>1356</v>
      </c>
      <c r="D2855" s="105" t="s">
        <v>1172</v>
      </c>
      <c r="E2855" s="190">
        <v>2</v>
      </c>
      <c r="F2855" s="190">
        <f>'BASIC DATA'!$C$541</f>
        <v>400</v>
      </c>
      <c r="G2855" s="207">
        <f>E2855*F2855</f>
        <v>800</v>
      </c>
    </row>
    <row r="2856" spans="1:7">
      <c r="A2856" s="26"/>
      <c r="B2856" s="105">
        <v>6</v>
      </c>
      <c r="C2856" s="76" t="s">
        <v>2697</v>
      </c>
      <c r="D2856" s="105"/>
      <c r="E2856" s="190"/>
      <c r="F2856" s="190"/>
      <c r="G2856" s="207"/>
    </row>
    <row r="2857" spans="1:7">
      <c r="A2857" s="26"/>
      <c r="B2857" s="317"/>
      <c r="C2857" s="76" t="s">
        <v>1107</v>
      </c>
      <c r="D2857" s="105" t="s">
        <v>1172</v>
      </c>
      <c r="E2857" s="190">
        <v>4</v>
      </c>
      <c r="F2857" s="190">
        <f>'BASIC DATA'!$C$552</f>
        <v>350</v>
      </c>
      <c r="G2857" s="207">
        <f t="shared" ref="G2857:G2862" si="78">E2857*F2857</f>
        <v>1400</v>
      </c>
    </row>
    <row r="2858" spans="1:7">
      <c r="A2858" s="26"/>
      <c r="B2858" s="317"/>
      <c r="C2858" s="76" t="s">
        <v>1108</v>
      </c>
      <c r="D2858" s="105" t="s">
        <v>1172</v>
      </c>
      <c r="E2858" s="190">
        <v>2</v>
      </c>
      <c r="F2858" s="190">
        <f>'BASIC DATA'!$C$552</f>
        <v>350</v>
      </c>
      <c r="G2858" s="207">
        <f t="shared" si="78"/>
        <v>700</v>
      </c>
    </row>
    <row r="2859" spans="1:7">
      <c r="A2859" s="26"/>
      <c r="B2859" s="317"/>
      <c r="C2859" s="76" t="s">
        <v>442</v>
      </c>
      <c r="D2859" s="105" t="s">
        <v>1172</v>
      </c>
      <c r="E2859" s="190">
        <v>1</v>
      </c>
      <c r="F2859" s="190">
        <f>'BASIC DATA'!$C$552</f>
        <v>350</v>
      </c>
      <c r="G2859" s="207">
        <f t="shared" si="78"/>
        <v>350</v>
      </c>
    </row>
    <row r="2860" spans="1:7">
      <c r="A2860" s="26"/>
      <c r="B2860" s="317"/>
      <c r="C2860" s="76" t="s">
        <v>1109</v>
      </c>
      <c r="D2860" s="105" t="s">
        <v>1172</v>
      </c>
      <c r="E2860" s="190">
        <v>3</v>
      </c>
      <c r="F2860" s="190">
        <f>'BASIC DATA'!$C$552</f>
        <v>350</v>
      </c>
      <c r="G2860" s="207">
        <f t="shared" si="78"/>
        <v>1050</v>
      </c>
    </row>
    <row r="2861" spans="1:7">
      <c r="A2861" s="26"/>
      <c r="B2861" s="317"/>
      <c r="C2861" s="76" t="s">
        <v>1110</v>
      </c>
      <c r="D2861" s="105" t="s">
        <v>1172</v>
      </c>
      <c r="E2861" s="190">
        <v>1</v>
      </c>
      <c r="F2861" s="190">
        <f>'BASIC DATA'!$C$552</f>
        <v>350</v>
      </c>
      <c r="G2861" s="207">
        <f t="shared" si="78"/>
        <v>350</v>
      </c>
    </row>
    <row r="2862" spans="1:7">
      <c r="A2862" s="26"/>
      <c r="B2862" s="317"/>
      <c r="C2862" s="76" t="s">
        <v>6254</v>
      </c>
      <c r="D2862" s="105" t="s">
        <v>1172</v>
      </c>
      <c r="E2862" s="190">
        <v>4</v>
      </c>
      <c r="F2862" s="190">
        <f>'BASIC DATA'!$C$552</f>
        <v>350</v>
      </c>
      <c r="G2862" s="207">
        <f t="shared" si="78"/>
        <v>1400</v>
      </c>
    </row>
    <row r="2863" spans="1:7">
      <c r="A2863" s="26"/>
      <c r="B2863" s="92"/>
      <c r="C2863" s="193" t="s">
        <v>1174</v>
      </c>
      <c r="D2863" s="159"/>
      <c r="E2863" s="238"/>
      <c r="F2863" s="236" t="s">
        <v>1698</v>
      </c>
      <c r="G2863" s="318">
        <f>SUM(G2851:G2862)</f>
        <v>7178.05</v>
      </c>
    </row>
    <row r="2864" spans="1:7">
      <c r="A2864" s="26"/>
      <c r="B2864" s="60" t="s">
        <v>5948</v>
      </c>
      <c r="C2864" s="31"/>
      <c r="D2864" s="31"/>
      <c r="E2864" s="85">
        <f>ROUND(G2863/F2827,1)</f>
        <v>717.8</v>
      </c>
      <c r="F2864" s="26"/>
      <c r="G2864" s="26"/>
    </row>
    <row r="2865" spans="1:7">
      <c r="A2865" s="26"/>
      <c r="B2865" s="60" t="s">
        <v>3163</v>
      </c>
      <c r="C2865" s="31"/>
      <c r="D2865" s="31">
        <f>'BASIC DATA'!$C$577</f>
        <v>0.13614999999999999</v>
      </c>
      <c r="E2865" s="85">
        <f>ROUND(E2864*D2865,1)</f>
        <v>97.7</v>
      </c>
      <c r="F2865" s="26"/>
      <c r="G2865" s="26"/>
    </row>
    <row r="2866" spans="1:7">
      <c r="A2866" s="26"/>
      <c r="B2866" s="60" t="s">
        <v>5949</v>
      </c>
      <c r="C2866" s="31"/>
      <c r="D2866" s="31"/>
      <c r="E2866" s="199">
        <f>ROUND(E2865+E2864,1)</f>
        <v>815.5</v>
      </c>
      <c r="F2866" s="56"/>
      <c r="G2866" s="26"/>
    </row>
    <row r="2867" spans="1:7">
      <c r="A2867" s="26"/>
      <c r="B2867" s="78"/>
      <c r="C2867" s="26"/>
      <c r="D2867" s="26"/>
      <c r="E2867" s="26"/>
      <c r="F2867" s="26"/>
      <c r="G2867" s="26"/>
    </row>
    <row r="2868" spans="1:7">
      <c r="A2868" s="26"/>
      <c r="B2868" s="170" t="s">
        <v>1175</v>
      </c>
      <c r="C2868" s="26"/>
      <c r="D2868" s="26"/>
      <c r="E2868" s="26"/>
      <c r="F2868" s="26"/>
      <c r="G2868" s="26"/>
    </row>
    <row r="2869" spans="1:7">
      <c r="A2869" s="26"/>
      <c r="B2869" s="26" t="s">
        <v>5010</v>
      </c>
      <c r="C2869" s="26"/>
      <c r="D2869" s="26"/>
      <c r="E2869" s="26"/>
      <c r="F2869" s="171" t="s">
        <v>1698</v>
      </c>
      <c r="G2869" s="68">
        <f>G2837</f>
        <v>10153</v>
      </c>
    </row>
    <row r="2870" spans="1:7">
      <c r="A2870" s="26"/>
      <c r="B2870" s="26" t="s">
        <v>1186</v>
      </c>
      <c r="C2870" s="26"/>
      <c r="D2870" s="26"/>
      <c r="E2870" s="26"/>
      <c r="F2870" s="171" t="s">
        <v>1698</v>
      </c>
      <c r="G2870" s="68">
        <f>G2846</f>
        <v>747.15</v>
      </c>
    </row>
    <row r="2871" spans="1:7">
      <c r="A2871" s="26"/>
      <c r="B2871" s="26" t="s">
        <v>2660</v>
      </c>
      <c r="C2871" s="26"/>
      <c r="D2871" s="26"/>
      <c r="E2871" s="26"/>
      <c r="F2871" s="171" t="s">
        <v>1698</v>
      </c>
      <c r="G2871" s="75">
        <f>G2863</f>
        <v>7178.05</v>
      </c>
    </row>
    <row r="2872" spans="1:7">
      <c r="A2872" s="26"/>
      <c r="B2872" s="78"/>
      <c r="C2872" s="26"/>
      <c r="D2872" s="26"/>
      <c r="E2872" s="171"/>
      <c r="F2872" s="171" t="s">
        <v>302</v>
      </c>
      <c r="G2872" s="205">
        <f>SUM(G2869:G2871)</f>
        <v>18078.2</v>
      </c>
    </row>
    <row r="2873" spans="1:7">
      <c r="A2873" s="26"/>
      <c r="B2873" s="1206" t="s">
        <v>1379</v>
      </c>
      <c r="C2873" s="1206"/>
      <c r="D2873" s="26"/>
      <c r="E2873" s="249">
        <f>'BASIC DATA'!$C$577</f>
        <v>0.13614999999999999</v>
      </c>
      <c r="F2873" s="26" t="s">
        <v>1698</v>
      </c>
      <c r="G2873" s="26">
        <f>ROUND(G2872*E2873,2)</f>
        <v>2461.35</v>
      </c>
    </row>
    <row r="2874" spans="1:7">
      <c r="A2874" s="26"/>
      <c r="B2874" s="26" t="s">
        <v>1191</v>
      </c>
      <c r="C2874" s="26"/>
      <c r="D2874" s="68">
        <f>F2827</f>
        <v>10</v>
      </c>
      <c r="E2874" s="68" t="str">
        <f>G2827</f>
        <v>cum</v>
      </c>
      <c r="F2874" s="26" t="s">
        <v>1698</v>
      </c>
      <c r="G2874" s="170">
        <f>G2873+G2872</f>
        <v>20539.55</v>
      </c>
    </row>
    <row r="2875" spans="1:7">
      <c r="A2875" s="26"/>
      <c r="B2875" s="170" t="s">
        <v>1584</v>
      </c>
      <c r="C2875" s="211" t="str">
        <f>E2874</f>
        <v>cum</v>
      </c>
      <c r="D2875" s="26" t="s">
        <v>5891</v>
      </c>
      <c r="E2875" s="26"/>
      <c r="F2875" s="26" t="s">
        <v>4108</v>
      </c>
      <c r="G2875" s="211">
        <f>ROUND(G2874/D2874,1)</f>
        <v>2054</v>
      </c>
    </row>
    <row r="2876" spans="1:7">
      <c r="A2876" s="26"/>
      <c r="B2876" s="78"/>
      <c r="C2876" s="26"/>
      <c r="D2876" s="26"/>
      <c r="E2876" s="26"/>
      <c r="F2876" s="26"/>
      <c r="G2876" s="26"/>
    </row>
    <row r="2877" spans="1:7">
      <c r="A2877" s="26"/>
      <c r="B2877" s="78"/>
      <c r="C2877" s="26"/>
      <c r="D2877" s="26"/>
      <c r="E2877" s="26"/>
      <c r="F2877" s="26"/>
      <c r="G2877" s="26"/>
    </row>
    <row r="2878" spans="1:7" ht="18.75">
      <c r="A2878" s="78" t="s">
        <v>7572</v>
      </c>
      <c r="B2878" s="26" t="s">
        <v>8971</v>
      </c>
      <c r="C2878" s="26"/>
      <c r="D2878" s="26"/>
      <c r="E2878" s="26"/>
      <c r="F2878" s="26"/>
      <c r="G2878" s="26"/>
    </row>
    <row r="2879" spans="1:7" ht="18.75">
      <c r="A2879" s="78"/>
      <c r="B2879" s="26" t="s">
        <v>8974</v>
      </c>
      <c r="C2879" s="26"/>
      <c r="D2879" s="26"/>
      <c r="E2879" s="26"/>
      <c r="F2879" s="26"/>
      <c r="G2879" s="26"/>
    </row>
    <row r="2880" spans="1:7">
      <c r="A2880" s="78"/>
      <c r="B2880" s="26" t="s">
        <v>4368</v>
      </c>
      <c r="C2880" s="26"/>
      <c r="D2880" s="26"/>
      <c r="E2880" s="26"/>
      <c r="F2880" s="26"/>
      <c r="G2880" s="26"/>
    </row>
    <row r="2881" spans="1:7" ht="18.75">
      <c r="A2881" s="78"/>
      <c r="B2881" s="26" t="s">
        <v>8973</v>
      </c>
      <c r="C2881" s="26"/>
      <c r="D2881" s="26"/>
      <c r="E2881" s="26"/>
      <c r="F2881" s="26"/>
      <c r="G2881" s="26"/>
    </row>
    <row r="2882" spans="1:7">
      <c r="A2882" s="78"/>
      <c r="B2882" s="170" t="s">
        <v>3581</v>
      </c>
      <c r="C2882" s="26"/>
      <c r="D2882" s="26"/>
      <c r="E2882" s="26"/>
      <c r="F2882" s="26"/>
      <c r="G2882" s="26"/>
    </row>
    <row r="2883" spans="1:7">
      <c r="A2883" s="62"/>
      <c r="B2883" s="248" t="s">
        <v>3580</v>
      </c>
      <c r="C2883" s="61"/>
      <c r="D2883" s="61"/>
      <c r="E2883" s="61"/>
      <c r="F2883" s="61"/>
      <c r="G2883" s="61"/>
    </row>
    <row r="2884" spans="1:7">
      <c r="A2884" s="78"/>
      <c r="B2884" s="26"/>
      <c r="C2884" s="26"/>
      <c r="D2884" s="26"/>
      <c r="E2884" s="26"/>
      <c r="F2884" s="26"/>
      <c r="G2884" s="26"/>
    </row>
    <row r="2885" spans="1:7">
      <c r="A2885" s="78" t="s">
        <v>3984</v>
      </c>
      <c r="B2885" s="26" t="s">
        <v>3405</v>
      </c>
      <c r="C2885" s="26"/>
      <c r="D2885" s="26"/>
      <c r="E2885" s="26"/>
      <c r="F2885" s="26"/>
      <c r="G2885" s="26"/>
    </row>
    <row r="2886" spans="1:7">
      <c r="A2886" s="78"/>
      <c r="B2886" s="26" t="s">
        <v>305</v>
      </c>
      <c r="C2886" s="26"/>
      <c r="D2886" s="26"/>
      <c r="E2886" s="26"/>
      <c r="F2886" s="26"/>
      <c r="G2886" s="26"/>
    </row>
    <row r="2887" spans="1:7">
      <c r="A2887" s="78"/>
      <c r="B2887" s="26" t="s">
        <v>3406</v>
      </c>
      <c r="C2887" s="26"/>
      <c r="D2887" s="26"/>
      <c r="E2887" s="78" t="s">
        <v>1697</v>
      </c>
      <c r="F2887" s="26" t="s">
        <v>3407</v>
      </c>
      <c r="G2887" s="26"/>
    </row>
    <row r="2888" spans="1:7">
      <c r="A2888" s="78"/>
      <c r="B2888" s="26" t="s">
        <v>3408</v>
      </c>
      <c r="C2888" s="26"/>
      <c r="D2888" s="26"/>
      <c r="E2888" s="78" t="s">
        <v>1697</v>
      </c>
      <c r="F2888" s="68">
        <v>5</v>
      </c>
      <c r="G2888" s="26" t="s">
        <v>3760</v>
      </c>
    </row>
    <row r="2889" spans="1:7">
      <c r="A2889" s="26"/>
      <c r="B2889" s="78"/>
      <c r="C2889" s="26"/>
      <c r="D2889" s="26"/>
      <c r="E2889" s="26"/>
      <c r="F2889" s="26"/>
      <c r="G2889" s="26"/>
    </row>
    <row r="2890" spans="1:7">
      <c r="A2890" s="78" t="s">
        <v>3984</v>
      </c>
      <c r="B2890" s="78"/>
      <c r="C2890" s="203" t="s">
        <v>2367</v>
      </c>
      <c r="D2890" s="26"/>
      <c r="E2890" s="171" t="s">
        <v>297</v>
      </c>
      <c r="F2890" s="246">
        <v>10</v>
      </c>
      <c r="G2890" s="26" t="s">
        <v>3477</v>
      </c>
    </row>
    <row r="2891" spans="1:7">
      <c r="A2891" s="26"/>
      <c r="B2891" s="79" t="s">
        <v>2368</v>
      </c>
      <c r="C2891" s="26"/>
      <c r="D2891" s="26"/>
      <c r="E2891" s="26"/>
      <c r="F2891" s="26"/>
      <c r="G2891" s="26"/>
    </row>
    <row r="2892" spans="1:7">
      <c r="A2892" s="26"/>
      <c r="B2892" s="95" t="s">
        <v>2369</v>
      </c>
      <c r="C2892" s="157" t="s">
        <v>4443</v>
      </c>
      <c r="D2892" s="95" t="s">
        <v>2370</v>
      </c>
      <c r="E2892" s="95" t="s">
        <v>1166</v>
      </c>
      <c r="F2892" s="95" t="s">
        <v>2371</v>
      </c>
      <c r="G2892" s="95" t="s">
        <v>2372</v>
      </c>
    </row>
    <row r="2893" spans="1:7">
      <c r="A2893" s="26"/>
      <c r="B2893" s="114"/>
      <c r="C2893" s="154"/>
      <c r="D2893" s="114"/>
      <c r="E2893" s="114"/>
      <c r="F2893" s="114" t="s">
        <v>3485</v>
      </c>
      <c r="G2893" s="114" t="s">
        <v>3485</v>
      </c>
    </row>
    <row r="2894" spans="1:7">
      <c r="A2894" s="26"/>
      <c r="B2894" s="95">
        <v>1</v>
      </c>
      <c r="C2894" s="135" t="s">
        <v>5853</v>
      </c>
      <c r="D2894" s="95" t="s">
        <v>3478</v>
      </c>
      <c r="E2894" s="190">
        <v>1430</v>
      </c>
      <c r="F2894" s="214">
        <f>'BASIC DATA'!$D$32/1000</f>
        <v>5.35</v>
      </c>
      <c r="G2894" s="190">
        <f>E2894*F2894</f>
        <v>7650.4999999999991</v>
      </c>
    </row>
    <row r="2895" spans="1:7">
      <c r="A2895" s="26"/>
      <c r="B2895" s="105">
        <v>2</v>
      </c>
      <c r="C2895" s="135" t="s">
        <v>5012</v>
      </c>
      <c r="D2895" s="105" t="s">
        <v>3477</v>
      </c>
      <c r="E2895" s="190">
        <v>8.5</v>
      </c>
      <c r="F2895" s="214">
        <f>'BASIC DATA'!$D$107</f>
        <v>155</v>
      </c>
      <c r="G2895" s="190">
        <f>E2895*F2895</f>
        <v>1317.5</v>
      </c>
    </row>
    <row r="2896" spans="1:7">
      <c r="A2896" s="26"/>
      <c r="B2896" s="105">
        <v>3</v>
      </c>
      <c r="C2896" s="135" t="s">
        <v>1358</v>
      </c>
      <c r="D2896" s="105" t="s">
        <v>3477</v>
      </c>
      <c r="E2896" s="190">
        <v>1.5</v>
      </c>
      <c r="F2896" s="214">
        <f>'BASIC DATA'!$D$96</f>
        <v>350</v>
      </c>
      <c r="G2896" s="190">
        <f>E2896*F2896</f>
        <v>525</v>
      </c>
    </row>
    <row r="2897" spans="1:7">
      <c r="A2897" s="61"/>
      <c r="B2897" s="237">
        <v>4</v>
      </c>
      <c r="C2897" s="326" t="s">
        <v>6827</v>
      </c>
      <c r="D2897" s="240" t="s">
        <v>3477</v>
      </c>
      <c r="E2897" s="255">
        <v>4</v>
      </c>
      <c r="F2897" s="266">
        <f>'BASIC DATA'!$D$57</f>
        <v>165</v>
      </c>
      <c r="G2897" s="255">
        <f>E2897*F2897</f>
        <v>660</v>
      </c>
    </row>
    <row r="2898" spans="1:7">
      <c r="A2898" s="26"/>
      <c r="B2898" s="93"/>
      <c r="C2898" s="187"/>
      <c r="D2898" s="187"/>
      <c r="E2898" s="331" t="s">
        <v>2375</v>
      </c>
      <c r="F2898" s="344" t="s">
        <v>1698</v>
      </c>
      <c r="G2898" s="179">
        <f>SUM(G2894:G2897)</f>
        <v>10153</v>
      </c>
    </row>
    <row r="2899" spans="1:7">
      <c r="A2899" s="61"/>
      <c r="B2899" s="444"/>
      <c r="C2899" s="60" t="s">
        <v>3409</v>
      </c>
      <c r="D2899" s="60"/>
      <c r="E2899" s="685">
        <v>2.5000000000000001E-2</v>
      </c>
      <c r="F2899" s="523" t="s">
        <v>1698</v>
      </c>
      <c r="G2899" s="255">
        <f>E2899*$G$2898</f>
        <v>253.82500000000002</v>
      </c>
    </row>
    <row r="2900" spans="1:7">
      <c r="A2900" s="26"/>
      <c r="B2900" s="93"/>
      <c r="C2900" s="31" t="s">
        <v>7017</v>
      </c>
      <c r="D2900" s="31" t="s">
        <v>4043</v>
      </c>
      <c r="E2900" s="198"/>
      <c r="F2900" s="280" t="s">
        <v>1698</v>
      </c>
      <c r="G2900" s="190"/>
    </row>
    <row r="2901" spans="1:7">
      <c r="A2901" s="26"/>
      <c r="B2901" s="93"/>
      <c r="C2901" s="31" t="s">
        <v>7018</v>
      </c>
      <c r="D2901" s="31" t="s">
        <v>4043</v>
      </c>
      <c r="E2901" s="198"/>
      <c r="F2901" s="275" t="s">
        <v>1698</v>
      </c>
      <c r="G2901" s="190"/>
    </row>
    <row r="2902" spans="1:7">
      <c r="A2902" s="26"/>
      <c r="B2902" s="92"/>
      <c r="C2902" s="193" t="s">
        <v>2376</v>
      </c>
      <c r="D2902" s="159"/>
      <c r="E2902" s="238"/>
      <c r="F2902" s="236" t="s">
        <v>1698</v>
      </c>
      <c r="G2902" s="318">
        <f>SUM(G2898:G2901)</f>
        <v>10406.825000000001</v>
      </c>
    </row>
    <row r="2903" spans="1:7">
      <c r="A2903" s="26"/>
      <c r="B2903" s="78"/>
      <c r="C2903" s="26"/>
      <c r="D2903" s="26"/>
      <c r="E2903" s="26"/>
      <c r="F2903" s="26"/>
      <c r="G2903" s="68"/>
    </row>
    <row r="2904" spans="1:7">
      <c r="A2904" s="26"/>
      <c r="B2904" s="79" t="s">
        <v>2377</v>
      </c>
      <c r="C2904" s="26"/>
      <c r="D2904" s="26"/>
      <c r="E2904" s="26"/>
      <c r="F2904" s="26"/>
      <c r="G2904" s="26"/>
    </row>
    <row r="2905" spans="1:7">
      <c r="A2905" s="26"/>
      <c r="B2905" s="95" t="s">
        <v>2369</v>
      </c>
      <c r="C2905" s="157" t="s">
        <v>2378</v>
      </c>
      <c r="D2905" s="95" t="s">
        <v>2370</v>
      </c>
      <c r="E2905" s="95" t="s">
        <v>1166</v>
      </c>
      <c r="F2905" s="95" t="s">
        <v>2371</v>
      </c>
      <c r="G2905" s="95" t="s">
        <v>2372</v>
      </c>
    </row>
    <row r="2906" spans="1:7">
      <c r="A2906" s="26"/>
      <c r="B2906" s="114"/>
      <c r="C2906" s="154"/>
      <c r="D2906" s="114"/>
      <c r="E2906" s="114"/>
      <c r="F2906" s="114" t="s">
        <v>3485</v>
      </c>
      <c r="G2906" s="114" t="s">
        <v>3485</v>
      </c>
    </row>
    <row r="2907" spans="1:7">
      <c r="A2907" s="26"/>
      <c r="B2907" s="95">
        <v>1</v>
      </c>
      <c r="C2907" s="153" t="s">
        <v>6286</v>
      </c>
      <c r="D2907" s="175" t="s">
        <v>2374</v>
      </c>
      <c r="E2907" s="179">
        <v>1</v>
      </c>
      <c r="F2907" s="190">
        <f>'HIRE CHARGES'!$D$555</f>
        <v>402.5</v>
      </c>
      <c r="G2907" s="190">
        <f>E2907*F2907</f>
        <v>402.5</v>
      </c>
    </row>
    <row r="2908" spans="1:7">
      <c r="A2908" s="26"/>
      <c r="B2908" s="317"/>
      <c r="C2908" s="152" t="s">
        <v>2379</v>
      </c>
      <c r="D2908" s="33" t="s">
        <v>2374</v>
      </c>
      <c r="E2908" s="190">
        <v>1</v>
      </c>
      <c r="F2908" s="190">
        <f>'HIRE CHARGES'!$E$555</f>
        <v>299.89999999999998</v>
      </c>
      <c r="G2908" s="190">
        <f>E2908*F2908</f>
        <v>299.89999999999998</v>
      </c>
    </row>
    <row r="2909" spans="1:7">
      <c r="A2909" s="26"/>
      <c r="B2909" s="105">
        <v>2</v>
      </c>
      <c r="C2909" s="152" t="s">
        <v>189</v>
      </c>
      <c r="D2909" s="33" t="s">
        <v>2374</v>
      </c>
      <c r="E2909" s="190">
        <v>0.5</v>
      </c>
      <c r="F2909" s="190">
        <f>'HIRE CHARGES'!$D$517</f>
        <v>10.199999999999999</v>
      </c>
      <c r="G2909" s="190">
        <f>E2909*F2909</f>
        <v>5.0999999999999996</v>
      </c>
    </row>
    <row r="2910" spans="1:7">
      <c r="A2910" s="26"/>
      <c r="B2910" s="317"/>
      <c r="C2910" s="152" t="s">
        <v>2379</v>
      </c>
      <c r="D2910" s="33" t="s">
        <v>2374</v>
      </c>
      <c r="E2910" s="190">
        <v>0.5</v>
      </c>
      <c r="F2910" s="190">
        <f>'HIRE CHARGES'!$E$517</f>
        <v>79.3</v>
      </c>
      <c r="G2910" s="190">
        <f>E2910*F2910</f>
        <v>39.65</v>
      </c>
    </row>
    <row r="2911" spans="1:7">
      <c r="A2911" s="26"/>
      <c r="B2911" s="176"/>
      <c r="C2911" s="172" t="s">
        <v>2380</v>
      </c>
      <c r="D2911" s="174"/>
      <c r="E2911" s="192"/>
      <c r="F2911" s="236" t="s">
        <v>1698</v>
      </c>
      <c r="G2911" s="318">
        <f>SUM(G2907:G2910)</f>
        <v>747.15</v>
      </c>
    </row>
    <row r="2912" spans="1:7">
      <c r="A2912" s="26"/>
      <c r="B2912" s="78"/>
      <c r="C2912" s="26"/>
      <c r="D2912" s="26"/>
      <c r="E2912" s="26"/>
      <c r="F2912" s="26"/>
      <c r="G2912" s="26"/>
    </row>
    <row r="2913" spans="1:7">
      <c r="A2913" s="26"/>
      <c r="B2913" s="79" t="s">
        <v>2381</v>
      </c>
      <c r="C2913" s="26"/>
      <c r="D2913" s="26"/>
      <c r="E2913" s="26"/>
      <c r="F2913" s="26"/>
      <c r="G2913" s="26"/>
    </row>
    <row r="2914" spans="1:7">
      <c r="A2914" s="26"/>
      <c r="B2914" s="95" t="s">
        <v>2369</v>
      </c>
      <c r="C2914" s="157" t="s">
        <v>2378</v>
      </c>
      <c r="D2914" s="95" t="s">
        <v>2370</v>
      </c>
      <c r="E2914" s="95" t="s">
        <v>1166</v>
      </c>
      <c r="F2914" s="95" t="s">
        <v>2371</v>
      </c>
      <c r="G2914" s="95" t="s">
        <v>2372</v>
      </c>
    </row>
    <row r="2915" spans="1:7">
      <c r="A2915" s="26"/>
      <c r="B2915" s="114"/>
      <c r="C2915" s="154"/>
      <c r="D2915" s="105"/>
      <c r="E2915" s="105"/>
      <c r="F2915" s="105" t="s">
        <v>3485</v>
      </c>
      <c r="G2915" s="114" t="s">
        <v>3485</v>
      </c>
    </row>
    <row r="2916" spans="1:7">
      <c r="A2916" s="26"/>
      <c r="B2916" s="95">
        <v>1</v>
      </c>
      <c r="C2916" s="76" t="s">
        <v>1000</v>
      </c>
      <c r="D2916" s="95" t="s">
        <v>2374</v>
      </c>
      <c r="E2916" s="179">
        <v>1</v>
      </c>
      <c r="F2916" s="179">
        <f>'HIRE CHARGES'!$F$555</f>
        <v>177.5</v>
      </c>
      <c r="G2916" s="207">
        <f>E2916*F2916</f>
        <v>177.5</v>
      </c>
    </row>
    <row r="2917" spans="1:7">
      <c r="A2917" s="26"/>
      <c r="B2917" s="105">
        <v>2</v>
      </c>
      <c r="C2917" s="76" t="s">
        <v>999</v>
      </c>
      <c r="D2917" s="105" t="s">
        <v>2374</v>
      </c>
      <c r="E2917" s="190">
        <v>0.5</v>
      </c>
      <c r="F2917" s="190">
        <f>'HIRE CHARGES'!$F$517</f>
        <v>111.1</v>
      </c>
      <c r="G2917" s="207">
        <f>E2917*F2917</f>
        <v>55.55</v>
      </c>
    </row>
    <row r="2918" spans="1:7">
      <c r="A2918" s="26"/>
      <c r="B2918" s="105">
        <v>3</v>
      </c>
      <c r="C2918" s="76" t="s">
        <v>4206</v>
      </c>
      <c r="D2918" s="105" t="s">
        <v>1172</v>
      </c>
      <c r="E2918" s="190">
        <v>1</v>
      </c>
      <c r="F2918" s="190">
        <f>'BASIC DATA'!$C$473</f>
        <v>450</v>
      </c>
      <c r="G2918" s="207">
        <f>E2918*F2918</f>
        <v>450</v>
      </c>
    </row>
    <row r="2919" spans="1:7">
      <c r="A2919" s="26"/>
      <c r="B2919" s="105">
        <v>4</v>
      </c>
      <c r="C2919" s="76" t="s">
        <v>440</v>
      </c>
      <c r="D2919" s="105" t="s">
        <v>1172</v>
      </c>
      <c r="E2919" s="190">
        <v>1</v>
      </c>
      <c r="F2919" s="190">
        <f>'BASIC DATA'!$C$474</f>
        <v>445</v>
      </c>
      <c r="G2919" s="207">
        <f>E2919*F2919</f>
        <v>445</v>
      </c>
    </row>
    <row r="2920" spans="1:7">
      <c r="A2920" s="26"/>
      <c r="B2920" s="105">
        <v>5</v>
      </c>
      <c r="C2920" s="76" t="s">
        <v>1356</v>
      </c>
      <c r="D2920" s="105" t="s">
        <v>1172</v>
      </c>
      <c r="E2920" s="190">
        <v>2</v>
      </c>
      <c r="F2920" s="190">
        <f>'BASIC DATA'!$C$541</f>
        <v>400</v>
      </c>
      <c r="G2920" s="207">
        <f>E2920*F2920</f>
        <v>800</v>
      </c>
    </row>
    <row r="2921" spans="1:7">
      <c r="A2921" s="26"/>
      <c r="B2921" s="105">
        <v>6</v>
      </c>
      <c r="C2921" s="76" t="s">
        <v>2697</v>
      </c>
      <c r="D2921" s="105"/>
      <c r="E2921" s="190"/>
      <c r="F2921" s="190"/>
      <c r="G2921" s="207"/>
    </row>
    <row r="2922" spans="1:7">
      <c r="A2922" s="26"/>
      <c r="B2922" s="317"/>
      <c r="C2922" s="76" t="s">
        <v>1107</v>
      </c>
      <c r="D2922" s="105" t="s">
        <v>1172</v>
      </c>
      <c r="E2922" s="190">
        <v>4</v>
      </c>
      <c r="F2922" s="190">
        <f>'BASIC DATA'!$C$552</f>
        <v>350</v>
      </c>
      <c r="G2922" s="207">
        <f t="shared" ref="G2922:G2927" si="79">E2922*F2922</f>
        <v>1400</v>
      </c>
    </row>
    <row r="2923" spans="1:7">
      <c r="A2923" s="26"/>
      <c r="B2923" s="317"/>
      <c r="C2923" s="76" t="s">
        <v>1108</v>
      </c>
      <c r="D2923" s="105" t="s">
        <v>1172</v>
      </c>
      <c r="E2923" s="190">
        <v>2</v>
      </c>
      <c r="F2923" s="190">
        <f>'BASIC DATA'!$C$552</f>
        <v>350</v>
      </c>
      <c r="G2923" s="207">
        <f t="shared" si="79"/>
        <v>700</v>
      </c>
    </row>
    <row r="2924" spans="1:7">
      <c r="A2924" s="26"/>
      <c r="B2924" s="317"/>
      <c r="C2924" s="76" t="s">
        <v>442</v>
      </c>
      <c r="D2924" s="105" t="s">
        <v>1172</v>
      </c>
      <c r="E2924" s="190">
        <v>1</v>
      </c>
      <c r="F2924" s="190">
        <f>'BASIC DATA'!$C$552</f>
        <v>350</v>
      </c>
      <c r="G2924" s="207">
        <f t="shared" si="79"/>
        <v>350</v>
      </c>
    </row>
    <row r="2925" spans="1:7">
      <c r="A2925" s="26"/>
      <c r="B2925" s="317"/>
      <c r="C2925" s="76" t="s">
        <v>1109</v>
      </c>
      <c r="D2925" s="105" t="s">
        <v>1172</v>
      </c>
      <c r="E2925" s="190">
        <v>3</v>
      </c>
      <c r="F2925" s="190">
        <f>'BASIC DATA'!$C$552</f>
        <v>350</v>
      </c>
      <c r="G2925" s="207">
        <f t="shared" si="79"/>
        <v>1050</v>
      </c>
    </row>
    <row r="2926" spans="1:7">
      <c r="A2926" s="26"/>
      <c r="B2926" s="317"/>
      <c r="C2926" s="76" t="s">
        <v>1110</v>
      </c>
      <c r="D2926" s="105" t="s">
        <v>1172</v>
      </c>
      <c r="E2926" s="190">
        <v>1</v>
      </c>
      <c r="F2926" s="190">
        <f>'BASIC DATA'!$C$552</f>
        <v>350</v>
      </c>
      <c r="G2926" s="207">
        <f t="shared" si="79"/>
        <v>350</v>
      </c>
    </row>
    <row r="2927" spans="1:7">
      <c r="A2927" s="26"/>
      <c r="B2927" s="317"/>
      <c r="C2927" s="76" t="s">
        <v>6254</v>
      </c>
      <c r="D2927" s="105" t="s">
        <v>1172</v>
      </c>
      <c r="E2927" s="190">
        <v>4</v>
      </c>
      <c r="F2927" s="190">
        <f>'BASIC DATA'!$C$552</f>
        <v>350</v>
      </c>
      <c r="G2927" s="207">
        <f t="shared" si="79"/>
        <v>1400</v>
      </c>
    </row>
    <row r="2928" spans="1:7">
      <c r="A2928" s="26"/>
      <c r="B2928" s="157"/>
      <c r="C2928" s="187"/>
      <c r="D2928" s="187"/>
      <c r="E2928" s="334" t="s">
        <v>2375</v>
      </c>
      <c r="F2928" s="334" t="s">
        <v>1698</v>
      </c>
      <c r="G2928" s="179">
        <f>SUM(G2916:G2927)</f>
        <v>7178.05</v>
      </c>
    </row>
    <row r="2929" spans="1:7">
      <c r="A2929" s="61"/>
      <c r="B2929" s="263"/>
      <c r="C2929" s="241" t="s">
        <v>3410</v>
      </c>
      <c r="D2929" s="241"/>
      <c r="E2929" s="335">
        <v>2.5000000000000001E-2</v>
      </c>
      <c r="F2929" s="336" t="s">
        <v>1698</v>
      </c>
      <c r="G2929" s="255">
        <f>E2929*$G$2928</f>
        <v>179.45125000000002</v>
      </c>
    </row>
    <row r="2930" spans="1:7">
      <c r="A2930" s="26"/>
      <c r="B2930" s="176"/>
      <c r="C2930" s="172" t="s">
        <v>1174</v>
      </c>
      <c r="D2930" s="174"/>
      <c r="E2930" s="192"/>
      <c r="F2930" s="236" t="s">
        <v>1698</v>
      </c>
      <c r="G2930" s="318">
        <f>SUM(G2928:G2929)</f>
        <v>7357.5012500000003</v>
      </c>
    </row>
    <row r="2931" spans="1:7">
      <c r="A2931" s="26"/>
      <c r="B2931" s="60" t="s">
        <v>5948</v>
      </c>
      <c r="C2931" s="31"/>
      <c r="D2931" s="31"/>
      <c r="E2931" s="85">
        <f>ROUND(G2930/F2890,1)</f>
        <v>735.8</v>
      </c>
      <c r="F2931" s="26"/>
      <c r="G2931" s="26"/>
    </row>
    <row r="2932" spans="1:7">
      <c r="A2932" s="26"/>
      <c r="B2932" s="60" t="s">
        <v>3163</v>
      </c>
      <c r="C2932" s="31"/>
      <c r="D2932" s="31">
        <f>'BASIC DATA'!$C$577</f>
        <v>0.13614999999999999</v>
      </c>
      <c r="E2932" s="85">
        <f>ROUND(E2931*D2932,1)</f>
        <v>100.2</v>
      </c>
      <c r="F2932" s="26"/>
      <c r="G2932" s="26"/>
    </row>
    <row r="2933" spans="1:7">
      <c r="A2933" s="26"/>
      <c r="B2933" s="60" t="s">
        <v>5949</v>
      </c>
      <c r="C2933" s="31"/>
      <c r="D2933" s="31"/>
      <c r="E2933" s="199">
        <f>ROUND(E2932+E2931,1)</f>
        <v>836</v>
      </c>
      <c r="F2933" s="56"/>
      <c r="G2933" s="26"/>
    </row>
    <row r="2934" spans="1:7">
      <c r="A2934" s="26"/>
      <c r="B2934" s="78"/>
      <c r="C2934" s="26"/>
      <c r="D2934" s="26"/>
      <c r="E2934" s="26"/>
      <c r="F2934" s="26"/>
      <c r="G2934" s="26"/>
    </row>
    <row r="2935" spans="1:7">
      <c r="A2935" s="26"/>
      <c r="B2935" s="170" t="s">
        <v>1175</v>
      </c>
      <c r="C2935" s="26"/>
      <c r="D2935" s="26"/>
      <c r="E2935" s="26"/>
      <c r="F2935" s="26"/>
      <c r="G2935" s="26"/>
    </row>
    <row r="2936" spans="1:7">
      <c r="A2936" s="26"/>
      <c r="B2936" s="26" t="s">
        <v>5010</v>
      </c>
      <c r="C2936" s="26"/>
      <c r="D2936" s="26"/>
      <c r="E2936" s="26"/>
      <c r="F2936" s="171" t="s">
        <v>1698</v>
      </c>
      <c r="G2936" s="68">
        <f>G2902</f>
        <v>10406.825000000001</v>
      </c>
    </row>
    <row r="2937" spans="1:7">
      <c r="A2937" s="26"/>
      <c r="B2937" s="26" t="s">
        <v>1186</v>
      </c>
      <c r="C2937" s="26"/>
      <c r="D2937" s="26"/>
      <c r="E2937" s="26"/>
      <c r="F2937" s="171" t="s">
        <v>1698</v>
      </c>
      <c r="G2937" s="68">
        <f>G2911</f>
        <v>747.15</v>
      </c>
    </row>
    <row r="2938" spans="1:7">
      <c r="A2938" s="26"/>
      <c r="B2938" s="26" t="s">
        <v>2660</v>
      </c>
      <c r="C2938" s="26"/>
      <c r="D2938" s="26"/>
      <c r="E2938" s="26"/>
      <c r="F2938" s="171" t="s">
        <v>1698</v>
      </c>
      <c r="G2938" s="75">
        <f>G2930</f>
        <v>7357.5012500000003</v>
      </c>
    </row>
    <row r="2939" spans="1:7">
      <c r="A2939" s="26"/>
      <c r="B2939" s="78"/>
      <c r="C2939" s="26"/>
      <c r="D2939" s="26"/>
      <c r="E2939" s="171"/>
      <c r="F2939" s="171" t="s">
        <v>302</v>
      </c>
      <c r="G2939" s="205">
        <f>SUM(G2936:G2938)</f>
        <v>18511.47625</v>
      </c>
    </row>
    <row r="2940" spans="1:7">
      <c r="A2940" s="26"/>
      <c r="B2940" s="1206" t="s">
        <v>1379</v>
      </c>
      <c r="C2940" s="1206"/>
      <c r="D2940" s="26"/>
      <c r="E2940" s="249">
        <f>'BASIC DATA'!$C$577</f>
        <v>0.13614999999999999</v>
      </c>
      <c r="F2940" s="26" t="s">
        <v>1698</v>
      </c>
      <c r="G2940" s="26">
        <f>ROUND(G2939*E2940,2)</f>
        <v>2520.34</v>
      </c>
    </row>
    <row r="2941" spans="1:7">
      <c r="A2941" s="26"/>
      <c r="B2941" s="26" t="s">
        <v>1191</v>
      </c>
      <c r="C2941" s="26"/>
      <c r="D2941" s="68">
        <f>F2890</f>
        <v>10</v>
      </c>
      <c r="E2941" s="68" t="str">
        <f>G2890</f>
        <v>cum</v>
      </c>
      <c r="F2941" s="26" t="s">
        <v>1698</v>
      </c>
      <c r="G2941" s="211">
        <f>G2940+G2939</f>
        <v>21031.81625</v>
      </c>
    </row>
    <row r="2942" spans="1:7">
      <c r="A2942" s="26"/>
      <c r="B2942" s="170" t="s">
        <v>1584</v>
      </c>
      <c r="C2942" s="211" t="str">
        <f>E2941</f>
        <v>cum</v>
      </c>
      <c r="D2942" s="26" t="s">
        <v>5891</v>
      </c>
      <c r="E2942" s="26"/>
      <c r="F2942" s="26" t="s">
        <v>4108</v>
      </c>
      <c r="G2942" s="211">
        <f>ROUND(G2941/D2941,1)</f>
        <v>2103.1999999999998</v>
      </c>
    </row>
    <row r="2943" spans="1:7">
      <c r="A2943" s="26"/>
      <c r="B2943" s="78"/>
      <c r="C2943" s="26"/>
      <c r="D2943" s="26"/>
      <c r="E2943" s="26"/>
      <c r="F2943" s="26"/>
      <c r="G2943" s="26"/>
    </row>
    <row r="2944" spans="1:7">
      <c r="A2944" s="26"/>
      <c r="B2944" s="78"/>
      <c r="C2944" s="26"/>
      <c r="D2944" s="26"/>
      <c r="E2944" s="26"/>
      <c r="F2944" s="26"/>
      <c r="G2944" s="26"/>
    </row>
    <row r="2945" spans="1:7" ht="18.75">
      <c r="A2945" s="78" t="s">
        <v>7573</v>
      </c>
      <c r="B2945" s="26" t="s">
        <v>8975</v>
      </c>
      <c r="C2945" s="26"/>
      <c r="D2945" s="26"/>
      <c r="E2945" s="26"/>
      <c r="F2945" s="26"/>
      <c r="G2945" s="26"/>
    </row>
    <row r="2946" spans="1:7">
      <c r="A2946" s="78"/>
      <c r="B2946" s="26" t="s">
        <v>3069</v>
      </c>
      <c r="C2946" s="26"/>
      <c r="D2946" s="26"/>
      <c r="E2946" s="26"/>
      <c r="F2946" s="26"/>
      <c r="G2946" s="26"/>
    </row>
    <row r="2947" spans="1:7">
      <c r="A2947" s="78"/>
      <c r="B2947" s="26" t="s">
        <v>1565</v>
      </c>
      <c r="C2947" s="26"/>
      <c r="D2947" s="26"/>
      <c r="E2947" s="26"/>
      <c r="F2947" s="26"/>
      <c r="G2947" s="26"/>
    </row>
    <row r="2948" spans="1:7" ht="18.75">
      <c r="A2948" s="78"/>
      <c r="B2948" s="170" t="s">
        <v>8976</v>
      </c>
      <c r="C2948" s="26"/>
      <c r="D2948" s="26"/>
      <c r="E2948" s="26"/>
      <c r="F2948" s="26"/>
      <c r="G2948" s="26"/>
    </row>
    <row r="2949" spans="1:7">
      <c r="A2949" s="78"/>
      <c r="B2949" s="170" t="s">
        <v>3582</v>
      </c>
      <c r="C2949" s="26"/>
      <c r="D2949" s="26"/>
      <c r="E2949" s="26"/>
      <c r="F2949" s="26"/>
      <c r="G2949" s="26"/>
    </row>
    <row r="2950" spans="1:7">
      <c r="A2950" s="62"/>
      <c r="B2950" s="248" t="s">
        <v>6941</v>
      </c>
      <c r="C2950" s="61"/>
      <c r="D2950" s="61"/>
      <c r="E2950" s="61"/>
      <c r="F2950" s="61"/>
      <c r="G2950" s="61"/>
    </row>
    <row r="2951" spans="1:7">
      <c r="A2951" s="78"/>
      <c r="B2951" s="170" t="s">
        <v>7586</v>
      </c>
      <c r="C2951" s="26"/>
      <c r="D2951" s="26"/>
      <c r="E2951" s="26"/>
      <c r="F2951" s="26"/>
      <c r="G2951" s="26"/>
    </row>
    <row r="2952" spans="1:7">
      <c r="A2952" s="78" t="s">
        <v>3984</v>
      </c>
      <c r="B2952" s="26" t="s">
        <v>1566</v>
      </c>
      <c r="C2952" s="26"/>
      <c r="D2952" s="26"/>
      <c r="E2952" s="78" t="s">
        <v>1697</v>
      </c>
      <c r="F2952" s="26">
        <v>60</v>
      </c>
      <c r="G2952" s="26" t="s">
        <v>3135</v>
      </c>
    </row>
    <row r="2953" spans="1:7">
      <c r="A2953" s="78"/>
      <c r="B2953" s="26" t="s">
        <v>3136</v>
      </c>
      <c r="C2953" s="26"/>
      <c r="D2953" s="26"/>
      <c r="E2953" s="26"/>
      <c r="F2953" s="26">
        <v>0.15</v>
      </c>
      <c r="G2953" s="26" t="s">
        <v>3477</v>
      </c>
    </row>
    <row r="2954" spans="1:7">
      <c r="A2954" s="78"/>
      <c r="B2954" s="26" t="s">
        <v>3137</v>
      </c>
      <c r="C2954" s="26"/>
      <c r="D2954" s="26"/>
      <c r="E2954" s="26"/>
      <c r="F2954" s="26">
        <v>0.45</v>
      </c>
      <c r="G2954" s="26" t="s">
        <v>3477</v>
      </c>
    </row>
    <row r="2955" spans="1:7">
      <c r="A2955" s="78"/>
      <c r="B2955" s="26" t="s">
        <v>306</v>
      </c>
      <c r="C2955" s="26"/>
      <c r="D2955" s="26"/>
      <c r="E2955" s="26"/>
      <c r="F2955" s="26"/>
      <c r="G2955" s="26"/>
    </row>
    <row r="2956" spans="1:7">
      <c r="A2956" s="78"/>
      <c r="B2956" s="26" t="s">
        <v>3456</v>
      </c>
      <c r="C2956" s="26"/>
      <c r="D2956" s="26"/>
      <c r="E2956" s="78" t="s">
        <v>1697</v>
      </c>
      <c r="F2956" s="26" t="s">
        <v>3407</v>
      </c>
      <c r="G2956" s="26"/>
    </row>
    <row r="2957" spans="1:7">
      <c r="A2957" s="78"/>
      <c r="B2957" s="26" t="s">
        <v>3457</v>
      </c>
      <c r="C2957" s="26"/>
      <c r="D2957" s="26"/>
      <c r="E2957" s="78" t="s">
        <v>1697</v>
      </c>
      <c r="F2957" s="68">
        <v>5</v>
      </c>
      <c r="G2957" s="26" t="s">
        <v>3760</v>
      </c>
    </row>
    <row r="2958" spans="1:7">
      <c r="A2958" s="26"/>
      <c r="B2958" s="78"/>
      <c r="C2958" s="26"/>
      <c r="D2958" s="26"/>
      <c r="E2958" s="26"/>
      <c r="F2958" s="26"/>
      <c r="G2958" s="26"/>
    </row>
    <row r="2959" spans="1:7">
      <c r="A2959" s="78" t="s">
        <v>3984</v>
      </c>
      <c r="B2959" s="78"/>
      <c r="C2959" s="203" t="s">
        <v>2367</v>
      </c>
      <c r="D2959" s="26"/>
      <c r="E2959" s="171" t="s">
        <v>297</v>
      </c>
      <c r="F2959" s="246">
        <v>10</v>
      </c>
      <c r="G2959" s="26" t="s">
        <v>3477</v>
      </c>
    </row>
    <row r="2960" spans="1:7">
      <c r="A2960" s="26"/>
      <c r="B2960" s="79" t="s">
        <v>2368</v>
      </c>
      <c r="C2960" s="26"/>
      <c r="D2960" s="26"/>
      <c r="E2960" s="26"/>
      <c r="F2960" s="26"/>
      <c r="G2960" s="26"/>
    </row>
    <row r="2961" spans="1:7">
      <c r="A2961" s="26"/>
      <c r="B2961" s="95" t="s">
        <v>2369</v>
      </c>
      <c r="C2961" s="157" t="s">
        <v>4443</v>
      </c>
      <c r="D2961" s="95" t="s">
        <v>2370</v>
      </c>
      <c r="E2961" s="95" t="s">
        <v>1166</v>
      </c>
      <c r="F2961" s="95" t="s">
        <v>2371</v>
      </c>
      <c r="G2961" s="95" t="s">
        <v>2372</v>
      </c>
    </row>
    <row r="2962" spans="1:7">
      <c r="A2962" s="26"/>
      <c r="B2962" s="114"/>
      <c r="C2962" s="154"/>
      <c r="D2962" s="114"/>
      <c r="E2962" s="114"/>
      <c r="F2962" s="114" t="s">
        <v>3485</v>
      </c>
      <c r="G2962" s="114" t="s">
        <v>3485</v>
      </c>
    </row>
    <row r="2963" spans="1:7">
      <c r="A2963" s="26"/>
      <c r="B2963" s="95">
        <v>1</v>
      </c>
      <c r="C2963" s="135" t="s">
        <v>5853</v>
      </c>
      <c r="D2963" s="95" t="s">
        <v>3478</v>
      </c>
      <c r="E2963" s="190">
        <v>1330</v>
      </c>
      <c r="F2963" s="214">
        <f>'BASIC DATA'!$D$32/1000</f>
        <v>5.35</v>
      </c>
      <c r="G2963" s="190">
        <f t="shared" ref="G2963:G2968" si="80">E2963*F2963</f>
        <v>7115.4999999999991</v>
      </c>
    </row>
    <row r="2964" spans="1:7">
      <c r="A2964" s="26"/>
      <c r="B2964" s="105">
        <v>2</v>
      </c>
      <c r="C2964" s="135" t="s">
        <v>3458</v>
      </c>
      <c r="D2964" s="105" t="s">
        <v>2059</v>
      </c>
      <c r="E2964" s="190">
        <v>60</v>
      </c>
      <c r="F2964" s="214" t="e">
        <f>'BASIC DATA'!#REF!</f>
        <v>#REF!</v>
      </c>
      <c r="G2964" s="190" t="e">
        <f t="shared" si="80"/>
        <v>#REF!</v>
      </c>
    </row>
    <row r="2965" spans="1:7">
      <c r="A2965" s="26"/>
      <c r="B2965" s="105">
        <v>3</v>
      </c>
      <c r="C2965" s="135" t="s">
        <v>6458</v>
      </c>
      <c r="D2965" s="105" t="s">
        <v>2059</v>
      </c>
      <c r="E2965" s="190">
        <v>180</v>
      </c>
      <c r="F2965" s="214">
        <f>'BASIC DATA'!$D$79</f>
        <v>17</v>
      </c>
      <c r="G2965" s="190">
        <f t="shared" si="80"/>
        <v>3060</v>
      </c>
    </row>
    <row r="2966" spans="1:7">
      <c r="A2966" s="26"/>
      <c r="B2966" s="105">
        <v>4</v>
      </c>
      <c r="C2966" s="135" t="s">
        <v>5012</v>
      </c>
      <c r="D2966" s="105" t="s">
        <v>3477</v>
      </c>
      <c r="E2966" s="190">
        <v>4.5</v>
      </c>
      <c r="F2966" s="214">
        <f>'BASIC DATA'!$D$107</f>
        <v>155</v>
      </c>
      <c r="G2966" s="190">
        <f t="shared" si="80"/>
        <v>697.5</v>
      </c>
    </row>
    <row r="2967" spans="1:7">
      <c r="A2967" s="26"/>
      <c r="B2967" s="105">
        <v>5</v>
      </c>
      <c r="C2967" s="135" t="s">
        <v>1358</v>
      </c>
      <c r="D2967" s="105" t="s">
        <v>3477</v>
      </c>
      <c r="E2967" s="190">
        <v>1.5</v>
      </c>
      <c r="F2967" s="214">
        <f>'BASIC DATA'!$D$96</f>
        <v>350</v>
      </c>
      <c r="G2967" s="190">
        <f t="shared" si="80"/>
        <v>525</v>
      </c>
    </row>
    <row r="2968" spans="1:7">
      <c r="A2968" s="61"/>
      <c r="B2968" s="237">
        <v>6</v>
      </c>
      <c r="C2968" s="326" t="s">
        <v>6827</v>
      </c>
      <c r="D2968" s="240" t="s">
        <v>3477</v>
      </c>
      <c r="E2968" s="255">
        <v>3.5</v>
      </c>
      <c r="F2968" s="266">
        <f>'BASIC DATA'!$D$57</f>
        <v>165</v>
      </c>
      <c r="G2968" s="255">
        <f t="shared" si="80"/>
        <v>577.5</v>
      </c>
    </row>
    <row r="2969" spans="1:7">
      <c r="A2969" s="26"/>
      <c r="B2969" s="93"/>
      <c r="C2969" s="187"/>
      <c r="D2969" s="187"/>
      <c r="E2969" s="331" t="s">
        <v>2375</v>
      </c>
      <c r="F2969" s="344" t="s">
        <v>1698</v>
      </c>
      <c r="G2969" s="179" t="e">
        <f>SUM(G2963:G2968)</f>
        <v>#REF!</v>
      </c>
    </row>
    <row r="2970" spans="1:7">
      <c r="A2970" s="61"/>
      <c r="B2970" s="444"/>
      <c r="C2970" s="60" t="s">
        <v>6459</v>
      </c>
      <c r="D2970" s="60"/>
      <c r="E2970" s="685">
        <v>2.5000000000000001E-2</v>
      </c>
      <c r="F2970" s="523" t="s">
        <v>1698</v>
      </c>
      <c r="G2970" s="255" t="e">
        <f>E2970*$G$2969</f>
        <v>#REF!</v>
      </c>
    </row>
    <row r="2971" spans="1:7">
      <c r="A2971" s="26"/>
      <c r="B2971" s="93"/>
      <c r="C2971" s="31" t="s">
        <v>7017</v>
      </c>
      <c r="D2971" s="31" t="s">
        <v>4043</v>
      </c>
      <c r="E2971" s="198"/>
      <c r="F2971" s="280" t="s">
        <v>1698</v>
      </c>
      <c r="G2971" s="190"/>
    </row>
    <row r="2972" spans="1:7">
      <c r="A2972" s="26"/>
      <c r="B2972" s="93"/>
      <c r="C2972" s="31" t="s">
        <v>7018</v>
      </c>
      <c r="D2972" s="31" t="s">
        <v>4043</v>
      </c>
      <c r="E2972" s="198"/>
      <c r="F2972" s="275" t="s">
        <v>1698</v>
      </c>
      <c r="G2972" s="190"/>
    </row>
    <row r="2973" spans="1:7">
      <c r="A2973" s="26"/>
      <c r="B2973" s="92"/>
      <c r="C2973" s="193" t="s">
        <v>2376</v>
      </c>
      <c r="D2973" s="159"/>
      <c r="E2973" s="238"/>
      <c r="F2973" s="236" t="s">
        <v>1698</v>
      </c>
      <c r="G2973" s="318" t="e">
        <f>SUM(G2969:G2972)</f>
        <v>#REF!</v>
      </c>
    </row>
    <row r="2974" spans="1:7">
      <c r="A2974" s="26"/>
      <c r="B2974" s="78"/>
      <c r="C2974" s="26"/>
      <c r="D2974" s="26"/>
      <c r="E2974" s="26"/>
      <c r="F2974" s="26"/>
      <c r="G2974" s="68"/>
    </row>
    <row r="2975" spans="1:7">
      <c r="A2975" s="26"/>
      <c r="B2975" s="79" t="s">
        <v>2377</v>
      </c>
      <c r="C2975" s="26"/>
      <c r="D2975" s="26"/>
      <c r="E2975" s="26"/>
      <c r="F2975" s="26"/>
      <c r="G2975" s="26"/>
    </row>
    <row r="2976" spans="1:7">
      <c r="A2976" s="26"/>
      <c r="B2976" s="95" t="s">
        <v>2369</v>
      </c>
      <c r="C2976" s="157" t="s">
        <v>2378</v>
      </c>
      <c r="D2976" s="95" t="s">
        <v>2370</v>
      </c>
      <c r="E2976" s="95" t="s">
        <v>1166</v>
      </c>
      <c r="F2976" s="95" t="s">
        <v>2371</v>
      </c>
      <c r="G2976" s="95" t="s">
        <v>2372</v>
      </c>
    </row>
    <row r="2977" spans="1:7">
      <c r="A2977" s="26"/>
      <c r="B2977" s="114"/>
      <c r="C2977" s="154"/>
      <c r="D2977" s="114"/>
      <c r="E2977" s="114"/>
      <c r="F2977" s="114" t="s">
        <v>3485</v>
      </c>
      <c r="G2977" s="114" t="s">
        <v>3485</v>
      </c>
    </row>
    <row r="2978" spans="1:7">
      <c r="A2978" s="26"/>
      <c r="B2978" s="95">
        <v>1</v>
      </c>
      <c r="C2978" s="153" t="s">
        <v>6286</v>
      </c>
      <c r="D2978" s="175" t="s">
        <v>2374</v>
      </c>
      <c r="E2978" s="179">
        <v>1</v>
      </c>
      <c r="F2978" s="190">
        <f>'HIRE CHARGES'!$D$555</f>
        <v>402.5</v>
      </c>
      <c r="G2978" s="190">
        <f>E2978*F2978</f>
        <v>402.5</v>
      </c>
    </row>
    <row r="2979" spans="1:7">
      <c r="A2979" s="26"/>
      <c r="B2979" s="317"/>
      <c r="C2979" s="152" t="s">
        <v>2379</v>
      </c>
      <c r="D2979" s="33" t="s">
        <v>2374</v>
      </c>
      <c r="E2979" s="190">
        <v>1</v>
      </c>
      <c r="F2979" s="190">
        <f>'HIRE CHARGES'!$E$555</f>
        <v>299.89999999999998</v>
      </c>
      <c r="G2979" s="190">
        <f>E2979*F2979</f>
        <v>299.89999999999998</v>
      </c>
    </row>
    <row r="2980" spans="1:7">
      <c r="A2980" s="26"/>
      <c r="B2980" s="105">
        <v>2</v>
      </c>
      <c r="C2980" s="152" t="s">
        <v>189</v>
      </c>
      <c r="D2980" s="33" t="s">
        <v>2374</v>
      </c>
      <c r="E2980" s="190">
        <v>0.5</v>
      </c>
      <c r="F2980" s="190">
        <f>'HIRE CHARGES'!$D$517</f>
        <v>10.199999999999999</v>
      </c>
      <c r="G2980" s="190">
        <f>E2980*F2980</f>
        <v>5.0999999999999996</v>
      </c>
    </row>
    <row r="2981" spans="1:7">
      <c r="A2981" s="26"/>
      <c r="B2981" s="317"/>
      <c r="C2981" s="152" t="s">
        <v>2379</v>
      </c>
      <c r="D2981" s="33" t="s">
        <v>2374</v>
      </c>
      <c r="E2981" s="190">
        <v>0.5</v>
      </c>
      <c r="F2981" s="190">
        <f>'HIRE CHARGES'!$E$517</f>
        <v>79.3</v>
      </c>
      <c r="G2981" s="190">
        <f>E2981*F2981</f>
        <v>39.65</v>
      </c>
    </row>
    <row r="2982" spans="1:7">
      <c r="A2982" s="26"/>
      <c r="B2982" s="176"/>
      <c r="C2982" s="172" t="s">
        <v>2380</v>
      </c>
      <c r="D2982" s="174"/>
      <c r="E2982" s="192"/>
      <c r="F2982" s="236" t="s">
        <v>1698</v>
      </c>
      <c r="G2982" s="318">
        <f>SUM(G2978:G2981)</f>
        <v>747.15</v>
      </c>
    </row>
    <row r="2983" spans="1:7">
      <c r="A2983" s="26"/>
      <c r="B2983" s="78"/>
      <c r="C2983" s="26"/>
      <c r="D2983" s="26"/>
      <c r="E2983" s="26"/>
      <c r="F2983" s="26"/>
      <c r="G2983" s="26"/>
    </row>
    <row r="2984" spans="1:7">
      <c r="A2984" s="26"/>
      <c r="B2984" s="79" t="s">
        <v>2381</v>
      </c>
      <c r="C2984" s="26"/>
      <c r="D2984" s="26"/>
      <c r="E2984" s="26"/>
      <c r="F2984" s="26"/>
      <c r="G2984" s="26"/>
    </row>
    <row r="2985" spans="1:7">
      <c r="A2985" s="26"/>
      <c r="B2985" s="95" t="s">
        <v>2369</v>
      </c>
      <c r="C2985" s="157" t="s">
        <v>2378</v>
      </c>
      <c r="D2985" s="95" t="s">
        <v>2370</v>
      </c>
      <c r="E2985" s="95" t="s">
        <v>1166</v>
      </c>
      <c r="F2985" s="95" t="s">
        <v>2371</v>
      </c>
      <c r="G2985" s="95" t="s">
        <v>2372</v>
      </c>
    </row>
    <row r="2986" spans="1:7">
      <c r="A2986" s="26"/>
      <c r="B2986" s="114"/>
      <c r="C2986" s="154"/>
      <c r="D2986" s="105"/>
      <c r="E2986" s="105"/>
      <c r="F2986" s="105" t="s">
        <v>3485</v>
      </c>
      <c r="G2986" s="114" t="s">
        <v>3485</v>
      </c>
    </row>
    <row r="2987" spans="1:7">
      <c r="A2987" s="26"/>
      <c r="B2987" s="95">
        <v>1</v>
      </c>
      <c r="C2987" s="76" t="s">
        <v>1000</v>
      </c>
      <c r="D2987" s="95" t="s">
        <v>2374</v>
      </c>
      <c r="E2987" s="179">
        <v>1</v>
      </c>
      <c r="F2987" s="179">
        <f>'HIRE CHARGES'!$F$555</f>
        <v>177.5</v>
      </c>
      <c r="G2987" s="207">
        <f t="shared" ref="G2987:G2992" si="81">E2987*F2987</f>
        <v>177.5</v>
      </c>
    </row>
    <row r="2988" spans="1:7">
      <c r="A2988" s="26"/>
      <c r="B2988" s="105">
        <v>2</v>
      </c>
      <c r="C2988" s="76" t="s">
        <v>999</v>
      </c>
      <c r="D2988" s="105" t="s">
        <v>2374</v>
      </c>
      <c r="E2988" s="190">
        <v>0.5</v>
      </c>
      <c r="F2988" s="190">
        <f>'HIRE CHARGES'!$F$517</f>
        <v>111.1</v>
      </c>
      <c r="G2988" s="207">
        <f t="shared" si="81"/>
        <v>55.55</v>
      </c>
    </row>
    <row r="2989" spans="1:7">
      <c r="A2989" s="26"/>
      <c r="B2989" s="105">
        <v>3</v>
      </c>
      <c r="C2989" s="76" t="s">
        <v>4206</v>
      </c>
      <c r="D2989" s="105" t="s">
        <v>1172</v>
      </c>
      <c r="E2989" s="190">
        <v>1</v>
      </c>
      <c r="F2989" s="190">
        <f>'BASIC DATA'!$C$473</f>
        <v>450</v>
      </c>
      <c r="G2989" s="207">
        <f t="shared" si="81"/>
        <v>450</v>
      </c>
    </row>
    <row r="2990" spans="1:7">
      <c r="A2990" s="26"/>
      <c r="B2990" s="105">
        <v>4</v>
      </c>
      <c r="C2990" s="76" t="s">
        <v>6460</v>
      </c>
      <c r="D2990" s="105" t="s">
        <v>1172</v>
      </c>
      <c r="E2990" s="190">
        <v>3</v>
      </c>
      <c r="F2990" s="190">
        <f>'BASIC DATA'!$C$545</f>
        <v>400</v>
      </c>
      <c r="G2990" s="207">
        <f t="shared" si="81"/>
        <v>1200</v>
      </c>
    </row>
    <row r="2991" spans="1:7">
      <c r="A2991" s="26"/>
      <c r="B2991" s="105">
        <v>5</v>
      </c>
      <c r="C2991" s="76" t="s">
        <v>440</v>
      </c>
      <c r="D2991" s="105" t="s">
        <v>1172</v>
      </c>
      <c r="E2991" s="190">
        <v>1</v>
      </c>
      <c r="F2991" s="190">
        <f>'BASIC DATA'!$C$474</f>
        <v>445</v>
      </c>
      <c r="G2991" s="207">
        <f t="shared" si="81"/>
        <v>445</v>
      </c>
    </row>
    <row r="2992" spans="1:7">
      <c r="A2992" s="26"/>
      <c r="B2992" s="105">
        <v>6</v>
      </c>
      <c r="C2992" s="76" t="s">
        <v>1356</v>
      </c>
      <c r="D2992" s="105" t="s">
        <v>1172</v>
      </c>
      <c r="E2992" s="190">
        <v>2</v>
      </c>
      <c r="F2992" s="190">
        <f>'BASIC DATA'!$C$541</f>
        <v>400</v>
      </c>
      <c r="G2992" s="207">
        <f t="shared" si="81"/>
        <v>800</v>
      </c>
    </row>
    <row r="2993" spans="1:7">
      <c r="A2993" s="26"/>
      <c r="B2993" s="105">
        <v>7</v>
      </c>
      <c r="C2993" s="76" t="s">
        <v>2697</v>
      </c>
      <c r="D2993" s="105"/>
      <c r="E2993" s="190"/>
      <c r="F2993" s="190"/>
      <c r="G2993" s="207"/>
    </row>
    <row r="2994" spans="1:7">
      <c r="A2994" s="26"/>
      <c r="B2994" s="317"/>
      <c r="C2994" s="76" t="s">
        <v>1729</v>
      </c>
      <c r="D2994" s="105" t="s">
        <v>1172</v>
      </c>
      <c r="E2994" s="190">
        <v>4</v>
      </c>
      <c r="F2994" s="190">
        <f>'BASIC DATA'!$C$552</f>
        <v>350</v>
      </c>
      <c r="G2994" s="207">
        <f t="shared" ref="G2994:G2999" si="82">E2994*F2994</f>
        <v>1400</v>
      </c>
    </row>
    <row r="2995" spans="1:7">
      <c r="A2995" s="26"/>
      <c r="B2995" s="317"/>
      <c r="C2995" s="76" t="s">
        <v>1730</v>
      </c>
      <c r="D2995" s="105" t="s">
        <v>1172</v>
      </c>
      <c r="E2995" s="190">
        <v>3</v>
      </c>
      <c r="F2995" s="190">
        <f>'BASIC DATA'!$C$552</f>
        <v>350</v>
      </c>
      <c r="G2995" s="207">
        <f t="shared" si="82"/>
        <v>1050</v>
      </c>
    </row>
    <row r="2996" spans="1:7">
      <c r="A2996" s="26"/>
      <c r="B2996" s="317"/>
      <c r="C2996" s="76" t="s">
        <v>442</v>
      </c>
      <c r="D2996" s="105" t="s">
        <v>1172</v>
      </c>
      <c r="E2996" s="190">
        <v>1</v>
      </c>
      <c r="F2996" s="190">
        <f>'BASIC DATA'!$C$552</f>
        <v>350</v>
      </c>
      <c r="G2996" s="207">
        <f t="shared" si="82"/>
        <v>350</v>
      </c>
    </row>
    <row r="2997" spans="1:7">
      <c r="A2997" s="26"/>
      <c r="B2997" s="317"/>
      <c r="C2997" s="76" t="s">
        <v>1109</v>
      </c>
      <c r="D2997" s="105" t="s">
        <v>1172</v>
      </c>
      <c r="E2997" s="190">
        <v>3</v>
      </c>
      <c r="F2997" s="190">
        <f>'BASIC DATA'!$C$552</f>
        <v>350</v>
      </c>
      <c r="G2997" s="207">
        <f t="shared" si="82"/>
        <v>1050</v>
      </c>
    </row>
    <row r="2998" spans="1:7">
      <c r="A2998" s="26"/>
      <c r="B2998" s="317"/>
      <c r="C2998" s="76" t="s">
        <v>1110</v>
      </c>
      <c r="D2998" s="105" t="s">
        <v>1172</v>
      </c>
      <c r="E2998" s="190">
        <v>1</v>
      </c>
      <c r="F2998" s="190">
        <f>'BASIC DATA'!$C$552</f>
        <v>350</v>
      </c>
      <c r="G2998" s="207">
        <f t="shared" si="82"/>
        <v>350</v>
      </c>
    </row>
    <row r="2999" spans="1:7">
      <c r="A2999" s="26"/>
      <c r="B2999" s="317"/>
      <c r="C2999" s="76" t="s">
        <v>6254</v>
      </c>
      <c r="D2999" s="105" t="s">
        <v>1172</v>
      </c>
      <c r="E2999" s="190">
        <v>2</v>
      </c>
      <c r="F2999" s="190">
        <f>'BASIC DATA'!$C$552</f>
        <v>350</v>
      </c>
      <c r="G2999" s="207">
        <f t="shared" si="82"/>
        <v>700</v>
      </c>
    </row>
    <row r="3000" spans="1:7">
      <c r="A3000" s="26"/>
      <c r="B3000" s="157"/>
      <c r="C3000" s="187"/>
      <c r="D3000" s="187"/>
      <c r="E3000" s="334" t="s">
        <v>2375</v>
      </c>
      <c r="F3000" s="334" t="s">
        <v>1698</v>
      </c>
      <c r="G3000" s="179">
        <f>SUM(G2987:G2999)</f>
        <v>8028.05</v>
      </c>
    </row>
    <row r="3001" spans="1:7">
      <c r="A3001" s="61"/>
      <c r="B3001" s="263"/>
      <c r="C3001" s="241" t="s">
        <v>3410</v>
      </c>
      <c r="D3001" s="241"/>
      <c r="E3001" s="335">
        <v>2.5000000000000001E-2</v>
      </c>
      <c r="F3001" s="336" t="s">
        <v>1698</v>
      </c>
      <c r="G3001" s="255">
        <f>E3001*$G$3000</f>
        <v>200.70125000000002</v>
      </c>
    </row>
    <row r="3002" spans="1:7">
      <c r="A3002" s="26"/>
      <c r="B3002" s="176"/>
      <c r="C3002" s="172" t="s">
        <v>1174</v>
      </c>
      <c r="D3002" s="174"/>
      <c r="E3002" s="192"/>
      <c r="F3002" s="236" t="s">
        <v>1698</v>
      </c>
      <c r="G3002" s="318">
        <f>SUM(G3000:G3001)</f>
        <v>8228.7512499999993</v>
      </c>
    </row>
    <row r="3003" spans="1:7">
      <c r="A3003" s="26"/>
      <c r="B3003" s="60" t="s">
        <v>5948</v>
      </c>
      <c r="C3003" s="31"/>
      <c r="D3003" s="31"/>
      <c r="E3003" s="85">
        <f>ROUND(G3002/F2959,1)</f>
        <v>822.9</v>
      </c>
      <c r="F3003" s="26"/>
      <c r="G3003" s="26"/>
    </row>
    <row r="3004" spans="1:7">
      <c r="A3004" s="26"/>
      <c r="B3004" s="60" t="s">
        <v>3163</v>
      </c>
      <c r="C3004" s="31"/>
      <c r="D3004" s="31">
        <f>'BASIC DATA'!$C$577</f>
        <v>0.13614999999999999</v>
      </c>
      <c r="E3004" s="85">
        <f>ROUND(E3003*D3004,1)</f>
        <v>112</v>
      </c>
      <c r="F3004" s="26"/>
      <c r="G3004" s="26"/>
    </row>
    <row r="3005" spans="1:7">
      <c r="A3005" s="26"/>
      <c r="B3005" s="60" t="s">
        <v>5949</v>
      </c>
      <c r="C3005" s="31"/>
      <c r="D3005" s="31"/>
      <c r="E3005" s="199">
        <f>ROUND(E3004+E3003,1)</f>
        <v>934.9</v>
      </c>
      <c r="F3005" s="56"/>
      <c r="G3005" s="26"/>
    </row>
    <row r="3006" spans="1:7">
      <c r="A3006" s="26"/>
      <c r="B3006" s="78"/>
      <c r="C3006" s="26"/>
      <c r="D3006" s="26"/>
      <c r="E3006" s="26"/>
      <c r="F3006" s="26"/>
      <c r="G3006" s="26"/>
    </row>
    <row r="3007" spans="1:7">
      <c r="A3007" s="26"/>
      <c r="B3007" s="170" t="s">
        <v>1175</v>
      </c>
      <c r="C3007" s="26"/>
      <c r="D3007" s="26"/>
      <c r="E3007" s="26"/>
      <c r="F3007" s="26"/>
      <c r="G3007" s="26"/>
    </row>
    <row r="3008" spans="1:7">
      <c r="A3008" s="26"/>
      <c r="B3008" s="26" t="s">
        <v>5010</v>
      </c>
      <c r="C3008" s="26"/>
      <c r="D3008" s="26"/>
      <c r="E3008" s="26"/>
      <c r="F3008" s="171" t="s">
        <v>1698</v>
      </c>
      <c r="G3008" s="68" t="e">
        <f>G2973</f>
        <v>#REF!</v>
      </c>
    </row>
    <row r="3009" spans="1:7">
      <c r="A3009" s="26"/>
      <c r="B3009" s="26" t="s">
        <v>1186</v>
      </c>
      <c r="C3009" s="26"/>
      <c r="D3009" s="26"/>
      <c r="E3009" s="26"/>
      <c r="F3009" s="171" t="s">
        <v>1698</v>
      </c>
      <c r="G3009" s="68">
        <f>G2982</f>
        <v>747.15</v>
      </c>
    </row>
    <row r="3010" spans="1:7">
      <c r="A3010" s="26"/>
      <c r="B3010" s="26" t="s">
        <v>2660</v>
      </c>
      <c r="C3010" s="26"/>
      <c r="D3010" s="26"/>
      <c r="E3010" s="26"/>
      <c r="F3010" s="171" t="s">
        <v>1698</v>
      </c>
      <c r="G3010" s="75">
        <f>G3002</f>
        <v>8228.7512499999993</v>
      </c>
    </row>
    <row r="3011" spans="1:7">
      <c r="A3011" s="26"/>
      <c r="B3011" s="78"/>
      <c r="C3011" s="26"/>
      <c r="D3011" s="26"/>
      <c r="E3011" s="171"/>
      <c r="F3011" s="171" t="s">
        <v>302</v>
      </c>
      <c r="G3011" s="205" t="e">
        <f>SUM(G3008:G3010)</f>
        <v>#REF!</v>
      </c>
    </row>
    <row r="3012" spans="1:7">
      <c r="A3012" s="26"/>
      <c r="B3012" s="1206" t="s">
        <v>1379</v>
      </c>
      <c r="C3012" s="1206"/>
      <c r="D3012" s="26"/>
      <c r="E3012" s="249">
        <f>'BASIC DATA'!$C$577</f>
        <v>0.13614999999999999</v>
      </c>
      <c r="F3012" s="26" t="s">
        <v>1698</v>
      </c>
      <c r="G3012" s="26" t="e">
        <f>ROUND(G3011*E3012,2)</f>
        <v>#REF!</v>
      </c>
    </row>
    <row r="3013" spans="1:7">
      <c r="A3013" s="26"/>
      <c r="B3013" s="26" t="s">
        <v>1191</v>
      </c>
      <c r="C3013" s="26"/>
      <c r="D3013" s="68">
        <f>F2959</f>
        <v>10</v>
      </c>
      <c r="E3013" s="68" t="str">
        <f>G2959</f>
        <v>cum</v>
      </c>
      <c r="F3013" s="26" t="s">
        <v>1698</v>
      </c>
      <c r="G3013" s="211" t="e">
        <f>G3012+G3011</f>
        <v>#REF!</v>
      </c>
    </row>
    <row r="3014" spans="1:7">
      <c r="A3014" s="26"/>
      <c r="B3014" s="170" t="s">
        <v>1584</v>
      </c>
      <c r="C3014" s="211" t="str">
        <f>E3013</f>
        <v>cum</v>
      </c>
      <c r="D3014" s="26" t="s">
        <v>5891</v>
      </c>
      <c r="E3014" s="26"/>
      <c r="F3014" s="26" t="s">
        <v>4108</v>
      </c>
      <c r="G3014" s="211" t="e">
        <f>ROUND(G3013/D3013,1)</f>
        <v>#REF!</v>
      </c>
    </row>
    <row r="3015" spans="1:7">
      <c r="A3015" s="26"/>
      <c r="B3015" s="78"/>
      <c r="C3015" s="26"/>
      <c r="D3015" s="26"/>
      <c r="E3015" s="26"/>
      <c r="F3015" s="26"/>
      <c r="G3015" s="26"/>
    </row>
    <row r="3016" spans="1:7">
      <c r="A3016" s="26"/>
      <c r="B3016" s="78"/>
      <c r="C3016" s="26"/>
      <c r="D3016" s="26"/>
      <c r="E3016" s="26"/>
      <c r="F3016" s="26"/>
      <c r="G3016" s="26"/>
    </row>
    <row r="3017" spans="1:7">
      <c r="A3017" s="78" t="s">
        <v>7574</v>
      </c>
      <c r="B3017" s="26" t="s">
        <v>8977</v>
      </c>
      <c r="C3017" s="26"/>
      <c r="D3017" s="26"/>
      <c r="E3017" s="26"/>
      <c r="F3017" s="26"/>
      <c r="G3017" s="26"/>
    </row>
    <row r="3018" spans="1:7">
      <c r="A3018" s="78"/>
      <c r="B3018" s="26" t="s">
        <v>3069</v>
      </c>
      <c r="C3018" s="26"/>
      <c r="D3018" s="26"/>
      <c r="E3018" s="26"/>
      <c r="F3018" s="26"/>
      <c r="G3018" s="26"/>
    </row>
    <row r="3019" spans="1:7">
      <c r="A3019" s="78"/>
      <c r="B3019" s="26" t="s">
        <v>1565</v>
      </c>
      <c r="C3019" s="26"/>
      <c r="D3019" s="26"/>
      <c r="E3019" s="26"/>
      <c r="F3019" s="26"/>
      <c r="G3019" s="26"/>
    </row>
    <row r="3020" spans="1:7">
      <c r="A3020" s="78"/>
      <c r="B3020" s="170" t="s">
        <v>1211</v>
      </c>
      <c r="C3020" s="26"/>
      <c r="D3020" s="26"/>
      <c r="E3020" s="26"/>
      <c r="F3020" s="26"/>
      <c r="G3020" s="26"/>
    </row>
    <row r="3021" spans="1:7">
      <c r="A3021" s="78"/>
      <c r="B3021" s="170" t="s">
        <v>3582</v>
      </c>
      <c r="C3021" s="26"/>
      <c r="D3021" s="26"/>
      <c r="E3021" s="26"/>
      <c r="F3021" s="26"/>
      <c r="G3021" s="26"/>
    </row>
    <row r="3022" spans="1:7">
      <c r="A3022" s="62"/>
      <c r="B3022" s="248" t="s">
        <v>6941</v>
      </c>
      <c r="C3022" s="61"/>
      <c r="D3022" s="61"/>
      <c r="E3022" s="61"/>
      <c r="F3022" s="61"/>
      <c r="G3022" s="61"/>
    </row>
    <row r="3023" spans="1:7">
      <c r="A3023" s="78"/>
      <c r="B3023" s="170" t="s">
        <v>7586</v>
      </c>
      <c r="C3023" s="26"/>
      <c r="D3023" s="26"/>
      <c r="E3023" s="26"/>
      <c r="F3023" s="26"/>
      <c r="G3023" s="26"/>
    </row>
    <row r="3024" spans="1:7">
      <c r="A3024" s="78" t="s">
        <v>3984</v>
      </c>
      <c r="B3024" s="26" t="s">
        <v>1566</v>
      </c>
      <c r="C3024" s="26"/>
      <c r="D3024" s="26"/>
      <c r="E3024" s="78" t="s">
        <v>3070</v>
      </c>
      <c r="F3024" s="26">
        <v>60</v>
      </c>
      <c r="G3024" s="26" t="s">
        <v>3135</v>
      </c>
    </row>
    <row r="3025" spans="1:7">
      <c r="A3025" s="78"/>
      <c r="B3025" s="26" t="s">
        <v>3138</v>
      </c>
      <c r="C3025" s="26"/>
      <c r="D3025" s="26"/>
      <c r="E3025" s="26"/>
      <c r="F3025" s="26">
        <v>0.15</v>
      </c>
      <c r="G3025" s="26" t="s">
        <v>3477</v>
      </c>
    </row>
    <row r="3026" spans="1:7">
      <c r="A3026" s="78"/>
      <c r="B3026" s="26" t="s">
        <v>3139</v>
      </c>
      <c r="C3026" s="26"/>
      <c r="D3026" s="26"/>
      <c r="E3026" s="26"/>
      <c r="F3026" s="26">
        <v>0.45</v>
      </c>
      <c r="G3026" s="26" t="s">
        <v>3477</v>
      </c>
    </row>
    <row r="3027" spans="1:7">
      <c r="A3027" s="78"/>
      <c r="B3027" s="26" t="s">
        <v>306</v>
      </c>
      <c r="C3027" s="26"/>
      <c r="D3027" s="26"/>
      <c r="E3027" s="26"/>
      <c r="F3027" s="26"/>
      <c r="G3027" s="26"/>
    </row>
    <row r="3028" spans="1:7">
      <c r="A3028" s="78"/>
      <c r="B3028" s="26" t="s">
        <v>3456</v>
      </c>
      <c r="C3028" s="26"/>
      <c r="D3028" s="78" t="s">
        <v>3070</v>
      </c>
      <c r="E3028" s="26" t="s">
        <v>3407</v>
      </c>
      <c r="F3028" s="26"/>
      <c r="G3028" s="26"/>
    </row>
    <row r="3029" spans="1:7">
      <c r="A3029" s="78"/>
      <c r="B3029" s="26" t="s">
        <v>3457</v>
      </c>
      <c r="C3029" s="26"/>
      <c r="D3029" s="78" t="s">
        <v>3070</v>
      </c>
      <c r="E3029" s="68">
        <v>5</v>
      </c>
      <c r="F3029" s="26" t="s">
        <v>3760</v>
      </c>
      <c r="G3029" s="26"/>
    </row>
    <row r="3030" spans="1:7">
      <c r="A3030" s="26"/>
      <c r="B3030" s="78"/>
      <c r="C3030" s="26"/>
      <c r="D3030" s="78"/>
      <c r="E3030" s="26"/>
      <c r="F3030" s="26"/>
      <c r="G3030" s="26"/>
    </row>
    <row r="3031" spans="1:7">
      <c r="A3031" s="78" t="s">
        <v>3984</v>
      </c>
      <c r="B3031" s="78"/>
      <c r="C3031" s="203" t="s">
        <v>2367</v>
      </c>
      <c r="D3031" s="26"/>
      <c r="E3031" s="171" t="s">
        <v>297</v>
      </c>
      <c r="F3031" s="246">
        <v>10</v>
      </c>
      <c r="G3031" s="26" t="s">
        <v>3477</v>
      </c>
    </row>
    <row r="3032" spans="1:7">
      <c r="A3032" s="26"/>
      <c r="B3032" s="79" t="s">
        <v>2368</v>
      </c>
      <c r="C3032" s="26"/>
      <c r="D3032" s="26"/>
      <c r="E3032" s="26"/>
      <c r="F3032" s="26"/>
      <c r="G3032" s="26"/>
    </row>
    <row r="3033" spans="1:7">
      <c r="A3033" s="26"/>
      <c r="B3033" s="95" t="s">
        <v>2369</v>
      </c>
      <c r="C3033" s="157" t="s">
        <v>4443</v>
      </c>
      <c r="D3033" s="95" t="s">
        <v>2370</v>
      </c>
      <c r="E3033" s="95" t="s">
        <v>1166</v>
      </c>
      <c r="F3033" s="95" t="s">
        <v>2371</v>
      </c>
      <c r="G3033" s="95" t="s">
        <v>2372</v>
      </c>
    </row>
    <row r="3034" spans="1:7">
      <c r="A3034" s="26"/>
      <c r="B3034" s="114"/>
      <c r="C3034" s="154"/>
      <c r="D3034" s="114"/>
      <c r="E3034" s="114"/>
      <c r="F3034" s="114" t="s">
        <v>3485</v>
      </c>
      <c r="G3034" s="114" t="s">
        <v>3485</v>
      </c>
    </row>
    <row r="3035" spans="1:7">
      <c r="A3035" s="26"/>
      <c r="B3035" s="95">
        <v>1</v>
      </c>
      <c r="C3035" s="135" t="s">
        <v>5853</v>
      </c>
      <c r="D3035" s="95" t="s">
        <v>3478</v>
      </c>
      <c r="E3035" s="190">
        <v>1330</v>
      </c>
      <c r="F3035" s="214">
        <f>'BASIC DATA'!$D$32/1000</f>
        <v>5.35</v>
      </c>
      <c r="G3035" s="190">
        <f t="shared" ref="G3035:G3040" si="83">E3035*F3035</f>
        <v>7115.4999999999991</v>
      </c>
    </row>
    <row r="3036" spans="1:7">
      <c r="A3036" s="26"/>
      <c r="B3036" s="105">
        <v>2</v>
      </c>
      <c r="C3036" s="135" t="s">
        <v>3458</v>
      </c>
      <c r="D3036" s="105" t="s">
        <v>2059</v>
      </c>
      <c r="E3036" s="190">
        <v>60</v>
      </c>
      <c r="F3036" s="214" t="e">
        <f>'BASIC DATA'!#REF!</f>
        <v>#REF!</v>
      </c>
      <c r="G3036" s="190" t="e">
        <f t="shared" si="83"/>
        <v>#REF!</v>
      </c>
    </row>
    <row r="3037" spans="1:7">
      <c r="A3037" s="26"/>
      <c r="B3037" s="105">
        <v>3</v>
      </c>
      <c r="C3037" s="135" t="s">
        <v>6458</v>
      </c>
      <c r="D3037" s="105" t="s">
        <v>2059</v>
      </c>
      <c r="E3037" s="190">
        <v>180</v>
      </c>
      <c r="F3037" s="214">
        <f>'BASIC DATA'!$D$79</f>
        <v>17</v>
      </c>
      <c r="G3037" s="190">
        <f t="shared" si="83"/>
        <v>3060</v>
      </c>
    </row>
    <row r="3038" spans="1:7">
      <c r="A3038" s="26"/>
      <c r="B3038" s="105">
        <v>4</v>
      </c>
      <c r="C3038" s="135" t="s">
        <v>5012</v>
      </c>
      <c r="D3038" s="105" t="s">
        <v>3477</v>
      </c>
      <c r="E3038" s="190">
        <v>4.5</v>
      </c>
      <c r="F3038" s="214">
        <f>'BASIC DATA'!$D$107</f>
        <v>155</v>
      </c>
      <c r="G3038" s="190">
        <f t="shared" si="83"/>
        <v>697.5</v>
      </c>
    </row>
    <row r="3039" spans="1:7">
      <c r="A3039" s="26"/>
      <c r="B3039" s="105">
        <v>5</v>
      </c>
      <c r="C3039" s="135" t="s">
        <v>1358</v>
      </c>
      <c r="D3039" s="105" t="s">
        <v>3477</v>
      </c>
      <c r="E3039" s="190">
        <v>1.5</v>
      </c>
      <c r="F3039" s="214">
        <f>'BASIC DATA'!$D$96</f>
        <v>350</v>
      </c>
      <c r="G3039" s="190">
        <f t="shared" si="83"/>
        <v>525</v>
      </c>
    </row>
    <row r="3040" spans="1:7">
      <c r="A3040" s="61"/>
      <c r="B3040" s="237">
        <v>6</v>
      </c>
      <c r="C3040" s="326" t="s">
        <v>6827</v>
      </c>
      <c r="D3040" s="240" t="s">
        <v>3477</v>
      </c>
      <c r="E3040" s="255">
        <v>3.5</v>
      </c>
      <c r="F3040" s="266">
        <f>'BASIC DATA'!$D$57</f>
        <v>165</v>
      </c>
      <c r="G3040" s="255">
        <f t="shared" si="83"/>
        <v>577.5</v>
      </c>
    </row>
    <row r="3041" spans="1:7">
      <c r="A3041" s="26"/>
      <c r="B3041" s="93"/>
      <c r="C3041" s="187"/>
      <c r="D3041" s="187"/>
      <c r="E3041" s="331" t="s">
        <v>2375</v>
      </c>
      <c r="F3041" s="344" t="s">
        <v>1698</v>
      </c>
      <c r="G3041" s="179" t="e">
        <f>SUM(G3035:G3040)</f>
        <v>#REF!</v>
      </c>
    </row>
    <row r="3042" spans="1:7">
      <c r="A3042" s="61"/>
      <c r="B3042" s="444"/>
      <c r="C3042" s="60" t="s">
        <v>6459</v>
      </c>
      <c r="D3042" s="60"/>
      <c r="E3042" s="685">
        <v>2.5000000000000001E-2</v>
      </c>
      <c r="F3042" s="523" t="s">
        <v>1698</v>
      </c>
      <c r="G3042" s="255" t="e">
        <f>E3042*$G$3041</f>
        <v>#REF!</v>
      </c>
    </row>
    <row r="3043" spans="1:7">
      <c r="A3043" s="26"/>
      <c r="B3043" s="93"/>
      <c r="C3043" s="31" t="s">
        <v>7017</v>
      </c>
      <c r="D3043" s="31" t="s">
        <v>4043</v>
      </c>
      <c r="E3043" s="198"/>
      <c r="F3043" s="280" t="s">
        <v>1698</v>
      </c>
      <c r="G3043" s="190"/>
    </row>
    <row r="3044" spans="1:7">
      <c r="A3044" s="26"/>
      <c r="B3044" s="93"/>
      <c r="C3044" s="31" t="s">
        <v>7018</v>
      </c>
      <c r="D3044" s="31" t="s">
        <v>4043</v>
      </c>
      <c r="E3044" s="198"/>
      <c r="F3044" s="275" t="s">
        <v>1698</v>
      </c>
      <c r="G3044" s="190"/>
    </row>
    <row r="3045" spans="1:7">
      <c r="A3045" s="26"/>
      <c r="B3045" s="92"/>
      <c r="C3045" s="193" t="s">
        <v>2376</v>
      </c>
      <c r="D3045" s="159"/>
      <c r="E3045" s="238"/>
      <c r="F3045" s="236" t="s">
        <v>1698</v>
      </c>
      <c r="G3045" s="318" t="e">
        <f>SUM(G3041:G3044)</f>
        <v>#REF!</v>
      </c>
    </row>
    <row r="3046" spans="1:7">
      <c r="A3046" s="26"/>
      <c r="B3046" s="78"/>
      <c r="C3046" s="26"/>
      <c r="D3046" s="26"/>
      <c r="E3046" s="26"/>
      <c r="F3046" s="26"/>
      <c r="G3046" s="68"/>
    </row>
    <row r="3047" spans="1:7">
      <c r="A3047" s="26"/>
      <c r="B3047" s="79" t="s">
        <v>2377</v>
      </c>
      <c r="C3047" s="26"/>
      <c r="D3047" s="26"/>
      <c r="E3047" s="26"/>
      <c r="F3047" s="26"/>
      <c r="G3047" s="26"/>
    </row>
    <row r="3048" spans="1:7">
      <c r="A3048" s="26"/>
      <c r="B3048" s="95" t="s">
        <v>2369</v>
      </c>
      <c r="C3048" s="157" t="s">
        <v>2378</v>
      </c>
      <c r="D3048" s="95" t="s">
        <v>2370</v>
      </c>
      <c r="E3048" s="95" t="s">
        <v>1166</v>
      </c>
      <c r="F3048" s="95" t="s">
        <v>2371</v>
      </c>
      <c r="G3048" s="95" t="s">
        <v>2372</v>
      </c>
    </row>
    <row r="3049" spans="1:7">
      <c r="A3049" s="26"/>
      <c r="B3049" s="114"/>
      <c r="C3049" s="154"/>
      <c r="D3049" s="114"/>
      <c r="E3049" s="114"/>
      <c r="F3049" s="114" t="s">
        <v>3485</v>
      </c>
      <c r="G3049" s="114" t="s">
        <v>3485</v>
      </c>
    </row>
    <row r="3050" spans="1:7">
      <c r="A3050" s="26"/>
      <c r="B3050" s="95">
        <v>1</v>
      </c>
      <c r="C3050" s="153" t="s">
        <v>6286</v>
      </c>
      <c r="D3050" s="175" t="s">
        <v>2374</v>
      </c>
      <c r="E3050" s="179">
        <v>1</v>
      </c>
      <c r="F3050" s="190">
        <f>'HIRE CHARGES'!$D$555</f>
        <v>402.5</v>
      </c>
      <c r="G3050" s="190">
        <f>E3050*F3050</f>
        <v>402.5</v>
      </c>
    </row>
    <row r="3051" spans="1:7">
      <c r="A3051" s="26"/>
      <c r="B3051" s="317"/>
      <c r="C3051" s="152" t="s">
        <v>2379</v>
      </c>
      <c r="D3051" s="33" t="s">
        <v>2374</v>
      </c>
      <c r="E3051" s="190">
        <v>1</v>
      </c>
      <c r="F3051" s="190">
        <f>'HIRE CHARGES'!$E$555</f>
        <v>299.89999999999998</v>
      </c>
      <c r="G3051" s="190">
        <f>E3051*F3051</f>
        <v>299.89999999999998</v>
      </c>
    </row>
    <row r="3052" spans="1:7">
      <c r="A3052" s="26"/>
      <c r="B3052" s="105">
        <v>2</v>
      </c>
      <c r="C3052" s="152" t="s">
        <v>189</v>
      </c>
      <c r="D3052" s="33" t="s">
        <v>2374</v>
      </c>
      <c r="E3052" s="190">
        <v>0.5</v>
      </c>
      <c r="F3052" s="190">
        <f>'HIRE CHARGES'!$D$517</f>
        <v>10.199999999999999</v>
      </c>
      <c r="G3052" s="190">
        <f>E3052*F3052</f>
        <v>5.0999999999999996</v>
      </c>
    </row>
    <row r="3053" spans="1:7">
      <c r="A3053" s="26"/>
      <c r="B3053" s="317"/>
      <c r="C3053" s="152" t="s">
        <v>2379</v>
      </c>
      <c r="D3053" s="33" t="s">
        <v>2374</v>
      </c>
      <c r="E3053" s="190">
        <v>0.5</v>
      </c>
      <c r="F3053" s="190">
        <f>'HIRE CHARGES'!$E$517</f>
        <v>79.3</v>
      </c>
      <c r="G3053" s="190">
        <f>E3053*F3053</f>
        <v>39.65</v>
      </c>
    </row>
    <row r="3054" spans="1:7">
      <c r="A3054" s="26"/>
      <c r="B3054" s="176"/>
      <c r="C3054" s="172" t="s">
        <v>2380</v>
      </c>
      <c r="D3054" s="174"/>
      <c r="E3054" s="192"/>
      <c r="F3054" s="236" t="s">
        <v>1698</v>
      </c>
      <c r="G3054" s="318">
        <f>SUM(G3050:G3053)</f>
        <v>747.15</v>
      </c>
    </row>
    <row r="3055" spans="1:7">
      <c r="A3055" s="26"/>
      <c r="B3055" s="78"/>
      <c r="C3055" s="26"/>
      <c r="D3055" s="26"/>
      <c r="E3055" s="26"/>
      <c r="F3055" s="26"/>
      <c r="G3055" s="26"/>
    </row>
    <row r="3056" spans="1:7">
      <c r="A3056" s="26"/>
      <c r="B3056" s="79" t="s">
        <v>2381</v>
      </c>
      <c r="C3056" s="26"/>
      <c r="D3056" s="26"/>
      <c r="E3056" s="26"/>
      <c r="F3056" s="26"/>
      <c r="G3056" s="26"/>
    </row>
    <row r="3057" spans="1:7">
      <c r="A3057" s="26"/>
      <c r="B3057" s="95" t="s">
        <v>2369</v>
      </c>
      <c r="C3057" s="157" t="s">
        <v>2378</v>
      </c>
      <c r="D3057" s="95" t="s">
        <v>2370</v>
      </c>
      <c r="E3057" s="95" t="s">
        <v>1166</v>
      </c>
      <c r="F3057" s="95" t="s">
        <v>2371</v>
      </c>
      <c r="G3057" s="95" t="s">
        <v>2372</v>
      </c>
    </row>
    <row r="3058" spans="1:7">
      <c r="A3058" s="26"/>
      <c r="B3058" s="114"/>
      <c r="C3058" s="154"/>
      <c r="D3058" s="105"/>
      <c r="E3058" s="105"/>
      <c r="F3058" s="105" t="s">
        <v>3485</v>
      </c>
      <c r="G3058" s="114" t="s">
        <v>3485</v>
      </c>
    </row>
    <row r="3059" spans="1:7">
      <c r="A3059" s="26"/>
      <c r="B3059" s="95">
        <v>1</v>
      </c>
      <c r="C3059" s="76" t="s">
        <v>1000</v>
      </c>
      <c r="D3059" s="95" t="s">
        <v>2374</v>
      </c>
      <c r="E3059" s="179">
        <v>1</v>
      </c>
      <c r="F3059" s="179">
        <f>'HIRE CHARGES'!$F$555</f>
        <v>177.5</v>
      </c>
      <c r="G3059" s="207">
        <f t="shared" ref="G3059:G3064" si="84">E3059*F3059</f>
        <v>177.5</v>
      </c>
    </row>
    <row r="3060" spans="1:7">
      <c r="A3060" s="26"/>
      <c r="B3060" s="105">
        <v>2</v>
      </c>
      <c r="C3060" s="76" t="s">
        <v>999</v>
      </c>
      <c r="D3060" s="105" t="s">
        <v>2374</v>
      </c>
      <c r="E3060" s="190">
        <v>0.5</v>
      </c>
      <c r="F3060" s="190">
        <f>'HIRE CHARGES'!$F$517</f>
        <v>111.1</v>
      </c>
      <c r="G3060" s="207">
        <f t="shared" si="84"/>
        <v>55.55</v>
      </c>
    </row>
    <row r="3061" spans="1:7">
      <c r="A3061" s="26"/>
      <c r="B3061" s="105">
        <v>3</v>
      </c>
      <c r="C3061" s="76" t="s">
        <v>4206</v>
      </c>
      <c r="D3061" s="105" t="s">
        <v>1172</v>
      </c>
      <c r="E3061" s="190">
        <v>1</v>
      </c>
      <c r="F3061" s="190">
        <f>'BASIC DATA'!$C$473</f>
        <v>450</v>
      </c>
      <c r="G3061" s="207">
        <f t="shared" si="84"/>
        <v>450</v>
      </c>
    </row>
    <row r="3062" spans="1:7">
      <c r="A3062" s="26"/>
      <c r="B3062" s="105">
        <v>4</v>
      </c>
      <c r="C3062" s="76" t="s">
        <v>6460</v>
      </c>
      <c r="D3062" s="105" t="s">
        <v>1172</v>
      </c>
      <c r="E3062" s="190">
        <v>6</v>
      </c>
      <c r="F3062" s="190">
        <f>'BASIC DATA'!$C$545</f>
        <v>400</v>
      </c>
      <c r="G3062" s="207">
        <f t="shared" si="84"/>
        <v>2400</v>
      </c>
    </row>
    <row r="3063" spans="1:7">
      <c r="A3063" s="26"/>
      <c r="B3063" s="105">
        <v>5</v>
      </c>
      <c r="C3063" s="76" t="s">
        <v>440</v>
      </c>
      <c r="D3063" s="105" t="s">
        <v>1172</v>
      </c>
      <c r="E3063" s="190">
        <v>1</v>
      </c>
      <c r="F3063" s="190">
        <f>'BASIC DATA'!$C$474</f>
        <v>445</v>
      </c>
      <c r="G3063" s="207">
        <f t="shared" si="84"/>
        <v>445</v>
      </c>
    </row>
    <row r="3064" spans="1:7">
      <c r="A3064" s="26"/>
      <c r="B3064" s="105">
        <v>6</v>
      </c>
      <c r="C3064" s="76" t="s">
        <v>1356</v>
      </c>
      <c r="D3064" s="105" t="s">
        <v>1172</v>
      </c>
      <c r="E3064" s="190">
        <v>2</v>
      </c>
      <c r="F3064" s="190">
        <f>'BASIC DATA'!$C$541</f>
        <v>400</v>
      </c>
      <c r="G3064" s="207">
        <f t="shared" si="84"/>
        <v>800</v>
      </c>
    </row>
    <row r="3065" spans="1:7">
      <c r="A3065" s="26"/>
      <c r="B3065" s="105">
        <v>7</v>
      </c>
      <c r="C3065" s="76" t="s">
        <v>2697</v>
      </c>
      <c r="D3065" s="105"/>
      <c r="E3065" s="190"/>
      <c r="F3065" s="190"/>
      <c r="G3065" s="207"/>
    </row>
    <row r="3066" spans="1:7">
      <c r="A3066" s="26"/>
      <c r="B3066" s="105">
        <v>8</v>
      </c>
      <c r="C3066" s="76" t="s">
        <v>3071</v>
      </c>
      <c r="D3066" s="105" t="s">
        <v>1172</v>
      </c>
      <c r="E3066" s="190">
        <v>4</v>
      </c>
      <c r="F3066" s="190">
        <f>'BASIC DATA'!$C$552</f>
        <v>350</v>
      </c>
      <c r="G3066" s="207">
        <f t="shared" ref="G3066:G3071" si="85">E3066*F3066</f>
        <v>1400</v>
      </c>
    </row>
    <row r="3067" spans="1:7">
      <c r="A3067" s="26"/>
      <c r="B3067" s="317"/>
      <c r="C3067" s="76" t="s">
        <v>1730</v>
      </c>
      <c r="D3067" s="105" t="s">
        <v>1172</v>
      </c>
      <c r="E3067" s="190">
        <v>3</v>
      </c>
      <c r="F3067" s="190">
        <f>'BASIC DATA'!$C$552</f>
        <v>350</v>
      </c>
      <c r="G3067" s="207">
        <f t="shared" si="85"/>
        <v>1050</v>
      </c>
    </row>
    <row r="3068" spans="1:7">
      <c r="A3068" s="26"/>
      <c r="B3068" s="317"/>
      <c r="C3068" s="76" t="s">
        <v>442</v>
      </c>
      <c r="D3068" s="105" t="s">
        <v>1172</v>
      </c>
      <c r="E3068" s="190">
        <v>1</v>
      </c>
      <c r="F3068" s="190">
        <f>'BASIC DATA'!$C$552</f>
        <v>350</v>
      </c>
      <c r="G3068" s="207">
        <f t="shared" si="85"/>
        <v>350</v>
      </c>
    </row>
    <row r="3069" spans="1:7">
      <c r="A3069" s="26"/>
      <c r="B3069" s="317"/>
      <c r="C3069" s="76" t="s">
        <v>1109</v>
      </c>
      <c r="D3069" s="105" t="s">
        <v>1172</v>
      </c>
      <c r="E3069" s="190">
        <v>3</v>
      </c>
      <c r="F3069" s="190">
        <f>'BASIC DATA'!$C$552</f>
        <v>350</v>
      </c>
      <c r="G3069" s="207">
        <f t="shared" si="85"/>
        <v>1050</v>
      </c>
    </row>
    <row r="3070" spans="1:7">
      <c r="A3070" s="26"/>
      <c r="B3070" s="317"/>
      <c r="C3070" s="76" t="s">
        <v>1110</v>
      </c>
      <c r="D3070" s="105" t="s">
        <v>1172</v>
      </c>
      <c r="E3070" s="190">
        <v>1</v>
      </c>
      <c r="F3070" s="190">
        <f>'BASIC DATA'!$C$552</f>
        <v>350</v>
      </c>
      <c r="G3070" s="207">
        <f t="shared" si="85"/>
        <v>350</v>
      </c>
    </row>
    <row r="3071" spans="1:7">
      <c r="A3071" s="26"/>
      <c r="B3071" s="317"/>
      <c r="C3071" s="76" t="s">
        <v>6254</v>
      </c>
      <c r="D3071" s="105" t="s">
        <v>1172</v>
      </c>
      <c r="E3071" s="190">
        <v>2</v>
      </c>
      <c r="F3071" s="190">
        <f>'BASIC DATA'!$C$552</f>
        <v>350</v>
      </c>
      <c r="G3071" s="207">
        <f t="shared" si="85"/>
        <v>700</v>
      </c>
    </row>
    <row r="3072" spans="1:7">
      <c r="A3072" s="26"/>
      <c r="B3072" s="157"/>
      <c r="C3072" s="187"/>
      <c r="D3072" s="187"/>
      <c r="E3072" s="334" t="s">
        <v>2375</v>
      </c>
      <c r="F3072" s="334" t="s">
        <v>1698</v>
      </c>
      <c r="G3072" s="179">
        <f>SUM(G3059:G3071)</f>
        <v>9228.0499999999993</v>
      </c>
    </row>
    <row r="3073" spans="1:7">
      <c r="A3073" s="61"/>
      <c r="B3073" s="263"/>
      <c r="C3073" s="241" t="s">
        <v>3410</v>
      </c>
      <c r="D3073" s="241"/>
      <c r="E3073" s="335">
        <v>2.5000000000000001E-2</v>
      </c>
      <c r="F3073" s="336" t="s">
        <v>1698</v>
      </c>
      <c r="G3073" s="255">
        <f>E3073*$G$3072</f>
        <v>230.70124999999999</v>
      </c>
    </row>
    <row r="3074" spans="1:7">
      <c r="A3074" s="26"/>
      <c r="B3074" s="176"/>
      <c r="C3074" s="172" t="s">
        <v>1174</v>
      </c>
      <c r="D3074" s="174"/>
      <c r="E3074" s="192"/>
      <c r="F3074" s="236" t="s">
        <v>1698</v>
      </c>
      <c r="G3074" s="318">
        <f>SUM(G3072:G3073)</f>
        <v>9458.7512499999993</v>
      </c>
    </row>
    <row r="3075" spans="1:7">
      <c r="A3075" s="26"/>
      <c r="B3075" s="60" t="s">
        <v>5948</v>
      </c>
      <c r="C3075" s="31"/>
      <c r="D3075" s="31"/>
      <c r="E3075" s="85">
        <f>ROUND(G3074/F3031,1)</f>
        <v>945.9</v>
      </c>
      <c r="F3075" s="26"/>
      <c r="G3075" s="26"/>
    </row>
    <row r="3076" spans="1:7">
      <c r="A3076" s="26"/>
      <c r="B3076" s="60" t="s">
        <v>3163</v>
      </c>
      <c r="C3076" s="31"/>
      <c r="D3076" s="31">
        <f>'BASIC DATA'!$C$577</f>
        <v>0.13614999999999999</v>
      </c>
      <c r="E3076" s="85">
        <f>ROUND(E3075*D3076,1)</f>
        <v>128.80000000000001</v>
      </c>
      <c r="F3076" s="26"/>
      <c r="G3076" s="26"/>
    </row>
    <row r="3077" spans="1:7">
      <c r="A3077" s="26"/>
      <c r="B3077" s="60" t="s">
        <v>5949</v>
      </c>
      <c r="C3077" s="31"/>
      <c r="D3077" s="31"/>
      <c r="E3077" s="199">
        <f>ROUND(E3076+E3075,1)</f>
        <v>1074.7</v>
      </c>
      <c r="F3077" s="56"/>
      <c r="G3077" s="26"/>
    </row>
    <row r="3078" spans="1:7">
      <c r="A3078" s="26"/>
      <c r="B3078" s="78"/>
      <c r="C3078" s="26"/>
      <c r="D3078" s="26"/>
      <c r="E3078" s="26"/>
      <c r="F3078" s="26"/>
      <c r="G3078" s="26"/>
    </row>
    <row r="3079" spans="1:7">
      <c r="A3079" s="26"/>
      <c r="B3079" s="170" t="s">
        <v>1175</v>
      </c>
      <c r="C3079" s="26"/>
      <c r="D3079" s="26"/>
      <c r="E3079" s="26"/>
      <c r="F3079" s="26"/>
      <c r="G3079" s="26"/>
    </row>
    <row r="3080" spans="1:7">
      <c r="A3080" s="26"/>
      <c r="B3080" s="26" t="s">
        <v>5010</v>
      </c>
      <c r="C3080" s="26"/>
      <c r="D3080" s="26"/>
      <c r="E3080" s="26"/>
      <c r="F3080" s="171" t="s">
        <v>1698</v>
      </c>
      <c r="G3080" s="68" t="e">
        <f>G3045</f>
        <v>#REF!</v>
      </c>
    </row>
    <row r="3081" spans="1:7">
      <c r="A3081" s="26"/>
      <c r="B3081" s="26" t="s">
        <v>1186</v>
      </c>
      <c r="C3081" s="26"/>
      <c r="D3081" s="26"/>
      <c r="E3081" s="26"/>
      <c r="F3081" s="171" t="s">
        <v>1698</v>
      </c>
      <c r="G3081" s="68">
        <f>G3054</f>
        <v>747.15</v>
      </c>
    </row>
    <row r="3082" spans="1:7">
      <c r="A3082" s="26"/>
      <c r="B3082" s="26" t="s">
        <v>2660</v>
      </c>
      <c r="C3082" s="26"/>
      <c r="D3082" s="26"/>
      <c r="E3082" s="26"/>
      <c r="F3082" s="171" t="s">
        <v>1698</v>
      </c>
      <c r="G3082" s="75">
        <f>G3074</f>
        <v>9458.7512499999993</v>
      </c>
    </row>
    <row r="3083" spans="1:7">
      <c r="A3083" s="26"/>
      <c r="B3083" s="78"/>
      <c r="C3083" s="26"/>
      <c r="D3083" s="26"/>
      <c r="E3083" s="171"/>
      <c r="F3083" s="171" t="s">
        <v>302</v>
      </c>
      <c r="G3083" s="205" t="e">
        <f>SUM(G3080:G3082)</f>
        <v>#REF!</v>
      </c>
    </row>
    <row r="3084" spans="1:7">
      <c r="A3084" s="26"/>
      <c r="B3084" s="1206" t="s">
        <v>1379</v>
      </c>
      <c r="C3084" s="1206"/>
      <c r="D3084" s="26"/>
      <c r="E3084" s="249">
        <f>'BASIC DATA'!$C$577</f>
        <v>0.13614999999999999</v>
      </c>
      <c r="F3084" s="26" t="s">
        <v>1698</v>
      </c>
      <c r="G3084" s="26" t="e">
        <f>ROUND(G3083*E3084,2)</f>
        <v>#REF!</v>
      </c>
    </row>
    <row r="3085" spans="1:7">
      <c r="A3085" s="26"/>
      <c r="B3085" s="26" t="s">
        <v>1191</v>
      </c>
      <c r="C3085" s="26"/>
      <c r="D3085" s="68">
        <f>F3031</f>
        <v>10</v>
      </c>
      <c r="E3085" s="68" t="str">
        <f>G3031</f>
        <v>cum</v>
      </c>
      <c r="F3085" s="26" t="s">
        <v>1698</v>
      </c>
      <c r="G3085" s="211" t="e">
        <f>G3084+G3083</f>
        <v>#REF!</v>
      </c>
    </row>
    <row r="3086" spans="1:7">
      <c r="A3086" s="26"/>
      <c r="B3086" s="170" t="s">
        <v>1584</v>
      </c>
      <c r="C3086" s="211" t="str">
        <f>E3085</f>
        <v>cum</v>
      </c>
      <c r="D3086" s="26" t="s">
        <v>5891</v>
      </c>
      <c r="E3086" s="26"/>
      <c r="F3086" s="26" t="s">
        <v>4108</v>
      </c>
      <c r="G3086" s="211" t="e">
        <f>ROUND(G3085/D3085,1)</f>
        <v>#REF!</v>
      </c>
    </row>
    <row r="3087" spans="1:7">
      <c r="A3087" s="26"/>
      <c r="B3087" s="78"/>
      <c r="C3087" s="26"/>
      <c r="D3087" s="26"/>
      <c r="E3087" s="26"/>
      <c r="F3087" s="26"/>
      <c r="G3087" s="26"/>
    </row>
    <row r="3088" spans="1:7">
      <c r="A3088" s="26"/>
      <c r="B3088" s="78"/>
      <c r="C3088" s="26"/>
      <c r="D3088" s="26"/>
      <c r="E3088" s="26"/>
      <c r="F3088" s="26"/>
      <c r="G3088" s="26"/>
    </row>
    <row r="3089" spans="1:7" ht="18.75">
      <c r="A3089" s="78" t="s">
        <v>7575</v>
      </c>
      <c r="B3089" s="170" t="s">
        <v>8978</v>
      </c>
      <c r="C3089" s="26"/>
      <c r="D3089" s="26"/>
      <c r="E3089" s="26"/>
      <c r="F3089" s="26"/>
      <c r="G3089" s="26"/>
    </row>
    <row r="3090" spans="1:7">
      <c r="A3090" s="78"/>
      <c r="B3090" s="26" t="s">
        <v>6297</v>
      </c>
      <c r="C3090" s="26"/>
      <c r="D3090" s="26"/>
      <c r="E3090" s="26"/>
      <c r="F3090" s="26"/>
      <c r="G3090" s="26"/>
    </row>
    <row r="3091" spans="1:7">
      <c r="A3091" s="78"/>
      <c r="B3091" s="26" t="s">
        <v>5013</v>
      </c>
      <c r="C3091" s="26"/>
      <c r="D3091" s="26"/>
      <c r="E3091" s="26"/>
      <c r="F3091" s="26"/>
      <c r="G3091" s="26"/>
    </row>
    <row r="3092" spans="1:7" ht="18.75">
      <c r="A3092" s="78"/>
      <c r="B3092" s="170" t="s">
        <v>8957</v>
      </c>
      <c r="C3092" s="26"/>
      <c r="D3092" s="26"/>
      <c r="E3092" s="26"/>
      <c r="F3092" s="26"/>
      <c r="G3092" s="26"/>
    </row>
    <row r="3093" spans="1:7">
      <c r="A3093" s="78"/>
      <c r="B3093" s="26"/>
      <c r="C3093" s="26"/>
      <c r="D3093" s="26"/>
      <c r="E3093" s="26"/>
      <c r="F3093" s="26"/>
      <c r="G3093" s="26"/>
    </row>
    <row r="3094" spans="1:7">
      <c r="A3094" s="78" t="s">
        <v>3984</v>
      </c>
      <c r="B3094" s="26" t="s">
        <v>5014</v>
      </c>
      <c r="C3094" s="26"/>
      <c r="D3094" s="26"/>
      <c r="E3094" s="78"/>
      <c r="F3094" s="26"/>
      <c r="G3094" s="26"/>
    </row>
    <row r="3095" spans="1:7">
      <c r="A3095" s="78"/>
      <c r="B3095" s="26" t="s">
        <v>5015</v>
      </c>
      <c r="C3095" s="26"/>
      <c r="D3095" s="26"/>
      <c r="E3095" s="26"/>
      <c r="F3095" s="26"/>
      <c r="G3095" s="26"/>
    </row>
    <row r="3096" spans="1:7">
      <c r="A3096" s="78"/>
      <c r="B3096" s="26" t="s">
        <v>5016</v>
      </c>
      <c r="C3096" s="26"/>
      <c r="D3096" s="26"/>
      <c r="E3096" s="26"/>
      <c r="F3096" s="26"/>
      <c r="G3096" s="26"/>
    </row>
    <row r="3097" spans="1:7">
      <c r="A3097" s="78"/>
      <c r="B3097" s="26" t="s">
        <v>3140</v>
      </c>
      <c r="C3097" s="26"/>
      <c r="D3097" s="26">
        <v>0.75</v>
      </c>
      <c r="E3097" s="26" t="s">
        <v>3477</v>
      </c>
      <c r="F3097" s="26"/>
      <c r="G3097" s="26"/>
    </row>
    <row r="3098" spans="1:7">
      <c r="A3098" s="78"/>
      <c r="B3098" s="26" t="s">
        <v>307</v>
      </c>
      <c r="C3098" s="26"/>
      <c r="D3098" s="26"/>
      <c r="E3098" s="26"/>
      <c r="F3098" s="26">
        <v>0.75</v>
      </c>
      <c r="G3098" s="26" t="s">
        <v>3477</v>
      </c>
    </row>
    <row r="3099" spans="1:7">
      <c r="A3099" s="26"/>
      <c r="B3099" s="78"/>
      <c r="C3099" s="26"/>
      <c r="D3099" s="26"/>
      <c r="E3099" s="26"/>
      <c r="F3099" s="26"/>
      <c r="G3099" s="26"/>
    </row>
    <row r="3100" spans="1:7">
      <c r="A3100" s="78" t="s">
        <v>3984</v>
      </c>
      <c r="B3100" s="78"/>
      <c r="C3100" s="203" t="s">
        <v>2367</v>
      </c>
      <c r="D3100" s="26"/>
      <c r="E3100" s="171" t="s">
        <v>297</v>
      </c>
      <c r="F3100" s="246">
        <v>100</v>
      </c>
      <c r="G3100" s="26" t="s">
        <v>3479</v>
      </c>
    </row>
    <row r="3101" spans="1:7">
      <c r="A3101" s="26"/>
      <c r="B3101" s="79" t="s">
        <v>2368</v>
      </c>
      <c r="C3101" s="26"/>
      <c r="D3101" s="26"/>
      <c r="E3101" s="26"/>
      <c r="F3101" s="26"/>
      <c r="G3101" s="26"/>
    </row>
    <row r="3102" spans="1:7">
      <c r="A3102" s="26"/>
      <c r="B3102" s="95" t="s">
        <v>2369</v>
      </c>
      <c r="C3102" s="157" t="s">
        <v>4443</v>
      </c>
      <c r="D3102" s="95" t="s">
        <v>2370</v>
      </c>
      <c r="E3102" s="95" t="s">
        <v>1166</v>
      </c>
      <c r="F3102" s="95" t="s">
        <v>2371</v>
      </c>
      <c r="G3102" s="95" t="s">
        <v>2372</v>
      </c>
    </row>
    <row r="3103" spans="1:7">
      <c r="A3103" s="26"/>
      <c r="B3103" s="114"/>
      <c r="C3103" s="154"/>
      <c r="D3103" s="114"/>
      <c r="E3103" s="114"/>
      <c r="F3103" s="114" t="s">
        <v>3485</v>
      </c>
      <c r="G3103" s="114" t="s">
        <v>3485</v>
      </c>
    </row>
    <row r="3104" spans="1:7">
      <c r="A3104" s="26"/>
      <c r="B3104" s="95">
        <v>1</v>
      </c>
      <c r="C3104" s="135" t="s">
        <v>5853</v>
      </c>
      <c r="D3104" s="95" t="s">
        <v>3478</v>
      </c>
      <c r="E3104" s="190">
        <v>456</v>
      </c>
      <c r="F3104" s="214">
        <f>'BASIC DATA'!$D$32/1000</f>
        <v>5.35</v>
      </c>
      <c r="G3104" s="190">
        <f>E3104*F3104</f>
        <v>2439.6</v>
      </c>
    </row>
    <row r="3105" spans="1:7">
      <c r="A3105" s="61"/>
      <c r="B3105" s="237">
        <v>2</v>
      </c>
      <c r="C3105" s="326" t="s">
        <v>6827</v>
      </c>
      <c r="D3105" s="240" t="s">
        <v>3477</v>
      </c>
      <c r="E3105" s="255">
        <v>0.75</v>
      </c>
      <c r="F3105" s="266">
        <f>'BASIC DATA'!$D$57</f>
        <v>165</v>
      </c>
      <c r="G3105" s="255">
        <f>E3105*F3105</f>
        <v>123.75</v>
      </c>
    </row>
    <row r="3106" spans="1:7">
      <c r="A3106" s="26"/>
      <c r="B3106" s="93"/>
      <c r="C3106" s="187"/>
      <c r="D3106" s="187"/>
      <c r="E3106" s="331" t="s">
        <v>2375</v>
      </c>
      <c r="F3106" s="344" t="s">
        <v>1698</v>
      </c>
      <c r="G3106" s="179">
        <f>SUM(G3104:G3105)</f>
        <v>2563.35</v>
      </c>
    </row>
    <row r="3107" spans="1:7">
      <c r="A3107" s="61"/>
      <c r="B3107" s="444"/>
      <c r="C3107" s="60" t="s">
        <v>5017</v>
      </c>
      <c r="D3107" s="60"/>
      <c r="E3107" s="685">
        <v>2.5000000000000001E-2</v>
      </c>
      <c r="F3107" s="523" t="s">
        <v>1698</v>
      </c>
      <c r="G3107" s="255">
        <f>E3107*$G$3106</f>
        <v>64.083749999999995</v>
      </c>
    </row>
    <row r="3108" spans="1:7">
      <c r="A3108" s="26"/>
      <c r="B3108" s="93"/>
      <c r="C3108" s="31" t="s">
        <v>7018</v>
      </c>
      <c r="D3108" s="31" t="s">
        <v>4043</v>
      </c>
      <c r="E3108" s="198"/>
      <c r="F3108" s="275" t="s">
        <v>1698</v>
      </c>
      <c r="G3108" s="190"/>
    </row>
    <row r="3109" spans="1:7">
      <c r="A3109" s="26"/>
      <c r="B3109" s="92"/>
      <c r="C3109" s="193" t="s">
        <v>2376</v>
      </c>
      <c r="D3109" s="159"/>
      <c r="E3109" s="238"/>
      <c r="F3109" s="236" t="s">
        <v>1698</v>
      </c>
      <c r="G3109" s="318">
        <f>SUM(G3106:G3108)</f>
        <v>2627.4337499999997</v>
      </c>
    </row>
    <row r="3110" spans="1:7">
      <c r="A3110" s="26"/>
      <c r="B3110" s="78"/>
      <c r="C3110" s="26"/>
      <c r="D3110" s="26"/>
      <c r="E3110" s="26"/>
      <c r="F3110" s="26"/>
      <c r="G3110" s="68"/>
    </row>
    <row r="3111" spans="1:7">
      <c r="A3111" s="26"/>
      <c r="B3111" s="79" t="s">
        <v>2377</v>
      </c>
      <c r="C3111" s="26"/>
      <c r="D3111" s="26"/>
      <c r="E3111" s="26"/>
      <c r="F3111" s="26"/>
      <c r="G3111" s="26"/>
    </row>
    <row r="3112" spans="1:7">
      <c r="A3112" s="26"/>
      <c r="B3112" s="95" t="s">
        <v>2369</v>
      </c>
      <c r="C3112" s="157" t="s">
        <v>2378</v>
      </c>
      <c r="D3112" s="95" t="s">
        <v>2370</v>
      </c>
      <c r="E3112" s="95" t="s">
        <v>1166</v>
      </c>
      <c r="F3112" s="95" t="s">
        <v>2371</v>
      </c>
      <c r="G3112" s="95" t="s">
        <v>2372</v>
      </c>
    </row>
    <row r="3113" spans="1:7">
      <c r="A3113" s="26"/>
      <c r="B3113" s="114"/>
      <c r="C3113" s="154"/>
      <c r="D3113" s="114"/>
      <c r="E3113" s="114"/>
      <c r="F3113" s="114" t="s">
        <v>3485</v>
      </c>
      <c r="G3113" s="114" t="s">
        <v>3485</v>
      </c>
    </row>
    <row r="3114" spans="1:7">
      <c r="A3114" s="26"/>
      <c r="B3114" s="95">
        <v>1</v>
      </c>
      <c r="C3114" s="95" t="s">
        <v>4168</v>
      </c>
      <c r="D3114" s="175"/>
      <c r="E3114" s="179">
        <v>0</v>
      </c>
      <c r="F3114" s="190">
        <v>0</v>
      </c>
      <c r="G3114" s="190">
        <f>E3114*F3114</f>
        <v>0</v>
      </c>
    </row>
    <row r="3115" spans="1:7">
      <c r="A3115" s="26"/>
      <c r="B3115" s="317"/>
      <c r="C3115" s="105" t="s">
        <v>5018</v>
      </c>
      <c r="D3115" s="33"/>
      <c r="E3115" s="190">
        <v>0</v>
      </c>
      <c r="F3115" s="190">
        <v>0</v>
      </c>
      <c r="G3115" s="190">
        <f>E3115*F3115</f>
        <v>0</v>
      </c>
    </row>
    <row r="3116" spans="1:7">
      <c r="A3116" s="26"/>
      <c r="B3116" s="176"/>
      <c r="C3116" s="172" t="s">
        <v>2380</v>
      </c>
      <c r="D3116" s="174"/>
      <c r="E3116" s="192"/>
      <c r="F3116" s="236" t="s">
        <v>1698</v>
      </c>
      <c r="G3116" s="318">
        <f>SUM(G3114:G3115)</f>
        <v>0</v>
      </c>
    </row>
    <row r="3117" spans="1:7">
      <c r="A3117" s="26"/>
      <c r="B3117" s="78"/>
      <c r="C3117" s="26"/>
      <c r="D3117" s="26"/>
      <c r="E3117" s="26"/>
      <c r="F3117" s="26"/>
      <c r="G3117" s="26"/>
    </row>
    <row r="3118" spans="1:7">
      <c r="A3118" s="26"/>
      <c r="B3118" s="79" t="s">
        <v>2381</v>
      </c>
      <c r="C3118" s="26"/>
      <c r="D3118" s="26"/>
      <c r="E3118" s="26"/>
      <c r="F3118" s="26"/>
      <c r="G3118" s="26"/>
    </row>
    <row r="3119" spans="1:7">
      <c r="A3119" s="26"/>
      <c r="B3119" s="95" t="s">
        <v>2369</v>
      </c>
      <c r="C3119" s="157" t="s">
        <v>2378</v>
      </c>
      <c r="D3119" s="95" t="s">
        <v>2370</v>
      </c>
      <c r="E3119" s="95" t="s">
        <v>1166</v>
      </c>
      <c r="F3119" s="95" t="s">
        <v>2371</v>
      </c>
      <c r="G3119" s="95" t="s">
        <v>2372</v>
      </c>
    </row>
    <row r="3120" spans="1:7">
      <c r="A3120" s="26"/>
      <c r="B3120" s="114"/>
      <c r="C3120" s="154"/>
      <c r="D3120" s="105"/>
      <c r="E3120" s="105"/>
      <c r="F3120" s="105" t="s">
        <v>3485</v>
      </c>
      <c r="G3120" s="114" t="s">
        <v>3485</v>
      </c>
    </row>
    <row r="3121" spans="1:7">
      <c r="A3121" s="26"/>
      <c r="B3121" s="95">
        <v>1</v>
      </c>
      <c r="C3121" s="76" t="s">
        <v>5019</v>
      </c>
      <c r="D3121" s="95" t="s">
        <v>1172</v>
      </c>
      <c r="E3121" s="179">
        <v>10</v>
      </c>
      <c r="F3121" s="179">
        <f>'BASIC DATA'!$C$474</f>
        <v>445</v>
      </c>
      <c r="G3121" s="207">
        <f>E3121*F3121</f>
        <v>4450</v>
      </c>
    </row>
    <row r="3122" spans="1:7">
      <c r="A3122" s="26"/>
      <c r="B3122" s="105">
        <v>2</v>
      </c>
      <c r="C3122" s="76" t="s">
        <v>4206</v>
      </c>
      <c r="D3122" s="105" t="s">
        <v>1172</v>
      </c>
      <c r="E3122" s="190">
        <v>1</v>
      </c>
      <c r="F3122" s="190">
        <f>'BASIC DATA'!$C$473</f>
        <v>450</v>
      </c>
      <c r="G3122" s="207">
        <f>E3122*F3122</f>
        <v>450</v>
      </c>
    </row>
    <row r="3123" spans="1:7">
      <c r="A3123" s="26"/>
      <c r="B3123" s="105">
        <v>3</v>
      </c>
      <c r="C3123" s="76" t="s">
        <v>2697</v>
      </c>
      <c r="D3123" s="105" t="s">
        <v>1172</v>
      </c>
      <c r="E3123" s="190">
        <v>10</v>
      </c>
      <c r="F3123" s="190">
        <f>'BASIC DATA'!$C$552</f>
        <v>350</v>
      </c>
      <c r="G3123" s="207">
        <f>E3123*F3123</f>
        <v>3500</v>
      </c>
    </row>
    <row r="3124" spans="1:7">
      <c r="A3124" s="26"/>
      <c r="B3124" s="176"/>
      <c r="C3124" s="172" t="s">
        <v>1174</v>
      </c>
      <c r="D3124" s="174"/>
      <c r="E3124" s="192"/>
      <c r="F3124" s="236" t="s">
        <v>1698</v>
      </c>
      <c r="G3124" s="318">
        <f>SUM(G3121:G3123)</f>
        <v>8400</v>
      </c>
    </row>
    <row r="3125" spans="1:7">
      <c r="A3125" s="26"/>
      <c r="B3125" s="60" t="s">
        <v>5948</v>
      </c>
      <c r="C3125" s="31"/>
      <c r="D3125" s="31"/>
      <c r="E3125" s="85">
        <f>ROUND(G3124/F3100,1)</f>
        <v>84</v>
      </c>
      <c r="F3125" s="26"/>
      <c r="G3125" s="26"/>
    </row>
    <row r="3126" spans="1:7">
      <c r="A3126" s="26"/>
      <c r="B3126" s="60" t="s">
        <v>3163</v>
      </c>
      <c r="C3126" s="31"/>
      <c r="D3126" s="31">
        <f>'BASIC DATA'!$C$577</f>
        <v>0.13614999999999999</v>
      </c>
      <c r="E3126" s="85">
        <f>ROUND(E3125*D3126,1)</f>
        <v>11.4</v>
      </c>
      <c r="F3126" s="26"/>
      <c r="G3126" s="26"/>
    </row>
    <row r="3127" spans="1:7">
      <c r="A3127" s="26"/>
      <c r="B3127" s="60" t="s">
        <v>5949</v>
      </c>
      <c r="C3127" s="31"/>
      <c r="D3127" s="31"/>
      <c r="E3127" s="199">
        <f>ROUND(E3126+E3125,1)</f>
        <v>95.4</v>
      </c>
      <c r="F3127" s="56"/>
      <c r="G3127" s="26"/>
    </row>
    <row r="3128" spans="1:7">
      <c r="A3128" s="26"/>
      <c r="B3128" s="78"/>
      <c r="C3128" s="26"/>
      <c r="D3128" s="26"/>
      <c r="E3128" s="26"/>
      <c r="F3128" s="26"/>
      <c r="G3128" s="26"/>
    </row>
    <row r="3129" spans="1:7">
      <c r="A3129" s="26"/>
      <c r="B3129" s="170" t="s">
        <v>1175</v>
      </c>
      <c r="C3129" s="26"/>
      <c r="D3129" s="26"/>
      <c r="E3129" s="26"/>
      <c r="F3129" s="26"/>
      <c r="G3129" s="26"/>
    </row>
    <row r="3130" spans="1:7">
      <c r="A3130" s="26"/>
      <c r="B3130" s="26" t="s">
        <v>5010</v>
      </c>
      <c r="C3130" s="26"/>
      <c r="D3130" s="26"/>
      <c r="E3130" s="26"/>
      <c r="F3130" s="171" t="s">
        <v>1698</v>
      </c>
      <c r="G3130" s="68">
        <f>G3109</f>
        <v>2627.4337499999997</v>
      </c>
    </row>
    <row r="3131" spans="1:7">
      <c r="A3131" s="26"/>
      <c r="B3131" s="26" t="s">
        <v>1186</v>
      </c>
      <c r="C3131" s="26"/>
      <c r="D3131" s="26"/>
      <c r="E3131" s="26"/>
      <c r="F3131" s="171" t="s">
        <v>1698</v>
      </c>
      <c r="G3131" s="68">
        <f>G3116</f>
        <v>0</v>
      </c>
    </row>
    <row r="3132" spans="1:7">
      <c r="A3132" s="26"/>
      <c r="B3132" s="26" t="s">
        <v>2660</v>
      </c>
      <c r="C3132" s="26"/>
      <c r="D3132" s="26"/>
      <c r="E3132" s="26"/>
      <c r="F3132" s="171" t="s">
        <v>1698</v>
      </c>
      <c r="G3132" s="75">
        <f>G3124</f>
        <v>8400</v>
      </c>
    </row>
    <row r="3133" spans="1:7">
      <c r="A3133" s="26"/>
      <c r="B3133" s="78"/>
      <c r="C3133" s="26"/>
      <c r="D3133" s="26"/>
      <c r="E3133" s="171"/>
      <c r="F3133" s="171" t="s">
        <v>302</v>
      </c>
      <c r="G3133" s="205">
        <f>SUM(G3130:G3132)</f>
        <v>11027.43375</v>
      </c>
    </row>
    <row r="3134" spans="1:7">
      <c r="A3134" s="26"/>
      <c r="B3134" s="1206" t="s">
        <v>1379</v>
      </c>
      <c r="C3134" s="1206"/>
      <c r="D3134" s="26"/>
      <c r="E3134" s="249">
        <f>'BASIC DATA'!$C$577</f>
        <v>0.13614999999999999</v>
      </c>
      <c r="F3134" s="26" t="s">
        <v>1698</v>
      </c>
      <c r="G3134" s="26">
        <f>ROUND(G3133*E3134,2)</f>
        <v>1501.39</v>
      </c>
    </row>
    <row r="3135" spans="1:7">
      <c r="A3135" s="26"/>
      <c r="B3135" s="26" t="s">
        <v>1191</v>
      </c>
      <c r="C3135" s="26"/>
      <c r="D3135" s="68">
        <f>F3100</f>
        <v>100</v>
      </c>
      <c r="E3135" s="68" t="str">
        <f>G3100</f>
        <v>sqm</v>
      </c>
      <c r="F3135" s="26" t="s">
        <v>1698</v>
      </c>
      <c r="G3135" s="211">
        <f>G3134+G3133</f>
        <v>12528.82375</v>
      </c>
    </row>
    <row r="3136" spans="1:7">
      <c r="A3136" s="26"/>
      <c r="B3136" s="170" t="s">
        <v>1584</v>
      </c>
      <c r="C3136" s="211" t="str">
        <f>E3135</f>
        <v>sqm</v>
      </c>
      <c r="D3136" s="26" t="s">
        <v>5882</v>
      </c>
      <c r="E3136" s="26"/>
      <c r="F3136" s="26" t="s">
        <v>4108</v>
      </c>
      <c r="G3136" s="211">
        <f>ROUND(G3135/D3135,1)</f>
        <v>125.3</v>
      </c>
    </row>
    <row r="3137" spans="1:7">
      <c r="A3137" s="26"/>
      <c r="B3137" s="78"/>
      <c r="C3137" s="26"/>
      <c r="D3137" s="26"/>
      <c r="E3137" s="26"/>
      <c r="F3137" s="26"/>
      <c r="G3137" s="26"/>
    </row>
    <row r="3138" spans="1:7">
      <c r="A3138" s="26"/>
      <c r="B3138" s="78"/>
      <c r="C3138" s="26"/>
      <c r="D3138" s="26"/>
      <c r="E3138" s="26"/>
      <c r="F3138" s="26"/>
      <c r="G3138" s="26"/>
    </row>
    <row r="3139" spans="1:7" ht="18.75">
      <c r="A3139" s="78" t="s">
        <v>7576</v>
      </c>
      <c r="B3139" s="170" t="s">
        <v>8979</v>
      </c>
      <c r="C3139" s="26"/>
      <c r="D3139" s="26"/>
      <c r="E3139" s="26"/>
      <c r="F3139" s="26"/>
      <c r="G3139" s="26"/>
    </row>
    <row r="3140" spans="1:7">
      <c r="A3140" s="78"/>
      <c r="B3140" s="26" t="s">
        <v>6297</v>
      </c>
      <c r="C3140" s="26"/>
      <c r="D3140" s="26"/>
      <c r="E3140" s="26"/>
      <c r="F3140" s="26"/>
      <c r="G3140" s="26"/>
    </row>
    <row r="3141" spans="1:7">
      <c r="A3141" s="78"/>
      <c r="B3141" s="26" t="s">
        <v>5013</v>
      </c>
      <c r="C3141" s="26"/>
      <c r="D3141" s="26"/>
      <c r="E3141" s="26"/>
      <c r="F3141" s="26"/>
      <c r="G3141" s="26"/>
    </row>
    <row r="3142" spans="1:7" ht="18.75">
      <c r="A3142" s="78"/>
      <c r="B3142" s="170" t="s">
        <v>8957</v>
      </c>
      <c r="C3142" s="26"/>
      <c r="D3142" s="26"/>
      <c r="E3142" s="26"/>
      <c r="F3142" s="26"/>
      <c r="G3142" s="26"/>
    </row>
    <row r="3143" spans="1:7">
      <c r="A3143" s="78"/>
      <c r="B3143" s="26"/>
      <c r="C3143" s="26"/>
      <c r="D3143" s="26"/>
      <c r="E3143" s="26"/>
      <c r="F3143" s="26"/>
      <c r="G3143" s="26"/>
    </row>
    <row r="3144" spans="1:7">
      <c r="A3144" s="78" t="s">
        <v>3984</v>
      </c>
      <c r="B3144" s="26" t="s">
        <v>5014</v>
      </c>
      <c r="C3144" s="26"/>
      <c r="D3144" s="26"/>
      <c r="E3144" s="78"/>
      <c r="F3144" s="26"/>
      <c r="G3144" s="26"/>
    </row>
    <row r="3145" spans="1:7">
      <c r="A3145" s="78"/>
      <c r="B3145" s="26" t="s">
        <v>5015</v>
      </c>
      <c r="C3145" s="26"/>
      <c r="D3145" s="26"/>
      <c r="E3145" s="26"/>
      <c r="F3145" s="26"/>
      <c r="G3145" s="26"/>
    </row>
    <row r="3146" spans="1:7">
      <c r="A3146" s="78"/>
      <c r="B3146" s="26" t="s">
        <v>5016</v>
      </c>
      <c r="C3146" s="26"/>
      <c r="D3146" s="26"/>
      <c r="E3146" s="26"/>
      <c r="F3146" s="26"/>
      <c r="G3146" s="26"/>
    </row>
    <row r="3147" spans="1:7">
      <c r="A3147" s="78"/>
      <c r="B3147" s="26" t="s">
        <v>4362</v>
      </c>
      <c r="C3147" s="26"/>
      <c r="D3147" s="26">
        <v>0.75</v>
      </c>
      <c r="E3147" s="26" t="s">
        <v>3477</v>
      </c>
      <c r="F3147" s="26"/>
      <c r="G3147" s="26"/>
    </row>
    <row r="3148" spans="1:7">
      <c r="A3148" s="78"/>
      <c r="B3148" s="26" t="s">
        <v>2402</v>
      </c>
      <c r="C3148" s="26"/>
      <c r="D3148" s="26"/>
      <c r="E3148" s="26"/>
      <c r="F3148" s="26">
        <v>0.75</v>
      </c>
      <c r="G3148" s="26" t="s">
        <v>3477</v>
      </c>
    </row>
    <row r="3149" spans="1:7">
      <c r="A3149" s="26"/>
      <c r="B3149" s="78"/>
      <c r="C3149" s="26"/>
      <c r="D3149" s="26"/>
      <c r="E3149" s="26"/>
      <c r="F3149" s="26"/>
      <c r="G3149" s="26"/>
    </row>
    <row r="3150" spans="1:7">
      <c r="A3150" s="78" t="s">
        <v>3984</v>
      </c>
      <c r="B3150" s="78"/>
      <c r="C3150" s="203" t="s">
        <v>2367</v>
      </c>
      <c r="D3150" s="26"/>
      <c r="E3150" s="171" t="s">
        <v>297</v>
      </c>
      <c r="F3150" s="246">
        <v>100</v>
      </c>
      <c r="G3150" s="26" t="s">
        <v>3479</v>
      </c>
    </row>
    <row r="3151" spans="1:7">
      <c r="A3151" s="26"/>
      <c r="B3151" s="79" t="s">
        <v>2368</v>
      </c>
      <c r="C3151" s="26"/>
      <c r="D3151" s="26"/>
      <c r="E3151" s="26"/>
      <c r="F3151" s="26"/>
      <c r="G3151" s="26"/>
    </row>
    <row r="3152" spans="1:7">
      <c r="A3152" s="26"/>
      <c r="B3152" s="95" t="s">
        <v>2369</v>
      </c>
      <c r="C3152" s="157" t="s">
        <v>4443</v>
      </c>
      <c r="D3152" s="95" t="s">
        <v>2370</v>
      </c>
      <c r="E3152" s="95" t="s">
        <v>1166</v>
      </c>
      <c r="F3152" s="95" t="s">
        <v>2371</v>
      </c>
      <c r="G3152" s="95" t="s">
        <v>2372</v>
      </c>
    </row>
    <row r="3153" spans="1:7">
      <c r="A3153" s="26"/>
      <c r="B3153" s="114"/>
      <c r="C3153" s="154"/>
      <c r="D3153" s="114"/>
      <c r="E3153" s="114"/>
      <c r="F3153" s="114" t="s">
        <v>3485</v>
      </c>
      <c r="G3153" s="114" t="s">
        <v>3485</v>
      </c>
    </row>
    <row r="3154" spans="1:7">
      <c r="A3154" s="26"/>
      <c r="B3154" s="95">
        <v>1</v>
      </c>
      <c r="C3154" s="135" t="s">
        <v>5853</v>
      </c>
      <c r="D3154" s="95" t="s">
        <v>3478</v>
      </c>
      <c r="E3154" s="190">
        <v>322</v>
      </c>
      <c r="F3154" s="214">
        <f>'BASIC DATA'!$D$32/1000</f>
        <v>5.35</v>
      </c>
      <c r="G3154" s="190">
        <f>E3154*F3154</f>
        <v>1722.6999999999998</v>
      </c>
    </row>
    <row r="3155" spans="1:7">
      <c r="A3155" s="61"/>
      <c r="B3155" s="237">
        <v>2</v>
      </c>
      <c r="C3155" s="326" t="s">
        <v>6827</v>
      </c>
      <c r="D3155" s="240" t="s">
        <v>3477</v>
      </c>
      <c r="E3155" s="255">
        <v>0.75</v>
      </c>
      <c r="F3155" s="266">
        <f>'BASIC DATA'!$D$57</f>
        <v>165</v>
      </c>
      <c r="G3155" s="255">
        <f>E3155*F3155</f>
        <v>123.75</v>
      </c>
    </row>
    <row r="3156" spans="1:7">
      <c r="A3156" s="26"/>
      <c r="B3156" s="93"/>
      <c r="C3156" s="187"/>
      <c r="D3156" s="187"/>
      <c r="E3156" s="331" t="s">
        <v>2375</v>
      </c>
      <c r="F3156" s="344" t="s">
        <v>1698</v>
      </c>
      <c r="G3156" s="179">
        <f>SUM(G3154:G3155)</f>
        <v>1846.4499999999998</v>
      </c>
    </row>
    <row r="3157" spans="1:7">
      <c r="A3157" s="61"/>
      <c r="B3157" s="444"/>
      <c r="C3157" s="60" t="s">
        <v>5017</v>
      </c>
      <c r="D3157" s="60"/>
      <c r="E3157" s="685">
        <v>2.5000000000000001E-2</v>
      </c>
      <c r="F3157" s="523" t="s">
        <v>1698</v>
      </c>
      <c r="G3157" s="255">
        <f>E3157*$G$3156</f>
        <v>46.161249999999995</v>
      </c>
    </row>
    <row r="3158" spans="1:7">
      <c r="A3158" s="26"/>
      <c r="B3158" s="93"/>
      <c r="C3158" s="31" t="s">
        <v>7018</v>
      </c>
      <c r="D3158" s="31" t="s">
        <v>4043</v>
      </c>
      <c r="E3158" s="198"/>
      <c r="F3158" s="275" t="s">
        <v>1698</v>
      </c>
      <c r="G3158" s="190"/>
    </row>
    <row r="3159" spans="1:7">
      <c r="A3159" s="26"/>
      <c r="B3159" s="92"/>
      <c r="C3159" s="193" t="s">
        <v>2376</v>
      </c>
      <c r="D3159" s="159"/>
      <c r="E3159" s="238"/>
      <c r="F3159" s="236" t="s">
        <v>1698</v>
      </c>
      <c r="G3159" s="318">
        <f>SUM(G3156:G3158)</f>
        <v>1892.6112499999999</v>
      </c>
    </row>
    <row r="3160" spans="1:7">
      <c r="A3160" s="26"/>
      <c r="B3160" s="78"/>
      <c r="C3160" s="26"/>
      <c r="D3160" s="26"/>
      <c r="E3160" s="26"/>
      <c r="F3160" s="26"/>
      <c r="G3160" s="68"/>
    </row>
    <row r="3161" spans="1:7">
      <c r="A3161" s="26"/>
      <c r="B3161" s="79" t="s">
        <v>2377</v>
      </c>
      <c r="C3161" s="26"/>
      <c r="D3161" s="26"/>
      <c r="E3161" s="26"/>
      <c r="F3161" s="26"/>
      <c r="G3161" s="26"/>
    </row>
    <row r="3162" spans="1:7">
      <c r="A3162" s="26"/>
      <c r="B3162" s="95" t="s">
        <v>2369</v>
      </c>
      <c r="C3162" s="157" t="s">
        <v>2378</v>
      </c>
      <c r="D3162" s="95" t="s">
        <v>2370</v>
      </c>
      <c r="E3162" s="95" t="s">
        <v>1166</v>
      </c>
      <c r="F3162" s="95" t="s">
        <v>2371</v>
      </c>
      <c r="G3162" s="95" t="s">
        <v>2372</v>
      </c>
    </row>
    <row r="3163" spans="1:7">
      <c r="A3163" s="26"/>
      <c r="B3163" s="114"/>
      <c r="C3163" s="154"/>
      <c r="D3163" s="114"/>
      <c r="E3163" s="114"/>
      <c r="F3163" s="114" t="s">
        <v>3485</v>
      </c>
      <c r="G3163" s="114" t="s">
        <v>3485</v>
      </c>
    </row>
    <row r="3164" spans="1:7">
      <c r="A3164" s="26"/>
      <c r="B3164" s="95">
        <v>1</v>
      </c>
      <c r="C3164" s="95" t="s">
        <v>4168</v>
      </c>
      <c r="D3164" s="175"/>
      <c r="E3164" s="179">
        <v>0</v>
      </c>
      <c r="F3164" s="190">
        <v>0</v>
      </c>
      <c r="G3164" s="190">
        <f>E3164*F3164</f>
        <v>0</v>
      </c>
    </row>
    <row r="3165" spans="1:7">
      <c r="A3165" s="26"/>
      <c r="B3165" s="317"/>
      <c r="C3165" s="105" t="s">
        <v>5018</v>
      </c>
      <c r="D3165" s="33"/>
      <c r="E3165" s="190">
        <v>0</v>
      </c>
      <c r="F3165" s="190">
        <v>0</v>
      </c>
      <c r="G3165" s="190">
        <f>E3165*F3165</f>
        <v>0</v>
      </c>
    </row>
    <row r="3166" spans="1:7">
      <c r="A3166" s="26"/>
      <c r="B3166" s="176"/>
      <c r="C3166" s="172" t="s">
        <v>2380</v>
      </c>
      <c r="D3166" s="174"/>
      <c r="E3166" s="192"/>
      <c r="F3166" s="236" t="s">
        <v>1698</v>
      </c>
      <c r="G3166" s="318">
        <f>SUM(G3164:G3165)</f>
        <v>0</v>
      </c>
    </row>
    <row r="3167" spans="1:7">
      <c r="A3167" s="26"/>
      <c r="B3167" s="78"/>
      <c r="C3167" s="26"/>
      <c r="D3167" s="26"/>
      <c r="E3167" s="26"/>
      <c r="F3167" s="26"/>
      <c r="G3167" s="26"/>
    </row>
    <row r="3168" spans="1:7">
      <c r="A3168" s="26"/>
      <c r="B3168" s="79" t="s">
        <v>2381</v>
      </c>
      <c r="C3168" s="26"/>
      <c r="D3168" s="26"/>
      <c r="E3168" s="26"/>
      <c r="F3168" s="26"/>
      <c r="G3168" s="26"/>
    </row>
    <row r="3169" spans="1:7">
      <c r="A3169" s="26"/>
      <c r="B3169" s="95" t="s">
        <v>2369</v>
      </c>
      <c r="C3169" s="157" t="s">
        <v>2378</v>
      </c>
      <c r="D3169" s="95" t="s">
        <v>2370</v>
      </c>
      <c r="E3169" s="95" t="s">
        <v>1166</v>
      </c>
      <c r="F3169" s="95" t="s">
        <v>2371</v>
      </c>
      <c r="G3169" s="95" t="s">
        <v>2372</v>
      </c>
    </row>
    <row r="3170" spans="1:7">
      <c r="A3170" s="26"/>
      <c r="B3170" s="114"/>
      <c r="C3170" s="154"/>
      <c r="D3170" s="105"/>
      <c r="E3170" s="105"/>
      <c r="F3170" s="105" t="s">
        <v>3485</v>
      </c>
      <c r="G3170" s="114" t="s">
        <v>3485</v>
      </c>
    </row>
    <row r="3171" spans="1:7">
      <c r="A3171" s="26"/>
      <c r="B3171" s="95">
        <v>1</v>
      </c>
      <c r="C3171" s="76" t="s">
        <v>5019</v>
      </c>
      <c r="D3171" s="95" t="s">
        <v>1172</v>
      </c>
      <c r="E3171" s="179">
        <v>10</v>
      </c>
      <c r="F3171" s="179">
        <f>'BASIC DATA'!$C$474</f>
        <v>445</v>
      </c>
      <c r="G3171" s="207">
        <f>E3171*F3171</f>
        <v>4450</v>
      </c>
    </row>
    <row r="3172" spans="1:7">
      <c r="A3172" s="26"/>
      <c r="B3172" s="105">
        <v>2</v>
      </c>
      <c r="C3172" s="76" t="s">
        <v>4206</v>
      </c>
      <c r="D3172" s="105" t="s">
        <v>1172</v>
      </c>
      <c r="E3172" s="190">
        <v>1</v>
      </c>
      <c r="F3172" s="190">
        <f>'BASIC DATA'!$C$473</f>
        <v>450</v>
      </c>
      <c r="G3172" s="207">
        <f>E3172*F3172</f>
        <v>450</v>
      </c>
    </row>
    <row r="3173" spans="1:7">
      <c r="A3173" s="26"/>
      <c r="B3173" s="105">
        <v>3</v>
      </c>
      <c r="C3173" s="76" t="s">
        <v>2697</v>
      </c>
      <c r="D3173" s="105" t="s">
        <v>1172</v>
      </c>
      <c r="E3173" s="190">
        <v>10</v>
      </c>
      <c r="F3173" s="190">
        <f>'BASIC DATA'!$C$552</f>
        <v>350</v>
      </c>
      <c r="G3173" s="207">
        <f>E3173*F3173</f>
        <v>3500</v>
      </c>
    </row>
    <row r="3174" spans="1:7">
      <c r="A3174" s="26"/>
      <c r="B3174" s="176"/>
      <c r="C3174" s="172" t="s">
        <v>1174</v>
      </c>
      <c r="D3174" s="174"/>
      <c r="E3174" s="192"/>
      <c r="F3174" s="236" t="s">
        <v>1698</v>
      </c>
      <c r="G3174" s="318">
        <f>SUM(G3171:G3173)</f>
        <v>8400</v>
      </c>
    </row>
    <row r="3175" spans="1:7">
      <c r="A3175" s="26"/>
      <c r="B3175" s="60" t="s">
        <v>5948</v>
      </c>
      <c r="C3175" s="31"/>
      <c r="D3175" s="31"/>
      <c r="E3175" s="85">
        <f>ROUND(G3174/F3150,1)</f>
        <v>84</v>
      </c>
      <c r="F3175" s="26"/>
      <c r="G3175" s="26"/>
    </row>
    <row r="3176" spans="1:7">
      <c r="A3176" s="26"/>
      <c r="B3176" s="60" t="s">
        <v>3163</v>
      </c>
      <c r="C3176" s="31"/>
      <c r="D3176" s="31">
        <f>'BASIC DATA'!$C$577</f>
        <v>0.13614999999999999</v>
      </c>
      <c r="E3176" s="85">
        <f>ROUND(E3175*D3176,1)</f>
        <v>11.4</v>
      </c>
      <c r="F3176" s="26"/>
      <c r="G3176" s="26"/>
    </row>
    <row r="3177" spans="1:7">
      <c r="A3177" s="26"/>
      <c r="B3177" s="60" t="s">
        <v>5949</v>
      </c>
      <c r="C3177" s="31"/>
      <c r="D3177" s="31"/>
      <c r="E3177" s="199">
        <f>ROUND(E3176+E3175,1)</f>
        <v>95.4</v>
      </c>
      <c r="F3177" s="56"/>
      <c r="G3177" s="26"/>
    </row>
    <row r="3178" spans="1:7">
      <c r="A3178" s="26"/>
      <c r="B3178" s="78"/>
      <c r="C3178" s="26"/>
      <c r="D3178" s="26"/>
      <c r="E3178" s="26"/>
      <c r="F3178" s="26"/>
      <c r="G3178" s="26"/>
    </row>
    <row r="3179" spans="1:7">
      <c r="A3179" s="26"/>
      <c r="B3179" s="170" t="s">
        <v>1175</v>
      </c>
      <c r="C3179" s="26"/>
      <c r="D3179" s="26"/>
      <c r="E3179" s="26"/>
      <c r="F3179" s="26"/>
      <c r="G3179" s="26"/>
    </row>
    <row r="3180" spans="1:7">
      <c r="A3180" s="26"/>
      <c r="B3180" s="26" t="s">
        <v>5010</v>
      </c>
      <c r="C3180" s="26"/>
      <c r="D3180" s="26"/>
      <c r="E3180" s="26"/>
      <c r="F3180" s="171" t="s">
        <v>1698</v>
      </c>
      <c r="G3180" s="68">
        <f>G3159</f>
        <v>1892.6112499999999</v>
      </c>
    </row>
    <row r="3181" spans="1:7">
      <c r="A3181" s="26"/>
      <c r="B3181" s="26" t="s">
        <v>1186</v>
      </c>
      <c r="C3181" s="26"/>
      <c r="D3181" s="26"/>
      <c r="E3181" s="26"/>
      <c r="F3181" s="171" t="s">
        <v>1698</v>
      </c>
      <c r="G3181" s="68">
        <f>G3166</f>
        <v>0</v>
      </c>
    </row>
    <row r="3182" spans="1:7">
      <c r="A3182" s="26"/>
      <c r="B3182" s="26" t="s">
        <v>2660</v>
      </c>
      <c r="C3182" s="26"/>
      <c r="D3182" s="26"/>
      <c r="E3182" s="26"/>
      <c r="F3182" s="171" t="s">
        <v>1698</v>
      </c>
      <c r="G3182" s="75">
        <f>G3174</f>
        <v>8400</v>
      </c>
    </row>
    <row r="3183" spans="1:7">
      <c r="A3183" s="26"/>
      <c r="B3183" s="78"/>
      <c r="C3183" s="26"/>
      <c r="D3183" s="26"/>
      <c r="E3183" s="171"/>
      <c r="F3183" s="171" t="s">
        <v>302</v>
      </c>
      <c r="G3183" s="205">
        <f>SUM(G3180:G3182)</f>
        <v>10292.61125</v>
      </c>
    </row>
    <row r="3184" spans="1:7">
      <c r="A3184" s="26"/>
      <c r="B3184" s="1206" t="s">
        <v>1379</v>
      </c>
      <c r="C3184" s="1206"/>
      <c r="D3184" s="26"/>
      <c r="E3184" s="249">
        <f>'BASIC DATA'!$C$577</f>
        <v>0.13614999999999999</v>
      </c>
      <c r="F3184" s="26" t="s">
        <v>1698</v>
      </c>
      <c r="G3184" s="26">
        <f>ROUND(G3183*E3184,2)</f>
        <v>1401.34</v>
      </c>
    </row>
    <row r="3185" spans="1:7">
      <c r="A3185" s="26"/>
      <c r="B3185" s="26" t="s">
        <v>1191</v>
      </c>
      <c r="C3185" s="26"/>
      <c r="D3185" s="68">
        <f>F3150</f>
        <v>100</v>
      </c>
      <c r="E3185" s="68" t="str">
        <f>G3150</f>
        <v>sqm</v>
      </c>
      <c r="F3185" s="26" t="s">
        <v>1698</v>
      </c>
      <c r="G3185" s="211">
        <f>G3184+G3183</f>
        <v>11693.95125</v>
      </c>
    </row>
    <row r="3186" spans="1:7">
      <c r="A3186" s="26"/>
      <c r="B3186" s="170" t="s">
        <v>1584</v>
      </c>
      <c r="C3186" s="211" t="str">
        <f>E3185</f>
        <v>sqm</v>
      </c>
      <c r="D3186" s="26" t="s">
        <v>5882</v>
      </c>
      <c r="E3186" s="26"/>
      <c r="F3186" s="26" t="s">
        <v>4108</v>
      </c>
      <c r="G3186" s="211">
        <f>ROUND(G3185/D3185,1)</f>
        <v>116.9</v>
      </c>
    </row>
    <row r="3187" spans="1:7">
      <c r="A3187" s="26"/>
      <c r="B3187" s="78"/>
      <c r="C3187" s="26"/>
      <c r="D3187" s="26"/>
      <c r="E3187" s="26"/>
      <c r="F3187" s="26"/>
      <c r="G3187" s="26"/>
    </row>
    <row r="3188" spans="1:7">
      <c r="A3188" s="26"/>
      <c r="B3188" s="78"/>
      <c r="C3188" s="26"/>
      <c r="D3188" s="26"/>
      <c r="E3188" s="26"/>
      <c r="F3188" s="26"/>
      <c r="G3188" s="26"/>
    </row>
    <row r="3189" spans="1:7" ht="18.75">
      <c r="A3189" s="78" t="s">
        <v>7577</v>
      </c>
      <c r="B3189" s="26" t="s">
        <v>8980</v>
      </c>
      <c r="C3189" s="26"/>
      <c r="D3189" s="26"/>
      <c r="E3189" s="26"/>
      <c r="F3189" s="26"/>
      <c r="G3189" s="26"/>
    </row>
    <row r="3190" spans="1:7">
      <c r="A3190" s="78"/>
      <c r="B3190" s="26" t="s">
        <v>6509</v>
      </c>
      <c r="C3190" s="26"/>
      <c r="D3190" s="26"/>
      <c r="E3190" s="26"/>
      <c r="F3190" s="26"/>
      <c r="G3190" s="26"/>
    </row>
    <row r="3191" spans="1:7" ht="18.75">
      <c r="A3191" s="78"/>
      <c r="B3191" s="170" t="s">
        <v>8715</v>
      </c>
      <c r="C3191" s="26"/>
      <c r="D3191" s="26"/>
      <c r="E3191" s="26"/>
      <c r="F3191" s="26"/>
      <c r="G3191" s="26"/>
    </row>
    <row r="3192" spans="1:7">
      <c r="A3192" s="78"/>
      <c r="B3192" s="26"/>
      <c r="C3192" s="26"/>
      <c r="D3192" s="26"/>
      <c r="E3192" s="26"/>
      <c r="F3192" s="26"/>
      <c r="G3192" s="26"/>
    </row>
    <row r="3193" spans="1:7">
      <c r="A3193" s="78" t="s">
        <v>3984</v>
      </c>
      <c r="B3193" s="26" t="s">
        <v>5014</v>
      </c>
      <c r="C3193" s="26"/>
      <c r="D3193" s="26"/>
      <c r="E3193" s="78"/>
      <c r="F3193" s="26"/>
      <c r="G3193" s="26"/>
    </row>
    <row r="3194" spans="1:7">
      <c r="A3194" s="78"/>
      <c r="B3194" s="26" t="s">
        <v>4362</v>
      </c>
      <c r="C3194" s="26"/>
      <c r="D3194" s="26">
        <v>1.32</v>
      </c>
      <c r="E3194" s="26" t="s">
        <v>3477</v>
      </c>
      <c r="F3194" s="26"/>
      <c r="G3194" s="26"/>
    </row>
    <row r="3195" spans="1:7">
      <c r="A3195" s="78"/>
      <c r="B3195" s="26" t="s">
        <v>2403</v>
      </c>
      <c r="C3195" s="26"/>
      <c r="D3195" s="26"/>
      <c r="E3195" s="26">
        <v>1.32</v>
      </c>
      <c r="F3195" s="26" t="s">
        <v>3477</v>
      </c>
      <c r="G3195" s="26"/>
    </row>
    <row r="3196" spans="1:7">
      <c r="A3196" s="26"/>
      <c r="B3196" s="78"/>
      <c r="C3196" s="26"/>
      <c r="D3196" s="26"/>
      <c r="E3196" s="26"/>
      <c r="F3196" s="26"/>
      <c r="G3196" s="26"/>
    </row>
    <row r="3197" spans="1:7">
      <c r="A3197" s="78" t="s">
        <v>3984</v>
      </c>
      <c r="B3197" s="78"/>
      <c r="C3197" s="203" t="s">
        <v>2367</v>
      </c>
      <c r="D3197" s="26"/>
      <c r="E3197" s="171" t="s">
        <v>297</v>
      </c>
      <c r="F3197" s="246">
        <v>100</v>
      </c>
      <c r="G3197" s="26" t="s">
        <v>3479</v>
      </c>
    </row>
    <row r="3198" spans="1:7">
      <c r="A3198" s="26"/>
      <c r="B3198" s="79" t="s">
        <v>2368</v>
      </c>
      <c r="C3198" s="26"/>
      <c r="D3198" s="26"/>
      <c r="E3198" s="26"/>
      <c r="F3198" s="26"/>
      <c r="G3198" s="26"/>
    </row>
    <row r="3199" spans="1:7">
      <c r="A3199" s="26"/>
      <c r="B3199" s="95" t="s">
        <v>2369</v>
      </c>
      <c r="C3199" s="157" t="s">
        <v>4443</v>
      </c>
      <c r="D3199" s="95" t="s">
        <v>2370</v>
      </c>
      <c r="E3199" s="95" t="s">
        <v>1166</v>
      </c>
      <c r="F3199" s="95" t="s">
        <v>2371</v>
      </c>
      <c r="G3199" s="95" t="s">
        <v>2372</v>
      </c>
    </row>
    <row r="3200" spans="1:7">
      <c r="A3200" s="26"/>
      <c r="B3200" s="114"/>
      <c r="C3200" s="154"/>
      <c r="D3200" s="114"/>
      <c r="E3200" s="114"/>
      <c r="F3200" s="114" t="s">
        <v>3485</v>
      </c>
      <c r="G3200" s="114" t="s">
        <v>3485</v>
      </c>
    </row>
    <row r="3201" spans="1:7">
      <c r="A3201" s="26"/>
      <c r="B3201" s="95">
        <v>1</v>
      </c>
      <c r="C3201" s="135" t="s">
        <v>5853</v>
      </c>
      <c r="D3201" s="95" t="s">
        <v>3478</v>
      </c>
      <c r="E3201" s="190">
        <v>629</v>
      </c>
      <c r="F3201" s="214">
        <f>'BASIC DATA'!$D$32/1000</f>
        <v>5.35</v>
      </c>
      <c r="G3201" s="190">
        <f>E3201*F3201</f>
        <v>3365.1499999999996</v>
      </c>
    </row>
    <row r="3202" spans="1:7">
      <c r="A3202" s="61"/>
      <c r="B3202" s="237">
        <v>2</v>
      </c>
      <c r="C3202" s="326" t="s">
        <v>6827</v>
      </c>
      <c r="D3202" s="240" t="s">
        <v>3477</v>
      </c>
      <c r="E3202" s="255">
        <v>1.32</v>
      </c>
      <c r="F3202" s="266">
        <f>'BASIC DATA'!$D$57</f>
        <v>165</v>
      </c>
      <c r="G3202" s="255">
        <f>E3202*F3202</f>
        <v>217.8</v>
      </c>
    </row>
    <row r="3203" spans="1:7">
      <c r="A3203" s="26"/>
      <c r="B3203" s="93"/>
      <c r="C3203" s="187"/>
      <c r="D3203" s="187"/>
      <c r="E3203" s="331" t="s">
        <v>2375</v>
      </c>
      <c r="F3203" s="344" t="s">
        <v>1698</v>
      </c>
      <c r="G3203" s="179">
        <f>SUM(G3201:G3202)</f>
        <v>3582.95</v>
      </c>
    </row>
    <row r="3204" spans="1:7">
      <c r="A3204" s="61"/>
      <c r="B3204" s="444"/>
      <c r="C3204" s="60" t="s">
        <v>5017</v>
      </c>
      <c r="D3204" s="60"/>
      <c r="E3204" s="685">
        <v>2.5000000000000001E-2</v>
      </c>
      <c r="F3204" s="523" t="s">
        <v>1698</v>
      </c>
      <c r="G3204" s="255">
        <f>E3204*$G$3203</f>
        <v>89.573750000000004</v>
      </c>
    </row>
    <row r="3205" spans="1:7">
      <c r="A3205" s="26"/>
      <c r="B3205" s="93"/>
      <c r="C3205" s="31" t="s">
        <v>7018</v>
      </c>
      <c r="D3205" s="31" t="s">
        <v>4043</v>
      </c>
      <c r="E3205" s="198"/>
      <c r="F3205" s="275" t="s">
        <v>1698</v>
      </c>
      <c r="G3205" s="190"/>
    </row>
    <row r="3206" spans="1:7">
      <c r="A3206" s="26"/>
      <c r="B3206" s="92"/>
      <c r="C3206" s="193" t="s">
        <v>2376</v>
      </c>
      <c r="D3206" s="159"/>
      <c r="E3206" s="238"/>
      <c r="F3206" s="236" t="s">
        <v>1698</v>
      </c>
      <c r="G3206" s="318">
        <f>SUM(G3203:G3205)</f>
        <v>3672.5237499999998</v>
      </c>
    </row>
    <row r="3207" spans="1:7">
      <c r="A3207" s="26"/>
      <c r="B3207" s="78"/>
      <c r="C3207" s="26"/>
      <c r="D3207" s="26"/>
      <c r="E3207" s="26"/>
      <c r="F3207" s="26"/>
      <c r="G3207" s="68"/>
    </row>
    <row r="3208" spans="1:7">
      <c r="A3208" s="26"/>
      <c r="B3208" s="79" t="s">
        <v>2377</v>
      </c>
      <c r="C3208" s="26"/>
      <c r="D3208" s="26"/>
      <c r="E3208" s="26"/>
      <c r="F3208" s="26"/>
      <c r="G3208" s="26"/>
    </row>
    <row r="3209" spans="1:7">
      <c r="A3209" s="26"/>
      <c r="B3209" s="95" t="s">
        <v>2369</v>
      </c>
      <c r="C3209" s="157" t="s">
        <v>2378</v>
      </c>
      <c r="D3209" s="95" t="s">
        <v>2370</v>
      </c>
      <c r="E3209" s="95" t="s">
        <v>1166</v>
      </c>
      <c r="F3209" s="95" t="s">
        <v>2371</v>
      </c>
      <c r="G3209" s="95" t="s">
        <v>2372</v>
      </c>
    </row>
    <row r="3210" spans="1:7">
      <c r="A3210" s="26"/>
      <c r="B3210" s="114"/>
      <c r="C3210" s="154"/>
      <c r="D3210" s="114"/>
      <c r="E3210" s="114"/>
      <c r="F3210" s="114" t="s">
        <v>3485</v>
      </c>
      <c r="G3210" s="114" t="s">
        <v>3485</v>
      </c>
    </row>
    <row r="3211" spans="1:7">
      <c r="A3211" s="26"/>
      <c r="B3211" s="95">
        <v>1</v>
      </c>
      <c r="C3211" s="95" t="s">
        <v>4168</v>
      </c>
      <c r="D3211" s="175"/>
      <c r="E3211" s="179">
        <v>0</v>
      </c>
      <c r="F3211" s="190">
        <v>0</v>
      </c>
      <c r="G3211" s="190">
        <f>E3211*F3211</f>
        <v>0</v>
      </c>
    </row>
    <row r="3212" spans="1:7">
      <c r="A3212" s="26"/>
      <c r="B3212" s="365"/>
      <c r="C3212" s="114" t="s">
        <v>5018</v>
      </c>
      <c r="D3212" s="188"/>
      <c r="E3212" s="182">
        <v>0</v>
      </c>
      <c r="F3212" s="182">
        <v>0</v>
      </c>
      <c r="G3212" s="182">
        <f>E3212*F3212</f>
        <v>0</v>
      </c>
    </row>
    <row r="3213" spans="1:7">
      <c r="A3213" s="26"/>
      <c r="B3213" s="176"/>
      <c r="C3213" s="172" t="s">
        <v>2380</v>
      </c>
      <c r="D3213" s="174"/>
      <c r="E3213" s="192"/>
      <c r="F3213" s="275" t="s">
        <v>1698</v>
      </c>
      <c r="G3213" s="434">
        <f>SUM(G3211:G3212)</f>
        <v>0</v>
      </c>
    </row>
    <row r="3214" spans="1:7">
      <c r="A3214" s="26"/>
      <c r="B3214" s="78"/>
      <c r="C3214" s="26"/>
      <c r="D3214" s="26"/>
      <c r="E3214" s="26"/>
      <c r="F3214" s="26"/>
      <c r="G3214" s="26"/>
    </row>
    <row r="3215" spans="1:7">
      <c r="A3215" s="26"/>
      <c r="B3215" s="79" t="s">
        <v>2381</v>
      </c>
      <c r="C3215" s="26"/>
      <c r="D3215" s="26"/>
      <c r="E3215" s="26"/>
      <c r="F3215" s="26"/>
      <c r="G3215" s="26"/>
    </row>
    <row r="3216" spans="1:7">
      <c r="A3216" s="26"/>
      <c r="B3216" s="95" t="s">
        <v>2369</v>
      </c>
      <c r="C3216" s="157" t="s">
        <v>2378</v>
      </c>
      <c r="D3216" s="95" t="s">
        <v>2370</v>
      </c>
      <c r="E3216" s="95" t="s">
        <v>1166</v>
      </c>
      <c r="F3216" s="95" t="s">
        <v>2371</v>
      </c>
      <c r="G3216" s="95" t="s">
        <v>2372</v>
      </c>
    </row>
    <row r="3217" spans="1:7">
      <c r="A3217" s="26"/>
      <c r="B3217" s="114"/>
      <c r="C3217" s="154"/>
      <c r="D3217" s="105"/>
      <c r="E3217" s="105"/>
      <c r="F3217" s="105" t="s">
        <v>3485</v>
      </c>
      <c r="G3217" s="114" t="s">
        <v>3485</v>
      </c>
    </row>
    <row r="3218" spans="1:7">
      <c r="A3218" s="26"/>
      <c r="B3218" s="95">
        <v>1</v>
      </c>
      <c r="C3218" s="76" t="s">
        <v>5019</v>
      </c>
      <c r="D3218" s="95" t="s">
        <v>1172</v>
      </c>
      <c r="E3218" s="179">
        <v>10</v>
      </c>
      <c r="F3218" s="179">
        <f>'BASIC DATA'!$C$474</f>
        <v>445</v>
      </c>
      <c r="G3218" s="207">
        <f>E3218*F3218</f>
        <v>4450</v>
      </c>
    </row>
    <row r="3219" spans="1:7">
      <c r="A3219" s="26"/>
      <c r="B3219" s="105">
        <v>2</v>
      </c>
      <c r="C3219" s="76" t="s">
        <v>4206</v>
      </c>
      <c r="D3219" s="105" t="s">
        <v>1172</v>
      </c>
      <c r="E3219" s="190">
        <v>1</v>
      </c>
      <c r="F3219" s="190">
        <f>'BASIC DATA'!$C$473</f>
        <v>450</v>
      </c>
      <c r="G3219" s="207">
        <f>E3219*F3219</f>
        <v>450</v>
      </c>
    </row>
    <row r="3220" spans="1:7">
      <c r="A3220" s="26"/>
      <c r="B3220" s="114">
        <v>3</v>
      </c>
      <c r="C3220" s="89" t="s">
        <v>2697</v>
      </c>
      <c r="D3220" s="114" t="s">
        <v>1172</v>
      </c>
      <c r="E3220" s="182">
        <v>20</v>
      </c>
      <c r="F3220" s="190">
        <f>'BASIC DATA'!$C$552</f>
        <v>350</v>
      </c>
      <c r="G3220" s="207">
        <f>E3220*F3220</f>
        <v>7000</v>
      </c>
    </row>
    <row r="3221" spans="1:7">
      <c r="A3221" s="26"/>
      <c r="B3221" s="176"/>
      <c r="C3221" s="172" t="s">
        <v>1174</v>
      </c>
      <c r="D3221" s="174"/>
      <c r="E3221" s="192"/>
      <c r="F3221" s="236" t="s">
        <v>1698</v>
      </c>
      <c r="G3221" s="318">
        <f>SUM(G3218:G3220)</f>
        <v>11900</v>
      </c>
    </row>
    <row r="3222" spans="1:7">
      <c r="A3222" s="26"/>
      <c r="B3222" s="60" t="s">
        <v>5948</v>
      </c>
      <c r="C3222" s="31"/>
      <c r="D3222" s="31"/>
      <c r="E3222" s="85">
        <f>ROUND(G3221/F3197,1)</f>
        <v>119</v>
      </c>
      <c r="F3222" s="26"/>
      <c r="G3222" s="26"/>
    </row>
    <row r="3223" spans="1:7">
      <c r="A3223" s="26"/>
      <c r="B3223" s="60" t="s">
        <v>3163</v>
      </c>
      <c r="C3223" s="31"/>
      <c r="D3223" s="31">
        <f>'BASIC DATA'!$C$577</f>
        <v>0.13614999999999999</v>
      </c>
      <c r="E3223" s="85">
        <f>ROUND(E3222*D3223,1)</f>
        <v>16.2</v>
      </c>
      <c r="F3223" s="26"/>
      <c r="G3223" s="26"/>
    </row>
    <row r="3224" spans="1:7">
      <c r="A3224" s="26"/>
      <c r="B3224" s="60" t="s">
        <v>5949</v>
      </c>
      <c r="C3224" s="31"/>
      <c r="D3224" s="31"/>
      <c r="E3224" s="199">
        <f>ROUND(E3223+E3222,1)</f>
        <v>135.19999999999999</v>
      </c>
      <c r="F3224" s="56"/>
      <c r="G3224" s="26"/>
    </row>
    <row r="3225" spans="1:7">
      <c r="A3225" s="26"/>
      <c r="B3225" s="78"/>
      <c r="C3225" s="26"/>
      <c r="D3225" s="26"/>
      <c r="E3225" s="26"/>
      <c r="F3225" s="26"/>
      <c r="G3225" s="26"/>
    </row>
    <row r="3226" spans="1:7">
      <c r="A3226" s="26"/>
      <c r="B3226" s="170" t="s">
        <v>1175</v>
      </c>
      <c r="C3226" s="26"/>
      <c r="D3226" s="26"/>
      <c r="E3226" s="26"/>
      <c r="F3226" s="26"/>
      <c r="G3226" s="26"/>
    </row>
    <row r="3227" spans="1:7">
      <c r="A3227" s="26"/>
      <c r="B3227" s="26" t="s">
        <v>5010</v>
      </c>
      <c r="C3227" s="26"/>
      <c r="D3227" s="26"/>
      <c r="E3227" s="26"/>
      <c r="F3227" s="171" t="s">
        <v>1698</v>
      </c>
      <c r="G3227" s="68">
        <f>G3206</f>
        <v>3672.5237499999998</v>
      </c>
    </row>
    <row r="3228" spans="1:7">
      <c r="A3228" s="26"/>
      <c r="B3228" s="26" t="s">
        <v>1186</v>
      </c>
      <c r="C3228" s="26"/>
      <c r="D3228" s="26"/>
      <c r="E3228" s="26"/>
      <c r="F3228" s="171" t="s">
        <v>1698</v>
      </c>
      <c r="G3228" s="68">
        <f>G3213</f>
        <v>0</v>
      </c>
    </row>
    <row r="3229" spans="1:7">
      <c r="A3229" s="26"/>
      <c r="B3229" s="26" t="s">
        <v>2660</v>
      </c>
      <c r="C3229" s="26"/>
      <c r="D3229" s="26"/>
      <c r="E3229" s="26"/>
      <c r="F3229" s="171" t="s">
        <v>1698</v>
      </c>
      <c r="G3229" s="75">
        <f>G3221</f>
        <v>11900</v>
      </c>
    </row>
    <row r="3230" spans="1:7">
      <c r="A3230" s="26"/>
      <c r="B3230" s="78"/>
      <c r="C3230" s="26"/>
      <c r="D3230" s="26"/>
      <c r="E3230" s="171"/>
      <c r="F3230" s="171" t="s">
        <v>302</v>
      </c>
      <c r="G3230" s="205">
        <f>SUM(G3227:G3229)</f>
        <v>15572.52375</v>
      </c>
    </row>
    <row r="3231" spans="1:7">
      <c r="A3231" s="26"/>
      <c r="B3231" s="1206" t="s">
        <v>1379</v>
      </c>
      <c r="C3231" s="1206"/>
      <c r="D3231" s="26"/>
      <c r="E3231" s="249">
        <f>'BASIC DATA'!$C$577</f>
        <v>0.13614999999999999</v>
      </c>
      <c r="F3231" s="26" t="s">
        <v>1698</v>
      </c>
      <c r="G3231" s="26">
        <f>ROUND(G3230*E3231,2)</f>
        <v>2120.1999999999998</v>
      </c>
    </row>
    <row r="3232" spans="1:7">
      <c r="A3232" s="26"/>
      <c r="B3232" s="26" t="s">
        <v>1191</v>
      </c>
      <c r="C3232" s="26"/>
      <c r="D3232" s="68">
        <f>F3197</f>
        <v>100</v>
      </c>
      <c r="E3232" s="68" t="str">
        <f>G3197</f>
        <v>sqm</v>
      </c>
      <c r="F3232" s="26" t="s">
        <v>1698</v>
      </c>
      <c r="G3232" s="211">
        <f>G3231+G3230</f>
        <v>17692.723750000001</v>
      </c>
    </row>
    <row r="3233" spans="1:7">
      <c r="A3233" s="26"/>
      <c r="B3233" s="170" t="s">
        <v>1584</v>
      </c>
      <c r="C3233" s="211" t="str">
        <f>E3232</f>
        <v>sqm</v>
      </c>
      <c r="D3233" s="26" t="s">
        <v>5882</v>
      </c>
      <c r="E3233" s="26"/>
      <c r="F3233" s="26" t="s">
        <v>4108</v>
      </c>
      <c r="G3233" s="211">
        <f>ROUND(G3232/D3232,1)</f>
        <v>176.9</v>
      </c>
    </row>
    <row r="3234" spans="1:7">
      <c r="A3234" s="26"/>
      <c r="B3234" s="78"/>
      <c r="C3234" s="26"/>
      <c r="D3234" s="26"/>
      <c r="E3234" s="26"/>
      <c r="F3234" s="26"/>
      <c r="G3234" s="26"/>
    </row>
    <row r="3235" spans="1:7">
      <c r="A3235" s="26"/>
      <c r="B3235" s="78"/>
      <c r="C3235" s="26"/>
      <c r="D3235" s="26"/>
      <c r="E3235" s="26"/>
      <c r="F3235" s="26"/>
      <c r="G3235" s="26"/>
    </row>
    <row r="3236" spans="1:7" ht="18.75">
      <c r="A3236" s="78" t="s">
        <v>7578</v>
      </c>
      <c r="B3236" s="26" t="s">
        <v>8981</v>
      </c>
      <c r="C3236" s="26"/>
      <c r="D3236" s="26"/>
      <c r="E3236" s="26"/>
      <c r="F3236" s="26"/>
      <c r="G3236" s="26"/>
    </row>
    <row r="3237" spans="1:7">
      <c r="A3237" s="78"/>
      <c r="B3237" s="26" t="s">
        <v>6509</v>
      </c>
      <c r="C3237" s="26"/>
      <c r="D3237" s="26"/>
      <c r="E3237" s="26"/>
      <c r="F3237" s="26"/>
      <c r="G3237" s="26"/>
    </row>
    <row r="3238" spans="1:7" ht="18.75">
      <c r="A3238" s="78"/>
      <c r="B3238" s="170" t="s">
        <v>8715</v>
      </c>
      <c r="C3238" s="26"/>
      <c r="D3238" s="26"/>
      <c r="E3238" s="26"/>
      <c r="F3238" s="26"/>
      <c r="G3238" s="26"/>
    </row>
    <row r="3239" spans="1:7">
      <c r="A3239" s="78"/>
      <c r="B3239" s="26"/>
      <c r="C3239" s="26"/>
      <c r="D3239" s="26"/>
      <c r="E3239" s="26"/>
      <c r="F3239" s="26"/>
      <c r="G3239" s="26"/>
    </row>
    <row r="3240" spans="1:7">
      <c r="A3240" s="78" t="s">
        <v>3984</v>
      </c>
      <c r="B3240" s="26" t="s">
        <v>5014</v>
      </c>
      <c r="C3240" s="26"/>
      <c r="D3240" s="26"/>
      <c r="E3240" s="78"/>
      <c r="F3240" s="26"/>
      <c r="G3240" s="26"/>
    </row>
    <row r="3241" spans="1:7">
      <c r="A3241" s="78"/>
      <c r="B3241" s="26" t="s">
        <v>3140</v>
      </c>
      <c r="C3241" s="26"/>
      <c r="D3241" s="26">
        <v>1.32</v>
      </c>
      <c r="E3241" s="26" t="s">
        <v>3477</v>
      </c>
      <c r="F3241" s="26"/>
      <c r="G3241" s="26"/>
    </row>
    <row r="3242" spans="1:7">
      <c r="A3242" s="78"/>
      <c r="B3242" s="26" t="s">
        <v>2404</v>
      </c>
      <c r="C3242" s="26"/>
      <c r="D3242" s="26"/>
      <c r="E3242" s="26"/>
      <c r="F3242" s="26">
        <v>1.32</v>
      </c>
      <c r="G3242" s="26" t="s">
        <v>3477</v>
      </c>
    </row>
    <row r="3243" spans="1:7">
      <c r="A3243" s="26"/>
      <c r="B3243" s="78"/>
      <c r="C3243" s="26"/>
      <c r="D3243" s="26"/>
      <c r="E3243" s="26"/>
      <c r="F3243" s="26"/>
      <c r="G3243" s="26"/>
    </row>
    <row r="3244" spans="1:7">
      <c r="A3244" s="78" t="s">
        <v>3984</v>
      </c>
      <c r="B3244" s="78"/>
      <c r="C3244" s="203" t="s">
        <v>2367</v>
      </c>
      <c r="D3244" s="26"/>
      <c r="E3244" s="171" t="s">
        <v>297</v>
      </c>
      <c r="F3244" s="246">
        <v>100</v>
      </c>
      <c r="G3244" s="26" t="s">
        <v>3479</v>
      </c>
    </row>
    <row r="3245" spans="1:7">
      <c r="A3245" s="26"/>
      <c r="B3245" s="79" t="s">
        <v>2368</v>
      </c>
      <c r="C3245" s="26"/>
      <c r="D3245" s="26"/>
      <c r="E3245" s="26"/>
      <c r="F3245" s="26"/>
      <c r="G3245" s="26"/>
    </row>
    <row r="3246" spans="1:7">
      <c r="A3246" s="26"/>
      <c r="B3246" s="95" t="s">
        <v>2369</v>
      </c>
      <c r="C3246" s="157" t="s">
        <v>4443</v>
      </c>
      <c r="D3246" s="95" t="s">
        <v>2370</v>
      </c>
      <c r="E3246" s="95" t="s">
        <v>1166</v>
      </c>
      <c r="F3246" s="95" t="s">
        <v>2371</v>
      </c>
      <c r="G3246" s="95" t="s">
        <v>2372</v>
      </c>
    </row>
    <row r="3247" spans="1:7">
      <c r="A3247" s="26"/>
      <c r="B3247" s="114"/>
      <c r="C3247" s="154"/>
      <c r="D3247" s="114"/>
      <c r="E3247" s="114"/>
      <c r="F3247" s="114" t="s">
        <v>3485</v>
      </c>
      <c r="G3247" s="114" t="s">
        <v>3485</v>
      </c>
    </row>
    <row r="3248" spans="1:7">
      <c r="A3248" s="26"/>
      <c r="B3248" s="95">
        <v>1</v>
      </c>
      <c r="C3248" s="135" t="s">
        <v>5853</v>
      </c>
      <c r="D3248" s="95" t="s">
        <v>3478</v>
      </c>
      <c r="E3248" s="190">
        <v>472</v>
      </c>
      <c r="F3248" s="214">
        <f>'BASIC DATA'!$D$32/1000</f>
        <v>5.35</v>
      </c>
      <c r="G3248" s="190">
        <f>E3248*F3248</f>
        <v>2525.1999999999998</v>
      </c>
    </row>
    <row r="3249" spans="1:7">
      <c r="A3249" s="61"/>
      <c r="B3249" s="237">
        <v>2</v>
      </c>
      <c r="C3249" s="326" t="s">
        <v>6827</v>
      </c>
      <c r="D3249" s="240" t="s">
        <v>3477</v>
      </c>
      <c r="E3249" s="255">
        <v>1.32</v>
      </c>
      <c r="F3249" s="266">
        <f>'BASIC DATA'!$D$57</f>
        <v>165</v>
      </c>
      <c r="G3249" s="255">
        <f>E3249*F3249</f>
        <v>217.8</v>
      </c>
    </row>
    <row r="3250" spans="1:7">
      <c r="A3250" s="26"/>
      <c r="B3250" s="93"/>
      <c r="C3250" s="187"/>
      <c r="D3250" s="187"/>
      <c r="E3250" s="331" t="s">
        <v>2375</v>
      </c>
      <c r="F3250" s="344" t="s">
        <v>1698</v>
      </c>
      <c r="G3250" s="179">
        <f>SUM(G3248:G3249)</f>
        <v>2743</v>
      </c>
    </row>
    <row r="3251" spans="1:7">
      <c r="A3251" s="26"/>
      <c r="B3251" s="93"/>
      <c r="C3251" s="31" t="s">
        <v>5017</v>
      </c>
      <c r="D3251" s="31"/>
      <c r="E3251" s="333">
        <v>2.5000000000000001E-2</v>
      </c>
      <c r="F3251" s="280" t="s">
        <v>1698</v>
      </c>
      <c r="G3251" s="190">
        <f>E3251*$G$3250</f>
        <v>68.575000000000003</v>
      </c>
    </row>
    <row r="3252" spans="1:7">
      <c r="A3252" s="26"/>
      <c r="B3252" s="93"/>
      <c r="C3252" s="31" t="s">
        <v>7018</v>
      </c>
      <c r="D3252" s="31" t="s">
        <v>4043</v>
      </c>
      <c r="E3252" s="198"/>
      <c r="F3252" s="275" t="s">
        <v>1698</v>
      </c>
      <c r="G3252" s="190"/>
    </row>
    <row r="3253" spans="1:7">
      <c r="A3253" s="26"/>
      <c r="B3253" s="92"/>
      <c r="C3253" s="193" t="s">
        <v>2376</v>
      </c>
      <c r="D3253" s="159"/>
      <c r="E3253" s="238"/>
      <c r="F3253" s="236" t="s">
        <v>1698</v>
      </c>
      <c r="G3253" s="318">
        <f>SUM(G3250:G3252)</f>
        <v>2811.5749999999998</v>
      </c>
    </row>
    <row r="3254" spans="1:7">
      <c r="A3254" s="26"/>
      <c r="B3254" s="78"/>
      <c r="C3254" s="26"/>
      <c r="D3254" s="26"/>
      <c r="E3254" s="26"/>
      <c r="F3254" s="26"/>
      <c r="G3254" s="68"/>
    </row>
    <row r="3255" spans="1:7">
      <c r="A3255" s="26"/>
      <c r="B3255" s="79" t="s">
        <v>2377</v>
      </c>
      <c r="C3255" s="26"/>
      <c r="D3255" s="26"/>
      <c r="E3255" s="26"/>
      <c r="F3255" s="26"/>
      <c r="G3255" s="26"/>
    </row>
    <row r="3256" spans="1:7">
      <c r="A3256" s="26"/>
      <c r="B3256" s="95" t="s">
        <v>2369</v>
      </c>
      <c r="C3256" s="157" t="s">
        <v>2378</v>
      </c>
      <c r="D3256" s="95" t="s">
        <v>2370</v>
      </c>
      <c r="E3256" s="95" t="s">
        <v>1166</v>
      </c>
      <c r="F3256" s="95" t="s">
        <v>2371</v>
      </c>
      <c r="G3256" s="95" t="s">
        <v>2372</v>
      </c>
    </row>
    <row r="3257" spans="1:7">
      <c r="A3257" s="26"/>
      <c r="B3257" s="114"/>
      <c r="C3257" s="154"/>
      <c r="D3257" s="114"/>
      <c r="E3257" s="114"/>
      <c r="F3257" s="114" t="s">
        <v>3485</v>
      </c>
      <c r="G3257" s="114" t="s">
        <v>3485</v>
      </c>
    </row>
    <row r="3258" spans="1:7">
      <c r="A3258" s="26"/>
      <c r="B3258" s="95">
        <v>1</v>
      </c>
      <c r="C3258" s="95" t="s">
        <v>4168</v>
      </c>
      <c r="D3258" s="175"/>
      <c r="E3258" s="179">
        <v>0</v>
      </c>
      <c r="F3258" s="190">
        <v>0</v>
      </c>
      <c r="G3258" s="190">
        <f>E3258*F3258</f>
        <v>0</v>
      </c>
    </row>
    <row r="3259" spans="1:7">
      <c r="A3259" s="26"/>
      <c r="B3259" s="365"/>
      <c r="C3259" s="114" t="s">
        <v>5018</v>
      </c>
      <c r="D3259" s="188"/>
      <c r="E3259" s="182">
        <v>0</v>
      </c>
      <c r="F3259" s="190">
        <v>0</v>
      </c>
      <c r="G3259" s="190">
        <f>E3259*F3259</f>
        <v>0</v>
      </c>
    </row>
    <row r="3260" spans="1:7">
      <c r="A3260" s="26"/>
      <c r="B3260" s="176"/>
      <c r="C3260" s="172" t="s">
        <v>2380</v>
      </c>
      <c r="D3260" s="174"/>
      <c r="E3260" s="192"/>
      <c r="F3260" s="236" t="s">
        <v>1698</v>
      </c>
      <c r="G3260" s="318">
        <f>SUM(G3258:G3259)</f>
        <v>0</v>
      </c>
    </row>
    <row r="3261" spans="1:7">
      <c r="A3261" s="26"/>
      <c r="B3261" s="78"/>
      <c r="C3261" s="26"/>
      <c r="D3261" s="26"/>
      <c r="E3261" s="26"/>
      <c r="F3261" s="26"/>
      <c r="G3261" s="26"/>
    </row>
    <row r="3262" spans="1:7">
      <c r="A3262" s="26"/>
      <c r="B3262" s="79" t="s">
        <v>2381</v>
      </c>
      <c r="C3262" s="26"/>
      <c r="D3262" s="26"/>
      <c r="E3262" s="26"/>
      <c r="F3262" s="26"/>
      <c r="G3262" s="26"/>
    </row>
    <row r="3263" spans="1:7">
      <c r="A3263" s="26"/>
      <c r="B3263" s="95" t="s">
        <v>2369</v>
      </c>
      <c r="C3263" s="157" t="s">
        <v>2378</v>
      </c>
      <c r="D3263" s="95" t="s">
        <v>2370</v>
      </c>
      <c r="E3263" s="95" t="s">
        <v>1166</v>
      </c>
      <c r="F3263" s="95" t="s">
        <v>2371</v>
      </c>
      <c r="G3263" s="95" t="s">
        <v>2372</v>
      </c>
    </row>
    <row r="3264" spans="1:7">
      <c r="A3264" s="26"/>
      <c r="B3264" s="114"/>
      <c r="C3264" s="154"/>
      <c r="D3264" s="105"/>
      <c r="E3264" s="105"/>
      <c r="F3264" s="105" t="s">
        <v>3485</v>
      </c>
      <c r="G3264" s="114" t="s">
        <v>3485</v>
      </c>
    </row>
    <row r="3265" spans="1:7">
      <c r="A3265" s="26"/>
      <c r="B3265" s="95">
        <v>1</v>
      </c>
      <c r="C3265" s="76" t="s">
        <v>5019</v>
      </c>
      <c r="D3265" s="95" t="s">
        <v>1172</v>
      </c>
      <c r="E3265" s="179">
        <v>10</v>
      </c>
      <c r="F3265" s="179">
        <f>'BASIC DATA'!$C$474</f>
        <v>445</v>
      </c>
      <c r="G3265" s="207">
        <f>E3265*F3265</f>
        <v>4450</v>
      </c>
    </row>
    <row r="3266" spans="1:7">
      <c r="A3266" s="26"/>
      <c r="B3266" s="105">
        <v>2</v>
      </c>
      <c r="C3266" s="76" t="s">
        <v>4206</v>
      </c>
      <c r="D3266" s="105" t="s">
        <v>1172</v>
      </c>
      <c r="E3266" s="190">
        <v>1</v>
      </c>
      <c r="F3266" s="190">
        <f>'BASIC DATA'!$C$473</f>
        <v>450</v>
      </c>
      <c r="G3266" s="207">
        <f>E3266*F3266</f>
        <v>450</v>
      </c>
    </row>
    <row r="3267" spans="1:7">
      <c r="A3267" s="26"/>
      <c r="B3267" s="114">
        <v>3</v>
      </c>
      <c r="C3267" s="89" t="s">
        <v>2697</v>
      </c>
      <c r="D3267" s="114" t="s">
        <v>1172</v>
      </c>
      <c r="E3267" s="182">
        <v>20</v>
      </c>
      <c r="F3267" s="182">
        <f>'BASIC DATA'!$C$552</f>
        <v>350</v>
      </c>
      <c r="G3267" s="207">
        <f>E3267*F3267</f>
        <v>7000</v>
      </c>
    </row>
    <row r="3268" spans="1:7">
      <c r="A3268" s="26"/>
      <c r="B3268" s="176"/>
      <c r="C3268" s="172" t="s">
        <v>1174</v>
      </c>
      <c r="D3268" s="174"/>
      <c r="E3268" s="192"/>
      <c r="F3268" s="275" t="s">
        <v>1698</v>
      </c>
      <c r="G3268" s="318">
        <f>SUM(G3265:G3267)</f>
        <v>11900</v>
      </c>
    </row>
    <row r="3269" spans="1:7">
      <c r="A3269" s="26"/>
      <c r="B3269" s="60" t="s">
        <v>5948</v>
      </c>
      <c r="C3269" s="31"/>
      <c r="D3269" s="31"/>
      <c r="E3269" s="85">
        <f>ROUND(G3268/F3244,1)</f>
        <v>119</v>
      </c>
      <c r="F3269" s="26"/>
      <c r="G3269" s="26"/>
    </row>
    <row r="3270" spans="1:7">
      <c r="A3270" s="26"/>
      <c r="B3270" s="60" t="s">
        <v>3163</v>
      </c>
      <c r="C3270" s="31"/>
      <c r="D3270" s="31">
        <f>'BASIC DATA'!$C$577</f>
        <v>0.13614999999999999</v>
      </c>
      <c r="E3270" s="85">
        <f>ROUND(E3269*D3270,1)</f>
        <v>16.2</v>
      </c>
      <c r="F3270" s="26"/>
      <c r="G3270" s="26"/>
    </row>
    <row r="3271" spans="1:7">
      <c r="A3271" s="26"/>
      <c r="B3271" s="60" t="s">
        <v>5949</v>
      </c>
      <c r="C3271" s="31"/>
      <c r="D3271" s="31"/>
      <c r="E3271" s="199">
        <f>ROUND(E3270+E3269,1)</f>
        <v>135.19999999999999</v>
      </c>
      <c r="F3271" s="56"/>
      <c r="G3271" s="26"/>
    </row>
    <row r="3272" spans="1:7">
      <c r="A3272" s="26"/>
      <c r="B3272" s="78"/>
      <c r="C3272" s="26"/>
      <c r="D3272" s="26"/>
      <c r="E3272" s="26"/>
      <c r="F3272" s="26"/>
      <c r="G3272" s="26"/>
    </row>
    <row r="3273" spans="1:7">
      <c r="A3273" s="26"/>
      <c r="B3273" s="170" t="s">
        <v>1175</v>
      </c>
      <c r="C3273" s="26"/>
      <c r="D3273" s="26"/>
      <c r="E3273" s="26"/>
      <c r="F3273" s="26"/>
      <c r="G3273" s="26"/>
    </row>
    <row r="3274" spans="1:7">
      <c r="A3274" s="26"/>
      <c r="B3274" s="26" t="s">
        <v>5010</v>
      </c>
      <c r="C3274" s="26"/>
      <c r="D3274" s="26"/>
      <c r="E3274" s="26"/>
      <c r="F3274" s="171" t="s">
        <v>1698</v>
      </c>
      <c r="G3274" s="68">
        <f>G3253</f>
        <v>2811.5749999999998</v>
      </c>
    </row>
    <row r="3275" spans="1:7">
      <c r="A3275" s="26"/>
      <c r="B3275" s="26" t="s">
        <v>1186</v>
      </c>
      <c r="C3275" s="26"/>
      <c r="D3275" s="26"/>
      <c r="E3275" s="26"/>
      <c r="F3275" s="171" t="s">
        <v>1698</v>
      </c>
      <c r="G3275" s="68">
        <f>G3260</f>
        <v>0</v>
      </c>
    </row>
    <row r="3276" spans="1:7">
      <c r="A3276" s="26"/>
      <c r="B3276" s="26" t="s">
        <v>2660</v>
      </c>
      <c r="C3276" s="26"/>
      <c r="D3276" s="26"/>
      <c r="E3276" s="26"/>
      <c r="F3276" s="171" t="s">
        <v>1698</v>
      </c>
      <c r="G3276" s="75">
        <f>G3268</f>
        <v>11900</v>
      </c>
    </row>
    <row r="3277" spans="1:7">
      <c r="A3277" s="26"/>
      <c r="B3277" s="78"/>
      <c r="C3277" s="26"/>
      <c r="D3277" s="26"/>
      <c r="E3277" s="171"/>
      <c r="F3277" s="171" t="s">
        <v>302</v>
      </c>
      <c r="G3277" s="205">
        <f>SUM(G3274:G3276)</f>
        <v>14711.575000000001</v>
      </c>
    </row>
    <row r="3278" spans="1:7">
      <c r="A3278" s="26"/>
      <c r="B3278" s="1206" t="s">
        <v>1379</v>
      </c>
      <c r="C3278" s="1206"/>
      <c r="D3278" s="26"/>
      <c r="E3278" s="249">
        <f>'BASIC DATA'!$C$577</f>
        <v>0.13614999999999999</v>
      </c>
      <c r="F3278" s="26" t="s">
        <v>1698</v>
      </c>
      <c r="G3278" s="26">
        <f>ROUND(G3277*E3278,2)</f>
        <v>2002.98</v>
      </c>
    </row>
    <row r="3279" spans="1:7">
      <c r="A3279" s="26"/>
      <c r="B3279" s="26" t="s">
        <v>1191</v>
      </c>
      <c r="C3279" s="26"/>
      <c r="D3279" s="68">
        <f>F3244</f>
        <v>100</v>
      </c>
      <c r="E3279" s="68" t="str">
        <f>G3244</f>
        <v>sqm</v>
      </c>
      <c r="F3279" s="26" t="s">
        <v>1698</v>
      </c>
      <c r="G3279" s="170">
        <f>G3278+G3277</f>
        <v>16714.555</v>
      </c>
    </row>
    <row r="3280" spans="1:7">
      <c r="A3280" s="26"/>
      <c r="B3280" s="170" t="s">
        <v>1584</v>
      </c>
      <c r="C3280" s="211" t="str">
        <f>E3279</f>
        <v>sqm</v>
      </c>
      <c r="D3280" s="26" t="s">
        <v>5882</v>
      </c>
      <c r="E3280" s="26"/>
      <c r="F3280" s="26" t="s">
        <v>4108</v>
      </c>
      <c r="G3280" s="211">
        <f>ROUND(G3279/D3279,1)</f>
        <v>167.1</v>
      </c>
    </row>
    <row r="3281" spans="1:7">
      <c r="A3281" s="26"/>
      <c r="B3281" s="78"/>
      <c r="C3281" s="26"/>
      <c r="D3281" s="26"/>
      <c r="E3281" s="26"/>
      <c r="F3281" s="26"/>
      <c r="G3281" s="26"/>
    </row>
    <row r="3282" spans="1:7">
      <c r="A3282" s="26"/>
      <c r="B3282" s="78"/>
      <c r="C3282" s="26"/>
      <c r="D3282" s="26"/>
      <c r="E3282" s="26"/>
      <c r="F3282" s="26"/>
      <c r="G3282" s="26"/>
    </row>
    <row r="3283" spans="1:7" ht="18.75">
      <c r="A3283" s="78" t="s">
        <v>7579</v>
      </c>
      <c r="B3283" s="26" t="s">
        <v>8982</v>
      </c>
      <c r="C3283" s="26"/>
      <c r="D3283" s="26"/>
      <c r="E3283" s="26"/>
      <c r="F3283" s="26"/>
      <c r="G3283" s="26"/>
    </row>
    <row r="3284" spans="1:7">
      <c r="A3284" s="78"/>
      <c r="B3284" s="26" t="s">
        <v>6509</v>
      </c>
      <c r="C3284" s="26"/>
      <c r="D3284" s="26"/>
      <c r="E3284" s="26"/>
      <c r="F3284" s="26"/>
      <c r="G3284" s="26"/>
    </row>
    <row r="3285" spans="1:7" ht="18.75">
      <c r="A3285" s="78"/>
      <c r="B3285" s="170" t="s">
        <v>8715</v>
      </c>
      <c r="C3285" s="26"/>
      <c r="D3285" s="26"/>
      <c r="E3285" s="26"/>
      <c r="F3285" s="26"/>
      <c r="G3285" s="26"/>
    </row>
    <row r="3286" spans="1:7">
      <c r="A3286" s="78"/>
      <c r="B3286" s="26"/>
      <c r="C3286" s="26"/>
      <c r="D3286" s="26"/>
      <c r="E3286" s="26"/>
      <c r="F3286" s="26"/>
      <c r="G3286" s="26"/>
    </row>
    <row r="3287" spans="1:7">
      <c r="A3287" s="78" t="s">
        <v>3984</v>
      </c>
      <c r="B3287" s="26" t="s">
        <v>5014</v>
      </c>
      <c r="C3287" s="26"/>
      <c r="D3287" s="26"/>
      <c r="E3287" s="78"/>
      <c r="F3287" s="26"/>
      <c r="G3287" s="26"/>
    </row>
    <row r="3288" spans="1:7">
      <c r="A3288" s="78"/>
      <c r="B3288" s="26" t="s">
        <v>1589</v>
      </c>
      <c r="C3288" s="26"/>
      <c r="D3288" s="68">
        <v>2.2000000000000002</v>
      </c>
      <c r="E3288" s="26" t="s">
        <v>3477</v>
      </c>
      <c r="F3288" s="26"/>
      <c r="G3288" s="26"/>
    </row>
    <row r="3289" spans="1:7">
      <c r="A3289" s="78"/>
      <c r="B3289" s="26" t="s">
        <v>2405</v>
      </c>
      <c r="C3289" s="26"/>
      <c r="D3289" s="26"/>
      <c r="E3289" s="26">
        <v>2.2000000000000002</v>
      </c>
      <c r="F3289" s="26" t="s">
        <v>3477</v>
      </c>
      <c r="G3289" s="26"/>
    </row>
    <row r="3290" spans="1:7">
      <c r="A3290" s="78"/>
      <c r="B3290" s="26" t="s">
        <v>6538</v>
      </c>
      <c r="C3290" s="26"/>
      <c r="D3290" s="26"/>
      <c r="E3290" s="26"/>
      <c r="F3290" s="26"/>
      <c r="G3290" s="26"/>
    </row>
    <row r="3291" spans="1:7">
      <c r="A3291" s="78"/>
      <c r="B3291" s="26" t="s">
        <v>6539</v>
      </c>
      <c r="C3291" s="26"/>
      <c r="D3291" s="26"/>
      <c r="E3291" s="78" t="s">
        <v>1697</v>
      </c>
      <c r="F3291" s="26">
        <v>20</v>
      </c>
      <c r="G3291" s="26" t="s">
        <v>1590</v>
      </c>
    </row>
    <row r="3292" spans="1:7">
      <c r="A3292" s="78"/>
      <c r="B3292" s="26" t="s">
        <v>5393</v>
      </c>
      <c r="C3292" s="26"/>
      <c r="D3292" s="26"/>
      <c r="E3292" s="78" t="s">
        <v>1697</v>
      </c>
      <c r="F3292" s="26">
        <v>10</v>
      </c>
      <c r="G3292" s="26" t="s">
        <v>1590</v>
      </c>
    </row>
    <row r="3293" spans="1:7">
      <c r="A3293" s="26"/>
      <c r="B3293" s="78"/>
      <c r="C3293" s="26"/>
      <c r="D3293" s="26"/>
      <c r="E3293" s="26"/>
      <c r="F3293" s="26"/>
      <c r="G3293" s="26"/>
    </row>
    <row r="3294" spans="1:7">
      <c r="A3294" s="26"/>
      <c r="B3294" s="78"/>
      <c r="C3294" s="26"/>
      <c r="D3294" s="26"/>
      <c r="E3294" s="26"/>
      <c r="F3294" s="26"/>
      <c r="G3294" s="26"/>
    </row>
    <row r="3295" spans="1:7">
      <c r="A3295" s="78" t="s">
        <v>3984</v>
      </c>
      <c r="B3295" s="78"/>
      <c r="C3295" s="203" t="s">
        <v>2367</v>
      </c>
      <c r="D3295" s="26"/>
      <c r="E3295" s="171" t="s">
        <v>297</v>
      </c>
      <c r="F3295" s="246">
        <v>100</v>
      </c>
      <c r="G3295" s="26" t="s">
        <v>3479</v>
      </c>
    </row>
    <row r="3296" spans="1:7">
      <c r="A3296" s="26"/>
      <c r="B3296" s="79" t="s">
        <v>2368</v>
      </c>
      <c r="C3296" s="26"/>
      <c r="D3296" s="26"/>
      <c r="E3296" s="26"/>
      <c r="F3296" s="26"/>
      <c r="G3296" s="26"/>
    </row>
    <row r="3297" spans="1:7">
      <c r="A3297" s="26"/>
      <c r="B3297" s="95" t="s">
        <v>2369</v>
      </c>
      <c r="C3297" s="157" t="s">
        <v>4443</v>
      </c>
      <c r="D3297" s="95" t="s">
        <v>2370</v>
      </c>
      <c r="E3297" s="95" t="s">
        <v>1166</v>
      </c>
      <c r="F3297" s="95" t="s">
        <v>2371</v>
      </c>
      <c r="G3297" s="95" t="s">
        <v>2372</v>
      </c>
    </row>
    <row r="3298" spans="1:7">
      <c r="A3298" s="26"/>
      <c r="B3298" s="114"/>
      <c r="C3298" s="154"/>
      <c r="D3298" s="114"/>
      <c r="E3298" s="114"/>
      <c r="F3298" s="114" t="s">
        <v>3485</v>
      </c>
      <c r="G3298" s="114" t="s">
        <v>3485</v>
      </c>
    </row>
    <row r="3299" spans="1:7">
      <c r="A3299" s="26"/>
      <c r="B3299" s="95">
        <v>1</v>
      </c>
      <c r="C3299" s="135" t="s">
        <v>5853</v>
      </c>
      <c r="D3299" s="95" t="s">
        <v>3478</v>
      </c>
      <c r="E3299" s="190">
        <v>1050</v>
      </c>
      <c r="F3299" s="214">
        <f>'BASIC DATA'!$D$32/1000</f>
        <v>5.35</v>
      </c>
      <c r="G3299" s="190">
        <f>E3299*F3299</f>
        <v>5617.5</v>
      </c>
    </row>
    <row r="3300" spans="1:7">
      <c r="A3300" s="61"/>
      <c r="B3300" s="237">
        <v>2</v>
      </c>
      <c r="C3300" s="326" t="s">
        <v>6827</v>
      </c>
      <c r="D3300" s="240" t="s">
        <v>3477</v>
      </c>
      <c r="E3300" s="255">
        <v>2.2000000000000002</v>
      </c>
      <c r="F3300" s="266">
        <f>'BASIC DATA'!$D$57</f>
        <v>165</v>
      </c>
      <c r="G3300" s="255">
        <f>E3300*F3300</f>
        <v>363.00000000000006</v>
      </c>
    </row>
    <row r="3301" spans="1:7">
      <c r="A3301" s="26"/>
      <c r="B3301" s="93"/>
      <c r="C3301" s="187"/>
      <c r="D3301" s="187"/>
      <c r="E3301" s="331" t="s">
        <v>2375</v>
      </c>
      <c r="F3301" s="344" t="s">
        <v>1698</v>
      </c>
      <c r="G3301" s="179">
        <f>SUM(G3299:G3300)</f>
        <v>5980.5</v>
      </c>
    </row>
    <row r="3302" spans="1:7">
      <c r="A3302" s="26"/>
      <c r="B3302" s="93"/>
      <c r="C3302" s="31" t="s">
        <v>5017</v>
      </c>
      <c r="D3302" s="31"/>
      <c r="E3302" s="333">
        <v>2.5000000000000001E-2</v>
      </c>
      <c r="F3302" s="280" t="s">
        <v>1698</v>
      </c>
      <c r="G3302" s="190">
        <f>E3302*$G$3301</f>
        <v>149.51250000000002</v>
      </c>
    </row>
    <row r="3303" spans="1:7">
      <c r="A3303" s="26"/>
      <c r="B3303" s="93"/>
      <c r="C3303" s="31" t="s">
        <v>7018</v>
      </c>
      <c r="D3303" s="31" t="s">
        <v>4043</v>
      </c>
      <c r="E3303" s="198"/>
      <c r="F3303" s="275" t="s">
        <v>1698</v>
      </c>
      <c r="G3303" s="190"/>
    </row>
    <row r="3304" spans="1:7">
      <c r="A3304" s="26"/>
      <c r="B3304" s="92"/>
      <c r="C3304" s="193" t="s">
        <v>2376</v>
      </c>
      <c r="D3304" s="159"/>
      <c r="E3304" s="238"/>
      <c r="F3304" s="236" t="s">
        <v>1698</v>
      </c>
      <c r="G3304" s="318">
        <f>SUM(G3301:G3303)</f>
        <v>6130.0124999999998</v>
      </c>
    </row>
    <row r="3305" spans="1:7">
      <c r="A3305" s="26"/>
      <c r="B3305" s="78"/>
      <c r="C3305" s="26"/>
      <c r="D3305" s="26"/>
      <c r="E3305" s="26"/>
      <c r="F3305" s="26"/>
      <c r="G3305" s="68"/>
    </row>
    <row r="3306" spans="1:7">
      <c r="A3306" s="26"/>
      <c r="B3306" s="79" t="s">
        <v>2377</v>
      </c>
      <c r="C3306" s="26"/>
      <c r="D3306" s="26"/>
      <c r="E3306" s="26"/>
      <c r="F3306" s="26"/>
      <c r="G3306" s="26"/>
    </row>
    <row r="3307" spans="1:7">
      <c r="A3307" s="26"/>
      <c r="B3307" s="95" t="s">
        <v>2369</v>
      </c>
      <c r="C3307" s="157" t="s">
        <v>2378</v>
      </c>
      <c r="D3307" s="95" t="s">
        <v>2370</v>
      </c>
      <c r="E3307" s="95" t="s">
        <v>1166</v>
      </c>
      <c r="F3307" s="95" t="s">
        <v>2371</v>
      </c>
      <c r="G3307" s="95" t="s">
        <v>2372</v>
      </c>
    </row>
    <row r="3308" spans="1:7">
      <c r="A3308" s="26"/>
      <c r="B3308" s="114"/>
      <c r="C3308" s="154"/>
      <c r="D3308" s="114"/>
      <c r="E3308" s="114"/>
      <c r="F3308" s="114" t="s">
        <v>3485</v>
      </c>
      <c r="G3308" s="114" t="s">
        <v>3485</v>
      </c>
    </row>
    <row r="3309" spans="1:7">
      <c r="A3309" s="26"/>
      <c r="B3309" s="95">
        <v>1</v>
      </c>
      <c r="C3309" s="95" t="s">
        <v>4168</v>
      </c>
      <c r="D3309" s="175"/>
      <c r="E3309" s="179">
        <v>0</v>
      </c>
      <c r="F3309" s="190">
        <v>0</v>
      </c>
      <c r="G3309" s="190">
        <f>E3309*F3309</f>
        <v>0</v>
      </c>
    </row>
    <row r="3310" spans="1:7">
      <c r="A3310" s="26"/>
      <c r="B3310" s="365"/>
      <c r="C3310" s="114" t="s">
        <v>5018</v>
      </c>
      <c r="D3310" s="188"/>
      <c r="E3310" s="182">
        <v>0</v>
      </c>
      <c r="F3310" s="182">
        <v>0</v>
      </c>
      <c r="G3310" s="190">
        <f>E3310*F3310</f>
        <v>0</v>
      </c>
    </row>
    <row r="3311" spans="1:7">
      <c r="A3311" s="26"/>
      <c r="B3311" s="176"/>
      <c r="C3311" s="172" t="s">
        <v>2380</v>
      </c>
      <c r="D3311" s="174"/>
      <c r="E3311" s="192"/>
      <c r="F3311" s="275" t="s">
        <v>1698</v>
      </c>
      <c r="G3311" s="318">
        <f>SUM(G3309:G3310)</f>
        <v>0</v>
      </c>
    </row>
    <row r="3312" spans="1:7">
      <c r="A3312" s="26"/>
      <c r="B3312" s="78"/>
      <c r="C3312" s="26"/>
      <c r="D3312" s="26"/>
      <c r="E3312" s="26"/>
      <c r="F3312" s="26"/>
      <c r="G3312" s="26"/>
    </row>
    <row r="3313" spans="1:7">
      <c r="A3313" s="26"/>
      <c r="B3313" s="79" t="s">
        <v>2381</v>
      </c>
      <c r="C3313" s="26"/>
      <c r="D3313" s="26"/>
      <c r="E3313" s="26"/>
      <c r="F3313" s="26"/>
      <c r="G3313" s="26"/>
    </row>
    <row r="3314" spans="1:7">
      <c r="A3314" s="26"/>
      <c r="B3314" s="95" t="s">
        <v>2369</v>
      </c>
      <c r="C3314" s="157" t="s">
        <v>2378</v>
      </c>
      <c r="D3314" s="95" t="s">
        <v>2370</v>
      </c>
      <c r="E3314" s="95" t="s">
        <v>1166</v>
      </c>
      <c r="F3314" s="95" t="s">
        <v>2371</v>
      </c>
      <c r="G3314" s="95" t="s">
        <v>2372</v>
      </c>
    </row>
    <row r="3315" spans="1:7">
      <c r="A3315" s="26"/>
      <c r="B3315" s="114"/>
      <c r="C3315" s="154"/>
      <c r="D3315" s="105"/>
      <c r="E3315" s="105"/>
      <c r="F3315" s="105" t="s">
        <v>3485</v>
      </c>
      <c r="G3315" s="114" t="s">
        <v>3485</v>
      </c>
    </row>
    <row r="3316" spans="1:7">
      <c r="A3316" s="26"/>
      <c r="B3316" s="95">
        <v>1</v>
      </c>
      <c r="C3316" s="76" t="s">
        <v>5019</v>
      </c>
      <c r="D3316" s="95" t="s">
        <v>1172</v>
      </c>
      <c r="E3316" s="179">
        <v>15</v>
      </c>
      <c r="F3316" s="179">
        <f>'BASIC DATA'!$C$474</f>
        <v>445</v>
      </c>
      <c r="G3316" s="207">
        <f>E3316*F3316</f>
        <v>6675</v>
      </c>
    </row>
    <row r="3317" spans="1:7">
      <c r="A3317" s="26"/>
      <c r="B3317" s="105">
        <v>2</v>
      </c>
      <c r="C3317" s="76" t="s">
        <v>4206</v>
      </c>
      <c r="D3317" s="105" t="s">
        <v>1172</v>
      </c>
      <c r="E3317" s="190">
        <v>1</v>
      </c>
      <c r="F3317" s="190">
        <f>'BASIC DATA'!$C$473</f>
        <v>450</v>
      </c>
      <c r="G3317" s="207">
        <f>E3317*F3317</f>
        <v>450</v>
      </c>
    </row>
    <row r="3318" spans="1:7">
      <c r="A3318" s="26"/>
      <c r="B3318" s="114">
        <v>3</v>
      </c>
      <c r="C3318" s="89" t="s">
        <v>2697</v>
      </c>
      <c r="D3318" s="114" t="s">
        <v>1172</v>
      </c>
      <c r="E3318" s="182">
        <v>25</v>
      </c>
      <c r="F3318" s="190">
        <f>'BASIC DATA'!$C$552</f>
        <v>350</v>
      </c>
      <c r="G3318" s="207">
        <f>E3318*F3318</f>
        <v>8750</v>
      </c>
    </row>
    <row r="3319" spans="1:7">
      <c r="A3319" s="26"/>
      <c r="B3319" s="176"/>
      <c r="C3319" s="172" t="s">
        <v>1174</v>
      </c>
      <c r="D3319" s="174"/>
      <c r="E3319" s="192"/>
      <c r="F3319" s="236" t="s">
        <v>1698</v>
      </c>
      <c r="G3319" s="318">
        <f>SUM(G3316:G3318)</f>
        <v>15875</v>
      </c>
    </row>
    <row r="3320" spans="1:7">
      <c r="A3320" s="26"/>
      <c r="B3320" s="60" t="s">
        <v>5948</v>
      </c>
      <c r="C3320" s="31"/>
      <c r="D3320" s="31"/>
      <c r="E3320" s="85">
        <f>ROUND(G3319/F3295,1)</f>
        <v>158.80000000000001</v>
      </c>
      <c r="F3320" s="26"/>
      <c r="G3320" s="26"/>
    </row>
    <row r="3321" spans="1:7">
      <c r="A3321" s="26"/>
      <c r="B3321" s="60" t="s">
        <v>3163</v>
      </c>
      <c r="C3321" s="31"/>
      <c r="D3321" s="31">
        <f>'BASIC DATA'!$C$577</f>
        <v>0.13614999999999999</v>
      </c>
      <c r="E3321" s="85">
        <f>ROUND(E3320*D3321,1)</f>
        <v>21.6</v>
      </c>
      <c r="F3321" s="26"/>
      <c r="G3321" s="26"/>
    </row>
    <row r="3322" spans="1:7">
      <c r="A3322" s="26"/>
      <c r="B3322" s="60" t="s">
        <v>5949</v>
      </c>
      <c r="C3322" s="31"/>
      <c r="D3322" s="31"/>
      <c r="E3322" s="199">
        <f>ROUND(E3321+E3320,1)</f>
        <v>180.4</v>
      </c>
      <c r="F3322" s="56"/>
      <c r="G3322" s="26"/>
    </row>
    <row r="3323" spans="1:7">
      <c r="A3323" s="26"/>
      <c r="B3323" s="78"/>
      <c r="C3323" s="26"/>
      <c r="D3323" s="26"/>
      <c r="E3323" s="26"/>
      <c r="F3323" s="26"/>
      <c r="G3323" s="26"/>
    </row>
    <row r="3324" spans="1:7">
      <c r="A3324" s="26"/>
      <c r="B3324" s="170" t="s">
        <v>1175</v>
      </c>
      <c r="C3324" s="26"/>
      <c r="D3324" s="26"/>
      <c r="E3324" s="26"/>
      <c r="F3324" s="26"/>
      <c r="G3324" s="26"/>
    </row>
    <row r="3325" spans="1:7">
      <c r="A3325" s="26"/>
      <c r="B3325" s="26" t="s">
        <v>5010</v>
      </c>
      <c r="C3325" s="26"/>
      <c r="D3325" s="26"/>
      <c r="E3325" s="26"/>
      <c r="F3325" s="171" t="s">
        <v>1698</v>
      </c>
      <c r="G3325" s="68">
        <f>G3304</f>
        <v>6130.0124999999998</v>
      </c>
    </row>
    <row r="3326" spans="1:7">
      <c r="A3326" s="26"/>
      <c r="B3326" s="26" t="s">
        <v>1186</v>
      </c>
      <c r="C3326" s="26"/>
      <c r="D3326" s="26"/>
      <c r="E3326" s="26"/>
      <c r="F3326" s="171" t="s">
        <v>1698</v>
      </c>
      <c r="G3326" s="68">
        <f>G3311</f>
        <v>0</v>
      </c>
    </row>
    <row r="3327" spans="1:7">
      <c r="A3327" s="26"/>
      <c r="B3327" s="26" t="s">
        <v>2660</v>
      </c>
      <c r="C3327" s="26"/>
      <c r="D3327" s="26"/>
      <c r="E3327" s="26"/>
      <c r="F3327" s="171" t="s">
        <v>1698</v>
      </c>
      <c r="G3327" s="75">
        <f>G3319</f>
        <v>15875</v>
      </c>
    </row>
    <row r="3328" spans="1:7">
      <c r="A3328" s="26"/>
      <c r="B3328" s="78"/>
      <c r="C3328" s="26"/>
      <c r="D3328" s="26"/>
      <c r="E3328" s="171"/>
      <c r="F3328" s="171" t="s">
        <v>302</v>
      </c>
      <c r="G3328" s="205">
        <f>SUM(G3325:G3327)</f>
        <v>22005.012500000001</v>
      </c>
    </row>
    <row r="3329" spans="1:7">
      <c r="A3329" s="26"/>
      <c r="B3329" s="1206" t="s">
        <v>1379</v>
      </c>
      <c r="C3329" s="1206"/>
      <c r="D3329" s="26"/>
      <c r="E3329" s="249">
        <f>'BASIC DATA'!$C$577</f>
        <v>0.13614999999999999</v>
      </c>
      <c r="F3329" s="26" t="s">
        <v>1698</v>
      </c>
      <c r="G3329" s="26">
        <f>ROUND(G3328*E3329,2)</f>
        <v>2995.98</v>
      </c>
    </row>
    <row r="3330" spans="1:7">
      <c r="A3330" s="26"/>
      <c r="B3330" s="26" t="s">
        <v>1191</v>
      </c>
      <c r="C3330" s="26"/>
      <c r="D3330" s="68">
        <f>F3295</f>
        <v>100</v>
      </c>
      <c r="E3330" s="68" t="str">
        <f>G3295</f>
        <v>sqm</v>
      </c>
      <c r="F3330" s="26" t="s">
        <v>1698</v>
      </c>
      <c r="G3330" s="211">
        <f>G3329+G3328</f>
        <v>25000.9925</v>
      </c>
    </row>
    <row r="3331" spans="1:7">
      <c r="A3331" s="26"/>
      <c r="B3331" s="170" t="s">
        <v>1584</v>
      </c>
      <c r="C3331" s="211" t="str">
        <f>E3330</f>
        <v>sqm</v>
      </c>
      <c r="D3331" s="26" t="s">
        <v>5882</v>
      </c>
      <c r="E3331" s="26"/>
      <c r="F3331" s="26" t="s">
        <v>4108</v>
      </c>
      <c r="G3331" s="211">
        <f>ROUND(G3330/D3330,1)</f>
        <v>250</v>
      </c>
    </row>
    <row r="3332" spans="1:7">
      <c r="A3332" s="26"/>
      <c r="B3332" s="78"/>
      <c r="C3332" s="26"/>
      <c r="D3332" s="26"/>
      <c r="E3332" s="26"/>
      <c r="F3332" s="26"/>
      <c r="G3332" s="26"/>
    </row>
    <row r="3333" spans="1:7">
      <c r="A3333" s="26"/>
      <c r="B3333" s="78"/>
      <c r="C3333" s="26"/>
      <c r="D3333" s="26"/>
      <c r="E3333" s="26"/>
      <c r="F3333" s="26"/>
      <c r="G3333" s="26"/>
    </row>
    <row r="3334" spans="1:7" ht="18.75">
      <c r="A3334" s="78" t="s">
        <v>7580</v>
      </c>
      <c r="B3334" s="26" t="s">
        <v>8983</v>
      </c>
      <c r="C3334" s="26"/>
      <c r="D3334" s="26"/>
      <c r="E3334" s="26"/>
      <c r="F3334" s="26"/>
      <c r="G3334" s="26"/>
    </row>
    <row r="3335" spans="1:7">
      <c r="A3335" s="78"/>
      <c r="B3335" s="26" t="s">
        <v>6509</v>
      </c>
      <c r="C3335" s="26"/>
      <c r="D3335" s="26"/>
      <c r="E3335" s="26"/>
      <c r="F3335" s="26"/>
      <c r="G3335" s="26"/>
    </row>
    <row r="3336" spans="1:7" ht="18.75">
      <c r="A3336" s="78"/>
      <c r="B3336" s="170" t="s">
        <v>8715</v>
      </c>
      <c r="C3336" s="26"/>
      <c r="D3336" s="26"/>
      <c r="E3336" s="26"/>
      <c r="F3336" s="26"/>
      <c r="G3336" s="26"/>
    </row>
    <row r="3337" spans="1:7">
      <c r="A3337" s="78"/>
      <c r="B3337" s="26"/>
      <c r="C3337" s="26"/>
      <c r="D3337" s="26"/>
      <c r="E3337" s="26"/>
      <c r="F3337" s="26"/>
      <c r="G3337" s="26"/>
    </row>
    <row r="3338" spans="1:7">
      <c r="A3338" s="78" t="s">
        <v>3984</v>
      </c>
      <c r="B3338" s="26" t="s">
        <v>5014</v>
      </c>
      <c r="C3338" s="26"/>
      <c r="D3338" s="26"/>
      <c r="E3338" s="78"/>
      <c r="F3338" s="26"/>
      <c r="G3338" s="26"/>
    </row>
    <row r="3339" spans="1:7">
      <c r="A3339" s="78"/>
      <c r="B3339" s="26" t="s">
        <v>1591</v>
      </c>
      <c r="C3339" s="26"/>
      <c r="D3339" s="68">
        <v>2.2000000000000002</v>
      </c>
      <c r="E3339" s="26" t="s">
        <v>3477</v>
      </c>
      <c r="F3339" s="26"/>
      <c r="G3339" s="26"/>
    </row>
    <row r="3340" spans="1:7">
      <c r="A3340" s="78"/>
      <c r="B3340" s="26" t="s">
        <v>3494</v>
      </c>
      <c r="C3340" s="26"/>
      <c r="D3340" s="26"/>
      <c r="E3340" s="26"/>
      <c r="F3340" s="26">
        <v>2.2000000000000002</v>
      </c>
      <c r="G3340" s="26" t="s">
        <v>3477</v>
      </c>
    </row>
    <row r="3341" spans="1:7">
      <c r="A3341" s="78"/>
      <c r="B3341" s="26" t="s">
        <v>6538</v>
      </c>
      <c r="C3341" s="26"/>
      <c r="D3341" s="26"/>
      <c r="E3341" s="26"/>
      <c r="F3341" s="26"/>
      <c r="G3341" s="26"/>
    </row>
    <row r="3342" spans="1:7">
      <c r="A3342" s="78"/>
      <c r="B3342" s="26" t="s">
        <v>6539</v>
      </c>
      <c r="C3342" s="26"/>
      <c r="D3342" s="78" t="s">
        <v>1697</v>
      </c>
      <c r="E3342" s="26">
        <v>20</v>
      </c>
      <c r="F3342" s="26" t="s">
        <v>1590</v>
      </c>
      <c r="G3342" s="26"/>
    </row>
    <row r="3343" spans="1:7">
      <c r="A3343" s="78"/>
      <c r="B3343" s="26" t="s">
        <v>5394</v>
      </c>
      <c r="C3343" s="26"/>
      <c r="D3343" s="78" t="s">
        <v>1697</v>
      </c>
      <c r="E3343" s="26">
        <v>10</v>
      </c>
      <c r="F3343" s="26" t="s">
        <v>1590</v>
      </c>
      <c r="G3343" s="26"/>
    </row>
    <row r="3344" spans="1:7">
      <c r="A3344" s="26"/>
      <c r="B3344" s="78"/>
      <c r="C3344" s="26"/>
      <c r="D3344" s="26"/>
      <c r="E3344" s="26"/>
      <c r="F3344" s="26"/>
      <c r="G3344" s="26"/>
    </row>
    <row r="3345" spans="1:7">
      <c r="A3345" s="26"/>
      <c r="B3345" s="78"/>
      <c r="C3345" s="26"/>
      <c r="D3345" s="26"/>
      <c r="E3345" s="26"/>
      <c r="F3345" s="26"/>
      <c r="G3345" s="26"/>
    </row>
    <row r="3346" spans="1:7">
      <c r="A3346" s="78" t="s">
        <v>3984</v>
      </c>
      <c r="B3346" s="78"/>
      <c r="C3346" s="203" t="s">
        <v>2367</v>
      </c>
      <c r="D3346" s="26"/>
      <c r="E3346" s="171" t="s">
        <v>297</v>
      </c>
      <c r="F3346" s="246">
        <v>100</v>
      </c>
      <c r="G3346" s="26" t="s">
        <v>3479</v>
      </c>
    </row>
    <row r="3347" spans="1:7">
      <c r="A3347" s="26"/>
      <c r="B3347" s="79" t="s">
        <v>2368</v>
      </c>
      <c r="C3347" s="26"/>
      <c r="D3347" s="26"/>
      <c r="E3347" s="26"/>
      <c r="F3347" s="26"/>
      <c r="G3347" s="26"/>
    </row>
    <row r="3348" spans="1:7">
      <c r="A3348" s="26"/>
      <c r="B3348" s="95" t="s">
        <v>2369</v>
      </c>
      <c r="C3348" s="157" t="s">
        <v>4443</v>
      </c>
      <c r="D3348" s="95" t="s">
        <v>2370</v>
      </c>
      <c r="E3348" s="95" t="s">
        <v>1166</v>
      </c>
      <c r="F3348" s="95" t="s">
        <v>2371</v>
      </c>
      <c r="G3348" s="95" t="s">
        <v>2372</v>
      </c>
    </row>
    <row r="3349" spans="1:7">
      <c r="A3349" s="26"/>
      <c r="B3349" s="114"/>
      <c r="C3349" s="154"/>
      <c r="D3349" s="114"/>
      <c r="E3349" s="114"/>
      <c r="F3349" s="114" t="s">
        <v>3485</v>
      </c>
      <c r="G3349" s="114" t="s">
        <v>3485</v>
      </c>
    </row>
    <row r="3350" spans="1:7">
      <c r="A3350" s="26"/>
      <c r="B3350" s="95">
        <v>1</v>
      </c>
      <c r="C3350" s="135" t="s">
        <v>5853</v>
      </c>
      <c r="D3350" s="95" t="s">
        <v>3478</v>
      </c>
      <c r="E3350" s="190">
        <v>788</v>
      </c>
      <c r="F3350" s="214">
        <f>'BASIC DATA'!$D$32/1000</f>
        <v>5.35</v>
      </c>
      <c r="G3350" s="190">
        <f>E3350*F3350</f>
        <v>4215.7999999999993</v>
      </c>
    </row>
    <row r="3351" spans="1:7">
      <c r="A3351" s="61"/>
      <c r="B3351" s="237">
        <v>2</v>
      </c>
      <c r="C3351" s="326" t="s">
        <v>6827</v>
      </c>
      <c r="D3351" s="240" t="s">
        <v>3477</v>
      </c>
      <c r="E3351" s="255">
        <v>2.2000000000000002</v>
      </c>
      <c r="F3351" s="266">
        <f>'BASIC DATA'!$D$57</f>
        <v>165</v>
      </c>
      <c r="G3351" s="255">
        <f>E3351*F3351</f>
        <v>363.00000000000006</v>
      </c>
    </row>
    <row r="3352" spans="1:7">
      <c r="A3352" s="26"/>
      <c r="B3352" s="93"/>
      <c r="C3352" s="187"/>
      <c r="D3352" s="187"/>
      <c r="E3352" s="331" t="s">
        <v>2375</v>
      </c>
      <c r="F3352" s="344" t="s">
        <v>1698</v>
      </c>
      <c r="G3352" s="179">
        <f>SUM(G3350:G3351)</f>
        <v>4578.7999999999993</v>
      </c>
    </row>
    <row r="3353" spans="1:7">
      <c r="A3353" s="26"/>
      <c r="B3353" s="93"/>
      <c r="C3353" s="31" t="s">
        <v>5017</v>
      </c>
      <c r="D3353" s="31"/>
      <c r="E3353" s="333">
        <v>2.5000000000000001E-2</v>
      </c>
      <c r="F3353" s="280" t="s">
        <v>1698</v>
      </c>
      <c r="G3353" s="190">
        <f>E3353*$G$3352</f>
        <v>114.46999999999998</v>
      </c>
    </row>
    <row r="3354" spans="1:7">
      <c r="A3354" s="26"/>
      <c r="B3354" s="93"/>
      <c r="C3354" s="31" t="s">
        <v>7018</v>
      </c>
      <c r="D3354" s="31" t="s">
        <v>4043</v>
      </c>
      <c r="E3354" s="198"/>
      <c r="F3354" s="275" t="s">
        <v>1698</v>
      </c>
      <c r="G3354" s="190"/>
    </row>
    <row r="3355" spans="1:7">
      <c r="A3355" s="26"/>
      <c r="B3355" s="92"/>
      <c r="C3355" s="193" t="s">
        <v>2376</v>
      </c>
      <c r="D3355" s="159"/>
      <c r="E3355" s="238"/>
      <c r="F3355" s="236" t="s">
        <v>1698</v>
      </c>
      <c r="G3355" s="318">
        <f>SUM(G3352:G3354)</f>
        <v>4693.2699999999995</v>
      </c>
    </row>
    <row r="3356" spans="1:7">
      <c r="A3356" s="26"/>
      <c r="B3356" s="78"/>
      <c r="C3356" s="26"/>
      <c r="D3356" s="26"/>
      <c r="E3356" s="26"/>
      <c r="F3356" s="26"/>
      <c r="G3356" s="68"/>
    </row>
    <row r="3357" spans="1:7">
      <c r="A3357" s="26"/>
      <c r="B3357" s="79" t="s">
        <v>2377</v>
      </c>
      <c r="C3357" s="26"/>
      <c r="D3357" s="26"/>
      <c r="E3357" s="26"/>
      <c r="F3357" s="26"/>
      <c r="G3357" s="26"/>
    </row>
    <row r="3358" spans="1:7">
      <c r="A3358" s="26"/>
      <c r="B3358" s="95" t="s">
        <v>2369</v>
      </c>
      <c r="C3358" s="157" t="s">
        <v>2378</v>
      </c>
      <c r="D3358" s="95" t="s">
        <v>2370</v>
      </c>
      <c r="E3358" s="95" t="s">
        <v>1166</v>
      </c>
      <c r="F3358" s="95" t="s">
        <v>2371</v>
      </c>
      <c r="G3358" s="95" t="s">
        <v>2372</v>
      </c>
    </row>
    <row r="3359" spans="1:7">
      <c r="A3359" s="26"/>
      <c r="B3359" s="114"/>
      <c r="C3359" s="154"/>
      <c r="D3359" s="114"/>
      <c r="E3359" s="114"/>
      <c r="F3359" s="114" t="s">
        <v>3485</v>
      </c>
      <c r="G3359" s="114" t="s">
        <v>3485</v>
      </c>
    </row>
    <row r="3360" spans="1:7">
      <c r="A3360" s="26"/>
      <c r="B3360" s="95">
        <v>1</v>
      </c>
      <c r="C3360" s="95" t="s">
        <v>4168</v>
      </c>
      <c r="D3360" s="175"/>
      <c r="E3360" s="179">
        <v>0</v>
      </c>
      <c r="F3360" s="190">
        <v>0</v>
      </c>
      <c r="G3360" s="190">
        <f>E3360*F3360</f>
        <v>0</v>
      </c>
    </row>
    <row r="3361" spans="1:7">
      <c r="A3361" s="26"/>
      <c r="B3361" s="365"/>
      <c r="C3361" s="114" t="s">
        <v>5018</v>
      </c>
      <c r="D3361" s="188"/>
      <c r="E3361" s="182">
        <v>0</v>
      </c>
      <c r="F3361" s="182">
        <v>0</v>
      </c>
      <c r="G3361" s="190">
        <f>E3361*F3361</f>
        <v>0</v>
      </c>
    </row>
    <row r="3362" spans="1:7">
      <c r="A3362" s="26"/>
      <c r="B3362" s="176"/>
      <c r="C3362" s="172" t="s">
        <v>2380</v>
      </c>
      <c r="D3362" s="174"/>
      <c r="E3362" s="192"/>
      <c r="F3362" s="275" t="s">
        <v>1698</v>
      </c>
      <c r="G3362" s="318">
        <f>SUM(G3360:G3361)</f>
        <v>0</v>
      </c>
    </row>
    <row r="3363" spans="1:7">
      <c r="A3363" s="26"/>
      <c r="B3363" s="78"/>
      <c r="C3363" s="26"/>
      <c r="D3363" s="26"/>
      <c r="E3363" s="26"/>
      <c r="F3363" s="26"/>
      <c r="G3363" s="26"/>
    </row>
    <row r="3364" spans="1:7">
      <c r="A3364" s="26"/>
      <c r="B3364" s="79" t="s">
        <v>2381</v>
      </c>
      <c r="C3364" s="26"/>
      <c r="D3364" s="26"/>
      <c r="E3364" s="26"/>
      <c r="F3364" s="26"/>
      <c r="G3364" s="26"/>
    </row>
    <row r="3365" spans="1:7">
      <c r="A3365" s="26"/>
      <c r="B3365" s="95" t="s">
        <v>2369</v>
      </c>
      <c r="C3365" s="157" t="s">
        <v>2378</v>
      </c>
      <c r="D3365" s="95" t="s">
        <v>2370</v>
      </c>
      <c r="E3365" s="95" t="s">
        <v>1166</v>
      </c>
      <c r="F3365" s="95" t="s">
        <v>2371</v>
      </c>
      <c r="G3365" s="95" t="s">
        <v>2372</v>
      </c>
    </row>
    <row r="3366" spans="1:7">
      <c r="A3366" s="26"/>
      <c r="B3366" s="114"/>
      <c r="C3366" s="154"/>
      <c r="D3366" s="105"/>
      <c r="E3366" s="105"/>
      <c r="F3366" s="105" t="s">
        <v>3485</v>
      </c>
      <c r="G3366" s="114" t="s">
        <v>3485</v>
      </c>
    </row>
    <row r="3367" spans="1:7">
      <c r="A3367" s="26"/>
      <c r="B3367" s="95">
        <v>1</v>
      </c>
      <c r="C3367" s="76" t="s">
        <v>5019</v>
      </c>
      <c r="D3367" s="95" t="s">
        <v>1172</v>
      </c>
      <c r="E3367" s="179">
        <v>15</v>
      </c>
      <c r="F3367" s="179">
        <f>'BASIC DATA'!$C$474</f>
        <v>445</v>
      </c>
      <c r="G3367" s="207">
        <f>E3367*F3367</f>
        <v>6675</v>
      </c>
    </row>
    <row r="3368" spans="1:7">
      <c r="A3368" s="26"/>
      <c r="B3368" s="105">
        <v>2</v>
      </c>
      <c r="C3368" s="76" t="s">
        <v>4206</v>
      </c>
      <c r="D3368" s="105" t="s">
        <v>1172</v>
      </c>
      <c r="E3368" s="190">
        <v>1</v>
      </c>
      <c r="F3368" s="190">
        <f>'BASIC DATA'!$C$473</f>
        <v>450</v>
      </c>
      <c r="G3368" s="207">
        <f>E3368*F3368</f>
        <v>450</v>
      </c>
    </row>
    <row r="3369" spans="1:7">
      <c r="A3369" s="26"/>
      <c r="B3369" s="114">
        <v>3</v>
      </c>
      <c r="C3369" s="89" t="s">
        <v>2697</v>
      </c>
      <c r="D3369" s="114" t="s">
        <v>1172</v>
      </c>
      <c r="E3369" s="182">
        <v>25</v>
      </c>
      <c r="F3369" s="182">
        <f>'BASIC DATA'!$C$552</f>
        <v>350</v>
      </c>
      <c r="G3369" s="207">
        <f>E3369*F3369</f>
        <v>8750</v>
      </c>
    </row>
    <row r="3370" spans="1:7">
      <c r="A3370" s="26"/>
      <c r="B3370" s="176"/>
      <c r="C3370" s="172" t="s">
        <v>1174</v>
      </c>
      <c r="D3370" s="174"/>
      <c r="E3370" s="192"/>
      <c r="F3370" s="275" t="s">
        <v>1698</v>
      </c>
      <c r="G3370" s="318">
        <f>SUM(G3367:G3369)</f>
        <v>15875</v>
      </c>
    </row>
    <row r="3371" spans="1:7">
      <c r="A3371" s="26"/>
      <c r="B3371" s="60" t="s">
        <v>5948</v>
      </c>
      <c r="C3371" s="31"/>
      <c r="D3371" s="31"/>
      <c r="E3371" s="85">
        <f>ROUND(G3370/F3346,1)</f>
        <v>158.80000000000001</v>
      </c>
      <c r="F3371" s="26"/>
      <c r="G3371" s="26"/>
    </row>
    <row r="3372" spans="1:7">
      <c r="A3372" s="26"/>
      <c r="B3372" s="60" t="s">
        <v>3163</v>
      </c>
      <c r="C3372" s="31"/>
      <c r="D3372" s="31">
        <f>'BASIC DATA'!$C$577</f>
        <v>0.13614999999999999</v>
      </c>
      <c r="E3372" s="85">
        <f>ROUND(E3371*D3372,1)</f>
        <v>21.6</v>
      </c>
      <c r="F3372" s="26"/>
      <c r="G3372" s="26"/>
    </row>
    <row r="3373" spans="1:7">
      <c r="A3373" s="26"/>
      <c r="B3373" s="60" t="s">
        <v>5949</v>
      </c>
      <c r="C3373" s="31"/>
      <c r="D3373" s="31"/>
      <c r="E3373" s="199">
        <f>ROUND(E3372+E3371,1)</f>
        <v>180.4</v>
      </c>
      <c r="F3373" s="56"/>
      <c r="G3373" s="26"/>
    </row>
    <row r="3374" spans="1:7">
      <c r="A3374" s="26"/>
      <c r="B3374" s="78"/>
      <c r="C3374" s="26"/>
      <c r="D3374" s="26"/>
      <c r="E3374" s="26"/>
      <c r="F3374" s="26"/>
      <c r="G3374" s="26"/>
    </row>
    <row r="3375" spans="1:7">
      <c r="A3375" s="26"/>
      <c r="B3375" s="170" t="s">
        <v>1175</v>
      </c>
      <c r="C3375" s="26"/>
      <c r="D3375" s="26"/>
      <c r="E3375" s="26"/>
      <c r="F3375" s="26"/>
      <c r="G3375" s="26"/>
    </row>
    <row r="3376" spans="1:7">
      <c r="A3376" s="26"/>
      <c r="B3376" s="26" t="s">
        <v>5010</v>
      </c>
      <c r="C3376" s="26"/>
      <c r="D3376" s="26"/>
      <c r="E3376" s="26"/>
      <c r="F3376" s="171" t="s">
        <v>1698</v>
      </c>
      <c r="G3376" s="68">
        <f>G3355</f>
        <v>4693.2699999999995</v>
      </c>
    </row>
    <row r="3377" spans="1:7">
      <c r="A3377" s="26"/>
      <c r="B3377" s="26" t="s">
        <v>1186</v>
      </c>
      <c r="C3377" s="26"/>
      <c r="D3377" s="26"/>
      <c r="E3377" s="26"/>
      <c r="F3377" s="171" t="s">
        <v>1698</v>
      </c>
      <c r="G3377" s="68">
        <f>G3362</f>
        <v>0</v>
      </c>
    </row>
    <row r="3378" spans="1:7">
      <c r="A3378" s="26"/>
      <c r="B3378" s="26" t="s">
        <v>2660</v>
      </c>
      <c r="C3378" s="26"/>
      <c r="D3378" s="26"/>
      <c r="E3378" s="26"/>
      <c r="F3378" s="171" t="s">
        <v>1698</v>
      </c>
      <c r="G3378" s="75">
        <f>G3370</f>
        <v>15875</v>
      </c>
    </row>
    <row r="3379" spans="1:7">
      <c r="A3379" s="26"/>
      <c r="B3379" s="78"/>
      <c r="C3379" s="26"/>
      <c r="D3379" s="26"/>
      <c r="E3379" s="171"/>
      <c r="F3379" s="171" t="s">
        <v>302</v>
      </c>
      <c r="G3379" s="205">
        <f>SUM(G3376:G3378)</f>
        <v>20568.27</v>
      </c>
    </row>
    <row r="3380" spans="1:7">
      <c r="A3380" s="26"/>
      <c r="B3380" s="1206" t="s">
        <v>1379</v>
      </c>
      <c r="C3380" s="1206"/>
      <c r="D3380" s="26"/>
      <c r="E3380" s="249">
        <f>'BASIC DATA'!$C$577</f>
        <v>0.13614999999999999</v>
      </c>
      <c r="F3380" s="26" t="s">
        <v>1698</v>
      </c>
      <c r="G3380" s="26">
        <f>ROUND(G3379*E3380,2)</f>
        <v>2800.37</v>
      </c>
    </row>
    <row r="3381" spans="1:7">
      <c r="A3381" s="26"/>
      <c r="B3381" s="26" t="s">
        <v>1191</v>
      </c>
      <c r="C3381" s="26"/>
      <c r="D3381" s="68">
        <f>F3346</f>
        <v>100</v>
      </c>
      <c r="E3381" s="68" t="str">
        <f>G3346</f>
        <v>sqm</v>
      </c>
      <c r="F3381" s="26" t="s">
        <v>1698</v>
      </c>
      <c r="G3381" s="170">
        <f>G3380+G3379</f>
        <v>23368.639999999999</v>
      </c>
    </row>
    <row r="3382" spans="1:7">
      <c r="A3382" s="26"/>
      <c r="B3382" s="170" t="s">
        <v>1584</v>
      </c>
      <c r="C3382" s="211" t="str">
        <f>E3381</f>
        <v>sqm</v>
      </c>
      <c r="D3382" s="26" t="s">
        <v>5882</v>
      </c>
      <c r="E3382" s="26"/>
      <c r="F3382" s="26" t="s">
        <v>4108</v>
      </c>
      <c r="G3382" s="211">
        <f>ROUND(G3381/D3381,1)</f>
        <v>233.7</v>
      </c>
    </row>
    <row r="3383" spans="1:7">
      <c r="A3383" s="26"/>
      <c r="B3383" s="78"/>
      <c r="C3383" s="26"/>
      <c r="D3383" s="26"/>
      <c r="E3383" s="26"/>
      <c r="F3383" s="26"/>
      <c r="G3383" s="26"/>
    </row>
    <row r="3384" spans="1:7">
      <c r="A3384" s="78" t="s">
        <v>7581</v>
      </c>
      <c r="B3384" s="170" t="s">
        <v>1413</v>
      </c>
      <c r="C3384" s="26"/>
      <c r="D3384" s="26"/>
      <c r="E3384" s="26"/>
      <c r="F3384" s="26"/>
      <c r="G3384" s="26"/>
    </row>
    <row r="3385" spans="1:7">
      <c r="A3385" s="78"/>
      <c r="B3385" s="26"/>
      <c r="C3385" s="26"/>
      <c r="D3385" s="26"/>
      <c r="E3385" s="26"/>
      <c r="F3385" s="26"/>
      <c r="G3385" s="26"/>
    </row>
    <row r="3386" spans="1:7" ht="18.75">
      <c r="A3386" s="78" t="s">
        <v>7582</v>
      </c>
      <c r="B3386" s="26" t="s">
        <v>8984</v>
      </c>
      <c r="C3386" s="26"/>
      <c r="D3386" s="26"/>
      <c r="E3386" s="26"/>
      <c r="F3386" s="26"/>
      <c r="G3386" s="26"/>
    </row>
    <row r="3387" spans="1:7">
      <c r="A3387" s="78"/>
      <c r="B3387" s="26" t="s">
        <v>8985</v>
      </c>
      <c r="C3387" s="26"/>
      <c r="D3387" s="26"/>
      <c r="E3387" s="26"/>
      <c r="F3387" s="26"/>
      <c r="G3387" s="26"/>
    </row>
    <row r="3388" spans="1:7" ht="18.75">
      <c r="A3388" s="78"/>
      <c r="B3388" s="26" t="s">
        <v>8986</v>
      </c>
      <c r="C3388" s="26"/>
      <c r="D3388" s="26"/>
      <c r="E3388" s="26"/>
      <c r="F3388" s="26"/>
      <c r="G3388" s="26"/>
    </row>
    <row r="3389" spans="1:7">
      <c r="A3389" s="78"/>
      <c r="B3389" s="170" t="s">
        <v>2735</v>
      </c>
      <c r="C3389" s="26"/>
      <c r="D3389" s="26"/>
      <c r="E3389" s="26"/>
      <c r="F3389" s="26"/>
      <c r="G3389" s="26"/>
    </row>
    <row r="3390" spans="1:7">
      <c r="A3390" s="78"/>
      <c r="B3390" s="170" t="s">
        <v>8050</v>
      </c>
      <c r="C3390" s="26"/>
      <c r="D3390" s="26"/>
      <c r="E3390" s="26"/>
      <c r="F3390" s="26"/>
      <c r="G3390" s="26"/>
    </row>
    <row r="3391" spans="1:7">
      <c r="A3391" s="78"/>
      <c r="B3391" s="170" t="s">
        <v>8051</v>
      </c>
      <c r="C3391" s="26"/>
      <c r="D3391" s="26"/>
      <c r="E3391" s="26"/>
      <c r="F3391" s="26"/>
      <c r="G3391" s="26"/>
    </row>
    <row r="3392" spans="1:7">
      <c r="A3392" s="78" t="s">
        <v>3984</v>
      </c>
      <c r="B3392" s="26" t="s">
        <v>3675</v>
      </c>
      <c r="C3392" s="26"/>
      <c r="D3392" s="26"/>
      <c r="E3392" s="78"/>
      <c r="F3392" s="26"/>
      <c r="G3392" s="26"/>
    </row>
    <row r="3393" spans="1:7">
      <c r="A3393" s="78"/>
      <c r="B3393" s="26" t="s">
        <v>7332</v>
      </c>
      <c r="C3393" s="26"/>
      <c r="D3393" s="26"/>
      <c r="E3393" s="68">
        <v>0.3</v>
      </c>
      <c r="F3393" s="26" t="s">
        <v>3477</v>
      </c>
      <c r="G3393" s="26"/>
    </row>
    <row r="3394" spans="1:7">
      <c r="A3394" s="62"/>
      <c r="B3394" s="61" t="s">
        <v>1592</v>
      </c>
      <c r="C3394" s="61"/>
      <c r="D3394" s="223">
        <v>10.5</v>
      </c>
      <c r="E3394" s="61" t="s">
        <v>3479</v>
      </c>
      <c r="F3394" s="61"/>
      <c r="G3394" s="61"/>
    </row>
    <row r="3395" spans="1:7">
      <c r="A3395" s="26"/>
      <c r="B3395" s="78"/>
      <c r="C3395" s="26"/>
      <c r="D3395" s="26"/>
      <c r="E3395" s="26"/>
      <c r="F3395" s="26"/>
      <c r="G3395" s="26"/>
    </row>
    <row r="3396" spans="1:7">
      <c r="A3396" s="78" t="s">
        <v>3984</v>
      </c>
      <c r="B3396" s="78"/>
      <c r="C3396" s="203" t="s">
        <v>2367</v>
      </c>
      <c r="D3396" s="26"/>
      <c r="E3396" s="171" t="s">
        <v>297</v>
      </c>
      <c r="F3396" s="246">
        <v>10</v>
      </c>
      <c r="G3396" s="26" t="s">
        <v>3479</v>
      </c>
    </row>
    <row r="3397" spans="1:7">
      <c r="A3397" s="26"/>
      <c r="B3397" s="79" t="s">
        <v>2368</v>
      </c>
      <c r="C3397" s="26"/>
      <c r="D3397" s="26"/>
      <c r="E3397" s="26"/>
      <c r="F3397" s="26"/>
      <c r="G3397" s="26"/>
    </row>
    <row r="3398" spans="1:7">
      <c r="A3398" s="26"/>
      <c r="B3398" s="95" t="s">
        <v>2369</v>
      </c>
      <c r="C3398" s="157" t="s">
        <v>4443</v>
      </c>
      <c r="D3398" s="95" t="s">
        <v>2370</v>
      </c>
      <c r="E3398" s="95" t="s">
        <v>1166</v>
      </c>
      <c r="F3398" s="95" t="s">
        <v>2371</v>
      </c>
      <c r="G3398" s="95" t="s">
        <v>2372</v>
      </c>
    </row>
    <row r="3399" spans="1:7">
      <c r="A3399" s="26"/>
      <c r="B3399" s="114"/>
      <c r="C3399" s="154"/>
      <c r="D3399" s="114"/>
      <c r="E3399" s="114"/>
      <c r="F3399" s="114" t="s">
        <v>3485</v>
      </c>
      <c r="G3399" s="114" t="s">
        <v>3485</v>
      </c>
    </row>
    <row r="3400" spans="1:7">
      <c r="A3400" s="26"/>
      <c r="B3400" s="95">
        <v>1</v>
      </c>
      <c r="C3400" s="135" t="s">
        <v>5853</v>
      </c>
      <c r="D3400" s="95" t="s">
        <v>3478</v>
      </c>
      <c r="E3400" s="190">
        <v>75</v>
      </c>
      <c r="F3400" s="214">
        <f>'BASIC DATA'!$D$32/1000</f>
        <v>5.35</v>
      </c>
      <c r="G3400" s="190">
        <f>E3400*F3400</f>
        <v>401.25</v>
      </c>
    </row>
    <row r="3401" spans="1:7">
      <c r="A3401" s="61"/>
      <c r="B3401" s="240">
        <v>2</v>
      </c>
      <c r="C3401" s="326" t="s">
        <v>6827</v>
      </c>
      <c r="D3401" s="240" t="s">
        <v>3477</v>
      </c>
      <c r="E3401" s="255">
        <v>0.3</v>
      </c>
      <c r="F3401" s="266">
        <f>'BASIC DATA'!$D$57</f>
        <v>165</v>
      </c>
      <c r="G3401" s="255">
        <f>E3401*F3401</f>
        <v>49.5</v>
      </c>
    </row>
    <row r="3402" spans="1:7">
      <c r="A3402" s="26"/>
      <c r="B3402" s="114">
        <v>3</v>
      </c>
      <c r="C3402" s="139" t="s">
        <v>5731</v>
      </c>
      <c r="D3402" s="114" t="s">
        <v>3479</v>
      </c>
      <c r="E3402" s="182">
        <v>10.5</v>
      </c>
      <c r="F3402" s="215">
        <f>'BASIC DATA'!$D$31</f>
        <v>320</v>
      </c>
      <c r="G3402" s="182">
        <f>E3402*F3402</f>
        <v>3360</v>
      </c>
    </row>
    <row r="3403" spans="1:7">
      <c r="A3403" s="26"/>
      <c r="B3403" s="93"/>
      <c r="C3403" s="31" t="s">
        <v>7019</v>
      </c>
      <c r="D3403" s="31" t="s">
        <v>4043</v>
      </c>
      <c r="E3403" s="333"/>
      <c r="F3403" s="280" t="s">
        <v>1698</v>
      </c>
      <c r="G3403" s="190">
        <v>0</v>
      </c>
    </row>
    <row r="3404" spans="1:7">
      <c r="A3404" s="26"/>
      <c r="B3404" s="93"/>
      <c r="C3404" s="31" t="s">
        <v>7018</v>
      </c>
      <c r="D3404" s="31" t="s">
        <v>4043</v>
      </c>
      <c r="E3404" s="198"/>
      <c r="F3404" s="275" t="s">
        <v>1698</v>
      </c>
      <c r="G3404" s="190">
        <v>0</v>
      </c>
    </row>
    <row r="3405" spans="1:7">
      <c r="A3405" s="26"/>
      <c r="B3405" s="92"/>
      <c r="C3405" s="193" t="s">
        <v>2376</v>
      </c>
      <c r="D3405" s="159"/>
      <c r="E3405" s="238"/>
      <c r="F3405" s="236" t="s">
        <v>1698</v>
      </c>
      <c r="G3405" s="318">
        <f>SUM(G3400:G3404)</f>
        <v>3810.75</v>
      </c>
    </row>
    <row r="3406" spans="1:7">
      <c r="A3406" s="26"/>
      <c r="B3406" s="78"/>
      <c r="C3406" s="26"/>
      <c r="D3406" s="26"/>
      <c r="E3406" s="26"/>
      <c r="F3406" s="26"/>
      <c r="G3406" s="68"/>
    </row>
    <row r="3407" spans="1:7">
      <c r="A3407" s="26"/>
      <c r="B3407" s="79" t="s">
        <v>2377</v>
      </c>
      <c r="C3407" s="26"/>
      <c r="D3407" s="26"/>
      <c r="E3407" s="26"/>
      <c r="F3407" s="26"/>
      <c r="G3407" s="26"/>
    </row>
    <row r="3408" spans="1:7">
      <c r="A3408" s="26"/>
      <c r="B3408" s="95" t="s">
        <v>2369</v>
      </c>
      <c r="C3408" s="157" t="s">
        <v>2378</v>
      </c>
      <c r="D3408" s="95" t="s">
        <v>2370</v>
      </c>
      <c r="E3408" s="95" t="s">
        <v>1166</v>
      </c>
      <c r="F3408" s="95" t="s">
        <v>2371</v>
      </c>
      <c r="G3408" s="95" t="s">
        <v>2372</v>
      </c>
    </row>
    <row r="3409" spans="1:7">
      <c r="A3409" s="26"/>
      <c r="B3409" s="114"/>
      <c r="C3409" s="154"/>
      <c r="D3409" s="114"/>
      <c r="E3409" s="114"/>
      <c r="F3409" s="114" t="s">
        <v>3485</v>
      </c>
      <c r="G3409" s="114" t="s">
        <v>3485</v>
      </c>
    </row>
    <row r="3410" spans="1:7">
      <c r="A3410" s="26"/>
      <c r="B3410" s="95">
        <v>1</v>
      </c>
      <c r="C3410" s="95" t="s">
        <v>4168</v>
      </c>
      <c r="D3410" s="175"/>
      <c r="E3410" s="179">
        <v>0</v>
      </c>
      <c r="F3410" s="190">
        <v>0</v>
      </c>
      <c r="G3410" s="190">
        <f>E3410*F3410</f>
        <v>0</v>
      </c>
    </row>
    <row r="3411" spans="1:7">
      <c r="A3411" s="26"/>
      <c r="B3411" s="365"/>
      <c r="C3411" s="114" t="s">
        <v>5018</v>
      </c>
      <c r="D3411" s="188"/>
      <c r="E3411" s="182">
        <v>0</v>
      </c>
      <c r="F3411" s="182">
        <v>0</v>
      </c>
      <c r="G3411" s="190">
        <f>E3411*F3411</f>
        <v>0</v>
      </c>
    </row>
    <row r="3412" spans="1:7">
      <c r="A3412" s="26"/>
      <c r="B3412" s="176"/>
      <c r="C3412" s="172" t="s">
        <v>2380</v>
      </c>
      <c r="D3412" s="174"/>
      <c r="E3412" s="192"/>
      <c r="F3412" s="275" t="s">
        <v>1698</v>
      </c>
      <c r="G3412" s="318">
        <f>SUM(G3410:G3411)</f>
        <v>0</v>
      </c>
    </row>
    <row r="3413" spans="1:7">
      <c r="A3413" s="26"/>
      <c r="B3413" s="78"/>
      <c r="C3413" s="26"/>
      <c r="D3413" s="26"/>
      <c r="E3413" s="26"/>
      <c r="F3413" s="26"/>
      <c r="G3413" s="26"/>
    </row>
    <row r="3414" spans="1:7">
      <c r="A3414" s="26"/>
      <c r="B3414" s="79" t="s">
        <v>2381</v>
      </c>
      <c r="C3414" s="26"/>
      <c r="D3414" s="26"/>
      <c r="E3414" s="26"/>
      <c r="F3414" s="26"/>
      <c r="G3414" s="26"/>
    </row>
    <row r="3415" spans="1:7">
      <c r="A3415" s="26"/>
      <c r="B3415" s="95" t="s">
        <v>2369</v>
      </c>
      <c r="C3415" s="157" t="s">
        <v>2378</v>
      </c>
      <c r="D3415" s="95" t="s">
        <v>2370</v>
      </c>
      <c r="E3415" s="95" t="s">
        <v>1166</v>
      </c>
      <c r="F3415" s="95" t="s">
        <v>2371</v>
      </c>
      <c r="G3415" s="95" t="s">
        <v>2372</v>
      </c>
    </row>
    <row r="3416" spans="1:7">
      <c r="A3416" s="26"/>
      <c r="B3416" s="114"/>
      <c r="C3416" s="154"/>
      <c r="D3416" s="105"/>
      <c r="E3416" s="105"/>
      <c r="F3416" s="105" t="s">
        <v>3485</v>
      </c>
      <c r="G3416" s="114" t="s">
        <v>3485</v>
      </c>
    </row>
    <row r="3417" spans="1:7">
      <c r="A3417" s="26"/>
      <c r="B3417" s="95">
        <v>1</v>
      </c>
      <c r="C3417" s="76" t="s">
        <v>4203</v>
      </c>
      <c r="D3417" s="95" t="s">
        <v>1172</v>
      </c>
      <c r="E3417" s="179">
        <v>1</v>
      </c>
      <c r="F3417" s="179">
        <f>'BASIC DATA'!$C$541</f>
        <v>400</v>
      </c>
      <c r="G3417" s="207">
        <f>E3417*F3417</f>
        <v>400</v>
      </c>
    </row>
    <row r="3418" spans="1:7">
      <c r="A3418" s="26"/>
      <c r="B3418" s="105">
        <v>2</v>
      </c>
      <c r="C3418" s="76" t="s">
        <v>5610</v>
      </c>
      <c r="D3418" s="105" t="s">
        <v>1172</v>
      </c>
      <c r="E3418" s="190">
        <v>1</v>
      </c>
      <c r="F3418" s="190">
        <f>'BASIC DATA'!$C$545</f>
        <v>400</v>
      </c>
      <c r="G3418" s="207">
        <f>E3418*F3418</f>
        <v>400</v>
      </c>
    </row>
    <row r="3419" spans="1:7">
      <c r="A3419" s="26"/>
      <c r="B3419" s="105">
        <v>3</v>
      </c>
      <c r="C3419" s="76" t="s">
        <v>4206</v>
      </c>
      <c r="D3419" s="105" t="s">
        <v>1172</v>
      </c>
      <c r="E3419" s="190">
        <v>0.5</v>
      </c>
      <c r="F3419" s="190">
        <f>'BASIC DATA'!$C$473</f>
        <v>450</v>
      </c>
      <c r="G3419" s="207">
        <f>E3419*F3419</f>
        <v>225</v>
      </c>
    </row>
    <row r="3420" spans="1:7">
      <c r="A3420" s="26"/>
      <c r="B3420" s="105">
        <v>4</v>
      </c>
      <c r="C3420" s="76" t="s">
        <v>2697</v>
      </c>
      <c r="D3420" s="105" t="s">
        <v>1172</v>
      </c>
      <c r="E3420" s="190">
        <v>2</v>
      </c>
      <c r="F3420" s="190">
        <f>'BASIC DATA'!$C$552</f>
        <v>350</v>
      </c>
      <c r="G3420" s="207">
        <f>E3420*F3420</f>
        <v>700</v>
      </c>
    </row>
    <row r="3421" spans="1:7">
      <c r="A3421" s="26"/>
      <c r="B3421" s="176"/>
      <c r="C3421" s="172" t="s">
        <v>1174</v>
      </c>
      <c r="D3421" s="174"/>
      <c r="E3421" s="192"/>
      <c r="F3421" s="236" t="s">
        <v>1698</v>
      </c>
      <c r="G3421" s="318">
        <f>SUM(G3417:G3420)</f>
        <v>1725</v>
      </c>
    </row>
    <row r="3422" spans="1:7">
      <c r="A3422" s="26"/>
      <c r="B3422" s="60" t="s">
        <v>5948</v>
      </c>
      <c r="C3422" s="31"/>
      <c r="D3422" s="31"/>
      <c r="E3422" s="85">
        <f>ROUND(G3421/F3396,1)</f>
        <v>172.5</v>
      </c>
      <c r="F3422" s="26"/>
      <c r="G3422" s="26"/>
    </row>
    <row r="3423" spans="1:7">
      <c r="A3423" s="26"/>
      <c r="B3423" s="60" t="s">
        <v>3163</v>
      </c>
      <c r="C3423" s="31"/>
      <c r="D3423" s="31">
        <f>'BASIC DATA'!$C$577</f>
        <v>0.13614999999999999</v>
      </c>
      <c r="E3423" s="85">
        <f>ROUND(E3422*D3423,1)</f>
        <v>23.5</v>
      </c>
      <c r="F3423" s="26"/>
      <c r="G3423" s="26"/>
    </row>
    <row r="3424" spans="1:7">
      <c r="A3424" s="26"/>
      <c r="B3424" s="60" t="s">
        <v>5949</v>
      </c>
      <c r="C3424" s="31"/>
      <c r="D3424" s="31"/>
      <c r="E3424" s="199">
        <f>ROUND(E3423+E3422,1)</f>
        <v>196</v>
      </c>
      <c r="F3424" s="56"/>
      <c r="G3424" s="26"/>
    </row>
    <row r="3425" spans="1:7">
      <c r="A3425" s="26"/>
      <c r="B3425" s="78"/>
      <c r="C3425" s="26"/>
      <c r="D3425" s="26"/>
      <c r="E3425" s="26"/>
      <c r="F3425" s="26"/>
      <c r="G3425" s="26"/>
    </row>
    <row r="3426" spans="1:7">
      <c r="A3426" s="26"/>
      <c r="B3426" s="170" t="s">
        <v>1175</v>
      </c>
      <c r="C3426" s="26"/>
      <c r="D3426" s="26"/>
      <c r="E3426" s="26"/>
      <c r="F3426" s="26"/>
      <c r="G3426" s="26"/>
    </row>
    <row r="3427" spans="1:7">
      <c r="A3427" s="26"/>
      <c r="B3427" s="26" t="s">
        <v>5010</v>
      </c>
      <c r="C3427" s="26"/>
      <c r="D3427" s="26"/>
      <c r="E3427" s="26"/>
      <c r="F3427" s="171" t="s">
        <v>1698</v>
      </c>
      <c r="G3427" s="68">
        <f>G3405</f>
        <v>3810.75</v>
      </c>
    </row>
    <row r="3428" spans="1:7">
      <c r="A3428" s="26"/>
      <c r="B3428" s="26" t="s">
        <v>1186</v>
      </c>
      <c r="C3428" s="26"/>
      <c r="D3428" s="26"/>
      <c r="E3428" s="26"/>
      <c r="F3428" s="171" t="s">
        <v>1698</v>
      </c>
      <c r="G3428" s="68">
        <f>G3412</f>
        <v>0</v>
      </c>
    </row>
    <row r="3429" spans="1:7">
      <c r="A3429" s="26"/>
      <c r="B3429" s="26" t="s">
        <v>2660</v>
      </c>
      <c r="C3429" s="26"/>
      <c r="D3429" s="26"/>
      <c r="E3429" s="26"/>
      <c r="F3429" s="171" t="s">
        <v>1698</v>
      </c>
      <c r="G3429" s="75">
        <f>G3421</f>
        <v>1725</v>
      </c>
    </row>
    <row r="3430" spans="1:7">
      <c r="A3430" s="26"/>
      <c r="B3430" s="78"/>
      <c r="C3430" s="26"/>
      <c r="D3430" s="26"/>
      <c r="E3430" s="171"/>
      <c r="F3430" s="171" t="s">
        <v>302</v>
      </c>
      <c r="G3430" s="205">
        <f>SUM(G3427:G3429)</f>
        <v>5535.75</v>
      </c>
    </row>
    <row r="3431" spans="1:7">
      <c r="A3431" s="26"/>
      <c r="B3431" s="1206" t="s">
        <v>1379</v>
      </c>
      <c r="C3431" s="1206"/>
      <c r="D3431" s="26"/>
      <c r="E3431" s="249">
        <f>'BASIC DATA'!$C$577</f>
        <v>0.13614999999999999</v>
      </c>
      <c r="F3431" s="26" t="s">
        <v>1698</v>
      </c>
      <c r="G3431" s="26">
        <f>ROUND(G3430*E3431,2)</f>
        <v>753.69</v>
      </c>
    </row>
    <row r="3432" spans="1:7">
      <c r="A3432" s="26"/>
      <c r="B3432" s="26" t="s">
        <v>1191</v>
      </c>
      <c r="C3432" s="26"/>
      <c r="D3432" s="68">
        <f>F3396</f>
        <v>10</v>
      </c>
      <c r="E3432" s="68" t="str">
        <f>G3396</f>
        <v>sqm</v>
      </c>
      <c r="F3432" s="26" t="s">
        <v>1698</v>
      </c>
      <c r="G3432" s="170">
        <f>G3431+G3430</f>
        <v>6289.4400000000005</v>
      </c>
    </row>
    <row r="3433" spans="1:7">
      <c r="A3433" s="26"/>
      <c r="B3433" s="170" t="s">
        <v>1584</v>
      </c>
      <c r="C3433" s="211" t="str">
        <f>E3432</f>
        <v>sqm</v>
      </c>
      <c r="D3433" s="26" t="s">
        <v>5891</v>
      </c>
      <c r="E3433" s="26"/>
      <c r="F3433" s="26" t="s">
        <v>4108</v>
      </c>
      <c r="G3433" s="211">
        <f>ROUND(G3432/D3432,1)</f>
        <v>628.9</v>
      </c>
    </row>
    <row r="3434" spans="1:7">
      <c r="A3434" s="26"/>
      <c r="B3434" s="78"/>
      <c r="C3434" s="26"/>
      <c r="D3434" s="26"/>
      <c r="E3434" s="26"/>
      <c r="F3434" s="26"/>
      <c r="G3434" s="26"/>
    </row>
    <row r="3435" spans="1:7">
      <c r="A3435" s="26"/>
      <c r="B3435" s="78"/>
      <c r="C3435" s="26"/>
      <c r="D3435" s="26"/>
      <c r="E3435" s="26"/>
      <c r="F3435" s="26"/>
      <c r="G3435" s="26"/>
    </row>
    <row r="3436" spans="1:7" ht="18.75">
      <c r="A3436" s="78" t="s">
        <v>7583</v>
      </c>
      <c r="B3436" s="26" t="s">
        <v>8987</v>
      </c>
      <c r="C3436" s="26"/>
      <c r="D3436" s="26"/>
      <c r="E3436" s="26"/>
      <c r="F3436" s="26"/>
      <c r="G3436" s="26"/>
    </row>
    <row r="3437" spans="1:7">
      <c r="A3437" s="78"/>
      <c r="B3437" s="26" t="s">
        <v>8985</v>
      </c>
      <c r="C3437" s="26"/>
      <c r="D3437" s="26"/>
      <c r="E3437" s="26"/>
      <c r="F3437" s="26"/>
      <c r="G3437" s="26"/>
    </row>
    <row r="3438" spans="1:7" ht="18.75">
      <c r="A3438" s="78"/>
      <c r="B3438" s="26" t="s">
        <v>8986</v>
      </c>
      <c r="C3438" s="26"/>
      <c r="D3438" s="26"/>
      <c r="E3438" s="26"/>
      <c r="F3438" s="26"/>
      <c r="G3438" s="26"/>
    </row>
    <row r="3439" spans="1:7">
      <c r="A3439" s="78"/>
      <c r="B3439" s="170" t="s">
        <v>2735</v>
      </c>
      <c r="C3439" s="26"/>
      <c r="D3439" s="26"/>
      <c r="E3439" s="26"/>
      <c r="F3439" s="26"/>
      <c r="G3439" s="26"/>
    </row>
    <row r="3440" spans="1:7">
      <c r="A3440" s="78"/>
      <c r="B3440" s="170" t="s">
        <v>5946</v>
      </c>
      <c r="C3440" s="26"/>
      <c r="D3440" s="26"/>
      <c r="E3440" s="26"/>
      <c r="F3440" s="26"/>
      <c r="G3440" s="26"/>
    </row>
    <row r="3441" spans="1:7">
      <c r="A3441" s="78"/>
      <c r="B3441" s="170" t="s">
        <v>5947</v>
      </c>
      <c r="C3441" s="26"/>
      <c r="D3441" s="26"/>
      <c r="E3441" s="26"/>
      <c r="F3441" s="26"/>
      <c r="G3441" s="26"/>
    </row>
    <row r="3442" spans="1:7">
      <c r="A3442" s="78" t="s">
        <v>3984</v>
      </c>
      <c r="B3442" s="26" t="s">
        <v>3675</v>
      </c>
      <c r="C3442" s="26"/>
      <c r="D3442" s="26"/>
      <c r="E3442" s="78"/>
      <c r="F3442" s="26"/>
      <c r="G3442" s="26"/>
    </row>
    <row r="3443" spans="1:7">
      <c r="A3443" s="78"/>
      <c r="B3443" s="26" t="s">
        <v>7333</v>
      </c>
      <c r="C3443" s="26"/>
      <c r="D3443" s="26"/>
      <c r="E3443" s="26"/>
      <c r="F3443" s="26"/>
      <c r="G3443" s="26"/>
    </row>
    <row r="3444" spans="1:7">
      <c r="A3444" s="78"/>
      <c r="B3444" s="26" t="s">
        <v>3676</v>
      </c>
      <c r="C3444" s="26"/>
      <c r="D3444" s="26"/>
      <c r="E3444" s="26"/>
      <c r="F3444" s="26"/>
      <c r="G3444" s="26"/>
    </row>
    <row r="3445" spans="1:7">
      <c r="A3445" s="26"/>
      <c r="B3445" s="78"/>
      <c r="C3445" s="26"/>
      <c r="D3445" s="26"/>
      <c r="E3445" s="26"/>
      <c r="F3445" s="26"/>
      <c r="G3445" s="26"/>
    </row>
    <row r="3446" spans="1:7">
      <c r="A3446" s="78" t="s">
        <v>3984</v>
      </c>
      <c r="B3446" s="78"/>
      <c r="C3446" s="203" t="s">
        <v>2367</v>
      </c>
      <c r="D3446" s="26"/>
      <c r="E3446" s="171" t="s">
        <v>297</v>
      </c>
      <c r="F3446" s="246">
        <v>10</v>
      </c>
      <c r="G3446" s="26" t="s">
        <v>3479</v>
      </c>
    </row>
    <row r="3447" spans="1:7">
      <c r="A3447" s="26"/>
      <c r="B3447" s="79" t="s">
        <v>2368</v>
      </c>
      <c r="C3447" s="26"/>
      <c r="D3447" s="26"/>
      <c r="E3447" s="26"/>
      <c r="F3447" s="26"/>
      <c r="G3447" s="26"/>
    </row>
    <row r="3448" spans="1:7">
      <c r="A3448" s="26"/>
      <c r="B3448" s="95" t="s">
        <v>2369</v>
      </c>
      <c r="C3448" s="157" t="s">
        <v>4443</v>
      </c>
      <c r="D3448" s="95" t="s">
        <v>2370</v>
      </c>
      <c r="E3448" s="95" t="s">
        <v>1166</v>
      </c>
      <c r="F3448" s="95" t="s">
        <v>2371</v>
      </c>
      <c r="G3448" s="95" t="s">
        <v>2372</v>
      </c>
    </row>
    <row r="3449" spans="1:7">
      <c r="A3449" s="26"/>
      <c r="B3449" s="114"/>
      <c r="C3449" s="154"/>
      <c r="D3449" s="114"/>
      <c r="E3449" s="114"/>
      <c r="F3449" s="114" t="s">
        <v>3485</v>
      </c>
      <c r="G3449" s="114" t="s">
        <v>3485</v>
      </c>
    </row>
    <row r="3450" spans="1:7">
      <c r="A3450" s="26"/>
      <c r="B3450" s="95">
        <v>1</v>
      </c>
      <c r="C3450" s="135" t="s">
        <v>5853</v>
      </c>
      <c r="D3450" s="95" t="s">
        <v>3478</v>
      </c>
      <c r="E3450" s="190">
        <v>75</v>
      </c>
      <c r="F3450" s="214">
        <f>'BASIC DATA'!$D$32/1000</f>
        <v>5.35</v>
      </c>
      <c r="G3450" s="190">
        <f>E3450*F3450</f>
        <v>401.25</v>
      </c>
    </row>
    <row r="3451" spans="1:7">
      <c r="A3451" s="61"/>
      <c r="B3451" s="240">
        <v>2</v>
      </c>
      <c r="C3451" s="326" t="s">
        <v>6827</v>
      </c>
      <c r="D3451" s="240" t="s">
        <v>3477</v>
      </c>
      <c r="E3451" s="255">
        <v>0.3</v>
      </c>
      <c r="F3451" s="266">
        <f>'BASIC DATA'!$D$57</f>
        <v>165</v>
      </c>
      <c r="G3451" s="255">
        <f>E3451*F3451</f>
        <v>49.5</v>
      </c>
    </row>
    <row r="3452" spans="1:7">
      <c r="A3452" s="26"/>
      <c r="B3452" s="114">
        <v>3</v>
      </c>
      <c r="C3452" s="139" t="s">
        <v>5731</v>
      </c>
      <c r="D3452" s="114" t="s">
        <v>3479</v>
      </c>
      <c r="E3452" s="182">
        <v>10.5</v>
      </c>
      <c r="F3452" s="215">
        <f>'BASIC DATA'!$D$31</f>
        <v>320</v>
      </c>
      <c r="G3452" s="182">
        <f>E3452*F3452</f>
        <v>3360</v>
      </c>
    </row>
    <row r="3453" spans="1:7">
      <c r="A3453" s="26"/>
      <c r="B3453" s="93"/>
      <c r="C3453" s="31" t="s">
        <v>7019</v>
      </c>
      <c r="D3453" s="31" t="s">
        <v>4043</v>
      </c>
      <c r="E3453" s="333"/>
      <c r="F3453" s="280" t="s">
        <v>1698</v>
      </c>
      <c r="G3453" s="190">
        <v>0</v>
      </c>
    </row>
    <row r="3454" spans="1:7">
      <c r="A3454" s="26"/>
      <c r="B3454" s="93"/>
      <c r="C3454" s="31" t="s">
        <v>7018</v>
      </c>
      <c r="D3454" s="31" t="s">
        <v>4043</v>
      </c>
      <c r="E3454" s="198"/>
      <c r="F3454" s="275" t="s">
        <v>1698</v>
      </c>
      <c r="G3454" s="190">
        <v>0</v>
      </c>
    </row>
    <row r="3455" spans="1:7">
      <c r="A3455" s="26"/>
      <c r="B3455" s="92"/>
      <c r="C3455" s="193" t="s">
        <v>2376</v>
      </c>
      <c r="D3455" s="159"/>
      <c r="E3455" s="238"/>
      <c r="F3455" s="236" t="s">
        <v>1698</v>
      </c>
      <c r="G3455" s="318">
        <f>SUM(G3450:G3454)</f>
        <v>3810.75</v>
      </c>
    </row>
    <row r="3456" spans="1:7">
      <c r="A3456" s="26"/>
      <c r="B3456" s="78"/>
      <c r="C3456" s="26"/>
      <c r="D3456" s="26"/>
      <c r="E3456" s="26"/>
      <c r="F3456" s="26"/>
      <c r="G3456" s="68"/>
    </row>
    <row r="3457" spans="1:7">
      <c r="A3457" s="26"/>
      <c r="B3457" s="79" t="s">
        <v>2377</v>
      </c>
      <c r="C3457" s="26"/>
      <c r="D3457" s="26"/>
      <c r="E3457" s="26"/>
      <c r="F3457" s="26"/>
      <c r="G3457" s="26"/>
    </row>
    <row r="3458" spans="1:7">
      <c r="A3458" s="26"/>
      <c r="B3458" s="95" t="s">
        <v>2369</v>
      </c>
      <c r="C3458" s="157" t="s">
        <v>2378</v>
      </c>
      <c r="D3458" s="95" t="s">
        <v>2370</v>
      </c>
      <c r="E3458" s="95" t="s">
        <v>1166</v>
      </c>
      <c r="F3458" s="95" t="s">
        <v>2371</v>
      </c>
      <c r="G3458" s="95" t="s">
        <v>2372</v>
      </c>
    </row>
    <row r="3459" spans="1:7">
      <c r="A3459" s="26"/>
      <c r="B3459" s="114"/>
      <c r="C3459" s="154"/>
      <c r="D3459" s="114"/>
      <c r="E3459" s="114"/>
      <c r="F3459" s="114" t="s">
        <v>3485</v>
      </c>
      <c r="G3459" s="114" t="s">
        <v>3485</v>
      </c>
    </row>
    <row r="3460" spans="1:7">
      <c r="A3460" s="26"/>
      <c r="B3460" s="95">
        <v>1</v>
      </c>
      <c r="C3460" s="95" t="s">
        <v>4168</v>
      </c>
      <c r="D3460" s="175"/>
      <c r="E3460" s="179">
        <v>0</v>
      </c>
      <c r="F3460" s="190">
        <v>0</v>
      </c>
      <c r="G3460" s="190">
        <f>E3460*F3460</f>
        <v>0</v>
      </c>
    </row>
    <row r="3461" spans="1:7">
      <c r="A3461" s="26"/>
      <c r="B3461" s="365"/>
      <c r="C3461" s="114" t="s">
        <v>5018</v>
      </c>
      <c r="D3461" s="188"/>
      <c r="E3461" s="182">
        <v>0</v>
      </c>
      <c r="F3461" s="182">
        <v>0</v>
      </c>
      <c r="G3461" s="182">
        <f>E3461*F3461</f>
        <v>0</v>
      </c>
    </row>
    <row r="3462" spans="1:7">
      <c r="A3462" s="26"/>
      <c r="B3462" s="176"/>
      <c r="C3462" s="172" t="s">
        <v>2380</v>
      </c>
      <c r="D3462" s="174"/>
      <c r="E3462" s="192"/>
      <c r="F3462" s="275" t="s">
        <v>1698</v>
      </c>
      <c r="G3462" s="434">
        <f>SUM(G3460:G3461)</f>
        <v>0</v>
      </c>
    </row>
    <row r="3463" spans="1:7">
      <c r="A3463" s="26"/>
      <c r="B3463" s="78"/>
      <c r="C3463" s="26"/>
      <c r="D3463" s="26"/>
      <c r="E3463" s="26"/>
      <c r="F3463" s="26"/>
      <c r="G3463" s="26"/>
    </row>
    <row r="3464" spans="1:7">
      <c r="A3464" s="26"/>
      <c r="B3464" s="79" t="s">
        <v>2381</v>
      </c>
      <c r="C3464" s="26"/>
      <c r="D3464" s="26"/>
      <c r="E3464" s="26"/>
      <c r="F3464" s="26"/>
      <c r="G3464" s="26"/>
    </row>
    <row r="3465" spans="1:7">
      <c r="A3465" s="26"/>
      <c r="B3465" s="95" t="s">
        <v>2369</v>
      </c>
      <c r="C3465" s="157" t="s">
        <v>2378</v>
      </c>
      <c r="D3465" s="95" t="s">
        <v>2370</v>
      </c>
      <c r="E3465" s="95" t="s">
        <v>1166</v>
      </c>
      <c r="F3465" s="95" t="s">
        <v>2371</v>
      </c>
      <c r="G3465" s="95" t="s">
        <v>2372</v>
      </c>
    </row>
    <row r="3466" spans="1:7">
      <c r="A3466" s="26"/>
      <c r="B3466" s="114"/>
      <c r="C3466" s="154"/>
      <c r="D3466" s="105"/>
      <c r="E3466" s="105"/>
      <c r="F3466" s="105" t="s">
        <v>3485</v>
      </c>
      <c r="G3466" s="114" t="s">
        <v>3485</v>
      </c>
    </row>
    <row r="3467" spans="1:7">
      <c r="A3467" s="26"/>
      <c r="B3467" s="95">
        <v>1</v>
      </c>
      <c r="C3467" s="76" t="s">
        <v>4203</v>
      </c>
      <c r="D3467" s="95" t="s">
        <v>1172</v>
      </c>
      <c r="E3467" s="179">
        <v>1</v>
      </c>
      <c r="F3467" s="179">
        <f>'BASIC DATA'!$C$541</f>
        <v>400</v>
      </c>
      <c r="G3467" s="207">
        <f>E3467*F3467</f>
        <v>400</v>
      </c>
    </row>
    <row r="3468" spans="1:7">
      <c r="A3468" s="26"/>
      <c r="B3468" s="105">
        <v>2</v>
      </c>
      <c r="C3468" s="76" t="s">
        <v>5609</v>
      </c>
      <c r="D3468" s="105" t="s">
        <v>1172</v>
      </c>
      <c r="E3468" s="190">
        <v>4</v>
      </c>
      <c r="F3468" s="190">
        <f>'BASIC DATA'!$C$502</f>
        <v>445</v>
      </c>
      <c r="G3468" s="207">
        <f>E3468*F3468</f>
        <v>1780</v>
      </c>
    </row>
    <row r="3469" spans="1:7">
      <c r="A3469" s="26"/>
      <c r="B3469" s="105">
        <v>3</v>
      </c>
      <c r="C3469" s="76" t="s">
        <v>4206</v>
      </c>
      <c r="D3469" s="105" t="s">
        <v>1172</v>
      </c>
      <c r="E3469" s="190">
        <v>0.5</v>
      </c>
      <c r="F3469" s="190">
        <f>'BASIC DATA'!$C$473</f>
        <v>450</v>
      </c>
      <c r="G3469" s="207">
        <f>E3469*F3469</f>
        <v>225</v>
      </c>
    </row>
    <row r="3470" spans="1:7">
      <c r="A3470" s="26"/>
      <c r="B3470" s="114">
        <v>4</v>
      </c>
      <c r="C3470" s="89" t="s">
        <v>2697</v>
      </c>
      <c r="D3470" s="114" t="s">
        <v>1172</v>
      </c>
      <c r="E3470" s="182">
        <v>2</v>
      </c>
      <c r="F3470" s="182">
        <f>'BASIC DATA'!$C$552</f>
        <v>350</v>
      </c>
      <c r="G3470" s="207">
        <f>E3470*F3470</f>
        <v>700</v>
      </c>
    </row>
    <row r="3471" spans="1:7">
      <c r="A3471" s="26"/>
      <c r="B3471" s="176"/>
      <c r="C3471" s="172" t="s">
        <v>1174</v>
      </c>
      <c r="D3471" s="174"/>
      <c r="E3471" s="192"/>
      <c r="F3471" s="275" t="s">
        <v>1698</v>
      </c>
      <c r="G3471" s="318">
        <f>SUM(G3467:G3470)</f>
        <v>3105</v>
      </c>
    </row>
    <row r="3472" spans="1:7">
      <c r="A3472" s="26"/>
      <c r="B3472" s="60" t="s">
        <v>5948</v>
      </c>
      <c r="C3472" s="31"/>
      <c r="D3472" s="31"/>
      <c r="E3472" s="85">
        <f>ROUND(G3471/F3446,1)</f>
        <v>310.5</v>
      </c>
      <c r="F3472" s="26"/>
      <c r="G3472" s="26"/>
    </row>
    <row r="3473" spans="1:7">
      <c r="A3473" s="26"/>
      <c r="B3473" s="60" t="s">
        <v>3163</v>
      </c>
      <c r="C3473" s="31"/>
      <c r="D3473" s="31">
        <f>'BASIC DATA'!$C$577</f>
        <v>0.13614999999999999</v>
      </c>
      <c r="E3473" s="85">
        <f>ROUND(E3472*D3473,1)</f>
        <v>42.3</v>
      </c>
      <c r="F3473" s="26"/>
      <c r="G3473" s="26"/>
    </row>
    <row r="3474" spans="1:7">
      <c r="A3474" s="26"/>
      <c r="B3474" s="60" t="s">
        <v>5949</v>
      </c>
      <c r="C3474" s="31"/>
      <c r="D3474" s="31"/>
      <c r="E3474" s="199">
        <f>ROUND(E3473+E3472,1)</f>
        <v>352.8</v>
      </c>
      <c r="F3474" s="56"/>
      <c r="G3474" s="26"/>
    </row>
    <row r="3475" spans="1:7">
      <c r="A3475" s="26"/>
      <c r="B3475" s="78"/>
      <c r="C3475" s="26"/>
      <c r="D3475" s="26"/>
      <c r="E3475" s="26"/>
      <c r="F3475" s="26"/>
      <c r="G3475" s="26"/>
    </row>
    <row r="3476" spans="1:7">
      <c r="A3476" s="26"/>
      <c r="B3476" s="170" t="s">
        <v>1175</v>
      </c>
      <c r="C3476" s="26"/>
      <c r="D3476" s="26"/>
      <c r="E3476" s="26"/>
      <c r="F3476" s="26"/>
      <c r="G3476" s="26"/>
    </row>
    <row r="3477" spans="1:7">
      <c r="A3477" s="26"/>
      <c r="B3477" s="26" t="s">
        <v>5010</v>
      </c>
      <c r="C3477" s="26"/>
      <c r="D3477" s="26"/>
      <c r="E3477" s="26"/>
      <c r="F3477" s="171" t="s">
        <v>1698</v>
      </c>
      <c r="G3477" s="68">
        <f>G3455</f>
        <v>3810.75</v>
      </c>
    </row>
    <row r="3478" spans="1:7">
      <c r="A3478" s="26"/>
      <c r="B3478" s="26" t="s">
        <v>1186</v>
      </c>
      <c r="C3478" s="26"/>
      <c r="D3478" s="26"/>
      <c r="E3478" s="26"/>
      <c r="F3478" s="171" t="s">
        <v>1698</v>
      </c>
      <c r="G3478" s="68">
        <f>G3462</f>
        <v>0</v>
      </c>
    </row>
    <row r="3479" spans="1:7">
      <c r="A3479" s="26"/>
      <c r="B3479" s="26" t="s">
        <v>2660</v>
      </c>
      <c r="C3479" s="26"/>
      <c r="D3479" s="26"/>
      <c r="E3479" s="26"/>
      <c r="F3479" s="171" t="s">
        <v>1698</v>
      </c>
      <c r="G3479" s="75">
        <f>G3471</f>
        <v>3105</v>
      </c>
    </row>
    <row r="3480" spans="1:7">
      <c r="A3480" s="26"/>
      <c r="B3480" s="78"/>
      <c r="C3480" s="26"/>
      <c r="D3480" s="26"/>
      <c r="E3480" s="171"/>
      <c r="F3480" s="171" t="s">
        <v>302</v>
      </c>
      <c r="G3480" s="205">
        <f>SUM(G3477:G3479)</f>
        <v>6915.75</v>
      </c>
    </row>
    <row r="3481" spans="1:7">
      <c r="A3481" s="26"/>
      <c r="B3481" s="1206" t="s">
        <v>1379</v>
      </c>
      <c r="C3481" s="1206"/>
      <c r="D3481" s="26"/>
      <c r="E3481" s="249">
        <f>'BASIC DATA'!$C$577</f>
        <v>0.13614999999999999</v>
      </c>
      <c r="F3481" s="26" t="s">
        <v>1698</v>
      </c>
      <c r="G3481" s="26">
        <f>ROUND(G3480*E3481,2)</f>
        <v>941.58</v>
      </c>
    </row>
    <row r="3482" spans="1:7">
      <c r="A3482" s="26"/>
      <c r="B3482" s="26" t="s">
        <v>1191</v>
      </c>
      <c r="C3482" s="26"/>
      <c r="D3482" s="68">
        <f>F3446</f>
        <v>10</v>
      </c>
      <c r="E3482" s="68" t="str">
        <f>G3446</f>
        <v>sqm</v>
      </c>
      <c r="F3482" s="26" t="s">
        <v>1698</v>
      </c>
      <c r="G3482" s="170">
        <f>G3481+G3480</f>
        <v>7857.33</v>
      </c>
    </row>
    <row r="3483" spans="1:7">
      <c r="A3483" s="26"/>
      <c r="B3483" s="170" t="s">
        <v>1584</v>
      </c>
      <c r="C3483" s="211" t="str">
        <f>E3482</f>
        <v>sqm</v>
      </c>
      <c r="D3483" s="26" t="s">
        <v>5891</v>
      </c>
      <c r="E3483" s="26"/>
      <c r="F3483" s="26" t="s">
        <v>4108</v>
      </c>
      <c r="G3483" s="211">
        <f>ROUND(G3482/D3482,1)</f>
        <v>785.7</v>
      </c>
    </row>
    <row r="3484" spans="1:7">
      <c r="A3484" s="26"/>
      <c r="B3484" s="78"/>
      <c r="C3484" s="26"/>
      <c r="D3484" s="26"/>
      <c r="E3484" s="26"/>
      <c r="F3484" s="26"/>
      <c r="G3484" s="26"/>
    </row>
    <row r="3485" spans="1:7">
      <c r="A3485" s="26"/>
      <c r="B3485" s="78"/>
      <c r="C3485" s="26"/>
      <c r="D3485" s="26"/>
      <c r="E3485" s="26"/>
      <c r="F3485" s="26"/>
      <c r="G3485" s="26"/>
    </row>
    <row r="3486" spans="1:7" ht="18.75">
      <c r="A3486" s="78" t="s">
        <v>7584</v>
      </c>
      <c r="B3486" s="26" t="s">
        <v>8988</v>
      </c>
      <c r="C3486" s="26"/>
      <c r="D3486" s="26"/>
      <c r="E3486" s="26"/>
      <c r="F3486" s="26"/>
      <c r="G3486" s="26"/>
    </row>
    <row r="3487" spans="1:7">
      <c r="A3487" s="78"/>
      <c r="B3487" s="26" t="s">
        <v>8985</v>
      </c>
      <c r="C3487" s="26"/>
      <c r="D3487" s="26"/>
      <c r="E3487" s="26"/>
      <c r="F3487" s="26"/>
      <c r="G3487" s="26"/>
    </row>
    <row r="3488" spans="1:7" ht="18.75">
      <c r="A3488" s="78"/>
      <c r="B3488" s="26" t="s">
        <v>8986</v>
      </c>
      <c r="C3488" s="26"/>
      <c r="D3488" s="26"/>
      <c r="E3488" s="26"/>
      <c r="F3488" s="26"/>
      <c r="G3488" s="26"/>
    </row>
    <row r="3489" spans="1:7">
      <c r="A3489" s="78"/>
      <c r="B3489" s="170" t="s">
        <v>2735</v>
      </c>
      <c r="C3489" s="26"/>
      <c r="D3489" s="26"/>
      <c r="E3489" s="26"/>
      <c r="F3489" s="26"/>
      <c r="G3489" s="26"/>
    </row>
    <row r="3490" spans="1:7">
      <c r="A3490" s="78"/>
      <c r="B3490" s="170" t="s">
        <v>5946</v>
      </c>
      <c r="C3490" s="26"/>
      <c r="D3490" s="26"/>
      <c r="E3490" s="26"/>
      <c r="F3490" s="26"/>
      <c r="G3490" s="26"/>
    </row>
    <row r="3491" spans="1:7">
      <c r="A3491" s="78"/>
      <c r="B3491" s="170" t="s">
        <v>5947</v>
      </c>
      <c r="C3491" s="26"/>
      <c r="D3491" s="26"/>
      <c r="E3491" s="26"/>
      <c r="F3491" s="26"/>
      <c r="G3491" s="26"/>
    </row>
    <row r="3492" spans="1:7">
      <c r="A3492" s="78" t="s">
        <v>3984</v>
      </c>
      <c r="B3492" s="26" t="s">
        <v>3675</v>
      </c>
      <c r="C3492" s="26"/>
      <c r="D3492" s="26"/>
      <c r="E3492" s="78"/>
      <c r="F3492" s="26"/>
      <c r="G3492" s="26"/>
    </row>
    <row r="3493" spans="1:7">
      <c r="A3493" s="78"/>
      <c r="B3493" s="26" t="s">
        <v>7334</v>
      </c>
      <c r="C3493" s="26"/>
      <c r="D3493" s="26"/>
      <c r="E3493" s="68">
        <v>0.3</v>
      </c>
      <c r="F3493" s="26" t="s">
        <v>3477</v>
      </c>
      <c r="G3493" s="26"/>
    </row>
    <row r="3494" spans="1:7">
      <c r="A3494" s="78"/>
      <c r="B3494" s="26" t="s">
        <v>1592</v>
      </c>
      <c r="C3494" s="26"/>
      <c r="D3494" s="68">
        <v>10.5</v>
      </c>
      <c r="E3494" s="26" t="s">
        <v>3479</v>
      </c>
      <c r="F3494" s="26"/>
      <c r="G3494" s="26"/>
    </row>
    <row r="3495" spans="1:7">
      <c r="A3495" s="26"/>
      <c r="B3495" s="78"/>
      <c r="C3495" s="26"/>
      <c r="D3495" s="26"/>
      <c r="E3495" s="26"/>
      <c r="F3495" s="26"/>
      <c r="G3495" s="26"/>
    </row>
    <row r="3496" spans="1:7">
      <c r="A3496" s="78" t="s">
        <v>3984</v>
      </c>
      <c r="B3496" s="78"/>
      <c r="C3496" s="203" t="s">
        <v>2367</v>
      </c>
      <c r="D3496" s="26"/>
      <c r="E3496" s="171" t="s">
        <v>297</v>
      </c>
      <c r="F3496" s="246">
        <v>10</v>
      </c>
      <c r="G3496" s="26" t="s">
        <v>3479</v>
      </c>
    </row>
    <row r="3497" spans="1:7">
      <c r="A3497" s="26"/>
      <c r="B3497" s="79" t="s">
        <v>2368</v>
      </c>
      <c r="C3497" s="26"/>
      <c r="D3497" s="26"/>
      <c r="E3497" s="26"/>
      <c r="F3497" s="26"/>
      <c r="G3497" s="26"/>
    </row>
    <row r="3498" spans="1:7">
      <c r="A3498" s="26"/>
      <c r="B3498" s="95" t="s">
        <v>2369</v>
      </c>
      <c r="C3498" s="157" t="s">
        <v>4443</v>
      </c>
      <c r="D3498" s="95" t="s">
        <v>2370</v>
      </c>
      <c r="E3498" s="95" t="s">
        <v>1166</v>
      </c>
      <c r="F3498" s="95" t="s">
        <v>2371</v>
      </c>
      <c r="G3498" s="95" t="s">
        <v>2372</v>
      </c>
    </row>
    <row r="3499" spans="1:7">
      <c r="A3499" s="26"/>
      <c r="B3499" s="114"/>
      <c r="C3499" s="154"/>
      <c r="D3499" s="114"/>
      <c r="E3499" s="114"/>
      <c r="F3499" s="114" t="s">
        <v>3485</v>
      </c>
      <c r="G3499" s="114" t="s">
        <v>3485</v>
      </c>
    </row>
    <row r="3500" spans="1:7">
      <c r="A3500" s="26"/>
      <c r="B3500" s="95">
        <v>1</v>
      </c>
      <c r="C3500" s="135" t="s">
        <v>5853</v>
      </c>
      <c r="D3500" s="95" t="s">
        <v>3478</v>
      </c>
      <c r="E3500" s="190">
        <v>75</v>
      </c>
      <c r="F3500" s="214">
        <f>'BASIC DATA'!$D$32/1000</f>
        <v>5.35</v>
      </c>
      <c r="G3500" s="190">
        <f>E3500*F3500</f>
        <v>401.25</v>
      </c>
    </row>
    <row r="3501" spans="1:7">
      <c r="A3501" s="61"/>
      <c r="B3501" s="240">
        <v>2</v>
      </c>
      <c r="C3501" s="326" t="s">
        <v>6827</v>
      </c>
      <c r="D3501" s="240" t="s">
        <v>3477</v>
      </c>
      <c r="E3501" s="255">
        <v>0.3</v>
      </c>
      <c r="F3501" s="266">
        <f>'BASIC DATA'!$D$57</f>
        <v>165</v>
      </c>
      <c r="G3501" s="255">
        <f>E3501*F3501</f>
        <v>49.5</v>
      </c>
    </row>
    <row r="3502" spans="1:7">
      <c r="A3502" s="26"/>
      <c r="B3502" s="114">
        <v>3</v>
      </c>
      <c r="C3502" s="139" t="s">
        <v>5731</v>
      </c>
      <c r="D3502" s="114" t="s">
        <v>3479</v>
      </c>
      <c r="E3502" s="182">
        <v>10.5</v>
      </c>
      <c r="F3502" s="215">
        <f>'BASIC DATA'!$D$31</f>
        <v>320</v>
      </c>
      <c r="G3502" s="182">
        <f>E3502*F3502</f>
        <v>3360</v>
      </c>
    </row>
    <row r="3503" spans="1:7">
      <c r="A3503" s="26"/>
      <c r="B3503" s="93"/>
      <c r="C3503" s="31" t="s">
        <v>7019</v>
      </c>
      <c r="D3503" s="31" t="s">
        <v>4043</v>
      </c>
      <c r="E3503" s="333"/>
      <c r="F3503" s="280" t="s">
        <v>1698</v>
      </c>
      <c r="G3503" s="190">
        <v>0</v>
      </c>
    </row>
    <row r="3504" spans="1:7">
      <c r="A3504" s="26"/>
      <c r="B3504" s="93"/>
      <c r="C3504" s="31" t="s">
        <v>7018</v>
      </c>
      <c r="D3504" s="31" t="s">
        <v>4043</v>
      </c>
      <c r="E3504" s="198"/>
      <c r="F3504" s="275" t="s">
        <v>1698</v>
      </c>
      <c r="G3504" s="190">
        <v>0</v>
      </c>
    </row>
    <row r="3505" spans="1:7">
      <c r="A3505" s="26"/>
      <c r="B3505" s="92"/>
      <c r="C3505" s="193" t="s">
        <v>2376</v>
      </c>
      <c r="D3505" s="159"/>
      <c r="E3505" s="238"/>
      <c r="F3505" s="236" t="s">
        <v>1698</v>
      </c>
      <c r="G3505" s="318">
        <f>SUM(G3500:G3504)</f>
        <v>3810.75</v>
      </c>
    </row>
    <row r="3506" spans="1:7">
      <c r="A3506" s="26"/>
      <c r="B3506" s="78"/>
      <c r="C3506" s="26"/>
      <c r="D3506" s="26"/>
      <c r="E3506" s="26"/>
      <c r="F3506" s="26"/>
      <c r="G3506" s="68"/>
    </row>
    <row r="3507" spans="1:7">
      <c r="A3507" s="26"/>
      <c r="B3507" s="79" t="s">
        <v>2377</v>
      </c>
      <c r="C3507" s="26"/>
      <c r="D3507" s="26"/>
      <c r="E3507" s="26"/>
      <c r="F3507" s="26"/>
      <c r="G3507" s="26"/>
    </row>
    <row r="3508" spans="1:7">
      <c r="A3508" s="26"/>
      <c r="B3508" s="95" t="s">
        <v>2369</v>
      </c>
      <c r="C3508" s="157" t="s">
        <v>2378</v>
      </c>
      <c r="D3508" s="95" t="s">
        <v>2370</v>
      </c>
      <c r="E3508" s="95" t="s">
        <v>1166</v>
      </c>
      <c r="F3508" s="95" t="s">
        <v>2371</v>
      </c>
      <c r="G3508" s="95" t="s">
        <v>2372</v>
      </c>
    </row>
    <row r="3509" spans="1:7">
      <c r="A3509" s="26"/>
      <c r="B3509" s="114"/>
      <c r="C3509" s="154"/>
      <c r="D3509" s="114"/>
      <c r="E3509" s="114"/>
      <c r="F3509" s="114" t="s">
        <v>3485</v>
      </c>
      <c r="G3509" s="114" t="s">
        <v>3485</v>
      </c>
    </row>
    <row r="3510" spans="1:7">
      <c r="A3510" s="26"/>
      <c r="B3510" s="95">
        <v>1</v>
      </c>
      <c r="C3510" s="95" t="s">
        <v>4168</v>
      </c>
      <c r="D3510" s="175"/>
      <c r="E3510" s="179">
        <v>0</v>
      </c>
      <c r="F3510" s="190">
        <v>0</v>
      </c>
      <c r="G3510" s="190">
        <f>E3510*F3510</f>
        <v>0</v>
      </c>
    </row>
    <row r="3511" spans="1:7">
      <c r="A3511" s="26"/>
      <c r="B3511" s="365"/>
      <c r="C3511" s="114" t="s">
        <v>5018</v>
      </c>
      <c r="D3511" s="188"/>
      <c r="E3511" s="182">
        <v>0</v>
      </c>
      <c r="F3511" s="182">
        <v>0</v>
      </c>
      <c r="G3511" s="190">
        <f>E3511*F3511</f>
        <v>0</v>
      </c>
    </row>
    <row r="3512" spans="1:7">
      <c r="A3512" s="26"/>
      <c r="B3512" s="176"/>
      <c r="C3512" s="172" t="s">
        <v>2380</v>
      </c>
      <c r="D3512" s="174"/>
      <c r="E3512" s="192"/>
      <c r="F3512" s="275" t="s">
        <v>1698</v>
      </c>
      <c r="G3512" s="318">
        <f>SUM(G3510:G3511)</f>
        <v>0</v>
      </c>
    </row>
    <row r="3513" spans="1:7">
      <c r="A3513" s="26"/>
      <c r="B3513" s="78"/>
      <c r="C3513" s="26"/>
      <c r="D3513" s="26"/>
      <c r="E3513" s="26"/>
      <c r="F3513" s="26"/>
      <c r="G3513" s="26"/>
    </row>
    <row r="3514" spans="1:7">
      <c r="A3514" s="26"/>
      <c r="B3514" s="79" t="s">
        <v>2381</v>
      </c>
      <c r="C3514" s="26"/>
      <c r="D3514" s="26"/>
      <c r="E3514" s="26"/>
      <c r="F3514" s="26"/>
      <c r="G3514" s="26"/>
    </row>
    <row r="3515" spans="1:7">
      <c r="A3515" s="26"/>
      <c r="B3515" s="95" t="s">
        <v>2369</v>
      </c>
      <c r="C3515" s="157" t="s">
        <v>2378</v>
      </c>
      <c r="D3515" s="95" t="s">
        <v>2370</v>
      </c>
      <c r="E3515" s="95" t="s">
        <v>1166</v>
      </c>
      <c r="F3515" s="95" t="s">
        <v>2371</v>
      </c>
      <c r="G3515" s="95" t="s">
        <v>2372</v>
      </c>
    </row>
    <row r="3516" spans="1:7">
      <c r="A3516" s="26"/>
      <c r="B3516" s="114"/>
      <c r="C3516" s="154"/>
      <c r="D3516" s="105"/>
      <c r="E3516" s="105"/>
      <c r="F3516" s="105" t="s">
        <v>3485</v>
      </c>
      <c r="G3516" s="114" t="s">
        <v>3485</v>
      </c>
    </row>
    <row r="3517" spans="1:7">
      <c r="A3517" s="26"/>
      <c r="B3517" s="95">
        <v>1</v>
      </c>
      <c r="C3517" s="76" t="s">
        <v>4203</v>
      </c>
      <c r="D3517" s="95" t="s">
        <v>1172</v>
      </c>
      <c r="E3517" s="179">
        <v>1</v>
      </c>
      <c r="F3517" s="179">
        <f>'BASIC DATA'!$C$541</f>
        <v>400</v>
      </c>
      <c r="G3517" s="207">
        <f>E3517*F3517</f>
        <v>400</v>
      </c>
    </row>
    <row r="3518" spans="1:7">
      <c r="A3518" s="26"/>
      <c r="B3518" s="105">
        <v>2</v>
      </c>
      <c r="C3518" s="76" t="s">
        <v>4426</v>
      </c>
      <c r="D3518" s="105" t="s">
        <v>1172</v>
      </c>
      <c r="E3518" s="190">
        <v>8</v>
      </c>
      <c r="F3518" s="190">
        <f>'BASIC DATA'!$C$502</f>
        <v>445</v>
      </c>
      <c r="G3518" s="207">
        <f>E3518*F3518</f>
        <v>3560</v>
      </c>
    </row>
    <row r="3519" spans="1:7">
      <c r="A3519" s="26"/>
      <c r="B3519" s="105">
        <v>3</v>
      </c>
      <c r="C3519" s="76" t="s">
        <v>4206</v>
      </c>
      <c r="D3519" s="105" t="s">
        <v>1172</v>
      </c>
      <c r="E3519" s="190">
        <v>0.5</v>
      </c>
      <c r="F3519" s="190">
        <f>'BASIC DATA'!$C$473</f>
        <v>450</v>
      </c>
      <c r="G3519" s="207">
        <f>E3519*F3519</f>
        <v>225</v>
      </c>
    </row>
    <row r="3520" spans="1:7">
      <c r="A3520" s="26"/>
      <c r="B3520" s="114">
        <v>4</v>
      </c>
      <c r="C3520" s="89" t="s">
        <v>2697</v>
      </c>
      <c r="D3520" s="114" t="s">
        <v>1172</v>
      </c>
      <c r="E3520" s="182">
        <v>2</v>
      </c>
      <c r="F3520" s="182">
        <f>'BASIC DATA'!$C$552</f>
        <v>350</v>
      </c>
      <c r="G3520" s="181">
        <f>E3520*F3520</f>
        <v>700</v>
      </c>
    </row>
    <row r="3521" spans="1:7">
      <c r="A3521" s="26"/>
      <c r="B3521" s="176"/>
      <c r="C3521" s="172" t="s">
        <v>1174</v>
      </c>
      <c r="D3521" s="174"/>
      <c r="E3521" s="192"/>
      <c r="F3521" s="275" t="s">
        <v>1698</v>
      </c>
      <c r="G3521" s="434">
        <f>SUM(G3517:G3520)</f>
        <v>4885</v>
      </c>
    </row>
    <row r="3522" spans="1:7">
      <c r="A3522" s="26"/>
      <c r="B3522" s="60" t="s">
        <v>5948</v>
      </c>
      <c r="C3522" s="31"/>
      <c r="D3522" s="31"/>
      <c r="E3522" s="85">
        <f>ROUND(G3521/F3496,1)</f>
        <v>488.5</v>
      </c>
      <c r="F3522" s="26"/>
      <c r="G3522" s="26"/>
    </row>
    <row r="3523" spans="1:7">
      <c r="A3523" s="26"/>
      <c r="B3523" s="60" t="s">
        <v>3163</v>
      </c>
      <c r="C3523" s="31"/>
      <c r="D3523" s="31">
        <f>'BASIC DATA'!$C$577</f>
        <v>0.13614999999999999</v>
      </c>
      <c r="E3523" s="85">
        <f>ROUND(E3522*D3523,1)</f>
        <v>66.5</v>
      </c>
      <c r="F3523" s="26"/>
      <c r="G3523" s="26"/>
    </row>
    <row r="3524" spans="1:7">
      <c r="A3524" s="26"/>
      <c r="B3524" s="60" t="s">
        <v>5949</v>
      </c>
      <c r="C3524" s="31"/>
      <c r="D3524" s="31"/>
      <c r="E3524" s="199">
        <f>ROUND(E3523+E3522,1)</f>
        <v>555</v>
      </c>
      <c r="F3524" s="56"/>
      <c r="G3524" s="26"/>
    </row>
    <row r="3525" spans="1:7">
      <c r="A3525" s="26"/>
      <c r="B3525" s="78"/>
      <c r="C3525" s="26"/>
      <c r="D3525" s="26"/>
      <c r="E3525" s="26"/>
      <c r="F3525" s="26"/>
      <c r="G3525" s="26"/>
    </row>
    <row r="3526" spans="1:7">
      <c r="A3526" s="26"/>
      <c r="B3526" s="170" t="s">
        <v>1175</v>
      </c>
      <c r="C3526" s="26"/>
      <c r="D3526" s="26"/>
      <c r="E3526" s="26"/>
      <c r="F3526" s="26"/>
      <c r="G3526" s="26"/>
    </row>
    <row r="3527" spans="1:7">
      <c r="A3527" s="26"/>
      <c r="B3527" s="26" t="s">
        <v>5010</v>
      </c>
      <c r="C3527" s="26"/>
      <c r="D3527" s="26"/>
      <c r="E3527" s="26"/>
      <c r="F3527" s="171" t="s">
        <v>1698</v>
      </c>
      <c r="G3527" s="68">
        <f>G3505</f>
        <v>3810.75</v>
      </c>
    </row>
    <row r="3528" spans="1:7">
      <c r="A3528" s="26"/>
      <c r="B3528" s="26" t="s">
        <v>1186</v>
      </c>
      <c r="C3528" s="26"/>
      <c r="D3528" s="26"/>
      <c r="E3528" s="26"/>
      <c r="F3528" s="171" t="s">
        <v>1698</v>
      </c>
      <c r="G3528" s="68">
        <f>G3512</f>
        <v>0</v>
      </c>
    </row>
    <row r="3529" spans="1:7">
      <c r="A3529" s="26"/>
      <c r="B3529" s="26" t="s">
        <v>2660</v>
      </c>
      <c r="C3529" s="26"/>
      <c r="D3529" s="26"/>
      <c r="E3529" s="26"/>
      <c r="F3529" s="171" t="s">
        <v>1698</v>
      </c>
      <c r="G3529" s="75">
        <f>G3521</f>
        <v>4885</v>
      </c>
    </row>
    <row r="3530" spans="1:7">
      <c r="A3530" s="26"/>
      <c r="B3530" s="78"/>
      <c r="C3530" s="26"/>
      <c r="D3530" s="26"/>
      <c r="E3530" s="171"/>
      <c r="F3530" s="171" t="s">
        <v>302</v>
      </c>
      <c r="G3530" s="205">
        <f>SUM(G3527:G3529)</f>
        <v>8695.75</v>
      </c>
    </row>
    <row r="3531" spans="1:7">
      <c r="A3531" s="26"/>
      <c r="B3531" s="1206" t="s">
        <v>1379</v>
      </c>
      <c r="C3531" s="1206"/>
      <c r="D3531" s="26"/>
      <c r="E3531" s="249">
        <f>'BASIC DATA'!$C$577</f>
        <v>0.13614999999999999</v>
      </c>
      <c r="F3531" s="26" t="s">
        <v>1698</v>
      </c>
      <c r="G3531" s="26">
        <f>ROUND(G3530*E3531,2)</f>
        <v>1183.93</v>
      </c>
    </row>
    <row r="3532" spans="1:7">
      <c r="A3532" s="26"/>
      <c r="B3532" s="26" t="s">
        <v>1191</v>
      </c>
      <c r="C3532" s="26"/>
      <c r="D3532" s="68">
        <f>F3496</f>
        <v>10</v>
      </c>
      <c r="E3532" s="68" t="str">
        <f>G3496</f>
        <v>sqm</v>
      </c>
      <c r="F3532" s="26" t="s">
        <v>1698</v>
      </c>
      <c r="G3532" s="170">
        <f>G3531+G3530</f>
        <v>9879.68</v>
      </c>
    </row>
    <row r="3533" spans="1:7">
      <c r="A3533" s="26"/>
      <c r="B3533" s="170" t="s">
        <v>1584</v>
      </c>
      <c r="C3533" s="211" t="str">
        <f>E3532</f>
        <v>sqm</v>
      </c>
      <c r="D3533" s="26" t="s">
        <v>5891</v>
      </c>
      <c r="E3533" s="26"/>
      <c r="F3533" s="26" t="s">
        <v>4108</v>
      </c>
      <c r="G3533" s="211">
        <f>ROUND(G3532/D3532,1)</f>
        <v>988</v>
      </c>
    </row>
    <row r="3534" spans="1:7">
      <c r="A3534" s="26"/>
      <c r="B3534" s="78"/>
      <c r="C3534" s="26"/>
      <c r="D3534" s="26"/>
      <c r="E3534" s="26"/>
      <c r="F3534" s="26"/>
      <c r="G3534" s="26"/>
    </row>
    <row r="3535" spans="1:7">
      <c r="A3535" s="26"/>
      <c r="B3535" s="78"/>
      <c r="C3535" s="26"/>
      <c r="D3535" s="26"/>
      <c r="E3535" s="26"/>
      <c r="F3535" s="26"/>
      <c r="G3535" s="26"/>
    </row>
    <row r="3536" spans="1:7" ht="18.75">
      <c r="A3536" s="78" t="s">
        <v>7585</v>
      </c>
      <c r="B3536" s="26" t="s">
        <v>8989</v>
      </c>
      <c r="C3536" s="26"/>
      <c r="D3536" s="26"/>
      <c r="E3536" s="26"/>
      <c r="F3536" s="26"/>
      <c r="G3536" s="26"/>
    </row>
    <row r="3537" spans="1:7" ht="18.75">
      <c r="A3537" s="78"/>
      <c r="B3537" s="26" t="s">
        <v>8990</v>
      </c>
      <c r="C3537" s="26"/>
      <c r="D3537" s="26"/>
      <c r="E3537" s="26"/>
      <c r="F3537" s="26"/>
      <c r="G3537" s="26"/>
    </row>
    <row r="3538" spans="1:7">
      <c r="A3538" s="78"/>
      <c r="B3538" s="26" t="s">
        <v>8003</v>
      </c>
      <c r="C3538" s="26"/>
      <c r="D3538" s="26"/>
      <c r="E3538" s="26"/>
      <c r="F3538" s="26"/>
      <c r="G3538" s="26"/>
    </row>
    <row r="3539" spans="1:7">
      <c r="A3539" s="78"/>
      <c r="B3539" s="26" t="s">
        <v>4101</v>
      </c>
      <c r="C3539" s="26"/>
      <c r="D3539" s="26"/>
      <c r="E3539" s="26"/>
      <c r="F3539" s="26"/>
      <c r="G3539" s="26"/>
    </row>
    <row r="3540" spans="1:7" ht="18.75">
      <c r="A3540" s="78"/>
      <c r="B3540" s="170" t="s">
        <v>8991</v>
      </c>
      <c r="C3540" s="26"/>
      <c r="D3540" s="26"/>
      <c r="E3540" s="26"/>
      <c r="F3540" s="26"/>
      <c r="G3540" s="26"/>
    </row>
    <row r="3541" spans="1:7">
      <c r="A3541" s="78"/>
      <c r="B3541" s="170" t="s">
        <v>6564</v>
      </c>
      <c r="C3541" s="26"/>
      <c r="D3541" s="26"/>
      <c r="E3541" s="26"/>
      <c r="F3541" s="26"/>
      <c r="G3541" s="26"/>
    </row>
    <row r="3542" spans="1:7">
      <c r="A3542" s="62"/>
      <c r="B3542" s="248" t="s">
        <v>4522</v>
      </c>
      <c r="C3542" s="61"/>
      <c r="D3542" s="61"/>
      <c r="E3542" s="61"/>
      <c r="F3542" s="61"/>
      <c r="G3542" s="61"/>
    </row>
    <row r="3543" spans="1:7">
      <c r="A3543" s="78"/>
      <c r="B3543" s="26"/>
      <c r="C3543" s="26"/>
      <c r="D3543" s="26"/>
      <c r="E3543" s="26"/>
      <c r="F3543" s="26"/>
      <c r="G3543" s="26"/>
    </row>
    <row r="3544" spans="1:7">
      <c r="A3544" s="78" t="s">
        <v>3984</v>
      </c>
      <c r="B3544" s="26" t="s">
        <v>5780</v>
      </c>
      <c r="C3544" s="26"/>
      <c r="D3544" s="26"/>
      <c r="E3544" s="26"/>
      <c r="F3544" s="26"/>
      <c r="G3544" s="26"/>
    </row>
    <row r="3545" spans="1:7">
      <c r="A3545" s="78"/>
      <c r="B3545" s="26" t="s">
        <v>6090</v>
      </c>
      <c r="C3545" s="26"/>
      <c r="D3545" s="26"/>
      <c r="E3545" s="26"/>
      <c r="F3545" s="26"/>
      <c r="G3545" s="26"/>
    </row>
    <row r="3546" spans="1:7">
      <c r="A3546" s="78"/>
      <c r="B3546" s="26" t="s">
        <v>7795</v>
      </c>
      <c r="C3546" s="26"/>
      <c r="D3546" s="26"/>
      <c r="E3546" s="26"/>
      <c r="F3546" s="26"/>
      <c r="G3546" s="26"/>
    </row>
    <row r="3547" spans="1:7">
      <c r="A3547" s="78"/>
      <c r="B3547" s="26" t="s">
        <v>7796</v>
      </c>
      <c r="C3547" s="26"/>
      <c r="D3547" s="26">
        <f>ROUND(50*11*8/300,2)</f>
        <v>14.67</v>
      </c>
      <c r="E3547" s="26" t="s">
        <v>3760</v>
      </c>
      <c r="F3547" s="26"/>
      <c r="G3547" s="26"/>
    </row>
    <row r="3548" spans="1:7">
      <c r="A3548" s="78"/>
      <c r="B3548" s="26" t="s">
        <v>6091</v>
      </c>
      <c r="C3548" s="26"/>
      <c r="D3548" s="26"/>
      <c r="E3548" s="26"/>
      <c r="F3548" s="26"/>
      <c r="G3548" s="26"/>
    </row>
    <row r="3549" spans="1:7">
      <c r="A3549" s="78"/>
      <c r="B3549" s="26" t="s">
        <v>7004</v>
      </c>
      <c r="C3549" s="26"/>
      <c r="D3549" s="26"/>
      <c r="E3549" s="26"/>
      <c r="F3549" s="26"/>
      <c r="G3549" s="26"/>
    </row>
    <row r="3550" spans="1:7">
      <c r="A3550" s="78"/>
      <c r="B3550" s="26" t="s">
        <v>2012</v>
      </c>
      <c r="C3550" s="26"/>
      <c r="D3550" s="26"/>
      <c r="E3550" s="68">
        <f>G618</f>
        <v>224.56752690000002</v>
      </c>
      <c r="F3550" s="26" t="s">
        <v>1168</v>
      </c>
      <c r="G3550" s="26"/>
    </row>
    <row r="3551" spans="1:7">
      <c r="A3551" s="78"/>
      <c r="B3551" s="26" t="s">
        <v>2013</v>
      </c>
      <c r="C3551" s="26"/>
      <c r="D3551" s="26"/>
      <c r="E3551" s="68">
        <f>G644</f>
        <v>88.5</v>
      </c>
      <c r="F3551" s="26" t="s">
        <v>1168</v>
      </c>
      <c r="G3551" s="26"/>
    </row>
    <row r="3552" spans="1:7">
      <c r="A3552" s="78"/>
      <c r="B3552" s="26" t="s">
        <v>451</v>
      </c>
      <c r="C3552" s="26"/>
      <c r="D3552" s="26"/>
      <c r="E3552" s="26"/>
      <c r="F3552" s="26"/>
      <c r="G3552" s="26"/>
    </row>
    <row r="3553" spans="1:7">
      <c r="A3553" s="78"/>
      <c r="B3553" s="26" t="s">
        <v>2014</v>
      </c>
      <c r="C3553" s="26"/>
      <c r="D3553" s="26"/>
      <c r="E3553" s="26"/>
      <c r="F3553" s="26"/>
      <c r="G3553" s="26"/>
    </row>
    <row r="3554" spans="1:7">
      <c r="A3554" s="26"/>
      <c r="B3554" s="78"/>
      <c r="C3554" s="26"/>
      <c r="D3554" s="26"/>
      <c r="E3554" s="26"/>
      <c r="F3554" s="26"/>
      <c r="G3554" s="26"/>
    </row>
    <row r="3555" spans="1:7">
      <c r="A3555" s="78" t="s">
        <v>3984</v>
      </c>
      <c r="B3555" s="78"/>
      <c r="C3555" s="203" t="s">
        <v>2367</v>
      </c>
      <c r="D3555" s="26"/>
      <c r="E3555" s="171" t="s">
        <v>297</v>
      </c>
      <c r="F3555" s="246">
        <f>D3547</f>
        <v>14.67</v>
      </c>
      <c r="G3555" s="26" t="s">
        <v>3477</v>
      </c>
    </row>
    <row r="3556" spans="1:7">
      <c r="A3556" s="26"/>
      <c r="B3556" s="79" t="s">
        <v>2368</v>
      </c>
      <c r="C3556" s="26"/>
      <c r="D3556" s="26"/>
      <c r="E3556" s="26"/>
      <c r="F3556" s="26"/>
      <c r="G3556" s="26"/>
    </row>
    <row r="3557" spans="1:7">
      <c r="A3557" s="26"/>
      <c r="B3557" s="95" t="s">
        <v>2369</v>
      </c>
      <c r="C3557" s="157" t="s">
        <v>4443</v>
      </c>
      <c r="D3557" s="95" t="s">
        <v>2370</v>
      </c>
      <c r="E3557" s="95" t="s">
        <v>1166</v>
      </c>
      <c r="F3557" s="95" t="s">
        <v>2371</v>
      </c>
      <c r="G3557" s="95" t="s">
        <v>2372</v>
      </c>
    </row>
    <row r="3558" spans="1:7">
      <c r="A3558" s="26"/>
      <c r="B3558" s="114"/>
      <c r="C3558" s="154"/>
      <c r="D3558" s="114"/>
      <c r="E3558" s="114"/>
      <c r="F3558" s="114" t="s">
        <v>3485</v>
      </c>
      <c r="G3558" s="114" t="s">
        <v>3485</v>
      </c>
    </row>
    <row r="3559" spans="1:7">
      <c r="A3559" s="26"/>
      <c r="B3559" s="95">
        <v>1</v>
      </c>
      <c r="C3559" s="135" t="s">
        <v>1048</v>
      </c>
      <c r="D3559" s="95" t="s">
        <v>3478</v>
      </c>
      <c r="E3559" s="190">
        <f>300*F3555</f>
        <v>4401</v>
      </c>
      <c r="F3559" s="214">
        <f>'BASIC DATA'!$D$32/1000</f>
        <v>5.35</v>
      </c>
      <c r="G3559" s="190">
        <f t="shared" ref="G3559:G3566" si="86">E3559*F3559</f>
        <v>23545.35</v>
      </c>
    </row>
    <row r="3560" spans="1:7">
      <c r="A3560" s="26"/>
      <c r="B3560" s="317"/>
      <c r="C3560" s="135" t="s">
        <v>1049</v>
      </c>
      <c r="D3560" s="105" t="s">
        <v>3478</v>
      </c>
      <c r="E3560" s="190">
        <f>5*F3555</f>
        <v>73.349999999999994</v>
      </c>
      <c r="F3560" s="214">
        <f>'BASIC DATA'!$D$32/1000</f>
        <v>5.35</v>
      </c>
      <c r="G3560" s="190">
        <f t="shared" si="86"/>
        <v>392.42249999999996</v>
      </c>
    </row>
    <row r="3561" spans="1:7">
      <c r="A3561" s="26"/>
      <c r="B3561" s="105">
        <v>2</v>
      </c>
      <c r="C3561" s="135" t="s">
        <v>6995</v>
      </c>
      <c r="D3561" s="105" t="s">
        <v>3477</v>
      </c>
      <c r="E3561" s="190">
        <f>0.8*F3555*0.65</f>
        <v>7.628400000000001</v>
      </c>
      <c r="F3561" s="214">
        <f>'BASIC DATA'!$D$35</f>
        <v>1225</v>
      </c>
      <c r="G3561" s="190">
        <f t="shared" si="86"/>
        <v>9344.7900000000009</v>
      </c>
    </row>
    <row r="3562" spans="1:7">
      <c r="A3562" s="26"/>
      <c r="B3562" s="317"/>
      <c r="C3562" s="135" t="s">
        <v>1050</v>
      </c>
      <c r="D3562" s="105" t="s">
        <v>3477</v>
      </c>
      <c r="E3562" s="190">
        <f>0.8*F3555*0.35</f>
        <v>4.1075999999999997</v>
      </c>
      <c r="F3562" s="214">
        <f>'BASIC DATA'!$D$34</f>
        <v>900</v>
      </c>
      <c r="G3562" s="190">
        <f t="shared" si="86"/>
        <v>3696.8399999999997</v>
      </c>
    </row>
    <row r="3563" spans="1:7">
      <c r="A3563" s="61"/>
      <c r="B3563" s="240">
        <v>3</v>
      </c>
      <c r="C3563" s="326" t="s">
        <v>7941</v>
      </c>
      <c r="D3563" s="240" t="s">
        <v>3477</v>
      </c>
      <c r="E3563" s="255">
        <f>0.45*F3555</f>
        <v>6.6014999999999997</v>
      </c>
      <c r="F3563" s="266">
        <f>'BASIC DATA'!$D$55</f>
        <v>95</v>
      </c>
      <c r="G3563" s="255">
        <f t="shared" si="86"/>
        <v>627.14249999999993</v>
      </c>
    </row>
    <row r="3564" spans="1:7">
      <c r="A3564" s="26"/>
      <c r="B3564" s="105">
        <v>4</v>
      </c>
      <c r="C3564" s="135" t="s">
        <v>523</v>
      </c>
      <c r="D3564" s="105" t="s">
        <v>3478</v>
      </c>
      <c r="E3564" s="190">
        <f>0.4%*E3559</f>
        <v>17.603999999999999</v>
      </c>
      <c r="F3564" s="214">
        <f>'BASIC DATA'!$D$99</f>
        <v>55</v>
      </c>
      <c r="G3564" s="190">
        <f t="shared" si="86"/>
        <v>968.21999999999991</v>
      </c>
    </row>
    <row r="3565" spans="1:7">
      <c r="A3565" s="26"/>
      <c r="B3565" s="105">
        <v>5</v>
      </c>
      <c r="C3565" s="135" t="s">
        <v>5315</v>
      </c>
      <c r="D3565" s="105" t="s">
        <v>3479</v>
      </c>
      <c r="E3565" s="190">
        <f>5.5*F3555</f>
        <v>80.685000000000002</v>
      </c>
      <c r="F3565" s="214">
        <f>E3550</f>
        <v>224.56752690000002</v>
      </c>
      <c r="G3565" s="190">
        <f t="shared" si="86"/>
        <v>18119.230907926503</v>
      </c>
    </row>
    <row r="3566" spans="1:7">
      <c r="A3566" s="26"/>
      <c r="B3566" s="114">
        <v>6</v>
      </c>
      <c r="C3566" s="139" t="s">
        <v>2373</v>
      </c>
      <c r="D3566" s="114" t="s">
        <v>3479</v>
      </c>
      <c r="E3566" s="182">
        <v>1</v>
      </c>
      <c r="F3566" s="215">
        <f>'BASIC DATA'!$D$359</f>
        <v>30</v>
      </c>
      <c r="G3566" s="182">
        <f t="shared" si="86"/>
        <v>30</v>
      </c>
    </row>
    <row r="3567" spans="1:7">
      <c r="A3567" s="26"/>
      <c r="B3567" s="1322" t="s">
        <v>7860</v>
      </c>
      <c r="C3567" s="1323"/>
      <c r="D3567" s="1323"/>
      <c r="E3567" s="1324"/>
      <c r="F3567" s="280" t="s">
        <v>1698</v>
      </c>
      <c r="G3567" s="190">
        <v>0</v>
      </c>
    </row>
    <row r="3568" spans="1:7">
      <c r="A3568" s="26"/>
      <c r="B3568" s="1319" t="s">
        <v>7861</v>
      </c>
      <c r="C3568" s="1320"/>
      <c r="D3568" s="1320"/>
      <c r="E3568" s="1321"/>
      <c r="F3568" s="275" t="s">
        <v>1698</v>
      </c>
      <c r="G3568" s="190">
        <v>0</v>
      </c>
    </row>
    <row r="3569" spans="1:7">
      <c r="A3569" s="26"/>
      <c r="B3569" s="92"/>
      <c r="C3569" s="193" t="s">
        <v>2376</v>
      </c>
      <c r="D3569" s="159"/>
      <c r="E3569" s="238"/>
      <c r="F3569" s="236" t="s">
        <v>1698</v>
      </c>
      <c r="G3569" s="318">
        <f>SUM(G3559:G3568)</f>
        <v>56723.995907926503</v>
      </c>
    </row>
    <row r="3570" spans="1:7">
      <c r="A3570" s="26"/>
      <c r="B3570" s="78"/>
      <c r="C3570" s="26"/>
      <c r="D3570" s="26"/>
      <c r="E3570" s="26"/>
      <c r="F3570" s="26"/>
      <c r="G3570" s="68"/>
    </row>
    <row r="3571" spans="1:7">
      <c r="A3571" s="26"/>
      <c r="B3571" s="79" t="s">
        <v>2377</v>
      </c>
      <c r="C3571" s="26"/>
      <c r="D3571" s="26"/>
      <c r="E3571" s="26"/>
      <c r="F3571" s="26"/>
      <c r="G3571" s="26"/>
    </row>
    <row r="3572" spans="1:7">
      <c r="A3572" s="26"/>
      <c r="B3572" s="95" t="s">
        <v>2369</v>
      </c>
      <c r="C3572" s="157" t="s">
        <v>2378</v>
      </c>
      <c r="D3572" s="95" t="s">
        <v>2370</v>
      </c>
      <c r="E3572" s="95" t="s">
        <v>1166</v>
      </c>
      <c r="F3572" s="95" t="s">
        <v>2371</v>
      </c>
      <c r="G3572" s="95" t="s">
        <v>2372</v>
      </c>
    </row>
    <row r="3573" spans="1:7">
      <c r="A3573" s="26"/>
      <c r="B3573" s="114"/>
      <c r="C3573" s="154"/>
      <c r="D3573" s="114"/>
      <c r="E3573" s="114"/>
      <c r="F3573" s="114" t="s">
        <v>3485</v>
      </c>
      <c r="G3573" s="114" t="s">
        <v>3485</v>
      </c>
    </row>
    <row r="3574" spans="1:7">
      <c r="A3574" s="26"/>
      <c r="B3574" s="95">
        <v>1</v>
      </c>
      <c r="C3574" s="153" t="s">
        <v>7214</v>
      </c>
      <c r="D3574" s="175" t="s">
        <v>2374</v>
      </c>
      <c r="E3574" s="179">
        <v>8</v>
      </c>
      <c r="F3574" s="190">
        <f>'HIRE CHARGES'!$D$507</f>
        <v>53.5</v>
      </c>
      <c r="G3574" s="190">
        <f t="shared" ref="G3574:G3579" si="87">E3574*F3574</f>
        <v>428</v>
      </c>
    </row>
    <row r="3575" spans="1:7">
      <c r="A3575" s="26"/>
      <c r="B3575" s="317"/>
      <c r="C3575" s="152" t="s">
        <v>2379</v>
      </c>
      <c r="D3575" s="33" t="s">
        <v>2374</v>
      </c>
      <c r="E3575" s="190">
        <v>8</v>
      </c>
      <c r="F3575" s="190">
        <f>'HIRE CHARGES'!$E$507</f>
        <v>79.3</v>
      </c>
      <c r="G3575" s="190">
        <f t="shared" si="87"/>
        <v>634.4</v>
      </c>
    </row>
    <row r="3576" spans="1:7">
      <c r="A3576" s="26"/>
      <c r="B3576" s="105">
        <v>2</v>
      </c>
      <c r="C3576" s="152" t="s">
        <v>189</v>
      </c>
      <c r="D3576" s="33" t="s">
        <v>2374</v>
      </c>
      <c r="E3576" s="190">
        <v>0.5</v>
      </c>
      <c r="F3576" s="190">
        <f>'HIRE CHARGES'!$D$517</f>
        <v>10.199999999999999</v>
      </c>
      <c r="G3576" s="190">
        <f t="shared" si="87"/>
        <v>5.0999999999999996</v>
      </c>
    </row>
    <row r="3577" spans="1:7">
      <c r="A3577" s="26"/>
      <c r="B3577" s="317"/>
      <c r="C3577" s="152" t="s">
        <v>2379</v>
      </c>
      <c r="D3577" s="33" t="s">
        <v>2374</v>
      </c>
      <c r="E3577" s="190">
        <v>0.5</v>
      </c>
      <c r="F3577" s="190">
        <f>'HIRE CHARGES'!$E$517</f>
        <v>79.3</v>
      </c>
      <c r="G3577" s="190">
        <f t="shared" si="87"/>
        <v>39.65</v>
      </c>
    </row>
    <row r="3578" spans="1:7">
      <c r="A3578" s="26"/>
      <c r="B3578" s="105">
        <v>3</v>
      </c>
      <c r="C3578" s="152" t="s">
        <v>6286</v>
      </c>
      <c r="D3578" s="33" t="s">
        <v>2374</v>
      </c>
      <c r="E3578" s="190">
        <v>1</v>
      </c>
      <c r="F3578" s="190">
        <f>'HIRE CHARGES'!$D$555</f>
        <v>402.5</v>
      </c>
      <c r="G3578" s="190">
        <f t="shared" si="87"/>
        <v>402.5</v>
      </c>
    </row>
    <row r="3579" spans="1:7">
      <c r="A3579" s="26"/>
      <c r="B3579" s="365"/>
      <c r="C3579" s="116" t="s">
        <v>2379</v>
      </c>
      <c r="D3579" s="188" t="s">
        <v>2374</v>
      </c>
      <c r="E3579" s="182">
        <v>1</v>
      </c>
      <c r="F3579" s="182">
        <f>'HIRE CHARGES'!$E$555</f>
        <v>299.89999999999998</v>
      </c>
      <c r="G3579" s="190">
        <f t="shared" si="87"/>
        <v>299.89999999999998</v>
      </c>
    </row>
    <row r="3580" spans="1:7">
      <c r="A3580" s="26"/>
      <c r="B3580" s="176"/>
      <c r="C3580" s="172" t="s">
        <v>2380</v>
      </c>
      <c r="D3580" s="174"/>
      <c r="E3580" s="192"/>
      <c r="F3580" s="275" t="s">
        <v>1698</v>
      </c>
      <c r="G3580" s="318">
        <f>SUM(G3574:G3579)</f>
        <v>1809.5500000000002</v>
      </c>
    </row>
    <row r="3581" spans="1:7">
      <c r="A3581" s="26"/>
      <c r="B3581" s="78"/>
      <c r="C3581" s="26"/>
      <c r="D3581" s="26"/>
      <c r="E3581" s="26"/>
      <c r="F3581" s="26"/>
      <c r="G3581" s="26"/>
    </row>
    <row r="3582" spans="1:7">
      <c r="A3582" s="26"/>
      <c r="B3582" s="79" t="s">
        <v>2381</v>
      </c>
      <c r="C3582" s="26"/>
      <c r="D3582" s="26"/>
      <c r="E3582" s="26"/>
      <c r="F3582" s="26"/>
      <c r="G3582" s="26"/>
    </row>
    <row r="3583" spans="1:7">
      <c r="A3583" s="26"/>
      <c r="B3583" s="95" t="s">
        <v>2369</v>
      </c>
      <c r="C3583" s="157" t="s">
        <v>2378</v>
      </c>
      <c r="D3583" s="95" t="s">
        <v>2370</v>
      </c>
      <c r="E3583" s="95" t="s">
        <v>1166</v>
      </c>
      <c r="F3583" s="95" t="s">
        <v>2371</v>
      </c>
      <c r="G3583" s="95" t="s">
        <v>2372</v>
      </c>
    </row>
    <row r="3584" spans="1:7">
      <c r="A3584" s="26"/>
      <c r="B3584" s="114"/>
      <c r="C3584" s="154"/>
      <c r="D3584" s="105"/>
      <c r="E3584" s="105"/>
      <c r="F3584" s="105" t="s">
        <v>3485</v>
      </c>
      <c r="G3584" s="114" t="s">
        <v>3485</v>
      </c>
    </row>
    <row r="3585" spans="1:7">
      <c r="A3585" s="26"/>
      <c r="B3585" s="95">
        <v>1</v>
      </c>
      <c r="C3585" s="76" t="s">
        <v>527</v>
      </c>
      <c r="D3585" s="95" t="s">
        <v>2374</v>
      </c>
      <c r="E3585" s="179">
        <v>8</v>
      </c>
      <c r="F3585" s="179">
        <f>'HIRE CHARGES'!$F$507</f>
        <v>219.7</v>
      </c>
      <c r="G3585" s="207">
        <f>E3585*F3585</f>
        <v>1757.6</v>
      </c>
    </row>
    <row r="3586" spans="1:7">
      <c r="A3586" s="26"/>
      <c r="B3586" s="105">
        <v>2</v>
      </c>
      <c r="C3586" s="76" t="s">
        <v>999</v>
      </c>
      <c r="D3586" s="105" t="s">
        <v>2374</v>
      </c>
      <c r="E3586" s="190">
        <v>0.5</v>
      </c>
      <c r="F3586" s="190">
        <f>'HIRE CHARGES'!$F$517</f>
        <v>111.1</v>
      </c>
      <c r="G3586" s="207">
        <f>E3586*F3586</f>
        <v>55.55</v>
      </c>
    </row>
    <row r="3587" spans="1:7">
      <c r="A3587" s="26"/>
      <c r="B3587" s="105">
        <v>3</v>
      </c>
      <c r="C3587" s="76" t="s">
        <v>1000</v>
      </c>
      <c r="D3587" s="105" t="s">
        <v>2374</v>
      </c>
      <c r="E3587" s="190">
        <v>1</v>
      </c>
      <c r="F3587" s="190">
        <f>'HIRE CHARGES'!$F$555</f>
        <v>177.5</v>
      </c>
      <c r="G3587" s="207">
        <f>E3587*F3587</f>
        <v>177.5</v>
      </c>
    </row>
    <row r="3588" spans="1:7">
      <c r="A3588" s="26"/>
      <c r="B3588" s="105">
        <v>4</v>
      </c>
      <c r="C3588" s="76" t="s">
        <v>440</v>
      </c>
      <c r="D3588" s="105" t="s">
        <v>1172</v>
      </c>
      <c r="E3588" s="190">
        <v>1</v>
      </c>
      <c r="F3588" s="190">
        <f>'BASIC DATA'!$C$474</f>
        <v>445</v>
      </c>
      <c r="G3588" s="207">
        <f>E3588*F3588</f>
        <v>445</v>
      </c>
    </row>
    <row r="3589" spans="1:7">
      <c r="A3589" s="26"/>
      <c r="B3589" s="105">
        <v>5</v>
      </c>
      <c r="C3589" s="76" t="s">
        <v>4206</v>
      </c>
      <c r="D3589" s="105" t="s">
        <v>1172</v>
      </c>
      <c r="E3589" s="190">
        <v>1</v>
      </c>
      <c r="F3589" s="190">
        <f>'BASIC DATA'!$C$473</f>
        <v>450</v>
      </c>
      <c r="G3589" s="207">
        <f>E3589*F3589</f>
        <v>450</v>
      </c>
    </row>
    <row r="3590" spans="1:7">
      <c r="A3590" s="26"/>
      <c r="B3590" s="105">
        <v>6</v>
      </c>
      <c r="C3590" s="76" t="s">
        <v>2697</v>
      </c>
      <c r="D3590" s="105"/>
      <c r="E3590" s="190"/>
      <c r="F3590" s="190"/>
      <c r="G3590" s="207"/>
    </row>
    <row r="3591" spans="1:7">
      <c r="A3591" s="26"/>
      <c r="B3591" s="317"/>
      <c r="C3591" s="76" t="s">
        <v>441</v>
      </c>
      <c r="D3591" s="105" t="s">
        <v>1172</v>
      </c>
      <c r="E3591" s="190">
        <v>11</v>
      </c>
      <c r="F3591" s="190">
        <f>'BASIC DATA'!$C$552</f>
        <v>350</v>
      </c>
      <c r="G3591" s="207">
        <f t="shared" ref="G3591:G3596" si="88">E3591*F3591</f>
        <v>3850</v>
      </c>
    </row>
    <row r="3592" spans="1:7">
      <c r="A3592" s="26"/>
      <c r="B3592" s="317"/>
      <c r="C3592" s="76" t="s">
        <v>442</v>
      </c>
      <c r="D3592" s="105" t="s">
        <v>1172</v>
      </c>
      <c r="E3592" s="190">
        <v>4</v>
      </c>
      <c r="F3592" s="190">
        <f>'BASIC DATA'!$C$552</f>
        <v>350</v>
      </c>
      <c r="G3592" s="207">
        <f t="shared" si="88"/>
        <v>1400</v>
      </c>
    </row>
    <row r="3593" spans="1:7">
      <c r="A3593" s="26"/>
      <c r="B3593" s="317"/>
      <c r="C3593" s="76" t="s">
        <v>7005</v>
      </c>
      <c r="D3593" s="105" t="s">
        <v>1172</v>
      </c>
      <c r="E3593" s="190">
        <v>3</v>
      </c>
      <c r="F3593" s="190">
        <f>'BASIC DATA'!$C$552</f>
        <v>350</v>
      </c>
      <c r="G3593" s="207">
        <f t="shared" si="88"/>
        <v>1050</v>
      </c>
    </row>
    <row r="3594" spans="1:7">
      <c r="A3594" s="26"/>
      <c r="B3594" s="317"/>
      <c r="C3594" s="76" t="s">
        <v>444</v>
      </c>
      <c r="D3594" s="105" t="s">
        <v>1172</v>
      </c>
      <c r="E3594" s="190">
        <f>F3555</f>
        <v>14.67</v>
      </c>
      <c r="F3594" s="190">
        <f>'BASIC DATA'!$C$552</f>
        <v>350</v>
      </c>
      <c r="G3594" s="207">
        <f t="shared" si="88"/>
        <v>5134.5</v>
      </c>
    </row>
    <row r="3595" spans="1:7">
      <c r="A3595" s="26"/>
      <c r="B3595" s="317"/>
      <c r="C3595" s="76" t="s">
        <v>445</v>
      </c>
      <c r="D3595" s="105" t="s">
        <v>1172</v>
      </c>
      <c r="E3595" s="190">
        <v>1</v>
      </c>
      <c r="F3595" s="190">
        <f>'BASIC DATA'!$C$552</f>
        <v>350</v>
      </c>
      <c r="G3595" s="207">
        <f t="shared" si="88"/>
        <v>350</v>
      </c>
    </row>
    <row r="3596" spans="1:7">
      <c r="A3596" s="26"/>
      <c r="B3596" s="114">
        <v>7</v>
      </c>
      <c r="C3596" s="89" t="s">
        <v>1856</v>
      </c>
      <c r="D3596" s="114" t="s">
        <v>3479</v>
      </c>
      <c r="E3596" s="182">
        <f>5.5*F3555</f>
        <v>80.685000000000002</v>
      </c>
      <c r="F3596" s="182">
        <f>E3551</f>
        <v>88.5</v>
      </c>
      <c r="G3596" s="207">
        <f t="shared" si="88"/>
        <v>7140.6225000000004</v>
      </c>
    </row>
    <row r="3597" spans="1:7">
      <c r="A3597" s="26"/>
      <c r="B3597" s="176"/>
      <c r="C3597" s="172" t="s">
        <v>1174</v>
      </c>
      <c r="D3597" s="174"/>
      <c r="E3597" s="192"/>
      <c r="F3597" s="275" t="s">
        <v>1698</v>
      </c>
      <c r="G3597" s="318">
        <f>SUM(G3585:G3596)</f>
        <v>21810.772499999999</v>
      </c>
    </row>
    <row r="3598" spans="1:7">
      <c r="A3598" s="26"/>
      <c r="B3598" s="60" t="s">
        <v>5948</v>
      </c>
      <c r="C3598" s="31"/>
      <c r="D3598" s="31"/>
      <c r="E3598" s="85">
        <f>ROUND(G3597/F3555,1)</f>
        <v>1486.8</v>
      </c>
      <c r="F3598" s="26"/>
      <c r="G3598" s="26"/>
    </row>
    <row r="3599" spans="1:7">
      <c r="A3599" s="26"/>
      <c r="B3599" s="60" t="s">
        <v>3163</v>
      </c>
      <c r="C3599" s="31"/>
      <c r="D3599" s="31">
        <f>'BASIC DATA'!$C$577</f>
        <v>0.13614999999999999</v>
      </c>
      <c r="E3599" s="85">
        <f>ROUND(E3598*D3599,1)</f>
        <v>202.4</v>
      </c>
      <c r="F3599" s="26"/>
      <c r="G3599" s="26"/>
    </row>
    <row r="3600" spans="1:7">
      <c r="A3600" s="26"/>
      <c r="B3600" s="60" t="s">
        <v>5949</v>
      </c>
      <c r="C3600" s="31"/>
      <c r="D3600" s="31"/>
      <c r="E3600" s="199">
        <f>ROUND(E3599+E3598,1)</f>
        <v>1689.2</v>
      </c>
      <c r="F3600" s="56"/>
      <c r="G3600" s="26"/>
    </row>
    <row r="3601" spans="1:7">
      <c r="A3601" s="26"/>
      <c r="B3601" s="78"/>
      <c r="C3601" s="26"/>
      <c r="D3601" s="26"/>
      <c r="E3601" s="26"/>
      <c r="F3601" s="26"/>
      <c r="G3601" s="26"/>
    </row>
    <row r="3602" spans="1:7">
      <c r="A3602" s="26"/>
      <c r="B3602" s="170" t="s">
        <v>1175</v>
      </c>
      <c r="C3602" s="26"/>
      <c r="D3602" s="26"/>
      <c r="E3602" s="26"/>
      <c r="F3602" s="26"/>
      <c r="G3602" s="26"/>
    </row>
    <row r="3603" spans="1:7">
      <c r="A3603" s="26"/>
      <c r="B3603" s="26" t="s">
        <v>5010</v>
      </c>
      <c r="C3603" s="26"/>
      <c r="D3603" s="26"/>
      <c r="E3603" s="26"/>
      <c r="F3603" s="171" t="s">
        <v>1698</v>
      </c>
      <c r="G3603" s="68">
        <f>G3569</f>
        <v>56723.995907926503</v>
      </c>
    </row>
    <row r="3604" spans="1:7">
      <c r="A3604" s="26"/>
      <c r="B3604" s="26" t="s">
        <v>1186</v>
      </c>
      <c r="C3604" s="26"/>
      <c r="D3604" s="26"/>
      <c r="E3604" s="26"/>
      <c r="F3604" s="171" t="s">
        <v>1698</v>
      </c>
      <c r="G3604" s="68">
        <f>G3580</f>
        <v>1809.5500000000002</v>
      </c>
    </row>
    <row r="3605" spans="1:7">
      <c r="A3605" s="26"/>
      <c r="B3605" s="26" t="s">
        <v>2660</v>
      </c>
      <c r="C3605" s="26"/>
      <c r="D3605" s="26"/>
      <c r="E3605" s="26"/>
      <c r="F3605" s="171" t="s">
        <v>1698</v>
      </c>
      <c r="G3605" s="75">
        <f>G3597</f>
        <v>21810.772499999999</v>
      </c>
    </row>
    <row r="3606" spans="1:7">
      <c r="A3606" s="26"/>
      <c r="B3606" s="78"/>
      <c r="C3606" s="26"/>
      <c r="D3606" s="26"/>
      <c r="E3606" s="171"/>
      <c r="F3606" s="171" t="s">
        <v>302</v>
      </c>
      <c r="G3606" s="205">
        <f>SUM(G3603:G3605)</f>
        <v>80344.318407926505</v>
      </c>
    </row>
    <row r="3607" spans="1:7">
      <c r="A3607" s="26"/>
      <c r="B3607" s="1206" t="s">
        <v>1379</v>
      </c>
      <c r="C3607" s="1206"/>
      <c r="D3607" s="26"/>
      <c r="E3607" s="249">
        <f>'BASIC DATA'!$C$577</f>
        <v>0.13614999999999999</v>
      </c>
      <c r="F3607" s="26" t="s">
        <v>1698</v>
      </c>
      <c r="G3607" s="26">
        <f>ROUND(G3606*E3607,2)</f>
        <v>10938.88</v>
      </c>
    </row>
    <row r="3608" spans="1:7">
      <c r="A3608" s="26"/>
      <c r="B3608" s="26" t="s">
        <v>1191</v>
      </c>
      <c r="C3608" s="26"/>
      <c r="D3608" s="68">
        <f>F3555</f>
        <v>14.67</v>
      </c>
      <c r="E3608" s="68" t="str">
        <f>G3555</f>
        <v>cum</v>
      </c>
      <c r="F3608" s="26" t="s">
        <v>1698</v>
      </c>
      <c r="G3608" s="211">
        <f>G3607+G3606</f>
        <v>91283.198407926509</v>
      </c>
    </row>
    <row r="3609" spans="1:7">
      <c r="A3609" s="26"/>
      <c r="B3609" s="170" t="s">
        <v>1584</v>
      </c>
      <c r="C3609" s="211" t="str">
        <f>E3608</f>
        <v>cum</v>
      </c>
      <c r="D3609" s="26" t="s">
        <v>7797</v>
      </c>
      <c r="E3609" s="26"/>
      <c r="F3609" s="26" t="s">
        <v>4108</v>
      </c>
      <c r="G3609" s="211">
        <f>ROUND(G3608/D3608,1)</f>
        <v>6222.4</v>
      </c>
    </row>
    <row r="3610" spans="1:7">
      <c r="A3610" s="26"/>
      <c r="B3610" s="78"/>
      <c r="C3610" s="26"/>
      <c r="D3610" s="26"/>
      <c r="E3610" s="26"/>
      <c r="F3610" s="26"/>
      <c r="G3610" s="26"/>
    </row>
    <row r="3611" spans="1:7">
      <c r="A3611" s="26"/>
      <c r="B3611" s="78"/>
      <c r="C3611" s="26"/>
      <c r="D3611" s="26"/>
      <c r="E3611" s="26"/>
      <c r="F3611" s="26"/>
      <c r="G3611" s="26"/>
    </row>
    <row r="3612" spans="1:7">
      <c r="A3612" s="78" t="s">
        <v>7142</v>
      </c>
      <c r="B3612" s="26" t="s">
        <v>8992</v>
      </c>
      <c r="C3612" s="26"/>
      <c r="D3612" s="26"/>
      <c r="E3612" s="26"/>
      <c r="F3612" s="26"/>
      <c r="G3612" s="26"/>
    </row>
    <row r="3613" spans="1:7" ht="18.75">
      <c r="A3613" s="78"/>
      <c r="B3613" s="26" t="s">
        <v>8993</v>
      </c>
      <c r="C3613" s="26"/>
      <c r="D3613" s="26"/>
      <c r="E3613" s="26"/>
      <c r="F3613" s="26"/>
      <c r="G3613" s="26"/>
    </row>
    <row r="3614" spans="1:7">
      <c r="A3614" s="78"/>
      <c r="B3614" s="26" t="s">
        <v>8994</v>
      </c>
      <c r="C3614" s="26"/>
      <c r="D3614" s="26"/>
      <c r="E3614" s="26"/>
      <c r="F3614" s="26"/>
      <c r="G3614" s="26"/>
    </row>
    <row r="3615" spans="1:7">
      <c r="A3615" s="78"/>
      <c r="B3615" s="26" t="s">
        <v>6279</v>
      </c>
      <c r="C3615" s="26"/>
      <c r="D3615" s="26"/>
      <c r="E3615" s="26"/>
      <c r="F3615" s="26"/>
      <c r="G3615" s="26"/>
    </row>
    <row r="3616" spans="1:7">
      <c r="A3616" s="78"/>
      <c r="B3616" s="26" t="s">
        <v>6046</v>
      </c>
      <c r="C3616" s="26"/>
      <c r="D3616" s="26"/>
      <c r="E3616" s="26"/>
      <c r="F3616" s="26"/>
      <c r="G3616" s="26"/>
    </row>
    <row r="3617" spans="1:7">
      <c r="A3617" s="78"/>
      <c r="B3617" s="26" t="s">
        <v>2108</v>
      </c>
      <c r="C3617" s="26"/>
      <c r="D3617" s="26"/>
      <c r="E3617" s="78"/>
      <c r="F3617" s="26"/>
      <c r="G3617" s="26"/>
    </row>
    <row r="3618" spans="1:7">
      <c r="A3618" s="78"/>
      <c r="B3618" s="26" t="s">
        <v>8995</v>
      </c>
      <c r="C3618" s="26"/>
      <c r="D3618" s="26"/>
      <c r="E3618" s="26"/>
      <c r="F3618" s="26"/>
      <c r="G3618" s="26"/>
    </row>
    <row r="3619" spans="1:7">
      <c r="A3619" s="78"/>
      <c r="B3619" s="26"/>
      <c r="C3619" s="26"/>
      <c r="D3619" s="26"/>
      <c r="E3619" s="26"/>
      <c r="F3619" s="26"/>
      <c r="G3619" s="26"/>
    </row>
    <row r="3620" spans="1:7">
      <c r="A3620" s="78" t="s">
        <v>3984</v>
      </c>
      <c r="B3620" s="26" t="s">
        <v>713</v>
      </c>
      <c r="C3620" s="26"/>
      <c r="D3620" s="26"/>
      <c r="E3620" s="26"/>
      <c r="F3620" s="26"/>
      <c r="G3620" s="26"/>
    </row>
    <row r="3621" spans="1:7">
      <c r="A3621" s="78"/>
      <c r="B3621" s="26" t="s">
        <v>714</v>
      </c>
      <c r="C3621" s="26"/>
      <c r="D3621" s="26"/>
      <c r="E3621" s="78" t="s">
        <v>1697</v>
      </c>
      <c r="F3621" s="26">
        <v>6</v>
      </c>
      <c r="G3621" s="26" t="s">
        <v>4041</v>
      </c>
    </row>
    <row r="3622" spans="1:7">
      <c r="A3622" s="78"/>
      <c r="B3622" s="26" t="s">
        <v>1486</v>
      </c>
      <c r="C3622" s="26"/>
      <c r="D3622" s="26"/>
      <c r="E3622" s="78" t="s">
        <v>1697</v>
      </c>
      <c r="F3622" s="26">
        <v>7.0000000000000007E-2</v>
      </c>
      <c r="G3622" s="26" t="s">
        <v>3477</v>
      </c>
    </row>
    <row r="3623" spans="1:7">
      <c r="A3623" s="78"/>
      <c r="B3623" s="26" t="s">
        <v>1</v>
      </c>
      <c r="C3623" s="26"/>
      <c r="D3623" s="26"/>
      <c r="E3623" s="78" t="s">
        <v>1697</v>
      </c>
      <c r="F3623" s="26">
        <v>11.23</v>
      </c>
      <c r="G3623" s="26" t="s">
        <v>3478</v>
      </c>
    </row>
    <row r="3624" spans="1:7">
      <c r="A3624" s="78"/>
      <c r="B3624" s="26" t="s">
        <v>702</v>
      </c>
      <c r="C3624" s="26"/>
      <c r="D3624" s="26"/>
      <c r="E3624" s="78" t="s">
        <v>1697</v>
      </c>
      <c r="F3624" s="26">
        <v>3.96</v>
      </c>
      <c r="G3624" s="26" t="s">
        <v>3478</v>
      </c>
    </row>
    <row r="3625" spans="1:7">
      <c r="A3625" s="78"/>
      <c r="B3625" s="26" t="s">
        <v>7335</v>
      </c>
      <c r="C3625" s="26"/>
      <c r="D3625" s="26" t="s">
        <v>1564</v>
      </c>
      <c r="E3625" s="78" t="s">
        <v>1697</v>
      </c>
      <c r="F3625" s="68">
        <f>16/1.025*1.05</f>
        <v>16.390243902439028</v>
      </c>
      <c r="G3625" s="26" t="s">
        <v>3478</v>
      </c>
    </row>
    <row r="3626" spans="1:7">
      <c r="A3626" s="78"/>
      <c r="B3626" s="26" t="s">
        <v>6092</v>
      </c>
      <c r="C3626" s="26"/>
      <c r="D3626" s="26" t="s">
        <v>1564</v>
      </c>
      <c r="E3626" s="78" t="s">
        <v>1697</v>
      </c>
      <c r="F3626" s="26">
        <v>30</v>
      </c>
      <c r="G3626" s="26" t="s">
        <v>3478</v>
      </c>
    </row>
    <row r="3627" spans="1:7">
      <c r="A3627" s="78"/>
      <c r="B3627" s="26" t="s">
        <v>3788</v>
      </c>
      <c r="C3627" s="26"/>
      <c r="D3627" s="26" t="s">
        <v>1137</v>
      </c>
      <c r="E3627" s="78" t="s">
        <v>1697</v>
      </c>
      <c r="F3627" s="26">
        <v>0.02</v>
      </c>
      <c r="G3627" s="26" t="s">
        <v>3477</v>
      </c>
    </row>
    <row r="3628" spans="1:7">
      <c r="A3628" s="78"/>
      <c r="B3628" s="26" t="s">
        <v>1138</v>
      </c>
      <c r="C3628" s="26"/>
      <c r="D3628" s="26"/>
      <c r="E3628" s="78" t="s">
        <v>1697</v>
      </c>
      <c r="F3628" s="26">
        <v>0.04</v>
      </c>
      <c r="G3628" s="26" t="s">
        <v>3477</v>
      </c>
    </row>
    <row r="3629" spans="1:7">
      <c r="A3629" s="78"/>
      <c r="B3629" s="26" t="s">
        <v>6298</v>
      </c>
      <c r="C3629" s="26"/>
      <c r="D3629" s="26"/>
      <c r="E3629" s="78" t="s">
        <v>1697</v>
      </c>
      <c r="F3629" s="68">
        <v>3</v>
      </c>
      <c r="G3629" s="26" t="s">
        <v>3479</v>
      </c>
    </row>
    <row r="3630" spans="1:7">
      <c r="A3630" s="78"/>
      <c r="B3630" s="26" t="s">
        <v>2015</v>
      </c>
      <c r="C3630" s="26"/>
      <c r="D3630" s="26"/>
      <c r="E3630" s="26" t="s">
        <v>1698</v>
      </c>
      <c r="F3630" s="68">
        <f>G618</f>
        <v>224.56752690000002</v>
      </c>
      <c r="G3630" s="26" t="s">
        <v>1168</v>
      </c>
    </row>
    <row r="3631" spans="1:7">
      <c r="A3631" s="26"/>
      <c r="B3631" s="78"/>
      <c r="C3631" s="26"/>
      <c r="D3631" s="26"/>
      <c r="E3631" s="26"/>
      <c r="F3631" s="26"/>
      <c r="G3631" s="26"/>
    </row>
    <row r="3632" spans="1:7">
      <c r="A3632" s="78" t="s">
        <v>3984</v>
      </c>
      <c r="B3632" s="78"/>
      <c r="C3632" s="203" t="s">
        <v>2367</v>
      </c>
      <c r="D3632" s="26"/>
      <c r="E3632" s="171" t="s">
        <v>297</v>
      </c>
      <c r="F3632" s="246">
        <v>10</v>
      </c>
      <c r="G3632" s="26" t="s">
        <v>3483</v>
      </c>
    </row>
    <row r="3633" spans="1:7">
      <c r="A3633" s="26"/>
      <c r="B3633" s="79" t="s">
        <v>2368</v>
      </c>
      <c r="C3633" s="26"/>
      <c r="D3633" s="26"/>
      <c r="E3633" s="26"/>
      <c r="F3633" s="26"/>
      <c r="G3633" s="26"/>
    </row>
    <row r="3634" spans="1:7">
      <c r="A3634" s="26"/>
      <c r="B3634" s="95" t="s">
        <v>2369</v>
      </c>
      <c r="C3634" s="157" t="s">
        <v>4443</v>
      </c>
      <c r="D3634" s="95" t="s">
        <v>2370</v>
      </c>
      <c r="E3634" s="95" t="s">
        <v>1166</v>
      </c>
      <c r="F3634" s="95" t="s">
        <v>2371</v>
      </c>
      <c r="G3634" s="95" t="s">
        <v>2372</v>
      </c>
    </row>
    <row r="3635" spans="1:7">
      <c r="A3635" s="26"/>
      <c r="B3635" s="114"/>
      <c r="C3635" s="154"/>
      <c r="D3635" s="114"/>
      <c r="E3635" s="114"/>
      <c r="F3635" s="114" t="s">
        <v>3485</v>
      </c>
      <c r="G3635" s="114" t="s">
        <v>3485</v>
      </c>
    </row>
    <row r="3636" spans="1:7">
      <c r="A3636" s="26"/>
      <c r="B3636" s="95">
        <v>1</v>
      </c>
      <c r="C3636" s="135" t="s">
        <v>5853</v>
      </c>
      <c r="D3636" s="95" t="s">
        <v>3478</v>
      </c>
      <c r="E3636" s="190">
        <v>30</v>
      </c>
      <c r="F3636" s="214">
        <f>'BASIC DATA'!$D$32/1000</f>
        <v>5.35</v>
      </c>
      <c r="G3636" s="190">
        <f t="shared" ref="G3636:G3643" si="89">E3636*F3636</f>
        <v>160.5</v>
      </c>
    </row>
    <row r="3637" spans="1:7">
      <c r="A3637" s="26"/>
      <c r="B3637" s="105">
        <v>2</v>
      </c>
      <c r="C3637" s="135" t="s">
        <v>6299</v>
      </c>
      <c r="D3637" s="105" t="s">
        <v>3477</v>
      </c>
      <c r="E3637" s="190">
        <v>0.04</v>
      </c>
      <c r="F3637" s="214">
        <f>'BASIC DATA'!$D$35</f>
        <v>1225</v>
      </c>
      <c r="G3637" s="190">
        <f t="shared" si="89"/>
        <v>49</v>
      </c>
    </row>
    <row r="3638" spans="1:7">
      <c r="A3638" s="26"/>
      <c r="B3638" s="105">
        <v>3</v>
      </c>
      <c r="C3638" s="135" t="s">
        <v>2072</v>
      </c>
      <c r="D3638" s="105" t="s">
        <v>3477</v>
      </c>
      <c r="E3638" s="190">
        <v>0.02</v>
      </c>
      <c r="F3638" s="214">
        <f>'BASIC DATA'!$D$34</f>
        <v>900</v>
      </c>
      <c r="G3638" s="190">
        <f t="shared" si="89"/>
        <v>18</v>
      </c>
    </row>
    <row r="3639" spans="1:7">
      <c r="A3639" s="61"/>
      <c r="B3639" s="240">
        <v>4</v>
      </c>
      <c r="C3639" s="326" t="s">
        <v>7941</v>
      </c>
      <c r="D3639" s="240" t="s">
        <v>3477</v>
      </c>
      <c r="E3639" s="255">
        <v>0.04</v>
      </c>
      <c r="F3639" s="266">
        <f>'BASIC DATA'!$D$55</f>
        <v>95</v>
      </c>
      <c r="G3639" s="255">
        <f t="shared" si="89"/>
        <v>3.8000000000000003</v>
      </c>
    </row>
    <row r="3640" spans="1:7">
      <c r="A3640" s="26"/>
      <c r="B3640" s="105">
        <v>5</v>
      </c>
      <c r="C3640" s="135" t="s">
        <v>961</v>
      </c>
      <c r="D3640" s="105" t="s">
        <v>3478</v>
      </c>
      <c r="E3640" s="190">
        <v>16.39</v>
      </c>
      <c r="F3640" s="214">
        <f>'BASIC DATA'!$D$91/1000</f>
        <v>34</v>
      </c>
      <c r="G3640" s="190">
        <f t="shared" si="89"/>
        <v>557.26</v>
      </c>
    </row>
    <row r="3641" spans="1:7">
      <c r="A3641" s="26"/>
      <c r="B3641" s="105">
        <v>6</v>
      </c>
      <c r="C3641" s="135" t="s">
        <v>2073</v>
      </c>
      <c r="D3641" s="105" t="s">
        <v>3483</v>
      </c>
      <c r="E3641" s="190">
        <v>30</v>
      </c>
      <c r="F3641" s="214">
        <f>'BASIC DATA'!$D$64</f>
        <v>270</v>
      </c>
      <c r="G3641" s="190">
        <f t="shared" si="89"/>
        <v>8100</v>
      </c>
    </row>
    <row r="3642" spans="1:7">
      <c r="A3642" s="26"/>
      <c r="B3642" s="105">
        <v>7</v>
      </c>
      <c r="C3642" s="135" t="s">
        <v>5315</v>
      </c>
      <c r="D3642" s="105" t="s">
        <v>3479</v>
      </c>
      <c r="E3642" s="190">
        <v>3</v>
      </c>
      <c r="F3642" s="214">
        <f>F3630</f>
        <v>224.56752690000002</v>
      </c>
      <c r="G3642" s="190">
        <f t="shared" si="89"/>
        <v>673.7025807</v>
      </c>
    </row>
    <row r="3643" spans="1:7">
      <c r="A3643" s="26"/>
      <c r="B3643" s="114">
        <v>8</v>
      </c>
      <c r="C3643" s="139" t="s">
        <v>4909</v>
      </c>
      <c r="D3643" s="114" t="s">
        <v>2173</v>
      </c>
      <c r="E3643" s="182">
        <v>4</v>
      </c>
      <c r="F3643" s="215">
        <f>'BASIC DATA'!$D$359</f>
        <v>30</v>
      </c>
      <c r="G3643" s="182">
        <f t="shared" si="89"/>
        <v>120</v>
      </c>
    </row>
    <row r="3644" spans="1:7">
      <c r="A3644" s="26"/>
      <c r="B3644" s="232" t="s">
        <v>7862</v>
      </c>
      <c r="C3644" s="227"/>
      <c r="D3644" s="30"/>
      <c r="E3644" s="686"/>
      <c r="F3644" s="280" t="s">
        <v>1698</v>
      </c>
      <c r="G3644" s="190">
        <v>0</v>
      </c>
    </row>
    <row r="3645" spans="1:7">
      <c r="A3645" s="26"/>
      <c r="B3645" s="234" t="s">
        <v>7863</v>
      </c>
      <c r="C3645" s="177"/>
      <c r="D3645" s="31"/>
      <c r="E3645" s="198"/>
      <c r="F3645" s="275" t="s">
        <v>1698</v>
      </c>
      <c r="G3645" s="190">
        <v>0</v>
      </c>
    </row>
    <row r="3646" spans="1:7">
      <c r="A3646" s="26"/>
      <c r="B3646" s="92"/>
      <c r="C3646" s="193" t="s">
        <v>2376</v>
      </c>
      <c r="D3646" s="159"/>
      <c r="E3646" s="238"/>
      <c r="F3646" s="236" t="s">
        <v>1698</v>
      </c>
      <c r="G3646" s="318">
        <f>SUM(G3636:G3645)</f>
        <v>9682.2625807000004</v>
      </c>
    </row>
    <row r="3647" spans="1:7">
      <c r="A3647" s="26"/>
      <c r="B3647" s="78"/>
      <c r="C3647" s="26"/>
      <c r="D3647" s="26"/>
      <c r="E3647" s="26"/>
      <c r="F3647" s="26"/>
      <c r="G3647" s="68"/>
    </row>
    <row r="3648" spans="1:7">
      <c r="A3648" s="26"/>
      <c r="B3648" s="79" t="s">
        <v>2377</v>
      </c>
      <c r="C3648" s="26"/>
      <c r="D3648" s="26"/>
      <c r="E3648" s="26"/>
      <c r="F3648" s="26"/>
      <c r="G3648" s="26"/>
    </row>
    <row r="3649" spans="1:7">
      <c r="A3649" s="26"/>
      <c r="B3649" s="95" t="s">
        <v>2369</v>
      </c>
      <c r="C3649" s="157" t="s">
        <v>2378</v>
      </c>
      <c r="D3649" s="95" t="s">
        <v>2370</v>
      </c>
      <c r="E3649" s="95" t="s">
        <v>1166</v>
      </c>
      <c r="F3649" s="95" t="s">
        <v>2371</v>
      </c>
      <c r="G3649" s="95" t="s">
        <v>2372</v>
      </c>
    </row>
    <row r="3650" spans="1:7">
      <c r="A3650" s="26"/>
      <c r="B3650" s="114"/>
      <c r="C3650" s="154"/>
      <c r="D3650" s="114"/>
      <c r="E3650" s="114"/>
      <c r="F3650" s="114" t="s">
        <v>3485</v>
      </c>
      <c r="G3650" s="114" t="s">
        <v>3485</v>
      </c>
    </row>
    <row r="3651" spans="1:7">
      <c r="A3651" s="26"/>
      <c r="B3651" s="95">
        <v>1</v>
      </c>
      <c r="C3651" s="95" t="s">
        <v>1130</v>
      </c>
      <c r="D3651" s="175"/>
      <c r="E3651" s="179">
        <v>0</v>
      </c>
      <c r="F3651" s="190">
        <v>0</v>
      </c>
      <c r="G3651" s="190">
        <f>E3651*F3651</f>
        <v>0</v>
      </c>
    </row>
    <row r="3652" spans="1:7">
      <c r="A3652" s="26"/>
      <c r="B3652" s="365"/>
      <c r="C3652" s="116"/>
      <c r="D3652" s="188"/>
      <c r="E3652" s="182">
        <v>0</v>
      </c>
      <c r="F3652" s="182">
        <v>0</v>
      </c>
      <c r="G3652" s="190">
        <f>E3652*F3652</f>
        <v>0</v>
      </c>
    </row>
    <row r="3653" spans="1:7">
      <c r="A3653" s="26"/>
      <c r="B3653" s="176"/>
      <c r="C3653" s="172" t="s">
        <v>2380</v>
      </c>
      <c r="D3653" s="174"/>
      <c r="E3653" s="192"/>
      <c r="F3653" s="275" t="s">
        <v>1698</v>
      </c>
      <c r="G3653" s="318">
        <f>SUM(G3651:G3652)</f>
        <v>0</v>
      </c>
    </row>
    <row r="3654" spans="1:7">
      <c r="A3654" s="26"/>
      <c r="B3654" s="78"/>
      <c r="C3654" s="26"/>
      <c r="D3654" s="26"/>
      <c r="E3654" s="26"/>
      <c r="F3654" s="26"/>
      <c r="G3654" s="26"/>
    </row>
    <row r="3655" spans="1:7">
      <c r="A3655" s="26"/>
      <c r="B3655" s="79" t="s">
        <v>2381</v>
      </c>
      <c r="C3655" s="26"/>
      <c r="D3655" s="26"/>
      <c r="E3655" s="26"/>
      <c r="F3655" s="26"/>
      <c r="G3655" s="26"/>
    </row>
    <row r="3656" spans="1:7">
      <c r="A3656" s="26"/>
      <c r="B3656" s="95" t="s">
        <v>2369</v>
      </c>
      <c r="C3656" s="157" t="s">
        <v>2378</v>
      </c>
      <c r="D3656" s="95" t="s">
        <v>2370</v>
      </c>
      <c r="E3656" s="95" t="s">
        <v>1166</v>
      </c>
      <c r="F3656" s="95" t="s">
        <v>2371</v>
      </c>
      <c r="G3656" s="95" t="s">
        <v>2372</v>
      </c>
    </row>
    <row r="3657" spans="1:7">
      <c r="A3657" s="26"/>
      <c r="B3657" s="114"/>
      <c r="C3657" s="154"/>
      <c r="D3657" s="105"/>
      <c r="E3657" s="105"/>
      <c r="F3657" s="105" t="s">
        <v>3485</v>
      </c>
      <c r="G3657" s="114" t="s">
        <v>3485</v>
      </c>
    </row>
    <row r="3658" spans="1:7">
      <c r="A3658" s="26"/>
      <c r="B3658" s="95">
        <v>1</v>
      </c>
      <c r="C3658" s="76" t="s">
        <v>5606</v>
      </c>
      <c r="D3658" s="95" t="s">
        <v>1172</v>
      </c>
      <c r="E3658" s="179">
        <v>0.5</v>
      </c>
      <c r="F3658" s="179">
        <f>'BASIC DATA'!$C$474</f>
        <v>445</v>
      </c>
      <c r="G3658" s="207">
        <f t="shared" ref="G3658:G3663" si="90">E3658*F3658</f>
        <v>222.5</v>
      </c>
    </row>
    <row r="3659" spans="1:7">
      <c r="A3659" s="26"/>
      <c r="B3659" s="105">
        <v>2</v>
      </c>
      <c r="C3659" s="76" t="s">
        <v>3836</v>
      </c>
      <c r="D3659" s="105" t="s">
        <v>1172</v>
      </c>
      <c r="E3659" s="190">
        <v>0.5</v>
      </c>
      <c r="F3659" s="190">
        <f>'BASIC DATA'!$C$464</f>
        <v>555</v>
      </c>
      <c r="G3659" s="207">
        <f t="shared" si="90"/>
        <v>277.5</v>
      </c>
    </row>
    <row r="3660" spans="1:7">
      <c r="A3660" s="26"/>
      <c r="B3660" s="105">
        <v>3</v>
      </c>
      <c r="C3660" s="76" t="s">
        <v>4206</v>
      </c>
      <c r="D3660" s="105" t="s">
        <v>1172</v>
      </c>
      <c r="E3660" s="190">
        <v>0.5</v>
      </c>
      <c r="F3660" s="190">
        <f>'BASIC DATA'!$C$473</f>
        <v>450</v>
      </c>
      <c r="G3660" s="207">
        <f t="shared" si="90"/>
        <v>225</v>
      </c>
    </row>
    <row r="3661" spans="1:7">
      <c r="A3661" s="26"/>
      <c r="B3661" s="105">
        <v>4</v>
      </c>
      <c r="C3661" s="76" t="s">
        <v>2697</v>
      </c>
      <c r="D3661" s="105" t="s">
        <v>1172</v>
      </c>
      <c r="E3661" s="190">
        <v>1.5</v>
      </c>
      <c r="F3661" s="190">
        <f>'BASIC DATA'!$C$552</f>
        <v>350</v>
      </c>
      <c r="G3661" s="207">
        <f t="shared" si="90"/>
        <v>525</v>
      </c>
    </row>
    <row r="3662" spans="1:7">
      <c r="A3662" s="26"/>
      <c r="B3662" s="105">
        <v>5</v>
      </c>
      <c r="C3662" s="76" t="s">
        <v>1367</v>
      </c>
      <c r="D3662" s="105" t="s">
        <v>1172</v>
      </c>
      <c r="E3662" s="190">
        <v>0.5</v>
      </c>
      <c r="F3662" s="190">
        <f>'BASIC DATA'!$C$543</f>
        <v>400</v>
      </c>
      <c r="G3662" s="207">
        <f t="shared" si="90"/>
        <v>200</v>
      </c>
    </row>
    <row r="3663" spans="1:7">
      <c r="A3663" s="26"/>
      <c r="B3663" s="114">
        <v>6</v>
      </c>
      <c r="C3663" s="89" t="s">
        <v>5733</v>
      </c>
      <c r="D3663" s="114" t="s">
        <v>1172</v>
      </c>
      <c r="E3663" s="182">
        <v>0.5</v>
      </c>
      <c r="F3663" s="182">
        <f>'BASIC DATA'!$C$515</f>
        <v>400</v>
      </c>
      <c r="G3663" s="207">
        <f t="shared" si="90"/>
        <v>200</v>
      </c>
    </row>
    <row r="3664" spans="1:7">
      <c r="A3664" s="26"/>
      <c r="B3664" s="176"/>
      <c r="C3664" s="172" t="s">
        <v>1174</v>
      </c>
      <c r="D3664" s="174"/>
      <c r="E3664" s="192"/>
      <c r="F3664" s="275" t="s">
        <v>1698</v>
      </c>
      <c r="G3664" s="318">
        <f>SUM(G3658:G3663)</f>
        <v>1650</v>
      </c>
    </row>
    <row r="3665" spans="1:7">
      <c r="A3665" s="26"/>
      <c r="B3665" s="60" t="s">
        <v>5948</v>
      </c>
      <c r="C3665" s="31"/>
      <c r="D3665" s="31"/>
      <c r="E3665" s="85">
        <f>ROUND(G3664/F3632,1)</f>
        <v>165</v>
      </c>
      <c r="F3665" s="26"/>
      <c r="G3665" s="26"/>
    </row>
    <row r="3666" spans="1:7">
      <c r="A3666" s="26"/>
      <c r="B3666" s="60" t="s">
        <v>3163</v>
      </c>
      <c r="C3666" s="31"/>
      <c r="D3666" s="31">
        <f>'BASIC DATA'!$C$577</f>
        <v>0.13614999999999999</v>
      </c>
      <c r="E3666" s="85">
        <f>ROUND(E3665*D3666,1)</f>
        <v>22.5</v>
      </c>
      <c r="F3666" s="26"/>
      <c r="G3666" s="26"/>
    </row>
    <row r="3667" spans="1:7">
      <c r="A3667" s="26"/>
      <c r="B3667" s="60" t="s">
        <v>5949</v>
      </c>
      <c r="C3667" s="31"/>
      <c r="D3667" s="31"/>
      <c r="E3667" s="199">
        <f>ROUND(E3666+E3665,1)</f>
        <v>187.5</v>
      </c>
      <c r="F3667" s="56"/>
      <c r="G3667" s="26"/>
    </row>
    <row r="3668" spans="1:7">
      <c r="A3668" s="26"/>
      <c r="B3668" s="78"/>
      <c r="C3668" s="26"/>
      <c r="D3668" s="26"/>
      <c r="E3668" s="26"/>
      <c r="F3668" s="26"/>
      <c r="G3668" s="26"/>
    </row>
    <row r="3669" spans="1:7">
      <c r="A3669" s="26"/>
      <c r="B3669" s="170" t="s">
        <v>1175</v>
      </c>
      <c r="C3669" s="26"/>
      <c r="D3669" s="26"/>
      <c r="E3669" s="26"/>
      <c r="F3669" s="26"/>
      <c r="G3669" s="26"/>
    </row>
    <row r="3670" spans="1:7">
      <c r="A3670" s="26"/>
      <c r="B3670" s="26" t="s">
        <v>5010</v>
      </c>
      <c r="C3670" s="26"/>
      <c r="D3670" s="26"/>
      <c r="E3670" s="26"/>
      <c r="F3670" s="171" t="s">
        <v>1698</v>
      </c>
      <c r="G3670" s="68">
        <f>G3646</f>
        <v>9682.2625807000004</v>
      </c>
    </row>
    <row r="3671" spans="1:7">
      <c r="A3671" s="26"/>
      <c r="B3671" s="26" t="s">
        <v>1186</v>
      </c>
      <c r="C3671" s="26"/>
      <c r="D3671" s="26"/>
      <c r="E3671" s="26"/>
      <c r="F3671" s="171" t="s">
        <v>1698</v>
      </c>
      <c r="G3671" s="68">
        <f>G3653</f>
        <v>0</v>
      </c>
    </row>
    <row r="3672" spans="1:7">
      <c r="A3672" s="26"/>
      <c r="B3672" s="26" t="s">
        <v>2660</v>
      </c>
      <c r="C3672" s="26"/>
      <c r="D3672" s="26"/>
      <c r="E3672" s="26"/>
      <c r="F3672" s="171" t="s">
        <v>1698</v>
      </c>
      <c r="G3672" s="75">
        <f>G3664</f>
        <v>1650</v>
      </c>
    </row>
    <row r="3673" spans="1:7">
      <c r="A3673" s="26"/>
      <c r="B3673" s="78"/>
      <c r="C3673" s="26"/>
      <c r="D3673" s="26"/>
      <c r="E3673" s="171"/>
      <c r="F3673" s="171" t="s">
        <v>302</v>
      </c>
      <c r="G3673" s="205">
        <f>SUM(G3670:G3672)</f>
        <v>11332.2625807</v>
      </c>
    </row>
    <row r="3674" spans="1:7">
      <c r="A3674" s="26"/>
      <c r="B3674" s="1206" t="s">
        <v>1379</v>
      </c>
      <c r="C3674" s="1206"/>
      <c r="D3674" s="26"/>
      <c r="E3674" s="249">
        <f>'BASIC DATA'!$C$577</f>
        <v>0.13614999999999999</v>
      </c>
      <c r="F3674" s="26" t="s">
        <v>1698</v>
      </c>
      <c r="G3674" s="26">
        <f>ROUND(G3673*E3674,2)</f>
        <v>1542.89</v>
      </c>
    </row>
    <row r="3675" spans="1:7">
      <c r="A3675" s="26"/>
      <c r="B3675" s="26" t="s">
        <v>1191</v>
      </c>
      <c r="C3675" s="26"/>
      <c r="D3675" s="68">
        <f>F3632</f>
        <v>10</v>
      </c>
      <c r="E3675" s="68" t="str">
        <f>G3632</f>
        <v>Rm</v>
      </c>
      <c r="F3675" s="26" t="s">
        <v>1698</v>
      </c>
      <c r="G3675" s="211">
        <f>G3674+G3673</f>
        <v>12875.1525807</v>
      </c>
    </row>
    <row r="3676" spans="1:7">
      <c r="A3676" s="26"/>
      <c r="B3676" s="170" t="s">
        <v>1584</v>
      </c>
      <c r="C3676" s="211" t="str">
        <f>E3675</f>
        <v>Rm</v>
      </c>
      <c r="D3676" s="26" t="s">
        <v>5891</v>
      </c>
      <c r="E3676" s="26"/>
      <c r="F3676" s="26" t="s">
        <v>4108</v>
      </c>
      <c r="G3676" s="211">
        <f>ROUND(G3675/D3675,1)</f>
        <v>1287.5</v>
      </c>
    </row>
    <row r="3677" spans="1:7">
      <c r="A3677" s="26"/>
      <c r="B3677" s="78"/>
      <c r="C3677" s="26"/>
      <c r="D3677" s="26"/>
      <c r="E3677" s="26"/>
      <c r="F3677" s="26"/>
      <c r="G3677" s="26"/>
    </row>
    <row r="3678" spans="1:7">
      <c r="A3678" s="78" t="s">
        <v>7143</v>
      </c>
      <c r="B3678" s="170" t="s">
        <v>2227</v>
      </c>
      <c r="C3678" s="26"/>
      <c r="D3678" s="26"/>
      <c r="E3678" s="26"/>
      <c r="F3678" s="26"/>
      <c r="G3678" s="26"/>
    </row>
    <row r="3679" spans="1:7">
      <c r="A3679" s="78"/>
      <c r="B3679" s="26"/>
      <c r="C3679" s="26"/>
      <c r="D3679" s="26"/>
      <c r="E3679" s="26"/>
      <c r="F3679" s="26"/>
      <c r="G3679" s="26"/>
    </row>
    <row r="3680" spans="1:7" ht="18.75">
      <c r="A3680" s="78" t="s">
        <v>7144</v>
      </c>
      <c r="B3680" s="26" t="s">
        <v>8996</v>
      </c>
      <c r="C3680" s="26"/>
      <c r="D3680" s="26"/>
      <c r="E3680" s="26"/>
      <c r="F3680" s="26"/>
      <c r="G3680" s="26"/>
    </row>
    <row r="3681" spans="1:7">
      <c r="A3681" s="78"/>
      <c r="B3681" s="26" t="s">
        <v>4250</v>
      </c>
      <c r="C3681" s="26"/>
      <c r="D3681" s="26"/>
      <c r="E3681" s="26"/>
      <c r="F3681" s="26"/>
      <c r="G3681" s="26"/>
    </row>
    <row r="3682" spans="1:7" ht="18.75">
      <c r="A3682" s="78"/>
      <c r="B3682" s="26" t="s">
        <v>8997</v>
      </c>
      <c r="C3682" s="26"/>
      <c r="D3682" s="26"/>
      <c r="E3682" s="26"/>
      <c r="F3682" s="26"/>
      <c r="G3682" s="26"/>
    </row>
    <row r="3683" spans="1:7">
      <c r="A3683" s="78"/>
      <c r="B3683" s="170" t="s">
        <v>2735</v>
      </c>
      <c r="C3683" s="26"/>
      <c r="D3683" s="26"/>
      <c r="E3683" s="26"/>
      <c r="F3683" s="26"/>
      <c r="G3683" s="26"/>
    </row>
    <row r="3684" spans="1:7">
      <c r="A3684" s="78"/>
      <c r="B3684" s="170" t="s">
        <v>3583</v>
      </c>
      <c r="C3684" s="26"/>
      <c r="D3684" s="26"/>
      <c r="E3684" s="26"/>
      <c r="F3684" s="26"/>
      <c r="G3684" s="26"/>
    </row>
    <row r="3685" spans="1:7">
      <c r="A3685" s="62"/>
      <c r="B3685" s="61"/>
      <c r="C3685" s="61"/>
      <c r="D3685" s="61"/>
      <c r="E3685" s="61"/>
      <c r="F3685" s="61"/>
      <c r="G3685" s="61"/>
    </row>
    <row r="3686" spans="1:7">
      <c r="A3686" s="78"/>
      <c r="B3686" s="26"/>
      <c r="C3686" s="26"/>
      <c r="D3686" s="26"/>
      <c r="E3686" s="26"/>
      <c r="F3686" s="26"/>
      <c r="G3686" s="26"/>
    </row>
    <row r="3687" spans="1:7">
      <c r="A3687" s="78" t="s">
        <v>3984</v>
      </c>
      <c r="B3687" s="26" t="s">
        <v>4251</v>
      </c>
      <c r="C3687" s="26"/>
      <c r="D3687" s="26"/>
      <c r="E3687" s="26"/>
      <c r="F3687" s="26"/>
      <c r="G3687" s="26"/>
    </row>
    <row r="3688" spans="1:7">
      <c r="A3688" s="62"/>
      <c r="B3688" s="61" t="s">
        <v>7336</v>
      </c>
      <c r="C3688" s="61"/>
      <c r="D3688" s="61"/>
      <c r="E3688" s="61"/>
      <c r="F3688" s="223">
        <v>0.1</v>
      </c>
      <c r="G3688" s="61" t="s">
        <v>3477</v>
      </c>
    </row>
    <row r="3689" spans="1:7">
      <c r="A3689" s="78"/>
      <c r="B3689" s="26" t="s">
        <v>1579</v>
      </c>
      <c r="C3689" s="26"/>
      <c r="D3689" s="26">
        <v>0.91</v>
      </c>
      <c r="E3689" s="26" t="s">
        <v>3478</v>
      </c>
      <c r="F3689" s="26"/>
      <c r="G3689" s="26"/>
    </row>
    <row r="3690" spans="1:7">
      <c r="A3690" s="78"/>
      <c r="B3690" s="26" t="s">
        <v>3721</v>
      </c>
      <c r="C3690" s="26"/>
      <c r="D3690" s="26"/>
      <c r="E3690" s="26"/>
      <c r="F3690" s="26"/>
      <c r="G3690" s="26"/>
    </row>
    <row r="3691" spans="1:7">
      <c r="A3691" s="78"/>
      <c r="B3691" s="26" t="s">
        <v>6554</v>
      </c>
      <c r="C3691" s="26"/>
      <c r="D3691" s="26"/>
      <c r="E3691" s="26"/>
      <c r="F3691" s="26"/>
      <c r="G3691" s="26"/>
    </row>
    <row r="3692" spans="1:7">
      <c r="A3692" s="26"/>
      <c r="B3692" s="78"/>
      <c r="C3692" s="26"/>
      <c r="D3692" s="26"/>
      <c r="E3692" s="26"/>
      <c r="F3692" s="26"/>
      <c r="G3692" s="26"/>
    </row>
    <row r="3693" spans="1:7">
      <c r="A3693" s="78" t="s">
        <v>3984</v>
      </c>
      <c r="B3693" s="78"/>
      <c r="C3693" s="203" t="s">
        <v>2367</v>
      </c>
      <c r="D3693" s="26"/>
      <c r="E3693" s="171" t="s">
        <v>297</v>
      </c>
      <c r="F3693" s="246">
        <v>10</v>
      </c>
      <c r="G3693" s="26" t="s">
        <v>4713</v>
      </c>
    </row>
    <row r="3694" spans="1:7">
      <c r="A3694" s="26"/>
      <c r="B3694" s="79" t="s">
        <v>2368</v>
      </c>
      <c r="C3694" s="26"/>
      <c r="D3694" s="26"/>
      <c r="E3694" s="26"/>
      <c r="F3694" s="26"/>
      <c r="G3694" s="26"/>
    </row>
    <row r="3695" spans="1:7">
      <c r="A3695" s="26"/>
      <c r="B3695" s="95" t="s">
        <v>2369</v>
      </c>
      <c r="C3695" s="157" t="s">
        <v>4443</v>
      </c>
      <c r="D3695" s="95" t="s">
        <v>2370</v>
      </c>
      <c r="E3695" s="95" t="s">
        <v>1166</v>
      </c>
      <c r="F3695" s="95" t="s">
        <v>2371</v>
      </c>
      <c r="G3695" s="95" t="s">
        <v>2372</v>
      </c>
    </row>
    <row r="3696" spans="1:7">
      <c r="A3696" s="26"/>
      <c r="B3696" s="114"/>
      <c r="C3696" s="154"/>
      <c r="D3696" s="114"/>
      <c r="E3696" s="114"/>
      <c r="F3696" s="114" t="s">
        <v>3485</v>
      </c>
      <c r="G3696" s="114" t="s">
        <v>3485</v>
      </c>
    </row>
    <row r="3697" spans="1:7">
      <c r="A3697" s="26"/>
      <c r="B3697" s="95">
        <v>1</v>
      </c>
      <c r="C3697" s="135" t="s">
        <v>5853</v>
      </c>
      <c r="D3697" s="95" t="s">
        <v>3478</v>
      </c>
      <c r="E3697" s="190">
        <v>99</v>
      </c>
      <c r="F3697" s="214">
        <f>'BASIC DATA'!$D$32/1000</f>
        <v>5.35</v>
      </c>
      <c r="G3697" s="190">
        <f>E3697*F3697</f>
        <v>529.65</v>
      </c>
    </row>
    <row r="3698" spans="1:7">
      <c r="A3698" s="61"/>
      <c r="B3698" s="240">
        <v>2</v>
      </c>
      <c r="C3698" s="326" t="s">
        <v>6827</v>
      </c>
      <c r="D3698" s="240" t="s">
        <v>3477</v>
      </c>
      <c r="E3698" s="255">
        <v>0.1</v>
      </c>
      <c r="F3698" s="266">
        <f>'BASIC DATA'!$D$57</f>
        <v>165</v>
      </c>
      <c r="G3698" s="255">
        <f>E3698*F3698</f>
        <v>16.5</v>
      </c>
    </row>
    <row r="3699" spans="1:7">
      <c r="A3699" s="26"/>
      <c r="B3699" s="114">
        <v>3</v>
      </c>
      <c r="C3699" s="139" t="s">
        <v>6761</v>
      </c>
      <c r="D3699" s="114" t="s">
        <v>3478</v>
      </c>
      <c r="E3699" s="182">
        <v>0.91</v>
      </c>
      <c r="F3699" s="215">
        <f>'BASIC DATA'!$D$71</f>
        <v>72</v>
      </c>
      <c r="G3699" s="182">
        <f>E3699*F3699</f>
        <v>65.52</v>
      </c>
    </row>
    <row r="3700" spans="1:7">
      <c r="A3700" s="26"/>
      <c r="B3700" s="93"/>
      <c r="C3700" s="31" t="s">
        <v>7018</v>
      </c>
      <c r="D3700" s="31" t="s">
        <v>4043</v>
      </c>
      <c r="E3700" s="198"/>
      <c r="F3700" s="275" t="s">
        <v>1698</v>
      </c>
      <c r="G3700" s="190">
        <v>0</v>
      </c>
    </row>
    <row r="3701" spans="1:7">
      <c r="A3701" s="26"/>
      <c r="B3701" s="92"/>
      <c r="C3701" s="193" t="s">
        <v>2376</v>
      </c>
      <c r="D3701" s="159"/>
      <c r="E3701" s="238"/>
      <c r="F3701" s="236" t="s">
        <v>1698</v>
      </c>
      <c r="G3701" s="318">
        <f>SUM(G3697:G3700)</f>
        <v>611.66999999999996</v>
      </c>
    </row>
    <row r="3702" spans="1:7">
      <c r="A3702" s="26"/>
      <c r="B3702" s="78"/>
      <c r="C3702" s="26"/>
      <c r="D3702" s="26"/>
      <c r="E3702" s="26"/>
      <c r="F3702" s="26"/>
      <c r="G3702" s="68"/>
    </row>
    <row r="3703" spans="1:7">
      <c r="A3703" s="26"/>
      <c r="B3703" s="79" t="s">
        <v>2377</v>
      </c>
      <c r="C3703" s="26"/>
      <c r="D3703" s="26"/>
      <c r="E3703" s="26"/>
      <c r="F3703" s="26"/>
      <c r="G3703" s="26"/>
    </row>
    <row r="3704" spans="1:7">
      <c r="A3704" s="26"/>
      <c r="B3704" s="95" t="s">
        <v>2369</v>
      </c>
      <c r="C3704" s="157" t="s">
        <v>2378</v>
      </c>
      <c r="D3704" s="95" t="s">
        <v>2370</v>
      </c>
      <c r="E3704" s="95" t="s">
        <v>1166</v>
      </c>
      <c r="F3704" s="95" t="s">
        <v>2371</v>
      </c>
      <c r="G3704" s="95" t="s">
        <v>2372</v>
      </c>
    </row>
    <row r="3705" spans="1:7">
      <c r="A3705" s="26"/>
      <c r="B3705" s="114"/>
      <c r="C3705" s="154"/>
      <c r="D3705" s="114"/>
      <c r="E3705" s="114"/>
      <c r="F3705" s="114" t="s">
        <v>3485</v>
      </c>
      <c r="G3705" s="114" t="s">
        <v>3485</v>
      </c>
    </row>
    <row r="3706" spans="1:7">
      <c r="A3706" s="26"/>
      <c r="B3706" s="95">
        <v>1</v>
      </c>
      <c r="C3706" s="95" t="s">
        <v>1130</v>
      </c>
      <c r="D3706" s="175"/>
      <c r="E3706" s="179">
        <v>0</v>
      </c>
      <c r="F3706" s="190">
        <v>0</v>
      </c>
      <c r="G3706" s="190">
        <f>E3706*F3706</f>
        <v>0</v>
      </c>
    </row>
    <row r="3707" spans="1:7">
      <c r="A3707" s="26"/>
      <c r="B3707" s="365"/>
      <c r="C3707" s="114" t="s">
        <v>4425</v>
      </c>
      <c r="D3707" s="188"/>
      <c r="E3707" s="182">
        <v>0</v>
      </c>
      <c r="F3707" s="182">
        <v>0</v>
      </c>
      <c r="G3707" s="190">
        <f>E3707*F3707</f>
        <v>0</v>
      </c>
    </row>
    <row r="3708" spans="1:7">
      <c r="A3708" s="26"/>
      <c r="B3708" s="176"/>
      <c r="C3708" s="172" t="s">
        <v>2380</v>
      </c>
      <c r="D3708" s="174"/>
      <c r="E3708" s="192"/>
      <c r="F3708" s="275" t="s">
        <v>1698</v>
      </c>
      <c r="G3708" s="318">
        <f>SUM(G3706:G3707)</f>
        <v>0</v>
      </c>
    </row>
    <row r="3709" spans="1:7">
      <c r="A3709" s="26"/>
      <c r="B3709" s="78"/>
      <c r="C3709" s="26"/>
      <c r="D3709" s="26"/>
      <c r="E3709" s="26"/>
      <c r="F3709" s="26"/>
      <c r="G3709" s="26"/>
    </row>
    <row r="3710" spans="1:7">
      <c r="A3710" s="26"/>
      <c r="B3710" s="79" t="s">
        <v>2381</v>
      </c>
      <c r="C3710" s="26"/>
      <c r="D3710" s="26"/>
      <c r="E3710" s="26"/>
      <c r="F3710" s="26"/>
      <c r="G3710" s="26"/>
    </row>
    <row r="3711" spans="1:7">
      <c r="A3711" s="26"/>
      <c r="B3711" s="95" t="s">
        <v>2369</v>
      </c>
      <c r="C3711" s="157" t="s">
        <v>2378</v>
      </c>
      <c r="D3711" s="95" t="s">
        <v>2370</v>
      </c>
      <c r="E3711" s="95" t="s">
        <v>1166</v>
      </c>
      <c r="F3711" s="95" t="s">
        <v>2371</v>
      </c>
      <c r="G3711" s="95" t="s">
        <v>2372</v>
      </c>
    </row>
    <row r="3712" spans="1:7">
      <c r="A3712" s="26"/>
      <c r="B3712" s="114"/>
      <c r="C3712" s="154"/>
      <c r="D3712" s="105"/>
      <c r="E3712" s="105"/>
      <c r="F3712" s="105" t="s">
        <v>3485</v>
      </c>
      <c r="G3712" s="114" t="s">
        <v>3485</v>
      </c>
    </row>
    <row r="3713" spans="1:7">
      <c r="A3713" s="26"/>
      <c r="B3713" s="95">
        <v>1</v>
      </c>
      <c r="C3713" s="76" t="s">
        <v>4203</v>
      </c>
      <c r="D3713" s="95" t="s">
        <v>1172</v>
      </c>
      <c r="E3713" s="179">
        <v>2</v>
      </c>
      <c r="F3713" s="179">
        <f>'BASIC DATA'!$C$541</f>
        <v>400</v>
      </c>
      <c r="G3713" s="207">
        <f>E3713*F3713</f>
        <v>800</v>
      </c>
    </row>
    <row r="3714" spans="1:7">
      <c r="A3714" s="26"/>
      <c r="B3714" s="105">
        <v>2</v>
      </c>
      <c r="C3714" s="76" t="s">
        <v>4206</v>
      </c>
      <c r="D3714" s="105" t="s">
        <v>1172</v>
      </c>
      <c r="E3714" s="190">
        <v>1</v>
      </c>
      <c r="F3714" s="190">
        <f>'BASIC DATA'!$C$473</f>
        <v>450</v>
      </c>
      <c r="G3714" s="207">
        <f>E3714*F3714</f>
        <v>450</v>
      </c>
    </row>
    <row r="3715" spans="1:7">
      <c r="A3715" s="26"/>
      <c r="B3715" s="114">
        <v>3</v>
      </c>
      <c r="C3715" s="89" t="s">
        <v>2697</v>
      </c>
      <c r="D3715" s="114" t="s">
        <v>1172</v>
      </c>
      <c r="E3715" s="182">
        <v>3</v>
      </c>
      <c r="F3715" s="182">
        <f>'BASIC DATA'!$C$552</f>
        <v>350</v>
      </c>
      <c r="G3715" s="181">
        <f>E3715*F3715</f>
        <v>1050</v>
      </c>
    </row>
    <row r="3716" spans="1:7">
      <c r="A3716" s="26"/>
      <c r="B3716" s="176"/>
      <c r="C3716" s="172" t="s">
        <v>1174</v>
      </c>
      <c r="D3716" s="174"/>
      <c r="E3716" s="192"/>
      <c r="F3716" s="275" t="s">
        <v>1698</v>
      </c>
      <c r="G3716" s="434">
        <f>SUM(G3713:G3715)</f>
        <v>2300</v>
      </c>
    </row>
    <row r="3717" spans="1:7">
      <c r="A3717" s="26"/>
      <c r="B3717" s="60" t="s">
        <v>5948</v>
      </c>
      <c r="C3717" s="26"/>
      <c r="D3717" s="31"/>
      <c r="E3717" s="85">
        <f>ROUND(G3716/F3693,1)</f>
        <v>230</v>
      </c>
      <c r="F3717" s="26"/>
      <c r="G3717" s="26"/>
    </row>
    <row r="3718" spans="1:7">
      <c r="A3718" s="26"/>
      <c r="B3718" s="60" t="s">
        <v>3163</v>
      </c>
      <c r="C3718" s="26"/>
      <c r="D3718" s="31">
        <f>'BASIC DATA'!$C$577</f>
        <v>0.13614999999999999</v>
      </c>
      <c r="E3718" s="85">
        <f>ROUND(E3717*D3718,1)</f>
        <v>31.3</v>
      </c>
      <c r="F3718" s="26"/>
      <c r="G3718" s="26"/>
    </row>
    <row r="3719" spans="1:7">
      <c r="A3719" s="26"/>
      <c r="B3719" s="60" t="s">
        <v>5949</v>
      </c>
      <c r="C3719" s="26"/>
      <c r="D3719" s="31"/>
      <c r="E3719" s="199">
        <f>ROUND(E3718+E3717,1)</f>
        <v>261.3</v>
      </c>
      <c r="F3719" s="56"/>
      <c r="G3719" s="26"/>
    </row>
    <row r="3720" spans="1:7">
      <c r="A3720" s="26"/>
      <c r="B3720" s="26"/>
      <c r="C3720" s="26"/>
      <c r="D3720" s="26"/>
      <c r="E3720" s="26"/>
      <c r="F3720" s="26"/>
      <c r="G3720" s="26"/>
    </row>
    <row r="3721" spans="1:7">
      <c r="A3721" s="26"/>
      <c r="B3721" s="170" t="s">
        <v>1175</v>
      </c>
      <c r="C3721" s="26"/>
      <c r="D3721" s="26"/>
      <c r="E3721" s="26"/>
      <c r="F3721" s="26"/>
      <c r="G3721" s="26"/>
    </row>
    <row r="3722" spans="1:7">
      <c r="A3722" s="26"/>
      <c r="B3722" s="26" t="s">
        <v>5010</v>
      </c>
      <c r="C3722" s="26"/>
      <c r="D3722" s="26"/>
      <c r="E3722" s="26"/>
      <c r="F3722" s="171" t="s">
        <v>1698</v>
      </c>
      <c r="G3722" s="68">
        <f>G3701</f>
        <v>611.66999999999996</v>
      </c>
    </row>
    <row r="3723" spans="1:7">
      <c r="A3723" s="26"/>
      <c r="B3723" s="26" t="s">
        <v>1186</v>
      </c>
      <c r="C3723" s="26"/>
      <c r="D3723" s="26"/>
      <c r="E3723" s="26"/>
      <c r="F3723" s="171" t="s">
        <v>1698</v>
      </c>
      <c r="G3723" s="68">
        <f>G3708</f>
        <v>0</v>
      </c>
    </row>
    <row r="3724" spans="1:7">
      <c r="A3724" s="26"/>
      <c r="B3724" s="26" t="s">
        <v>2660</v>
      </c>
      <c r="C3724" s="26"/>
      <c r="D3724" s="26"/>
      <c r="E3724" s="26"/>
      <c r="F3724" s="171" t="s">
        <v>1698</v>
      </c>
      <c r="G3724" s="75">
        <f>G3716</f>
        <v>2300</v>
      </c>
    </row>
    <row r="3725" spans="1:7">
      <c r="A3725" s="26"/>
      <c r="B3725" s="78"/>
      <c r="C3725" s="26"/>
      <c r="D3725" s="26"/>
      <c r="E3725" s="171"/>
      <c r="F3725" s="171" t="s">
        <v>302</v>
      </c>
      <c r="G3725" s="205">
        <f>SUM(G3722:G3724)</f>
        <v>2911.67</v>
      </c>
    </row>
    <row r="3726" spans="1:7">
      <c r="A3726" s="26"/>
      <c r="B3726" s="1206" t="s">
        <v>1379</v>
      </c>
      <c r="C3726" s="1206"/>
      <c r="D3726" s="26"/>
      <c r="E3726" s="249">
        <f>'BASIC DATA'!$C$577</f>
        <v>0.13614999999999999</v>
      </c>
      <c r="F3726" s="26" t="s">
        <v>1698</v>
      </c>
      <c r="G3726" s="26">
        <f>ROUND(G3725*E3726,2)</f>
        <v>396.42</v>
      </c>
    </row>
    <row r="3727" spans="1:7">
      <c r="A3727" s="26"/>
      <c r="B3727" s="26" t="s">
        <v>1191</v>
      </c>
      <c r="C3727" s="26"/>
      <c r="D3727" s="68">
        <f>F3693</f>
        <v>10</v>
      </c>
      <c r="E3727" s="68" t="str">
        <f>G3693</f>
        <v>Joints</v>
      </c>
      <c r="F3727" s="26" t="s">
        <v>1698</v>
      </c>
      <c r="G3727" s="170">
        <f>G3726+G3725</f>
        <v>3308.09</v>
      </c>
    </row>
    <row r="3728" spans="1:7">
      <c r="A3728" s="26"/>
      <c r="B3728" s="170" t="s">
        <v>1584</v>
      </c>
      <c r="C3728" s="211" t="s">
        <v>4714</v>
      </c>
      <c r="D3728" s="26" t="s">
        <v>5891</v>
      </c>
      <c r="E3728" s="26"/>
      <c r="F3728" s="26" t="s">
        <v>4108</v>
      </c>
      <c r="G3728" s="211">
        <f>ROUND(G3727/D3727,1)</f>
        <v>330.8</v>
      </c>
    </row>
    <row r="3729" spans="1:7">
      <c r="A3729" s="26"/>
      <c r="B3729" s="78"/>
      <c r="C3729" s="26"/>
      <c r="D3729" s="26"/>
      <c r="E3729" s="26"/>
      <c r="F3729" s="26"/>
      <c r="G3729" s="26"/>
    </row>
    <row r="3730" spans="1:7" ht="18.75">
      <c r="A3730" s="26" t="s">
        <v>478</v>
      </c>
      <c r="B3730" s="27" t="s">
        <v>8998</v>
      </c>
      <c r="C3730" s="26"/>
      <c r="D3730" s="26"/>
      <c r="E3730" s="26"/>
      <c r="F3730" s="26"/>
      <c r="G3730" s="26"/>
    </row>
    <row r="3731" spans="1:7" ht="18.75">
      <c r="A3731" s="26"/>
      <c r="B3731" s="27" t="s">
        <v>8999</v>
      </c>
      <c r="C3731" s="26"/>
      <c r="D3731" s="26"/>
      <c r="E3731" s="26"/>
      <c r="F3731" s="26"/>
      <c r="G3731" s="26"/>
    </row>
    <row r="3732" spans="1:7">
      <c r="A3732" s="26"/>
      <c r="B3732" s="78"/>
      <c r="C3732" s="26"/>
      <c r="D3732" s="26"/>
      <c r="E3732" s="26"/>
      <c r="F3732" s="26"/>
      <c r="G3732" s="26"/>
    </row>
    <row r="3733" spans="1:7" ht="18.75">
      <c r="A3733" s="78" t="s">
        <v>7145</v>
      </c>
      <c r="B3733" s="26" t="s">
        <v>9000</v>
      </c>
      <c r="C3733" s="26"/>
      <c r="D3733" s="26"/>
      <c r="E3733" s="26"/>
      <c r="F3733" s="26"/>
      <c r="G3733" s="26"/>
    </row>
    <row r="3734" spans="1:7">
      <c r="A3734" s="78"/>
      <c r="B3734" s="26" t="s">
        <v>4250</v>
      </c>
      <c r="C3734" s="26"/>
      <c r="D3734" s="26"/>
      <c r="E3734" s="26"/>
      <c r="F3734" s="26"/>
      <c r="G3734" s="26"/>
    </row>
    <row r="3735" spans="1:7" ht="18.75">
      <c r="A3735" s="78"/>
      <c r="B3735" s="26" t="s">
        <v>8997</v>
      </c>
      <c r="C3735" s="26"/>
      <c r="D3735" s="26"/>
      <c r="E3735" s="26"/>
      <c r="F3735" s="26"/>
      <c r="G3735" s="26"/>
    </row>
    <row r="3736" spans="1:7">
      <c r="A3736" s="78"/>
      <c r="B3736" s="170" t="s">
        <v>2735</v>
      </c>
      <c r="C3736" s="26"/>
      <c r="D3736" s="26"/>
      <c r="E3736" s="26"/>
      <c r="F3736" s="26"/>
      <c r="G3736" s="26"/>
    </row>
    <row r="3737" spans="1:7">
      <c r="A3737" s="78"/>
      <c r="B3737" s="170" t="s">
        <v>653</v>
      </c>
      <c r="C3737" s="26"/>
      <c r="D3737" s="26"/>
      <c r="E3737" s="26"/>
      <c r="F3737" s="26"/>
      <c r="G3737" s="26"/>
    </row>
    <row r="3738" spans="1:7">
      <c r="A3738" s="78"/>
      <c r="B3738" s="26"/>
      <c r="C3738" s="26"/>
      <c r="D3738" s="26"/>
      <c r="E3738" s="26"/>
      <c r="F3738" s="26"/>
      <c r="G3738" s="26"/>
    </row>
    <row r="3739" spans="1:7">
      <c r="A3739" s="78" t="s">
        <v>3984</v>
      </c>
      <c r="B3739" s="26" t="s">
        <v>4251</v>
      </c>
      <c r="C3739" s="26"/>
      <c r="D3739" s="26"/>
      <c r="E3739" s="26"/>
      <c r="F3739" s="26"/>
      <c r="G3739" s="26"/>
    </row>
    <row r="3740" spans="1:7">
      <c r="A3740" s="78"/>
      <c r="B3740" s="26" t="s">
        <v>7337</v>
      </c>
      <c r="C3740" s="26"/>
      <c r="D3740" s="26"/>
      <c r="E3740" s="26"/>
      <c r="F3740" s="26">
        <v>0.22</v>
      </c>
      <c r="G3740" s="26" t="s">
        <v>3477</v>
      </c>
    </row>
    <row r="3741" spans="1:7">
      <c r="A3741" s="78"/>
      <c r="B3741" s="26" t="s">
        <v>1580</v>
      </c>
      <c r="C3741" s="26"/>
      <c r="D3741" s="26">
        <v>1.27</v>
      </c>
      <c r="E3741" s="26" t="s">
        <v>3478</v>
      </c>
      <c r="F3741" s="26"/>
      <c r="G3741" s="26"/>
    </row>
    <row r="3742" spans="1:7">
      <c r="A3742" s="78"/>
      <c r="B3742" s="26" t="s">
        <v>3721</v>
      </c>
      <c r="C3742" s="26"/>
      <c r="D3742" s="26"/>
      <c r="E3742" s="26"/>
      <c r="F3742" s="26"/>
      <c r="G3742" s="26"/>
    </row>
    <row r="3743" spans="1:7">
      <c r="A3743" s="78"/>
      <c r="B3743" s="26" t="s">
        <v>6554</v>
      </c>
      <c r="C3743" s="26"/>
      <c r="D3743" s="26"/>
      <c r="E3743" s="26"/>
      <c r="F3743" s="26"/>
      <c r="G3743" s="26"/>
    </row>
    <row r="3744" spans="1:7">
      <c r="A3744" s="26"/>
      <c r="B3744" s="78"/>
      <c r="C3744" s="26"/>
      <c r="D3744" s="26"/>
      <c r="E3744" s="26"/>
      <c r="F3744" s="26"/>
      <c r="G3744" s="26"/>
    </row>
    <row r="3745" spans="1:7">
      <c r="A3745" s="78" t="s">
        <v>3984</v>
      </c>
      <c r="B3745" s="78"/>
      <c r="C3745" s="203" t="s">
        <v>2367</v>
      </c>
      <c r="D3745" s="26"/>
      <c r="E3745" s="171" t="s">
        <v>297</v>
      </c>
      <c r="F3745" s="246">
        <v>10</v>
      </c>
      <c r="G3745" s="26" t="s">
        <v>4713</v>
      </c>
    </row>
    <row r="3746" spans="1:7">
      <c r="A3746" s="26"/>
      <c r="B3746" s="79" t="s">
        <v>2368</v>
      </c>
      <c r="C3746" s="26"/>
      <c r="D3746" s="26"/>
      <c r="E3746" s="26"/>
      <c r="F3746" s="26"/>
      <c r="G3746" s="26"/>
    </row>
    <row r="3747" spans="1:7">
      <c r="A3747" s="26"/>
      <c r="B3747" s="95" t="s">
        <v>2369</v>
      </c>
      <c r="C3747" s="157" t="s">
        <v>4443</v>
      </c>
      <c r="D3747" s="95" t="s">
        <v>2370</v>
      </c>
      <c r="E3747" s="95" t="s">
        <v>1166</v>
      </c>
      <c r="F3747" s="95" t="s">
        <v>2371</v>
      </c>
      <c r="G3747" s="95" t="s">
        <v>2372</v>
      </c>
    </row>
    <row r="3748" spans="1:7">
      <c r="A3748" s="26"/>
      <c r="B3748" s="114"/>
      <c r="C3748" s="154"/>
      <c r="D3748" s="114"/>
      <c r="E3748" s="114"/>
      <c r="F3748" s="114" t="s">
        <v>3485</v>
      </c>
      <c r="G3748" s="114" t="s">
        <v>3485</v>
      </c>
    </row>
    <row r="3749" spans="1:7">
      <c r="A3749" s="26"/>
      <c r="B3749" s="95">
        <v>1</v>
      </c>
      <c r="C3749" s="135" t="s">
        <v>5853</v>
      </c>
      <c r="D3749" s="95" t="s">
        <v>3478</v>
      </c>
      <c r="E3749" s="190">
        <v>174</v>
      </c>
      <c r="F3749" s="214">
        <f>'BASIC DATA'!$D$32/1000</f>
        <v>5.35</v>
      </c>
      <c r="G3749" s="190">
        <f>E3749*F3749</f>
        <v>930.9</v>
      </c>
    </row>
    <row r="3750" spans="1:7">
      <c r="A3750" s="61"/>
      <c r="B3750" s="240">
        <v>2</v>
      </c>
      <c r="C3750" s="326" t="s">
        <v>6827</v>
      </c>
      <c r="D3750" s="240" t="s">
        <v>3477</v>
      </c>
      <c r="E3750" s="255">
        <v>0.22</v>
      </c>
      <c r="F3750" s="266">
        <f>'BASIC DATA'!$D$57</f>
        <v>165</v>
      </c>
      <c r="G3750" s="255">
        <f>E3750*F3750</f>
        <v>36.299999999999997</v>
      </c>
    </row>
    <row r="3751" spans="1:7">
      <c r="A3751" s="26"/>
      <c r="B3751" s="114">
        <v>3</v>
      </c>
      <c r="C3751" s="139" t="s">
        <v>6761</v>
      </c>
      <c r="D3751" s="114" t="s">
        <v>3478</v>
      </c>
      <c r="E3751" s="182">
        <v>1.27</v>
      </c>
      <c r="F3751" s="215">
        <f>'BASIC DATA'!$D$71</f>
        <v>72</v>
      </c>
      <c r="G3751" s="182">
        <f>E3751*F3751</f>
        <v>91.44</v>
      </c>
    </row>
    <row r="3752" spans="1:7">
      <c r="A3752" s="26"/>
      <c r="B3752" s="93"/>
      <c r="C3752" s="31" t="s">
        <v>7018</v>
      </c>
      <c r="D3752" s="31" t="s">
        <v>4043</v>
      </c>
      <c r="E3752" s="198"/>
      <c r="F3752" s="275" t="s">
        <v>1698</v>
      </c>
      <c r="G3752" s="190">
        <v>0</v>
      </c>
    </row>
    <row r="3753" spans="1:7">
      <c r="A3753" s="26"/>
      <c r="B3753" s="92"/>
      <c r="C3753" s="193" t="s">
        <v>2376</v>
      </c>
      <c r="D3753" s="159"/>
      <c r="E3753" s="238"/>
      <c r="F3753" s="236" t="s">
        <v>1698</v>
      </c>
      <c r="G3753" s="318">
        <f>SUM(G3749:G3752)</f>
        <v>1058.6399999999999</v>
      </c>
    </row>
    <row r="3754" spans="1:7">
      <c r="A3754" s="26"/>
      <c r="B3754" s="78"/>
      <c r="C3754" s="26"/>
      <c r="D3754" s="26"/>
      <c r="E3754" s="26"/>
      <c r="F3754" s="26"/>
      <c r="G3754" s="68"/>
    </row>
    <row r="3755" spans="1:7">
      <c r="A3755" s="26"/>
      <c r="B3755" s="79" t="s">
        <v>2377</v>
      </c>
      <c r="C3755" s="26"/>
      <c r="D3755" s="26"/>
      <c r="E3755" s="26"/>
      <c r="F3755" s="26"/>
      <c r="G3755" s="26"/>
    </row>
    <row r="3756" spans="1:7">
      <c r="A3756" s="26"/>
      <c r="B3756" s="95" t="s">
        <v>2369</v>
      </c>
      <c r="C3756" s="157" t="s">
        <v>2378</v>
      </c>
      <c r="D3756" s="95" t="s">
        <v>2370</v>
      </c>
      <c r="E3756" s="95" t="s">
        <v>1166</v>
      </c>
      <c r="F3756" s="95" t="s">
        <v>2371</v>
      </c>
      <c r="G3756" s="95" t="s">
        <v>2372</v>
      </c>
    </row>
    <row r="3757" spans="1:7">
      <c r="A3757" s="26"/>
      <c r="B3757" s="114"/>
      <c r="C3757" s="154"/>
      <c r="D3757" s="114"/>
      <c r="E3757" s="114"/>
      <c r="F3757" s="114" t="s">
        <v>3485</v>
      </c>
      <c r="G3757" s="114" t="s">
        <v>3485</v>
      </c>
    </row>
    <row r="3758" spans="1:7">
      <c r="A3758" s="26"/>
      <c r="B3758" s="95">
        <v>1</v>
      </c>
      <c r="C3758" s="95" t="s">
        <v>1130</v>
      </c>
      <c r="D3758" s="175"/>
      <c r="E3758" s="179">
        <v>0</v>
      </c>
      <c r="F3758" s="190">
        <v>0</v>
      </c>
      <c r="G3758" s="190">
        <f>E3758*F3758</f>
        <v>0</v>
      </c>
    </row>
    <row r="3759" spans="1:7">
      <c r="A3759" s="26"/>
      <c r="B3759" s="365"/>
      <c r="C3759" s="114" t="s">
        <v>4425</v>
      </c>
      <c r="D3759" s="188"/>
      <c r="E3759" s="182">
        <v>0</v>
      </c>
      <c r="F3759" s="182">
        <v>0</v>
      </c>
      <c r="G3759" s="190">
        <f>E3759*F3759</f>
        <v>0</v>
      </c>
    </row>
    <row r="3760" spans="1:7">
      <c r="A3760" s="26"/>
      <c r="B3760" s="176"/>
      <c r="C3760" s="172" t="s">
        <v>2380</v>
      </c>
      <c r="D3760" s="174"/>
      <c r="E3760" s="192"/>
      <c r="F3760" s="275" t="s">
        <v>1698</v>
      </c>
      <c r="G3760" s="318">
        <f>SUM(G3758:G3759)</f>
        <v>0</v>
      </c>
    </row>
    <row r="3761" spans="1:7">
      <c r="A3761" s="26"/>
      <c r="B3761" s="78"/>
      <c r="C3761" s="26"/>
      <c r="D3761" s="26"/>
      <c r="E3761" s="26"/>
      <c r="F3761" s="26"/>
      <c r="G3761" s="26"/>
    </row>
    <row r="3762" spans="1:7">
      <c r="A3762" s="26"/>
      <c r="B3762" s="79" t="s">
        <v>2381</v>
      </c>
      <c r="C3762" s="26"/>
      <c r="D3762" s="26"/>
      <c r="E3762" s="26"/>
      <c r="F3762" s="26"/>
      <c r="G3762" s="26"/>
    </row>
    <row r="3763" spans="1:7">
      <c r="A3763" s="26"/>
      <c r="B3763" s="95" t="s">
        <v>2369</v>
      </c>
      <c r="C3763" s="157" t="s">
        <v>2378</v>
      </c>
      <c r="D3763" s="95" t="s">
        <v>2370</v>
      </c>
      <c r="E3763" s="95" t="s">
        <v>1166</v>
      </c>
      <c r="F3763" s="95" t="s">
        <v>2371</v>
      </c>
      <c r="G3763" s="95" t="s">
        <v>2372</v>
      </c>
    </row>
    <row r="3764" spans="1:7">
      <c r="A3764" s="26"/>
      <c r="B3764" s="114"/>
      <c r="C3764" s="154"/>
      <c r="D3764" s="105"/>
      <c r="E3764" s="105"/>
      <c r="F3764" s="105" t="s">
        <v>3485</v>
      </c>
      <c r="G3764" s="114" t="s">
        <v>3485</v>
      </c>
    </row>
    <row r="3765" spans="1:7">
      <c r="A3765" s="26"/>
      <c r="B3765" s="95">
        <v>1</v>
      </c>
      <c r="C3765" s="76" t="s">
        <v>4203</v>
      </c>
      <c r="D3765" s="95" t="s">
        <v>1172</v>
      </c>
      <c r="E3765" s="179">
        <v>2</v>
      </c>
      <c r="F3765" s="179">
        <f>'BASIC DATA'!$C$541</f>
        <v>400</v>
      </c>
      <c r="G3765" s="207">
        <f>E3765*F3765</f>
        <v>800</v>
      </c>
    </row>
    <row r="3766" spans="1:7">
      <c r="A3766" s="26"/>
      <c r="B3766" s="105">
        <v>2</v>
      </c>
      <c r="C3766" s="76" t="s">
        <v>4206</v>
      </c>
      <c r="D3766" s="105" t="s">
        <v>1172</v>
      </c>
      <c r="E3766" s="190">
        <v>1</v>
      </c>
      <c r="F3766" s="190">
        <f>'BASIC DATA'!$C$473</f>
        <v>450</v>
      </c>
      <c r="G3766" s="207">
        <f>E3766*F3766</f>
        <v>450</v>
      </c>
    </row>
    <row r="3767" spans="1:7">
      <c r="A3767" s="26"/>
      <c r="B3767" s="114">
        <v>3</v>
      </c>
      <c r="C3767" s="89" t="s">
        <v>2697</v>
      </c>
      <c r="D3767" s="114" t="s">
        <v>1172</v>
      </c>
      <c r="E3767" s="182">
        <v>3</v>
      </c>
      <c r="F3767" s="190">
        <f>'BASIC DATA'!$C$552</f>
        <v>350</v>
      </c>
      <c r="G3767" s="207">
        <f>E3767*F3767</f>
        <v>1050</v>
      </c>
    </row>
    <row r="3768" spans="1:7">
      <c r="A3768" s="26"/>
      <c r="B3768" s="176"/>
      <c r="C3768" s="172" t="s">
        <v>1174</v>
      </c>
      <c r="D3768" s="174"/>
      <c r="E3768" s="192"/>
      <c r="F3768" s="236" t="s">
        <v>1698</v>
      </c>
      <c r="G3768" s="318">
        <f>SUM(G3765:G3767)</f>
        <v>2300</v>
      </c>
    </row>
    <row r="3769" spans="1:7">
      <c r="A3769" s="26"/>
      <c r="B3769" s="60" t="s">
        <v>5948</v>
      </c>
      <c r="C3769" s="31"/>
      <c r="D3769" s="31"/>
      <c r="E3769" s="85">
        <f>ROUND(G3768/F3745,1)</f>
        <v>230</v>
      </c>
      <c r="F3769" s="26"/>
      <c r="G3769" s="26"/>
    </row>
    <row r="3770" spans="1:7">
      <c r="A3770" s="26"/>
      <c r="B3770" s="60" t="s">
        <v>3163</v>
      </c>
      <c r="C3770" s="31"/>
      <c r="D3770" s="31">
        <f>'BASIC DATA'!$C$577</f>
        <v>0.13614999999999999</v>
      </c>
      <c r="E3770" s="85">
        <f>ROUND(E3769*D3770,1)</f>
        <v>31.3</v>
      </c>
      <c r="F3770" s="26"/>
      <c r="G3770" s="26"/>
    </row>
    <row r="3771" spans="1:7">
      <c r="A3771" s="26"/>
      <c r="B3771" s="60" t="s">
        <v>5949</v>
      </c>
      <c r="C3771" s="31"/>
      <c r="D3771" s="31"/>
      <c r="E3771" s="199">
        <f>ROUND(E3770+E3769,1)</f>
        <v>261.3</v>
      </c>
      <c r="F3771" s="56"/>
      <c r="G3771" s="26"/>
    </row>
    <row r="3772" spans="1:7">
      <c r="A3772" s="26"/>
      <c r="B3772" s="78"/>
      <c r="C3772" s="26"/>
      <c r="D3772" s="26"/>
      <c r="E3772" s="26"/>
      <c r="F3772" s="26"/>
      <c r="G3772" s="26"/>
    </row>
    <row r="3773" spans="1:7">
      <c r="A3773" s="26"/>
      <c r="B3773" s="170" t="s">
        <v>1175</v>
      </c>
      <c r="C3773" s="26"/>
      <c r="D3773" s="26"/>
      <c r="E3773" s="26"/>
      <c r="F3773" s="26"/>
      <c r="G3773" s="26"/>
    </row>
    <row r="3774" spans="1:7">
      <c r="A3774" s="26"/>
      <c r="B3774" s="26" t="s">
        <v>5010</v>
      </c>
      <c r="C3774" s="26"/>
      <c r="D3774" s="26"/>
      <c r="E3774" s="26"/>
      <c r="F3774" s="171" t="s">
        <v>1698</v>
      </c>
      <c r="G3774" s="68">
        <f>G3753</f>
        <v>1058.6399999999999</v>
      </c>
    </row>
    <row r="3775" spans="1:7">
      <c r="A3775" s="26"/>
      <c r="B3775" s="26" t="s">
        <v>1186</v>
      </c>
      <c r="C3775" s="26"/>
      <c r="D3775" s="26"/>
      <c r="E3775" s="26"/>
      <c r="F3775" s="171" t="s">
        <v>1698</v>
      </c>
      <c r="G3775" s="68">
        <f>G3760</f>
        <v>0</v>
      </c>
    </row>
    <row r="3776" spans="1:7">
      <c r="A3776" s="26"/>
      <c r="B3776" s="26" t="s">
        <v>2660</v>
      </c>
      <c r="C3776" s="26"/>
      <c r="D3776" s="26"/>
      <c r="E3776" s="26"/>
      <c r="F3776" s="171" t="s">
        <v>1698</v>
      </c>
      <c r="G3776" s="75">
        <f>G3768</f>
        <v>2300</v>
      </c>
    </row>
    <row r="3777" spans="1:7">
      <c r="A3777" s="26"/>
      <c r="B3777" s="78"/>
      <c r="C3777" s="26"/>
      <c r="D3777" s="26"/>
      <c r="E3777" s="171"/>
      <c r="F3777" s="171" t="s">
        <v>302</v>
      </c>
      <c r="G3777" s="205">
        <f>SUM(G3774:G3776)</f>
        <v>3358.64</v>
      </c>
    </row>
    <row r="3778" spans="1:7">
      <c r="A3778" s="26"/>
      <c r="B3778" s="1206" t="s">
        <v>1379</v>
      </c>
      <c r="C3778" s="1206"/>
      <c r="D3778" s="26"/>
      <c r="E3778" s="249">
        <f>'BASIC DATA'!$C$577</f>
        <v>0.13614999999999999</v>
      </c>
      <c r="F3778" s="26" t="s">
        <v>1698</v>
      </c>
      <c r="G3778" s="26">
        <f>ROUND(G3777*E3778,2)</f>
        <v>457.28</v>
      </c>
    </row>
    <row r="3779" spans="1:7">
      <c r="A3779" s="26"/>
      <c r="B3779" s="26" t="s">
        <v>1191</v>
      </c>
      <c r="C3779" s="26"/>
      <c r="D3779" s="68">
        <f>F3745</f>
        <v>10</v>
      </c>
      <c r="E3779" s="68" t="str">
        <f>G3745</f>
        <v>Joints</v>
      </c>
      <c r="F3779" s="26" t="s">
        <v>1698</v>
      </c>
      <c r="G3779" s="170">
        <f>G3778+G3777</f>
        <v>3815.92</v>
      </c>
    </row>
    <row r="3780" spans="1:7">
      <c r="A3780" s="26"/>
      <c r="B3780" s="170" t="s">
        <v>1584</v>
      </c>
      <c r="C3780" s="211" t="s">
        <v>4714</v>
      </c>
      <c r="D3780" s="26" t="s">
        <v>5891</v>
      </c>
      <c r="E3780" s="26"/>
      <c r="F3780" s="26" t="s">
        <v>4108</v>
      </c>
      <c r="G3780" s="211">
        <f>ROUND(G3779/D3779,1)</f>
        <v>381.6</v>
      </c>
    </row>
    <row r="3781" spans="1:7">
      <c r="A3781" s="26"/>
      <c r="B3781" s="78"/>
      <c r="C3781" s="26"/>
      <c r="D3781" s="26"/>
      <c r="E3781" s="26"/>
      <c r="F3781" s="26"/>
      <c r="G3781" s="26"/>
    </row>
    <row r="3782" spans="1:7" ht="18.75">
      <c r="A3782" s="26" t="s">
        <v>478</v>
      </c>
      <c r="B3782" s="27" t="s">
        <v>8998</v>
      </c>
      <c r="C3782" s="26"/>
      <c r="D3782" s="26"/>
      <c r="E3782" s="26"/>
      <c r="F3782" s="26"/>
      <c r="G3782" s="26"/>
    </row>
    <row r="3783" spans="1:7" ht="18.75">
      <c r="A3783" s="26"/>
      <c r="B3783" s="27" t="s">
        <v>8999</v>
      </c>
      <c r="C3783" s="26"/>
      <c r="D3783" s="26"/>
      <c r="E3783" s="26"/>
      <c r="F3783" s="26"/>
      <c r="G3783" s="26"/>
    </row>
    <row r="3784" spans="1:7">
      <c r="A3784" s="26"/>
      <c r="B3784" s="78"/>
      <c r="C3784" s="26"/>
      <c r="D3784" s="26"/>
      <c r="E3784" s="26"/>
      <c r="F3784" s="26"/>
      <c r="G3784" s="26"/>
    </row>
    <row r="3785" spans="1:7" ht="18.75">
      <c r="A3785" s="78" t="s">
        <v>7146</v>
      </c>
      <c r="B3785" s="26" t="s">
        <v>9001</v>
      </c>
      <c r="C3785" s="26"/>
      <c r="D3785" s="26"/>
      <c r="E3785" s="26"/>
      <c r="F3785" s="26"/>
      <c r="G3785" s="26"/>
    </row>
    <row r="3786" spans="1:7">
      <c r="A3786" s="78"/>
      <c r="B3786" s="26" t="s">
        <v>4250</v>
      </c>
      <c r="C3786" s="26"/>
      <c r="D3786" s="26"/>
      <c r="E3786" s="26"/>
      <c r="F3786" s="26"/>
      <c r="G3786" s="26"/>
    </row>
    <row r="3787" spans="1:7" ht="18.75">
      <c r="A3787" s="78"/>
      <c r="B3787" s="26" t="s">
        <v>9002</v>
      </c>
      <c r="C3787" s="26"/>
      <c r="D3787" s="26"/>
      <c r="E3787" s="26"/>
      <c r="F3787" s="26"/>
      <c r="G3787" s="26"/>
    </row>
    <row r="3788" spans="1:7">
      <c r="A3788" s="78"/>
      <c r="B3788" s="170" t="s">
        <v>2735</v>
      </c>
      <c r="C3788" s="26"/>
      <c r="D3788" s="26"/>
      <c r="E3788" s="26"/>
      <c r="F3788" s="26"/>
      <c r="G3788" s="26"/>
    </row>
    <row r="3789" spans="1:7">
      <c r="A3789" s="78"/>
      <c r="B3789" s="170" t="s">
        <v>654</v>
      </c>
      <c r="C3789" s="26"/>
      <c r="D3789" s="26"/>
      <c r="E3789" s="26"/>
      <c r="F3789" s="26"/>
      <c r="G3789" s="26"/>
    </row>
    <row r="3790" spans="1:7">
      <c r="A3790" s="78"/>
      <c r="B3790" s="26"/>
      <c r="C3790" s="26"/>
      <c r="D3790" s="26"/>
      <c r="E3790" s="26"/>
      <c r="F3790" s="26"/>
      <c r="G3790" s="26"/>
    </row>
    <row r="3791" spans="1:7">
      <c r="A3791" s="78" t="s">
        <v>3984</v>
      </c>
      <c r="B3791" s="26" t="s">
        <v>4251</v>
      </c>
      <c r="C3791" s="26"/>
      <c r="D3791" s="26"/>
      <c r="E3791" s="26"/>
      <c r="F3791" s="26"/>
      <c r="G3791" s="26"/>
    </row>
    <row r="3792" spans="1:7">
      <c r="A3792" s="78"/>
      <c r="B3792" s="26" t="s">
        <v>7338</v>
      </c>
      <c r="C3792" s="26"/>
      <c r="D3792" s="26"/>
      <c r="E3792" s="26"/>
      <c r="F3792" s="26">
        <v>0.25</v>
      </c>
      <c r="G3792" s="26" t="s">
        <v>3477</v>
      </c>
    </row>
    <row r="3793" spans="1:7">
      <c r="A3793" s="78"/>
      <c r="B3793" s="26" t="s">
        <v>1579</v>
      </c>
      <c r="C3793" s="26"/>
      <c r="D3793" s="68">
        <v>2.2000000000000002</v>
      </c>
      <c r="E3793" s="26" t="s">
        <v>3478</v>
      </c>
      <c r="F3793" s="26"/>
      <c r="G3793" s="26"/>
    </row>
    <row r="3794" spans="1:7">
      <c r="A3794" s="78"/>
      <c r="B3794" s="26" t="s">
        <v>3722</v>
      </c>
      <c r="C3794" s="26"/>
      <c r="D3794" s="26"/>
      <c r="E3794" s="26"/>
      <c r="F3794" s="26"/>
      <c r="G3794" s="26"/>
    </row>
    <row r="3795" spans="1:7">
      <c r="A3795" s="78"/>
      <c r="B3795" s="26" t="s">
        <v>6555</v>
      </c>
      <c r="C3795" s="26"/>
      <c r="D3795" s="26"/>
      <c r="E3795" s="26"/>
      <c r="F3795" s="26"/>
      <c r="G3795" s="26"/>
    </row>
    <row r="3796" spans="1:7">
      <c r="A3796" s="26"/>
      <c r="B3796" s="78"/>
      <c r="C3796" s="26"/>
      <c r="D3796" s="26"/>
      <c r="E3796" s="26"/>
      <c r="F3796" s="26"/>
      <c r="G3796" s="26"/>
    </row>
    <row r="3797" spans="1:7">
      <c r="A3797" s="78" t="s">
        <v>3984</v>
      </c>
      <c r="B3797" s="78"/>
      <c r="C3797" s="203" t="s">
        <v>2367</v>
      </c>
      <c r="D3797" s="26"/>
      <c r="E3797" s="171" t="s">
        <v>297</v>
      </c>
      <c r="F3797" s="246">
        <v>10</v>
      </c>
      <c r="G3797" s="26" t="s">
        <v>4713</v>
      </c>
    </row>
    <row r="3798" spans="1:7">
      <c r="A3798" s="26"/>
      <c r="B3798" s="79" t="s">
        <v>2368</v>
      </c>
      <c r="C3798" s="26"/>
      <c r="D3798" s="26"/>
      <c r="E3798" s="26"/>
      <c r="F3798" s="26"/>
      <c r="G3798" s="26"/>
    </row>
    <row r="3799" spans="1:7">
      <c r="A3799" s="26"/>
      <c r="B3799" s="95" t="s">
        <v>2369</v>
      </c>
      <c r="C3799" s="157" t="s">
        <v>4443</v>
      </c>
      <c r="D3799" s="95" t="s">
        <v>2370</v>
      </c>
      <c r="E3799" s="95" t="s">
        <v>1166</v>
      </c>
      <c r="F3799" s="95" t="s">
        <v>2371</v>
      </c>
      <c r="G3799" s="95" t="s">
        <v>2372</v>
      </c>
    </row>
    <row r="3800" spans="1:7">
      <c r="A3800" s="26"/>
      <c r="B3800" s="114"/>
      <c r="C3800" s="154"/>
      <c r="D3800" s="114"/>
      <c r="E3800" s="114"/>
      <c r="F3800" s="114" t="s">
        <v>3485</v>
      </c>
      <c r="G3800" s="114" t="s">
        <v>3485</v>
      </c>
    </row>
    <row r="3801" spans="1:7">
      <c r="A3801" s="26"/>
      <c r="B3801" s="95">
        <v>1</v>
      </c>
      <c r="C3801" s="135" t="s">
        <v>5853</v>
      </c>
      <c r="D3801" s="95" t="s">
        <v>3478</v>
      </c>
      <c r="E3801" s="190">
        <v>248</v>
      </c>
      <c r="F3801" s="214">
        <f>'BASIC DATA'!$D$32/1000</f>
        <v>5.35</v>
      </c>
      <c r="G3801" s="190">
        <f>E3801*F3801</f>
        <v>1326.8</v>
      </c>
    </row>
    <row r="3802" spans="1:7">
      <c r="A3802" s="61"/>
      <c r="B3802" s="240">
        <v>2</v>
      </c>
      <c r="C3802" s="326" t="s">
        <v>6827</v>
      </c>
      <c r="D3802" s="240" t="s">
        <v>3477</v>
      </c>
      <c r="E3802" s="255">
        <v>0.25</v>
      </c>
      <c r="F3802" s="266">
        <f>'BASIC DATA'!$D$57</f>
        <v>165</v>
      </c>
      <c r="G3802" s="255">
        <f>E3802*F3802</f>
        <v>41.25</v>
      </c>
    </row>
    <row r="3803" spans="1:7">
      <c r="A3803" s="26"/>
      <c r="B3803" s="114">
        <v>3</v>
      </c>
      <c r="C3803" s="139" t="s">
        <v>6761</v>
      </c>
      <c r="D3803" s="114" t="s">
        <v>3478</v>
      </c>
      <c r="E3803" s="182">
        <v>2.2000000000000002</v>
      </c>
      <c r="F3803" s="215">
        <f>'BASIC DATA'!$D$71</f>
        <v>72</v>
      </c>
      <c r="G3803" s="182">
        <f>E3803*F3803</f>
        <v>158.4</v>
      </c>
    </row>
    <row r="3804" spans="1:7">
      <c r="A3804" s="26"/>
      <c r="B3804" s="93"/>
      <c r="C3804" s="31" t="s">
        <v>7018</v>
      </c>
      <c r="D3804" s="31" t="s">
        <v>4043</v>
      </c>
      <c r="E3804" s="198"/>
      <c r="F3804" s="275" t="s">
        <v>1698</v>
      </c>
      <c r="G3804" s="190">
        <v>0</v>
      </c>
    </row>
    <row r="3805" spans="1:7">
      <c r="A3805" s="26"/>
      <c r="B3805" s="92"/>
      <c r="C3805" s="193" t="s">
        <v>2376</v>
      </c>
      <c r="D3805" s="159"/>
      <c r="E3805" s="238"/>
      <c r="F3805" s="236" t="s">
        <v>1698</v>
      </c>
      <c r="G3805" s="318">
        <f>SUM(G3801:G3804)</f>
        <v>1526.45</v>
      </c>
    </row>
    <row r="3806" spans="1:7">
      <c r="A3806" s="26"/>
      <c r="B3806" s="78"/>
      <c r="C3806" s="26"/>
      <c r="D3806" s="26"/>
      <c r="E3806" s="26"/>
      <c r="F3806" s="26"/>
      <c r="G3806" s="68"/>
    </row>
    <row r="3807" spans="1:7">
      <c r="A3807" s="26"/>
      <c r="B3807" s="79" t="s">
        <v>2377</v>
      </c>
      <c r="C3807" s="26"/>
      <c r="D3807" s="26"/>
      <c r="E3807" s="26"/>
      <c r="F3807" s="26"/>
      <c r="G3807" s="26"/>
    </row>
    <row r="3808" spans="1:7">
      <c r="A3808" s="26"/>
      <c r="B3808" s="95" t="s">
        <v>2369</v>
      </c>
      <c r="C3808" s="157" t="s">
        <v>2378</v>
      </c>
      <c r="D3808" s="95" t="s">
        <v>2370</v>
      </c>
      <c r="E3808" s="95" t="s">
        <v>1166</v>
      </c>
      <c r="F3808" s="95" t="s">
        <v>2371</v>
      </c>
      <c r="G3808" s="95" t="s">
        <v>2372</v>
      </c>
    </row>
    <row r="3809" spans="1:7">
      <c r="A3809" s="26"/>
      <c r="B3809" s="114"/>
      <c r="C3809" s="154"/>
      <c r="D3809" s="114"/>
      <c r="E3809" s="114"/>
      <c r="F3809" s="114" t="s">
        <v>3485</v>
      </c>
      <c r="G3809" s="114" t="s">
        <v>3485</v>
      </c>
    </row>
    <row r="3810" spans="1:7">
      <c r="A3810" s="26"/>
      <c r="B3810" s="95">
        <v>1</v>
      </c>
      <c r="C3810" s="95" t="s">
        <v>1130</v>
      </c>
      <c r="D3810" s="175"/>
      <c r="E3810" s="179">
        <v>0</v>
      </c>
      <c r="F3810" s="190">
        <v>0</v>
      </c>
      <c r="G3810" s="190">
        <f>E3810*F3810</f>
        <v>0</v>
      </c>
    </row>
    <row r="3811" spans="1:7">
      <c r="A3811" s="26"/>
      <c r="B3811" s="365"/>
      <c r="C3811" s="114" t="s">
        <v>4425</v>
      </c>
      <c r="D3811" s="188"/>
      <c r="E3811" s="182">
        <v>0</v>
      </c>
      <c r="F3811" s="182">
        <v>0</v>
      </c>
      <c r="G3811" s="182">
        <f>E3811*F3811</f>
        <v>0</v>
      </c>
    </row>
    <row r="3812" spans="1:7">
      <c r="A3812" s="26"/>
      <c r="B3812" s="176"/>
      <c r="C3812" s="172" t="s">
        <v>2380</v>
      </c>
      <c r="D3812" s="174"/>
      <c r="E3812" s="192"/>
      <c r="F3812" s="275" t="s">
        <v>1698</v>
      </c>
      <c r="G3812" s="434">
        <f>SUM(G3810:G3811)</f>
        <v>0</v>
      </c>
    </row>
    <row r="3813" spans="1:7">
      <c r="A3813" s="26"/>
      <c r="B3813" s="78"/>
      <c r="C3813" s="26"/>
      <c r="D3813" s="26"/>
      <c r="E3813" s="26"/>
      <c r="F3813" s="26"/>
      <c r="G3813" s="26"/>
    </row>
    <row r="3814" spans="1:7">
      <c r="A3814" s="26"/>
      <c r="B3814" s="79" t="s">
        <v>2381</v>
      </c>
      <c r="C3814" s="26"/>
      <c r="D3814" s="26"/>
      <c r="E3814" s="26"/>
      <c r="F3814" s="26"/>
      <c r="G3814" s="26"/>
    </row>
    <row r="3815" spans="1:7">
      <c r="A3815" s="26"/>
      <c r="B3815" s="95" t="s">
        <v>2369</v>
      </c>
      <c r="C3815" s="157" t="s">
        <v>2378</v>
      </c>
      <c r="D3815" s="95" t="s">
        <v>2370</v>
      </c>
      <c r="E3815" s="95" t="s">
        <v>1166</v>
      </c>
      <c r="F3815" s="95" t="s">
        <v>2371</v>
      </c>
      <c r="G3815" s="95" t="s">
        <v>2372</v>
      </c>
    </row>
    <row r="3816" spans="1:7">
      <c r="A3816" s="26"/>
      <c r="B3816" s="114"/>
      <c r="C3816" s="154"/>
      <c r="D3816" s="105"/>
      <c r="E3816" s="105"/>
      <c r="F3816" s="105" t="s">
        <v>3485</v>
      </c>
      <c r="G3816" s="114" t="s">
        <v>3485</v>
      </c>
    </row>
    <row r="3817" spans="1:7">
      <c r="A3817" s="26"/>
      <c r="B3817" s="95">
        <v>1</v>
      </c>
      <c r="C3817" s="76" t="s">
        <v>4203</v>
      </c>
      <c r="D3817" s="95" t="s">
        <v>1172</v>
      </c>
      <c r="E3817" s="179">
        <v>2.5</v>
      </c>
      <c r="F3817" s="179">
        <f>'BASIC DATA'!$C$541</f>
        <v>400</v>
      </c>
      <c r="G3817" s="207">
        <f>E3817*F3817</f>
        <v>1000</v>
      </c>
    </row>
    <row r="3818" spans="1:7">
      <c r="A3818" s="26"/>
      <c r="B3818" s="105">
        <v>2</v>
      </c>
      <c r="C3818" s="76" t="s">
        <v>4206</v>
      </c>
      <c r="D3818" s="105" t="s">
        <v>1172</v>
      </c>
      <c r="E3818" s="190">
        <v>1</v>
      </c>
      <c r="F3818" s="190">
        <f>'BASIC DATA'!$C$473</f>
        <v>450</v>
      </c>
      <c r="G3818" s="207">
        <f>E3818*F3818</f>
        <v>450</v>
      </c>
    </row>
    <row r="3819" spans="1:7">
      <c r="A3819" s="26"/>
      <c r="B3819" s="114">
        <v>3</v>
      </c>
      <c r="C3819" s="89" t="s">
        <v>2697</v>
      </c>
      <c r="D3819" s="114" t="s">
        <v>1172</v>
      </c>
      <c r="E3819" s="182">
        <v>4</v>
      </c>
      <c r="F3819" s="182">
        <f>'BASIC DATA'!$C$552</f>
        <v>350</v>
      </c>
      <c r="G3819" s="207">
        <f>E3819*F3819</f>
        <v>1400</v>
      </c>
    </row>
    <row r="3820" spans="1:7">
      <c r="A3820" s="26"/>
      <c r="B3820" s="176"/>
      <c r="C3820" s="172" t="s">
        <v>1174</v>
      </c>
      <c r="D3820" s="174"/>
      <c r="E3820" s="192"/>
      <c r="F3820" s="275" t="s">
        <v>1698</v>
      </c>
      <c r="G3820" s="318">
        <f>SUM(G3817:G3819)</f>
        <v>2850</v>
      </c>
    </row>
    <row r="3821" spans="1:7">
      <c r="A3821" s="26"/>
      <c r="B3821" s="60" t="s">
        <v>5948</v>
      </c>
      <c r="C3821" s="31"/>
      <c r="D3821" s="31"/>
      <c r="E3821" s="85">
        <f>ROUND(G3820/F3797,1)</f>
        <v>285</v>
      </c>
      <c r="F3821" s="26"/>
      <c r="G3821" s="26"/>
    </row>
    <row r="3822" spans="1:7">
      <c r="A3822" s="26"/>
      <c r="B3822" s="60" t="s">
        <v>3163</v>
      </c>
      <c r="C3822" s="31"/>
      <c r="D3822" s="31">
        <f>'BASIC DATA'!$C$577</f>
        <v>0.13614999999999999</v>
      </c>
      <c r="E3822" s="85">
        <f>ROUND(E3821*D3822,1)</f>
        <v>38.799999999999997</v>
      </c>
      <c r="F3822" s="26"/>
      <c r="G3822" s="26"/>
    </row>
    <row r="3823" spans="1:7">
      <c r="A3823" s="26"/>
      <c r="B3823" s="60" t="s">
        <v>5949</v>
      </c>
      <c r="C3823" s="31"/>
      <c r="D3823" s="31"/>
      <c r="E3823" s="199">
        <f>ROUND(E3822+E3821,1)</f>
        <v>323.8</v>
      </c>
      <c r="F3823" s="56"/>
      <c r="G3823" s="26"/>
    </row>
    <row r="3824" spans="1:7">
      <c r="A3824" s="26"/>
      <c r="B3824" s="26"/>
      <c r="C3824" s="26"/>
      <c r="D3824" s="26"/>
      <c r="E3824" s="26"/>
      <c r="F3824" s="26"/>
      <c r="G3824" s="26"/>
    </row>
    <row r="3825" spans="1:7">
      <c r="A3825" s="26"/>
      <c r="B3825" s="170" t="s">
        <v>1175</v>
      </c>
      <c r="C3825" s="26"/>
      <c r="D3825" s="26"/>
      <c r="E3825" s="26"/>
      <c r="F3825" s="26"/>
      <c r="G3825" s="26"/>
    </row>
    <row r="3826" spans="1:7">
      <c r="A3826" s="26"/>
      <c r="B3826" s="26" t="s">
        <v>5010</v>
      </c>
      <c r="C3826" s="26"/>
      <c r="D3826" s="26"/>
      <c r="E3826" s="26"/>
      <c r="F3826" s="171" t="s">
        <v>1698</v>
      </c>
      <c r="G3826" s="68">
        <f>G3805</f>
        <v>1526.45</v>
      </c>
    </row>
    <row r="3827" spans="1:7">
      <c r="A3827" s="26"/>
      <c r="B3827" s="26" t="s">
        <v>1186</v>
      </c>
      <c r="C3827" s="26"/>
      <c r="D3827" s="26"/>
      <c r="E3827" s="26"/>
      <c r="F3827" s="171" t="s">
        <v>1698</v>
      </c>
      <c r="G3827" s="68">
        <f>G3812</f>
        <v>0</v>
      </c>
    </row>
    <row r="3828" spans="1:7">
      <c r="A3828" s="26"/>
      <c r="B3828" s="26" t="s">
        <v>2660</v>
      </c>
      <c r="C3828" s="26"/>
      <c r="D3828" s="26"/>
      <c r="E3828" s="26"/>
      <c r="F3828" s="171" t="s">
        <v>1698</v>
      </c>
      <c r="G3828" s="75">
        <f>G3820</f>
        <v>2850</v>
      </c>
    </row>
    <row r="3829" spans="1:7">
      <c r="A3829" s="26"/>
      <c r="B3829" s="78"/>
      <c r="C3829" s="26"/>
      <c r="D3829" s="26"/>
      <c r="E3829" s="171"/>
      <c r="F3829" s="171" t="s">
        <v>302</v>
      </c>
      <c r="G3829" s="205">
        <f>SUM(G3826:G3828)</f>
        <v>4376.45</v>
      </c>
    </row>
    <row r="3830" spans="1:7">
      <c r="A3830" s="26"/>
      <c r="B3830" s="1206" t="s">
        <v>1379</v>
      </c>
      <c r="C3830" s="1206"/>
      <c r="D3830" s="26"/>
      <c r="E3830" s="249">
        <f>'BASIC DATA'!$C$577</f>
        <v>0.13614999999999999</v>
      </c>
      <c r="F3830" s="26" t="s">
        <v>1698</v>
      </c>
      <c r="G3830" s="26">
        <f>ROUND(G3829*E3830,2)</f>
        <v>595.85</v>
      </c>
    </row>
    <row r="3831" spans="1:7">
      <c r="A3831" s="26"/>
      <c r="B3831" s="26" t="s">
        <v>1191</v>
      </c>
      <c r="C3831" s="26"/>
      <c r="D3831" s="68">
        <f>F3797</f>
        <v>10</v>
      </c>
      <c r="E3831" s="68" t="str">
        <f>G3797</f>
        <v>Joints</v>
      </c>
      <c r="F3831" s="26" t="s">
        <v>1698</v>
      </c>
      <c r="G3831" s="170">
        <f>G3830+G3829</f>
        <v>4972.3</v>
      </c>
    </row>
    <row r="3832" spans="1:7">
      <c r="A3832" s="26"/>
      <c r="B3832" s="170" t="s">
        <v>1584</v>
      </c>
      <c r="C3832" s="211" t="s">
        <v>4714</v>
      </c>
      <c r="D3832" s="26" t="s">
        <v>5891</v>
      </c>
      <c r="E3832" s="26"/>
      <c r="F3832" s="26" t="s">
        <v>4108</v>
      </c>
      <c r="G3832" s="211">
        <f>ROUND(G3831/D3831,1)</f>
        <v>497.2</v>
      </c>
    </row>
    <row r="3833" spans="1:7">
      <c r="A3833" s="26"/>
      <c r="B3833" s="78"/>
      <c r="C3833" s="26"/>
      <c r="D3833" s="26"/>
      <c r="E3833" s="26"/>
      <c r="F3833" s="26"/>
      <c r="G3833" s="26"/>
    </row>
    <row r="3834" spans="1:7" ht="18.75">
      <c r="A3834" s="170" t="s">
        <v>478</v>
      </c>
      <c r="B3834" s="27" t="s">
        <v>8998</v>
      </c>
      <c r="C3834" s="26"/>
      <c r="D3834" s="26"/>
      <c r="E3834" s="26"/>
      <c r="F3834" s="26"/>
      <c r="G3834" s="26"/>
    </row>
    <row r="3835" spans="1:7" ht="18.75">
      <c r="A3835" s="26"/>
      <c r="B3835" s="27" t="s">
        <v>8999</v>
      </c>
      <c r="C3835" s="26"/>
      <c r="D3835" s="26"/>
      <c r="E3835" s="26"/>
      <c r="F3835" s="26"/>
      <c r="G3835" s="26"/>
    </row>
    <row r="3836" spans="1:7">
      <c r="A3836" s="26"/>
      <c r="B3836" s="27"/>
      <c r="C3836" s="26"/>
      <c r="D3836" s="26"/>
      <c r="E3836" s="26"/>
      <c r="F3836" s="26"/>
      <c r="G3836" s="26"/>
    </row>
    <row r="3837" spans="1:7" ht="18.75">
      <c r="A3837" s="78" t="s">
        <v>7147</v>
      </c>
      <c r="B3837" s="26" t="s">
        <v>9003</v>
      </c>
      <c r="C3837" s="26"/>
      <c r="D3837" s="26"/>
      <c r="E3837" s="26"/>
      <c r="F3837" s="26"/>
      <c r="G3837" s="26"/>
    </row>
    <row r="3838" spans="1:7">
      <c r="A3838" s="78"/>
      <c r="B3838" s="26" t="s">
        <v>4250</v>
      </c>
      <c r="C3838" s="26"/>
      <c r="D3838" s="26"/>
      <c r="E3838" s="26"/>
      <c r="F3838" s="26"/>
      <c r="G3838" s="26"/>
    </row>
    <row r="3839" spans="1:7" ht="18.75">
      <c r="A3839" s="78"/>
      <c r="B3839" s="26" t="s">
        <v>8997</v>
      </c>
      <c r="C3839" s="26"/>
      <c r="D3839" s="26"/>
      <c r="E3839" s="26"/>
      <c r="F3839" s="26"/>
      <c r="G3839" s="26"/>
    </row>
    <row r="3840" spans="1:7">
      <c r="A3840" s="78"/>
      <c r="B3840" s="170" t="s">
        <v>2735</v>
      </c>
      <c r="C3840" s="26"/>
      <c r="D3840" s="26"/>
      <c r="E3840" s="26"/>
      <c r="F3840" s="26"/>
      <c r="G3840" s="26"/>
    </row>
    <row r="3841" spans="1:7">
      <c r="A3841" s="78"/>
      <c r="B3841" s="170" t="s">
        <v>3063</v>
      </c>
      <c r="C3841" s="26"/>
      <c r="D3841" s="26"/>
      <c r="E3841" s="26"/>
      <c r="F3841" s="26"/>
      <c r="G3841" s="26"/>
    </row>
    <row r="3842" spans="1:7">
      <c r="A3842" s="78"/>
      <c r="B3842" s="26"/>
      <c r="C3842" s="26"/>
      <c r="D3842" s="26"/>
      <c r="E3842" s="26"/>
      <c r="F3842" s="26"/>
      <c r="G3842" s="26"/>
    </row>
    <row r="3843" spans="1:7">
      <c r="A3843" s="78" t="s">
        <v>3984</v>
      </c>
      <c r="B3843" s="26" t="s">
        <v>4251</v>
      </c>
      <c r="C3843" s="26"/>
      <c r="D3843" s="26"/>
      <c r="E3843" s="26"/>
      <c r="F3843" s="26"/>
      <c r="G3843" s="26"/>
    </row>
    <row r="3844" spans="1:7">
      <c r="A3844" s="78"/>
      <c r="B3844" s="26" t="s">
        <v>7001</v>
      </c>
      <c r="C3844" s="26"/>
      <c r="D3844" s="26"/>
      <c r="E3844" s="26"/>
      <c r="F3844" s="26">
        <v>0.31</v>
      </c>
      <c r="G3844" s="26" t="s">
        <v>3477</v>
      </c>
    </row>
    <row r="3845" spans="1:7">
      <c r="A3845" s="78"/>
      <c r="B3845" s="26" t="s">
        <v>1580</v>
      </c>
      <c r="C3845" s="26"/>
      <c r="D3845" s="68">
        <v>2.5</v>
      </c>
      <c r="E3845" s="26" t="s">
        <v>3478</v>
      </c>
      <c r="F3845" s="26"/>
      <c r="G3845" s="26"/>
    </row>
    <row r="3846" spans="1:7">
      <c r="A3846" s="78"/>
      <c r="B3846" s="26" t="s">
        <v>3722</v>
      </c>
      <c r="C3846" s="26"/>
      <c r="D3846" s="26"/>
      <c r="E3846" s="26"/>
      <c r="F3846" s="26"/>
      <c r="G3846" s="26"/>
    </row>
    <row r="3847" spans="1:7">
      <c r="A3847" s="78"/>
      <c r="B3847" s="26" t="s">
        <v>6555</v>
      </c>
      <c r="C3847" s="26"/>
      <c r="D3847" s="26"/>
      <c r="E3847" s="26"/>
      <c r="F3847" s="26"/>
      <c r="G3847" s="26"/>
    </row>
    <row r="3848" spans="1:7">
      <c r="A3848" s="26"/>
      <c r="B3848" s="78"/>
      <c r="C3848" s="26"/>
      <c r="D3848" s="26"/>
      <c r="E3848" s="26"/>
      <c r="F3848" s="26"/>
      <c r="G3848" s="26"/>
    </row>
    <row r="3849" spans="1:7">
      <c r="A3849" s="78" t="s">
        <v>3984</v>
      </c>
      <c r="B3849" s="78"/>
      <c r="C3849" s="203" t="s">
        <v>2367</v>
      </c>
      <c r="D3849" s="26"/>
      <c r="E3849" s="171" t="s">
        <v>297</v>
      </c>
      <c r="F3849" s="246">
        <v>10</v>
      </c>
      <c r="G3849" s="26" t="s">
        <v>4713</v>
      </c>
    </row>
    <row r="3850" spans="1:7">
      <c r="A3850" s="26"/>
      <c r="B3850" s="79" t="s">
        <v>2368</v>
      </c>
      <c r="C3850" s="26"/>
      <c r="D3850" s="26"/>
      <c r="E3850" s="26"/>
      <c r="F3850" s="26"/>
      <c r="G3850" s="26"/>
    </row>
    <row r="3851" spans="1:7">
      <c r="A3851" s="26"/>
      <c r="B3851" s="95" t="s">
        <v>2369</v>
      </c>
      <c r="C3851" s="157" t="s">
        <v>4443</v>
      </c>
      <c r="D3851" s="95" t="s">
        <v>2370</v>
      </c>
      <c r="E3851" s="95" t="s">
        <v>1166</v>
      </c>
      <c r="F3851" s="95" t="s">
        <v>2371</v>
      </c>
      <c r="G3851" s="95" t="s">
        <v>2372</v>
      </c>
    </row>
    <row r="3852" spans="1:7">
      <c r="A3852" s="26"/>
      <c r="B3852" s="114"/>
      <c r="C3852" s="154"/>
      <c r="D3852" s="114"/>
      <c r="E3852" s="114"/>
      <c r="F3852" s="114" t="s">
        <v>3485</v>
      </c>
      <c r="G3852" s="114" t="s">
        <v>3485</v>
      </c>
    </row>
    <row r="3853" spans="1:7">
      <c r="A3853" s="26"/>
      <c r="B3853" s="95">
        <v>1</v>
      </c>
      <c r="C3853" s="135" t="s">
        <v>5853</v>
      </c>
      <c r="D3853" s="95" t="s">
        <v>3478</v>
      </c>
      <c r="E3853" s="190">
        <v>321</v>
      </c>
      <c r="F3853" s="214">
        <f>'BASIC DATA'!$D$32/1000</f>
        <v>5.35</v>
      </c>
      <c r="G3853" s="190">
        <f>E3853*F3853</f>
        <v>1717.35</v>
      </c>
    </row>
    <row r="3854" spans="1:7">
      <c r="A3854" s="61"/>
      <c r="B3854" s="240">
        <v>2</v>
      </c>
      <c r="C3854" s="326" t="s">
        <v>6827</v>
      </c>
      <c r="D3854" s="240" t="s">
        <v>3477</v>
      </c>
      <c r="E3854" s="255">
        <v>0.31</v>
      </c>
      <c r="F3854" s="266">
        <f>'BASIC DATA'!$D$57</f>
        <v>165</v>
      </c>
      <c r="G3854" s="255">
        <f>E3854*F3854</f>
        <v>51.15</v>
      </c>
    </row>
    <row r="3855" spans="1:7">
      <c r="A3855" s="26"/>
      <c r="B3855" s="114">
        <v>3</v>
      </c>
      <c r="C3855" s="139" t="s">
        <v>6761</v>
      </c>
      <c r="D3855" s="114" t="s">
        <v>3478</v>
      </c>
      <c r="E3855" s="182">
        <v>2.5</v>
      </c>
      <c r="F3855" s="215">
        <f>'BASIC DATA'!$D$71</f>
        <v>72</v>
      </c>
      <c r="G3855" s="182">
        <f>E3855*F3855</f>
        <v>180</v>
      </c>
    </row>
    <row r="3856" spans="1:7">
      <c r="A3856" s="26"/>
      <c r="B3856" s="93"/>
      <c r="C3856" s="31" t="s">
        <v>7018</v>
      </c>
      <c r="D3856" s="31" t="s">
        <v>4043</v>
      </c>
      <c r="E3856" s="198"/>
      <c r="F3856" s="275" t="s">
        <v>1698</v>
      </c>
      <c r="G3856" s="190">
        <v>0</v>
      </c>
    </row>
    <row r="3857" spans="1:7">
      <c r="A3857" s="26"/>
      <c r="B3857" s="92"/>
      <c r="C3857" s="193" t="s">
        <v>2376</v>
      </c>
      <c r="D3857" s="159"/>
      <c r="E3857" s="238"/>
      <c r="F3857" s="236" t="s">
        <v>1698</v>
      </c>
      <c r="G3857" s="318">
        <f>SUM(G3853:G3856)</f>
        <v>1948.5</v>
      </c>
    </row>
    <row r="3858" spans="1:7">
      <c r="A3858" s="26"/>
      <c r="B3858" s="78"/>
      <c r="C3858" s="26"/>
      <c r="D3858" s="26"/>
      <c r="E3858" s="26"/>
      <c r="F3858" s="26"/>
      <c r="G3858" s="68"/>
    </row>
    <row r="3859" spans="1:7">
      <c r="A3859" s="26"/>
      <c r="B3859" s="79" t="s">
        <v>2377</v>
      </c>
      <c r="C3859" s="26"/>
      <c r="D3859" s="26"/>
      <c r="E3859" s="26"/>
      <c r="F3859" s="26"/>
      <c r="G3859" s="26"/>
    </row>
    <row r="3860" spans="1:7">
      <c r="A3860" s="26"/>
      <c r="B3860" s="95" t="s">
        <v>2369</v>
      </c>
      <c r="C3860" s="157" t="s">
        <v>2378</v>
      </c>
      <c r="D3860" s="95" t="s">
        <v>2370</v>
      </c>
      <c r="E3860" s="95" t="s">
        <v>1166</v>
      </c>
      <c r="F3860" s="95" t="s">
        <v>2371</v>
      </c>
      <c r="G3860" s="95" t="s">
        <v>2372</v>
      </c>
    </row>
    <row r="3861" spans="1:7">
      <c r="A3861" s="26"/>
      <c r="B3861" s="114"/>
      <c r="C3861" s="154"/>
      <c r="D3861" s="114"/>
      <c r="E3861" s="114"/>
      <c r="F3861" s="114" t="s">
        <v>3485</v>
      </c>
      <c r="G3861" s="114" t="s">
        <v>3485</v>
      </c>
    </row>
    <row r="3862" spans="1:7">
      <c r="A3862" s="26"/>
      <c r="B3862" s="95">
        <v>1</v>
      </c>
      <c r="C3862" s="95" t="s">
        <v>1130</v>
      </c>
      <c r="D3862" s="175"/>
      <c r="E3862" s="179">
        <v>0</v>
      </c>
      <c r="F3862" s="190">
        <v>0</v>
      </c>
      <c r="G3862" s="190">
        <f>E3862*F3862</f>
        <v>0</v>
      </c>
    </row>
    <row r="3863" spans="1:7">
      <c r="A3863" s="26"/>
      <c r="B3863" s="365"/>
      <c r="C3863" s="114" t="s">
        <v>4425</v>
      </c>
      <c r="D3863" s="188"/>
      <c r="E3863" s="182">
        <v>0</v>
      </c>
      <c r="F3863" s="182">
        <v>0</v>
      </c>
      <c r="G3863" s="190">
        <f>E3863*F3863</f>
        <v>0</v>
      </c>
    </row>
    <row r="3864" spans="1:7">
      <c r="A3864" s="26"/>
      <c r="B3864" s="176"/>
      <c r="C3864" s="172" t="s">
        <v>2380</v>
      </c>
      <c r="D3864" s="174"/>
      <c r="E3864" s="192"/>
      <c r="F3864" s="275" t="s">
        <v>1698</v>
      </c>
      <c r="G3864" s="318">
        <f>SUM(G3862:G3863)</f>
        <v>0</v>
      </c>
    </row>
    <row r="3865" spans="1:7">
      <c r="A3865" s="26"/>
      <c r="B3865" s="78"/>
      <c r="C3865" s="26"/>
      <c r="D3865" s="26"/>
      <c r="E3865" s="26"/>
      <c r="F3865" s="26"/>
      <c r="G3865" s="26"/>
    </row>
    <row r="3866" spans="1:7">
      <c r="A3866" s="26"/>
      <c r="B3866" s="79" t="s">
        <v>2381</v>
      </c>
      <c r="C3866" s="26"/>
      <c r="D3866" s="26"/>
      <c r="E3866" s="26"/>
      <c r="F3866" s="26"/>
      <c r="G3866" s="26"/>
    </row>
    <row r="3867" spans="1:7">
      <c r="A3867" s="26"/>
      <c r="B3867" s="95" t="s">
        <v>2369</v>
      </c>
      <c r="C3867" s="157" t="s">
        <v>2378</v>
      </c>
      <c r="D3867" s="95" t="s">
        <v>2370</v>
      </c>
      <c r="E3867" s="95" t="s">
        <v>1166</v>
      </c>
      <c r="F3867" s="95" t="s">
        <v>2371</v>
      </c>
      <c r="G3867" s="95" t="s">
        <v>2372</v>
      </c>
    </row>
    <row r="3868" spans="1:7">
      <c r="A3868" s="26"/>
      <c r="B3868" s="114"/>
      <c r="C3868" s="154"/>
      <c r="D3868" s="105"/>
      <c r="E3868" s="105"/>
      <c r="F3868" s="105" t="s">
        <v>3485</v>
      </c>
      <c r="G3868" s="114" t="s">
        <v>3485</v>
      </c>
    </row>
    <row r="3869" spans="1:7">
      <c r="A3869" s="26"/>
      <c r="B3869" s="95">
        <v>1</v>
      </c>
      <c r="C3869" s="76" t="s">
        <v>4203</v>
      </c>
      <c r="D3869" s="95" t="s">
        <v>1172</v>
      </c>
      <c r="E3869" s="179">
        <v>2.5</v>
      </c>
      <c r="F3869" s="179">
        <f>'BASIC DATA'!$C$541</f>
        <v>400</v>
      </c>
      <c r="G3869" s="207">
        <f>E3869*F3869</f>
        <v>1000</v>
      </c>
    </row>
    <row r="3870" spans="1:7">
      <c r="A3870" s="26"/>
      <c r="B3870" s="105">
        <v>2</v>
      </c>
      <c r="C3870" s="76" t="s">
        <v>4206</v>
      </c>
      <c r="D3870" s="105" t="s">
        <v>1172</v>
      </c>
      <c r="E3870" s="190">
        <v>1</v>
      </c>
      <c r="F3870" s="190">
        <f>'BASIC DATA'!$C$473</f>
        <v>450</v>
      </c>
      <c r="G3870" s="207">
        <f>E3870*F3870</f>
        <v>450</v>
      </c>
    </row>
    <row r="3871" spans="1:7">
      <c r="A3871" s="26"/>
      <c r="B3871" s="114">
        <v>3</v>
      </c>
      <c r="C3871" s="89" t="s">
        <v>2697</v>
      </c>
      <c r="D3871" s="114" t="s">
        <v>1172</v>
      </c>
      <c r="E3871" s="182">
        <v>4</v>
      </c>
      <c r="F3871" s="182">
        <f>'BASIC DATA'!$C$552</f>
        <v>350</v>
      </c>
      <c r="G3871" s="207">
        <f>E3871*F3871</f>
        <v>1400</v>
      </c>
    </row>
    <row r="3872" spans="1:7">
      <c r="A3872" s="26"/>
      <c r="B3872" s="176"/>
      <c r="C3872" s="172" t="s">
        <v>1174</v>
      </c>
      <c r="D3872" s="174"/>
      <c r="E3872" s="192"/>
      <c r="F3872" s="275" t="s">
        <v>1698</v>
      </c>
      <c r="G3872" s="318">
        <f>SUM(G3869:G3871)</f>
        <v>2850</v>
      </c>
    </row>
    <row r="3873" spans="1:7">
      <c r="A3873" s="26"/>
      <c r="B3873" s="60" t="s">
        <v>5948</v>
      </c>
      <c r="C3873" s="31"/>
      <c r="D3873" s="31"/>
      <c r="E3873" s="85">
        <f>ROUND(G3872/F3849,1)</f>
        <v>285</v>
      </c>
      <c r="F3873" s="26"/>
      <c r="G3873" s="26"/>
    </row>
    <row r="3874" spans="1:7">
      <c r="A3874" s="26"/>
      <c r="B3874" s="60" t="s">
        <v>3163</v>
      </c>
      <c r="C3874" s="31"/>
      <c r="D3874" s="31">
        <f>'BASIC DATA'!$C$577</f>
        <v>0.13614999999999999</v>
      </c>
      <c r="E3874" s="85">
        <f>ROUND(E3873*D3874,1)</f>
        <v>38.799999999999997</v>
      </c>
      <c r="F3874" s="26"/>
      <c r="G3874" s="26"/>
    </row>
    <row r="3875" spans="1:7">
      <c r="A3875" s="26"/>
      <c r="B3875" s="60" t="s">
        <v>5949</v>
      </c>
      <c r="C3875" s="31"/>
      <c r="D3875" s="31"/>
      <c r="E3875" s="199">
        <f>ROUND(E3874+E3873,1)</f>
        <v>323.8</v>
      </c>
      <c r="F3875" s="56"/>
      <c r="G3875" s="26"/>
    </row>
    <row r="3876" spans="1:7">
      <c r="A3876" s="26"/>
      <c r="B3876" s="78"/>
      <c r="C3876" s="26"/>
      <c r="D3876" s="26"/>
      <c r="E3876" s="26"/>
      <c r="F3876" s="26"/>
      <c r="G3876" s="26"/>
    </row>
    <row r="3877" spans="1:7">
      <c r="A3877" s="26"/>
      <c r="B3877" s="170" t="s">
        <v>1175</v>
      </c>
      <c r="C3877" s="26"/>
      <c r="D3877" s="26"/>
      <c r="E3877" s="26"/>
      <c r="F3877" s="26"/>
      <c r="G3877" s="26"/>
    </row>
    <row r="3878" spans="1:7">
      <c r="A3878" s="26"/>
      <c r="B3878" s="26" t="s">
        <v>5010</v>
      </c>
      <c r="C3878" s="26"/>
      <c r="D3878" s="26"/>
      <c r="E3878" s="26"/>
      <c r="F3878" s="171" t="s">
        <v>1698</v>
      </c>
      <c r="G3878" s="68">
        <f>G3857</f>
        <v>1948.5</v>
      </c>
    </row>
    <row r="3879" spans="1:7">
      <c r="A3879" s="26"/>
      <c r="B3879" s="26" t="s">
        <v>1186</v>
      </c>
      <c r="C3879" s="26"/>
      <c r="D3879" s="26"/>
      <c r="E3879" s="26"/>
      <c r="F3879" s="171" t="s">
        <v>1698</v>
      </c>
      <c r="G3879" s="68">
        <f>G3864</f>
        <v>0</v>
      </c>
    </row>
    <row r="3880" spans="1:7">
      <c r="A3880" s="26"/>
      <c r="B3880" s="26" t="s">
        <v>2660</v>
      </c>
      <c r="C3880" s="26"/>
      <c r="D3880" s="26"/>
      <c r="E3880" s="26"/>
      <c r="F3880" s="171" t="s">
        <v>1698</v>
      </c>
      <c r="G3880" s="75">
        <f>G3872</f>
        <v>2850</v>
      </c>
    </row>
    <row r="3881" spans="1:7">
      <c r="A3881" s="26"/>
      <c r="B3881" s="78"/>
      <c r="C3881" s="26"/>
      <c r="D3881" s="26"/>
      <c r="E3881" s="171"/>
      <c r="F3881" s="171" t="s">
        <v>302</v>
      </c>
      <c r="G3881" s="205">
        <f>SUM(G3878:G3880)</f>
        <v>4798.5</v>
      </c>
    </row>
    <row r="3882" spans="1:7">
      <c r="A3882" s="26"/>
      <c r="B3882" s="1206" t="s">
        <v>1379</v>
      </c>
      <c r="C3882" s="1206"/>
      <c r="D3882" s="26"/>
      <c r="E3882" s="249">
        <f>'BASIC DATA'!$C$577</f>
        <v>0.13614999999999999</v>
      </c>
      <c r="F3882" s="26" t="s">
        <v>1698</v>
      </c>
      <c r="G3882" s="26">
        <f>ROUND(G3881*E3882,2)</f>
        <v>653.32000000000005</v>
      </c>
    </row>
    <row r="3883" spans="1:7">
      <c r="A3883" s="26"/>
      <c r="B3883" s="26" t="s">
        <v>1191</v>
      </c>
      <c r="C3883" s="26"/>
      <c r="D3883" s="68">
        <f>F3849</f>
        <v>10</v>
      </c>
      <c r="E3883" s="68" t="str">
        <f>G3849</f>
        <v>Joints</v>
      </c>
      <c r="F3883" s="26" t="s">
        <v>1698</v>
      </c>
      <c r="G3883" s="170">
        <f>G3882+G3881</f>
        <v>5451.82</v>
      </c>
    </row>
    <row r="3884" spans="1:7">
      <c r="A3884" s="26"/>
      <c r="B3884" s="170" t="s">
        <v>1584</v>
      </c>
      <c r="C3884" s="211" t="s">
        <v>4714</v>
      </c>
      <c r="D3884" s="26" t="s">
        <v>5891</v>
      </c>
      <c r="E3884" s="26"/>
      <c r="F3884" s="26" t="s">
        <v>4108</v>
      </c>
      <c r="G3884" s="211">
        <f>ROUND(G3883/D3883,1)</f>
        <v>545.20000000000005</v>
      </c>
    </row>
    <row r="3885" spans="1:7">
      <c r="A3885" s="26"/>
      <c r="B3885" s="78"/>
      <c r="C3885" s="26"/>
      <c r="D3885" s="26"/>
      <c r="E3885" s="26"/>
      <c r="F3885" s="26"/>
      <c r="G3885" s="26"/>
    </row>
    <row r="3886" spans="1:7" ht="18.75">
      <c r="A3886" s="26" t="s">
        <v>478</v>
      </c>
      <c r="B3886" s="27" t="s">
        <v>8998</v>
      </c>
      <c r="C3886" s="26"/>
      <c r="D3886" s="26"/>
      <c r="E3886" s="26"/>
      <c r="F3886" s="26"/>
      <c r="G3886" s="26"/>
    </row>
    <row r="3887" spans="1:7" ht="18.75">
      <c r="A3887" s="26"/>
      <c r="B3887" s="27" t="s">
        <v>8999</v>
      </c>
      <c r="C3887" s="26"/>
      <c r="D3887" s="26"/>
      <c r="E3887" s="26"/>
      <c r="F3887" s="26"/>
      <c r="G3887" s="26"/>
    </row>
    <row r="3888" spans="1:7">
      <c r="A3888" s="26"/>
      <c r="B3888" s="78"/>
      <c r="C3888" s="26"/>
      <c r="D3888" s="26"/>
      <c r="E3888" s="26"/>
      <c r="F3888" s="26"/>
      <c r="G3888" s="26"/>
    </row>
    <row r="3889" spans="1:7" ht="18.75">
      <c r="A3889" s="78" t="s">
        <v>7148</v>
      </c>
      <c r="B3889" s="26" t="s">
        <v>9004</v>
      </c>
      <c r="C3889" s="26"/>
      <c r="D3889" s="26"/>
      <c r="E3889" s="26"/>
      <c r="F3889" s="26"/>
      <c r="G3889" s="26"/>
    </row>
    <row r="3890" spans="1:7">
      <c r="A3890" s="78"/>
      <c r="B3890" s="26" t="s">
        <v>4250</v>
      </c>
      <c r="C3890" s="26"/>
      <c r="D3890" s="26"/>
      <c r="E3890" s="26"/>
      <c r="F3890" s="26"/>
      <c r="G3890" s="26"/>
    </row>
    <row r="3891" spans="1:7" ht="18.75">
      <c r="A3891" s="78"/>
      <c r="B3891" s="26" t="s">
        <v>8997</v>
      </c>
      <c r="C3891" s="26"/>
      <c r="D3891" s="26"/>
      <c r="E3891" s="26"/>
      <c r="F3891" s="26"/>
      <c r="G3891" s="26"/>
    </row>
    <row r="3892" spans="1:7">
      <c r="A3892" s="78"/>
      <c r="B3892" s="170" t="s">
        <v>2735</v>
      </c>
      <c r="C3892" s="26"/>
      <c r="D3892" s="26"/>
      <c r="E3892" s="26"/>
      <c r="F3892" s="26"/>
      <c r="G3892" s="26"/>
    </row>
    <row r="3893" spans="1:7">
      <c r="A3893" s="78"/>
      <c r="B3893" s="170" t="s">
        <v>3064</v>
      </c>
      <c r="C3893" s="26"/>
      <c r="D3893" s="26"/>
      <c r="E3893" s="26"/>
      <c r="F3893" s="26"/>
      <c r="G3893" s="26"/>
    </row>
    <row r="3894" spans="1:7">
      <c r="A3894" s="78"/>
      <c r="B3894" s="26"/>
      <c r="C3894" s="26"/>
      <c r="D3894" s="26"/>
      <c r="E3894" s="26"/>
      <c r="F3894" s="26"/>
      <c r="G3894" s="26"/>
    </row>
    <row r="3895" spans="1:7">
      <c r="A3895" s="78" t="s">
        <v>3984</v>
      </c>
      <c r="B3895" s="26" t="s">
        <v>4251</v>
      </c>
      <c r="C3895" s="26"/>
      <c r="D3895" s="26"/>
      <c r="E3895" s="26"/>
      <c r="F3895" s="26"/>
      <c r="G3895" s="26"/>
    </row>
    <row r="3896" spans="1:7">
      <c r="A3896" s="78"/>
      <c r="B3896" s="26" t="s">
        <v>7002</v>
      </c>
      <c r="C3896" s="26"/>
      <c r="D3896" s="26"/>
      <c r="E3896" s="26"/>
      <c r="F3896" s="68">
        <v>0.39</v>
      </c>
      <c r="G3896" s="26" t="s">
        <v>3477</v>
      </c>
    </row>
    <row r="3897" spans="1:7">
      <c r="A3897" s="78"/>
      <c r="B3897" s="26" t="s">
        <v>1580</v>
      </c>
      <c r="C3897" s="26"/>
      <c r="D3897" s="68">
        <v>3.1</v>
      </c>
      <c r="E3897" s="26" t="s">
        <v>3478</v>
      </c>
      <c r="F3897" s="26"/>
      <c r="G3897" s="26"/>
    </row>
    <row r="3898" spans="1:7">
      <c r="A3898" s="78"/>
      <c r="B3898" s="26" t="s">
        <v>3723</v>
      </c>
      <c r="C3898" s="26"/>
      <c r="D3898" s="26"/>
      <c r="E3898" s="26"/>
      <c r="F3898" s="26"/>
      <c r="G3898" s="26"/>
    </row>
    <row r="3899" spans="1:7">
      <c r="A3899" s="78"/>
      <c r="B3899" s="26" t="s">
        <v>6555</v>
      </c>
      <c r="C3899" s="26"/>
      <c r="D3899" s="26"/>
      <c r="E3899" s="26"/>
      <c r="F3899" s="26"/>
      <c r="G3899" s="26"/>
    </row>
    <row r="3900" spans="1:7">
      <c r="A3900" s="26"/>
      <c r="B3900" s="78"/>
      <c r="C3900" s="26"/>
      <c r="D3900" s="26"/>
      <c r="E3900" s="26"/>
      <c r="F3900" s="26"/>
      <c r="G3900" s="26"/>
    </row>
    <row r="3901" spans="1:7">
      <c r="A3901" s="78" t="s">
        <v>3984</v>
      </c>
      <c r="B3901" s="78"/>
      <c r="C3901" s="203" t="s">
        <v>2367</v>
      </c>
      <c r="D3901" s="26"/>
      <c r="E3901" s="171" t="s">
        <v>297</v>
      </c>
      <c r="F3901" s="246">
        <v>10</v>
      </c>
      <c r="G3901" s="26" t="s">
        <v>4713</v>
      </c>
    </row>
    <row r="3902" spans="1:7">
      <c r="A3902" s="26"/>
      <c r="B3902" s="79" t="s">
        <v>2368</v>
      </c>
      <c r="C3902" s="26"/>
      <c r="D3902" s="26"/>
      <c r="E3902" s="26"/>
      <c r="F3902" s="26"/>
      <c r="G3902" s="26"/>
    </row>
    <row r="3903" spans="1:7">
      <c r="A3903" s="26"/>
      <c r="B3903" s="95" t="s">
        <v>2369</v>
      </c>
      <c r="C3903" s="157" t="s">
        <v>4443</v>
      </c>
      <c r="D3903" s="95" t="s">
        <v>2370</v>
      </c>
      <c r="E3903" s="95" t="s">
        <v>1166</v>
      </c>
      <c r="F3903" s="95" t="s">
        <v>2371</v>
      </c>
      <c r="G3903" s="95" t="s">
        <v>2372</v>
      </c>
    </row>
    <row r="3904" spans="1:7">
      <c r="A3904" s="26"/>
      <c r="B3904" s="114"/>
      <c r="C3904" s="154"/>
      <c r="D3904" s="114"/>
      <c r="E3904" s="114"/>
      <c r="F3904" s="114" t="s">
        <v>3485</v>
      </c>
      <c r="G3904" s="114" t="s">
        <v>3485</v>
      </c>
    </row>
    <row r="3905" spans="1:7">
      <c r="A3905" s="26"/>
      <c r="B3905" s="95">
        <v>1</v>
      </c>
      <c r="C3905" s="135" t="s">
        <v>5853</v>
      </c>
      <c r="D3905" s="95" t="s">
        <v>3478</v>
      </c>
      <c r="E3905" s="190">
        <v>396</v>
      </c>
      <c r="F3905" s="214">
        <f>'BASIC DATA'!$D$32/1000</f>
        <v>5.35</v>
      </c>
      <c r="G3905" s="190">
        <f>E3905*F3905</f>
        <v>2118.6</v>
      </c>
    </row>
    <row r="3906" spans="1:7">
      <c r="A3906" s="61"/>
      <c r="B3906" s="240">
        <v>2</v>
      </c>
      <c r="C3906" s="326" t="s">
        <v>6827</v>
      </c>
      <c r="D3906" s="240" t="s">
        <v>3477</v>
      </c>
      <c r="E3906" s="255">
        <v>0.39</v>
      </c>
      <c r="F3906" s="266">
        <f>'BASIC DATA'!$D$57</f>
        <v>165</v>
      </c>
      <c r="G3906" s="255">
        <f>E3906*F3906</f>
        <v>64.350000000000009</v>
      </c>
    </row>
    <row r="3907" spans="1:7">
      <c r="A3907" s="26"/>
      <c r="B3907" s="114">
        <v>3</v>
      </c>
      <c r="C3907" s="139" t="s">
        <v>6761</v>
      </c>
      <c r="D3907" s="114" t="s">
        <v>3478</v>
      </c>
      <c r="E3907" s="182">
        <v>3.1</v>
      </c>
      <c r="F3907" s="215">
        <f>'BASIC DATA'!$D$71</f>
        <v>72</v>
      </c>
      <c r="G3907" s="182">
        <f>E3907*F3907</f>
        <v>223.20000000000002</v>
      </c>
    </row>
    <row r="3908" spans="1:7">
      <c r="A3908" s="26"/>
      <c r="B3908" s="93"/>
      <c r="C3908" s="31" t="s">
        <v>7018</v>
      </c>
      <c r="D3908" s="31" t="s">
        <v>4043</v>
      </c>
      <c r="E3908" s="198"/>
      <c r="F3908" s="275" t="s">
        <v>1698</v>
      </c>
      <c r="G3908" s="190">
        <v>0</v>
      </c>
    </row>
    <row r="3909" spans="1:7">
      <c r="A3909" s="26"/>
      <c r="B3909" s="92"/>
      <c r="C3909" s="193" t="s">
        <v>2376</v>
      </c>
      <c r="D3909" s="159"/>
      <c r="E3909" s="238"/>
      <c r="F3909" s="236" t="s">
        <v>1698</v>
      </c>
      <c r="G3909" s="318">
        <f>SUM(G3905:G3908)</f>
        <v>2406.1499999999996</v>
      </c>
    </row>
    <row r="3910" spans="1:7">
      <c r="A3910" s="26"/>
      <c r="B3910" s="78"/>
      <c r="C3910" s="26"/>
      <c r="D3910" s="26"/>
      <c r="E3910" s="26"/>
      <c r="F3910" s="26"/>
      <c r="G3910" s="68"/>
    </row>
    <row r="3911" spans="1:7">
      <c r="A3911" s="26"/>
      <c r="B3911" s="79" t="s">
        <v>2377</v>
      </c>
      <c r="C3911" s="26"/>
      <c r="D3911" s="26"/>
      <c r="E3911" s="26"/>
      <c r="F3911" s="26"/>
      <c r="G3911" s="26"/>
    </row>
    <row r="3912" spans="1:7">
      <c r="A3912" s="26"/>
      <c r="B3912" s="95" t="s">
        <v>2369</v>
      </c>
      <c r="C3912" s="157" t="s">
        <v>2378</v>
      </c>
      <c r="D3912" s="95" t="s">
        <v>2370</v>
      </c>
      <c r="E3912" s="95" t="s">
        <v>1166</v>
      </c>
      <c r="F3912" s="95" t="s">
        <v>2371</v>
      </c>
      <c r="G3912" s="95" t="s">
        <v>2372</v>
      </c>
    </row>
    <row r="3913" spans="1:7">
      <c r="A3913" s="26"/>
      <c r="B3913" s="114"/>
      <c r="C3913" s="154"/>
      <c r="D3913" s="114"/>
      <c r="E3913" s="114"/>
      <c r="F3913" s="114" t="s">
        <v>3485</v>
      </c>
      <c r="G3913" s="114" t="s">
        <v>3485</v>
      </c>
    </row>
    <row r="3914" spans="1:7">
      <c r="A3914" s="26"/>
      <c r="B3914" s="95">
        <v>1</v>
      </c>
      <c r="C3914" s="95" t="s">
        <v>1130</v>
      </c>
      <c r="D3914" s="175"/>
      <c r="E3914" s="179">
        <v>0</v>
      </c>
      <c r="F3914" s="190">
        <v>0</v>
      </c>
      <c r="G3914" s="190">
        <f>E3914*F3914</f>
        <v>0</v>
      </c>
    </row>
    <row r="3915" spans="1:7">
      <c r="A3915" s="26"/>
      <c r="B3915" s="365"/>
      <c r="C3915" s="114" t="s">
        <v>4425</v>
      </c>
      <c r="D3915" s="188"/>
      <c r="E3915" s="182">
        <v>0</v>
      </c>
      <c r="F3915" s="190">
        <v>0</v>
      </c>
      <c r="G3915" s="190">
        <f>E3915*F3915</f>
        <v>0</v>
      </c>
    </row>
    <row r="3916" spans="1:7">
      <c r="A3916" s="26"/>
      <c r="B3916" s="176"/>
      <c r="C3916" s="172" t="s">
        <v>2380</v>
      </c>
      <c r="D3916" s="174"/>
      <c r="E3916" s="192"/>
      <c r="F3916" s="236" t="s">
        <v>1698</v>
      </c>
      <c r="G3916" s="318">
        <f>SUM(G3914:G3915)</f>
        <v>0</v>
      </c>
    </row>
    <row r="3917" spans="1:7">
      <c r="A3917" s="26"/>
      <c r="B3917" s="78"/>
      <c r="C3917" s="26"/>
      <c r="D3917" s="26"/>
      <c r="E3917" s="26"/>
      <c r="F3917" s="26"/>
      <c r="G3917" s="26"/>
    </row>
    <row r="3918" spans="1:7">
      <c r="A3918" s="26"/>
      <c r="B3918" s="79" t="s">
        <v>2381</v>
      </c>
      <c r="C3918" s="26"/>
      <c r="D3918" s="26"/>
      <c r="E3918" s="26"/>
      <c r="F3918" s="26"/>
      <c r="G3918" s="26"/>
    </row>
    <row r="3919" spans="1:7">
      <c r="A3919" s="26"/>
      <c r="B3919" s="95" t="s">
        <v>2369</v>
      </c>
      <c r="C3919" s="157" t="s">
        <v>2378</v>
      </c>
      <c r="D3919" s="95" t="s">
        <v>2370</v>
      </c>
      <c r="E3919" s="95" t="s">
        <v>1166</v>
      </c>
      <c r="F3919" s="95" t="s">
        <v>2371</v>
      </c>
      <c r="G3919" s="95" t="s">
        <v>2372</v>
      </c>
    </row>
    <row r="3920" spans="1:7">
      <c r="A3920" s="26"/>
      <c r="B3920" s="114"/>
      <c r="C3920" s="154"/>
      <c r="D3920" s="105"/>
      <c r="E3920" s="105"/>
      <c r="F3920" s="105" t="s">
        <v>3485</v>
      </c>
      <c r="G3920" s="114" t="s">
        <v>3485</v>
      </c>
    </row>
    <row r="3921" spans="1:7">
      <c r="A3921" s="26"/>
      <c r="B3921" s="95">
        <v>1</v>
      </c>
      <c r="C3921" s="76" t="s">
        <v>4203</v>
      </c>
      <c r="D3921" s="95" t="s">
        <v>1172</v>
      </c>
      <c r="E3921" s="179">
        <v>3</v>
      </c>
      <c r="F3921" s="179">
        <f>'BASIC DATA'!$C$541</f>
        <v>400</v>
      </c>
      <c r="G3921" s="207">
        <f>E3921*F3921</f>
        <v>1200</v>
      </c>
    </row>
    <row r="3922" spans="1:7">
      <c r="A3922" s="26"/>
      <c r="B3922" s="105">
        <v>2</v>
      </c>
      <c r="C3922" s="76" t="s">
        <v>4206</v>
      </c>
      <c r="D3922" s="105" t="s">
        <v>1172</v>
      </c>
      <c r="E3922" s="190">
        <v>1</v>
      </c>
      <c r="F3922" s="190">
        <f>'BASIC DATA'!$C$473</f>
        <v>450</v>
      </c>
      <c r="G3922" s="207">
        <f>E3922*F3922</f>
        <v>450</v>
      </c>
    </row>
    <row r="3923" spans="1:7">
      <c r="A3923" s="26"/>
      <c r="B3923" s="114">
        <v>3</v>
      </c>
      <c r="C3923" s="89" t="s">
        <v>2697</v>
      </c>
      <c r="D3923" s="114" t="s">
        <v>1172</v>
      </c>
      <c r="E3923" s="182">
        <v>5</v>
      </c>
      <c r="F3923" s="182">
        <f>'BASIC DATA'!$C$552</f>
        <v>350</v>
      </c>
      <c r="G3923" s="207">
        <f>E3923*F3923</f>
        <v>1750</v>
      </c>
    </row>
    <row r="3924" spans="1:7">
      <c r="A3924" s="26"/>
      <c r="B3924" s="176"/>
      <c r="C3924" s="172" t="s">
        <v>1174</v>
      </c>
      <c r="D3924" s="174"/>
      <c r="E3924" s="192"/>
      <c r="F3924" s="275" t="s">
        <v>1698</v>
      </c>
      <c r="G3924" s="318">
        <f>SUM(G3921:G3923)</f>
        <v>3400</v>
      </c>
    </row>
    <row r="3925" spans="1:7">
      <c r="A3925" s="26"/>
      <c r="B3925" s="60" t="s">
        <v>5948</v>
      </c>
      <c r="C3925" s="31"/>
      <c r="D3925" s="31"/>
      <c r="E3925" s="85">
        <f>ROUND(G3924/F3901,1)</f>
        <v>340</v>
      </c>
      <c r="F3925" s="26"/>
      <c r="G3925" s="26"/>
    </row>
    <row r="3926" spans="1:7">
      <c r="A3926" s="26"/>
      <c r="B3926" s="60" t="s">
        <v>3163</v>
      </c>
      <c r="C3926" s="31"/>
      <c r="D3926" s="31">
        <f>'BASIC DATA'!$C$577</f>
        <v>0.13614999999999999</v>
      </c>
      <c r="E3926" s="85">
        <f>ROUND(E3925*D3926,1)</f>
        <v>46.3</v>
      </c>
      <c r="F3926" s="26"/>
      <c r="G3926" s="26"/>
    </row>
    <row r="3927" spans="1:7">
      <c r="A3927" s="26"/>
      <c r="B3927" s="60" t="s">
        <v>5949</v>
      </c>
      <c r="C3927" s="31"/>
      <c r="D3927" s="31"/>
      <c r="E3927" s="199">
        <f>ROUND(E3926+E3925,1)</f>
        <v>386.3</v>
      </c>
      <c r="F3927" s="56"/>
      <c r="G3927" s="26"/>
    </row>
    <row r="3928" spans="1:7">
      <c r="A3928" s="26"/>
      <c r="B3928" s="78"/>
      <c r="C3928" s="26"/>
      <c r="D3928" s="26"/>
      <c r="E3928" s="26"/>
      <c r="F3928" s="26"/>
      <c r="G3928" s="26"/>
    </row>
    <row r="3929" spans="1:7">
      <c r="A3929" s="26"/>
      <c r="B3929" s="170" t="s">
        <v>1175</v>
      </c>
      <c r="C3929" s="26"/>
      <c r="D3929" s="26"/>
      <c r="E3929" s="26"/>
      <c r="F3929" s="26"/>
      <c r="G3929" s="26"/>
    </row>
    <row r="3930" spans="1:7">
      <c r="A3930" s="26"/>
      <c r="B3930" s="26" t="s">
        <v>5010</v>
      </c>
      <c r="C3930" s="26"/>
      <c r="D3930" s="26"/>
      <c r="E3930" s="26"/>
      <c r="F3930" s="171" t="s">
        <v>1698</v>
      </c>
      <c r="G3930" s="68">
        <f>G3909</f>
        <v>2406.1499999999996</v>
      </c>
    </row>
    <row r="3931" spans="1:7">
      <c r="A3931" s="26"/>
      <c r="B3931" s="26" t="s">
        <v>1186</v>
      </c>
      <c r="C3931" s="26"/>
      <c r="D3931" s="26"/>
      <c r="E3931" s="26"/>
      <c r="F3931" s="171" t="s">
        <v>1698</v>
      </c>
      <c r="G3931" s="68">
        <f>G3916</f>
        <v>0</v>
      </c>
    </row>
    <row r="3932" spans="1:7">
      <c r="A3932" s="26"/>
      <c r="B3932" s="26" t="s">
        <v>2660</v>
      </c>
      <c r="C3932" s="26"/>
      <c r="D3932" s="26"/>
      <c r="E3932" s="26"/>
      <c r="F3932" s="171" t="s">
        <v>1698</v>
      </c>
      <c r="G3932" s="75">
        <f>G3924</f>
        <v>3400</v>
      </c>
    </row>
    <row r="3933" spans="1:7">
      <c r="A3933" s="26"/>
      <c r="B3933" s="78"/>
      <c r="C3933" s="26"/>
      <c r="D3933" s="26"/>
      <c r="E3933" s="171"/>
      <c r="F3933" s="171" t="s">
        <v>302</v>
      </c>
      <c r="G3933" s="205">
        <f>SUM(G3930:G3932)</f>
        <v>5806.15</v>
      </c>
    </row>
    <row r="3934" spans="1:7">
      <c r="A3934" s="26"/>
      <c r="B3934" s="1206" t="s">
        <v>1379</v>
      </c>
      <c r="C3934" s="1206"/>
      <c r="D3934" s="26"/>
      <c r="E3934" s="249">
        <f>'BASIC DATA'!$C$577</f>
        <v>0.13614999999999999</v>
      </c>
      <c r="F3934" s="26" t="s">
        <v>1698</v>
      </c>
      <c r="G3934" s="26">
        <f>ROUND(G3933*E3934,2)</f>
        <v>790.51</v>
      </c>
    </row>
    <row r="3935" spans="1:7">
      <c r="A3935" s="26"/>
      <c r="B3935" s="26" t="s">
        <v>1191</v>
      </c>
      <c r="C3935" s="26"/>
      <c r="D3935" s="68">
        <f>F3901</f>
        <v>10</v>
      </c>
      <c r="E3935" s="68" t="str">
        <f>G3901</f>
        <v>Joints</v>
      </c>
      <c r="F3935" s="26" t="s">
        <v>1698</v>
      </c>
      <c r="G3935" s="170">
        <f>G3934+G3933</f>
        <v>6596.66</v>
      </c>
    </row>
    <row r="3936" spans="1:7">
      <c r="A3936" s="26"/>
      <c r="B3936" s="170" t="s">
        <v>1584</v>
      </c>
      <c r="C3936" s="211" t="s">
        <v>4714</v>
      </c>
      <c r="D3936" s="26" t="s">
        <v>5891</v>
      </c>
      <c r="E3936" s="26"/>
      <c r="F3936" s="26" t="s">
        <v>4108</v>
      </c>
      <c r="G3936" s="211">
        <f>ROUND(G3935/D3935,1)</f>
        <v>659.7</v>
      </c>
    </row>
    <row r="3937" spans="1:7">
      <c r="A3937" s="26"/>
      <c r="B3937" s="78"/>
      <c r="C3937" s="26"/>
      <c r="D3937" s="26"/>
      <c r="E3937" s="26"/>
      <c r="F3937" s="26"/>
      <c r="G3937" s="26"/>
    </row>
    <row r="3938" spans="1:7" ht="18.75">
      <c r="A3938" s="26" t="s">
        <v>478</v>
      </c>
      <c r="B3938" s="27" t="s">
        <v>8998</v>
      </c>
      <c r="C3938" s="26"/>
      <c r="D3938" s="26"/>
      <c r="E3938" s="26"/>
      <c r="F3938" s="26"/>
      <c r="G3938" s="26"/>
    </row>
    <row r="3939" spans="1:7" ht="18.75">
      <c r="A3939" s="26"/>
      <c r="B3939" s="27" t="s">
        <v>8999</v>
      </c>
      <c r="C3939" s="26"/>
      <c r="D3939" s="26"/>
      <c r="E3939" s="26"/>
      <c r="F3939" s="26"/>
      <c r="G3939" s="26"/>
    </row>
    <row r="3940" spans="1:7">
      <c r="A3940" s="26"/>
      <c r="B3940" s="78"/>
      <c r="C3940" s="26"/>
      <c r="D3940" s="26"/>
      <c r="E3940" s="26"/>
      <c r="F3940" s="26"/>
      <c r="G3940" s="26"/>
    </row>
    <row r="3941" spans="1:7" ht="18.75">
      <c r="A3941" s="78" t="s">
        <v>7149</v>
      </c>
      <c r="B3941" s="26" t="s">
        <v>9005</v>
      </c>
      <c r="C3941" s="26"/>
      <c r="D3941" s="26"/>
      <c r="E3941" s="26"/>
      <c r="F3941" s="26"/>
      <c r="G3941" s="26"/>
    </row>
    <row r="3942" spans="1:7">
      <c r="A3942" s="78"/>
      <c r="B3942" s="26" t="s">
        <v>4250</v>
      </c>
      <c r="C3942" s="26"/>
      <c r="D3942" s="26"/>
      <c r="E3942" s="26"/>
      <c r="F3942" s="26"/>
      <c r="G3942" s="26"/>
    </row>
    <row r="3943" spans="1:7" ht="18.75">
      <c r="A3943" s="78"/>
      <c r="B3943" s="26" t="s">
        <v>9006</v>
      </c>
      <c r="C3943" s="26"/>
      <c r="D3943" s="26"/>
      <c r="E3943" s="26"/>
      <c r="F3943" s="26"/>
      <c r="G3943" s="26"/>
    </row>
    <row r="3944" spans="1:7">
      <c r="A3944" s="78"/>
      <c r="B3944" s="170" t="s">
        <v>2735</v>
      </c>
      <c r="C3944" s="26"/>
      <c r="D3944" s="26"/>
      <c r="E3944" s="26"/>
      <c r="F3944" s="26"/>
      <c r="G3944" s="26"/>
    </row>
    <row r="3945" spans="1:7">
      <c r="A3945" s="78"/>
      <c r="B3945" s="170" t="s">
        <v>3065</v>
      </c>
      <c r="C3945" s="26"/>
      <c r="D3945" s="26"/>
      <c r="E3945" s="26"/>
      <c r="F3945" s="26"/>
      <c r="G3945" s="26"/>
    </row>
    <row r="3946" spans="1:7">
      <c r="A3946" s="78"/>
      <c r="B3946" s="26"/>
      <c r="C3946" s="26"/>
      <c r="D3946" s="26"/>
      <c r="E3946" s="26"/>
      <c r="F3946" s="26"/>
      <c r="G3946" s="26"/>
    </row>
    <row r="3947" spans="1:7">
      <c r="A3947" s="78" t="s">
        <v>3984</v>
      </c>
      <c r="B3947" s="26" t="s">
        <v>4251</v>
      </c>
      <c r="C3947" s="26"/>
      <c r="D3947" s="26"/>
      <c r="E3947" s="26"/>
      <c r="F3947" s="26"/>
      <c r="G3947" s="26"/>
    </row>
    <row r="3948" spans="1:7">
      <c r="A3948" s="78"/>
      <c r="B3948" s="26" t="s">
        <v>658</v>
      </c>
      <c r="C3948" s="26"/>
      <c r="D3948" s="26"/>
      <c r="E3948" s="26"/>
      <c r="F3948" s="26">
        <v>0.45</v>
      </c>
      <c r="G3948" s="26" t="s">
        <v>3477</v>
      </c>
    </row>
    <row r="3949" spans="1:7">
      <c r="A3949" s="78"/>
      <c r="B3949" s="26" t="s">
        <v>1580</v>
      </c>
      <c r="C3949" s="26"/>
      <c r="D3949" s="68">
        <v>3.4</v>
      </c>
      <c r="E3949" s="26" t="s">
        <v>3478</v>
      </c>
      <c r="F3949" s="26"/>
      <c r="G3949" s="26"/>
    </row>
    <row r="3950" spans="1:7">
      <c r="A3950" s="78"/>
      <c r="B3950" s="26" t="s">
        <v>3723</v>
      </c>
      <c r="C3950" s="26"/>
      <c r="D3950" s="26"/>
      <c r="E3950" s="26"/>
      <c r="F3950" s="26"/>
      <c r="G3950" s="26"/>
    </row>
    <row r="3951" spans="1:7">
      <c r="A3951" s="78"/>
      <c r="B3951" s="26" t="s">
        <v>6555</v>
      </c>
      <c r="C3951" s="26"/>
      <c r="D3951" s="26"/>
      <c r="E3951" s="26"/>
      <c r="F3951" s="26"/>
      <c r="G3951" s="26"/>
    </row>
    <row r="3952" spans="1:7">
      <c r="A3952" s="26"/>
      <c r="B3952" s="78"/>
      <c r="C3952" s="26"/>
      <c r="D3952" s="26"/>
      <c r="E3952" s="26"/>
      <c r="F3952" s="26"/>
      <c r="G3952" s="26"/>
    </row>
    <row r="3953" spans="1:7">
      <c r="A3953" s="78" t="s">
        <v>3984</v>
      </c>
      <c r="B3953" s="78"/>
      <c r="C3953" s="203" t="s">
        <v>2367</v>
      </c>
      <c r="D3953" s="26"/>
      <c r="E3953" s="171" t="s">
        <v>297</v>
      </c>
      <c r="F3953" s="246">
        <v>10</v>
      </c>
      <c r="G3953" s="26" t="s">
        <v>4713</v>
      </c>
    </row>
    <row r="3954" spans="1:7">
      <c r="A3954" s="26"/>
      <c r="B3954" s="79" t="s">
        <v>2368</v>
      </c>
      <c r="C3954" s="26"/>
      <c r="D3954" s="26"/>
      <c r="E3954" s="26"/>
      <c r="F3954" s="26"/>
      <c r="G3954" s="26"/>
    </row>
    <row r="3955" spans="1:7">
      <c r="A3955" s="26"/>
      <c r="B3955" s="95" t="s">
        <v>2369</v>
      </c>
      <c r="C3955" s="157" t="s">
        <v>4443</v>
      </c>
      <c r="D3955" s="95" t="s">
        <v>2370</v>
      </c>
      <c r="E3955" s="95" t="s">
        <v>1166</v>
      </c>
      <c r="F3955" s="95" t="s">
        <v>2371</v>
      </c>
      <c r="G3955" s="95" t="s">
        <v>2372</v>
      </c>
    </row>
    <row r="3956" spans="1:7">
      <c r="A3956" s="26"/>
      <c r="B3956" s="114"/>
      <c r="C3956" s="154"/>
      <c r="D3956" s="114"/>
      <c r="E3956" s="114"/>
      <c r="F3956" s="114" t="s">
        <v>3485</v>
      </c>
      <c r="G3956" s="114" t="s">
        <v>3485</v>
      </c>
    </row>
    <row r="3957" spans="1:7">
      <c r="A3957" s="26"/>
      <c r="B3957" s="95">
        <v>1</v>
      </c>
      <c r="C3957" s="135" t="s">
        <v>5853</v>
      </c>
      <c r="D3957" s="95" t="s">
        <v>3478</v>
      </c>
      <c r="E3957" s="190">
        <v>446</v>
      </c>
      <c r="F3957" s="214">
        <f>'BASIC DATA'!$D$32/1000</f>
        <v>5.35</v>
      </c>
      <c r="G3957" s="190">
        <f>E3957*F3957</f>
        <v>2386.1</v>
      </c>
    </row>
    <row r="3958" spans="1:7">
      <c r="A3958" s="61"/>
      <c r="B3958" s="240">
        <v>2</v>
      </c>
      <c r="C3958" s="326" t="s">
        <v>6827</v>
      </c>
      <c r="D3958" s="240" t="s">
        <v>3477</v>
      </c>
      <c r="E3958" s="255">
        <v>0.45</v>
      </c>
      <c r="F3958" s="266">
        <f>'BASIC DATA'!$D$57</f>
        <v>165</v>
      </c>
      <c r="G3958" s="255">
        <f>E3958*F3958</f>
        <v>74.25</v>
      </c>
    </row>
    <row r="3959" spans="1:7">
      <c r="A3959" s="26"/>
      <c r="B3959" s="114">
        <v>3</v>
      </c>
      <c r="C3959" s="139" t="s">
        <v>6761</v>
      </c>
      <c r="D3959" s="114" t="s">
        <v>3478</v>
      </c>
      <c r="E3959" s="182">
        <v>3.4</v>
      </c>
      <c r="F3959" s="215">
        <f>'BASIC DATA'!$D$71</f>
        <v>72</v>
      </c>
      <c r="G3959" s="182">
        <f>E3959*F3959</f>
        <v>244.79999999999998</v>
      </c>
    </row>
    <row r="3960" spans="1:7">
      <c r="A3960" s="26"/>
      <c r="B3960" s="93"/>
      <c r="C3960" s="31" t="s">
        <v>7018</v>
      </c>
      <c r="D3960" s="31" t="s">
        <v>4043</v>
      </c>
      <c r="E3960" s="198"/>
      <c r="F3960" s="275" t="s">
        <v>1698</v>
      </c>
      <c r="G3960" s="190">
        <v>0</v>
      </c>
    </row>
    <row r="3961" spans="1:7">
      <c r="A3961" s="26"/>
      <c r="B3961" s="92"/>
      <c r="C3961" s="193" t="s">
        <v>2376</v>
      </c>
      <c r="D3961" s="159"/>
      <c r="E3961" s="238"/>
      <c r="F3961" s="236" t="s">
        <v>1698</v>
      </c>
      <c r="G3961" s="318">
        <f>SUM(G3957:G3960)</f>
        <v>2705.15</v>
      </c>
    </row>
    <row r="3962" spans="1:7">
      <c r="A3962" s="26"/>
      <c r="B3962" s="78"/>
      <c r="C3962" s="26"/>
      <c r="D3962" s="26"/>
      <c r="E3962" s="26"/>
      <c r="F3962" s="26"/>
      <c r="G3962" s="68"/>
    </row>
    <row r="3963" spans="1:7">
      <c r="A3963" s="26"/>
      <c r="B3963" s="79" t="s">
        <v>2377</v>
      </c>
      <c r="C3963" s="26"/>
      <c r="D3963" s="26"/>
      <c r="E3963" s="26"/>
      <c r="F3963" s="26"/>
      <c r="G3963" s="26"/>
    </row>
    <row r="3964" spans="1:7">
      <c r="A3964" s="26"/>
      <c r="B3964" s="95" t="s">
        <v>2369</v>
      </c>
      <c r="C3964" s="157" t="s">
        <v>2378</v>
      </c>
      <c r="D3964" s="95" t="s">
        <v>2370</v>
      </c>
      <c r="E3964" s="95" t="s">
        <v>1166</v>
      </c>
      <c r="F3964" s="95" t="s">
        <v>2371</v>
      </c>
      <c r="G3964" s="95" t="s">
        <v>2372</v>
      </c>
    </row>
    <row r="3965" spans="1:7">
      <c r="A3965" s="26"/>
      <c r="B3965" s="114"/>
      <c r="C3965" s="154"/>
      <c r="D3965" s="114"/>
      <c r="E3965" s="114"/>
      <c r="F3965" s="114" t="s">
        <v>3485</v>
      </c>
      <c r="G3965" s="114" t="s">
        <v>3485</v>
      </c>
    </row>
    <row r="3966" spans="1:7">
      <c r="A3966" s="26"/>
      <c r="B3966" s="95">
        <v>1</v>
      </c>
      <c r="C3966" s="95" t="s">
        <v>1130</v>
      </c>
      <c r="D3966" s="175"/>
      <c r="E3966" s="179">
        <v>0</v>
      </c>
      <c r="F3966" s="190">
        <v>0</v>
      </c>
      <c r="G3966" s="190">
        <f>E3966*F3966</f>
        <v>0</v>
      </c>
    </row>
    <row r="3967" spans="1:7">
      <c r="A3967" s="26"/>
      <c r="B3967" s="365"/>
      <c r="C3967" s="114" t="s">
        <v>4425</v>
      </c>
      <c r="D3967" s="188"/>
      <c r="E3967" s="182">
        <v>0</v>
      </c>
      <c r="F3967" s="182">
        <v>0</v>
      </c>
      <c r="G3967" s="190">
        <f>E3967*F3967</f>
        <v>0</v>
      </c>
    </row>
    <row r="3968" spans="1:7">
      <c r="A3968" s="26"/>
      <c r="B3968" s="176"/>
      <c r="C3968" s="172" t="s">
        <v>2380</v>
      </c>
      <c r="D3968" s="174"/>
      <c r="E3968" s="192"/>
      <c r="F3968" s="275" t="s">
        <v>1698</v>
      </c>
      <c r="G3968" s="318">
        <f>SUM(G3966:G3967)</f>
        <v>0</v>
      </c>
    </row>
    <row r="3969" spans="1:7">
      <c r="A3969" s="26"/>
      <c r="B3969" s="78"/>
      <c r="C3969" s="26"/>
      <c r="D3969" s="26"/>
      <c r="E3969" s="26"/>
      <c r="F3969" s="26"/>
      <c r="G3969" s="26"/>
    </row>
    <row r="3970" spans="1:7">
      <c r="A3970" s="26"/>
      <c r="B3970" s="79" t="s">
        <v>2381</v>
      </c>
      <c r="C3970" s="26"/>
      <c r="D3970" s="26"/>
      <c r="E3970" s="26"/>
      <c r="F3970" s="26"/>
      <c r="G3970" s="26"/>
    </row>
    <row r="3971" spans="1:7">
      <c r="A3971" s="26"/>
      <c r="B3971" s="95" t="s">
        <v>2369</v>
      </c>
      <c r="C3971" s="157" t="s">
        <v>2378</v>
      </c>
      <c r="D3971" s="95" t="s">
        <v>2370</v>
      </c>
      <c r="E3971" s="95" t="s">
        <v>1166</v>
      </c>
      <c r="F3971" s="95" t="s">
        <v>2371</v>
      </c>
      <c r="G3971" s="95" t="s">
        <v>2372</v>
      </c>
    </row>
    <row r="3972" spans="1:7">
      <c r="A3972" s="26"/>
      <c r="B3972" s="114"/>
      <c r="C3972" s="154"/>
      <c r="D3972" s="105"/>
      <c r="E3972" s="105"/>
      <c r="F3972" s="105" t="s">
        <v>3485</v>
      </c>
      <c r="G3972" s="114" t="s">
        <v>3485</v>
      </c>
    </row>
    <row r="3973" spans="1:7">
      <c r="A3973" s="26"/>
      <c r="B3973" s="95">
        <v>1</v>
      </c>
      <c r="C3973" s="76" t="s">
        <v>4203</v>
      </c>
      <c r="D3973" s="95" t="s">
        <v>1172</v>
      </c>
      <c r="E3973" s="179">
        <v>3</v>
      </c>
      <c r="F3973" s="179">
        <f>'BASIC DATA'!$C$541</f>
        <v>400</v>
      </c>
      <c r="G3973" s="207">
        <f>E3973*F3973</f>
        <v>1200</v>
      </c>
    </row>
    <row r="3974" spans="1:7">
      <c r="A3974" s="26"/>
      <c r="B3974" s="105">
        <v>2</v>
      </c>
      <c r="C3974" s="76" t="s">
        <v>4206</v>
      </c>
      <c r="D3974" s="105" t="s">
        <v>1172</v>
      </c>
      <c r="E3974" s="190">
        <v>1</v>
      </c>
      <c r="F3974" s="190">
        <f>'BASIC DATA'!$C$473</f>
        <v>450</v>
      </c>
      <c r="G3974" s="207">
        <f>E3974*F3974</f>
        <v>450</v>
      </c>
    </row>
    <row r="3975" spans="1:7">
      <c r="A3975" s="26"/>
      <c r="B3975" s="114">
        <v>3</v>
      </c>
      <c r="C3975" s="89" t="s">
        <v>2697</v>
      </c>
      <c r="D3975" s="114" t="s">
        <v>1172</v>
      </c>
      <c r="E3975" s="182">
        <v>5</v>
      </c>
      <c r="F3975" s="182">
        <f>'BASIC DATA'!$C$552</f>
        <v>350</v>
      </c>
      <c r="G3975" s="207">
        <f>E3975*F3975</f>
        <v>1750</v>
      </c>
    </row>
    <row r="3976" spans="1:7">
      <c r="A3976" s="26"/>
      <c r="B3976" s="176"/>
      <c r="C3976" s="172" t="s">
        <v>1174</v>
      </c>
      <c r="D3976" s="174"/>
      <c r="E3976" s="192"/>
      <c r="F3976" s="275" t="s">
        <v>1698</v>
      </c>
      <c r="G3976" s="318">
        <f>SUM(G3973:G3975)</f>
        <v>3400</v>
      </c>
    </row>
    <row r="3977" spans="1:7">
      <c r="A3977" s="26"/>
      <c r="B3977" s="60" t="s">
        <v>5948</v>
      </c>
      <c r="C3977" s="31"/>
      <c r="D3977" s="31"/>
      <c r="E3977" s="85">
        <f>ROUND(G3976/F3953,1)</f>
        <v>340</v>
      </c>
      <c r="F3977" s="26"/>
      <c r="G3977" s="26"/>
    </row>
    <row r="3978" spans="1:7">
      <c r="A3978" s="26"/>
      <c r="B3978" s="60" t="s">
        <v>3163</v>
      </c>
      <c r="C3978" s="31"/>
      <c r="D3978" s="31">
        <f>'BASIC DATA'!$C$577</f>
        <v>0.13614999999999999</v>
      </c>
      <c r="E3978" s="85">
        <f>ROUND(E3977*D3978,1)</f>
        <v>46.3</v>
      </c>
      <c r="F3978" s="26"/>
      <c r="G3978" s="26"/>
    </row>
    <row r="3979" spans="1:7">
      <c r="A3979" s="26"/>
      <c r="B3979" s="60" t="s">
        <v>5949</v>
      </c>
      <c r="C3979" s="31"/>
      <c r="D3979" s="31"/>
      <c r="E3979" s="199">
        <f>ROUND(E3978+E3977,1)</f>
        <v>386.3</v>
      </c>
      <c r="F3979" s="56"/>
      <c r="G3979" s="26"/>
    </row>
    <row r="3980" spans="1:7">
      <c r="A3980" s="26"/>
      <c r="B3980" s="78"/>
      <c r="C3980" s="26"/>
      <c r="D3980" s="26"/>
      <c r="E3980" s="26"/>
      <c r="F3980" s="26"/>
      <c r="G3980" s="26"/>
    </row>
    <row r="3981" spans="1:7">
      <c r="A3981" s="26"/>
      <c r="B3981" s="170" t="s">
        <v>1175</v>
      </c>
      <c r="C3981" s="26"/>
      <c r="D3981" s="26"/>
      <c r="E3981" s="26"/>
      <c r="F3981" s="26"/>
      <c r="G3981" s="26"/>
    </row>
    <row r="3982" spans="1:7">
      <c r="A3982" s="26"/>
      <c r="B3982" s="26" t="s">
        <v>5010</v>
      </c>
      <c r="C3982" s="26"/>
      <c r="D3982" s="26"/>
      <c r="E3982" s="26"/>
      <c r="F3982" s="171" t="s">
        <v>1698</v>
      </c>
      <c r="G3982" s="68">
        <f>G3961</f>
        <v>2705.15</v>
      </c>
    </row>
    <row r="3983" spans="1:7">
      <c r="A3983" s="26"/>
      <c r="B3983" s="26" t="s">
        <v>1186</v>
      </c>
      <c r="C3983" s="26"/>
      <c r="D3983" s="26"/>
      <c r="E3983" s="26"/>
      <c r="F3983" s="171" t="s">
        <v>1698</v>
      </c>
      <c r="G3983" s="68">
        <f>G3968</f>
        <v>0</v>
      </c>
    </row>
    <row r="3984" spans="1:7">
      <c r="A3984" s="26"/>
      <c r="B3984" s="26" t="s">
        <v>2660</v>
      </c>
      <c r="C3984" s="26"/>
      <c r="D3984" s="26"/>
      <c r="E3984" s="26"/>
      <c r="F3984" s="171" t="s">
        <v>1698</v>
      </c>
      <c r="G3984" s="75">
        <f>G3976</f>
        <v>3400</v>
      </c>
    </row>
    <row r="3985" spans="1:7">
      <c r="A3985" s="26"/>
      <c r="B3985" s="78"/>
      <c r="C3985" s="26"/>
      <c r="D3985" s="26"/>
      <c r="E3985" s="171"/>
      <c r="F3985" s="171" t="s">
        <v>302</v>
      </c>
      <c r="G3985" s="205">
        <f>SUM(G3982:G3984)</f>
        <v>6105.15</v>
      </c>
    </row>
    <row r="3986" spans="1:7">
      <c r="A3986" s="26"/>
      <c r="B3986" s="1206" t="s">
        <v>1379</v>
      </c>
      <c r="C3986" s="1206"/>
      <c r="D3986" s="26"/>
      <c r="E3986" s="249">
        <f>'BASIC DATA'!$C$577</f>
        <v>0.13614999999999999</v>
      </c>
      <c r="F3986" s="26" t="s">
        <v>1698</v>
      </c>
      <c r="G3986" s="26">
        <f>ROUND(G3985*E3986,2)</f>
        <v>831.22</v>
      </c>
    </row>
    <row r="3987" spans="1:7">
      <c r="A3987" s="26"/>
      <c r="B3987" s="26" t="s">
        <v>1191</v>
      </c>
      <c r="C3987" s="26"/>
      <c r="D3987" s="68">
        <f>F3953</f>
        <v>10</v>
      </c>
      <c r="E3987" s="68" t="str">
        <f>G3953</f>
        <v>Joints</v>
      </c>
      <c r="F3987" s="26" t="s">
        <v>1698</v>
      </c>
      <c r="G3987" s="170">
        <f>G3986+G3985</f>
        <v>6936.37</v>
      </c>
    </row>
    <row r="3988" spans="1:7">
      <c r="A3988" s="26"/>
      <c r="B3988" s="170" t="s">
        <v>1584</v>
      </c>
      <c r="C3988" s="211" t="s">
        <v>4714</v>
      </c>
      <c r="D3988" s="26" t="s">
        <v>5891</v>
      </c>
      <c r="E3988" s="26"/>
      <c r="F3988" s="26" t="s">
        <v>4108</v>
      </c>
      <c r="G3988" s="211">
        <f>ROUND(G3987/D3987,1)</f>
        <v>693.6</v>
      </c>
    </row>
    <row r="3989" spans="1:7">
      <c r="A3989" s="26"/>
      <c r="B3989" s="78"/>
      <c r="C3989" s="26"/>
      <c r="D3989" s="26"/>
      <c r="E3989" s="26"/>
      <c r="F3989" s="26"/>
      <c r="G3989" s="26"/>
    </row>
    <row r="3990" spans="1:7" ht="18.75">
      <c r="A3990" s="26" t="s">
        <v>478</v>
      </c>
      <c r="B3990" s="27" t="s">
        <v>8998</v>
      </c>
      <c r="C3990" s="26"/>
      <c r="D3990" s="26"/>
      <c r="E3990" s="26"/>
      <c r="F3990" s="26"/>
      <c r="G3990" s="26"/>
    </row>
    <row r="3991" spans="1:7" ht="18.75">
      <c r="A3991" s="26"/>
      <c r="B3991" s="27" t="s">
        <v>8999</v>
      </c>
      <c r="C3991" s="26"/>
      <c r="D3991" s="26"/>
      <c r="E3991" s="26"/>
      <c r="F3991" s="26"/>
      <c r="G3991" s="26"/>
    </row>
    <row r="3992" spans="1:7">
      <c r="A3992" s="26"/>
      <c r="B3992" s="78"/>
      <c r="C3992" s="26"/>
      <c r="D3992" s="26"/>
      <c r="E3992" s="26"/>
      <c r="F3992" s="26"/>
      <c r="G3992" s="26"/>
    </row>
    <row r="3993" spans="1:7" ht="18.75">
      <c r="A3993" s="78" t="s">
        <v>7150</v>
      </c>
      <c r="B3993" s="26" t="s">
        <v>9007</v>
      </c>
      <c r="C3993" s="26"/>
      <c r="D3993" s="26"/>
      <c r="E3993" s="26"/>
      <c r="F3993" s="26"/>
      <c r="G3993" s="26"/>
    </row>
    <row r="3994" spans="1:7">
      <c r="A3994" s="78"/>
      <c r="B3994" s="26" t="s">
        <v>4250</v>
      </c>
      <c r="C3994" s="26"/>
      <c r="D3994" s="26"/>
      <c r="E3994" s="26"/>
      <c r="F3994" s="26"/>
      <c r="G3994" s="26"/>
    </row>
    <row r="3995" spans="1:7" ht="18.75">
      <c r="A3995" s="78"/>
      <c r="B3995" s="26" t="s">
        <v>8997</v>
      </c>
      <c r="C3995" s="26"/>
      <c r="D3995" s="26"/>
      <c r="E3995" s="26"/>
      <c r="F3995" s="26"/>
      <c r="G3995" s="26"/>
    </row>
    <row r="3996" spans="1:7">
      <c r="A3996" s="78"/>
      <c r="B3996" s="170" t="s">
        <v>2735</v>
      </c>
      <c r="C3996" s="26"/>
      <c r="D3996" s="26"/>
      <c r="E3996" s="26"/>
      <c r="F3996" s="26"/>
      <c r="G3996" s="26"/>
    </row>
    <row r="3997" spans="1:7">
      <c r="A3997" s="78"/>
      <c r="B3997" s="170" t="s">
        <v>3066</v>
      </c>
      <c r="C3997" s="26"/>
      <c r="D3997" s="26"/>
      <c r="E3997" s="26"/>
      <c r="F3997" s="26"/>
      <c r="G3997" s="26"/>
    </row>
    <row r="3998" spans="1:7">
      <c r="A3998" s="78"/>
      <c r="B3998" s="26"/>
      <c r="C3998" s="26"/>
      <c r="D3998" s="26"/>
      <c r="E3998" s="26"/>
      <c r="F3998" s="26"/>
      <c r="G3998" s="26"/>
    </row>
    <row r="3999" spans="1:7">
      <c r="A3999" s="78" t="s">
        <v>3984</v>
      </c>
      <c r="B3999" s="26" t="s">
        <v>4251</v>
      </c>
      <c r="C3999" s="26"/>
      <c r="D3999" s="26"/>
      <c r="E3999" s="26"/>
      <c r="F3999" s="26"/>
      <c r="G3999" s="26"/>
    </row>
    <row r="4000" spans="1:7">
      <c r="A4000" s="78"/>
      <c r="B4000" s="26" t="s">
        <v>659</v>
      </c>
      <c r="C4000" s="26"/>
      <c r="D4000" s="26"/>
      <c r="E4000" s="26"/>
      <c r="F4000" s="26">
        <v>0.5</v>
      </c>
      <c r="G4000" s="26" t="s">
        <v>3477</v>
      </c>
    </row>
    <row r="4001" spans="1:7">
      <c r="A4001" s="78"/>
      <c r="B4001" s="26" t="s">
        <v>1580</v>
      </c>
      <c r="C4001" s="26"/>
      <c r="D4001" s="26">
        <v>3.77</v>
      </c>
      <c r="E4001" s="26" t="s">
        <v>3478</v>
      </c>
      <c r="F4001" s="26"/>
      <c r="G4001" s="26"/>
    </row>
    <row r="4002" spans="1:7">
      <c r="A4002" s="78"/>
      <c r="B4002" s="26" t="s">
        <v>3724</v>
      </c>
      <c r="C4002" s="26"/>
      <c r="D4002" s="26"/>
      <c r="E4002" s="26"/>
      <c r="F4002" s="26"/>
      <c r="G4002" s="26"/>
    </row>
    <row r="4003" spans="1:7">
      <c r="A4003" s="78"/>
      <c r="B4003" s="26" t="s">
        <v>6555</v>
      </c>
      <c r="C4003" s="26"/>
      <c r="D4003" s="26"/>
      <c r="E4003" s="26"/>
      <c r="F4003" s="26"/>
      <c r="G4003" s="26"/>
    </row>
    <row r="4004" spans="1:7">
      <c r="A4004" s="26"/>
      <c r="B4004" s="78"/>
      <c r="C4004" s="26"/>
      <c r="D4004" s="26"/>
      <c r="E4004" s="26"/>
      <c r="F4004" s="26"/>
      <c r="G4004" s="26"/>
    </row>
    <row r="4005" spans="1:7">
      <c r="A4005" s="26"/>
      <c r="B4005" s="78"/>
      <c r="C4005" s="26"/>
      <c r="D4005" s="26"/>
      <c r="E4005" s="26"/>
      <c r="F4005" s="26"/>
      <c r="G4005" s="26"/>
    </row>
    <row r="4006" spans="1:7">
      <c r="A4006" s="78" t="s">
        <v>3984</v>
      </c>
      <c r="B4006" s="78"/>
      <c r="C4006" s="203" t="s">
        <v>2367</v>
      </c>
      <c r="D4006" s="26"/>
      <c r="E4006" s="171" t="s">
        <v>297</v>
      </c>
      <c r="F4006" s="246">
        <v>10</v>
      </c>
      <c r="G4006" s="26" t="s">
        <v>4713</v>
      </c>
    </row>
    <row r="4007" spans="1:7">
      <c r="A4007" s="26"/>
      <c r="B4007" s="79" t="s">
        <v>2368</v>
      </c>
      <c r="C4007" s="26"/>
      <c r="D4007" s="26"/>
      <c r="E4007" s="26"/>
      <c r="F4007" s="26"/>
      <c r="G4007" s="26"/>
    </row>
    <row r="4008" spans="1:7">
      <c r="A4008" s="26"/>
      <c r="B4008" s="95" t="s">
        <v>2369</v>
      </c>
      <c r="C4008" s="157" t="s">
        <v>4443</v>
      </c>
      <c r="D4008" s="95" t="s">
        <v>2370</v>
      </c>
      <c r="E4008" s="95" t="s">
        <v>1166</v>
      </c>
      <c r="F4008" s="95" t="s">
        <v>2371</v>
      </c>
      <c r="G4008" s="95" t="s">
        <v>2372</v>
      </c>
    </row>
    <row r="4009" spans="1:7">
      <c r="A4009" s="26"/>
      <c r="B4009" s="114"/>
      <c r="C4009" s="154"/>
      <c r="D4009" s="114"/>
      <c r="E4009" s="114"/>
      <c r="F4009" s="114" t="s">
        <v>3485</v>
      </c>
      <c r="G4009" s="114" t="s">
        <v>3485</v>
      </c>
    </row>
    <row r="4010" spans="1:7">
      <c r="A4010" s="26"/>
      <c r="B4010" s="95">
        <v>1</v>
      </c>
      <c r="C4010" s="135" t="s">
        <v>5853</v>
      </c>
      <c r="D4010" s="95" t="s">
        <v>3478</v>
      </c>
      <c r="E4010" s="190">
        <v>495</v>
      </c>
      <c r="F4010" s="214">
        <f>'BASIC DATA'!$D$32/1000</f>
        <v>5.35</v>
      </c>
      <c r="G4010" s="190">
        <f>E4010*F4010</f>
        <v>2648.25</v>
      </c>
    </row>
    <row r="4011" spans="1:7">
      <c r="A4011" s="61"/>
      <c r="B4011" s="240">
        <v>2</v>
      </c>
      <c r="C4011" s="326" t="s">
        <v>6827</v>
      </c>
      <c r="D4011" s="240" t="s">
        <v>3477</v>
      </c>
      <c r="E4011" s="255">
        <v>0.5</v>
      </c>
      <c r="F4011" s="266">
        <f>'BASIC DATA'!$D$57</f>
        <v>165</v>
      </c>
      <c r="G4011" s="255">
        <f>E4011*F4011</f>
        <v>82.5</v>
      </c>
    </row>
    <row r="4012" spans="1:7">
      <c r="A4012" s="26"/>
      <c r="B4012" s="114">
        <v>3</v>
      </c>
      <c r="C4012" s="139" t="s">
        <v>6761</v>
      </c>
      <c r="D4012" s="114" t="s">
        <v>3478</v>
      </c>
      <c r="E4012" s="182">
        <v>3.77</v>
      </c>
      <c r="F4012" s="215">
        <f>'BASIC DATA'!$D$71</f>
        <v>72</v>
      </c>
      <c r="G4012" s="182">
        <f>E4012*F4012</f>
        <v>271.44</v>
      </c>
    </row>
    <row r="4013" spans="1:7">
      <c r="A4013" s="26"/>
      <c r="B4013" s="93"/>
      <c r="C4013" s="31" t="s">
        <v>7018</v>
      </c>
      <c r="D4013" s="31" t="s">
        <v>4043</v>
      </c>
      <c r="E4013" s="198"/>
      <c r="F4013" s="275" t="s">
        <v>1698</v>
      </c>
      <c r="G4013" s="190">
        <v>0</v>
      </c>
    </row>
    <row r="4014" spans="1:7">
      <c r="A4014" s="26"/>
      <c r="B4014" s="92"/>
      <c r="C4014" s="193" t="s">
        <v>2376</v>
      </c>
      <c r="D4014" s="159"/>
      <c r="E4014" s="238"/>
      <c r="F4014" s="236" t="s">
        <v>1698</v>
      </c>
      <c r="G4014" s="318">
        <f>SUM(G4010:G4013)</f>
        <v>3002.19</v>
      </c>
    </row>
    <row r="4015" spans="1:7">
      <c r="A4015" s="26"/>
      <c r="B4015" s="78"/>
      <c r="C4015" s="26"/>
      <c r="D4015" s="26"/>
      <c r="E4015" s="26"/>
      <c r="F4015" s="26"/>
      <c r="G4015" s="68"/>
    </row>
    <row r="4016" spans="1:7">
      <c r="A4016" s="26"/>
      <c r="B4016" s="79" t="s">
        <v>2377</v>
      </c>
      <c r="C4016" s="26"/>
      <c r="D4016" s="26"/>
      <c r="E4016" s="26"/>
      <c r="F4016" s="26"/>
      <c r="G4016" s="26"/>
    </row>
    <row r="4017" spans="1:7">
      <c r="A4017" s="26"/>
      <c r="B4017" s="95" t="s">
        <v>2369</v>
      </c>
      <c r="C4017" s="157" t="s">
        <v>2378</v>
      </c>
      <c r="D4017" s="95" t="s">
        <v>2370</v>
      </c>
      <c r="E4017" s="95" t="s">
        <v>1166</v>
      </c>
      <c r="F4017" s="95" t="s">
        <v>2371</v>
      </c>
      <c r="G4017" s="95" t="s">
        <v>2372</v>
      </c>
    </row>
    <row r="4018" spans="1:7">
      <c r="A4018" s="26"/>
      <c r="B4018" s="114"/>
      <c r="C4018" s="154"/>
      <c r="D4018" s="114"/>
      <c r="E4018" s="114"/>
      <c r="F4018" s="114" t="s">
        <v>3485</v>
      </c>
      <c r="G4018" s="114" t="s">
        <v>3485</v>
      </c>
    </row>
    <row r="4019" spans="1:7">
      <c r="A4019" s="26"/>
      <c r="B4019" s="95">
        <v>1</v>
      </c>
      <c r="C4019" s="95" t="s">
        <v>1130</v>
      </c>
      <c r="D4019" s="175"/>
      <c r="E4019" s="179">
        <v>0</v>
      </c>
      <c r="F4019" s="190">
        <v>0</v>
      </c>
      <c r="G4019" s="190">
        <f>E4019*F4019</f>
        <v>0</v>
      </c>
    </row>
    <row r="4020" spans="1:7">
      <c r="A4020" s="26"/>
      <c r="B4020" s="365"/>
      <c r="C4020" s="114" t="s">
        <v>4425</v>
      </c>
      <c r="D4020" s="188"/>
      <c r="E4020" s="182">
        <v>0</v>
      </c>
      <c r="F4020" s="182">
        <v>0</v>
      </c>
      <c r="G4020" s="190">
        <f>E4020*F4020</f>
        <v>0</v>
      </c>
    </row>
    <row r="4021" spans="1:7">
      <c r="A4021" s="26"/>
      <c r="B4021" s="176"/>
      <c r="C4021" s="172" t="s">
        <v>2380</v>
      </c>
      <c r="D4021" s="174"/>
      <c r="E4021" s="192"/>
      <c r="F4021" s="275" t="s">
        <v>1698</v>
      </c>
      <c r="G4021" s="318">
        <f>SUM(G4019:G4020)</f>
        <v>0</v>
      </c>
    </row>
    <row r="4022" spans="1:7">
      <c r="A4022" s="26"/>
      <c r="B4022" s="78"/>
      <c r="C4022" s="26"/>
      <c r="D4022" s="26"/>
      <c r="E4022" s="26"/>
      <c r="F4022" s="26"/>
      <c r="G4022" s="26"/>
    </row>
    <row r="4023" spans="1:7">
      <c r="A4023" s="26"/>
      <c r="B4023" s="79" t="s">
        <v>2381</v>
      </c>
      <c r="C4023" s="26"/>
      <c r="D4023" s="26"/>
      <c r="E4023" s="26"/>
      <c r="F4023" s="26"/>
      <c r="G4023" s="26"/>
    </row>
    <row r="4024" spans="1:7">
      <c r="A4024" s="26"/>
      <c r="B4024" s="95" t="s">
        <v>2369</v>
      </c>
      <c r="C4024" s="157" t="s">
        <v>2378</v>
      </c>
      <c r="D4024" s="95" t="s">
        <v>2370</v>
      </c>
      <c r="E4024" s="95" t="s">
        <v>1166</v>
      </c>
      <c r="F4024" s="95" t="s">
        <v>2371</v>
      </c>
      <c r="G4024" s="95" t="s">
        <v>2372</v>
      </c>
    </row>
    <row r="4025" spans="1:7">
      <c r="A4025" s="26"/>
      <c r="B4025" s="114"/>
      <c r="C4025" s="154"/>
      <c r="D4025" s="105"/>
      <c r="E4025" s="105"/>
      <c r="F4025" s="105" t="s">
        <v>3485</v>
      </c>
      <c r="G4025" s="114" t="s">
        <v>3485</v>
      </c>
    </row>
    <row r="4026" spans="1:7">
      <c r="A4026" s="26"/>
      <c r="B4026" s="95">
        <v>1</v>
      </c>
      <c r="C4026" s="76" t="s">
        <v>4203</v>
      </c>
      <c r="D4026" s="95" t="s">
        <v>1172</v>
      </c>
      <c r="E4026" s="179">
        <v>3</v>
      </c>
      <c r="F4026" s="179">
        <f>'BASIC DATA'!$C$541</f>
        <v>400</v>
      </c>
      <c r="G4026" s="207">
        <f>E4026*F4026</f>
        <v>1200</v>
      </c>
    </row>
    <row r="4027" spans="1:7">
      <c r="A4027" s="26"/>
      <c r="B4027" s="105">
        <v>2</v>
      </c>
      <c r="C4027" s="76" t="s">
        <v>4206</v>
      </c>
      <c r="D4027" s="105" t="s">
        <v>1172</v>
      </c>
      <c r="E4027" s="190">
        <v>1</v>
      </c>
      <c r="F4027" s="190">
        <f>'BASIC DATA'!$C$473</f>
        <v>450</v>
      </c>
      <c r="G4027" s="207">
        <f>E4027*F4027</f>
        <v>450</v>
      </c>
    </row>
    <row r="4028" spans="1:7">
      <c r="A4028" s="26"/>
      <c r="B4028" s="114">
        <v>3</v>
      </c>
      <c r="C4028" s="89" t="s">
        <v>2697</v>
      </c>
      <c r="D4028" s="114" t="s">
        <v>1172</v>
      </c>
      <c r="E4028" s="182">
        <v>6</v>
      </c>
      <c r="F4028" s="182">
        <f>'BASIC DATA'!$C$552</f>
        <v>350</v>
      </c>
      <c r="G4028" s="207">
        <f>E4028*F4028</f>
        <v>2100</v>
      </c>
    </row>
    <row r="4029" spans="1:7">
      <c r="A4029" s="26"/>
      <c r="B4029" s="176"/>
      <c r="C4029" s="172" t="s">
        <v>1174</v>
      </c>
      <c r="D4029" s="174"/>
      <c r="E4029" s="192"/>
      <c r="F4029" s="275" t="s">
        <v>1698</v>
      </c>
      <c r="G4029" s="318">
        <f>SUM(G4026:G4028)</f>
        <v>3750</v>
      </c>
    </row>
    <row r="4030" spans="1:7">
      <c r="A4030" s="26"/>
      <c r="B4030" s="60" t="s">
        <v>5948</v>
      </c>
      <c r="C4030" s="31"/>
      <c r="D4030" s="31"/>
      <c r="E4030" s="85">
        <f>ROUND(G4029/F4006,1)</f>
        <v>375</v>
      </c>
      <c r="F4030" s="26"/>
      <c r="G4030" s="26"/>
    </row>
    <row r="4031" spans="1:7">
      <c r="A4031" s="26"/>
      <c r="B4031" s="60" t="s">
        <v>3163</v>
      </c>
      <c r="C4031" s="31"/>
      <c r="D4031" s="31">
        <f>'BASIC DATA'!$C$577</f>
        <v>0.13614999999999999</v>
      </c>
      <c r="E4031" s="85">
        <f>ROUND(E4030*D4031,1)</f>
        <v>51.1</v>
      </c>
      <c r="F4031" s="26"/>
      <c r="G4031" s="26"/>
    </row>
    <row r="4032" spans="1:7">
      <c r="A4032" s="26"/>
      <c r="B4032" s="60" t="s">
        <v>5949</v>
      </c>
      <c r="C4032" s="31"/>
      <c r="D4032" s="31"/>
      <c r="E4032" s="199">
        <f>ROUND(E4031+E4030,1)</f>
        <v>426.1</v>
      </c>
      <c r="F4032" s="56"/>
      <c r="G4032" s="26"/>
    </row>
    <row r="4033" spans="1:7">
      <c r="A4033" s="26"/>
      <c r="B4033" s="78"/>
      <c r="C4033" s="26"/>
      <c r="D4033" s="26"/>
      <c r="E4033" s="26"/>
      <c r="F4033" s="26"/>
      <c r="G4033" s="26"/>
    </row>
    <row r="4034" spans="1:7">
      <c r="A4034" s="26"/>
      <c r="B4034" s="170" t="s">
        <v>1175</v>
      </c>
      <c r="C4034" s="26"/>
      <c r="D4034" s="26"/>
      <c r="E4034" s="26"/>
      <c r="F4034" s="26"/>
      <c r="G4034" s="26"/>
    </row>
    <row r="4035" spans="1:7">
      <c r="A4035" s="26"/>
      <c r="B4035" s="26" t="s">
        <v>5010</v>
      </c>
      <c r="C4035" s="26"/>
      <c r="D4035" s="26"/>
      <c r="E4035" s="26"/>
      <c r="F4035" s="171" t="s">
        <v>1698</v>
      </c>
      <c r="G4035" s="68">
        <f>G4014</f>
        <v>3002.19</v>
      </c>
    </row>
    <row r="4036" spans="1:7">
      <c r="A4036" s="26"/>
      <c r="B4036" s="26" t="s">
        <v>1186</v>
      </c>
      <c r="C4036" s="26"/>
      <c r="D4036" s="26"/>
      <c r="E4036" s="26"/>
      <c r="F4036" s="171" t="s">
        <v>1698</v>
      </c>
      <c r="G4036" s="68">
        <f>G4021</f>
        <v>0</v>
      </c>
    </row>
    <row r="4037" spans="1:7">
      <c r="A4037" s="26"/>
      <c r="B4037" s="26" t="s">
        <v>2660</v>
      </c>
      <c r="C4037" s="26"/>
      <c r="D4037" s="26"/>
      <c r="E4037" s="26"/>
      <c r="F4037" s="171" t="s">
        <v>1698</v>
      </c>
      <c r="G4037" s="75">
        <f>G4029</f>
        <v>3750</v>
      </c>
    </row>
    <row r="4038" spans="1:7">
      <c r="A4038" s="26"/>
      <c r="B4038" s="78"/>
      <c r="C4038" s="26"/>
      <c r="D4038" s="26"/>
      <c r="E4038" s="171"/>
      <c r="F4038" s="171" t="s">
        <v>302</v>
      </c>
      <c r="G4038" s="205">
        <f>SUM(G4035:G4037)</f>
        <v>6752.1900000000005</v>
      </c>
    </row>
    <row r="4039" spans="1:7">
      <c r="A4039" s="26"/>
      <c r="B4039" s="1206" t="s">
        <v>1379</v>
      </c>
      <c r="C4039" s="1206"/>
      <c r="D4039" s="26"/>
      <c r="E4039" s="249">
        <f>'BASIC DATA'!$C$577</f>
        <v>0.13614999999999999</v>
      </c>
      <c r="F4039" s="26" t="s">
        <v>1698</v>
      </c>
      <c r="G4039" s="26">
        <f>ROUND(G4038*E4039,2)</f>
        <v>919.31</v>
      </c>
    </row>
    <row r="4040" spans="1:7">
      <c r="A4040" s="26"/>
      <c r="B4040" s="26" t="s">
        <v>1191</v>
      </c>
      <c r="C4040" s="26"/>
      <c r="D4040" s="68">
        <f>F4006</f>
        <v>10</v>
      </c>
      <c r="E4040" s="68" t="str">
        <f>G4006</f>
        <v>Joints</v>
      </c>
      <c r="F4040" s="26" t="s">
        <v>1698</v>
      </c>
      <c r="G4040" s="170">
        <f>G4039+G4038</f>
        <v>7671.5</v>
      </c>
    </row>
    <row r="4041" spans="1:7">
      <c r="A4041" s="26"/>
      <c r="B4041" s="170" t="s">
        <v>1584</v>
      </c>
      <c r="C4041" s="211" t="s">
        <v>4714</v>
      </c>
      <c r="D4041" s="26" t="s">
        <v>5891</v>
      </c>
      <c r="E4041" s="26"/>
      <c r="F4041" s="26" t="s">
        <v>4108</v>
      </c>
      <c r="G4041" s="211">
        <f>ROUND(G4040/D4040,1)</f>
        <v>767.2</v>
      </c>
    </row>
    <row r="4042" spans="1:7">
      <c r="A4042" s="26"/>
      <c r="B4042" s="78"/>
      <c r="C4042" s="26"/>
      <c r="D4042" s="26"/>
      <c r="E4042" s="26"/>
      <c r="F4042" s="26"/>
      <c r="G4042" s="26"/>
    </row>
    <row r="4043" spans="1:7" ht="18.75">
      <c r="A4043" s="26" t="s">
        <v>478</v>
      </c>
      <c r="B4043" s="27" t="s">
        <v>8998</v>
      </c>
      <c r="C4043" s="26"/>
      <c r="D4043" s="26"/>
      <c r="E4043" s="26"/>
      <c r="F4043" s="26"/>
      <c r="G4043" s="26"/>
    </row>
    <row r="4044" spans="1:7" ht="18.75">
      <c r="A4044" s="26"/>
      <c r="B4044" s="27" t="s">
        <v>8999</v>
      </c>
      <c r="C4044" s="26"/>
      <c r="D4044" s="26"/>
      <c r="E4044" s="26"/>
      <c r="F4044" s="26"/>
      <c r="G4044" s="26"/>
    </row>
    <row r="4045" spans="1:7">
      <c r="A4045" s="26"/>
      <c r="B4045" s="78"/>
      <c r="C4045" s="26"/>
      <c r="D4045" s="26"/>
      <c r="E4045" s="26"/>
      <c r="F4045" s="26"/>
      <c r="G4045" s="26"/>
    </row>
    <row r="4046" spans="1:7" ht="18.75">
      <c r="A4046" s="78" t="s">
        <v>7151</v>
      </c>
      <c r="B4046" s="26" t="s">
        <v>9008</v>
      </c>
      <c r="C4046" s="26"/>
      <c r="D4046" s="26"/>
      <c r="E4046" s="26"/>
      <c r="F4046" s="26"/>
      <c r="G4046" s="26"/>
    </row>
    <row r="4047" spans="1:7">
      <c r="A4047" s="78"/>
      <c r="B4047" s="26" t="s">
        <v>4250</v>
      </c>
      <c r="C4047" s="26"/>
      <c r="D4047" s="26"/>
      <c r="E4047" s="26"/>
      <c r="F4047" s="26"/>
      <c r="G4047" s="26"/>
    </row>
    <row r="4048" spans="1:7">
      <c r="A4048" s="78"/>
      <c r="B4048" s="26" t="s">
        <v>4844</v>
      </c>
      <c r="C4048" s="26"/>
      <c r="D4048" s="26"/>
      <c r="E4048" s="26"/>
      <c r="F4048" s="26"/>
      <c r="G4048" s="26"/>
    </row>
    <row r="4049" spans="1:7">
      <c r="A4049" s="78"/>
      <c r="B4049" s="170" t="s">
        <v>2735</v>
      </c>
      <c r="C4049" s="26"/>
      <c r="D4049" s="26"/>
      <c r="E4049" s="26"/>
      <c r="F4049" s="26"/>
      <c r="G4049" s="26"/>
    </row>
    <row r="4050" spans="1:7">
      <c r="A4050" s="78"/>
      <c r="B4050" s="170" t="s">
        <v>3067</v>
      </c>
      <c r="C4050" s="26"/>
      <c r="D4050" s="26"/>
      <c r="E4050" s="26"/>
      <c r="F4050" s="26"/>
      <c r="G4050" s="26"/>
    </row>
    <row r="4051" spans="1:7">
      <c r="A4051" s="78"/>
      <c r="B4051" s="26"/>
      <c r="C4051" s="26"/>
      <c r="D4051" s="26"/>
      <c r="E4051" s="26"/>
      <c r="F4051" s="26"/>
      <c r="G4051" s="26"/>
    </row>
    <row r="4052" spans="1:7">
      <c r="A4052" s="78" t="s">
        <v>3984</v>
      </c>
      <c r="B4052" s="26" t="s">
        <v>4251</v>
      </c>
      <c r="C4052" s="26"/>
      <c r="D4052" s="26"/>
      <c r="E4052" s="26"/>
      <c r="F4052" s="26"/>
      <c r="G4052" s="26"/>
    </row>
    <row r="4053" spans="1:7">
      <c r="A4053" s="78"/>
      <c r="B4053" s="26" t="s">
        <v>1733</v>
      </c>
      <c r="C4053" s="26"/>
      <c r="D4053" s="26"/>
      <c r="E4053" s="26"/>
      <c r="F4053" s="26">
        <v>0.57999999999999996</v>
      </c>
      <c r="G4053" s="26" t="s">
        <v>3477</v>
      </c>
    </row>
    <row r="4054" spans="1:7">
      <c r="A4054" s="78"/>
      <c r="B4054" s="26" t="s">
        <v>1580</v>
      </c>
      <c r="C4054" s="26"/>
      <c r="D4054" s="26">
        <v>4.1500000000000004</v>
      </c>
      <c r="E4054" s="26" t="s">
        <v>3478</v>
      </c>
      <c r="F4054" s="26"/>
      <c r="G4054" s="26"/>
    </row>
    <row r="4055" spans="1:7">
      <c r="A4055" s="78"/>
      <c r="B4055" s="26" t="s">
        <v>3724</v>
      </c>
      <c r="C4055" s="26"/>
      <c r="D4055" s="26"/>
      <c r="E4055" s="26"/>
      <c r="F4055" s="26"/>
      <c r="G4055" s="26"/>
    </row>
    <row r="4056" spans="1:7">
      <c r="A4056" s="78"/>
      <c r="B4056" s="26" t="s">
        <v>6555</v>
      </c>
      <c r="C4056" s="26"/>
      <c r="D4056" s="26"/>
      <c r="E4056" s="26"/>
      <c r="F4056" s="26"/>
      <c r="G4056" s="26"/>
    </row>
    <row r="4057" spans="1:7">
      <c r="A4057" s="26"/>
      <c r="B4057" s="78"/>
      <c r="C4057" s="26"/>
      <c r="D4057" s="26"/>
      <c r="E4057" s="26"/>
      <c r="F4057" s="26"/>
      <c r="G4057" s="26"/>
    </row>
    <row r="4058" spans="1:7">
      <c r="A4058" s="78" t="s">
        <v>3984</v>
      </c>
      <c r="B4058" s="78"/>
      <c r="C4058" s="203" t="s">
        <v>2367</v>
      </c>
      <c r="D4058" s="26"/>
      <c r="E4058" s="171" t="s">
        <v>297</v>
      </c>
      <c r="F4058" s="246">
        <v>10</v>
      </c>
      <c r="G4058" s="26" t="s">
        <v>4713</v>
      </c>
    </row>
    <row r="4059" spans="1:7">
      <c r="A4059" s="26"/>
      <c r="B4059" s="79" t="s">
        <v>2368</v>
      </c>
      <c r="C4059" s="26"/>
      <c r="D4059" s="26"/>
      <c r="E4059" s="26"/>
      <c r="F4059" s="26"/>
      <c r="G4059" s="26"/>
    </row>
    <row r="4060" spans="1:7">
      <c r="A4060" s="26"/>
      <c r="B4060" s="95" t="s">
        <v>2369</v>
      </c>
      <c r="C4060" s="157" t="s">
        <v>4443</v>
      </c>
      <c r="D4060" s="95" t="s">
        <v>2370</v>
      </c>
      <c r="E4060" s="95" t="s">
        <v>1166</v>
      </c>
      <c r="F4060" s="95" t="s">
        <v>2371</v>
      </c>
      <c r="G4060" s="95" t="s">
        <v>2372</v>
      </c>
    </row>
    <row r="4061" spans="1:7">
      <c r="A4061" s="26"/>
      <c r="B4061" s="114"/>
      <c r="C4061" s="154"/>
      <c r="D4061" s="114"/>
      <c r="E4061" s="114"/>
      <c r="F4061" s="114" t="s">
        <v>3485</v>
      </c>
      <c r="G4061" s="114" t="s">
        <v>3485</v>
      </c>
    </row>
    <row r="4062" spans="1:7">
      <c r="A4062" s="26"/>
      <c r="B4062" s="95">
        <v>1</v>
      </c>
      <c r="C4062" s="135" t="s">
        <v>5853</v>
      </c>
      <c r="D4062" s="95" t="s">
        <v>3478</v>
      </c>
      <c r="E4062" s="190">
        <v>569</v>
      </c>
      <c r="F4062" s="214">
        <f>'BASIC DATA'!$D$32/1000</f>
        <v>5.35</v>
      </c>
      <c r="G4062" s="190">
        <f>E4062*F4062</f>
        <v>3044.1499999999996</v>
      </c>
    </row>
    <row r="4063" spans="1:7">
      <c r="A4063" s="61"/>
      <c r="B4063" s="240">
        <v>2</v>
      </c>
      <c r="C4063" s="326" t="s">
        <v>6827</v>
      </c>
      <c r="D4063" s="240" t="s">
        <v>3477</v>
      </c>
      <c r="E4063" s="255">
        <v>0.57999999999999996</v>
      </c>
      <c r="F4063" s="266">
        <f>'BASIC DATA'!$D$57</f>
        <v>165</v>
      </c>
      <c r="G4063" s="255">
        <f>E4063*F4063</f>
        <v>95.699999999999989</v>
      </c>
    </row>
    <row r="4064" spans="1:7">
      <c r="A4064" s="26"/>
      <c r="B4064" s="114">
        <v>3</v>
      </c>
      <c r="C4064" s="139" t="s">
        <v>6761</v>
      </c>
      <c r="D4064" s="114" t="s">
        <v>3478</v>
      </c>
      <c r="E4064" s="182">
        <v>4.1500000000000004</v>
      </c>
      <c r="F4064" s="215">
        <f>'BASIC DATA'!$D$71</f>
        <v>72</v>
      </c>
      <c r="G4064" s="182">
        <f>E4064*F4064</f>
        <v>298.8</v>
      </c>
    </row>
    <row r="4065" spans="1:7">
      <c r="A4065" s="26"/>
      <c r="B4065" s="93"/>
      <c r="C4065" s="31" t="s">
        <v>7018</v>
      </c>
      <c r="D4065" s="31" t="s">
        <v>4043</v>
      </c>
      <c r="E4065" s="198"/>
      <c r="F4065" s="275" t="s">
        <v>1698</v>
      </c>
      <c r="G4065" s="190">
        <v>0</v>
      </c>
    </row>
    <row r="4066" spans="1:7">
      <c r="A4066" s="26"/>
      <c r="B4066" s="92"/>
      <c r="C4066" s="193" t="s">
        <v>2376</v>
      </c>
      <c r="D4066" s="159"/>
      <c r="E4066" s="238"/>
      <c r="F4066" s="236" t="s">
        <v>1698</v>
      </c>
      <c r="G4066" s="318">
        <f>SUM(G4062:G4065)</f>
        <v>3438.6499999999996</v>
      </c>
    </row>
    <row r="4067" spans="1:7">
      <c r="A4067" s="26"/>
      <c r="B4067" s="78"/>
      <c r="C4067" s="26"/>
      <c r="D4067" s="26"/>
      <c r="E4067" s="26"/>
      <c r="F4067" s="26"/>
      <c r="G4067" s="68"/>
    </row>
    <row r="4068" spans="1:7">
      <c r="A4068" s="26"/>
      <c r="B4068" s="79" t="s">
        <v>2377</v>
      </c>
      <c r="C4068" s="26"/>
      <c r="D4068" s="26"/>
      <c r="E4068" s="26"/>
      <c r="F4068" s="26"/>
      <c r="G4068" s="26"/>
    </row>
    <row r="4069" spans="1:7">
      <c r="A4069" s="26"/>
      <c r="B4069" s="95" t="s">
        <v>2369</v>
      </c>
      <c r="C4069" s="157" t="s">
        <v>2378</v>
      </c>
      <c r="D4069" s="95" t="s">
        <v>2370</v>
      </c>
      <c r="E4069" s="95" t="s">
        <v>1166</v>
      </c>
      <c r="F4069" s="95" t="s">
        <v>2371</v>
      </c>
      <c r="G4069" s="95" t="s">
        <v>2372</v>
      </c>
    </row>
    <row r="4070" spans="1:7">
      <c r="A4070" s="26"/>
      <c r="B4070" s="114"/>
      <c r="C4070" s="154"/>
      <c r="D4070" s="114"/>
      <c r="E4070" s="114"/>
      <c r="F4070" s="114" t="s">
        <v>3485</v>
      </c>
      <c r="G4070" s="114" t="s">
        <v>3485</v>
      </c>
    </row>
    <row r="4071" spans="1:7">
      <c r="A4071" s="26"/>
      <c r="B4071" s="95">
        <v>1</v>
      </c>
      <c r="C4071" s="95" t="s">
        <v>1130</v>
      </c>
      <c r="D4071" s="175"/>
      <c r="E4071" s="179">
        <v>0</v>
      </c>
      <c r="F4071" s="190">
        <v>0</v>
      </c>
      <c r="G4071" s="190">
        <f>E4071*F4071</f>
        <v>0</v>
      </c>
    </row>
    <row r="4072" spans="1:7">
      <c r="A4072" s="26"/>
      <c r="B4072" s="365"/>
      <c r="C4072" s="114" t="s">
        <v>4425</v>
      </c>
      <c r="D4072" s="188"/>
      <c r="E4072" s="182">
        <v>0</v>
      </c>
      <c r="F4072" s="182">
        <v>0</v>
      </c>
      <c r="G4072" s="182">
        <f>E4072*F4072</f>
        <v>0</v>
      </c>
    </row>
    <row r="4073" spans="1:7">
      <c r="A4073" s="26"/>
      <c r="B4073" s="176"/>
      <c r="C4073" s="172" t="s">
        <v>2380</v>
      </c>
      <c r="D4073" s="174"/>
      <c r="E4073" s="192"/>
      <c r="F4073" s="275" t="s">
        <v>1698</v>
      </c>
      <c r="G4073" s="434">
        <f>SUM(G4071:G4072)</f>
        <v>0</v>
      </c>
    </row>
    <row r="4074" spans="1:7">
      <c r="A4074" s="26"/>
      <c r="B4074" s="78"/>
      <c r="C4074" s="26"/>
      <c r="D4074" s="26"/>
      <c r="E4074" s="26"/>
      <c r="F4074" s="26"/>
      <c r="G4074" s="26"/>
    </row>
    <row r="4075" spans="1:7">
      <c r="A4075" s="26"/>
      <c r="B4075" s="79" t="s">
        <v>2381</v>
      </c>
      <c r="C4075" s="26"/>
      <c r="D4075" s="26"/>
      <c r="E4075" s="26"/>
      <c r="F4075" s="26"/>
      <c r="G4075" s="26"/>
    </row>
    <row r="4076" spans="1:7">
      <c r="A4076" s="26"/>
      <c r="B4076" s="95" t="s">
        <v>2369</v>
      </c>
      <c r="C4076" s="157" t="s">
        <v>2378</v>
      </c>
      <c r="D4076" s="95" t="s">
        <v>2370</v>
      </c>
      <c r="E4076" s="95" t="s">
        <v>1166</v>
      </c>
      <c r="F4076" s="95" t="s">
        <v>2371</v>
      </c>
      <c r="G4076" s="95" t="s">
        <v>2372</v>
      </c>
    </row>
    <row r="4077" spans="1:7">
      <c r="A4077" s="26"/>
      <c r="B4077" s="114"/>
      <c r="C4077" s="154"/>
      <c r="D4077" s="105"/>
      <c r="E4077" s="105"/>
      <c r="F4077" s="105" t="s">
        <v>3485</v>
      </c>
      <c r="G4077" s="114" t="s">
        <v>3485</v>
      </c>
    </row>
    <row r="4078" spans="1:7">
      <c r="A4078" s="26"/>
      <c r="B4078" s="95">
        <v>1</v>
      </c>
      <c r="C4078" s="76" t="s">
        <v>4203</v>
      </c>
      <c r="D4078" s="95" t="s">
        <v>1172</v>
      </c>
      <c r="E4078" s="179">
        <v>3</v>
      </c>
      <c r="F4078" s="179">
        <f>'BASIC DATA'!$C$541</f>
        <v>400</v>
      </c>
      <c r="G4078" s="207">
        <f>E4078*F4078</f>
        <v>1200</v>
      </c>
    </row>
    <row r="4079" spans="1:7">
      <c r="A4079" s="26"/>
      <c r="B4079" s="105">
        <v>2</v>
      </c>
      <c r="C4079" s="76" t="s">
        <v>4206</v>
      </c>
      <c r="D4079" s="105" t="s">
        <v>1172</v>
      </c>
      <c r="E4079" s="190">
        <v>1</v>
      </c>
      <c r="F4079" s="190">
        <f>'BASIC DATA'!$C$473</f>
        <v>450</v>
      </c>
      <c r="G4079" s="207">
        <f>E4079*F4079</f>
        <v>450</v>
      </c>
    </row>
    <row r="4080" spans="1:7">
      <c r="A4080" s="26"/>
      <c r="B4080" s="114">
        <v>3</v>
      </c>
      <c r="C4080" s="89" t="s">
        <v>2697</v>
      </c>
      <c r="D4080" s="114" t="s">
        <v>1172</v>
      </c>
      <c r="E4080" s="182">
        <v>6</v>
      </c>
      <c r="F4080" s="182">
        <f>'BASIC DATA'!$C$552</f>
        <v>350</v>
      </c>
      <c r="G4080" s="207">
        <f>E4080*F4080</f>
        <v>2100</v>
      </c>
    </row>
    <row r="4081" spans="1:7">
      <c r="A4081" s="26"/>
      <c r="B4081" s="176"/>
      <c r="C4081" s="172" t="s">
        <v>1174</v>
      </c>
      <c r="D4081" s="174"/>
      <c r="E4081" s="192"/>
      <c r="F4081" s="275" t="s">
        <v>1698</v>
      </c>
      <c r="G4081" s="318">
        <f>SUM(G4078:G4080)</f>
        <v>3750</v>
      </c>
    </row>
    <row r="4082" spans="1:7">
      <c r="A4082" s="26"/>
      <c r="B4082" s="60" t="s">
        <v>5948</v>
      </c>
      <c r="C4082" s="31"/>
      <c r="D4082" s="31"/>
      <c r="E4082" s="85">
        <f>ROUND(G4081/F4058,1)</f>
        <v>375</v>
      </c>
      <c r="F4082" s="26"/>
      <c r="G4082" s="26"/>
    </row>
    <row r="4083" spans="1:7">
      <c r="A4083" s="26"/>
      <c r="B4083" s="60" t="s">
        <v>3163</v>
      </c>
      <c r="C4083" s="31"/>
      <c r="D4083" s="31">
        <f>'BASIC DATA'!$C$577</f>
        <v>0.13614999999999999</v>
      </c>
      <c r="E4083" s="85">
        <f>ROUND(E4082*D4083,1)</f>
        <v>51.1</v>
      </c>
      <c r="F4083" s="26"/>
      <c r="G4083" s="26"/>
    </row>
    <row r="4084" spans="1:7">
      <c r="A4084" s="26"/>
      <c r="B4084" s="60" t="s">
        <v>5949</v>
      </c>
      <c r="C4084" s="31"/>
      <c r="D4084" s="31"/>
      <c r="E4084" s="199">
        <f>ROUND(E4083+E4082,1)</f>
        <v>426.1</v>
      </c>
      <c r="F4084" s="56"/>
      <c r="G4084" s="26"/>
    </row>
    <row r="4085" spans="1:7">
      <c r="A4085" s="26"/>
      <c r="B4085" s="78"/>
      <c r="C4085" s="26"/>
      <c r="D4085" s="26"/>
      <c r="E4085" s="26"/>
      <c r="F4085" s="26"/>
      <c r="G4085" s="26"/>
    </row>
    <row r="4086" spans="1:7">
      <c r="A4086" s="26"/>
      <c r="B4086" s="170" t="s">
        <v>1175</v>
      </c>
      <c r="C4086" s="26"/>
      <c r="D4086" s="26"/>
      <c r="E4086" s="26"/>
      <c r="F4086" s="26"/>
      <c r="G4086" s="26"/>
    </row>
    <row r="4087" spans="1:7">
      <c r="A4087" s="26"/>
      <c r="B4087" s="26" t="s">
        <v>5010</v>
      </c>
      <c r="C4087" s="26"/>
      <c r="D4087" s="26"/>
      <c r="E4087" s="26"/>
      <c r="F4087" s="171" t="s">
        <v>1698</v>
      </c>
      <c r="G4087" s="68">
        <f>G4066</f>
        <v>3438.6499999999996</v>
      </c>
    </row>
    <row r="4088" spans="1:7">
      <c r="A4088" s="26"/>
      <c r="B4088" s="26" t="s">
        <v>1186</v>
      </c>
      <c r="C4088" s="26"/>
      <c r="D4088" s="26"/>
      <c r="E4088" s="26"/>
      <c r="F4088" s="171" t="s">
        <v>1698</v>
      </c>
      <c r="G4088" s="68">
        <f>G4073</f>
        <v>0</v>
      </c>
    </row>
    <row r="4089" spans="1:7">
      <c r="A4089" s="26"/>
      <c r="B4089" s="26" t="s">
        <v>2660</v>
      </c>
      <c r="C4089" s="26"/>
      <c r="D4089" s="26"/>
      <c r="E4089" s="26"/>
      <c r="F4089" s="171" t="s">
        <v>1698</v>
      </c>
      <c r="G4089" s="75">
        <f>G4081</f>
        <v>3750</v>
      </c>
    </row>
    <row r="4090" spans="1:7">
      <c r="A4090" s="26"/>
      <c r="B4090" s="78"/>
      <c r="C4090" s="26"/>
      <c r="D4090" s="26"/>
      <c r="E4090" s="171"/>
      <c r="F4090" s="171" t="s">
        <v>302</v>
      </c>
      <c r="G4090" s="205">
        <f>SUM(G4087:G4089)</f>
        <v>7188.65</v>
      </c>
    </row>
    <row r="4091" spans="1:7">
      <c r="A4091" s="26"/>
      <c r="B4091" s="1206" t="s">
        <v>1379</v>
      </c>
      <c r="C4091" s="1206"/>
      <c r="D4091" s="26"/>
      <c r="E4091" s="249">
        <f>'BASIC DATA'!$C$577</f>
        <v>0.13614999999999999</v>
      </c>
      <c r="F4091" s="26" t="s">
        <v>1698</v>
      </c>
      <c r="G4091" s="26">
        <f>ROUND(G4090*E4091,2)</f>
        <v>978.73</v>
      </c>
    </row>
    <row r="4092" spans="1:7">
      <c r="A4092" s="26"/>
      <c r="B4092" s="26" t="s">
        <v>1191</v>
      </c>
      <c r="C4092" s="26"/>
      <c r="D4092" s="68">
        <f>F4058</f>
        <v>10</v>
      </c>
      <c r="E4092" s="68" t="str">
        <f>G4058</f>
        <v>Joints</v>
      </c>
      <c r="F4092" s="26" t="s">
        <v>1698</v>
      </c>
      <c r="G4092" s="170">
        <f>G4091+G4090</f>
        <v>8167.3799999999992</v>
      </c>
    </row>
    <row r="4093" spans="1:7">
      <c r="A4093" s="26"/>
      <c r="B4093" s="170" t="s">
        <v>1584</v>
      </c>
      <c r="C4093" s="211" t="s">
        <v>4714</v>
      </c>
      <c r="D4093" s="26" t="s">
        <v>5891</v>
      </c>
      <c r="E4093" s="26"/>
      <c r="F4093" s="26" t="s">
        <v>4108</v>
      </c>
      <c r="G4093" s="211">
        <f>ROUND(G4092/D4092,1)</f>
        <v>816.7</v>
      </c>
    </row>
    <row r="4094" spans="1:7">
      <c r="A4094" s="26"/>
      <c r="B4094" s="78"/>
      <c r="C4094" s="26"/>
      <c r="D4094" s="26"/>
      <c r="E4094" s="26"/>
      <c r="F4094" s="26"/>
      <c r="G4094" s="26"/>
    </row>
    <row r="4095" spans="1:7" ht="18.75">
      <c r="A4095" s="26" t="s">
        <v>478</v>
      </c>
      <c r="B4095" s="27" t="s">
        <v>8998</v>
      </c>
      <c r="C4095" s="26"/>
      <c r="D4095" s="26"/>
      <c r="E4095" s="26"/>
      <c r="F4095" s="26"/>
      <c r="G4095" s="26"/>
    </row>
    <row r="4096" spans="1:7" ht="18.75">
      <c r="A4096" s="26"/>
      <c r="B4096" s="27" t="s">
        <v>8999</v>
      </c>
      <c r="C4096" s="26"/>
      <c r="D4096" s="26"/>
      <c r="E4096" s="26"/>
      <c r="F4096" s="26"/>
      <c r="G4096" s="26"/>
    </row>
    <row r="4097" spans="1:7">
      <c r="A4097" s="26"/>
      <c r="B4097" s="78"/>
      <c r="C4097" s="26"/>
      <c r="D4097" s="26"/>
      <c r="E4097" s="26"/>
      <c r="F4097" s="26"/>
      <c r="G4097" s="26"/>
    </row>
    <row r="4098" spans="1:7" ht="18.75">
      <c r="A4098" s="78" t="s">
        <v>7152</v>
      </c>
      <c r="B4098" s="26" t="s">
        <v>9009</v>
      </c>
      <c r="C4098" s="26"/>
      <c r="D4098" s="26"/>
      <c r="E4098" s="26"/>
      <c r="F4098" s="26"/>
      <c r="G4098" s="26"/>
    </row>
    <row r="4099" spans="1:7">
      <c r="A4099" s="78"/>
      <c r="B4099" s="26" t="s">
        <v>4250</v>
      </c>
      <c r="C4099" s="26"/>
      <c r="D4099" s="26"/>
      <c r="E4099" s="26"/>
      <c r="F4099" s="26"/>
      <c r="G4099" s="26"/>
    </row>
    <row r="4100" spans="1:7" ht="18.75">
      <c r="A4100" s="78"/>
      <c r="B4100" s="26" t="s">
        <v>8997</v>
      </c>
      <c r="C4100" s="26"/>
      <c r="D4100" s="26"/>
      <c r="E4100" s="26"/>
      <c r="F4100" s="26"/>
      <c r="G4100" s="26"/>
    </row>
    <row r="4101" spans="1:7">
      <c r="A4101" s="78"/>
      <c r="B4101" s="170" t="s">
        <v>2735</v>
      </c>
      <c r="C4101" s="26"/>
      <c r="D4101" s="26"/>
      <c r="E4101" s="26"/>
      <c r="F4101" s="26"/>
      <c r="G4101" s="26"/>
    </row>
    <row r="4102" spans="1:7">
      <c r="A4102" s="78"/>
      <c r="B4102" s="170" t="s">
        <v>3068</v>
      </c>
      <c r="C4102" s="26"/>
      <c r="D4102" s="26"/>
      <c r="E4102" s="26"/>
      <c r="F4102" s="26"/>
      <c r="G4102" s="26"/>
    </row>
    <row r="4103" spans="1:7">
      <c r="A4103" s="78"/>
      <c r="B4103" s="26"/>
      <c r="C4103" s="26"/>
      <c r="D4103" s="26"/>
      <c r="E4103" s="26"/>
      <c r="F4103" s="26"/>
      <c r="G4103" s="26"/>
    </row>
    <row r="4104" spans="1:7">
      <c r="A4104" s="78" t="s">
        <v>3984</v>
      </c>
      <c r="B4104" s="26" t="s">
        <v>4251</v>
      </c>
      <c r="C4104" s="26"/>
      <c r="D4104" s="26"/>
      <c r="E4104" s="26"/>
      <c r="F4104" s="26"/>
      <c r="G4104" s="26"/>
    </row>
    <row r="4105" spans="1:7">
      <c r="A4105" s="78"/>
      <c r="B4105" s="26" t="s">
        <v>1734</v>
      </c>
      <c r="C4105" s="26"/>
      <c r="D4105" s="26"/>
      <c r="E4105" s="26"/>
      <c r="F4105" s="68">
        <v>0.69</v>
      </c>
      <c r="G4105" s="26" t="s">
        <v>3477</v>
      </c>
    </row>
    <row r="4106" spans="1:7">
      <c r="A4106" s="78"/>
      <c r="B4106" s="26" t="s">
        <v>1580</v>
      </c>
      <c r="C4106" s="26"/>
      <c r="D4106" s="26">
        <v>4.53</v>
      </c>
      <c r="E4106" s="26" t="s">
        <v>3478</v>
      </c>
      <c r="F4106" s="26"/>
      <c r="G4106" s="26"/>
    </row>
    <row r="4107" spans="1:7">
      <c r="A4107" s="78"/>
      <c r="B4107" s="26" t="s">
        <v>3725</v>
      </c>
      <c r="C4107" s="26"/>
      <c r="D4107" s="26"/>
      <c r="E4107" s="26"/>
      <c r="F4107" s="26"/>
      <c r="G4107" s="26"/>
    </row>
    <row r="4108" spans="1:7">
      <c r="A4108" s="78"/>
      <c r="B4108" s="26" t="s">
        <v>6555</v>
      </c>
      <c r="C4108" s="26"/>
      <c r="D4108" s="26"/>
      <c r="E4108" s="26"/>
      <c r="F4108" s="26"/>
      <c r="G4108" s="26"/>
    </row>
    <row r="4109" spans="1:7">
      <c r="A4109" s="26"/>
      <c r="B4109" s="78"/>
      <c r="C4109" s="26"/>
      <c r="D4109" s="26"/>
      <c r="E4109" s="26"/>
      <c r="F4109" s="26"/>
      <c r="G4109" s="26"/>
    </row>
    <row r="4110" spans="1:7">
      <c r="A4110" s="78" t="s">
        <v>3984</v>
      </c>
      <c r="B4110" s="78"/>
      <c r="C4110" s="203" t="s">
        <v>2367</v>
      </c>
      <c r="D4110" s="26"/>
      <c r="E4110" s="171" t="s">
        <v>297</v>
      </c>
      <c r="F4110" s="246">
        <v>10</v>
      </c>
      <c r="G4110" s="26" t="s">
        <v>4713</v>
      </c>
    </row>
    <row r="4111" spans="1:7">
      <c r="A4111" s="26"/>
      <c r="B4111" s="79" t="s">
        <v>2368</v>
      </c>
      <c r="C4111" s="26"/>
      <c r="D4111" s="26"/>
      <c r="E4111" s="26"/>
      <c r="F4111" s="26"/>
      <c r="G4111" s="26"/>
    </row>
    <row r="4112" spans="1:7">
      <c r="A4112" s="26"/>
      <c r="B4112" s="95" t="s">
        <v>2369</v>
      </c>
      <c r="C4112" s="157" t="s">
        <v>4443</v>
      </c>
      <c r="D4112" s="95" t="s">
        <v>2370</v>
      </c>
      <c r="E4112" s="95" t="s">
        <v>1166</v>
      </c>
      <c r="F4112" s="95" t="s">
        <v>2371</v>
      </c>
      <c r="G4112" s="95" t="s">
        <v>2372</v>
      </c>
    </row>
    <row r="4113" spans="1:7">
      <c r="A4113" s="26"/>
      <c r="B4113" s="114"/>
      <c r="C4113" s="154"/>
      <c r="D4113" s="114"/>
      <c r="E4113" s="114"/>
      <c r="F4113" s="114" t="s">
        <v>3485</v>
      </c>
      <c r="G4113" s="114" t="s">
        <v>3485</v>
      </c>
    </row>
    <row r="4114" spans="1:7">
      <c r="A4114" s="26"/>
      <c r="B4114" s="95">
        <v>1</v>
      </c>
      <c r="C4114" s="135" t="s">
        <v>5853</v>
      </c>
      <c r="D4114" s="95" t="s">
        <v>3478</v>
      </c>
      <c r="E4114" s="190">
        <v>668</v>
      </c>
      <c r="F4114" s="214">
        <f>'BASIC DATA'!$D$32/1000</f>
        <v>5.35</v>
      </c>
      <c r="G4114" s="190">
        <f>E4114*F4114</f>
        <v>3573.7999999999997</v>
      </c>
    </row>
    <row r="4115" spans="1:7">
      <c r="A4115" s="61"/>
      <c r="B4115" s="240">
        <v>2</v>
      </c>
      <c r="C4115" s="326" t="s">
        <v>6827</v>
      </c>
      <c r="D4115" s="240" t="s">
        <v>3477</v>
      </c>
      <c r="E4115" s="255">
        <v>0.69</v>
      </c>
      <c r="F4115" s="266">
        <f>'BASIC DATA'!$D$57</f>
        <v>165</v>
      </c>
      <c r="G4115" s="255">
        <f>E4115*F4115</f>
        <v>113.85</v>
      </c>
    </row>
    <row r="4116" spans="1:7">
      <c r="A4116" s="26"/>
      <c r="B4116" s="114">
        <v>3</v>
      </c>
      <c r="C4116" s="139" t="s">
        <v>6761</v>
      </c>
      <c r="D4116" s="114" t="s">
        <v>3478</v>
      </c>
      <c r="E4116" s="182">
        <v>4.53</v>
      </c>
      <c r="F4116" s="215">
        <f>'BASIC DATA'!$D$71</f>
        <v>72</v>
      </c>
      <c r="G4116" s="182">
        <f>E4116*F4116</f>
        <v>326.16000000000003</v>
      </c>
    </row>
    <row r="4117" spans="1:7">
      <c r="A4117" s="26"/>
      <c r="B4117" s="93"/>
      <c r="C4117" s="31" t="s">
        <v>7018</v>
      </c>
      <c r="D4117" s="31" t="s">
        <v>4043</v>
      </c>
      <c r="E4117" s="198"/>
      <c r="F4117" s="275" t="s">
        <v>1698</v>
      </c>
      <c r="G4117" s="190">
        <v>0</v>
      </c>
    </row>
    <row r="4118" spans="1:7">
      <c r="A4118" s="26"/>
      <c r="B4118" s="92"/>
      <c r="C4118" s="193" t="s">
        <v>2376</v>
      </c>
      <c r="D4118" s="159"/>
      <c r="E4118" s="238"/>
      <c r="F4118" s="236" t="s">
        <v>1698</v>
      </c>
      <c r="G4118" s="318">
        <f>SUM(G4114:G4117)</f>
        <v>4013.8099999999995</v>
      </c>
    </row>
    <row r="4119" spans="1:7">
      <c r="A4119" s="26"/>
      <c r="B4119" s="78"/>
      <c r="C4119" s="26"/>
      <c r="D4119" s="26"/>
      <c r="E4119" s="26"/>
      <c r="F4119" s="26"/>
      <c r="G4119" s="68"/>
    </row>
    <row r="4120" spans="1:7">
      <c r="A4120" s="26"/>
      <c r="B4120" s="79" t="s">
        <v>2377</v>
      </c>
      <c r="C4120" s="26"/>
      <c r="D4120" s="26"/>
      <c r="E4120" s="26"/>
      <c r="F4120" s="26"/>
      <c r="G4120" s="26"/>
    </row>
    <row r="4121" spans="1:7">
      <c r="A4121" s="26"/>
      <c r="B4121" s="95" t="s">
        <v>2369</v>
      </c>
      <c r="C4121" s="157" t="s">
        <v>2378</v>
      </c>
      <c r="D4121" s="95" t="s">
        <v>2370</v>
      </c>
      <c r="E4121" s="95" t="s">
        <v>1166</v>
      </c>
      <c r="F4121" s="95" t="s">
        <v>2371</v>
      </c>
      <c r="G4121" s="95" t="s">
        <v>2372</v>
      </c>
    </row>
    <row r="4122" spans="1:7">
      <c r="A4122" s="26"/>
      <c r="B4122" s="114"/>
      <c r="C4122" s="154"/>
      <c r="D4122" s="114"/>
      <c r="E4122" s="114"/>
      <c r="F4122" s="114" t="s">
        <v>3485</v>
      </c>
      <c r="G4122" s="114" t="s">
        <v>3485</v>
      </c>
    </row>
    <row r="4123" spans="1:7">
      <c r="A4123" s="26"/>
      <c r="B4123" s="95">
        <v>1</v>
      </c>
      <c r="C4123" s="95" t="s">
        <v>1130</v>
      </c>
      <c r="D4123" s="175"/>
      <c r="E4123" s="179">
        <v>0</v>
      </c>
      <c r="F4123" s="190">
        <v>0</v>
      </c>
      <c r="G4123" s="190">
        <f>E4123*F4123</f>
        <v>0</v>
      </c>
    </row>
    <row r="4124" spans="1:7">
      <c r="A4124" s="26"/>
      <c r="B4124" s="365"/>
      <c r="C4124" s="114" t="s">
        <v>4425</v>
      </c>
      <c r="D4124" s="188"/>
      <c r="E4124" s="182">
        <v>0</v>
      </c>
      <c r="F4124" s="182">
        <v>0</v>
      </c>
      <c r="G4124" s="190">
        <f>E4124*F4124</f>
        <v>0</v>
      </c>
    </row>
    <row r="4125" spans="1:7">
      <c r="A4125" s="26"/>
      <c r="B4125" s="176"/>
      <c r="C4125" s="172" t="s">
        <v>2380</v>
      </c>
      <c r="D4125" s="174"/>
      <c r="E4125" s="192"/>
      <c r="F4125" s="275" t="s">
        <v>1698</v>
      </c>
      <c r="G4125" s="318">
        <f>SUM(G4123:G4124)</f>
        <v>0</v>
      </c>
    </row>
    <row r="4126" spans="1:7">
      <c r="A4126" s="26"/>
      <c r="B4126" s="78"/>
      <c r="C4126" s="26"/>
      <c r="D4126" s="26"/>
      <c r="E4126" s="26"/>
      <c r="F4126" s="26"/>
      <c r="G4126" s="26"/>
    </row>
    <row r="4127" spans="1:7">
      <c r="A4127" s="26"/>
      <c r="B4127" s="79" t="s">
        <v>2381</v>
      </c>
      <c r="C4127" s="26"/>
      <c r="D4127" s="26"/>
      <c r="E4127" s="26"/>
      <c r="F4127" s="26"/>
      <c r="G4127" s="26"/>
    </row>
    <row r="4128" spans="1:7">
      <c r="A4128" s="26"/>
      <c r="B4128" s="95" t="s">
        <v>2369</v>
      </c>
      <c r="C4128" s="157" t="s">
        <v>2378</v>
      </c>
      <c r="D4128" s="95" t="s">
        <v>2370</v>
      </c>
      <c r="E4128" s="95" t="s">
        <v>1166</v>
      </c>
      <c r="F4128" s="95" t="s">
        <v>2371</v>
      </c>
      <c r="G4128" s="95" t="s">
        <v>2372</v>
      </c>
    </row>
    <row r="4129" spans="1:7">
      <c r="A4129" s="26"/>
      <c r="B4129" s="114"/>
      <c r="C4129" s="154"/>
      <c r="D4129" s="105"/>
      <c r="E4129" s="105"/>
      <c r="F4129" s="105" t="s">
        <v>3485</v>
      </c>
      <c r="G4129" s="114" t="s">
        <v>3485</v>
      </c>
    </row>
    <row r="4130" spans="1:7">
      <c r="A4130" s="26"/>
      <c r="B4130" s="95">
        <v>1</v>
      </c>
      <c r="C4130" s="76" t="s">
        <v>4203</v>
      </c>
      <c r="D4130" s="95" t="s">
        <v>1172</v>
      </c>
      <c r="E4130" s="179">
        <v>4</v>
      </c>
      <c r="F4130" s="179">
        <f>'BASIC DATA'!$C$541</f>
        <v>400</v>
      </c>
      <c r="G4130" s="207">
        <f>E4130*F4130</f>
        <v>1600</v>
      </c>
    </row>
    <row r="4131" spans="1:7">
      <c r="A4131" s="26"/>
      <c r="B4131" s="105">
        <v>2</v>
      </c>
      <c r="C4131" s="76" t="s">
        <v>4206</v>
      </c>
      <c r="D4131" s="105" t="s">
        <v>1172</v>
      </c>
      <c r="E4131" s="190">
        <v>1</v>
      </c>
      <c r="F4131" s="190">
        <f>'BASIC DATA'!$C$473</f>
        <v>450</v>
      </c>
      <c r="G4131" s="207">
        <f>E4131*F4131</f>
        <v>450</v>
      </c>
    </row>
    <row r="4132" spans="1:7">
      <c r="A4132" s="26"/>
      <c r="B4132" s="114">
        <v>3</v>
      </c>
      <c r="C4132" s="89" t="s">
        <v>2697</v>
      </c>
      <c r="D4132" s="114" t="s">
        <v>1172</v>
      </c>
      <c r="E4132" s="182">
        <v>7</v>
      </c>
      <c r="F4132" s="182">
        <f>'BASIC DATA'!$C$552</f>
        <v>350</v>
      </c>
      <c r="G4132" s="207">
        <f>E4132*F4132</f>
        <v>2450</v>
      </c>
    </row>
    <row r="4133" spans="1:7">
      <c r="A4133" s="26"/>
      <c r="B4133" s="176"/>
      <c r="C4133" s="172" t="s">
        <v>1174</v>
      </c>
      <c r="D4133" s="174"/>
      <c r="E4133" s="192"/>
      <c r="F4133" s="275" t="s">
        <v>1698</v>
      </c>
      <c r="G4133" s="318">
        <f>SUM(G4130:G4132)</f>
        <v>4500</v>
      </c>
    </row>
    <row r="4134" spans="1:7">
      <c r="A4134" s="26"/>
      <c r="B4134" s="60" t="s">
        <v>5948</v>
      </c>
      <c r="C4134" s="31"/>
      <c r="D4134" s="31"/>
      <c r="E4134" s="85">
        <f>ROUND(G4133/F4110,1)</f>
        <v>450</v>
      </c>
      <c r="F4134" s="26"/>
      <c r="G4134" s="26"/>
    </row>
    <row r="4135" spans="1:7">
      <c r="A4135" s="26"/>
      <c r="B4135" s="60" t="s">
        <v>3163</v>
      </c>
      <c r="C4135" s="31"/>
      <c r="D4135" s="31">
        <f>'BASIC DATA'!$C$577</f>
        <v>0.13614999999999999</v>
      </c>
      <c r="E4135" s="85">
        <f>ROUND(E4134*D4135,1)</f>
        <v>61.3</v>
      </c>
      <c r="F4135" s="26"/>
      <c r="G4135" s="26"/>
    </row>
    <row r="4136" spans="1:7">
      <c r="A4136" s="26"/>
      <c r="B4136" s="60" t="s">
        <v>5949</v>
      </c>
      <c r="C4136" s="31"/>
      <c r="D4136" s="31"/>
      <c r="E4136" s="199">
        <f>ROUND(E4135+E4134,1)</f>
        <v>511.3</v>
      </c>
      <c r="F4136" s="56"/>
      <c r="G4136" s="26"/>
    </row>
    <row r="4137" spans="1:7">
      <c r="A4137" s="26"/>
      <c r="B4137" s="78"/>
      <c r="C4137" s="26"/>
      <c r="D4137" s="26"/>
      <c r="E4137" s="26"/>
      <c r="F4137" s="26"/>
      <c r="G4137" s="26"/>
    </row>
    <row r="4138" spans="1:7">
      <c r="A4138" s="26"/>
      <c r="B4138" s="170" t="s">
        <v>1175</v>
      </c>
      <c r="C4138" s="26"/>
      <c r="D4138" s="26"/>
      <c r="E4138" s="26"/>
      <c r="F4138" s="26"/>
      <c r="G4138" s="26"/>
    </row>
    <row r="4139" spans="1:7">
      <c r="A4139" s="26"/>
      <c r="B4139" s="26" t="s">
        <v>5010</v>
      </c>
      <c r="C4139" s="26"/>
      <c r="D4139" s="26"/>
      <c r="E4139" s="26"/>
      <c r="F4139" s="171" t="s">
        <v>1698</v>
      </c>
      <c r="G4139" s="68">
        <f>G4118</f>
        <v>4013.8099999999995</v>
      </c>
    </row>
    <row r="4140" spans="1:7">
      <c r="A4140" s="26"/>
      <c r="B4140" s="26" t="s">
        <v>1186</v>
      </c>
      <c r="C4140" s="26"/>
      <c r="D4140" s="26"/>
      <c r="E4140" s="26"/>
      <c r="F4140" s="171" t="s">
        <v>1698</v>
      </c>
      <c r="G4140" s="68">
        <f>G4125</f>
        <v>0</v>
      </c>
    </row>
    <row r="4141" spans="1:7">
      <c r="A4141" s="26"/>
      <c r="B4141" s="26" t="s">
        <v>2660</v>
      </c>
      <c r="C4141" s="26"/>
      <c r="D4141" s="26"/>
      <c r="E4141" s="26"/>
      <c r="F4141" s="171" t="s">
        <v>1698</v>
      </c>
      <c r="G4141" s="75">
        <f>G4133</f>
        <v>4500</v>
      </c>
    </row>
    <row r="4142" spans="1:7">
      <c r="A4142" s="26"/>
      <c r="B4142" s="78"/>
      <c r="C4142" s="26"/>
      <c r="D4142" s="26"/>
      <c r="E4142" s="171"/>
      <c r="F4142" s="171" t="s">
        <v>302</v>
      </c>
      <c r="G4142" s="205">
        <f>SUM(G4139:G4141)</f>
        <v>8513.81</v>
      </c>
    </row>
    <row r="4143" spans="1:7">
      <c r="A4143" s="26"/>
      <c r="B4143" s="1206" t="s">
        <v>1379</v>
      </c>
      <c r="C4143" s="1206"/>
      <c r="D4143" s="26"/>
      <c r="E4143" s="249">
        <f>'BASIC DATA'!$C$577</f>
        <v>0.13614999999999999</v>
      </c>
      <c r="F4143" s="26" t="s">
        <v>1698</v>
      </c>
      <c r="G4143" s="26">
        <f>ROUND(G4142*E4143,2)</f>
        <v>1159.1600000000001</v>
      </c>
    </row>
    <row r="4144" spans="1:7">
      <c r="A4144" s="26"/>
      <c r="B4144" s="26" t="s">
        <v>1191</v>
      </c>
      <c r="C4144" s="26"/>
      <c r="D4144" s="68">
        <f>F4110</f>
        <v>10</v>
      </c>
      <c r="E4144" s="68" t="str">
        <f>G4110</f>
        <v>Joints</v>
      </c>
      <c r="F4144" s="26" t="s">
        <v>1698</v>
      </c>
      <c r="G4144" s="170">
        <f>G4143+G4142</f>
        <v>9672.9699999999993</v>
      </c>
    </row>
    <row r="4145" spans="1:7">
      <c r="A4145" s="26"/>
      <c r="B4145" s="170" t="s">
        <v>1584</v>
      </c>
      <c r="C4145" s="211" t="s">
        <v>4714</v>
      </c>
      <c r="D4145" s="26" t="s">
        <v>5891</v>
      </c>
      <c r="E4145" s="26"/>
      <c r="F4145" s="26" t="s">
        <v>4108</v>
      </c>
      <c r="G4145" s="211">
        <f>ROUND(G4144/D4144,1)</f>
        <v>967.3</v>
      </c>
    </row>
    <row r="4146" spans="1:7">
      <c r="A4146" s="26"/>
      <c r="B4146" s="26"/>
      <c r="C4146" s="68"/>
      <c r="D4146" s="26"/>
      <c r="E4146" s="26"/>
      <c r="F4146" s="26"/>
      <c r="G4146" s="68"/>
    </row>
    <row r="4147" spans="1:7" ht="18.75">
      <c r="A4147" s="26" t="s">
        <v>478</v>
      </c>
      <c r="B4147" s="27" t="s">
        <v>8998</v>
      </c>
      <c r="C4147" s="26"/>
      <c r="D4147" s="26"/>
      <c r="E4147" s="26"/>
      <c r="F4147" s="26"/>
      <c r="G4147" s="26"/>
    </row>
    <row r="4148" spans="1:7" ht="18.75">
      <c r="A4148" s="26"/>
      <c r="B4148" s="27" t="s">
        <v>8999</v>
      </c>
      <c r="C4148" s="26"/>
      <c r="D4148" s="26"/>
      <c r="E4148" s="26"/>
      <c r="F4148" s="26"/>
      <c r="G4148" s="26"/>
    </row>
    <row r="4149" spans="1:7">
      <c r="A4149" s="26"/>
      <c r="B4149" s="78"/>
      <c r="C4149" s="26"/>
      <c r="D4149" s="26"/>
      <c r="E4149" s="26"/>
      <c r="F4149" s="26"/>
      <c r="G4149" s="26"/>
    </row>
    <row r="4150" spans="1:7">
      <c r="A4150" s="78" t="s">
        <v>7153</v>
      </c>
      <c r="B4150" s="170" t="s">
        <v>548</v>
      </c>
      <c r="C4150" s="26"/>
      <c r="D4150" s="26"/>
      <c r="E4150" s="26"/>
      <c r="F4150" s="26"/>
      <c r="G4150" s="26"/>
    </row>
    <row r="4151" spans="1:7">
      <c r="A4151" s="78"/>
      <c r="B4151" s="26"/>
      <c r="C4151" s="26"/>
      <c r="D4151" s="26"/>
      <c r="E4151" s="26"/>
      <c r="F4151" s="26"/>
      <c r="G4151" s="26"/>
    </row>
    <row r="4152" spans="1:7">
      <c r="A4152" s="78" t="s">
        <v>7154</v>
      </c>
      <c r="B4152" s="26" t="s">
        <v>9010</v>
      </c>
      <c r="C4152" s="26"/>
      <c r="D4152" s="26"/>
      <c r="E4152" s="26"/>
      <c r="F4152" s="26"/>
      <c r="G4152" s="26"/>
    </row>
    <row r="4153" spans="1:7">
      <c r="A4153" s="78"/>
      <c r="B4153" s="26" t="s">
        <v>5832</v>
      </c>
      <c r="C4153" s="26"/>
      <c r="D4153" s="26"/>
      <c r="E4153" s="26"/>
      <c r="F4153" s="26"/>
      <c r="G4153" s="26"/>
    </row>
    <row r="4154" spans="1:7">
      <c r="A4154" s="78"/>
      <c r="B4154" s="170" t="s">
        <v>1212</v>
      </c>
      <c r="C4154" s="26"/>
      <c r="D4154" s="26"/>
      <c r="E4154" s="26"/>
      <c r="F4154" s="26"/>
      <c r="G4154" s="26"/>
    </row>
    <row r="4155" spans="1:7">
      <c r="A4155" s="78"/>
      <c r="B4155" s="26"/>
      <c r="C4155" s="26"/>
      <c r="D4155" s="26"/>
      <c r="E4155" s="26"/>
      <c r="F4155" s="26"/>
      <c r="G4155" s="26"/>
    </row>
    <row r="4156" spans="1:7">
      <c r="A4156" s="78" t="s">
        <v>3984</v>
      </c>
      <c r="B4156" s="26" t="s">
        <v>5833</v>
      </c>
      <c r="C4156" s="26"/>
      <c r="D4156" s="26"/>
      <c r="E4156" s="26"/>
      <c r="F4156" s="26"/>
      <c r="G4156" s="26"/>
    </row>
    <row r="4157" spans="1:7">
      <c r="A4157" s="78"/>
      <c r="B4157" s="26" t="s">
        <v>5834</v>
      </c>
      <c r="C4157" s="26"/>
      <c r="D4157" s="26"/>
      <c r="E4157" s="78" t="s">
        <v>1697</v>
      </c>
      <c r="F4157" s="68">
        <v>10</v>
      </c>
      <c r="G4157" s="26" t="s">
        <v>3477</v>
      </c>
    </row>
    <row r="4158" spans="1:7">
      <c r="A4158" s="78"/>
      <c r="B4158" s="26" t="s">
        <v>5835</v>
      </c>
      <c r="C4158" s="26"/>
      <c r="D4158" s="26"/>
      <c r="E4158" s="78" t="s">
        <v>1697</v>
      </c>
      <c r="F4158" s="68">
        <v>4</v>
      </c>
      <c r="G4158" s="26" t="s">
        <v>3477</v>
      </c>
    </row>
    <row r="4159" spans="1:7">
      <c r="A4159" s="78"/>
      <c r="B4159" s="26" t="s">
        <v>6071</v>
      </c>
      <c r="C4159" s="26"/>
      <c r="D4159" s="26"/>
      <c r="E4159" s="26"/>
      <c r="F4159" s="26"/>
      <c r="G4159" s="26"/>
    </row>
    <row r="4160" spans="1:7">
      <c r="A4160" s="26"/>
      <c r="B4160" s="78"/>
      <c r="C4160" s="26"/>
      <c r="D4160" s="26"/>
      <c r="E4160" s="26"/>
      <c r="F4160" s="26"/>
      <c r="G4160" s="26"/>
    </row>
    <row r="4161" spans="1:7">
      <c r="A4161" s="78" t="s">
        <v>3984</v>
      </c>
      <c r="B4161" s="78"/>
      <c r="C4161" s="203" t="s">
        <v>2367</v>
      </c>
      <c r="D4161" s="26"/>
      <c r="E4161" s="171" t="s">
        <v>297</v>
      </c>
      <c r="F4161" s="246">
        <v>10</v>
      </c>
      <c r="G4161" s="26" t="s">
        <v>3477</v>
      </c>
    </row>
    <row r="4162" spans="1:7">
      <c r="A4162" s="26"/>
      <c r="B4162" s="79" t="s">
        <v>2368</v>
      </c>
      <c r="C4162" s="26"/>
      <c r="D4162" s="26"/>
      <c r="E4162" s="26"/>
      <c r="F4162" s="26"/>
      <c r="G4162" s="26"/>
    </row>
    <row r="4163" spans="1:7">
      <c r="A4163" s="26"/>
      <c r="B4163" s="95" t="s">
        <v>2369</v>
      </c>
      <c r="C4163" s="157" t="s">
        <v>4443</v>
      </c>
      <c r="D4163" s="95" t="s">
        <v>2370</v>
      </c>
      <c r="E4163" s="95" t="s">
        <v>1166</v>
      </c>
      <c r="F4163" s="95" t="s">
        <v>2371</v>
      </c>
      <c r="G4163" s="95" t="s">
        <v>2372</v>
      </c>
    </row>
    <row r="4164" spans="1:7">
      <c r="A4164" s="26"/>
      <c r="B4164" s="114"/>
      <c r="C4164" s="154"/>
      <c r="D4164" s="114"/>
      <c r="E4164" s="114"/>
      <c r="F4164" s="114" t="s">
        <v>3485</v>
      </c>
      <c r="G4164" s="114" t="s">
        <v>3485</v>
      </c>
    </row>
    <row r="4165" spans="1:7">
      <c r="A4165" s="26"/>
      <c r="B4165" s="95">
        <v>1</v>
      </c>
      <c r="C4165" s="135" t="s">
        <v>5836</v>
      </c>
      <c r="D4165" s="95" t="s">
        <v>3477</v>
      </c>
      <c r="E4165" s="190">
        <v>10</v>
      </c>
      <c r="F4165" s="214">
        <f>'BASIC DATA'!$D$107</f>
        <v>155</v>
      </c>
      <c r="G4165" s="190">
        <f>E4165*F4165</f>
        <v>1550</v>
      </c>
    </row>
    <row r="4166" spans="1:7">
      <c r="A4166" s="61"/>
      <c r="B4166" s="237">
        <v>2</v>
      </c>
      <c r="C4166" s="306" t="s">
        <v>7871</v>
      </c>
      <c r="D4166" s="237" t="s">
        <v>3477</v>
      </c>
      <c r="E4166" s="289">
        <v>4</v>
      </c>
      <c r="F4166" s="284">
        <f>'BASIC DATA'!$D$56</f>
        <v>95</v>
      </c>
      <c r="G4166" s="289">
        <f>E4166*F4166</f>
        <v>380</v>
      </c>
    </row>
    <row r="4167" spans="1:7">
      <c r="A4167" s="26"/>
      <c r="B4167" s="93"/>
      <c r="C4167" s="31" t="s">
        <v>7017</v>
      </c>
      <c r="D4167" s="31" t="s">
        <v>4043</v>
      </c>
      <c r="E4167" s="198"/>
      <c r="F4167" s="280" t="s">
        <v>1698</v>
      </c>
      <c r="G4167" s="190">
        <v>0</v>
      </c>
    </row>
    <row r="4168" spans="1:7">
      <c r="A4168" s="26"/>
      <c r="B4168" s="93"/>
      <c r="C4168" s="31" t="s">
        <v>7018</v>
      </c>
      <c r="D4168" s="31" t="s">
        <v>4043</v>
      </c>
      <c r="E4168" s="198"/>
      <c r="F4168" s="275" t="s">
        <v>1698</v>
      </c>
      <c r="G4168" s="190">
        <v>0</v>
      </c>
    </row>
    <row r="4169" spans="1:7">
      <c r="A4169" s="26"/>
      <c r="B4169" s="92"/>
      <c r="C4169" s="193" t="s">
        <v>2376</v>
      </c>
      <c r="D4169" s="159"/>
      <c r="E4169" s="238"/>
      <c r="F4169" s="236" t="s">
        <v>1698</v>
      </c>
      <c r="G4169" s="318">
        <f>SUM(G4165:G4168)</f>
        <v>1930</v>
      </c>
    </row>
    <row r="4170" spans="1:7">
      <c r="A4170" s="26"/>
      <c r="B4170" s="78"/>
      <c r="C4170" s="26"/>
      <c r="D4170" s="26"/>
      <c r="E4170" s="26"/>
      <c r="F4170" s="26"/>
      <c r="G4170" s="68"/>
    </row>
    <row r="4171" spans="1:7">
      <c r="A4171" s="26"/>
      <c r="B4171" s="79" t="s">
        <v>2377</v>
      </c>
      <c r="C4171" s="26"/>
      <c r="D4171" s="26"/>
      <c r="E4171" s="26"/>
      <c r="F4171" s="26"/>
      <c r="G4171" s="26"/>
    </row>
    <row r="4172" spans="1:7">
      <c r="A4172" s="26"/>
      <c r="B4172" s="95" t="s">
        <v>2369</v>
      </c>
      <c r="C4172" s="157" t="s">
        <v>2378</v>
      </c>
      <c r="D4172" s="95" t="s">
        <v>2370</v>
      </c>
      <c r="E4172" s="95" t="s">
        <v>1166</v>
      </c>
      <c r="F4172" s="95" t="s">
        <v>2371</v>
      </c>
      <c r="G4172" s="95" t="s">
        <v>2372</v>
      </c>
    </row>
    <row r="4173" spans="1:7">
      <c r="A4173" s="26"/>
      <c r="B4173" s="114"/>
      <c r="C4173" s="154"/>
      <c r="D4173" s="114"/>
      <c r="E4173" s="114"/>
      <c r="F4173" s="114" t="s">
        <v>3485</v>
      </c>
      <c r="G4173" s="114" t="s">
        <v>3485</v>
      </c>
    </row>
    <row r="4174" spans="1:7">
      <c r="A4174" s="26"/>
      <c r="B4174" s="95">
        <v>1</v>
      </c>
      <c r="C4174" s="95" t="s">
        <v>1130</v>
      </c>
      <c r="D4174" s="175"/>
      <c r="E4174" s="179">
        <v>0</v>
      </c>
      <c r="F4174" s="190">
        <v>0</v>
      </c>
      <c r="G4174" s="190">
        <f>E4174*F4174</f>
        <v>0</v>
      </c>
    </row>
    <row r="4175" spans="1:7">
      <c r="A4175" s="26"/>
      <c r="B4175" s="365"/>
      <c r="C4175" s="114" t="s">
        <v>4425</v>
      </c>
      <c r="D4175" s="188"/>
      <c r="E4175" s="182">
        <v>0</v>
      </c>
      <c r="F4175" s="182">
        <v>0</v>
      </c>
      <c r="G4175" s="190">
        <f>E4175*F4175</f>
        <v>0</v>
      </c>
    </row>
    <row r="4176" spans="1:7">
      <c r="A4176" s="26"/>
      <c r="B4176" s="176"/>
      <c r="C4176" s="172" t="s">
        <v>2380</v>
      </c>
      <c r="D4176" s="174"/>
      <c r="E4176" s="192"/>
      <c r="F4176" s="275" t="s">
        <v>1698</v>
      </c>
      <c r="G4176" s="318">
        <f>SUM(G4174:G4175)</f>
        <v>0</v>
      </c>
    </row>
    <row r="4177" spans="1:7">
      <c r="A4177" s="26"/>
      <c r="B4177" s="78"/>
      <c r="C4177" s="26"/>
      <c r="D4177" s="26"/>
      <c r="E4177" s="26"/>
      <c r="F4177" s="26"/>
      <c r="G4177" s="26"/>
    </row>
    <row r="4178" spans="1:7">
      <c r="A4178" s="26"/>
      <c r="B4178" s="79" t="s">
        <v>2381</v>
      </c>
      <c r="C4178" s="26"/>
      <c r="D4178" s="26"/>
      <c r="E4178" s="26"/>
      <c r="F4178" s="26"/>
      <c r="G4178" s="26"/>
    </row>
    <row r="4179" spans="1:7">
      <c r="A4179" s="26"/>
      <c r="B4179" s="95" t="s">
        <v>2369</v>
      </c>
      <c r="C4179" s="157" t="s">
        <v>2378</v>
      </c>
      <c r="D4179" s="95" t="s">
        <v>2370</v>
      </c>
      <c r="E4179" s="95" t="s">
        <v>1166</v>
      </c>
      <c r="F4179" s="95" t="s">
        <v>2371</v>
      </c>
      <c r="G4179" s="95" t="s">
        <v>2372</v>
      </c>
    </row>
    <row r="4180" spans="1:7">
      <c r="A4180" s="26"/>
      <c r="B4180" s="114"/>
      <c r="C4180" s="154"/>
      <c r="D4180" s="105"/>
      <c r="E4180" s="105"/>
      <c r="F4180" s="105" t="s">
        <v>3485</v>
      </c>
      <c r="G4180" s="114" t="s">
        <v>3485</v>
      </c>
    </row>
    <row r="4181" spans="1:7">
      <c r="A4181" s="26"/>
      <c r="B4181" s="95">
        <v>1</v>
      </c>
      <c r="C4181" s="76" t="s">
        <v>4206</v>
      </c>
      <c r="D4181" s="95" t="s">
        <v>1172</v>
      </c>
      <c r="E4181" s="179">
        <v>0.5</v>
      </c>
      <c r="F4181" s="190">
        <f>'BASIC DATA'!$C$473</f>
        <v>450</v>
      </c>
      <c r="G4181" s="207">
        <f>E4181*F4181</f>
        <v>225</v>
      </c>
    </row>
    <row r="4182" spans="1:7">
      <c r="A4182" s="26"/>
      <c r="B4182" s="105">
        <v>2</v>
      </c>
      <c r="C4182" s="76" t="s">
        <v>3014</v>
      </c>
      <c r="D4182" s="105" t="s">
        <v>1172</v>
      </c>
      <c r="E4182" s="190">
        <v>1</v>
      </c>
      <c r="F4182" s="190">
        <f>'BASIC DATA'!$C$541</f>
        <v>400</v>
      </c>
      <c r="G4182" s="207">
        <f>E4182*F4182</f>
        <v>400</v>
      </c>
    </row>
    <row r="4183" spans="1:7">
      <c r="A4183" s="26"/>
      <c r="B4183" s="114">
        <v>3</v>
      </c>
      <c r="C4183" s="89" t="s">
        <v>2697</v>
      </c>
      <c r="D4183" s="114" t="s">
        <v>1172</v>
      </c>
      <c r="E4183" s="182">
        <v>4</v>
      </c>
      <c r="F4183" s="182">
        <f>'BASIC DATA'!$C$552</f>
        <v>350</v>
      </c>
      <c r="G4183" s="181">
        <f>E4183*F4183</f>
        <v>1400</v>
      </c>
    </row>
    <row r="4184" spans="1:7">
      <c r="A4184" s="26"/>
      <c r="B4184" s="176"/>
      <c r="C4184" s="172" t="s">
        <v>1174</v>
      </c>
      <c r="D4184" s="174"/>
      <c r="E4184" s="192"/>
      <c r="F4184" s="275" t="s">
        <v>1698</v>
      </c>
      <c r="G4184" s="434">
        <f>SUM(G4181:G4183)</f>
        <v>2025</v>
      </c>
    </row>
    <row r="4185" spans="1:7">
      <c r="A4185" s="26"/>
      <c r="B4185" s="60" t="s">
        <v>5948</v>
      </c>
      <c r="C4185" s="31"/>
      <c r="D4185" s="31"/>
      <c r="E4185" s="85">
        <f>ROUND(G4184/F4161,1)</f>
        <v>202.5</v>
      </c>
      <c r="F4185" s="26"/>
      <c r="G4185" s="26"/>
    </row>
    <row r="4186" spans="1:7">
      <c r="A4186" s="26"/>
      <c r="B4186" s="60" t="s">
        <v>3163</v>
      </c>
      <c r="C4186" s="31"/>
      <c r="D4186" s="31">
        <f>'BASIC DATA'!$C$577</f>
        <v>0.13614999999999999</v>
      </c>
      <c r="E4186" s="85">
        <f>ROUND(E4185*D4186,1)</f>
        <v>27.6</v>
      </c>
      <c r="F4186" s="26"/>
      <c r="G4186" s="26"/>
    </row>
    <row r="4187" spans="1:7">
      <c r="A4187" s="26"/>
      <c r="B4187" s="60" t="s">
        <v>5949</v>
      </c>
      <c r="C4187" s="31"/>
      <c r="D4187" s="31"/>
      <c r="E4187" s="199">
        <f>ROUND(E4186+E4185,1)</f>
        <v>230.1</v>
      </c>
      <c r="F4187" s="56"/>
      <c r="G4187" s="26"/>
    </row>
    <row r="4188" spans="1:7">
      <c r="A4188" s="26"/>
      <c r="B4188" s="78"/>
      <c r="C4188" s="26"/>
      <c r="D4188" s="26"/>
      <c r="E4188" s="26"/>
      <c r="F4188" s="26"/>
      <c r="G4188" s="26"/>
    </row>
    <row r="4189" spans="1:7">
      <c r="A4189" s="26"/>
      <c r="B4189" s="170" t="s">
        <v>1175</v>
      </c>
      <c r="C4189" s="26"/>
      <c r="D4189" s="26"/>
      <c r="E4189" s="26"/>
      <c r="F4189" s="26"/>
      <c r="G4189" s="26"/>
    </row>
    <row r="4190" spans="1:7">
      <c r="A4190" s="26"/>
      <c r="B4190" s="26" t="s">
        <v>5010</v>
      </c>
      <c r="C4190" s="26"/>
      <c r="D4190" s="26"/>
      <c r="E4190" s="26"/>
      <c r="F4190" s="171" t="s">
        <v>1698</v>
      </c>
      <c r="G4190" s="68">
        <f>G4169</f>
        <v>1930</v>
      </c>
    </row>
    <row r="4191" spans="1:7">
      <c r="A4191" s="26"/>
      <c r="B4191" s="26" t="s">
        <v>1186</v>
      </c>
      <c r="C4191" s="26"/>
      <c r="D4191" s="26"/>
      <c r="E4191" s="26"/>
      <c r="F4191" s="171" t="s">
        <v>1698</v>
      </c>
      <c r="G4191" s="68">
        <f>G4176</f>
        <v>0</v>
      </c>
    </row>
    <row r="4192" spans="1:7">
      <c r="A4192" s="26"/>
      <c r="B4192" s="26" t="s">
        <v>2660</v>
      </c>
      <c r="C4192" s="26"/>
      <c r="D4192" s="26"/>
      <c r="E4192" s="26"/>
      <c r="F4192" s="171" t="s">
        <v>1698</v>
      </c>
      <c r="G4192" s="75">
        <f>G4184</f>
        <v>2025</v>
      </c>
    </row>
    <row r="4193" spans="1:7">
      <c r="A4193" s="26"/>
      <c r="B4193" s="78"/>
      <c r="C4193" s="26"/>
      <c r="D4193" s="26"/>
      <c r="E4193" s="171"/>
      <c r="F4193" s="171" t="s">
        <v>302</v>
      </c>
      <c r="G4193" s="205">
        <f>SUM(G4190:G4192)</f>
        <v>3955</v>
      </c>
    </row>
    <row r="4194" spans="1:7">
      <c r="A4194" s="26"/>
      <c r="B4194" s="1206" t="s">
        <v>1379</v>
      </c>
      <c r="C4194" s="1206"/>
      <c r="D4194" s="26"/>
      <c r="E4194" s="249">
        <f>'BASIC DATA'!$C$577</f>
        <v>0.13614999999999999</v>
      </c>
      <c r="F4194" s="26" t="s">
        <v>1698</v>
      </c>
      <c r="G4194" s="26">
        <f>ROUND(G4193*E4194,2)</f>
        <v>538.47</v>
      </c>
    </row>
    <row r="4195" spans="1:7">
      <c r="A4195" s="26"/>
      <c r="B4195" s="26" t="s">
        <v>1191</v>
      </c>
      <c r="C4195" s="26"/>
      <c r="D4195" s="68">
        <f>F4161</f>
        <v>10</v>
      </c>
      <c r="E4195" s="68" t="str">
        <f>G4161</f>
        <v>cum</v>
      </c>
      <c r="F4195" s="26" t="s">
        <v>1698</v>
      </c>
      <c r="G4195" s="170">
        <f>G4194+G4193</f>
        <v>4493.47</v>
      </c>
    </row>
    <row r="4196" spans="1:7">
      <c r="A4196" s="26"/>
      <c r="B4196" s="170" t="s">
        <v>1584</v>
      </c>
      <c r="C4196" s="211" t="str">
        <f>E4195</f>
        <v>cum</v>
      </c>
      <c r="D4196" s="26" t="s">
        <v>5891</v>
      </c>
      <c r="E4196" s="26"/>
      <c r="F4196" s="26" t="s">
        <v>4108</v>
      </c>
      <c r="G4196" s="211">
        <f>ROUND(G4195/D4195,1)</f>
        <v>449.3</v>
      </c>
    </row>
    <row r="4197" spans="1:7">
      <c r="A4197" s="26"/>
      <c r="B4197" s="78"/>
      <c r="C4197" s="26"/>
      <c r="D4197" s="26"/>
      <c r="E4197" s="26"/>
      <c r="F4197" s="26"/>
      <c r="G4197" s="26"/>
    </row>
    <row r="4198" spans="1:7">
      <c r="A4198" s="26"/>
      <c r="B4198" s="78"/>
      <c r="C4198" s="26"/>
      <c r="D4198" s="26"/>
      <c r="E4198" s="26"/>
      <c r="F4198" s="26"/>
      <c r="G4198" s="26"/>
    </row>
    <row r="4199" spans="1:7" ht="18.75">
      <c r="A4199" s="78" t="s">
        <v>7155</v>
      </c>
      <c r="B4199" s="26" t="s">
        <v>9011</v>
      </c>
      <c r="C4199" s="26"/>
      <c r="D4199" s="26"/>
      <c r="E4199" s="26"/>
      <c r="F4199" s="26"/>
      <c r="G4199" s="26"/>
    </row>
    <row r="4200" spans="1:7">
      <c r="A4200" s="78"/>
      <c r="B4200" s="26" t="s">
        <v>9012</v>
      </c>
      <c r="C4200" s="26"/>
      <c r="D4200" s="26"/>
      <c r="E4200" s="26"/>
      <c r="F4200" s="26"/>
      <c r="G4200" s="26"/>
    </row>
    <row r="4201" spans="1:7" ht="18.75">
      <c r="A4201" s="78"/>
      <c r="B4201" s="26" t="s">
        <v>9013</v>
      </c>
      <c r="C4201" s="26"/>
      <c r="D4201" s="26"/>
      <c r="E4201" s="26"/>
      <c r="F4201" s="26"/>
      <c r="G4201" s="26"/>
    </row>
    <row r="4202" spans="1:7">
      <c r="A4202" s="78"/>
      <c r="B4202" s="170" t="s">
        <v>4735</v>
      </c>
      <c r="C4202" s="26"/>
      <c r="D4202" s="26"/>
      <c r="E4202" s="26"/>
      <c r="F4202" s="26"/>
      <c r="G4202" s="26"/>
    </row>
    <row r="4203" spans="1:7">
      <c r="A4203" s="78"/>
      <c r="B4203" s="26"/>
      <c r="C4203" s="26"/>
      <c r="D4203" s="26"/>
      <c r="E4203" s="26"/>
      <c r="F4203" s="26"/>
      <c r="G4203" s="26"/>
    </row>
    <row r="4204" spans="1:7">
      <c r="A4204" s="78" t="s">
        <v>3984</v>
      </c>
      <c r="B4204" s="26" t="s">
        <v>7236</v>
      </c>
      <c r="C4204" s="26"/>
      <c r="D4204" s="26"/>
      <c r="E4204" s="26"/>
      <c r="F4204" s="26"/>
      <c r="G4204" s="26"/>
    </row>
    <row r="4205" spans="1:7">
      <c r="A4205" s="78"/>
      <c r="B4205" s="26" t="s">
        <v>6072</v>
      </c>
      <c r="C4205" s="26"/>
      <c r="D4205" s="26"/>
      <c r="E4205" s="78" t="s">
        <v>1697</v>
      </c>
      <c r="F4205" s="68">
        <v>6</v>
      </c>
      <c r="G4205" s="26" t="s">
        <v>3477</v>
      </c>
    </row>
    <row r="4206" spans="1:7">
      <c r="A4206" s="78"/>
      <c r="B4206" s="26" t="s">
        <v>3726</v>
      </c>
      <c r="C4206" s="26"/>
      <c r="D4206" s="26"/>
      <c r="E4206" s="78" t="s">
        <v>1697</v>
      </c>
      <c r="F4206" s="68">
        <v>12</v>
      </c>
      <c r="G4206" s="26" t="s">
        <v>3477</v>
      </c>
    </row>
    <row r="4207" spans="1:7">
      <c r="A4207" s="78"/>
      <c r="B4207" s="26" t="s">
        <v>7237</v>
      </c>
      <c r="C4207" s="26"/>
      <c r="D4207" s="26"/>
      <c r="E4207" s="78" t="s">
        <v>1697</v>
      </c>
      <c r="F4207" s="26">
        <v>0.5</v>
      </c>
      <c r="G4207" s="26" t="s">
        <v>1581</v>
      </c>
    </row>
    <row r="4208" spans="1:7">
      <c r="A4208" s="78"/>
      <c r="B4208" s="26" t="s">
        <v>6073</v>
      </c>
      <c r="C4208" s="26"/>
      <c r="D4208" s="26"/>
      <c r="E4208" s="26"/>
      <c r="F4208" s="26"/>
      <c r="G4208" s="26"/>
    </row>
    <row r="4209" spans="1:7">
      <c r="A4209" s="26"/>
      <c r="B4209" s="78"/>
      <c r="C4209" s="26"/>
      <c r="D4209" s="26"/>
      <c r="E4209" s="26"/>
      <c r="F4209" s="26"/>
      <c r="G4209" s="26"/>
    </row>
    <row r="4210" spans="1:7">
      <c r="A4210" s="78" t="s">
        <v>3984</v>
      </c>
      <c r="B4210" s="78"/>
      <c r="C4210" s="203" t="s">
        <v>2367</v>
      </c>
      <c r="D4210" s="26"/>
      <c r="E4210" s="171" t="s">
        <v>297</v>
      </c>
      <c r="F4210" s="246">
        <v>10</v>
      </c>
      <c r="G4210" s="26" t="s">
        <v>3477</v>
      </c>
    </row>
    <row r="4211" spans="1:7">
      <c r="A4211" s="26"/>
      <c r="B4211" s="79" t="s">
        <v>2368</v>
      </c>
      <c r="C4211" s="26"/>
      <c r="D4211" s="26"/>
      <c r="E4211" s="26"/>
      <c r="F4211" s="26"/>
      <c r="G4211" s="26"/>
    </row>
    <row r="4212" spans="1:7">
      <c r="A4212" s="26"/>
      <c r="B4212" s="95" t="s">
        <v>2369</v>
      </c>
      <c r="C4212" s="157" t="s">
        <v>4443</v>
      </c>
      <c r="D4212" s="95" t="s">
        <v>2370</v>
      </c>
      <c r="E4212" s="95" t="s">
        <v>1166</v>
      </c>
      <c r="F4212" s="95" t="s">
        <v>2371</v>
      </c>
      <c r="G4212" s="95" t="s">
        <v>2372</v>
      </c>
    </row>
    <row r="4213" spans="1:7">
      <c r="A4213" s="26"/>
      <c r="B4213" s="114"/>
      <c r="C4213" s="154"/>
      <c r="D4213" s="114"/>
      <c r="E4213" s="114"/>
      <c r="F4213" s="114" t="s">
        <v>3485</v>
      </c>
      <c r="G4213" s="114" t="s">
        <v>3485</v>
      </c>
    </row>
    <row r="4214" spans="1:7">
      <c r="A4214" s="26"/>
      <c r="B4214" s="95">
        <v>1</v>
      </c>
      <c r="C4214" s="135" t="s">
        <v>956</v>
      </c>
      <c r="D4214" s="95" t="s">
        <v>3477</v>
      </c>
      <c r="E4214" s="190">
        <v>12</v>
      </c>
      <c r="F4214" s="214">
        <f>'BASIC DATA'!$D$85</f>
        <v>165</v>
      </c>
      <c r="G4214" s="190">
        <f>E4214*F4214</f>
        <v>1980</v>
      </c>
    </row>
    <row r="4215" spans="1:7">
      <c r="A4215" s="26"/>
      <c r="B4215" s="365"/>
      <c r="C4215" s="139"/>
      <c r="D4215" s="114"/>
      <c r="E4215" s="182">
        <v>0</v>
      </c>
      <c r="F4215" s="215">
        <v>0</v>
      </c>
      <c r="G4215" s="182">
        <f>E4215*F4215</f>
        <v>0</v>
      </c>
    </row>
    <row r="4216" spans="1:7">
      <c r="A4216" s="26"/>
      <c r="B4216" s="93"/>
      <c r="C4216" s="31" t="s">
        <v>7020</v>
      </c>
      <c r="D4216" s="31" t="s">
        <v>4043</v>
      </c>
      <c r="E4216" s="198"/>
      <c r="F4216" s="275" t="s">
        <v>1698</v>
      </c>
      <c r="G4216" s="190">
        <v>0</v>
      </c>
    </row>
    <row r="4217" spans="1:7">
      <c r="A4217" s="26"/>
      <c r="B4217" s="92"/>
      <c r="C4217" s="193" t="s">
        <v>2376</v>
      </c>
      <c r="D4217" s="159"/>
      <c r="E4217" s="238"/>
      <c r="F4217" s="236" t="s">
        <v>1698</v>
      </c>
      <c r="G4217" s="318">
        <f>SUM(G4214:G4216)</f>
        <v>1980</v>
      </c>
    </row>
    <row r="4218" spans="1:7">
      <c r="A4218" s="26"/>
      <c r="B4218" s="78"/>
      <c r="C4218" s="26"/>
      <c r="D4218" s="26"/>
      <c r="E4218" s="26"/>
      <c r="F4218" s="26"/>
      <c r="G4218" s="68"/>
    </row>
    <row r="4219" spans="1:7">
      <c r="A4219" s="26"/>
      <c r="B4219" s="79" t="s">
        <v>2377</v>
      </c>
      <c r="C4219" s="26"/>
      <c r="D4219" s="26"/>
      <c r="E4219" s="26"/>
      <c r="F4219" s="26"/>
      <c r="G4219" s="26"/>
    </row>
    <row r="4220" spans="1:7">
      <c r="A4220" s="26"/>
      <c r="B4220" s="95" t="s">
        <v>2369</v>
      </c>
      <c r="C4220" s="157" t="s">
        <v>2378</v>
      </c>
      <c r="D4220" s="95" t="s">
        <v>2370</v>
      </c>
      <c r="E4220" s="95" t="s">
        <v>1166</v>
      </c>
      <c r="F4220" s="95" t="s">
        <v>2371</v>
      </c>
      <c r="G4220" s="95" t="s">
        <v>2372</v>
      </c>
    </row>
    <row r="4221" spans="1:7">
      <c r="A4221" s="26"/>
      <c r="B4221" s="114"/>
      <c r="C4221" s="154"/>
      <c r="D4221" s="114"/>
      <c r="E4221" s="114"/>
      <c r="F4221" s="114" t="s">
        <v>3485</v>
      </c>
      <c r="G4221" s="114" t="s">
        <v>3485</v>
      </c>
    </row>
    <row r="4222" spans="1:7">
      <c r="A4222" s="26"/>
      <c r="B4222" s="95">
        <v>1</v>
      </c>
      <c r="C4222" s="95" t="s">
        <v>1130</v>
      </c>
      <c r="D4222" s="175"/>
      <c r="E4222" s="179">
        <v>0</v>
      </c>
      <c r="F4222" s="190">
        <v>0</v>
      </c>
      <c r="G4222" s="190">
        <f>E4222*F4222</f>
        <v>0</v>
      </c>
    </row>
    <row r="4223" spans="1:7">
      <c r="A4223" s="26"/>
      <c r="B4223" s="365"/>
      <c r="C4223" s="114"/>
      <c r="D4223" s="188"/>
      <c r="E4223" s="182">
        <v>0</v>
      </c>
      <c r="F4223" s="182">
        <v>0</v>
      </c>
      <c r="G4223" s="190">
        <f>E4223*F4223</f>
        <v>0</v>
      </c>
    </row>
    <row r="4224" spans="1:7">
      <c r="A4224" s="26"/>
      <c r="B4224" s="176"/>
      <c r="C4224" s="172" t="s">
        <v>2380</v>
      </c>
      <c r="D4224" s="174"/>
      <c r="E4224" s="192"/>
      <c r="F4224" s="275" t="s">
        <v>1698</v>
      </c>
      <c r="G4224" s="318">
        <f>SUM(G4222:G4223)</f>
        <v>0</v>
      </c>
    </row>
    <row r="4225" spans="1:7">
      <c r="A4225" s="26"/>
      <c r="B4225" s="78"/>
      <c r="C4225" s="26"/>
      <c r="D4225" s="26"/>
      <c r="E4225" s="26"/>
      <c r="F4225" s="26"/>
      <c r="G4225" s="26"/>
    </row>
    <row r="4226" spans="1:7">
      <c r="A4226" s="26"/>
      <c r="B4226" s="79" t="s">
        <v>2381</v>
      </c>
      <c r="C4226" s="26"/>
      <c r="D4226" s="26"/>
      <c r="E4226" s="26"/>
      <c r="F4226" s="26"/>
      <c r="G4226" s="26"/>
    </row>
    <row r="4227" spans="1:7">
      <c r="A4227" s="26"/>
      <c r="B4227" s="95" t="s">
        <v>2369</v>
      </c>
      <c r="C4227" s="157" t="s">
        <v>2378</v>
      </c>
      <c r="D4227" s="95" t="s">
        <v>2370</v>
      </c>
      <c r="E4227" s="95" t="s">
        <v>1166</v>
      </c>
      <c r="F4227" s="95" t="s">
        <v>2371</v>
      </c>
      <c r="G4227" s="95" t="s">
        <v>2372</v>
      </c>
    </row>
    <row r="4228" spans="1:7">
      <c r="A4228" s="26"/>
      <c r="B4228" s="114"/>
      <c r="C4228" s="154"/>
      <c r="D4228" s="105"/>
      <c r="E4228" s="105"/>
      <c r="F4228" s="105" t="s">
        <v>3485</v>
      </c>
      <c r="G4228" s="114" t="s">
        <v>3485</v>
      </c>
    </row>
    <row r="4229" spans="1:7">
      <c r="A4229" s="26"/>
      <c r="B4229" s="95">
        <v>1</v>
      </c>
      <c r="C4229" s="76" t="s">
        <v>684</v>
      </c>
      <c r="D4229" s="95" t="s">
        <v>1172</v>
      </c>
      <c r="E4229" s="179">
        <v>0.5</v>
      </c>
      <c r="F4229" s="179">
        <f>'BASIC DATA'!$C$511</f>
        <v>465</v>
      </c>
      <c r="G4229" s="207">
        <f>E4229*F4229</f>
        <v>232.5</v>
      </c>
    </row>
    <row r="4230" spans="1:7">
      <c r="A4230" s="26"/>
      <c r="B4230" s="105">
        <v>2</v>
      </c>
      <c r="C4230" s="76" t="s">
        <v>4206</v>
      </c>
      <c r="D4230" s="105" t="s">
        <v>1172</v>
      </c>
      <c r="E4230" s="190">
        <v>0.5</v>
      </c>
      <c r="F4230" s="190">
        <f>'BASIC DATA'!$C$473</f>
        <v>450</v>
      </c>
      <c r="G4230" s="207">
        <f>E4230*F4230</f>
        <v>225</v>
      </c>
    </row>
    <row r="4231" spans="1:7">
      <c r="A4231" s="26"/>
      <c r="B4231" s="114">
        <v>3</v>
      </c>
      <c r="C4231" s="89" t="s">
        <v>2697</v>
      </c>
      <c r="D4231" s="114" t="s">
        <v>1172</v>
      </c>
      <c r="E4231" s="182">
        <v>6</v>
      </c>
      <c r="F4231" s="182">
        <f>'BASIC DATA'!$C$552</f>
        <v>350</v>
      </c>
      <c r="G4231" s="207">
        <f>E4231*F4231</f>
        <v>2100</v>
      </c>
    </row>
    <row r="4232" spans="1:7">
      <c r="A4232" s="26"/>
      <c r="B4232" s="176"/>
      <c r="C4232" s="172" t="s">
        <v>1174</v>
      </c>
      <c r="D4232" s="174"/>
      <c r="E4232" s="192"/>
      <c r="F4232" s="275" t="s">
        <v>1698</v>
      </c>
      <c r="G4232" s="318">
        <f>SUM(G4229:G4231)</f>
        <v>2557.5</v>
      </c>
    </row>
    <row r="4233" spans="1:7">
      <c r="A4233" s="26"/>
      <c r="B4233" s="60" t="s">
        <v>5948</v>
      </c>
      <c r="C4233" s="31"/>
      <c r="D4233" s="31"/>
      <c r="E4233" s="85">
        <f>ROUND(G4232/F4210,1)</f>
        <v>255.8</v>
      </c>
      <c r="F4233" s="26"/>
      <c r="G4233" s="26"/>
    </row>
    <row r="4234" spans="1:7">
      <c r="A4234" s="26"/>
      <c r="B4234" s="60" t="s">
        <v>3163</v>
      </c>
      <c r="C4234" s="31"/>
      <c r="D4234" s="31">
        <f>'BASIC DATA'!$C$577</f>
        <v>0.13614999999999999</v>
      </c>
      <c r="E4234" s="85">
        <f>ROUND(E4233*D4234,1)</f>
        <v>34.799999999999997</v>
      </c>
      <c r="F4234" s="26"/>
      <c r="G4234" s="26"/>
    </row>
    <row r="4235" spans="1:7">
      <c r="A4235" s="26"/>
      <c r="B4235" s="60" t="s">
        <v>5949</v>
      </c>
      <c r="C4235" s="31"/>
      <c r="D4235" s="31"/>
      <c r="E4235" s="199">
        <f>ROUND(E4234+E4233,1)</f>
        <v>290.60000000000002</v>
      </c>
      <c r="F4235" s="56"/>
      <c r="G4235" s="26"/>
    </row>
    <row r="4236" spans="1:7">
      <c r="A4236" s="26"/>
      <c r="B4236" s="78"/>
      <c r="C4236" s="26"/>
      <c r="D4236" s="26"/>
      <c r="E4236" s="26"/>
      <c r="F4236" s="26"/>
      <c r="G4236" s="26"/>
    </row>
    <row r="4237" spans="1:7">
      <c r="A4237" s="26"/>
      <c r="B4237" s="170" t="s">
        <v>1175</v>
      </c>
      <c r="C4237" s="26"/>
      <c r="D4237" s="26"/>
      <c r="E4237" s="26"/>
      <c r="F4237" s="26"/>
      <c r="G4237" s="26"/>
    </row>
    <row r="4238" spans="1:7">
      <c r="A4238" s="26"/>
      <c r="B4238" s="26" t="s">
        <v>5010</v>
      </c>
      <c r="C4238" s="26"/>
      <c r="D4238" s="26"/>
      <c r="E4238" s="26"/>
      <c r="F4238" s="171" t="s">
        <v>1698</v>
      </c>
      <c r="G4238" s="68">
        <f>G4217</f>
        <v>1980</v>
      </c>
    </row>
    <row r="4239" spans="1:7">
      <c r="A4239" s="26"/>
      <c r="B4239" s="26" t="s">
        <v>1186</v>
      </c>
      <c r="C4239" s="26"/>
      <c r="D4239" s="26"/>
      <c r="E4239" s="26"/>
      <c r="F4239" s="171" t="s">
        <v>1698</v>
      </c>
      <c r="G4239" s="68">
        <f>G4224</f>
        <v>0</v>
      </c>
    </row>
    <row r="4240" spans="1:7">
      <c r="A4240" s="26"/>
      <c r="B4240" s="26" t="s">
        <v>2660</v>
      </c>
      <c r="C4240" s="26"/>
      <c r="D4240" s="26"/>
      <c r="E4240" s="26"/>
      <c r="F4240" s="171" t="s">
        <v>1698</v>
      </c>
      <c r="G4240" s="75">
        <f>G4232</f>
        <v>2557.5</v>
      </c>
    </row>
    <row r="4241" spans="1:7">
      <c r="A4241" s="26"/>
      <c r="B4241" s="78"/>
      <c r="C4241" s="26"/>
      <c r="D4241" s="26"/>
      <c r="E4241" s="171"/>
      <c r="F4241" s="171" t="s">
        <v>302</v>
      </c>
      <c r="G4241" s="205">
        <f>SUM(G4238:G4240)</f>
        <v>4537.5</v>
      </c>
    </row>
    <row r="4242" spans="1:7">
      <c r="A4242" s="26"/>
      <c r="B4242" s="1206" t="s">
        <v>1379</v>
      </c>
      <c r="C4242" s="1206"/>
      <c r="D4242" s="26"/>
      <c r="E4242" s="249">
        <f>'BASIC DATA'!$C$577</f>
        <v>0.13614999999999999</v>
      </c>
      <c r="F4242" s="26" t="s">
        <v>1698</v>
      </c>
      <c r="G4242" s="26">
        <f>ROUND(G4241*E4242,2)</f>
        <v>617.78</v>
      </c>
    </row>
    <row r="4243" spans="1:7">
      <c r="A4243" s="26"/>
      <c r="B4243" s="26" t="s">
        <v>1191</v>
      </c>
      <c r="C4243" s="26"/>
      <c r="D4243" s="68">
        <f>F4210</f>
        <v>10</v>
      </c>
      <c r="E4243" s="68" t="str">
        <f>G4210</f>
        <v>cum</v>
      </c>
      <c r="F4243" s="26" t="s">
        <v>1698</v>
      </c>
      <c r="G4243" s="170">
        <f>G4242+G4241</f>
        <v>5155.28</v>
      </c>
    </row>
    <row r="4244" spans="1:7">
      <c r="A4244" s="26"/>
      <c r="B4244" s="170" t="s">
        <v>1584</v>
      </c>
      <c r="C4244" s="211" t="str">
        <f>E4243</f>
        <v>cum</v>
      </c>
      <c r="D4244" s="26" t="s">
        <v>5891</v>
      </c>
      <c r="E4244" s="26"/>
      <c r="F4244" s="26" t="s">
        <v>4108</v>
      </c>
      <c r="G4244" s="211">
        <f>ROUND(G4243/D4243,1)</f>
        <v>515.5</v>
      </c>
    </row>
    <row r="4245" spans="1:7">
      <c r="A4245" s="26"/>
      <c r="B4245" s="78"/>
      <c r="C4245" s="26"/>
      <c r="D4245" s="26"/>
      <c r="E4245" s="26"/>
      <c r="F4245" s="26"/>
      <c r="G4245" s="26"/>
    </row>
    <row r="4246" spans="1:7">
      <c r="A4246" s="26"/>
      <c r="B4246" s="78"/>
      <c r="C4246" s="26"/>
      <c r="D4246" s="26"/>
      <c r="E4246" s="26"/>
      <c r="F4246" s="26"/>
      <c r="G4246" s="26"/>
    </row>
    <row r="4247" spans="1:7" ht="18.75">
      <c r="A4247" s="78" t="s">
        <v>7156</v>
      </c>
      <c r="B4247" s="26" t="s">
        <v>9014</v>
      </c>
      <c r="C4247" s="26"/>
      <c r="D4247" s="26"/>
      <c r="E4247" s="26"/>
      <c r="F4247" s="26"/>
      <c r="G4247" s="26"/>
    </row>
    <row r="4248" spans="1:7">
      <c r="A4248" s="78"/>
      <c r="B4248" s="26" t="s">
        <v>9015</v>
      </c>
      <c r="C4248" s="26"/>
      <c r="D4248" s="26"/>
      <c r="E4248" s="26"/>
      <c r="F4248" s="26"/>
      <c r="G4248" s="26"/>
    </row>
    <row r="4249" spans="1:7" ht="18.75">
      <c r="A4249" s="78"/>
      <c r="B4249" s="26" t="s">
        <v>9016</v>
      </c>
      <c r="C4249" s="26"/>
      <c r="D4249" s="26"/>
      <c r="E4249" s="26"/>
      <c r="F4249" s="26"/>
      <c r="G4249" s="26"/>
    </row>
    <row r="4250" spans="1:7">
      <c r="A4250" s="78"/>
      <c r="B4250" s="170" t="s">
        <v>2735</v>
      </c>
      <c r="C4250" s="26"/>
      <c r="D4250" s="26"/>
      <c r="E4250" s="26"/>
      <c r="F4250" s="26"/>
      <c r="G4250" s="26"/>
    </row>
    <row r="4251" spans="1:7">
      <c r="A4251" s="78"/>
      <c r="B4251" s="26"/>
      <c r="C4251" s="26"/>
      <c r="D4251" s="26"/>
      <c r="E4251" s="26"/>
      <c r="F4251" s="26"/>
      <c r="G4251" s="26"/>
    </row>
    <row r="4252" spans="1:7">
      <c r="A4252" s="78" t="s">
        <v>3984</v>
      </c>
      <c r="B4252" s="26" t="s">
        <v>4133</v>
      </c>
      <c r="C4252" s="26"/>
      <c r="D4252" s="26"/>
      <c r="E4252" s="26"/>
      <c r="F4252" s="26"/>
      <c r="G4252" s="26"/>
    </row>
    <row r="4253" spans="1:7">
      <c r="A4253" s="78"/>
      <c r="B4253" s="26" t="s">
        <v>6314</v>
      </c>
      <c r="C4253" s="26"/>
      <c r="D4253" s="26"/>
      <c r="E4253" s="78" t="s">
        <v>1697</v>
      </c>
      <c r="F4253" s="68">
        <v>12</v>
      </c>
      <c r="G4253" s="26" t="s">
        <v>3477</v>
      </c>
    </row>
    <row r="4254" spans="1:7">
      <c r="A4254" s="78"/>
      <c r="B4254" s="26" t="s">
        <v>4134</v>
      </c>
      <c r="C4254" s="26"/>
      <c r="D4254" s="26"/>
      <c r="E4254" s="78" t="s">
        <v>1697</v>
      </c>
      <c r="F4254" s="26">
        <v>58.6</v>
      </c>
      <c r="G4254" s="26" t="s">
        <v>4535</v>
      </c>
    </row>
    <row r="4255" spans="1:7">
      <c r="A4255" s="78"/>
      <c r="B4255" s="26" t="s">
        <v>7237</v>
      </c>
      <c r="C4255" s="26"/>
      <c r="D4255" s="26"/>
      <c r="E4255" s="78" t="s">
        <v>1697</v>
      </c>
      <c r="F4255" s="26">
        <v>0.5</v>
      </c>
      <c r="G4255" s="26" t="s">
        <v>1581</v>
      </c>
    </row>
    <row r="4256" spans="1:7">
      <c r="A4256" s="78"/>
      <c r="B4256" s="26" t="s">
        <v>6074</v>
      </c>
      <c r="C4256" s="26"/>
      <c r="D4256" s="26"/>
      <c r="E4256" s="26"/>
      <c r="F4256" s="26"/>
      <c r="G4256" s="26"/>
    </row>
    <row r="4257" spans="1:7">
      <c r="A4257" s="26"/>
      <c r="B4257" s="78"/>
      <c r="C4257" s="26"/>
      <c r="D4257" s="26"/>
      <c r="E4257" s="26"/>
      <c r="F4257" s="26"/>
      <c r="G4257" s="26"/>
    </row>
    <row r="4258" spans="1:7">
      <c r="A4258" s="78" t="s">
        <v>3984</v>
      </c>
      <c r="B4258" s="78"/>
      <c r="C4258" s="203" t="s">
        <v>2367</v>
      </c>
      <c r="D4258" s="26"/>
      <c r="E4258" s="171" t="s">
        <v>297</v>
      </c>
      <c r="F4258" s="246">
        <v>10</v>
      </c>
      <c r="G4258" s="26" t="s">
        <v>3477</v>
      </c>
    </row>
    <row r="4259" spans="1:7">
      <c r="A4259" s="26"/>
      <c r="B4259" s="79" t="s">
        <v>2368</v>
      </c>
      <c r="C4259" s="26"/>
      <c r="D4259" s="26"/>
      <c r="E4259" s="26"/>
      <c r="F4259" s="26"/>
      <c r="G4259" s="26"/>
    </row>
    <row r="4260" spans="1:7">
      <c r="A4260" s="26"/>
      <c r="B4260" s="95" t="s">
        <v>2369</v>
      </c>
      <c r="C4260" s="157" t="s">
        <v>4443</v>
      </c>
      <c r="D4260" s="95" t="s">
        <v>2370</v>
      </c>
      <c r="E4260" s="95" t="s">
        <v>1166</v>
      </c>
      <c r="F4260" s="95" t="s">
        <v>2371</v>
      </c>
      <c r="G4260" s="95" t="s">
        <v>2372</v>
      </c>
    </row>
    <row r="4261" spans="1:7">
      <c r="A4261" s="26"/>
      <c r="B4261" s="114"/>
      <c r="C4261" s="154"/>
      <c r="D4261" s="114"/>
      <c r="E4261" s="114"/>
      <c r="F4261" s="114" t="s">
        <v>3485</v>
      </c>
      <c r="G4261" s="114" t="s">
        <v>3485</v>
      </c>
    </row>
    <row r="4262" spans="1:7">
      <c r="A4262" s="26"/>
      <c r="B4262" s="95">
        <v>1</v>
      </c>
      <c r="C4262" s="135" t="s">
        <v>956</v>
      </c>
      <c r="D4262" s="95" t="s">
        <v>3477</v>
      </c>
      <c r="E4262" s="190">
        <v>12</v>
      </c>
      <c r="F4262" s="214">
        <f>'BASIC DATA'!$D$85</f>
        <v>165</v>
      </c>
      <c r="G4262" s="190">
        <f>E4262*F4262</f>
        <v>1980</v>
      </c>
    </row>
    <row r="4263" spans="1:7">
      <c r="A4263" s="26"/>
      <c r="B4263" s="365"/>
      <c r="C4263" s="139"/>
      <c r="D4263" s="114"/>
      <c r="E4263" s="182">
        <v>0</v>
      </c>
      <c r="F4263" s="182">
        <v>0</v>
      </c>
      <c r="G4263" s="182">
        <f>E4263*F4263</f>
        <v>0</v>
      </c>
    </row>
    <row r="4264" spans="1:7">
      <c r="A4264" s="26"/>
      <c r="B4264" s="93"/>
      <c r="C4264" s="31" t="s">
        <v>7020</v>
      </c>
      <c r="D4264" s="31" t="s">
        <v>4043</v>
      </c>
      <c r="E4264" s="198"/>
      <c r="F4264" s="275" t="s">
        <v>1698</v>
      </c>
      <c r="G4264" s="190">
        <v>0</v>
      </c>
    </row>
    <row r="4265" spans="1:7">
      <c r="A4265" s="26"/>
      <c r="B4265" s="92"/>
      <c r="C4265" s="193" t="s">
        <v>2376</v>
      </c>
      <c r="D4265" s="159"/>
      <c r="E4265" s="238"/>
      <c r="F4265" s="236" t="s">
        <v>1698</v>
      </c>
      <c r="G4265" s="318">
        <f>SUM(G4262:G4264)</f>
        <v>1980</v>
      </c>
    </row>
    <row r="4266" spans="1:7">
      <c r="A4266" s="26"/>
      <c r="B4266" s="78"/>
      <c r="C4266" s="26"/>
      <c r="D4266" s="26"/>
      <c r="E4266" s="26"/>
      <c r="F4266" s="26"/>
      <c r="G4266" s="68"/>
    </row>
    <row r="4267" spans="1:7">
      <c r="A4267" s="26"/>
      <c r="B4267" s="79" t="s">
        <v>2377</v>
      </c>
      <c r="C4267" s="26"/>
      <c r="D4267" s="26"/>
      <c r="E4267" s="26"/>
      <c r="F4267" s="26"/>
      <c r="G4267" s="26"/>
    </row>
    <row r="4268" spans="1:7">
      <c r="A4268" s="26"/>
      <c r="B4268" s="95" t="s">
        <v>2369</v>
      </c>
      <c r="C4268" s="157" t="s">
        <v>2378</v>
      </c>
      <c r="D4268" s="95" t="s">
        <v>2370</v>
      </c>
      <c r="E4268" s="95" t="s">
        <v>1166</v>
      </c>
      <c r="F4268" s="95" t="s">
        <v>2371</v>
      </c>
      <c r="G4268" s="95" t="s">
        <v>2372</v>
      </c>
    </row>
    <row r="4269" spans="1:7">
      <c r="A4269" s="26"/>
      <c r="B4269" s="114"/>
      <c r="C4269" s="154"/>
      <c r="D4269" s="114"/>
      <c r="E4269" s="114"/>
      <c r="F4269" s="114" t="s">
        <v>3485</v>
      </c>
      <c r="G4269" s="114" t="s">
        <v>3485</v>
      </c>
    </row>
    <row r="4270" spans="1:7">
      <c r="A4270" s="26"/>
      <c r="B4270" s="95">
        <v>1</v>
      </c>
      <c r="C4270" s="153" t="s">
        <v>1543</v>
      </c>
      <c r="D4270" s="175" t="s">
        <v>2374</v>
      </c>
      <c r="E4270" s="179">
        <f>F4258/F4254</f>
        <v>0.17064846416382251</v>
      </c>
      <c r="F4270" s="190">
        <f>'HIRE CHARGES'!$D$541</f>
        <v>197.2</v>
      </c>
      <c r="G4270" s="190">
        <f>E4270*F4270</f>
        <v>33.651877133105799</v>
      </c>
    </row>
    <row r="4271" spans="1:7">
      <c r="A4271" s="26"/>
      <c r="B4271" s="365"/>
      <c r="C4271" s="116" t="s">
        <v>2379</v>
      </c>
      <c r="D4271" s="188" t="s">
        <v>2374</v>
      </c>
      <c r="E4271" s="182">
        <f>F4258/F4254</f>
        <v>0.17064846416382251</v>
      </c>
      <c r="F4271" s="182">
        <f>'HIRE CHARGES'!$E$541</f>
        <v>714</v>
      </c>
      <c r="G4271" s="182">
        <f>E4271*F4271</f>
        <v>121.84300341296927</v>
      </c>
    </row>
    <row r="4272" spans="1:7">
      <c r="A4272" s="26"/>
      <c r="B4272" s="176"/>
      <c r="C4272" s="172" t="s">
        <v>2380</v>
      </c>
      <c r="D4272" s="174"/>
      <c r="E4272" s="192"/>
      <c r="F4272" s="275" t="s">
        <v>1698</v>
      </c>
      <c r="G4272" s="434">
        <f>SUM(G4270:G4271)</f>
        <v>155.49488054607508</v>
      </c>
    </row>
    <row r="4273" spans="1:7">
      <c r="A4273" s="26"/>
      <c r="B4273" s="78"/>
      <c r="C4273" s="26"/>
      <c r="D4273" s="26"/>
      <c r="E4273" s="26"/>
      <c r="F4273" s="26"/>
      <c r="G4273" s="26"/>
    </row>
    <row r="4274" spans="1:7">
      <c r="A4274" s="26"/>
      <c r="B4274" s="79" t="s">
        <v>2381</v>
      </c>
      <c r="C4274" s="26"/>
      <c r="D4274" s="26"/>
      <c r="E4274" s="26"/>
      <c r="F4274" s="26"/>
      <c r="G4274" s="26"/>
    </row>
    <row r="4275" spans="1:7">
      <c r="A4275" s="26"/>
      <c r="B4275" s="95" t="s">
        <v>2369</v>
      </c>
      <c r="C4275" s="157" t="s">
        <v>2378</v>
      </c>
      <c r="D4275" s="95" t="s">
        <v>2370</v>
      </c>
      <c r="E4275" s="95" t="s">
        <v>1166</v>
      </c>
      <c r="F4275" s="95" t="s">
        <v>2371</v>
      </c>
      <c r="G4275" s="95" t="s">
        <v>2372</v>
      </c>
    </row>
    <row r="4276" spans="1:7">
      <c r="A4276" s="26"/>
      <c r="B4276" s="114"/>
      <c r="C4276" s="154"/>
      <c r="D4276" s="105"/>
      <c r="E4276" s="105"/>
      <c r="F4276" s="105" t="s">
        <v>3485</v>
      </c>
      <c r="G4276" s="114" t="s">
        <v>3485</v>
      </c>
    </row>
    <row r="4277" spans="1:7">
      <c r="A4277" s="26"/>
      <c r="B4277" s="95">
        <v>1</v>
      </c>
      <c r="C4277" s="76" t="s">
        <v>4135</v>
      </c>
      <c r="D4277" s="95" t="s">
        <v>2374</v>
      </c>
      <c r="E4277" s="179">
        <f>F4258/F4254</f>
        <v>0.17064846416382251</v>
      </c>
      <c r="F4277" s="179">
        <f>'HIRE CHARGES'!$F$541</f>
        <v>210.9</v>
      </c>
      <c r="G4277" s="207">
        <f>E4277*F4277</f>
        <v>35.989761092150168</v>
      </c>
    </row>
    <row r="4278" spans="1:7">
      <c r="A4278" s="26"/>
      <c r="B4278" s="105">
        <v>2</v>
      </c>
      <c r="C4278" s="76" t="s">
        <v>684</v>
      </c>
      <c r="D4278" s="105" t="s">
        <v>1172</v>
      </c>
      <c r="E4278" s="190">
        <v>0.5</v>
      </c>
      <c r="F4278" s="190">
        <f>'BASIC DATA'!$C$511</f>
        <v>465</v>
      </c>
      <c r="G4278" s="207">
        <f>E4278*F4278</f>
        <v>232.5</v>
      </c>
    </row>
    <row r="4279" spans="1:7">
      <c r="A4279" s="26"/>
      <c r="B4279" s="105">
        <v>3</v>
      </c>
      <c r="C4279" s="76" t="s">
        <v>4206</v>
      </c>
      <c r="D4279" s="105" t="s">
        <v>1172</v>
      </c>
      <c r="E4279" s="190">
        <v>0.5</v>
      </c>
      <c r="F4279" s="190">
        <f>'BASIC DATA'!$C$473</f>
        <v>450</v>
      </c>
      <c r="G4279" s="207">
        <f>E4279*F4279</f>
        <v>225</v>
      </c>
    </row>
    <row r="4280" spans="1:7">
      <c r="A4280" s="26"/>
      <c r="B4280" s="114">
        <v>4</v>
      </c>
      <c r="C4280" s="89" t="s">
        <v>2697</v>
      </c>
      <c r="D4280" s="114" t="s">
        <v>1172</v>
      </c>
      <c r="E4280" s="182">
        <v>1.5</v>
      </c>
      <c r="F4280" s="182">
        <f>'BASIC DATA'!$C$552</f>
        <v>350</v>
      </c>
      <c r="G4280" s="207">
        <f>E4280*F4280</f>
        <v>525</v>
      </c>
    </row>
    <row r="4281" spans="1:7">
      <c r="A4281" s="26"/>
      <c r="B4281" s="176"/>
      <c r="C4281" s="172" t="s">
        <v>1174</v>
      </c>
      <c r="D4281" s="174"/>
      <c r="E4281" s="192"/>
      <c r="F4281" s="275" t="s">
        <v>1698</v>
      </c>
      <c r="G4281" s="318">
        <f>SUM(G4277:G4280)</f>
        <v>1018.4897610921502</v>
      </c>
    </row>
    <row r="4282" spans="1:7">
      <c r="A4282" s="26"/>
      <c r="B4282" s="60" t="s">
        <v>5948</v>
      </c>
      <c r="C4282" s="31"/>
      <c r="D4282" s="31"/>
      <c r="E4282" s="85">
        <f>ROUND(G4281/F4258,1)</f>
        <v>101.8</v>
      </c>
      <c r="F4282" s="26"/>
      <c r="G4282" s="26"/>
    </row>
    <row r="4283" spans="1:7">
      <c r="A4283" s="26"/>
      <c r="B4283" s="60" t="s">
        <v>3163</v>
      </c>
      <c r="C4283" s="31"/>
      <c r="D4283" s="31">
        <f>'BASIC DATA'!$C$577</f>
        <v>0.13614999999999999</v>
      </c>
      <c r="E4283" s="85">
        <f>ROUND(E4282*D4283,1)</f>
        <v>13.9</v>
      </c>
      <c r="F4283" s="26"/>
      <c r="G4283" s="26"/>
    </row>
    <row r="4284" spans="1:7">
      <c r="A4284" s="26"/>
      <c r="B4284" s="60" t="s">
        <v>5949</v>
      </c>
      <c r="C4284" s="31"/>
      <c r="D4284" s="31"/>
      <c r="E4284" s="199">
        <f>ROUND(E4283+E4282,1)</f>
        <v>115.7</v>
      </c>
      <c r="F4284" s="56"/>
      <c r="G4284" s="26"/>
    </row>
    <row r="4285" spans="1:7">
      <c r="A4285" s="26"/>
      <c r="B4285" s="78"/>
      <c r="C4285" s="26"/>
      <c r="D4285" s="26"/>
      <c r="E4285" s="26"/>
      <c r="F4285" s="26"/>
      <c r="G4285" s="26"/>
    </row>
    <row r="4286" spans="1:7">
      <c r="A4286" s="26"/>
      <c r="B4286" s="170" t="s">
        <v>1175</v>
      </c>
      <c r="C4286" s="26"/>
      <c r="D4286" s="26"/>
      <c r="E4286" s="26"/>
      <c r="F4286" s="26"/>
      <c r="G4286" s="26"/>
    </row>
    <row r="4287" spans="1:7">
      <c r="A4287" s="26"/>
      <c r="B4287" s="26" t="s">
        <v>5010</v>
      </c>
      <c r="C4287" s="26"/>
      <c r="D4287" s="26"/>
      <c r="E4287" s="26"/>
      <c r="F4287" s="171" t="s">
        <v>1698</v>
      </c>
      <c r="G4287" s="68">
        <f>G4265</f>
        <v>1980</v>
      </c>
    </row>
    <row r="4288" spans="1:7">
      <c r="A4288" s="26"/>
      <c r="B4288" s="26" t="s">
        <v>1186</v>
      </c>
      <c r="C4288" s="26"/>
      <c r="D4288" s="26"/>
      <c r="E4288" s="26"/>
      <c r="F4288" s="171" t="s">
        <v>1698</v>
      </c>
      <c r="G4288" s="68">
        <f>G4272</f>
        <v>155.49488054607508</v>
      </c>
    </row>
    <row r="4289" spans="1:7">
      <c r="A4289" s="26"/>
      <c r="B4289" s="26" t="s">
        <v>2660</v>
      </c>
      <c r="C4289" s="26"/>
      <c r="D4289" s="26"/>
      <c r="E4289" s="26"/>
      <c r="F4289" s="171" t="s">
        <v>1698</v>
      </c>
      <c r="G4289" s="75">
        <f>G4281</f>
        <v>1018.4897610921502</v>
      </c>
    </row>
    <row r="4290" spans="1:7">
      <c r="A4290" s="26"/>
      <c r="B4290" s="78"/>
      <c r="C4290" s="26"/>
      <c r="D4290" s="26"/>
      <c r="E4290" s="171"/>
      <c r="F4290" s="171" t="s">
        <v>302</v>
      </c>
      <c r="G4290" s="205">
        <f>SUM(G4287:G4289)</f>
        <v>3153.9846416382252</v>
      </c>
    </row>
    <row r="4291" spans="1:7">
      <c r="A4291" s="26"/>
      <c r="B4291" s="1206" t="s">
        <v>1379</v>
      </c>
      <c r="C4291" s="1206"/>
      <c r="D4291" s="26"/>
      <c r="E4291" s="249">
        <f>'BASIC DATA'!$C$577</f>
        <v>0.13614999999999999</v>
      </c>
      <c r="F4291" s="26" t="s">
        <v>1698</v>
      </c>
      <c r="G4291" s="26">
        <f>ROUND(G4290*E4291,2)</f>
        <v>429.42</v>
      </c>
    </row>
    <row r="4292" spans="1:7">
      <c r="A4292" s="26"/>
      <c r="B4292" s="26" t="s">
        <v>1191</v>
      </c>
      <c r="C4292" s="26"/>
      <c r="D4292" s="68">
        <f>F4258</f>
        <v>10</v>
      </c>
      <c r="E4292" s="68" t="str">
        <f>G4258</f>
        <v>cum</v>
      </c>
      <c r="F4292" s="26" t="s">
        <v>1698</v>
      </c>
      <c r="G4292" s="211">
        <f>G4291+G4290</f>
        <v>3583.4046416382253</v>
      </c>
    </row>
    <row r="4293" spans="1:7">
      <c r="A4293" s="26"/>
      <c r="B4293" s="170" t="s">
        <v>1584</v>
      </c>
      <c r="C4293" s="211" t="str">
        <f>E4292</f>
        <v>cum</v>
      </c>
      <c r="D4293" s="26" t="s">
        <v>5891</v>
      </c>
      <c r="E4293" s="26"/>
      <c r="F4293" s="26" t="s">
        <v>4108</v>
      </c>
      <c r="G4293" s="211">
        <f>ROUND(G4292/D4292,1)</f>
        <v>358.3</v>
      </c>
    </row>
    <row r="4294" spans="1:7">
      <c r="A4294" s="26"/>
      <c r="B4294" s="78"/>
      <c r="C4294" s="26"/>
      <c r="D4294" s="26"/>
      <c r="E4294" s="26"/>
      <c r="F4294" s="26"/>
      <c r="G4294" s="26"/>
    </row>
    <row r="4295" spans="1:7">
      <c r="A4295" s="26"/>
      <c r="B4295" s="78"/>
      <c r="C4295" s="26"/>
      <c r="D4295" s="26"/>
      <c r="E4295" s="26"/>
      <c r="F4295" s="26"/>
      <c r="G4295" s="26"/>
    </row>
    <row r="4296" spans="1:7" ht="18.75">
      <c r="A4296" s="78" t="s">
        <v>7157</v>
      </c>
      <c r="B4296" s="26" t="s">
        <v>9017</v>
      </c>
      <c r="C4296" s="26"/>
      <c r="D4296" s="26"/>
      <c r="E4296" s="26"/>
      <c r="F4296" s="26"/>
      <c r="G4296" s="26"/>
    </row>
    <row r="4297" spans="1:7" ht="18.75">
      <c r="A4297" s="78"/>
      <c r="B4297" s="26" t="s">
        <v>9018</v>
      </c>
      <c r="C4297" s="26"/>
      <c r="D4297" s="26"/>
      <c r="E4297" s="26"/>
      <c r="F4297" s="26"/>
      <c r="G4297" s="26"/>
    </row>
    <row r="4298" spans="1:7">
      <c r="A4298" s="78"/>
      <c r="B4298" s="26" t="s">
        <v>4136</v>
      </c>
      <c r="C4298" s="26"/>
      <c r="D4298" s="26"/>
      <c r="E4298" s="26"/>
      <c r="F4298" s="26"/>
      <c r="G4298" s="26"/>
    </row>
    <row r="4299" spans="1:7">
      <c r="A4299" s="78"/>
      <c r="B4299" s="26" t="s">
        <v>4137</v>
      </c>
      <c r="C4299" s="26"/>
      <c r="D4299" s="26"/>
      <c r="E4299" s="26"/>
      <c r="F4299" s="26"/>
      <c r="G4299" s="26"/>
    </row>
    <row r="4300" spans="1:7" ht="18.75">
      <c r="A4300" s="78"/>
      <c r="B4300" s="26" t="s">
        <v>9019</v>
      </c>
      <c r="C4300" s="26"/>
      <c r="D4300" s="26"/>
      <c r="E4300" s="26"/>
      <c r="F4300" s="26"/>
      <c r="G4300" s="26"/>
    </row>
    <row r="4301" spans="1:7">
      <c r="A4301" s="78"/>
      <c r="B4301" s="26"/>
      <c r="C4301" s="26"/>
      <c r="D4301" s="26"/>
      <c r="E4301" s="26"/>
      <c r="F4301" s="26"/>
      <c r="G4301" s="26"/>
    </row>
    <row r="4302" spans="1:7">
      <c r="A4302" s="78" t="s">
        <v>3984</v>
      </c>
      <c r="B4302" s="26" t="s">
        <v>3190</v>
      </c>
      <c r="C4302" s="26"/>
      <c r="D4302" s="26"/>
      <c r="E4302" s="26"/>
      <c r="F4302" s="26"/>
      <c r="G4302" s="26"/>
    </row>
    <row r="4303" spans="1:7">
      <c r="A4303" s="78"/>
      <c r="B4303" s="26" t="s">
        <v>1242</v>
      </c>
      <c r="C4303" s="26"/>
      <c r="D4303" s="26"/>
      <c r="E4303" s="78" t="s">
        <v>1697</v>
      </c>
      <c r="F4303" s="26">
        <v>0.13</v>
      </c>
      <c r="G4303" s="26" t="s">
        <v>3477</v>
      </c>
    </row>
    <row r="4304" spans="1:7">
      <c r="A4304" s="78"/>
      <c r="B4304" s="26" t="s">
        <v>1243</v>
      </c>
      <c r="C4304" s="26"/>
      <c r="D4304" s="26"/>
      <c r="E4304" s="78" t="s">
        <v>1697</v>
      </c>
      <c r="F4304" s="68">
        <v>0.1</v>
      </c>
      <c r="G4304" s="26" t="s">
        <v>3477</v>
      </c>
    </row>
    <row r="4305" spans="1:7">
      <c r="A4305" s="78"/>
      <c r="B4305" s="26" t="s">
        <v>1244</v>
      </c>
      <c r="C4305" s="26"/>
      <c r="D4305" s="26"/>
      <c r="E4305" s="78" t="s">
        <v>1697</v>
      </c>
      <c r="F4305" s="68">
        <v>2</v>
      </c>
      <c r="G4305" s="26" t="s">
        <v>3479</v>
      </c>
    </row>
    <row r="4306" spans="1:7">
      <c r="A4306" s="26"/>
      <c r="B4306" s="78"/>
      <c r="C4306" s="26"/>
      <c r="D4306" s="26"/>
      <c r="E4306" s="26"/>
      <c r="F4306" s="26"/>
      <c r="G4306" s="26"/>
    </row>
    <row r="4307" spans="1:7">
      <c r="A4307" s="78" t="s">
        <v>3984</v>
      </c>
      <c r="B4307" s="78"/>
      <c r="C4307" s="203" t="s">
        <v>2367</v>
      </c>
      <c r="D4307" s="26"/>
      <c r="E4307" s="171" t="s">
        <v>297</v>
      </c>
      <c r="F4307" s="409">
        <v>4</v>
      </c>
      <c r="G4307" s="26" t="s">
        <v>4041</v>
      </c>
    </row>
    <row r="4308" spans="1:7">
      <c r="A4308" s="26"/>
      <c r="B4308" s="79" t="s">
        <v>2368</v>
      </c>
      <c r="C4308" s="26"/>
      <c r="D4308" s="26"/>
      <c r="E4308" s="26"/>
      <c r="F4308" s="26"/>
      <c r="G4308" s="26"/>
    </row>
    <row r="4309" spans="1:7">
      <c r="A4309" s="26"/>
      <c r="B4309" s="95" t="s">
        <v>2369</v>
      </c>
      <c r="C4309" s="157" t="s">
        <v>4443</v>
      </c>
      <c r="D4309" s="95" t="s">
        <v>2370</v>
      </c>
      <c r="E4309" s="95" t="s">
        <v>1166</v>
      </c>
      <c r="F4309" s="95" t="s">
        <v>2371</v>
      </c>
      <c r="G4309" s="95" t="s">
        <v>2372</v>
      </c>
    </row>
    <row r="4310" spans="1:7">
      <c r="A4310" s="26"/>
      <c r="B4310" s="114"/>
      <c r="C4310" s="154"/>
      <c r="D4310" s="114"/>
      <c r="E4310" s="114"/>
      <c r="F4310" s="114" t="s">
        <v>3485</v>
      </c>
      <c r="G4310" s="114" t="s">
        <v>3485</v>
      </c>
    </row>
    <row r="4311" spans="1:7">
      <c r="A4311" s="26"/>
      <c r="B4311" s="95">
        <v>1</v>
      </c>
      <c r="C4311" s="135" t="s">
        <v>1245</v>
      </c>
      <c r="D4311" s="95" t="s">
        <v>4089</v>
      </c>
      <c r="E4311" s="190">
        <v>4</v>
      </c>
      <c r="F4311" s="214">
        <f>'BASIC DATA'!$D$80</f>
        <v>480</v>
      </c>
      <c r="G4311" s="190">
        <f t="shared" ref="G4311:G4318" si="91">E4311*F4311</f>
        <v>1920</v>
      </c>
    </row>
    <row r="4312" spans="1:7">
      <c r="A4312" s="26"/>
      <c r="B4312" s="105">
        <v>2</v>
      </c>
      <c r="C4312" s="135" t="s">
        <v>1246</v>
      </c>
      <c r="D4312" s="105" t="s">
        <v>3477</v>
      </c>
      <c r="E4312" s="190">
        <v>0.2</v>
      </c>
      <c r="F4312" s="214">
        <f>'BASIC DATA'!$D$36</f>
        <v>1175</v>
      </c>
      <c r="G4312" s="190">
        <f t="shared" si="91"/>
        <v>235</v>
      </c>
    </row>
    <row r="4313" spans="1:7">
      <c r="A4313" s="26"/>
      <c r="B4313" s="105">
        <v>3</v>
      </c>
      <c r="C4313" s="135" t="s">
        <v>6299</v>
      </c>
      <c r="D4313" s="105" t="s">
        <v>3477</v>
      </c>
      <c r="E4313" s="190">
        <v>0.15</v>
      </c>
      <c r="F4313" s="214">
        <f>'BASIC DATA'!$D$35</f>
        <v>1225</v>
      </c>
      <c r="G4313" s="190">
        <f t="shared" si="91"/>
        <v>183.75</v>
      </c>
    </row>
    <row r="4314" spans="1:7">
      <c r="A4314" s="26"/>
      <c r="B4314" s="105">
        <v>4</v>
      </c>
      <c r="C4314" s="135" t="s">
        <v>2072</v>
      </c>
      <c r="D4314" s="105" t="s">
        <v>3477</v>
      </c>
      <c r="E4314" s="190">
        <v>0.1</v>
      </c>
      <c r="F4314" s="214">
        <f>'BASIC DATA'!$D$34</f>
        <v>900</v>
      </c>
      <c r="G4314" s="190">
        <f t="shared" si="91"/>
        <v>90</v>
      </c>
    </row>
    <row r="4315" spans="1:7">
      <c r="A4315" s="61"/>
      <c r="B4315" s="240">
        <v>5</v>
      </c>
      <c r="C4315" s="326" t="s">
        <v>7938</v>
      </c>
      <c r="D4315" s="240" t="s">
        <v>3477</v>
      </c>
      <c r="E4315" s="255">
        <v>0.2</v>
      </c>
      <c r="F4315" s="266">
        <f>'BASIC DATA'!$D$55</f>
        <v>95</v>
      </c>
      <c r="G4315" s="255">
        <f t="shared" si="91"/>
        <v>19</v>
      </c>
    </row>
    <row r="4316" spans="1:7">
      <c r="A4316" s="26"/>
      <c r="B4316" s="105">
        <v>6</v>
      </c>
      <c r="C4316" s="135" t="s">
        <v>5853</v>
      </c>
      <c r="D4316" s="105" t="s">
        <v>3478</v>
      </c>
      <c r="E4316" s="190">
        <v>100</v>
      </c>
      <c r="F4316" s="214">
        <f>'BASIC DATA'!$D$32/1000</f>
        <v>5.35</v>
      </c>
      <c r="G4316" s="190">
        <f t="shared" si="91"/>
        <v>535</v>
      </c>
    </row>
    <row r="4317" spans="1:7">
      <c r="A4317" s="26"/>
      <c r="B4317" s="105">
        <v>7</v>
      </c>
      <c r="C4317" s="135" t="s">
        <v>1247</v>
      </c>
      <c r="D4317" s="105" t="s">
        <v>3482</v>
      </c>
      <c r="E4317" s="190">
        <v>1</v>
      </c>
      <c r="F4317" s="214">
        <f>'BASIC DATA'!$D$100</f>
        <v>260</v>
      </c>
      <c r="G4317" s="190">
        <f t="shared" si="91"/>
        <v>260</v>
      </c>
    </row>
    <row r="4318" spans="1:7">
      <c r="A4318" s="26"/>
      <c r="B4318" s="114">
        <v>8</v>
      </c>
      <c r="C4318" s="139" t="s">
        <v>1248</v>
      </c>
      <c r="D4318" s="114" t="s">
        <v>2173</v>
      </c>
      <c r="E4318" s="182">
        <v>4</v>
      </c>
      <c r="F4318" s="215">
        <f>'BASIC DATA'!$D$359</f>
        <v>30</v>
      </c>
      <c r="G4318" s="182">
        <f t="shared" si="91"/>
        <v>120</v>
      </c>
    </row>
    <row r="4319" spans="1:7">
      <c r="A4319" s="26"/>
      <c r="B4319" s="93"/>
      <c r="C4319" s="31" t="s">
        <v>7021</v>
      </c>
      <c r="D4319" s="31" t="s">
        <v>4043</v>
      </c>
      <c r="E4319" s="198"/>
      <c r="F4319" s="280" t="s">
        <v>1698</v>
      </c>
      <c r="G4319" s="190">
        <v>0</v>
      </c>
    </row>
    <row r="4320" spans="1:7">
      <c r="A4320" s="26"/>
      <c r="B4320" s="93"/>
      <c r="C4320" s="31" t="s">
        <v>7022</v>
      </c>
      <c r="D4320" s="31" t="s">
        <v>4043</v>
      </c>
      <c r="E4320" s="198"/>
      <c r="F4320" s="280" t="s">
        <v>1698</v>
      </c>
      <c r="G4320" s="190">
        <v>0</v>
      </c>
    </row>
    <row r="4321" spans="1:7">
      <c r="A4321" s="26"/>
      <c r="B4321" s="93"/>
      <c r="C4321" s="31" t="s">
        <v>7023</v>
      </c>
      <c r="D4321" s="31" t="s">
        <v>4043</v>
      </c>
      <c r="E4321" s="198"/>
      <c r="F4321" s="275" t="s">
        <v>1698</v>
      </c>
      <c r="G4321" s="190">
        <v>0</v>
      </c>
    </row>
    <row r="4322" spans="1:7">
      <c r="A4322" s="26"/>
      <c r="B4322" s="92"/>
      <c r="C4322" s="193" t="s">
        <v>2376</v>
      </c>
      <c r="D4322" s="159"/>
      <c r="E4322" s="238"/>
      <c r="F4322" s="236" t="s">
        <v>1698</v>
      </c>
      <c r="G4322" s="318">
        <f>SUM(G4311:G4321)</f>
        <v>3362.75</v>
      </c>
    </row>
    <row r="4323" spans="1:7">
      <c r="A4323" s="26"/>
      <c r="B4323" s="78"/>
      <c r="C4323" s="26"/>
      <c r="D4323" s="26"/>
      <c r="E4323" s="26"/>
      <c r="F4323" s="26"/>
      <c r="G4323" s="68"/>
    </row>
    <row r="4324" spans="1:7">
      <c r="A4324" s="26"/>
      <c r="B4324" s="79" t="s">
        <v>2377</v>
      </c>
      <c r="C4324" s="26"/>
      <c r="D4324" s="26"/>
      <c r="E4324" s="26"/>
      <c r="F4324" s="26"/>
      <c r="G4324" s="26"/>
    </row>
    <row r="4325" spans="1:7">
      <c r="A4325" s="26"/>
      <c r="B4325" s="95" t="s">
        <v>2369</v>
      </c>
      <c r="C4325" s="157" t="s">
        <v>2378</v>
      </c>
      <c r="D4325" s="95" t="s">
        <v>2370</v>
      </c>
      <c r="E4325" s="95" t="s">
        <v>1166</v>
      </c>
      <c r="F4325" s="95" t="s">
        <v>2371</v>
      </c>
      <c r="G4325" s="95" t="s">
        <v>2372</v>
      </c>
    </row>
    <row r="4326" spans="1:7">
      <c r="A4326" s="26"/>
      <c r="B4326" s="114"/>
      <c r="C4326" s="154"/>
      <c r="D4326" s="114"/>
      <c r="E4326" s="114"/>
      <c r="F4326" s="114" t="s">
        <v>3485</v>
      </c>
      <c r="G4326" s="114" t="s">
        <v>3485</v>
      </c>
    </row>
    <row r="4327" spans="1:7">
      <c r="A4327" s="26"/>
      <c r="B4327" s="95">
        <v>1</v>
      </c>
      <c r="C4327" s="95" t="s">
        <v>6976</v>
      </c>
      <c r="D4327" s="175"/>
      <c r="E4327" s="179">
        <v>0</v>
      </c>
      <c r="F4327" s="190">
        <v>0</v>
      </c>
      <c r="G4327" s="190">
        <f>E4327*F4327</f>
        <v>0</v>
      </c>
    </row>
    <row r="4328" spans="1:7">
      <c r="A4328" s="26"/>
      <c r="B4328" s="365"/>
      <c r="C4328" s="114" t="s">
        <v>4425</v>
      </c>
      <c r="D4328" s="188"/>
      <c r="E4328" s="182">
        <v>0</v>
      </c>
      <c r="F4328" s="190">
        <v>0</v>
      </c>
      <c r="G4328" s="190">
        <f>E4328*F4328</f>
        <v>0</v>
      </c>
    </row>
    <row r="4329" spans="1:7">
      <c r="A4329" s="26"/>
      <c r="B4329" s="176"/>
      <c r="C4329" s="172" t="s">
        <v>2380</v>
      </c>
      <c r="D4329" s="174"/>
      <c r="E4329" s="192"/>
      <c r="F4329" s="236" t="s">
        <v>1698</v>
      </c>
      <c r="G4329" s="318">
        <f>SUM(G4327:G4328)</f>
        <v>0</v>
      </c>
    </row>
    <row r="4330" spans="1:7">
      <c r="A4330" s="26"/>
      <c r="B4330" s="79" t="s">
        <v>2381</v>
      </c>
      <c r="C4330" s="26"/>
      <c r="D4330" s="26"/>
      <c r="E4330" s="26"/>
      <c r="F4330" s="26"/>
      <c r="G4330" s="26"/>
    </row>
    <row r="4331" spans="1:7">
      <c r="A4331" s="26"/>
      <c r="B4331" s="95" t="s">
        <v>2369</v>
      </c>
      <c r="C4331" s="157" t="s">
        <v>2378</v>
      </c>
      <c r="D4331" s="95" t="s">
        <v>2370</v>
      </c>
      <c r="E4331" s="95" t="s">
        <v>1166</v>
      </c>
      <c r="F4331" s="95" t="s">
        <v>2371</v>
      </c>
      <c r="G4331" s="95" t="s">
        <v>2372</v>
      </c>
    </row>
    <row r="4332" spans="1:7">
      <c r="A4332" s="26"/>
      <c r="B4332" s="114"/>
      <c r="C4332" s="154"/>
      <c r="D4332" s="105"/>
      <c r="E4332" s="105"/>
      <c r="F4332" s="105" t="s">
        <v>3485</v>
      </c>
      <c r="G4332" s="114" t="s">
        <v>3485</v>
      </c>
    </row>
    <row r="4333" spans="1:7">
      <c r="A4333" s="26"/>
      <c r="B4333" s="95">
        <v>1</v>
      </c>
      <c r="C4333" s="76" t="s">
        <v>4203</v>
      </c>
      <c r="D4333" s="95" t="s">
        <v>1172</v>
      </c>
      <c r="E4333" s="179">
        <v>1</v>
      </c>
      <c r="F4333" s="179">
        <f>'BASIC DATA'!$C$541</f>
        <v>400</v>
      </c>
      <c r="G4333" s="207">
        <f>E4333*F4333</f>
        <v>400</v>
      </c>
    </row>
    <row r="4334" spans="1:7">
      <c r="A4334" s="26"/>
      <c r="B4334" s="105">
        <v>2</v>
      </c>
      <c r="C4334" s="76" t="s">
        <v>4206</v>
      </c>
      <c r="D4334" s="105" t="s">
        <v>1172</v>
      </c>
      <c r="E4334" s="190">
        <v>1</v>
      </c>
      <c r="F4334" s="190">
        <f>'BASIC DATA'!$C$473</f>
        <v>450</v>
      </c>
      <c r="G4334" s="207">
        <f>E4334*F4334</f>
        <v>450</v>
      </c>
    </row>
    <row r="4335" spans="1:7">
      <c r="A4335" s="26"/>
      <c r="B4335" s="105">
        <v>3</v>
      </c>
      <c r="C4335" s="76" t="s">
        <v>2697</v>
      </c>
      <c r="D4335" s="105" t="s">
        <v>1172</v>
      </c>
      <c r="E4335" s="190">
        <v>1</v>
      </c>
      <c r="F4335" s="190">
        <f>'BASIC DATA'!$C$552</f>
        <v>350</v>
      </c>
      <c r="G4335" s="207">
        <f>E4335*F4335</f>
        <v>350</v>
      </c>
    </row>
    <row r="4336" spans="1:7">
      <c r="A4336" s="26"/>
      <c r="B4336" s="114">
        <v>4</v>
      </c>
      <c r="C4336" s="89" t="s">
        <v>3823</v>
      </c>
      <c r="D4336" s="114" t="s">
        <v>1172</v>
      </c>
      <c r="E4336" s="182">
        <v>1</v>
      </c>
      <c r="F4336" s="190">
        <f>'BASIC DATA'!$C$498</f>
        <v>510</v>
      </c>
      <c r="G4336" s="207">
        <f>E4336*F4336</f>
        <v>510</v>
      </c>
    </row>
    <row r="4337" spans="1:7">
      <c r="A4337" s="26"/>
      <c r="B4337" s="176"/>
      <c r="C4337" s="172" t="s">
        <v>1174</v>
      </c>
      <c r="D4337" s="174"/>
      <c r="E4337" s="192"/>
      <c r="F4337" s="236" t="s">
        <v>1698</v>
      </c>
      <c r="G4337" s="318">
        <f>SUM(G4333:G4336)</f>
        <v>1710</v>
      </c>
    </row>
    <row r="4338" spans="1:7">
      <c r="A4338" s="26"/>
      <c r="B4338" s="60" t="s">
        <v>5948</v>
      </c>
      <c r="C4338" s="26"/>
      <c r="D4338" s="31"/>
      <c r="E4338" s="85">
        <f>ROUND(G4337/F4307,1)</f>
        <v>427.5</v>
      </c>
      <c r="F4338" s="26"/>
      <c r="G4338" s="26"/>
    </row>
    <row r="4339" spans="1:7">
      <c r="A4339" s="26"/>
      <c r="B4339" s="60" t="s">
        <v>3163</v>
      </c>
      <c r="C4339" s="26"/>
      <c r="D4339" s="31">
        <f>'BASIC DATA'!$C$577</f>
        <v>0.13614999999999999</v>
      </c>
      <c r="E4339" s="85">
        <f>ROUND(E4338*D4339,1)</f>
        <v>58.2</v>
      </c>
      <c r="F4339" s="26"/>
      <c r="G4339" s="26"/>
    </row>
    <row r="4340" spans="1:7">
      <c r="A4340" s="26"/>
      <c r="B4340" s="60" t="s">
        <v>5949</v>
      </c>
      <c r="C4340" s="26"/>
      <c r="D4340" s="31"/>
      <c r="E4340" s="199">
        <f>ROUND(E4339+E4338,1)</f>
        <v>485.7</v>
      </c>
      <c r="F4340" s="56"/>
      <c r="G4340" s="26"/>
    </row>
    <row r="4341" spans="1:7">
      <c r="A4341" s="26"/>
      <c r="B4341" s="26"/>
      <c r="C4341" s="26"/>
      <c r="D4341" s="26"/>
      <c r="E4341" s="26"/>
      <c r="F4341" s="26"/>
      <c r="G4341" s="26"/>
    </row>
    <row r="4342" spans="1:7">
      <c r="A4342" s="26"/>
      <c r="B4342" s="170" t="s">
        <v>1175</v>
      </c>
      <c r="C4342" s="26"/>
      <c r="D4342" s="26"/>
      <c r="E4342" s="26"/>
      <c r="F4342" s="26"/>
      <c r="G4342" s="26"/>
    </row>
    <row r="4343" spans="1:7">
      <c r="A4343" s="26"/>
      <c r="B4343" s="26" t="s">
        <v>5010</v>
      </c>
      <c r="C4343" s="26"/>
      <c r="D4343" s="26"/>
      <c r="E4343" s="26"/>
      <c r="F4343" s="171" t="s">
        <v>1698</v>
      </c>
      <c r="G4343" s="68">
        <f>G4322</f>
        <v>3362.75</v>
      </c>
    </row>
    <row r="4344" spans="1:7">
      <c r="A4344" s="26"/>
      <c r="B4344" s="26" t="s">
        <v>1186</v>
      </c>
      <c r="C4344" s="26"/>
      <c r="D4344" s="26"/>
      <c r="E4344" s="26"/>
      <c r="F4344" s="171" t="s">
        <v>1698</v>
      </c>
      <c r="G4344" s="68">
        <f>G4329</f>
        <v>0</v>
      </c>
    </row>
    <row r="4345" spans="1:7">
      <c r="A4345" s="26"/>
      <c r="B4345" s="26" t="s">
        <v>2660</v>
      </c>
      <c r="C4345" s="26"/>
      <c r="D4345" s="26"/>
      <c r="E4345" s="26"/>
      <c r="F4345" s="171" t="s">
        <v>1698</v>
      </c>
      <c r="G4345" s="75">
        <f>G4337</f>
        <v>1710</v>
      </c>
    </row>
    <row r="4346" spans="1:7">
      <c r="A4346" s="26"/>
      <c r="B4346" s="78"/>
      <c r="C4346" s="26"/>
      <c r="D4346" s="26"/>
      <c r="E4346" s="171"/>
      <c r="F4346" s="171" t="s">
        <v>302</v>
      </c>
      <c r="G4346" s="205">
        <f>SUM(G4343:G4345)</f>
        <v>5072.75</v>
      </c>
    </row>
    <row r="4347" spans="1:7">
      <c r="A4347" s="26"/>
      <c r="B4347" s="1206" t="s">
        <v>1379</v>
      </c>
      <c r="C4347" s="1206"/>
      <c r="D4347" s="26"/>
      <c r="E4347" s="249">
        <f>'BASIC DATA'!$C$577</f>
        <v>0.13614999999999999</v>
      </c>
      <c r="F4347" s="26" t="s">
        <v>1698</v>
      </c>
      <c r="G4347" s="26">
        <f>ROUND(G4346*E4347,2)</f>
        <v>690.65</v>
      </c>
    </row>
    <row r="4348" spans="1:7">
      <c r="A4348" s="26"/>
      <c r="B4348" s="26" t="s">
        <v>1191</v>
      </c>
      <c r="C4348" s="26"/>
      <c r="D4348" s="68">
        <f>F4307</f>
        <v>4</v>
      </c>
      <c r="E4348" s="68" t="str">
        <f>G4307</f>
        <v>Nos.</v>
      </c>
      <c r="F4348" s="26" t="s">
        <v>1698</v>
      </c>
      <c r="G4348" s="170">
        <f>G4347+G4346</f>
        <v>5763.4</v>
      </c>
    </row>
    <row r="4349" spans="1:7">
      <c r="A4349" s="26"/>
      <c r="B4349" s="170" t="s">
        <v>1584</v>
      </c>
      <c r="C4349" s="211" t="s">
        <v>4089</v>
      </c>
      <c r="D4349" s="26" t="s">
        <v>4715</v>
      </c>
      <c r="E4349" s="26"/>
      <c r="F4349" s="26" t="s">
        <v>4108</v>
      </c>
      <c r="G4349" s="211">
        <f>ROUND(G4348/D4348,1)</f>
        <v>1440.9</v>
      </c>
    </row>
    <row r="4350" spans="1:7">
      <c r="A4350" s="26"/>
      <c r="B4350" s="170"/>
      <c r="C4350" s="211"/>
      <c r="D4350" s="26"/>
      <c r="E4350" s="26"/>
      <c r="F4350" s="26"/>
      <c r="G4350" s="211"/>
    </row>
    <row r="4351" spans="1:7" ht="18.75">
      <c r="A4351" s="78" t="s">
        <v>7158</v>
      </c>
      <c r="B4351" s="26" t="s">
        <v>9020</v>
      </c>
      <c r="C4351" s="26"/>
      <c r="D4351" s="26"/>
      <c r="E4351" s="26"/>
      <c r="F4351" s="26"/>
      <c r="G4351" s="26"/>
    </row>
    <row r="4352" spans="1:7" ht="18.75">
      <c r="A4352" s="78"/>
      <c r="B4352" s="26" t="s">
        <v>9018</v>
      </c>
      <c r="C4352" s="26"/>
      <c r="D4352" s="26"/>
      <c r="E4352" s="26"/>
      <c r="F4352" s="26"/>
      <c r="G4352" s="26"/>
    </row>
    <row r="4353" spans="1:7">
      <c r="A4353" s="78"/>
      <c r="B4353" s="26" t="s">
        <v>6338</v>
      </c>
      <c r="C4353" s="26"/>
      <c r="D4353" s="26"/>
      <c r="E4353" s="26"/>
      <c r="F4353" s="26"/>
      <c r="G4353" s="26"/>
    </row>
    <row r="4354" spans="1:7">
      <c r="A4354" s="78"/>
      <c r="B4354" s="26" t="s">
        <v>4137</v>
      </c>
      <c r="C4354" s="26"/>
      <c r="D4354" s="26"/>
      <c r="E4354" s="26"/>
      <c r="F4354" s="26"/>
      <c r="G4354" s="26"/>
    </row>
    <row r="4355" spans="1:7" ht="18.75">
      <c r="A4355" s="78"/>
      <c r="B4355" s="26" t="s">
        <v>9021</v>
      </c>
      <c r="C4355" s="26"/>
      <c r="D4355" s="26"/>
      <c r="E4355" s="26"/>
      <c r="F4355" s="26"/>
      <c r="G4355" s="26"/>
    </row>
    <row r="4356" spans="1:7">
      <c r="A4356" s="78"/>
      <c r="B4356" s="26"/>
      <c r="C4356" s="26"/>
      <c r="D4356" s="26"/>
      <c r="E4356" s="26"/>
      <c r="F4356" s="26"/>
      <c r="G4356" s="26"/>
    </row>
    <row r="4357" spans="1:7">
      <c r="A4357" s="78" t="s">
        <v>3984</v>
      </c>
      <c r="B4357" s="26" t="s">
        <v>6048</v>
      </c>
      <c r="C4357" s="26"/>
      <c r="D4357" s="26"/>
      <c r="E4357" s="26"/>
      <c r="F4357" s="26"/>
      <c r="G4357" s="26"/>
    </row>
    <row r="4358" spans="1:7">
      <c r="A4358" s="78"/>
      <c r="B4358" s="26" t="s">
        <v>6049</v>
      </c>
      <c r="C4358" s="26"/>
      <c r="D4358" s="26"/>
      <c r="E4358" s="78" t="s">
        <v>1697</v>
      </c>
      <c r="F4358" s="68">
        <v>0.1</v>
      </c>
      <c r="G4358" s="26" t="s">
        <v>3477</v>
      </c>
    </row>
    <row r="4359" spans="1:7">
      <c r="A4359" s="78"/>
      <c r="B4359" s="26" t="s">
        <v>6050</v>
      </c>
      <c r="C4359" s="26"/>
      <c r="D4359" s="26"/>
      <c r="E4359" s="78" t="s">
        <v>1123</v>
      </c>
      <c r="F4359" s="68">
        <v>0.1</v>
      </c>
      <c r="G4359" s="26" t="s">
        <v>3477</v>
      </c>
    </row>
    <row r="4360" spans="1:7">
      <c r="A4360" s="78"/>
      <c r="B4360" s="26" t="s">
        <v>1244</v>
      </c>
      <c r="C4360" s="26"/>
      <c r="D4360" s="26"/>
      <c r="E4360" s="78" t="s">
        <v>1697</v>
      </c>
      <c r="F4360" s="68">
        <v>0.4</v>
      </c>
      <c r="G4360" s="26" t="s">
        <v>3479</v>
      </c>
    </row>
    <row r="4361" spans="1:7">
      <c r="A4361" s="26"/>
      <c r="B4361" s="78"/>
      <c r="C4361" s="26"/>
      <c r="D4361" s="26"/>
      <c r="E4361" s="26"/>
      <c r="F4361" s="26"/>
      <c r="G4361" s="26"/>
    </row>
    <row r="4362" spans="1:7">
      <c r="A4362" s="78" t="s">
        <v>3984</v>
      </c>
      <c r="B4362" s="78"/>
      <c r="C4362" s="203" t="s">
        <v>2367</v>
      </c>
      <c r="D4362" s="26"/>
      <c r="E4362" s="171" t="s">
        <v>297</v>
      </c>
      <c r="F4362" s="409">
        <v>4</v>
      </c>
      <c r="G4362" s="26" t="s">
        <v>4041</v>
      </c>
    </row>
    <row r="4363" spans="1:7">
      <c r="A4363" s="26"/>
      <c r="B4363" s="79" t="s">
        <v>2368</v>
      </c>
      <c r="C4363" s="26"/>
      <c r="D4363" s="26"/>
      <c r="E4363" s="26"/>
      <c r="F4363" s="26"/>
      <c r="G4363" s="26"/>
    </row>
    <row r="4364" spans="1:7">
      <c r="A4364" s="26"/>
      <c r="B4364" s="95" t="s">
        <v>2369</v>
      </c>
      <c r="C4364" s="157" t="s">
        <v>4443</v>
      </c>
      <c r="D4364" s="95" t="s">
        <v>2370</v>
      </c>
      <c r="E4364" s="95" t="s">
        <v>1166</v>
      </c>
      <c r="F4364" s="95" t="s">
        <v>2371</v>
      </c>
      <c r="G4364" s="95" t="s">
        <v>2372</v>
      </c>
    </row>
    <row r="4365" spans="1:7">
      <c r="A4365" s="26"/>
      <c r="B4365" s="114"/>
      <c r="C4365" s="154"/>
      <c r="D4365" s="114"/>
      <c r="E4365" s="114"/>
      <c r="F4365" s="114" t="s">
        <v>3485</v>
      </c>
      <c r="G4365" s="114" t="s">
        <v>3485</v>
      </c>
    </row>
    <row r="4366" spans="1:7">
      <c r="A4366" s="26"/>
      <c r="B4366" s="95">
        <v>1</v>
      </c>
      <c r="C4366" s="135" t="s">
        <v>6051</v>
      </c>
      <c r="D4366" s="95" t="s">
        <v>4089</v>
      </c>
      <c r="E4366" s="190">
        <v>4</v>
      </c>
      <c r="F4366" s="214">
        <f>'BASIC DATA'!$D$70</f>
        <v>260</v>
      </c>
      <c r="G4366" s="190">
        <f t="shared" ref="G4366:G4373" si="92">E4366*F4366</f>
        <v>1040</v>
      </c>
    </row>
    <row r="4367" spans="1:7">
      <c r="A4367" s="26"/>
      <c r="B4367" s="105">
        <v>2</v>
      </c>
      <c r="C4367" s="135" t="s">
        <v>1246</v>
      </c>
      <c r="D4367" s="105" t="s">
        <v>3477</v>
      </c>
      <c r="E4367" s="190">
        <v>0.2</v>
      </c>
      <c r="F4367" s="214">
        <f>'BASIC DATA'!$D$36</f>
        <v>1175</v>
      </c>
      <c r="G4367" s="190">
        <f t="shared" si="92"/>
        <v>235</v>
      </c>
    </row>
    <row r="4368" spans="1:7">
      <c r="A4368" s="26"/>
      <c r="B4368" s="105">
        <v>3</v>
      </c>
      <c r="C4368" s="135" t="s">
        <v>6299</v>
      </c>
      <c r="D4368" s="105" t="s">
        <v>3477</v>
      </c>
      <c r="E4368" s="190">
        <v>0.15</v>
      </c>
      <c r="F4368" s="214">
        <f>'BASIC DATA'!$D$35</f>
        <v>1225</v>
      </c>
      <c r="G4368" s="190">
        <f t="shared" si="92"/>
        <v>183.75</v>
      </c>
    </row>
    <row r="4369" spans="1:7">
      <c r="A4369" s="26"/>
      <c r="B4369" s="105">
        <v>4</v>
      </c>
      <c r="C4369" s="135" t="s">
        <v>2072</v>
      </c>
      <c r="D4369" s="105" t="s">
        <v>3477</v>
      </c>
      <c r="E4369" s="190">
        <v>0.1</v>
      </c>
      <c r="F4369" s="214">
        <f>'BASIC DATA'!$D$34</f>
        <v>900</v>
      </c>
      <c r="G4369" s="190">
        <f t="shared" si="92"/>
        <v>90</v>
      </c>
    </row>
    <row r="4370" spans="1:7">
      <c r="A4370" s="61"/>
      <c r="B4370" s="240">
        <v>5</v>
      </c>
      <c r="C4370" s="326" t="s">
        <v>7938</v>
      </c>
      <c r="D4370" s="240" t="s">
        <v>3477</v>
      </c>
      <c r="E4370" s="255">
        <v>0.2</v>
      </c>
      <c r="F4370" s="266">
        <f>'BASIC DATA'!$D$55</f>
        <v>95</v>
      </c>
      <c r="G4370" s="255">
        <f t="shared" si="92"/>
        <v>19</v>
      </c>
    </row>
    <row r="4371" spans="1:7">
      <c r="A4371" s="26"/>
      <c r="B4371" s="105">
        <v>6</v>
      </c>
      <c r="C4371" s="135" t="s">
        <v>5853</v>
      </c>
      <c r="D4371" s="105" t="s">
        <v>3478</v>
      </c>
      <c r="E4371" s="190">
        <v>100</v>
      </c>
      <c r="F4371" s="214">
        <f>'BASIC DATA'!$D$32/1000</f>
        <v>5.35</v>
      </c>
      <c r="G4371" s="190">
        <f t="shared" si="92"/>
        <v>535</v>
      </c>
    </row>
    <row r="4372" spans="1:7">
      <c r="A4372" s="26"/>
      <c r="B4372" s="105">
        <v>7</v>
      </c>
      <c r="C4372" s="135" t="s">
        <v>1247</v>
      </c>
      <c r="D4372" s="105" t="s">
        <v>3482</v>
      </c>
      <c r="E4372" s="190">
        <v>0.4</v>
      </c>
      <c r="F4372" s="214">
        <f>'BASIC DATA'!$D$100</f>
        <v>260</v>
      </c>
      <c r="G4372" s="190">
        <f t="shared" si="92"/>
        <v>104</v>
      </c>
    </row>
    <row r="4373" spans="1:7">
      <c r="A4373" s="26"/>
      <c r="B4373" s="114">
        <v>8</v>
      </c>
      <c r="C4373" s="139" t="s">
        <v>1248</v>
      </c>
      <c r="D4373" s="114" t="s">
        <v>2173</v>
      </c>
      <c r="E4373" s="182">
        <v>1</v>
      </c>
      <c r="F4373" s="215">
        <f>'BASIC DATA'!$D$359</f>
        <v>30</v>
      </c>
      <c r="G4373" s="182">
        <f t="shared" si="92"/>
        <v>30</v>
      </c>
    </row>
    <row r="4374" spans="1:7">
      <c r="A4374" s="26"/>
      <c r="B4374" s="93"/>
      <c r="C4374" s="31" t="s">
        <v>7021</v>
      </c>
      <c r="D4374" s="31" t="s">
        <v>4043</v>
      </c>
      <c r="E4374" s="198"/>
      <c r="F4374" s="280" t="s">
        <v>1698</v>
      </c>
      <c r="G4374" s="190">
        <v>0</v>
      </c>
    </row>
    <row r="4375" spans="1:7">
      <c r="A4375" s="26"/>
      <c r="B4375" s="93"/>
      <c r="C4375" s="31" t="s">
        <v>7022</v>
      </c>
      <c r="D4375" s="31" t="s">
        <v>4043</v>
      </c>
      <c r="E4375" s="198"/>
      <c r="F4375" s="280" t="s">
        <v>1698</v>
      </c>
      <c r="G4375" s="190">
        <v>0</v>
      </c>
    </row>
    <row r="4376" spans="1:7">
      <c r="A4376" s="26"/>
      <c r="B4376" s="93"/>
      <c r="C4376" s="31" t="s">
        <v>7023</v>
      </c>
      <c r="D4376" s="31" t="s">
        <v>4043</v>
      </c>
      <c r="E4376" s="198"/>
      <c r="F4376" s="275" t="s">
        <v>1698</v>
      </c>
      <c r="G4376" s="190">
        <v>0</v>
      </c>
    </row>
    <row r="4377" spans="1:7">
      <c r="A4377" s="26"/>
      <c r="B4377" s="92"/>
      <c r="C4377" s="193" t="s">
        <v>2376</v>
      </c>
      <c r="D4377" s="159"/>
      <c r="E4377" s="238"/>
      <c r="F4377" s="236" t="s">
        <v>1698</v>
      </c>
      <c r="G4377" s="318">
        <f>SUM(G4366:G4376)</f>
        <v>2236.75</v>
      </c>
    </row>
    <row r="4378" spans="1:7">
      <c r="A4378" s="26"/>
      <c r="B4378" s="79" t="s">
        <v>2377</v>
      </c>
      <c r="C4378" s="26"/>
      <c r="D4378" s="26"/>
      <c r="E4378" s="26"/>
      <c r="F4378" s="26"/>
      <c r="G4378" s="26"/>
    </row>
    <row r="4379" spans="1:7">
      <c r="A4379" s="26"/>
      <c r="B4379" s="95" t="s">
        <v>2369</v>
      </c>
      <c r="C4379" s="157" t="s">
        <v>2378</v>
      </c>
      <c r="D4379" s="95" t="s">
        <v>2370</v>
      </c>
      <c r="E4379" s="95" t="s">
        <v>1166</v>
      </c>
      <c r="F4379" s="95" t="s">
        <v>2371</v>
      </c>
      <c r="G4379" s="95" t="s">
        <v>2372</v>
      </c>
    </row>
    <row r="4380" spans="1:7">
      <c r="A4380" s="26"/>
      <c r="B4380" s="114"/>
      <c r="C4380" s="154"/>
      <c r="D4380" s="114"/>
      <c r="E4380" s="114"/>
      <c r="F4380" s="114" t="s">
        <v>3485</v>
      </c>
      <c r="G4380" s="114" t="s">
        <v>3485</v>
      </c>
    </row>
    <row r="4381" spans="1:7">
      <c r="A4381" s="26"/>
      <c r="B4381" s="95">
        <v>1</v>
      </c>
      <c r="C4381" s="95" t="s">
        <v>6976</v>
      </c>
      <c r="D4381" s="175"/>
      <c r="E4381" s="179">
        <v>0</v>
      </c>
      <c r="F4381" s="190">
        <v>0</v>
      </c>
      <c r="G4381" s="190">
        <f>E4381*F4381</f>
        <v>0</v>
      </c>
    </row>
    <row r="4382" spans="1:7">
      <c r="A4382" s="26"/>
      <c r="B4382" s="365"/>
      <c r="C4382" s="114" t="s">
        <v>4425</v>
      </c>
      <c r="D4382" s="188"/>
      <c r="E4382" s="182">
        <v>0</v>
      </c>
      <c r="F4382" s="182">
        <v>0</v>
      </c>
      <c r="G4382" s="190">
        <f>E4382*F4382</f>
        <v>0</v>
      </c>
    </row>
    <row r="4383" spans="1:7">
      <c r="A4383" s="26"/>
      <c r="B4383" s="176"/>
      <c r="C4383" s="172" t="s">
        <v>2380</v>
      </c>
      <c r="D4383" s="174"/>
      <c r="E4383" s="192"/>
      <c r="F4383" s="275" t="s">
        <v>1698</v>
      </c>
      <c r="G4383" s="318">
        <f>SUM(G4381:G4382)</f>
        <v>0</v>
      </c>
    </row>
    <row r="4384" spans="1:7">
      <c r="A4384" s="26"/>
      <c r="B4384" s="79" t="s">
        <v>2381</v>
      </c>
      <c r="C4384" s="26"/>
      <c r="D4384" s="26"/>
      <c r="E4384" s="26"/>
      <c r="F4384" s="26"/>
      <c r="G4384" s="26"/>
    </row>
    <row r="4385" spans="1:7">
      <c r="A4385" s="26"/>
      <c r="B4385" s="95" t="s">
        <v>2369</v>
      </c>
      <c r="C4385" s="157" t="s">
        <v>2378</v>
      </c>
      <c r="D4385" s="95" t="s">
        <v>2370</v>
      </c>
      <c r="E4385" s="95" t="s">
        <v>1166</v>
      </c>
      <c r="F4385" s="95" t="s">
        <v>2371</v>
      </c>
      <c r="G4385" s="95" t="s">
        <v>2372</v>
      </c>
    </row>
    <row r="4386" spans="1:7">
      <c r="A4386" s="26"/>
      <c r="B4386" s="114"/>
      <c r="C4386" s="154"/>
      <c r="D4386" s="105"/>
      <c r="E4386" s="105"/>
      <c r="F4386" s="105" t="s">
        <v>3485</v>
      </c>
      <c r="G4386" s="114" t="s">
        <v>3485</v>
      </c>
    </row>
    <row r="4387" spans="1:7">
      <c r="A4387" s="26"/>
      <c r="B4387" s="95">
        <v>1</v>
      </c>
      <c r="C4387" s="148" t="s">
        <v>4203</v>
      </c>
      <c r="D4387" s="95" t="s">
        <v>1172</v>
      </c>
      <c r="E4387" s="179">
        <v>1</v>
      </c>
      <c r="F4387" s="179">
        <f>'BASIC DATA'!$C$541</f>
        <v>400</v>
      </c>
      <c r="G4387" s="207">
        <f>E4387*F4387</f>
        <v>400</v>
      </c>
    </row>
    <row r="4388" spans="1:7">
      <c r="A4388" s="26"/>
      <c r="B4388" s="105">
        <v>2</v>
      </c>
      <c r="C4388" s="76" t="s">
        <v>4206</v>
      </c>
      <c r="D4388" s="105" t="s">
        <v>1172</v>
      </c>
      <c r="E4388" s="190">
        <v>1</v>
      </c>
      <c r="F4388" s="190">
        <f>'BASIC DATA'!$C$473</f>
        <v>450</v>
      </c>
      <c r="G4388" s="207">
        <f>E4388*F4388</f>
        <v>450</v>
      </c>
    </row>
    <row r="4389" spans="1:7">
      <c r="A4389" s="26"/>
      <c r="B4389" s="105">
        <v>3</v>
      </c>
      <c r="C4389" s="76" t="s">
        <v>2697</v>
      </c>
      <c r="D4389" s="105" t="s">
        <v>1172</v>
      </c>
      <c r="E4389" s="190">
        <v>1</v>
      </c>
      <c r="F4389" s="190">
        <f>'BASIC DATA'!$C$552</f>
        <v>350</v>
      </c>
      <c r="G4389" s="207">
        <f>E4389*F4389</f>
        <v>350</v>
      </c>
    </row>
    <row r="4390" spans="1:7">
      <c r="A4390" s="26"/>
      <c r="B4390" s="114">
        <v>4</v>
      </c>
      <c r="C4390" s="89" t="s">
        <v>3823</v>
      </c>
      <c r="D4390" s="114" t="s">
        <v>1172</v>
      </c>
      <c r="E4390" s="182">
        <v>0.5</v>
      </c>
      <c r="F4390" s="182">
        <f>'BASIC DATA'!$C$498</f>
        <v>510</v>
      </c>
      <c r="G4390" s="207">
        <f>E4390*F4390</f>
        <v>255</v>
      </c>
    </row>
    <row r="4391" spans="1:7">
      <c r="A4391" s="26"/>
      <c r="B4391" s="176"/>
      <c r="C4391" s="172" t="s">
        <v>1174</v>
      </c>
      <c r="D4391" s="174"/>
      <c r="E4391" s="192"/>
      <c r="F4391" s="275" t="s">
        <v>1698</v>
      </c>
      <c r="G4391" s="318">
        <f>SUM(G4387:G4390)</f>
        <v>1455</v>
      </c>
    </row>
    <row r="4392" spans="1:7">
      <c r="A4392" s="26"/>
      <c r="B4392" s="60" t="s">
        <v>5948</v>
      </c>
      <c r="C4392" s="31"/>
      <c r="D4392" s="31"/>
      <c r="E4392" s="85">
        <f>ROUND(G4391/F4362,1)</f>
        <v>363.8</v>
      </c>
      <c r="F4392" s="85"/>
      <c r="G4392" s="26"/>
    </row>
    <row r="4393" spans="1:7">
      <c r="A4393" s="26"/>
      <c r="B4393" s="60" t="s">
        <v>3163</v>
      </c>
      <c r="C4393" s="31"/>
      <c r="D4393" s="31">
        <f>'BASIC DATA'!$C$577</f>
        <v>0.13614999999999999</v>
      </c>
      <c r="E4393" s="85">
        <f>ROUND(E4392*D4393,1)</f>
        <v>49.5</v>
      </c>
      <c r="F4393" s="85"/>
      <c r="G4393" s="26"/>
    </row>
    <row r="4394" spans="1:7">
      <c r="A4394" s="26"/>
      <c r="B4394" s="60" t="s">
        <v>5949</v>
      </c>
      <c r="C4394" s="31"/>
      <c r="D4394" s="31"/>
      <c r="E4394" s="199">
        <f>ROUND(E4393+E4392,1)</f>
        <v>413.3</v>
      </c>
      <c r="F4394" s="687"/>
      <c r="G4394" s="26"/>
    </row>
    <row r="4395" spans="1:7">
      <c r="A4395" s="26"/>
      <c r="B4395" s="170" t="s">
        <v>1175</v>
      </c>
      <c r="C4395" s="26"/>
      <c r="D4395" s="26"/>
      <c r="E4395" s="26"/>
      <c r="F4395" s="26"/>
      <c r="G4395" s="26"/>
    </row>
    <row r="4396" spans="1:7">
      <c r="A4396" s="26"/>
      <c r="B4396" s="26" t="s">
        <v>5010</v>
      </c>
      <c r="C4396" s="26"/>
      <c r="D4396" s="26"/>
      <c r="E4396" s="26"/>
      <c r="F4396" s="171" t="s">
        <v>1698</v>
      </c>
      <c r="G4396" s="68">
        <f>G4377</f>
        <v>2236.75</v>
      </c>
    </row>
    <row r="4397" spans="1:7">
      <c r="A4397" s="26"/>
      <c r="B4397" s="26" t="s">
        <v>1186</v>
      </c>
      <c r="C4397" s="26"/>
      <c r="D4397" s="26"/>
      <c r="E4397" s="26"/>
      <c r="F4397" s="171" t="s">
        <v>1698</v>
      </c>
      <c r="G4397" s="68">
        <f>G4383</f>
        <v>0</v>
      </c>
    </row>
    <row r="4398" spans="1:7">
      <c r="A4398" s="26"/>
      <c r="B4398" s="26" t="s">
        <v>2660</v>
      </c>
      <c r="C4398" s="26"/>
      <c r="D4398" s="26"/>
      <c r="E4398" s="26"/>
      <c r="F4398" s="171" t="s">
        <v>1698</v>
      </c>
      <c r="G4398" s="75">
        <f>G4391</f>
        <v>1455</v>
      </c>
    </row>
    <row r="4399" spans="1:7">
      <c r="A4399" s="26"/>
      <c r="B4399" s="78"/>
      <c r="C4399" s="26"/>
      <c r="D4399" s="26"/>
      <c r="E4399" s="171"/>
      <c r="F4399" s="171" t="s">
        <v>302</v>
      </c>
      <c r="G4399" s="205">
        <f>SUM(G4396:G4398)</f>
        <v>3691.75</v>
      </c>
    </row>
    <row r="4400" spans="1:7">
      <c r="A4400" s="26"/>
      <c r="B4400" s="1206" t="s">
        <v>1379</v>
      </c>
      <c r="C4400" s="1206"/>
      <c r="D4400" s="26"/>
      <c r="E4400" s="249">
        <f>'BASIC DATA'!$C$577</f>
        <v>0.13614999999999999</v>
      </c>
      <c r="F4400" s="26" t="s">
        <v>1698</v>
      </c>
      <c r="G4400" s="26">
        <f>ROUND(G4399*E4400,2)</f>
        <v>502.63</v>
      </c>
    </row>
    <row r="4401" spans="1:7">
      <c r="A4401" s="26"/>
      <c r="B4401" s="26" t="s">
        <v>1191</v>
      </c>
      <c r="C4401" s="26"/>
      <c r="D4401" s="68">
        <f>F4362</f>
        <v>4</v>
      </c>
      <c r="E4401" s="68" t="str">
        <f>G4362</f>
        <v>Nos.</v>
      </c>
      <c r="F4401" s="26" t="s">
        <v>1698</v>
      </c>
      <c r="G4401" s="170">
        <f>G4400+G4399</f>
        <v>4194.38</v>
      </c>
    </row>
    <row r="4402" spans="1:7">
      <c r="A4402" s="26"/>
      <c r="B4402" s="170" t="s">
        <v>1584</v>
      </c>
      <c r="C4402" s="211" t="s">
        <v>4089</v>
      </c>
      <c r="D4402" s="26" t="s">
        <v>4715</v>
      </c>
      <c r="E4402" s="26"/>
      <c r="F4402" s="26" t="s">
        <v>4108</v>
      </c>
      <c r="G4402" s="211">
        <f>ROUND(G4401/D4401,1)</f>
        <v>1048.5999999999999</v>
      </c>
    </row>
  </sheetData>
  <sheetProtection selectLockedCells="1" selectUnlockedCells="1"/>
  <mergeCells count="77">
    <mergeCell ref="B354:C354"/>
    <mergeCell ref="C3:F3"/>
    <mergeCell ref="C10:E10"/>
    <mergeCell ref="B57:C57"/>
    <mergeCell ref="B63:C63"/>
    <mergeCell ref="B97:G97"/>
    <mergeCell ref="B98:F98"/>
    <mergeCell ref="B145:C145"/>
    <mergeCell ref="B147:C147"/>
    <mergeCell ref="B173:C173"/>
    <mergeCell ref="B174:C174"/>
    <mergeCell ref="B175:C175"/>
    <mergeCell ref="B1236:C1236"/>
    <mergeCell ref="B356:C356"/>
    <mergeCell ref="B383:C383"/>
    <mergeCell ref="B385:C385"/>
    <mergeCell ref="B504:C504"/>
    <mergeCell ref="B576:C576"/>
    <mergeCell ref="B729:C729"/>
    <mergeCell ref="B815:C815"/>
    <mergeCell ref="B898:C898"/>
    <mergeCell ref="B983:C983"/>
    <mergeCell ref="B1067:C1067"/>
    <mergeCell ref="B1152:C1152"/>
    <mergeCell ref="B2045:C2045"/>
    <mergeCell ref="B1276:E1276"/>
    <mergeCell ref="B1277:E1277"/>
    <mergeCell ref="B1320:C1320"/>
    <mergeCell ref="B1404:C1404"/>
    <mergeCell ref="B1484:C1484"/>
    <mergeCell ref="B1565:C1565"/>
    <mergeCell ref="B1638:C1638"/>
    <mergeCell ref="B1711:C1711"/>
    <mergeCell ref="B1790:C1790"/>
    <mergeCell ref="B1876:C1876"/>
    <mergeCell ref="B1961:C1961"/>
    <mergeCell ref="B2940:C2940"/>
    <mergeCell ref="B2129:C2129"/>
    <mergeCell ref="B2218:C2218"/>
    <mergeCell ref="B2303:C2303"/>
    <mergeCell ref="B2387:C2387"/>
    <mergeCell ref="B2468:C2468"/>
    <mergeCell ref="B2550:C2550"/>
    <mergeCell ref="B2630:C2630"/>
    <mergeCell ref="B2712:C2712"/>
    <mergeCell ref="B2718:F2718"/>
    <mergeCell ref="B2809:C2809"/>
    <mergeCell ref="B2873:C2873"/>
    <mergeCell ref="B3567:E3567"/>
    <mergeCell ref="B3012:C3012"/>
    <mergeCell ref="B3084:C3084"/>
    <mergeCell ref="B3134:C3134"/>
    <mergeCell ref="B3184:C3184"/>
    <mergeCell ref="B3231:C3231"/>
    <mergeCell ref="B3278:C3278"/>
    <mergeCell ref="B3329:C3329"/>
    <mergeCell ref="B3380:C3380"/>
    <mergeCell ref="B3431:C3431"/>
    <mergeCell ref="B3481:C3481"/>
    <mergeCell ref="B3531:C3531"/>
    <mergeCell ref="B4143:C4143"/>
    <mergeCell ref="B3568:E3568"/>
    <mergeCell ref="B3607:C3607"/>
    <mergeCell ref="B3674:C3674"/>
    <mergeCell ref="B3726:C3726"/>
    <mergeCell ref="B3778:C3778"/>
    <mergeCell ref="B3830:C3830"/>
    <mergeCell ref="B3882:C3882"/>
    <mergeCell ref="B3934:C3934"/>
    <mergeCell ref="B3986:C3986"/>
    <mergeCell ref="B4039:C4039"/>
    <mergeCell ref="B4091:C4091"/>
    <mergeCell ref="B4194:C4194"/>
    <mergeCell ref="B4242:C4242"/>
    <mergeCell ref="B4291:C4291"/>
    <mergeCell ref="B4347:C4347"/>
    <mergeCell ref="B4400:C4400"/>
  </mergeCells>
  <pageMargins left="0.7" right="0.7" top="0.75" bottom="0.75" header="0.3" footer="0.3"/>
  <pageSetup scale="56" firstPageNumber="193" orientation="portrait" useFirstPageNumber="1" r:id="rId1"/>
  <headerFooter>
    <oddHeader>&amp;RCanal Cross Drainage Works - Item Unit Rates 2012-13</oddHeader>
    <oddFooter>&amp;R&amp;P</oddFooter>
  </headerFooter>
  <colBreaks count="2" manualBreakCount="2">
    <brk id="9" max="1048575" man="1"/>
    <brk id="255" max="1048575" man="1"/>
  </colBreaks>
  <drawing r:id="rId2"/>
</worksheet>
</file>

<file path=xl/worksheets/sheet17.xml><?xml version="1.0" encoding="utf-8"?>
<worksheet xmlns="http://schemas.openxmlformats.org/spreadsheetml/2006/main" xmlns:r="http://schemas.openxmlformats.org/officeDocument/2006/relationships">
  <sheetPr codeName="Sheet7"/>
  <dimension ref="A1:IU9965"/>
  <sheetViews>
    <sheetView showGridLines="0" topLeftCell="A3178" zoomScale="60" zoomScaleNormal="80" workbookViewId="0">
      <selection activeCell="F2676" sqref="F2676"/>
    </sheetView>
  </sheetViews>
  <sheetFormatPr defaultColWidth="0" defaultRowHeight="18" zeroHeight="1"/>
  <cols>
    <col min="1" max="1" width="17.7109375" style="78" customWidth="1"/>
    <col min="2" max="2" width="13.7109375" style="78" customWidth="1"/>
    <col min="3" max="3" width="43" style="26" customWidth="1"/>
    <col min="4" max="4" width="14.140625" style="26" customWidth="1"/>
    <col min="5" max="5" width="14.5703125" style="26" customWidth="1"/>
    <col min="6" max="6" width="18" style="26" customWidth="1"/>
    <col min="7" max="7" width="19.7109375" style="26" customWidth="1"/>
    <col min="8" max="8" width="13.28515625" style="26" customWidth="1"/>
    <col min="9" max="9" width="9.140625" style="26" customWidth="1"/>
    <col min="10" max="10" width="12.28515625" style="26" hidden="1" customWidth="1"/>
    <col min="11" max="32" width="9.140625" style="26" hidden="1" customWidth="1"/>
    <col min="33" max="33" width="12.7109375" style="26" hidden="1" customWidth="1"/>
    <col min="34" max="255" width="9.140625" style="26" hidden="1" customWidth="1"/>
    <col min="256" max="16384" width="0" style="26" hidden="1"/>
  </cols>
  <sheetData>
    <row r="1" spans="1:8">
      <c r="A1" s="109"/>
      <c r="B1" s="109"/>
      <c r="C1" s="108" t="s">
        <v>6601</v>
      </c>
      <c r="D1" s="109"/>
      <c r="E1" s="109"/>
      <c r="F1" s="109"/>
      <c r="G1" s="165"/>
      <c r="H1" s="165"/>
    </row>
    <row r="2" spans="1:8">
      <c r="A2" s="109"/>
      <c r="B2" s="165"/>
      <c r="C2" s="1253" t="s">
        <v>8005</v>
      </c>
      <c r="D2" s="1253"/>
      <c r="E2" s="1253"/>
      <c r="F2" s="347"/>
      <c r="G2" s="165"/>
      <c r="H2" s="165"/>
    </row>
    <row r="3" spans="1:8">
      <c r="A3" s="109"/>
      <c r="B3" s="165"/>
      <c r="C3" s="109"/>
      <c r="D3" s="109"/>
      <c r="E3" s="109"/>
      <c r="F3" s="347"/>
      <c r="G3" s="165"/>
      <c r="H3" s="165"/>
    </row>
    <row r="4" spans="1:8" s="61" customFormat="1">
      <c r="A4" s="62"/>
      <c r="C4" s="62"/>
      <c r="D4" s="62"/>
      <c r="E4" s="62"/>
      <c r="F4" s="382"/>
    </row>
    <row r="5" spans="1:8" s="61" customFormat="1">
      <c r="A5" s="62"/>
      <c r="C5" s="26" t="s">
        <v>1959</v>
      </c>
      <c r="D5" s="62"/>
      <c r="E5" s="62"/>
      <c r="F5" s="382"/>
    </row>
    <row r="6" spans="1:8" s="61" customFormat="1">
      <c r="A6" s="62"/>
      <c r="C6" s="26"/>
      <c r="D6" s="62"/>
      <c r="E6" s="62"/>
      <c r="F6" s="382"/>
    </row>
    <row r="7" spans="1:8" s="61" customFormat="1">
      <c r="A7" s="62"/>
      <c r="C7" s="1242" t="s">
        <v>7931</v>
      </c>
      <c r="D7" s="1242"/>
      <c r="E7" s="1242"/>
      <c r="F7" s="382"/>
    </row>
    <row r="8" spans="1:8" s="61" customFormat="1">
      <c r="A8" s="62"/>
      <c r="C8" s="62"/>
      <c r="D8" s="62"/>
      <c r="E8" s="62"/>
      <c r="F8" s="382"/>
    </row>
    <row r="9" spans="1:8" s="61" customFormat="1">
      <c r="A9" s="26" t="s">
        <v>7159</v>
      </c>
      <c r="C9" s="1254" t="s">
        <v>334</v>
      </c>
      <c r="D9" s="1254"/>
      <c r="E9" s="1254"/>
      <c r="F9" s="1254"/>
    </row>
    <row r="10" spans="1:8">
      <c r="C10" s="78"/>
    </row>
    <row r="11" spans="1:8">
      <c r="A11" s="78">
        <v>1</v>
      </c>
      <c r="B11" s="26" t="s">
        <v>5060</v>
      </c>
    </row>
    <row r="12" spans="1:8">
      <c r="B12" s="26" t="s">
        <v>4102</v>
      </c>
    </row>
    <row r="13" spans="1:8">
      <c r="B13" s="26"/>
    </row>
    <row r="14" spans="1:8">
      <c r="A14" s="78">
        <v>2</v>
      </c>
      <c r="B14" s="26" t="s">
        <v>4154</v>
      </c>
    </row>
    <row r="15" spans="1:8">
      <c r="B15" s="26" t="s">
        <v>4103</v>
      </c>
    </row>
    <row r="16" spans="1:8">
      <c r="B16" s="26" t="s">
        <v>7666</v>
      </c>
    </row>
    <row r="17" spans="1:2">
      <c r="B17" s="26"/>
    </row>
    <row r="18" spans="1:2">
      <c r="A18" s="78">
        <v>3</v>
      </c>
      <c r="B18" s="26" t="s">
        <v>4652</v>
      </c>
    </row>
    <row r="19" spans="1:2">
      <c r="B19" s="26" t="s">
        <v>6277</v>
      </c>
    </row>
    <row r="20" spans="1:2">
      <c r="B20" s="26" t="s">
        <v>6278</v>
      </c>
    </row>
    <row r="21" spans="1:2">
      <c r="B21" s="26"/>
    </row>
    <row r="22" spans="1:2">
      <c r="A22" s="78">
        <v>4</v>
      </c>
      <c r="B22" s="26" t="s">
        <v>6441</v>
      </c>
    </row>
    <row r="23" spans="1:2">
      <c r="B23" s="26" t="s">
        <v>4223</v>
      </c>
    </row>
    <row r="24" spans="1:2">
      <c r="B24" s="26" t="s">
        <v>6442</v>
      </c>
    </row>
    <row r="25" spans="1:2">
      <c r="B25" s="26"/>
    </row>
    <row r="26" spans="1:2">
      <c r="A26" s="78">
        <v>5</v>
      </c>
      <c r="B26" s="26" t="s">
        <v>5409</v>
      </c>
    </row>
    <row r="27" spans="1:2">
      <c r="B27" s="26" t="s">
        <v>2103</v>
      </c>
    </row>
    <row r="28" spans="1:2">
      <c r="B28" s="26" t="s">
        <v>6770</v>
      </c>
    </row>
    <row r="29" spans="1:2">
      <c r="B29" s="26"/>
    </row>
    <row r="30" spans="1:2">
      <c r="A30" s="78">
        <v>6</v>
      </c>
      <c r="B30" s="26" t="s">
        <v>6771</v>
      </c>
    </row>
    <row r="31" spans="1:2">
      <c r="B31" s="26"/>
    </row>
    <row r="32" spans="1:2">
      <c r="A32" s="78">
        <v>7</v>
      </c>
      <c r="B32" s="26" t="s">
        <v>5410</v>
      </c>
    </row>
    <row r="33" spans="1:2">
      <c r="B33" s="26"/>
    </row>
    <row r="34" spans="1:2">
      <c r="A34" s="78">
        <v>8</v>
      </c>
      <c r="B34" s="26" t="s">
        <v>6772</v>
      </c>
    </row>
    <row r="35" spans="1:2">
      <c r="B35" s="26" t="s">
        <v>2828</v>
      </c>
    </row>
    <row r="36" spans="1:2">
      <c r="B36" s="26"/>
    </row>
    <row r="37" spans="1:2" ht="18.75">
      <c r="A37" s="78">
        <v>9</v>
      </c>
      <c r="B37" s="26" t="s">
        <v>9025</v>
      </c>
    </row>
    <row r="38" spans="1:2">
      <c r="B38" s="26" t="s">
        <v>5956</v>
      </c>
    </row>
    <row r="39" spans="1:2">
      <c r="B39" s="26"/>
    </row>
    <row r="40" spans="1:2">
      <c r="A40" s="78">
        <v>10</v>
      </c>
      <c r="B40" s="26" t="s">
        <v>5957</v>
      </c>
    </row>
    <row r="41" spans="1:2">
      <c r="B41" s="26" t="s">
        <v>5958</v>
      </c>
    </row>
    <row r="42" spans="1:2">
      <c r="B42" s="26"/>
    </row>
    <row r="43" spans="1:2">
      <c r="A43" s="78">
        <v>11</v>
      </c>
      <c r="B43" s="26" t="s">
        <v>1092</v>
      </c>
    </row>
    <row r="44" spans="1:2">
      <c r="B44" s="26" t="s">
        <v>1093</v>
      </c>
    </row>
    <row r="45" spans="1:2">
      <c r="B45" s="26"/>
    </row>
    <row r="46" spans="1:2">
      <c r="A46" s="78">
        <v>12</v>
      </c>
      <c r="B46" s="26" t="s">
        <v>6070</v>
      </c>
    </row>
    <row r="47" spans="1:2">
      <c r="B47" s="26"/>
    </row>
    <row r="48" spans="1:2">
      <c r="A48" s="78">
        <v>13</v>
      </c>
      <c r="B48" s="26" t="s">
        <v>2017</v>
      </c>
    </row>
    <row r="49" spans="1:9">
      <c r="B49" s="26"/>
    </row>
    <row r="50" spans="1:9">
      <c r="A50" s="78">
        <v>14</v>
      </c>
      <c r="B50" s="26" t="s">
        <v>1092</v>
      </c>
    </row>
    <row r="51" spans="1:9">
      <c r="B51" s="26" t="s">
        <v>5736</v>
      </c>
    </row>
    <row r="52" spans="1:9">
      <c r="B52" s="26"/>
    </row>
    <row r="53" spans="1:9">
      <c r="A53" s="78">
        <v>15</v>
      </c>
      <c r="B53" s="26" t="s">
        <v>5737</v>
      </c>
    </row>
    <row r="54" spans="1:9">
      <c r="B54" s="26"/>
    </row>
    <row r="55" spans="1:9">
      <c r="A55" s="78">
        <v>16</v>
      </c>
      <c r="B55" s="31" t="s">
        <v>5990</v>
      </c>
      <c r="D55" s="31"/>
      <c r="E55" s="31"/>
      <c r="F55" s="31"/>
      <c r="G55" s="31"/>
      <c r="H55" s="31"/>
      <c r="I55" s="31"/>
    </row>
    <row r="56" spans="1:9">
      <c r="B56" s="31" t="s">
        <v>5991</v>
      </c>
      <c r="D56" s="31"/>
      <c r="E56" s="31"/>
      <c r="F56" s="31"/>
      <c r="G56" s="31"/>
      <c r="H56" s="31"/>
      <c r="I56" s="31"/>
    </row>
    <row r="57" spans="1:9">
      <c r="B57" s="31" t="s">
        <v>6649</v>
      </c>
      <c r="D57" s="31"/>
      <c r="E57" s="31"/>
      <c r="F57" s="31"/>
      <c r="G57" s="31"/>
      <c r="H57" s="31"/>
      <c r="I57" s="31"/>
    </row>
    <row r="58" spans="1:9">
      <c r="B58" s="31" t="s">
        <v>6650</v>
      </c>
      <c r="D58" s="31"/>
      <c r="E58" s="31"/>
      <c r="F58" s="31"/>
      <c r="G58" s="31"/>
      <c r="H58" s="31"/>
      <c r="I58" s="31"/>
    </row>
    <row r="59" spans="1:9">
      <c r="B59" s="31"/>
      <c r="D59" s="31"/>
      <c r="E59" s="31"/>
      <c r="F59" s="31"/>
      <c r="G59" s="31"/>
      <c r="H59" s="31"/>
      <c r="I59" s="31"/>
    </row>
    <row r="60" spans="1:9">
      <c r="B60" s="31"/>
      <c r="D60" s="31"/>
      <c r="E60" s="31"/>
      <c r="F60" s="31"/>
      <c r="G60" s="31"/>
      <c r="H60" s="31"/>
      <c r="I60" s="31"/>
    </row>
    <row r="61" spans="1:9">
      <c r="B61" s="31" t="s">
        <v>6651</v>
      </c>
      <c r="D61" s="31"/>
      <c r="E61" s="31"/>
      <c r="F61" s="31"/>
      <c r="G61" s="31"/>
      <c r="H61" s="31"/>
      <c r="I61" s="31"/>
    </row>
    <row r="62" spans="1:9">
      <c r="B62" s="31" t="s">
        <v>6652</v>
      </c>
      <c r="D62" s="31"/>
      <c r="E62" s="31"/>
      <c r="F62" s="31"/>
      <c r="G62" s="31"/>
      <c r="H62" s="31"/>
      <c r="I62" s="31"/>
    </row>
    <row r="63" spans="1:9">
      <c r="B63" s="31" t="s">
        <v>6653</v>
      </c>
      <c r="D63" s="31"/>
      <c r="E63" s="31"/>
      <c r="F63" s="31"/>
      <c r="G63" s="31"/>
      <c r="H63" s="31"/>
      <c r="I63" s="31"/>
    </row>
    <row r="64" spans="1:9">
      <c r="B64" s="31" t="s">
        <v>6654</v>
      </c>
      <c r="D64" s="31"/>
      <c r="E64" s="31"/>
      <c r="F64" s="31"/>
      <c r="G64" s="31"/>
      <c r="H64" s="31"/>
      <c r="I64" s="31"/>
    </row>
    <row r="65" spans="2:9">
      <c r="B65" s="31" t="s">
        <v>6655</v>
      </c>
      <c r="D65" s="31"/>
      <c r="E65" s="31"/>
      <c r="F65" s="31"/>
      <c r="G65" s="31"/>
      <c r="H65" s="31"/>
      <c r="I65" s="31"/>
    </row>
    <row r="66" spans="2:9">
      <c r="B66" s="31" t="s">
        <v>6656</v>
      </c>
      <c r="D66" s="31"/>
      <c r="E66" s="31"/>
      <c r="F66" s="31"/>
      <c r="G66" s="31"/>
      <c r="H66" s="31"/>
      <c r="I66" s="31"/>
    </row>
    <row r="67" spans="2:9">
      <c r="B67" s="31" t="s">
        <v>2925</v>
      </c>
      <c r="D67" s="31"/>
      <c r="E67" s="31"/>
      <c r="F67" s="31"/>
      <c r="G67" s="31"/>
      <c r="H67" s="31"/>
      <c r="I67" s="31"/>
    </row>
    <row r="68" spans="2:9">
      <c r="B68" s="31" t="s">
        <v>2926</v>
      </c>
      <c r="D68" s="31"/>
      <c r="E68" s="31"/>
      <c r="F68" s="31"/>
      <c r="G68" s="31"/>
      <c r="H68" s="31"/>
      <c r="I68" s="31"/>
    </row>
    <row r="69" spans="2:9">
      <c r="B69" s="31" t="s">
        <v>2927</v>
      </c>
      <c r="D69" s="31"/>
      <c r="E69" s="31"/>
      <c r="F69" s="31"/>
      <c r="G69" s="31"/>
      <c r="H69" s="31"/>
      <c r="I69" s="31"/>
    </row>
    <row r="70" spans="2:9">
      <c r="B70" s="31" t="s">
        <v>2928</v>
      </c>
      <c r="D70" s="31"/>
      <c r="E70" s="31"/>
      <c r="F70" s="31"/>
      <c r="G70" s="31"/>
      <c r="H70" s="31"/>
      <c r="I70" s="31"/>
    </row>
    <row r="71" spans="2:9">
      <c r="B71" s="31" t="s">
        <v>8006</v>
      </c>
      <c r="D71" s="31"/>
      <c r="E71" s="31"/>
      <c r="F71" s="31"/>
      <c r="G71" s="31"/>
      <c r="H71" s="31"/>
      <c r="I71" s="31"/>
    </row>
    <row r="72" spans="2:9">
      <c r="B72" s="31" t="s">
        <v>8007</v>
      </c>
      <c r="D72" s="31"/>
      <c r="E72" s="31"/>
      <c r="F72" s="31"/>
      <c r="G72" s="31"/>
      <c r="H72" s="31"/>
      <c r="I72" s="31"/>
    </row>
    <row r="73" spans="2:9">
      <c r="B73" s="31" t="s">
        <v>8008</v>
      </c>
      <c r="D73" s="31"/>
      <c r="E73" s="31"/>
      <c r="F73" s="31"/>
      <c r="G73" s="31"/>
      <c r="H73" s="31"/>
      <c r="I73" s="31"/>
    </row>
    <row r="74" spans="2:9">
      <c r="B74" s="31" t="s">
        <v>5992</v>
      </c>
      <c r="D74" s="31"/>
      <c r="E74" s="31"/>
      <c r="F74" s="31"/>
      <c r="G74" s="31"/>
      <c r="H74" s="31"/>
      <c r="I74" s="31"/>
    </row>
    <row r="75" spans="2:9">
      <c r="B75" s="31" t="s">
        <v>1609</v>
      </c>
      <c r="D75" s="31"/>
      <c r="E75" s="31"/>
      <c r="F75" s="31"/>
      <c r="G75" s="31"/>
      <c r="H75" s="31"/>
      <c r="I75" s="31"/>
    </row>
    <row r="76" spans="2:9">
      <c r="B76" s="31" t="s">
        <v>6005</v>
      </c>
      <c r="D76" s="31"/>
      <c r="E76" s="31"/>
      <c r="F76" s="31"/>
      <c r="G76" s="31"/>
      <c r="H76" s="31"/>
      <c r="I76" s="31"/>
    </row>
    <row r="77" spans="2:9">
      <c r="B77" s="31" t="s">
        <v>6006</v>
      </c>
      <c r="D77" s="31"/>
      <c r="E77" s="31"/>
      <c r="F77" s="31"/>
      <c r="G77" s="31"/>
      <c r="H77" s="31"/>
      <c r="I77" s="31"/>
    </row>
    <row r="78" spans="2:9">
      <c r="B78" s="31" t="s">
        <v>8009</v>
      </c>
      <c r="D78" s="31"/>
      <c r="E78" s="31"/>
      <c r="F78" s="31"/>
      <c r="G78" s="31"/>
      <c r="H78" s="31"/>
      <c r="I78" s="31"/>
    </row>
    <row r="79" spans="2:9">
      <c r="B79" s="31"/>
      <c r="D79" s="31"/>
      <c r="E79" s="31"/>
      <c r="F79" s="31"/>
      <c r="G79" s="31"/>
      <c r="H79" s="31"/>
      <c r="I79" s="31"/>
    </row>
    <row r="80" spans="2:9">
      <c r="B80" s="31" t="s">
        <v>4488</v>
      </c>
      <c r="D80" s="31"/>
      <c r="E80" s="31"/>
      <c r="F80" s="31"/>
      <c r="G80" s="31"/>
      <c r="H80" s="31"/>
      <c r="I80" s="31"/>
    </row>
    <row r="81" spans="1:9">
      <c r="B81" s="31" t="s">
        <v>8010</v>
      </c>
      <c r="D81" s="31"/>
      <c r="E81" s="31"/>
      <c r="F81" s="31"/>
      <c r="G81" s="31"/>
      <c r="H81" s="31"/>
      <c r="I81" s="31"/>
    </row>
    <row r="82" spans="1:9">
      <c r="B82" s="31" t="s">
        <v>1610</v>
      </c>
      <c r="D82" s="31"/>
      <c r="E82" s="31"/>
      <c r="F82" s="31"/>
      <c r="G82" s="31"/>
      <c r="H82" s="31"/>
      <c r="I82" s="31"/>
    </row>
    <row r="83" spans="1:9">
      <c r="B83" s="31" t="s">
        <v>8011</v>
      </c>
      <c r="D83" s="31"/>
      <c r="E83" s="31"/>
      <c r="F83" s="31"/>
      <c r="G83" s="31"/>
      <c r="H83" s="31"/>
      <c r="I83" s="31"/>
    </row>
    <row r="84" spans="1:9">
      <c r="B84" s="31" t="s">
        <v>8012</v>
      </c>
      <c r="D84" s="31"/>
      <c r="E84" s="31"/>
      <c r="F84" s="31"/>
      <c r="G84" s="31"/>
      <c r="H84" s="31"/>
      <c r="I84" s="31"/>
    </row>
    <row r="85" spans="1:9">
      <c r="B85" s="31" t="s">
        <v>3598</v>
      </c>
      <c r="D85" s="31"/>
      <c r="E85" s="31"/>
      <c r="F85" s="31"/>
      <c r="G85" s="31"/>
      <c r="H85" s="31"/>
      <c r="I85" s="31"/>
    </row>
    <row r="86" spans="1:9">
      <c r="B86" s="31" t="s">
        <v>3599</v>
      </c>
      <c r="D86" s="31"/>
      <c r="E86" s="31"/>
      <c r="F86" s="31"/>
      <c r="G86" s="31"/>
      <c r="H86" s="31"/>
      <c r="I86" s="31"/>
    </row>
    <row r="87" spans="1:9">
      <c r="B87" s="31" t="s">
        <v>6007</v>
      </c>
      <c r="D87" s="31"/>
      <c r="E87" s="31"/>
      <c r="F87" s="31"/>
      <c r="G87" s="31"/>
      <c r="H87" s="31"/>
      <c r="I87" s="31"/>
    </row>
    <row r="88" spans="1:9">
      <c r="B88" s="31" t="s">
        <v>6008</v>
      </c>
      <c r="D88" s="31"/>
      <c r="E88" s="31"/>
      <c r="F88" s="31"/>
      <c r="G88" s="31"/>
      <c r="H88" s="31"/>
      <c r="I88" s="31"/>
    </row>
    <row r="89" spans="1:9">
      <c r="B89" s="31" t="s">
        <v>8013</v>
      </c>
      <c r="D89" s="31"/>
      <c r="E89" s="31"/>
      <c r="F89" s="31"/>
      <c r="G89" s="31"/>
      <c r="H89" s="31"/>
      <c r="I89" s="31"/>
    </row>
    <row r="90" spans="1:9">
      <c r="B90" s="26"/>
      <c r="C90" s="31"/>
      <c r="D90" s="31"/>
      <c r="E90" s="31"/>
      <c r="F90" s="31"/>
      <c r="G90" s="31"/>
      <c r="H90" s="31"/>
      <c r="I90" s="31"/>
    </row>
    <row r="91" spans="1:9" ht="18.75" thickBot="1">
      <c r="B91" s="26"/>
      <c r="C91" s="31"/>
      <c r="D91" s="31"/>
      <c r="E91" s="31"/>
      <c r="F91" s="31"/>
      <c r="G91" s="31"/>
      <c r="H91" s="31"/>
      <c r="I91" s="31"/>
    </row>
    <row r="92" spans="1:9" ht="18.75" thickBot="1">
      <c r="B92" s="688" t="s">
        <v>3805</v>
      </c>
      <c r="D92" s="689"/>
      <c r="E92" s="689"/>
      <c r="F92" s="690"/>
    </row>
    <row r="93" spans="1:9">
      <c r="B93" s="26"/>
      <c r="C93" s="78"/>
      <c r="D93" s="33"/>
      <c r="E93" s="33"/>
      <c r="F93" s="33"/>
      <c r="G93" s="33"/>
    </row>
    <row r="94" spans="1:9" ht="18.75" thickBot="1">
      <c r="B94" s="26" t="s">
        <v>1739</v>
      </c>
    </row>
    <row r="95" spans="1:9" ht="18.75" thickBot="1">
      <c r="A95" s="169" t="s">
        <v>7038</v>
      </c>
      <c r="B95" s="26"/>
      <c r="C95" s="78"/>
    </row>
    <row r="96" spans="1:9">
      <c r="A96" s="26" t="s">
        <v>7159</v>
      </c>
      <c r="B96" s="79" t="s">
        <v>1412</v>
      </c>
      <c r="E96" s="78"/>
      <c r="G96" s="171"/>
      <c r="H96" s="27"/>
    </row>
    <row r="97" spans="1:8">
      <c r="A97" s="26"/>
      <c r="E97" s="78"/>
      <c r="G97" s="171"/>
      <c r="H97" s="27"/>
    </row>
    <row r="98" spans="1:8">
      <c r="A98" s="26" t="s">
        <v>7160</v>
      </c>
      <c r="B98" s="79" t="s">
        <v>1740</v>
      </c>
    </row>
    <row r="99" spans="1:8">
      <c r="A99" s="26" t="s">
        <v>7161</v>
      </c>
      <c r="B99" s="170" t="s">
        <v>1741</v>
      </c>
    </row>
    <row r="100" spans="1:8">
      <c r="B100" s="26" t="s">
        <v>9026</v>
      </c>
      <c r="G100" s="322"/>
    </row>
    <row r="101" spans="1:8">
      <c r="A101" s="26"/>
      <c r="B101" s="26" t="s">
        <v>9027</v>
      </c>
      <c r="G101" s="322"/>
    </row>
    <row r="102" spans="1:8">
      <c r="A102" s="27"/>
      <c r="B102" s="26" t="s">
        <v>1742</v>
      </c>
      <c r="G102" s="322"/>
    </row>
    <row r="103" spans="1:8">
      <c r="B103" s="26" t="s">
        <v>6603</v>
      </c>
      <c r="G103" s="322"/>
    </row>
    <row r="104" spans="1:8">
      <c r="B104" s="26"/>
      <c r="G104" s="322"/>
    </row>
    <row r="105" spans="1:8">
      <c r="B105" s="26" t="s">
        <v>538</v>
      </c>
      <c r="G105" s="322"/>
    </row>
    <row r="106" spans="1:8">
      <c r="B106" s="26" t="s">
        <v>528</v>
      </c>
      <c r="G106" s="322"/>
    </row>
    <row r="107" spans="1:8">
      <c r="B107" s="26"/>
      <c r="F107" s="322"/>
    </row>
    <row r="108" spans="1:8" hidden="1">
      <c r="A108" s="78" t="s">
        <v>3984</v>
      </c>
      <c r="B108" s="26" t="s">
        <v>76</v>
      </c>
      <c r="G108" s="322"/>
    </row>
    <row r="109" spans="1:8" hidden="1">
      <c r="B109" s="26" t="s">
        <v>5107</v>
      </c>
    </row>
    <row r="110" spans="1:8" hidden="1">
      <c r="B110" s="26" t="s">
        <v>240</v>
      </c>
      <c r="F110" s="26">
        <v>14.4</v>
      </c>
      <c r="G110" s="26" t="s">
        <v>45</v>
      </c>
    </row>
    <row r="111" spans="1:8" hidden="1">
      <c r="B111" s="26"/>
    </row>
    <row r="112" spans="1:8" hidden="1">
      <c r="A112" s="78">
        <v>1</v>
      </c>
      <c r="B112" s="26" t="s">
        <v>8014</v>
      </c>
    </row>
    <row r="113" spans="1:8" hidden="1">
      <c r="A113" s="78" t="s">
        <v>1535</v>
      </c>
      <c r="B113" s="26" t="s">
        <v>241</v>
      </c>
    </row>
    <row r="114" spans="1:8" hidden="1">
      <c r="B114" s="26" t="s">
        <v>242</v>
      </c>
      <c r="F114" s="322" t="s">
        <v>1697</v>
      </c>
      <c r="G114" s="26">
        <v>700</v>
      </c>
      <c r="H114" s="26" t="s">
        <v>3478</v>
      </c>
    </row>
    <row r="115" spans="1:8" hidden="1">
      <c r="B115" s="26" t="s">
        <v>243</v>
      </c>
      <c r="F115" s="322" t="s">
        <v>1697</v>
      </c>
      <c r="G115" s="26">
        <v>13700</v>
      </c>
      <c r="H115" s="26" t="s">
        <v>3478</v>
      </c>
    </row>
    <row r="116" spans="1:8" hidden="1">
      <c r="A116" s="78" t="s">
        <v>5400</v>
      </c>
      <c r="B116" s="26" t="s">
        <v>7027</v>
      </c>
      <c r="F116" s="322"/>
    </row>
    <row r="117" spans="1:8" hidden="1">
      <c r="B117" s="26" t="s">
        <v>516</v>
      </c>
      <c r="F117" s="322" t="s">
        <v>1697</v>
      </c>
      <c r="G117" s="26">
        <v>200</v>
      </c>
      <c r="H117" s="26" t="s">
        <v>3478</v>
      </c>
    </row>
    <row r="118" spans="1:8" hidden="1">
      <c r="A118" s="78" t="s">
        <v>5401</v>
      </c>
      <c r="B118" s="26" t="s">
        <v>1194</v>
      </c>
      <c r="F118" s="322" t="s">
        <v>1697</v>
      </c>
      <c r="G118" s="26">
        <v>110</v>
      </c>
      <c r="H118" s="26" t="s">
        <v>3478</v>
      </c>
    </row>
    <row r="119" spans="1:8" hidden="1">
      <c r="A119" s="78" t="s">
        <v>1696</v>
      </c>
      <c r="B119" s="26" t="s">
        <v>1195</v>
      </c>
      <c r="F119" s="322"/>
    </row>
    <row r="120" spans="1:8" hidden="1">
      <c r="B120" s="26" t="s">
        <v>517</v>
      </c>
      <c r="F120" s="322" t="s">
        <v>1697</v>
      </c>
      <c r="G120" s="26">
        <v>665</v>
      </c>
      <c r="H120" s="26" t="s">
        <v>2059</v>
      </c>
    </row>
    <row r="121" spans="1:8" hidden="1">
      <c r="B121" s="26" t="s">
        <v>518</v>
      </c>
      <c r="F121" s="322" t="s">
        <v>1697</v>
      </c>
      <c r="G121" s="26">
        <v>66</v>
      </c>
      <c r="H121" s="26" t="s">
        <v>2059</v>
      </c>
    </row>
    <row r="122" spans="1:8" hidden="1">
      <c r="B122" s="26" t="s">
        <v>519</v>
      </c>
      <c r="F122" s="322" t="s">
        <v>1697</v>
      </c>
      <c r="G122" s="26">
        <v>5983</v>
      </c>
      <c r="H122" s="26" t="s">
        <v>2059</v>
      </c>
    </row>
    <row r="123" spans="1:8" hidden="1">
      <c r="B123" s="26" t="s">
        <v>2280</v>
      </c>
      <c r="F123" s="322" t="s">
        <v>1697</v>
      </c>
      <c r="G123" s="26">
        <v>591</v>
      </c>
      <c r="H123" s="26" t="s">
        <v>2059</v>
      </c>
    </row>
    <row r="124" spans="1:8" hidden="1">
      <c r="A124" s="78">
        <v>2</v>
      </c>
      <c r="B124" s="26" t="s">
        <v>2281</v>
      </c>
      <c r="F124" s="322"/>
    </row>
    <row r="125" spans="1:8" hidden="1">
      <c r="B125" s="26" t="s">
        <v>529</v>
      </c>
      <c r="F125" s="322" t="s">
        <v>1697</v>
      </c>
      <c r="G125" s="26">
        <v>470</v>
      </c>
      <c r="H125" s="26" t="s">
        <v>3483</v>
      </c>
    </row>
    <row r="126" spans="1:8" hidden="1">
      <c r="B126" s="26" t="s">
        <v>530</v>
      </c>
    </row>
    <row r="127" spans="1:8" hidden="1">
      <c r="B127" s="26" t="s">
        <v>531</v>
      </c>
    </row>
    <row r="128" spans="1:8" hidden="1">
      <c r="B128" s="26" t="s">
        <v>3531</v>
      </c>
    </row>
    <row r="129" spans="2:8" hidden="1">
      <c r="B129" s="26" t="s">
        <v>3532</v>
      </c>
      <c r="F129" s="322" t="s">
        <v>1697</v>
      </c>
      <c r="G129" s="26">
        <v>60</v>
      </c>
      <c r="H129" s="26" t="s">
        <v>2602</v>
      </c>
    </row>
    <row r="130" spans="2:8" hidden="1">
      <c r="B130" s="26" t="s">
        <v>3533</v>
      </c>
      <c r="F130" s="322" t="s">
        <v>1697</v>
      </c>
      <c r="G130" s="26">
        <v>370</v>
      </c>
      <c r="H130" s="26" t="s">
        <v>2602</v>
      </c>
    </row>
    <row r="131" spans="2:8" hidden="1">
      <c r="B131" s="26" t="s">
        <v>2277</v>
      </c>
      <c r="F131" s="322" t="s">
        <v>1697</v>
      </c>
      <c r="G131" s="26">
        <v>40</v>
      </c>
      <c r="H131" s="26" t="s">
        <v>2602</v>
      </c>
    </row>
    <row r="132" spans="2:8" hidden="1">
      <c r="B132" s="26" t="s">
        <v>2278</v>
      </c>
      <c r="F132" s="322" t="s">
        <v>1697</v>
      </c>
      <c r="G132" s="26">
        <v>30</v>
      </c>
      <c r="H132" s="26" t="s">
        <v>4665</v>
      </c>
    </row>
    <row r="133" spans="2:8" hidden="1">
      <c r="B133" s="26" t="s">
        <v>2279</v>
      </c>
      <c r="F133" s="322" t="s">
        <v>1697</v>
      </c>
      <c r="G133" s="26">
        <v>124</v>
      </c>
      <c r="H133" s="26" t="s">
        <v>4665</v>
      </c>
    </row>
    <row r="134" spans="2:8" hidden="1">
      <c r="B134" s="26" t="s">
        <v>1360</v>
      </c>
      <c r="F134" s="322" t="s">
        <v>1697</v>
      </c>
      <c r="G134" s="26">
        <v>4</v>
      </c>
      <c r="H134" s="26" t="s">
        <v>4665</v>
      </c>
    </row>
    <row r="135" spans="2:8" hidden="1">
      <c r="B135" s="26" t="s">
        <v>5130</v>
      </c>
      <c r="E135" s="26" t="s">
        <v>5131</v>
      </c>
      <c r="F135" s="322" t="s">
        <v>1697</v>
      </c>
      <c r="G135" s="26">
        <v>92</v>
      </c>
      <c r="H135" s="26" t="s">
        <v>3477</v>
      </c>
    </row>
    <row r="136" spans="2:8" hidden="1">
      <c r="B136" s="26" t="s">
        <v>5132</v>
      </c>
      <c r="E136" s="26" t="s">
        <v>5133</v>
      </c>
      <c r="F136" s="322" t="s">
        <v>1697</v>
      </c>
      <c r="G136" s="26">
        <v>276</v>
      </c>
      <c r="H136" s="26" t="s">
        <v>3477</v>
      </c>
    </row>
    <row r="137" spans="2:8" hidden="1">
      <c r="B137" s="26" t="s">
        <v>2390</v>
      </c>
      <c r="F137" s="322" t="s">
        <v>1697</v>
      </c>
      <c r="G137" s="26">
        <v>36</v>
      </c>
      <c r="H137" s="26" t="s">
        <v>4665</v>
      </c>
    </row>
    <row r="138" spans="2:8" hidden="1">
      <c r="B138" s="26" t="s">
        <v>3042</v>
      </c>
      <c r="F138" s="322" t="s">
        <v>1697</v>
      </c>
      <c r="G138" s="26">
        <v>149</v>
      </c>
      <c r="H138" s="26" t="s">
        <v>4665</v>
      </c>
    </row>
    <row r="139" spans="2:8" hidden="1">
      <c r="B139" s="26" t="s">
        <v>4650</v>
      </c>
      <c r="F139" s="322" t="s">
        <v>1697</v>
      </c>
      <c r="G139" s="26">
        <v>5</v>
      </c>
      <c r="H139" s="26" t="s">
        <v>4665</v>
      </c>
    </row>
    <row r="140" spans="2:8" hidden="1">
      <c r="B140" s="26" t="s">
        <v>4651</v>
      </c>
      <c r="F140" s="322"/>
    </row>
    <row r="141" spans="2:8" hidden="1">
      <c r="B141" s="26" t="s">
        <v>5722</v>
      </c>
      <c r="F141" s="322" t="s">
        <v>1697</v>
      </c>
      <c r="G141" s="26">
        <v>600</v>
      </c>
      <c r="H141" s="26" t="s">
        <v>2602</v>
      </c>
    </row>
    <row r="142" spans="2:8" hidden="1">
      <c r="B142" s="26" t="s">
        <v>5723</v>
      </c>
      <c r="G142" s="322"/>
    </row>
    <row r="143" spans="2:8" hidden="1">
      <c r="B143" s="26"/>
      <c r="E143" s="26" t="s">
        <v>3560</v>
      </c>
      <c r="F143" s="322" t="s">
        <v>1697</v>
      </c>
      <c r="G143" s="26">
        <v>195</v>
      </c>
      <c r="H143" s="26" t="s">
        <v>4665</v>
      </c>
    </row>
    <row r="144" spans="2:8" hidden="1">
      <c r="B144" s="26" t="s">
        <v>1913</v>
      </c>
      <c r="G144" s="322"/>
    </row>
    <row r="145" spans="1:8" hidden="1">
      <c r="B145" s="26"/>
      <c r="E145" s="26" t="s">
        <v>6832</v>
      </c>
      <c r="F145" s="322" t="s">
        <v>1697</v>
      </c>
      <c r="G145" s="174">
        <v>585</v>
      </c>
      <c r="H145" s="26" t="s">
        <v>4665</v>
      </c>
    </row>
    <row r="146" spans="1:8" hidden="1">
      <c r="B146" s="26"/>
      <c r="E146" s="26" t="s">
        <v>1518</v>
      </c>
      <c r="F146" s="322" t="s">
        <v>1697</v>
      </c>
      <c r="G146" s="26">
        <f>SUM(G143:G145)</f>
        <v>780</v>
      </c>
      <c r="H146" s="26" t="s">
        <v>4665</v>
      </c>
    </row>
    <row r="147" spans="1:8" hidden="1">
      <c r="A147" s="78">
        <v>3</v>
      </c>
      <c r="B147" s="26" t="s">
        <v>6833</v>
      </c>
      <c r="G147" s="322"/>
    </row>
    <row r="148" spans="1:8" hidden="1">
      <c r="B148" s="26" t="s">
        <v>2657</v>
      </c>
      <c r="G148" s="322"/>
    </row>
    <row r="149" spans="1:8" hidden="1">
      <c r="B149" s="26"/>
      <c r="D149" s="26" t="s">
        <v>2658</v>
      </c>
      <c r="F149" s="322" t="s">
        <v>1697</v>
      </c>
      <c r="G149" s="26">
        <v>488</v>
      </c>
    </row>
    <row r="150" spans="1:8" hidden="1">
      <c r="A150" s="78">
        <v>4</v>
      </c>
      <c r="B150" s="26" t="s">
        <v>2659</v>
      </c>
      <c r="G150" s="322"/>
    </row>
    <row r="151" spans="1:8" hidden="1">
      <c r="B151" s="26" t="s">
        <v>4403</v>
      </c>
      <c r="G151" s="322"/>
    </row>
    <row r="152" spans="1:8" hidden="1">
      <c r="B152" s="26" t="s">
        <v>4404</v>
      </c>
      <c r="F152" s="322"/>
      <c r="G152" s="26">
        <v>56</v>
      </c>
      <c r="H152" s="26" t="s">
        <v>3483</v>
      </c>
    </row>
    <row r="153" spans="1:8" hidden="1">
      <c r="B153" s="26" t="s">
        <v>4405</v>
      </c>
      <c r="F153" s="322"/>
      <c r="G153" s="26">
        <v>3</v>
      </c>
      <c r="H153" s="26" t="s">
        <v>3483</v>
      </c>
    </row>
    <row r="154" spans="1:8" hidden="1">
      <c r="B154" s="26" t="s">
        <v>4406</v>
      </c>
      <c r="F154" s="322"/>
      <c r="G154" s="26">
        <v>8</v>
      </c>
      <c r="H154" s="26" t="s">
        <v>4665</v>
      </c>
    </row>
    <row r="155" spans="1:8" hidden="1">
      <c r="B155" s="26" t="s">
        <v>4407</v>
      </c>
      <c r="E155" s="26" t="s">
        <v>4408</v>
      </c>
      <c r="F155" s="322"/>
      <c r="G155" s="26">
        <v>150</v>
      </c>
      <c r="H155" s="26" t="s">
        <v>4665</v>
      </c>
    </row>
    <row r="156" spans="1:8" hidden="1">
      <c r="A156" s="78">
        <v>5</v>
      </c>
      <c r="B156" s="26" t="s">
        <v>4249</v>
      </c>
      <c r="F156" s="322" t="s">
        <v>1697</v>
      </c>
      <c r="G156" s="26">
        <v>18</v>
      </c>
      <c r="H156" s="26" t="s">
        <v>3482</v>
      </c>
    </row>
    <row r="157" spans="1:8" hidden="1">
      <c r="B157" s="26" t="s">
        <v>532</v>
      </c>
      <c r="G157" s="322"/>
      <c r="H157" s="31"/>
    </row>
    <row r="158" spans="1:8" hidden="1">
      <c r="B158" s="26" t="s">
        <v>4895</v>
      </c>
      <c r="G158" s="322"/>
      <c r="H158" s="31"/>
    </row>
    <row r="159" spans="1:8" hidden="1">
      <c r="B159" s="26" t="s">
        <v>4896</v>
      </c>
      <c r="H159" s="31"/>
    </row>
    <row r="160" spans="1:8" hidden="1">
      <c r="B160" s="26" t="s">
        <v>4897</v>
      </c>
      <c r="G160" s="322"/>
      <c r="H160" s="31"/>
    </row>
    <row r="161" spans="1:8" hidden="1">
      <c r="B161" s="26" t="s">
        <v>4898</v>
      </c>
      <c r="G161" s="322"/>
      <c r="H161" s="31"/>
    </row>
    <row r="162" spans="1:8" hidden="1">
      <c r="B162" s="26" t="s">
        <v>4899</v>
      </c>
      <c r="G162" s="322"/>
      <c r="H162" s="31"/>
    </row>
    <row r="163" spans="1:8" hidden="1">
      <c r="B163" s="26"/>
      <c r="G163" s="322"/>
      <c r="H163" s="31"/>
    </row>
    <row r="164" spans="1:8" hidden="1">
      <c r="A164" s="78">
        <v>6</v>
      </c>
      <c r="B164" s="1329" t="s">
        <v>4900</v>
      </c>
      <c r="C164" s="1329"/>
      <c r="E164" s="31"/>
      <c r="F164" s="31"/>
      <c r="G164" s="691"/>
    </row>
    <row r="165" spans="1:8" hidden="1">
      <c r="B165" s="1260" t="s">
        <v>4901</v>
      </c>
      <c r="C165" s="1261"/>
      <c r="D165" s="195" t="s">
        <v>2468</v>
      </c>
      <c r="E165" s="107" t="s">
        <v>4902</v>
      </c>
      <c r="F165" s="107" t="s">
        <v>4903</v>
      </c>
      <c r="G165" s="195" t="s">
        <v>6199</v>
      </c>
    </row>
    <row r="166" spans="1:8" hidden="1">
      <c r="B166" s="1262"/>
      <c r="C166" s="1263"/>
      <c r="D166" s="189"/>
      <c r="E166" s="210" t="s">
        <v>4904</v>
      </c>
      <c r="F166" s="210" t="s">
        <v>4905</v>
      </c>
      <c r="G166" s="189"/>
    </row>
    <row r="167" spans="1:8" hidden="1">
      <c r="B167" s="1264"/>
      <c r="C167" s="1265"/>
      <c r="D167" s="192"/>
      <c r="E167" s="191" t="s">
        <v>6307</v>
      </c>
      <c r="F167" s="114"/>
      <c r="G167" s="192"/>
    </row>
    <row r="168" spans="1:8" hidden="1">
      <c r="B168" s="1330" t="s">
        <v>6308</v>
      </c>
      <c r="C168" s="1330"/>
      <c r="D168" s="114">
        <v>12</v>
      </c>
      <c r="E168" s="114">
        <v>24</v>
      </c>
      <c r="F168" s="114">
        <v>24</v>
      </c>
      <c r="G168" s="114">
        <v>48</v>
      </c>
    </row>
    <row r="169" spans="1:8" hidden="1">
      <c r="B169" s="1328" t="s">
        <v>6309</v>
      </c>
      <c r="C169" s="1328"/>
      <c r="D169" s="36">
        <v>1</v>
      </c>
      <c r="E169" s="36">
        <v>2</v>
      </c>
      <c r="F169" s="36" t="s">
        <v>5854</v>
      </c>
      <c r="G169" s="36">
        <v>2</v>
      </c>
    </row>
    <row r="170" spans="1:8" hidden="1">
      <c r="B170" s="1328" t="s">
        <v>5560</v>
      </c>
      <c r="C170" s="1328"/>
      <c r="D170" s="36">
        <v>12</v>
      </c>
      <c r="E170" s="36">
        <v>24</v>
      </c>
      <c r="F170" s="36" t="s">
        <v>5854</v>
      </c>
      <c r="G170" s="36">
        <v>48</v>
      </c>
    </row>
    <row r="171" spans="1:8" hidden="1">
      <c r="B171" s="1328" t="s">
        <v>5561</v>
      </c>
      <c r="C171" s="1328"/>
      <c r="D171" s="36">
        <v>7</v>
      </c>
      <c r="E171" s="36" t="s">
        <v>5854</v>
      </c>
      <c r="F171" s="36">
        <v>73</v>
      </c>
      <c r="G171" s="36">
        <v>73</v>
      </c>
    </row>
    <row r="172" spans="1:8" hidden="1">
      <c r="B172" s="1328" t="s">
        <v>5562</v>
      </c>
      <c r="C172" s="1328"/>
      <c r="D172" s="36">
        <v>13</v>
      </c>
      <c r="E172" s="36">
        <v>26</v>
      </c>
      <c r="F172" s="36" t="s">
        <v>5854</v>
      </c>
      <c r="G172" s="36">
        <v>26</v>
      </c>
    </row>
    <row r="173" spans="1:8" hidden="1">
      <c r="B173" s="1328" t="s">
        <v>5563</v>
      </c>
      <c r="C173" s="1328"/>
      <c r="D173" s="36">
        <v>2</v>
      </c>
      <c r="E173" s="36">
        <v>2</v>
      </c>
      <c r="F173" s="36" t="s">
        <v>5854</v>
      </c>
      <c r="G173" s="36">
        <v>4</v>
      </c>
    </row>
    <row r="174" spans="1:8" hidden="1">
      <c r="B174" s="1328" t="s">
        <v>5564</v>
      </c>
      <c r="C174" s="1328"/>
      <c r="D174" s="36" t="s">
        <v>5854</v>
      </c>
      <c r="E174" s="36">
        <v>10</v>
      </c>
      <c r="F174" s="36" t="s">
        <v>5854</v>
      </c>
      <c r="G174" s="36">
        <v>10</v>
      </c>
    </row>
    <row r="175" spans="1:8" hidden="1">
      <c r="B175" s="1328" t="s">
        <v>5565</v>
      </c>
      <c r="C175" s="1328"/>
      <c r="D175" s="36">
        <v>3</v>
      </c>
      <c r="E175" s="36">
        <v>3</v>
      </c>
      <c r="F175" s="36" t="s">
        <v>5854</v>
      </c>
      <c r="G175" s="36">
        <v>6</v>
      </c>
    </row>
    <row r="176" spans="1:8" hidden="1">
      <c r="B176" s="1328" t="s">
        <v>5566</v>
      </c>
      <c r="C176" s="1328"/>
      <c r="D176" s="36">
        <v>1</v>
      </c>
      <c r="E176" s="36">
        <v>1</v>
      </c>
      <c r="F176" s="36" t="s">
        <v>5854</v>
      </c>
      <c r="G176" s="36">
        <v>2</v>
      </c>
    </row>
    <row r="177" spans="1:8" hidden="1">
      <c r="B177" s="1328" t="s">
        <v>2656</v>
      </c>
      <c r="C177" s="1328"/>
      <c r="D177" s="36">
        <f>SUM(D168:D176)</f>
        <v>51</v>
      </c>
      <c r="E177" s="36">
        <f>SUM(E168:E176)</f>
        <v>92</v>
      </c>
      <c r="F177" s="36">
        <f>SUM(F168:F176)</f>
        <v>97</v>
      </c>
      <c r="G177" s="36">
        <f>SUM(G168:G176)</f>
        <v>219</v>
      </c>
    </row>
    <row r="178" spans="1:8" hidden="1">
      <c r="A178" s="78">
        <v>7</v>
      </c>
      <c r="B178" s="26" t="s">
        <v>673</v>
      </c>
      <c r="F178" s="315"/>
      <c r="G178" s="68"/>
    </row>
    <row r="179" spans="1:8" hidden="1">
      <c r="B179" s="26" t="s">
        <v>6017</v>
      </c>
      <c r="F179" s="315"/>
      <c r="G179" s="68"/>
    </row>
    <row r="180" spans="1:8" hidden="1">
      <c r="B180" s="26" t="s">
        <v>4750</v>
      </c>
      <c r="F180" s="315"/>
      <c r="G180" s="68"/>
    </row>
    <row r="181" spans="1:8" hidden="1">
      <c r="B181" s="26" t="s">
        <v>4751</v>
      </c>
      <c r="F181" s="315"/>
      <c r="G181" s="68"/>
    </row>
    <row r="182" spans="1:8" hidden="1">
      <c r="A182" s="78">
        <v>8</v>
      </c>
      <c r="B182" s="26" t="s">
        <v>2366</v>
      </c>
      <c r="F182" s="315"/>
      <c r="G182" s="68"/>
    </row>
    <row r="183" spans="1:8" hidden="1">
      <c r="B183" s="26" t="s">
        <v>3230</v>
      </c>
      <c r="D183" s="68">
        <f>'BASIC DATA'!D373</f>
        <v>7800</v>
      </c>
      <c r="E183" s="26" t="s">
        <v>2290</v>
      </c>
      <c r="F183" s="315" t="s">
        <v>1698</v>
      </c>
      <c r="G183" s="68">
        <f>D183</f>
        <v>7800</v>
      </c>
    </row>
    <row r="184" spans="1:8" hidden="1">
      <c r="B184" s="26" t="s">
        <v>3231</v>
      </c>
      <c r="F184" s="322" t="s">
        <v>1697</v>
      </c>
      <c r="G184" s="316">
        <v>1000</v>
      </c>
      <c r="H184" s="26" t="s">
        <v>4665</v>
      </c>
    </row>
    <row r="185" spans="1:8" hidden="1">
      <c r="B185" s="26" t="s">
        <v>3232</v>
      </c>
      <c r="D185" s="26" t="s">
        <v>7593</v>
      </c>
      <c r="F185" s="315" t="s">
        <v>1698</v>
      </c>
      <c r="G185" s="68">
        <f>G183/G184</f>
        <v>7.8</v>
      </c>
    </row>
    <row r="186" spans="1:8" hidden="1">
      <c r="B186" s="26" t="s">
        <v>3233</v>
      </c>
      <c r="D186" s="68">
        <f>'BASIC DATA'!D371</f>
        <v>14500</v>
      </c>
      <c r="E186" s="26" t="s">
        <v>2290</v>
      </c>
      <c r="F186" s="315" t="s">
        <v>1698</v>
      </c>
      <c r="G186" s="68">
        <f>D186</f>
        <v>14500</v>
      </c>
    </row>
    <row r="187" spans="1:8" hidden="1">
      <c r="B187" s="26" t="s">
        <v>5868</v>
      </c>
      <c r="F187" s="322" t="s">
        <v>1697</v>
      </c>
      <c r="G187" s="316">
        <v>600</v>
      </c>
      <c r="H187" s="26" t="s">
        <v>4665</v>
      </c>
    </row>
    <row r="188" spans="1:8" hidden="1">
      <c r="B188" s="26" t="s">
        <v>3234</v>
      </c>
      <c r="D188" s="26" t="s">
        <v>3235</v>
      </c>
      <c r="F188" s="315" t="s">
        <v>1698</v>
      </c>
      <c r="G188" s="68">
        <f>G186/G187</f>
        <v>24.166666666666668</v>
      </c>
    </row>
    <row r="189" spans="1:8">
      <c r="B189" s="26"/>
      <c r="C189" s="78"/>
      <c r="G189" s="315"/>
      <c r="H189" s="68"/>
    </row>
    <row r="190" spans="1:8">
      <c r="A190" s="78" t="s">
        <v>3984</v>
      </c>
      <c r="B190" s="26"/>
      <c r="C190" s="78"/>
      <c r="D190" s="203" t="s">
        <v>2367</v>
      </c>
      <c r="E190" s="171" t="s">
        <v>297</v>
      </c>
      <c r="F190" s="692">
        <v>14.334</v>
      </c>
      <c r="G190" s="26" t="s">
        <v>3480</v>
      </c>
    </row>
    <row r="191" spans="1:8">
      <c r="B191" s="26"/>
      <c r="C191" s="79" t="s">
        <v>2368</v>
      </c>
    </row>
    <row r="192" spans="1:8">
      <c r="B192" s="95" t="s">
        <v>2369</v>
      </c>
      <c r="C192" s="157" t="s">
        <v>6374</v>
      </c>
      <c r="D192" s="95" t="s">
        <v>2370</v>
      </c>
      <c r="E192" s="95" t="s">
        <v>1166</v>
      </c>
      <c r="F192" s="95" t="s">
        <v>2371</v>
      </c>
      <c r="G192" s="95" t="s">
        <v>2372</v>
      </c>
    </row>
    <row r="193" spans="2:7">
      <c r="B193" s="114"/>
      <c r="C193" s="154"/>
      <c r="D193" s="114"/>
      <c r="E193" s="114"/>
      <c r="F193" s="114" t="s">
        <v>3485</v>
      </c>
      <c r="G193" s="114" t="s">
        <v>3485</v>
      </c>
    </row>
    <row r="194" spans="2:7">
      <c r="B194" s="95">
        <v>1</v>
      </c>
      <c r="C194" s="135" t="s">
        <v>6244</v>
      </c>
      <c r="D194" s="451" t="s">
        <v>3478</v>
      </c>
      <c r="E194" s="190">
        <v>700</v>
      </c>
      <c r="F194" s="214">
        <f>'BASIC DATA'!D97/1000</f>
        <v>37.5</v>
      </c>
      <c r="G194" s="190">
        <f>E194*F194</f>
        <v>26250</v>
      </c>
    </row>
    <row r="195" spans="2:7">
      <c r="B195" s="105">
        <v>2</v>
      </c>
      <c r="C195" s="135" t="s">
        <v>5431</v>
      </c>
      <c r="D195" s="319" t="s">
        <v>3478</v>
      </c>
      <c r="E195" s="190">
        <v>13700</v>
      </c>
      <c r="F195" s="214">
        <f>'BASIC DATA'!D98/1000</f>
        <v>37.4</v>
      </c>
      <c r="G195" s="190">
        <f t="shared" ref="G195:G205" si="0">E195*F195</f>
        <v>512380</v>
      </c>
    </row>
    <row r="196" spans="2:7">
      <c r="B196" s="105">
        <v>3</v>
      </c>
      <c r="C196" s="135" t="s">
        <v>4653</v>
      </c>
      <c r="D196" s="319" t="s">
        <v>3478</v>
      </c>
      <c r="E196" s="190">
        <v>200</v>
      </c>
      <c r="F196" s="214">
        <f>'BASIC DATA'!D180</f>
        <v>275</v>
      </c>
      <c r="G196" s="190">
        <f t="shared" si="0"/>
        <v>55000</v>
      </c>
    </row>
    <row r="197" spans="2:7">
      <c r="B197" s="105">
        <v>4</v>
      </c>
      <c r="C197" s="135" t="s">
        <v>4654</v>
      </c>
      <c r="D197" s="319" t="s">
        <v>3478</v>
      </c>
      <c r="E197" s="190">
        <v>110</v>
      </c>
      <c r="F197" s="214">
        <f>'BASIC DATA'!D84</f>
        <v>80</v>
      </c>
      <c r="G197" s="190">
        <f t="shared" si="0"/>
        <v>8800</v>
      </c>
    </row>
    <row r="198" spans="2:7">
      <c r="B198" s="105">
        <v>5</v>
      </c>
      <c r="C198" s="135" t="s">
        <v>958</v>
      </c>
      <c r="D198" s="319" t="s">
        <v>3477</v>
      </c>
      <c r="E198" s="190">
        <v>276</v>
      </c>
      <c r="F198" s="214">
        <f>'BASIC DATA'!D87</f>
        <v>42</v>
      </c>
      <c r="G198" s="190">
        <f t="shared" si="0"/>
        <v>11592</v>
      </c>
    </row>
    <row r="199" spans="2:7">
      <c r="B199" s="105">
        <v>6</v>
      </c>
      <c r="C199" s="135" t="s">
        <v>6815</v>
      </c>
      <c r="D199" s="319" t="s">
        <v>3477</v>
      </c>
      <c r="E199" s="190">
        <v>92</v>
      </c>
      <c r="F199" s="214">
        <f>'BASIC DATA'!D28</f>
        <v>335</v>
      </c>
      <c r="G199" s="190">
        <f t="shared" si="0"/>
        <v>30820</v>
      </c>
    </row>
    <row r="200" spans="2:7">
      <c r="B200" s="105">
        <v>7</v>
      </c>
      <c r="C200" s="135" t="s">
        <v>6816</v>
      </c>
      <c r="D200" s="319" t="s">
        <v>2059</v>
      </c>
      <c r="E200" s="190">
        <v>665</v>
      </c>
      <c r="F200" s="214">
        <f>'BASIC DATA'!D109</f>
        <v>80</v>
      </c>
      <c r="G200" s="190">
        <f t="shared" si="0"/>
        <v>53200</v>
      </c>
    </row>
    <row r="201" spans="2:7">
      <c r="B201" s="105">
        <v>8</v>
      </c>
      <c r="C201" s="135" t="s">
        <v>4655</v>
      </c>
      <c r="D201" s="319" t="s">
        <v>2059</v>
      </c>
      <c r="E201" s="190">
        <v>5983</v>
      </c>
      <c r="F201" s="214">
        <f>'BASIC DATA'!D181</f>
        <v>15</v>
      </c>
      <c r="G201" s="190">
        <f t="shared" si="0"/>
        <v>89745</v>
      </c>
    </row>
    <row r="202" spans="2:7">
      <c r="B202" s="105">
        <v>9</v>
      </c>
      <c r="C202" s="135" t="s">
        <v>4656</v>
      </c>
      <c r="D202" s="319" t="s">
        <v>2059</v>
      </c>
      <c r="E202" s="190">
        <v>657</v>
      </c>
      <c r="F202" s="214">
        <f>'BASIC DATA'!D182</f>
        <v>23</v>
      </c>
      <c r="G202" s="190">
        <f t="shared" si="0"/>
        <v>15111</v>
      </c>
    </row>
    <row r="203" spans="2:7">
      <c r="B203" s="105">
        <v>10</v>
      </c>
      <c r="C203" s="135" t="s">
        <v>6556</v>
      </c>
      <c r="D203" s="319" t="s">
        <v>2374</v>
      </c>
      <c r="E203" s="190">
        <v>780</v>
      </c>
      <c r="F203" s="214">
        <f>G185</f>
        <v>7.8</v>
      </c>
      <c r="G203" s="190">
        <f t="shared" si="0"/>
        <v>6084</v>
      </c>
    </row>
    <row r="204" spans="2:7">
      <c r="B204" s="105">
        <v>11</v>
      </c>
      <c r="C204" s="135" t="s">
        <v>6557</v>
      </c>
      <c r="D204" s="319" t="s">
        <v>2374</v>
      </c>
      <c r="E204" s="190">
        <v>36</v>
      </c>
      <c r="F204" s="214">
        <f>G188</f>
        <v>24.166666666666668</v>
      </c>
      <c r="G204" s="190">
        <f t="shared" si="0"/>
        <v>870</v>
      </c>
    </row>
    <row r="205" spans="2:7">
      <c r="B205" s="114">
        <v>12</v>
      </c>
      <c r="C205" s="135" t="s">
        <v>2373</v>
      </c>
      <c r="D205" s="319" t="s">
        <v>2173</v>
      </c>
      <c r="E205" s="190">
        <v>100</v>
      </c>
      <c r="F205" s="214">
        <f>'BASIC DATA'!D359</f>
        <v>30</v>
      </c>
      <c r="G205" s="190">
        <f t="shared" si="0"/>
        <v>3000</v>
      </c>
    </row>
    <row r="206" spans="2:7">
      <c r="B206" s="92"/>
      <c r="C206" s="193"/>
      <c r="D206" s="151" t="s">
        <v>2376</v>
      </c>
      <c r="E206" s="160"/>
      <c r="F206" s="236" t="s">
        <v>1698</v>
      </c>
      <c r="G206" s="318">
        <f>SUM(G194:G205)</f>
        <v>812852</v>
      </c>
    </row>
    <row r="207" spans="2:7"/>
    <row r="208" spans="2:7">
      <c r="B208" s="79" t="s">
        <v>2377</v>
      </c>
    </row>
    <row r="209" spans="2:7">
      <c r="B209" s="95" t="s">
        <v>2369</v>
      </c>
      <c r="C209" s="157" t="s">
        <v>2378</v>
      </c>
      <c r="D209" s="95" t="s">
        <v>2370</v>
      </c>
      <c r="E209" s="95" t="s">
        <v>1166</v>
      </c>
      <c r="F209" s="95" t="s">
        <v>2371</v>
      </c>
      <c r="G209" s="95" t="s">
        <v>2372</v>
      </c>
    </row>
    <row r="210" spans="2:7">
      <c r="B210" s="114"/>
      <c r="C210" s="154"/>
      <c r="D210" s="114"/>
      <c r="E210" s="114"/>
      <c r="F210" s="114" t="s">
        <v>3485</v>
      </c>
      <c r="G210" s="114" t="s">
        <v>3485</v>
      </c>
    </row>
    <row r="211" spans="2:7">
      <c r="B211" s="95">
        <v>1</v>
      </c>
      <c r="C211" s="135" t="s">
        <v>6558</v>
      </c>
      <c r="D211" s="451" t="s">
        <v>2374</v>
      </c>
      <c r="E211" s="190">
        <v>780</v>
      </c>
      <c r="F211" s="190">
        <f>'HIRE CHARGES'!D556</f>
        <v>16</v>
      </c>
      <c r="G211" s="190">
        <f>E211*F211</f>
        <v>12480</v>
      </c>
    </row>
    <row r="212" spans="2:7">
      <c r="B212" s="317"/>
      <c r="C212" s="135" t="s">
        <v>2379</v>
      </c>
      <c r="D212" s="319" t="s">
        <v>2374</v>
      </c>
      <c r="E212" s="190">
        <v>488</v>
      </c>
      <c r="F212" s="190">
        <f>'HIRE CHARGES'!E556</f>
        <v>67.2</v>
      </c>
      <c r="G212" s="190">
        <f t="shared" ref="G212:G229" si="1">E212*F212</f>
        <v>32793.599999999999</v>
      </c>
    </row>
    <row r="213" spans="2:7">
      <c r="B213" s="105">
        <v>2</v>
      </c>
      <c r="C213" s="135" t="s">
        <v>533</v>
      </c>
      <c r="D213" s="319" t="s">
        <v>2374</v>
      </c>
      <c r="E213" s="190">
        <v>4</v>
      </c>
      <c r="F213" s="190">
        <f>'HIRE CHARGES'!D547</f>
        <v>867.1</v>
      </c>
      <c r="G213" s="190">
        <f t="shared" si="1"/>
        <v>3468.4</v>
      </c>
    </row>
    <row r="214" spans="2:7">
      <c r="B214" s="317"/>
      <c r="C214" s="135" t="s">
        <v>2379</v>
      </c>
      <c r="D214" s="319" t="s">
        <v>2374</v>
      </c>
      <c r="E214" s="190">
        <v>4</v>
      </c>
      <c r="F214" s="190">
        <f>'HIRE CHARGES'!E547</f>
        <v>145.69999999999999</v>
      </c>
      <c r="G214" s="190">
        <f t="shared" si="1"/>
        <v>582.79999999999995</v>
      </c>
    </row>
    <row r="215" spans="2:7">
      <c r="B215" s="105">
        <v>3</v>
      </c>
      <c r="C215" s="135" t="s">
        <v>6560</v>
      </c>
      <c r="D215" s="319" t="s">
        <v>2374</v>
      </c>
      <c r="E215" s="190">
        <v>5</v>
      </c>
      <c r="F215" s="190">
        <f>'HIRE CHARGES'!D536</f>
        <v>41.9</v>
      </c>
      <c r="G215" s="190">
        <f t="shared" si="1"/>
        <v>209.5</v>
      </c>
    </row>
    <row r="216" spans="2:7">
      <c r="B216" s="317"/>
      <c r="C216" s="135" t="s">
        <v>2379</v>
      </c>
      <c r="D216" s="319" t="s">
        <v>2374</v>
      </c>
      <c r="E216" s="190">
        <v>5</v>
      </c>
      <c r="F216" s="190">
        <f>'HIRE CHARGES'!E536</f>
        <v>112.1</v>
      </c>
      <c r="G216" s="190">
        <f t="shared" si="1"/>
        <v>560.5</v>
      </c>
    </row>
    <row r="217" spans="2:7">
      <c r="B217" s="105">
        <v>4</v>
      </c>
      <c r="C217" s="135" t="s">
        <v>6060</v>
      </c>
      <c r="D217" s="319" t="s">
        <v>2374</v>
      </c>
      <c r="E217" s="190">
        <v>149</v>
      </c>
      <c r="F217" s="190">
        <f>'HIRE CHARGES'!D539</f>
        <v>6.4</v>
      </c>
      <c r="G217" s="190">
        <f t="shared" si="1"/>
        <v>953.6</v>
      </c>
    </row>
    <row r="218" spans="2:7">
      <c r="B218" s="317"/>
      <c r="C218" s="135" t="s">
        <v>2379</v>
      </c>
      <c r="D218" s="319" t="s">
        <v>2374</v>
      </c>
      <c r="E218" s="190">
        <v>149</v>
      </c>
      <c r="F218" s="190">
        <f>'HIRE CHARGES'!E539</f>
        <v>2.8</v>
      </c>
      <c r="G218" s="190">
        <f t="shared" si="1"/>
        <v>417.2</v>
      </c>
    </row>
    <row r="219" spans="2:7">
      <c r="B219" s="105">
        <v>5</v>
      </c>
      <c r="C219" s="135" t="s">
        <v>6561</v>
      </c>
      <c r="D219" s="319" t="s">
        <v>2374</v>
      </c>
      <c r="E219" s="190">
        <v>32</v>
      </c>
      <c r="F219" s="190">
        <f>'HIRE CHARGES'!D550</f>
        <v>519.69999999999993</v>
      </c>
      <c r="G219" s="190">
        <f t="shared" si="1"/>
        <v>16630.399999999998</v>
      </c>
    </row>
    <row r="220" spans="2:7">
      <c r="B220" s="317"/>
      <c r="C220" s="135" t="s">
        <v>2379</v>
      </c>
      <c r="D220" s="319" t="s">
        <v>2374</v>
      </c>
      <c r="E220" s="190">
        <v>32</v>
      </c>
      <c r="F220" s="190">
        <f>'HIRE CHARGES'!E550</f>
        <v>299.89999999999998</v>
      </c>
      <c r="G220" s="190">
        <f t="shared" si="1"/>
        <v>9596.7999999999993</v>
      </c>
    </row>
    <row r="221" spans="2:7">
      <c r="B221" s="105">
        <v>6</v>
      </c>
      <c r="C221" s="135" t="s">
        <v>866</v>
      </c>
      <c r="D221" s="319" t="s">
        <v>2374</v>
      </c>
      <c r="E221" s="190">
        <v>64</v>
      </c>
      <c r="F221" s="190">
        <f>'HIRE CHARGES'!D544</f>
        <v>86.1</v>
      </c>
      <c r="G221" s="190">
        <f t="shared" si="1"/>
        <v>5510.4</v>
      </c>
    </row>
    <row r="222" spans="2:7">
      <c r="B222" s="317"/>
      <c r="C222" s="135" t="s">
        <v>2379</v>
      </c>
      <c r="D222" s="319" t="s">
        <v>2374</v>
      </c>
      <c r="E222" s="190">
        <v>64</v>
      </c>
      <c r="F222" s="190">
        <f>'HIRE CHARGES'!E544</f>
        <v>0</v>
      </c>
      <c r="G222" s="190">
        <f t="shared" si="1"/>
        <v>0</v>
      </c>
    </row>
    <row r="223" spans="2:7">
      <c r="B223" s="105">
        <v>7</v>
      </c>
      <c r="C223" s="135" t="s">
        <v>6562</v>
      </c>
      <c r="D223" s="319" t="s">
        <v>2374</v>
      </c>
      <c r="E223" s="190">
        <v>16</v>
      </c>
      <c r="F223" s="190">
        <f>'HIRE CHARGES'!D551</f>
        <v>22.5</v>
      </c>
      <c r="G223" s="190">
        <f t="shared" si="1"/>
        <v>360</v>
      </c>
    </row>
    <row r="224" spans="2:7">
      <c r="B224" s="317"/>
      <c r="C224" s="135" t="s">
        <v>2379</v>
      </c>
      <c r="D224" s="319" t="s">
        <v>2374</v>
      </c>
      <c r="E224" s="190">
        <v>16</v>
      </c>
      <c r="F224" s="190">
        <f>'HIRE CHARGES'!E551</f>
        <v>28</v>
      </c>
      <c r="G224" s="190">
        <f t="shared" si="1"/>
        <v>448</v>
      </c>
    </row>
    <row r="225" spans="2:7">
      <c r="B225" s="105">
        <v>8</v>
      </c>
      <c r="C225" s="135" t="s">
        <v>5539</v>
      </c>
      <c r="D225" s="319" t="s">
        <v>2374</v>
      </c>
      <c r="E225" s="190">
        <v>16</v>
      </c>
      <c r="F225" s="190">
        <f>'HIRE CHARGES'!D551</f>
        <v>22.5</v>
      </c>
      <c r="G225" s="190">
        <f t="shared" si="1"/>
        <v>360</v>
      </c>
    </row>
    <row r="226" spans="2:7">
      <c r="B226" s="317"/>
      <c r="C226" s="135" t="s">
        <v>2379</v>
      </c>
      <c r="D226" s="319" t="s">
        <v>2374</v>
      </c>
      <c r="E226" s="190">
        <v>16</v>
      </c>
      <c r="F226" s="190">
        <f>'HIRE CHARGES'!E551</f>
        <v>28</v>
      </c>
      <c r="G226" s="190">
        <f t="shared" si="1"/>
        <v>448</v>
      </c>
    </row>
    <row r="227" spans="2:7">
      <c r="B227" s="105">
        <v>9</v>
      </c>
      <c r="C227" s="135" t="s">
        <v>5540</v>
      </c>
      <c r="D227" s="319" t="s">
        <v>2374</v>
      </c>
      <c r="E227" s="190">
        <v>150</v>
      </c>
      <c r="F227" s="190">
        <f>'HIRE CHARGES'!D535</f>
        <v>117.8</v>
      </c>
      <c r="G227" s="190">
        <f t="shared" si="1"/>
        <v>17670</v>
      </c>
    </row>
    <row r="228" spans="2:7">
      <c r="B228" s="317"/>
      <c r="C228" s="135" t="s">
        <v>2379</v>
      </c>
      <c r="D228" s="319" t="s">
        <v>2374</v>
      </c>
      <c r="E228" s="190">
        <v>150</v>
      </c>
      <c r="F228" s="190">
        <f>'HIRE CHARGES'!E535</f>
        <v>84.1</v>
      </c>
      <c r="G228" s="190">
        <f t="shared" si="1"/>
        <v>12615</v>
      </c>
    </row>
    <row r="229" spans="2:7">
      <c r="B229" s="105">
        <v>10</v>
      </c>
      <c r="C229" s="135" t="s">
        <v>2373</v>
      </c>
      <c r="D229" s="319" t="s">
        <v>2173</v>
      </c>
      <c r="E229" s="190">
        <v>100</v>
      </c>
      <c r="F229" s="214">
        <f>'BASIC DATA'!D359</f>
        <v>30</v>
      </c>
      <c r="G229" s="190">
        <f t="shared" si="1"/>
        <v>3000</v>
      </c>
    </row>
    <row r="230" spans="2:7">
      <c r="B230" s="176"/>
      <c r="C230" s="193" t="s">
        <v>2380</v>
      </c>
      <c r="D230" s="193"/>
      <c r="E230" s="208"/>
      <c r="F230" s="236" t="s">
        <v>1698</v>
      </c>
      <c r="G230" s="318">
        <f>SUM(G211:G229)</f>
        <v>118104.2</v>
      </c>
    </row>
    <row r="231" spans="2:7"/>
    <row r="232" spans="2:7">
      <c r="B232" s="79" t="s">
        <v>2381</v>
      </c>
    </row>
    <row r="233" spans="2:7">
      <c r="B233" s="95" t="s">
        <v>2369</v>
      </c>
      <c r="C233" s="157" t="s">
        <v>2378</v>
      </c>
      <c r="D233" s="95" t="s">
        <v>2370</v>
      </c>
      <c r="E233" s="95" t="s">
        <v>1166</v>
      </c>
      <c r="F233" s="95" t="s">
        <v>2371</v>
      </c>
      <c r="G233" s="95" t="s">
        <v>2372</v>
      </c>
    </row>
    <row r="234" spans="2:7">
      <c r="B234" s="114"/>
      <c r="C234" s="154"/>
      <c r="D234" s="114"/>
      <c r="E234" s="114"/>
      <c r="F234" s="114" t="s">
        <v>3485</v>
      </c>
      <c r="G234" s="114" t="s">
        <v>3485</v>
      </c>
    </row>
    <row r="235" spans="2:7">
      <c r="B235" s="105">
        <v>1</v>
      </c>
      <c r="C235" s="76" t="s">
        <v>5541</v>
      </c>
      <c r="D235" s="319" t="s">
        <v>2374</v>
      </c>
      <c r="E235" s="207">
        <v>4</v>
      </c>
      <c r="F235" s="190">
        <f>'HIRE CHARGES'!F547</f>
        <v>189.3</v>
      </c>
      <c r="G235" s="190">
        <f>E235*F235</f>
        <v>757.2</v>
      </c>
    </row>
    <row r="236" spans="2:7">
      <c r="B236" s="105">
        <v>2</v>
      </c>
      <c r="C236" s="76" t="s">
        <v>5542</v>
      </c>
      <c r="D236" s="319" t="s">
        <v>2374</v>
      </c>
      <c r="E236" s="207">
        <v>32</v>
      </c>
      <c r="F236" s="190">
        <f>'HIRE CHARGES'!F550</f>
        <v>177.5</v>
      </c>
      <c r="G236" s="190">
        <f t="shared" ref="G236:G248" si="2">E236*F236</f>
        <v>5680</v>
      </c>
    </row>
    <row r="237" spans="2:7">
      <c r="B237" s="105">
        <v>3</v>
      </c>
      <c r="C237" s="76" t="s">
        <v>5543</v>
      </c>
      <c r="D237" s="319" t="s">
        <v>2374</v>
      </c>
      <c r="E237" s="207">
        <v>5</v>
      </c>
      <c r="F237" s="190">
        <f>'HIRE CHARGES'!F536</f>
        <v>142</v>
      </c>
      <c r="G237" s="190">
        <f t="shared" si="2"/>
        <v>710</v>
      </c>
    </row>
    <row r="238" spans="2:7">
      <c r="B238" s="105">
        <v>4</v>
      </c>
      <c r="C238" s="76" t="s">
        <v>5544</v>
      </c>
      <c r="D238" s="319" t="s">
        <v>2374</v>
      </c>
      <c r="E238" s="207">
        <v>150</v>
      </c>
      <c r="F238" s="190">
        <f>'HIRE CHARGES'!F535</f>
        <v>210.9</v>
      </c>
      <c r="G238" s="190">
        <f t="shared" si="2"/>
        <v>31635</v>
      </c>
    </row>
    <row r="239" spans="2:7">
      <c r="B239" s="105">
        <v>5</v>
      </c>
      <c r="C239" s="76" t="s">
        <v>5545</v>
      </c>
      <c r="D239" s="319" t="s">
        <v>2374</v>
      </c>
      <c r="E239" s="207">
        <v>16</v>
      </c>
      <c r="F239" s="190">
        <f>'HIRE CHARGES'!F551</f>
        <v>198.9</v>
      </c>
      <c r="G239" s="190">
        <f t="shared" si="2"/>
        <v>3182.4</v>
      </c>
    </row>
    <row r="240" spans="2:7">
      <c r="B240" s="105">
        <v>6</v>
      </c>
      <c r="C240" s="76" t="s">
        <v>5546</v>
      </c>
      <c r="D240" s="319" t="s">
        <v>2374</v>
      </c>
      <c r="E240" s="207">
        <v>16</v>
      </c>
      <c r="F240" s="190">
        <f>'HIRE CHARGES'!F551</f>
        <v>198.9</v>
      </c>
      <c r="G240" s="190">
        <f t="shared" si="2"/>
        <v>3182.4</v>
      </c>
    </row>
    <row r="241" spans="2:7">
      <c r="B241" s="105">
        <v>7</v>
      </c>
      <c r="C241" s="76" t="s">
        <v>2468</v>
      </c>
      <c r="D241" s="319" t="s">
        <v>1172</v>
      </c>
      <c r="E241" s="207">
        <f>D177</f>
        <v>51</v>
      </c>
      <c r="F241" s="190">
        <f>'BASIC DATA'!C471</f>
        <v>510</v>
      </c>
      <c r="G241" s="190">
        <f t="shared" si="2"/>
        <v>26010</v>
      </c>
    </row>
    <row r="242" spans="2:7">
      <c r="B242" s="105">
        <v>8</v>
      </c>
      <c r="C242" s="76" t="s">
        <v>5547</v>
      </c>
      <c r="D242" s="319" t="s">
        <v>1172</v>
      </c>
      <c r="E242" s="207">
        <f>E177</f>
        <v>92</v>
      </c>
      <c r="F242" s="190">
        <f>'BASIC DATA'!C503</f>
        <v>550</v>
      </c>
      <c r="G242" s="190">
        <f t="shared" si="2"/>
        <v>50600</v>
      </c>
    </row>
    <row r="243" spans="2:7">
      <c r="B243" s="105">
        <v>9</v>
      </c>
      <c r="C243" s="76" t="s">
        <v>3010</v>
      </c>
      <c r="D243" s="319" t="s">
        <v>1172</v>
      </c>
      <c r="E243" s="207">
        <v>24</v>
      </c>
      <c r="F243" s="190">
        <f>'BASIC DATA'!C504</f>
        <v>445</v>
      </c>
      <c r="G243" s="190">
        <f t="shared" si="2"/>
        <v>10680</v>
      </c>
    </row>
    <row r="244" spans="2:7">
      <c r="B244" s="105">
        <v>10</v>
      </c>
      <c r="C244" s="76" t="s">
        <v>3013</v>
      </c>
      <c r="D244" s="319" t="s">
        <v>1172</v>
      </c>
      <c r="E244" s="207">
        <v>66</v>
      </c>
      <c r="F244" s="190">
        <f>'BASIC DATA'!C504</f>
        <v>445</v>
      </c>
      <c r="G244" s="190">
        <f t="shared" si="2"/>
        <v>29370</v>
      </c>
    </row>
    <row r="245" spans="2:7">
      <c r="B245" s="105">
        <v>11</v>
      </c>
      <c r="C245" s="76" t="s">
        <v>5548</v>
      </c>
      <c r="D245" s="319" t="s">
        <v>1172</v>
      </c>
      <c r="E245" s="207">
        <v>7</v>
      </c>
      <c r="F245" s="190">
        <f>'BASIC DATA'!C505</f>
        <v>510</v>
      </c>
      <c r="G245" s="190">
        <f t="shared" si="2"/>
        <v>3570</v>
      </c>
    </row>
    <row r="246" spans="2:7">
      <c r="B246" s="105">
        <v>12</v>
      </c>
      <c r="C246" s="76" t="s">
        <v>3012</v>
      </c>
      <c r="D246" s="319" t="s">
        <v>1172</v>
      </c>
      <c r="E246" s="207">
        <v>50</v>
      </c>
      <c r="F246" s="190">
        <f>'BASIC DATA'!C500</f>
        <v>445</v>
      </c>
      <c r="G246" s="190">
        <f>F246*E246</f>
        <v>22250</v>
      </c>
    </row>
    <row r="247" spans="2:7">
      <c r="B247" s="105">
        <v>13</v>
      </c>
      <c r="C247" s="76" t="s">
        <v>3011</v>
      </c>
      <c r="D247" s="319" t="s">
        <v>1172</v>
      </c>
      <c r="E247" s="207">
        <f>G177</f>
        <v>219</v>
      </c>
      <c r="F247" s="190">
        <f>'BASIC DATA'!C529</f>
        <v>400</v>
      </c>
      <c r="G247" s="190">
        <f t="shared" si="2"/>
        <v>87600</v>
      </c>
    </row>
    <row r="248" spans="2:7">
      <c r="B248" s="105">
        <v>14</v>
      </c>
      <c r="C248" s="76" t="s">
        <v>5604</v>
      </c>
      <c r="D248" s="319" t="s">
        <v>1172</v>
      </c>
      <c r="E248" s="207">
        <v>5</v>
      </c>
      <c r="F248" s="190">
        <f>'BASIC DATA'!C468</f>
        <v>515</v>
      </c>
      <c r="G248" s="190">
        <f t="shared" si="2"/>
        <v>2575</v>
      </c>
    </row>
    <row r="249" spans="2:7">
      <c r="B249" s="92"/>
      <c r="C249" s="193"/>
      <c r="D249" s="151" t="s">
        <v>1174</v>
      </c>
      <c r="E249" s="160"/>
      <c r="F249" s="236" t="s">
        <v>1698</v>
      </c>
      <c r="G249" s="318">
        <f>SUM(G235:G248)</f>
        <v>277802</v>
      </c>
    </row>
    <row r="250" spans="2:7">
      <c r="B250" s="60" t="s">
        <v>5948</v>
      </c>
      <c r="C250" s="31"/>
      <c r="D250" s="31"/>
      <c r="E250" s="85">
        <f>ROUND(G249/F190,1)</f>
        <v>19380.599999999999</v>
      </c>
    </row>
    <row r="251" spans="2:7">
      <c r="B251" s="60" t="s">
        <v>3163</v>
      </c>
      <c r="C251" s="31"/>
      <c r="D251" s="31">
        <f>'BASIC DATA'!$C$577</f>
        <v>0.13614999999999999</v>
      </c>
      <c r="E251" s="85">
        <f>ROUND(E250*D251,1)</f>
        <v>2638.7</v>
      </c>
    </row>
    <row r="252" spans="2:7">
      <c r="B252" s="60" t="s">
        <v>5949</v>
      </c>
      <c r="C252" s="31"/>
      <c r="D252" s="31"/>
      <c r="E252" s="199">
        <f>E251+E250</f>
        <v>22019.3</v>
      </c>
    </row>
    <row r="253" spans="2:7">
      <c r="B253" s="26"/>
      <c r="C253" s="78"/>
    </row>
    <row r="254" spans="2:7">
      <c r="B254" s="170" t="s">
        <v>1175</v>
      </c>
    </row>
    <row r="255" spans="2:7">
      <c r="B255" s="26" t="s">
        <v>1176</v>
      </c>
      <c r="F255" s="171" t="s">
        <v>1698</v>
      </c>
      <c r="G255" s="68">
        <f>G206</f>
        <v>812852</v>
      </c>
    </row>
    <row r="256" spans="2:7">
      <c r="B256" s="26" t="s">
        <v>1186</v>
      </c>
      <c r="F256" s="171" t="s">
        <v>1698</v>
      </c>
      <c r="G256" s="68">
        <f>G230</f>
        <v>118104.2</v>
      </c>
    </row>
    <row r="257" spans="2:35">
      <c r="B257" s="26" t="s">
        <v>2660</v>
      </c>
      <c r="F257" s="171" t="s">
        <v>1698</v>
      </c>
      <c r="G257" s="75">
        <f>G249</f>
        <v>277802</v>
      </c>
      <c r="I257" s="68"/>
    </row>
    <row r="258" spans="2:35">
      <c r="B258" s="26"/>
      <c r="E258" s="171" t="s">
        <v>5551</v>
      </c>
      <c r="F258" s="171" t="s">
        <v>1698</v>
      </c>
      <c r="G258" s="205">
        <f>SUM(G255:G257)</f>
        <v>1208758.2</v>
      </c>
    </row>
    <row r="259" spans="2:35">
      <c r="B259" s="26" t="s">
        <v>5085</v>
      </c>
      <c r="E259" s="693">
        <f>'BASIC DATA'!C593</f>
        <v>0</v>
      </c>
      <c r="F259" s="171" t="s">
        <v>1698</v>
      </c>
      <c r="G259" s="68">
        <f>(G257+G256)*E259*0.75</f>
        <v>0</v>
      </c>
    </row>
    <row r="260" spans="2:35">
      <c r="B260" s="26" t="s">
        <v>5084</v>
      </c>
      <c r="E260" s="171" t="s">
        <v>1518</v>
      </c>
      <c r="F260" s="171" t="s">
        <v>1698</v>
      </c>
      <c r="G260" s="205">
        <f>G259+G258</f>
        <v>1208758.2</v>
      </c>
    </row>
    <row r="261" spans="2:35">
      <c r="B261" s="26" t="s">
        <v>5086</v>
      </c>
      <c r="E261" s="201">
        <f>'BASIC DATA'!C594</f>
        <v>0.03</v>
      </c>
      <c r="F261" s="171" t="s">
        <v>1698</v>
      </c>
      <c r="G261" s="75">
        <f>G260*E261</f>
        <v>36262.745999999999</v>
      </c>
    </row>
    <row r="262" spans="2:35">
      <c r="B262" s="26"/>
      <c r="E262" s="26" t="s">
        <v>2392</v>
      </c>
      <c r="F262" s="171" t="s">
        <v>1698</v>
      </c>
      <c r="G262" s="75">
        <f>G261+G260</f>
        <v>1245020.946</v>
      </c>
    </row>
    <row r="263" spans="2:35">
      <c r="B263" s="1207" t="s">
        <v>4717</v>
      </c>
      <c r="C263" s="1207"/>
      <c r="D263" s="201">
        <f>'BASIC DATA'!$C$577</f>
        <v>0.13614999999999999</v>
      </c>
      <c r="F263" s="171" t="s">
        <v>1698</v>
      </c>
      <c r="G263" s="75">
        <f>G262*D263</f>
        <v>169509.60179789999</v>
      </c>
      <c r="I263" s="68"/>
    </row>
    <row r="264" spans="2:35">
      <c r="B264" s="26" t="s">
        <v>898</v>
      </c>
    </row>
    <row r="265" spans="2:35">
      <c r="B265" s="47" t="s">
        <v>897</v>
      </c>
      <c r="D265" s="48"/>
      <c r="E265" s="68">
        <f>leadcharges!F65</f>
        <v>19</v>
      </c>
      <c r="F265" s="27" t="s">
        <v>1279</v>
      </c>
      <c r="G265" s="76">
        <f>2*ROUND(E265*F190,3)</f>
        <v>544.69200000000001</v>
      </c>
      <c r="K265" s="68"/>
    </row>
    <row r="266" spans="2:35">
      <c r="B266" s="47" t="s">
        <v>896</v>
      </c>
      <c r="D266" s="48"/>
      <c r="E266" s="68">
        <f>leadcharges!$G$79</f>
        <v>74.8</v>
      </c>
      <c r="F266" s="27" t="s">
        <v>1279</v>
      </c>
      <c r="G266" s="76">
        <f>2*ROUND(E266*F190,3)</f>
        <v>2144.366</v>
      </c>
    </row>
    <row r="267" spans="2:35" ht="18.75" thickBot="1">
      <c r="B267" s="26" t="s">
        <v>5078</v>
      </c>
      <c r="D267" s="278">
        <f>F190</f>
        <v>14.334</v>
      </c>
      <c r="E267" s="26" t="s">
        <v>3480</v>
      </c>
      <c r="F267" s="171" t="s">
        <v>1698</v>
      </c>
      <c r="G267" s="205">
        <f>G266+G265+G263+G262</f>
        <v>1417219.6057978999</v>
      </c>
    </row>
    <row r="268" spans="2:35" ht="18.75" thickBot="1">
      <c r="D268" s="694" t="s">
        <v>3884</v>
      </c>
      <c r="E268" s="695" t="s">
        <v>3480</v>
      </c>
      <c r="F268" s="696" t="s">
        <v>1698</v>
      </c>
      <c r="G268" s="697">
        <f>ROUND(G267/D267,1)</f>
        <v>98871.2</v>
      </c>
      <c r="AG268" s="26">
        <f>G268*14</f>
        <v>1384196.8</v>
      </c>
      <c r="AI268" s="26">
        <f>3.8+3.35</f>
        <v>7.15</v>
      </c>
    </row>
    <row r="269" spans="2:35">
      <c r="D269" s="200"/>
      <c r="E269" s="31"/>
      <c r="F269" s="200"/>
      <c r="G269" s="75"/>
      <c r="AG269" s="26">
        <f>AG268*1.04</f>
        <v>1439564.672</v>
      </c>
    </row>
    <row r="270" spans="2:35">
      <c r="B270" s="26"/>
      <c r="C270" s="78"/>
    </row>
    <row r="271" spans="2:35">
      <c r="B271" s="170" t="s">
        <v>535</v>
      </c>
    </row>
    <row r="272" spans="2:35">
      <c r="B272" s="325" t="s">
        <v>534</v>
      </c>
      <c r="C272" s="170" t="s">
        <v>536</v>
      </c>
    </row>
    <row r="273" spans="1:8" ht="18.75">
      <c r="A273" s="26" t="s">
        <v>7162</v>
      </c>
      <c r="B273" s="26" t="s">
        <v>9028</v>
      </c>
    </row>
    <row r="274" spans="1:8">
      <c r="A274" s="26"/>
      <c r="B274" s="26" t="s">
        <v>537</v>
      </c>
    </row>
    <row r="275" spans="1:8" ht="18.75">
      <c r="A275" s="26"/>
      <c r="B275" s="26" t="s">
        <v>9029</v>
      </c>
    </row>
    <row r="276" spans="1:8">
      <c r="A276" s="26"/>
      <c r="B276" s="26" t="s">
        <v>3187</v>
      </c>
    </row>
    <row r="277" spans="1:8">
      <c r="A277" s="26"/>
      <c r="B277" s="26"/>
    </row>
    <row r="278" spans="1:8">
      <c r="A278" s="26"/>
      <c r="B278" s="26" t="s">
        <v>538</v>
      </c>
      <c r="F278" s="322"/>
    </row>
    <row r="279" spans="1:8">
      <c r="A279" s="26"/>
      <c r="B279" s="26" t="s">
        <v>528</v>
      </c>
      <c r="F279" s="322"/>
    </row>
    <row r="280" spans="1:8">
      <c r="A280" s="26"/>
      <c r="F280" s="322"/>
    </row>
    <row r="281" spans="1:8" hidden="1">
      <c r="A281" s="78" t="s">
        <v>3188</v>
      </c>
      <c r="B281" s="26" t="s">
        <v>4753</v>
      </c>
    </row>
    <row r="282" spans="1:8" hidden="1">
      <c r="B282" s="26" t="s">
        <v>4754</v>
      </c>
    </row>
    <row r="283" spans="1:8" hidden="1">
      <c r="B283" s="26" t="s">
        <v>688</v>
      </c>
    </row>
    <row r="284" spans="1:8" hidden="1">
      <c r="B284" s="26"/>
    </row>
    <row r="285" spans="1:8" hidden="1">
      <c r="B285" s="26"/>
    </row>
    <row r="286" spans="1:8" hidden="1">
      <c r="B286" s="26" t="s">
        <v>4757</v>
      </c>
      <c r="F286" s="322" t="s">
        <v>1697</v>
      </c>
      <c r="G286" s="26">
        <v>57.457000000000001</v>
      </c>
      <c r="H286" s="26" t="s">
        <v>45</v>
      </c>
    </row>
    <row r="287" spans="1:8" hidden="1">
      <c r="B287" s="26"/>
    </row>
    <row r="288" spans="1:8" hidden="1">
      <c r="A288" s="78">
        <v>1</v>
      </c>
      <c r="B288" s="26" t="s">
        <v>8014</v>
      </c>
    </row>
    <row r="289" spans="1:8" hidden="1">
      <c r="A289" s="171" t="s">
        <v>1535</v>
      </c>
      <c r="B289" s="26" t="s">
        <v>241</v>
      </c>
    </row>
    <row r="290" spans="1:8" hidden="1">
      <c r="A290" s="171"/>
      <c r="B290" s="26" t="s">
        <v>242</v>
      </c>
      <c r="F290" s="322" t="s">
        <v>1697</v>
      </c>
      <c r="G290" s="26">
        <v>15806</v>
      </c>
      <c r="H290" s="26" t="s">
        <v>3478</v>
      </c>
    </row>
    <row r="291" spans="1:8" hidden="1">
      <c r="A291" s="171"/>
      <c r="B291" s="26" t="s">
        <v>243</v>
      </c>
      <c r="F291" s="322" t="s">
        <v>1697</v>
      </c>
      <c r="G291" s="26">
        <v>38672</v>
      </c>
      <c r="H291" s="26" t="s">
        <v>3478</v>
      </c>
    </row>
    <row r="292" spans="1:8" hidden="1">
      <c r="A292" s="171" t="s">
        <v>5400</v>
      </c>
      <c r="B292" s="26" t="s">
        <v>5162</v>
      </c>
      <c r="F292" s="322"/>
    </row>
    <row r="293" spans="1:8" hidden="1">
      <c r="A293" s="171"/>
      <c r="B293" s="26" t="s">
        <v>5163</v>
      </c>
      <c r="F293" s="322" t="s">
        <v>1697</v>
      </c>
      <c r="G293" s="26">
        <v>15806</v>
      </c>
      <c r="H293" s="26" t="s">
        <v>3478</v>
      </c>
    </row>
    <row r="294" spans="1:8" hidden="1">
      <c r="A294" s="171"/>
      <c r="B294" s="26" t="s">
        <v>5164</v>
      </c>
      <c r="F294" s="322" t="s">
        <v>1697</v>
      </c>
      <c r="G294" s="26">
        <v>38672</v>
      </c>
      <c r="H294" s="26" t="s">
        <v>3478</v>
      </c>
    </row>
    <row r="295" spans="1:8" hidden="1">
      <c r="A295" s="171" t="s">
        <v>5401</v>
      </c>
      <c r="B295" s="26" t="s">
        <v>5165</v>
      </c>
      <c r="F295" s="322"/>
    </row>
    <row r="296" spans="1:8" hidden="1">
      <c r="A296" s="171"/>
      <c r="B296" s="26" t="s">
        <v>5166</v>
      </c>
      <c r="F296" s="322" t="s">
        <v>1697</v>
      </c>
      <c r="G296" s="26">
        <v>1895</v>
      </c>
      <c r="H296" s="26" t="s">
        <v>3478</v>
      </c>
    </row>
    <row r="297" spans="1:8" hidden="1">
      <c r="A297" s="171" t="s">
        <v>1696</v>
      </c>
      <c r="B297" s="26" t="s">
        <v>5167</v>
      </c>
      <c r="F297" s="322"/>
    </row>
    <row r="298" spans="1:8" hidden="1">
      <c r="A298" s="171"/>
      <c r="B298" s="26" t="s">
        <v>5081</v>
      </c>
      <c r="F298" s="322" t="s">
        <v>1697</v>
      </c>
      <c r="G298" s="26">
        <v>1155</v>
      </c>
      <c r="H298" s="26" t="s">
        <v>3478</v>
      </c>
    </row>
    <row r="299" spans="1:8" hidden="1">
      <c r="A299" s="171" t="s">
        <v>5082</v>
      </c>
      <c r="B299" s="26" t="s">
        <v>5083</v>
      </c>
      <c r="F299" s="322"/>
    </row>
    <row r="300" spans="1:8" hidden="1">
      <c r="A300" s="171"/>
      <c r="B300" s="26" t="s">
        <v>1140</v>
      </c>
      <c r="F300" s="322" t="s">
        <v>1697</v>
      </c>
      <c r="G300" s="26">
        <v>78</v>
      </c>
      <c r="H300" s="26" t="s">
        <v>3478</v>
      </c>
    </row>
    <row r="301" spans="1:8" hidden="1">
      <c r="A301" s="171"/>
      <c r="B301" s="26" t="s">
        <v>2407</v>
      </c>
      <c r="F301" s="322" t="s">
        <v>1697</v>
      </c>
      <c r="G301" s="26">
        <v>79</v>
      </c>
      <c r="H301" s="26" t="s">
        <v>3478</v>
      </c>
    </row>
    <row r="302" spans="1:8" hidden="1">
      <c r="A302" s="171" t="s">
        <v>2408</v>
      </c>
      <c r="B302" s="26" t="s">
        <v>2409</v>
      </c>
      <c r="F302" s="322" t="s">
        <v>1697</v>
      </c>
      <c r="G302" s="26">
        <v>140</v>
      </c>
      <c r="H302" s="26" t="s">
        <v>3478</v>
      </c>
    </row>
    <row r="303" spans="1:8" hidden="1">
      <c r="A303" s="171" t="s">
        <v>2410</v>
      </c>
      <c r="B303" s="26" t="s">
        <v>2411</v>
      </c>
      <c r="F303" s="322"/>
    </row>
    <row r="304" spans="1:8" hidden="1">
      <c r="B304" s="26" t="s">
        <v>5813</v>
      </c>
      <c r="F304" s="322" t="s">
        <v>1697</v>
      </c>
      <c r="G304" s="26">
        <v>15.5</v>
      </c>
      <c r="H304" s="26" t="s">
        <v>3483</v>
      </c>
    </row>
    <row r="305" spans="1:8" hidden="1">
      <c r="B305" s="26" t="s">
        <v>5814</v>
      </c>
      <c r="F305" s="322" t="s">
        <v>1697</v>
      </c>
      <c r="G305" s="26">
        <v>25</v>
      </c>
      <c r="H305" s="26" t="s">
        <v>3483</v>
      </c>
    </row>
    <row r="306" spans="1:8" hidden="1">
      <c r="B306" s="26" t="s">
        <v>1195</v>
      </c>
      <c r="F306" s="322"/>
    </row>
    <row r="307" spans="1:8" hidden="1">
      <c r="B307" s="26" t="s">
        <v>517</v>
      </c>
      <c r="F307" s="322" t="s">
        <v>1697</v>
      </c>
      <c r="G307" s="26">
        <v>2728</v>
      </c>
      <c r="H307" s="26" t="s">
        <v>2059</v>
      </c>
    </row>
    <row r="308" spans="1:8" hidden="1">
      <c r="B308" s="26" t="s">
        <v>519</v>
      </c>
      <c r="F308" s="322" t="s">
        <v>1697</v>
      </c>
      <c r="G308" s="26">
        <v>24554</v>
      </c>
      <c r="H308" s="26" t="s">
        <v>2059</v>
      </c>
    </row>
    <row r="309" spans="1:8" hidden="1">
      <c r="A309" s="78">
        <v>2</v>
      </c>
      <c r="B309" s="26" t="s">
        <v>2281</v>
      </c>
      <c r="F309" s="322"/>
    </row>
    <row r="310" spans="1:8" hidden="1">
      <c r="B310" s="26" t="s">
        <v>4962</v>
      </c>
      <c r="F310" s="322" t="s">
        <v>1697</v>
      </c>
      <c r="G310" s="26">
        <v>928</v>
      </c>
      <c r="H310" s="26" t="s">
        <v>3483</v>
      </c>
    </row>
    <row r="311" spans="1:8" hidden="1">
      <c r="B311" s="26" t="s">
        <v>2985</v>
      </c>
      <c r="F311" s="322" t="s">
        <v>1697</v>
      </c>
      <c r="G311" s="26">
        <v>93</v>
      </c>
      <c r="H311" s="26" t="s">
        <v>3483</v>
      </c>
    </row>
    <row r="312" spans="1:8" hidden="1">
      <c r="B312" s="26"/>
      <c r="E312" s="171" t="s">
        <v>1518</v>
      </c>
      <c r="F312" s="322" t="s">
        <v>1697</v>
      </c>
      <c r="G312" s="26">
        <v>1021</v>
      </c>
      <c r="H312" s="26" t="s">
        <v>3483</v>
      </c>
    </row>
    <row r="313" spans="1:8" hidden="1">
      <c r="B313" s="26" t="s">
        <v>6435</v>
      </c>
    </row>
    <row r="314" spans="1:8" hidden="1">
      <c r="B314" s="26" t="s">
        <v>6436</v>
      </c>
    </row>
    <row r="315" spans="1:8" hidden="1">
      <c r="B315" s="26" t="s">
        <v>6437</v>
      </c>
    </row>
    <row r="316" spans="1:8" hidden="1">
      <c r="B316" s="26" t="s">
        <v>3532</v>
      </c>
      <c r="F316" s="322" t="s">
        <v>1697</v>
      </c>
      <c r="G316" s="26">
        <v>350</v>
      </c>
      <c r="H316" s="26" t="s">
        <v>2602</v>
      </c>
    </row>
    <row r="317" spans="1:8" hidden="1">
      <c r="B317" s="26" t="s">
        <v>3533</v>
      </c>
      <c r="F317" s="322" t="s">
        <v>1697</v>
      </c>
      <c r="G317" s="26">
        <v>571</v>
      </c>
      <c r="H317" s="26" t="s">
        <v>2602</v>
      </c>
    </row>
    <row r="318" spans="1:8" hidden="1">
      <c r="B318" s="26" t="s">
        <v>2277</v>
      </c>
      <c r="F318" s="322" t="s">
        <v>1697</v>
      </c>
      <c r="G318" s="26">
        <v>100</v>
      </c>
      <c r="H318" s="26" t="s">
        <v>2602</v>
      </c>
    </row>
    <row r="319" spans="1:8" hidden="1">
      <c r="B319" s="26" t="s">
        <v>2278</v>
      </c>
      <c r="F319" s="322" t="s">
        <v>1697</v>
      </c>
      <c r="G319" s="26">
        <v>175</v>
      </c>
      <c r="H319" s="26" t="s">
        <v>4665</v>
      </c>
    </row>
    <row r="320" spans="1:8" hidden="1">
      <c r="B320" s="26" t="s">
        <v>2279</v>
      </c>
      <c r="F320" s="322" t="s">
        <v>1697</v>
      </c>
      <c r="G320" s="26">
        <v>190</v>
      </c>
      <c r="H320" s="26" t="s">
        <v>4665</v>
      </c>
    </row>
    <row r="321" spans="1:8" hidden="1">
      <c r="B321" s="26" t="s">
        <v>6811</v>
      </c>
      <c r="F321" s="322" t="s">
        <v>1697</v>
      </c>
      <c r="G321" s="26">
        <v>10</v>
      </c>
      <c r="H321" s="26" t="s">
        <v>4665</v>
      </c>
    </row>
    <row r="322" spans="1:8" hidden="1">
      <c r="B322" s="26" t="s">
        <v>3462</v>
      </c>
      <c r="F322" s="322" t="s">
        <v>1697</v>
      </c>
      <c r="G322" s="26">
        <v>219</v>
      </c>
      <c r="H322" s="26" t="s">
        <v>3477</v>
      </c>
    </row>
    <row r="323" spans="1:8" hidden="1">
      <c r="B323" s="26" t="s">
        <v>3463</v>
      </c>
      <c r="F323" s="322" t="s">
        <v>1697</v>
      </c>
      <c r="G323" s="26">
        <v>657</v>
      </c>
      <c r="H323" s="26" t="s">
        <v>3477</v>
      </c>
    </row>
    <row r="324" spans="1:8" hidden="1">
      <c r="B324" s="26" t="s">
        <v>3464</v>
      </c>
      <c r="F324" s="322" t="s">
        <v>1697</v>
      </c>
      <c r="G324" s="26">
        <v>210</v>
      </c>
      <c r="H324" s="26" t="s">
        <v>4665</v>
      </c>
    </row>
    <row r="325" spans="1:8" hidden="1">
      <c r="B325" s="26" t="s">
        <v>3465</v>
      </c>
      <c r="F325" s="322" t="s">
        <v>1697</v>
      </c>
      <c r="G325" s="26">
        <v>228</v>
      </c>
      <c r="H325" s="26" t="s">
        <v>4665</v>
      </c>
    </row>
    <row r="326" spans="1:8" hidden="1">
      <c r="B326" s="26" t="s">
        <v>3466</v>
      </c>
      <c r="F326" s="322" t="s">
        <v>1697</v>
      </c>
      <c r="G326" s="26">
        <v>12</v>
      </c>
      <c r="H326" s="26" t="s">
        <v>4665</v>
      </c>
    </row>
    <row r="327" spans="1:8" hidden="1">
      <c r="A327" s="78">
        <v>3</v>
      </c>
      <c r="B327" s="26" t="s">
        <v>3467</v>
      </c>
      <c r="F327" s="322"/>
    </row>
    <row r="328" spans="1:8" hidden="1">
      <c r="B328" s="26" t="s">
        <v>3468</v>
      </c>
      <c r="F328" s="322" t="s">
        <v>1697</v>
      </c>
      <c r="G328" s="26">
        <v>137.5</v>
      </c>
      <c r="H328" s="26" t="s">
        <v>2602</v>
      </c>
    </row>
    <row r="329" spans="1:8" hidden="1">
      <c r="B329" s="26" t="s">
        <v>3469</v>
      </c>
      <c r="F329" s="322" t="s">
        <v>1697</v>
      </c>
      <c r="G329" s="26">
        <v>412.5</v>
      </c>
      <c r="H329" s="26" t="s">
        <v>2602</v>
      </c>
    </row>
    <row r="330" spans="1:8" hidden="1">
      <c r="B330" s="26" t="s">
        <v>3470</v>
      </c>
      <c r="F330" s="322" t="s">
        <v>1697</v>
      </c>
      <c r="G330" s="698">
        <v>44</v>
      </c>
      <c r="H330" s="60" t="s">
        <v>2602</v>
      </c>
    </row>
    <row r="331" spans="1:8" hidden="1">
      <c r="B331" s="26"/>
      <c r="E331" s="171" t="s">
        <v>2392</v>
      </c>
      <c r="F331" s="338" t="s">
        <v>3471</v>
      </c>
      <c r="G331" s="383">
        <v>594</v>
      </c>
      <c r="H331" s="60" t="s">
        <v>2602</v>
      </c>
    </row>
    <row r="332" spans="1:8" hidden="1">
      <c r="B332" s="26" t="s">
        <v>2502</v>
      </c>
      <c r="F332" s="322" t="s">
        <v>1697</v>
      </c>
      <c r="G332" s="26">
        <v>198</v>
      </c>
      <c r="H332" s="26" t="s">
        <v>4665</v>
      </c>
    </row>
    <row r="333" spans="1:8" hidden="1">
      <c r="B333" s="26" t="s">
        <v>2503</v>
      </c>
      <c r="F333" s="322" t="s">
        <v>1697</v>
      </c>
      <c r="G333" s="26">
        <v>238</v>
      </c>
      <c r="H333" s="26" t="s">
        <v>4665</v>
      </c>
    </row>
    <row r="334" spans="1:8" hidden="1">
      <c r="A334" s="78">
        <v>4</v>
      </c>
      <c r="B334" s="26" t="s">
        <v>4651</v>
      </c>
      <c r="F334" s="322"/>
    </row>
    <row r="335" spans="1:8" hidden="1">
      <c r="B335" s="26" t="s">
        <v>2504</v>
      </c>
      <c r="F335" s="322" t="s">
        <v>1697</v>
      </c>
      <c r="G335" s="26">
        <v>2294</v>
      </c>
      <c r="H335" s="26" t="s">
        <v>3483</v>
      </c>
    </row>
    <row r="336" spans="1:8" hidden="1">
      <c r="B336" s="26" t="s">
        <v>2623</v>
      </c>
    </row>
    <row r="337" spans="1:8" hidden="1">
      <c r="B337" s="26" t="s">
        <v>5141</v>
      </c>
    </row>
    <row r="338" spans="1:8" hidden="1">
      <c r="B338" s="26"/>
      <c r="C338" s="26" t="s">
        <v>5142</v>
      </c>
      <c r="F338" s="322" t="s">
        <v>1697</v>
      </c>
      <c r="G338" s="26">
        <v>909</v>
      </c>
      <c r="H338" s="26" t="s">
        <v>4665</v>
      </c>
    </row>
    <row r="339" spans="1:8" hidden="1">
      <c r="B339" s="26" t="s">
        <v>2626</v>
      </c>
      <c r="F339" s="322"/>
    </row>
    <row r="340" spans="1:8" hidden="1">
      <c r="B340" s="26"/>
      <c r="C340" s="26" t="s">
        <v>2627</v>
      </c>
      <c r="F340" s="322" t="s">
        <v>1697</v>
      </c>
      <c r="G340" s="174">
        <v>2728</v>
      </c>
      <c r="H340" s="26" t="s">
        <v>4665</v>
      </c>
    </row>
    <row r="341" spans="1:8" hidden="1">
      <c r="B341" s="26"/>
      <c r="E341" s="171" t="s">
        <v>1518</v>
      </c>
      <c r="F341" s="322" t="s">
        <v>1697</v>
      </c>
      <c r="G341" s="26">
        <v>3637</v>
      </c>
      <c r="H341" s="26" t="s">
        <v>4665</v>
      </c>
    </row>
    <row r="342" spans="1:8" hidden="1">
      <c r="B342" s="26" t="s">
        <v>4044</v>
      </c>
      <c r="F342" s="322"/>
    </row>
    <row r="343" spans="1:8" hidden="1">
      <c r="B343" s="26" t="s">
        <v>2657</v>
      </c>
      <c r="F343" s="322"/>
    </row>
    <row r="344" spans="1:8" hidden="1">
      <c r="A344" s="78">
        <v>5</v>
      </c>
      <c r="B344" s="26" t="s">
        <v>4249</v>
      </c>
    </row>
    <row r="345" spans="1:8" hidden="1">
      <c r="B345" s="26" t="s">
        <v>3636</v>
      </c>
    </row>
    <row r="346" spans="1:8" hidden="1">
      <c r="B346" s="26" t="s">
        <v>3637</v>
      </c>
    </row>
    <row r="347" spans="1:8" hidden="1">
      <c r="B347" s="26" t="s">
        <v>3026</v>
      </c>
    </row>
    <row r="348" spans="1:8" hidden="1">
      <c r="B348" s="26" t="s">
        <v>3027</v>
      </c>
    </row>
    <row r="349" spans="1:8" hidden="1">
      <c r="B349" s="26" t="s">
        <v>7028</v>
      </c>
    </row>
    <row r="350" spans="1:8" hidden="1">
      <c r="B350" s="26" t="s">
        <v>7029</v>
      </c>
    </row>
    <row r="351" spans="1:8" hidden="1">
      <c r="B351" s="26" t="s">
        <v>7030</v>
      </c>
    </row>
    <row r="352" spans="1:8" hidden="1">
      <c r="B352" s="26" t="s">
        <v>4775</v>
      </c>
    </row>
    <row r="353" spans="1:7" hidden="1">
      <c r="B353" s="26"/>
    </row>
    <row r="354" spans="1:7" ht="18.75" hidden="1" thickBot="1">
      <c r="A354" s="78">
        <v>6</v>
      </c>
      <c r="B354" s="31" t="s">
        <v>4900</v>
      </c>
      <c r="C354" s="31"/>
      <c r="D354" s="699"/>
      <c r="E354" s="700"/>
      <c r="F354" s="699"/>
    </row>
    <row r="355" spans="1:7" hidden="1">
      <c r="B355" s="1260" t="s">
        <v>4901</v>
      </c>
      <c r="C355" s="1261"/>
      <c r="D355" s="31" t="s">
        <v>2468</v>
      </c>
      <c r="E355" s="31" t="s">
        <v>4902</v>
      </c>
      <c r="F355" s="31" t="s">
        <v>4903</v>
      </c>
      <c r="G355" s="701" t="s">
        <v>6199</v>
      </c>
    </row>
    <row r="356" spans="1:7" hidden="1">
      <c r="B356" s="1262"/>
      <c r="C356" s="1263"/>
      <c r="D356" s="31"/>
      <c r="E356" s="31" t="s">
        <v>4904</v>
      </c>
      <c r="F356" s="31" t="s">
        <v>4905</v>
      </c>
      <c r="G356" s="189"/>
    </row>
    <row r="357" spans="1:7" ht="18.75" hidden="1" thickBot="1">
      <c r="B357" s="1262"/>
      <c r="C357" s="1263"/>
      <c r="D357" s="699"/>
      <c r="E357" s="699" t="s">
        <v>6307</v>
      </c>
      <c r="F357" s="702"/>
      <c r="G357" s="703"/>
    </row>
    <row r="358" spans="1:7" hidden="1">
      <c r="B358" s="704" t="s">
        <v>4776</v>
      </c>
      <c r="C358" s="704"/>
      <c r="D358" s="705">
        <v>28</v>
      </c>
      <c r="E358" s="706">
        <v>56</v>
      </c>
      <c r="F358" s="706">
        <v>56</v>
      </c>
      <c r="G358" s="706">
        <v>112</v>
      </c>
    </row>
    <row r="359" spans="1:7" hidden="1">
      <c r="B359" s="210" t="s">
        <v>4777</v>
      </c>
      <c r="C359" s="210"/>
      <c r="D359" s="276">
        <v>3</v>
      </c>
      <c r="E359" s="105">
        <v>6</v>
      </c>
      <c r="F359" s="105" t="s">
        <v>5854</v>
      </c>
      <c r="G359" s="105">
        <v>12</v>
      </c>
    </row>
    <row r="360" spans="1:7" hidden="1">
      <c r="B360" s="210" t="s">
        <v>7231</v>
      </c>
      <c r="C360" s="210"/>
      <c r="D360" s="276">
        <v>57</v>
      </c>
      <c r="E360" s="105">
        <v>114</v>
      </c>
      <c r="F360" s="105" t="s">
        <v>5854</v>
      </c>
      <c r="G360" s="105">
        <v>456</v>
      </c>
    </row>
    <row r="361" spans="1:7" hidden="1">
      <c r="B361" s="210" t="s">
        <v>1028</v>
      </c>
      <c r="C361" s="210"/>
      <c r="D361" s="276">
        <v>34</v>
      </c>
      <c r="E361" s="105" t="s">
        <v>5854</v>
      </c>
      <c r="F361" s="105">
        <v>341</v>
      </c>
      <c r="G361" s="105">
        <v>341</v>
      </c>
    </row>
    <row r="362" spans="1:7" hidden="1">
      <c r="B362" s="210" t="s">
        <v>1029</v>
      </c>
      <c r="C362" s="210"/>
      <c r="D362" s="276">
        <v>4</v>
      </c>
      <c r="E362" s="105">
        <v>8</v>
      </c>
      <c r="F362" s="105" t="s">
        <v>5854</v>
      </c>
      <c r="G362" s="105">
        <v>32</v>
      </c>
    </row>
    <row r="363" spans="1:7" hidden="1">
      <c r="B363" s="210" t="s">
        <v>1030</v>
      </c>
      <c r="C363" s="210"/>
      <c r="D363" s="276">
        <v>3</v>
      </c>
      <c r="E363" s="105">
        <v>3</v>
      </c>
      <c r="F363" s="105" t="s">
        <v>5854</v>
      </c>
      <c r="G363" s="105">
        <v>12</v>
      </c>
    </row>
    <row r="364" spans="1:7" hidden="1">
      <c r="B364" s="210" t="s">
        <v>2679</v>
      </c>
      <c r="C364" s="210"/>
      <c r="D364" s="276">
        <v>3</v>
      </c>
      <c r="E364" s="105">
        <v>3</v>
      </c>
      <c r="F364" s="105" t="s">
        <v>5854</v>
      </c>
      <c r="G364" s="105">
        <v>12</v>
      </c>
    </row>
    <row r="365" spans="1:7" hidden="1">
      <c r="B365" s="210" t="s">
        <v>3519</v>
      </c>
      <c r="C365" s="210"/>
      <c r="D365" s="276">
        <v>5</v>
      </c>
      <c r="E365" s="105">
        <v>10</v>
      </c>
      <c r="F365" s="105" t="s">
        <v>5854</v>
      </c>
      <c r="G365" s="105">
        <v>40</v>
      </c>
    </row>
    <row r="366" spans="1:7" hidden="1">
      <c r="B366" s="210" t="s">
        <v>3520</v>
      </c>
      <c r="C366" s="210"/>
      <c r="D366" s="276">
        <v>3</v>
      </c>
      <c r="E366" s="105">
        <v>6</v>
      </c>
      <c r="F366" s="105" t="s">
        <v>5854</v>
      </c>
      <c r="G366" s="105">
        <v>24</v>
      </c>
    </row>
    <row r="367" spans="1:7" hidden="1">
      <c r="B367" s="210" t="s">
        <v>3521</v>
      </c>
      <c r="C367" s="210"/>
      <c r="D367" s="276">
        <v>4</v>
      </c>
      <c r="E367" s="105">
        <v>8</v>
      </c>
      <c r="F367" s="105" t="s">
        <v>5854</v>
      </c>
      <c r="G367" s="105">
        <v>32</v>
      </c>
    </row>
    <row r="368" spans="1:7" hidden="1">
      <c r="B368" s="210" t="s">
        <v>3522</v>
      </c>
      <c r="C368" s="210"/>
      <c r="D368" s="276">
        <v>6</v>
      </c>
      <c r="E368" s="105">
        <v>6</v>
      </c>
      <c r="F368" s="105" t="s">
        <v>5854</v>
      </c>
      <c r="G368" s="105">
        <v>24</v>
      </c>
    </row>
    <row r="369" spans="1:8" hidden="1">
      <c r="B369" s="210" t="s">
        <v>3523</v>
      </c>
      <c r="C369" s="210"/>
      <c r="D369" s="276">
        <v>2</v>
      </c>
      <c r="E369" s="105">
        <v>2</v>
      </c>
      <c r="F369" s="105" t="s">
        <v>5854</v>
      </c>
      <c r="G369" s="105">
        <v>2</v>
      </c>
    </row>
    <row r="370" spans="1:8" hidden="1">
      <c r="B370" s="210" t="s">
        <v>3524</v>
      </c>
      <c r="C370" s="210"/>
      <c r="D370" s="276">
        <v>2</v>
      </c>
      <c r="E370" s="105">
        <v>2</v>
      </c>
      <c r="F370" s="105" t="s">
        <v>5854</v>
      </c>
      <c r="G370" s="105">
        <v>4</v>
      </c>
    </row>
    <row r="371" spans="1:8" ht="18.75" hidden="1" thickBot="1">
      <c r="B371" s="210" t="s">
        <v>5566</v>
      </c>
      <c r="C371" s="210"/>
      <c r="D371" s="276">
        <v>1</v>
      </c>
      <c r="E371" s="105">
        <v>2</v>
      </c>
      <c r="F371" s="105" t="s">
        <v>5854</v>
      </c>
      <c r="G371" s="105">
        <v>2</v>
      </c>
    </row>
    <row r="372" spans="1:8" ht="18.75" hidden="1" thickBot="1">
      <c r="B372" s="707" t="s">
        <v>2656</v>
      </c>
      <c r="C372" s="707"/>
      <c r="D372" s="708">
        <f>SUM(D358:D371)</f>
        <v>155</v>
      </c>
      <c r="E372" s="709">
        <f>SUM(E358:E371)</f>
        <v>226</v>
      </c>
      <c r="F372" s="709">
        <f>SUM(F358:F371)</f>
        <v>397</v>
      </c>
      <c r="G372" s="709">
        <f>SUM(G358:G371)</f>
        <v>1105</v>
      </c>
    </row>
    <row r="373" spans="1:8" hidden="1">
      <c r="A373" s="78">
        <v>7</v>
      </c>
      <c r="B373" s="26" t="s">
        <v>673</v>
      </c>
    </row>
    <row r="374" spans="1:8" hidden="1">
      <c r="B374" s="26" t="s">
        <v>6017</v>
      </c>
    </row>
    <row r="375" spans="1:8" hidden="1">
      <c r="B375" s="26" t="s">
        <v>2385</v>
      </c>
    </row>
    <row r="376" spans="1:8" hidden="1">
      <c r="B376" s="26" t="s">
        <v>4659</v>
      </c>
    </row>
    <row r="377" spans="1:8" hidden="1">
      <c r="B377" s="26" t="s">
        <v>4660</v>
      </c>
    </row>
    <row r="378" spans="1:8" hidden="1">
      <c r="A378" s="78">
        <v>8</v>
      </c>
      <c r="B378" s="26" t="s">
        <v>2366</v>
      </c>
    </row>
    <row r="379" spans="1:8" hidden="1">
      <c r="B379" s="26" t="s">
        <v>4638</v>
      </c>
      <c r="C379" s="68">
        <f>'BASIC DATA'!D373</f>
        <v>7800</v>
      </c>
      <c r="D379" s="26" t="s">
        <v>2290</v>
      </c>
      <c r="E379" s="315" t="s">
        <v>1698</v>
      </c>
      <c r="G379" s="68">
        <f>C379</f>
        <v>7800</v>
      </c>
    </row>
    <row r="380" spans="1:8" hidden="1">
      <c r="B380" s="26" t="s">
        <v>3231</v>
      </c>
      <c r="E380" s="322" t="s">
        <v>1697</v>
      </c>
      <c r="G380" s="316">
        <v>1000</v>
      </c>
      <c r="H380" s="26" t="s">
        <v>4665</v>
      </c>
    </row>
    <row r="381" spans="1:8" hidden="1">
      <c r="B381" s="26" t="s">
        <v>3232</v>
      </c>
      <c r="C381" s="26" t="s">
        <v>7593</v>
      </c>
      <c r="E381" s="315" t="s">
        <v>1698</v>
      </c>
      <c r="G381" s="68">
        <f>G379/G380</f>
        <v>7.8</v>
      </c>
    </row>
    <row r="382" spans="1:8" hidden="1">
      <c r="B382" s="26" t="s">
        <v>1286</v>
      </c>
      <c r="C382" s="68">
        <f>'BASIC DATA'!D371</f>
        <v>14500</v>
      </c>
      <c r="D382" s="26" t="s">
        <v>2290</v>
      </c>
      <c r="E382" s="315" t="s">
        <v>1698</v>
      </c>
      <c r="G382" s="68">
        <f>C382</f>
        <v>14500</v>
      </c>
    </row>
    <row r="383" spans="1:8" hidden="1">
      <c r="B383" s="26" t="s">
        <v>5868</v>
      </c>
      <c r="E383" s="322" t="s">
        <v>1697</v>
      </c>
      <c r="G383" s="316">
        <v>600</v>
      </c>
      <c r="H383" s="26" t="s">
        <v>4665</v>
      </c>
    </row>
    <row r="384" spans="1:8" hidden="1">
      <c r="B384" s="26" t="s">
        <v>3234</v>
      </c>
      <c r="C384" s="26" t="s">
        <v>7593</v>
      </c>
      <c r="E384" s="315" t="s">
        <v>1698</v>
      </c>
      <c r="G384" s="68">
        <f>G382/G383</f>
        <v>24.166666666666668</v>
      </c>
    </row>
    <row r="385" spans="1:7" hidden="1">
      <c r="B385" s="26"/>
      <c r="C385" s="78"/>
    </row>
    <row r="386" spans="1:7">
      <c r="B386" s="26"/>
      <c r="C386" s="78"/>
    </row>
    <row r="387" spans="1:7">
      <c r="A387" s="78" t="s">
        <v>3984</v>
      </c>
      <c r="C387" s="203" t="s">
        <v>2367</v>
      </c>
      <c r="E387" s="171" t="s">
        <v>297</v>
      </c>
      <c r="F387" s="692">
        <v>57.457000000000001</v>
      </c>
      <c r="G387" s="26" t="s">
        <v>3480</v>
      </c>
    </row>
    <row r="388" spans="1:7">
      <c r="B388" s="79" t="s">
        <v>2368</v>
      </c>
    </row>
    <row r="389" spans="1:7">
      <c r="B389" s="95" t="s">
        <v>2369</v>
      </c>
      <c r="C389" s="157" t="s">
        <v>6374</v>
      </c>
      <c r="D389" s="95" t="s">
        <v>2370</v>
      </c>
      <c r="E389" s="95" t="s">
        <v>1166</v>
      </c>
      <c r="F389" s="95" t="s">
        <v>2371</v>
      </c>
      <c r="G389" s="95" t="s">
        <v>2372</v>
      </c>
    </row>
    <row r="390" spans="1:7">
      <c r="B390" s="114"/>
      <c r="C390" s="154"/>
      <c r="D390" s="114"/>
      <c r="E390" s="114"/>
      <c r="F390" s="114" t="s">
        <v>3485</v>
      </c>
      <c r="G390" s="114" t="s">
        <v>3485</v>
      </c>
    </row>
    <row r="391" spans="1:7">
      <c r="B391" s="95">
        <v>1</v>
      </c>
      <c r="C391" s="135" t="s">
        <v>1287</v>
      </c>
      <c r="D391" s="451"/>
      <c r="E391" s="190"/>
      <c r="F391" s="190"/>
      <c r="G391" s="190"/>
    </row>
    <row r="392" spans="1:7">
      <c r="B392" s="317"/>
      <c r="C392" s="135" t="s">
        <v>4915</v>
      </c>
      <c r="D392" s="319" t="s">
        <v>3478</v>
      </c>
      <c r="E392" s="190">
        <v>15806</v>
      </c>
      <c r="F392" s="214">
        <f>'BASIC DATA'!D97/1000</f>
        <v>37.5</v>
      </c>
      <c r="G392" s="190">
        <f>E392*F392</f>
        <v>592725</v>
      </c>
    </row>
    <row r="393" spans="1:7">
      <c r="B393" s="317"/>
      <c r="C393" s="135" t="s">
        <v>4916</v>
      </c>
      <c r="D393" s="319" t="s">
        <v>3478</v>
      </c>
      <c r="E393" s="190">
        <v>38672</v>
      </c>
      <c r="F393" s="214">
        <f>'BASIC DATA'!D98/1000</f>
        <v>37.4</v>
      </c>
      <c r="G393" s="190">
        <f t="shared" ref="G393:G414" si="3">E393*F393</f>
        <v>1446332.8</v>
      </c>
    </row>
    <row r="394" spans="1:7">
      <c r="B394" s="105">
        <v>2</v>
      </c>
      <c r="C394" s="135" t="s">
        <v>4917</v>
      </c>
      <c r="D394" s="319"/>
      <c r="E394" s="190"/>
      <c r="F394" s="214"/>
      <c r="G394" s="190"/>
    </row>
    <row r="395" spans="1:7">
      <c r="B395" s="317"/>
      <c r="C395" s="135" t="s">
        <v>4918</v>
      </c>
      <c r="D395" s="319" t="s">
        <v>3478</v>
      </c>
      <c r="E395" s="190">
        <v>1895</v>
      </c>
      <c r="F395" s="214">
        <f>'BASIC DATA'!D167</f>
        <v>190</v>
      </c>
      <c r="G395" s="190">
        <f t="shared" si="3"/>
        <v>360050</v>
      </c>
    </row>
    <row r="396" spans="1:7">
      <c r="B396" s="105">
        <v>3</v>
      </c>
      <c r="C396" s="135" t="s">
        <v>4366</v>
      </c>
      <c r="D396" s="319"/>
      <c r="E396" s="190"/>
      <c r="F396" s="214"/>
      <c r="G396" s="190"/>
    </row>
    <row r="397" spans="1:7">
      <c r="B397" s="317"/>
      <c r="C397" s="135" t="s">
        <v>1088</v>
      </c>
      <c r="D397" s="319" t="s">
        <v>3478</v>
      </c>
      <c r="E397" s="190">
        <v>6</v>
      </c>
      <c r="F397" s="214">
        <f>'BASIC DATA'!D180</f>
        <v>275</v>
      </c>
      <c r="G397" s="190">
        <f t="shared" si="3"/>
        <v>1650</v>
      </c>
    </row>
    <row r="398" spans="1:7">
      <c r="B398" s="317"/>
      <c r="C398" s="135" t="s">
        <v>4367</v>
      </c>
      <c r="D398" s="319" t="s">
        <v>3478</v>
      </c>
      <c r="E398" s="190">
        <v>1098</v>
      </c>
      <c r="F398" s="214">
        <f>'BASIC DATA'!D160</f>
        <v>450</v>
      </c>
      <c r="G398" s="190">
        <f t="shared" si="3"/>
        <v>494100</v>
      </c>
    </row>
    <row r="399" spans="1:7">
      <c r="B399" s="105">
        <v>4</v>
      </c>
      <c r="C399" s="135" t="s">
        <v>4954</v>
      </c>
      <c r="D399" s="319"/>
      <c r="E399" s="190"/>
      <c r="F399" s="214"/>
      <c r="G399" s="190"/>
    </row>
    <row r="400" spans="1:7">
      <c r="B400" s="317"/>
      <c r="C400" s="135" t="s">
        <v>4955</v>
      </c>
      <c r="D400" s="319" t="s">
        <v>3478</v>
      </c>
      <c r="E400" s="190">
        <v>1155</v>
      </c>
      <c r="F400" s="214">
        <f>'BASIC DATA'!D163</f>
        <v>970</v>
      </c>
      <c r="G400" s="190">
        <f t="shared" si="3"/>
        <v>1120350</v>
      </c>
    </row>
    <row r="401" spans="2:7">
      <c r="B401" s="105">
        <v>5</v>
      </c>
      <c r="C401" s="135" t="s">
        <v>4956</v>
      </c>
      <c r="D401" s="319"/>
      <c r="E401" s="190"/>
      <c r="F401" s="214"/>
      <c r="G401" s="190"/>
    </row>
    <row r="402" spans="2:7">
      <c r="B402" s="317"/>
      <c r="C402" s="135" t="s">
        <v>4957</v>
      </c>
      <c r="D402" s="319" t="s">
        <v>3478</v>
      </c>
      <c r="E402" s="190">
        <v>78</v>
      </c>
      <c r="F402" s="214">
        <f>'BASIC DATA'!D161</f>
        <v>140</v>
      </c>
      <c r="G402" s="190">
        <f t="shared" si="3"/>
        <v>10920</v>
      </c>
    </row>
    <row r="403" spans="2:7">
      <c r="B403" s="317"/>
      <c r="C403" s="135" t="s">
        <v>4958</v>
      </c>
      <c r="D403" s="319" t="s">
        <v>3478</v>
      </c>
      <c r="E403" s="190">
        <v>79</v>
      </c>
      <c r="F403" s="214">
        <f>'BASIC DATA'!D84</f>
        <v>80</v>
      </c>
      <c r="G403" s="190">
        <f t="shared" si="3"/>
        <v>6320</v>
      </c>
    </row>
    <row r="404" spans="2:7">
      <c r="B404" s="105">
        <v>6</v>
      </c>
      <c r="C404" s="135" t="s">
        <v>3565</v>
      </c>
      <c r="D404" s="319" t="s">
        <v>3478</v>
      </c>
      <c r="E404" s="190">
        <v>140</v>
      </c>
      <c r="F404" s="214">
        <f>'BASIC DATA'!D184</f>
        <v>178</v>
      </c>
      <c r="G404" s="190">
        <f t="shared" si="3"/>
        <v>24920</v>
      </c>
    </row>
    <row r="405" spans="2:7">
      <c r="B405" s="105">
        <v>7</v>
      </c>
      <c r="C405" s="135" t="s">
        <v>4959</v>
      </c>
      <c r="D405" s="319"/>
      <c r="E405" s="190"/>
      <c r="F405" s="214"/>
      <c r="G405" s="190"/>
    </row>
    <row r="406" spans="2:7">
      <c r="B406" s="317"/>
      <c r="C406" s="135" t="s">
        <v>4960</v>
      </c>
      <c r="D406" s="319" t="s">
        <v>3483</v>
      </c>
      <c r="E406" s="190">
        <v>15.5</v>
      </c>
      <c r="F406" s="214">
        <f>'BASIC DATA'!D174</f>
        <v>780</v>
      </c>
      <c r="G406" s="190">
        <f t="shared" si="3"/>
        <v>12090</v>
      </c>
    </row>
    <row r="407" spans="2:7">
      <c r="B407" s="317"/>
      <c r="C407" s="135" t="s">
        <v>4961</v>
      </c>
      <c r="D407" s="319" t="s">
        <v>3483</v>
      </c>
      <c r="E407" s="190">
        <v>25</v>
      </c>
      <c r="F407" s="214">
        <f>'BASIC DATA'!D177</f>
        <v>1600</v>
      </c>
      <c r="G407" s="190">
        <f t="shared" si="3"/>
        <v>40000</v>
      </c>
    </row>
    <row r="408" spans="2:7">
      <c r="B408" s="105">
        <v>8</v>
      </c>
      <c r="C408" s="135" t="s">
        <v>958</v>
      </c>
      <c r="D408" s="319" t="s">
        <v>3477</v>
      </c>
      <c r="E408" s="190">
        <v>657</v>
      </c>
      <c r="F408" s="214">
        <f>'BASIC DATA'!D87</f>
        <v>42</v>
      </c>
      <c r="G408" s="190">
        <f t="shared" si="3"/>
        <v>27594</v>
      </c>
    </row>
    <row r="409" spans="2:7">
      <c r="B409" s="105">
        <v>9</v>
      </c>
      <c r="C409" s="135" t="s">
        <v>6815</v>
      </c>
      <c r="D409" s="319" t="s">
        <v>3477</v>
      </c>
      <c r="E409" s="190">
        <v>219</v>
      </c>
      <c r="F409" s="214">
        <f>'BASIC DATA'!D28</f>
        <v>335</v>
      </c>
      <c r="G409" s="190">
        <f t="shared" si="3"/>
        <v>73365</v>
      </c>
    </row>
    <row r="410" spans="2:7">
      <c r="B410" s="105">
        <v>10</v>
      </c>
      <c r="C410" s="135" t="s">
        <v>5316</v>
      </c>
      <c r="D410" s="319" t="s">
        <v>2059</v>
      </c>
      <c r="E410" s="190">
        <v>2728</v>
      </c>
      <c r="F410" s="214">
        <f>'BASIC DATA'!D109</f>
        <v>80</v>
      </c>
      <c r="G410" s="190">
        <f t="shared" si="3"/>
        <v>218240</v>
      </c>
    </row>
    <row r="411" spans="2:7">
      <c r="B411" s="105">
        <v>11</v>
      </c>
      <c r="C411" s="135" t="s">
        <v>4655</v>
      </c>
      <c r="D411" s="319" t="s">
        <v>2059</v>
      </c>
      <c r="E411" s="190">
        <v>24554</v>
      </c>
      <c r="F411" s="214">
        <f>'BASIC DATA'!D181</f>
        <v>15</v>
      </c>
      <c r="G411" s="190">
        <f t="shared" si="3"/>
        <v>368310</v>
      </c>
    </row>
    <row r="412" spans="2:7">
      <c r="B412" s="105">
        <v>12</v>
      </c>
      <c r="C412" s="135" t="s">
        <v>6556</v>
      </c>
      <c r="D412" s="319" t="s">
        <v>2374</v>
      </c>
      <c r="E412" s="190">
        <v>3637</v>
      </c>
      <c r="F412" s="214">
        <f>G381</f>
        <v>7.8</v>
      </c>
      <c r="G412" s="190">
        <f t="shared" si="3"/>
        <v>28368.6</v>
      </c>
    </row>
    <row r="413" spans="2:7">
      <c r="B413" s="105">
        <v>13</v>
      </c>
      <c r="C413" s="135" t="s">
        <v>6557</v>
      </c>
      <c r="D413" s="319" t="s">
        <v>2374</v>
      </c>
      <c r="E413" s="190">
        <v>210</v>
      </c>
      <c r="F413" s="214">
        <f>G384</f>
        <v>24.166666666666668</v>
      </c>
      <c r="G413" s="190">
        <f t="shared" si="3"/>
        <v>5075</v>
      </c>
    </row>
    <row r="414" spans="2:7">
      <c r="B414" s="114">
        <v>14</v>
      </c>
      <c r="C414" s="135" t="s">
        <v>2373</v>
      </c>
      <c r="D414" s="319" t="s">
        <v>2173</v>
      </c>
      <c r="E414" s="190">
        <v>1000</v>
      </c>
      <c r="F414" s="214">
        <f>'BASIC DATA'!D359</f>
        <v>30</v>
      </c>
      <c r="G414" s="190">
        <f t="shared" si="3"/>
        <v>30000</v>
      </c>
    </row>
    <row r="415" spans="2:7">
      <c r="B415" s="92"/>
      <c r="C415" s="193"/>
      <c r="D415" s="151" t="s">
        <v>2376</v>
      </c>
      <c r="E415" s="160"/>
      <c r="F415" s="236" t="s">
        <v>1698</v>
      </c>
      <c r="G415" s="318">
        <f>SUM(G392:G414)</f>
        <v>4860410.3999999994</v>
      </c>
    </row>
    <row r="416" spans="2:7"/>
    <row r="417" spans="2:7">
      <c r="B417" s="79" t="s">
        <v>2377</v>
      </c>
    </row>
    <row r="418" spans="2:7">
      <c r="B418" s="95" t="s">
        <v>2369</v>
      </c>
      <c r="C418" s="157" t="s">
        <v>2378</v>
      </c>
      <c r="D418" s="95" t="s">
        <v>2370</v>
      </c>
      <c r="E418" s="95" t="s">
        <v>1166</v>
      </c>
      <c r="F418" s="95" t="s">
        <v>2371</v>
      </c>
      <c r="G418" s="95" t="s">
        <v>2372</v>
      </c>
    </row>
    <row r="419" spans="2:7">
      <c r="B419" s="114"/>
      <c r="C419" s="154"/>
      <c r="D419" s="114"/>
      <c r="E419" s="114"/>
      <c r="F419" s="114" t="s">
        <v>3485</v>
      </c>
      <c r="G419" s="114" t="s">
        <v>3485</v>
      </c>
    </row>
    <row r="420" spans="2:7">
      <c r="B420" s="95">
        <v>1</v>
      </c>
      <c r="C420" s="135" t="s">
        <v>6558</v>
      </c>
      <c r="D420" s="451" t="s">
        <v>2374</v>
      </c>
      <c r="E420" s="190">
        <v>3637</v>
      </c>
      <c r="F420" s="190">
        <f>'HIRE CHARGES'!D556</f>
        <v>16</v>
      </c>
      <c r="G420" s="190">
        <f>E420*F420</f>
        <v>58192</v>
      </c>
    </row>
    <row r="421" spans="2:7">
      <c r="B421" s="317"/>
      <c r="C421" s="135" t="s">
        <v>2379</v>
      </c>
      <c r="D421" s="319" t="s">
        <v>2374</v>
      </c>
      <c r="E421" s="190">
        <v>2273</v>
      </c>
      <c r="F421" s="190">
        <f>'HIRE CHARGES'!E556</f>
        <v>67.2</v>
      </c>
      <c r="G421" s="190">
        <f t="shared" ref="G421:G438" si="4">E421*F421</f>
        <v>152745.60000000001</v>
      </c>
    </row>
    <row r="422" spans="2:7">
      <c r="B422" s="105">
        <v>2</v>
      </c>
      <c r="C422" s="135" t="s">
        <v>6560</v>
      </c>
      <c r="D422" s="319" t="s">
        <v>2374</v>
      </c>
      <c r="E422" s="190">
        <v>12</v>
      </c>
      <c r="F422" s="190">
        <f>'HIRE CHARGES'!D536</f>
        <v>41.9</v>
      </c>
      <c r="G422" s="190">
        <f t="shared" si="4"/>
        <v>502.79999999999995</v>
      </c>
    </row>
    <row r="423" spans="2:7">
      <c r="B423" s="317"/>
      <c r="C423" s="135" t="s">
        <v>2379</v>
      </c>
      <c r="D423" s="319" t="s">
        <v>2374</v>
      </c>
      <c r="E423" s="190">
        <v>12</v>
      </c>
      <c r="F423" s="190">
        <f>'HIRE CHARGES'!E536</f>
        <v>112.1</v>
      </c>
      <c r="G423" s="190">
        <f t="shared" si="4"/>
        <v>1345.1999999999998</v>
      </c>
    </row>
    <row r="424" spans="2:7">
      <c r="B424" s="105">
        <v>3</v>
      </c>
      <c r="C424" s="135" t="s">
        <v>6060</v>
      </c>
      <c r="D424" s="319" t="s">
        <v>2374</v>
      </c>
      <c r="E424" s="190">
        <v>228</v>
      </c>
      <c r="F424" s="190">
        <f>'HIRE CHARGES'!D539</f>
        <v>6.4</v>
      </c>
      <c r="G424" s="190">
        <f t="shared" si="4"/>
        <v>1459.2</v>
      </c>
    </row>
    <row r="425" spans="2:7">
      <c r="B425" s="317"/>
      <c r="C425" s="135" t="s">
        <v>2379</v>
      </c>
      <c r="D425" s="319" t="s">
        <v>2374</v>
      </c>
      <c r="E425" s="190">
        <v>228</v>
      </c>
      <c r="F425" s="190">
        <f>'HIRE CHARGES'!E539</f>
        <v>2.8</v>
      </c>
      <c r="G425" s="190">
        <f t="shared" si="4"/>
        <v>638.4</v>
      </c>
    </row>
    <row r="426" spans="2:7">
      <c r="B426" s="105">
        <v>4</v>
      </c>
      <c r="C426" s="135" t="s">
        <v>6911</v>
      </c>
      <c r="D426" s="319" t="s">
        <v>2374</v>
      </c>
      <c r="E426" s="190">
        <v>238</v>
      </c>
      <c r="F426" s="190">
        <f>'HIRE CHARGES'!D503</f>
        <v>42.6</v>
      </c>
      <c r="G426" s="190">
        <f t="shared" si="4"/>
        <v>10138.800000000001</v>
      </c>
    </row>
    <row r="427" spans="2:7">
      <c r="B427" s="317"/>
      <c r="C427" s="135" t="s">
        <v>2379</v>
      </c>
      <c r="D427" s="319" t="s">
        <v>2374</v>
      </c>
      <c r="E427" s="190">
        <v>238</v>
      </c>
      <c r="F427" s="190">
        <f>'HIRE CHARGES'!E503</f>
        <v>84.1</v>
      </c>
      <c r="G427" s="190">
        <f t="shared" si="4"/>
        <v>20015.8</v>
      </c>
    </row>
    <row r="428" spans="2:7">
      <c r="B428" s="105">
        <v>5</v>
      </c>
      <c r="C428" s="135" t="s">
        <v>5317</v>
      </c>
      <c r="D428" s="319" t="s">
        <v>2374</v>
      </c>
      <c r="E428" s="190">
        <v>10</v>
      </c>
      <c r="F428" s="190">
        <f>'HIRE CHARGES'!D547</f>
        <v>867.1</v>
      </c>
      <c r="G428" s="190">
        <f t="shared" si="4"/>
        <v>8671</v>
      </c>
    </row>
    <row r="429" spans="2:7">
      <c r="B429" s="317"/>
      <c r="C429" s="135" t="s">
        <v>2379</v>
      </c>
      <c r="D429" s="319" t="s">
        <v>2374</v>
      </c>
      <c r="E429" s="190">
        <v>10</v>
      </c>
      <c r="F429" s="190">
        <f>'HIRE CHARGES'!E547</f>
        <v>145.69999999999999</v>
      </c>
      <c r="G429" s="190">
        <f t="shared" si="4"/>
        <v>1457</v>
      </c>
    </row>
    <row r="430" spans="2:7">
      <c r="B430" s="105">
        <v>6</v>
      </c>
      <c r="C430" s="135" t="s">
        <v>6561</v>
      </c>
      <c r="D430" s="319" t="s">
        <v>2374</v>
      </c>
      <c r="E430" s="190">
        <v>150</v>
      </c>
      <c r="F430" s="190">
        <f>'HIRE CHARGES'!D550</f>
        <v>519.69999999999993</v>
      </c>
      <c r="G430" s="190">
        <f t="shared" si="4"/>
        <v>77954.999999999985</v>
      </c>
    </row>
    <row r="431" spans="2:7">
      <c r="B431" s="317"/>
      <c r="C431" s="135" t="s">
        <v>2379</v>
      </c>
      <c r="D431" s="319" t="s">
        <v>2374</v>
      </c>
      <c r="E431" s="190">
        <v>150</v>
      </c>
      <c r="F431" s="190">
        <f>'HIRE CHARGES'!E550</f>
        <v>299.89999999999998</v>
      </c>
      <c r="G431" s="190">
        <f t="shared" si="4"/>
        <v>44985</v>
      </c>
    </row>
    <row r="432" spans="2:7">
      <c r="B432" s="105">
        <v>7</v>
      </c>
      <c r="C432" s="135" t="s">
        <v>866</v>
      </c>
      <c r="D432" s="319" t="s">
        <v>2374</v>
      </c>
      <c r="E432" s="190">
        <v>300</v>
      </c>
      <c r="F432" s="190">
        <f>'HIRE CHARGES'!D544</f>
        <v>86.1</v>
      </c>
      <c r="G432" s="190">
        <f t="shared" si="4"/>
        <v>25830</v>
      </c>
    </row>
    <row r="433" spans="2:7">
      <c r="B433" s="317"/>
      <c r="C433" s="135" t="s">
        <v>2379</v>
      </c>
      <c r="D433" s="319" t="s">
        <v>2374</v>
      </c>
      <c r="E433" s="190">
        <v>300</v>
      </c>
      <c r="F433" s="190">
        <f>'HIRE CHARGES'!E544</f>
        <v>0</v>
      </c>
      <c r="G433" s="190">
        <f t="shared" si="4"/>
        <v>0</v>
      </c>
    </row>
    <row r="434" spans="2:7">
      <c r="B434" s="105">
        <v>8</v>
      </c>
      <c r="C434" s="135" t="s">
        <v>6562</v>
      </c>
      <c r="D434" s="319" t="s">
        <v>2374</v>
      </c>
      <c r="E434" s="190">
        <v>50</v>
      </c>
      <c r="F434" s="190">
        <f>'HIRE CHARGES'!D551</f>
        <v>22.5</v>
      </c>
      <c r="G434" s="190">
        <f t="shared" si="4"/>
        <v>1125</v>
      </c>
    </row>
    <row r="435" spans="2:7">
      <c r="B435" s="317"/>
      <c r="C435" s="135" t="s">
        <v>2379</v>
      </c>
      <c r="D435" s="319" t="s">
        <v>2374</v>
      </c>
      <c r="E435" s="190">
        <v>50</v>
      </c>
      <c r="F435" s="190">
        <f>'HIRE CHARGES'!E551</f>
        <v>28</v>
      </c>
      <c r="G435" s="190">
        <f t="shared" si="4"/>
        <v>1400</v>
      </c>
    </row>
    <row r="436" spans="2:7">
      <c r="B436" s="105">
        <v>9</v>
      </c>
      <c r="C436" s="135" t="s">
        <v>5539</v>
      </c>
      <c r="D436" s="319" t="s">
        <v>2374</v>
      </c>
      <c r="E436" s="190">
        <v>50</v>
      </c>
      <c r="F436" s="190">
        <f>'HIRE CHARGES'!D551</f>
        <v>22.5</v>
      </c>
      <c r="G436" s="190">
        <f t="shared" si="4"/>
        <v>1125</v>
      </c>
    </row>
    <row r="437" spans="2:7">
      <c r="B437" s="317"/>
      <c r="C437" s="135" t="s">
        <v>2379</v>
      </c>
      <c r="D437" s="319" t="s">
        <v>2374</v>
      </c>
      <c r="E437" s="190">
        <v>50</v>
      </c>
      <c r="F437" s="190">
        <f>'HIRE CHARGES'!E551</f>
        <v>28</v>
      </c>
      <c r="G437" s="190">
        <f t="shared" si="4"/>
        <v>1400</v>
      </c>
    </row>
    <row r="438" spans="2:7">
      <c r="B438" s="114">
        <v>10</v>
      </c>
      <c r="C438" s="135" t="s">
        <v>2373</v>
      </c>
      <c r="D438" s="319" t="s">
        <v>2173</v>
      </c>
      <c r="E438" s="190">
        <v>1000</v>
      </c>
      <c r="F438" s="214">
        <f>'BASIC DATA'!D359</f>
        <v>30</v>
      </c>
      <c r="G438" s="190">
        <f t="shared" si="4"/>
        <v>30000</v>
      </c>
    </row>
    <row r="439" spans="2:7">
      <c r="B439" s="176"/>
      <c r="C439" s="193" t="s">
        <v>2380</v>
      </c>
      <c r="D439" s="193"/>
      <c r="E439" s="208"/>
      <c r="F439" s="236" t="s">
        <v>1698</v>
      </c>
      <c r="G439" s="318">
        <f>SUM(G420:G438)</f>
        <v>438985.8</v>
      </c>
    </row>
    <row r="440" spans="2:7"/>
    <row r="441" spans="2:7">
      <c r="B441" s="79" t="s">
        <v>2381</v>
      </c>
    </row>
    <row r="442" spans="2:7">
      <c r="B442" s="95" t="s">
        <v>2369</v>
      </c>
      <c r="C442" s="157" t="s">
        <v>2378</v>
      </c>
      <c r="D442" s="95" t="s">
        <v>2370</v>
      </c>
      <c r="E442" s="95" t="s">
        <v>1166</v>
      </c>
      <c r="F442" s="95" t="s">
        <v>2371</v>
      </c>
      <c r="G442" s="95" t="s">
        <v>2372</v>
      </c>
    </row>
    <row r="443" spans="2:7">
      <c r="B443" s="114"/>
      <c r="C443" s="154"/>
      <c r="D443" s="114"/>
      <c r="E443" s="114"/>
      <c r="F443" s="114" t="s">
        <v>3485</v>
      </c>
      <c r="G443" s="114" t="s">
        <v>3485</v>
      </c>
    </row>
    <row r="444" spans="2:7">
      <c r="B444" s="105">
        <v>1</v>
      </c>
      <c r="C444" s="76" t="s">
        <v>5542</v>
      </c>
      <c r="D444" s="319" t="s">
        <v>2374</v>
      </c>
      <c r="E444" s="207">
        <v>150</v>
      </c>
      <c r="F444" s="190">
        <f>'HIRE CHARGES'!F550</f>
        <v>177.5</v>
      </c>
      <c r="G444" s="190">
        <f>E444*F444</f>
        <v>26625</v>
      </c>
    </row>
    <row r="445" spans="2:7">
      <c r="B445" s="105">
        <v>2</v>
      </c>
      <c r="C445" s="76" t="s">
        <v>5541</v>
      </c>
      <c r="D445" s="319" t="s">
        <v>2374</v>
      </c>
      <c r="E445" s="207">
        <v>10</v>
      </c>
      <c r="F445" s="190">
        <f>'HIRE CHARGES'!F547</f>
        <v>189.3</v>
      </c>
      <c r="G445" s="190">
        <f t="shared" ref="G445:G456" si="5">E445*F445</f>
        <v>1893</v>
      </c>
    </row>
    <row r="446" spans="2:7">
      <c r="B446" s="105">
        <v>3</v>
      </c>
      <c r="C446" s="76" t="s">
        <v>5318</v>
      </c>
      <c r="D446" s="319" t="s">
        <v>2374</v>
      </c>
      <c r="E446" s="207">
        <v>238</v>
      </c>
      <c r="F446" s="190">
        <f>'HIRE CHARGES'!F503</f>
        <v>131.80000000000001</v>
      </c>
      <c r="G446" s="190">
        <f t="shared" si="5"/>
        <v>31368.400000000001</v>
      </c>
    </row>
    <row r="447" spans="2:7">
      <c r="B447" s="105">
        <v>4</v>
      </c>
      <c r="C447" s="76" t="s">
        <v>5545</v>
      </c>
      <c r="D447" s="319" t="s">
        <v>2374</v>
      </c>
      <c r="E447" s="207">
        <v>50</v>
      </c>
      <c r="F447" s="190">
        <f>'HIRE CHARGES'!F551</f>
        <v>198.9</v>
      </c>
      <c r="G447" s="190">
        <f t="shared" si="5"/>
        <v>9945</v>
      </c>
    </row>
    <row r="448" spans="2:7">
      <c r="B448" s="105">
        <v>5</v>
      </c>
      <c r="C448" s="76" t="s">
        <v>5546</v>
      </c>
      <c r="D448" s="319" t="s">
        <v>2374</v>
      </c>
      <c r="E448" s="207">
        <v>50</v>
      </c>
      <c r="F448" s="190">
        <f>'HIRE CHARGES'!F551</f>
        <v>198.9</v>
      </c>
      <c r="G448" s="190">
        <f t="shared" si="5"/>
        <v>9945</v>
      </c>
    </row>
    <row r="449" spans="2:7">
      <c r="B449" s="105">
        <v>6</v>
      </c>
      <c r="C449" s="76" t="s">
        <v>2468</v>
      </c>
      <c r="D449" s="319" t="s">
        <v>1172</v>
      </c>
      <c r="E449" s="207">
        <f>D372</f>
        <v>155</v>
      </c>
      <c r="F449" s="190">
        <f>'BASIC DATA'!C471</f>
        <v>510</v>
      </c>
      <c r="G449" s="190">
        <f t="shared" si="5"/>
        <v>79050</v>
      </c>
    </row>
    <row r="450" spans="2:7">
      <c r="B450" s="105">
        <v>7</v>
      </c>
      <c r="C450" s="76" t="s">
        <v>5547</v>
      </c>
      <c r="D450" s="319" t="s">
        <v>1172</v>
      </c>
      <c r="E450" s="207">
        <f>E372</f>
        <v>226</v>
      </c>
      <c r="F450" s="190">
        <f>'BASIC DATA'!C503</f>
        <v>550</v>
      </c>
      <c r="G450" s="190">
        <f t="shared" si="5"/>
        <v>124300</v>
      </c>
    </row>
    <row r="451" spans="2:7">
      <c r="B451" s="105">
        <v>8</v>
      </c>
      <c r="C451" s="76" t="s">
        <v>3010</v>
      </c>
      <c r="D451" s="319" t="s">
        <v>1172</v>
      </c>
      <c r="E451" s="207">
        <v>56</v>
      </c>
      <c r="F451" s="190">
        <f>'BASIC DATA'!C504</f>
        <v>445</v>
      </c>
      <c r="G451" s="190">
        <f t="shared" si="5"/>
        <v>24920</v>
      </c>
    </row>
    <row r="452" spans="2:7">
      <c r="B452" s="105">
        <v>9</v>
      </c>
      <c r="C452" s="76" t="s">
        <v>3013</v>
      </c>
      <c r="D452" s="319" t="s">
        <v>1172</v>
      </c>
      <c r="E452" s="207">
        <v>307</v>
      </c>
      <c r="F452" s="190">
        <f>'BASIC DATA'!C504</f>
        <v>445</v>
      </c>
      <c r="G452" s="190">
        <f t="shared" si="5"/>
        <v>136615</v>
      </c>
    </row>
    <row r="453" spans="2:7">
      <c r="B453" s="105">
        <v>10</v>
      </c>
      <c r="C453" s="76" t="s">
        <v>5548</v>
      </c>
      <c r="D453" s="319" t="s">
        <v>1172</v>
      </c>
      <c r="E453" s="207">
        <v>34</v>
      </c>
      <c r="F453" s="190">
        <f>'BASIC DATA'!C505</f>
        <v>510</v>
      </c>
      <c r="G453" s="190">
        <f t="shared" si="5"/>
        <v>17340</v>
      </c>
    </row>
    <row r="454" spans="2:7">
      <c r="B454" s="105">
        <v>11</v>
      </c>
      <c r="C454" s="76" t="s">
        <v>3012</v>
      </c>
      <c r="D454" s="319" t="s">
        <v>1172</v>
      </c>
      <c r="E454" s="207">
        <v>250</v>
      </c>
      <c r="F454" s="190">
        <f>'BASIC DATA'!C500</f>
        <v>445</v>
      </c>
      <c r="G454" s="190">
        <f t="shared" si="5"/>
        <v>111250</v>
      </c>
    </row>
    <row r="455" spans="2:7">
      <c r="B455" s="105">
        <v>12</v>
      </c>
      <c r="C455" s="76" t="s">
        <v>3011</v>
      </c>
      <c r="D455" s="319" t="s">
        <v>1172</v>
      </c>
      <c r="E455" s="207">
        <f>G372</f>
        <v>1105</v>
      </c>
      <c r="F455" s="190">
        <f>'BASIC DATA'!C529</f>
        <v>400</v>
      </c>
      <c r="G455" s="190">
        <f t="shared" si="5"/>
        <v>442000</v>
      </c>
    </row>
    <row r="456" spans="2:7">
      <c r="B456" s="105">
        <v>13</v>
      </c>
      <c r="C456" s="76" t="s">
        <v>5604</v>
      </c>
      <c r="D456" s="319" t="s">
        <v>1172</v>
      </c>
      <c r="E456" s="207">
        <v>30</v>
      </c>
      <c r="F456" s="190">
        <f>'BASIC DATA'!C468</f>
        <v>515</v>
      </c>
      <c r="G456" s="190">
        <f t="shared" si="5"/>
        <v>15450</v>
      </c>
    </row>
    <row r="457" spans="2:7">
      <c r="B457" s="92"/>
      <c r="C457" s="193"/>
      <c r="D457" s="151" t="s">
        <v>1174</v>
      </c>
      <c r="E457" s="160"/>
      <c r="F457" s="236" t="s">
        <v>1698</v>
      </c>
      <c r="G457" s="318">
        <f>SUM(G444:G456)</f>
        <v>1030701.4</v>
      </c>
    </row>
    <row r="458" spans="2:7">
      <c r="B458" s="60" t="s">
        <v>5948</v>
      </c>
      <c r="C458" s="31"/>
      <c r="D458" s="31"/>
      <c r="E458" s="85">
        <f>ROUND(G457/F387,1)</f>
        <v>17938.7</v>
      </c>
    </row>
    <row r="459" spans="2:7">
      <c r="B459" s="60" t="s">
        <v>3163</v>
      </c>
      <c r="C459" s="31"/>
      <c r="D459" s="31">
        <f>'BASIC DATA'!$C$577</f>
        <v>0.13614999999999999</v>
      </c>
      <c r="E459" s="85">
        <f>ROUND(E458*D459,1)</f>
        <v>2442.4</v>
      </c>
    </row>
    <row r="460" spans="2:7">
      <c r="B460" s="60" t="s">
        <v>5949</v>
      </c>
      <c r="C460" s="31"/>
      <c r="D460" s="31"/>
      <c r="E460" s="199">
        <f>E459+E458</f>
        <v>20381.100000000002</v>
      </c>
    </row>
    <row r="461" spans="2:7">
      <c r="B461" s="26"/>
    </row>
    <row r="462" spans="2:7">
      <c r="B462" s="170" t="s">
        <v>1175</v>
      </c>
    </row>
    <row r="463" spans="2:7">
      <c r="B463" s="26" t="s">
        <v>1176</v>
      </c>
      <c r="F463" s="171" t="s">
        <v>1698</v>
      </c>
      <c r="G463" s="68">
        <f>G415</f>
        <v>4860410.3999999994</v>
      </c>
    </row>
    <row r="464" spans="2:7">
      <c r="B464" s="26" t="s">
        <v>1186</v>
      </c>
      <c r="F464" s="171" t="s">
        <v>1698</v>
      </c>
      <c r="G464" s="68">
        <f>G439</f>
        <v>438985.8</v>
      </c>
    </row>
    <row r="465" spans="1:34">
      <c r="B465" s="26" t="s">
        <v>2660</v>
      </c>
      <c r="F465" s="171" t="s">
        <v>1698</v>
      </c>
      <c r="G465" s="75">
        <f>G457</f>
        <v>1030701.4</v>
      </c>
    </row>
    <row r="466" spans="1:34">
      <c r="B466" s="26"/>
      <c r="E466" s="171" t="s">
        <v>5551</v>
      </c>
      <c r="F466" s="171" t="s">
        <v>1698</v>
      </c>
      <c r="G466" s="205">
        <f>SUM(G463:G465)</f>
        <v>6330097.5999999996</v>
      </c>
    </row>
    <row r="467" spans="1:34">
      <c r="B467" s="26" t="s">
        <v>5087</v>
      </c>
      <c r="E467" s="693">
        <f>'BASIC DATA'!C593</f>
        <v>0</v>
      </c>
      <c r="F467" s="171" t="s">
        <v>1698</v>
      </c>
      <c r="G467" s="68">
        <f>(G465+G464)*E467*0.75</f>
        <v>0</v>
      </c>
    </row>
    <row r="468" spans="1:34">
      <c r="B468" s="26" t="s">
        <v>5084</v>
      </c>
      <c r="E468" s="171" t="s">
        <v>1518</v>
      </c>
      <c r="F468" s="171" t="s">
        <v>1698</v>
      </c>
      <c r="G468" s="205">
        <f>G467+G466</f>
        <v>6330097.5999999996</v>
      </c>
    </row>
    <row r="469" spans="1:34">
      <c r="B469" s="26" t="s">
        <v>5086</v>
      </c>
      <c r="E469" s="201">
        <f>'BASIC DATA'!C594</f>
        <v>0.03</v>
      </c>
      <c r="F469" s="171" t="s">
        <v>1698</v>
      </c>
      <c r="G469" s="75">
        <f>G468*E469</f>
        <v>189902.92799999999</v>
      </c>
    </row>
    <row r="470" spans="1:34">
      <c r="B470" s="26"/>
      <c r="E470" s="26" t="s">
        <v>2392</v>
      </c>
      <c r="F470" s="171" t="s">
        <v>1698</v>
      </c>
      <c r="G470" s="75">
        <f>G469+G468</f>
        <v>6520000.5279999999</v>
      </c>
    </row>
    <row r="471" spans="1:34">
      <c r="B471" s="1206" t="s">
        <v>4717</v>
      </c>
      <c r="C471" s="1206"/>
      <c r="D471" s="201">
        <f>'BASIC DATA'!$C$577</f>
        <v>0.13614999999999999</v>
      </c>
      <c r="F471" s="171" t="s">
        <v>1698</v>
      </c>
      <c r="G471" s="75">
        <f>G470*D471</f>
        <v>887698.0718872</v>
      </c>
      <c r="I471" s="68"/>
    </row>
    <row r="472" spans="1:34">
      <c r="B472" s="26" t="s">
        <v>898</v>
      </c>
    </row>
    <row r="473" spans="1:34">
      <c r="B473" s="47" t="s">
        <v>897</v>
      </c>
      <c r="D473" s="48"/>
      <c r="E473" s="68">
        <f>leadcharges!F65</f>
        <v>19</v>
      </c>
      <c r="F473" s="27" t="s">
        <v>1279</v>
      </c>
      <c r="G473" s="76">
        <f>2*ROUND(E473*F387,3)</f>
        <v>2183.366</v>
      </c>
      <c r="AH473" s="68"/>
    </row>
    <row r="474" spans="1:34">
      <c r="B474" s="47" t="s">
        <v>896</v>
      </c>
      <c r="D474" s="48"/>
      <c r="E474" s="68">
        <f>leadcharges!$G$79</f>
        <v>74.8</v>
      </c>
      <c r="F474" s="27" t="s">
        <v>1279</v>
      </c>
      <c r="G474" s="76">
        <f>2*ROUND(E474*F387,3)</f>
        <v>8595.5679999999993</v>
      </c>
    </row>
    <row r="475" spans="1:34">
      <c r="B475" s="26" t="s">
        <v>5078</v>
      </c>
      <c r="D475" s="278">
        <f>F387</f>
        <v>57.457000000000001</v>
      </c>
      <c r="E475" s="26" t="s">
        <v>3480</v>
      </c>
      <c r="F475" s="171" t="s">
        <v>1698</v>
      </c>
      <c r="G475" s="205">
        <f>G471+G470+G473+G474</f>
        <v>7418477.5338872001</v>
      </c>
    </row>
    <row r="476" spans="1:34">
      <c r="D476" s="170" t="s">
        <v>1584</v>
      </c>
      <c r="E476" s="170" t="s">
        <v>6900</v>
      </c>
      <c r="F476" s="171" t="s">
        <v>4108</v>
      </c>
      <c r="G476" s="211">
        <f>ROUND(G475/D475,1)</f>
        <v>129113.60000000001</v>
      </c>
    </row>
    <row r="477" spans="1:34">
      <c r="F477" s="171"/>
      <c r="G477" s="68"/>
      <c r="AG477" s="26">
        <f>AG476*1.04</f>
        <v>0</v>
      </c>
    </row>
    <row r="478" spans="1:34">
      <c r="B478" s="26"/>
      <c r="C478" s="78"/>
    </row>
    <row r="479" spans="1:34">
      <c r="A479" s="26" t="s">
        <v>7163</v>
      </c>
      <c r="B479" s="170" t="s">
        <v>689</v>
      </c>
      <c r="E479" s="78"/>
      <c r="G479" s="171"/>
      <c r="H479" s="27"/>
    </row>
    <row r="480" spans="1:34">
      <c r="B480" s="26"/>
    </row>
    <row r="481" spans="1:6" ht="18.75">
      <c r="B481" s="26" t="s">
        <v>9030</v>
      </c>
    </row>
    <row r="482" spans="1:6">
      <c r="A482" s="26"/>
      <c r="B482" s="26" t="s">
        <v>9031</v>
      </c>
    </row>
    <row r="483" spans="1:6">
      <c r="A483" s="26"/>
      <c r="B483" s="26" t="s">
        <v>5319</v>
      </c>
    </row>
    <row r="484" spans="1:6" ht="18.75">
      <c r="A484" s="26"/>
      <c r="B484" s="26" t="s">
        <v>9032</v>
      </c>
    </row>
    <row r="485" spans="1:6">
      <c r="A485" s="26"/>
      <c r="B485" s="26" t="s">
        <v>2201</v>
      </c>
    </row>
    <row r="486" spans="1:6">
      <c r="A486" s="26"/>
      <c r="B486" s="26" t="s">
        <v>2202</v>
      </c>
      <c r="F486" s="322"/>
    </row>
    <row r="487" spans="1:6">
      <c r="A487" s="26"/>
      <c r="B487" s="26" t="s">
        <v>538</v>
      </c>
      <c r="F487" s="322"/>
    </row>
    <row r="488" spans="1:6">
      <c r="A488" s="26"/>
      <c r="B488" s="26" t="s">
        <v>528</v>
      </c>
      <c r="F488" s="322"/>
    </row>
    <row r="489" spans="1:6">
      <c r="A489" s="26"/>
      <c r="F489" s="322"/>
    </row>
    <row r="490" spans="1:6" hidden="1">
      <c r="A490" s="78" t="s">
        <v>3984</v>
      </c>
      <c r="B490" s="26" t="s">
        <v>2586</v>
      </c>
      <c r="E490" s="322"/>
    </row>
    <row r="491" spans="1:6" hidden="1">
      <c r="A491" s="26"/>
      <c r="B491" s="26" t="s">
        <v>1081</v>
      </c>
    </row>
    <row r="492" spans="1:6" hidden="1">
      <c r="A492" s="26"/>
      <c r="B492" s="26" t="s">
        <v>1058</v>
      </c>
    </row>
    <row r="493" spans="1:6" hidden="1">
      <c r="A493" s="26"/>
      <c r="B493" s="26" t="s">
        <v>1213</v>
      </c>
    </row>
    <row r="494" spans="1:6" hidden="1">
      <c r="A494" s="26"/>
      <c r="B494" s="26" t="s">
        <v>2152</v>
      </c>
    </row>
    <row r="495" spans="1:6" hidden="1">
      <c r="A495" s="26"/>
      <c r="B495" s="26" t="s">
        <v>4637</v>
      </c>
    </row>
    <row r="496" spans="1:6" hidden="1">
      <c r="A496" s="26"/>
      <c r="B496" s="26" t="s">
        <v>2620</v>
      </c>
    </row>
    <row r="497" spans="1:7" hidden="1">
      <c r="A497" s="26"/>
      <c r="B497" s="26"/>
    </row>
    <row r="498" spans="1:7" hidden="1">
      <c r="A498" s="26"/>
      <c r="B498" s="26" t="s">
        <v>2083</v>
      </c>
    </row>
    <row r="499" spans="1:7" hidden="1">
      <c r="A499" s="26"/>
      <c r="B499" s="26"/>
    </row>
    <row r="500" spans="1:7" hidden="1">
      <c r="A500" s="26"/>
      <c r="B500" s="26" t="s">
        <v>2084</v>
      </c>
      <c r="E500" s="315" t="s">
        <v>1697</v>
      </c>
      <c r="F500" s="26">
        <v>86.504000000000005</v>
      </c>
    </row>
    <row r="501" spans="1:7" hidden="1">
      <c r="A501" s="26"/>
      <c r="B501" s="26"/>
      <c r="E501" s="338" t="s">
        <v>1123</v>
      </c>
      <c r="F501" s="68">
        <v>90</v>
      </c>
      <c r="G501" s="26" t="s">
        <v>45</v>
      </c>
    </row>
    <row r="502" spans="1:7" hidden="1">
      <c r="A502" s="26"/>
      <c r="B502" s="26" t="s">
        <v>1703</v>
      </c>
    </row>
    <row r="503" spans="1:7" hidden="1">
      <c r="A503" s="26"/>
      <c r="B503" s="26" t="s">
        <v>5964</v>
      </c>
      <c r="E503" s="315" t="s">
        <v>1697</v>
      </c>
      <c r="F503" s="26">
        <v>15.75</v>
      </c>
      <c r="G503" s="26" t="s">
        <v>45</v>
      </c>
    </row>
    <row r="504" spans="1:7" hidden="1">
      <c r="A504" s="26"/>
      <c r="B504" s="26" t="s">
        <v>5965</v>
      </c>
      <c r="E504" s="315" t="s">
        <v>1697</v>
      </c>
      <c r="F504" s="26">
        <v>15.44</v>
      </c>
      <c r="G504" s="26" t="s">
        <v>45</v>
      </c>
    </row>
    <row r="505" spans="1:7" hidden="1">
      <c r="A505" s="26"/>
      <c r="B505" s="26" t="s">
        <v>240</v>
      </c>
    </row>
    <row r="506" spans="1:7" hidden="1">
      <c r="A506" s="78">
        <v>1</v>
      </c>
      <c r="B506" s="26" t="s">
        <v>8014</v>
      </c>
    </row>
    <row r="507" spans="1:7" hidden="1">
      <c r="A507" s="171" t="s">
        <v>1535</v>
      </c>
      <c r="B507" s="26" t="s">
        <v>241</v>
      </c>
    </row>
    <row r="508" spans="1:7" hidden="1">
      <c r="B508" s="26" t="s">
        <v>5966</v>
      </c>
      <c r="E508" s="315" t="s">
        <v>1697</v>
      </c>
      <c r="F508" s="68">
        <v>2571</v>
      </c>
      <c r="G508" s="26" t="s">
        <v>3478</v>
      </c>
    </row>
    <row r="509" spans="1:7" hidden="1">
      <c r="B509" s="26" t="s">
        <v>5967</v>
      </c>
      <c r="E509" s="315" t="s">
        <v>1697</v>
      </c>
      <c r="F509" s="68">
        <v>3632</v>
      </c>
      <c r="G509" s="26" t="s">
        <v>3478</v>
      </c>
    </row>
    <row r="510" spans="1:7" hidden="1">
      <c r="A510" s="171" t="s">
        <v>5400</v>
      </c>
      <c r="B510" s="26" t="s">
        <v>5165</v>
      </c>
      <c r="F510" s="68"/>
    </row>
    <row r="511" spans="1:7" hidden="1">
      <c r="A511" s="171"/>
      <c r="B511" s="26" t="s">
        <v>5968</v>
      </c>
      <c r="E511" s="315" t="s">
        <v>1697</v>
      </c>
      <c r="F511" s="68">
        <v>3680</v>
      </c>
      <c r="G511" s="26" t="s">
        <v>3478</v>
      </c>
    </row>
    <row r="512" spans="1:7" hidden="1">
      <c r="A512" s="171"/>
      <c r="B512" s="26" t="s">
        <v>5969</v>
      </c>
      <c r="E512" s="315" t="s">
        <v>1697</v>
      </c>
      <c r="F512" s="68">
        <v>218</v>
      </c>
      <c r="G512" s="26" t="s">
        <v>3478</v>
      </c>
    </row>
    <row r="513" spans="1:7" hidden="1">
      <c r="A513" s="171"/>
      <c r="B513" s="26" t="s">
        <v>5970</v>
      </c>
      <c r="E513" s="315" t="s">
        <v>1697</v>
      </c>
      <c r="F513" s="68">
        <v>1080</v>
      </c>
      <c r="G513" s="26" t="s">
        <v>3478</v>
      </c>
    </row>
    <row r="514" spans="1:7" hidden="1">
      <c r="A514" s="171"/>
      <c r="B514" s="26" t="s">
        <v>5971</v>
      </c>
      <c r="E514" s="315" t="s">
        <v>1697</v>
      </c>
      <c r="F514" s="68">
        <v>322</v>
      </c>
      <c r="G514" s="26" t="s">
        <v>3478</v>
      </c>
    </row>
    <row r="515" spans="1:7" hidden="1">
      <c r="A515" s="171" t="s">
        <v>5401</v>
      </c>
      <c r="B515" s="26" t="s">
        <v>5162</v>
      </c>
      <c r="F515" s="68"/>
    </row>
    <row r="516" spans="1:7" hidden="1">
      <c r="A516" s="171"/>
      <c r="B516" s="26" t="s">
        <v>5972</v>
      </c>
      <c r="E516" s="315" t="s">
        <v>1697</v>
      </c>
      <c r="F516" s="68">
        <v>557</v>
      </c>
      <c r="G516" s="26" t="s">
        <v>3478</v>
      </c>
    </row>
    <row r="517" spans="1:7" hidden="1">
      <c r="A517" s="171"/>
      <c r="B517" s="26" t="s">
        <v>6394</v>
      </c>
      <c r="E517" s="315" t="s">
        <v>1697</v>
      </c>
      <c r="F517" s="68">
        <v>546</v>
      </c>
      <c r="G517" s="26" t="s">
        <v>3478</v>
      </c>
    </row>
    <row r="518" spans="1:7" hidden="1">
      <c r="A518" s="171" t="s">
        <v>1696</v>
      </c>
      <c r="B518" s="26" t="s">
        <v>6988</v>
      </c>
      <c r="F518" s="68"/>
    </row>
    <row r="519" spans="1:7" hidden="1">
      <c r="A519" s="171"/>
      <c r="B519" s="26" t="s">
        <v>6989</v>
      </c>
      <c r="E519" s="315" t="s">
        <v>1697</v>
      </c>
      <c r="F519" s="68">
        <v>144</v>
      </c>
      <c r="G519" s="26" t="s">
        <v>3478</v>
      </c>
    </row>
    <row r="520" spans="1:7" hidden="1">
      <c r="A520" s="171" t="s">
        <v>5082</v>
      </c>
      <c r="B520" s="26" t="s">
        <v>5128</v>
      </c>
      <c r="F520" s="68"/>
    </row>
    <row r="521" spans="1:7" hidden="1">
      <c r="A521" s="171"/>
      <c r="B521" s="26" t="s">
        <v>3606</v>
      </c>
      <c r="E521" s="315" t="s">
        <v>1697</v>
      </c>
      <c r="F521" s="68">
        <v>85</v>
      </c>
      <c r="G521" s="26" t="s">
        <v>3478</v>
      </c>
    </row>
    <row r="522" spans="1:7" hidden="1">
      <c r="A522" s="171" t="s">
        <v>2408</v>
      </c>
      <c r="B522" s="26" t="s">
        <v>3607</v>
      </c>
      <c r="F522" s="68"/>
    </row>
    <row r="523" spans="1:7" hidden="1">
      <c r="A523" s="171"/>
      <c r="B523" s="26" t="s">
        <v>1704</v>
      </c>
      <c r="E523" s="315" t="s">
        <v>1697</v>
      </c>
      <c r="F523" s="68">
        <v>448</v>
      </c>
      <c r="G523" s="26" t="s">
        <v>3478</v>
      </c>
    </row>
    <row r="524" spans="1:7" hidden="1">
      <c r="A524" s="171" t="s">
        <v>2410</v>
      </c>
      <c r="B524" s="26" t="s">
        <v>1705</v>
      </c>
    </row>
    <row r="525" spans="1:7" hidden="1">
      <c r="A525" s="171"/>
      <c r="B525" s="26" t="s">
        <v>1706</v>
      </c>
      <c r="E525" s="315" t="s">
        <v>1697</v>
      </c>
      <c r="F525" s="26">
        <v>1</v>
      </c>
      <c r="G525" s="26" t="s">
        <v>4089</v>
      </c>
    </row>
    <row r="526" spans="1:7" hidden="1">
      <c r="A526" s="171"/>
      <c r="B526" s="26" t="s">
        <v>1707</v>
      </c>
      <c r="E526" s="315" t="s">
        <v>1697</v>
      </c>
      <c r="F526" s="26">
        <v>1</v>
      </c>
      <c r="G526" s="26" t="s">
        <v>4089</v>
      </c>
    </row>
    <row r="527" spans="1:7" hidden="1">
      <c r="A527" s="171"/>
      <c r="B527" s="26" t="s">
        <v>1708</v>
      </c>
      <c r="E527" s="315" t="s">
        <v>1697</v>
      </c>
      <c r="F527" s="26">
        <v>1</v>
      </c>
      <c r="G527" s="26" t="s">
        <v>4089</v>
      </c>
    </row>
    <row r="528" spans="1:7" hidden="1">
      <c r="A528" s="171"/>
      <c r="B528" s="26" t="s">
        <v>6185</v>
      </c>
      <c r="E528" s="315" t="s">
        <v>1697</v>
      </c>
      <c r="F528" s="26">
        <v>1</v>
      </c>
      <c r="G528" s="26" t="s">
        <v>4089</v>
      </c>
    </row>
    <row r="529" spans="1:7" hidden="1">
      <c r="A529" s="171"/>
      <c r="B529" s="26" t="s">
        <v>6186</v>
      </c>
      <c r="E529" s="315" t="s">
        <v>1697</v>
      </c>
      <c r="F529" s="26">
        <v>1</v>
      </c>
      <c r="G529" s="26" t="s">
        <v>4089</v>
      </c>
    </row>
    <row r="530" spans="1:7" hidden="1">
      <c r="A530" s="171"/>
      <c r="B530" s="26" t="s">
        <v>6187</v>
      </c>
      <c r="E530" s="315" t="s">
        <v>1697</v>
      </c>
      <c r="F530" s="26">
        <v>2</v>
      </c>
      <c r="G530" s="26" t="s">
        <v>2059</v>
      </c>
    </row>
    <row r="531" spans="1:7" hidden="1">
      <c r="A531" s="171"/>
      <c r="B531" s="26" t="s">
        <v>6188</v>
      </c>
      <c r="E531" s="315" t="s">
        <v>1697</v>
      </c>
      <c r="F531" s="26">
        <v>1000</v>
      </c>
      <c r="G531" s="26" t="s">
        <v>3478</v>
      </c>
    </row>
    <row r="532" spans="1:7" hidden="1">
      <c r="A532" s="171"/>
      <c r="B532" s="26" t="s">
        <v>6400</v>
      </c>
      <c r="E532" s="315" t="s">
        <v>1697</v>
      </c>
      <c r="F532" s="26">
        <v>1</v>
      </c>
      <c r="G532" s="26" t="s">
        <v>6927</v>
      </c>
    </row>
    <row r="533" spans="1:7" hidden="1">
      <c r="A533" s="171" t="s">
        <v>6401</v>
      </c>
      <c r="B533" s="26" t="s">
        <v>1195</v>
      </c>
    </row>
    <row r="534" spans="1:7" hidden="1">
      <c r="A534" s="171"/>
      <c r="B534" s="26" t="s">
        <v>517</v>
      </c>
      <c r="E534" s="315" t="s">
        <v>1697</v>
      </c>
      <c r="F534" s="26">
        <v>530</v>
      </c>
      <c r="G534" s="26" t="s">
        <v>2059</v>
      </c>
    </row>
    <row r="535" spans="1:7" hidden="1">
      <c r="B535" s="26" t="s">
        <v>519</v>
      </c>
      <c r="E535" s="315" t="s">
        <v>1697</v>
      </c>
      <c r="F535" s="26">
        <v>4776</v>
      </c>
      <c r="G535" s="26" t="s">
        <v>2059</v>
      </c>
    </row>
    <row r="536" spans="1:7" hidden="1">
      <c r="A536" s="78">
        <v>2</v>
      </c>
      <c r="B536" s="26" t="s">
        <v>2281</v>
      </c>
      <c r="E536" s="315"/>
    </row>
    <row r="537" spans="1:7" hidden="1">
      <c r="B537" s="26" t="s">
        <v>4962</v>
      </c>
      <c r="E537" s="315" t="s">
        <v>1697</v>
      </c>
      <c r="F537" s="26">
        <v>255</v>
      </c>
      <c r="G537" s="26" t="s">
        <v>3483</v>
      </c>
    </row>
    <row r="538" spans="1:7" hidden="1">
      <c r="B538" s="26" t="s">
        <v>2985</v>
      </c>
      <c r="E538" s="315" t="s">
        <v>1697</v>
      </c>
      <c r="F538" s="174">
        <v>25</v>
      </c>
      <c r="G538" s="26" t="s">
        <v>3483</v>
      </c>
    </row>
    <row r="539" spans="1:7" hidden="1">
      <c r="B539" s="26"/>
      <c r="D539" s="78" t="s">
        <v>1518</v>
      </c>
      <c r="E539" s="315" t="s">
        <v>1697</v>
      </c>
      <c r="F539" s="26">
        <v>280</v>
      </c>
      <c r="G539" s="26" t="s">
        <v>3483</v>
      </c>
    </row>
    <row r="540" spans="1:7" hidden="1">
      <c r="B540" s="26" t="s">
        <v>165</v>
      </c>
      <c r="E540" s="315"/>
    </row>
    <row r="541" spans="1:7" hidden="1">
      <c r="B541" s="26" t="s">
        <v>3532</v>
      </c>
      <c r="E541" s="315" t="s">
        <v>1697</v>
      </c>
      <c r="F541" s="26">
        <v>150</v>
      </c>
      <c r="G541" s="26" t="s">
        <v>2602</v>
      </c>
    </row>
    <row r="542" spans="1:7" hidden="1">
      <c r="B542" s="26" t="s">
        <v>3533</v>
      </c>
      <c r="E542" s="315" t="s">
        <v>1697</v>
      </c>
      <c r="F542" s="26">
        <v>130</v>
      </c>
      <c r="G542" s="26" t="s">
        <v>2602</v>
      </c>
    </row>
    <row r="543" spans="1:7" hidden="1">
      <c r="B543" s="26" t="s">
        <v>2278</v>
      </c>
      <c r="E543" s="315" t="s">
        <v>1697</v>
      </c>
      <c r="F543" s="26">
        <v>75</v>
      </c>
      <c r="G543" s="26" t="s">
        <v>4665</v>
      </c>
    </row>
    <row r="544" spans="1:7" hidden="1">
      <c r="B544" s="26" t="s">
        <v>2279</v>
      </c>
      <c r="E544" s="315" t="s">
        <v>1697</v>
      </c>
      <c r="F544" s="26">
        <v>44</v>
      </c>
      <c r="G544" s="26" t="s">
        <v>4665</v>
      </c>
    </row>
    <row r="545" spans="1:7" hidden="1">
      <c r="B545" s="26" t="s">
        <v>166</v>
      </c>
      <c r="E545" s="315" t="s">
        <v>1697</v>
      </c>
      <c r="F545" s="26">
        <v>71</v>
      </c>
      <c r="G545" s="26" t="s">
        <v>3477</v>
      </c>
    </row>
    <row r="546" spans="1:7" hidden="1">
      <c r="B546" s="26" t="s">
        <v>167</v>
      </c>
      <c r="E546" s="315" t="s">
        <v>1697</v>
      </c>
      <c r="F546" s="26">
        <v>213</v>
      </c>
      <c r="G546" s="26" t="s">
        <v>3477</v>
      </c>
    </row>
    <row r="547" spans="1:7" hidden="1">
      <c r="B547" s="26" t="s">
        <v>168</v>
      </c>
      <c r="E547" s="315" t="s">
        <v>1697</v>
      </c>
      <c r="F547" s="26">
        <v>90</v>
      </c>
      <c r="G547" s="26" t="s">
        <v>4665</v>
      </c>
    </row>
    <row r="548" spans="1:7" hidden="1">
      <c r="B548" s="26" t="s">
        <v>169</v>
      </c>
      <c r="E548" s="315" t="s">
        <v>1697</v>
      </c>
      <c r="F548" s="26">
        <v>53</v>
      </c>
      <c r="G548" s="26" t="s">
        <v>4665</v>
      </c>
    </row>
    <row r="549" spans="1:7" hidden="1">
      <c r="A549" s="78">
        <v>3</v>
      </c>
      <c r="B549" s="26" t="s">
        <v>4651</v>
      </c>
      <c r="E549" s="315"/>
    </row>
    <row r="550" spans="1:7" hidden="1">
      <c r="B550" s="26" t="s">
        <v>2504</v>
      </c>
      <c r="E550" s="315" t="s">
        <v>1697</v>
      </c>
      <c r="F550" s="26">
        <v>447</v>
      </c>
      <c r="G550" s="26" t="s">
        <v>3483</v>
      </c>
    </row>
    <row r="551" spans="1:7" hidden="1">
      <c r="B551" s="26" t="s">
        <v>5723</v>
      </c>
      <c r="E551" s="315"/>
    </row>
    <row r="552" spans="1:7" hidden="1">
      <c r="B552" s="27" t="s">
        <v>4639</v>
      </c>
      <c r="E552" s="315" t="s">
        <v>1697</v>
      </c>
      <c r="F552" s="26">
        <v>141</v>
      </c>
      <c r="G552" s="26" t="s">
        <v>4665</v>
      </c>
    </row>
    <row r="553" spans="1:7" hidden="1">
      <c r="B553" s="26" t="s">
        <v>1913</v>
      </c>
      <c r="E553" s="315"/>
    </row>
    <row r="554" spans="1:7" hidden="1">
      <c r="B554" s="27" t="s">
        <v>4640</v>
      </c>
      <c r="E554" s="315" t="s">
        <v>1697</v>
      </c>
      <c r="F554" s="174">
        <v>425</v>
      </c>
      <c r="G554" s="26" t="s">
        <v>4665</v>
      </c>
    </row>
    <row r="555" spans="1:7" hidden="1">
      <c r="B555" s="26"/>
      <c r="D555" s="78" t="s">
        <v>1518</v>
      </c>
      <c r="E555" s="315" t="s">
        <v>1697</v>
      </c>
      <c r="F555" s="26">
        <v>566</v>
      </c>
      <c r="G555" s="26" t="s">
        <v>4665</v>
      </c>
    </row>
    <row r="556" spans="1:7" hidden="1">
      <c r="B556" s="26" t="s">
        <v>4649</v>
      </c>
      <c r="E556" s="315"/>
    </row>
    <row r="557" spans="1:7" hidden="1">
      <c r="B557" s="26" t="s">
        <v>4649</v>
      </c>
      <c r="E557" s="315"/>
    </row>
    <row r="558" spans="1:7" hidden="1">
      <c r="B558" s="26" t="s">
        <v>2657</v>
      </c>
      <c r="E558" s="315"/>
    </row>
    <row r="559" spans="1:7" hidden="1">
      <c r="B559" s="27" t="s">
        <v>1817</v>
      </c>
      <c r="E559" s="315" t="s">
        <v>1697</v>
      </c>
      <c r="F559" s="26">
        <v>354</v>
      </c>
      <c r="G559" s="26" t="s">
        <v>4665</v>
      </c>
    </row>
    <row r="560" spans="1:7" hidden="1">
      <c r="B560" s="26"/>
      <c r="E560" s="315"/>
    </row>
    <row r="561" spans="1:7" hidden="1">
      <c r="A561" s="78">
        <v>4</v>
      </c>
      <c r="B561" s="26" t="s">
        <v>4249</v>
      </c>
    </row>
    <row r="562" spans="1:7" hidden="1">
      <c r="B562" s="26" t="s">
        <v>1818</v>
      </c>
    </row>
    <row r="563" spans="1:7" hidden="1">
      <c r="B563" s="26" t="s">
        <v>4843</v>
      </c>
    </row>
    <row r="564" spans="1:7" hidden="1">
      <c r="B564" s="26" t="s">
        <v>6009</v>
      </c>
    </row>
    <row r="565" spans="1:7" hidden="1">
      <c r="B565" s="26" t="s">
        <v>6010</v>
      </c>
    </row>
    <row r="566" spans="1:7" hidden="1">
      <c r="B566" s="26" t="s">
        <v>6011</v>
      </c>
    </row>
    <row r="567" spans="1:7" ht="18.75" hidden="1" thickBot="1">
      <c r="A567" s="78">
        <v>5</v>
      </c>
      <c r="B567" s="31" t="s">
        <v>4900</v>
      </c>
      <c r="C567" s="31"/>
      <c r="D567" s="699"/>
      <c r="E567" s="700"/>
      <c r="F567" s="699"/>
      <c r="G567" s="174"/>
    </row>
    <row r="568" spans="1:7" hidden="1">
      <c r="B568" s="1260" t="s">
        <v>4901</v>
      </c>
      <c r="C568" s="1261"/>
      <c r="D568" s="31" t="s">
        <v>2468</v>
      </c>
      <c r="E568" s="31" t="s">
        <v>4902</v>
      </c>
      <c r="F568" s="31" t="s">
        <v>4903</v>
      </c>
      <c r="G568" s="195" t="s">
        <v>6199</v>
      </c>
    </row>
    <row r="569" spans="1:7" hidden="1">
      <c r="B569" s="1262"/>
      <c r="C569" s="1263"/>
      <c r="D569" s="31"/>
      <c r="E569" s="31" t="s">
        <v>4904</v>
      </c>
      <c r="F569" s="31" t="s">
        <v>4905</v>
      </c>
      <c r="G569" s="189"/>
    </row>
    <row r="570" spans="1:7" ht="18.75" hidden="1" thickBot="1">
      <c r="B570" s="1264"/>
      <c r="C570" s="1265"/>
      <c r="D570" s="699"/>
      <c r="E570" s="699" t="s">
        <v>6307</v>
      </c>
      <c r="F570" s="702"/>
      <c r="G570" s="703"/>
    </row>
    <row r="571" spans="1:7" hidden="1">
      <c r="B571" s="147" t="s">
        <v>6012</v>
      </c>
      <c r="C571" s="189"/>
      <c r="D571" s="78">
        <v>9</v>
      </c>
      <c r="E571" s="78">
        <v>18</v>
      </c>
      <c r="F571" s="78">
        <v>18</v>
      </c>
      <c r="G571" s="276">
        <v>36</v>
      </c>
    </row>
    <row r="572" spans="1:7" hidden="1">
      <c r="B572" s="147" t="s">
        <v>6584</v>
      </c>
      <c r="C572" s="189"/>
      <c r="D572" s="78">
        <v>1</v>
      </c>
      <c r="E572" s="78">
        <v>2</v>
      </c>
      <c r="F572" s="78" t="s">
        <v>5854</v>
      </c>
      <c r="G572" s="276">
        <v>2</v>
      </c>
    </row>
    <row r="573" spans="1:7" hidden="1">
      <c r="B573" s="147" t="s">
        <v>3266</v>
      </c>
      <c r="C573" s="189"/>
      <c r="D573" s="78">
        <v>9</v>
      </c>
      <c r="E573" s="78">
        <v>18</v>
      </c>
      <c r="F573" s="78" t="s">
        <v>5854</v>
      </c>
      <c r="G573" s="276">
        <v>36</v>
      </c>
    </row>
    <row r="574" spans="1:7" hidden="1">
      <c r="B574" s="147" t="s">
        <v>3267</v>
      </c>
      <c r="C574" s="189"/>
      <c r="D574" s="78">
        <v>5</v>
      </c>
      <c r="E574" s="78" t="s">
        <v>5854</v>
      </c>
      <c r="F574" s="78">
        <v>53</v>
      </c>
      <c r="G574" s="276">
        <v>53</v>
      </c>
    </row>
    <row r="575" spans="1:7" hidden="1">
      <c r="B575" s="147" t="s">
        <v>3268</v>
      </c>
      <c r="C575" s="189"/>
      <c r="D575" s="78">
        <v>2</v>
      </c>
      <c r="E575" s="78">
        <v>2</v>
      </c>
      <c r="F575" s="78" t="s">
        <v>5854</v>
      </c>
      <c r="G575" s="276">
        <v>4</v>
      </c>
    </row>
    <row r="576" spans="1:7" hidden="1">
      <c r="B576" s="147" t="s">
        <v>3269</v>
      </c>
      <c r="C576" s="189"/>
      <c r="D576" s="78">
        <v>2</v>
      </c>
      <c r="E576" s="78">
        <v>4</v>
      </c>
      <c r="F576" s="78" t="s">
        <v>5854</v>
      </c>
      <c r="G576" s="276">
        <v>16</v>
      </c>
    </row>
    <row r="577" spans="1:7" hidden="1">
      <c r="B577" s="147" t="s">
        <v>3270</v>
      </c>
      <c r="C577" s="189"/>
      <c r="D577" s="78">
        <v>1</v>
      </c>
      <c r="E577" s="78">
        <v>2</v>
      </c>
      <c r="F577" s="78" t="s">
        <v>5854</v>
      </c>
      <c r="G577" s="276">
        <v>4</v>
      </c>
    </row>
    <row r="578" spans="1:7" hidden="1">
      <c r="B578" s="147" t="s">
        <v>3271</v>
      </c>
      <c r="C578" s="189"/>
      <c r="D578" s="78">
        <v>1</v>
      </c>
      <c r="E578" s="78">
        <v>2</v>
      </c>
      <c r="F578" s="78" t="s">
        <v>5854</v>
      </c>
      <c r="G578" s="276">
        <v>4</v>
      </c>
    </row>
    <row r="579" spans="1:7" hidden="1">
      <c r="B579" s="147" t="s">
        <v>2961</v>
      </c>
      <c r="C579" s="189"/>
      <c r="D579" s="78">
        <v>1</v>
      </c>
      <c r="E579" s="78">
        <v>2</v>
      </c>
      <c r="F579" s="78" t="s">
        <v>5854</v>
      </c>
      <c r="G579" s="276">
        <v>2</v>
      </c>
    </row>
    <row r="580" spans="1:7" hidden="1">
      <c r="B580" s="147" t="s">
        <v>2962</v>
      </c>
      <c r="C580" s="189"/>
      <c r="D580" s="78">
        <v>1</v>
      </c>
      <c r="E580" s="78">
        <v>1</v>
      </c>
      <c r="F580" s="78" t="s">
        <v>5854</v>
      </c>
      <c r="G580" s="276">
        <v>2</v>
      </c>
    </row>
    <row r="581" spans="1:7" hidden="1">
      <c r="B581" s="147" t="s">
        <v>2963</v>
      </c>
      <c r="C581" s="189"/>
      <c r="D581" s="78">
        <v>1</v>
      </c>
      <c r="E581" s="78">
        <v>2</v>
      </c>
      <c r="F581" s="78" t="s">
        <v>5854</v>
      </c>
      <c r="G581" s="276">
        <v>4</v>
      </c>
    </row>
    <row r="582" spans="1:7" hidden="1">
      <c r="B582" s="147" t="s">
        <v>2964</v>
      </c>
      <c r="C582" s="189"/>
      <c r="D582" s="78">
        <v>1</v>
      </c>
      <c r="E582" s="78">
        <v>2</v>
      </c>
      <c r="F582" s="78" t="s">
        <v>5854</v>
      </c>
      <c r="G582" s="276">
        <v>8</v>
      </c>
    </row>
    <row r="583" spans="1:7" hidden="1">
      <c r="B583" s="147" t="s">
        <v>2965</v>
      </c>
      <c r="C583" s="189"/>
      <c r="D583" s="78" t="s">
        <v>5854</v>
      </c>
      <c r="E583" s="78">
        <v>1</v>
      </c>
      <c r="F583" s="78" t="s">
        <v>5854</v>
      </c>
      <c r="G583" s="276">
        <v>2</v>
      </c>
    </row>
    <row r="584" spans="1:7" ht="18.75" hidden="1" thickBot="1">
      <c r="B584" s="147" t="s">
        <v>2585</v>
      </c>
      <c r="C584" s="189"/>
      <c r="D584" s="78">
        <v>1</v>
      </c>
      <c r="E584" s="78">
        <v>2</v>
      </c>
      <c r="F584" s="78" t="s">
        <v>5854</v>
      </c>
      <c r="G584" s="276">
        <v>2</v>
      </c>
    </row>
    <row r="585" spans="1:7" ht="18.75" hidden="1" thickBot="1">
      <c r="B585" s="710" t="s">
        <v>2656</v>
      </c>
      <c r="C585" s="711"/>
      <c r="D585" s="712">
        <f>SUM(D571:D584)</f>
        <v>35</v>
      </c>
      <c r="E585" s="712">
        <f>SUM(E571:E584)</f>
        <v>58</v>
      </c>
      <c r="F585" s="712">
        <f>SUM(F571:F584)</f>
        <v>71</v>
      </c>
      <c r="G585" s="708">
        <f>SUM(G571:G584)</f>
        <v>175</v>
      </c>
    </row>
    <row r="586" spans="1:7" hidden="1">
      <c r="A586" s="78">
        <v>6</v>
      </c>
      <c r="B586" s="26" t="s">
        <v>673</v>
      </c>
    </row>
    <row r="587" spans="1:7" hidden="1">
      <c r="B587" s="26" t="s">
        <v>6017</v>
      </c>
    </row>
    <row r="588" spans="1:7" hidden="1">
      <c r="B588" s="26" t="s">
        <v>2385</v>
      </c>
    </row>
    <row r="589" spans="1:7" hidden="1">
      <c r="B589" s="26" t="s">
        <v>4751</v>
      </c>
    </row>
    <row r="590" spans="1:7" hidden="1">
      <c r="A590" s="78">
        <v>7</v>
      </c>
      <c r="B590" s="26" t="s">
        <v>2366</v>
      </c>
    </row>
    <row r="591" spans="1:7" hidden="1">
      <c r="B591" s="26" t="s">
        <v>4766</v>
      </c>
      <c r="C591" s="68">
        <f>'BASIC DATA'!D373</f>
        <v>7800</v>
      </c>
      <c r="D591" s="26" t="s">
        <v>2290</v>
      </c>
      <c r="E591" s="315" t="s">
        <v>1698</v>
      </c>
      <c r="F591" s="68">
        <f>C591</f>
        <v>7800</v>
      </c>
    </row>
    <row r="592" spans="1:7" hidden="1">
      <c r="B592" s="26" t="s">
        <v>3231</v>
      </c>
      <c r="E592" s="322" t="s">
        <v>1697</v>
      </c>
      <c r="F592" s="316">
        <v>1000</v>
      </c>
      <c r="G592" s="26" t="s">
        <v>4665</v>
      </c>
    </row>
    <row r="593" spans="1:7" hidden="1">
      <c r="B593" s="26" t="s">
        <v>3232</v>
      </c>
      <c r="C593" s="26" t="s">
        <v>7593</v>
      </c>
      <c r="E593" s="315" t="s">
        <v>1698</v>
      </c>
      <c r="F593" s="68">
        <f>F591/F592</f>
        <v>7.8</v>
      </c>
    </row>
    <row r="594" spans="1:7" hidden="1">
      <c r="B594" s="26" t="s">
        <v>4767</v>
      </c>
      <c r="C594" s="68">
        <f>'BASIC DATA'!D371</f>
        <v>14500</v>
      </c>
      <c r="D594" s="26" t="s">
        <v>2290</v>
      </c>
      <c r="E594" s="315" t="s">
        <v>1698</v>
      </c>
      <c r="F594" s="68">
        <f>C594</f>
        <v>14500</v>
      </c>
    </row>
    <row r="595" spans="1:7" hidden="1">
      <c r="B595" s="26" t="s">
        <v>5868</v>
      </c>
      <c r="E595" s="322" t="s">
        <v>1697</v>
      </c>
      <c r="F595" s="316">
        <v>600</v>
      </c>
      <c r="G595" s="26" t="s">
        <v>4665</v>
      </c>
    </row>
    <row r="596" spans="1:7" hidden="1">
      <c r="B596" s="26" t="s">
        <v>3234</v>
      </c>
      <c r="C596" s="26" t="s">
        <v>7593</v>
      </c>
      <c r="E596" s="315" t="s">
        <v>1698</v>
      </c>
      <c r="F596" s="68">
        <f>F594/F595</f>
        <v>24.166666666666668</v>
      </c>
    </row>
    <row r="597" spans="1:7" hidden="1"/>
    <row r="598" spans="1:7"/>
    <row r="599" spans="1:7">
      <c r="A599" s="78" t="s">
        <v>3984</v>
      </c>
      <c r="C599" s="203" t="s">
        <v>2367</v>
      </c>
      <c r="E599" s="171" t="s">
        <v>297</v>
      </c>
      <c r="F599" s="692">
        <v>15.44</v>
      </c>
      <c r="G599" s="26" t="s">
        <v>4768</v>
      </c>
    </row>
    <row r="600" spans="1:7">
      <c r="B600" s="79" t="s">
        <v>2368</v>
      </c>
      <c r="F600" s="211">
        <v>90</v>
      </c>
      <c r="G600" s="26" t="s">
        <v>4769</v>
      </c>
    </row>
    <row r="601" spans="1:7">
      <c r="B601" s="95" t="s">
        <v>2369</v>
      </c>
      <c r="C601" s="157" t="s">
        <v>6374</v>
      </c>
      <c r="D601" s="95" t="s">
        <v>2370</v>
      </c>
      <c r="E601" s="95" t="s">
        <v>1166</v>
      </c>
      <c r="F601" s="95" t="s">
        <v>2371</v>
      </c>
      <c r="G601" s="95" t="s">
        <v>2372</v>
      </c>
    </row>
    <row r="602" spans="1:7">
      <c r="B602" s="114"/>
      <c r="C602" s="154"/>
      <c r="D602" s="114"/>
      <c r="E602" s="114"/>
      <c r="F602" s="114" t="s">
        <v>3485</v>
      </c>
      <c r="G602" s="114" t="s">
        <v>3485</v>
      </c>
    </row>
    <row r="603" spans="1:7">
      <c r="B603" s="95">
        <v>1</v>
      </c>
      <c r="C603" s="135" t="s">
        <v>4770</v>
      </c>
      <c r="D603" s="451"/>
      <c r="E603" s="190"/>
      <c r="F603" s="190"/>
      <c r="G603" s="190"/>
    </row>
    <row r="604" spans="1:7">
      <c r="B604" s="105"/>
      <c r="C604" s="135" t="s">
        <v>4915</v>
      </c>
      <c r="D604" s="319" t="s">
        <v>3478</v>
      </c>
      <c r="E604" s="190">
        <v>2571</v>
      </c>
      <c r="F604" s="214">
        <f>'BASIC DATA'!D97/1000</f>
        <v>37.5</v>
      </c>
      <c r="G604" s="190">
        <f>E604*F604</f>
        <v>96412.5</v>
      </c>
    </row>
    <row r="605" spans="1:7">
      <c r="B605" s="105"/>
      <c r="C605" s="135" t="s">
        <v>4916</v>
      </c>
      <c r="D605" s="319" t="s">
        <v>3478</v>
      </c>
      <c r="E605" s="190">
        <v>3632</v>
      </c>
      <c r="F605" s="214">
        <f>'BASIC DATA'!D98/1000</f>
        <v>37.4</v>
      </c>
      <c r="G605" s="190">
        <f t="shared" ref="G605:G632" si="6">E605*F605</f>
        <v>135836.79999999999</v>
      </c>
    </row>
    <row r="606" spans="1:7">
      <c r="B606" s="105">
        <v>2</v>
      </c>
      <c r="C606" s="135" t="s">
        <v>4917</v>
      </c>
      <c r="D606" s="319"/>
      <c r="E606" s="190"/>
      <c r="F606" s="214"/>
      <c r="G606" s="190"/>
    </row>
    <row r="607" spans="1:7">
      <c r="B607" s="105"/>
      <c r="C607" s="135" t="s">
        <v>5968</v>
      </c>
      <c r="D607" s="319" t="s">
        <v>3478</v>
      </c>
      <c r="E607" s="190">
        <v>3680</v>
      </c>
      <c r="F607" s="214">
        <f>'BASIC DATA'!D165</f>
        <v>235</v>
      </c>
      <c r="G607" s="190">
        <f t="shared" si="6"/>
        <v>864800</v>
      </c>
    </row>
    <row r="608" spans="1:7">
      <c r="B608" s="105"/>
      <c r="C608" s="135" t="s">
        <v>5969</v>
      </c>
      <c r="D608" s="319" t="s">
        <v>3478</v>
      </c>
      <c r="E608" s="190">
        <v>218</v>
      </c>
      <c r="F608" s="214">
        <f>'BASIC DATA'!D166</f>
        <v>225</v>
      </c>
      <c r="G608" s="190">
        <f t="shared" si="6"/>
        <v>49050</v>
      </c>
    </row>
    <row r="609" spans="2:7">
      <c r="B609" s="105"/>
      <c r="C609" s="135" t="s">
        <v>5970</v>
      </c>
      <c r="D609" s="319" t="s">
        <v>3478</v>
      </c>
      <c r="E609" s="190">
        <v>1080</v>
      </c>
      <c r="F609" s="214">
        <f>'BASIC DATA'!D167</f>
        <v>190</v>
      </c>
      <c r="G609" s="190">
        <f t="shared" si="6"/>
        <v>205200</v>
      </c>
    </row>
    <row r="610" spans="2:7">
      <c r="B610" s="105"/>
      <c r="C610" s="135" t="s">
        <v>5971</v>
      </c>
      <c r="D610" s="319" t="s">
        <v>3478</v>
      </c>
      <c r="E610" s="190">
        <v>322</v>
      </c>
      <c r="F610" s="214">
        <f>'BASIC DATA'!D167</f>
        <v>190</v>
      </c>
      <c r="G610" s="190">
        <f t="shared" si="6"/>
        <v>61180</v>
      </c>
    </row>
    <row r="611" spans="2:7">
      <c r="B611" s="105">
        <v>3</v>
      </c>
      <c r="C611" s="135" t="s">
        <v>4771</v>
      </c>
      <c r="D611" s="319"/>
      <c r="E611" s="190"/>
      <c r="F611" s="214"/>
      <c r="G611" s="190"/>
    </row>
    <row r="612" spans="2:7">
      <c r="B612" s="105"/>
      <c r="C612" s="135" t="s">
        <v>4772</v>
      </c>
      <c r="D612" s="319" t="s">
        <v>3478</v>
      </c>
      <c r="E612" s="190">
        <v>557</v>
      </c>
      <c r="F612" s="214">
        <f>'BASIC DATA'!D159</f>
        <v>235</v>
      </c>
      <c r="G612" s="190">
        <f t="shared" si="6"/>
        <v>130895</v>
      </c>
    </row>
    <row r="613" spans="2:7">
      <c r="B613" s="105"/>
      <c r="C613" s="135" t="s">
        <v>4773</v>
      </c>
      <c r="D613" s="319" t="s">
        <v>3478</v>
      </c>
      <c r="E613" s="190">
        <v>546</v>
      </c>
      <c r="F613" s="214">
        <f>'BASIC DATA'!D160</f>
        <v>450</v>
      </c>
      <c r="G613" s="190">
        <f t="shared" si="6"/>
        <v>245700</v>
      </c>
    </row>
    <row r="614" spans="2:7">
      <c r="B614" s="105">
        <v>4</v>
      </c>
      <c r="C614" s="135" t="s">
        <v>5973</v>
      </c>
      <c r="D614" s="319"/>
      <c r="E614" s="190"/>
      <c r="F614" s="214"/>
      <c r="G614" s="190"/>
    </row>
    <row r="615" spans="2:7">
      <c r="B615" s="105"/>
      <c r="C615" s="135" t="s">
        <v>5974</v>
      </c>
      <c r="D615" s="319" t="s">
        <v>3478</v>
      </c>
      <c r="E615" s="190">
        <v>144</v>
      </c>
      <c r="F615" s="214">
        <f>'BASIC DATA'!D163</f>
        <v>970</v>
      </c>
      <c r="G615" s="190">
        <f t="shared" si="6"/>
        <v>139680</v>
      </c>
    </row>
    <row r="616" spans="2:7">
      <c r="B616" s="105">
        <v>5</v>
      </c>
      <c r="C616" s="135" t="s">
        <v>5975</v>
      </c>
      <c r="D616" s="319" t="s">
        <v>3478</v>
      </c>
      <c r="E616" s="190">
        <v>448</v>
      </c>
      <c r="F616" s="214">
        <f>'BASIC DATA'!D183</f>
        <v>200</v>
      </c>
      <c r="G616" s="190">
        <f t="shared" si="6"/>
        <v>89600</v>
      </c>
    </row>
    <row r="617" spans="2:7">
      <c r="B617" s="105">
        <v>6</v>
      </c>
      <c r="C617" s="135" t="s">
        <v>5976</v>
      </c>
      <c r="D617" s="319" t="s">
        <v>3478</v>
      </c>
      <c r="E617" s="190">
        <v>85</v>
      </c>
      <c r="F617" s="214">
        <f>'BASIC DATA'!D84</f>
        <v>80</v>
      </c>
      <c r="G617" s="190">
        <f t="shared" si="6"/>
        <v>6800</v>
      </c>
    </row>
    <row r="618" spans="2:7">
      <c r="B618" s="105">
        <v>7</v>
      </c>
      <c r="C618" s="135" t="s">
        <v>5977</v>
      </c>
      <c r="D618" s="319" t="s">
        <v>4089</v>
      </c>
      <c r="E618" s="190">
        <v>1</v>
      </c>
      <c r="F618" s="214">
        <f>'BASIC DATA'!D382</f>
        <v>224400</v>
      </c>
      <c r="G618" s="190">
        <f t="shared" si="6"/>
        <v>224400</v>
      </c>
    </row>
    <row r="619" spans="2:7">
      <c r="B619" s="105">
        <v>8</v>
      </c>
      <c r="C619" s="135" t="s">
        <v>1708</v>
      </c>
      <c r="D619" s="319" t="s">
        <v>4089</v>
      </c>
      <c r="E619" s="190">
        <v>1</v>
      </c>
      <c r="F619" s="214">
        <f>'BASIC DATA'!D383</f>
        <v>121000</v>
      </c>
      <c r="G619" s="190">
        <f t="shared" si="6"/>
        <v>121000</v>
      </c>
    </row>
    <row r="620" spans="2:7">
      <c r="B620" s="105">
        <v>9</v>
      </c>
      <c r="C620" s="135" t="s">
        <v>5978</v>
      </c>
      <c r="D620" s="319" t="s">
        <v>3478</v>
      </c>
      <c r="E620" s="190">
        <v>1000</v>
      </c>
      <c r="F620" s="214">
        <f>'BASIC DATA'!D389</f>
        <v>180</v>
      </c>
      <c r="G620" s="190">
        <f t="shared" si="6"/>
        <v>180000</v>
      </c>
    </row>
    <row r="621" spans="2:7">
      <c r="B621" s="105">
        <v>10</v>
      </c>
      <c r="C621" s="135" t="s">
        <v>5979</v>
      </c>
      <c r="D621" s="319" t="s">
        <v>4089</v>
      </c>
      <c r="E621" s="190">
        <v>1</v>
      </c>
      <c r="F621" s="214">
        <f>'BASIC DATA'!D390</f>
        <v>28820</v>
      </c>
      <c r="G621" s="190">
        <f t="shared" si="6"/>
        <v>28820</v>
      </c>
    </row>
    <row r="622" spans="2:7">
      <c r="B622" s="105">
        <v>11</v>
      </c>
      <c r="C622" s="135" t="s">
        <v>6185</v>
      </c>
      <c r="D622" s="319" t="s">
        <v>4089</v>
      </c>
      <c r="E622" s="190">
        <v>1</v>
      </c>
      <c r="F622" s="214">
        <f>'BASIC DATA'!D391</f>
        <v>195800</v>
      </c>
      <c r="G622" s="190">
        <f t="shared" si="6"/>
        <v>195800</v>
      </c>
    </row>
    <row r="623" spans="2:7">
      <c r="B623" s="105">
        <v>12</v>
      </c>
      <c r="C623" s="135" t="s">
        <v>6186</v>
      </c>
      <c r="D623" s="319" t="s">
        <v>4089</v>
      </c>
      <c r="E623" s="190">
        <v>1</v>
      </c>
      <c r="F623" s="214">
        <f>'BASIC DATA'!D392</f>
        <v>35200</v>
      </c>
      <c r="G623" s="190">
        <f t="shared" si="6"/>
        <v>35200</v>
      </c>
    </row>
    <row r="624" spans="2:7">
      <c r="B624" s="105">
        <v>13</v>
      </c>
      <c r="C624" s="135" t="s">
        <v>6400</v>
      </c>
      <c r="D624" s="319" t="s">
        <v>2173</v>
      </c>
      <c r="E624" s="190">
        <v>1</v>
      </c>
      <c r="F624" s="214">
        <f>'BASIC DATA'!D393</f>
        <v>50380</v>
      </c>
      <c r="G624" s="190">
        <f t="shared" si="6"/>
        <v>50380</v>
      </c>
    </row>
    <row r="625" spans="2:7">
      <c r="B625" s="105">
        <v>14</v>
      </c>
      <c r="C625" s="135" t="s">
        <v>958</v>
      </c>
      <c r="D625" s="319" t="s">
        <v>3477</v>
      </c>
      <c r="E625" s="190">
        <v>213</v>
      </c>
      <c r="F625" s="214">
        <f>'BASIC DATA'!D87</f>
        <v>42</v>
      </c>
      <c r="G625" s="190">
        <f t="shared" si="6"/>
        <v>8946</v>
      </c>
    </row>
    <row r="626" spans="2:7">
      <c r="B626" s="105">
        <v>15</v>
      </c>
      <c r="C626" s="135" t="s">
        <v>6815</v>
      </c>
      <c r="D626" s="319" t="s">
        <v>3477</v>
      </c>
      <c r="E626" s="190">
        <v>71</v>
      </c>
      <c r="F626" s="214">
        <f>'BASIC DATA'!D28</f>
        <v>335</v>
      </c>
      <c r="G626" s="190">
        <f t="shared" si="6"/>
        <v>23785</v>
      </c>
    </row>
    <row r="627" spans="2:7">
      <c r="B627" s="105">
        <v>16</v>
      </c>
      <c r="C627" s="135" t="s">
        <v>6816</v>
      </c>
      <c r="D627" s="319" t="s">
        <v>2059</v>
      </c>
      <c r="E627" s="190">
        <v>530</v>
      </c>
      <c r="F627" s="214">
        <f>'BASIC DATA'!D109</f>
        <v>80</v>
      </c>
      <c r="G627" s="190">
        <f t="shared" si="6"/>
        <v>42400</v>
      </c>
    </row>
    <row r="628" spans="2:7">
      <c r="B628" s="105">
        <v>17</v>
      </c>
      <c r="C628" s="135" t="s">
        <v>4655</v>
      </c>
      <c r="D628" s="319" t="s">
        <v>2059</v>
      </c>
      <c r="E628" s="190">
        <v>4776</v>
      </c>
      <c r="F628" s="214">
        <f>'BASIC DATA'!D181</f>
        <v>15</v>
      </c>
      <c r="G628" s="190">
        <f t="shared" si="6"/>
        <v>71640</v>
      </c>
    </row>
    <row r="629" spans="2:7">
      <c r="B629" s="105">
        <v>18</v>
      </c>
      <c r="C629" s="135" t="s">
        <v>5980</v>
      </c>
      <c r="D629" s="319" t="s">
        <v>3478</v>
      </c>
      <c r="E629" s="190">
        <v>50</v>
      </c>
      <c r="F629" s="214">
        <f>'BASIC DATA'!D372</f>
        <v>275</v>
      </c>
      <c r="G629" s="190">
        <f t="shared" si="6"/>
        <v>13750</v>
      </c>
    </row>
    <row r="630" spans="2:7">
      <c r="B630" s="105">
        <v>19</v>
      </c>
      <c r="C630" s="135" t="s">
        <v>6556</v>
      </c>
      <c r="D630" s="319" t="s">
        <v>2374</v>
      </c>
      <c r="E630" s="190">
        <v>566</v>
      </c>
      <c r="F630" s="214">
        <f>F593</f>
        <v>7.8</v>
      </c>
      <c r="G630" s="190">
        <f t="shared" si="6"/>
        <v>4414.8</v>
      </c>
    </row>
    <row r="631" spans="2:7">
      <c r="B631" s="105">
        <v>20</v>
      </c>
      <c r="C631" s="135" t="s">
        <v>6557</v>
      </c>
      <c r="D631" s="319" t="s">
        <v>2374</v>
      </c>
      <c r="E631" s="190">
        <v>90</v>
      </c>
      <c r="F631" s="214">
        <f>F596</f>
        <v>24.166666666666668</v>
      </c>
      <c r="G631" s="190">
        <f t="shared" si="6"/>
        <v>2175</v>
      </c>
    </row>
    <row r="632" spans="2:7">
      <c r="B632" s="114">
        <v>21</v>
      </c>
      <c r="C632" s="135" t="s">
        <v>388</v>
      </c>
      <c r="D632" s="319" t="s">
        <v>2173</v>
      </c>
      <c r="E632" s="190">
        <v>200</v>
      </c>
      <c r="F632" s="214">
        <f>'BASIC DATA'!D359</f>
        <v>30</v>
      </c>
      <c r="G632" s="190">
        <f t="shared" si="6"/>
        <v>6000</v>
      </c>
    </row>
    <row r="633" spans="2:7">
      <c r="B633" s="92"/>
      <c r="C633" s="193"/>
      <c r="D633" s="151" t="s">
        <v>2376</v>
      </c>
      <c r="E633" s="160"/>
      <c r="F633" s="236" t="s">
        <v>1698</v>
      </c>
      <c r="G633" s="318">
        <f>SUM(G604:G632)</f>
        <v>3033865.0999999996</v>
      </c>
    </row>
    <row r="634" spans="2:7"/>
    <row r="635" spans="2:7">
      <c r="B635" s="325" t="s">
        <v>2377</v>
      </c>
    </row>
    <row r="636" spans="2:7">
      <c r="B636" s="95" t="s">
        <v>2369</v>
      </c>
      <c r="C636" s="157" t="s">
        <v>2378</v>
      </c>
      <c r="D636" s="95" t="s">
        <v>2370</v>
      </c>
      <c r="E636" s="95" t="s">
        <v>1166</v>
      </c>
      <c r="F636" s="95" t="s">
        <v>2371</v>
      </c>
      <c r="G636" s="95" t="s">
        <v>2372</v>
      </c>
    </row>
    <row r="637" spans="2:7">
      <c r="B637" s="114"/>
      <c r="C637" s="154"/>
      <c r="D637" s="114"/>
      <c r="E637" s="114"/>
      <c r="F637" s="114" t="s">
        <v>3485</v>
      </c>
      <c r="G637" s="114" t="s">
        <v>3485</v>
      </c>
    </row>
    <row r="638" spans="2:7">
      <c r="B638" s="95">
        <v>1</v>
      </c>
      <c r="C638" s="135" t="s">
        <v>6558</v>
      </c>
      <c r="D638" s="451" t="s">
        <v>2374</v>
      </c>
      <c r="E638" s="190">
        <v>566</v>
      </c>
      <c r="F638" s="190">
        <f>'HIRE CHARGES'!D556</f>
        <v>16</v>
      </c>
      <c r="G638" s="190">
        <f>E638*F638</f>
        <v>9056</v>
      </c>
    </row>
    <row r="639" spans="2:7">
      <c r="B639" s="105"/>
      <c r="C639" s="135" t="s">
        <v>2379</v>
      </c>
      <c r="D639" s="319" t="s">
        <v>2374</v>
      </c>
      <c r="E639" s="190">
        <v>353</v>
      </c>
      <c r="F639" s="190">
        <f>'HIRE CHARGES'!E556</f>
        <v>67.2</v>
      </c>
      <c r="G639" s="190">
        <f t="shared" ref="G639:G650" si="7">E639*F639</f>
        <v>23721.600000000002</v>
      </c>
    </row>
    <row r="640" spans="2:7">
      <c r="B640" s="105">
        <v>2</v>
      </c>
      <c r="C640" s="135" t="s">
        <v>389</v>
      </c>
      <c r="D640" s="319" t="s">
        <v>2374</v>
      </c>
      <c r="E640" s="190">
        <v>4</v>
      </c>
      <c r="F640" s="190">
        <f>'HIRE CHARGES'!D547</f>
        <v>867.1</v>
      </c>
      <c r="G640" s="190">
        <f t="shared" si="7"/>
        <v>3468.4</v>
      </c>
    </row>
    <row r="641" spans="2:7">
      <c r="B641" s="105"/>
      <c r="C641" s="135" t="s">
        <v>2379</v>
      </c>
      <c r="D641" s="319" t="s">
        <v>2374</v>
      </c>
      <c r="E641" s="190">
        <v>4</v>
      </c>
      <c r="F641" s="190">
        <f>'HIRE CHARGES'!E547</f>
        <v>145.69999999999999</v>
      </c>
      <c r="G641" s="190">
        <f t="shared" si="7"/>
        <v>582.79999999999995</v>
      </c>
    </row>
    <row r="642" spans="2:7">
      <c r="B642" s="105">
        <v>3</v>
      </c>
      <c r="C642" s="135" t="s">
        <v>6060</v>
      </c>
      <c r="D642" s="319" t="s">
        <v>2374</v>
      </c>
      <c r="E642" s="190">
        <v>53</v>
      </c>
      <c r="F642" s="190">
        <f>'HIRE CHARGES'!D539</f>
        <v>6.4</v>
      </c>
      <c r="G642" s="190">
        <f t="shared" si="7"/>
        <v>339.20000000000005</v>
      </c>
    </row>
    <row r="643" spans="2:7">
      <c r="B643" s="105"/>
      <c r="C643" s="135" t="s">
        <v>2379</v>
      </c>
      <c r="D643" s="319" t="s">
        <v>2374</v>
      </c>
      <c r="E643" s="190">
        <v>53</v>
      </c>
      <c r="F643" s="190">
        <f>'HIRE CHARGES'!E539</f>
        <v>2.8</v>
      </c>
      <c r="G643" s="190">
        <f t="shared" si="7"/>
        <v>148.39999999999998</v>
      </c>
    </row>
    <row r="644" spans="2:7">
      <c r="B644" s="105">
        <v>4</v>
      </c>
      <c r="C644" s="135" t="s">
        <v>6561</v>
      </c>
      <c r="D644" s="319" t="s">
        <v>2374</v>
      </c>
      <c r="E644" s="190">
        <v>50</v>
      </c>
      <c r="F644" s="190">
        <f>'HIRE CHARGES'!D550</f>
        <v>519.69999999999993</v>
      </c>
      <c r="G644" s="190">
        <f t="shared" si="7"/>
        <v>25984.999999999996</v>
      </c>
    </row>
    <row r="645" spans="2:7">
      <c r="B645" s="105"/>
      <c r="C645" s="135" t="s">
        <v>2379</v>
      </c>
      <c r="D645" s="319" t="s">
        <v>2374</v>
      </c>
      <c r="E645" s="190">
        <v>50</v>
      </c>
      <c r="F645" s="190">
        <f>'HIRE CHARGES'!E550</f>
        <v>299.89999999999998</v>
      </c>
      <c r="G645" s="190">
        <f t="shared" si="7"/>
        <v>14994.999999999998</v>
      </c>
    </row>
    <row r="646" spans="2:7">
      <c r="B646" s="105">
        <v>5</v>
      </c>
      <c r="C646" s="135" t="s">
        <v>6562</v>
      </c>
      <c r="D646" s="319" t="s">
        <v>2374</v>
      </c>
      <c r="E646" s="190">
        <v>8</v>
      </c>
      <c r="F646" s="190">
        <f>'HIRE CHARGES'!D551</f>
        <v>22.5</v>
      </c>
      <c r="G646" s="190">
        <f t="shared" si="7"/>
        <v>180</v>
      </c>
    </row>
    <row r="647" spans="2:7">
      <c r="B647" s="105"/>
      <c r="C647" s="135" t="s">
        <v>2379</v>
      </c>
      <c r="D647" s="319" t="s">
        <v>2374</v>
      </c>
      <c r="E647" s="190">
        <v>8</v>
      </c>
      <c r="F647" s="190">
        <f>'HIRE CHARGES'!E551</f>
        <v>28</v>
      </c>
      <c r="G647" s="190">
        <f t="shared" si="7"/>
        <v>224</v>
      </c>
    </row>
    <row r="648" spans="2:7">
      <c r="B648" s="105">
        <v>6</v>
      </c>
      <c r="C648" s="135" t="s">
        <v>5539</v>
      </c>
      <c r="D648" s="319" t="s">
        <v>2374</v>
      </c>
      <c r="E648" s="190">
        <v>16</v>
      </c>
      <c r="F648" s="190">
        <f>'HIRE CHARGES'!D551</f>
        <v>22.5</v>
      </c>
      <c r="G648" s="190">
        <f t="shared" si="7"/>
        <v>360</v>
      </c>
    </row>
    <row r="649" spans="2:7">
      <c r="B649" s="105"/>
      <c r="C649" s="135" t="s">
        <v>2379</v>
      </c>
      <c r="D649" s="319" t="s">
        <v>2374</v>
      </c>
      <c r="E649" s="190">
        <v>16</v>
      </c>
      <c r="F649" s="190">
        <f>'HIRE CHARGES'!E551</f>
        <v>28</v>
      </c>
      <c r="G649" s="190">
        <f t="shared" si="7"/>
        <v>448</v>
      </c>
    </row>
    <row r="650" spans="2:7">
      <c r="B650" s="105">
        <v>7</v>
      </c>
      <c r="C650" s="135" t="s">
        <v>2373</v>
      </c>
      <c r="D650" s="319" t="s">
        <v>2173</v>
      </c>
      <c r="E650" s="190">
        <v>100</v>
      </c>
      <c r="F650" s="214">
        <f>'BASIC DATA'!D359</f>
        <v>30</v>
      </c>
      <c r="G650" s="190">
        <f t="shared" si="7"/>
        <v>3000</v>
      </c>
    </row>
    <row r="651" spans="2:7">
      <c r="B651" s="176"/>
      <c r="C651" s="193" t="s">
        <v>2380</v>
      </c>
      <c r="D651" s="193"/>
      <c r="E651" s="208"/>
      <c r="F651" s="236" t="s">
        <v>1698</v>
      </c>
      <c r="G651" s="318">
        <f>SUM(G638:G650)</f>
        <v>82508.400000000009</v>
      </c>
    </row>
    <row r="652" spans="2:7"/>
    <row r="653" spans="2:7">
      <c r="B653" s="325" t="s">
        <v>2381</v>
      </c>
    </row>
    <row r="654" spans="2:7">
      <c r="B654" s="95" t="s">
        <v>2369</v>
      </c>
      <c r="C654" s="157" t="s">
        <v>2378</v>
      </c>
      <c r="D654" s="95" t="s">
        <v>2370</v>
      </c>
      <c r="E654" s="95" t="s">
        <v>1166</v>
      </c>
      <c r="F654" s="95" t="s">
        <v>2371</v>
      </c>
      <c r="G654" s="95" t="s">
        <v>2372</v>
      </c>
    </row>
    <row r="655" spans="2:7">
      <c r="B655" s="114"/>
      <c r="C655" s="154"/>
      <c r="D655" s="114"/>
      <c r="E655" s="114"/>
      <c r="F655" s="114" t="s">
        <v>3485</v>
      </c>
      <c r="G655" s="114" t="s">
        <v>3485</v>
      </c>
    </row>
    <row r="656" spans="2:7">
      <c r="B656" s="105">
        <v>1</v>
      </c>
      <c r="C656" s="76" t="s">
        <v>5542</v>
      </c>
      <c r="D656" s="319" t="s">
        <v>2374</v>
      </c>
      <c r="E656" s="207">
        <v>50</v>
      </c>
      <c r="F656" s="190">
        <f>'HIRE CHARGES'!F550</f>
        <v>177.5</v>
      </c>
      <c r="G656" s="190">
        <f>E656*F656</f>
        <v>8875</v>
      </c>
    </row>
    <row r="657" spans="2:7">
      <c r="B657" s="105">
        <v>2</v>
      </c>
      <c r="C657" s="76" t="s">
        <v>5541</v>
      </c>
      <c r="D657" s="319" t="s">
        <v>2374</v>
      </c>
      <c r="E657" s="207">
        <v>4</v>
      </c>
      <c r="F657" s="190">
        <f>'HIRE CHARGES'!F547</f>
        <v>189.3</v>
      </c>
      <c r="G657" s="190">
        <f t="shared" ref="G657:G666" si="8">E657*F657</f>
        <v>757.2</v>
      </c>
    </row>
    <row r="658" spans="2:7">
      <c r="B658" s="105">
        <v>3</v>
      </c>
      <c r="C658" s="76" t="s">
        <v>5545</v>
      </c>
      <c r="D658" s="319" t="s">
        <v>2374</v>
      </c>
      <c r="E658" s="207">
        <v>16</v>
      </c>
      <c r="F658" s="190">
        <f>'HIRE CHARGES'!F551</f>
        <v>198.9</v>
      </c>
      <c r="G658" s="190">
        <f t="shared" si="8"/>
        <v>3182.4</v>
      </c>
    </row>
    <row r="659" spans="2:7">
      <c r="B659" s="105">
        <v>4</v>
      </c>
      <c r="C659" s="76" t="s">
        <v>5546</v>
      </c>
      <c r="D659" s="319" t="s">
        <v>2374</v>
      </c>
      <c r="E659" s="207">
        <v>8</v>
      </c>
      <c r="F659" s="190">
        <f>'HIRE CHARGES'!F551</f>
        <v>198.9</v>
      </c>
      <c r="G659" s="190">
        <f t="shared" si="8"/>
        <v>1591.2</v>
      </c>
    </row>
    <row r="660" spans="2:7">
      <c r="B660" s="105">
        <v>5</v>
      </c>
      <c r="C660" s="76" t="s">
        <v>2468</v>
      </c>
      <c r="D660" s="319" t="s">
        <v>1172</v>
      </c>
      <c r="E660" s="207">
        <f>D585</f>
        <v>35</v>
      </c>
      <c r="F660" s="190">
        <f>'BASIC DATA'!C471</f>
        <v>510</v>
      </c>
      <c r="G660" s="190">
        <f t="shared" si="8"/>
        <v>17850</v>
      </c>
    </row>
    <row r="661" spans="2:7">
      <c r="B661" s="105">
        <v>6</v>
      </c>
      <c r="C661" s="76" t="s">
        <v>390</v>
      </c>
      <c r="D661" s="319" t="s">
        <v>1172</v>
      </c>
      <c r="E661" s="207">
        <f>E585</f>
        <v>58</v>
      </c>
      <c r="F661" s="190">
        <f>'BASIC DATA'!C503</f>
        <v>550</v>
      </c>
      <c r="G661" s="190">
        <f t="shared" si="8"/>
        <v>31900</v>
      </c>
    </row>
    <row r="662" spans="2:7">
      <c r="B662" s="105">
        <v>7</v>
      </c>
      <c r="C662" s="76" t="s">
        <v>3010</v>
      </c>
      <c r="D662" s="319" t="s">
        <v>1172</v>
      </c>
      <c r="E662" s="207">
        <v>18</v>
      </c>
      <c r="F662" s="190">
        <f>'BASIC DATA'!C504</f>
        <v>445</v>
      </c>
      <c r="G662" s="190">
        <f t="shared" si="8"/>
        <v>8010</v>
      </c>
    </row>
    <row r="663" spans="2:7">
      <c r="B663" s="105">
        <v>8</v>
      </c>
      <c r="C663" s="76" t="s">
        <v>3013</v>
      </c>
      <c r="D663" s="319" t="s">
        <v>1172</v>
      </c>
      <c r="E663" s="207">
        <v>53</v>
      </c>
      <c r="F663" s="190">
        <f>'BASIC DATA'!C504</f>
        <v>445</v>
      </c>
      <c r="G663" s="190">
        <f t="shared" si="8"/>
        <v>23585</v>
      </c>
    </row>
    <row r="664" spans="2:7">
      <c r="B664" s="105">
        <v>9</v>
      </c>
      <c r="C664" s="76" t="s">
        <v>3012</v>
      </c>
      <c r="D664" s="319" t="s">
        <v>1172</v>
      </c>
      <c r="E664" s="207">
        <v>20</v>
      </c>
      <c r="F664" s="190">
        <f>'BASIC DATA'!C500</f>
        <v>445</v>
      </c>
      <c r="G664" s="190">
        <f t="shared" si="8"/>
        <v>8900</v>
      </c>
    </row>
    <row r="665" spans="2:7">
      <c r="B665" s="105">
        <v>10</v>
      </c>
      <c r="C665" s="76" t="s">
        <v>3011</v>
      </c>
      <c r="D665" s="319" t="s">
        <v>1172</v>
      </c>
      <c r="E665" s="207">
        <f>G585</f>
        <v>175</v>
      </c>
      <c r="F665" s="190">
        <f>'BASIC DATA'!C529</f>
        <v>400</v>
      </c>
      <c r="G665" s="190">
        <f t="shared" si="8"/>
        <v>70000</v>
      </c>
    </row>
    <row r="666" spans="2:7">
      <c r="B666" s="105">
        <v>11</v>
      </c>
      <c r="C666" s="76" t="s">
        <v>5604</v>
      </c>
      <c r="D666" s="319" t="s">
        <v>1172</v>
      </c>
      <c r="E666" s="207">
        <v>3</v>
      </c>
      <c r="F666" s="190">
        <f>'BASIC DATA'!C468</f>
        <v>515</v>
      </c>
      <c r="G666" s="190">
        <f t="shared" si="8"/>
        <v>1545</v>
      </c>
    </row>
    <row r="667" spans="2:7">
      <c r="B667" s="92"/>
      <c r="C667" s="193"/>
      <c r="D667" s="151" t="s">
        <v>1174</v>
      </c>
      <c r="E667" s="160"/>
      <c r="F667" s="236" t="s">
        <v>1698</v>
      </c>
      <c r="G667" s="318">
        <f>SUM(G656:G666)</f>
        <v>176195.8</v>
      </c>
    </row>
    <row r="668" spans="2:7">
      <c r="B668" s="60" t="s">
        <v>5948</v>
      </c>
      <c r="C668" s="31"/>
      <c r="D668" s="31"/>
      <c r="E668" s="85">
        <f>ROUND(G667/F600,1)</f>
        <v>1957.7</v>
      </c>
    </row>
    <row r="669" spans="2:7">
      <c r="B669" s="60" t="s">
        <v>3163</v>
      </c>
      <c r="C669" s="31"/>
      <c r="D669" s="31">
        <f>'BASIC DATA'!$C$577</f>
        <v>0.13614999999999999</v>
      </c>
      <c r="E669" s="85">
        <f>ROUND(E668*D669,1)</f>
        <v>266.5</v>
      </c>
    </row>
    <row r="670" spans="2:7">
      <c r="B670" s="60" t="s">
        <v>5949</v>
      </c>
      <c r="C670" s="31"/>
      <c r="D670" s="31"/>
      <c r="E670" s="199">
        <f>E669+E668</f>
        <v>2224.1999999999998</v>
      </c>
    </row>
    <row r="671" spans="2:7">
      <c r="B671" s="60"/>
      <c r="C671" s="31"/>
      <c r="D671" s="31"/>
      <c r="E671" s="31"/>
      <c r="G671" s="85"/>
    </row>
    <row r="672" spans="2:7">
      <c r="B672" s="170" t="s">
        <v>1175</v>
      </c>
    </row>
    <row r="673" spans="2:34">
      <c r="B673" s="26" t="s">
        <v>1176</v>
      </c>
      <c r="F673" s="171" t="s">
        <v>1698</v>
      </c>
      <c r="G673" s="68">
        <f>G633</f>
        <v>3033865.0999999996</v>
      </c>
    </row>
    <row r="674" spans="2:34">
      <c r="B674" s="26" t="s">
        <v>1186</v>
      </c>
      <c r="F674" s="171" t="s">
        <v>1698</v>
      </c>
      <c r="G674" s="68">
        <f>G651</f>
        <v>82508.400000000009</v>
      </c>
    </row>
    <row r="675" spans="2:34">
      <c r="B675" s="26" t="s">
        <v>2660</v>
      </c>
      <c r="F675" s="171" t="s">
        <v>1698</v>
      </c>
      <c r="G675" s="75">
        <f>G667</f>
        <v>176195.8</v>
      </c>
    </row>
    <row r="676" spans="2:34">
      <c r="B676" s="26"/>
      <c r="E676" s="171" t="s">
        <v>5551</v>
      </c>
      <c r="F676" s="171" t="s">
        <v>1698</v>
      </c>
      <c r="G676" s="205">
        <f>SUM(G673:G675)</f>
        <v>3292569.2999999993</v>
      </c>
    </row>
    <row r="677" spans="2:34">
      <c r="B677" s="26" t="s">
        <v>5087</v>
      </c>
      <c r="E677" s="693">
        <f>'BASIC DATA'!C593</f>
        <v>0</v>
      </c>
      <c r="F677" s="171" t="s">
        <v>1698</v>
      </c>
      <c r="G677" s="68">
        <f>(G675+G674)*E677*0.75</f>
        <v>0</v>
      </c>
    </row>
    <row r="678" spans="2:34">
      <c r="B678" s="26" t="s">
        <v>5084</v>
      </c>
      <c r="E678" s="171" t="s">
        <v>1518</v>
      </c>
      <c r="F678" s="171" t="s">
        <v>1698</v>
      </c>
      <c r="G678" s="205">
        <f>G677+G676</f>
        <v>3292569.2999999993</v>
      </c>
    </row>
    <row r="679" spans="2:34">
      <c r="B679" s="26" t="s">
        <v>5086</v>
      </c>
      <c r="E679" s="201">
        <f>'BASIC DATA'!C594</f>
        <v>0.03</v>
      </c>
      <c r="F679" s="171" t="s">
        <v>1698</v>
      </c>
      <c r="G679" s="75">
        <f>G678*E679</f>
        <v>98777.078999999983</v>
      </c>
    </row>
    <row r="680" spans="2:34">
      <c r="B680" s="26"/>
      <c r="E680" s="26" t="s">
        <v>2392</v>
      </c>
      <c r="F680" s="171" t="s">
        <v>1698</v>
      </c>
      <c r="G680" s="75">
        <f>G679+G678</f>
        <v>3391346.3789999993</v>
      </c>
    </row>
    <row r="681" spans="2:34">
      <c r="B681" s="1206" t="s">
        <v>4717</v>
      </c>
      <c r="C681" s="1206"/>
      <c r="D681" s="201">
        <f>'BASIC DATA'!$C$577</f>
        <v>0.13614999999999999</v>
      </c>
      <c r="F681" s="171" t="s">
        <v>1698</v>
      </c>
      <c r="G681" s="75">
        <f>G680*D681</f>
        <v>461731.80950084986</v>
      </c>
      <c r="I681" s="68"/>
    </row>
    <row r="682" spans="2:34">
      <c r="B682" s="26" t="s">
        <v>898</v>
      </c>
    </row>
    <row r="683" spans="2:34">
      <c r="B683" s="47" t="s">
        <v>897</v>
      </c>
      <c r="D683" s="48"/>
      <c r="E683" s="68">
        <f>leadcharges!F65</f>
        <v>19</v>
      </c>
      <c r="F683" s="27" t="s">
        <v>1279</v>
      </c>
      <c r="G683" s="76">
        <f>2*ROUND(E683*F599,3)</f>
        <v>586.72</v>
      </c>
      <c r="AH683" s="68"/>
    </row>
    <row r="684" spans="2:34">
      <c r="B684" s="47" t="s">
        <v>896</v>
      </c>
      <c r="D684" s="48"/>
      <c r="E684" s="68">
        <f>leadcharges!$G$79</f>
        <v>74.8</v>
      </c>
      <c r="F684" s="27" t="s">
        <v>1279</v>
      </c>
      <c r="G684" s="76">
        <f>2*ROUND(E684*F599,3)</f>
        <v>2309.8240000000001</v>
      </c>
    </row>
    <row r="685" spans="2:34">
      <c r="B685" s="26" t="s">
        <v>5078</v>
      </c>
      <c r="D685" s="278">
        <f>F599</f>
        <v>15.44</v>
      </c>
      <c r="E685" s="26" t="s">
        <v>4768</v>
      </c>
      <c r="F685" s="171" t="s">
        <v>1698</v>
      </c>
      <c r="G685" s="205">
        <f>G681+G680+G683+G684</f>
        <v>3855974.7325008493</v>
      </c>
    </row>
    <row r="686" spans="2:34">
      <c r="B686" s="26" t="s">
        <v>1191</v>
      </c>
      <c r="D686" s="68">
        <f>F600</f>
        <v>90</v>
      </c>
      <c r="E686" s="26" t="s">
        <v>4769</v>
      </c>
      <c r="F686" s="171" t="s">
        <v>1698</v>
      </c>
      <c r="G686" s="68"/>
    </row>
    <row r="687" spans="2:34" ht="18.75" thickBot="1">
      <c r="D687" s="171" t="s">
        <v>3884</v>
      </c>
      <c r="E687" s="26" t="s">
        <v>4768</v>
      </c>
      <c r="F687" s="171" t="s">
        <v>1698</v>
      </c>
      <c r="G687" s="68">
        <f>ROUND(G685/D685,1)</f>
        <v>249739.3</v>
      </c>
    </row>
    <row r="688" spans="2:34" ht="18.75" thickBot="1">
      <c r="C688" s="713"/>
      <c r="D688" s="714" t="s">
        <v>3884</v>
      </c>
      <c r="E688" s="695" t="s">
        <v>35</v>
      </c>
      <c r="F688" s="695"/>
      <c r="G688" s="715">
        <f>ROUND(G685/D686,1)</f>
        <v>42844.2</v>
      </c>
    </row>
    <row r="689" spans="1:7">
      <c r="B689" s="26"/>
      <c r="C689" s="78"/>
    </row>
    <row r="690" spans="1:7">
      <c r="B690" s="26"/>
      <c r="C690" s="78"/>
    </row>
    <row r="691" spans="1:7">
      <c r="B691" s="26"/>
    </row>
    <row r="692" spans="1:7">
      <c r="A692" s="26" t="s">
        <v>7164</v>
      </c>
      <c r="B692" s="170" t="s">
        <v>2621</v>
      </c>
    </row>
    <row r="693" spans="1:7">
      <c r="B693" s="26" t="s">
        <v>9033</v>
      </c>
    </row>
    <row r="694" spans="1:7">
      <c r="B694" s="26" t="s">
        <v>9034</v>
      </c>
    </row>
    <row r="695" spans="1:7">
      <c r="B695" s="26" t="s">
        <v>5297</v>
      </c>
    </row>
    <row r="696" spans="1:7">
      <c r="B696" s="26" t="s">
        <v>538</v>
      </c>
      <c r="E696" s="322"/>
    </row>
    <row r="697" spans="1:7">
      <c r="B697" s="26" t="s">
        <v>528</v>
      </c>
      <c r="E697" s="322"/>
    </row>
    <row r="698" spans="1:7">
      <c r="B698" s="26"/>
    </row>
    <row r="699" spans="1:7" hidden="1">
      <c r="A699" s="78" t="s">
        <v>3984</v>
      </c>
      <c r="B699" s="26" t="s">
        <v>4538</v>
      </c>
      <c r="E699" s="322"/>
    </row>
    <row r="700" spans="1:7" hidden="1">
      <c r="B700" s="26" t="s">
        <v>2326</v>
      </c>
    </row>
    <row r="701" spans="1:7" hidden="1">
      <c r="B701" s="26" t="s">
        <v>2327</v>
      </c>
    </row>
    <row r="702" spans="1:7" hidden="1">
      <c r="B702" s="26" t="s">
        <v>2328</v>
      </c>
    </row>
    <row r="703" spans="1:7" hidden="1">
      <c r="B703" s="26" t="s">
        <v>1572</v>
      </c>
    </row>
    <row r="704" spans="1:7" hidden="1">
      <c r="B704" s="26" t="s">
        <v>1573</v>
      </c>
      <c r="E704" s="322" t="s">
        <v>1697</v>
      </c>
      <c r="F704" s="26">
        <v>5.3179999999999996</v>
      </c>
      <c r="G704" s="26" t="s">
        <v>2710</v>
      </c>
    </row>
    <row r="705" spans="1:7" hidden="1">
      <c r="B705" s="26"/>
    </row>
    <row r="706" spans="1:7" hidden="1">
      <c r="A706" s="78">
        <v>1</v>
      </c>
      <c r="B706" s="26" t="s">
        <v>5556</v>
      </c>
    </row>
    <row r="707" spans="1:7" hidden="1">
      <c r="A707" s="171" t="s">
        <v>1535</v>
      </c>
      <c r="B707" s="26" t="s">
        <v>241</v>
      </c>
    </row>
    <row r="708" spans="1:7" hidden="1">
      <c r="A708" s="171"/>
      <c r="B708" s="26" t="s">
        <v>242</v>
      </c>
      <c r="E708" s="322" t="s">
        <v>1697</v>
      </c>
      <c r="F708" s="26">
        <v>4258</v>
      </c>
      <c r="G708" s="26" t="s">
        <v>3478</v>
      </c>
    </row>
    <row r="709" spans="1:7" hidden="1">
      <c r="A709" s="171"/>
      <c r="B709" s="26" t="s">
        <v>243</v>
      </c>
      <c r="E709" s="322" t="s">
        <v>1697</v>
      </c>
      <c r="F709" s="26">
        <v>98</v>
      </c>
      <c r="G709" s="26" t="s">
        <v>3478</v>
      </c>
    </row>
    <row r="710" spans="1:7" hidden="1">
      <c r="A710" s="171"/>
      <c r="B710" s="26" t="s">
        <v>2329</v>
      </c>
      <c r="E710" s="322" t="s">
        <v>1697</v>
      </c>
      <c r="F710" s="26">
        <v>856</v>
      </c>
      <c r="G710" s="26" t="s">
        <v>3478</v>
      </c>
    </row>
    <row r="711" spans="1:7" hidden="1">
      <c r="A711" s="171" t="s">
        <v>5400</v>
      </c>
      <c r="B711" s="26"/>
      <c r="E711" s="322"/>
    </row>
    <row r="712" spans="1:7" hidden="1">
      <c r="A712" s="171"/>
      <c r="B712" s="26" t="s">
        <v>2407</v>
      </c>
      <c r="E712" s="322" t="s">
        <v>1697</v>
      </c>
      <c r="F712" s="26">
        <v>8</v>
      </c>
      <c r="G712" s="26" t="s">
        <v>3478</v>
      </c>
    </row>
    <row r="713" spans="1:7" hidden="1">
      <c r="A713" s="171" t="s">
        <v>5401</v>
      </c>
      <c r="B713" s="26" t="s">
        <v>1195</v>
      </c>
      <c r="E713" s="322"/>
    </row>
    <row r="714" spans="1:7" hidden="1">
      <c r="B714" s="26" t="s">
        <v>517</v>
      </c>
      <c r="E714" s="322" t="s">
        <v>1697</v>
      </c>
      <c r="F714" s="26">
        <v>120</v>
      </c>
      <c r="G714" s="26" t="s">
        <v>2059</v>
      </c>
    </row>
    <row r="715" spans="1:7" hidden="1">
      <c r="B715" s="26" t="s">
        <v>2330</v>
      </c>
      <c r="E715" s="322" t="s">
        <v>1697</v>
      </c>
      <c r="F715" s="26">
        <v>1075</v>
      </c>
      <c r="G715" s="26" t="s">
        <v>2059</v>
      </c>
    </row>
    <row r="716" spans="1:7" hidden="1">
      <c r="A716" s="78">
        <v>2</v>
      </c>
      <c r="B716" s="26" t="s">
        <v>2281</v>
      </c>
      <c r="E716" s="322"/>
    </row>
    <row r="717" spans="1:7" hidden="1">
      <c r="B717" s="26" t="s">
        <v>4962</v>
      </c>
      <c r="E717" s="322" t="s">
        <v>1697</v>
      </c>
      <c r="F717" s="26">
        <v>57</v>
      </c>
      <c r="G717" s="26" t="s">
        <v>3483</v>
      </c>
    </row>
    <row r="718" spans="1:7" hidden="1">
      <c r="B718" s="26" t="s">
        <v>2985</v>
      </c>
      <c r="E718" s="322" t="s">
        <v>1697</v>
      </c>
      <c r="F718" s="174">
        <v>6</v>
      </c>
      <c r="G718" s="26" t="s">
        <v>3483</v>
      </c>
    </row>
    <row r="719" spans="1:7" hidden="1">
      <c r="B719" s="26"/>
      <c r="D719" s="78" t="s">
        <v>1518</v>
      </c>
      <c r="E719" s="322" t="s">
        <v>1697</v>
      </c>
      <c r="F719" s="26">
        <v>63</v>
      </c>
      <c r="G719" s="26" t="s">
        <v>3483</v>
      </c>
    </row>
    <row r="720" spans="1:7" hidden="1">
      <c r="B720" s="26" t="s">
        <v>165</v>
      </c>
      <c r="E720" s="322"/>
    </row>
    <row r="721" spans="1:7" hidden="1">
      <c r="B721" s="26" t="s">
        <v>3532</v>
      </c>
      <c r="E721" s="322" t="s">
        <v>1697</v>
      </c>
      <c r="F721" s="26">
        <v>40</v>
      </c>
      <c r="G721" s="26" t="s">
        <v>2602</v>
      </c>
    </row>
    <row r="722" spans="1:7" hidden="1">
      <c r="B722" s="26" t="s">
        <v>3533</v>
      </c>
      <c r="E722" s="322" t="s">
        <v>1697</v>
      </c>
      <c r="F722" s="26">
        <v>23</v>
      </c>
      <c r="G722" s="26" t="s">
        <v>2602</v>
      </c>
    </row>
    <row r="723" spans="1:7" hidden="1">
      <c r="B723" s="26" t="s">
        <v>2278</v>
      </c>
      <c r="E723" s="322" t="s">
        <v>1697</v>
      </c>
      <c r="F723" s="26">
        <v>20</v>
      </c>
      <c r="G723" s="26" t="s">
        <v>4665</v>
      </c>
    </row>
    <row r="724" spans="1:7" hidden="1">
      <c r="B724" s="26" t="s">
        <v>2279</v>
      </c>
      <c r="E724" s="322" t="s">
        <v>1697</v>
      </c>
      <c r="F724" s="26">
        <v>8</v>
      </c>
      <c r="G724" s="26" t="s">
        <v>4665</v>
      </c>
    </row>
    <row r="725" spans="1:7" hidden="1">
      <c r="B725" s="26" t="s">
        <v>2331</v>
      </c>
      <c r="E725" s="322" t="s">
        <v>1697</v>
      </c>
      <c r="F725" s="26">
        <v>17</v>
      </c>
      <c r="G725" s="26" t="s">
        <v>3477</v>
      </c>
    </row>
    <row r="726" spans="1:7" hidden="1">
      <c r="B726" s="26" t="s">
        <v>2827</v>
      </c>
      <c r="E726" s="322" t="s">
        <v>1697</v>
      </c>
      <c r="F726" s="26">
        <v>51</v>
      </c>
      <c r="G726" s="26" t="s">
        <v>3477</v>
      </c>
    </row>
    <row r="727" spans="1:7" hidden="1">
      <c r="B727" s="26" t="s">
        <v>163</v>
      </c>
      <c r="E727" s="322" t="s">
        <v>1697</v>
      </c>
      <c r="F727" s="26">
        <v>24</v>
      </c>
      <c r="G727" s="26" t="s">
        <v>4665</v>
      </c>
    </row>
    <row r="728" spans="1:7" hidden="1">
      <c r="B728" s="26" t="s">
        <v>164</v>
      </c>
      <c r="E728" s="322" t="s">
        <v>1697</v>
      </c>
      <c r="F728" s="26">
        <v>10</v>
      </c>
      <c r="G728" s="26" t="s">
        <v>4665</v>
      </c>
    </row>
    <row r="729" spans="1:7" hidden="1">
      <c r="A729" s="78">
        <v>3</v>
      </c>
      <c r="B729" s="26" t="s">
        <v>4651</v>
      </c>
      <c r="E729" s="322"/>
    </row>
    <row r="730" spans="1:7" hidden="1">
      <c r="B730" s="26" t="s">
        <v>2504</v>
      </c>
      <c r="E730" s="322" t="s">
        <v>1697</v>
      </c>
      <c r="F730" s="26">
        <v>151</v>
      </c>
      <c r="G730" s="26" t="s">
        <v>3483</v>
      </c>
    </row>
    <row r="731" spans="1:7" hidden="1">
      <c r="B731" s="26" t="s">
        <v>5723</v>
      </c>
      <c r="E731" s="322"/>
    </row>
    <row r="732" spans="1:7" hidden="1">
      <c r="B732" s="27" t="s">
        <v>2566</v>
      </c>
      <c r="E732" s="322" t="s">
        <v>1697</v>
      </c>
      <c r="F732" s="26">
        <v>32</v>
      </c>
      <c r="G732" s="26" t="s">
        <v>4665</v>
      </c>
    </row>
    <row r="733" spans="1:7" hidden="1">
      <c r="B733" s="26" t="s">
        <v>1913</v>
      </c>
      <c r="E733" s="322"/>
    </row>
    <row r="734" spans="1:7" hidden="1">
      <c r="B734" s="27" t="s">
        <v>2567</v>
      </c>
      <c r="E734" s="322" t="s">
        <v>1697</v>
      </c>
      <c r="F734" s="174">
        <v>96</v>
      </c>
      <c r="G734" s="26" t="s">
        <v>4665</v>
      </c>
    </row>
    <row r="735" spans="1:7" hidden="1">
      <c r="B735" s="26"/>
      <c r="D735" s="78" t="s">
        <v>1518</v>
      </c>
      <c r="E735" s="322" t="s">
        <v>1697</v>
      </c>
      <c r="F735" s="26">
        <v>128</v>
      </c>
      <c r="G735" s="26" t="s">
        <v>4665</v>
      </c>
    </row>
    <row r="736" spans="1:7" hidden="1">
      <c r="B736" s="26" t="s">
        <v>2568</v>
      </c>
    </row>
    <row r="737" spans="1:7" hidden="1">
      <c r="B737" s="26" t="s">
        <v>2657</v>
      </c>
    </row>
    <row r="738" spans="1:7" hidden="1">
      <c r="B738" s="27" t="s">
        <v>2569</v>
      </c>
      <c r="E738" s="322" t="s">
        <v>1697</v>
      </c>
      <c r="F738" s="26">
        <v>80</v>
      </c>
      <c r="G738" s="26" t="s">
        <v>4665</v>
      </c>
    </row>
    <row r="739" spans="1:7" hidden="1">
      <c r="A739" s="78">
        <v>4</v>
      </c>
      <c r="B739" s="26" t="s">
        <v>4249</v>
      </c>
    </row>
    <row r="740" spans="1:7" hidden="1">
      <c r="B740" s="26" t="s">
        <v>1574</v>
      </c>
    </row>
    <row r="741" spans="1:7" hidden="1">
      <c r="B741" s="26" t="s">
        <v>1575</v>
      </c>
    </row>
    <row r="742" spans="1:7" hidden="1">
      <c r="B742" s="26" t="s">
        <v>1887</v>
      </c>
    </row>
    <row r="743" spans="1:7" hidden="1">
      <c r="B743" s="26" t="s">
        <v>1888</v>
      </c>
    </row>
    <row r="744" spans="1:7" hidden="1">
      <c r="A744" s="78">
        <v>5</v>
      </c>
      <c r="B744" s="31" t="s">
        <v>4900</v>
      </c>
      <c r="C744" s="31"/>
      <c r="D744" s="31"/>
      <c r="E744" s="31"/>
      <c r="F744" s="31"/>
    </row>
    <row r="745" spans="1:7" hidden="1">
      <c r="B745" s="1266" t="s">
        <v>4901</v>
      </c>
      <c r="C745" s="1266"/>
      <c r="D745" s="38" t="s">
        <v>2468</v>
      </c>
      <c r="E745" s="38" t="s">
        <v>4902</v>
      </c>
      <c r="F745" s="38" t="s">
        <v>4903</v>
      </c>
      <c r="G745" s="38" t="s">
        <v>6199</v>
      </c>
    </row>
    <row r="746" spans="1:7" hidden="1">
      <c r="B746" s="1266"/>
      <c r="C746" s="1266"/>
      <c r="D746" s="38"/>
      <c r="E746" s="38" t="s">
        <v>4904</v>
      </c>
      <c r="F746" s="38" t="s">
        <v>4905</v>
      </c>
      <c r="G746" s="38"/>
    </row>
    <row r="747" spans="1:7" hidden="1">
      <c r="B747" s="1266"/>
      <c r="C747" s="1266"/>
      <c r="D747" s="38"/>
      <c r="E747" s="38" t="s">
        <v>6307</v>
      </c>
      <c r="F747" s="36"/>
      <c r="G747" s="38"/>
    </row>
    <row r="748" spans="1:7" hidden="1">
      <c r="B748" s="38" t="s">
        <v>1889</v>
      </c>
      <c r="C748" s="38"/>
      <c r="D748" s="36">
        <v>2</v>
      </c>
      <c r="E748" s="36">
        <v>4</v>
      </c>
      <c r="F748" s="36">
        <v>4</v>
      </c>
      <c r="G748" s="36">
        <v>8</v>
      </c>
    </row>
    <row r="749" spans="1:7" hidden="1">
      <c r="B749" s="38" t="s">
        <v>1890</v>
      </c>
      <c r="C749" s="38"/>
      <c r="D749" s="36">
        <v>2</v>
      </c>
      <c r="E749" s="36">
        <v>4</v>
      </c>
      <c r="F749" s="36" t="s">
        <v>5854</v>
      </c>
      <c r="G749" s="36">
        <v>16</v>
      </c>
    </row>
    <row r="750" spans="1:7" hidden="1">
      <c r="B750" s="38" t="s">
        <v>1891</v>
      </c>
      <c r="C750" s="38"/>
      <c r="D750" s="36">
        <v>1</v>
      </c>
      <c r="E750" s="36" t="s">
        <v>5854</v>
      </c>
      <c r="F750" s="36">
        <v>12</v>
      </c>
      <c r="G750" s="36">
        <v>12</v>
      </c>
    </row>
    <row r="751" spans="1:7" hidden="1">
      <c r="B751" s="38" t="s">
        <v>1892</v>
      </c>
      <c r="C751" s="38"/>
      <c r="D751" s="36">
        <v>1</v>
      </c>
      <c r="E751" s="36">
        <v>2</v>
      </c>
      <c r="F751" s="36" t="s">
        <v>5854</v>
      </c>
      <c r="G751" s="36">
        <v>2</v>
      </c>
    </row>
    <row r="752" spans="1:7" hidden="1">
      <c r="B752" s="36" t="s">
        <v>2656</v>
      </c>
      <c r="C752" s="36"/>
      <c r="D752" s="36">
        <f>SUM(D748:D751)</f>
        <v>6</v>
      </c>
      <c r="E752" s="36">
        <f>SUM(E748:E751)</f>
        <v>10</v>
      </c>
      <c r="F752" s="36">
        <f>SUM(F748:F751)</f>
        <v>16</v>
      </c>
      <c r="G752" s="36">
        <f>SUM(G748:G751)</f>
        <v>38</v>
      </c>
    </row>
    <row r="753" spans="1:7" hidden="1">
      <c r="B753" s="26" t="s">
        <v>5296</v>
      </c>
    </row>
    <row r="754" spans="1:7" hidden="1">
      <c r="B754" s="26" t="s">
        <v>1893</v>
      </c>
      <c r="C754" s="26" t="s">
        <v>1894</v>
      </c>
    </row>
    <row r="755" spans="1:7" hidden="1">
      <c r="B755" s="26" t="s">
        <v>370</v>
      </c>
    </row>
    <row r="756" spans="1:7" hidden="1">
      <c r="B756" s="26" t="s">
        <v>371</v>
      </c>
      <c r="C756" s="26" t="s">
        <v>372</v>
      </c>
    </row>
    <row r="757" spans="1:7" hidden="1">
      <c r="A757" s="78">
        <v>6</v>
      </c>
      <c r="B757" s="26" t="s">
        <v>673</v>
      </c>
    </row>
    <row r="758" spans="1:7" hidden="1">
      <c r="B758" s="26" t="s">
        <v>6017</v>
      </c>
    </row>
    <row r="759" spans="1:7" hidden="1">
      <c r="B759" s="26" t="s">
        <v>2385</v>
      </c>
    </row>
    <row r="760" spans="1:7" hidden="1">
      <c r="B760" s="26" t="s">
        <v>4751</v>
      </c>
    </row>
    <row r="761" spans="1:7" hidden="1">
      <c r="A761" s="78">
        <v>7</v>
      </c>
      <c r="B761" s="26" t="s">
        <v>2366</v>
      </c>
    </row>
    <row r="762" spans="1:7" hidden="1">
      <c r="B762" s="26" t="s">
        <v>4766</v>
      </c>
      <c r="C762" s="68">
        <f>'BASIC DATA'!D373</f>
        <v>7800</v>
      </c>
      <c r="D762" s="26" t="s">
        <v>2290</v>
      </c>
      <c r="E762" s="315" t="s">
        <v>1698</v>
      </c>
      <c r="F762" s="68">
        <f>C762</f>
        <v>7800</v>
      </c>
    </row>
    <row r="763" spans="1:7" hidden="1">
      <c r="B763" s="26" t="s">
        <v>3231</v>
      </c>
      <c r="E763" s="322" t="s">
        <v>1697</v>
      </c>
      <c r="F763" s="316">
        <v>1000</v>
      </c>
      <c r="G763" s="26" t="s">
        <v>4665</v>
      </c>
    </row>
    <row r="764" spans="1:7" hidden="1">
      <c r="B764" s="26" t="s">
        <v>3232</v>
      </c>
      <c r="C764" s="26" t="s">
        <v>7593</v>
      </c>
      <c r="E764" s="315" t="s">
        <v>1698</v>
      </c>
      <c r="F764" s="68">
        <f>F762/F763</f>
        <v>7.8</v>
      </c>
    </row>
    <row r="765" spans="1:7" hidden="1">
      <c r="B765" s="26" t="s">
        <v>4767</v>
      </c>
      <c r="C765" s="68">
        <f>'BASIC DATA'!D371</f>
        <v>14500</v>
      </c>
      <c r="D765" s="26" t="s">
        <v>2290</v>
      </c>
      <c r="E765" s="315" t="s">
        <v>1698</v>
      </c>
      <c r="F765" s="68">
        <f>C765</f>
        <v>14500</v>
      </c>
    </row>
    <row r="766" spans="1:7" hidden="1">
      <c r="B766" s="26" t="s">
        <v>5868</v>
      </c>
      <c r="E766" s="322" t="s">
        <v>1697</v>
      </c>
      <c r="F766" s="316">
        <v>600</v>
      </c>
      <c r="G766" s="26" t="s">
        <v>4665</v>
      </c>
    </row>
    <row r="767" spans="1:7" hidden="1">
      <c r="B767" s="26" t="s">
        <v>3234</v>
      </c>
      <c r="C767" s="26" t="s">
        <v>7593</v>
      </c>
      <c r="E767" s="315" t="s">
        <v>1698</v>
      </c>
      <c r="F767" s="68">
        <f>F765/F766</f>
        <v>24.166666666666668</v>
      </c>
    </row>
    <row r="768" spans="1:7" hidden="1"/>
    <row r="769" spans="1:7"/>
    <row r="770" spans="1:7">
      <c r="A770" s="78" t="s">
        <v>3984</v>
      </c>
      <c r="C770" s="203" t="s">
        <v>2367</v>
      </c>
      <c r="E770" s="171" t="s">
        <v>297</v>
      </c>
      <c r="F770" s="246">
        <v>18</v>
      </c>
      <c r="G770" s="26" t="s">
        <v>3483</v>
      </c>
    </row>
    <row r="771" spans="1:7">
      <c r="B771" s="79" t="s">
        <v>2368</v>
      </c>
      <c r="F771" s="68"/>
    </row>
    <row r="772" spans="1:7">
      <c r="B772" s="95" t="s">
        <v>2369</v>
      </c>
      <c r="C772" s="157" t="s">
        <v>6374</v>
      </c>
      <c r="D772" s="95" t="s">
        <v>2370</v>
      </c>
      <c r="E772" s="95" t="s">
        <v>1166</v>
      </c>
      <c r="F772" s="95" t="s">
        <v>2371</v>
      </c>
      <c r="G772" s="95" t="s">
        <v>2372</v>
      </c>
    </row>
    <row r="773" spans="1:7">
      <c r="B773" s="114"/>
      <c r="C773" s="154"/>
      <c r="D773" s="114"/>
      <c r="E773" s="114"/>
      <c r="F773" s="114" t="s">
        <v>3485</v>
      </c>
      <c r="G773" s="114" t="s">
        <v>3485</v>
      </c>
    </row>
    <row r="774" spans="1:7">
      <c r="B774" s="95">
        <v>1</v>
      </c>
      <c r="C774" s="135" t="s">
        <v>4770</v>
      </c>
      <c r="D774" s="451"/>
      <c r="E774" s="190"/>
      <c r="F774" s="190"/>
      <c r="G774" s="190"/>
    </row>
    <row r="775" spans="1:7">
      <c r="B775" s="317"/>
      <c r="C775" s="135" t="s">
        <v>4915</v>
      </c>
      <c r="D775" s="319" t="s">
        <v>3478</v>
      </c>
      <c r="E775" s="190">
        <v>4258</v>
      </c>
      <c r="F775" s="214">
        <f>'BASIC DATA'!D97/1000</f>
        <v>37.5</v>
      </c>
      <c r="G775" s="190">
        <f>E775*F775</f>
        <v>159675</v>
      </c>
    </row>
    <row r="776" spans="1:7">
      <c r="B776" s="317"/>
      <c r="C776" s="135" t="s">
        <v>4916</v>
      </c>
      <c r="D776" s="319" t="s">
        <v>3478</v>
      </c>
      <c r="E776" s="190">
        <v>98</v>
      </c>
      <c r="F776" s="214">
        <f>'BASIC DATA'!D98/1000</f>
        <v>37.4</v>
      </c>
      <c r="G776" s="190">
        <f t="shared" ref="G776:G784" si="9">E776*F776</f>
        <v>3665.2</v>
      </c>
    </row>
    <row r="777" spans="1:7">
      <c r="B777" s="317"/>
      <c r="C777" s="135" t="s">
        <v>373</v>
      </c>
      <c r="D777" s="319" t="s">
        <v>3478</v>
      </c>
      <c r="E777" s="190">
        <v>856</v>
      </c>
      <c r="F777" s="214">
        <f>'BASIC DATA'!D33</f>
        <v>63</v>
      </c>
      <c r="G777" s="190">
        <f t="shared" si="9"/>
        <v>53928</v>
      </c>
    </row>
    <row r="778" spans="1:7">
      <c r="B778" s="105">
        <v>2</v>
      </c>
      <c r="C778" s="135" t="s">
        <v>4958</v>
      </c>
      <c r="D778" s="319" t="s">
        <v>3478</v>
      </c>
      <c r="E778" s="190">
        <v>8</v>
      </c>
      <c r="F778" s="214">
        <f>'BASIC DATA'!D84</f>
        <v>80</v>
      </c>
      <c r="G778" s="190">
        <f t="shared" si="9"/>
        <v>640</v>
      </c>
    </row>
    <row r="779" spans="1:7">
      <c r="B779" s="105">
        <v>3</v>
      </c>
      <c r="C779" s="135" t="s">
        <v>958</v>
      </c>
      <c r="D779" s="319" t="s">
        <v>3477</v>
      </c>
      <c r="E779" s="190">
        <v>51</v>
      </c>
      <c r="F779" s="214">
        <f>'BASIC DATA'!D87</f>
        <v>42</v>
      </c>
      <c r="G779" s="190">
        <f t="shared" si="9"/>
        <v>2142</v>
      </c>
    </row>
    <row r="780" spans="1:7">
      <c r="B780" s="105">
        <v>4</v>
      </c>
      <c r="C780" s="135" t="s">
        <v>6815</v>
      </c>
      <c r="D780" s="319" t="s">
        <v>3477</v>
      </c>
      <c r="E780" s="190">
        <v>17</v>
      </c>
      <c r="F780" s="214">
        <f>'BASIC DATA'!D28</f>
        <v>335</v>
      </c>
      <c r="G780" s="190">
        <f t="shared" si="9"/>
        <v>5695</v>
      </c>
    </row>
    <row r="781" spans="1:7">
      <c r="B781" s="105">
        <v>5</v>
      </c>
      <c r="C781" s="135" t="s">
        <v>6816</v>
      </c>
      <c r="D781" s="319" t="s">
        <v>2059</v>
      </c>
      <c r="E781" s="190">
        <v>1195</v>
      </c>
      <c r="F781" s="214">
        <f>'BASIC DATA'!D109</f>
        <v>80</v>
      </c>
      <c r="G781" s="190">
        <f t="shared" si="9"/>
        <v>95600</v>
      </c>
    </row>
    <row r="782" spans="1:7">
      <c r="B782" s="105">
        <v>6</v>
      </c>
      <c r="C782" s="135" t="s">
        <v>6556</v>
      </c>
      <c r="D782" s="319" t="s">
        <v>2374</v>
      </c>
      <c r="E782" s="190">
        <v>128</v>
      </c>
      <c r="F782" s="214">
        <f>F764</f>
        <v>7.8</v>
      </c>
      <c r="G782" s="190">
        <f t="shared" si="9"/>
        <v>998.4</v>
      </c>
    </row>
    <row r="783" spans="1:7">
      <c r="B783" s="105">
        <v>7</v>
      </c>
      <c r="C783" s="135" t="s">
        <v>6557</v>
      </c>
      <c r="D783" s="319" t="s">
        <v>2374</v>
      </c>
      <c r="E783" s="190">
        <v>24</v>
      </c>
      <c r="F783" s="214">
        <f>F767</f>
        <v>24.166666666666668</v>
      </c>
      <c r="G783" s="190">
        <f t="shared" si="9"/>
        <v>580</v>
      </c>
    </row>
    <row r="784" spans="1:7">
      <c r="B784" s="114">
        <v>8</v>
      </c>
      <c r="C784" s="135" t="s">
        <v>2373</v>
      </c>
      <c r="D784" s="319" t="s">
        <v>2173</v>
      </c>
      <c r="E784" s="190">
        <v>10</v>
      </c>
      <c r="F784" s="214">
        <f>'BASIC DATA'!D359</f>
        <v>30</v>
      </c>
      <c r="G784" s="190">
        <f t="shared" si="9"/>
        <v>300</v>
      </c>
    </row>
    <row r="785" spans="2:7">
      <c r="B785" s="92"/>
      <c r="C785" s="193"/>
      <c r="D785" s="151" t="s">
        <v>2376</v>
      </c>
      <c r="E785" s="160"/>
      <c r="F785" s="236" t="s">
        <v>1698</v>
      </c>
      <c r="G785" s="318">
        <f>SUM(G775:G784)</f>
        <v>323223.60000000003</v>
      </c>
    </row>
    <row r="786" spans="2:7"/>
    <row r="787" spans="2:7">
      <c r="B787" s="79" t="s">
        <v>2377</v>
      </c>
    </row>
    <row r="788" spans="2:7">
      <c r="B788" s="95" t="s">
        <v>2369</v>
      </c>
      <c r="C788" s="157" t="s">
        <v>2378</v>
      </c>
      <c r="D788" s="95" t="s">
        <v>2370</v>
      </c>
      <c r="E788" s="95" t="s">
        <v>1166</v>
      </c>
      <c r="F788" s="95" t="s">
        <v>2371</v>
      </c>
      <c r="G788" s="95" t="s">
        <v>2372</v>
      </c>
    </row>
    <row r="789" spans="2:7">
      <c r="B789" s="114"/>
      <c r="C789" s="154"/>
      <c r="D789" s="114"/>
      <c r="E789" s="114"/>
      <c r="F789" s="114" t="s">
        <v>3485</v>
      </c>
      <c r="G789" s="114" t="s">
        <v>3485</v>
      </c>
    </row>
    <row r="790" spans="2:7">
      <c r="B790" s="95">
        <v>1</v>
      </c>
      <c r="C790" s="135" t="s">
        <v>6558</v>
      </c>
      <c r="D790" s="451" t="s">
        <v>2374</v>
      </c>
      <c r="E790" s="190">
        <v>128</v>
      </c>
      <c r="F790" s="190">
        <f>'HIRE CHARGES'!D556</f>
        <v>16</v>
      </c>
      <c r="G790" s="190">
        <f>E790*F790</f>
        <v>2048</v>
      </c>
    </row>
    <row r="791" spans="2:7">
      <c r="B791" s="317"/>
      <c r="C791" s="135" t="s">
        <v>2379</v>
      </c>
      <c r="D791" s="319" t="s">
        <v>2374</v>
      </c>
      <c r="E791" s="190">
        <v>80</v>
      </c>
      <c r="F791" s="190">
        <f>'HIRE CHARGES'!E556</f>
        <v>67.2</v>
      </c>
      <c r="G791" s="190">
        <f t="shared" ref="G791:G802" si="10">E791*F791</f>
        <v>5376</v>
      </c>
    </row>
    <row r="792" spans="2:7">
      <c r="B792" s="105">
        <v>2</v>
      </c>
      <c r="C792" s="135" t="s">
        <v>6559</v>
      </c>
      <c r="D792" s="319" t="s">
        <v>2374</v>
      </c>
      <c r="E792" s="190">
        <v>1</v>
      </c>
      <c r="F792" s="190">
        <f>'HIRE CHARGES'!D547</f>
        <v>867.1</v>
      </c>
      <c r="G792" s="190">
        <f t="shared" si="10"/>
        <v>867.1</v>
      </c>
    </row>
    <row r="793" spans="2:7">
      <c r="B793" s="317"/>
      <c r="C793" s="135" t="s">
        <v>2379</v>
      </c>
      <c r="D793" s="319" t="s">
        <v>2374</v>
      </c>
      <c r="E793" s="190">
        <v>1</v>
      </c>
      <c r="F793" s="190">
        <f>'HIRE CHARGES'!E547</f>
        <v>145.69999999999999</v>
      </c>
      <c r="G793" s="190">
        <f t="shared" si="10"/>
        <v>145.69999999999999</v>
      </c>
    </row>
    <row r="794" spans="2:7">
      <c r="B794" s="105">
        <v>3</v>
      </c>
      <c r="C794" s="135" t="s">
        <v>6060</v>
      </c>
      <c r="D794" s="319" t="s">
        <v>2374</v>
      </c>
      <c r="E794" s="190">
        <v>10</v>
      </c>
      <c r="F794" s="190">
        <f>'HIRE CHARGES'!D539</f>
        <v>6.4</v>
      </c>
      <c r="G794" s="190">
        <f t="shared" si="10"/>
        <v>64</v>
      </c>
    </row>
    <row r="795" spans="2:7">
      <c r="B795" s="317"/>
      <c r="C795" s="135" t="s">
        <v>2379</v>
      </c>
      <c r="D795" s="319" t="s">
        <v>2374</v>
      </c>
      <c r="E795" s="190">
        <v>10</v>
      </c>
      <c r="F795" s="190">
        <f>'HIRE CHARGES'!E539</f>
        <v>2.8</v>
      </c>
      <c r="G795" s="190">
        <f t="shared" si="10"/>
        <v>28</v>
      </c>
    </row>
    <row r="796" spans="2:7">
      <c r="B796" s="105">
        <v>4</v>
      </c>
      <c r="C796" s="135" t="s">
        <v>6561</v>
      </c>
      <c r="D796" s="319" t="s">
        <v>2374</v>
      </c>
      <c r="E796" s="190">
        <v>4</v>
      </c>
      <c r="F796" s="190">
        <f>'HIRE CHARGES'!D550</f>
        <v>519.69999999999993</v>
      </c>
      <c r="G796" s="190">
        <f t="shared" si="10"/>
        <v>2078.7999999999997</v>
      </c>
    </row>
    <row r="797" spans="2:7">
      <c r="B797" s="317"/>
      <c r="C797" s="135" t="s">
        <v>2379</v>
      </c>
      <c r="D797" s="319" t="s">
        <v>2374</v>
      </c>
      <c r="E797" s="190">
        <v>4</v>
      </c>
      <c r="F797" s="190">
        <f>'HIRE CHARGES'!E550</f>
        <v>299.89999999999998</v>
      </c>
      <c r="G797" s="190">
        <f t="shared" si="10"/>
        <v>1199.5999999999999</v>
      </c>
    </row>
    <row r="798" spans="2:7">
      <c r="B798" s="105">
        <v>5</v>
      </c>
      <c r="C798" s="135" t="s">
        <v>6562</v>
      </c>
      <c r="D798" s="319" t="s">
        <v>2374</v>
      </c>
      <c r="E798" s="190">
        <v>2</v>
      </c>
      <c r="F798" s="190">
        <f>'HIRE CHARGES'!D551</f>
        <v>22.5</v>
      </c>
      <c r="G798" s="190">
        <f t="shared" si="10"/>
        <v>45</v>
      </c>
    </row>
    <row r="799" spans="2:7">
      <c r="B799" s="317"/>
      <c r="C799" s="135" t="s">
        <v>2379</v>
      </c>
      <c r="D799" s="319" t="s">
        <v>2374</v>
      </c>
      <c r="E799" s="190">
        <v>2</v>
      </c>
      <c r="F799" s="190">
        <f>'HIRE CHARGES'!E551</f>
        <v>28</v>
      </c>
      <c r="G799" s="190">
        <f t="shared" si="10"/>
        <v>56</v>
      </c>
    </row>
    <row r="800" spans="2:7">
      <c r="B800" s="105">
        <v>6</v>
      </c>
      <c r="C800" s="135" t="s">
        <v>5539</v>
      </c>
      <c r="D800" s="319" t="s">
        <v>2374</v>
      </c>
      <c r="E800" s="190">
        <v>2</v>
      </c>
      <c r="F800" s="190">
        <f>'HIRE CHARGES'!D551</f>
        <v>22.5</v>
      </c>
      <c r="G800" s="190">
        <f t="shared" si="10"/>
        <v>45</v>
      </c>
    </row>
    <row r="801" spans="2:7">
      <c r="B801" s="317"/>
      <c r="C801" s="135" t="s">
        <v>2379</v>
      </c>
      <c r="D801" s="319" t="s">
        <v>2374</v>
      </c>
      <c r="E801" s="190">
        <v>2</v>
      </c>
      <c r="F801" s="190">
        <f>'HIRE CHARGES'!E551</f>
        <v>28</v>
      </c>
      <c r="G801" s="190">
        <f t="shared" si="10"/>
        <v>56</v>
      </c>
    </row>
    <row r="802" spans="2:7">
      <c r="B802" s="105">
        <v>7</v>
      </c>
      <c r="C802" s="135" t="s">
        <v>2373</v>
      </c>
      <c r="D802" s="319" t="s">
        <v>2173</v>
      </c>
      <c r="E802" s="190">
        <v>10</v>
      </c>
      <c r="F802" s="214">
        <f>'BASIC DATA'!D359</f>
        <v>30</v>
      </c>
      <c r="G802" s="190">
        <f t="shared" si="10"/>
        <v>300</v>
      </c>
    </row>
    <row r="803" spans="2:7">
      <c r="B803" s="176"/>
      <c r="C803" s="193" t="s">
        <v>2380</v>
      </c>
      <c r="D803" s="193"/>
      <c r="E803" s="208"/>
      <c r="F803" s="236" t="s">
        <v>1698</v>
      </c>
      <c r="G803" s="318">
        <f>SUM(G790:G802)</f>
        <v>12309.2</v>
      </c>
    </row>
    <row r="804" spans="2:7"/>
    <row r="805" spans="2:7">
      <c r="B805" s="79" t="s">
        <v>2381</v>
      </c>
    </row>
    <row r="806" spans="2:7">
      <c r="B806" s="95" t="s">
        <v>2369</v>
      </c>
      <c r="C806" s="157" t="s">
        <v>2378</v>
      </c>
      <c r="D806" s="95" t="s">
        <v>2370</v>
      </c>
      <c r="E806" s="95" t="s">
        <v>1166</v>
      </c>
      <c r="F806" s="95" t="s">
        <v>2371</v>
      </c>
      <c r="G806" s="95" t="s">
        <v>2372</v>
      </c>
    </row>
    <row r="807" spans="2:7">
      <c r="B807" s="114"/>
      <c r="C807" s="154"/>
      <c r="D807" s="114"/>
      <c r="E807" s="114"/>
      <c r="F807" s="114" t="s">
        <v>3485</v>
      </c>
      <c r="G807" s="114" t="s">
        <v>3485</v>
      </c>
    </row>
    <row r="808" spans="2:7">
      <c r="B808" s="105">
        <v>1</v>
      </c>
      <c r="C808" s="76" t="s">
        <v>5542</v>
      </c>
      <c r="D808" s="319" t="s">
        <v>2374</v>
      </c>
      <c r="E808" s="207">
        <v>4</v>
      </c>
      <c r="F808" s="190">
        <f>'HIRE CHARGES'!F550</f>
        <v>177.5</v>
      </c>
      <c r="G808" s="190">
        <f>E808*F808</f>
        <v>710</v>
      </c>
    </row>
    <row r="809" spans="2:7">
      <c r="B809" s="105">
        <v>2</v>
      </c>
      <c r="C809" s="76" t="s">
        <v>5541</v>
      </c>
      <c r="D809" s="319" t="s">
        <v>2374</v>
      </c>
      <c r="E809" s="207">
        <v>1</v>
      </c>
      <c r="F809" s="190">
        <f>'HIRE CHARGES'!F547</f>
        <v>189.3</v>
      </c>
      <c r="G809" s="190">
        <f t="shared" ref="G809:G817" si="11">E809*F809</f>
        <v>189.3</v>
      </c>
    </row>
    <row r="810" spans="2:7">
      <c r="B810" s="105">
        <v>3</v>
      </c>
      <c r="C810" s="76" t="s">
        <v>5545</v>
      </c>
      <c r="D810" s="319" t="s">
        <v>2374</v>
      </c>
      <c r="E810" s="207">
        <v>2</v>
      </c>
      <c r="F810" s="190">
        <f>'HIRE CHARGES'!F551</f>
        <v>198.9</v>
      </c>
      <c r="G810" s="190">
        <f t="shared" si="11"/>
        <v>397.8</v>
      </c>
    </row>
    <row r="811" spans="2:7">
      <c r="B811" s="105">
        <v>4</v>
      </c>
      <c r="C811" s="76" t="s">
        <v>5546</v>
      </c>
      <c r="D811" s="319" t="s">
        <v>2374</v>
      </c>
      <c r="E811" s="207">
        <v>2</v>
      </c>
      <c r="F811" s="190">
        <f>'HIRE CHARGES'!F551</f>
        <v>198.9</v>
      </c>
      <c r="G811" s="190">
        <f t="shared" si="11"/>
        <v>397.8</v>
      </c>
    </row>
    <row r="812" spans="2:7">
      <c r="B812" s="105">
        <v>5</v>
      </c>
      <c r="C812" s="76" t="s">
        <v>2468</v>
      </c>
      <c r="D812" s="319" t="s">
        <v>1172</v>
      </c>
      <c r="E812" s="207">
        <f>D752</f>
        <v>6</v>
      </c>
      <c r="F812" s="190">
        <f>'BASIC DATA'!C471</f>
        <v>510</v>
      </c>
      <c r="G812" s="190">
        <f t="shared" si="11"/>
        <v>3060</v>
      </c>
    </row>
    <row r="813" spans="2:7">
      <c r="B813" s="105">
        <v>6</v>
      </c>
      <c r="C813" s="76" t="s">
        <v>5547</v>
      </c>
      <c r="D813" s="319" t="s">
        <v>1172</v>
      </c>
      <c r="E813" s="207">
        <f>E752</f>
        <v>10</v>
      </c>
      <c r="F813" s="190">
        <f>'BASIC DATA'!C503</f>
        <v>550</v>
      </c>
      <c r="G813" s="190">
        <f t="shared" si="11"/>
        <v>5500</v>
      </c>
    </row>
    <row r="814" spans="2:7">
      <c r="B814" s="105">
        <v>7</v>
      </c>
      <c r="C814" s="76" t="s">
        <v>3010</v>
      </c>
      <c r="D814" s="319" t="s">
        <v>1172</v>
      </c>
      <c r="E814" s="207">
        <v>4</v>
      </c>
      <c r="F814" s="190">
        <f>'BASIC DATA'!C504</f>
        <v>445</v>
      </c>
      <c r="G814" s="190">
        <f t="shared" si="11"/>
        <v>1780</v>
      </c>
    </row>
    <row r="815" spans="2:7">
      <c r="B815" s="105">
        <v>8</v>
      </c>
      <c r="C815" s="76" t="s">
        <v>3013</v>
      </c>
      <c r="D815" s="319" t="s">
        <v>1172</v>
      </c>
      <c r="E815" s="207">
        <v>12</v>
      </c>
      <c r="F815" s="190">
        <f>'BASIC DATA'!C504</f>
        <v>445</v>
      </c>
      <c r="G815" s="190">
        <f t="shared" si="11"/>
        <v>5340</v>
      </c>
    </row>
    <row r="816" spans="2:7">
      <c r="B816" s="105">
        <v>9</v>
      </c>
      <c r="C816" s="76" t="s">
        <v>3011</v>
      </c>
      <c r="D816" s="319" t="s">
        <v>1172</v>
      </c>
      <c r="E816" s="207">
        <f>G752</f>
        <v>38</v>
      </c>
      <c r="F816" s="190">
        <f>'BASIC DATA'!C529</f>
        <v>400</v>
      </c>
      <c r="G816" s="190">
        <f t="shared" si="11"/>
        <v>15200</v>
      </c>
    </row>
    <row r="817" spans="2:9">
      <c r="B817" s="105">
        <v>10</v>
      </c>
      <c r="C817" s="76" t="s">
        <v>5604</v>
      </c>
      <c r="D817" s="319" t="s">
        <v>1172</v>
      </c>
      <c r="E817" s="207">
        <v>1</v>
      </c>
      <c r="F817" s="190">
        <f>'BASIC DATA'!C468</f>
        <v>515</v>
      </c>
      <c r="G817" s="190">
        <f t="shared" si="11"/>
        <v>515</v>
      </c>
    </row>
    <row r="818" spans="2:9">
      <c r="B818" s="92"/>
      <c r="C818" s="193"/>
      <c r="D818" s="151" t="s">
        <v>1174</v>
      </c>
      <c r="E818" s="160"/>
      <c r="F818" s="236" t="s">
        <v>1698</v>
      </c>
      <c r="G818" s="318">
        <f>SUM(G808:G817)</f>
        <v>33089.9</v>
      </c>
    </row>
    <row r="819" spans="2:9">
      <c r="B819" s="60" t="s">
        <v>5948</v>
      </c>
      <c r="C819" s="31"/>
      <c r="D819" s="31"/>
      <c r="E819" s="85">
        <f>ROUND(G818/F770,1)</f>
        <v>1838.3</v>
      </c>
    </row>
    <row r="820" spans="2:9">
      <c r="B820" s="60" t="s">
        <v>3163</v>
      </c>
      <c r="C820" s="31"/>
      <c r="D820" s="31">
        <f>'BASIC DATA'!$C$577</f>
        <v>0.13614999999999999</v>
      </c>
      <c r="E820" s="85">
        <f>ROUND(E819*D820,1)</f>
        <v>250.3</v>
      </c>
    </row>
    <row r="821" spans="2:9">
      <c r="B821" s="60" t="s">
        <v>5949</v>
      </c>
      <c r="C821" s="31"/>
      <c r="D821" s="31"/>
      <c r="E821" s="199">
        <f>E820+E819</f>
        <v>2088.6</v>
      </c>
    </row>
    <row r="822" spans="2:9">
      <c r="B822" s="26"/>
    </row>
    <row r="823" spans="2:9">
      <c r="B823" s="170" t="s">
        <v>1175</v>
      </c>
    </row>
    <row r="824" spans="2:9">
      <c r="B824" s="26" t="s">
        <v>1176</v>
      </c>
      <c r="F824" s="171" t="s">
        <v>1698</v>
      </c>
      <c r="G824" s="68">
        <f>G785</f>
        <v>323223.60000000003</v>
      </c>
    </row>
    <row r="825" spans="2:9">
      <c r="B825" s="26" t="s">
        <v>1186</v>
      </c>
      <c r="F825" s="171" t="s">
        <v>1698</v>
      </c>
      <c r="G825" s="68">
        <f>G803</f>
        <v>12309.2</v>
      </c>
    </row>
    <row r="826" spans="2:9">
      <c r="B826" s="26" t="s">
        <v>2660</v>
      </c>
      <c r="F826" s="171" t="s">
        <v>1698</v>
      </c>
      <c r="G826" s="75">
        <f>G818</f>
        <v>33089.9</v>
      </c>
    </row>
    <row r="827" spans="2:9">
      <c r="B827" s="26"/>
      <c r="E827" s="171" t="s">
        <v>5551</v>
      </c>
      <c r="F827" s="171" t="s">
        <v>1698</v>
      </c>
      <c r="G827" s="205">
        <f>SUM(G824:G826)</f>
        <v>368622.70000000007</v>
      </c>
    </row>
    <row r="828" spans="2:9">
      <c r="B828" s="26" t="s">
        <v>5087</v>
      </c>
      <c r="E828" s="693">
        <f>'BASIC DATA'!C593</f>
        <v>0</v>
      </c>
      <c r="F828" s="171" t="s">
        <v>1698</v>
      </c>
      <c r="G828" s="68">
        <f>(G826+G825)*E828*0.75</f>
        <v>0</v>
      </c>
    </row>
    <row r="829" spans="2:9">
      <c r="B829" s="26" t="s">
        <v>5084</v>
      </c>
      <c r="E829" s="171" t="s">
        <v>1518</v>
      </c>
      <c r="F829" s="171" t="s">
        <v>1698</v>
      </c>
      <c r="G829" s="205">
        <f>G828+G827</f>
        <v>368622.70000000007</v>
      </c>
    </row>
    <row r="830" spans="2:9">
      <c r="B830" s="26" t="s">
        <v>5086</v>
      </c>
      <c r="E830" s="201">
        <f>'BASIC DATA'!C594</f>
        <v>0.03</v>
      </c>
      <c r="F830" s="171" t="s">
        <v>1698</v>
      </c>
      <c r="G830" s="75">
        <f>G829*E830</f>
        <v>11058.681000000002</v>
      </c>
    </row>
    <row r="831" spans="2:9">
      <c r="B831" s="26"/>
      <c r="E831" s="26" t="s">
        <v>2392</v>
      </c>
      <c r="F831" s="171" t="s">
        <v>1698</v>
      </c>
      <c r="G831" s="75">
        <f>G830+G829</f>
        <v>379681.38100000005</v>
      </c>
    </row>
    <row r="832" spans="2:9">
      <c r="B832" s="1206" t="s">
        <v>4717</v>
      </c>
      <c r="C832" s="1206"/>
      <c r="D832" s="201">
        <f>'BASIC DATA'!$C$577</f>
        <v>0.13614999999999999</v>
      </c>
      <c r="F832" s="171" t="s">
        <v>1698</v>
      </c>
      <c r="G832" s="75">
        <f>G831*D832</f>
        <v>51693.620023150004</v>
      </c>
      <c r="I832" s="68"/>
    </row>
    <row r="833" spans="1:34">
      <c r="B833" s="26" t="s">
        <v>898</v>
      </c>
    </row>
    <row r="834" spans="1:34">
      <c r="B834" s="47" t="s">
        <v>897</v>
      </c>
      <c r="D834" s="48"/>
      <c r="E834" s="68">
        <f>leadcharges!F65</f>
        <v>19</v>
      </c>
      <c r="F834" s="27" t="s">
        <v>1279</v>
      </c>
      <c r="G834" s="76">
        <f>2*ROUND(E834*F704,3)</f>
        <v>202.084</v>
      </c>
      <c r="AH834" s="68"/>
    </row>
    <row r="835" spans="1:34">
      <c r="B835" s="47" t="s">
        <v>896</v>
      </c>
      <c r="D835" s="48"/>
      <c r="E835" s="68">
        <f>leadcharges!$G$79</f>
        <v>74.8</v>
      </c>
      <c r="F835" s="27" t="s">
        <v>1279</v>
      </c>
      <c r="G835" s="76">
        <f>2*ROUND(E835*F704,3)</f>
        <v>795.572</v>
      </c>
    </row>
    <row r="836" spans="1:34" ht="18.75" thickBot="1">
      <c r="B836" s="26" t="s">
        <v>5078</v>
      </c>
      <c r="D836" s="68">
        <f>F770</f>
        <v>18</v>
      </c>
      <c r="E836" s="26" t="s">
        <v>3483</v>
      </c>
      <c r="F836" s="171" t="s">
        <v>1698</v>
      </c>
      <c r="G836" s="205">
        <f>G832+G831+G834+G835</f>
        <v>432372.65702315001</v>
      </c>
    </row>
    <row r="837" spans="1:34" ht="18.75" thickBot="1">
      <c r="D837" s="694" t="s">
        <v>3884</v>
      </c>
      <c r="E837" s="695" t="s">
        <v>3483</v>
      </c>
      <c r="F837" s="696" t="s">
        <v>1698</v>
      </c>
      <c r="G837" s="715">
        <f>ROUND(G836/D836,1)</f>
        <v>24020.7</v>
      </c>
    </row>
    <row r="838" spans="1:34">
      <c r="D838" s="200"/>
      <c r="E838" s="31"/>
      <c r="F838" s="200"/>
      <c r="G838" s="75"/>
    </row>
    <row r="839" spans="1:34">
      <c r="B839" s="26"/>
      <c r="E839" s="78"/>
      <c r="G839" s="171"/>
      <c r="H839" s="27"/>
    </row>
    <row r="840" spans="1:34">
      <c r="A840" s="26" t="s">
        <v>7165</v>
      </c>
      <c r="B840" s="170" t="s">
        <v>1576</v>
      </c>
    </row>
    <row r="841" spans="1:34" ht="18.75">
      <c r="A841" s="26" t="s">
        <v>7166</v>
      </c>
      <c r="B841" s="26" t="s">
        <v>9035</v>
      </c>
    </row>
    <row r="842" spans="1:34">
      <c r="A842" s="26"/>
      <c r="B842" s="26" t="s">
        <v>4100</v>
      </c>
    </row>
    <row r="843" spans="1:34" ht="18.75">
      <c r="A843" s="26"/>
      <c r="B843" s="26" t="s">
        <v>9036</v>
      </c>
    </row>
    <row r="844" spans="1:34">
      <c r="A844" s="26"/>
      <c r="B844" s="26" t="s">
        <v>1577</v>
      </c>
    </row>
    <row r="845" spans="1:34">
      <c r="A845" s="26"/>
      <c r="B845" s="26" t="s">
        <v>538</v>
      </c>
      <c r="E845" s="322"/>
    </row>
    <row r="846" spans="1:34">
      <c r="A846" s="26"/>
      <c r="B846" s="26" t="s">
        <v>3549</v>
      </c>
      <c r="E846" s="322"/>
    </row>
    <row r="847" spans="1:34">
      <c r="A847" s="26"/>
      <c r="F847" s="322"/>
    </row>
    <row r="848" spans="1:34" hidden="1">
      <c r="A848" s="78" t="s">
        <v>3984</v>
      </c>
      <c r="B848" s="26" t="s">
        <v>5210</v>
      </c>
      <c r="E848" s="322"/>
    </row>
    <row r="849" spans="1:7" hidden="1">
      <c r="A849" s="26"/>
      <c r="B849" s="26" t="s">
        <v>5211</v>
      </c>
    </row>
    <row r="850" spans="1:7" hidden="1">
      <c r="A850" s="26"/>
      <c r="B850" s="26" t="s">
        <v>3191</v>
      </c>
    </row>
    <row r="851" spans="1:7" hidden="1">
      <c r="A851" s="26"/>
      <c r="B851" s="26" t="s">
        <v>6256</v>
      </c>
      <c r="E851" s="315" t="s">
        <v>1697</v>
      </c>
      <c r="F851" s="26">
        <v>3.1789999999999998</v>
      </c>
      <c r="G851" s="26" t="s">
        <v>45</v>
      </c>
    </row>
    <row r="852" spans="1:7" hidden="1">
      <c r="A852" s="26"/>
      <c r="B852" s="26" t="s">
        <v>240</v>
      </c>
    </row>
    <row r="853" spans="1:7" hidden="1">
      <c r="A853" s="78">
        <v>1</v>
      </c>
      <c r="B853" s="26" t="s">
        <v>8014</v>
      </c>
    </row>
    <row r="854" spans="1:7" hidden="1">
      <c r="A854" s="171" t="s">
        <v>1535</v>
      </c>
      <c r="B854" s="26"/>
    </row>
    <row r="855" spans="1:7" hidden="1">
      <c r="A855" s="171"/>
      <c r="B855" s="26" t="s">
        <v>242</v>
      </c>
      <c r="E855" s="315" t="s">
        <v>1697</v>
      </c>
      <c r="F855" s="26">
        <v>432</v>
      </c>
      <c r="G855" s="26" t="s">
        <v>3478</v>
      </c>
    </row>
    <row r="856" spans="1:7" hidden="1">
      <c r="A856" s="171"/>
      <c r="B856" s="26" t="s">
        <v>243</v>
      </c>
      <c r="E856" s="315" t="s">
        <v>1697</v>
      </c>
      <c r="F856" s="26">
        <v>2301</v>
      </c>
      <c r="G856" s="26" t="s">
        <v>3478</v>
      </c>
    </row>
    <row r="857" spans="1:7" hidden="1">
      <c r="A857" s="171" t="s">
        <v>5400</v>
      </c>
      <c r="B857" s="26"/>
      <c r="E857" s="315"/>
    </row>
    <row r="858" spans="1:7" hidden="1">
      <c r="A858" s="171"/>
      <c r="B858" s="26" t="s">
        <v>516</v>
      </c>
      <c r="E858" s="315" t="s">
        <v>1697</v>
      </c>
      <c r="F858" s="26">
        <v>411</v>
      </c>
      <c r="G858" s="26" t="s">
        <v>3478</v>
      </c>
    </row>
    <row r="859" spans="1:7" hidden="1">
      <c r="A859" s="171" t="s">
        <v>5401</v>
      </c>
      <c r="B859" s="26"/>
      <c r="E859" s="315"/>
    </row>
    <row r="860" spans="1:7" hidden="1">
      <c r="A860" s="171"/>
      <c r="B860" s="26" t="s">
        <v>6990</v>
      </c>
      <c r="E860" s="315" t="s">
        <v>1697</v>
      </c>
      <c r="F860" s="26">
        <v>115</v>
      </c>
      <c r="G860" s="26" t="s">
        <v>3478</v>
      </c>
    </row>
    <row r="861" spans="1:7" hidden="1">
      <c r="A861" s="171" t="s">
        <v>1696</v>
      </c>
      <c r="B861" s="26" t="s">
        <v>1195</v>
      </c>
      <c r="E861" s="315"/>
    </row>
    <row r="862" spans="1:7" hidden="1">
      <c r="B862" s="26" t="s">
        <v>517</v>
      </c>
      <c r="E862" s="315" t="s">
        <v>1697</v>
      </c>
      <c r="F862" s="26">
        <v>166</v>
      </c>
      <c r="G862" s="26" t="s">
        <v>2059</v>
      </c>
    </row>
    <row r="863" spans="1:7" hidden="1">
      <c r="B863" s="26" t="s">
        <v>518</v>
      </c>
      <c r="E863" s="315" t="s">
        <v>1697</v>
      </c>
      <c r="F863" s="26">
        <v>103</v>
      </c>
      <c r="G863" s="26" t="s">
        <v>2059</v>
      </c>
    </row>
    <row r="864" spans="1:7" hidden="1">
      <c r="B864" s="26" t="s">
        <v>519</v>
      </c>
      <c r="E864" s="315" t="s">
        <v>1697</v>
      </c>
      <c r="F864" s="26">
        <v>1499</v>
      </c>
      <c r="G864" s="26" t="s">
        <v>2059</v>
      </c>
    </row>
    <row r="865" spans="1:7" hidden="1">
      <c r="B865" s="26" t="s">
        <v>2280</v>
      </c>
      <c r="E865" s="315" t="s">
        <v>1697</v>
      </c>
      <c r="F865" s="26">
        <v>927</v>
      </c>
      <c r="G865" s="26" t="s">
        <v>2059</v>
      </c>
    </row>
    <row r="866" spans="1:7" hidden="1">
      <c r="A866" s="78">
        <v>2</v>
      </c>
      <c r="B866" s="26" t="s">
        <v>2281</v>
      </c>
      <c r="E866" s="315"/>
    </row>
    <row r="867" spans="1:7" hidden="1">
      <c r="B867" s="26" t="s">
        <v>2838</v>
      </c>
      <c r="E867" s="315" t="s">
        <v>1697</v>
      </c>
      <c r="F867" s="31">
        <v>163</v>
      </c>
      <c r="G867" s="26" t="s">
        <v>3483</v>
      </c>
    </row>
    <row r="868" spans="1:7" hidden="1">
      <c r="B868" s="26" t="s">
        <v>2985</v>
      </c>
      <c r="E868" s="315" t="s">
        <v>1697</v>
      </c>
      <c r="F868" s="174">
        <v>17</v>
      </c>
      <c r="G868" s="26" t="s">
        <v>3483</v>
      </c>
    </row>
    <row r="869" spans="1:7" hidden="1">
      <c r="B869" s="26" t="s">
        <v>2986</v>
      </c>
      <c r="E869" s="315" t="s">
        <v>1697</v>
      </c>
      <c r="F869" s="26">
        <v>180</v>
      </c>
      <c r="G869" s="26" t="s">
        <v>3483</v>
      </c>
    </row>
    <row r="870" spans="1:7" hidden="1">
      <c r="B870" s="26" t="s">
        <v>1759</v>
      </c>
    </row>
    <row r="871" spans="1:7" hidden="1">
      <c r="B871" s="26" t="s">
        <v>886</v>
      </c>
    </row>
    <row r="872" spans="1:7" hidden="1">
      <c r="B872" s="26" t="s">
        <v>3531</v>
      </c>
    </row>
    <row r="873" spans="1:7" hidden="1">
      <c r="B873" s="26" t="s">
        <v>3532</v>
      </c>
      <c r="E873" s="315" t="s">
        <v>1697</v>
      </c>
      <c r="F873" s="26">
        <v>30</v>
      </c>
      <c r="G873" s="26" t="s">
        <v>2602</v>
      </c>
    </row>
    <row r="874" spans="1:7" hidden="1">
      <c r="B874" s="26" t="s">
        <v>3533</v>
      </c>
      <c r="E874" s="315" t="s">
        <v>1697</v>
      </c>
      <c r="F874" s="26">
        <v>120</v>
      </c>
      <c r="G874" s="26" t="s">
        <v>2602</v>
      </c>
    </row>
    <row r="875" spans="1:7" hidden="1">
      <c r="B875" s="26" t="s">
        <v>2277</v>
      </c>
      <c r="E875" s="315" t="s">
        <v>1697</v>
      </c>
      <c r="F875" s="26">
        <v>30</v>
      </c>
      <c r="G875" s="26" t="s">
        <v>2602</v>
      </c>
    </row>
    <row r="876" spans="1:7" hidden="1">
      <c r="B876" s="26" t="s">
        <v>2278</v>
      </c>
      <c r="E876" s="315" t="s">
        <v>1697</v>
      </c>
      <c r="F876" s="26">
        <v>15</v>
      </c>
      <c r="G876" s="26" t="s">
        <v>4665</v>
      </c>
    </row>
    <row r="877" spans="1:7" hidden="1">
      <c r="B877" s="26" t="s">
        <v>2279</v>
      </c>
      <c r="E877" s="315" t="s">
        <v>1697</v>
      </c>
      <c r="F877" s="26">
        <v>40</v>
      </c>
      <c r="G877" s="26" t="s">
        <v>4665</v>
      </c>
    </row>
    <row r="878" spans="1:7" hidden="1">
      <c r="B878" s="26" t="s">
        <v>6811</v>
      </c>
      <c r="E878" s="315" t="s">
        <v>1697</v>
      </c>
      <c r="F878" s="26">
        <v>3</v>
      </c>
      <c r="G878" s="26" t="s">
        <v>4665</v>
      </c>
    </row>
    <row r="879" spans="1:7" hidden="1">
      <c r="B879" s="26" t="s">
        <v>6991</v>
      </c>
      <c r="E879" s="315" t="s">
        <v>1697</v>
      </c>
      <c r="F879" s="26">
        <v>33</v>
      </c>
      <c r="G879" s="26" t="s">
        <v>3477</v>
      </c>
    </row>
    <row r="880" spans="1:7" hidden="1">
      <c r="B880" s="26" t="s">
        <v>6992</v>
      </c>
      <c r="E880" s="315" t="s">
        <v>1697</v>
      </c>
      <c r="F880" s="26">
        <v>99</v>
      </c>
      <c r="G880" s="26" t="s">
        <v>3477</v>
      </c>
    </row>
    <row r="881" spans="1:7" hidden="1">
      <c r="B881" s="26" t="s">
        <v>6993</v>
      </c>
      <c r="E881" s="315" t="s">
        <v>1697</v>
      </c>
      <c r="F881" s="26">
        <v>18</v>
      </c>
      <c r="G881" s="26" t="s">
        <v>4665</v>
      </c>
    </row>
    <row r="882" spans="1:7" hidden="1">
      <c r="B882" s="26" t="s">
        <v>3829</v>
      </c>
      <c r="E882" s="315" t="s">
        <v>1697</v>
      </c>
      <c r="F882" s="26">
        <v>48</v>
      </c>
      <c r="G882" s="26" t="s">
        <v>4665</v>
      </c>
    </row>
    <row r="883" spans="1:7" hidden="1">
      <c r="B883" s="26" t="s">
        <v>3830</v>
      </c>
      <c r="E883" s="315" t="s">
        <v>1697</v>
      </c>
      <c r="F883" s="26">
        <v>4</v>
      </c>
      <c r="G883" s="26" t="s">
        <v>4665</v>
      </c>
    </row>
    <row r="884" spans="1:7" hidden="1">
      <c r="A884" s="78">
        <v>3</v>
      </c>
      <c r="B884" s="26" t="s">
        <v>4651</v>
      </c>
      <c r="E884" s="315"/>
    </row>
    <row r="885" spans="1:7" hidden="1">
      <c r="B885" s="26" t="s">
        <v>3550</v>
      </c>
      <c r="E885" s="315" t="s">
        <v>1697</v>
      </c>
      <c r="F885" s="26">
        <v>303</v>
      </c>
      <c r="G885" s="26" t="s">
        <v>2602</v>
      </c>
    </row>
    <row r="886" spans="1:7" hidden="1">
      <c r="B886" s="26" t="s">
        <v>5723</v>
      </c>
      <c r="E886" s="315"/>
    </row>
    <row r="887" spans="1:7" hidden="1">
      <c r="B887" s="27" t="s">
        <v>2949</v>
      </c>
      <c r="E887" s="315" t="s">
        <v>1697</v>
      </c>
      <c r="F887" s="26">
        <v>72</v>
      </c>
      <c r="G887" s="26" t="s">
        <v>4665</v>
      </c>
    </row>
    <row r="888" spans="1:7" hidden="1">
      <c r="B888" s="26" t="s">
        <v>1913</v>
      </c>
      <c r="E888" s="315"/>
    </row>
    <row r="889" spans="1:7" hidden="1">
      <c r="B889" s="27" t="s">
        <v>3681</v>
      </c>
      <c r="E889" s="315" t="s">
        <v>1697</v>
      </c>
      <c r="F889" s="174">
        <v>216</v>
      </c>
      <c r="G889" s="26" t="s">
        <v>4665</v>
      </c>
    </row>
    <row r="890" spans="1:7" hidden="1">
      <c r="B890" s="26"/>
      <c r="D890" s="78" t="s">
        <v>1518</v>
      </c>
      <c r="E890" s="315" t="s">
        <v>1697</v>
      </c>
      <c r="F890" s="26">
        <v>288</v>
      </c>
      <c r="G890" s="26" t="s">
        <v>4665</v>
      </c>
    </row>
    <row r="891" spans="1:7" hidden="1">
      <c r="B891" s="26" t="s">
        <v>3682</v>
      </c>
      <c r="E891" s="315"/>
    </row>
    <row r="892" spans="1:7" hidden="1">
      <c r="B892" s="26" t="s">
        <v>2657</v>
      </c>
      <c r="E892" s="315"/>
    </row>
    <row r="893" spans="1:7" hidden="1">
      <c r="B893" s="27" t="s">
        <v>3683</v>
      </c>
      <c r="E893" s="315" t="s">
        <v>1697</v>
      </c>
      <c r="F893" s="26">
        <v>180</v>
      </c>
      <c r="G893" s="26" t="s">
        <v>4665</v>
      </c>
    </row>
    <row r="894" spans="1:7" hidden="1">
      <c r="A894" s="78">
        <v>4</v>
      </c>
      <c r="B894" s="26" t="s">
        <v>3684</v>
      </c>
      <c r="E894" s="315"/>
    </row>
    <row r="895" spans="1:7" hidden="1">
      <c r="B895" s="26" t="s">
        <v>3540</v>
      </c>
      <c r="E895" s="315"/>
    </row>
    <row r="896" spans="1:7" hidden="1">
      <c r="B896" s="26" t="s">
        <v>4404</v>
      </c>
      <c r="E896" s="315" t="s">
        <v>1697</v>
      </c>
      <c r="F896" s="26">
        <v>50.4</v>
      </c>
      <c r="G896" s="26" t="s">
        <v>3483</v>
      </c>
    </row>
    <row r="897" spans="1:7" hidden="1">
      <c r="B897" s="26" t="s">
        <v>4405</v>
      </c>
      <c r="E897" s="315" t="s">
        <v>1697</v>
      </c>
      <c r="F897" s="26">
        <v>3</v>
      </c>
      <c r="G897" s="26" t="s">
        <v>3483</v>
      </c>
    </row>
    <row r="898" spans="1:7" hidden="1">
      <c r="B898" s="26" t="s">
        <v>4406</v>
      </c>
      <c r="E898" s="315" t="s">
        <v>1697</v>
      </c>
      <c r="F898" s="26">
        <v>8</v>
      </c>
      <c r="G898" s="26" t="s">
        <v>4665</v>
      </c>
    </row>
    <row r="899" spans="1:7" hidden="1">
      <c r="B899" s="26" t="s">
        <v>6220</v>
      </c>
      <c r="E899" s="315" t="s">
        <v>1697</v>
      </c>
      <c r="F899" s="26">
        <v>135</v>
      </c>
      <c r="G899" s="26" t="s">
        <v>4665</v>
      </c>
    </row>
    <row r="900" spans="1:7" hidden="1">
      <c r="A900" s="78">
        <v>5</v>
      </c>
      <c r="B900" s="26" t="s">
        <v>4249</v>
      </c>
    </row>
    <row r="901" spans="1:7" hidden="1">
      <c r="B901" s="26" t="s">
        <v>4896</v>
      </c>
    </row>
    <row r="902" spans="1:7" hidden="1">
      <c r="B902" s="26" t="s">
        <v>4897</v>
      </c>
    </row>
    <row r="903" spans="1:7" hidden="1">
      <c r="B903" s="26" t="s">
        <v>6221</v>
      </c>
    </row>
    <row r="904" spans="1:7" hidden="1">
      <c r="B904" s="26" t="s">
        <v>3027</v>
      </c>
    </row>
    <row r="905" spans="1:7" hidden="1">
      <c r="A905" s="78">
        <v>6</v>
      </c>
      <c r="B905" s="31" t="s">
        <v>4900</v>
      </c>
      <c r="C905" s="31"/>
      <c r="D905" s="31"/>
      <c r="E905" s="31"/>
      <c r="F905" s="31"/>
    </row>
    <row r="906" spans="1:7" hidden="1">
      <c r="B906" s="1266" t="s">
        <v>4901</v>
      </c>
      <c r="C906" s="1266"/>
      <c r="D906" s="38" t="s">
        <v>2468</v>
      </c>
      <c r="E906" s="38" t="s">
        <v>4902</v>
      </c>
      <c r="F906" s="38" t="s">
        <v>4903</v>
      </c>
      <c r="G906" s="38" t="s">
        <v>6199</v>
      </c>
    </row>
    <row r="907" spans="1:7" hidden="1">
      <c r="B907" s="1266"/>
      <c r="C907" s="1266"/>
      <c r="D907" s="38"/>
      <c r="E907" s="38" t="s">
        <v>4904</v>
      </c>
      <c r="F907" s="38" t="s">
        <v>4905</v>
      </c>
      <c r="G907" s="38"/>
    </row>
    <row r="908" spans="1:7" hidden="1">
      <c r="B908" s="1266"/>
      <c r="C908" s="1266"/>
      <c r="D908" s="38"/>
      <c r="E908" s="38" t="s">
        <v>6307</v>
      </c>
      <c r="F908" s="36"/>
      <c r="G908" s="38"/>
    </row>
    <row r="909" spans="1:7" hidden="1">
      <c r="B909" s="38" t="s">
        <v>6222</v>
      </c>
      <c r="C909" s="38"/>
      <c r="D909" s="36">
        <v>4</v>
      </c>
      <c r="E909" s="36">
        <v>8</v>
      </c>
      <c r="F909" s="36">
        <v>8</v>
      </c>
      <c r="G909" s="36">
        <v>16</v>
      </c>
    </row>
    <row r="910" spans="1:7" hidden="1">
      <c r="B910" s="38" t="s">
        <v>6309</v>
      </c>
      <c r="C910" s="38"/>
      <c r="D910" s="36">
        <v>1</v>
      </c>
      <c r="E910" s="36">
        <v>2</v>
      </c>
      <c r="F910" s="36" t="s">
        <v>5854</v>
      </c>
      <c r="G910" s="36">
        <v>2</v>
      </c>
    </row>
    <row r="911" spans="1:7" hidden="1">
      <c r="B911" s="38" t="s">
        <v>5930</v>
      </c>
      <c r="C911" s="38"/>
      <c r="D911" s="36">
        <v>4</v>
      </c>
      <c r="E911" s="36">
        <v>9</v>
      </c>
      <c r="F911" s="36" t="s">
        <v>5854</v>
      </c>
      <c r="G911" s="36">
        <v>18</v>
      </c>
    </row>
    <row r="912" spans="1:7" hidden="1">
      <c r="B912" s="38" t="s">
        <v>5931</v>
      </c>
      <c r="C912" s="38"/>
      <c r="D912" s="36">
        <v>3</v>
      </c>
      <c r="E912" s="36" t="s">
        <v>5854</v>
      </c>
      <c r="F912" s="36">
        <v>27</v>
      </c>
      <c r="G912" s="36">
        <v>27</v>
      </c>
    </row>
    <row r="913" spans="1:7" hidden="1">
      <c r="B913" s="38" t="s">
        <v>6836</v>
      </c>
      <c r="C913" s="38"/>
      <c r="D913" s="36" t="s">
        <v>5854</v>
      </c>
      <c r="E913" s="36">
        <v>12</v>
      </c>
      <c r="F913" s="36" t="s">
        <v>5854</v>
      </c>
      <c r="G913" s="36">
        <v>12</v>
      </c>
    </row>
    <row r="914" spans="1:7" hidden="1">
      <c r="B914" s="38" t="s">
        <v>6837</v>
      </c>
      <c r="C914" s="38"/>
      <c r="D914" s="36">
        <v>3</v>
      </c>
      <c r="E914" s="36">
        <v>3</v>
      </c>
      <c r="F914" s="36" t="s">
        <v>5854</v>
      </c>
      <c r="G914" s="36">
        <v>6</v>
      </c>
    </row>
    <row r="915" spans="1:7" hidden="1">
      <c r="B915" s="38" t="s">
        <v>5566</v>
      </c>
      <c r="C915" s="38"/>
      <c r="D915" s="36">
        <v>1</v>
      </c>
      <c r="E915" s="36">
        <v>1</v>
      </c>
      <c r="F915" s="36" t="s">
        <v>5854</v>
      </c>
      <c r="G915" s="36">
        <v>2</v>
      </c>
    </row>
    <row r="916" spans="1:7" hidden="1">
      <c r="B916" s="36" t="s">
        <v>2656</v>
      </c>
      <c r="C916" s="36"/>
      <c r="D916" s="36">
        <f>SUM(D909:D915)</f>
        <v>16</v>
      </c>
      <c r="E916" s="36">
        <f>SUM(E909:E915)</f>
        <v>35</v>
      </c>
      <c r="F916" s="36">
        <f>SUM(F909:F915)</f>
        <v>35</v>
      </c>
      <c r="G916" s="36">
        <f>SUM(G909:G915)</f>
        <v>83</v>
      </c>
    </row>
    <row r="917" spans="1:7" hidden="1">
      <c r="A917" s="78">
        <v>7</v>
      </c>
      <c r="B917" s="26" t="s">
        <v>673</v>
      </c>
    </row>
    <row r="918" spans="1:7" hidden="1">
      <c r="B918" s="26" t="s">
        <v>6017</v>
      </c>
    </row>
    <row r="919" spans="1:7" hidden="1">
      <c r="B919" s="26" t="s">
        <v>2385</v>
      </c>
    </row>
    <row r="920" spans="1:7" hidden="1">
      <c r="B920" s="26" t="s">
        <v>4751</v>
      </c>
    </row>
    <row r="921" spans="1:7" hidden="1">
      <c r="A921" s="78">
        <v>8</v>
      </c>
      <c r="B921" s="26" t="s">
        <v>2366</v>
      </c>
    </row>
    <row r="922" spans="1:7" hidden="1">
      <c r="B922" s="26" t="s">
        <v>3230</v>
      </c>
      <c r="C922" s="68">
        <f>'BASIC DATA'!D373</f>
        <v>7800</v>
      </c>
      <c r="D922" s="26" t="s">
        <v>2290</v>
      </c>
      <c r="E922" s="315" t="s">
        <v>1698</v>
      </c>
      <c r="F922" s="68">
        <f>C922</f>
        <v>7800</v>
      </c>
    </row>
    <row r="923" spans="1:7" hidden="1">
      <c r="B923" s="26" t="s">
        <v>3231</v>
      </c>
      <c r="E923" s="322" t="s">
        <v>1697</v>
      </c>
      <c r="F923" s="316">
        <v>1000</v>
      </c>
      <c r="G923" s="26" t="s">
        <v>4665</v>
      </c>
    </row>
    <row r="924" spans="1:7" hidden="1">
      <c r="B924" s="26" t="s">
        <v>3232</v>
      </c>
      <c r="C924" s="26" t="s">
        <v>7593</v>
      </c>
      <c r="E924" s="315" t="s">
        <v>1698</v>
      </c>
      <c r="F924" s="68">
        <f>F922/F923</f>
        <v>7.8</v>
      </c>
    </row>
    <row r="925" spans="1:7" hidden="1">
      <c r="B925" s="26" t="s">
        <v>6838</v>
      </c>
      <c r="C925" s="68">
        <f>'BASIC DATA'!D371</f>
        <v>14500</v>
      </c>
      <c r="D925" s="26" t="s">
        <v>2290</v>
      </c>
      <c r="E925" s="315" t="s">
        <v>1698</v>
      </c>
      <c r="F925" s="68">
        <f>C925</f>
        <v>14500</v>
      </c>
    </row>
    <row r="926" spans="1:7" hidden="1">
      <c r="B926" s="26" t="s">
        <v>5868</v>
      </c>
      <c r="E926" s="322" t="s">
        <v>1697</v>
      </c>
      <c r="F926" s="316">
        <v>600</v>
      </c>
      <c r="G926" s="26" t="s">
        <v>4665</v>
      </c>
    </row>
    <row r="927" spans="1:7" hidden="1">
      <c r="B927" s="26" t="s">
        <v>3234</v>
      </c>
      <c r="C927" s="26" t="s">
        <v>7593</v>
      </c>
      <c r="E927" s="315" t="s">
        <v>1698</v>
      </c>
      <c r="F927" s="68">
        <f>F925/F926</f>
        <v>24.166666666666668</v>
      </c>
    </row>
    <row r="928" spans="1:7"/>
    <row r="929" spans="1:7">
      <c r="A929" s="78" t="s">
        <v>3984</v>
      </c>
      <c r="C929" s="203" t="s">
        <v>2367</v>
      </c>
      <c r="E929" s="171" t="s">
        <v>297</v>
      </c>
      <c r="F929" s="692">
        <v>3.1789999999999998</v>
      </c>
      <c r="G929" s="26" t="s">
        <v>3480</v>
      </c>
    </row>
    <row r="930" spans="1:7">
      <c r="B930" s="79" t="s">
        <v>2368</v>
      </c>
      <c r="F930" s="68"/>
    </row>
    <row r="931" spans="1:7">
      <c r="B931" s="95" t="s">
        <v>2369</v>
      </c>
      <c r="C931" s="157" t="s">
        <v>6374</v>
      </c>
      <c r="D931" s="95" t="s">
        <v>2370</v>
      </c>
      <c r="E931" s="95" t="s">
        <v>1166</v>
      </c>
      <c r="F931" s="95" t="s">
        <v>2371</v>
      </c>
      <c r="G931" s="95" t="s">
        <v>2372</v>
      </c>
    </row>
    <row r="932" spans="1:7">
      <c r="B932" s="114"/>
      <c r="C932" s="154"/>
      <c r="D932" s="114"/>
      <c r="E932" s="114"/>
      <c r="F932" s="114" t="s">
        <v>3485</v>
      </c>
      <c r="G932" s="114" t="s">
        <v>3485</v>
      </c>
    </row>
    <row r="933" spans="1:7">
      <c r="B933" s="95">
        <v>1</v>
      </c>
      <c r="C933" s="135" t="s">
        <v>6244</v>
      </c>
      <c r="D933" s="451" t="s">
        <v>3478</v>
      </c>
      <c r="E933" s="190">
        <v>432</v>
      </c>
      <c r="F933" s="214">
        <f>'BASIC DATA'!D97/1000</f>
        <v>37.5</v>
      </c>
      <c r="G933" s="190">
        <f>E933*F933</f>
        <v>16200</v>
      </c>
    </row>
    <row r="934" spans="1:7">
      <c r="B934" s="105">
        <v>2</v>
      </c>
      <c r="C934" s="135" t="s">
        <v>5431</v>
      </c>
      <c r="D934" s="319" t="s">
        <v>3478</v>
      </c>
      <c r="E934" s="190">
        <v>2301</v>
      </c>
      <c r="F934" s="214">
        <f>'BASIC DATA'!D98/1000</f>
        <v>37.4</v>
      </c>
      <c r="G934" s="190">
        <f t="shared" ref="G934:G944" si="12">E934*F934</f>
        <v>86057.4</v>
      </c>
    </row>
    <row r="935" spans="1:7">
      <c r="B935" s="105">
        <v>3</v>
      </c>
      <c r="C935" s="135" t="s">
        <v>4653</v>
      </c>
      <c r="D935" s="319" t="s">
        <v>3478</v>
      </c>
      <c r="E935" s="190">
        <v>411</v>
      </c>
      <c r="F935" s="214">
        <f>'BASIC DATA'!D180</f>
        <v>275</v>
      </c>
      <c r="G935" s="190">
        <f t="shared" si="12"/>
        <v>113025</v>
      </c>
    </row>
    <row r="936" spans="1:7">
      <c r="B936" s="105">
        <v>4</v>
      </c>
      <c r="C936" s="135" t="s">
        <v>4654</v>
      </c>
      <c r="D936" s="319" t="s">
        <v>3478</v>
      </c>
      <c r="E936" s="190">
        <v>115</v>
      </c>
      <c r="F936" s="214">
        <f>'BASIC DATA'!D84</f>
        <v>80</v>
      </c>
      <c r="G936" s="190">
        <f t="shared" si="12"/>
        <v>9200</v>
      </c>
    </row>
    <row r="937" spans="1:7">
      <c r="B937" s="105">
        <v>5</v>
      </c>
      <c r="C937" s="135" t="s">
        <v>958</v>
      </c>
      <c r="D937" s="319" t="s">
        <v>3477</v>
      </c>
      <c r="E937" s="190">
        <v>99</v>
      </c>
      <c r="F937" s="214">
        <f>'BASIC DATA'!D87</f>
        <v>42</v>
      </c>
      <c r="G937" s="190">
        <f t="shared" si="12"/>
        <v>4158</v>
      </c>
    </row>
    <row r="938" spans="1:7">
      <c r="B938" s="105">
        <v>6</v>
      </c>
      <c r="C938" s="135" t="s">
        <v>6815</v>
      </c>
      <c r="D938" s="319" t="s">
        <v>3477</v>
      </c>
      <c r="E938" s="190">
        <v>33</v>
      </c>
      <c r="F938" s="214">
        <f>'BASIC DATA'!D28</f>
        <v>335</v>
      </c>
      <c r="G938" s="190">
        <f t="shared" si="12"/>
        <v>11055</v>
      </c>
    </row>
    <row r="939" spans="1:7">
      <c r="B939" s="105">
        <v>7</v>
      </c>
      <c r="C939" s="135" t="s">
        <v>6816</v>
      </c>
      <c r="D939" s="319" t="s">
        <v>2059</v>
      </c>
      <c r="E939" s="190">
        <v>166</v>
      </c>
      <c r="F939" s="214">
        <f>'BASIC DATA'!D109</f>
        <v>80</v>
      </c>
      <c r="G939" s="190">
        <f t="shared" si="12"/>
        <v>13280</v>
      </c>
    </row>
    <row r="940" spans="1:7">
      <c r="B940" s="105">
        <v>8</v>
      </c>
      <c r="C940" s="135" t="s">
        <v>4655</v>
      </c>
      <c r="D940" s="319" t="s">
        <v>2059</v>
      </c>
      <c r="E940" s="190">
        <v>1499</v>
      </c>
      <c r="F940" s="214">
        <f>'BASIC DATA'!D181</f>
        <v>15</v>
      </c>
      <c r="G940" s="190">
        <f t="shared" si="12"/>
        <v>22485</v>
      </c>
    </row>
    <row r="941" spans="1:7">
      <c r="B941" s="105">
        <v>9</v>
      </c>
      <c r="C941" s="135" t="s">
        <v>4656</v>
      </c>
      <c r="D941" s="319" t="s">
        <v>2059</v>
      </c>
      <c r="E941" s="190">
        <v>1030</v>
      </c>
      <c r="F941" s="214">
        <f>'BASIC DATA'!D182</f>
        <v>23</v>
      </c>
      <c r="G941" s="190">
        <f t="shared" si="12"/>
        <v>23690</v>
      </c>
    </row>
    <row r="942" spans="1:7">
      <c r="B942" s="105">
        <v>10</v>
      </c>
      <c r="C942" s="135" t="s">
        <v>6556</v>
      </c>
      <c r="D942" s="319" t="s">
        <v>2374</v>
      </c>
      <c r="E942" s="190">
        <v>288</v>
      </c>
      <c r="F942" s="214">
        <f>F924</f>
        <v>7.8</v>
      </c>
      <c r="G942" s="190">
        <f t="shared" si="12"/>
        <v>2246.4</v>
      </c>
    </row>
    <row r="943" spans="1:7">
      <c r="B943" s="105">
        <v>11</v>
      </c>
      <c r="C943" s="135" t="s">
        <v>6557</v>
      </c>
      <c r="D943" s="319" t="s">
        <v>2374</v>
      </c>
      <c r="E943" s="190">
        <v>18</v>
      </c>
      <c r="F943" s="214">
        <f>F927</f>
        <v>24.166666666666668</v>
      </c>
      <c r="G943" s="190">
        <f t="shared" si="12"/>
        <v>435</v>
      </c>
    </row>
    <row r="944" spans="1:7">
      <c r="B944" s="114">
        <v>12</v>
      </c>
      <c r="C944" s="135" t="s">
        <v>2373</v>
      </c>
      <c r="D944" s="319" t="s">
        <v>2173</v>
      </c>
      <c r="E944" s="190">
        <v>20</v>
      </c>
      <c r="F944" s="214">
        <f>'BASIC DATA'!D359</f>
        <v>30</v>
      </c>
      <c r="G944" s="190">
        <f t="shared" si="12"/>
        <v>600</v>
      </c>
    </row>
    <row r="945" spans="2:7">
      <c r="B945" s="92"/>
      <c r="C945" s="193"/>
      <c r="D945" s="151" t="s">
        <v>2376</v>
      </c>
      <c r="E945" s="160"/>
      <c r="F945" s="236" t="s">
        <v>1698</v>
      </c>
      <c r="G945" s="318">
        <f>SUM(G933:G944)</f>
        <v>302431.80000000005</v>
      </c>
    </row>
    <row r="946" spans="2:7"/>
    <row r="947" spans="2:7">
      <c r="B947" s="79" t="s">
        <v>2377</v>
      </c>
    </row>
    <row r="948" spans="2:7">
      <c r="B948" s="95" t="s">
        <v>2369</v>
      </c>
      <c r="C948" s="157" t="s">
        <v>2378</v>
      </c>
      <c r="D948" s="95" t="s">
        <v>2370</v>
      </c>
      <c r="E948" s="95" t="s">
        <v>1166</v>
      </c>
      <c r="F948" s="95" t="s">
        <v>2371</v>
      </c>
      <c r="G948" s="95" t="s">
        <v>2372</v>
      </c>
    </row>
    <row r="949" spans="2:7">
      <c r="B949" s="114"/>
      <c r="C949" s="154"/>
      <c r="D949" s="114"/>
      <c r="E949" s="114"/>
      <c r="F949" s="114" t="s">
        <v>3485</v>
      </c>
      <c r="G949" s="114" t="s">
        <v>3485</v>
      </c>
    </row>
    <row r="950" spans="2:7">
      <c r="B950" s="95">
        <v>1</v>
      </c>
      <c r="C950" s="135" t="s">
        <v>6558</v>
      </c>
      <c r="D950" s="451" t="s">
        <v>2374</v>
      </c>
      <c r="E950" s="190">
        <v>288</v>
      </c>
      <c r="F950" s="190">
        <f>'HIRE CHARGES'!D556</f>
        <v>16</v>
      </c>
      <c r="G950" s="190">
        <f>E950*F950</f>
        <v>4608</v>
      </c>
    </row>
    <row r="951" spans="2:7">
      <c r="B951" s="317"/>
      <c r="C951" s="135" t="s">
        <v>2379</v>
      </c>
      <c r="D951" s="319" t="s">
        <v>2374</v>
      </c>
      <c r="E951" s="190">
        <v>180</v>
      </c>
      <c r="F951" s="190">
        <f>'HIRE CHARGES'!E556</f>
        <v>67.2</v>
      </c>
      <c r="G951" s="190">
        <f t="shared" ref="G951:G966" si="13">E951*F951</f>
        <v>12096</v>
      </c>
    </row>
    <row r="952" spans="2:7">
      <c r="B952" s="105">
        <v>2</v>
      </c>
      <c r="C952" s="135" t="s">
        <v>6560</v>
      </c>
      <c r="D952" s="319" t="s">
        <v>2374</v>
      </c>
      <c r="E952" s="190">
        <v>4</v>
      </c>
      <c r="F952" s="190">
        <f>'HIRE CHARGES'!D536</f>
        <v>41.9</v>
      </c>
      <c r="G952" s="190">
        <f t="shared" si="13"/>
        <v>167.6</v>
      </c>
    </row>
    <row r="953" spans="2:7">
      <c r="B953" s="317"/>
      <c r="C953" s="135" t="s">
        <v>2379</v>
      </c>
      <c r="D953" s="319" t="s">
        <v>2374</v>
      </c>
      <c r="E953" s="190">
        <v>4</v>
      </c>
      <c r="F953" s="190">
        <f>'HIRE CHARGES'!E536</f>
        <v>112.1</v>
      </c>
      <c r="G953" s="190">
        <f t="shared" si="13"/>
        <v>448.4</v>
      </c>
    </row>
    <row r="954" spans="2:7">
      <c r="B954" s="105">
        <v>3</v>
      </c>
      <c r="C954" s="135" t="s">
        <v>6060</v>
      </c>
      <c r="D954" s="319" t="s">
        <v>2374</v>
      </c>
      <c r="E954" s="190">
        <v>48</v>
      </c>
      <c r="F954" s="190">
        <f>'HIRE CHARGES'!D539</f>
        <v>6.4</v>
      </c>
      <c r="G954" s="190">
        <f t="shared" si="13"/>
        <v>307.20000000000005</v>
      </c>
    </row>
    <row r="955" spans="2:7">
      <c r="B955" s="317"/>
      <c r="C955" s="135" t="s">
        <v>2379</v>
      </c>
      <c r="D955" s="319" t="s">
        <v>2374</v>
      </c>
      <c r="E955" s="190">
        <v>48</v>
      </c>
      <c r="F955" s="190">
        <f>'HIRE CHARGES'!E539</f>
        <v>2.8</v>
      </c>
      <c r="G955" s="190">
        <f t="shared" si="13"/>
        <v>134.39999999999998</v>
      </c>
    </row>
    <row r="956" spans="2:7">
      <c r="B956" s="105">
        <v>4</v>
      </c>
      <c r="C956" s="135" t="s">
        <v>5540</v>
      </c>
      <c r="D956" s="319" t="s">
        <v>2374</v>
      </c>
      <c r="E956" s="190">
        <v>135</v>
      </c>
      <c r="F956" s="190">
        <f>'HIRE CHARGES'!D535</f>
        <v>117.8</v>
      </c>
      <c r="G956" s="190">
        <f t="shared" si="13"/>
        <v>15903</v>
      </c>
    </row>
    <row r="957" spans="2:7">
      <c r="B957" s="317"/>
      <c r="C957" s="135" t="s">
        <v>2379</v>
      </c>
      <c r="D957" s="319" t="s">
        <v>2374</v>
      </c>
      <c r="E957" s="190">
        <v>135</v>
      </c>
      <c r="F957" s="190">
        <f>'HIRE CHARGES'!E535</f>
        <v>84.1</v>
      </c>
      <c r="G957" s="190">
        <f t="shared" si="13"/>
        <v>11353.5</v>
      </c>
    </row>
    <row r="958" spans="2:7">
      <c r="B958" s="105">
        <v>5</v>
      </c>
      <c r="C958" s="135" t="s">
        <v>6561</v>
      </c>
      <c r="D958" s="319" t="s">
        <v>2374</v>
      </c>
      <c r="E958" s="190">
        <v>4</v>
      </c>
      <c r="F958" s="190">
        <f>'HIRE CHARGES'!D550</f>
        <v>519.69999999999993</v>
      </c>
      <c r="G958" s="190">
        <f t="shared" si="13"/>
        <v>2078.7999999999997</v>
      </c>
    </row>
    <row r="959" spans="2:7">
      <c r="B959" s="317"/>
      <c r="C959" s="135" t="s">
        <v>2379</v>
      </c>
      <c r="D959" s="319" t="s">
        <v>2374</v>
      </c>
      <c r="E959" s="190">
        <v>4</v>
      </c>
      <c r="F959" s="190">
        <f>'HIRE CHARGES'!E550</f>
        <v>299.89999999999998</v>
      </c>
      <c r="G959" s="190">
        <f t="shared" si="13"/>
        <v>1199.5999999999999</v>
      </c>
    </row>
    <row r="960" spans="2:7">
      <c r="B960" s="105">
        <v>6</v>
      </c>
      <c r="C960" s="135" t="s">
        <v>866</v>
      </c>
      <c r="D960" s="319" t="s">
        <v>2374</v>
      </c>
      <c r="E960" s="190">
        <v>8</v>
      </c>
      <c r="F960" s="190">
        <f>'HIRE CHARGES'!D544</f>
        <v>86.1</v>
      </c>
      <c r="G960" s="190">
        <f t="shared" si="13"/>
        <v>688.8</v>
      </c>
    </row>
    <row r="961" spans="2:7">
      <c r="B961" s="317"/>
      <c r="C961" s="135" t="s">
        <v>2379</v>
      </c>
      <c r="D961" s="319" t="s">
        <v>2374</v>
      </c>
      <c r="E961" s="190">
        <v>8</v>
      </c>
      <c r="F961" s="190">
        <f>'HIRE CHARGES'!E544</f>
        <v>0</v>
      </c>
      <c r="G961" s="190">
        <f t="shared" si="13"/>
        <v>0</v>
      </c>
    </row>
    <row r="962" spans="2:7">
      <c r="B962" s="105">
        <v>7</v>
      </c>
      <c r="C962" s="135" t="s">
        <v>6562</v>
      </c>
      <c r="D962" s="319" t="s">
        <v>2374</v>
      </c>
      <c r="E962" s="190">
        <v>16</v>
      </c>
      <c r="F962" s="190">
        <f>'HIRE CHARGES'!D551</f>
        <v>22.5</v>
      </c>
      <c r="G962" s="190">
        <f t="shared" si="13"/>
        <v>360</v>
      </c>
    </row>
    <row r="963" spans="2:7">
      <c r="B963" s="317"/>
      <c r="C963" s="135" t="s">
        <v>2379</v>
      </c>
      <c r="D963" s="319" t="s">
        <v>2374</v>
      </c>
      <c r="E963" s="190">
        <v>16</v>
      </c>
      <c r="F963" s="190">
        <f>'HIRE CHARGES'!E551</f>
        <v>28</v>
      </c>
      <c r="G963" s="190">
        <f t="shared" si="13"/>
        <v>448</v>
      </c>
    </row>
    <row r="964" spans="2:7">
      <c r="B964" s="105">
        <v>8</v>
      </c>
      <c r="C964" s="135" t="s">
        <v>5539</v>
      </c>
      <c r="D964" s="319" t="s">
        <v>2374</v>
      </c>
      <c r="E964" s="190">
        <v>16</v>
      </c>
      <c r="F964" s="190">
        <f>'HIRE CHARGES'!D551</f>
        <v>22.5</v>
      </c>
      <c r="G964" s="190">
        <f t="shared" si="13"/>
        <v>360</v>
      </c>
    </row>
    <row r="965" spans="2:7">
      <c r="B965" s="317"/>
      <c r="C965" s="135" t="s">
        <v>2379</v>
      </c>
      <c r="D965" s="319" t="s">
        <v>2374</v>
      </c>
      <c r="E965" s="190">
        <v>16</v>
      </c>
      <c r="F965" s="190">
        <f>'HIRE CHARGES'!E551</f>
        <v>28</v>
      </c>
      <c r="G965" s="190">
        <f t="shared" si="13"/>
        <v>448</v>
      </c>
    </row>
    <row r="966" spans="2:7">
      <c r="B966" s="114">
        <v>9</v>
      </c>
      <c r="C966" s="135" t="s">
        <v>2373</v>
      </c>
      <c r="D966" s="319" t="s">
        <v>2173</v>
      </c>
      <c r="E966" s="190">
        <v>20</v>
      </c>
      <c r="F966" s="214">
        <f>'BASIC DATA'!D359</f>
        <v>30</v>
      </c>
      <c r="G966" s="190">
        <f t="shared" si="13"/>
        <v>600</v>
      </c>
    </row>
    <row r="967" spans="2:7">
      <c r="B967" s="176"/>
      <c r="C967" s="193" t="s">
        <v>2380</v>
      </c>
      <c r="D967" s="193"/>
      <c r="E967" s="208"/>
      <c r="F967" s="236" t="s">
        <v>1698</v>
      </c>
      <c r="G967" s="318">
        <f>SUM(G950:G966)</f>
        <v>51201.30000000001</v>
      </c>
    </row>
    <row r="968" spans="2:7"/>
    <row r="969" spans="2:7">
      <c r="B969" s="79" t="s">
        <v>2381</v>
      </c>
    </row>
    <row r="970" spans="2:7">
      <c r="B970" s="95" t="s">
        <v>2369</v>
      </c>
      <c r="C970" s="157" t="s">
        <v>2378</v>
      </c>
      <c r="D970" s="95" t="s">
        <v>2370</v>
      </c>
      <c r="E970" s="95" t="s">
        <v>1166</v>
      </c>
      <c r="F970" s="95" t="s">
        <v>2371</v>
      </c>
      <c r="G970" s="95" t="s">
        <v>2372</v>
      </c>
    </row>
    <row r="971" spans="2:7">
      <c r="B971" s="114"/>
      <c r="C971" s="154"/>
      <c r="D971" s="114"/>
      <c r="E971" s="114"/>
      <c r="F971" s="114" t="s">
        <v>3485</v>
      </c>
      <c r="G971" s="114" t="s">
        <v>3485</v>
      </c>
    </row>
    <row r="972" spans="2:7">
      <c r="B972" s="105">
        <v>1</v>
      </c>
      <c r="C972" s="76" t="s">
        <v>5542</v>
      </c>
      <c r="D972" s="319" t="s">
        <v>2374</v>
      </c>
      <c r="E972" s="207">
        <v>4</v>
      </c>
      <c r="F972" s="190">
        <f>'HIRE CHARGES'!F550</f>
        <v>177.5</v>
      </c>
      <c r="G972" s="190">
        <f>E972*F972</f>
        <v>710</v>
      </c>
    </row>
    <row r="973" spans="2:7">
      <c r="B973" s="105">
        <v>2</v>
      </c>
      <c r="C973" s="76" t="s">
        <v>5544</v>
      </c>
      <c r="D973" s="319" t="s">
        <v>2374</v>
      </c>
      <c r="E973" s="207">
        <v>135</v>
      </c>
      <c r="F973" s="190">
        <f>'HIRE CHARGES'!F535</f>
        <v>210.9</v>
      </c>
      <c r="G973" s="190">
        <f t="shared" ref="G973:G982" si="14">E973*F973</f>
        <v>28471.5</v>
      </c>
    </row>
    <row r="974" spans="2:7">
      <c r="B974" s="105">
        <v>3</v>
      </c>
      <c r="C974" s="76" t="s">
        <v>5545</v>
      </c>
      <c r="D974" s="319" t="s">
        <v>2374</v>
      </c>
      <c r="E974" s="207">
        <v>16</v>
      </c>
      <c r="F974" s="190">
        <f>'HIRE CHARGES'!F551</f>
        <v>198.9</v>
      </c>
      <c r="G974" s="190">
        <f t="shared" si="14"/>
        <v>3182.4</v>
      </c>
    </row>
    <row r="975" spans="2:7">
      <c r="B975" s="105">
        <v>4</v>
      </c>
      <c r="C975" s="76" t="s">
        <v>5546</v>
      </c>
      <c r="D975" s="319" t="s">
        <v>2374</v>
      </c>
      <c r="E975" s="207">
        <v>16</v>
      </c>
      <c r="F975" s="190">
        <f>'HIRE CHARGES'!F551</f>
        <v>198.9</v>
      </c>
      <c r="G975" s="190">
        <f t="shared" si="14"/>
        <v>3182.4</v>
      </c>
    </row>
    <row r="976" spans="2:7">
      <c r="B976" s="105">
        <v>5</v>
      </c>
      <c r="C976" s="76" t="s">
        <v>2468</v>
      </c>
      <c r="D976" s="319" t="s">
        <v>1172</v>
      </c>
      <c r="E976" s="207">
        <f>D916</f>
        <v>16</v>
      </c>
      <c r="F976" s="190">
        <f>'BASIC DATA'!C471</f>
        <v>510</v>
      </c>
      <c r="G976" s="190">
        <f t="shared" si="14"/>
        <v>8160</v>
      </c>
    </row>
    <row r="977" spans="2:7">
      <c r="B977" s="105">
        <v>6</v>
      </c>
      <c r="C977" s="76" t="s">
        <v>5547</v>
      </c>
      <c r="D977" s="319" t="s">
        <v>1172</v>
      </c>
      <c r="E977" s="207">
        <f>E916</f>
        <v>35</v>
      </c>
      <c r="F977" s="190">
        <f>'BASIC DATA'!C503</f>
        <v>550</v>
      </c>
      <c r="G977" s="190">
        <f t="shared" si="14"/>
        <v>19250</v>
      </c>
    </row>
    <row r="978" spans="2:7">
      <c r="B978" s="105">
        <v>7</v>
      </c>
      <c r="C978" s="76" t="s">
        <v>3010</v>
      </c>
      <c r="D978" s="319" t="s">
        <v>1172</v>
      </c>
      <c r="E978" s="207">
        <v>8</v>
      </c>
      <c r="F978" s="190">
        <f>'BASIC DATA'!C504</f>
        <v>445</v>
      </c>
      <c r="G978" s="190">
        <f t="shared" si="14"/>
        <v>3560</v>
      </c>
    </row>
    <row r="979" spans="2:7">
      <c r="B979" s="105">
        <v>8</v>
      </c>
      <c r="C979" s="76" t="s">
        <v>3013</v>
      </c>
      <c r="D979" s="319" t="s">
        <v>1172</v>
      </c>
      <c r="E979" s="207">
        <v>24</v>
      </c>
      <c r="F979" s="190">
        <f>'BASIC DATA'!C504</f>
        <v>445</v>
      </c>
      <c r="G979" s="190">
        <f t="shared" si="14"/>
        <v>10680</v>
      </c>
    </row>
    <row r="980" spans="2:7">
      <c r="B980" s="105">
        <v>9</v>
      </c>
      <c r="C980" s="76" t="s">
        <v>5548</v>
      </c>
      <c r="D980" s="319" t="s">
        <v>1172</v>
      </c>
      <c r="E980" s="207">
        <v>3</v>
      </c>
      <c r="F980" s="190">
        <f>'BASIC DATA'!C505</f>
        <v>510</v>
      </c>
      <c r="G980" s="190">
        <f t="shared" si="14"/>
        <v>1530</v>
      </c>
    </row>
    <row r="981" spans="2:7">
      <c r="B981" s="105">
        <v>10</v>
      </c>
      <c r="C981" s="76" t="s">
        <v>3011</v>
      </c>
      <c r="D981" s="319" t="s">
        <v>1172</v>
      </c>
      <c r="E981" s="207">
        <f>G916</f>
        <v>83</v>
      </c>
      <c r="F981" s="190">
        <f>'BASIC DATA'!C529</f>
        <v>400</v>
      </c>
      <c r="G981" s="190">
        <f t="shared" si="14"/>
        <v>33200</v>
      </c>
    </row>
    <row r="982" spans="2:7">
      <c r="B982" s="105">
        <v>11</v>
      </c>
      <c r="C982" s="76" t="s">
        <v>5604</v>
      </c>
      <c r="D982" s="319" t="s">
        <v>1172</v>
      </c>
      <c r="E982" s="207">
        <v>2</v>
      </c>
      <c r="F982" s="190">
        <f>'BASIC DATA'!C468</f>
        <v>515</v>
      </c>
      <c r="G982" s="190">
        <f t="shared" si="14"/>
        <v>1030</v>
      </c>
    </row>
    <row r="983" spans="2:7">
      <c r="B983" s="92"/>
      <c r="C983" s="193"/>
      <c r="D983" s="151" t="s">
        <v>1174</v>
      </c>
      <c r="E983" s="160"/>
      <c r="F983" s="236" t="s">
        <v>1698</v>
      </c>
      <c r="G983" s="318">
        <f>SUM(G972:G982)</f>
        <v>112956.3</v>
      </c>
    </row>
    <row r="984" spans="2:7">
      <c r="B984" s="60" t="s">
        <v>5948</v>
      </c>
      <c r="C984" s="31"/>
      <c r="D984" s="31"/>
      <c r="E984" s="85">
        <f>ROUND(G983/F929,1)</f>
        <v>35532</v>
      </c>
    </row>
    <row r="985" spans="2:7">
      <c r="B985" s="60" t="s">
        <v>3163</v>
      </c>
      <c r="C985" s="31"/>
      <c r="D985" s="31">
        <f>'BASIC DATA'!$C$577</f>
        <v>0.13614999999999999</v>
      </c>
      <c r="E985" s="85">
        <f>ROUND(E984*D985,1)</f>
        <v>4837.7</v>
      </c>
    </row>
    <row r="986" spans="2:7">
      <c r="B986" s="60" t="s">
        <v>5949</v>
      </c>
      <c r="C986" s="31"/>
      <c r="D986" s="31"/>
      <c r="E986" s="199">
        <f>E985+E984</f>
        <v>40369.699999999997</v>
      </c>
    </row>
    <row r="987" spans="2:7">
      <c r="B987" s="26"/>
    </row>
    <row r="988" spans="2:7">
      <c r="B988" s="170" t="s">
        <v>1175</v>
      </c>
    </row>
    <row r="989" spans="2:7">
      <c r="B989" s="26" t="s">
        <v>1176</v>
      </c>
      <c r="F989" s="171" t="s">
        <v>1698</v>
      </c>
      <c r="G989" s="68">
        <f>G945</f>
        <v>302431.80000000005</v>
      </c>
    </row>
    <row r="990" spans="2:7">
      <c r="B990" s="26" t="s">
        <v>1186</v>
      </c>
      <c r="F990" s="171" t="s">
        <v>1698</v>
      </c>
      <c r="G990" s="68">
        <f>G967</f>
        <v>51201.30000000001</v>
      </c>
    </row>
    <row r="991" spans="2:7">
      <c r="B991" s="26" t="s">
        <v>2660</v>
      </c>
      <c r="F991" s="171" t="s">
        <v>1698</v>
      </c>
      <c r="G991" s="173">
        <f>G983</f>
        <v>112956.3</v>
      </c>
    </row>
    <row r="992" spans="2:7">
      <c r="B992" s="26"/>
      <c r="E992" s="171" t="s">
        <v>5551</v>
      </c>
      <c r="F992" s="171" t="s">
        <v>1698</v>
      </c>
      <c r="G992" s="205">
        <f>SUM(G989:G991)</f>
        <v>466589.4</v>
      </c>
    </row>
    <row r="993" spans="1:34">
      <c r="B993" s="26" t="s">
        <v>5087</v>
      </c>
      <c r="E993" s="693">
        <f>'BASIC DATA'!C593</f>
        <v>0</v>
      </c>
      <c r="F993" s="171" t="s">
        <v>1698</v>
      </c>
      <c r="G993" s="68">
        <f>(G991+G990)*E993*0.75</f>
        <v>0</v>
      </c>
    </row>
    <row r="994" spans="1:34">
      <c r="B994" s="26" t="s">
        <v>5084</v>
      </c>
      <c r="E994" s="171" t="s">
        <v>1518</v>
      </c>
      <c r="F994" s="171" t="s">
        <v>1698</v>
      </c>
      <c r="G994" s="205">
        <f>G993+G992</f>
        <v>466589.4</v>
      </c>
    </row>
    <row r="995" spans="1:34">
      <c r="B995" s="26" t="s">
        <v>5086</v>
      </c>
      <c r="E995" s="201">
        <f>'BASIC DATA'!C594</f>
        <v>0.03</v>
      </c>
      <c r="F995" s="171" t="s">
        <v>1698</v>
      </c>
      <c r="G995" s="75">
        <f>G994*E995</f>
        <v>13997.682000000001</v>
      </c>
    </row>
    <row r="996" spans="1:34">
      <c r="B996" s="26"/>
      <c r="E996" s="26" t="s">
        <v>2392</v>
      </c>
      <c r="F996" s="171" t="s">
        <v>1698</v>
      </c>
      <c r="G996" s="75">
        <f>G995+G994</f>
        <v>480587.08200000005</v>
      </c>
    </row>
    <row r="997" spans="1:34">
      <c r="B997" s="1206" t="s">
        <v>4717</v>
      </c>
      <c r="C997" s="1206"/>
      <c r="D997" s="201">
        <f>'BASIC DATA'!$C$577</f>
        <v>0.13614999999999999</v>
      </c>
      <c r="F997" s="171" t="s">
        <v>1698</v>
      </c>
      <c r="G997" s="75">
        <f>G996*D997</f>
        <v>65431.931214300006</v>
      </c>
      <c r="I997" s="68"/>
    </row>
    <row r="998" spans="1:34">
      <c r="B998" s="26" t="s">
        <v>898</v>
      </c>
    </row>
    <row r="999" spans="1:34">
      <c r="B999" s="47" t="s">
        <v>897</v>
      </c>
      <c r="D999" s="48"/>
      <c r="E999" s="68">
        <f>leadcharges!F65</f>
        <v>19</v>
      </c>
      <c r="F999" s="27" t="s">
        <v>1279</v>
      </c>
      <c r="G999" s="76">
        <f>2*ROUND(E999*F929,3)</f>
        <v>120.80200000000001</v>
      </c>
      <c r="AH999" s="68"/>
    </row>
    <row r="1000" spans="1:34">
      <c r="B1000" s="47" t="s">
        <v>896</v>
      </c>
      <c r="D1000" s="48"/>
      <c r="E1000" s="68">
        <f>leadcharges!$G$79</f>
        <v>74.8</v>
      </c>
      <c r="F1000" s="27" t="s">
        <v>1279</v>
      </c>
      <c r="G1000" s="76">
        <f>2*ROUND(E1000*F929,3)</f>
        <v>475.57799999999997</v>
      </c>
    </row>
    <row r="1001" spans="1:34" ht="18.75" thickBot="1">
      <c r="B1001" s="26" t="s">
        <v>5078</v>
      </c>
      <c r="D1001" s="68">
        <f>F929</f>
        <v>3.1789999999999998</v>
      </c>
      <c r="E1001" s="26" t="s">
        <v>3480</v>
      </c>
      <c r="F1001" s="171" t="s">
        <v>1698</v>
      </c>
      <c r="G1001" s="205">
        <f>G997+G996+G999+G1000</f>
        <v>546615.39321430004</v>
      </c>
    </row>
    <row r="1002" spans="1:34" ht="18.75" thickBot="1">
      <c r="B1002" s="26"/>
      <c r="D1002" s="694" t="s">
        <v>3884</v>
      </c>
      <c r="E1002" s="695" t="s">
        <v>3480</v>
      </c>
      <c r="F1002" s="696" t="s">
        <v>1698</v>
      </c>
      <c r="G1002" s="716">
        <f>ROUND(G1001/D1001,1)</f>
        <v>171945.7</v>
      </c>
    </row>
    <row r="1003" spans="1:34">
      <c r="B1003" s="26"/>
      <c r="C1003" s="78"/>
    </row>
    <row r="1004" spans="1:34">
      <c r="B1004" s="26"/>
      <c r="C1004" s="78"/>
      <c r="E1004" s="78"/>
      <c r="G1004" s="171"/>
      <c r="H1004" s="27"/>
    </row>
    <row r="1005" spans="1:34">
      <c r="B1005" s="170" t="s">
        <v>7865</v>
      </c>
    </row>
    <row r="1006" spans="1:34">
      <c r="A1006" s="26" t="s">
        <v>7167</v>
      </c>
      <c r="B1006" s="26" t="s">
        <v>9037</v>
      </c>
    </row>
    <row r="1007" spans="1:34" ht="18.75">
      <c r="B1007" s="26" t="s">
        <v>9038</v>
      </c>
    </row>
    <row r="1008" spans="1:34">
      <c r="B1008" s="26" t="s">
        <v>7126</v>
      </c>
    </row>
    <row r="1009" spans="1:7">
      <c r="B1009" s="26" t="s">
        <v>6412</v>
      </c>
    </row>
    <row r="1010" spans="1:7">
      <c r="B1010" s="26" t="s">
        <v>5935</v>
      </c>
    </row>
    <row r="1011" spans="1:7">
      <c r="B1011" s="26" t="s">
        <v>538</v>
      </c>
      <c r="E1011" s="322"/>
    </row>
    <row r="1012" spans="1:7">
      <c r="B1012" s="26" t="s">
        <v>3549</v>
      </c>
      <c r="E1012" s="322"/>
    </row>
    <row r="1013" spans="1:7">
      <c r="B1013" s="26"/>
      <c r="E1013" s="322"/>
    </row>
    <row r="1014" spans="1:7" hidden="1">
      <c r="A1014" s="78" t="s">
        <v>3984</v>
      </c>
      <c r="B1014" s="26" t="s">
        <v>4746</v>
      </c>
      <c r="E1014" s="322"/>
    </row>
    <row r="1015" spans="1:7" hidden="1">
      <c r="B1015" s="26" t="s">
        <v>4747</v>
      </c>
    </row>
    <row r="1016" spans="1:7" hidden="1">
      <c r="B1016" s="26" t="s">
        <v>4748</v>
      </c>
    </row>
    <row r="1017" spans="1:7" hidden="1">
      <c r="B1017" s="26" t="s">
        <v>5936</v>
      </c>
    </row>
    <row r="1018" spans="1:7" hidden="1">
      <c r="B1018" s="26"/>
    </row>
    <row r="1019" spans="1:7" hidden="1">
      <c r="B1019" s="26" t="s">
        <v>5788</v>
      </c>
      <c r="E1019" s="322" t="s">
        <v>1697</v>
      </c>
      <c r="F1019" s="26">
        <v>71.156999999999996</v>
      </c>
      <c r="G1019" s="26" t="s">
        <v>45</v>
      </c>
    </row>
    <row r="1020" spans="1:7" hidden="1">
      <c r="B1020" s="26" t="s">
        <v>240</v>
      </c>
    </row>
    <row r="1021" spans="1:7" hidden="1">
      <c r="A1021" s="78">
        <v>1</v>
      </c>
      <c r="B1021" s="26" t="s">
        <v>6317</v>
      </c>
    </row>
    <row r="1022" spans="1:7" hidden="1">
      <c r="A1022" s="171" t="s">
        <v>1535</v>
      </c>
      <c r="B1022" s="26" t="s">
        <v>241</v>
      </c>
    </row>
    <row r="1023" spans="1:7" hidden="1">
      <c r="A1023" s="171"/>
      <c r="B1023" s="26" t="s">
        <v>242</v>
      </c>
      <c r="E1023" s="322" t="s">
        <v>1697</v>
      </c>
      <c r="F1023" s="26">
        <v>473</v>
      </c>
      <c r="G1023" s="26" t="s">
        <v>3478</v>
      </c>
    </row>
    <row r="1024" spans="1:7" hidden="1">
      <c r="A1024" s="171"/>
      <c r="B1024" s="26" t="s">
        <v>243</v>
      </c>
      <c r="E1024" s="322" t="s">
        <v>1697</v>
      </c>
      <c r="F1024" s="26">
        <v>71963</v>
      </c>
      <c r="G1024" s="26" t="s">
        <v>3478</v>
      </c>
    </row>
    <row r="1025" spans="1:7" hidden="1">
      <c r="A1025" s="171" t="s">
        <v>5400</v>
      </c>
      <c r="B1025" s="26" t="s">
        <v>5162</v>
      </c>
    </row>
    <row r="1026" spans="1:7" hidden="1">
      <c r="A1026" s="171"/>
      <c r="B1026" s="26" t="s">
        <v>5164</v>
      </c>
      <c r="E1026" s="322" t="s">
        <v>1697</v>
      </c>
      <c r="F1026" s="26">
        <v>104</v>
      </c>
      <c r="G1026" s="26" t="s">
        <v>3478</v>
      </c>
    </row>
    <row r="1027" spans="1:7" hidden="1">
      <c r="A1027" s="171" t="s">
        <v>5401</v>
      </c>
      <c r="B1027" s="26" t="s">
        <v>5167</v>
      </c>
    </row>
    <row r="1028" spans="1:7" hidden="1">
      <c r="A1028" s="171"/>
      <c r="B1028" s="26" t="s">
        <v>5789</v>
      </c>
      <c r="E1028" s="322" t="s">
        <v>1697</v>
      </c>
      <c r="F1028" s="26">
        <v>48</v>
      </c>
      <c r="G1028" s="26" t="s">
        <v>3478</v>
      </c>
    </row>
    <row r="1029" spans="1:7" hidden="1">
      <c r="A1029" s="171" t="s">
        <v>1696</v>
      </c>
      <c r="B1029" s="26" t="s">
        <v>5083</v>
      </c>
    </row>
    <row r="1030" spans="1:7" hidden="1">
      <c r="A1030" s="171"/>
      <c r="B1030" s="26" t="s">
        <v>1140</v>
      </c>
      <c r="E1030" s="322" t="s">
        <v>1697</v>
      </c>
      <c r="F1030" s="26">
        <v>295</v>
      </c>
      <c r="G1030" s="26" t="s">
        <v>3478</v>
      </c>
    </row>
    <row r="1031" spans="1:7" hidden="1">
      <c r="A1031" s="171"/>
      <c r="B1031" s="26" t="s">
        <v>2407</v>
      </c>
      <c r="E1031" s="322" t="s">
        <v>1697</v>
      </c>
      <c r="F1031" s="26">
        <v>49</v>
      </c>
      <c r="G1031" s="26" t="s">
        <v>3478</v>
      </c>
    </row>
    <row r="1032" spans="1:7" hidden="1">
      <c r="A1032" s="171" t="s">
        <v>5082</v>
      </c>
      <c r="B1032" s="26" t="s">
        <v>2411</v>
      </c>
    </row>
    <row r="1033" spans="1:7" hidden="1">
      <c r="A1033" s="171"/>
      <c r="B1033" s="26" t="s">
        <v>4960</v>
      </c>
      <c r="E1033" s="322" t="s">
        <v>1697</v>
      </c>
      <c r="F1033" s="26">
        <v>123</v>
      </c>
      <c r="G1033" s="26" t="s">
        <v>3483</v>
      </c>
    </row>
    <row r="1034" spans="1:7" hidden="1">
      <c r="A1034" s="171"/>
      <c r="B1034" s="26" t="s">
        <v>4910</v>
      </c>
      <c r="E1034" s="322" t="s">
        <v>1697</v>
      </c>
      <c r="F1034" s="26">
        <v>20</v>
      </c>
      <c r="G1034" s="26" t="s">
        <v>3483</v>
      </c>
    </row>
    <row r="1035" spans="1:7" hidden="1">
      <c r="A1035" s="171" t="s">
        <v>2408</v>
      </c>
      <c r="B1035" s="26" t="s">
        <v>1195</v>
      </c>
    </row>
    <row r="1036" spans="1:7" hidden="1">
      <c r="B1036" s="26" t="s">
        <v>517</v>
      </c>
      <c r="E1036" s="322" t="s">
        <v>1697</v>
      </c>
      <c r="F1036" s="26">
        <v>2765</v>
      </c>
      <c r="G1036" s="26" t="s">
        <v>2059</v>
      </c>
    </row>
    <row r="1037" spans="1:7" hidden="1">
      <c r="B1037" s="26" t="s">
        <v>519</v>
      </c>
      <c r="E1037" s="322" t="s">
        <v>1697</v>
      </c>
      <c r="F1037" s="26">
        <v>24885</v>
      </c>
      <c r="G1037" s="26" t="s">
        <v>2059</v>
      </c>
    </row>
    <row r="1038" spans="1:7" hidden="1">
      <c r="A1038" s="78">
        <v>2</v>
      </c>
      <c r="B1038" s="26" t="s">
        <v>2281</v>
      </c>
    </row>
    <row r="1039" spans="1:7" hidden="1">
      <c r="B1039" s="26" t="s">
        <v>4962</v>
      </c>
      <c r="E1039" s="322" t="s">
        <v>1697</v>
      </c>
      <c r="F1039" s="26">
        <v>980</v>
      </c>
      <c r="G1039" s="26" t="s">
        <v>3483</v>
      </c>
    </row>
    <row r="1040" spans="1:7" hidden="1">
      <c r="B1040" s="26" t="s">
        <v>2985</v>
      </c>
      <c r="E1040" s="322" t="s">
        <v>1697</v>
      </c>
      <c r="F1040" s="174">
        <v>98</v>
      </c>
      <c r="G1040" s="26" t="s">
        <v>3483</v>
      </c>
    </row>
    <row r="1041" spans="1:7" hidden="1">
      <c r="B1041" s="26"/>
      <c r="D1041" s="26" t="s">
        <v>1518</v>
      </c>
      <c r="E1041" s="322" t="s">
        <v>1697</v>
      </c>
      <c r="F1041" s="26">
        <v>1078</v>
      </c>
      <c r="G1041" s="26" t="s">
        <v>3483</v>
      </c>
    </row>
    <row r="1042" spans="1:7" hidden="1">
      <c r="B1042" s="26" t="s">
        <v>6013</v>
      </c>
    </row>
    <row r="1043" spans="1:7" hidden="1">
      <c r="B1043" s="26" t="s">
        <v>4906</v>
      </c>
    </row>
    <row r="1044" spans="1:7" hidden="1">
      <c r="B1044" s="26" t="s">
        <v>3532</v>
      </c>
      <c r="E1044" s="322" t="s">
        <v>1697</v>
      </c>
      <c r="F1044" s="26">
        <v>50</v>
      </c>
      <c r="G1044" s="26" t="s">
        <v>2602</v>
      </c>
    </row>
    <row r="1045" spans="1:7" hidden="1">
      <c r="B1045" s="26" t="s">
        <v>3533</v>
      </c>
      <c r="E1045" s="322" t="s">
        <v>1697</v>
      </c>
      <c r="F1045" s="26">
        <v>1028</v>
      </c>
      <c r="G1045" s="26" t="s">
        <v>2602</v>
      </c>
    </row>
    <row r="1046" spans="1:7" hidden="1">
      <c r="B1046" s="26" t="s">
        <v>2278</v>
      </c>
      <c r="E1046" s="322" t="s">
        <v>1697</v>
      </c>
      <c r="F1046" s="26">
        <v>25</v>
      </c>
      <c r="G1046" s="26" t="s">
        <v>4665</v>
      </c>
    </row>
    <row r="1047" spans="1:7" hidden="1">
      <c r="B1047" s="26" t="s">
        <v>2279</v>
      </c>
      <c r="E1047" s="322" t="s">
        <v>1697</v>
      </c>
      <c r="F1047" s="26">
        <v>343</v>
      </c>
      <c r="G1047" s="26" t="s">
        <v>4665</v>
      </c>
    </row>
    <row r="1048" spans="1:7" hidden="1">
      <c r="B1048" s="26" t="s">
        <v>4907</v>
      </c>
      <c r="E1048" s="322" t="s">
        <v>1697</v>
      </c>
      <c r="F1048" s="26">
        <v>221</v>
      </c>
      <c r="G1048" s="26" t="s">
        <v>3477</v>
      </c>
    </row>
    <row r="1049" spans="1:7" hidden="1">
      <c r="B1049" s="26" t="s">
        <v>4908</v>
      </c>
      <c r="E1049" s="322" t="s">
        <v>1697</v>
      </c>
      <c r="F1049" s="26">
        <v>663</v>
      </c>
      <c r="G1049" s="26" t="s">
        <v>3477</v>
      </c>
    </row>
    <row r="1050" spans="1:7" hidden="1">
      <c r="B1050" s="26" t="s">
        <v>4155</v>
      </c>
      <c r="E1050" s="322" t="s">
        <v>1697</v>
      </c>
      <c r="F1050" s="26">
        <v>30</v>
      </c>
      <c r="G1050" s="26" t="s">
        <v>4665</v>
      </c>
    </row>
    <row r="1051" spans="1:7" hidden="1">
      <c r="B1051" s="26" t="s">
        <v>4156</v>
      </c>
      <c r="E1051" s="322" t="s">
        <v>1697</v>
      </c>
      <c r="F1051" s="26">
        <v>412</v>
      </c>
      <c r="G1051" s="26" t="s">
        <v>4665</v>
      </c>
    </row>
    <row r="1052" spans="1:7" hidden="1">
      <c r="A1052" s="78">
        <v>3</v>
      </c>
      <c r="B1052" s="26" t="s">
        <v>4651</v>
      </c>
      <c r="E1052" s="322"/>
    </row>
    <row r="1053" spans="1:7" hidden="1">
      <c r="B1053" s="26" t="s">
        <v>2504</v>
      </c>
      <c r="E1053" s="322" t="s">
        <v>1697</v>
      </c>
      <c r="F1053" s="26">
        <v>3228</v>
      </c>
      <c r="G1053" s="26" t="s">
        <v>3483</v>
      </c>
    </row>
    <row r="1054" spans="1:7" hidden="1">
      <c r="B1054" s="26" t="s">
        <v>5723</v>
      </c>
      <c r="E1054" s="322"/>
    </row>
    <row r="1055" spans="1:7" hidden="1">
      <c r="B1055" s="171" t="s">
        <v>4157</v>
      </c>
      <c r="E1055" s="322" t="s">
        <v>1697</v>
      </c>
      <c r="F1055" s="26">
        <v>737</v>
      </c>
      <c r="G1055" s="26" t="s">
        <v>4665</v>
      </c>
    </row>
    <row r="1056" spans="1:7" hidden="1">
      <c r="B1056" s="26" t="s">
        <v>1913</v>
      </c>
      <c r="E1056" s="322"/>
    </row>
    <row r="1057" spans="1:7" hidden="1">
      <c r="B1057" s="171" t="s">
        <v>4158</v>
      </c>
      <c r="E1057" s="322" t="s">
        <v>1697</v>
      </c>
      <c r="F1057" s="26">
        <v>2212</v>
      </c>
      <c r="G1057" s="26" t="s">
        <v>4665</v>
      </c>
    </row>
    <row r="1058" spans="1:7" hidden="1">
      <c r="B1058" s="26"/>
      <c r="D1058" s="26" t="s">
        <v>1518</v>
      </c>
      <c r="E1058" s="322" t="s">
        <v>1697</v>
      </c>
      <c r="F1058" s="26">
        <v>2949</v>
      </c>
      <c r="G1058" s="26" t="s">
        <v>4665</v>
      </c>
    </row>
    <row r="1059" spans="1:7" hidden="1">
      <c r="B1059" s="26" t="s">
        <v>3515</v>
      </c>
      <c r="E1059" s="322"/>
    </row>
    <row r="1060" spans="1:7" hidden="1">
      <c r="B1060" s="26" t="s">
        <v>2657</v>
      </c>
      <c r="E1060" s="322"/>
    </row>
    <row r="1061" spans="1:7" hidden="1">
      <c r="B1061" s="26" t="s">
        <v>3516</v>
      </c>
      <c r="E1061" s="322" t="s">
        <v>1697</v>
      </c>
      <c r="F1061" s="26">
        <v>1843</v>
      </c>
      <c r="G1061" s="26" t="s">
        <v>4665</v>
      </c>
    </row>
    <row r="1062" spans="1:7" hidden="1">
      <c r="A1062" s="78">
        <v>4</v>
      </c>
      <c r="B1062" s="26" t="s">
        <v>4249</v>
      </c>
    </row>
    <row r="1063" spans="1:7" hidden="1">
      <c r="B1063" s="26" t="s">
        <v>2118</v>
      </c>
    </row>
    <row r="1064" spans="1:7" hidden="1">
      <c r="B1064" s="26" t="s">
        <v>2119</v>
      </c>
    </row>
    <row r="1065" spans="1:7" hidden="1">
      <c r="B1065" s="26" t="s">
        <v>2077</v>
      </c>
    </row>
    <row r="1066" spans="1:7" hidden="1">
      <c r="B1066" s="26" t="s">
        <v>3027</v>
      </c>
    </row>
    <row r="1067" spans="1:7" hidden="1">
      <c r="B1067" s="26" t="s">
        <v>7028</v>
      </c>
    </row>
    <row r="1068" spans="1:7" hidden="1">
      <c r="B1068" s="26" t="s">
        <v>7029</v>
      </c>
    </row>
    <row r="1069" spans="1:7" hidden="1">
      <c r="B1069" s="26"/>
    </row>
    <row r="1070" spans="1:7" hidden="1">
      <c r="A1070" s="78">
        <v>5</v>
      </c>
      <c r="B1070" s="31" t="s">
        <v>4900</v>
      </c>
      <c r="C1070" s="31"/>
      <c r="D1070" s="31"/>
      <c r="E1070" s="31"/>
      <c r="F1070" s="31"/>
    </row>
    <row r="1071" spans="1:7" hidden="1">
      <c r="B1071" s="1266" t="s">
        <v>4901</v>
      </c>
      <c r="C1071" s="1266"/>
      <c r="D1071" s="38" t="s">
        <v>2468</v>
      </c>
      <c r="E1071" s="38" t="s">
        <v>4902</v>
      </c>
      <c r="F1071" s="38" t="s">
        <v>4903</v>
      </c>
      <c r="G1071" s="38" t="s">
        <v>6199</v>
      </c>
    </row>
    <row r="1072" spans="1:7" hidden="1">
      <c r="B1072" s="1266"/>
      <c r="C1072" s="1266"/>
      <c r="D1072" s="38"/>
      <c r="E1072" s="38" t="s">
        <v>4904</v>
      </c>
      <c r="F1072" s="38" t="s">
        <v>4905</v>
      </c>
      <c r="G1072" s="38"/>
    </row>
    <row r="1073" spans="1:7" hidden="1">
      <c r="B1073" s="1266"/>
      <c r="C1073" s="1266"/>
      <c r="D1073" s="38"/>
      <c r="E1073" s="38" t="s">
        <v>6307</v>
      </c>
      <c r="F1073" s="36"/>
      <c r="G1073" s="38"/>
    </row>
    <row r="1074" spans="1:7" hidden="1">
      <c r="B1074" s="38" t="s">
        <v>2078</v>
      </c>
      <c r="C1074" s="38"/>
      <c r="D1074" s="36">
        <v>28</v>
      </c>
      <c r="E1074" s="36">
        <v>56</v>
      </c>
      <c r="F1074" s="36">
        <v>56</v>
      </c>
      <c r="G1074" s="36">
        <v>112</v>
      </c>
    </row>
    <row r="1075" spans="1:7" hidden="1">
      <c r="B1075" s="38" t="s">
        <v>4777</v>
      </c>
      <c r="C1075" s="38"/>
      <c r="D1075" s="36">
        <v>6</v>
      </c>
      <c r="E1075" s="36">
        <v>12</v>
      </c>
      <c r="F1075" s="36" t="s">
        <v>5854</v>
      </c>
      <c r="G1075" s="36">
        <v>12</v>
      </c>
    </row>
    <row r="1076" spans="1:7" hidden="1">
      <c r="B1076" s="38" t="s">
        <v>6028</v>
      </c>
      <c r="C1076" s="38"/>
      <c r="D1076" s="36">
        <v>46</v>
      </c>
      <c r="E1076" s="36">
        <v>92</v>
      </c>
      <c r="F1076" s="36" t="s">
        <v>5854</v>
      </c>
      <c r="G1076" s="36">
        <v>184</v>
      </c>
    </row>
    <row r="1077" spans="1:7" hidden="1">
      <c r="B1077" s="38" t="s">
        <v>6029</v>
      </c>
      <c r="C1077" s="38"/>
      <c r="D1077" s="36">
        <v>28</v>
      </c>
      <c r="E1077" s="36" t="s">
        <v>5854</v>
      </c>
      <c r="F1077" s="36">
        <v>277</v>
      </c>
      <c r="G1077" s="36">
        <v>277</v>
      </c>
    </row>
    <row r="1078" spans="1:7" hidden="1">
      <c r="B1078" s="38" t="s">
        <v>6030</v>
      </c>
      <c r="C1078" s="38"/>
      <c r="D1078" s="36">
        <v>4</v>
      </c>
      <c r="E1078" s="36">
        <v>4</v>
      </c>
      <c r="F1078" s="36" t="s">
        <v>5854</v>
      </c>
      <c r="G1078" s="36">
        <v>8</v>
      </c>
    </row>
    <row r="1079" spans="1:7" hidden="1">
      <c r="B1079" s="38" t="s">
        <v>6031</v>
      </c>
      <c r="C1079" s="38"/>
      <c r="D1079" s="36">
        <v>1</v>
      </c>
      <c r="E1079" s="36">
        <v>2</v>
      </c>
      <c r="F1079" s="36" t="s">
        <v>5854</v>
      </c>
      <c r="G1079" s="36">
        <v>4</v>
      </c>
    </row>
    <row r="1080" spans="1:7" hidden="1">
      <c r="B1080" s="38" t="s">
        <v>6032</v>
      </c>
      <c r="C1080" s="38"/>
      <c r="D1080" s="36">
        <v>2</v>
      </c>
      <c r="E1080" s="36">
        <v>2</v>
      </c>
      <c r="F1080" s="36" t="s">
        <v>5854</v>
      </c>
      <c r="G1080" s="36">
        <v>4</v>
      </c>
    </row>
    <row r="1081" spans="1:7" hidden="1">
      <c r="B1081" s="36" t="s">
        <v>2656</v>
      </c>
      <c r="C1081" s="36"/>
      <c r="D1081" s="36">
        <f>SUM(D1074:D1080)</f>
        <v>115</v>
      </c>
      <c r="E1081" s="36">
        <f>SUM(E1074:E1080)</f>
        <v>168</v>
      </c>
      <c r="F1081" s="36">
        <f>SUM(F1074:F1080)</f>
        <v>333</v>
      </c>
      <c r="G1081" s="36">
        <f>SUM(G1074:G1080)</f>
        <v>601</v>
      </c>
    </row>
    <row r="1082" spans="1:7" hidden="1">
      <c r="B1082" s="26"/>
    </row>
    <row r="1083" spans="1:7" hidden="1">
      <c r="A1083" s="78" t="s">
        <v>2525</v>
      </c>
      <c r="B1083" s="26" t="s">
        <v>3028</v>
      </c>
    </row>
    <row r="1084" spans="1:7" hidden="1">
      <c r="B1084" s="26" t="s">
        <v>5295</v>
      </c>
    </row>
    <row r="1085" spans="1:7" hidden="1">
      <c r="B1085" s="26" t="s">
        <v>5296</v>
      </c>
    </row>
    <row r="1086" spans="1:7" hidden="1">
      <c r="B1086" s="26" t="s">
        <v>6033</v>
      </c>
    </row>
    <row r="1087" spans="1:7" hidden="1">
      <c r="B1087" s="26" t="s">
        <v>3525</v>
      </c>
    </row>
    <row r="1088" spans="1:7" hidden="1">
      <c r="B1088" s="26" t="s">
        <v>2729</v>
      </c>
    </row>
    <row r="1089" spans="1:7" hidden="1">
      <c r="A1089" s="78">
        <v>6</v>
      </c>
      <c r="B1089" s="26" t="s">
        <v>673</v>
      </c>
    </row>
    <row r="1090" spans="1:7" hidden="1">
      <c r="B1090" s="26" t="s">
        <v>6017</v>
      </c>
    </row>
    <row r="1091" spans="1:7" hidden="1">
      <c r="B1091" s="26" t="s">
        <v>2385</v>
      </c>
    </row>
    <row r="1092" spans="1:7" hidden="1">
      <c r="B1092" s="26" t="s">
        <v>4751</v>
      </c>
    </row>
    <row r="1093" spans="1:7" hidden="1">
      <c r="A1093" s="78">
        <v>7</v>
      </c>
      <c r="B1093" s="26" t="s">
        <v>2366</v>
      </c>
    </row>
    <row r="1094" spans="1:7" hidden="1">
      <c r="B1094" s="26" t="s">
        <v>6355</v>
      </c>
      <c r="C1094" s="68">
        <f>'BASIC DATA'!D373</f>
        <v>7800</v>
      </c>
      <c r="D1094" s="26" t="s">
        <v>2290</v>
      </c>
      <c r="E1094" s="324" t="s">
        <v>1698</v>
      </c>
      <c r="F1094" s="68">
        <f>C1094</f>
        <v>7800</v>
      </c>
    </row>
    <row r="1095" spans="1:7" hidden="1">
      <c r="B1095" s="26" t="s">
        <v>3231</v>
      </c>
      <c r="E1095" s="315" t="s">
        <v>1697</v>
      </c>
      <c r="F1095" s="316">
        <v>1000</v>
      </c>
      <c r="G1095" s="26" t="s">
        <v>4665</v>
      </c>
    </row>
    <row r="1096" spans="1:7" hidden="1">
      <c r="B1096" s="26" t="s">
        <v>3232</v>
      </c>
      <c r="C1096" s="26" t="s">
        <v>7593</v>
      </c>
      <c r="E1096" s="324" t="s">
        <v>1698</v>
      </c>
      <c r="F1096" s="68">
        <f>F1094/F1095</f>
        <v>7.8</v>
      </c>
    </row>
    <row r="1097" spans="1:7" hidden="1">
      <c r="B1097" s="26" t="s">
        <v>6356</v>
      </c>
      <c r="C1097" s="68">
        <f>'BASIC DATA'!D371</f>
        <v>14500</v>
      </c>
      <c r="D1097" s="26" t="s">
        <v>2290</v>
      </c>
      <c r="E1097" s="324" t="s">
        <v>1698</v>
      </c>
      <c r="F1097" s="68">
        <f>C1097</f>
        <v>14500</v>
      </c>
    </row>
    <row r="1098" spans="1:7" hidden="1">
      <c r="B1098" s="26" t="s">
        <v>5868</v>
      </c>
      <c r="E1098" s="315" t="s">
        <v>1697</v>
      </c>
      <c r="F1098" s="316">
        <v>600</v>
      </c>
      <c r="G1098" s="26" t="s">
        <v>4665</v>
      </c>
    </row>
    <row r="1099" spans="1:7" hidden="1">
      <c r="B1099" s="26" t="s">
        <v>3234</v>
      </c>
      <c r="C1099" s="26" t="s">
        <v>7593</v>
      </c>
      <c r="E1099" s="324" t="s">
        <v>1698</v>
      </c>
      <c r="F1099" s="68">
        <f>F1097/F1098</f>
        <v>24.166666666666668</v>
      </c>
    </row>
    <row r="1100" spans="1:7"/>
    <row r="1101" spans="1:7">
      <c r="A1101" s="78" t="s">
        <v>3984</v>
      </c>
      <c r="C1101" s="203" t="s">
        <v>2367</v>
      </c>
      <c r="E1101" s="171" t="s">
        <v>297</v>
      </c>
      <c r="F1101" s="692">
        <v>71.156999999999996</v>
      </c>
      <c r="G1101" s="26" t="s">
        <v>3480</v>
      </c>
    </row>
    <row r="1102" spans="1:7">
      <c r="B1102" s="79" t="s">
        <v>2368</v>
      </c>
      <c r="F1102" s="68"/>
    </row>
    <row r="1103" spans="1:7">
      <c r="B1103" s="95" t="s">
        <v>2369</v>
      </c>
      <c r="C1103" s="157" t="s">
        <v>6374</v>
      </c>
      <c r="D1103" s="95" t="s">
        <v>2370</v>
      </c>
      <c r="E1103" s="95" t="s">
        <v>1166</v>
      </c>
      <c r="F1103" s="95" t="s">
        <v>2371</v>
      </c>
      <c r="G1103" s="95" t="s">
        <v>2372</v>
      </c>
    </row>
    <row r="1104" spans="1:7">
      <c r="B1104" s="114"/>
      <c r="C1104" s="154"/>
      <c r="D1104" s="114"/>
      <c r="E1104" s="114"/>
      <c r="F1104" s="114" t="s">
        <v>3485</v>
      </c>
      <c r="G1104" s="114" t="s">
        <v>3485</v>
      </c>
    </row>
    <row r="1105" spans="2:7">
      <c r="B1105" s="95">
        <v>1</v>
      </c>
      <c r="C1105" s="135" t="s">
        <v>4770</v>
      </c>
      <c r="D1105" s="451"/>
      <c r="E1105" s="190"/>
      <c r="F1105" s="190"/>
      <c r="G1105" s="190"/>
    </row>
    <row r="1106" spans="2:7">
      <c r="B1106" s="317"/>
      <c r="C1106" s="135" t="s">
        <v>4915</v>
      </c>
      <c r="D1106" s="319" t="s">
        <v>3478</v>
      </c>
      <c r="E1106" s="190">
        <v>473</v>
      </c>
      <c r="F1106" s="214">
        <f>'BASIC DATA'!D97/1000</f>
        <v>37.5</v>
      </c>
      <c r="G1106" s="190">
        <f>E1106*F1106</f>
        <v>17737.5</v>
      </c>
    </row>
    <row r="1107" spans="2:7">
      <c r="B1107" s="317"/>
      <c r="C1107" s="135" t="s">
        <v>4916</v>
      </c>
      <c r="D1107" s="319" t="s">
        <v>3478</v>
      </c>
      <c r="E1107" s="190">
        <v>71963</v>
      </c>
      <c r="F1107" s="214">
        <f>'BASIC DATA'!D98/1000</f>
        <v>37.4</v>
      </c>
      <c r="G1107" s="190">
        <f t="shared" ref="G1107:G1124" si="15">E1107*F1107</f>
        <v>2691416.1999999997</v>
      </c>
    </row>
    <row r="1108" spans="2:7">
      <c r="B1108" s="105">
        <v>2</v>
      </c>
      <c r="C1108" s="135" t="s">
        <v>4771</v>
      </c>
      <c r="D1108" s="319"/>
      <c r="E1108" s="190"/>
      <c r="F1108" s="214"/>
      <c r="G1108" s="190"/>
    </row>
    <row r="1109" spans="2:7">
      <c r="B1109" s="317"/>
      <c r="C1109" s="135" t="s">
        <v>5164</v>
      </c>
      <c r="D1109" s="319" t="s">
        <v>3478</v>
      </c>
      <c r="E1109" s="190">
        <v>104</v>
      </c>
      <c r="F1109" s="214">
        <f>'BASIC DATA'!D160</f>
        <v>450</v>
      </c>
      <c r="G1109" s="190">
        <f t="shared" si="15"/>
        <v>46800</v>
      </c>
    </row>
    <row r="1110" spans="2:7">
      <c r="B1110" s="105">
        <v>3</v>
      </c>
      <c r="C1110" s="135" t="s">
        <v>6357</v>
      </c>
      <c r="D1110" s="319"/>
      <c r="E1110" s="190"/>
      <c r="F1110" s="214"/>
      <c r="G1110" s="190"/>
    </row>
    <row r="1111" spans="2:7">
      <c r="B1111" s="317"/>
      <c r="C1111" s="135" t="s">
        <v>6358</v>
      </c>
      <c r="D1111" s="319" t="s">
        <v>3478</v>
      </c>
      <c r="E1111" s="190">
        <v>48</v>
      </c>
      <c r="F1111" s="214">
        <f>'BASIC DATA'!D163</f>
        <v>970</v>
      </c>
      <c r="G1111" s="190">
        <f t="shared" si="15"/>
        <v>46560</v>
      </c>
    </row>
    <row r="1112" spans="2:7">
      <c r="B1112" s="105">
        <v>4</v>
      </c>
      <c r="C1112" s="135" t="s">
        <v>374</v>
      </c>
      <c r="D1112" s="319"/>
      <c r="E1112" s="190"/>
      <c r="F1112" s="214"/>
      <c r="G1112" s="190"/>
    </row>
    <row r="1113" spans="2:7">
      <c r="B1113" s="317"/>
      <c r="C1113" s="135" t="s">
        <v>4957</v>
      </c>
      <c r="D1113" s="319" t="s">
        <v>3478</v>
      </c>
      <c r="E1113" s="190">
        <v>295</v>
      </c>
      <c r="F1113" s="214">
        <f>'BASIC DATA'!D161</f>
        <v>140</v>
      </c>
      <c r="G1113" s="190">
        <f t="shared" si="15"/>
        <v>41300</v>
      </c>
    </row>
    <row r="1114" spans="2:7">
      <c r="B1114" s="426"/>
      <c r="C1114" s="135" t="s">
        <v>4958</v>
      </c>
      <c r="D1114" s="319" t="s">
        <v>3478</v>
      </c>
      <c r="E1114" s="190">
        <v>49</v>
      </c>
      <c r="F1114" s="214">
        <f>'BASIC DATA'!D84</f>
        <v>80</v>
      </c>
      <c r="G1114" s="190">
        <f t="shared" si="15"/>
        <v>3920</v>
      </c>
    </row>
    <row r="1115" spans="2:7">
      <c r="B1115" s="105">
        <v>5</v>
      </c>
      <c r="C1115" s="135" t="s">
        <v>541</v>
      </c>
      <c r="D1115" s="319"/>
      <c r="E1115" s="190"/>
      <c r="F1115" s="214"/>
      <c r="G1115" s="190"/>
    </row>
    <row r="1116" spans="2:7">
      <c r="B1116" s="317"/>
      <c r="C1116" s="135" t="s">
        <v>4960</v>
      </c>
      <c r="D1116" s="319" t="s">
        <v>3483</v>
      </c>
      <c r="E1116" s="190">
        <v>123</v>
      </c>
      <c r="F1116" s="214">
        <f>'BASIC DATA'!D174</f>
        <v>780</v>
      </c>
      <c r="G1116" s="190">
        <f t="shared" si="15"/>
        <v>95940</v>
      </c>
    </row>
    <row r="1117" spans="2:7">
      <c r="B1117" s="317"/>
      <c r="C1117" s="135" t="s">
        <v>542</v>
      </c>
      <c r="D1117" s="319" t="s">
        <v>3483</v>
      </c>
      <c r="E1117" s="190">
        <v>20</v>
      </c>
      <c r="F1117" s="214">
        <f>'BASIC DATA'!D176</f>
        <v>1210</v>
      </c>
      <c r="G1117" s="190">
        <f t="shared" si="15"/>
        <v>24200</v>
      </c>
    </row>
    <row r="1118" spans="2:7">
      <c r="B1118" s="105">
        <v>6</v>
      </c>
      <c r="C1118" s="135" t="s">
        <v>958</v>
      </c>
      <c r="D1118" s="319" t="s">
        <v>3477</v>
      </c>
      <c r="E1118" s="190">
        <v>663</v>
      </c>
      <c r="F1118" s="214">
        <f>'BASIC DATA'!D87</f>
        <v>42</v>
      </c>
      <c r="G1118" s="190">
        <f t="shared" si="15"/>
        <v>27846</v>
      </c>
    </row>
    <row r="1119" spans="2:7">
      <c r="B1119" s="105">
        <v>7</v>
      </c>
      <c r="C1119" s="135" t="s">
        <v>6815</v>
      </c>
      <c r="D1119" s="319" t="s">
        <v>3477</v>
      </c>
      <c r="E1119" s="190">
        <v>221</v>
      </c>
      <c r="F1119" s="214">
        <f>'BASIC DATA'!D28</f>
        <v>335</v>
      </c>
      <c r="G1119" s="190">
        <f t="shared" si="15"/>
        <v>74035</v>
      </c>
    </row>
    <row r="1120" spans="2:7">
      <c r="B1120" s="105">
        <v>8</v>
      </c>
      <c r="C1120" s="135" t="s">
        <v>6816</v>
      </c>
      <c r="D1120" s="319" t="s">
        <v>2059</v>
      </c>
      <c r="E1120" s="190">
        <v>2765</v>
      </c>
      <c r="F1120" s="214">
        <f>'BASIC DATA'!D109</f>
        <v>80</v>
      </c>
      <c r="G1120" s="190">
        <f t="shared" si="15"/>
        <v>221200</v>
      </c>
    </row>
    <row r="1121" spans="2:7">
      <c r="B1121" s="105">
        <v>9</v>
      </c>
      <c r="C1121" s="135" t="s">
        <v>4655</v>
      </c>
      <c r="D1121" s="319" t="s">
        <v>2059</v>
      </c>
      <c r="E1121" s="190">
        <v>24885</v>
      </c>
      <c r="F1121" s="214">
        <f>'BASIC DATA'!D181</f>
        <v>15</v>
      </c>
      <c r="G1121" s="190">
        <f t="shared" si="15"/>
        <v>373275</v>
      </c>
    </row>
    <row r="1122" spans="2:7">
      <c r="B1122" s="105">
        <v>10</v>
      </c>
      <c r="C1122" s="135" t="s">
        <v>6556</v>
      </c>
      <c r="D1122" s="319" t="s">
        <v>2374</v>
      </c>
      <c r="E1122" s="190">
        <v>2949</v>
      </c>
      <c r="F1122" s="214">
        <f>F1096</f>
        <v>7.8</v>
      </c>
      <c r="G1122" s="190">
        <f t="shared" si="15"/>
        <v>23002.2</v>
      </c>
    </row>
    <row r="1123" spans="2:7">
      <c r="B1123" s="105">
        <v>11</v>
      </c>
      <c r="C1123" s="135" t="s">
        <v>6557</v>
      </c>
      <c r="D1123" s="319" t="s">
        <v>2374</v>
      </c>
      <c r="E1123" s="190">
        <v>30</v>
      </c>
      <c r="F1123" s="214">
        <f>F1099</f>
        <v>24.166666666666668</v>
      </c>
      <c r="G1123" s="190">
        <f t="shared" si="15"/>
        <v>725</v>
      </c>
    </row>
    <row r="1124" spans="2:7">
      <c r="B1124" s="114">
        <v>12</v>
      </c>
      <c r="C1124" s="135" t="s">
        <v>2373</v>
      </c>
      <c r="D1124" s="319" t="s">
        <v>2173</v>
      </c>
      <c r="E1124" s="190">
        <v>200</v>
      </c>
      <c r="F1124" s="214">
        <f>'BASIC DATA'!D359</f>
        <v>30</v>
      </c>
      <c r="G1124" s="190">
        <f t="shared" si="15"/>
        <v>6000</v>
      </c>
    </row>
    <row r="1125" spans="2:7">
      <c r="B1125" s="92"/>
      <c r="C1125" s="193"/>
      <c r="D1125" s="151" t="s">
        <v>2376</v>
      </c>
      <c r="E1125" s="160"/>
      <c r="F1125" s="236" t="s">
        <v>1698</v>
      </c>
      <c r="G1125" s="318">
        <f>SUM(G1106:G1124)</f>
        <v>3693956.9</v>
      </c>
    </row>
    <row r="1126" spans="2:7"/>
    <row r="1127" spans="2:7">
      <c r="B1127" s="79" t="s">
        <v>2377</v>
      </c>
    </row>
    <row r="1128" spans="2:7">
      <c r="B1128" s="95" t="s">
        <v>2369</v>
      </c>
      <c r="C1128" s="157" t="s">
        <v>2378</v>
      </c>
      <c r="D1128" s="95" t="s">
        <v>2370</v>
      </c>
      <c r="E1128" s="95" t="s">
        <v>1166</v>
      </c>
      <c r="F1128" s="95" t="s">
        <v>2371</v>
      </c>
      <c r="G1128" s="95" t="s">
        <v>2372</v>
      </c>
    </row>
    <row r="1129" spans="2:7">
      <c r="B1129" s="114"/>
      <c r="C1129" s="154"/>
      <c r="D1129" s="114"/>
      <c r="E1129" s="114"/>
      <c r="F1129" s="114" t="s">
        <v>3485</v>
      </c>
      <c r="G1129" s="114" t="s">
        <v>3485</v>
      </c>
    </row>
    <row r="1130" spans="2:7">
      <c r="B1130" s="95">
        <v>1</v>
      </c>
      <c r="C1130" s="135" t="s">
        <v>6558</v>
      </c>
      <c r="D1130" s="451" t="s">
        <v>2374</v>
      </c>
      <c r="E1130" s="190">
        <v>2949</v>
      </c>
      <c r="F1130" s="190">
        <f>'HIRE CHARGES'!D556</f>
        <v>16</v>
      </c>
      <c r="G1130" s="190">
        <f>E1130*F1130</f>
        <v>47184</v>
      </c>
    </row>
    <row r="1131" spans="2:7">
      <c r="B1131" s="317"/>
      <c r="C1131" s="135" t="s">
        <v>2379</v>
      </c>
      <c r="D1131" s="319" t="s">
        <v>2374</v>
      </c>
      <c r="E1131" s="190">
        <v>1843</v>
      </c>
      <c r="F1131" s="190">
        <f>'HIRE CHARGES'!E556</f>
        <v>67.2</v>
      </c>
      <c r="G1131" s="190">
        <f t="shared" ref="G1131:G1142" si="16">E1131*F1131</f>
        <v>123849.60000000001</v>
      </c>
    </row>
    <row r="1132" spans="2:7">
      <c r="B1132" s="105">
        <v>2</v>
      </c>
      <c r="C1132" s="135" t="s">
        <v>6060</v>
      </c>
      <c r="D1132" s="319" t="s">
        <v>2374</v>
      </c>
      <c r="E1132" s="190">
        <v>412</v>
      </c>
      <c r="F1132" s="190">
        <f>'HIRE CHARGES'!D539</f>
        <v>6.4</v>
      </c>
      <c r="G1132" s="190">
        <f t="shared" si="16"/>
        <v>2636.8</v>
      </c>
    </row>
    <row r="1133" spans="2:7">
      <c r="B1133" s="317"/>
      <c r="C1133" s="135" t="s">
        <v>2379</v>
      </c>
      <c r="D1133" s="319" t="s">
        <v>2374</v>
      </c>
      <c r="E1133" s="190">
        <v>412</v>
      </c>
      <c r="F1133" s="190">
        <f>'HIRE CHARGES'!E539</f>
        <v>2.8</v>
      </c>
      <c r="G1133" s="190">
        <f t="shared" si="16"/>
        <v>1153.5999999999999</v>
      </c>
    </row>
    <row r="1134" spans="2:7">
      <c r="B1134" s="105">
        <v>3</v>
      </c>
      <c r="C1134" s="135" t="s">
        <v>6561</v>
      </c>
      <c r="D1134" s="319" t="s">
        <v>2374</v>
      </c>
      <c r="E1134" s="190">
        <v>50</v>
      </c>
      <c r="F1134" s="190">
        <f>'HIRE CHARGES'!D550</f>
        <v>519.69999999999993</v>
      </c>
      <c r="G1134" s="190">
        <f t="shared" si="16"/>
        <v>25984.999999999996</v>
      </c>
    </row>
    <row r="1135" spans="2:7">
      <c r="B1135" s="317"/>
      <c r="C1135" s="135" t="s">
        <v>2379</v>
      </c>
      <c r="D1135" s="319" t="s">
        <v>2374</v>
      </c>
      <c r="E1135" s="190">
        <v>50</v>
      </c>
      <c r="F1135" s="190">
        <f>'HIRE CHARGES'!E550</f>
        <v>299.89999999999998</v>
      </c>
      <c r="G1135" s="190">
        <f t="shared" si="16"/>
        <v>14994.999999999998</v>
      </c>
    </row>
    <row r="1136" spans="2:7">
      <c r="B1136" s="105">
        <v>4</v>
      </c>
      <c r="C1136" s="135" t="s">
        <v>866</v>
      </c>
      <c r="D1136" s="319" t="s">
        <v>2374</v>
      </c>
      <c r="E1136" s="190">
        <v>100</v>
      </c>
      <c r="F1136" s="190">
        <f>'HIRE CHARGES'!D544</f>
        <v>86.1</v>
      </c>
      <c r="G1136" s="190">
        <f t="shared" si="16"/>
        <v>8610</v>
      </c>
    </row>
    <row r="1137" spans="2:7">
      <c r="B1137" s="317"/>
      <c r="C1137" s="135" t="s">
        <v>2379</v>
      </c>
      <c r="D1137" s="319" t="s">
        <v>2374</v>
      </c>
      <c r="E1137" s="190">
        <v>100</v>
      </c>
      <c r="F1137" s="190">
        <f>'HIRE CHARGES'!E544</f>
        <v>0</v>
      </c>
      <c r="G1137" s="190">
        <f t="shared" si="16"/>
        <v>0</v>
      </c>
    </row>
    <row r="1138" spans="2:7">
      <c r="B1138" s="105">
        <v>5</v>
      </c>
      <c r="C1138" s="135" t="s">
        <v>6562</v>
      </c>
      <c r="D1138" s="319" t="s">
        <v>2374</v>
      </c>
      <c r="E1138" s="190">
        <v>50</v>
      </c>
      <c r="F1138" s="190">
        <f>'HIRE CHARGES'!D551</f>
        <v>22.5</v>
      </c>
      <c r="G1138" s="190">
        <f t="shared" si="16"/>
        <v>1125</v>
      </c>
    </row>
    <row r="1139" spans="2:7">
      <c r="B1139" s="317"/>
      <c r="C1139" s="135" t="s">
        <v>2379</v>
      </c>
      <c r="D1139" s="319" t="s">
        <v>2374</v>
      </c>
      <c r="E1139" s="190">
        <v>50</v>
      </c>
      <c r="F1139" s="190">
        <f>'HIRE CHARGES'!E551</f>
        <v>28</v>
      </c>
      <c r="G1139" s="190">
        <f t="shared" si="16"/>
        <v>1400</v>
      </c>
    </row>
    <row r="1140" spans="2:7">
      <c r="B1140" s="105">
        <v>6</v>
      </c>
      <c r="C1140" s="135" t="s">
        <v>5539</v>
      </c>
      <c r="D1140" s="319" t="s">
        <v>2374</v>
      </c>
      <c r="E1140" s="190">
        <v>100</v>
      </c>
      <c r="F1140" s="190">
        <f>'HIRE CHARGES'!D551</f>
        <v>22.5</v>
      </c>
      <c r="G1140" s="190">
        <f t="shared" si="16"/>
        <v>2250</v>
      </c>
    </row>
    <row r="1141" spans="2:7">
      <c r="B1141" s="317"/>
      <c r="C1141" s="135" t="s">
        <v>2379</v>
      </c>
      <c r="D1141" s="319" t="s">
        <v>2374</v>
      </c>
      <c r="E1141" s="190">
        <v>100</v>
      </c>
      <c r="F1141" s="190">
        <f>'HIRE CHARGES'!E551</f>
        <v>28</v>
      </c>
      <c r="G1141" s="190">
        <f t="shared" si="16"/>
        <v>2800</v>
      </c>
    </row>
    <row r="1142" spans="2:7">
      <c r="B1142" s="105">
        <v>7</v>
      </c>
      <c r="C1142" s="135" t="s">
        <v>2373</v>
      </c>
      <c r="D1142" s="319" t="s">
        <v>2173</v>
      </c>
      <c r="E1142" s="190">
        <v>100</v>
      </c>
      <c r="F1142" s="214">
        <f>'BASIC DATA'!D359</f>
        <v>30</v>
      </c>
      <c r="G1142" s="190">
        <f t="shared" si="16"/>
        <v>3000</v>
      </c>
    </row>
    <row r="1143" spans="2:7">
      <c r="B1143" s="176"/>
      <c r="C1143" s="193" t="s">
        <v>2380</v>
      </c>
      <c r="D1143" s="193"/>
      <c r="E1143" s="208"/>
      <c r="F1143" s="236" t="s">
        <v>1698</v>
      </c>
      <c r="G1143" s="318">
        <f>SUM(G1130:G1142)</f>
        <v>234989</v>
      </c>
    </row>
    <row r="1144" spans="2:7"/>
    <row r="1145" spans="2:7">
      <c r="B1145" s="79" t="s">
        <v>2381</v>
      </c>
    </row>
    <row r="1146" spans="2:7">
      <c r="B1146" s="95" t="s">
        <v>2369</v>
      </c>
      <c r="C1146" s="157" t="s">
        <v>2378</v>
      </c>
      <c r="D1146" s="95" t="s">
        <v>2370</v>
      </c>
      <c r="E1146" s="95" t="s">
        <v>1166</v>
      </c>
      <c r="F1146" s="95" t="s">
        <v>2371</v>
      </c>
      <c r="G1146" s="95" t="s">
        <v>2372</v>
      </c>
    </row>
    <row r="1147" spans="2:7">
      <c r="B1147" s="114"/>
      <c r="C1147" s="154"/>
      <c r="D1147" s="114"/>
      <c r="E1147" s="114"/>
      <c r="F1147" s="114" t="s">
        <v>3485</v>
      </c>
      <c r="G1147" s="114" t="s">
        <v>3485</v>
      </c>
    </row>
    <row r="1148" spans="2:7">
      <c r="B1148" s="105">
        <v>1</v>
      </c>
      <c r="C1148" s="76" t="s">
        <v>5542</v>
      </c>
      <c r="D1148" s="319" t="s">
        <v>2374</v>
      </c>
      <c r="E1148" s="207">
        <v>50</v>
      </c>
      <c r="F1148" s="190">
        <f>'HIRE CHARGES'!F550</f>
        <v>177.5</v>
      </c>
      <c r="G1148" s="190">
        <f>E1148*F1148</f>
        <v>8875</v>
      </c>
    </row>
    <row r="1149" spans="2:7">
      <c r="B1149" s="105">
        <v>2</v>
      </c>
      <c r="C1149" s="76" t="s">
        <v>5545</v>
      </c>
      <c r="D1149" s="319" t="s">
        <v>2374</v>
      </c>
      <c r="E1149" s="207">
        <v>100</v>
      </c>
      <c r="F1149" s="190">
        <f>'HIRE CHARGES'!F551</f>
        <v>198.9</v>
      </c>
      <c r="G1149" s="190">
        <f t="shared" ref="G1149:G1158" si="17">E1149*F1149</f>
        <v>19890</v>
      </c>
    </row>
    <row r="1150" spans="2:7">
      <c r="B1150" s="105">
        <v>3</v>
      </c>
      <c r="C1150" s="76" t="s">
        <v>5546</v>
      </c>
      <c r="D1150" s="319" t="s">
        <v>2374</v>
      </c>
      <c r="E1150" s="207">
        <v>50</v>
      </c>
      <c r="F1150" s="190">
        <f>'HIRE CHARGES'!F551</f>
        <v>198.9</v>
      </c>
      <c r="G1150" s="190">
        <f t="shared" si="17"/>
        <v>9945</v>
      </c>
    </row>
    <row r="1151" spans="2:7">
      <c r="B1151" s="105">
        <v>4</v>
      </c>
      <c r="C1151" s="76" t="s">
        <v>2468</v>
      </c>
      <c r="D1151" s="319" t="s">
        <v>1172</v>
      </c>
      <c r="E1151" s="207">
        <f>D1081</f>
        <v>115</v>
      </c>
      <c r="F1151" s="190">
        <f>'BASIC DATA'!C471</f>
        <v>510</v>
      </c>
      <c r="G1151" s="190">
        <f t="shared" si="17"/>
        <v>58650</v>
      </c>
    </row>
    <row r="1152" spans="2:7">
      <c r="B1152" s="105">
        <v>5</v>
      </c>
      <c r="C1152" s="76" t="s">
        <v>5547</v>
      </c>
      <c r="D1152" s="319" t="s">
        <v>1172</v>
      </c>
      <c r="E1152" s="207">
        <f>E1081</f>
        <v>168</v>
      </c>
      <c r="F1152" s="190">
        <f>'BASIC DATA'!C503</f>
        <v>550</v>
      </c>
      <c r="G1152" s="190">
        <f t="shared" si="17"/>
        <v>92400</v>
      </c>
    </row>
    <row r="1153" spans="2:7">
      <c r="B1153" s="105">
        <v>6</v>
      </c>
      <c r="C1153" s="76" t="s">
        <v>3010</v>
      </c>
      <c r="D1153" s="319" t="s">
        <v>1172</v>
      </c>
      <c r="E1153" s="207">
        <v>56</v>
      </c>
      <c r="F1153" s="190">
        <f>'BASIC DATA'!C504</f>
        <v>445</v>
      </c>
      <c r="G1153" s="190">
        <f t="shared" si="17"/>
        <v>24920</v>
      </c>
    </row>
    <row r="1154" spans="2:7">
      <c r="B1154" s="105">
        <v>7</v>
      </c>
      <c r="C1154" s="76" t="s">
        <v>3013</v>
      </c>
      <c r="D1154" s="319" t="s">
        <v>1172</v>
      </c>
      <c r="E1154" s="207">
        <v>250</v>
      </c>
      <c r="F1154" s="190">
        <f>'BASIC DATA'!C504</f>
        <v>445</v>
      </c>
      <c r="G1154" s="190">
        <f t="shared" si="17"/>
        <v>111250</v>
      </c>
    </row>
    <row r="1155" spans="2:7">
      <c r="B1155" s="105">
        <v>8</v>
      </c>
      <c r="C1155" s="76" t="s">
        <v>5548</v>
      </c>
      <c r="D1155" s="319" t="s">
        <v>1172</v>
      </c>
      <c r="E1155" s="207">
        <v>27</v>
      </c>
      <c r="F1155" s="190">
        <f>'BASIC DATA'!C505</f>
        <v>510</v>
      </c>
      <c r="G1155" s="190">
        <f t="shared" si="17"/>
        <v>13770</v>
      </c>
    </row>
    <row r="1156" spans="2:7">
      <c r="B1156" s="105">
        <v>9</v>
      </c>
      <c r="C1156" s="76" t="s">
        <v>3012</v>
      </c>
      <c r="D1156" s="319" t="s">
        <v>1172</v>
      </c>
      <c r="E1156" s="207">
        <v>50</v>
      </c>
      <c r="F1156" s="190">
        <f>'BASIC DATA'!C500</f>
        <v>445</v>
      </c>
      <c r="G1156" s="190">
        <f t="shared" si="17"/>
        <v>22250</v>
      </c>
    </row>
    <row r="1157" spans="2:7">
      <c r="B1157" s="105">
        <v>10</v>
      </c>
      <c r="C1157" s="76" t="s">
        <v>3011</v>
      </c>
      <c r="D1157" s="319" t="s">
        <v>1172</v>
      </c>
      <c r="E1157" s="207">
        <f>G1081</f>
        <v>601</v>
      </c>
      <c r="F1157" s="190">
        <f>'BASIC DATA'!C529</f>
        <v>400</v>
      </c>
      <c r="G1157" s="190">
        <f t="shared" si="17"/>
        <v>240400</v>
      </c>
    </row>
    <row r="1158" spans="2:7">
      <c r="B1158" s="105">
        <v>11</v>
      </c>
      <c r="C1158" s="76" t="s">
        <v>5604</v>
      </c>
      <c r="D1158" s="319" t="s">
        <v>1172</v>
      </c>
      <c r="E1158" s="207">
        <v>5</v>
      </c>
      <c r="F1158" s="190">
        <f>'BASIC DATA'!C468</f>
        <v>515</v>
      </c>
      <c r="G1158" s="190">
        <f t="shared" si="17"/>
        <v>2575</v>
      </c>
    </row>
    <row r="1159" spans="2:7">
      <c r="B1159" s="92"/>
      <c r="C1159" s="193"/>
      <c r="D1159" s="151" t="s">
        <v>1174</v>
      </c>
      <c r="E1159" s="160"/>
      <c r="F1159" s="236" t="s">
        <v>1698</v>
      </c>
      <c r="G1159" s="318">
        <f>SUM(G1148:G1158)</f>
        <v>604925</v>
      </c>
    </row>
    <row r="1160" spans="2:7">
      <c r="B1160" s="60" t="s">
        <v>5948</v>
      </c>
      <c r="D1160" s="31"/>
      <c r="E1160" s="85">
        <f>ROUND(G1159/F1101,1)</f>
        <v>8501.2999999999993</v>
      </c>
    </row>
    <row r="1161" spans="2:7">
      <c r="B1161" s="60" t="s">
        <v>3163</v>
      </c>
      <c r="D1161" s="31">
        <f>'BASIC DATA'!$C$577</f>
        <v>0.13614999999999999</v>
      </c>
      <c r="E1161" s="85">
        <f>ROUND(E1160*D1161,1)</f>
        <v>1157.5</v>
      </c>
    </row>
    <row r="1162" spans="2:7">
      <c r="B1162" s="60" t="s">
        <v>5949</v>
      </c>
      <c r="D1162" s="31"/>
      <c r="E1162" s="199">
        <f>E1161+E1160</f>
        <v>9658.7999999999993</v>
      </c>
    </row>
    <row r="1163" spans="2:7">
      <c r="B1163" s="26"/>
    </row>
    <row r="1164" spans="2:7">
      <c r="B1164" s="170" t="s">
        <v>1175</v>
      </c>
    </row>
    <row r="1165" spans="2:7">
      <c r="B1165" s="26" t="s">
        <v>1176</v>
      </c>
      <c r="F1165" s="171" t="s">
        <v>1698</v>
      </c>
      <c r="G1165" s="68">
        <f>G1125</f>
        <v>3693956.9</v>
      </c>
    </row>
    <row r="1166" spans="2:7">
      <c r="B1166" s="26" t="s">
        <v>1186</v>
      </c>
      <c r="F1166" s="171" t="s">
        <v>1698</v>
      </c>
      <c r="G1166" s="68">
        <f>G1143</f>
        <v>234989</v>
      </c>
    </row>
    <row r="1167" spans="2:7">
      <c r="B1167" s="26" t="s">
        <v>2660</v>
      </c>
      <c r="F1167" s="171" t="s">
        <v>1698</v>
      </c>
      <c r="G1167" s="173">
        <f>G1159</f>
        <v>604925</v>
      </c>
    </row>
    <row r="1168" spans="2:7">
      <c r="B1168" s="26"/>
      <c r="E1168" s="171" t="s">
        <v>5551</v>
      </c>
      <c r="F1168" s="171" t="s">
        <v>1698</v>
      </c>
      <c r="G1168" s="205">
        <f>SUM(G1165:G1167)</f>
        <v>4533870.9000000004</v>
      </c>
    </row>
    <row r="1169" spans="1:9">
      <c r="B1169" s="26" t="s">
        <v>5087</v>
      </c>
      <c r="E1169" s="693">
        <f>'BASIC DATA'!C593</f>
        <v>0</v>
      </c>
      <c r="F1169" s="171" t="s">
        <v>1698</v>
      </c>
      <c r="G1169" s="68">
        <f>(G1167+G1166)*E1169*0.75</f>
        <v>0</v>
      </c>
    </row>
    <row r="1170" spans="1:9">
      <c r="B1170" s="26" t="s">
        <v>5084</v>
      </c>
      <c r="E1170" s="171" t="s">
        <v>1518</v>
      </c>
      <c r="F1170" s="171" t="s">
        <v>1698</v>
      </c>
      <c r="G1170" s="205">
        <f>G1169+G1168</f>
        <v>4533870.9000000004</v>
      </c>
    </row>
    <row r="1171" spans="1:9">
      <c r="B1171" s="26" t="s">
        <v>5086</v>
      </c>
      <c r="E1171" s="201">
        <f>'BASIC DATA'!C594</f>
        <v>0.03</v>
      </c>
      <c r="F1171" s="171" t="s">
        <v>1698</v>
      </c>
      <c r="G1171" s="75">
        <f>G1170*E1171</f>
        <v>136016.12700000001</v>
      </c>
    </row>
    <row r="1172" spans="1:9">
      <c r="B1172" s="26"/>
      <c r="E1172" s="26" t="s">
        <v>2392</v>
      </c>
      <c r="F1172" s="171" t="s">
        <v>1698</v>
      </c>
      <c r="G1172" s="75">
        <f>G1171+G1170</f>
        <v>4669887.0270000007</v>
      </c>
    </row>
    <row r="1173" spans="1:9">
      <c r="B1173" s="1206" t="s">
        <v>4717</v>
      </c>
      <c r="C1173" s="1206"/>
      <c r="D1173" s="201">
        <f>'BASIC DATA'!$C$577</f>
        <v>0.13614999999999999</v>
      </c>
      <c r="F1173" s="171" t="s">
        <v>1698</v>
      </c>
      <c r="G1173" s="75">
        <f>G1172*D1173</f>
        <v>635805.11872605002</v>
      </c>
      <c r="I1173" s="68"/>
    </row>
    <row r="1174" spans="1:9" ht="18.75" thickBot="1">
      <c r="B1174" s="26" t="s">
        <v>5078</v>
      </c>
      <c r="D1174" s="68">
        <f>F1101</f>
        <v>71.156999999999996</v>
      </c>
      <c r="E1174" s="26" t="s">
        <v>3480</v>
      </c>
      <c r="F1174" s="171" t="s">
        <v>1698</v>
      </c>
      <c r="G1174" s="205">
        <f>G1173+G1172</f>
        <v>5305692.1457260512</v>
      </c>
    </row>
    <row r="1175" spans="1:9" ht="18.75" thickBot="1">
      <c r="D1175" s="694" t="s">
        <v>3884</v>
      </c>
      <c r="E1175" s="695" t="s">
        <v>3480</v>
      </c>
      <c r="F1175" s="696" t="s">
        <v>1698</v>
      </c>
      <c r="G1175" s="717">
        <f>ROUND(G1174/D1174,1)</f>
        <v>74563.199999999997</v>
      </c>
      <c r="H1175" s="147"/>
    </row>
    <row r="1176" spans="1:9">
      <c r="B1176" s="26"/>
      <c r="C1176" s="78"/>
      <c r="E1176" s="78"/>
      <c r="G1176" s="171"/>
      <c r="H1176" s="27"/>
    </row>
    <row r="1177" spans="1:9">
      <c r="B1177" s="26"/>
      <c r="E1177" s="78"/>
      <c r="G1177" s="171"/>
      <c r="H1177" s="27"/>
    </row>
    <row r="1178" spans="1:9">
      <c r="B1178" s="170" t="s">
        <v>5937</v>
      </c>
    </row>
    <row r="1179" spans="1:9" ht="18.75">
      <c r="A1179" s="26" t="s">
        <v>7168</v>
      </c>
      <c r="B1179" s="26" t="s">
        <v>9039</v>
      </c>
    </row>
    <row r="1180" spans="1:9" ht="18.75">
      <c r="B1180" s="26" t="s">
        <v>9040</v>
      </c>
    </row>
    <row r="1181" spans="1:9">
      <c r="B1181" s="26" t="s">
        <v>5289</v>
      </c>
    </row>
    <row r="1182" spans="1:9" ht="18.75">
      <c r="B1182" s="26" t="s">
        <v>9041</v>
      </c>
    </row>
    <row r="1183" spans="1:9">
      <c r="B1183" s="26" t="s">
        <v>538</v>
      </c>
      <c r="E1183" s="322"/>
    </row>
    <row r="1184" spans="1:9">
      <c r="B1184" s="26" t="s">
        <v>3549</v>
      </c>
      <c r="E1184" s="322"/>
    </row>
    <row r="1185" spans="1:7">
      <c r="B1185" s="26"/>
      <c r="E1185" s="322"/>
    </row>
    <row r="1186" spans="1:7" hidden="1">
      <c r="A1186" s="78" t="s">
        <v>3984</v>
      </c>
      <c r="B1186" s="26" t="s">
        <v>4886</v>
      </c>
      <c r="E1186" s="322"/>
    </row>
    <row r="1187" spans="1:7" hidden="1">
      <c r="B1187" s="26" t="s">
        <v>4887</v>
      </c>
    </row>
    <row r="1188" spans="1:7" hidden="1">
      <c r="B1188" s="26" t="s">
        <v>4888</v>
      </c>
    </row>
    <row r="1189" spans="1:7" hidden="1">
      <c r="B1189" s="27"/>
      <c r="C1189" s="171"/>
      <c r="E1189" s="322"/>
    </row>
    <row r="1190" spans="1:7" hidden="1">
      <c r="B1190" s="26" t="s">
        <v>4681</v>
      </c>
      <c r="E1190" s="322" t="s">
        <v>1697</v>
      </c>
      <c r="F1190" s="26">
        <v>3.528</v>
      </c>
      <c r="G1190" s="26" t="s">
        <v>45</v>
      </c>
    </row>
    <row r="1191" spans="1:7" hidden="1">
      <c r="B1191" s="26"/>
    </row>
    <row r="1192" spans="1:7" hidden="1">
      <c r="A1192" s="78">
        <v>1</v>
      </c>
      <c r="B1192" s="26" t="s">
        <v>5290</v>
      </c>
    </row>
    <row r="1193" spans="1:7" hidden="1">
      <c r="A1193" s="171" t="s">
        <v>1535</v>
      </c>
      <c r="B1193" s="26" t="s">
        <v>241</v>
      </c>
    </row>
    <row r="1194" spans="1:7" hidden="1">
      <c r="A1194" s="171"/>
      <c r="B1194" s="26" t="s">
        <v>242</v>
      </c>
      <c r="E1194" s="322" t="s">
        <v>1697</v>
      </c>
      <c r="F1194" s="26">
        <v>13</v>
      </c>
      <c r="G1194" s="26" t="s">
        <v>3478</v>
      </c>
    </row>
    <row r="1195" spans="1:7" hidden="1">
      <c r="A1195" s="171"/>
      <c r="B1195" s="26" t="s">
        <v>243</v>
      </c>
      <c r="E1195" s="322" t="s">
        <v>1697</v>
      </c>
      <c r="F1195" s="26">
        <v>3389</v>
      </c>
      <c r="G1195" s="26" t="s">
        <v>3478</v>
      </c>
    </row>
    <row r="1196" spans="1:7" hidden="1">
      <c r="A1196" s="171" t="s">
        <v>5400</v>
      </c>
      <c r="B1196" s="26" t="s">
        <v>5162</v>
      </c>
      <c r="E1196" s="322"/>
    </row>
    <row r="1197" spans="1:7" hidden="1">
      <c r="A1197" s="171"/>
      <c r="B1197" s="26" t="s">
        <v>5164</v>
      </c>
      <c r="E1197" s="322" t="s">
        <v>1697</v>
      </c>
      <c r="F1197" s="26">
        <v>101</v>
      </c>
      <c r="G1197" s="26" t="s">
        <v>3478</v>
      </c>
    </row>
    <row r="1198" spans="1:7" hidden="1">
      <c r="A1198" s="171" t="s">
        <v>5401</v>
      </c>
      <c r="B1198" s="26" t="s">
        <v>5167</v>
      </c>
      <c r="E1198" s="322"/>
    </row>
    <row r="1199" spans="1:7" hidden="1">
      <c r="A1199" s="171"/>
      <c r="B1199" s="26" t="s">
        <v>6829</v>
      </c>
      <c r="E1199" s="322" t="s">
        <v>1697</v>
      </c>
      <c r="F1199" s="26">
        <v>5</v>
      </c>
      <c r="G1199" s="26" t="s">
        <v>3478</v>
      </c>
    </row>
    <row r="1200" spans="1:7" hidden="1">
      <c r="A1200" s="171" t="s">
        <v>1696</v>
      </c>
      <c r="B1200" s="26" t="s">
        <v>365</v>
      </c>
      <c r="E1200" s="322"/>
    </row>
    <row r="1201" spans="1:7" hidden="1">
      <c r="A1201" s="171"/>
      <c r="B1201" s="26" t="s">
        <v>366</v>
      </c>
      <c r="E1201" s="322" t="s">
        <v>1697</v>
      </c>
      <c r="F1201" s="26">
        <v>130</v>
      </c>
      <c r="G1201" s="26" t="s">
        <v>3478</v>
      </c>
    </row>
    <row r="1202" spans="1:7" hidden="1">
      <c r="A1202" s="171" t="s">
        <v>5082</v>
      </c>
      <c r="B1202" s="26" t="s">
        <v>5083</v>
      </c>
      <c r="E1202" s="322"/>
    </row>
    <row r="1203" spans="1:7" hidden="1">
      <c r="A1203" s="171"/>
      <c r="B1203" s="26" t="s">
        <v>2407</v>
      </c>
      <c r="E1203" s="322" t="s">
        <v>1697</v>
      </c>
      <c r="F1203" s="26">
        <v>3</v>
      </c>
      <c r="G1203" s="26" t="s">
        <v>3478</v>
      </c>
    </row>
    <row r="1204" spans="1:7" hidden="1">
      <c r="A1204" s="171"/>
      <c r="B1204" s="26" t="s">
        <v>1335</v>
      </c>
      <c r="E1204" s="322" t="s">
        <v>1697</v>
      </c>
      <c r="F1204" s="26">
        <v>11</v>
      </c>
      <c r="G1204" s="26" t="s">
        <v>3478</v>
      </c>
    </row>
    <row r="1205" spans="1:7" hidden="1">
      <c r="A1205" s="171" t="s">
        <v>2408</v>
      </c>
      <c r="B1205" s="26" t="s">
        <v>1195</v>
      </c>
      <c r="E1205" s="322"/>
    </row>
    <row r="1206" spans="1:7" hidden="1">
      <c r="B1206" s="26" t="s">
        <v>517</v>
      </c>
      <c r="E1206" s="322" t="s">
        <v>1697</v>
      </c>
      <c r="F1206" s="26">
        <v>175</v>
      </c>
      <c r="G1206" s="26" t="s">
        <v>2059</v>
      </c>
    </row>
    <row r="1207" spans="1:7" hidden="1">
      <c r="B1207" s="26" t="s">
        <v>519</v>
      </c>
      <c r="E1207" s="322" t="s">
        <v>1697</v>
      </c>
      <c r="F1207" s="26">
        <v>1575</v>
      </c>
      <c r="G1207" s="26" t="s">
        <v>2059</v>
      </c>
    </row>
    <row r="1208" spans="1:7" hidden="1">
      <c r="A1208" s="78">
        <v>2</v>
      </c>
      <c r="B1208" s="26" t="s">
        <v>2281</v>
      </c>
      <c r="E1208" s="322"/>
    </row>
    <row r="1209" spans="1:7" hidden="1">
      <c r="B1209" s="26" t="s">
        <v>4962</v>
      </c>
      <c r="E1209" s="322" t="s">
        <v>1697</v>
      </c>
      <c r="F1209" s="26">
        <v>172</v>
      </c>
      <c r="G1209" s="26" t="s">
        <v>3483</v>
      </c>
    </row>
    <row r="1210" spans="1:7" hidden="1">
      <c r="B1210" s="26" t="s">
        <v>2985</v>
      </c>
      <c r="E1210" s="322" t="s">
        <v>1697</v>
      </c>
      <c r="F1210" s="174">
        <v>17</v>
      </c>
      <c r="G1210" s="26" t="s">
        <v>3483</v>
      </c>
    </row>
    <row r="1211" spans="1:7" hidden="1">
      <c r="B1211" s="26"/>
      <c r="D1211" s="26" t="s">
        <v>1518</v>
      </c>
      <c r="E1211" s="322" t="s">
        <v>1697</v>
      </c>
      <c r="F1211" s="26">
        <v>189</v>
      </c>
      <c r="G1211" s="26" t="s">
        <v>3483</v>
      </c>
    </row>
    <row r="1212" spans="1:7" hidden="1">
      <c r="B1212" s="26" t="s">
        <v>165</v>
      </c>
      <c r="E1212" s="322"/>
    </row>
    <row r="1213" spans="1:7" hidden="1">
      <c r="B1213" s="26" t="s">
        <v>3532</v>
      </c>
      <c r="E1213" s="322" t="s">
        <v>1697</v>
      </c>
      <c r="F1213" s="26">
        <v>40</v>
      </c>
      <c r="G1213" s="26" t="s">
        <v>2602</v>
      </c>
    </row>
    <row r="1214" spans="1:7" hidden="1">
      <c r="B1214" s="26" t="s">
        <v>3533</v>
      </c>
      <c r="E1214" s="322" t="s">
        <v>1697</v>
      </c>
      <c r="F1214" s="26">
        <v>149</v>
      </c>
      <c r="G1214" s="26" t="s">
        <v>2602</v>
      </c>
    </row>
    <row r="1215" spans="1:7" hidden="1">
      <c r="B1215" s="26" t="s">
        <v>2278</v>
      </c>
      <c r="E1215" s="322" t="s">
        <v>1697</v>
      </c>
      <c r="F1215" s="26">
        <v>20</v>
      </c>
      <c r="G1215" s="26" t="s">
        <v>4665</v>
      </c>
    </row>
    <row r="1216" spans="1:7" hidden="1">
      <c r="B1216" s="26" t="s">
        <v>2279</v>
      </c>
      <c r="E1216" s="322" t="s">
        <v>1697</v>
      </c>
      <c r="F1216" s="26">
        <v>50</v>
      </c>
      <c r="G1216" s="26" t="s">
        <v>4665</v>
      </c>
    </row>
    <row r="1217" spans="1:7" hidden="1">
      <c r="B1217" s="26" t="s">
        <v>2081</v>
      </c>
      <c r="E1217" s="322" t="s">
        <v>1697</v>
      </c>
      <c r="F1217" s="26">
        <v>42</v>
      </c>
      <c r="G1217" s="26" t="s">
        <v>3477</v>
      </c>
    </row>
    <row r="1218" spans="1:7" hidden="1">
      <c r="B1218" s="26" t="s">
        <v>2082</v>
      </c>
      <c r="E1218" s="322" t="s">
        <v>1697</v>
      </c>
      <c r="F1218" s="26">
        <v>126</v>
      </c>
      <c r="G1218" s="26" t="s">
        <v>3477</v>
      </c>
    </row>
    <row r="1219" spans="1:7" hidden="1">
      <c r="B1219" s="26" t="s">
        <v>163</v>
      </c>
      <c r="E1219" s="322" t="s">
        <v>1697</v>
      </c>
      <c r="F1219" s="26">
        <v>24</v>
      </c>
      <c r="G1219" s="26" t="s">
        <v>4665</v>
      </c>
    </row>
    <row r="1220" spans="1:7" hidden="1">
      <c r="B1220" s="26" t="s">
        <v>5126</v>
      </c>
      <c r="E1220" s="322" t="s">
        <v>1697</v>
      </c>
      <c r="F1220" s="26">
        <v>60</v>
      </c>
      <c r="G1220" s="26" t="s">
        <v>4665</v>
      </c>
    </row>
    <row r="1221" spans="1:7" hidden="1">
      <c r="A1221" s="78">
        <v>3</v>
      </c>
      <c r="B1221" s="26" t="s">
        <v>4651</v>
      </c>
      <c r="E1221" s="322"/>
    </row>
    <row r="1222" spans="1:7" hidden="1">
      <c r="B1222" s="26" t="s">
        <v>2504</v>
      </c>
      <c r="E1222" s="322" t="s">
        <v>1697</v>
      </c>
      <c r="F1222" s="26">
        <v>211</v>
      </c>
      <c r="G1222" s="26" t="s">
        <v>3483</v>
      </c>
    </row>
    <row r="1223" spans="1:7" hidden="1">
      <c r="B1223" s="26" t="s">
        <v>5723</v>
      </c>
      <c r="E1223" s="322" t="s">
        <v>1697</v>
      </c>
    </row>
    <row r="1224" spans="1:7" hidden="1">
      <c r="B1224" s="171" t="s">
        <v>5127</v>
      </c>
      <c r="E1224" s="322" t="s">
        <v>1697</v>
      </c>
      <c r="F1224" s="26">
        <v>47</v>
      </c>
      <c r="G1224" s="26" t="s">
        <v>4665</v>
      </c>
    </row>
    <row r="1225" spans="1:7" hidden="1">
      <c r="B1225" s="26" t="s">
        <v>1913</v>
      </c>
      <c r="E1225" s="322"/>
    </row>
    <row r="1226" spans="1:7" hidden="1">
      <c r="B1226" s="171" t="s">
        <v>3050</v>
      </c>
      <c r="E1226" s="322" t="s">
        <v>1697</v>
      </c>
      <c r="F1226" s="26">
        <v>140</v>
      </c>
      <c r="G1226" s="26" t="s">
        <v>4665</v>
      </c>
    </row>
    <row r="1227" spans="1:7" hidden="1">
      <c r="B1227" s="26"/>
      <c r="D1227" s="26" t="s">
        <v>1518</v>
      </c>
      <c r="E1227" s="322" t="s">
        <v>1697</v>
      </c>
      <c r="F1227" s="26">
        <v>187</v>
      </c>
      <c r="G1227" s="26" t="s">
        <v>4665</v>
      </c>
    </row>
    <row r="1228" spans="1:7" hidden="1">
      <c r="B1228" s="26" t="s">
        <v>3051</v>
      </c>
      <c r="E1228" s="322"/>
    </row>
    <row r="1229" spans="1:7" hidden="1">
      <c r="B1229" s="26" t="s">
        <v>2657</v>
      </c>
      <c r="E1229" s="322"/>
    </row>
    <row r="1230" spans="1:7" hidden="1">
      <c r="B1230" s="171" t="s">
        <v>3052</v>
      </c>
      <c r="E1230" s="322" t="s">
        <v>1697</v>
      </c>
      <c r="F1230" s="26">
        <v>117</v>
      </c>
      <c r="G1230" s="26" t="s">
        <v>4665</v>
      </c>
    </row>
    <row r="1231" spans="1:7" hidden="1">
      <c r="A1231" s="78">
        <v>5</v>
      </c>
      <c r="B1231" s="26" t="s">
        <v>4249</v>
      </c>
    </row>
    <row r="1232" spans="1:7" hidden="1">
      <c r="B1232" s="26" t="s">
        <v>2518</v>
      </c>
    </row>
    <row r="1233" spans="1:7" hidden="1">
      <c r="B1233" s="26" t="s">
        <v>1337</v>
      </c>
    </row>
    <row r="1234" spans="1:7" hidden="1">
      <c r="B1234" s="26" t="s">
        <v>1900</v>
      </c>
    </row>
    <row r="1235" spans="1:7" hidden="1">
      <c r="B1235" s="26" t="s">
        <v>2832</v>
      </c>
    </row>
    <row r="1236" spans="1:7" hidden="1">
      <c r="B1236" s="26"/>
    </row>
    <row r="1237" spans="1:7" hidden="1">
      <c r="A1237" s="78">
        <v>6</v>
      </c>
      <c r="B1237" s="31" t="s">
        <v>4900</v>
      </c>
      <c r="C1237" s="31"/>
      <c r="D1237" s="31"/>
      <c r="E1237" s="31"/>
      <c r="F1237" s="31"/>
    </row>
    <row r="1238" spans="1:7" hidden="1">
      <c r="B1238" s="1266" t="s">
        <v>4901</v>
      </c>
      <c r="C1238" s="1266"/>
      <c r="D1238" s="38" t="s">
        <v>2468</v>
      </c>
      <c r="E1238" s="38" t="s">
        <v>4902</v>
      </c>
      <c r="F1238" s="38" t="s">
        <v>4903</v>
      </c>
      <c r="G1238" s="38" t="s">
        <v>6199</v>
      </c>
    </row>
    <row r="1239" spans="1:7" hidden="1">
      <c r="B1239" s="1266"/>
      <c r="C1239" s="1266"/>
      <c r="D1239" s="38"/>
      <c r="E1239" s="38" t="s">
        <v>4904</v>
      </c>
      <c r="F1239" s="38" t="s">
        <v>4905</v>
      </c>
      <c r="G1239" s="38"/>
    </row>
    <row r="1240" spans="1:7" hidden="1">
      <c r="B1240" s="1266"/>
      <c r="C1240" s="1266"/>
      <c r="D1240" s="38"/>
      <c r="E1240" s="38" t="s">
        <v>6307</v>
      </c>
      <c r="F1240" s="36"/>
      <c r="G1240" s="38"/>
    </row>
    <row r="1241" spans="1:7" hidden="1">
      <c r="B1241" s="38" t="s">
        <v>2833</v>
      </c>
      <c r="C1241" s="38"/>
      <c r="D1241" s="36">
        <v>5</v>
      </c>
      <c r="E1241" s="36">
        <v>10</v>
      </c>
      <c r="F1241" s="36">
        <v>10</v>
      </c>
      <c r="G1241" s="36">
        <v>20</v>
      </c>
    </row>
    <row r="1242" spans="1:7" hidden="1">
      <c r="B1242" s="38" t="s">
        <v>6584</v>
      </c>
      <c r="C1242" s="38"/>
      <c r="D1242" s="36"/>
      <c r="E1242" s="36">
        <v>1</v>
      </c>
      <c r="F1242" s="36" t="s">
        <v>5854</v>
      </c>
      <c r="G1242" s="36">
        <v>1</v>
      </c>
    </row>
    <row r="1243" spans="1:7" hidden="1">
      <c r="B1243" s="38" t="s">
        <v>2834</v>
      </c>
      <c r="C1243" s="38"/>
      <c r="D1243" s="36">
        <v>3</v>
      </c>
      <c r="E1243" s="36">
        <v>6</v>
      </c>
      <c r="F1243" s="36" t="s">
        <v>5854</v>
      </c>
      <c r="G1243" s="36">
        <v>12</v>
      </c>
    </row>
    <row r="1244" spans="1:7" hidden="1">
      <c r="B1244" s="38" t="s">
        <v>2835</v>
      </c>
      <c r="C1244" s="38"/>
      <c r="D1244" s="36">
        <v>2</v>
      </c>
      <c r="E1244" s="36" t="s">
        <v>5854</v>
      </c>
      <c r="F1244" s="36">
        <v>18</v>
      </c>
      <c r="G1244" s="36">
        <v>18</v>
      </c>
    </row>
    <row r="1245" spans="1:7" hidden="1">
      <c r="B1245" s="38" t="s">
        <v>2836</v>
      </c>
      <c r="C1245" s="38"/>
      <c r="D1245" s="36"/>
      <c r="E1245" s="36">
        <v>1</v>
      </c>
      <c r="F1245" s="36" t="s">
        <v>5854</v>
      </c>
      <c r="G1245" s="36">
        <v>1</v>
      </c>
    </row>
    <row r="1246" spans="1:7" hidden="1">
      <c r="B1246" s="36" t="s">
        <v>2656</v>
      </c>
      <c r="C1246" s="36"/>
      <c r="D1246" s="36">
        <f>SUM(D1241:D1245)</f>
        <v>10</v>
      </c>
      <c r="E1246" s="36">
        <f>SUM(E1241:E1245)</f>
        <v>18</v>
      </c>
      <c r="F1246" s="36">
        <f>SUM(F1241:F1245)</f>
        <v>28</v>
      </c>
      <c r="G1246" s="36">
        <f>SUM(G1241:G1245)</f>
        <v>52</v>
      </c>
    </row>
    <row r="1247" spans="1:7" hidden="1">
      <c r="A1247" s="78">
        <v>7</v>
      </c>
      <c r="B1247" s="26" t="s">
        <v>673</v>
      </c>
    </row>
    <row r="1248" spans="1:7" hidden="1">
      <c r="B1248" s="26" t="s">
        <v>6017</v>
      </c>
    </row>
    <row r="1249" spans="1:7" hidden="1">
      <c r="B1249" s="26" t="s">
        <v>2385</v>
      </c>
    </row>
    <row r="1250" spans="1:7" hidden="1">
      <c r="B1250" s="26" t="s">
        <v>4751</v>
      </c>
    </row>
    <row r="1251" spans="1:7" hidden="1">
      <c r="A1251" s="78">
        <v>8</v>
      </c>
      <c r="B1251" s="26" t="s">
        <v>2366</v>
      </c>
    </row>
    <row r="1252" spans="1:7" hidden="1">
      <c r="B1252" s="26" t="s">
        <v>1241</v>
      </c>
      <c r="C1252" s="68">
        <f>'BASIC DATA'!D373</f>
        <v>7800</v>
      </c>
      <c r="D1252" s="26" t="s">
        <v>2290</v>
      </c>
      <c r="E1252" s="315" t="s">
        <v>1698</v>
      </c>
      <c r="F1252" s="68">
        <f>C1252</f>
        <v>7800</v>
      </c>
    </row>
    <row r="1253" spans="1:7" hidden="1">
      <c r="B1253" s="26" t="s">
        <v>3231</v>
      </c>
      <c r="E1253" s="322" t="s">
        <v>1697</v>
      </c>
      <c r="F1253" s="316">
        <v>1000</v>
      </c>
      <c r="G1253" s="26" t="s">
        <v>4665</v>
      </c>
    </row>
    <row r="1254" spans="1:7" hidden="1">
      <c r="B1254" s="26" t="s">
        <v>3232</v>
      </c>
      <c r="C1254" s="26" t="s">
        <v>7593</v>
      </c>
      <c r="E1254" s="315" t="s">
        <v>1698</v>
      </c>
      <c r="F1254" s="68">
        <f>F1252/F1253</f>
        <v>7.8</v>
      </c>
    </row>
    <row r="1255" spans="1:7" hidden="1">
      <c r="B1255" s="26" t="s">
        <v>1163</v>
      </c>
      <c r="C1255" s="68">
        <f>'BASIC DATA'!D371</f>
        <v>14500</v>
      </c>
      <c r="D1255" s="26" t="s">
        <v>2290</v>
      </c>
      <c r="E1255" s="315" t="s">
        <v>1698</v>
      </c>
      <c r="F1255" s="68">
        <f>C1255</f>
        <v>14500</v>
      </c>
    </row>
    <row r="1256" spans="1:7" hidden="1">
      <c r="B1256" s="26" t="s">
        <v>5868</v>
      </c>
      <c r="E1256" s="322" t="s">
        <v>1697</v>
      </c>
      <c r="F1256" s="316">
        <v>600</v>
      </c>
      <c r="G1256" s="26" t="s">
        <v>4665</v>
      </c>
    </row>
    <row r="1257" spans="1:7" hidden="1">
      <c r="B1257" s="26" t="s">
        <v>3234</v>
      </c>
      <c r="C1257" s="26" t="s">
        <v>7593</v>
      </c>
      <c r="E1257" s="315" t="s">
        <v>1698</v>
      </c>
      <c r="F1257" s="68">
        <f>F1255/F1256</f>
        <v>24.166666666666668</v>
      </c>
    </row>
    <row r="1258" spans="1:7"/>
    <row r="1259" spans="1:7">
      <c r="A1259" s="78" t="s">
        <v>3984</v>
      </c>
      <c r="C1259" s="203" t="s">
        <v>2367</v>
      </c>
      <c r="E1259" s="171" t="s">
        <v>297</v>
      </c>
      <c r="F1259" s="692">
        <v>3.528</v>
      </c>
      <c r="G1259" s="26" t="s">
        <v>3480</v>
      </c>
    </row>
    <row r="1260" spans="1:7">
      <c r="B1260" s="79" t="s">
        <v>2368</v>
      </c>
      <c r="F1260" s="68"/>
    </row>
    <row r="1261" spans="1:7">
      <c r="B1261" s="95" t="s">
        <v>2369</v>
      </c>
      <c r="C1261" s="157" t="s">
        <v>6374</v>
      </c>
      <c r="D1261" s="95" t="s">
        <v>2370</v>
      </c>
      <c r="E1261" s="95" t="s">
        <v>1166</v>
      </c>
      <c r="F1261" s="95" t="s">
        <v>2371</v>
      </c>
      <c r="G1261" s="95" t="s">
        <v>2372</v>
      </c>
    </row>
    <row r="1262" spans="1:7">
      <c r="B1262" s="114"/>
      <c r="C1262" s="154"/>
      <c r="D1262" s="114"/>
      <c r="E1262" s="114"/>
      <c r="F1262" s="114" t="s">
        <v>3485</v>
      </c>
      <c r="G1262" s="114" t="s">
        <v>3485</v>
      </c>
    </row>
    <row r="1263" spans="1:7">
      <c r="B1263" s="95">
        <v>1</v>
      </c>
      <c r="C1263" s="135" t="s">
        <v>4770</v>
      </c>
      <c r="D1263" s="451"/>
      <c r="E1263" s="190"/>
      <c r="F1263" s="190"/>
      <c r="G1263" s="190"/>
    </row>
    <row r="1264" spans="1:7">
      <c r="B1264" s="280"/>
      <c r="C1264" s="135" t="s">
        <v>4915</v>
      </c>
      <c r="D1264" s="319" t="s">
        <v>3478</v>
      </c>
      <c r="E1264" s="190">
        <v>13</v>
      </c>
      <c r="F1264" s="214">
        <f>'BASIC DATA'!D97/1000</f>
        <v>37.5</v>
      </c>
      <c r="G1264" s="190">
        <f>E1264*F1264</f>
        <v>487.5</v>
      </c>
    </row>
    <row r="1265" spans="2:7">
      <c r="B1265" s="280"/>
      <c r="C1265" s="135" t="s">
        <v>4916</v>
      </c>
      <c r="D1265" s="319" t="s">
        <v>3478</v>
      </c>
      <c r="E1265" s="190">
        <v>3389</v>
      </c>
      <c r="F1265" s="214">
        <f>'BASIC DATA'!D98/1000</f>
        <v>37.4</v>
      </c>
      <c r="G1265" s="190">
        <f t="shared" ref="G1265:G1281" si="18">E1265*F1265</f>
        <v>126748.59999999999</v>
      </c>
    </row>
    <row r="1266" spans="2:7">
      <c r="B1266" s="105">
        <v>2</v>
      </c>
      <c r="C1266" s="135" t="s">
        <v>4771</v>
      </c>
      <c r="D1266" s="319"/>
      <c r="E1266" s="190"/>
      <c r="F1266" s="214"/>
      <c r="G1266" s="190"/>
    </row>
    <row r="1267" spans="2:7">
      <c r="B1267" s="280"/>
      <c r="C1267" s="135" t="s">
        <v>5164</v>
      </c>
      <c r="D1267" s="319" t="s">
        <v>3478</v>
      </c>
      <c r="E1267" s="190">
        <v>101</v>
      </c>
      <c r="F1267" s="214">
        <f>'BASIC DATA'!D160</f>
        <v>450</v>
      </c>
      <c r="G1267" s="190">
        <f t="shared" si="18"/>
        <v>45450</v>
      </c>
    </row>
    <row r="1268" spans="2:7">
      <c r="B1268" s="105">
        <v>3</v>
      </c>
      <c r="C1268" s="135" t="s">
        <v>5973</v>
      </c>
      <c r="D1268" s="319"/>
      <c r="E1268" s="190"/>
      <c r="F1268" s="214"/>
      <c r="G1268" s="190"/>
    </row>
    <row r="1269" spans="2:7">
      <c r="B1269" s="280"/>
      <c r="C1269" s="135" t="s">
        <v>1164</v>
      </c>
      <c r="D1269" s="319" t="s">
        <v>3478</v>
      </c>
      <c r="E1269" s="190">
        <v>5</v>
      </c>
      <c r="F1269" s="214">
        <f>'BASIC DATA'!D163</f>
        <v>970</v>
      </c>
      <c r="G1269" s="190">
        <f t="shared" si="18"/>
        <v>4850</v>
      </c>
    </row>
    <row r="1270" spans="2:7">
      <c r="B1270" s="105">
        <v>4</v>
      </c>
      <c r="C1270" s="135" t="s">
        <v>1165</v>
      </c>
      <c r="D1270" s="319"/>
      <c r="E1270" s="190"/>
      <c r="F1270" s="214"/>
      <c r="G1270" s="190"/>
    </row>
    <row r="1271" spans="2:7">
      <c r="B1271" s="280"/>
      <c r="C1271" s="135" t="s">
        <v>366</v>
      </c>
      <c r="D1271" s="319" t="s">
        <v>3478</v>
      </c>
      <c r="E1271" s="190">
        <v>103</v>
      </c>
      <c r="F1271" s="214">
        <f>'BASIC DATA'!D170</f>
        <v>280</v>
      </c>
      <c r="G1271" s="190">
        <f t="shared" si="18"/>
        <v>28840</v>
      </c>
    </row>
    <row r="1272" spans="2:7">
      <c r="B1272" s="105">
        <v>5</v>
      </c>
      <c r="C1272" s="135" t="s">
        <v>1335</v>
      </c>
      <c r="D1272" s="319" t="s">
        <v>3478</v>
      </c>
      <c r="E1272" s="190">
        <v>11</v>
      </c>
      <c r="F1272" s="214">
        <f>'BASIC DATA'!D171</f>
        <v>175</v>
      </c>
      <c r="G1272" s="190">
        <f t="shared" si="18"/>
        <v>1925</v>
      </c>
    </row>
    <row r="1273" spans="2:7">
      <c r="B1273" s="105">
        <v>6</v>
      </c>
      <c r="C1273" s="135" t="s">
        <v>374</v>
      </c>
      <c r="D1273" s="319"/>
      <c r="E1273" s="190"/>
      <c r="F1273" s="214"/>
      <c r="G1273" s="190"/>
    </row>
    <row r="1274" spans="2:7">
      <c r="B1274" s="280"/>
      <c r="C1274" s="135" t="s">
        <v>4958</v>
      </c>
      <c r="D1274" s="319" t="s">
        <v>3478</v>
      </c>
      <c r="E1274" s="190">
        <v>3</v>
      </c>
      <c r="F1274" s="214">
        <f>'BASIC DATA'!D84</f>
        <v>80</v>
      </c>
      <c r="G1274" s="190">
        <f t="shared" si="18"/>
        <v>240</v>
      </c>
    </row>
    <row r="1275" spans="2:7">
      <c r="B1275" s="105">
        <v>7</v>
      </c>
      <c r="C1275" s="135" t="s">
        <v>958</v>
      </c>
      <c r="D1275" s="319" t="s">
        <v>3477</v>
      </c>
      <c r="E1275" s="190">
        <v>126</v>
      </c>
      <c r="F1275" s="214">
        <f>'BASIC DATA'!D87</f>
        <v>42</v>
      </c>
      <c r="G1275" s="190">
        <f t="shared" si="18"/>
        <v>5292</v>
      </c>
    </row>
    <row r="1276" spans="2:7">
      <c r="B1276" s="105">
        <v>8</v>
      </c>
      <c r="C1276" s="135" t="s">
        <v>6815</v>
      </c>
      <c r="D1276" s="319" t="s">
        <v>3477</v>
      </c>
      <c r="E1276" s="190">
        <v>42</v>
      </c>
      <c r="F1276" s="214">
        <f>'BASIC DATA'!D28</f>
        <v>335</v>
      </c>
      <c r="G1276" s="190">
        <f t="shared" si="18"/>
        <v>14070</v>
      </c>
    </row>
    <row r="1277" spans="2:7">
      <c r="B1277" s="105">
        <v>9</v>
      </c>
      <c r="C1277" s="135" t="s">
        <v>6816</v>
      </c>
      <c r="D1277" s="319" t="s">
        <v>2059</v>
      </c>
      <c r="E1277" s="190">
        <v>175</v>
      </c>
      <c r="F1277" s="214">
        <f>'BASIC DATA'!D109</f>
        <v>80</v>
      </c>
      <c r="G1277" s="190">
        <f t="shared" si="18"/>
        <v>14000</v>
      </c>
    </row>
    <row r="1278" spans="2:7">
      <c r="B1278" s="105">
        <v>10</v>
      </c>
      <c r="C1278" s="135" t="s">
        <v>4655</v>
      </c>
      <c r="D1278" s="319" t="s">
        <v>2059</v>
      </c>
      <c r="E1278" s="190">
        <v>1575</v>
      </c>
      <c r="F1278" s="214">
        <f>'BASIC DATA'!D181</f>
        <v>15</v>
      </c>
      <c r="G1278" s="190">
        <f t="shared" si="18"/>
        <v>23625</v>
      </c>
    </row>
    <row r="1279" spans="2:7">
      <c r="B1279" s="105">
        <v>11</v>
      </c>
      <c r="C1279" s="135" t="s">
        <v>6556</v>
      </c>
      <c r="D1279" s="319" t="s">
        <v>2374</v>
      </c>
      <c r="E1279" s="190">
        <v>187</v>
      </c>
      <c r="F1279" s="214">
        <f>F1254</f>
        <v>7.8</v>
      </c>
      <c r="G1279" s="190">
        <f t="shared" si="18"/>
        <v>1458.6</v>
      </c>
    </row>
    <row r="1280" spans="2:7">
      <c r="B1280" s="105">
        <v>12</v>
      </c>
      <c r="C1280" s="135" t="s">
        <v>6557</v>
      </c>
      <c r="D1280" s="319" t="s">
        <v>2374</v>
      </c>
      <c r="E1280" s="190">
        <v>24</v>
      </c>
      <c r="F1280" s="214">
        <f>F1257</f>
        <v>24.166666666666668</v>
      </c>
      <c r="G1280" s="190">
        <f t="shared" si="18"/>
        <v>580</v>
      </c>
    </row>
    <row r="1281" spans="2:7">
      <c r="B1281" s="114">
        <v>13</v>
      </c>
      <c r="C1281" s="135" t="s">
        <v>2373</v>
      </c>
      <c r="D1281" s="319" t="s">
        <v>2173</v>
      </c>
      <c r="E1281" s="190">
        <v>25</v>
      </c>
      <c r="F1281" s="214">
        <f>'BASIC DATA'!D359</f>
        <v>30</v>
      </c>
      <c r="G1281" s="190">
        <f t="shared" si="18"/>
        <v>750</v>
      </c>
    </row>
    <row r="1282" spans="2:7">
      <c r="B1282" s="92"/>
      <c r="C1282" s="193"/>
      <c r="D1282" s="151" t="s">
        <v>2376</v>
      </c>
      <c r="E1282" s="160"/>
      <c r="F1282" s="236" t="s">
        <v>1698</v>
      </c>
      <c r="G1282" s="318">
        <f>SUM(G1264:G1281)</f>
        <v>268316.69999999995</v>
      </c>
    </row>
    <row r="1283" spans="2:7"/>
    <row r="1284" spans="2:7">
      <c r="B1284" s="79" t="s">
        <v>2377</v>
      </c>
    </row>
    <row r="1285" spans="2:7">
      <c r="B1285" s="95" t="s">
        <v>2369</v>
      </c>
      <c r="C1285" s="157" t="s">
        <v>2378</v>
      </c>
      <c r="D1285" s="95" t="s">
        <v>2370</v>
      </c>
      <c r="E1285" s="95" t="s">
        <v>1166</v>
      </c>
      <c r="F1285" s="95" t="s">
        <v>2371</v>
      </c>
      <c r="G1285" s="95" t="s">
        <v>2372</v>
      </c>
    </row>
    <row r="1286" spans="2:7">
      <c r="B1286" s="114"/>
      <c r="C1286" s="154"/>
      <c r="D1286" s="114"/>
      <c r="E1286" s="114"/>
      <c r="F1286" s="114" t="s">
        <v>3485</v>
      </c>
      <c r="G1286" s="114" t="s">
        <v>3485</v>
      </c>
    </row>
    <row r="1287" spans="2:7">
      <c r="B1287" s="95">
        <v>1</v>
      </c>
      <c r="C1287" s="135" t="s">
        <v>6558</v>
      </c>
      <c r="D1287" s="451" t="s">
        <v>2374</v>
      </c>
      <c r="E1287" s="190">
        <v>187</v>
      </c>
      <c r="F1287" s="190">
        <f>'HIRE CHARGES'!D556</f>
        <v>16</v>
      </c>
      <c r="G1287" s="190">
        <f>E1287*F1287</f>
        <v>2992</v>
      </c>
    </row>
    <row r="1288" spans="2:7">
      <c r="B1288" s="317"/>
      <c r="C1288" s="135" t="s">
        <v>2379</v>
      </c>
      <c r="D1288" s="319" t="s">
        <v>2374</v>
      </c>
      <c r="E1288" s="190">
        <v>117</v>
      </c>
      <c r="F1288" s="190">
        <f>'HIRE CHARGES'!E556</f>
        <v>67.2</v>
      </c>
      <c r="G1288" s="190">
        <f t="shared" ref="G1288:G1299" si="19">E1288*F1288</f>
        <v>7862.4000000000005</v>
      </c>
    </row>
    <row r="1289" spans="2:7">
      <c r="B1289" s="105">
        <v>2</v>
      </c>
      <c r="C1289" s="135" t="s">
        <v>6060</v>
      </c>
      <c r="D1289" s="319" t="s">
        <v>2374</v>
      </c>
      <c r="E1289" s="190">
        <v>60</v>
      </c>
      <c r="F1289" s="190">
        <f>'HIRE CHARGES'!D539</f>
        <v>6.4</v>
      </c>
      <c r="G1289" s="190">
        <f t="shared" si="19"/>
        <v>384</v>
      </c>
    </row>
    <row r="1290" spans="2:7">
      <c r="B1290" s="317"/>
      <c r="C1290" s="135" t="s">
        <v>2379</v>
      </c>
      <c r="D1290" s="319" t="s">
        <v>2374</v>
      </c>
      <c r="E1290" s="190">
        <v>60</v>
      </c>
      <c r="F1290" s="190">
        <f>'HIRE CHARGES'!E539</f>
        <v>2.8</v>
      </c>
      <c r="G1290" s="190">
        <f t="shared" si="19"/>
        <v>168</v>
      </c>
    </row>
    <row r="1291" spans="2:7">
      <c r="B1291" s="105">
        <v>3</v>
      </c>
      <c r="C1291" s="135" t="s">
        <v>6561</v>
      </c>
      <c r="D1291" s="319" t="s">
        <v>2374</v>
      </c>
      <c r="E1291" s="190">
        <v>4</v>
      </c>
      <c r="F1291" s="190">
        <f>'HIRE CHARGES'!D550</f>
        <v>519.69999999999993</v>
      </c>
      <c r="G1291" s="190">
        <f t="shared" si="19"/>
        <v>2078.7999999999997</v>
      </c>
    </row>
    <row r="1292" spans="2:7">
      <c r="B1292" s="317"/>
      <c r="C1292" s="135" t="s">
        <v>2379</v>
      </c>
      <c r="D1292" s="319" t="s">
        <v>2374</v>
      </c>
      <c r="E1292" s="190">
        <v>4</v>
      </c>
      <c r="F1292" s="190">
        <f>'HIRE CHARGES'!E550</f>
        <v>299.89999999999998</v>
      </c>
      <c r="G1292" s="190">
        <f t="shared" si="19"/>
        <v>1199.5999999999999</v>
      </c>
    </row>
    <row r="1293" spans="2:7">
      <c r="B1293" s="105">
        <v>4</v>
      </c>
      <c r="C1293" s="135" t="s">
        <v>866</v>
      </c>
      <c r="D1293" s="319" t="s">
        <v>2374</v>
      </c>
      <c r="E1293" s="190">
        <v>8</v>
      </c>
      <c r="F1293" s="190">
        <f>'HIRE CHARGES'!D544</f>
        <v>86.1</v>
      </c>
      <c r="G1293" s="190">
        <f t="shared" si="19"/>
        <v>688.8</v>
      </c>
    </row>
    <row r="1294" spans="2:7">
      <c r="B1294" s="317"/>
      <c r="C1294" s="135" t="s">
        <v>2379</v>
      </c>
      <c r="D1294" s="319" t="s">
        <v>2374</v>
      </c>
      <c r="E1294" s="190">
        <v>8</v>
      </c>
      <c r="F1294" s="190">
        <f>'HIRE CHARGES'!E544</f>
        <v>0</v>
      </c>
      <c r="G1294" s="190">
        <f t="shared" si="19"/>
        <v>0</v>
      </c>
    </row>
    <row r="1295" spans="2:7">
      <c r="B1295" s="105">
        <v>5</v>
      </c>
      <c r="C1295" s="135" t="s">
        <v>6562</v>
      </c>
      <c r="D1295" s="319" t="s">
        <v>2374</v>
      </c>
      <c r="E1295" s="190">
        <v>2</v>
      </c>
      <c r="F1295" s="190">
        <f>'HIRE CHARGES'!D551</f>
        <v>22.5</v>
      </c>
      <c r="G1295" s="190">
        <f t="shared" si="19"/>
        <v>45</v>
      </c>
    </row>
    <row r="1296" spans="2:7">
      <c r="B1296" s="317"/>
      <c r="C1296" s="135" t="s">
        <v>2379</v>
      </c>
      <c r="D1296" s="319" t="s">
        <v>2374</v>
      </c>
      <c r="E1296" s="190">
        <v>2</v>
      </c>
      <c r="F1296" s="190">
        <f>'HIRE CHARGES'!E551</f>
        <v>28</v>
      </c>
      <c r="G1296" s="190">
        <f t="shared" si="19"/>
        <v>56</v>
      </c>
    </row>
    <row r="1297" spans="2:7">
      <c r="B1297" s="105">
        <v>6</v>
      </c>
      <c r="C1297" s="135" t="s">
        <v>5539</v>
      </c>
      <c r="D1297" s="319" t="s">
        <v>2374</v>
      </c>
      <c r="E1297" s="190">
        <v>2</v>
      </c>
      <c r="F1297" s="190">
        <f>'HIRE CHARGES'!D551</f>
        <v>22.5</v>
      </c>
      <c r="G1297" s="190">
        <f t="shared" si="19"/>
        <v>45</v>
      </c>
    </row>
    <row r="1298" spans="2:7">
      <c r="B1298" s="317"/>
      <c r="C1298" s="135" t="s">
        <v>2379</v>
      </c>
      <c r="D1298" s="319" t="s">
        <v>2374</v>
      </c>
      <c r="E1298" s="190">
        <v>2</v>
      </c>
      <c r="F1298" s="190">
        <f>'HIRE CHARGES'!E551</f>
        <v>28</v>
      </c>
      <c r="G1298" s="190">
        <f t="shared" si="19"/>
        <v>56</v>
      </c>
    </row>
    <row r="1299" spans="2:7">
      <c r="B1299" s="105">
        <v>7</v>
      </c>
      <c r="C1299" s="135" t="s">
        <v>2373</v>
      </c>
      <c r="D1299" s="319" t="s">
        <v>2173</v>
      </c>
      <c r="E1299" s="190">
        <v>10</v>
      </c>
      <c r="F1299" s="214">
        <f>'BASIC DATA'!D359</f>
        <v>30</v>
      </c>
      <c r="G1299" s="190">
        <f t="shared" si="19"/>
        <v>300</v>
      </c>
    </row>
    <row r="1300" spans="2:7">
      <c r="B1300" s="176"/>
      <c r="C1300" s="193" t="s">
        <v>2380</v>
      </c>
      <c r="D1300" s="193"/>
      <c r="E1300" s="208"/>
      <c r="F1300" s="236" t="s">
        <v>1698</v>
      </c>
      <c r="G1300" s="318">
        <f>SUM(G1287:G1299)</f>
        <v>15875.6</v>
      </c>
    </row>
    <row r="1301" spans="2:7"/>
    <row r="1302" spans="2:7">
      <c r="B1302" s="79" t="s">
        <v>2381</v>
      </c>
    </row>
    <row r="1303" spans="2:7">
      <c r="B1303" s="95" t="s">
        <v>2369</v>
      </c>
      <c r="C1303" s="157" t="s">
        <v>2378</v>
      </c>
      <c r="D1303" s="95" t="s">
        <v>2370</v>
      </c>
      <c r="E1303" s="95" t="s">
        <v>1166</v>
      </c>
      <c r="F1303" s="95" t="s">
        <v>2371</v>
      </c>
      <c r="G1303" s="95" t="s">
        <v>2372</v>
      </c>
    </row>
    <row r="1304" spans="2:7">
      <c r="B1304" s="114"/>
      <c r="C1304" s="154"/>
      <c r="D1304" s="114"/>
      <c r="E1304" s="114"/>
      <c r="F1304" s="114" t="s">
        <v>3485</v>
      </c>
      <c r="G1304" s="114" t="s">
        <v>3485</v>
      </c>
    </row>
    <row r="1305" spans="2:7">
      <c r="B1305" s="105">
        <v>1</v>
      </c>
      <c r="C1305" s="76" t="s">
        <v>5542</v>
      </c>
      <c r="D1305" s="319" t="s">
        <v>2374</v>
      </c>
      <c r="E1305" s="207">
        <v>4</v>
      </c>
      <c r="F1305" s="190">
        <f>'HIRE CHARGES'!F550</f>
        <v>177.5</v>
      </c>
      <c r="G1305" s="190">
        <f>E1305*F1305</f>
        <v>710</v>
      </c>
    </row>
    <row r="1306" spans="2:7">
      <c r="B1306" s="105">
        <v>2</v>
      </c>
      <c r="C1306" s="76" t="s">
        <v>5545</v>
      </c>
      <c r="D1306" s="319" t="s">
        <v>2374</v>
      </c>
      <c r="E1306" s="207">
        <v>2</v>
      </c>
      <c r="F1306" s="190">
        <f>'HIRE CHARGES'!F551</f>
        <v>198.9</v>
      </c>
      <c r="G1306" s="190">
        <f t="shared" ref="G1306:G1313" si="20">E1306*F1306</f>
        <v>397.8</v>
      </c>
    </row>
    <row r="1307" spans="2:7">
      <c r="B1307" s="105">
        <v>3</v>
      </c>
      <c r="C1307" s="76" t="s">
        <v>5546</v>
      </c>
      <c r="D1307" s="319" t="s">
        <v>2374</v>
      </c>
      <c r="E1307" s="207">
        <v>2</v>
      </c>
      <c r="F1307" s="190">
        <f>'HIRE CHARGES'!F551</f>
        <v>198.9</v>
      </c>
      <c r="G1307" s="190">
        <f t="shared" si="20"/>
        <v>397.8</v>
      </c>
    </row>
    <row r="1308" spans="2:7">
      <c r="B1308" s="105">
        <v>4</v>
      </c>
      <c r="C1308" s="76" t="s">
        <v>2468</v>
      </c>
      <c r="D1308" s="319" t="s">
        <v>1172</v>
      </c>
      <c r="E1308" s="207">
        <f>D1246</f>
        <v>10</v>
      </c>
      <c r="F1308" s="190">
        <f>'BASIC DATA'!C471</f>
        <v>510</v>
      </c>
      <c r="G1308" s="190">
        <f t="shared" si="20"/>
        <v>5100</v>
      </c>
    </row>
    <row r="1309" spans="2:7">
      <c r="B1309" s="105">
        <v>5</v>
      </c>
      <c r="C1309" s="76" t="s">
        <v>5547</v>
      </c>
      <c r="D1309" s="319" t="s">
        <v>1172</v>
      </c>
      <c r="E1309" s="207">
        <f>E1246</f>
        <v>18</v>
      </c>
      <c r="F1309" s="190">
        <f>'BASIC DATA'!C503</f>
        <v>550</v>
      </c>
      <c r="G1309" s="190">
        <f t="shared" si="20"/>
        <v>9900</v>
      </c>
    </row>
    <row r="1310" spans="2:7">
      <c r="B1310" s="105">
        <v>6</v>
      </c>
      <c r="C1310" s="76" t="s">
        <v>3010</v>
      </c>
      <c r="D1310" s="319" t="s">
        <v>1172</v>
      </c>
      <c r="E1310" s="207">
        <v>10</v>
      </c>
      <c r="F1310" s="190">
        <f>'BASIC DATA'!C504</f>
        <v>445</v>
      </c>
      <c r="G1310" s="190">
        <f t="shared" si="20"/>
        <v>4450</v>
      </c>
    </row>
    <row r="1311" spans="2:7">
      <c r="B1311" s="105">
        <v>7</v>
      </c>
      <c r="C1311" s="76" t="s">
        <v>3013</v>
      </c>
      <c r="D1311" s="319" t="s">
        <v>1172</v>
      </c>
      <c r="E1311" s="207">
        <v>18</v>
      </c>
      <c r="F1311" s="190">
        <f>'BASIC DATA'!C504</f>
        <v>445</v>
      </c>
      <c r="G1311" s="190">
        <f t="shared" si="20"/>
        <v>8010</v>
      </c>
    </row>
    <row r="1312" spans="2:7">
      <c r="B1312" s="105">
        <v>8</v>
      </c>
      <c r="C1312" s="76" t="s">
        <v>3011</v>
      </c>
      <c r="D1312" s="319" t="s">
        <v>1172</v>
      </c>
      <c r="E1312" s="207">
        <f>G1246</f>
        <v>52</v>
      </c>
      <c r="F1312" s="190">
        <f>'BASIC DATA'!C529</f>
        <v>400</v>
      </c>
      <c r="G1312" s="190">
        <f t="shared" si="20"/>
        <v>20800</v>
      </c>
    </row>
    <row r="1313" spans="2:9">
      <c r="B1313" s="105">
        <v>9</v>
      </c>
      <c r="C1313" s="76" t="s">
        <v>5604</v>
      </c>
      <c r="D1313" s="319" t="s">
        <v>1172</v>
      </c>
      <c r="E1313" s="207">
        <v>1</v>
      </c>
      <c r="F1313" s="190">
        <f>'BASIC DATA'!C468</f>
        <v>515</v>
      </c>
      <c r="G1313" s="190">
        <f t="shared" si="20"/>
        <v>515</v>
      </c>
    </row>
    <row r="1314" spans="2:9">
      <c r="B1314" s="92"/>
      <c r="C1314" s="193"/>
      <c r="D1314" s="151" t="s">
        <v>1174</v>
      </c>
      <c r="E1314" s="160"/>
      <c r="F1314" s="236" t="s">
        <v>1698</v>
      </c>
      <c r="G1314" s="318">
        <f>SUM(G1305:G1313)</f>
        <v>50280.6</v>
      </c>
    </row>
    <row r="1315" spans="2:9">
      <c r="B1315" s="60" t="s">
        <v>5948</v>
      </c>
      <c r="C1315" s="31"/>
      <c r="D1315" s="31"/>
      <c r="E1315" s="85">
        <f>ROUND(G1314/F1259,1)</f>
        <v>14251.9</v>
      </c>
    </row>
    <row r="1316" spans="2:9">
      <c r="B1316" s="60" t="s">
        <v>3163</v>
      </c>
      <c r="C1316" s="31"/>
      <c r="D1316" s="31">
        <f>'BASIC DATA'!$C$577</f>
        <v>0.13614999999999999</v>
      </c>
      <c r="E1316" s="85">
        <f>ROUND(E1315*D1316,1)</f>
        <v>1940.4</v>
      </c>
    </row>
    <row r="1317" spans="2:9">
      <c r="B1317" s="60" t="s">
        <v>5949</v>
      </c>
      <c r="C1317" s="31"/>
      <c r="D1317" s="31"/>
      <c r="E1317" s="199">
        <f>E1316+E1315</f>
        <v>16192.3</v>
      </c>
    </row>
    <row r="1318" spans="2:9">
      <c r="B1318" s="26"/>
    </row>
    <row r="1319" spans="2:9">
      <c r="B1319" s="170" t="s">
        <v>1175</v>
      </c>
    </row>
    <row r="1320" spans="2:9">
      <c r="B1320" s="26" t="s">
        <v>1176</v>
      </c>
      <c r="F1320" s="171" t="s">
        <v>1698</v>
      </c>
      <c r="G1320" s="68">
        <f>G1282</f>
        <v>268316.69999999995</v>
      </c>
    </row>
    <row r="1321" spans="2:9">
      <c r="B1321" s="26" t="s">
        <v>1186</v>
      </c>
      <c r="F1321" s="171" t="s">
        <v>1698</v>
      </c>
      <c r="G1321" s="68">
        <f>G1300</f>
        <v>15875.6</v>
      </c>
    </row>
    <row r="1322" spans="2:9">
      <c r="B1322" s="26" t="s">
        <v>2660</v>
      </c>
      <c r="F1322" s="171" t="s">
        <v>1698</v>
      </c>
      <c r="G1322" s="75">
        <f>G1314</f>
        <v>50280.6</v>
      </c>
    </row>
    <row r="1323" spans="2:9">
      <c r="B1323" s="26"/>
      <c r="E1323" s="171" t="s">
        <v>5551</v>
      </c>
      <c r="F1323" s="171" t="s">
        <v>1698</v>
      </c>
      <c r="G1323" s="205">
        <f>SUM(G1320:G1322)</f>
        <v>334472.89999999991</v>
      </c>
    </row>
    <row r="1324" spans="2:9">
      <c r="B1324" s="26" t="s">
        <v>5087</v>
      </c>
      <c r="E1324" s="693">
        <f>'BASIC DATA'!C593</f>
        <v>0</v>
      </c>
      <c r="F1324" s="171" t="s">
        <v>1698</v>
      </c>
      <c r="G1324" s="68">
        <f>(G1322+G1321)*E1324*0.75</f>
        <v>0</v>
      </c>
    </row>
    <row r="1325" spans="2:9">
      <c r="B1325" s="26" t="s">
        <v>5084</v>
      </c>
      <c r="E1325" s="171" t="s">
        <v>1518</v>
      </c>
      <c r="F1325" s="171" t="s">
        <v>1698</v>
      </c>
      <c r="G1325" s="205">
        <f>G1324+G1323</f>
        <v>334472.89999999991</v>
      </c>
    </row>
    <row r="1326" spans="2:9">
      <c r="B1326" s="26" t="s">
        <v>5086</v>
      </c>
      <c r="E1326" s="201">
        <f>'BASIC DATA'!C594</f>
        <v>0.03</v>
      </c>
      <c r="F1326" s="171" t="s">
        <v>1698</v>
      </c>
      <c r="G1326" s="75">
        <f>G1325*E1326</f>
        <v>10034.186999999996</v>
      </c>
    </row>
    <row r="1327" spans="2:9">
      <c r="B1327" s="26"/>
      <c r="E1327" s="26" t="s">
        <v>2392</v>
      </c>
      <c r="F1327" s="171" t="s">
        <v>1698</v>
      </c>
      <c r="G1327" s="75">
        <f>G1326+G1325</f>
        <v>344507.08699999988</v>
      </c>
    </row>
    <row r="1328" spans="2:9">
      <c r="B1328" s="1206" t="s">
        <v>4717</v>
      </c>
      <c r="C1328" s="1206"/>
      <c r="D1328" s="201">
        <f>'BASIC DATA'!$C$577</f>
        <v>0.13614999999999999</v>
      </c>
      <c r="F1328" s="171" t="s">
        <v>1698</v>
      </c>
      <c r="G1328" s="75">
        <f>G1327*D1328</f>
        <v>46904.639895049979</v>
      </c>
      <c r="I1328" s="68"/>
    </row>
    <row r="1329" spans="1:34">
      <c r="B1329" s="26" t="s">
        <v>898</v>
      </c>
    </row>
    <row r="1330" spans="1:34">
      <c r="B1330" s="47" t="s">
        <v>897</v>
      </c>
      <c r="D1330" s="48"/>
      <c r="E1330" s="68">
        <f>leadcharges!F65</f>
        <v>19</v>
      </c>
      <c r="F1330" s="27" t="s">
        <v>1279</v>
      </c>
      <c r="G1330" s="76">
        <f>2*ROUND(E1330*F1259,3)</f>
        <v>134.06399999999999</v>
      </c>
      <c r="AH1330" s="68"/>
    </row>
    <row r="1331" spans="1:34">
      <c r="B1331" s="47" t="s">
        <v>896</v>
      </c>
      <c r="D1331" s="48"/>
      <c r="E1331" s="68">
        <f>leadcharges!$G$79</f>
        <v>74.8</v>
      </c>
      <c r="F1331" s="27" t="s">
        <v>1279</v>
      </c>
      <c r="G1331" s="76">
        <f>2*ROUND(E1331*F1259,3)</f>
        <v>527.78800000000001</v>
      </c>
    </row>
    <row r="1332" spans="1:34" ht="18.75" thickBot="1">
      <c r="B1332" s="26" t="s">
        <v>5078</v>
      </c>
      <c r="D1332" s="278">
        <f>F1259</f>
        <v>3.528</v>
      </c>
      <c r="E1332" s="26" t="s">
        <v>3480</v>
      </c>
      <c r="F1332" s="171" t="s">
        <v>1698</v>
      </c>
      <c r="G1332" s="205">
        <f>G1328+G1327+G1330+G1331</f>
        <v>392073.57889504987</v>
      </c>
    </row>
    <row r="1333" spans="1:34" ht="18.75" thickBot="1">
      <c r="D1333" s="694" t="s">
        <v>3884</v>
      </c>
      <c r="E1333" s="695" t="s">
        <v>3480</v>
      </c>
      <c r="F1333" s="696" t="s">
        <v>1698</v>
      </c>
      <c r="G1333" s="715">
        <f>ROUND(G1332/D1332,1)</f>
        <v>111132</v>
      </c>
    </row>
    <row r="1334" spans="1:34">
      <c r="B1334" s="26"/>
      <c r="C1334" s="78"/>
    </row>
    <row r="1335" spans="1:34">
      <c r="B1335" s="26"/>
      <c r="E1335" s="78"/>
      <c r="G1335" s="171"/>
      <c r="H1335" s="27"/>
    </row>
    <row r="1336" spans="1:34">
      <c r="B1336" s="170" t="s">
        <v>5291</v>
      </c>
    </row>
    <row r="1337" spans="1:34">
      <c r="A1337" s="26" t="s">
        <v>7169</v>
      </c>
      <c r="B1337" s="26" t="s">
        <v>9042</v>
      </c>
    </row>
    <row r="1338" spans="1:34">
      <c r="A1338" s="26"/>
      <c r="B1338" s="26" t="s">
        <v>9043</v>
      </c>
    </row>
    <row r="1339" spans="1:34">
      <c r="A1339" s="26"/>
      <c r="B1339" s="26" t="s">
        <v>1701</v>
      </c>
    </row>
    <row r="1340" spans="1:34">
      <c r="A1340" s="26"/>
      <c r="B1340" s="26" t="s">
        <v>1702</v>
      </c>
    </row>
    <row r="1341" spans="1:34">
      <c r="A1341" s="26"/>
      <c r="B1341" s="26" t="s">
        <v>4554</v>
      </c>
    </row>
    <row r="1342" spans="1:34">
      <c r="A1342" s="26"/>
      <c r="B1342" s="26" t="s">
        <v>4555</v>
      </c>
    </row>
    <row r="1343" spans="1:34">
      <c r="A1343" s="26"/>
      <c r="B1343" s="26" t="s">
        <v>9044</v>
      </c>
    </row>
    <row r="1344" spans="1:34">
      <c r="A1344" s="26"/>
      <c r="B1344" s="26" t="s">
        <v>538</v>
      </c>
      <c r="E1344" s="322"/>
    </row>
    <row r="1345" spans="1:7">
      <c r="A1345" s="26"/>
      <c r="B1345" s="26" t="s">
        <v>3549</v>
      </c>
      <c r="E1345" s="322"/>
    </row>
    <row r="1346" spans="1:7">
      <c r="A1346" s="26"/>
      <c r="B1346" s="26"/>
      <c r="E1346" s="322"/>
    </row>
    <row r="1347" spans="1:7" hidden="1">
      <c r="A1347" s="78" t="s">
        <v>3984</v>
      </c>
      <c r="B1347" s="26" t="s">
        <v>5900</v>
      </c>
      <c r="E1347" s="322"/>
    </row>
    <row r="1348" spans="1:7" hidden="1">
      <c r="A1348" s="26"/>
      <c r="B1348" s="26" t="s">
        <v>5901</v>
      </c>
    </row>
    <row r="1349" spans="1:7" hidden="1">
      <c r="A1349" s="26"/>
      <c r="B1349" s="26" t="s">
        <v>5007</v>
      </c>
    </row>
    <row r="1350" spans="1:7" hidden="1">
      <c r="A1350" s="26"/>
      <c r="B1350" s="26" t="s">
        <v>5871</v>
      </c>
    </row>
    <row r="1351" spans="1:7" hidden="1">
      <c r="A1351" s="26"/>
      <c r="B1351" s="26" t="s">
        <v>3912</v>
      </c>
    </row>
    <row r="1352" spans="1:7" hidden="1">
      <c r="A1352" s="26"/>
      <c r="B1352" s="26" t="s">
        <v>3913</v>
      </c>
    </row>
    <row r="1353" spans="1:7" hidden="1">
      <c r="A1353" s="26"/>
      <c r="B1353" s="26" t="s">
        <v>5727</v>
      </c>
    </row>
    <row r="1354" spans="1:7" hidden="1">
      <c r="A1354" s="26"/>
      <c r="B1354" s="26" t="s">
        <v>4556</v>
      </c>
      <c r="E1354" s="322" t="s">
        <v>1697</v>
      </c>
      <c r="F1354" s="26">
        <v>30.856000000000002</v>
      </c>
      <c r="G1354" s="26" t="s">
        <v>2710</v>
      </c>
    </row>
    <row r="1355" spans="1:7" hidden="1">
      <c r="A1355" s="26"/>
      <c r="B1355" s="26" t="s">
        <v>240</v>
      </c>
    </row>
    <row r="1356" spans="1:7" hidden="1">
      <c r="A1356" s="78">
        <v>1</v>
      </c>
      <c r="B1356" s="26" t="s">
        <v>5780</v>
      </c>
    </row>
    <row r="1357" spans="1:7" hidden="1">
      <c r="A1357" s="315" t="s">
        <v>1535</v>
      </c>
      <c r="B1357" s="26" t="s">
        <v>241</v>
      </c>
      <c r="E1357" s="322"/>
    </row>
    <row r="1358" spans="1:7" hidden="1">
      <c r="B1358" s="26" t="s">
        <v>5966</v>
      </c>
      <c r="E1358" s="322" t="s">
        <v>1697</v>
      </c>
      <c r="F1358" s="68">
        <v>1743</v>
      </c>
      <c r="G1358" s="26" t="s">
        <v>3478</v>
      </c>
    </row>
    <row r="1359" spans="1:7" hidden="1">
      <c r="A1359" s="171"/>
      <c r="B1359" s="26" t="s">
        <v>5967</v>
      </c>
      <c r="E1359" s="322" t="s">
        <v>1697</v>
      </c>
      <c r="F1359" s="68">
        <v>19700</v>
      </c>
      <c r="G1359" s="26" t="s">
        <v>3478</v>
      </c>
    </row>
    <row r="1360" spans="1:7" hidden="1">
      <c r="A1360" s="171"/>
      <c r="B1360" s="26" t="s">
        <v>4986</v>
      </c>
      <c r="E1360" s="322" t="s">
        <v>1697</v>
      </c>
      <c r="F1360" s="68">
        <v>820</v>
      </c>
      <c r="G1360" s="26" t="s">
        <v>3478</v>
      </c>
    </row>
    <row r="1361" spans="1:7" hidden="1">
      <c r="A1361" s="171" t="s">
        <v>5400</v>
      </c>
      <c r="B1361" s="26" t="s">
        <v>5165</v>
      </c>
      <c r="E1361" s="322"/>
      <c r="F1361" s="68"/>
    </row>
    <row r="1362" spans="1:7" hidden="1">
      <c r="A1362" s="171"/>
      <c r="B1362" s="26" t="s">
        <v>4987</v>
      </c>
      <c r="E1362" s="322" t="s">
        <v>1697</v>
      </c>
      <c r="F1362" s="68">
        <v>2336</v>
      </c>
      <c r="G1362" s="26" t="s">
        <v>3478</v>
      </c>
    </row>
    <row r="1363" spans="1:7" hidden="1">
      <c r="A1363" s="171"/>
      <c r="B1363" s="26" t="s">
        <v>5969</v>
      </c>
      <c r="E1363" s="322" t="s">
        <v>1697</v>
      </c>
      <c r="F1363" s="68">
        <v>149</v>
      </c>
      <c r="G1363" s="26" t="s">
        <v>3478</v>
      </c>
    </row>
    <row r="1364" spans="1:7" hidden="1">
      <c r="A1364" s="171"/>
      <c r="B1364" s="26" t="s">
        <v>4988</v>
      </c>
      <c r="E1364" s="322" t="s">
        <v>1697</v>
      </c>
      <c r="F1364" s="68">
        <v>2255</v>
      </c>
      <c r="G1364" s="26" t="s">
        <v>3478</v>
      </c>
    </row>
    <row r="1365" spans="1:7" hidden="1">
      <c r="A1365" s="171"/>
      <c r="B1365" s="26" t="s">
        <v>4989</v>
      </c>
      <c r="E1365" s="322" t="s">
        <v>1697</v>
      </c>
      <c r="F1365" s="68">
        <v>817</v>
      </c>
      <c r="G1365" s="26" t="s">
        <v>3478</v>
      </c>
    </row>
    <row r="1366" spans="1:7" hidden="1">
      <c r="A1366" s="171" t="s">
        <v>5401</v>
      </c>
      <c r="B1366" s="26" t="s">
        <v>365</v>
      </c>
      <c r="E1366" s="322"/>
      <c r="F1366" s="68"/>
    </row>
    <row r="1367" spans="1:7" hidden="1">
      <c r="A1367" s="171"/>
      <c r="B1367" s="26" t="s">
        <v>6159</v>
      </c>
      <c r="E1367" s="322" t="s">
        <v>1697</v>
      </c>
      <c r="F1367" s="68">
        <v>127</v>
      </c>
      <c r="G1367" s="26" t="s">
        <v>3478</v>
      </c>
    </row>
    <row r="1368" spans="1:7" hidden="1">
      <c r="A1368" s="171" t="s">
        <v>1696</v>
      </c>
      <c r="B1368" s="26" t="s">
        <v>4990</v>
      </c>
      <c r="E1368" s="322"/>
      <c r="F1368" s="68"/>
    </row>
    <row r="1369" spans="1:7" hidden="1">
      <c r="A1369" s="171"/>
      <c r="B1369" s="26" t="s">
        <v>4772</v>
      </c>
      <c r="E1369" s="322" t="s">
        <v>1697</v>
      </c>
      <c r="F1369" s="68">
        <v>556</v>
      </c>
      <c r="G1369" s="26" t="s">
        <v>3478</v>
      </c>
    </row>
    <row r="1370" spans="1:7" hidden="1">
      <c r="A1370" s="171"/>
      <c r="B1370" s="26" t="s">
        <v>4773</v>
      </c>
      <c r="E1370" s="322" t="s">
        <v>1697</v>
      </c>
      <c r="F1370" s="68">
        <v>524</v>
      </c>
      <c r="G1370" s="26" t="s">
        <v>3478</v>
      </c>
    </row>
    <row r="1371" spans="1:7" hidden="1">
      <c r="A1371" s="171" t="s">
        <v>5082</v>
      </c>
      <c r="B1371" s="26" t="s">
        <v>6988</v>
      </c>
      <c r="E1371" s="322"/>
      <c r="F1371" s="68"/>
    </row>
    <row r="1372" spans="1:7" hidden="1">
      <c r="A1372" s="171"/>
      <c r="B1372" s="26" t="s">
        <v>6989</v>
      </c>
      <c r="E1372" s="322" t="s">
        <v>1697</v>
      </c>
      <c r="F1372" s="68">
        <v>181</v>
      </c>
      <c r="G1372" s="26" t="s">
        <v>3478</v>
      </c>
    </row>
    <row r="1373" spans="1:7" hidden="1">
      <c r="A1373" s="171" t="s">
        <v>2408</v>
      </c>
      <c r="B1373" s="26" t="s">
        <v>5128</v>
      </c>
      <c r="E1373" s="322"/>
      <c r="F1373" s="68"/>
    </row>
    <row r="1374" spans="1:7" hidden="1">
      <c r="A1374" s="171"/>
      <c r="B1374" s="26" t="s">
        <v>3606</v>
      </c>
      <c r="E1374" s="322" t="s">
        <v>1697</v>
      </c>
      <c r="F1374" s="68">
        <v>63</v>
      </c>
      <c r="G1374" s="26" t="s">
        <v>3478</v>
      </c>
    </row>
    <row r="1375" spans="1:7" hidden="1">
      <c r="A1375" s="171" t="s">
        <v>2410</v>
      </c>
      <c r="B1375" s="26" t="s">
        <v>3607</v>
      </c>
      <c r="E1375" s="322"/>
    </row>
    <row r="1376" spans="1:7" hidden="1">
      <c r="A1376" s="171"/>
      <c r="B1376" s="26" t="s">
        <v>5750</v>
      </c>
      <c r="E1376" s="322" t="s">
        <v>1697</v>
      </c>
      <c r="F1376" s="68">
        <v>406</v>
      </c>
      <c r="G1376" s="26" t="s">
        <v>3478</v>
      </c>
    </row>
    <row r="1377" spans="1:7" hidden="1">
      <c r="A1377" s="171" t="s">
        <v>6401</v>
      </c>
      <c r="B1377" s="26" t="s">
        <v>1705</v>
      </c>
      <c r="E1377" s="322"/>
    </row>
    <row r="1378" spans="1:7" hidden="1">
      <c r="A1378" s="171"/>
      <c r="B1378" s="26" t="s">
        <v>5977</v>
      </c>
      <c r="E1378" s="322" t="s">
        <v>1697</v>
      </c>
      <c r="F1378" s="26">
        <v>4</v>
      </c>
      <c r="G1378" s="26" t="s">
        <v>2059</v>
      </c>
    </row>
    <row r="1379" spans="1:7" hidden="1">
      <c r="A1379" s="171"/>
      <c r="B1379" s="26" t="s">
        <v>5751</v>
      </c>
      <c r="E1379" s="322" t="s">
        <v>1697</v>
      </c>
      <c r="F1379" s="26">
        <v>1</v>
      </c>
      <c r="G1379" s="26" t="s">
        <v>4089</v>
      </c>
    </row>
    <row r="1380" spans="1:7" hidden="1">
      <c r="A1380" s="171"/>
      <c r="B1380" s="26" t="s">
        <v>5752</v>
      </c>
      <c r="E1380" s="322" t="s">
        <v>1697</v>
      </c>
      <c r="F1380" s="26">
        <v>2</v>
      </c>
      <c r="G1380" s="26" t="s">
        <v>2059</v>
      </c>
    </row>
    <row r="1381" spans="1:7" hidden="1">
      <c r="A1381" s="171"/>
      <c r="B1381" s="26" t="s">
        <v>5753</v>
      </c>
      <c r="E1381" s="322" t="s">
        <v>1697</v>
      </c>
      <c r="F1381" s="26">
        <v>1</v>
      </c>
      <c r="G1381" s="26" t="s">
        <v>4089</v>
      </c>
    </row>
    <row r="1382" spans="1:7" hidden="1">
      <c r="A1382" s="171"/>
      <c r="B1382" s="26" t="s">
        <v>5754</v>
      </c>
      <c r="E1382" s="322" t="s">
        <v>1697</v>
      </c>
      <c r="F1382" s="26">
        <v>4</v>
      </c>
      <c r="G1382" s="26" t="s">
        <v>2059</v>
      </c>
    </row>
    <row r="1383" spans="1:7" hidden="1">
      <c r="A1383" s="171"/>
      <c r="B1383" s="26" t="s">
        <v>15</v>
      </c>
      <c r="E1383" s="322" t="s">
        <v>1697</v>
      </c>
      <c r="F1383" s="26">
        <v>50</v>
      </c>
      <c r="G1383" s="26" t="s">
        <v>3483</v>
      </c>
    </row>
    <row r="1384" spans="1:7" hidden="1">
      <c r="A1384" s="171"/>
      <c r="B1384" s="26" t="s">
        <v>5755</v>
      </c>
      <c r="E1384" s="322" t="s">
        <v>1697</v>
      </c>
      <c r="F1384" s="26">
        <v>3</v>
      </c>
      <c r="G1384" s="26" t="s">
        <v>1614</v>
      </c>
    </row>
    <row r="1385" spans="1:7" hidden="1">
      <c r="A1385" s="171" t="s">
        <v>5756</v>
      </c>
      <c r="B1385" s="26" t="s">
        <v>517</v>
      </c>
      <c r="E1385" s="322" t="s">
        <v>1697</v>
      </c>
      <c r="F1385" s="26">
        <v>1123</v>
      </c>
      <c r="G1385" s="26" t="s">
        <v>2059</v>
      </c>
    </row>
    <row r="1386" spans="1:7" hidden="1">
      <c r="A1386" s="171"/>
      <c r="B1386" s="26" t="s">
        <v>519</v>
      </c>
      <c r="E1386" s="322" t="s">
        <v>1697</v>
      </c>
      <c r="F1386" s="26">
        <v>10110</v>
      </c>
      <c r="G1386" s="26" t="s">
        <v>2059</v>
      </c>
    </row>
    <row r="1387" spans="1:7" hidden="1">
      <c r="A1387" s="78">
        <v>2</v>
      </c>
      <c r="B1387" s="26" t="s">
        <v>2281</v>
      </c>
      <c r="E1387" s="322"/>
    </row>
    <row r="1388" spans="1:7" hidden="1">
      <c r="B1388" s="26" t="s">
        <v>4962</v>
      </c>
      <c r="E1388" s="322" t="s">
        <v>1697</v>
      </c>
      <c r="F1388" s="26">
        <v>761</v>
      </c>
      <c r="G1388" s="26" t="s">
        <v>3483</v>
      </c>
    </row>
    <row r="1389" spans="1:7" hidden="1">
      <c r="B1389" s="26" t="s">
        <v>5757</v>
      </c>
      <c r="E1389" s="322" t="s">
        <v>1697</v>
      </c>
      <c r="F1389" s="174">
        <v>76</v>
      </c>
      <c r="G1389" s="26" t="s">
        <v>3483</v>
      </c>
    </row>
    <row r="1390" spans="1:7" hidden="1">
      <c r="B1390" s="26"/>
      <c r="D1390" s="171" t="s">
        <v>1518</v>
      </c>
      <c r="E1390" s="322" t="s">
        <v>1697</v>
      </c>
      <c r="F1390" s="26">
        <v>837</v>
      </c>
      <c r="G1390" s="26" t="s">
        <v>3483</v>
      </c>
    </row>
    <row r="1391" spans="1:7" hidden="1">
      <c r="B1391" s="26" t="s">
        <v>165</v>
      </c>
      <c r="E1391" s="322"/>
    </row>
    <row r="1392" spans="1:7" hidden="1">
      <c r="B1392" s="26" t="s">
        <v>5758</v>
      </c>
      <c r="E1392" s="322" t="s">
        <v>1697</v>
      </c>
      <c r="F1392" s="26">
        <v>250</v>
      </c>
      <c r="G1392" s="26" t="s">
        <v>2602</v>
      </c>
    </row>
    <row r="1393" spans="1:7" hidden="1">
      <c r="B1393" s="26" t="s">
        <v>3533</v>
      </c>
      <c r="E1393" s="322" t="s">
        <v>1697</v>
      </c>
      <c r="F1393" s="26">
        <v>587</v>
      </c>
      <c r="G1393" s="26" t="s">
        <v>2602</v>
      </c>
    </row>
    <row r="1394" spans="1:7" hidden="1">
      <c r="B1394" s="26" t="s">
        <v>2278</v>
      </c>
      <c r="E1394" s="322" t="s">
        <v>1697</v>
      </c>
      <c r="F1394" s="26">
        <v>125</v>
      </c>
      <c r="G1394" s="26" t="s">
        <v>4665</v>
      </c>
    </row>
    <row r="1395" spans="1:7" hidden="1">
      <c r="B1395" s="26" t="s">
        <v>2279</v>
      </c>
      <c r="E1395" s="322" t="s">
        <v>1697</v>
      </c>
      <c r="F1395" s="26">
        <v>196</v>
      </c>
      <c r="G1395" s="26" t="s">
        <v>4665</v>
      </c>
    </row>
    <row r="1396" spans="1:7" hidden="1">
      <c r="B1396" s="26" t="s">
        <v>5759</v>
      </c>
      <c r="E1396" s="322" t="s">
        <v>1697</v>
      </c>
      <c r="F1396" s="26">
        <v>193</v>
      </c>
      <c r="G1396" s="26" t="s">
        <v>3477</v>
      </c>
    </row>
    <row r="1397" spans="1:7" hidden="1">
      <c r="B1397" s="26" t="s">
        <v>5759</v>
      </c>
      <c r="E1397" s="322" t="s">
        <v>1697</v>
      </c>
      <c r="F1397" s="26">
        <v>579</v>
      </c>
      <c r="G1397" s="26" t="s">
        <v>3477</v>
      </c>
    </row>
    <row r="1398" spans="1:7" hidden="1">
      <c r="B1398" s="26" t="s">
        <v>5760</v>
      </c>
      <c r="E1398" s="322" t="s">
        <v>1697</v>
      </c>
      <c r="F1398" s="26">
        <v>150</v>
      </c>
      <c r="G1398" s="26" t="s">
        <v>4665</v>
      </c>
    </row>
    <row r="1399" spans="1:7" hidden="1">
      <c r="B1399" s="26" t="s">
        <v>5761</v>
      </c>
      <c r="E1399" s="322" t="s">
        <v>1697</v>
      </c>
      <c r="F1399" s="26">
        <v>235</v>
      </c>
      <c r="G1399" s="26" t="s">
        <v>4665</v>
      </c>
    </row>
    <row r="1400" spans="1:7" hidden="1">
      <c r="A1400" s="78">
        <v>3</v>
      </c>
      <c r="B1400" s="26" t="s">
        <v>4651</v>
      </c>
      <c r="E1400" s="322"/>
    </row>
    <row r="1401" spans="1:7" hidden="1">
      <c r="B1401" s="26" t="s">
        <v>2504</v>
      </c>
      <c r="E1401" s="322" t="s">
        <v>1697</v>
      </c>
      <c r="F1401" s="26">
        <v>1260</v>
      </c>
      <c r="G1401" s="26" t="s">
        <v>3483</v>
      </c>
    </row>
    <row r="1402" spans="1:7" hidden="1">
      <c r="B1402" s="26" t="s">
        <v>5723</v>
      </c>
      <c r="E1402" s="322"/>
    </row>
    <row r="1403" spans="1:7" hidden="1">
      <c r="B1403" s="26"/>
      <c r="C1403" s="26" t="s">
        <v>5762</v>
      </c>
      <c r="E1403" s="322" t="s">
        <v>1697</v>
      </c>
      <c r="F1403" s="26">
        <v>300</v>
      </c>
      <c r="G1403" s="26" t="s">
        <v>4665</v>
      </c>
    </row>
    <row r="1404" spans="1:7" hidden="1">
      <c r="B1404" s="26" t="s">
        <v>1913</v>
      </c>
      <c r="E1404" s="322"/>
    </row>
    <row r="1405" spans="1:7" hidden="1">
      <c r="B1405" s="26"/>
      <c r="C1405" s="26" t="s">
        <v>5763</v>
      </c>
      <c r="E1405" s="322" t="s">
        <v>1697</v>
      </c>
      <c r="F1405" s="174">
        <v>897</v>
      </c>
      <c r="G1405" s="26" t="s">
        <v>4665</v>
      </c>
    </row>
    <row r="1406" spans="1:7" hidden="1">
      <c r="B1406" s="26"/>
      <c r="D1406" s="171" t="s">
        <v>1518</v>
      </c>
      <c r="E1406" s="322" t="s">
        <v>1697</v>
      </c>
      <c r="F1406" s="26">
        <v>1197</v>
      </c>
      <c r="G1406" s="26" t="s">
        <v>4665</v>
      </c>
    </row>
    <row r="1407" spans="1:7" hidden="1">
      <c r="B1407" s="26" t="s">
        <v>5764</v>
      </c>
      <c r="E1407" s="322"/>
    </row>
    <row r="1408" spans="1:7" hidden="1">
      <c r="B1408" s="26" t="s">
        <v>2657</v>
      </c>
      <c r="E1408" s="322"/>
    </row>
    <row r="1409" spans="1:7" hidden="1">
      <c r="A1409" s="78">
        <v>4</v>
      </c>
      <c r="B1409" s="26" t="s">
        <v>4249</v>
      </c>
    </row>
    <row r="1410" spans="1:7" hidden="1">
      <c r="B1410" s="26" t="s">
        <v>1818</v>
      </c>
    </row>
    <row r="1411" spans="1:7" hidden="1">
      <c r="B1411" s="26" t="s">
        <v>5765</v>
      </c>
    </row>
    <row r="1412" spans="1:7" hidden="1">
      <c r="B1412" s="26" t="s">
        <v>5766</v>
      </c>
    </row>
    <row r="1413" spans="1:7" hidden="1">
      <c r="B1413" s="26" t="s">
        <v>6010</v>
      </c>
    </row>
    <row r="1414" spans="1:7" hidden="1">
      <c r="B1414" s="26" t="s">
        <v>648</v>
      </c>
    </row>
    <row r="1415" spans="1:7" hidden="1">
      <c r="A1415" s="78">
        <v>5</v>
      </c>
      <c r="B1415" s="31" t="s">
        <v>4900</v>
      </c>
      <c r="C1415" s="31"/>
      <c r="D1415" s="31"/>
      <c r="E1415" s="31"/>
      <c r="F1415" s="31"/>
    </row>
    <row r="1416" spans="1:7" hidden="1">
      <c r="B1416" s="1266" t="s">
        <v>4901</v>
      </c>
      <c r="C1416" s="1266"/>
      <c r="D1416" s="38" t="s">
        <v>2468</v>
      </c>
      <c r="E1416" s="38" t="s">
        <v>4902</v>
      </c>
      <c r="F1416" s="38" t="s">
        <v>4903</v>
      </c>
      <c r="G1416" s="38" t="s">
        <v>6199</v>
      </c>
    </row>
    <row r="1417" spans="1:7" hidden="1">
      <c r="B1417" s="1266"/>
      <c r="C1417" s="1266"/>
      <c r="D1417" s="38"/>
      <c r="E1417" s="38" t="s">
        <v>4904</v>
      </c>
      <c r="F1417" s="38" t="s">
        <v>4905</v>
      </c>
      <c r="G1417" s="38"/>
    </row>
    <row r="1418" spans="1:7" hidden="1">
      <c r="B1418" s="1266"/>
      <c r="C1418" s="1266"/>
      <c r="D1418" s="38"/>
      <c r="E1418" s="38" t="s">
        <v>6307</v>
      </c>
      <c r="F1418" s="36"/>
      <c r="G1418" s="38"/>
    </row>
    <row r="1419" spans="1:7" hidden="1">
      <c r="B1419" s="38" t="s">
        <v>2688</v>
      </c>
      <c r="C1419" s="38"/>
      <c r="D1419" s="36">
        <v>24</v>
      </c>
      <c r="E1419" s="36">
        <v>48</v>
      </c>
      <c r="F1419" s="36">
        <v>48</v>
      </c>
      <c r="G1419" s="36">
        <v>96</v>
      </c>
    </row>
    <row r="1420" spans="1:7" hidden="1">
      <c r="B1420" s="38" t="s">
        <v>6584</v>
      </c>
      <c r="C1420" s="38"/>
      <c r="D1420" s="36">
        <v>1</v>
      </c>
      <c r="E1420" s="36">
        <v>2</v>
      </c>
      <c r="F1420" s="36" t="s">
        <v>5854</v>
      </c>
      <c r="G1420" s="36">
        <v>2</v>
      </c>
    </row>
    <row r="1421" spans="1:7" hidden="1">
      <c r="B1421" s="38" t="s">
        <v>2689</v>
      </c>
      <c r="C1421" s="38"/>
      <c r="D1421" s="36">
        <v>19</v>
      </c>
      <c r="E1421" s="36">
        <v>38</v>
      </c>
      <c r="F1421" s="36" t="s">
        <v>5854</v>
      </c>
      <c r="G1421" s="36">
        <v>76</v>
      </c>
    </row>
    <row r="1422" spans="1:7" hidden="1">
      <c r="B1422" s="38" t="s">
        <v>2690</v>
      </c>
      <c r="C1422" s="38"/>
      <c r="D1422" s="36">
        <v>11</v>
      </c>
      <c r="E1422" s="36" t="s">
        <v>5854</v>
      </c>
      <c r="F1422" s="36">
        <v>112</v>
      </c>
      <c r="G1422" s="36">
        <v>112</v>
      </c>
    </row>
    <row r="1423" spans="1:7" hidden="1">
      <c r="B1423" s="38" t="s">
        <v>2691</v>
      </c>
      <c r="C1423" s="38"/>
      <c r="D1423" s="36">
        <v>2</v>
      </c>
      <c r="E1423" s="36">
        <v>4</v>
      </c>
      <c r="F1423" s="36" t="s">
        <v>5854</v>
      </c>
      <c r="G1423" s="36">
        <v>8</v>
      </c>
    </row>
    <row r="1424" spans="1:7" hidden="1">
      <c r="B1424" s="38" t="s">
        <v>2692</v>
      </c>
      <c r="C1424" s="38"/>
      <c r="D1424" s="36">
        <v>2</v>
      </c>
      <c r="E1424" s="36">
        <v>4</v>
      </c>
      <c r="F1424" s="36" t="s">
        <v>5854</v>
      </c>
      <c r="G1424" s="36">
        <v>8</v>
      </c>
    </row>
    <row r="1425" spans="1:7" hidden="1">
      <c r="B1425" s="38" t="s">
        <v>5376</v>
      </c>
      <c r="C1425" s="38"/>
      <c r="D1425" s="36">
        <v>2</v>
      </c>
      <c r="E1425" s="36">
        <v>4</v>
      </c>
      <c r="F1425" s="36" t="s">
        <v>5854</v>
      </c>
      <c r="G1425" s="36">
        <v>8</v>
      </c>
    </row>
    <row r="1426" spans="1:7" hidden="1">
      <c r="B1426" s="38" t="s">
        <v>5377</v>
      </c>
      <c r="C1426" s="38"/>
      <c r="D1426" s="36">
        <v>2</v>
      </c>
      <c r="E1426" s="36">
        <v>4</v>
      </c>
      <c r="F1426" s="36" t="s">
        <v>5854</v>
      </c>
      <c r="G1426" s="36">
        <v>8</v>
      </c>
    </row>
    <row r="1427" spans="1:7" hidden="1">
      <c r="B1427" s="38" t="s">
        <v>680</v>
      </c>
      <c r="C1427" s="38"/>
      <c r="D1427" s="36">
        <v>2</v>
      </c>
      <c r="E1427" s="36">
        <v>4</v>
      </c>
      <c r="F1427" s="36" t="s">
        <v>5854</v>
      </c>
      <c r="G1427" s="36">
        <v>8</v>
      </c>
    </row>
    <row r="1428" spans="1:7" hidden="1">
      <c r="B1428" s="38" t="s">
        <v>681</v>
      </c>
      <c r="C1428" s="38"/>
      <c r="D1428" s="36">
        <v>1</v>
      </c>
      <c r="E1428" s="36">
        <v>2</v>
      </c>
      <c r="F1428" s="36" t="s">
        <v>5854</v>
      </c>
      <c r="G1428" s="36">
        <v>4</v>
      </c>
    </row>
    <row r="1429" spans="1:7" hidden="1">
      <c r="B1429" s="38" t="s">
        <v>682</v>
      </c>
      <c r="C1429" s="38"/>
      <c r="D1429" s="36">
        <v>1</v>
      </c>
      <c r="E1429" s="36">
        <v>2</v>
      </c>
      <c r="F1429" s="36" t="s">
        <v>5854</v>
      </c>
      <c r="G1429" s="36">
        <v>4</v>
      </c>
    </row>
    <row r="1430" spans="1:7" hidden="1">
      <c r="B1430" s="38" t="s">
        <v>683</v>
      </c>
      <c r="C1430" s="38"/>
      <c r="D1430" s="36">
        <v>2</v>
      </c>
      <c r="E1430" s="36">
        <v>2</v>
      </c>
      <c r="F1430" s="36" t="s">
        <v>5854</v>
      </c>
      <c r="G1430" s="36">
        <v>4</v>
      </c>
    </row>
    <row r="1431" spans="1:7" hidden="1">
      <c r="B1431" s="38" t="s">
        <v>2962</v>
      </c>
      <c r="C1431" s="38"/>
      <c r="D1431" s="36">
        <v>1</v>
      </c>
      <c r="E1431" s="36">
        <v>1</v>
      </c>
      <c r="F1431" s="36" t="s">
        <v>5854</v>
      </c>
      <c r="G1431" s="36">
        <v>2</v>
      </c>
    </row>
    <row r="1432" spans="1:7" hidden="1">
      <c r="B1432" s="38" t="s">
        <v>5309</v>
      </c>
      <c r="C1432" s="38"/>
      <c r="D1432" s="36">
        <v>2</v>
      </c>
      <c r="E1432" s="36">
        <v>4</v>
      </c>
      <c r="F1432" s="36" t="s">
        <v>5854</v>
      </c>
      <c r="G1432" s="36">
        <v>4</v>
      </c>
    </row>
    <row r="1433" spans="1:7" hidden="1">
      <c r="B1433" s="38" t="s">
        <v>2964</v>
      </c>
      <c r="C1433" s="38"/>
      <c r="D1433" s="36">
        <v>1</v>
      </c>
      <c r="E1433" s="36">
        <v>2</v>
      </c>
      <c r="F1433" s="36" t="s">
        <v>5854</v>
      </c>
      <c r="G1433" s="36">
        <v>2</v>
      </c>
    </row>
    <row r="1434" spans="1:7" hidden="1">
      <c r="B1434" s="38" t="s">
        <v>5310</v>
      </c>
      <c r="C1434" s="38"/>
      <c r="D1434" s="36">
        <v>1</v>
      </c>
      <c r="E1434" s="36">
        <v>2</v>
      </c>
      <c r="F1434" s="36" t="s">
        <v>5854</v>
      </c>
      <c r="G1434" s="36">
        <v>2</v>
      </c>
    </row>
    <row r="1435" spans="1:7" hidden="1">
      <c r="B1435" s="38" t="s">
        <v>2965</v>
      </c>
      <c r="C1435" s="38"/>
      <c r="D1435" s="36" t="s">
        <v>5854</v>
      </c>
      <c r="E1435" s="36">
        <v>1</v>
      </c>
      <c r="F1435" s="36" t="s">
        <v>5854</v>
      </c>
      <c r="G1435" s="36">
        <v>2</v>
      </c>
    </row>
    <row r="1436" spans="1:7" hidden="1">
      <c r="B1436" s="36" t="s">
        <v>2656</v>
      </c>
      <c r="C1436" s="36"/>
      <c r="D1436" s="36">
        <f>SUM(D1419:D1435)</f>
        <v>74</v>
      </c>
      <c r="E1436" s="36">
        <f>SUM(E1419:E1435)</f>
        <v>124</v>
      </c>
      <c r="F1436" s="36">
        <f>SUM(F1419:F1435)</f>
        <v>160</v>
      </c>
      <c r="G1436" s="36">
        <f>SUM(G1419:G1435)</f>
        <v>350</v>
      </c>
    </row>
    <row r="1437" spans="1:7" hidden="1">
      <c r="A1437" s="78">
        <v>6</v>
      </c>
      <c r="B1437" s="26" t="s">
        <v>673</v>
      </c>
    </row>
    <row r="1438" spans="1:7" hidden="1">
      <c r="B1438" s="26" t="s">
        <v>6017</v>
      </c>
    </row>
    <row r="1439" spans="1:7" hidden="1">
      <c r="B1439" s="26" t="s">
        <v>2385</v>
      </c>
    </row>
    <row r="1440" spans="1:7" hidden="1">
      <c r="B1440" s="26" t="s">
        <v>4751</v>
      </c>
    </row>
    <row r="1441" spans="1:7" hidden="1">
      <c r="A1441" s="78">
        <v>7</v>
      </c>
      <c r="B1441" s="26" t="s">
        <v>2366</v>
      </c>
    </row>
    <row r="1442" spans="1:7" hidden="1">
      <c r="A1442" s="26"/>
      <c r="B1442" s="26" t="s">
        <v>1689</v>
      </c>
      <c r="C1442" s="68">
        <f>'BASIC DATA'!D373</f>
        <v>7800</v>
      </c>
      <c r="D1442" s="26" t="s">
        <v>2290</v>
      </c>
      <c r="E1442" s="315" t="s">
        <v>1698</v>
      </c>
      <c r="F1442" s="68">
        <f>C1442</f>
        <v>7800</v>
      </c>
    </row>
    <row r="1443" spans="1:7" hidden="1">
      <c r="A1443" s="26"/>
      <c r="B1443" s="26" t="s">
        <v>3231</v>
      </c>
      <c r="E1443" s="322" t="s">
        <v>1697</v>
      </c>
      <c r="F1443" s="316">
        <v>1000</v>
      </c>
      <c r="G1443" s="26" t="s">
        <v>4665</v>
      </c>
    </row>
    <row r="1444" spans="1:7" hidden="1">
      <c r="A1444" s="26"/>
      <c r="B1444" s="26" t="s">
        <v>3232</v>
      </c>
      <c r="C1444" s="26" t="s">
        <v>7593</v>
      </c>
      <c r="E1444" s="315" t="s">
        <v>1698</v>
      </c>
      <c r="F1444" s="68">
        <f>F1442/F1443</f>
        <v>7.8</v>
      </c>
    </row>
    <row r="1445" spans="1:7" hidden="1">
      <c r="A1445" s="26"/>
      <c r="B1445" s="26" t="s">
        <v>2973</v>
      </c>
      <c r="C1445" s="68">
        <f>'BASIC DATA'!D371</f>
        <v>14500</v>
      </c>
      <c r="D1445" s="26" t="s">
        <v>2290</v>
      </c>
      <c r="E1445" s="315" t="s">
        <v>1698</v>
      </c>
      <c r="F1445" s="68">
        <f>C1445</f>
        <v>14500</v>
      </c>
    </row>
    <row r="1446" spans="1:7" hidden="1">
      <c r="A1446" s="26"/>
      <c r="B1446" s="26" t="s">
        <v>5868</v>
      </c>
      <c r="E1446" s="322" t="s">
        <v>1697</v>
      </c>
      <c r="F1446" s="316">
        <v>600</v>
      </c>
      <c r="G1446" s="26" t="s">
        <v>4665</v>
      </c>
    </row>
    <row r="1447" spans="1:7" hidden="1">
      <c r="A1447" s="26"/>
      <c r="B1447" s="26" t="s">
        <v>3234</v>
      </c>
      <c r="C1447" s="26" t="s">
        <v>7593</v>
      </c>
      <c r="E1447" s="315" t="s">
        <v>1698</v>
      </c>
      <c r="F1447" s="68">
        <f>F1445/F1446</f>
        <v>24.166666666666668</v>
      </c>
    </row>
    <row r="1448" spans="1:7">
      <c r="B1448" s="26"/>
      <c r="C1448" s="78"/>
    </row>
    <row r="1449" spans="1:7">
      <c r="B1449" s="26"/>
      <c r="C1449" s="78"/>
    </row>
    <row r="1450" spans="1:7">
      <c r="A1450" s="78" t="s">
        <v>3984</v>
      </c>
      <c r="C1450" s="203" t="s">
        <v>2367</v>
      </c>
      <c r="E1450" s="171" t="s">
        <v>297</v>
      </c>
      <c r="F1450" s="692">
        <v>30.856000000000002</v>
      </c>
      <c r="G1450" s="26" t="s">
        <v>3480</v>
      </c>
    </row>
    <row r="1451" spans="1:7">
      <c r="B1451" s="79" t="s">
        <v>2368</v>
      </c>
      <c r="F1451" s="718">
        <v>25</v>
      </c>
      <c r="G1451" s="26" t="s">
        <v>4769</v>
      </c>
    </row>
    <row r="1452" spans="1:7">
      <c r="B1452" s="95" t="s">
        <v>2369</v>
      </c>
      <c r="C1452" s="157" t="s">
        <v>6374</v>
      </c>
      <c r="D1452" s="95" t="s">
        <v>2370</v>
      </c>
      <c r="E1452" s="95" t="s">
        <v>1166</v>
      </c>
      <c r="F1452" s="95" t="s">
        <v>2371</v>
      </c>
      <c r="G1452" s="95" t="s">
        <v>2372</v>
      </c>
    </row>
    <row r="1453" spans="1:7">
      <c r="B1453" s="114"/>
      <c r="C1453" s="154"/>
      <c r="D1453" s="114"/>
      <c r="E1453" s="114"/>
      <c r="F1453" s="114" t="s">
        <v>3485</v>
      </c>
      <c r="G1453" s="114" t="s">
        <v>3485</v>
      </c>
    </row>
    <row r="1454" spans="1:7">
      <c r="B1454" s="95">
        <v>1</v>
      </c>
      <c r="C1454" s="135" t="s">
        <v>4770</v>
      </c>
      <c r="D1454" s="451"/>
      <c r="E1454" s="190"/>
      <c r="F1454" s="190"/>
      <c r="G1454" s="190"/>
    </row>
    <row r="1455" spans="1:7">
      <c r="B1455" s="317"/>
      <c r="C1455" s="135" t="s">
        <v>4915</v>
      </c>
      <c r="D1455" s="319" t="s">
        <v>3478</v>
      </c>
      <c r="E1455" s="190">
        <v>1743</v>
      </c>
      <c r="F1455" s="214">
        <f>'BASIC DATA'!D97/1000</f>
        <v>37.5</v>
      </c>
      <c r="G1455" s="190">
        <f>E1455*F1455</f>
        <v>65362.5</v>
      </c>
    </row>
    <row r="1456" spans="1:7">
      <c r="B1456" s="317"/>
      <c r="C1456" s="135" t="s">
        <v>4916</v>
      </c>
      <c r="D1456" s="319" t="s">
        <v>3478</v>
      </c>
      <c r="E1456" s="190">
        <v>19700</v>
      </c>
      <c r="F1456" s="214">
        <f>'BASIC DATA'!D98/1000</f>
        <v>37.4</v>
      </c>
      <c r="G1456" s="190">
        <f t="shared" ref="G1456:G1486" si="21">E1456*F1456</f>
        <v>736780</v>
      </c>
    </row>
    <row r="1457" spans="2:7">
      <c r="B1457" s="317"/>
      <c r="C1457" s="135" t="s">
        <v>373</v>
      </c>
      <c r="D1457" s="319" t="s">
        <v>3478</v>
      </c>
      <c r="E1457" s="190">
        <v>820</v>
      </c>
      <c r="F1457" s="214">
        <f>'BASIC DATA'!D33</f>
        <v>63</v>
      </c>
      <c r="G1457" s="190">
        <f t="shared" si="21"/>
        <v>51660</v>
      </c>
    </row>
    <row r="1458" spans="2:7">
      <c r="B1458" s="105">
        <v>2</v>
      </c>
      <c r="C1458" s="135" t="s">
        <v>4917</v>
      </c>
      <c r="D1458" s="319"/>
      <c r="E1458" s="190"/>
      <c r="F1458" s="214"/>
      <c r="G1458" s="190"/>
    </row>
    <row r="1459" spans="2:7">
      <c r="B1459" s="317"/>
      <c r="C1459" s="135" t="s">
        <v>1459</v>
      </c>
      <c r="D1459" s="319" t="s">
        <v>3478</v>
      </c>
      <c r="E1459" s="190">
        <v>1320</v>
      </c>
      <c r="F1459" s="214">
        <f>'BASIC DATA'!D165</f>
        <v>235</v>
      </c>
      <c r="G1459" s="190">
        <f t="shared" si="21"/>
        <v>310200</v>
      </c>
    </row>
    <row r="1460" spans="2:7">
      <c r="B1460" s="317"/>
      <c r="C1460" s="135" t="s">
        <v>1458</v>
      </c>
      <c r="D1460" s="319" t="s">
        <v>3478</v>
      </c>
      <c r="E1460" s="190">
        <v>1165</v>
      </c>
      <c r="F1460" s="214">
        <f>'BASIC DATA'!D166</f>
        <v>225</v>
      </c>
      <c r="G1460" s="190">
        <f t="shared" si="21"/>
        <v>262125</v>
      </c>
    </row>
    <row r="1461" spans="2:7">
      <c r="B1461" s="317"/>
      <c r="C1461" s="135" t="s">
        <v>2974</v>
      </c>
      <c r="D1461" s="319" t="s">
        <v>3478</v>
      </c>
      <c r="E1461" s="190">
        <v>2255</v>
      </c>
      <c r="F1461" s="214">
        <f>'BASIC DATA'!D167</f>
        <v>190</v>
      </c>
      <c r="G1461" s="190">
        <f t="shared" si="21"/>
        <v>428450</v>
      </c>
    </row>
    <row r="1462" spans="2:7">
      <c r="B1462" s="317"/>
      <c r="C1462" s="135" t="s">
        <v>4989</v>
      </c>
      <c r="D1462" s="319" t="s">
        <v>3478</v>
      </c>
      <c r="E1462" s="190">
        <v>817</v>
      </c>
      <c r="F1462" s="214">
        <f>'BASIC DATA'!D167</f>
        <v>190</v>
      </c>
      <c r="G1462" s="190">
        <f t="shared" si="21"/>
        <v>155230</v>
      </c>
    </row>
    <row r="1463" spans="2:7">
      <c r="B1463" s="105">
        <v>3</v>
      </c>
      <c r="C1463" s="135" t="s">
        <v>2975</v>
      </c>
      <c r="D1463" s="319"/>
      <c r="E1463" s="190"/>
      <c r="F1463" s="214"/>
      <c r="G1463" s="190"/>
    </row>
    <row r="1464" spans="2:7">
      <c r="B1464" s="317"/>
      <c r="C1464" s="135" t="s">
        <v>6159</v>
      </c>
      <c r="D1464" s="319" t="s">
        <v>3478</v>
      </c>
      <c r="E1464" s="190">
        <v>127</v>
      </c>
      <c r="F1464" s="214">
        <f>'BASIC DATA'!D170</f>
        <v>280</v>
      </c>
      <c r="G1464" s="190">
        <f t="shared" si="21"/>
        <v>35560</v>
      </c>
    </row>
    <row r="1465" spans="2:7">
      <c r="B1465" s="105">
        <v>4</v>
      </c>
      <c r="C1465" s="135" t="s">
        <v>4771</v>
      </c>
      <c r="D1465" s="319"/>
      <c r="E1465" s="190"/>
      <c r="F1465" s="214"/>
      <c r="G1465" s="190"/>
    </row>
    <row r="1466" spans="2:7">
      <c r="B1466" s="317"/>
      <c r="C1466" s="135" t="s">
        <v>4772</v>
      </c>
      <c r="D1466" s="319" t="s">
        <v>3478</v>
      </c>
      <c r="E1466" s="190">
        <v>556</v>
      </c>
      <c r="F1466" s="214">
        <f>'BASIC DATA'!D159</f>
        <v>235</v>
      </c>
      <c r="G1466" s="190">
        <f t="shared" si="21"/>
        <v>130660</v>
      </c>
    </row>
    <row r="1467" spans="2:7">
      <c r="B1467" s="317"/>
      <c r="C1467" s="135" t="s">
        <v>4773</v>
      </c>
      <c r="D1467" s="319" t="s">
        <v>3478</v>
      </c>
      <c r="E1467" s="190">
        <v>524</v>
      </c>
      <c r="F1467" s="214">
        <f>'BASIC DATA'!D160</f>
        <v>450</v>
      </c>
      <c r="G1467" s="190">
        <f t="shared" si="21"/>
        <v>235800</v>
      </c>
    </row>
    <row r="1468" spans="2:7">
      <c r="B1468" s="105">
        <v>5</v>
      </c>
      <c r="C1468" s="135" t="s">
        <v>5973</v>
      </c>
      <c r="D1468" s="319"/>
      <c r="E1468" s="190"/>
      <c r="F1468" s="214"/>
      <c r="G1468" s="190"/>
    </row>
    <row r="1469" spans="2:7">
      <c r="B1469" s="426"/>
      <c r="C1469" s="135" t="s">
        <v>5974</v>
      </c>
      <c r="D1469" s="319" t="s">
        <v>3478</v>
      </c>
      <c r="E1469" s="190">
        <v>181</v>
      </c>
      <c r="F1469" s="214">
        <f>'BASIC DATA'!D163</f>
        <v>970</v>
      </c>
      <c r="G1469" s="190">
        <f t="shared" si="21"/>
        <v>175570</v>
      </c>
    </row>
    <row r="1470" spans="2:7">
      <c r="B1470" s="105">
        <v>6</v>
      </c>
      <c r="C1470" s="135" t="s">
        <v>2976</v>
      </c>
      <c r="D1470" s="319" t="s">
        <v>3478</v>
      </c>
      <c r="E1470" s="190">
        <v>406</v>
      </c>
      <c r="F1470" s="214">
        <f>'BASIC DATA'!D183</f>
        <v>200</v>
      </c>
      <c r="G1470" s="190">
        <f t="shared" si="21"/>
        <v>81200</v>
      </c>
    </row>
    <row r="1471" spans="2:7">
      <c r="B1471" s="105">
        <v>7</v>
      </c>
      <c r="C1471" s="135" t="s">
        <v>5976</v>
      </c>
      <c r="D1471" s="319" t="s">
        <v>3478</v>
      </c>
      <c r="E1471" s="190">
        <v>63</v>
      </c>
      <c r="F1471" s="214">
        <f>'BASIC DATA'!D84</f>
        <v>80</v>
      </c>
      <c r="G1471" s="190">
        <f t="shared" si="21"/>
        <v>5040</v>
      </c>
    </row>
    <row r="1472" spans="2:7">
      <c r="B1472" s="105">
        <v>8</v>
      </c>
      <c r="C1472" s="135" t="s">
        <v>4594</v>
      </c>
      <c r="D1472" s="319" t="s">
        <v>3483</v>
      </c>
      <c r="E1472" s="190">
        <v>50</v>
      </c>
      <c r="F1472" s="214">
        <f>'BASIC DATA'!D172</f>
        <v>185</v>
      </c>
      <c r="G1472" s="190">
        <f t="shared" si="21"/>
        <v>9250</v>
      </c>
    </row>
    <row r="1473" spans="2:7">
      <c r="B1473" s="105">
        <v>9</v>
      </c>
      <c r="C1473" s="135" t="s">
        <v>5977</v>
      </c>
      <c r="D1473" s="319" t="s">
        <v>4041</v>
      </c>
      <c r="E1473" s="190">
        <v>4</v>
      </c>
      <c r="F1473" s="214">
        <f>'BASIC DATA'!D382</f>
        <v>224400</v>
      </c>
      <c r="G1473" s="190">
        <f t="shared" si="21"/>
        <v>897600</v>
      </c>
    </row>
    <row r="1474" spans="2:7">
      <c r="B1474" s="105">
        <v>10</v>
      </c>
      <c r="C1474" s="135" t="s">
        <v>5751</v>
      </c>
      <c r="D1474" s="319" t="s">
        <v>4089</v>
      </c>
      <c r="E1474" s="190">
        <v>1</v>
      </c>
      <c r="F1474" s="214">
        <f>'BASIC DATA'!D384</f>
        <v>85800</v>
      </c>
      <c r="G1474" s="190">
        <f t="shared" si="21"/>
        <v>85800</v>
      </c>
    </row>
    <row r="1475" spans="2:7">
      <c r="B1475" s="426"/>
      <c r="C1475" s="135" t="s">
        <v>5752</v>
      </c>
      <c r="D1475" s="319" t="s">
        <v>4041</v>
      </c>
      <c r="E1475" s="190">
        <v>2</v>
      </c>
      <c r="F1475" s="214">
        <f>'BASIC DATA'!D386</f>
        <v>33000</v>
      </c>
      <c r="G1475" s="190">
        <f t="shared" si="21"/>
        <v>66000</v>
      </c>
    </row>
    <row r="1476" spans="2:7">
      <c r="B1476" s="426"/>
      <c r="C1476" s="135" t="s">
        <v>5753</v>
      </c>
      <c r="D1476" s="319" t="s">
        <v>4089</v>
      </c>
      <c r="E1476" s="190">
        <v>1</v>
      </c>
      <c r="F1476" s="214">
        <f>'BASIC DATA'!D387</f>
        <v>23100</v>
      </c>
      <c r="G1476" s="190">
        <f t="shared" si="21"/>
        <v>23100</v>
      </c>
    </row>
    <row r="1477" spans="2:7">
      <c r="B1477" s="105">
        <v>11</v>
      </c>
      <c r="C1477" s="135" t="s">
        <v>5754</v>
      </c>
      <c r="D1477" s="319" t="s">
        <v>4041</v>
      </c>
      <c r="E1477" s="190">
        <v>4</v>
      </c>
      <c r="F1477" s="214">
        <f>'BASIC DATA'!D392</f>
        <v>35200</v>
      </c>
      <c r="G1477" s="190">
        <f t="shared" si="21"/>
        <v>140800</v>
      </c>
    </row>
    <row r="1478" spans="2:7">
      <c r="B1478" s="105">
        <v>12</v>
      </c>
      <c r="C1478" s="135" t="s">
        <v>6400</v>
      </c>
      <c r="D1478" s="319" t="s">
        <v>2173</v>
      </c>
      <c r="E1478" s="190">
        <v>3</v>
      </c>
      <c r="F1478" s="214">
        <f>'BASIC DATA'!D393</f>
        <v>50380</v>
      </c>
      <c r="G1478" s="190">
        <f t="shared" si="21"/>
        <v>151140</v>
      </c>
    </row>
    <row r="1479" spans="2:7">
      <c r="B1479" s="105">
        <v>13</v>
      </c>
      <c r="C1479" s="135" t="s">
        <v>958</v>
      </c>
      <c r="D1479" s="319" t="s">
        <v>3477</v>
      </c>
      <c r="E1479" s="190">
        <v>579</v>
      </c>
      <c r="F1479" s="214">
        <f>'BASIC DATA'!D87</f>
        <v>42</v>
      </c>
      <c r="G1479" s="190">
        <f t="shared" si="21"/>
        <v>24318</v>
      </c>
    </row>
    <row r="1480" spans="2:7">
      <c r="B1480" s="105">
        <v>14</v>
      </c>
      <c r="C1480" s="135" t="s">
        <v>6815</v>
      </c>
      <c r="D1480" s="319" t="s">
        <v>3477</v>
      </c>
      <c r="E1480" s="190">
        <v>193</v>
      </c>
      <c r="F1480" s="214">
        <f>'BASIC DATA'!D28</f>
        <v>335</v>
      </c>
      <c r="G1480" s="190">
        <f t="shared" si="21"/>
        <v>64655</v>
      </c>
    </row>
    <row r="1481" spans="2:7">
      <c r="B1481" s="105">
        <v>15</v>
      </c>
      <c r="C1481" s="135" t="s">
        <v>6816</v>
      </c>
      <c r="D1481" s="319" t="s">
        <v>2059</v>
      </c>
      <c r="E1481" s="190">
        <v>1123</v>
      </c>
      <c r="F1481" s="214">
        <f>'BASIC DATA'!D109</f>
        <v>80</v>
      </c>
      <c r="G1481" s="190">
        <f t="shared" si="21"/>
        <v>89840</v>
      </c>
    </row>
    <row r="1482" spans="2:7">
      <c r="B1482" s="105">
        <v>16</v>
      </c>
      <c r="C1482" s="135" t="s">
        <v>4655</v>
      </c>
      <c r="D1482" s="319" t="s">
        <v>2059</v>
      </c>
      <c r="E1482" s="190">
        <v>10110</v>
      </c>
      <c r="F1482" s="214">
        <f>'BASIC DATA'!D181</f>
        <v>15</v>
      </c>
      <c r="G1482" s="190">
        <f t="shared" si="21"/>
        <v>151650</v>
      </c>
    </row>
    <row r="1483" spans="2:7">
      <c r="B1483" s="105">
        <v>17</v>
      </c>
      <c r="C1483" s="135" t="s">
        <v>5980</v>
      </c>
      <c r="D1483" s="319" t="s">
        <v>3478</v>
      </c>
      <c r="E1483" s="190">
        <v>50</v>
      </c>
      <c r="F1483" s="214">
        <f>'BASIC DATA'!D372</f>
        <v>275</v>
      </c>
      <c r="G1483" s="190">
        <f t="shared" si="21"/>
        <v>13750</v>
      </c>
    </row>
    <row r="1484" spans="2:7">
      <c r="B1484" s="105">
        <v>18</v>
      </c>
      <c r="C1484" s="135" t="s">
        <v>6556</v>
      </c>
      <c r="D1484" s="319" t="s">
        <v>2374</v>
      </c>
      <c r="E1484" s="190">
        <v>1197</v>
      </c>
      <c r="F1484" s="214">
        <f>F1444</f>
        <v>7.8</v>
      </c>
      <c r="G1484" s="190">
        <f t="shared" si="21"/>
        <v>9336.6</v>
      </c>
    </row>
    <row r="1485" spans="2:7">
      <c r="B1485" s="105">
        <v>19</v>
      </c>
      <c r="C1485" s="135" t="s">
        <v>6557</v>
      </c>
      <c r="D1485" s="319" t="s">
        <v>2374</v>
      </c>
      <c r="E1485" s="190">
        <v>150</v>
      </c>
      <c r="F1485" s="214">
        <f>F1447</f>
        <v>24.166666666666668</v>
      </c>
      <c r="G1485" s="190">
        <f t="shared" si="21"/>
        <v>3625</v>
      </c>
    </row>
    <row r="1486" spans="2:7">
      <c r="B1486" s="114">
        <v>20</v>
      </c>
      <c r="C1486" s="135" t="s">
        <v>2373</v>
      </c>
      <c r="D1486" s="319" t="s">
        <v>2173</v>
      </c>
      <c r="E1486" s="190">
        <v>200</v>
      </c>
      <c r="F1486" s="214">
        <f>'BASIC DATA'!D359</f>
        <v>30</v>
      </c>
      <c r="G1486" s="190">
        <f t="shared" si="21"/>
        <v>6000</v>
      </c>
    </row>
    <row r="1487" spans="2:7">
      <c r="B1487" s="92"/>
      <c r="C1487" s="193"/>
      <c r="D1487" s="151" t="s">
        <v>2376</v>
      </c>
      <c r="E1487" s="160"/>
      <c r="F1487" s="236" t="s">
        <v>1698</v>
      </c>
      <c r="G1487" s="318">
        <f>SUM(G1455:G1486)</f>
        <v>4410502.0999999996</v>
      </c>
    </row>
    <row r="1488" spans="2:7"/>
    <row r="1489" spans="2:7">
      <c r="B1489" s="79" t="s">
        <v>2377</v>
      </c>
    </row>
    <row r="1490" spans="2:7">
      <c r="B1490" s="95" t="s">
        <v>2369</v>
      </c>
      <c r="C1490" s="157" t="s">
        <v>2378</v>
      </c>
      <c r="D1490" s="95" t="s">
        <v>2370</v>
      </c>
      <c r="E1490" s="95" t="s">
        <v>1166</v>
      </c>
      <c r="F1490" s="95" t="s">
        <v>2371</v>
      </c>
      <c r="G1490" s="95" t="s">
        <v>2372</v>
      </c>
    </row>
    <row r="1491" spans="2:7">
      <c r="B1491" s="114"/>
      <c r="C1491" s="154"/>
      <c r="D1491" s="114"/>
      <c r="E1491" s="114"/>
      <c r="F1491" s="114" t="s">
        <v>3485</v>
      </c>
      <c r="G1491" s="114" t="s">
        <v>3485</v>
      </c>
    </row>
    <row r="1492" spans="2:7">
      <c r="B1492" s="95">
        <v>1</v>
      </c>
      <c r="C1492" s="135" t="s">
        <v>6558</v>
      </c>
      <c r="D1492" s="451" t="s">
        <v>2374</v>
      </c>
      <c r="E1492" s="190">
        <v>1197</v>
      </c>
      <c r="F1492" s="190">
        <f>'HIRE CHARGES'!D556</f>
        <v>16</v>
      </c>
      <c r="G1492" s="190">
        <f>E1492*F1492</f>
        <v>19152</v>
      </c>
    </row>
    <row r="1493" spans="2:7">
      <c r="B1493" s="317"/>
      <c r="C1493" s="135" t="s">
        <v>2379</v>
      </c>
      <c r="D1493" s="319" t="s">
        <v>2374</v>
      </c>
      <c r="E1493" s="190">
        <v>748</v>
      </c>
      <c r="F1493" s="190">
        <f>'HIRE CHARGES'!E556</f>
        <v>67.2</v>
      </c>
      <c r="G1493" s="190">
        <f t="shared" ref="G1493:G1504" si="22">E1493*F1493</f>
        <v>50265.599999999999</v>
      </c>
    </row>
    <row r="1494" spans="2:7">
      <c r="B1494" s="105">
        <v>2</v>
      </c>
      <c r="C1494" s="135" t="s">
        <v>389</v>
      </c>
      <c r="D1494" s="319" t="s">
        <v>2374</v>
      </c>
      <c r="E1494" s="190">
        <v>6</v>
      </c>
      <c r="F1494" s="190">
        <f>'HIRE CHARGES'!D547</f>
        <v>867.1</v>
      </c>
      <c r="G1494" s="190">
        <f t="shared" si="22"/>
        <v>5202.6000000000004</v>
      </c>
    </row>
    <row r="1495" spans="2:7">
      <c r="B1495" s="317"/>
      <c r="C1495" s="135" t="s">
        <v>2379</v>
      </c>
      <c r="D1495" s="319" t="s">
        <v>2374</v>
      </c>
      <c r="E1495" s="190">
        <v>6</v>
      </c>
      <c r="F1495" s="190">
        <f>'HIRE CHARGES'!E547</f>
        <v>145.69999999999999</v>
      </c>
      <c r="G1495" s="190">
        <f t="shared" si="22"/>
        <v>874.19999999999993</v>
      </c>
    </row>
    <row r="1496" spans="2:7">
      <c r="B1496" s="105">
        <v>3</v>
      </c>
      <c r="C1496" s="135" t="s">
        <v>6060</v>
      </c>
      <c r="D1496" s="319" t="s">
        <v>2374</v>
      </c>
      <c r="E1496" s="190">
        <v>235</v>
      </c>
      <c r="F1496" s="190">
        <f>'HIRE CHARGES'!D539</f>
        <v>6.4</v>
      </c>
      <c r="G1496" s="190">
        <f t="shared" si="22"/>
        <v>1504</v>
      </c>
    </row>
    <row r="1497" spans="2:7">
      <c r="B1497" s="317"/>
      <c r="C1497" s="135" t="s">
        <v>2379</v>
      </c>
      <c r="D1497" s="319" t="s">
        <v>2374</v>
      </c>
      <c r="E1497" s="190">
        <v>235</v>
      </c>
      <c r="F1497" s="190">
        <f>'HIRE CHARGES'!E539</f>
        <v>2.8</v>
      </c>
      <c r="G1497" s="190">
        <f t="shared" si="22"/>
        <v>658</v>
      </c>
    </row>
    <row r="1498" spans="2:7">
      <c r="B1498" s="105">
        <v>4</v>
      </c>
      <c r="C1498" s="135" t="s">
        <v>6561</v>
      </c>
      <c r="D1498" s="319" t="s">
        <v>2374</v>
      </c>
      <c r="E1498" s="190">
        <v>100</v>
      </c>
      <c r="F1498" s="190">
        <f>'HIRE CHARGES'!D550</f>
        <v>519.69999999999993</v>
      </c>
      <c r="G1498" s="190">
        <f t="shared" si="22"/>
        <v>51969.999999999993</v>
      </c>
    </row>
    <row r="1499" spans="2:7">
      <c r="B1499" s="317"/>
      <c r="C1499" s="135" t="s">
        <v>2379</v>
      </c>
      <c r="D1499" s="319" t="s">
        <v>2374</v>
      </c>
      <c r="E1499" s="190">
        <v>100</v>
      </c>
      <c r="F1499" s="190">
        <f>'HIRE CHARGES'!E550</f>
        <v>299.89999999999998</v>
      </c>
      <c r="G1499" s="190">
        <f t="shared" si="22"/>
        <v>29989.999999999996</v>
      </c>
    </row>
    <row r="1500" spans="2:7">
      <c r="B1500" s="105">
        <v>5</v>
      </c>
      <c r="C1500" s="135" t="s">
        <v>6562</v>
      </c>
      <c r="D1500" s="319" t="s">
        <v>2374</v>
      </c>
      <c r="E1500" s="190">
        <v>32</v>
      </c>
      <c r="F1500" s="190">
        <f>'HIRE CHARGES'!D551</f>
        <v>22.5</v>
      </c>
      <c r="G1500" s="190">
        <f t="shared" si="22"/>
        <v>720</v>
      </c>
    </row>
    <row r="1501" spans="2:7">
      <c r="B1501" s="317"/>
      <c r="C1501" s="135" t="s">
        <v>2379</v>
      </c>
      <c r="D1501" s="319" t="s">
        <v>2374</v>
      </c>
      <c r="E1501" s="190">
        <v>32</v>
      </c>
      <c r="F1501" s="190">
        <f>'HIRE CHARGES'!E551</f>
        <v>28</v>
      </c>
      <c r="G1501" s="190">
        <f t="shared" si="22"/>
        <v>896</v>
      </c>
    </row>
    <row r="1502" spans="2:7">
      <c r="B1502" s="105">
        <v>6</v>
      </c>
      <c r="C1502" s="135" t="s">
        <v>5539</v>
      </c>
      <c r="D1502" s="319" t="s">
        <v>2374</v>
      </c>
      <c r="E1502" s="190">
        <v>16</v>
      </c>
      <c r="F1502" s="190">
        <f>'HIRE CHARGES'!D551</f>
        <v>22.5</v>
      </c>
      <c r="G1502" s="190">
        <f t="shared" si="22"/>
        <v>360</v>
      </c>
    </row>
    <row r="1503" spans="2:7">
      <c r="B1503" s="317"/>
      <c r="C1503" s="135" t="s">
        <v>2379</v>
      </c>
      <c r="D1503" s="319" t="s">
        <v>2374</v>
      </c>
      <c r="E1503" s="190">
        <v>16</v>
      </c>
      <c r="F1503" s="190">
        <f>'HIRE CHARGES'!E551</f>
        <v>28</v>
      </c>
      <c r="G1503" s="190">
        <f t="shared" si="22"/>
        <v>448</v>
      </c>
    </row>
    <row r="1504" spans="2:7">
      <c r="B1504" s="105">
        <v>7</v>
      </c>
      <c r="C1504" s="135" t="s">
        <v>2373</v>
      </c>
      <c r="D1504" s="319" t="s">
        <v>2173</v>
      </c>
      <c r="E1504" s="190">
        <v>500</v>
      </c>
      <c r="F1504" s="214">
        <f>'BASIC DATA'!D359</f>
        <v>30</v>
      </c>
      <c r="G1504" s="190">
        <f t="shared" si="22"/>
        <v>15000</v>
      </c>
    </row>
    <row r="1505" spans="2:7">
      <c r="B1505" s="176"/>
      <c r="C1505" s="193" t="s">
        <v>2380</v>
      </c>
      <c r="D1505" s="193"/>
      <c r="E1505" s="208"/>
      <c r="F1505" s="236" t="s">
        <v>1698</v>
      </c>
      <c r="G1505" s="318">
        <f>SUM(G1492:G1504)</f>
        <v>177040.4</v>
      </c>
    </row>
    <row r="1506" spans="2:7"/>
    <row r="1507" spans="2:7">
      <c r="B1507" s="79" t="s">
        <v>2381</v>
      </c>
    </row>
    <row r="1508" spans="2:7">
      <c r="B1508" s="95" t="s">
        <v>2369</v>
      </c>
      <c r="C1508" s="157" t="s">
        <v>2378</v>
      </c>
      <c r="D1508" s="95" t="s">
        <v>2370</v>
      </c>
      <c r="E1508" s="95" t="s">
        <v>1166</v>
      </c>
      <c r="F1508" s="95" t="s">
        <v>2371</v>
      </c>
      <c r="G1508" s="95" t="s">
        <v>2372</v>
      </c>
    </row>
    <row r="1509" spans="2:7">
      <c r="B1509" s="114"/>
      <c r="C1509" s="154"/>
      <c r="D1509" s="114"/>
      <c r="E1509" s="114"/>
      <c r="F1509" s="114" t="s">
        <v>3485</v>
      </c>
      <c r="G1509" s="114" t="s">
        <v>3485</v>
      </c>
    </row>
    <row r="1510" spans="2:7">
      <c r="B1510" s="105">
        <v>1</v>
      </c>
      <c r="C1510" s="76" t="s">
        <v>5542</v>
      </c>
      <c r="D1510" s="319" t="s">
        <v>2374</v>
      </c>
      <c r="E1510" s="207">
        <v>100</v>
      </c>
      <c r="F1510" s="190">
        <f>'HIRE CHARGES'!F550</f>
        <v>177.5</v>
      </c>
      <c r="G1510" s="190">
        <f>E1510*F1510</f>
        <v>17750</v>
      </c>
    </row>
    <row r="1511" spans="2:7">
      <c r="B1511" s="105">
        <v>2</v>
      </c>
      <c r="C1511" s="76" t="s">
        <v>5541</v>
      </c>
      <c r="D1511" s="319" t="s">
        <v>2374</v>
      </c>
      <c r="E1511" s="207">
        <v>6</v>
      </c>
      <c r="F1511" s="190">
        <f>'HIRE CHARGES'!F547</f>
        <v>189.3</v>
      </c>
      <c r="G1511" s="190">
        <f t="shared" ref="G1511:G1520" si="23">E1511*F1511</f>
        <v>1135.8000000000002</v>
      </c>
    </row>
    <row r="1512" spans="2:7">
      <c r="B1512" s="105">
        <v>3</v>
      </c>
      <c r="C1512" s="76" t="s">
        <v>5545</v>
      </c>
      <c r="D1512" s="319" t="s">
        <v>2374</v>
      </c>
      <c r="E1512" s="207">
        <v>16</v>
      </c>
      <c r="F1512" s="190">
        <f>'HIRE CHARGES'!F551</f>
        <v>198.9</v>
      </c>
      <c r="G1512" s="190">
        <f t="shared" si="23"/>
        <v>3182.4</v>
      </c>
    </row>
    <row r="1513" spans="2:7">
      <c r="B1513" s="105">
        <v>4</v>
      </c>
      <c r="C1513" s="76" t="s">
        <v>5546</v>
      </c>
      <c r="D1513" s="319" t="s">
        <v>2374</v>
      </c>
      <c r="E1513" s="207">
        <v>32</v>
      </c>
      <c r="F1513" s="190">
        <f>'HIRE CHARGES'!F551</f>
        <v>198.9</v>
      </c>
      <c r="G1513" s="190">
        <f t="shared" si="23"/>
        <v>6364.8</v>
      </c>
    </row>
    <row r="1514" spans="2:7">
      <c r="B1514" s="105">
        <v>5</v>
      </c>
      <c r="C1514" s="76" t="s">
        <v>2468</v>
      </c>
      <c r="D1514" s="319" t="s">
        <v>1172</v>
      </c>
      <c r="E1514" s="207">
        <f>D1436</f>
        <v>74</v>
      </c>
      <c r="F1514" s="190">
        <f>'BASIC DATA'!C471</f>
        <v>510</v>
      </c>
      <c r="G1514" s="190">
        <f t="shared" si="23"/>
        <v>37740</v>
      </c>
    </row>
    <row r="1515" spans="2:7">
      <c r="B1515" s="105">
        <v>6</v>
      </c>
      <c r="C1515" s="76" t="s">
        <v>5547</v>
      </c>
      <c r="D1515" s="319" t="s">
        <v>1172</v>
      </c>
      <c r="E1515" s="207">
        <f>E1436</f>
        <v>124</v>
      </c>
      <c r="F1515" s="190">
        <f>'BASIC DATA'!C503</f>
        <v>550</v>
      </c>
      <c r="G1515" s="190">
        <f t="shared" si="23"/>
        <v>68200</v>
      </c>
    </row>
    <row r="1516" spans="2:7">
      <c r="B1516" s="105">
        <v>7</v>
      </c>
      <c r="C1516" s="76" t="s">
        <v>3010</v>
      </c>
      <c r="D1516" s="319" t="s">
        <v>1172</v>
      </c>
      <c r="E1516" s="207">
        <v>48</v>
      </c>
      <c r="F1516" s="190">
        <f>'BASIC DATA'!C504</f>
        <v>445</v>
      </c>
      <c r="G1516" s="190">
        <f t="shared" si="23"/>
        <v>21360</v>
      </c>
    </row>
    <row r="1517" spans="2:7">
      <c r="B1517" s="105">
        <v>8</v>
      </c>
      <c r="C1517" s="76" t="s">
        <v>3013</v>
      </c>
      <c r="D1517" s="319" t="s">
        <v>1172</v>
      </c>
      <c r="E1517" s="207">
        <v>112</v>
      </c>
      <c r="F1517" s="190">
        <f>'BASIC DATA'!C504</f>
        <v>445</v>
      </c>
      <c r="G1517" s="190">
        <f t="shared" si="23"/>
        <v>49840</v>
      </c>
    </row>
    <row r="1518" spans="2:7">
      <c r="B1518" s="105">
        <v>9</v>
      </c>
      <c r="C1518" s="76" t="s">
        <v>3012</v>
      </c>
      <c r="D1518" s="319" t="s">
        <v>1172</v>
      </c>
      <c r="E1518" s="207">
        <v>20</v>
      </c>
      <c r="F1518" s="190">
        <f>'BASIC DATA'!C500</f>
        <v>445</v>
      </c>
      <c r="G1518" s="190">
        <f t="shared" si="23"/>
        <v>8900</v>
      </c>
    </row>
    <row r="1519" spans="2:7">
      <c r="B1519" s="105">
        <v>10</v>
      </c>
      <c r="C1519" s="76" t="s">
        <v>3011</v>
      </c>
      <c r="D1519" s="319" t="s">
        <v>1172</v>
      </c>
      <c r="E1519" s="207">
        <f>G1436</f>
        <v>350</v>
      </c>
      <c r="F1519" s="190">
        <f>'BASIC DATA'!C529</f>
        <v>400</v>
      </c>
      <c r="G1519" s="190">
        <f t="shared" si="23"/>
        <v>140000</v>
      </c>
    </row>
    <row r="1520" spans="2:7">
      <c r="B1520" s="105">
        <v>11</v>
      </c>
      <c r="C1520" s="76" t="s">
        <v>5604</v>
      </c>
      <c r="D1520" s="319" t="s">
        <v>1172</v>
      </c>
      <c r="E1520" s="207">
        <v>10</v>
      </c>
      <c r="F1520" s="190">
        <f>'BASIC DATA'!C468</f>
        <v>515</v>
      </c>
      <c r="G1520" s="190">
        <f t="shared" si="23"/>
        <v>5150</v>
      </c>
    </row>
    <row r="1521" spans="2:9">
      <c r="B1521" s="92"/>
      <c r="C1521" s="193"/>
      <c r="D1521" s="151" t="s">
        <v>1174</v>
      </c>
      <c r="E1521" s="160"/>
      <c r="F1521" s="236" t="s">
        <v>1698</v>
      </c>
      <c r="G1521" s="318">
        <f>SUM(G1510:G1520)</f>
        <v>359623</v>
      </c>
    </row>
    <row r="1522" spans="2:9">
      <c r="B1522" s="60" t="s">
        <v>5948</v>
      </c>
      <c r="C1522" s="31"/>
      <c r="D1522" s="31"/>
      <c r="E1522" s="85">
        <f>ROUND(G1521/F1451,1)</f>
        <v>14384.9</v>
      </c>
    </row>
    <row r="1523" spans="2:9">
      <c r="B1523" s="60" t="s">
        <v>3163</v>
      </c>
      <c r="C1523" s="31"/>
      <c r="D1523" s="31">
        <f>'BASIC DATA'!$C$577</f>
        <v>0.13614999999999999</v>
      </c>
      <c r="E1523" s="85">
        <f>ROUND(E1522*D1523,1)</f>
        <v>1958.5</v>
      </c>
    </row>
    <row r="1524" spans="2:9">
      <c r="B1524" s="60" t="s">
        <v>5949</v>
      </c>
      <c r="C1524" s="31"/>
      <c r="D1524" s="31"/>
      <c r="E1524" s="199">
        <f>E1523+E1522</f>
        <v>16343.4</v>
      </c>
    </row>
    <row r="1525" spans="2:9"/>
    <row r="1526" spans="2:9">
      <c r="B1526" s="170" t="s">
        <v>1175</v>
      </c>
    </row>
    <row r="1527" spans="2:9">
      <c r="B1527" s="26" t="s">
        <v>1176</v>
      </c>
      <c r="F1527" s="171" t="s">
        <v>1698</v>
      </c>
      <c r="G1527" s="68">
        <f>G1487</f>
        <v>4410502.0999999996</v>
      </c>
    </row>
    <row r="1528" spans="2:9">
      <c r="B1528" s="26" t="s">
        <v>1186</v>
      </c>
      <c r="F1528" s="171" t="s">
        <v>1698</v>
      </c>
      <c r="G1528" s="68">
        <f>G1505</f>
        <v>177040.4</v>
      </c>
    </row>
    <row r="1529" spans="2:9">
      <c r="B1529" s="26" t="s">
        <v>2660</v>
      </c>
      <c r="F1529" s="171" t="s">
        <v>1698</v>
      </c>
      <c r="G1529" s="75">
        <f>G1521</f>
        <v>359623</v>
      </c>
    </row>
    <row r="1530" spans="2:9">
      <c r="B1530" s="26"/>
      <c r="E1530" s="171" t="s">
        <v>5551</v>
      </c>
      <c r="F1530" s="171" t="s">
        <v>1698</v>
      </c>
      <c r="G1530" s="205">
        <f>SUM(G1527:G1529)</f>
        <v>4947165.5</v>
      </c>
    </row>
    <row r="1531" spans="2:9">
      <c r="B1531" s="26" t="s">
        <v>5087</v>
      </c>
      <c r="E1531" s="693">
        <f>'BASIC DATA'!C593</f>
        <v>0</v>
      </c>
      <c r="F1531" s="171" t="s">
        <v>1698</v>
      </c>
      <c r="G1531" s="68">
        <f>(G1529+G1528)*E1531*0.75</f>
        <v>0</v>
      </c>
    </row>
    <row r="1532" spans="2:9">
      <c r="B1532" s="26" t="s">
        <v>5084</v>
      </c>
      <c r="E1532" s="171" t="s">
        <v>1518</v>
      </c>
      <c r="F1532" s="171" t="s">
        <v>1698</v>
      </c>
      <c r="G1532" s="205">
        <f>G1531+G1530</f>
        <v>4947165.5</v>
      </c>
    </row>
    <row r="1533" spans="2:9">
      <c r="B1533" s="26" t="s">
        <v>5086</v>
      </c>
      <c r="E1533" s="201">
        <f>'BASIC DATA'!C594</f>
        <v>0.03</v>
      </c>
      <c r="F1533" s="171" t="s">
        <v>1698</v>
      </c>
      <c r="G1533" s="75">
        <f>G1532*E1533</f>
        <v>148414.965</v>
      </c>
    </row>
    <row r="1534" spans="2:9">
      <c r="B1534" s="26"/>
      <c r="E1534" s="26" t="s">
        <v>2392</v>
      </c>
      <c r="F1534" s="171" t="s">
        <v>1698</v>
      </c>
      <c r="G1534" s="75">
        <f>G1533+G1532</f>
        <v>5095580.4649999999</v>
      </c>
    </row>
    <row r="1535" spans="2:9">
      <c r="B1535" s="1206" t="s">
        <v>4717</v>
      </c>
      <c r="C1535" s="1206"/>
      <c r="D1535" s="201">
        <f>'BASIC DATA'!$C$577</f>
        <v>0.13614999999999999</v>
      </c>
      <c r="F1535" s="171" t="s">
        <v>1698</v>
      </c>
      <c r="G1535" s="75">
        <f>G1534*D1535</f>
        <v>693763.28030975</v>
      </c>
      <c r="I1535" s="68"/>
    </row>
    <row r="1536" spans="2:9">
      <c r="B1536" s="26" t="s">
        <v>898</v>
      </c>
    </row>
    <row r="1537" spans="1:34">
      <c r="B1537" s="47" t="s">
        <v>897</v>
      </c>
      <c r="D1537" s="48"/>
      <c r="E1537" s="68">
        <f>leadcharges!F65</f>
        <v>19</v>
      </c>
      <c r="F1537" s="27" t="s">
        <v>1279</v>
      </c>
      <c r="G1537" s="76">
        <f>2*ROUND(E1537*F1450,3)</f>
        <v>1172.528</v>
      </c>
      <c r="AH1537" s="68"/>
    </row>
    <row r="1538" spans="1:34">
      <c r="B1538" s="47" t="s">
        <v>896</v>
      </c>
      <c r="D1538" s="48"/>
      <c r="E1538" s="68">
        <f>leadcharges!$G$79</f>
        <v>74.8</v>
      </c>
      <c r="F1538" s="27" t="s">
        <v>1279</v>
      </c>
      <c r="G1538" s="76">
        <f>2*ROUND(E1538*F1450,3)</f>
        <v>4616.058</v>
      </c>
    </row>
    <row r="1539" spans="1:34">
      <c r="B1539" s="26" t="s">
        <v>5078</v>
      </c>
      <c r="D1539" s="278">
        <f>F1450</f>
        <v>30.856000000000002</v>
      </c>
      <c r="E1539" s="26" t="s">
        <v>3480</v>
      </c>
      <c r="F1539" s="171" t="s">
        <v>1698</v>
      </c>
      <c r="G1539" s="205">
        <f>G1535+G1534+G1537+G1538</f>
        <v>5795132.3313097497</v>
      </c>
    </row>
    <row r="1540" spans="1:34">
      <c r="D1540" s="278">
        <f>F1451</f>
        <v>25</v>
      </c>
      <c r="E1540" s="26" t="s">
        <v>4769</v>
      </c>
      <c r="F1540" s="171" t="s">
        <v>1698</v>
      </c>
      <c r="G1540" s="68"/>
    </row>
    <row r="1541" spans="1:34" ht="18.75" thickBot="1">
      <c r="D1541" s="171" t="s">
        <v>3884</v>
      </c>
      <c r="E1541" s="26" t="s">
        <v>3480</v>
      </c>
      <c r="F1541" s="171" t="s">
        <v>1698</v>
      </c>
      <c r="G1541" s="68">
        <f>ROUND(G1539/D1539,1)</f>
        <v>187812.2</v>
      </c>
    </row>
    <row r="1542" spans="1:34" ht="18.75" thickBot="1">
      <c r="D1542" s="719" t="s">
        <v>1584</v>
      </c>
      <c r="E1542" s="695" t="s">
        <v>2992</v>
      </c>
      <c r="F1542" s="696" t="s">
        <v>1698</v>
      </c>
      <c r="G1542" s="715">
        <f>ROUND(G1539/D1540,1)</f>
        <v>231805.3</v>
      </c>
    </row>
    <row r="1543" spans="1:34">
      <c r="B1543" s="26"/>
      <c r="C1543" s="78"/>
    </row>
    <row r="1544" spans="1:34">
      <c r="B1544" s="26"/>
      <c r="E1544" s="78"/>
      <c r="G1544" s="171"/>
      <c r="H1544" s="27"/>
    </row>
    <row r="1545" spans="1:34">
      <c r="B1545" s="170" t="s">
        <v>4557</v>
      </c>
    </row>
    <row r="1546" spans="1:34" ht="18.75">
      <c r="A1546" s="26" t="s">
        <v>7170</v>
      </c>
      <c r="B1546" s="26" t="s">
        <v>9045</v>
      </c>
    </row>
    <row r="1547" spans="1:34" ht="18.75">
      <c r="B1547" s="26" t="s">
        <v>9046</v>
      </c>
    </row>
    <row r="1548" spans="1:34">
      <c r="B1548" s="26" t="s">
        <v>4839</v>
      </c>
    </row>
    <row r="1549" spans="1:34">
      <c r="B1549" s="26" t="s">
        <v>4558</v>
      </c>
    </row>
    <row r="1550" spans="1:34">
      <c r="B1550" s="26" t="s">
        <v>538</v>
      </c>
      <c r="E1550" s="322"/>
    </row>
    <row r="1551" spans="1:34">
      <c r="B1551" s="26" t="s">
        <v>3549</v>
      </c>
      <c r="E1551" s="322"/>
    </row>
    <row r="1552" spans="1:34" hidden="1">
      <c r="A1552" s="78" t="s">
        <v>3984</v>
      </c>
      <c r="B1552" s="26" t="s">
        <v>5982</v>
      </c>
      <c r="E1552" s="322"/>
    </row>
    <row r="1553" spans="1:7" hidden="1">
      <c r="B1553" s="26" t="s">
        <v>3622</v>
      </c>
    </row>
    <row r="1554" spans="1:7" hidden="1">
      <c r="B1554" s="26" t="s">
        <v>3623</v>
      </c>
    </row>
    <row r="1555" spans="1:7" hidden="1">
      <c r="B1555" s="26" t="s">
        <v>4580</v>
      </c>
    </row>
    <row r="1556" spans="1:7" hidden="1">
      <c r="B1556" s="26" t="s">
        <v>4581</v>
      </c>
      <c r="E1556" s="322" t="s">
        <v>1697</v>
      </c>
      <c r="F1556" s="26">
        <v>20.722000000000001</v>
      </c>
      <c r="G1556" s="26" t="s">
        <v>2710</v>
      </c>
    </row>
    <row r="1557" spans="1:7" hidden="1">
      <c r="A1557" s="78">
        <v>1</v>
      </c>
      <c r="B1557" s="26" t="s">
        <v>8014</v>
      </c>
    </row>
    <row r="1558" spans="1:7" hidden="1">
      <c r="A1558" s="171" t="s">
        <v>1535</v>
      </c>
      <c r="B1558" s="26" t="s">
        <v>241</v>
      </c>
    </row>
    <row r="1559" spans="1:7" hidden="1">
      <c r="A1559" s="171"/>
      <c r="B1559" s="26" t="s">
        <v>242</v>
      </c>
      <c r="E1559" s="322" t="s">
        <v>1697</v>
      </c>
      <c r="F1559" s="26">
        <v>1570</v>
      </c>
      <c r="G1559" s="26" t="s">
        <v>3478</v>
      </c>
    </row>
    <row r="1560" spans="1:7" hidden="1">
      <c r="A1560" s="171"/>
      <c r="B1560" s="26" t="s">
        <v>243</v>
      </c>
      <c r="E1560" s="322" t="s">
        <v>1697</v>
      </c>
      <c r="F1560" s="26">
        <v>975</v>
      </c>
      <c r="G1560" s="26" t="s">
        <v>3478</v>
      </c>
    </row>
    <row r="1561" spans="1:7" hidden="1">
      <c r="A1561" s="171" t="s">
        <v>5400</v>
      </c>
      <c r="B1561" s="26" t="s">
        <v>1193</v>
      </c>
      <c r="E1561" s="322"/>
    </row>
    <row r="1562" spans="1:7" hidden="1">
      <c r="A1562" s="171"/>
      <c r="B1562" s="26" t="s">
        <v>6990</v>
      </c>
      <c r="E1562" s="322" t="s">
        <v>1697</v>
      </c>
      <c r="F1562" s="26">
        <v>246</v>
      </c>
      <c r="G1562" s="26" t="s">
        <v>3478</v>
      </c>
    </row>
    <row r="1563" spans="1:7" hidden="1">
      <c r="A1563" s="171" t="s">
        <v>5401</v>
      </c>
      <c r="B1563" s="26" t="s">
        <v>2977</v>
      </c>
      <c r="E1563" s="322" t="s">
        <v>1697</v>
      </c>
      <c r="F1563" s="26">
        <v>18450</v>
      </c>
      <c r="G1563" s="26" t="s">
        <v>3478</v>
      </c>
    </row>
    <row r="1564" spans="1:7" hidden="1">
      <c r="A1564" s="171" t="s">
        <v>1696</v>
      </c>
      <c r="B1564" s="26" t="s">
        <v>1195</v>
      </c>
      <c r="E1564" s="322"/>
    </row>
    <row r="1565" spans="1:7" hidden="1">
      <c r="B1565" s="26" t="s">
        <v>517</v>
      </c>
      <c r="E1565" s="322" t="s">
        <v>1697</v>
      </c>
      <c r="F1565" s="26">
        <v>180</v>
      </c>
      <c r="G1565" s="26" t="s">
        <v>2059</v>
      </c>
    </row>
    <row r="1566" spans="1:7" hidden="1">
      <c r="B1566" s="26" t="s">
        <v>2330</v>
      </c>
      <c r="E1566" s="322" t="s">
        <v>1697</v>
      </c>
      <c r="F1566" s="26">
        <v>1625</v>
      </c>
      <c r="G1566" s="26" t="s">
        <v>2059</v>
      </c>
    </row>
    <row r="1567" spans="1:7" hidden="1">
      <c r="A1567" s="78">
        <v>2</v>
      </c>
      <c r="B1567" s="26" t="s">
        <v>2281</v>
      </c>
      <c r="E1567" s="322"/>
    </row>
    <row r="1568" spans="1:7" hidden="1">
      <c r="B1568" s="26" t="s">
        <v>2978</v>
      </c>
      <c r="E1568" s="322" t="s">
        <v>1697</v>
      </c>
      <c r="F1568" s="26">
        <v>222</v>
      </c>
      <c r="G1568" s="26" t="s">
        <v>3483</v>
      </c>
    </row>
    <row r="1569" spans="1:7" hidden="1">
      <c r="B1569" s="26" t="s">
        <v>165</v>
      </c>
      <c r="E1569" s="322"/>
    </row>
    <row r="1570" spans="1:7" hidden="1">
      <c r="B1570" s="26" t="s">
        <v>5758</v>
      </c>
      <c r="E1570" s="322" t="s">
        <v>1697</v>
      </c>
      <c r="F1570" s="26">
        <v>222</v>
      </c>
      <c r="G1570" s="26" t="s">
        <v>2602</v>
      </c>
    </row>
    <row r="1571" spans="1:7" hidden="1">
      <c r="B1571" s="26" t="s">
        <v>2278</v>
      </c>
      <c r="E1571" s="322" t="s">
        <v>1697</v>
      </c>
      <c r="F1571" s="26">
        <v>111</v>
      </c>
      <c r="G1571" s="26" t="s">
        <v>4665</v>
      </c>
    </row>
    <row r="1572" spans="1:7" hidden="1">
      <c r="B1572" s="26" t="s">
        <v>5629</v>
      </c>
      <c r="E1572" s="322" t="s">
        <v>1697</v>
      </c>
      <c r="F1572" s="26">
        <v>67</v>
      </c>
      <c r="G1572" s="26" t="s">
        <v>3477</v>
      </c>
    </row>
    <row r="1573" spans="1:7" hidden="1">
      <c r="B1573" s="26" t="s">
        <v>695</v>
      </c>
      <c r="E1573" s="322" t="s">
        <v>1697</v>
      </c>
      <c r="F1573" s="26">
        <v>201</v>
      </c>
      <c r="G1573" s="26" t="s">
        <v>3477</v>
      </c>
    </row>
    <row r="1574" spans="1:7" hidden="1">
      <c r="B1574" s="26" t="s">
        <v>696</v>
      </c>
      <c r="E1574" s="322" t="s">
        <v>1697</v>
      </c>
      <c r="F1574" s="26">
        <v>133</v>
      </c>
      <c r="G1574" s="26" t="s">
        <v>4665</v>
      </c>
    </row>
    <row r="1575" spans="1:7" hidden="1">
      <c r="A1575" s="78">
        <v>3</v>
      </c>
      <c r="B1575" s="26" t="s">
        <v>4651</v>
      </c>
      <c r="E1575" s="322"/>
    </row>
    <row r="1576" spans="1:7" hidden="1">
      <c r="B1576" s="26" t="s">
        <v>2504</v>
      </c>
      <c r="E1576" s="322" t="s">
        <v>1697</v>
      </c>
      <c r="F1576" s="26">
        <v>210</v>
      </c>
      <c r="G1576" s="26" t="s">
        <v>2602</v>
      </c>
    </row>
    <row r="1577" spans="1:7" hidden="1">
      <c r="B1577" s="26" t="s">
        <v>5723</v>
      </c>
      <c r="E1577" s="322"/>
    </row>
    <row r="1578" spans="1:7" hidden="1">
      <c r="B1578" s="26"/>
      <c r="C1578" s="26" t="s">
        <v>697</v>
      </c>
      <c r="E1578" s="322" t="s">
        <v>1697</v>
      </c>
      <c r="F1578" s="26">
        <v>48</v>
      </c>
      <c r="G1578" s="26" t="s">
        <v>4665</v>
      </c>
    </row>
    <row r="1579" spans="1:7" hidden="1">
      <c r="B1579" s="26" t="s">
        <v>1913</v>
      </c>
      <c r="E1579" s="322"/>
    </row>
    <row r="1580" spans="1:7" hidden="1">
      <c r="B1580" s="26"/>
      <c r="C1580" s="26" t="s">
        <v>698</v>
      </c>
      <c r="E1580" s="322" t="s">
        <v>1697</v>
      </c>
      <c r="F1580" s="174">
        <v>145</v>
      </c>
      <c r="G1580" s="26" t="s">
        <v>4665</v>
      </c>
    </row>
    <row r="1581" spans="1:7" hidden="1">
      <c r="B1581" s="26"/>
      <c r="D1581" s="171" t="s">
        <v>1518</v>
      </c>
      <c r="E1581" s="322" t="s">
        <v>1697</v>
      </c>
      <c r="F1581" s="26">
        <v>193</v>
      </c>
      <c r="G1581" s="26" t="s">
        <v>4665</v>
      </c>
    </row>
    <row r="1582" spans="1:7" hidden="1">
      <c r="B1582" s="26" t="s">
        <v>3445</v>
      </c>
      <c r="E1582" s="322"/>
    </row>
    <row r="1583" spans="1:7" hidden="1">
      <c r="B1583" s="26" t="s">
        <v>2657</v>
      </c>
      <c r="E1583" s="322"/>
    </row>
    <row r="1584" spans="1:7" hidden="1">
      <c r="B1584" s="26"/>
      <c r="C1584" s="26" t="s">
        <v>3446</v>
      </c>
      <c r="E1584" s="322" t="s">
        <v>1697</v>
      </c>
      <c r="F1584" s="26">
        <v>121</v>
      </c>
      <c r="G1584" s="26" t="s">
        <v>4665</v>
      </c>
    </row>
    <row r="1585" spans="1:7" hidden="1">
      <c r="A1585" s="78">
        <v>4</v>
      </c>
      <c r="B1585" s="26" t="s">
        <v>4249</v>
      </c>
    </row>
    <row r="1586" spans="1:7" hidden="1">
      <c r="B1586" s="26" t="s">
        <v>3029</v>
      </c>
    </row>
    <row r="1587" spans="1:7" hidden="1">
      <c r="B1587" s="26" t="s">
        <v>4635</v>
      </c>
    </row>
    <row r="1588" spans="1:7" hidden="1">
      <c r="B1588" s="26" t="s">
        <v>1280</v>
      </c>
    </row>
    <row r="1589" spans="1:7" hidden="1">
      <c r="A1589" s="78">
        <v>5</v>
      </c>
      <c r="B1589" s="31" t="s">
        <v>4900</v>
      </c>
      <c r="C1589" s="31"/>
      <c r="D1589" s="31"/>
      <c r="E1589" s="31"/>
      <c r="F1589" s="31"/>
    </row>
    <row r="1590" spans="1:7" hidden="1">
      <c r="B1590" s="1266" t="s">
        <v>4901</v>
      </c>
      <c r="C1590" s="1266"/>
      <c r="D1590" s="38" t="s">
        <v>2468</v>
      </c>
      <c r="E1590" s="38" t="s">
        <v>4902</v>
      </c>
      <c r="F1590" s="38" t="s">
        <v>4903</v>
      </c>
      <c r="G1590" s="38" t="s">
        <v>6199</v>
      </c>
    </row>
    <row r="1591" spans="1:7" hidden="1">
      <c r="B1591" s="1266"/>
      <c r="C1591" s="1266"/>
      <c r="D1591" s="38"/>
      <c r="E1591" s="38" t="s">
        <v>4904</v>
      </c>
      <c r="F1591" s="38" t="s">
        <v>4905</v>
      </c>
      <c r="G1591" s="38"/>
    </row>
    <row r="1592" spans="1:7" hidden="1">
      <c r="B1592" s="1266"/>
      <c r="C1592" s="1266"/>
      <c r="D1592" s="38"/>
      <c r="E1592" s="38" t="s">
        <v>6307</v>
      </c>
      <c r="F1592" s="36"/>
      <c r="G1592" s="38"/>
    </row>
    <row r="1593" spans="1:7" hidden="1">
      <c r="B1593" s="38" t="s">
        <v>1281</v>
      </c>
      <c r="C1593" s="38"/>
      <c r="D1593" s="36" t="s">
        <v>5854</v>
      </c>
      <c r="E1593" s="36">
        <v>17</v>
      </c>
      <c r="F1593" s="36">
        <v>17</v>
      </c>
      <c r="G1593" s="36">
        <v>17</v>
      </c>
    </row>
    <row r="1594" spans="1:7" hidden="1">
      <c r="B1594" s="38" t="s">
        <v>6309</v>
      </c>
      <c r="C1594" s="38"/>
      <c r="D1594" s="36" t="s">
        <v>5854</v>
      </c>
      <c r="E1594" s="36">
        <v>6</v>
      </c>
      <c r="F1594" s="36" t="s">
        <v>5854</v>
      </c>
      <c r="G1594" s="36">
        <v>6</v>
      </c>
    </row>
    <row r="1595" spans="1:7" hidden="1">
      <c r="B1595" s="38" t="s">
        <v>1282</v>
      </c>
      <c r="C1595" s="38"/>
      <c r="D1595" s="36">
        <v>3</v>
      </c>
      <c r="E1595" s="36">
        <v>6</v>
      </c>
      <c r="F1595" s="36" t="s">
        <v>5854</v>
      </c>
      <c r="G1595" s="36">
        <v>6</v>
      </c>
    </row>
    <row r="1596" spans="1:7" hidden="1">
      <c r="B1596" s="38" t="s">
        <v>1283</v>
      </c>
      <c r="C1596" s="38"/>
      <c r="D1596" s="36">
        <v>2</v>
      </c>
      <c r="E1596" s="36">
        <v>2</v>
      </c>
      <c r="F1596" s="36" t="s">
        <v>5854</v>
      </c>
      <c r="G1596" s="36">
        <v>4</v>
      </c>
    </row>
    <row r="1597" spans="1:7" hidden="1">
      <c r="B1597" s="38" t="s">
        <v>1284</v>
      </c>
      <c r="C1597" s="38"/>
      <c r="D1597" s="36">
        <v>2</v>
      </c>
      <c r="E1597" s="36" t="s">
        <v>5854</v>
      </c>
      <c r="F1597" s="36">
        <v>18</v>
      </c>
      <c r="G1597" s="36">
        <v>18</v>
      </c>
    </row>
    <row r="1598" spans="1:7" hidden="1">
      <c r="B1598" s="38" t="s">
        <v>1285</v>
      </c>
      <c r="C1598" s="38"/>
      <c r="D1598" s="36">
        <v>1</v>
      </c>
      <c r="E1598" s="36">
        <v>1</v>
      </c>
      <c r="F1598" s="36" t="s">
        <v>5854</v>
      </c>
      <c r="G1598" s="36">
        <v>1</v>
      </c>
    </row>
    <row r="1599" spans="1:7" hidden="1">
      <c r="B1599" s="36" t="s">
        <v>2656</v>
      </c>
      <c r="C1599" s="36"/>
      <c r="D1599" s="36">
        <f>SUM(D1593:D1598)</f>
        <v>8</v>
      </c>
      <c r="E1599" s="36">
        <f>SUM(E1593:E1598)</f>
        <v>32</v>
      </c>
      <c r="F1599" s="36">
        <f>SUM(F1593:F1598)</f>
        <v>35</v>
      </c>
      <c r="G1599" s="36">
        <f>SUM(G1593:G1598)</f>
        <v>52</v>
      </c>
    </row>
    <row r="1600" spans="1:7" hidden="1">
      <c r="A1600" s="78">
        <v>6</v>
      </c>
      <c r="B1600" s="26" t="s">
        <v>673</v>
      </c>
    </row>
    <row r="1601" spans="1:7" hidden="1">
      <c r="B1601" s="26" t="s">
        <v>6017</v>
      </c>
    </row>
    <row r="1602" spans="1:7" hidden="1">
      <c r="B1602" s="26" t="s">
        <v>2385</v>
      </c>
    </row>
    <row r="1603" spans="1:7" hidden="1">
      <c r="B1603" s="26" t="s">
        <v>4751</v>
      </c>
    </row>
    <row r="1604" spans="1:7" hidden="1">
      <c r="A1604" s="78">
        <v>7</v>
      </c>
      <c r="B1604" s="26" t="s">
        <v>2366</v>
      </c>
    </row>
    <row r="1605" spans="1:7" hidden="1">
      <c r="B1605" s="26" t="s">
        <v>5079</v>
      </c>
      <c r="C1605" s="68">
        <f>'BASIC DATA'!D373</f>
        <v>7800</v>
      </c>
      <c r="D1605" s="26" t="s">
        <v>2290</v>
      </c>
      <c r="E1605" s="315" t="s">
        <v>1698</v>
      </c>
      <c r="F1605" s="68">
        <f>C1605</f>
        <v>7800</v>
      </c>
    </row>
    <row r="1606" spans="1:7" hidden="1">
      <c r="B1606" s="26" t="s">
        <v>3231</v>
      </c>
      <c r="E1606" s="322" t="s">
        <v>1697</v>
      </c>
      <c r="F1606" s="316">
        <v>1000</v>
      </c>
      <c r="G1606" s="26" t="s">
        <v>4665</v>
      </c>
    </row>
    <row r="1607" spans="1:7" hidden="1">
      <c r="B1607" s="26" t="s">
        <v>3232</v>
      </c>
      <c r="C1607" s="26" t="s">
        <v>7593</v>
      </c>
      <c r="E1607" s="315" t="s">
        <v>1698</v>
      </c>
      <c r="F1607" s="68">
        <f>F1605/F1606</f>
        <v>7.8</v>
      </c>
    </row>
    <row r="1608" spans="1:7" hidden="1">
      <c r="B1608" s="26" t="s">
        <v>2056</v>
      </c>
      <c r="C1608" s="68">
        <f>'BASIC DATA'!D371</f>
        <v>14500</v>
      </c>
      <c r="D1608" s="26" t="s">
        <v>2290</v>
      </c>
      <c r="E1608" s="315" t="s">
        <v>1698</v>
      </c>
      <c r="F1608" s="68">
        <f>C1608</f>
        <v>14500</v>
      </c>
    </row>
    <row r="1609" spans="1:7" hidden="1">
      <c r="B1609" s="26" t="s">
        <v>5868</v>
      </c>
      <c r="E1609" s="322" t="s">
        <v>1697</v>
      </c>
      <c r="F1609" s="316">
        <v>600</v>
      </c>
      <c r="G1609" s="26" t="s">
        <v>4665</v>
      </c>
    </row>
    <row r="1610" spans="1:7" hidden="1">
      <c r="B1610" s="26" t="s">
        <v>3234</v>
      </c>
      <c r="C1610" s="26" t="s">
        <v>7593</v>
      </c>
      <c r="E1610" s="315" t="s">
        <v>1698</v>
      </c>
      <c r="F1610" s="68">
        <f>F1608/F1609</f>
        <v>24.166666666666668</v>
      </c>
    </row>
    <row r="1611" spans="1:7"/>
    <row r="1612" spans="1:7">
      <c r="A1612" s="78" t="s">
        <v>3984</v>
      </c>
      <c r="C1612" s="203" t="s">
        <v>2367</v>
      </c>
      <c r="E1612" s="171" t="s">
        <v>297</v>
      </c>
      <c r="F1612" s="692">
        <v>200</v>
      </c>
      <c r="G1612" s="26" t="s">
        <v>3483</v>
      </c>
    </row>
    <row r="1613" spans="1:7">
      <c r="B1613" s="79" t="s">
        <v>2368</v>
      </c>
      <c r="F1613" s="316"/>
    </row>
    <row r="1614" spans="1:7">
      <c r="B1614" s="95" t="s">
        <v>2369</v>
      </c>
      <c r="C1614" s="157" t="s">
        <v>6374</v>
      </c>
      <c r="D1614" s="95" t="s">
        <v>2370</v>
      </c>
      <c r="E1614" s="95" t="s">
        <v>1166</v>
      </c>
      <c r="F1614" s="95" t="s">
        <v>2371</v>
      </c>
      <c r="G1614" s="95" t="s">
        <v>2372</v>
      </c>
    </row>
    <row r="1615" spans="1:7">
      <c r="B1615" s="114"/>
      <c r="C1615" s="154"/>
      <c r="D1615" s="114"/>
      <c r="E1615" s="114"/>
      <c r="F1615" s="114" t="s">
        <v>3485</v>
      </c>
      <c r="G1615" s="114" t="s">
        <v>3485</v>
      </c>
    </row>
    <row r="1616" spans="1:7">
      <c r="B1616" s="95">
        <v>1</v>
      </c>
      <c r="C1616" s="135" t="s">
        <v>6244</v>
      </c>
      <c r="D1616" s="451" t="s">
        <v>3478</v>
      </c>
      <c r="E1616" s="190">
        <v>1570</v>
      </c>
      <c r="F1616" s="214">
        <f>'BASIC DATA'!D97/1000</f>
        <v>37.5</v>
      </c>
      <c r="G1616" s="190">
        <f>E1616*F1616</f>
        <v>58875</v>
      </c>
    </row>
    <row r="1617" spans="2:7">
      <c r="B1617" s="105">
        <v>2</v>
      </c>
      <c r="C1617" s="135" t="s">
        <v>5431</v>
      </c>
      <c r="D1617" s="319" t="s">
        <v>3478</v>
      </c>
      <c r="E1617" s="190">
        <v>975</v>
      </c>
      <c r="F1617" s="214">
        <f>'BASIC DATA'!D98/1000</f>
        <v>37.4</v>
      </c>
      <c r="G1617" s="190">
        <f t="shared" ref="G1617:G1625" si="24">E1617*F1617</f>
        <v>36465</v>
      </c>
    </row>
    <row r="1618" spans="2:7">
      <c r="B1618" s="105">
        <v>3</v>
      </c>
      <c r="C1618" s="135" t="s">
        <v>4838</v>
      </c>
      <c r="D1618" s="319" t="s">
        <v>3478</v>
      </c>
      <c r="E1618" s="190">
        <v>18450</v>
      </c>
      <c r="F1618" s="214">
        <f>'BASIC DATA'!D311/1000</f>
        <v>51.5</v>
      </c>
      <c r="G1618" s="190">
        <f t="shared" si="24"/>
        <v>950175</v>
      </c>
    </row>
    <row r="1619" spans="2:7">
      <c r="B1619" s="105">
        <v>4</v>
      </c>
      <c r="C1619" s="135" t="s">
        <v>4654</v>
      </c>
      <c r="D1619" s="319" t="s">
        <v>3478</v>
      </c>
      <c r="E1619" s="190">
        <v>246</v>
      </c>
      <c r="F1619" s="214">
        <f>'BASIC DATA'!D84</f>
        <v>80</v>
      </c>
      <c r="G1619" s="190">
        <f t="shared" si="24"/>
        <v>19680</v>
      </c>
    </row>
    <row r="1620" spans="2:7">
      <c r="B1620" s="105">
        <v>5</v>
      </c>
      <c r="C1620" s="135" t="s">
        <v>958</v>
      </c>
      <c r="D1620" s="319" t="s">
        <v>3477</v>
      </c>
      <c r="E1620" s="190">
        <v>201</v>
      </c>
      <c r="F1620" s="214">
        <f>'BASIC DATA'!D87</f>
        <v>42</v>
      </c>
      <c r="G1620" s="190">
        <f t="shared" si="24"/>
        <v>8442</v>
      </c>
    </row>
    <row r="1621" spans="2:7">
      <c r="B1621" s="105">
        <v>6</v>
      </c>
      <c r="C1621" s="135" t="s">
        <v>6815</v>
      </c>
      <c r="D1621" s="319" t="s">
        <v>3477</v>
      </c>
      <c r="E1621" s="190">
        <v>67</v>
      </c>
      <c r="F1621" s="214">
        <f>'BASIC DATA'!D28</f>
        <v>335</v>
      </c>
      <c r="G1621" s="190">
        <f t="shared" si="24"/>
        <v>22445</v>
      </c>
    </row>
    <row r="1622" spans="2:7">
      <c r="B1622" s="105">
        <v>7</v>
      </c>
      <c r="C1622" s="135" t="s">
        <v>6816</v>
      </c>
      <c r="D1622" s="319" t="s">
        <v>2059</v>
      </c>
      <c r="E1622" s="190">
        <v>1805</v>
      </c>
      <c r="F1622" s="214">
        <f>'BASIC DATA'!D109</f>
        <v>80</v>
      </c>
      <c r="G1622" s="190">
        <f t="shared" si="24"/>
        <v>144400</v>
      </c>
    </row>
    <row r="1623" spans="2:7">
      <c r="B1623" s="105">
        <v>8</v>
      </c>
      <c r="C1623" s="135" t="s">
        <v>6556</v>
      </c>
      <c r="D1623" s="319" t="s">
        <v>2374</v>
      </c>
      <c r="E1623" s="190">
        <v>193</v>
      </c>
      <c r="F1623" s="214">
        <f>F1607</f>
        <v>7.8</v>
      </c>
      <c r="G1623" s="190">
        <f t="shared" si="24"/>
        <v>1505.3999999999999</v>
      </c>
    </row>
    <row r="1624" spans="2:7">
      <c r="B1624" s="105">
        <v>9</v>
      </c>
      <c r="C1624" s="135" t="s">
        <v>6557</v>
      </c>
      <c r="D1624" s="319" t="s">
        <v>2374</v>
      </c>
      <c r="E1624" s="190">
        <v>133</v>
      </c>
      <c r="F1624" s="214">
        <f>F1610</f>
        <v>24.166666666666668</v>
      </c>
      <c r="G1624" s="190">
        <f t="shared" si="24"/>
        <v>3214.166666666667</v>
      </c>
    </row>
    <row r="1625" spans="2:7">
      <c r="B1625" s="114">
        <v>10</v>
      </c>
      <c r="C1625" s="135" t="s">
        <v>2373</v>
      </c>
      <c r="D1625" s="319" t="s">
        <v>2173</v>
      </c>
      <c r="E1625" s="190">
        <v>10</v>
      </c>
      <c r="F1625" s="214">
        <f>'BASIC DATA'!D359</f>
        <v>30</v>
      </c>
      <c r="G1625" s="190">
        <f t="shared" si="24"/>
        <v>300</v>
      </c>
    </row>
    <row r="1626" spans="2:7">
      <c r="B1626" s="92"/>
      <c r="C1626" s="193"/>
      <c r="D1626" s="151" t="s">
        <v>2376</v>
      </c>
      <c r="E1626" s="160"/>
      <c r="F1626" s="236" t="s">
        <v>1698</v>
      </c>
      <c r="G1626" s="318">
        <f>SUM(G1616:G1625)</f>
        <v>1245501.5666666667</v>
      </c>
    </row>
    <row r="1627" spans="2:7"/>
    <row r="1628" spans="2:7">
      <c r="B1628" s="79" t="s">
        <v>2377</v>
      </c>
    </row>
    <row r="1629" spans="2:7">
      <c r="B1629" s="95" t="s">
        <v>2369</v>
      </c>
      <c r="C1629" s="157" t="s">
        <v>2378</v>
      </c>
      <c r="D1629" s="95" t="s">
        <v>2370</v>
      </c>
      <c r="E1629" s="95" t="s">
        <v>1166</v>
      </c>
      <c r="F1629" s="95" t="s">
        <v>2371</v>
      </c>
      <c r="G1629" s="95" t="s">
        <v>2372</v>
      </c>
    </row>
    <row r="1630" spans="2:7">
      <c r="B1630" s="114"/>
      <c r="C1630" s="154"/>
      <c r="D1630" s="114"/>
      <c r="E1630" s="114"/>
      <c r="F1630" s="114" t="s">
        <v>3485</v>
      </c>
      <c r="G1630" s="114" t="s">
        <v>3485</v>
      </c>
    </row>
    <row r="1631" spans="2:7">
      <c r="B1631" s="95">
        <v>1</v>
      </c>
      <c r="C1631" s="135" t="s">
        <v>6558</v>
      </c>
      <c r="D1631" s="451" t="s">
        <v>2374</v>
      </c>
      <c r="E1631" s="190">
        <v>193</v>
      </c>
      <c r="F1631" s="190">
        <f>'HIRE CHARGES'!D556</f>
        <v>16</v>
      </c>
      <c r="G1631" s="190">
        <f>E1631*F1631</f>
        <v>3088</v>
      </c>
    </row>
    <row r="1632" spans="2:7">
      <c r="B1632" s="317"/>
      <c r="C1632" s="135" t="s">
        <v>2379</v>
      </c>
      <c r="D1632" s="319" t="s">
        <v>2374</v>
      </c>
      <c r="E1632" s="190">
        <v>121</v>
      </c>
      <c r="F1632" s="190">
        <f>'HIRE CHARGES'!E556</f>
        <v>67.2</v>
      </c>
      <c r="G1632" s="190">
        <f t="shared" ref="G1632:G1639" si="25">E1632*F1632</f>
        <v>8131.2000000000007</v>
      </c>
    </row>
    <row r="1633" spans="2:7">
      <c r="B1633" s="105">
        <v>2</v>
      </c>
      <c r="C1633" s="135" t="s">
        <v>6561</v>
      </c>
      <c r="D1633" s="319" t="s">
        <v>2374</v>
      </c>
      <c r="E1633" s="190">
        <v>4</v>
      </c>
      <c r="F1633" s="190">
        <f>'HIRE CHARGES'!D550</f>
        <v>519.69999999999993</v>
      </c>
      <c r="G1633" s="190">
        <f t="shared" si="25"/>
        <v>2078.7999999999997</v>
      </c>
    </row>
    <row r="1634" spans="2:7">
      <c r="B1634" s="317"/>
      <c r="C1634" s="135" t="s">
        <v>2379</v>
      </c>
      <c r="D1634" s="319" t="s">
        <v>2374</v>
      </c>
      <c r="E1634" s="190">
        <v>4</v>
      </c>
      <c r="F1634" s="190">
        <f>'HIRE CHARGES'!E550</f>
        <v>299.89999999999998</v>
      </c>
      <c r="G1634" s="190">
        <f t="shared" si="25"/>
        <v>1199.5999999999999</v>
      </c>
    </row>
    <row r="1635" spans="2:7">
      <c r="B1635" s="105">
        <v>3</v>
      </c>
      <c r="C1635" s="135" t="s">
        <v>6562</v>
      </c>
      <c r="D1635" s="319" t="s">
        <v>2374</v>
      </c>
      <c r="E1635" s="190">
        <v>8</v>
      </c>
      <c r="F1635" s="190">
        <f>'HIRE CHARGES'!D551</f>
        <v>22.5</v>
      </c>
      <c r="G1635" s="190">
        <f t="shared" si="25"/>
        <v>180</v>
      </c>
    </row>
    <row r="1636" spans="2:7">
      <c r="B1636" s="317"/>
      <c r="C1636" s="135" t="s">
        <v>2379</v>
      </c>
      <c r="D1636" s="319" t="s">
        <v>2374</v>
      </c>
      <c r="E1636" s="190">
        <v>8</v>
      </c>
      <c r="F1636" s="190">
        <f>'HIRE CHARGES'!E551</f>
        <v>28</v>
      </c>
      <c r="G1636" s="190">
        <f t="shared" si="25"/>
        <v>224</v>
      </c>
    </row>
    <row r="1637" spans="2:7">
      <c r="B1637" s="105">
        <v>4</v>
      </c>
      <c r="C1637" s="135" t="s">
        <v>5539</v>
      </c>
      <c r="D1637" s="319" t="s">
        <v>2374</v>
      </c>
      <c r="E1637" s="190">
        <v>50</v>
      </c>
      <c r="F1637" s="190">
        <f>'HIRE CHARGES'!D551</f>
        <v>22.5</v>
      </c>
      <c r="G1637" s="190">
        <f t="shared" si="25"/>
        <v>1125</v>
      </c>
    </row>
    <row r="1638" spans="2:7">
      <c r="B1638" s="317"/>
      <c r="C1638" s="135" t="s">
        <v>2379</v>
      </c>
      <c r="D1638" s="319" t="s">
        <v>2374</v>
      </c>
      <c r="E1638" s="190">
        <v>50</v>
      </c>
      <c r="F1638" s="190">
        <f>'HIRE CHARGES'!E551</f>
        <v>28</v>
      </c>
      <c r="G1638" s="190">
        <f t="shared" si="25"/>
        <v>1400</v>
      </c>
    </row>
    <row r="1639" spans="2:7">
      <c r="B1639" s="114">
        <v>5</v>
      </c>
      <c r="C1639" s="135" t="s">
        <v>2373</v>
      </c>
      <c r="D1639" s="319" t="s">
        <v>2173</v>
      </c>
      <c r="E1639" s="190">
        <v>10</v>
      </c>
      <c r="F1639" s="214">
        <f>'BASIC DATA'!D359</f>
        <v>30</v>
      </c>
      <c r="G1639" s="190">
        <f t="shared" si="25"/>
        <v>300</v>
      </c>
    </row>
    <row r="1640" spans="2:7">
      <c r="B1640" s="176"/>
      <c r="C1640" s="193" t="s">
        <v>2380</v>
      </c>
      <c r="D1640" s="193"/>
      <c r="E1640" s="208"/>
      <c r="F1640" s="236" t="s">
        <v>1698</v>
      </c>
      <c r="G1640" s="318">
        <f>SUM(G1631:G1639)</f>
        <v>17726.599999999999</v>
      </c>
    </row>
    <row r="1641" spans="2:7"/>
    <row r="1642" spans="2:7">
      <c r="B1642" s="79" t="s">
        <v>2381</v>
      </c>
    </row>
    <row r="1643" spans="2:7">
      <c r="B1643" s="95" t="s">
        <v>2369</v>
      </c>
      <c r="C1643" s="157" t="s">
        <v>2378</v>
      </c>
      <c r="D1643" s="95" t="s">
        <v>2370</v>
      </c>
      <c r="E1643" s="95" t="s">
        <v>1166</v>
      </c>
      <c r="F1643" s="95" t="s">
        <v>2371</v>
      </c>
      <c r="G1643" s="95" t="s">
        <v>2372</v>
      </c>
    </row>
    <row r="1644" spans="2:7">
      <c r="B1644" s="114"/>
      <c r="C1644" s="154"/>
      <c r="D1644" s="114"/>
      <c r="E1644" s="114"/>
      <c r="F1644" s="114" t="s">
        <v>3485</v>
      </c>
      <c r="G1644" s="114" t="s">
        <v>3485</v>
      </c>
    </row>
    <row r="1645" spans="2:7">
      <c r="B1645" s="105">
        <v>1</v>
      </c>
      <c r="C1645" s="76" t="s">
        <v>5542</v>
      </c>
      <c r="D1645" s="319" t="s">
        <v>2374</v>
      </c>
      <c r="E1645" s="207">
        <v>4</v>
      </c>
      <c r="F1645" s="190">
        <f>'HIRE CHARGES'!F550</f>
        <v>177.5</v>
      </c>
      <c r="G1645" s="190">
        <f>E1645*F1645</f>
        <v>710</v>
      </c>
    </row>
    <row r="1646" spans="2:7">
      <c r="B1646" s="105">
        <v>2</v>
      </c>
      <c r="C1646" s="76" t="s">
        <v>5545</v>
      </c>
      <c r="D1646" s="319" t="s">
        <v>2374</v>
      </c>
      <c r="E1646" s="207">
        <v>50</v>
      </c>
      <c r="F1646" s="190">
        <f>'HIRE CHARGES'!F551</f>
        <v>198.9</v>
      </c>
      <c r="G1646" s="190">
        <f t="shared" ref="G1646:G1653" si="26">E1646*F1646</f>
        <v>9945</v>
      </c>
    </row>
    <row r="1647" spans="2:7">
      <c r="B1647" s="105">
        <v>3</v>
      </c>
      <c r="C1647" s="76" t="s">
        <v>5546</v>
      </c>
      <c r="D1647" s="319" t="s">
        <v>2374</v>
      </c>
      <c r="E1647" s="207">
        <v>8</v>
      </c>
      <c r="F1647" s="190">
        <f>'HIRE CHARGES'!F551</f>
        <v>198.9</v>
      </c>
      <c r="G1647" s="190">
        <f t="shared" si="26"/>
        <v>1591.2</v>
      </c>
    </row>
    <row r="1648" spans="2:7">
      <c r="B1648" s="105">
        <v>4</v>
      </c>
      <c r="C1648" s="76" t="s">
        <v>2468</v>
      </c>
      <c r="D1648" s="319" t="s">
        <v>1172</v>
      </c>
      <c r="E1648" s="207">
        <f>D1599</f>
        <v>8</v>
      </c>
      <c r="F1648" s="190">
        <f>'BASIC DATA'!C471</f>
        <v>510</v>
      </c>
      <c r="G1648" s="190">
        <f t="shared" si="26"/>
        <v>4080</v>
      </c>
    </row>
    <row r="1649" spans="2:7">
      <c r="B1649" s="105">
        <v>5</v>
      </c>
      <c r="C1649" s="76" t="s">
        <v>5547</v>
      </c>
      <c r="D1649" s="319" t="s">
        <v>1172</v>
      </c>
      <c r="E1649" s="207">
        <f>E1599</f>
        <v>32</v>
      </c>
      <c r="F1649" s="190">
        <f>'BASIC DATA'!C503</f>
        <v>550</v>
      </c>
      <c r="G1649" s="190">
        <f t="shared" si="26"/>
        <v>17600</v>
      </c>
    </row>
    <row r="1650" spans="2:7">
      <c r="B1650" s="105">
        <v>6</v>
      </c>
      <c r="C1650" s="76" t="s">
        <v>3010</v>
      </c>
      <c r="D1650" s="319" t="s">
        <v>1172</v>
      </c>
      <c r="E1650" s="207">
        <v>17</v>
      </c>
      <c r="F1650" s="190">
        <f>'BASIC DATA'!C504</f>
        <v>445</v>
      </c>
      <c r="G1650" s="190">
        <f t="shared" si="26"/>
        <v>7565</v>
      </c>
    </row>
    <row r="1651" spans="2:7">
      <c r="B1651" s="105">
        <v>7</v>
      </c>
      <c r="C1651" s="76" t="s">
        <v>3013</v>
      </c>
      <c r="D1651" s="319" t="s">
        <v>1172</v>
      </c>
      <c r="E1651" s="207">
        <v>18</v>
      </c>
      <c r="F1651" s="190">
        <f>'BASIC DATA'!C504</f>
        <v>445</v>
      </c>
      <c r="G1651" s="190">
        <f t="shared" si="26"/>
        <v>8010</v>
      </c>
    </row>
    <row r="1652" spans="2:7">
      <c r="B1652" s="105">
        <v>8</v>
      </c>
      <c r="C1652" s="76" t="s">
        <v>3011</v>
      </c>
      <c r="D1652" s="319" t="s">
        <v>1172</v>
      </c>
      <c r="E1652" s="207">
        <f>G1599</f>
        <v>52</v>
      </c>
      <c r="F1652" s="190">
        <f>'BASIC DATA'!C529</f>
        <v>400</v>
      </c>
      <c r="G1652" s="190">
        <f t="shared" si="26"/>
        <v>20800</v>
      </c>
    </row>
    <row r="1653" spans="2:7">
      <c r="B1653" s="105">
        <v>9</v>
      </c>
      <c r="C1653" s="76" t="s">
        <v>5604</v>
      </c>
      <c r="D1653" s="319" t="s">
        <v>1172</v>
      </c>
      <c r="E1653" s="207">
        <v>1</v>
      </c>
      <c r="F1653" s="190">
        <f>'BASIC DATA'!C468</f>
        <v>515</v>
      </c>
      <c r="G1653" s="190">
        <f t="shared" si="26"/>
        <v>515</v>
      </c>
    </row>
    <row r="1654" spans="2:7">
      <c r="B1654" s="92"/>
      <c r="C1654" s="193"/>
      <c r="D1654" s="151" t="s">
        <v>1174</v>
      </c>
      <c r="E1654" s="160"/>
      <c r="F1654" s="236" t="s">
        <v>1698</v>
      </c>
      <c r="G1654" s="318">
        <f>SUM(G1645:G1653)</f>
        <v>70816.2</v>
      </c>
    </row>
    <row r="1655" spans="2:7">
      <c r="B1655" s="60" t="s">
        <v>5948</v>
      </c>
      <c r="C1655" s="31"/>
      <c r="D1655" s="31"/>
      <c r="E1655" s="85">
        <f>ROUND(G1654/F1612,1)</f>
        <v>354.1</v>
      </c>
    </row>
    <row r="1656" spans="2:7">
      <c r="B1656" s="60" t="s">
        <v>3163</v>
      </c>
      <c r="C1656" s="31"/>
      <c r="D1656" s="31">
        <f>'BASIC DATA'!$C$577</f>
        <v>0.13614999999999999</v>
      </c>
      <c r="E1656" s="85">
        <f>ROUND(E1655*D1656,1)</f>
        <v>48.2</v>
      </c>
    </row>
    <row r="1657" spans="2:7">
      <c r="B1657" s="60" t="s">
        <v>5949</v>
      </c>
      <c r="C1657" s="31"/>
      <c r="D1657" s="31"/>
      <c r="E1657" s="199">
        <f>E1656+E1655</f>
        <v>402.3</v>
      </c>
    </row>
    <row r="1658" spans="2:7">
      <c r="B1658" s="26"/>
    </row>
    <row r="1659" spans="2:7">
      <c r="B1659" s="170" t="s">
        <v>1175</v>
      </c>
    </row>
    <row r="1660" spans="2:7">
      <c r="B1660" s="26" t="s">
        <v>1176</v>
      </c>
      <c r="F1660" s="171" t="s">
        <v>1698</v>
      </c>
      <c r="G1660" s="68">
        <f>G1626</f>
        <v>1245501.5666666667</v>
      </c>
    </row>
    <row r="1661" spans="2:7">
      <c r="B1661" s="26" t="s">
        <v>1186</v>
      </c>
      <c r="F1661" s="171" t="s">
        <v>1698</v>
      </c>
      <c r="G1661" s="68">
        <f>G1640</f>
        <v>17726.599999999999</v>
      </c>
    </row>
    <row r="1662" spans="2:7">
      <c r="B1662" s="26" t="s">
        <v>2660</v>
      </c>
      <c r="F1662" s="171" t="s">
        <v>1698</v>
      </c>
      <c r="G1662" s="75">
        <f>G1654</f>
        <v>70816.2</v>
      </c>
    </row>
    <row r="1663" spans="2:7">
      <c r="B1663" s="26"/>
      <c r="E1663" s="171" t="s">
        <v>5551</v>
      </c>
      <c r="F1663" s="171" t="s">
        <v>1698</v>
      </c>
      <c r="G1663" s="205">
        <f>SUM(G1660:G1662)</f>
        <v>1334044.3666666667</v>
      </c>
    </row>
    <row r="1664" spans="2:7">
      <c r="B1664" s="26" t="s">
        <v>5087</v>
      </c>
      <c r="E1664" s="693">
        <f>'BASIC DATA'!C593</f>
        <v>0</v>
      </c>
      <c r="F1664" s="171" t="s">
        <v>1698</v>
      </c>
      <c r="G1664" s="68">
        <f>(G1662+G1661)*E1664*0.75</f>
        <v>0</v>
      </c>
    </row>
    <row r="1665" spans="1:34">
      <c r="B1665" s="26" t="s">
        <v>5084</v>
      </c>
      <c r="E1665" s="171" t="s">
        <v>1518</v>
      </c>
      <c r="F1665" s="171" t="s">
        <v>1698</v>
      </c>
      <c r="G1665" s="205">
        <f>G1664+G1663</f>
        <v>1334044.3666666667</v>
      </c>
    </row>
    <row r="1666" spans="1:34">
      <c r="B1666" s="26" t="s">
        <v>5086</v>
      </c>
      <c r="E1666" s="201">
        <f>'BASIC DATA'!C594</f>
        <v>0.03</v>
      </c>
      <c r="F1666" s="171" t="s">
        <v>1698</v>
      </c>
      <c r="G1666" s="75">
        <f>G1665*E1666</f>
        <v>40021.330999999998</v>
      </c>
    </row>
    <row r="1667" spans="1:34">
      <c r="B1667" s="26"/>
      <c r="E1667" s="250" t="s">
        <v>1518</v>
      </c>
      <c r="F1667" s="171" t="s">
        <v>1698</v>
      </c>
      <c r="G1667" s="205">
        <f>G1666+G1665</f>
        <v>1374065.6976666667</v>
      </c>
    </row>
    <row r="1668" spans="1:34">
      <c r="B1668" s="1206" t="s">
        <v>4717</v>
      </c>
      <c r="C1668" s="1206"/>
      <c r="D1668" s="201">
        <f>'BASIC DATA'!$C$577</f>
        <v>0.13614999999999999</v>
      </c>
      <c r="F1668" s="171" t="s">
        <v>1698</v>
      </c>
      <c r="G1668" s="75">
        <f>G1667*D1668</f>
        <v>187079.04473731667</v>
      </c>
      <c r="I1668" s="68"/>
    </row>
    <row r="1669" spans="1:34">
      <c r="B1669" s="26" t="s">
        <v>898</v>
      </c>
    </row>
    <row r="1670" spans="1:34">
      <c r="B1670" s="47" t="s">
        <v>897</v>
      </c>
      <c r="D1670" s="48"/>
      <c r="E1670" s="68">
        <f>leadcharges!F65</f>
        <v>19</v>
      </c>
      <c r="F1670" s="27" t="s">
        <v>1279</v>
      </c>
      <c r="G1670" s="76">
        <f>2*ROUND(E1670*F1556,3)</f>
        <v>787.43600000000004</v>
      </c>
      <c r="AH1670" s="68"/>
    </row>
    <row r="1671" spans="1:34">
      <c r="B1671" s="47" t="s">
        <v>896</v>
      </c>
      <c r="D1671" s="48"/>
      <c r="E1671" s="68">
        <f>leadcharges!$G$79</f>
        <v>74.8</v>
      </c>
      <c r="F1671" s="27" t="s">
        <v>1279</v>
      </c>
      <c r="G1671" s="76">
        <f>2*ROUND(E1671*F1556,3)</f>
        <v>3100.0120000000002</v>
      </c>
    </row>
    <row r="1672" spans="1:34" ht="18.75" thickBot="1">
      <c r="B1672" s="26" t="s">
        <v>1191</v>
      </c>
      <c r="D1672" s="278">
        <f>F1612</f>
        <v>200</v>
      </c>
      <c r="E1672" s="26" t="s">
        <v>3483</v>
      </c>
      <c r="F1672" s="171" t="s">
        <v>1698</v>
      </c>
      <c r="G1672" s="68">
        <f>G1671+G1670+G1668+G1667</f>
        <v>1565032.1904039835</v>
      </c>
    </row>
    <row r="1673" spans="1:34" ht="18.75" thickBot="1">
      <c r="D1673" s="694" t="s">
        <v>3884</v>
      </c>
      <c r="E1673" s="695" t="s">
        <v>3483</v>
      </c>
      <c r="F1673" s="696" t="s">
        <v>1698</v>
      </c>
      <c r="G1673" s="720">
        <f>ROUND(G1672/D1672,1)</f>
        <v>7825.2</v>
      </c>
      <c r="H1673" s="31"/>
      <c r="I1673" s="31"/>
    </row>
    <row r="1674" spans="1:34">
      <c r="B1674" s="26"/>
      <c r="C1674" s="78"/>
      <c r="G1674" s="171"/>
    </row>
    <row r="1675" spans="1:34">
      <c r="B1675" s="26"/>
      <c r="E1675" s="78"/>
      <c r="G1675" s="171"/>
      <c r="H1675" s="27"/>
    </row>
    <row r="1676" spans="1:34">
      <c r="B1676" s="170" t="s">
        <v>7866</v>
      </c>
    </row>
    <row r="1677" spans="1:34">
      <c r="A1677" s="26" t="s">
        <v>7171</v>
      </c>
      <c r="B1677" s="26" t="s">
        <v>9047</v>
      </c>
    </row>
    <row r="1678" spans="1:34" ht="18.75">
      <c r="B1678" s="26" t="s">
        <v>9048</v>
      </c>
    </row>
    <row r="1679" spans="1:34" ht="18.75">
      <c r="B1679" s="26" t="s">
        <v>9049</v>
      </c>
    </row>
    <row r="1680" spans="1:34">
      <c r="B1680" s="26" t="s">
        <v>8015</v>
      </c>
    </row>
    <row r="1681" spans="1:7">
      <c r="B1681" s="26" t="s">
        <v>2879</v>
      </c>
    </row>
    <row r="1682" spans="1:7">
      <c r="B1682" s="26" t="s">
        <v>538</v>
      </c>
      <c r="E1682" s="322"/>
    </row>
    <row r="1683" spans="1:7">
      <c r="B1683" s="26" t="s">
        <v>3549</v>
      </c>
      <c r="E1683" s="322"/>
    </row>
    <row r="1684" spans="1:7">
      <c r="B1684" s="26"/>
    </row>
    <row r="1685" spans="1:7" hidden="1">
      <c r="A1685" s="78" t="s">
        <v>3984</v>
      </c>
      <c r="B1685" s="26" t="s">
        <v>3659</v>
      </c>
    </row>
    <row r="1686" spans="1:7" hidden="1">
      <c r="B1686" s="26" t="s">
        <v>2101</v>
      </c>
    </row>
    <row r="1687" spans="1:7" hidden="1">
      <c r="B1687" s="26" t="s">
        <v>2102</v>
      </c>
    </row>
    <row r="1688" spans="1:7" hidden="1">
      <c r="B1688" s="26" t="s">
        <v>2365</v>
      </c>
    </row>
    <row r="1689" spans="1:7" hidden="1">
      <c r="B1689" s="26" t="s">
        <v>2880</v>
      </c>
      <c r="E1689" s="322" t="s">
        <v>1697</v>
      </c>
      <c r="F1689" s="26">
        <v>9.202</v>
      </c>
      <c r="G1689" s="26" t="s">
        <v>45</v>
      </c>
    </row>
    <row r="1690" spans="1:7" hidden="1">
      <c r="B1690" s="26"/>
    </row>
    <row r="1691" spans="1:7" hidden="1">
      <c r="A1691" s="78">
        <v>1</v>
      </c>
      <c r="B1691" s="26" t="s">
        <v>8016</v>
      </c>
    </row>
    <row r="1692" spans="1:7" hidden="1">
      <c r="A1692" s="78" t="s">
        <v>1535</v>
      </c>
      <c r="B1692" s="26" t="s">
        <v>241</v>
      </c>
    </row>
    <row r="1693" spans="1:7" hidden="1">
      <c r="B1693" s="26" t="s">
        <v>243</v>
      </c>
      <c r="E1693" s="322" t="s">
        <v>1697</v>
      </c>
      <c r="F1693" s="26">
        <v>4479</v>
      </c>
      <c r="G1693" s="26" t="s">
        <v>3478</v>
      </c>
    </row>
    <row r="1694" spans="1:7" hidden="1">
      <c r="A1694" s="78" t="s">
        <v>5400</v>
      </c>
      <c r="B1694" s="26" t="s">
        <v>6173</v>
      </c>
      <c r="E1694" s="322"/>
    </row>
    <row r="1695" spans="1:7" hidden="1">
      <c r="B1695" s="26" t="s">
        <v>6174</v>
      </c>
      <c r="E1695" s="322" t="s">
        <v>1697</v>
      </c>
      <c r="F1695" s="26">
        <v>4100</v>
      </c>
      <c r="G1695" s="26" t="s">
        <v>3478</v>
      </c>
    </row>
    <row r="1696" spans="1:7" hidden="1">
      <c r="A1696" s="78" t="s">
        <v>5401</v>
      </c>
      <c r="B1696" s="26" t="s">
        <v>5162</v>
      </c>
      <c r="E1696" s="322"/>
    </row>
    <row r="1697" spans="1:7" hidden="1">
      <c r="B1697" s="26" t="s">
        <v>6175</v>
      </c>
      <c r="E1697" s="322" t="s">
        <v>1697</v>
      </c>
      <c r="F1697" s="26">
        <v>132</v>
      </c>
      <c r="G1697" s="26" t="s">
        <v>3478</v>
      </c>
    </row>
    <row r="1698" spans="1:7" hidden="1">
      <c r="A1698" s="78" t="s">
        <v>1696</v>
      </c>
      <c r="B1698" s="26" t="s">
        <v>5165</v>
      </c>
      <c r="E1698" s="322"/>
    </row>
    <row r="1699" spans="1:7" hidden="1">
      <c r="B1699" s="26" t="s">
        <v>6176</v>
      </c>
      <c r="E1699" s="322" t="s">
        <v>1697</v>
      </c>
      <c r="F1699" s="26">
        <v>492</v>
      </c>
      <c r="G1699" s="26" t="s">
        <v>3478</v>
      </c>
    </row>
    <row r="1700" spans="1:7" hidden="1">
      <c r="A1700" s="78" t="s">
        <v>5082</v>
      </c>
      <c r="B1700" s="26" t="s">
        <v>5167</v>
      </c>
      <c r="E1700" s="322"/>
    </row>
    <row r="1701" spans="1:7" hidden="1">
      <c r="B1701" s="26" t="s">
        <v>6177</v>
      </c>
      <c r="E1701" s="322" t="s">
        <v>1697</v>
      </c>
      <c r="F1701" s="26">
        <v>76</v>
      </c>
      <c r="G1701" s="26" t="s">
        <v>3478</v>
      </c>
    </row>
    <row r="1702" spans="1:7" hidden="1">
      <c r="A1702" s="78" t="s">
        <v>2408</v>
      </c>
      <c r="B1702" s="26" t="s">
        <v>5083</v>
      </c>
      <c r="E1702" s="322"/>
    </row>
    <row r="1703" spans="1:7" hidden="1">
      <c r="B1703" s="26" t="s">
        <v>6178</v>
      </c>
      <c r="E1703" s="322" t="s">
        <v>1697</v>
      </c>
      <c r="F1703" s="26">
        <v>55</v>
      </c>
      <c r="G1703" s="26" t="s">
        <v>3478</v>
      </c>
    </row>
    <row r="1704" spans="1:7" hidden="1">
      <c r="B1704" s="26" t="s">
        <v>1140</v>
      </c>
      <c r="E1704" s="322" t="s">
        <v>1697</v>
      </c>
      <c r="F1704" s="26">
        <v>76</v>
      </c>
      <c r="G1704" s="26" t="s">
        <v>3478</v>
      </c>
    </row>
    <row r="1705" spans="1:7" hidden="1">
      <c r="B1705" s="26" t="s">
        <v>2407</v>
      </c>
      <c r="E1705" s="322" t="s">
        <v>1697</v>
      </c>
      <c r="F1705" s="26">
        <v>4</v>
      </c>
      <c r="G1705" s="26" t="s">
        <v>3478</v>
      </c>
    </row>
    <row r="1706" spans="1:7" hidden="1">
      <c r="A1706" s="78" t="s">
        <v>2410</v>
      </c>
      <c r="B1706" s="26" t="s">
        <v>2411</v>
      </c>
      <c r="E1706" s="322"/>
    </row>
    <row r="1707" spans="1:7" hidden="1">
      <c r="B1707" s="26" t="s">
        <v>6179</v>
      </c>
      <c r="E1707" s="322" t="s">
        <v>1697</v>
      </c>
      <c r="F1707" s="26">
        <v>2.8</v>
      </c>
      <c r="G1707" s="26" t="s">
        <v>3483</v>
      </c>
    </row>
    <row r="1708" spans="1:7" hidden="1">
      <c r="B1708" s="26" t="s">
        <v>6180</v>
      </c>
      <c r="E1708" s="322" t="s">
        <v>1697</v>
      </c>
      <c r="F1708" s="26">
        <v>5.85</v>
      </c>
      <c r="G1708" s="26" t="s">
        <v>3483</v>
      </c>
    </row>
    <row r="1709" spans="1:7" hidden="1">
      <c r="B1709" s="26" t="s">
        <v>6181</v>
      </c>
      <c r="E1709" s="322" t="s">
        <v>1697</v>
      </c>
      <c r="F1709" s="26">
        <v>2.25</v>
      </c>
      <c r="G1709" s="26" t="s">
        <v>3483</v>
      </c>
    </row>
    <row r="1710" spans="1:7" hidden="1">
      <c r="B1710" s="26" t="s">
        <v>6182</v>
      </c>
      <c r="E1710" s="322" t="s">
        <v>1697</v>
      </c>
      <c r="F1710" s="26">
        <v>2</v>
      </c>
      <c r="G1710" s="26" t="s">
        <v>2059</v>
      </c>
    </row>
    <row r="1711" spans="1:7" hidden="1">
      <c r="A1711" s="78" t="s">
        <v>6401</v>
      </c>
      <c r="B1711" s="26" t="s">
        <v>1195</v>
      </c>
      <c r="E1711" s="322"/>
    </row>
    <row r="1712" spans="1:7" hidden="1">
      <c r="B1712" s="26" t="s">
        <v>517</v>
      </c>
      <c r="E1712" s="322" t="s">
        <v>1697</v>
      </c>
      <c r="F1712" s="26">
        <v>282</v>
      </c>
      <c r="G1712" s="26" t="s">
        <v>2059</v>
      </c>
    </row>
    <row r="1713" spans="1:7" hidden="1">
      <c r="B1713" s="26" t="s">
        <v>519</v>
      </c>
      <c r="E1713" s="322" t="s">
        <v>1697</v>
      </c>
      <c r="F1713" s="26">
        <v>2532</v>
      </c>
      <c r="G1713" s="26" t="s">
        <v>2059</v>
      </c>
    </row>
    <row r="1714" spans="1:7" hidden="1">
      <c r="A1714" s="78">
        <v>2</v>
      </c>
      <c r="B1714" s="26" t="s">
        <v>2281</v>
      </c>
      <c r="E1714" s="322"/>
    </row>
    <row r="1715" spans="1:7" hidden="1">
      <c r="B1715" s="26" t="s">
        <v>4962</v>
      </c>
      <c r="E1715" s="322" t="s">
        <v>1697</v>
      </c>
      <c r="F1715" s="26">
        <v>137</v>
      </c>
      <c r="G1715" s="26" t="s">
        <v>3483</v>
      </c>
    </row>
    <row r="1716" spans="1:7" hidden="1">
      <c r="B1716" s="26" t="s">
        <v>2985</v>
      </c>
      <c r="E1716" s="322" t="s">
        <v>1697</v>
      </c>
      <c r="F1716" s="26">
        <v>14</v>
      </c>
      <c r="G1716" s="26" t="s">
        <v>3483</v>
      </c>
    </row>
    <row r="1717" spans="1:7" hidden="1">
      <c r="B1717" s="26"/>
      <c r="D1717" s="171" t="s">
        <v>1518</v>
      </c>
      <c r="E1717" s="322" t="s">
        <v>1697</v>
      </c>
      <c r="F1717" s="26">
        <v>151</v>
      </c>
      <c r="G1717" s="26" t="s">
        <v>3483</v>
      </c>
    </row>
    <row r="1718" spans="1:7" hidden="1">
      <c r="B1718" s="26" t="s">
        <v>6013</v>
      </c>
    </row>
    <row r="1719" spans="1:7" hidden="1">
      <c r="B1719" s="26" t="s">
        <v>4906</v>
      </c>
    </row>
    <row r="1720" spans="1:7" hidden="1">
      <c r="B1720" s="26" t="s">
        <v>3532</v>
      </c>
      <c r="E1720" s="322" t="s">
        <v>1697</v>
      </c>
      <c r="F1720" s="26">
        <v>30</v>
      </c>
      <c r="G1720" s="26" t="s">
        <v>2602</v>
      </c>
    </row>
    <row r="1721" spans="1:7" hidden="1">
      <c r="B1721" s="26" t="s">
        <v>3533</v>
      </c>
      <c r="E1721" s="322" t="s">
        <v>1697</v>
      </c>
      <c r="F1721" s="26">
        <v>121</v>
      </c>
      <c r="G1721" s="26" t="s">
        <v>2602</v>
      </c>
    </row>
    <row r="1722" spans="1:7" hidden="1">
      <c r="B1722" s="26" t="s">
        <v>2278</v>
      </c>
      <c r="E1722" s="322" t="s">
        <v>1697</v>
      </c>
      <c r="F1722" s="26">
        <v>15</v>
      </c>
      <c r="G1722" s="26" t="s">
        <v>4665</v>
      </c>
    </row>
    <row r="1723" spans="1:7" hidden="1">
      <c r="B1723" s="26" t="s">
        <v>2279</v>
      </c>
      <c r="E1723" s="322" t="s">
        <v>1697</v>
      </c>
      <c r="F1723" s="26">
        <v>40</v>
      </c>
      <c r="G1723" s="26" t="s">
        <v>4665</v>
      </c>
    </row>
    <row r="1724" spans="1:7" hidden="1">
      <c r="B1724" s="26" t="s">
        <v>6991</v>
      </c>
      <c r="E1724" s="322" t="s">
        <v>1697</v>
      </c>
      <c r="F1724" s="26">
        <v>33</v>
      </c>
      <c r="G1724" s="26" t="s">
        <v>3477</v>
      </c>
    </row>
    <row r="1725" spans="1:7" hidden="1">
      <c r="B1725" s="26" t="s">
        <v>6992</v>
      </c>
      <c r="E1725" s="322" t="s">
        <v>1697</v>
      </c>
      <c r="F1725" s="26">
        <v>99</v>
      </c>
      <c r="G1725" s="26" t="s">
        <v>3477</v>
      </c>
    </row>
    <row r="1726" spans="1:7" hidden="1">
      <c r="B1726" s="26" t="s">
        <v>6993</v>
      </c>
      <c r="E1726" s="322" t="s">
        <v>1697</v>
      </c>
      <c r="F1726" s="26">
        <v>18</v>
      </c>
      <c r="G1726" s="26" t="s">
        <v>4665</v>
      </c>
    </row>
    <row r="1727" spans="1:7" hidden="1">
      <c r="B1727" s="26" t="s">
        <v>3829</v>
      </c>
      <c r="E1727" s="322" t="s">
        <v>1697</v>
      </c>
      <c r="F1727" s="26">
        <v>48</v>
      </c>
      <c r="G1727" s="26" t="s">
        <v>4665</v>
      </c>
    </row>
    <row r="1728" spans="1:7" hidden="1">
      <c r="A1728" s="78">
        <v>3</v>
      </c>
      <c r="B1728" s="26" t="s">
        <v>4651</v>
      </c>
      <c r="E1728" s="322"/>
    </row>
    <row r="1729" spans="1:7" hidden="1">
      <c r="B1729" s="26" t="s">
        <v>2504</v>
      </c>
      <c r="E1729" s="322" t="s">
        <v>1697</v>
      </c>
      <c r="F1729" s="26">
        <v>281</v>
      </c>
      <c r="G1729" s="26" t="s">
        <v>3483</v>
      </c>
    </row>
    <row r="1730" spans="1:7" hidden="1">
      <c r="B1730" s="26" t="s">
        <v>5723</v>
      </c>
      <c r="E1730" s="322"/>
    </row>
    <row r="1731" spans="1:7" hidden="1">
      <c r="B1731" s="26"/>
      <c r="C1731" s="26" t="s">
        <v>6183</v>
      </c>
      <c r="E1731" s="322" t="s">
        <v>1697</v>
      </c>
      <c r="F1731" s="26">
        <v>75</v>
      </c>
      <c r="G1731" s="26" t="s">
        <v>4665</v>
      </c>
    </row>
    <row r="1732" spans="1:7" hidden="1">
      <c r="B1732" s="26" t="s">
        <v>1913</v>
      </c>
      <c r="E1732" s="322"/>
    </row>
    <row r="1733" spans="1:7" hidden="1">
      <c r="B1733" s="26"/>
      <c r="C1733" s="26" t="s">
        <v>6184</v>
      </c>
      <c r="E1733" s="322" t="s">
        <v>1697</v>
      </c>
      <c r="F1733" s="174">
        <v>225</v>
      </c>
      <c r="G1733" s="26" t="s">
        <v>4665</v>
      </c>
    </row>
    <row r="1734" spans="1:7" hidden="1">
      <c r="B1734" s="26"/>
      <c r="D1734" s="171" t="s">
        <v>1518</v>
      </c>
      <c r="E1734" s="322" t="s">
        <v>1697</v>
      </c>
      <c r="F1734" s="26">
        <v>300</v>
      </c>
      <c r="G1734" s="26" t="s">
        <v>4665</v>
      </c>
    </row>
    <row r="1735" spans="1:7" hidden="1">
      <c r="B1735" s="26" t="s">
        <v>1709</v>
      </c>
      <c r="E1735" s="322"/>
    </row>
    <row r="1736" spans="1:7" hidden="1">
      <c r="B1736" s="26" t="s">
        <v>2657</v>
      </c>
      <c r="E1736" s="322"/>
    </row>
    <row r="1737" spans="1:7" hidden="1">
      <c r="A1737" s="78">
        <v>4</v>
      </c>
      <c r="B1737" s="26" t="s">
        <v>4249</v>
      </c>
    </row>
    <row r="1738" spans="1:7" hidden="1">
      <c r="B1738" s="26" t="s">
        <v>1710</v>
      </c>
    </row>
    <row r="1739" spans="1:7" hidden="1">
      <c r="B1739" s="26" t="s">
        <v>3017</v>
      </c>
    </row>
    <row r="1740" spans="1:7" hidden="1">
      <c r="B1740" s="26" t="s">
        <v>3027</v>
      </c>
    </row>
    <row r="1741" spans="1:7" hidden="1">
      <c r="B1741" s="26" t="s">
        <v>3018</v>
      </c>
    </row>
    <row r="1742" spans="1:7" hidden="1">
      <c r="B1742" s="26" t="s">
        <v>6052</v>
      </c>
    </row>
    <row r="1743" spans="1:7" hidden="1">
      <c r="B1743" s="26" t="s">
        <v>3213</v>
      </c>
    </row>
    <row r="1744" spans="1:7" hidden="1">
      <c r="B1744" s="26" t="s">
        <v>7029</v>
      </c>
    </row>
    <row r="1745" spans="1:7" hidden="1">
      <c r="B1745" s="26"/>
    </row>
    <row r="1746" spans="1:7" hidden="1">
      <c r="A1746" s="78">
        <v>5</v>
      </c>
      <c r="B1746" s="31" t="s">
        <v>4900</v>
      </c>
      <c r="C1746" s="31"/>
      <c r="D1746" s="31"/>
      <c r="E1746" s="31"/>
      <c r="F1746" s="31"/>
    </row>
    <row r="1747" spans="1:7" hidden="1">
      <c r="B1747" s="1266" t="s">
        <v>4901</v>
      </c>
      <c r="C1747" s="1266"/>
      <c r="D1747" s="38" t="s">
        <v>2468</v>
      </c>
      <c r="E1747" s="38" t="s">
        <v>4902</v>
      </c>
      <c r="F1747" s="38" t="s">
        <v>4903</v>
      </c>
      <c r="G1747" s="38" t="s">
        <v>6199</v>
      </c>
    </row>
    <row r="1748" spans="1:7" hidden="1">
      <c r="B1748" s="1266"/>
      <c r="C1748" s="1266"/>
      <c r="D1748" s="38"/>
      <c r="E1748" s="38" t="s">
        <v>4904</v>
      </c>
      <c r="F1748" s="38" t="s">
        <v>4905</v>
      </c>
      <c r="G1748" s="38"/>
    </row>
    <row r="1749" spans="1:7" hidden="1">
      <c r="B1749" s="1266"/>
      <c r="C1749" s="1266"/>
      <c r="D1749" s="38"/>
      <c r="E1749" s="38" t="s">
        <v>6307</v>
      </c>
      <c r="F1749" s="36"/>
      <c r="G1749" s="38"/>
    </row>
    <row r="1750" spans="1:7" hidden="1">
      <c r="B1750" s="38" t="s">
        <v>3214</v>
      </c>
      <c r="C1750" s="38"/>
      <c r="D1750" s="36">
        <v>4</v>
      </c>
      <c r="E1750" s="36">
        <v>8</v>
      </c>
      <c r="F1750" s="36">
        <v>8</v>
      </c>
      <c r="G1750" s="36">
        <v>16</v>
      </c>
    </row>
    <row r="1751" spans="1:7" hidden="1">
      <c r="B1751" s="38" t="s">
        <v>4777</v>
      </c>
      <c r="C1751" s="38"/>
      <c r="D1751" s="36">
        <v>1</v>
      </c>
      <c r="E1751" s="36">
        <v>2</v>
      </c>
      <c r="F1751" s="36" t="s">
        <v>5854</v>
      </c>
      <c r="G1751" s="36">
        <v>2</v>
      </c>
    </row>
    <row r="1752" spans="1:7" hidden="1">
      <c r="B1752" s="38" t="s">
        <v>3215</v>
      </c>
      <c r="C1752" s="38"/>
      <c r="D1752" s="36">
        <v>5</v>
      </c>
      <c r="E1752" s="36">
        <v>10</v>
      </c>
      <c r="F1752" s="36" t="s">
        <v>5854</v>
      </c>
      <c r="G1752" s="36">
        <v>20</v>
      </c>
    </row>
    <row r="1753" spans="1:7" hidden="1">
      <c r="B1753" s="38" t="s">
        <v>3216</v>
      </c>
      <c r="C1753" s="38"/>
      <c r="D1753" s="36">
        <v>3</v>
      </c>
      <c r="E1753" s="36" t="s">
        <v>5854</v>
      </c>
      <c r="F1753" s="36">
        <v>28</v>
      </c>
      <c r="G1753" s="36">
        <v>28</v>
      </c>
    </row>
    <row r="1754" spans="1:7" hidden="1">
      <c r="B1754" s="38" t="s">
        <v>3217</v>
      </c>
      <c r="C1754" s="38"/>
      <c r="D1754" s="36">
        <v>1</v>
      </c>
      <c r="E1754" s="36">
        <v>2</v>
      </c>
      <c r="F1754" s="36" t="s">
        <v>5854</v>
      </c>
      <c r="G1754" s="36">
        <v>4</v>
      </c>
    </row>
    <row r="1755" spans="1:7" hidden="1">
      <c r="B1755" s="38" t="s">
        <v>3524</v>
      </c>
      <c r="C1755" s="38"/>
      <c r="D1755" s="36">
        <v>1</v>
      </c>
      <c r="E1755" s="36">
        <v>1</v>
      </c>
      <c r="F1755" s="36" t="s">
        <v>5854</v>
      </c>
      <c r="G1755" s="36">
        <v>2</v>
      </c>
    </row>
    <row r="1756" spans="1:7" hidden="1">
      <c r="B1756" s="38" t="s">
        <v>701</v>
      </c>
      <c r="C1756" s="38"/>
      <c r="D1756" s="36">
        <v>1</v>
      </c>
      <c r="E1756" s="36">
        <v>2</v>
      </c>
      <c r="F1756" s="36" t="s">
        <v>5854</v>
      </c>
      <c r="G1756" s="36">
        <v>2</v>
      </c>
    </row>
    <row r="1757" spans="1:7" hidden="1">
      <c r="B1757" s="36" t="s">
        <v>2656</v>
      </c>
      <c r="C1757" s="36"/>
      <c r="D1757" s="36">
        <f>SUM(D1750:D1756)</f>
        <v>16</v>
      </c>
      <c r="E1757" s="36">
        <f>SUM(E1750:E1756)</f>
        <v>25</v>
      </c>
      <c r="F1757" s="36">
        <f>SUM(F1750:F1756)</f>
        <v>36</v>
      </c>
      <c r="G1757" s="36">
        <f>SUM(G1750:G1756)</f>
        <v>74</v>
      </c>
    </row>
    <row r="1758" spans="1:7" hidden="1">
      <c r="A1758" s="78">
        <v>6</v>
      </c>
      <c r="B1758" s="26" t="s">
        <v>673</v>
      </c>
    </row>
    <row r="1759" spans="1:7" hidden="1">
      <c r="B1759" s="26" t="s">
        <v>6017</v>
      </c>
    </row>
    <row r="1760" spans="1:7" hidden="1">
      <c r="B1760" s="26" t="s">
        <v>2385</v>
      </c>
    </row>
    <row r="1761" spans="1:7" hidden="1">
      <c r="B1761" s="26" t="s">
        <v>4751</v>
      </c>
    </row>
    <row r="1762" spans="1:7" hidden="1">
      <c r="A1762" s="78">
        <v>7</v>
      </c>
      <c r="B1762" s="26" t="s">
        <v>2366</v>
      </c>
    </row>
    <row r="1763" spans="1:7" hidden="1">
      <c r="B1763" s="26" t="s">
        <v>5191</v>
      </c>
      <c r="C1763" s="68">
        <f>'BASIC DATA'!D373</f>
        <v>7800</v>
      </c>
      <c r="D1763" s="26" t="s">
        <v>2290</v>
      </c>
      <c r="E1763" s="315" t="s">
        <v>1698</v>
      </c>
      <c r="F1763" s="68">
        <f>C1763</f>
        <v>7800</v>
      </c>
    </row>
    <row r="1764" spans="1:7" hidden="1">
      <c r="B1764" s="26" t="s">
        <v>3231</v>
      </c>
      <c r="E1764" s="322" t="s">
        <v>1697</v>
      </c>
      <c r="F1764" s="316">
        <v>1000</v>
      </c>
      <c r="G1764" s="26" t="s">
        <v>4665</v>
      </c>
    </row>
    <row r="1765" spans="1:7" hidden="1">
      <c r="B1765" s="26" t="s">
        <v>3232</v>
      </c>
      <c r="C1765" s="26" t="s">
        <v>7593</v>
      </c>
      <c r="E1765" s="315" t="s">
        <v>1698</v>
      </c>
      <c r="F1765" s="68">
        <f>F1763/F1764</f>
        <v>7.8</v>
      </c>
    </row>
    <row r="1766" spans="1:7" hidden="1">
      <c r="B1766" s="26" t="s">
        <v>5089</v>
      </c>
      <c r="C1766" s="68">
        <f>'BASIC DATA'!D371</f>
        <v>14500</v>
      </c>
      <c r="D1766" s="26" t="s">
        <v>2290</v>
      </c>
      <c r="E1766" s="315" t="s">
        <v>1698</v>
      </c>
      <c r="F1766" s="68">
        <f>C1766</f>
        <v>14500</v>
      </c>
    </row>
    <row r="1767" spans="1:7" hidden="1">
      <c r="B1767" s="26" t="s">
        <v>5868</v>
      </c>
      <c r="E1767" s="322" t="s">
        <v>1697</v>
      </c>
      <c r="F1767" s="316">
        <v>600</v>
      </c>
      <c r="G1767" s="26" t="s">
        <v>4665</v>
      </c>
    </row>
    <row r="1768" spans="1:7" hidden="1">
      <c r="B1768" s="26" t="s">
        <v>3234</v>
      </c>
      <c r="C1768" s="26" t="s">
        <v>7593</v>
      </c>
      <c r="E1768" s="315" t="s">
        <v>1698</v>
      </c>
      <c r="F1768" s="68">
        <f>F1766/F1767</f>
        <v>24.166666666666668</v>
      </c>
    </row>
    <row r="1769" spans="1:7"/>
    <row r="1770" spans="1:7">
      <c r="A1770" s="78" t="s">
        <v>3984</v>
      </c>
      <c r="C1770" s="203" t="s">
        <v>2367</v>
      </c>
      <c r="E1770" s="171" t="s">
        <v>297</v>
      </c>
      <c r="F1770" s="692">
        <v>9.202</v>
      </c>
      <c r="G1770" s="26" t="s">
        <v>3480</v>
      </c>
    </row>
    <row r="1771" spans="1:7">
      <c r="B1771" s="79" t="s">
        <v>2368</v>
      </c>
      <c r="F1771" s="316"/>
    </row>
    <row r="1772" spans="1:7">
      <c r="B1772" s="95" t="s">
        <v>2369</v>
      </c>
      <c r="C1772" s="157" t="s">
        <v>6374</v>
      </c>
      <c r="D1772" s="95" t="s">
        <v>2370</v>
      </c>
      <c r="E1772" s="95" t="s">
        <v>1166</v>
      </c>
      <c r="F1772" s="95" t="s">
        <v>2371</v>
      </c>
      <c r="G1772" s="95" t="s">
        <v>2372</v>
      </c>
    </row>
    <row r="1773" spans="1:7">
      <c r="B1773" s="114"/>
      <c r="C1773" s="154"/>
      <c r="D1773" s="114"/>
      <c r="E1773" s="114"/>
      <c r="F1773" s="114" t="s">
        <v>3485</v>
      </c>
      <c r="G1773" s="114" t="s">
        <v>3485</v>
      </c>
    </row>
    <row r="1774" spans="1:7">
      <c r="B1774" s="95">
        <v>1</v>
      </c>
      <c r="C1774" s="135" t="s">
        <v>4770</v>
      </c>
      <c r="D1774" s="451"/>
      <c r="E1774" s="190"/>
      <c r="F1774" s="190"/>
      <c r="G1774" s="190"/>
    </row>
    <row r="1775" spans="1:7">
      <c r="B1775" s="317"/>
      <c r="C1775" s="135" t="s">
        <v>4916</v>
      </c>
      <c r="D1775" s="319" t="s">
        <v>3478</v>
      </c>
      <c r="E1775" s="190">
        <v>4479</v>
      </c>
      <c r="F1775" s="214">
        <f>'BASIC DATA'!D98/1000</f>
        <v>37.4</v>
      </c>
      <c r="G1775" s="190">
        <f>E1775*F1775</f>
        <v>167514.6</v>
      </c>
    </row>
    <row r="1776" spans="1:7">
      <c r="B1776" s="105">
        <v>2</v>
      </c>
      <c r="C1776" s="135" t="s">
        <v>5090</v>
      </c>
      <c r="D1776" s="319"/>
      <c r="E1776" s="190"/>
      <c r="F1776" s="214"/>
      <c r="G1776" s="190"/>
    </row>
    <row r="1777" spans="2:7">
      <c r="B1777" s="317"/>
      <c r="C1777" s="135" t="s">
        <v>5091</v>
      </c>
      <c r="D1777" s="319" t="s">
        <v>3478</v>
      </c>
      <c r="E1777" s="190">
        <v>4100</v>
      </c>
      <c r="F1777" s="214">
        <f>'BASIC DATA'!D164</f>
        <v>85</v>
      </c>
      <c r="G1777" s="190">
        <f t="shared" ref="G1777:G1799" si="27">E1777*F1777</f>
        <v>348500</v>
      </c>
    </row>
    <row r="1778" spans="2:7">
      <c r="B1778" s="105">
        <v>3</v>
      </c>
      <c r="C1778" s="135" t="s">
        <v>4771</v>
      </c>
      <c r="D1778" s="319"/>
      <c r="E1778" s="190"/>
      <c r="F1778" s="214"/>
      <c r="G1778" s="190"/>
    </row>
    <row r="1779" spans="2:7">
      <c r="B1779" s="317"/>
      <c r="C1779" s="135" t="s">
        <v>6175</v>
      </c>
      <c r="D1779" s="319" t="s">
        <v>3478</v>
      </c>
      <c r="E1779" s="190">
        <v>132</v>
      </c>
      <c r="F1779" s="214">
        <f>'BASIC DATA'!D160</f>
        <v>450</v>
      </c>
      <c r="G1779" s="190">
        <f t="shared" si="27"/>
        <v>59400</v>
      </c>
    </row>
    <row r="1780" spans="2:7">
      <c r="B1780" s="105">
        <v>4</v>
      </c>
      <c r="C1780" s="135" t="s">
        <v>6211</v>
      </c>
      <c r="D1780" s="319"/>
      <c r="E1780" s="190"/>
      <c r="F1780" s="214"/>
      <c r="G1780" s="190"/>
    </row>
    <row r="1781" spans="2:7">
      <c r="B1781" s="317"/>
      <c r="C1781" s="135" t="s">
        <v>6212</v>
      </c>
      <c r="D1781" s="319" t="s">
        <v>3478</v>
      </c>
      <c r="E1781" s="190">
        <v>492</v>
      </c>
      <c r="F1781" s="214">
        <f>'BASIC DATA'!D167</f>
        <v>190</v>
      </c>
      <c r="G1781" s="190">
        <f t="shared" si="27"/>
        <v>93480</v>
      </c>
    </row>
    <row r="1782" spans="2:7">
      <c r="B1782" s="105">
        <v>5</v>
      </c>
      <c r="C1782" s="135" t="s">
        <v>6357</v>
      </c>
      <c r="D1782" s="319"/>
      <c r="E1782" s="190"/>
      <c r="F1782" s="214"/>
      <c r="G1782" s="190"/>
    </row>
    <row r="1783" spans="2:7">
      <c r="B1783" s="317"/>
      <c r="C1783" s="135" t="s">
        <v>6177</v>
      </c>
      <c r="D1783" s="319" t="s">
        <v>3478</v>
      </c>
      <c r="E1783" s="190">
        <v>76</v>
      </c>
      <c r="F1783" s="214">
        <f>'BASIC DATA'!D163</f>
        <v>970</v>
      </c>
      <c r="G1783" s="190">
        <f t="shared" si="27"/>
        <v>73720</v>
      </c>
    </row>
    <row r="1784" spans="2:7">
      <c r="B1784" s="105">
        <v>6</v>
      </c>
      <c r="C1784" s="135" t="s">
        <v>374</v>
      </c>
      <c r="D1784" s="319"/>
      <c r="E1784" s="190"/>
      <c r="F1784" s="214"/>
      <c r="G1784" s="190"/>
    </row>
    <row r="1785" spans="2:7">
      <c r="B1785" s="317"/>
      <c r="C1785" s="135" t="s">
        <v>6213</v>
      </c>
      <c r="D1785" s="319" t="s">
        <v>3478</v>
      </c>
      <c r="E1785" s="190">
        <v>55</v>
      </c>
      <c r="F1785" s="214">
        <f>'BASIC DATA'!D162</f>
        <v>365</v>
      </c>
      <c r="G1785" s="190">
        <f t="shared" si="27"/>
        <v>20075</v>
      </c>
    </row>
    <row r="1786" spans="2:7">
      <c r="B1786" s="317"/>
      <c r="C1786" s="135" t="s">
        <v>4957</v>
      </c>
      <c r="D1786" s="319" t="s">
        <v>3478</v>
      </c>
      <c r="E1786" s="190">
        <v>76</v>
      </c>
      <c r="F1786" s="214">
        <f>'BASIC DATA'!D67</f>
        <v>100</v>
      </c>
      <c r="G1786" s="190">
        <f t="shared" si="27"/>
        <v>7600</v>
      </c>
    </row>
    <row r="1787" spans="2:7">
      <c r="B1787" s="317"/>
      <c r="C1787" s="135" t="s">
        <v>4958</v>
      </c>
      <c r="D1787" s="319" t="s">
        <v>3478</v>
      </c>
      <c r="E1787" s="190">
        <v>4</v>
      </c>
      <c r="F1787" s="214">
        <f>'BASIC DATA'!D84</f>
        <v>80</v>
      </c>
      <c r="G1787" s="190">
        <f t="shared" si="27"/>
        <v>320</v>
      </c>
    </row>
    <row r="1788" spans="2:7">
      <c r="B1788" s="105">
        <v>7</v>
      </c>
      <c r="C1788" s="135" t="s">
        <v>541</v>
      </c>
      <c r="D1788" s="319"/>
      <c r="E1788" s="190"/>
      <c r="F1788" s="214"/>
      <c r="G1788" s="190"/>
    </row>
    <row r="1789" spans="2:7">
      <c r="B1789" s="317"/>
      <c r="C1789" s="135" t="s">
        <v>633</v>
      </c>
      <c r="D1789" s="319" t="s">
        <v>3483</v>
      </c>
      <c r="E1789" s="190">
        <v>2.8</v>
      </c>
      <c r="F1789" s="214">
        <f>'BASIC DATA'!D174</f>
        <v>780</v>
      </c>
      <c r="G1789" s="190">
        <f t="shared" si="27"/>
        <v>2184</v>
      </c>
    </row>
    <row r="1790" spans="2:7">
      <c r="B1790" s="317"/>
      <c r="C1790" s="135" t="s">
        <v>634</v>
      </c>
      <c r="D1790" s="319" t="s">
        <v>3483</v>
      </c>
      <c r="E1790" s="190">
        <v>5.85</v>
      </c>
      <c r="F1790" s="214">
        <f>'BASIC DATA'!D175</f>
        <v>1670</v>
      </c>
      <c r="G1790" s="190">
        <f t="shared" si="27"/>
        <v>9769.5</v>
      </c>
    </row>
    <row r="1791" spans="2:7">
      <c r="B1791" s="317"/>
      <c r="C1791" s="135" t="s">
        <v>635</v>
      </c>
      <c r="D1791" s="319" t="s">
        <v>3483</v>
      </c>
      <c r="E1791" s="190">
        <v>2.25</v>
      </c>
      <c r="F1791" s="214">
        <f>'BASIC DATA'!D175</f>
        <v>1670</v>
      </c>
      <c r="G1791" s="190">
        <f t="shared" si="27"/>
        <v>3757.5</v>
      </c>
    </row>
    <row r="1792" spans="2:7">
      <c r="B1792" s="317"/>
      <c r="C1792" s="135" t="s">
        <v>636</v>
      </c>
      <c r="D1792" s="319" t="s">
        <v>2059</v>
      </c>
      <c r="E1792" s="190">
        <v>2</v>
      </c>
      <c r="F1792" s="214">
        <f>'BASIC DATA'!D178</f>
        <v>1630</v>
      </c>
      <c r="G1792" s="190">
        <f t="shared" si="27"/>
        <v>3260</v>
      </c>
    </row>
    <row r="1793" spans="2:7">
      <c r="B1793" s="105">
        <v>8</v>
      </c>
      <c r="C1793" s="135" t="s">
        <v>958</v>
      </c>
      <c r="D1793" s="319" t="s">
        <v>3477</v>
      </c>
      <c r="E1793" s="190">
        <v>99</v>
      </c>
      <c r="F1793" s="214">
        <f>'BASIC DATA'!D87</f>
        <v>42</v>
      </c>
      <c r="G1793" s="190">
        <f t="shared" si="27"/>
        <v>4158</v>
      </c>
    </row>
    <row r="1794" spans="2:7">
      <c r="B1794" s="105">
        <v>9</v>
      </c>
      <c r="C1794" s="135" t="s">
        <v>6815</v>
      </c>
      <c r="D1794" s="319" t="s">
        <v>3477</v>
      </c>
      <c r="E1794" s="190">
        <v>33</v>
      </c>
      <c r="F1794" s="214">
        <f>'BASIC DATA'!D28</f>
        <v>335</v>
      </c>
      <c r="G1794" s="190">
        <f t="shared" si="27"/>
        <v>11055</v>
      </c>
    </row>
    <row r="1795" spans="2:7">
      <c r="B1795" s="105">
        <v>10</v>
      </c>
      <c r="C1795" s="135" t="s">
        <v>6816</v>
      </c>
      <c r="D1795" s="319" t="s">
        <v>2059</v>
      </c>
      <c r="E1795" s="190">
        <v>282</v>
      </c>
      <c r="F1795" s="214">
        <f>'BASIC DATA'!D109</f>
        <v>80</v>
      </c>
      <c r="G1795" s="190">
        <f t="shared" si="27"/>
        <v>22560</v>
      </c>
    </row>
    <row r="1796" spans="2:7">
      <c r="B1796" s="105">
        <v>11</v>
      </c>
      <c r="C1796" s="135" t="s">
        <v>4655</v>
      </c>
      <c r="D1796" s="319" t="s">
        <v>2059</v>
      </c>
      <c r="E1796" s="190">
        <v>2532</v>
      </c>
      <c r="F1796" s="214">
        <f>'BASIC DATA'!D181</f>
        <v>15</v>
      </c>
      <c r="G1796" s="190">
        <f t="shared" si="27"/>
        <v>37980</v>
      </c>
    </row>
    <row r="1797" spans="2:7">
      <c r="B1797" s="105">
        <v>12</v>
      </c>
      <c r="C1797" s="135" t="s">
        <v>6556</v>
      </c>
      <c r="D1797" s="319" t="s">
        <v>2374</v>
      </c>
      <c r="E1797" s="190">
        <v>300</v>
      </c>
      <c r="F1797" s="214">
        <f>F1765</f>
        <v>7.8</v>
      </c>
      <c r="G1797" s="190">
        <f t="shared" si="27"/>
        <v>2340</v>
      </c>
    </row>
    <row r="1798" spans="2:7">
      <c r="B1798" s="105">
        <v>13</v>
      </c>
      <c r="C1798" s="135" t="s">
        <v>6557</v>
      </c>
      <c r="D1798" s="319" t="s">
        <v>2374</v>
      </c>
      <c r="E1798" s="190">
        <v>18</v>
      </c>
      <c r="F1798" s="214">
        <f>F1768</f>
        <v>24.166666666666668</v>
      </c>
      <c r="G1798" s="190">
        <f t="shared" si="27"/>
        <v>435</v>
      </c>
    </row>
    <row r="1799" spans="2:7">
      <c r="B1799" s="114">
        <v>14</v>
      </c>
      <c r="C1799" s="135" t="s">
        <v>2373</v>
      </c>
      <c r="D1799" s="319" t="s">
        <v>2173</v>
      </c>
      <c r="E1799" s="190">
        <v>50</v>
      </c>
      <c r="F1799" s="214">
        <f>'BASIC DATA'!D359</f>
        <v>30</v>
      </c>
      <c r="G1799" s="190">
        <f t="shared" si="27"/>
        <v>1500</v>
      </c>
    </row>
    <row r="1800" spans="2:7">
      <c r="B1800" s="92"/>
      <c r="C1800" s="193"/>
      <c r="D1800" s="151" t="s">
        <v>2376</v>
      </c>
      <c r="E1800" s="160"/>
      <c r="F1800" s="236" t="s">
        <v>1698</v>
      </c>
      <c r="G1800" s="318">
        <f>SUM(G1775:G1799)</f>
        <v>869608.6</v>
      </c>
    </row>
    <row r="1801" spans="2:7"/>
    <row r="1802" spans="2:7">
      <c r="B1802" s="79" t="s">
        <v>2377</v>
      </c>
    </row>
    <row r="1803" spans="2:7">
      <c r="B1803" s="95" t="s">
        <v>2369</v>
      </c>
      <c r="C1803" s="157" t="s">
        <v>2378</v>
      </c>
      <c r="D1803" s="95" t="s">
        <v>2370</v>
      </c>
      <c r="E1803" s="95" t="s">
        <v>1166</v>
      </c>
      <c r="F1803" s="95" t="s">
        <v>2371</v>
      </c>
      <c r="G1803" s="95" t="s">
        <v>2372</v>
      </c>
    </row>
    <row r="1804" spans="2:7">
      <c r="B1804" s="114"/>
      <c r="C1804" s="154"/>
      <c r="D1804" s="114"/>
      <c r="E1804" s="114"/>
      <c r="F1804" s="114" t="s">
        <v>3485</v>
      </c>
      <c r="G1804" s="114" t="s">
        <v>3485</v>
      </c>
    </row>
    <row r="1805" spans="2:7">
      <c r="B1805" s="95">
        <v>1</v>
      </c>
      <c r="C1805" s="135" t="s">
        <v>6558</v>
      </c>
      <c r="D1805" s="451" t="s">
        <v>2374</v>
      </c>
      <c r="E1805" s="190">
        <v>300</v>
      </c>
      <c r="F1805" s="190">
        <f>'HIRE CHARGES'!D556</f>
        <v>16</v>
      </c>
      <c r="G1805" s="190">
        <f>E1805*F1805</f>
        <v>4800</v>
      </c>
    </row>
    <row r="1806" spans="2:7">
      <c r="B1806" s="317"/>
      <c r="C1806" s="135" t="s">
        <v>2379</v>
      </c>
      <c r="D1806" s="319" t="s">
        <v>2374</v>
      </c>
      <c r="E1806" s="190">
        <v>188</v>
      </c>
      <c r="F1806" s="190">
        <f>'HIRE CHARGES'!E556</f>
        <v>67.2</v>
      </c>
      <c r="G1806" s="190">
        <f t="shared" ref="G1806:G1819" si="28">E1806*F1806</f>
        <v>12633.6</v>
      </c>
    </row>
    <row r="1807" spans="2:7">
      <c r="B1807" s="105">
        <v>2</v>
      </c>
      <c r="C1807" s="135" t="s">
        <v>6060</v>
      </c>
      <c r="D1807" s="319" t="s">
        <v>2374</v>
      </c>
      <c r="E1807" s="190">
        <v>48</v>
      </c>
      <c r="F1807" s="190">
        <f>'HIRE CHARGES'!D539</f>
        <v>6.4</v>
      </c>
      <c r="G1807" s="190">
        <f t="shared" si="28"/>
        <v>307.20000000000005</v>
      </c>
    </row>
    <row r="1808" spans="2:7">
      <c r="B1808" s="317"/>
      <c r="C1808" s="135" t="s">
        <v>2379</v>
      </c>
      <c r="D1808" s="319" t="s">
        <v>2374</v>
      </c>
      <c r="E1808" s="190">
        <v>48</v>
      </c>
      <c r="F1808" s="190">
        <f>'HIRE CHARGES'!E539</f>
        <v>2.8</v>
      </c>
      <c r="G1808" s="190">
        <f t="shared" si="28"/>
        <v>134.39999999999998</v>
      </c>
    </row>
    <row r="1809" spans="2:7">
      <c r="B1809" s="105">
        <v>3</v>
      </c>
      <c r="C1809" s="135" t="s">
        <v>6559</v>
      </c>
      <c r="D1809" s="319" t="s">
        <v>2374</v>
      </c>
      <c r="E1809" s="190">
        <v>1</v>
      </c>
      <c r="F1809" s="190">
        <f>'HIRE CHARGES'!D547</f>
        <v>867.1</v>
      </c>
      <c r="G1809" s="190">
        <f t="shared" si="28"/>
        <v>867.1</v>
      </c>
    </row>
    <row r="1810" spans="2:7">
      <c r="B1810" s="317"/>
      <c r="C1810" s="135" t="s">
        <v>2379</v>
      </c>
      <c r="D1810" s="319" t="s">
        <v>2374</v>
      </c>
      <c r="E1810" s="190">
        <v>1</v>
      </c>
      <c r="F1810" s="190">
        <f>'HIRE CHARGES'!E547</f>
        <v>145.69999999999999</v>
      </c>
      <c r="G1810" s="190">
        <f t="shared" si="28"/>
        <v>145.69999999999999</v>
      </c>
    </row>
    <row r="1811" spans="2:7">
      <c r="B1811" s="105">
        <v>4</v>
      </c>
      <c r="C1811" s="135" t="s">
        <v>6561</v>
      </c>
      <c r="D1811" s="319" t="s">
        <v>2374</v>
      </c>
      <c r="E1811" s="190">
        <v>10</v>
      </c>
      <c r="F1811" s="190">
        <f>'HIRE CHARGES'!D550</f>
        <v>519.69999999999993</v>
      </c>
      <c r="G1811" s="190">
        <f t="shared" si="28"/>
        <v>5196.9999999999991</v>
      </c>
    </row>
    <row r="1812" spans="2:7">
      <c r="B1812" s="317"/>
      <c r="C1812" s="135" t="s">
        <v>2379</v>
      </c>
      <c r="D1812" s="319" t="s">
        <v>2374</v>
      </c>
      <c r="E1812" s="190">
        <v>10</v>
      </c>
      <c r="F1812" s="190">
        <f>'HIRE CHARGES'!E550</f>
        <v>299.89999999999998</v>
      </c>
      <c r="G1812" s="190">
        <f t="shared" si="28"/>
        <v>2999</v>
      </c>
    </row>
    <row r="1813" spans="2:7">
      <c r="B1813" s="105">
        <v>5</v>
      </c>
      <c r="C1813" s="135" t="s">
        <v>866</v>
      </c>
      <c r="D1813" s="319" t="s">
        <v>2374</v>
      </c>
      <c r="E1813" s="190">
        <v>20</v>
      </c>
      <c r="F1813" s="190">
        <f>'HIRE CHARGES'!D544</f>
        <v>86.1</v>
      </c>
      <c r="G1813" s="190">
        <f t="shared" si="28"/>
        <v>1722</v>
      </c>
    </row>
    <row r="1814" spans="2:7">
      <c r="B1814" s="317"/>
      <c r="C1814" s="135" t="s">
        <v>2379</v>
      </c>
      <c r="D1814" s="319" t="s">
        <v>2374</v>
      </c>
      <c r="E1814" s="190">
        <v>20</v>
      </c>
      <c r="F1814" s="190">
        <f>'HIRE CHARGES'!E544</f>
        <v>0</v>
      </c>
      <c r="G1814" s="190">
        <f t="shared" si="28"/>
        <v>0</v>
      </c>
    </row>
    <row r="1815" spans="2:7">
      <c r="B1815" s="105">
        <v>6</v>
      </c>
      <c r="C1815" s="135" t="s">
        <v>6562</v>
      </c>
      <c r="D1815" s="319" t="s">
        <v>2374</v>
      </c>
      <c r="E1815" s="190">
        <v>8</v>
      </c>
      <c r="F1815" s="190">
        <f>'HIRE CHARGES'!D551</f>
        <v>22.5</v>
      </c>
      <c r="G1815" s="190">
        <f t="shared" si="28"/>
        <v>180</v>
      </c>
    </row>
    <row r="1816" spans="2:7">
      <c r="B1816" s="317"/>
      <c r="C1816" s="135" t="s">
        <v>2379</v>
      </c>
      <c r="D1816" s="319" t="s">
        <v>2374</v>
      </c>
      <c r="E1816" s="190">
        <v>8</v>
      </c>
      <c r="F1816" s="190">
        <f>'HIRE CHARGES'!E551</f>
        <v>28</v>
      </c>
      <c r="G1816" s="190">
        <f t="shared" si="28"/>
        <v>224</v>
      </c>
    </row>
    <row r="1817" spans="2:7">
      <c r="B1817" s="105">
        <v>7</v>
      </c>
      <c r="C1817" s="135" t="s">
        <v>5539</v>
      </c>
      <c r="D1817" s="319" t="s">
        <v>2374</v>
      </c>
      <c r="E1817" s="190">
        <v>16</v>
      </c>
      <c r="F1817" s="190">
        <f>'HIRE CHARGES'!D551</f>
        <v>22.5</v>
      </c>
      <c r="G1817" s="190">
        <f t="shared" si="28"/>
        <v>360</v>
      </c>
    </row>
    <row r="1818" spans="2:7">
      <c r="B1818" s="317"/>
      <c r="C1818" s="135" t="s">
        <v>2379</v>
      </c>
      <c r="D1818" s="319" t="s">
        <v>2374</v>
      </c>
      <c r="E1818" s="190">
        <v>16</v>
      </c>
      <c r="F1818" s="190">
        <f>'HIRE CHARGES'!E551</f>
        <v>28</v>
      </c>
      <c r="G1818" s="190">
        <f t="shared" si="28"/>
        <v>448</v>
      </c>
    </row>
    <row r="1819" spans="2:7">
      <c r="B1819" s="114">
        <v>8</v>
      </c>
      <c r="C1819" s="135" t="s">
        <v>2373</v>
      </c>
      <c r="D1819" s="319" t="s">
        <v>2173</v>
      </c>
      <c r="E1819" s="190">
        <v>25</v>
      </c>
      <c r="F1819" s="214">
        <f>'BASIC DATA'!D359</f>
        <v>30</v>
      </c>
      <c r="G1819" s="190">
        <f t="shared" si="28"/>
        <v>750</v>
      </c>
    </row>
    <row r="1820" spans="2:7">
      <c r="B1820" s="176"/>
      <c r="C1820" s="193" t="s">
        <v>2380</v>
      </c>
      <c r="D1820" s="193"/>
      <c r="E1820" s="208"/>
      <c r="F1820" s="236" t="s">
        <v>1698</v>
      </c>
      <c r="G1820" s="318">
        <f>SUM(G1805:G1819)</f>
        <v>30768</v>
      </c>
    </row>
    <row r="1821" spans="2:7"/>
    <row r="1822" spans="2:7">
      <c r="B1822" s="79" t="s">
        <v>2381</v>
      </c>
    </row>
    <row r="1823" spans="2:7">
      <c r="B1823" s="95" t="s">
        <v>2369</v>
      </c>
      <c r="C1823" s="157" t="s">
        <v>2378</v>
      </c>
      <c r="D1823" s="95" t="s">
        <v>2370</v>
      </c>
      <c r="E1823" s="95" t="s">
        <v>1166</v>
      </c>
      <c r="F1823" s="95" t="s">
        <v>2371</v>
      </c>
      <c r="G1823" s="95" t="s">
        <v>2372</v>
      </c>
    </row>
    <row r="1824" spans="2:7">
      <c r="B1824" s="114"/>
      <c r="C1824" s="154"/>
      <c r="D1824" s="114"/>
      <c r="E1824" s="114"/>
      <c r="F1824" s="114" t="s">
        <v>3485</v>
      </c>
      <c r="G1824" s="114" t="s">
        <v>3485</v>
      </c>
    </row>
    <row r="1825" spans="2:7">
      <c r="B1825" s="105">
        <v>1</v>
      </c>
      <c r="C1825" s="76" t="s">
        <v>5542</v>
      </c>
      <c r="D1825" s="319" t="s">
        <v>2374</v>
      </c>
      <c r="E1825" s="207">
        <v>10</v>
      </c>
      <c r="F1825" s="190">
        <f>'HIRE CHARGES'!F550</f>
        <v>177.5</v>
      </c>
      <c r="G1825" s="190">
        <f>E1825*F1825</f>
        <v>1775</v>
      </c>
    </row>
    <row r="1826" spans="2:7">
      <c r="B1826" s="105">
        <v>2</v>
      </c>
      <c r="C1826" s="76" t="s">
        <v>5541</v>
      </c>
      <c r="D1826" s="319" t="s">
        <v>2374</v>
      </c>
      <c r="E1826" s="207">
        <v>1</v>
      </c>
      <c r="F1826" s="190">
        <f>'HIRE CHARGES'!F547</f>
        <v>189.3</v>
      </c>
      <c r="G1826" s="190">
        <f t="shared" ref="G1826:G1836" si="29">E1826*F1826</f>
        <v>189.3</v>
      </c>
    </row>
    <row r="1827" spans="2:7">
      <c r="B1827" s="105">
        <v>3</v>
      </c>
      <c r="C1827" s="76" t="s">
        <v>5545</v>
      </c>
      <c r="D1827" s="319" t="s">
        <v>2374</v>
      </c>
      <c r="E1827" s="207">
        <v>16</v>
      </c>
      <c r="F1827" s="190">
        <f>'HIRE CHARGES'!F551</f>
        <v>198.9</v>
      </c>
      <c r="G1827" s="190">
        <f t="shared" si="29"/>
        <v>3182.4</v>
      </c>
    </row>
    <row r="1828" spans="2:7">
      <c r="B1828" s="105">
        <v>4</v>
      </c>
      <c r="C1828" s="76" t="s">
        <v>5546</v>
      </c>
      <c r="D1828" s="319" t="s">
        <v>2374</v>
      </c>
      <c r="E1828" s="207">
        <v>8</v>
      </c>
      <c r="F1828" s="190">
        <f>'HIRE CHARGES'!F551</f>
        <v>198.9</v>
      </c>
      <c r="G1828" s="190">
        <f t="shared" si="29"/>
        <v>1591.2</v>
      </c>
    </row>
    <row r="1829" spans="2:7">
      <c r="B1829" s="105">
        <v>5</v>
      </c>
      <c r="C1829" s="76" t="s">
        <v>2468</v>
      </c>
      <c r="D1829" s="319" t="s">
        <v>1172</v>
      </c>
      <c r="E1829" s="207">
        <f>D1757</f>
        <v>16</v>
      </c>
      <c r="F1829" s="190">
        <f>'BASIC DATA'!C471</f>
        <v>510</v>
      </c>
      <c r="G1829" s="190">
        <f t="shared" si="29"/>
        <v>8160</v>
      </c>
    </row>
    <row r="1830" spans="2:7">
      <c r="B1830" s="105">
        <v>6</v>
      </c>
      <c r="C1830" s="76" t="s">
        <v>5547</v>
      </c>
      <c r="D1830" s="319" t="s">
        <v>1172</v>
      </c>
      <c r="E1830" s="207">
        <f>E1757</f>
        <v>25</v>
      </c>
      <c r="F1830" s="190">
        <f>'BASIC DATA'!C503</f>
        <v>550</v>
      </c>
      <c r="G1830" s="190">
        <f t="shared" si="29"/>
        <v>13750</v>
      </c>
    </row>
    <row r="1831" spans="2:7">
      <c r="B1831" s="105">
        <v>7</v>
      </c>
      <c r="C1831" s="76" t="s">
        <v>3010</v>
      </c>
      <c r="D1831" s="319" t="s">
        <v>1172</v>
      </c>
      <c r="E1831" s="207">
        <v>8</v>
      </c>
      <c r="F1831" s="190">
        <f>'BASIC DATA'!C504</f>
        <v>445</v>
      </c>
      <c r="G1831" s="190">
        <f t="shared" si="29"/>
        <v>3560</v>
      </c>
    </row>
    <row r="1832" spans="2:7">
      <c r="B1832" s="105">
        <v>8</v>
      </c>
      <c r="C1832" s="76" t="s">
        <v>3013</v>
      </c>
      <c r="D1832" s="319" t="s">
        <v>1172</v>
      </c>
      <c r="E1832" s="207">
        <v>25</v>
      </c>
      <c r="F1832" s="190">
        <f>'BASIC DATA'!C504</f>
        <v>445</v>
      </c>
      <c r="G1832" s="190">
        <f t="shared" si="29"/>
        <v>11125</v>
      </c>
    </row>
    <row r="1833" spans="2:7">
      <c r="B1833" s="105">
        <v>9</v>
      </c>
      <c r="C1833" s="76" t="s">
        <v>1788</v>
      </c>
      <c r="D1833" s="319" t="s">
        <v>1172</v>
      </c>
      <c r="E1833" s="207">
        <v>3</v>
      </c>
      <c r="F1833" s="190">
        <f>'BASIC DATA'!C505</f>
        <v>510</v>
      </c>
      <c r="G1833" s="190">
        <f t="shared" si="29"/>
        <v>1530</v>
      </c>
    </row>
    <row r="1834" spans="2:7">
      <c r="B1834" s="105">
        <v>10</v>
      </c>
      <c r="C1834" s="76" t="s">
        <v>3012</v>
      </c>
      <c r="D1834" s="319" t="s">
        <v>1172</v>
      </c>
      <c r="E1834" s="207">
        <v>10</v>
      </c>
      <c r="F1834" s="190">
        <f>'BASIC DATA'!C500</f>
        <v>445</v>
      </c>
      <c r="G1834" s="190">
        <f>F1834*E1834</f>
        <v>4450</v>
      </c>
    </row>
    <row r="1835" spans="2:7">
      <c r="B1835" s="105">
        <v>11</v>
      </c>
      <c r="C1835" s="76" t="s">
        <v>3011</v>
      </c>
      <c r="D1835" s="319" t="s">
        <v>1172</v>
      </c>
      <c r="E1835" s="207">
        <f>G1757</f>
        <v>74</v>
      </c>
      <c r="F1835" s="190">
        <f>'BASIC DATA'!C529</f>
        <v>400</v>
      </c>
      <c r="G1835" s="190">
        <f t="shared" si="29"/>
        <v>29600</v>
      </c>
    </row>
    <row r="1836" spans="2:7">
      <c r="B1836" s="105">
        <v>12</v>
      </c>
      <c r="C1836" s="76" t="s">
        <v>5604</v>
      </c>
      <c r="D1836" s="319" t="s">
        <v>1172</v>
      </c>
      <c r="E1836" s="207">
        <v>2</v>
      </c>
      <c r="F1836" s="190">
        <f>'BASIC DATA'!C468</f>
        <v>515</v>
      </c>
      <c r="G1836" s="190">
        <f t="shared" si="29"/>
        <v>1030</v>
      </c>
    </row>
    <row r="1837" spans="2:7">
      <c r="B1837" s="92"/>
      <c r="C1837" s="193"/>
      <c r="D1837" s="151" t="s">
        <v>1174</v>
      </c>
      <c r="E1837" s="160"/>
      <c r="F1837" s="236" t="s">
        <v>1698</v>
      </c>
      <c r="G1837" s="318">
        <f>SUM(G1825:G1836)</f>
        <v>79942.899999999994</v>
      </c>
    </row>
    <row r="1838" spans="2:7">
      <c r="B1838" s="60" t="s">
        <v>5948</v>
      </c>
      <c r="C1838" s="31"/>
      <c r="D1838" s="31"/>
      <c r="E1838" s="85">
        <f>ROUND(G1837/F1770,1)</f>
        <v>8687.6</v>
      </c>
    </row>
    <row r="1839" spans="2:7">
      <c r="B1839" s="60" t="s">
        <v>3163</v>
      </c>
      <c r="C1839" s="31"/>
      <c r="D1839" s="31">
        <f>'BASIC DATA'!$C$577</f>
        <v>0.13614999999999999</v>
      </c>
      <c r="E1839" s="85">
        <f>ROUND(E1838*D1839,1)</f>
        <v>1182.8</v>
      </c>
    </row>
    <row r="1840" spans="2:7">
      <c r="B1840" s="60" t="s">
        <v>5949</v>
      </c>
      <c r="C1840" s="31"/>
      <c r="D1840" s="31"/>
      <c r="E1840" s="199">
        <f>E1839+E1838</f>
        <v>9870.4</v>
      </c>
    </row>
    <row r="1841" spans="2:34">
      <c r="B1841" s="26"/>
    </row>
    <row r="1842" spans="2:34">
      <c r="B1842" s="170" t="s">
        <v>1175</v>
      </c>
    </row>
    <row r="1843" spans="2:34">
      <c r="B1843" s="26" t="s">
        <v>1176</v>
      </c>
      <c r="F1843" s="171" t="s">
        <v>1698</v>
      </c>
      <c r="G1843" s="68">
        <f>G1800</f>
        <v>869608.6</v>
      </c>
    </row>
    <row r="1844" spans="2:34">
      <c r="B1844" s="26" t="s">
        <v>1186</v>
      </c>
      <c r="F1844" s="171" t="s">
        <v>1698</v>
      </c>
      <c r="G1844" s="68">
        <f>G1820</f>
        <v>30768</v>
      </c>
    </row>
    <row r="1845" spans="2:34">
      <c r="B1845" s="26" t="s">
        <v>2660</v>
      </c>
      <c r="F1845" s="171" t="s">
        <v>1698</v>
      </c>
      <c r="G1845" s="75">
        <f>G1837</f>
        <v>79942.899999999994</v>
      </c>
    </row>
    <row r="1846" spans="2:34">
      <c r="B1846" s="26"/>
      <c r="E1846" s="171" t="s">
        <v>5551</v>
      </c>
      <c r="F1846" s="171" t="s">
        <v>1698</v>
      </c>
      <c r="G1846" s="205">
        <f>SUM(G1843:G1845)</f>
        <v>980319.5</v>
      </c>
    </row>
    <row r="1847" spans="2:34">
      <c r="B1847" s="26" t="s">
        <v>5087</v>
      </c>
      <c r="E1847" s="693">
        <f>'BASIC DATA'!C593</f>
        <v>0</v>
      </c>
      <c r="F1847" s="171" t="s">
        <v>1698</v>
      </c>
      <c r="G1847" s="68">
        <f>(G1845+G1844)*E1847*0.75</f>
        <v>0</v>
      </c>
    </row>
    <row r="1848" spans="2:34">
      <c r="B1848" s="26" t="s">
        <v>5084</v>
      </c>
      <c r="E1848" s="171" t="s">
        <v>1518</v>
      </c>
      <c r="F1848" s="171" t="s">
        <v>1698</v>
      </c>
      <c r="G1848" s="205">
        <f>G1847+G1846</f>
        <v>980319.5</v>
      </c>
    </row>
    <row r="1849" spans="2:34">
      <c r="B1849" s="26" t="s">
        <v>5086</v>
      </c>
      <c r="E1849" s="201">
        <f>'BASIC DATA'!C594</f>
        <v>0.03</v>
      </c>
      <c r="F1849" s="171" t="s">
        <v>1698</v>
      </c>
      <c r="G1849" s="75">
        <f>G1848*E1849</f>
        <v>29409.584999999999</v>
      </c>
    </row>
    <row r="1850" spans="2:34">
      <c r="B1850" s="26"/>
      <c r="E1850" s="26" t="s">
        <v>2392</v>
      </c>
      <c r="F1850" s="171" t="s">
        <v>1698</v>
      </c>
      <c r="G1850" s="75">
        <f>G1849+G1848</f>
        <v>1009729.085</v>
      </c>
    </row>
    <row r="1851" spans="2:34">
      <c r="B1851" s="1206" t="s">
        <v>4717</v>
      </c>
      <c r="C1851" s="1206"/>
      <c r="D1851" s="201">
        <f>'BASIC DATA'!$C$577</f>
        <v>0.13614999999999999</v>
      </c>
      <c r="F1851" s="171" t="s">
        <v>1698</v>
      </c>
      <c r="G1851" s="75">
        <f>G1850*D1851</f>
        <v>137474.61492274998</v>
      </c>
      <c r="I1851" s="68"/>
    </row>
    <row r="1852" spans="2:34">
      <c r="B1852" s="26" t="s">
        <v>898</v>
      </c>
    </row>
    <row r="1853" spans="2:34">
      <c r="B1853" s="47" t="s">
        <v>897</v>
      </c>
      <c r="D1853" s="48"/>
      <c r="E1853" s="68">
        <f>leadcharges!F65</f>
        <v>19</v>
      </c>
      <c r="F1853" s="27" t="s">
        <v>1279</v>
      </c>
      <c r="G1853" s="76">
        <f>2*ROUND(E1853*F1770,3)</f>
        <v>349.67599999999999</v>
      </c>
      <c r="AH1853" s="68"/>
    </row>
    <row r="1854" spans="2:34">
      <c r="B1854" s="47" t="s">
        <v>896</v>
      </c>
      <c r="D1854" s="48"/>
      <c r="E1854" s="68">
        <f>leadcharges!$G$79</f>
        <v>74.8</v>
      </c>
      <c r="F1854" s="27" t="s">
        <v>1279</v>
      </c>
      <c r="G1854" s="76">
        <f>2*ROUND(E1854*F1770,3)</f>
        <v>1376.62</v>
      </c>
    </row>
    <row r="1855" spans="2:34" ht="18.75" thickBot="1">
      <c r="B1855" s="26" t="s">
        <v>5078</v>
      </c>
      <c r="D1855" s="278">
        <f>F1770</f>
        <v>9.202</v>
      </c>
      <c r="E1855" s="26" t="s">
        <v>3480</v>
      </c>
      <c r="F1855" s="171" t="s">
        <v>1698</v>
      </c>
      <c r="G1855" s="205">
        <f>G1851+G1850+G1854+G1853</f>
        <v>1148929.9959227501</v>
      </c>
    </row>
    <row r="1856" spans="2:34" ht="18.75" thickBot="1">
      <c r="D1856" s="694" t="s">
        <v>3884</v>
      </c>
      <c r="E1856" s="695" t="s">
        <v>3480</v>
      </c>
      <c r="F1856" s="696" t="s">
        <v>1698</v>
      </c>
      <c r="G1856" s="715">
        <f>ROUND(G1855/D1855,1)</f>
        <v>124856.6</v>
      </c>
    </row>
    <row r="1857" spans="1:8">
      <c r="B1857" s="26"/>
      <c r="C1857" s="78"/>
    </row>
    <row r="1858" spans="1:8">
      <c r="B1858" s="26"/>
      <c r="E1858" s="33"/>
      <c r="F1858" s="31"/>
      <c r="G1858" s="33"/>
      <c r="H1858" s="171"/>
    </row>
    <row r="1859" spans="1:8">
      <c r="B1859" s="314" t="s">
        <v>2881</v>
      </c>
    </row>
    <row r="1860" spans="1:8" ht="18.75">
      <c r="A1860" s="26" t="s">
        <v>7172</v>
      </c>
      <c r="B1860" s="26" t="s">
        <v>9050</v>
      </c>
    </row>
    <row r="1861" spans="1:8">
      <c r="B1861" s="26" t="s">
        <v>9051</v>
      </c>
    </row>
    <row r="1862" spans="1:8">
      <c r="B1862" s="26" t="s">
        <v>842</v>
      </c>
    </row>
    <row r="1863" spans="1:8">
      <c r="B1863" s="26" t="s">
        <v>2882</v>
      </c>
    </row>
    <row r="1864" spans="1:8">
      <c r="B1864" s="26" t="s">
        <v>1653</v>
      </c>
    </row>
    <row r="1865" spans="1:8">
      <c r="B1865" s="26" t="s">
        <v>538</v>
      </c>
      <c r="E1865" s="322"/>
    </row>
    <row r="1866" spans="1:8">
      <c r="B1866" s="26" t="s">
        <v>3549</v>
      </c>
      <c r="E1866" s="322"/>
    </row>
    <row r="1867" spans="1:8">
      <c r="B1867" s="26"/>
    </row>
    <row r="1868" spans="1:8" hidden="1">
      <c r="A1868" s="78" t="s">
        <v>3984</v>
      </c>
      <c r="B1868" s="26" t="s">
        <v>4224</v>
      </c>
    </row>
    <row r="1869" spans="1:8" hidden="1">
      <c r="B1869" s="26" t="s">
        <v>2512</v>
      </c>
    </row>
    <row r="1870" spans="1:8" hidden="1">
      <c r="B1870" s="26" t="s">
        <v>2513</v>
      </c>
    </row>
    <row r="1871" spans="1:8" hidden="1">
      <c r="B1871" s="26" t="s">
        <v>6870</v>
      </c>
    </row>
    <row r="1872" spans="1:8" hidden="1">
      <c r="B1872" s="26" t="s">
        <v>6871</v>
      </c>
    </row>
    <row r="1873" spans="1:7" hidden="1">
      <c r="B1873" s="26"/>
    </row>
    <row r="1874" spans="1:7" hidden="1">
      <c r="B1874" s="26" t="s">
        <v>6872</v>
      </c>
      <c r="D1874" s="26" t="s">
        <v>1697</v>
      </c>
    </row>
    <row r="1875" spans="1:7" hidden="1">
      <c r="B1875" s="26" t="s">
        <v>6873</v>
      </c>
      <c r="D1875" s="26" t="s">
        <v>1697</v>
      </c>
      <c r="E1875" s="278">
        <v>25</v>
      </c>
      <c r="F1875" s="26" t="s">
        <v>45</v>
      </c>
    </row>
    <row r="1876" spans="1:7" hidden="1">
      <c r="B1876" s="26" t="s">
        <v>1654</v>
      </c>
      <c r="E1876" s="322" t="s">
        <v>1697</v>
      </c>
      <c r="F1876" s="26">
        <v>6.2430000000000003</v>
      </c>
      <c r="G1876" s="26" t="s">
        <v>2710</v>
      </c>
    </row>
    <row r="1877" spans="1:7" hidden="1">
      <c r="B1877" s="26" t="s">
        <v>240</v>
      </c>
    </row>
    <row r="1878" spans="1:7" hidden="1">
      <c r="A1878" s="78">
        <v>1</v>
      </c>
      <c r="B1878" s="26" t="s">
        <v>5780</v>
      </c>
    </row>
    <row r="1879" spans="1:7" hidden="1">
      <c r="A1879" s="171" t="s">
        <v>1535</v>
      </c>
      <c r="B1879" s="26" t="s">
        <v>241</v>
      </c>
    </row>
    <row r="1880" spans="1:7" hidden="1">
      <c r="A1880" s="171"/>
      <c r="B1880" s="26" t="s">
        <v>5966</v>
      </c>
      <c r="E1880" s="322" t="s">
        <v>1697</v>
      </c>
      <c r="F1880" s="26">
        <v>1487</v>
      </c>
      <c r="G1880" s="26" t="s">
        <v>3478</v>
      </c>
    </row>
    <row r="1881" spans="1:7" hidden="1">
      <c r="A1881" s="171"/>
      <c r="B1881" s="26" t="s">
        <v>5967</v>
      </c>
      <c r="E1881" s="322" t="s">
        <v>1697</v>
      </c>
      <c r="F1881" s="26">
        <v>402</v>
      </c>
      <c r="G1881" s="26" t="s">
        <v>3478</v>
      </c>
    </row>
    <row r="1882" spans="1:7" hidden="1">
      <c r="A1882" s="171"/>
      <c r="B1882" s="26" t="s">
        <v>2329</v>
      </c>
      <c r="E1882" s="322" t="s">
        <v>1697</v>
      </c>
      <c r="F1882" s="26">
        <v>290</v>
      </c>
      <c r="G1882" s="26" t="s">
        <v>3478</v>
      </c>
    </row>
    <row r="1883" spans="1:7" hidden="1">
      <c r="A1883" s="171" t="s">
        <v>5400</v>
      </c>
      <c r="B1883" s="26" t="s">
        <v>5165</v>
      </c>
      <c r="E1883" s="322"/>
    </row>
    <row r="1884" spans="1:7" hidden="1">
      <c r="A1884" s="171"/>
      <c r="B1884" s="26" t="s">
        <v>4987</v>
      </c>
      <c r="E1884" s="322" t="s">
        <v>1697</v>
      </c>
      <c r="F1884" s="26">
        <v>1926</v>
      </c>
      <c r="G1884" s="26" t="s">
        <v>3478</v>
      </c>
    </row>
    <row r="1885" spans="1:7" hidden="1">
      <c r="A1885" s="171"/>
      <c r="B1885" s="26" t="s">
        <v>5969</v>
      </c>
      <c r="E1885" s="322" t="s">
        <v>1697</v>
      </c>
      <c r="F1885" s="26">
        <v>79</v>
      </c>
      <c r="G1885" s="26" t="s">
        <v>3478</v>
      </c>
    </row>
    <row r="1886" spans="1:7" hidden="1">
      <c r="A1886" s="171"/>
      <c r="B1886" s="26" t="s">
        <v>6874</v>
      </c>
      <c r="E1886" s="322" t="s">
        <v>1697</v>
      </c>
      <c r="F1886" s="26">
        <v>306</v>
      </c>
      <c r="G1886" s="26" t="s">
        <v>3478</v>
      </c>
    </row>
    <row r="1887" spans="1:7" hidden="1">
      <c r="A1887" s="171"/>
      <c r="B1887" s="26" t="s">
        <v>5971</v>
      </c>
      <c r="E1887" s="322" t="s">
        <v>1697</v>
      </c>
      <c r="F1887" s="26">
        <v>72</v>
      </c>
      <c r="G1887" s="26" t="s">
        <v>3478</v>
      </c>
    </row>
    <row r="1888" spans="1:7" hidden="1">
      <c r="A1888" s="171" t="s">
        <v>5401</v>
      </c>
      <c r="B1888" s="26" t="s">
        <v>6875</v>
      </c>
      <c r="E1888" s="322"/>
    </row>
    <row r="1889" spans="1:7" hidden="1">
      <c r="A1889" s="171"/>
      <c r="B1889" s="26" t="s">
        <v>4772</v>
      </c>
      <c r="E1889" s="322" t="s">
        <v>1697</v>
      </c>
      <c r="F1889" s="26">
        <v>346</v>
      </c>
      <c r="G1889" s="26" t="s">
        <v>3478</v>
      </c>
    </row>
    <row r="1890" spans="1:7" hidden="1">
      <c r="A1890" s="171"/>
      <c r="B1890" s="26" t="s">
        <v>4773</v>
      </c>
      <c r="E1890" s="322" t="s">
        <v>1697</v>
      </c>
      <c r="F1890" s="26">
        <v>73</v>
      </c>
      <c r="G1890" s="26" t="s">
        <v>3478</v>
      </c>
    </row>
    <row r="1891" spans="1:7" hidden="1">
      <c r="A1891" s="171" t="s">
        <v>1696</v>
      </c>
      <c r="B1891" s="26" t="s">
        <v>6988</v>
      </c>
      <c r="E1891" s="322"/>
    </row>
    <row r="1892" spans="1:7" hidden="1">
      <c r="A1892" s="171"/>
      <c r="B1892" s="26" t="s">
        <v>6989</v>
      </c>
      <c r="E1892" s="322" t="s">
        <v>1697</v>
      </c>
      <c r="F1892" s="26">
        <v>57</v>
      </c>
      <c r="G1892" s="26" t="s">
        <v>3478</v>
      </c>
    </row>
    <row r="1893" spans="1:7" hidden="1">
      <c r="A1893" s="171" t="s">
        <v>5082</v>
      </c>
      <c r="B1893" s="26" t="s">
        <v>5128</v>
      </c>
      <c r="E1893" s="322"/>
    </row>
    <row r="1894" spans="1:7" hidden="1">
      <c r="A1894" s="171"/>
      <c r="B1894" s="26" t="s">
        <v>3606</v>
      </c>
      <c r="E1894" s="322" t="s">
        <v>1697</v>
      </c>
      <c r="F1894" s="26">
        <v>32</v>
      </c>
      <c r="G1894" s="26" t="s">
        <v>3478</v>
      </c>
    </row>
    <row r="1895" spans="1:7" hidden="1">
      <c r="A1895" s="171" t="s">
        <v>2408</v>
      </c>
      <c r="B1895" s="26" t="s">
        <v>6876</v>
      </c>
      <c r="E1895" s="322"/>
    </row>
    <row r="1896" spans="1:7" hidden="1">
      <c r="A1896" s="171"/>
      <c r="B1896" s="26" t="s">
        <v>694</v>
      </c>
      <c r="E1896" s="322" t="s">
        <v>1697</v>
      </c>
      <c r="F1896" s="26">
        <v>325</v>
      </c>
      <c r="G1896" s="26" t="s">
        <v>3478</v>
      </c>
    </row>
    <row r="1897" spans="1:7" hidden="1">
      <c r="A1897" s="171" t="s">
        <v>2410</v>
      </c>
      <c r="B1897" s="26" t="s">
        <v>1705</v>
      </c>
      <c r="E1897" s="322"/>
    </row>
    <row r="1898" spans="1:7" hidden="1">
      <c r="A1898" s="171"/>
      <c r="B1898" s="26" t="s">
        <v>5979</v>
      </c>
      <c r="E1898" s="322" t="s">
        <v>1697</v>
      </c>
      <c r="F1898" s="26">
        <v>1</v>
      </c>
      <c r="G1898" s="26" t="s">
        <v>4089</v>
      </c>
    </row>
    <row r="1899" spans="1:7" hidden="1">
      <c r="A1899" s="171"/>
      <c r="B1899" s="26" t="s">
        <v>1707</v>
      </c>
      <c r="E1899" s="322" t="s">
        <v>1697</v>
      </c>
      <c r="F1899" s="26">
        <v>1</v>
      </c>
      <c r="G1899" s="26" t="s">
        <v>4089</v>
      </c>
    </row>
    <row r="1900" spans="1:7" hidden="1">
      <c r="A1900" s="171"/>
      <c r="B1900" s="26" t="s">
        <v>5752</v>
      </c>
      <c r="E1900" s="322" t="s">
        <v>1697</v>
      </c>
      <c r="F1900" s="26">
        <v>1</v>
      </c>
      <c r="G1900" s="26" t="s">
        <v>4089</v>
      </c>
    </row>
    <row r="1901" spans="1:7" hidden="1">
      <c r="A1901" s="171"/>
      <c r="B1901" s="26" t="s">
        <v>6185</v>
      </c>
      <c r="E1901" s="322" t="s">
        <v>1697</v>
      </c>
      <c r="F1901" s="26">
        <v>1</v>
      </c>
      <c r="G1901" s="26" t="s">
        <v>4089</v>
      </c>
    </row>
    <row r="1902" spans="1:7" hidden="1">
      <c r="A1902" s="171"/>
      <c r="B1902" s="26" t="s">
        <v>6186</v>
      </c>
      <c r="E1902" s="322" t="s">
        <v>1697</v>
      </c>
      <c r="F1902" s="26">
        <v>1</v>
      </c>
      <c r="G1902" s="26" t="s">
        <v>4089</v>
      </c>
    </row>
    <row r="1903" spans="1:7" hidden="1">
      <c r="A1903" s="171"/>
      <c r="B1903" s="26" t="s">
        <v>6400</v>
      </c>
      <c r="E1903" s="322" t="s">
        <v>1697</v>
      </c>
      <c r="F1903" s="26">
        <v>1</v>
      </c>
      <c r="G1903" s="26" t="s">
        <v>6927</v>
      </c>
    </row>
    <row r="1904" spans="1:7" hidden="1">
      <c r="A1904" s="171" t="s">
        <v>6401</v>
      </c>
      <c r="B1904" s="26" t="s">
        <v>1195</v>
      </c>
      <c r="E1904" s="322"/>
    </row>
    <row r="1905" spans="1:7" hidden="1">
      <c r="A1905" s="171"/>
      <c r="B1905" s="26" t="s">
        <v>517</v>
      </c>
      <c r="E1905" s="322" t="s">
        <v>1697</v>
      </c>
      <c r="F1905" s="26">
        <v>80</v>
      </c>
      <c r="G1905" s="26" t="s">
        <v>2059</v>
      </c>
    </row>
    <row r="1906" spans="1:7" hidden="1">
      <c r="B1906" s="26" t="s">
        <v>519</v>
      </c>
      <c r="E1906" s="322" t="s">
        <v>1697</v>
      </c>
      <c r="F1906" s="26">
        <v>720</v>
      </c>
      <c r="G1906" s="26" t="s">
        <v>2059</v>
      </c>
    </row>
    <row r="1907" spans="1:7" hidden="1">
      <c r="A1907" s="78">
        <v>2</v>
      </c>
      <c r="B1907" s="26" t="s">
        <v>2281</v>
      </c>
      <c r="E1907" s="322"/>
    </row>
    <row r="1908" spans="1:7" hidden="1">
      <c r="B1908" s="26" t="s">
        <v>4962</v>
      </c>
      <c r="E1908" s="322" t="s">
        <v>1697</v>
      </c>
      <c r="F1908" s="26">
        <v>57</v>
      </c>
      <c r="G1908" s="26" t="s">
        <v>3483</v>
      </c>
    </row>
    <row r="1909" spans="1:7" hidden="1">
      <c r="B1909" s="26" t="s">
        <v>2985</v>
      </c>
      <c r="E1909" s="322" t="s">
        <v>1697</v>
      </c>
      <c r="F1909" s="174">
        <v>6</v>
      </c>
      <c r="G1909" s="26" t="s">
        <v>3483</v>
      </c>
    </row>
    <row r="1910" spans="1:7" hidden="1">
      <c r="B1910" s="26"/>
      <c r="D1910" s="171" t="s">
        <v>1518</v>
      </c>
      <c r="E1910" s="322" t="s">
        <v>1697</v>
      </c>
      <c r="F1910" s="26">
        <v>63</v>
      </c>
      <c r="G1910" s="26" t="s">
        <v>3483</v>
      </c>
    </row>
    <row r="1911" spans="1:7" hidden="1">
      <c r="B1911" s="26" t="s">
        <v>165</v>
      </c>
      <c r="E1911" s="322"/>
    </row>
    <row r="1912" spans="1:7" hidden="1">
      <c r="B1912" s="26" t="s">
        <v>3532</v>
      </c>
      <c r="E1912" s="322" t="s">
        <v>1697</v>
      </c>
      <c r="F1912" s="26">
        <v>26</v>
      </c>
      <c r="G1912" s="26" t="s">
        <v>2602</v>
      </c>
    </row>
    <row r="1913" spans="1:7" hidden="1">
      <c r="B1913" s="26" t="s">
        <v>3533</v>
      </c>
      <c r="E1913" s="322" t="s">
        <v>1697</v>
      </c>
      <c r="F1913" s="26">
        <v>37</v>
      </c>
      <c r="G1913" s="26" t="s">
        <v>2602</v>
      </c>
    </row>
    <row r="1914" spans="1:7" hidden="1">
      <c r="B1914" s="26" t="s">
        <v>2278</v>
      </c>
      <c r="E1914" s="322" t="s">
        <v>1697</v>
      </c>
      <c r="F1914" s="26">
        <v>13</v>
      </c>
      <c r="G1914" s="26" t="s">
        <v>4665</v>
      </c>
    </row>
    <row r="1915" spans="1:7" hidden="1">
      <c r="B1915" s="26" t="s">
        <v>2279</v>
      </c>
      <c r="E1915" s="322" t="s">
        <v>1697</v>
      </c>
      <c r="F1915" s="26">
        <v>12</v>
      </c>
      <c r="G1915" s="26" t="s">
        <v>4665</v>
      </c>
    </row>
    <row r="1916" spans="1:7" hidden="1">
      <c r="B1916" s="26" t="s">
        <v>4062</v>
      </c>
      <c r="E1916" s="322" t="s">
        <v>1697</v>
      </c>
      <c r="F1916" s="26">
        <v>15</v>
      </c>
      <c r="G1916" s="26" t="s">
        <v>3477</v>
      </c>
    </row>
    <row r="1917" spans="1:7" hidden="1">
      <c r="B1917" s="26" t="s">
        <v>4063</v>
      </c>
      <c r="E1917" s="322" t="s">
        <v>1697</v>
      </c>
      <c r="F1917" s="26">
        <v>45</v>
      </c>
      <c r="G1917" s="26" t="s">
        <v>3477</v>
      </c>
    </row>
    <row r="1918" spans="1:7" hidden="1">
      <c r="B1918" s="26" t="s">
        <v>4862</v>
      </c>
      <c r="E1918" s="322" t="s">
        <v>1697</v>
      </c>
      <c r="F1918" s="26">
        <v>16</v>
      </c>
      <c r="G1918" s="26" t="s">
        <v>4665</v>
      </c>
    </row>
    <row r="1919" spans="1:7" hidden="1">
      <c r="B1919" s="26" t="s">
        <v>6773</v>
      </c>
      <c r="E1919" s="322" t="s">
        <v>1697</v>
      </c>
      <c r="F1919" s="26">
        <v>15</v>
      </c>
      <c r="G1919" s="26" t="s">
        <v>4665</v>
      </c>
    </row>
    <row r="1920" spans="1:7" hidden="1">
      <c r="A1920" s="78">
        <v>3</v>
      </c>
      <c r="B1920" s="26" t="s">
        <v>4651</v>
      </c>
      <c r="E1920" s="322"/>
    </row>
    <row r="1921" spans="1:7" hidden="1">
      <c r="B1921" s="26" t="s">
        <v>2504</v>
      </c>
      <c r="E1921" s="322" t="s">
        <v>1697</v>
      </c>
      <c r="F1921" s="26">
        <v>97</v>
      </c>
      <c r="G1921" s="26" t="s">
        <v>3483</v>
      </c>
    </row>
    <row r="1922" spans="1:7" hidden="1">
      <c r="B1922" s="26" t="s">
        <v>5723</v>
      </c>
      <c r="E1922" s="322"/>
    </row>
    <row r="1923" spans="1:7" hidden="1">
      <c r="B1923" s="26"/>
      <c r="C1923" s="26" t="s">
        <v>6774</v>
      </c>
      <c r="E1923" s="322" t="s">
        <v>1697</v>
      </c>
      <c r="F1923" s="26">
        <v>21</v>
      </c>
      <c r="G1923" s="26" t="s">
        <v>4665</v>
      </c>
    </row>
    <row r="1924" spans="1:7" hidden="1">
      <c r="B1924" s="26" t="s">
        <v>1913</v>
      </c>
      <c r="E1924" s="322"/>
    </row>
    <row r="1925" spans="1:7" hidden="1">
      <c r="B1925" s="26"/>
      <c r="C1925" s="26" t="s">
        <v>6775</v>
      </c>
      <c r="E1925" s="322" t="s">
        <v>1697</v>
      </c>
      <c r="F1925" s="26">
        <v>64</v>
      </c>
      <c r="G1925" s="26" t="s">
        <v>4665</v>
      </c>
    </row>
    <row r="1926" spans="1:7" hidden="1">
      <c r="B1926" s="26"/>
      <c r="D1926" s="171" t="s">
        <v>1518</v>
      </c>
      <c r="E1926" s="322" t="s">
        <v>1697</v>
      </c>
      <c r="F1926" s="26">
        <v>85</v>
      </c>
      <c r="G1926" s="26" t="s">
        <v>4665</v>
      </c>
    </row>
    <row r="1927" spans="1:7" hidden="1">
      <c r="B1927" s="26" t="s">
        <v>6776</v>
      </c>
      <c r="E1927" s="322"/>
    </row>
    <row r="1928" spans="1:7" hidden="1">
      <c r="B1928" s="26" t="s">
        <v>2657</v>
      </c>
      <c r="E1928" s="322"/>
    </row>
    <row r="1929" spans="1:7" hidden="1">
      <c r="B1929" s="26"/>
      <c r="E1929" s="322"/>
    </row>
    <row r="1930" spans="1:7" hidden="1">
      <c r="A1930" s="78">
        <v>4</v>
      </c>
      <c r="B1930" s="26" t="s">
        <v>4249</v>
      </c>
    </row>
    <row r="1931" spans="1:7" hidden="1">
      <c r="B1931" s="26" t="s">
        <v>1818</v>
      </c>
    </row>
    <row r="1932" spans="1:7" hidden="1">
      <c r="B1932" s="26" t="s">
        <v>6777</v>
      </c>
    </row>
    <row r="1933" spans="1:7" hidden="1">
      <c r="B1933" s="26" t="s">
        <v>6778</v>
      </c>
    </row>
    <row r="1934" spans="1:7" hidden="1">
      <c r="B1934" s="26" t="s">
        <v>1887</v>
      </c>
    </row>
    <row r="1935" spans="1:7" hidden="1">
      <c r="B1935" s="26" t="s">
        <v>2832</v>
      </c>
    </row>
    <row r="1936" spans="1:7" hidden="1">
      <c r="B1936" s="26"/>
    </row>
    <row r="1937" spans="1:7" hidden="1">
      <c r="A1937" s="78">
        <v>5</v>
      </c>
      <c r="B1937" s="31" t="s">
        <v>4900</v>
      </c>
      <c r="C1937" s="31"/>
      <c r="D1937" s="31"/>
      <c r="E1937" s="31"/>
      <c r="F1937" s="31"/>
    </row>
    <row r="1938" spans="1:7" hidden="1">
      <c r="B1938" s="1268" t="s">
        <v>4901</v>
      </c>
      <c r="C1938" s="1268"/>
      <c r="D1938" s="38" t="s">
        <v>2468</v>
      </c>
      <c r="E1938" s="38" t="s">
        <v>4902</v>
      </c>
      <c r="F1938" s="38" t="s">
        <v>4903</v>
      </c>
      <c r="G1938" s="38" t="s">
        <v>6199</v>
      </c>
    </row>
    <row r="1939" spans="1:7" hidden="1">
      <c r="B1939" s="1268"/>
      <c r="C1939" s="1268"/>
      <c r="D1939" s="38"/>
      <c r="E1939" s="38" t="s">
        <v>4904</v>
      </c>
      <c r="F1939" s="38" t="s">
        <v>4905</v>
      </c>
      <c r="G1939" s="38"/>
    </row>
    <row r="1940" spans="1:7" hidden="1">
      <c r="B1940" s="1268"/>
      <c r="C1940" s="1268"/>
      <c r="D1940" s="38"/>
      <c r="E1940" s="38" t="s">
        <v>6307</v>
      </c>
      <c r="F1940" s="36"/>
      <c r="G1940" s="38"/>
    </row>
    <row r="1941" spans="1:7" hidden="1">
      <c r="B1941" s="38" t="s">
        <v>6779</v>
      </c>
      <c r="C1941" s="38"/>
      <c r="D1941" s="36">
        <v>2</v>
      </c>
      <c r="E1941" s="36">
        <v>4</v>
      </c>
      <c r="F1941" s="36">
        <v>4</v>
      </c>
      <c r="G1941" s="36">
        <v>8</v>
      </c>
    </row>
    <row r="1942" spans="1:7" hidden="1">
      <c r="B1942" s="38" t="s">
        <v>6780</v>
      </c>
      <c r="C1942" s="38"/>
      <c r="D1942" s="36">
        <v>1</v>
      </c>
      <c r="E1942" s="36">
        <v>3</v>
      </c>
      <c r="F1942" s="36" t="s">
        <v>5854</v>
      </c>
      <c r="G1942" s="36">
        <v>6</v>
      </c>
    </row>
    <row r="1943" spans="1:7" hidden="1">
      <c r="B1943" s="38" t="s">
        <v>6781</v>
      </c>
      <c r="C1943" s="38"/>
      <c r="D1943" s="36">
        <v>1</v>
      </c>
      <c r="E1943" s="36" t="s">
        <v>5854</v>
      </c>
      <c r="F1943" s="36">
        <v>8</v>
      </c>
      <c r="G1943" s="36">
        <v>8</v>
      </c>
    </row>
    <row r="1944" spans="1:7" hidden="1">
      <c r="B1944" s="38" t="s">
        <v>3268</v>
      </c>
      <c r="C1944" s="38"/>
      <c r="D1944" s="36">
        <v>1</v>
      </c>
      <c r="E1944" s="36">
        <v>1</v>
      </c>
      <c r="F1944" s="36" t="s">
        <v>5854</v>
      </c>
      <c r="G1944" s="36">
        <v>2</v>
      </c>
    </row>
    <row r="1945" spans="1:7" hidden="1">
      <c r="B1945" s="38" t="s">
        <v>6782</v>
      </c>
      <c r="C1945" s="38"/>
      <c r="D1945" s="36">
        <v>1</v>
      </c>
      <c r="E1945" s="36">
        <v>1</v>
      </c>
      <c r="F1945" s="36" t="s">
        <v>5854</v>
      </c>
      <c r="G1945" s="36">
        <v>2</v>
      </c>
    </row>
    <row r="1946" spans="1:7" hidden="1">
      <c r="B1946" s="38" t="s">
        <v>6783</v>
      </c>
      <c r="C1946" s="38"/>
      <c r="D1946" s="36">
        <v>1</v>
      </c>
      <c r="E1946" s="36">
        <v>2</v>
      </c>
      <c r="F1946" s="36" t="s">
        <v>5854</v>
      </c>
      <c r="G1946" s="36">
        <v>4</v>
      </c>
    </row>
    <row r="1947" spans="1:7" hidden="1">
      <c r="B1947" s="38" t="s">
        <v>6784</v>
      </c>
      <c r="C1947" s="38"/>
      <c r="D1947" s="36">
        <v>1</v>
      </c>
      <c r="E1947" s="36">
        <v>1</v>
      </c>
      <c r="F1947" s="36" t="s">
        <v>5854</v>
      </c>
      <c r="G1947" s="36">
        <v>2</v>
      </c>
    </row>
    <row r="1948" spans="1:7" hidden="1">
      <c r="B1948" s="38" t="s">
        <v>3271</v>
      </c>
      <c r="C1948" s="38"/>
      <c r="D1948" s="36">
        <v>1</v>
      </c>
      <c r="E1948" s="36">
        <v>1</v>
      </c>
      <c r="F1948" s="36" t="s">
        <v>5854</v>
      </c>
      <c r="G1948" s="36">
        <v>2</v>
      </c>
    </row>
    <row r="1949" spans="1:7" hidden="1">
      <c r="B1949" s="38" t="s">
        <v>2961</v>
      </c>
      <c r="C1949" s="38"/>
      <c r="D1949" s="36">
        <v>1</v>
      </c>
      <c r="E1949" s="36">
        <v>1</v>
      </c>
      <c r="F1949" s="36" t="s">
        <v>5854</v>
      </c>
      <c r="G1949" s="36">
        <v>2</v>
      </c>
    </row>
    <row r="1950" spans="1:7" hidden="1">
      <c r="B1950" s="38" t="s">
        <v>2962</v>
      </c>
      <c r="C1950" s="38"/>
      <c r="D1950" s="36">
        <v>1</v>
      </c>
      <c r="E1950" s="36">
        <v>1</v>
      </c>
      <c r="F1950" s="36" t="s">
        <v>5854</v>
      </c>
      <c r="G1950" s="36">
        <v>1</v>
      </c>
    </row>
    <row r="1951" spans="1:7" hidden="1">
      <c r="B1951" s="38" t="s">
        <v>3986</v>
      </c>
      <c r="C1951" s="38"/>
      <c r="D1951" s="36">
        <v>1</v>
      </c>
      <c r="E1951" s="36">
        <v>1</v>
      </c>
      <c r="F1951" s="36" t="s">
        <v>5854</v>
      </c>
      <c r="G1951" s="36">
        <v>2</v>
      </c>
    </row>
    <row r="1952" spans="1:7" hidden="1">
      <c r="B1952" s="38" t="s">
        <v>2964</v>
      </c>
      <c r="C1952" s="38"/>
      <c r="D1952" s="36">
        <v>1</v>
      </c>
      <c r="E1952" s="36">
        <v>1</v>
      </c>
      <c r="F1952" s="36" t="s">
        <v>5854</v>
      </c>
      <c r="G1952" s="36">
        <v>2</v>
      </c>
    </row>
    <row r="1953" spans="1:7" hidden="1">
      <c r="B1953" s="38" t="s">
        <v>3987</v>
      </c>
      <c r="C1953" s="38"/>
      <c r="D1953" s="36">
        <v>1</v>
      </c>
      <c r="E1953" s="36">
        <v>1</v>
      </c>
      <c r="F1953" s="36" t="s">
        <v>5854</v>
      </c>
      <c r="G1953" s="36">
        <v>2</v>
      </c>
    </row>
    <row r="1954" spans="1:7" hidden="1">
      <c r="B1954" s="38" t="s">
        <v>1691</v>
      </c>
      <c r="C1954" s="38"/>
      <c r="D1954" s="36">
        <v>1</v>
      </c>
      <c r="E1954" s="36">
        <v>1</v>
      </c>
      <c r="F1954" s="36" t="s">
        <v>5854</v>
      </c>
      <c r="G1954" s="36">
        <v>1</v>
      </c>
    </row>
    <row r="1955" spans="1:7" hidden="1">
      <c r="B1955" s="36" t="s">
        <v>2656</v>
      </c>
      <c r="C1955" s="36"/>
      <c r="D1955" s="36">
        <f>SUM(D1941:D1954)</f>
        <v>15</v>
      </c>
      <c r="E1955" s="36">
        <f>SUM(E1941:E1954)</f>
        <v>19</v>
      </c>
      <c r="F1955" s="36">
        <f>SUM(F1941:F1954)</f>
        <v>12</v>
      </c>
      <c r="G1955" s="36">
        <f>SUM(G1941:G1954)</f>
        <v>44</v>
      </c>
    </row>
    <row r="1956" spans="1:7" hidden="1">
      <c r="A1956" s="78">
        <v>6</v>
      </c>
      <c r="B1956" s="26" t="s">
        <v>673</v>
      </c>
    </row>
    <row r="1957" spans="1:7" hidden="1">
      <c r="B1957" s="26" t="s">
        <v>6017</v>
      </c>
    </row>
    <row r="1958" spans="1:7" hidden="1">
      <c r="B1958" s="26" t="s">
        <v>2385</v>
      </c>
    </row>
    <row r="1959" spans="1:7" hidden="1">
      <c r="B1959" s="26" t="s">
        <v>4751</v>
      </c>
    </row>
    <row r="1960" spans="1:7" hidden="1">
      <c r="A1960" s="78">
        <v>7</v>
      </c>
      <c r="B1960" s="26" t="s">
        <v>2366</v>
      </c>
    </row>
    <row r="1961" spans="1:7" hidden="1">
      <c r="B1961" s="26" t="s">
        <v>1241</v>
      </c>
      <c r="C1961" s="68">
        <f>'BASIC DATA'!D373</f>
        <v>7800</v>
      </c>
      <c r="D1961" s="26" t="s">
        <v>2290</v>
      </c>
      <c r="E1961" s="315" t="s">
        <v>1698</v>
      </c>
      <c r="F1961" s="68">
        <f>C1961</f>
        <v>7800</v>
      </c>
    </row>
    <row r="1962" spans="1:7" hidden="1">
      <c r="B1962" s="26" t="s">
        <v>3231</v>
      </c>
      <c r="E1962" s="322" t="s">
        <v>1697</v>
      </c>
      <c r="F1962" s="316">
        <v>1000</v>
      </c>
      <c r="G1962" s="26" t="s">
        <v>4665</v>
      </c>
    </row>
    <row r="1963" spans="1:7" hidden="1">
      <c r="B1963" s="26" t="s">
        <v>3232</v>
      </c>
      <c r="C1963" s="26" t="s">
        <v>7593</v>
      </c>
      <c r="E1963" s="315" t="s">
        <v>1698</v>
      </c>
      <c r="F1963" s="68">
        <f>F1961/F1962</f>
        <v>7.8</v>
      </c>
    </row>
    <row r="1964" spans="1:7" hidden="1">
      <c r="B1964" s="26" t="s">
        <v>6898</v>
      </c>
      <c r="C1964" s="68">
        <f>'BASIC DATA'!D371</f>
        <v>14500</v>
      </c>
      <c r="D1964" s="26" t="s">
        <v>2290</v>
      </c>
      <c r="E1964" s="315" t="s">
        <v>1698</v>
      </c>
      <c r="F1964" s="68">
        <f>C1964</f>
        <v>14500</v>
      </c>
    </row>
    <row r="1965" spans="1:7" hidden="1">
      <c r="B1965" s="26" t="s">
        <v>5868</v>
      </c>
      <c r="E1965" s="322" t="s">
        <v>1697</v>
      </c>
      <c r="F1965" s="316">
        <v>600</v>
      </c>
      <c r="G1965" s="26" t="s">
        <v>4665</v>
      </c>
    </row>
    <row r="1966" spans="1:7" hidden="1">
      <c r="B1966" s="26" t="s">
        <v>3234</v>
      </c>
      <c r="C1966" s="26" t="s">
        <v>7593</v>
      </c>
      <c r="E1966" s="315" t="s">
        <v>1698</v>
      </c>
      <c r="F1966" s="68">
        <f>F1964/F1965</f>
        <v>24.166666666666668</v>
      </c>
    </row>
    <row r="1967" spans="1:7">
      <c r="A1967" s="78" t="s">
        <v>3984</v>
      </c>
    </row>
    <row r="1968" spans="1:7">
      <c r="C1968" s="203" t="s">
        <v>2367</v>
      </c>
      <c r="E1968" s="171" t="s">
        <v>297</v>
      </c>
      <c r="F1968" s="692">
        <v>6.2430000000000003</v>
      </c>
      <c r="G1968" s="26" t="s">
        <v>4768</v>
      </c>
    </row>
    <row r="1969" spans="2:7">
      <c r="B1969" s="79" t="s">
        <v>2368</v>
      </c>
      <c r="F1969" s="718">
        <v>25</v>
      </c>
      <c r="G1969" s="26" t="s">
        <v>4769</v>
      </c>
    </row>
    <row r="1970" spans="2:7">
      <c r="B1970" s="95" t="s">
        <v>2369</v>
      </c>
      <c r="C1970" s="157" t="s">
        <v>6374</v>
      </c>
      <c r="D1970" s="95" t="s">
        <v>2370</v>
      </c>
      <c r="E1970" s="95" t="s">
        <v>1166</v>
      </c>
      <c r="F1970" s="95" t="s">
        <v>2371</v>
      </c>
      <c r="G1970" s="95" t="s">
        <v>2372</v>
      </c>
    </row>
    <row r="1971" spans="2:7">
      <c r="B1971" s="114"/>
      <c r="C1971" s="154"/>
      <c r="D1971" s="114"/>
      <c r="E1971" s="114"/>
      <c r="F1971" s="114" t="s">
        <v>3485</v>
      </c>
      <c r="G1971" s="114" t="s">
        <v>3485</v>
      </c>
    </row>
    <row r="1972" spans="2:7">
      <c r="B1972" s="95">
        <v>1</v>
      </c>
      <c r="C1972" s="135" t="s">
        <v>4770</v>
      </c>
      <c r="D1972" s="451"/>
      <c r="E1972" s="190"/>
      <c r="F1972" s="214"/>
      <c r="G1972" s="190"/>
    </row>
    <row r="1973" spans="2:7">
      <c r="B1973" s="317"/>
      <c r="C1973" s="135" t="s">
        <v>4915</v>
      </c>
      <c r="D1973" s="319" t="s">
        <v>3478</v>
      </c>
      <c r="E1973" s="190">
        <v>1487</v>
      </c>
      <c r="F1973" s="214">
        <f>'BASIC DATA'!D97/1000</f>
        <v>37.5</v>
      </c>
      <c r="G1973" s="190">
        <f>E1973*F1973</f>
        <v>55762.5</v>
      </c>
    </row>
    <row r="1974" spans="2:7">
      <c r="B1974" s="317"/>
      <c r="C1974" s="135" t="s">
        <v>4916</v>
      </c>
      <c r="D1974" s="319" t="s">
        <v>3478</v>
      </c>
      <c r="E1974" s="190">
        <v>402</v>
      </c>
      <c r="F1974" s="214">
        <f>'BASIC DATA'!D98/1000</f>
        <v>37.4</v>
      </c>
      <c r="G1974" s="190">
        <f t="shared" ref="G1974:G2001" si="30">E1974*F1974</f>
        <v>15034.8</v>
      </c>
    </row>
    <row r="1975" spans="2:7">
      <c r="B1975" s="317"/>
      <c r="C1975" s="135" t="s">
        <v>6899</v>
      </c>
      <c r="D1975" s="319" t="s">
        <v>3478</v>
      </c>
      <c r="E1975" s="190">
        <v>290</v>
      </c>
      <c r="F1975" s="214">
        <f>'BASIC DATA'!D33</f>
        <v>63</v>
      </c>
      <c r="G1975" s="190">
        <f t="shared" si="30"/>
        <v>18270</v>
      </c>
    </row>
    <row r="1976" spans="2:7">
      <c r="B1976" s="105">
        <v>2</v>
      </c>
      <c r="C1976" s="135" t="s">
        <v>4917</v>
      </c>
      <c r="D1976" s="319"/>
      <c r="E1976" s="190"/>
      <c r="F1976" s="214"/>
      <c r="G1976" s="190"/>
    </row>
    <row r="1977" spans="2:7">
      <c r="B1977" s="317"/>
      <c r="C1977" s="135" t="s">
        <v>4987</v>
      </c>
      <c r="D1977" s="319" t="s">
        <v>3478</v>
      </c>
      <c r="E1977" s="190">
        <v>1926</v>
      </c>
      <c r="F1977" s="214">
        <f>'BASIC DATA'!D165</f>
        <v>235</v>
      </c>
      <c r="G1977" s="190">
        <f t="shared" si="30"/>
        <v>452610</v>
      </c>
    </row>
    <row r="1978" spans="2:7">
      <c r="B1978" s="317"/>
      <c r="C1978" s="135" t="s">
        <v>5969</v>
      </c>
      <c r="D1978" s="319" t="s">
        <v>3478</v>
      </c>
      <c r="E1978" s="190">
        <v>79</v>
      </c>
      <c r="F1978" s="214">
        <f>'BASIC DATA'!D166</f>
        <v>225</v>
      </c>
      <c r="G1978" s="190">
        <f t="shared" si="30"/>
        <v>17775</v>
      </c>
    </row>
    <row r="1979" spans="2:7">
      <c r="B1979" s="317"/>
      <c r="C1979" s="135" t="s">
        <v>6874</v>
      </c>
      <c r="D1979" s="319" t="s">
        <v>3478</v>
      </c>
      <c r="E1979" s="190">
        <v>306</v>
      </c>
      <c r="F1979" s="214">
        <f>'BASIC DATA'!D167</f>
        <v>190</v>
      </c>
      <c r="G1979" s="190">
        <f t="shared" si="30"/>
        <v>58140</v>
      </c>
    </row>
    <row r="1980" spans="2:7">
      <c r="B1980" s="317"/>
      <c r="C1980" s="135" t="s">
        <v>5971</v>
      </c>
      <c r="D1980" s="319" t="s">
        <v>3478</v>
      </c>
      <c r="E1980" s="190">
        <v>72</v>
      </c>
      <c r="F1980" s="214">
        <f>'BASIC DATA'!D167</f>
        <v>190</v>
      </c>
      <c r="G1980" s="190">
        <f t="shared" si="30"/>
        <v>13680</v>
      </c>
    </row>
    <row r="1981" spans="2:7">
      <c r="B1981" s="105">
        <v>3</v>
      </c>
      <c r="C1981" s="135" t="s">
        <v>4771</v>
      </c>
      <c r="D1981" s="319"/>
      <c r="E1981" s="190"/>
      <c r="F1981" s="214"/>
      <c r="G1981" s="190"/>
    </row>
    <row r="1982" spans="2:7">
      <c r="B1982" s="317"/>
      <c r="C1982" s="135" t="s">
        <v>4772</v>
      </c>
      <c r="D1982" s="319" t="s">
        <v>3478</v>
      </c>
      <c r="E1982" s="190">
        <v>346</v>
      </c>
      <c r="F1982" s="214">
        <f>'BASIC DATA'!D159</f>
        <v>235</v>
      </c>
      <c r="G1982" s="190">
        <f t="shared" si="30"/>
        <v>81310</v>
      </c>
    </row>
    <row r="1983" spans="2:7">
      <c r="B1983" s="317"/>
      <c r="C1983" s="135" t="s">
        <v>4773</v>
      </c>
      <c r="D1983" s="319" t="s">
        <v>3478</v>
      </c>
      <c r="E1983" s="190">
        <v>73</v>
      </c>
      <c r="F1983" s="214">
        <f>'BASIC DATA'!D160</f>
        <v>450</v>
      </c>
      <c r="G1983" s="190">
        <f t="shared" si="30"/>
        <v>32850</v>
      </c>
    </row>
    <row r="1984" spans="2:7">
      <c r="B1984" s="105">
        <v>4</v>
      </c>
      <c r="C1984" s="135" t="s">
        <v>5973</v>
      </c>
      <c r="D1984" s="319"/>
      <c r="E1984" s="190"/>
      <c r="F1984" s="214"/>
      <c r="G1984" s="190"/>
    </row>
    <row r="1985" spans="2:7">
      <c r="B1985" s="317"/>
      <c r="C1985" s="135" t="s">
        <v>5974</v>
      </c>
      <c r="D1985" s="319" t="s">
        <v>3478</v>
      </c>
      <c r="E1985" s="190">
        <v>57</v>
      </c>
      <c r="F1985" s="214">
        <f>'BASIC DATA'!D163</f>
        <v>970</v>
      </c>
      <c r="G1985" s="190">
        <f t="shared" si="30"/>
        <v>55290</v>
      </c>
    </row>
    <row r="1986" spans="2:7">
      <c r="B1986" s="105">
        <v>5</v>
      </c>
      <c r="C1986" s="135" t="s">
        <v>2976</v>
      </c>
      <c r="D1986" s="319" t="s">
        <v>3478</v>
      </c>
      <c r="E1986" s="190">
        <v>325</v>
      </c>
      <c r="F1986" s="214">
        <f>'BASIC DATA'!D183</f>
        <v>200</v>
      </c>
      <c r="G1986" s="190">
        <f t="shared" si="30"/>
        <v>65000</v>
      </c>
    </row>
    <row r="1987" spans="2:7">
      <c r="B1987" s="105">
        <v>6</v>
      </c>
      <c r="C1987" s="135" t="s">
        <v>5976</v>
      </c>
      <c r="D1987" s="319" t="s">
        <v>3478</v>
      </c>
      <c r="E1987" s="190">
        <v>32</v>
      </c>
      <c r="F1987" s="214">
        <f>'BASIC DATA'!D84</f>
        <v>80</v>
      </c>
      <c r="G1987" s="190">
        <f t="shared" si="30"/>
        <v>2560</v>
      </c>
    </row>
    <row r="1988" spans="2:7">
      <c r="B1988" s="105">
        <v>7</v>
      </c>
      <c r="C1988" s="135" t="s">
        <v>5977</v>
      </c>
      <c r="D1988" s="319" t="s">
        <v>4089</v>
      </c>
      <c r="E1988" s="190">
        <v>1</v>
      </c>
      <c r="F1988" s="214">
        <f>'BASIC DATA'!D382</f>
        <v>224400</v>
      </c>
      <c r="G1988" s="190">
        <f t="shared" si="30"/>
        <v>224400</v>
      </c>
    </row>
    <row r="1989" spans="2:7">
      <c r="B1989" s="105">
        <v>8</v>
      </c>
      <c r="C1989" s="135" t="s">
        <v>5752</v>
      </c>
      <c r="D1989" s="319" t="s">
        <v>4089</v>
      </c>
      <c r="E1989" s="190">
        <v>1</v>
      </c>
      <c r="F1989" s="214">
        <f>'BASIC DATA'!D386</f>
        <v>33000</v>
      </c>
      <c r="G1989" s="190">
        <f t="shared" si="30"/>
        <v>33000</v>
      </c>
    </row>
    <row r="1990" spans="2:7">
      <c r="B1990" s="105">
        <v>9</v>
      </c>
      <c r="C1990" s="135" t="s">
        <v>5979</v>
      </c>
      <c r="D1990" s="319" t="s">
        <v>4089</v>
      </c>
      <c r="E1990" s="190">
        <v>1</v>
      </c>
      <c r="F1990" s="214">
        <f>'BASIC DATA'!D390</f>
        <v>28820</v>
      </c>
      <c r="G1990" s="190">
        <f t="shared" si="30"/>
        <v>28820</v>
      </c>
    </row>
    <row r="1991" spans="2:7">
      <c r="B1991" s="105">
        <v>10</v>
      </c>
      <c r="C1991" s="135" t="s">
        <v>6185</v>
      </c>
      <c r="D1991" s="319" t="s">
        <v>4089</v>
      </c>
      <c r="E1991" s="190">
        <v>1</v>
      </c>
      <c r="F1991" s="214">
        <f>'BASIC DATA'!D391</f>
        <v>195800</v>
      </c>
      <c r="G1991" s="190">
        <f t="shared" si="30"/>
        <v>195800</v>
      </c>
    </row>
    <row r="1992" spans="2:7">
      <c r="B1992" s="105">
        <v>11</v>
      </c>
      <c r="C1992" s="135" t="s">
        <v>6186</v>
      </c>
      <c r="D1992" s="319" t="s">
        <v>4089</v>
      </c>
      <c r="E1992" s="190">
        <v>1</v>
      </c>
      <c r="F1992" s="214">
        <f>'BASIC DATA'!D392</f>
        <v>35200</v>
      </c>
      <c r="G1992" s="190">
        <f t="shared" si="30"/>
        <v>35200</v>
      </c>
    </row>
    <row r="1993" spans="2:7">
      <c r="B1993" s="105">
        <v>12</v>
      </c>
      <c r="C1993" s="135" t="s">
        <v>6400</v>
      </c>
      <c r="D1993" s="319" t="s">
        <v>2173</v>
      </c>
      <c r="E1993" s="190">
        <v>1</v>
      </c>
      <c r="F1993" s="214">
        <f>'BASIC DATA'!D393</f>
        <v>50380</v>
      </c>
      <c r="G1993" s="190">
        <f t="shared" si="30"/>
        <v>50380</v>
      </c>
    </row>
    <row r="1994" spans="2:7">
      <c r="B1994" s="105">
        <v>13</v>
      </c>
      <c r="C1994" s="135" t="s">
        <v>958</v>
      </c>
      <c r="D1994" s="319" t="s">
        <v>3477</v>
      </c>
      <c r="E1994" s="190">
        <v>45</v>
      </c>
      <c r="F1994" s="214">
        <f>'BASIC DATA'!D87</f>
        <v>42</v>
      </c>
      <c r="G1994" s="190">
        <f t="shared" si="30"/>
        <v>1890</v>
      </c>
    </row>
    <row r="1995" spans="2:7">
      <c r="B1995" s="105">
        <v>14</v>
      </c>
      <c r="C1995" s="135" t="s">
        <v>6815</v>
      </c>
      <c r="D1995" s="319" t="s">
        <v>3477</v>
      </c>
      <c r="E1995" s="190">
        <v>15</v>
      </c>
      <c r="F1995" s="214">
        <f>'BASIC DATA'!D28</f>
        <v>335</v>
      </c>
      <c r="G1995" s="190">
        <f t="shared" si="30"/>
        <v>5025</v>
      </c>
    </row>
    <row r="1996" spans="2:7">
      <c r="B1996" s="105">
        <v>15</v>
      </c>
      <c r="C1996" s="135" t="s">
        <v>6816</v>
      </c>
      <c r="D1996" s="319" t="s">
        <v>2059</v>
      </c>
      <c r="E1996" s="190">
        <v>80</v>
      </c>
      <c r="F1996" s="214">
        <f>'BASIC DATA'!D109</f>
        <v>80</v>
      </c>
      <c r="G1996" s="190">
        <f t="shared" si="30"/>
        <v>6400</v>
      </c>
    </row>
    <row r="1997" spans="2:7">
      <c r="B1997" s="105">
        <v>16</v>
      </c>
      <c r="C1997" s="135" t="s">
        <v>4655</v>
      </c>
      <c r="D1997" s="319" t="s">
        <v>2059</v>
      </c>
      <c r="E1997" s="190">
        <v>720</v>
      </c>
      <c r="F1997" s="214">
        <f>'BASIC DATA'!D181</f>
        <v>15</v>
      </c>
      <c r="G1997" s="190">
        <f t="shared" si="30"/>
        <v>10800</v>
      </c>
    </row>
    <row r="1998" spans="2:7">
      <c r="B1998" s="105">
        <v>17</v>
      </c>
      <c r="C1998" s="135" t="s">
        <v>5980</v>
      </c>
      <c r="D1998" s="319" t="s">
        <v>3478</v>
      </c>
      <c r="E1998" s="190">
        <v>50</v>
      </c>
      <c r="F1998" s="214">
        <f>'BASIC DATA'!D372</f>
        <v>275</v>
      </c>
      <c r="G1998" s="190">
        <f t="shared" si="30"/>
        <v>13750</v>
      </c>
    </row>
    <row r="1999" spans="2:7">
      <c r="B1999" s="105">
        <v>18</v>
      </c>
      <c r="C1999" s="135" t="s">
        <v>6556</v>
      </c>
      <c r="D1999" s="319" t="s">
        <v>2374</v>
      </c>
      <c r="E1999" s="190">
        <v>85</v>
      </c>
      <c r="F1999" s="214">
        <f>F1963</f>
        <v>7.8</v>
      </c>
      <c r="G1999" s="190">
        <f t="shared" si="30"/>
        <v>663</v>
      </c>
    </row>
    <row r="2000" spans="2:7">
      <c r="B2000" s="105">
        <v>19</v>
      </c>
      <c r="C2000" s="135" t="s">
        <v>6557</v>
      </c>
      <c r="D2000" s="319" t="s">
        <v>2374</v>
      </c>
      <c r="E2000" s="190">
        <v>16</v>
      </c>
      <c r="F2000" s="214">
        <f>F1966</f>
        <v>24.166666666666668</v>
      </c>
      <c r="G2000" s="190">
        <f t="shared" si="30"/>
        <v>386.66666666666669</v>
      </c>
    </row>
    <row r="2001" spans="2:7">
      <c r="B2001" s="114">
        <v>20</v>
      </c>
      <c r="C2001" s="135" t="s">
        <v>2373</v>
      </c>
      <c r="D2001" s="319" t="s">
        <v>2173</v>
      </c>
      <c r="E2001" s="190">
        <v>25</v>
      </c>
      <c r="F2001" s="214">
        <f>'BASIC DATA'!D359</f>
        <v>30</v>
      </c>
      <c r="G2001" s="190">
        <f t="shared" si="30"/>
        <v>750</v>
      </c>
    </row>
    <row r="2002" spans="2:7">
      <c r="B2002" s="92"/>
      <c r="C2002" s="193"/>
      <c r="D2002" s="151" t="s">
        <v>2376</v>
      </c>
      <c r="E2002" s="160"/>
      <c r="F2002" s="236" t="s">
        <v>1698</v>
      </c>
      <c r="G2002" s="318">
        <f>SUM(G1973:G2001)</f>
        <v>1475546.9666666668</v>
      </c>
    </row>
    <row r="2003" spans="2:7"/>
    <row r="2004" spans="2:7">
      <c r="B2004" s="79" t="s">
        <v>2377</v>
      </c>
    </row>
    <row r="2005" spans="2:7">
      <c r="B2005" s="95" t="s">
        <v>2369</v>
      </c>
      <c r="C2005" s="157" t="s">
        <v>2378</v>
      </c>
      <c r="D2005" s="95" t="s">
        <v>2370</v>
      </c>
      <c r="E2005" s="95" t="s">
        <v>1166</v>
      </c>
      <c r="F2005" s="95" t="s">
        <v>2371</v>
      </c>
      <c r="G2005" s="95" t="s">
        <v>2372</v>
      </c>
    </row>
    <row r="2006" spans="2:7">
      <c r="B2006" s="114"/>
      <c r="C2006" s="154"/>
      <c r="D2006" s="114"/>
      <c r="E2006" s="114"/>
      <c r="F2006" s="114" t="s">
        <v>3485</v>
      </c>
      <c r="G2006" s="114" t="s">
        <v>3485</v>
      </c>
    </row>
    <row r="2007" spans="2:7">
      <c r="B2007" s="95">
        <v>1</v>
      </c>
      <c r="C2007" s="135" t="s">
        <v>6558</v>
      </c>
      <c r="D2007" s="451" t="s">
        <v>2374</v>
      </c>
      <c r="E2007" s="190">
        <v>85</v>
      </c>
      <c r="F2007" s="190">
        <f>'HIRE CHARGES'!D556</f>
        <v>16</v>
      </c>
      <c r="G2007" s="190">
        <f>E2007*F2007</f>
        <v>1360</v>
      </c>
    </row>
    <row r="2008" spans="2:7">
      <c r="B2008" s="317"/>
      <c r="C2008" s="135" t="s">
        <v>2379</v>
      </c>
      <c r="D2008" s="319" t="s">
        <v>2374</v>
      </c>
      <c r="E2008" s="190">
        <v>53</v>
      </c>
      <c r="F2008" s="190">
        <f>'HIRE CHARGES'!E556</f>
        <v>67.2</v>
      </c>
      <c r="G2008" s="190">
        <f t="shared" ref="G2008:G2019" si="31">E2008*F2008</f>
        <v>3561.6000000000004</v>
      </c>
    </row>
    <row r="2009" spans="2:7">
      <c r="B2009" s="105">
        <v>2</v>
      </c>
      <c r="C2009" s="135" t="s">
        <v>389</v>
      </c>
      <c r="D2009" s="319" t="s">
        <v>2374</v>
      </c>
      <c r="E2009" s="190">
        <v>2</v>
      </c>
      <c r="F2009" s="190">
        <f>'HIRE CHARGES'!D547</f>
        <v>867.1</v>
      </c>
      <c r="G2009" s="190">
        <f t="shared" si="31"/>
        <v>1734.2</v>
      </c>
    </row>
    <row r="2010" spans="2:7">
      <c r="B2010" s="317"/>
      <c r="C2010" s="135" t="s">
        <v>2379</v>
      </c>
      <c r="D2010" s="319" t="s">
        <v>2374</v>
      </c>
      <c r="E2010" s="190">
        <v>2</v>
      </c>
      <c r="F2010" s="190">
        <f>'HIRE CHARGES'!E547</f>
        <v>145.69999999999999</v>
      </c>
      <c r="G2010" s="190">
        <f t="shared" si="31"/>
        <v>291.39999999999998</v>
      </c>
    </row>
    <row r="2011" spans="2:7">
      <c r="B2011" s="105">
        <v>3</v>
      </c>
      <c r="C2011" s="135" t="s">
        <v>6060</v>
      </c>
      <c r="D2011" s="319" t="s">
        <v>2374</v>
      </c>
      <c r="E2011" s="190">
        <v>15</v>
      </c>
      <c r="F2011" s="190">
        <f>'HIRE CHARGES'!D539</f>
        <v>6.4</v>
      </c>
      <c r="G2011" s="190">
        <f t="shared" si="31"/>
        <v>96</v>
      </c>
    </row>
    <row r="2012" spans="2:7">
      <c r="B2012" s="317"/>
      <c r="C2012" s="135" t="s">
        <v>2379</v>
      </c>
      <c r="D2012" s="319" t="s">
        <v>2374</v>
      </c>
      <c r="E2012" s="190">
        <v>15</v>
      </c>
      <c r="F2012" s="190">
        <f>'HIRE CHARGES'!E539</f>
        <v>2.8</v>
      </c>
      <c r="G2012" s="190">
        <f t="shared" si="31"/>
        <v>42</v>
      </c>
    </row>
    <row r="2013" spans="2:7">
      <c r="B2013" s="105">
        <v>4</v>
      </c>
      <c r="C2013" s="135" t="s">
        <v>6561</v>
      </c>
      <c r="D2013" s="319" t="s">
        <v>2374</v>
      </c>
      <c r="E2013" s="190">
        <v>10</v>
      </c>
      <c r="F2013" s="190">
        <f>'HIRE CHARGES'!D550</f>
        <v>519.69999999999993</v>
      </c>
      <c r="G2013" s="190">
        <f t="shared" si="31"/>
        <v>5196.9999999999991</v>
      </c>
    </row>
    <row r="2014" spans="2:7">
      <c r="B2014" s="317"/>
      <c r="C2014" s="135" t="s">
        <v>2379</v>
      </c>
      <c r="D2014" s="319" t="s">
        <v>2374</v>
      </c>
      <c r="E2014" s="190">
        <v>10</v>
      </c>
      <c r="F2014" s="190">
        <f>'HIRE CHARGES'!E550</f>
        <v>299.89999999999998</v>
      </c>
      <c r="G2014" s="190">
        <f t="shared" si="31"/>
        <v>2999</v>
      </c>
    </row>
    <row r="2015" spans="2:7">
      <c r="B2015" s="105">
        <v>5</v>
      </c>
      <c r="C2015" s="135" t="s">
        <v>6562</v>
      </c>
      <c r="D2015" s="319" t="s">
        <v>2374</v>
      </c>
      <c r="E2015" s="190">
        <v>2</v>
      </c>
      <c r="F2015" s="190">
        <f>'HIRE CHARGES'!D551</f>
        <v>22.5</v>
      </c>
      <c r="G2015" s="190">
        <f t="shared" si="31"/>
        <v>45</v>
      </c>
    </row>
    <row r="2016" spans="2:7">
      <c r="B2016" s="317"/>
      <c r="C2016" s="135" t="s">
        <v>2379</v>
      </c>
      <c r="D2016" s="319" t="s">
        <v>2374</v>
      </c>
      <c r="E2016" s="190">
        <v>2</v>
      </c>
      <c r="F2016" s="190">
        <f>'HIRE CHARGES'!E551</f>
        <v>28</v>
      </c>
      <c r="G2016" s="190">
        <f t="shared" si="31"/>
        <v>56</v>
      </c>
    </row>
    <row r="2017" spans="2:7">
      <c r="B2017" s="105">
        <v>6</v>
      </c>
      <c r="C2017" s="135" t="s">
        <v>5539</v>
      </c>
      <c r="D2017" s="319" t="s">
        <v>2374</v>
      </c>
      <c r="E2017" s="190">
        <v>2</v>
      </c>
      <c r="F2017" s="190">
        <f>'HIRE CHARGES'!D551</f>
        <v>22.5</v>
      </c>
      <c r="G2017" s="190">
        <f t="shared" si="31"/>
        <v>45</v>
      </c>
    </row>
    <row r="2018" spans="2:7">
      <c r="B2018" s="317"/>
      <c r="C2018" s="135" t="s">
        <v>2379</v>
      </c>
      <c r="D2018" s="319" t="s">
        <v>2374</v>
      </c>
      <c r="E2018" s="190">
        <v>2</v>
      </c>
      <c r="F2018" s="190">
        <f>'HIRE CHARGES'!E551</f>
        <v>28</v>
      </c>
      <c r="G2018" s="190">
        <f t="shared" si="31"/>
        <v>56</v>
      </c>
    </row>
    <row r="2019" spans="2:7">
      <c r="B2019" s="114">
        <v>7</v>
      </c>
      <c r="C2019" s="135" t="s">
        <v>2373</v>
      </c>
      <c r="D2019" s="319" t="s">
        <v>2173</v>
      </c>
      <c r="E2019" s="190">
        <v>25</v>
      </c>
      <c r="F2019" s="214">
        <f>'BASIC DATA'!D359</f>
        <v>30</v>
      </c>
      <c r="G2019" s="190">
        <f t="shared" si="31"/>
        <v>750</v>
      </c>
    </row>
    <row r="2020" spans="2:7">
      <c r="B2020" s="176"/>
      <c r="C2020" s="193" t="s">
        <v>2380</v>
      </c>
      <c r="D2020" s="193"/>
      <c r="E2020" s="208"/>
      <c r="F2020" s="236" t="s">
        <v>1698</v>
      </c>
      <c r="G2020" s="318">
        <f>SUM(G2007:G2019)</f>
        <v>16233.199999999999</v>
      </c>
    </row>
    <row r="2021" spans="2:7"/>
    <row r="2022" spans="2:7">
      <c r="B2022" s="79" t="s">
        <v>2381</v>
      </c>
    </row>
    <row r="2023" spans="2:7">
      <c r="B2023" s="95" t="s">
        <v>2369</v>
      </c>
      <c r="C2023" s="157" t="s">
        <v>2378</v>
      </c>
      <c r="D2023" s="95" t="s">
        <v>2370</v>
      </c>
      <c r="E2023" s="95" t="s">
        <v>1166</v>
      </c>
      <c r="F2023" s="95" t="s">
        <v>2371</v>
      </c>
      <c r="G2023" s="95" t="s">
        <v>2372</v>
      </c>
    </row>
    <row r="2024" spans="2:7">
      <c r="B2024" s="114"/>
      <c r="C2024" s="154"/>
      <c r="D2024" s="114"/>
      <c r="E2024" s="114"/>
      <c r="F2024" s="114" t="s">
        <v>3485</v>
      </c>
      <c r="G2024" s="114" t="s">
        <v>3485</v>
      </c>
    </row>
    <row r="2025" spans="2:7">
      <c r="B2025" s="105">
        <v>1</v>
      </c>
      <c r="C2025" s="76" t="s">
        <v>5542</v>
      </c>
      <c r="D2025" s="319" t="s">
        <v>2374</v>
      </c>
      <c r="E2025" s="207">
        <v>10</v>
      </c>
      <c r="F2025" s="190">
        <f>'HIRE CHARGES'!F550</f>
        <v>177.5</v>
      </c>
      <c r="G2025" s="190">
        <f>E2025*F2025</f>
        <v>1775</v>
      </c>
    </row>
    <row r="2026" spans="2:7">
      <c r="B2026" s="105">
        <v>2</v>
      </c>
      <c r="C2026" s="76" t="s">
        <v>5541</v>
      </c>
      <c r="D2026" s="319" t="s">
        <v>2374</v>
      </c>
      <c r="E2026" s="207">
        <v>2</v>
      </c>
      <c r="F2026" s="190">
        <f>'HIRE CHARGES'!F547</f>
        <v>189.3</v>
      </c>
      <c r="G2026" s="190">
        <f t="shared" ref="G2026:G2035" si="32">E2026*F2026</f>
        <v>378.6</v>
      </c>
    </row>
    <row r="2027" spans="2:7">
      <c r="B2027" s="105">
        <v>3</v>
      </c>
      <c r="C2027" s="76" t="s">
        <v>5545</v>
      </c>
      <c r="D2027" s="319" t="s">
        <v>2374</v>
      </c>
      <c r="E2027" s="207">
        <v>2</v>
      </c>
      <c r="F2027" s="190">
        <f>'HIRE CHARGES'!F551</f>
        <v>198.9</v>
      </c>
      <c r="G2027" s="190">
        <f t="shared" si="32"/>
        <v>397.8</v>
      </c>
    </row>
    <row r="2028" spans="2:7">
      <c r="B2028" s="105">
        <v>4</v>
      </c>
      <c r="C2028" s="76" t="s">
        <v>5546</v>
      </c>
      <c r="D2028" s="319" t="s">
        <v>2374</v>
      </c>
      <c r="E2028" s="207">
        <v>2</v>
      </c>
      <c r="F2028" s="190">
        <f>'HIRE CHARGES'!F551</f>
        <v>198.9</v>
      </c>
      <c r="G2028" s="190">
        <f t="shared" si="32"/>
        <v>397.8</v>
      </c>
    </row>
    <row r="2029" spans="2:7">
      <c r="B2029" s="105">
        <v>5</v>
      </c>
      <c r="C2029" s="76" t="s">
        <v>2468</v>
      </c>
      <c r="D2029" s="319" t="s">
        <v>1172</v>
      </c>
      <c r="E2029" s="207">
        <f>D1955</f>
        <v>15</v>
      </c>
      <c r="F2029" s="190">
        <f>'BASIC DATA'!C471</f>
        <v>510</v>
      </c>
      <c r="G2029" s="190">
        <f t="shared" si="32"/>
        <v>7650</v>
      </c>
    </row>
    <row r="2030" spans="2:7">
      <c r="B2030" s="105">
        <v>6</v>
      </c>
      <c r="C2030" s="76" t="s">
        <v>5547</v>
      </c>
      <c r="D2030" s="319" t="s">
        <v>1172</v>
      </c>
      <c r="E2030" s="207">
        <f>E1955</f>
        <v>19</v>
      </c>
      <c r="F2030" s="190">
        <f>'BASIC DATA'!C503</f>
        <v>550</v>
      </c>
      <c r="G2030" s="190">
        <f t="shared" si="32"/>
        <v>10450</v>
      </c>
    </row>
    <row r="2031" spans="2:7">
      <c r="B2031" s="105">
        <v>7</v>
      </c>
      <c r="C2031" s="76" t="s">
        <v>3010</v>
      </c>
      <c r="D2031" s="319" t="s">
        <v>1172</v>
      </c>
      <c r="E2031" s="207">
        <v>4</v>
      </c>
      <c r="F2031" s="190">
        <f>'BASIC DATA'!C504</f>
        <v>445</v>
      </c>
      <c r="G2031" s="190">
        <f t="shared" si="32"/>
        <v>1780</v>
      </c>
    </row>
    <row r="2032" spans="2:7">
      <c r="B2032" s="105">
        <v>8</v>
      </c>
      <c r="C2032" s="76" t="s">
        <v>3013</v>
      </c>
      <c r="D2032" s="319" t="s">
        <v>1172</v>
      </c>
      <c r="E2032" s="207">
        <v>8</v>
      </c>
      <c r="F2032" s="190">
        <f>'BASIC DATA'!C504</f>
        <v>445</v>
      </c>
      <c r="G2032" s="190">
        <f t="shared" si="32"/>
        <v>3560</v>
      </c>
    </row>
    <row r="2033" spans="2:7">
      <c r="B2033" s="105">
        <v>9</v>
      </c>
      <c r="C2033" s="76" t="s">
        <v>3012</v>
      </c>
      <c r="D2033" s="319" t="s">
        <v>1172</v>
      </c>
      <c r="E2033" s="207">
        <v>4</v>
      </c>
      <c r="F2033" s="190">
        <f>'BASIC DATA'!C500</f>
        <v>445</v>
      </c>
      <c r="G2033" s="190">
        <f t="shared" si="32"/>
        <v>1780</v>
      </c>
    </row>
    <row r="2034" spans="2:7">
      <c r="B2034" s="105">
        <v>10</v>
      </c>
      <c r="C2034" s="76" t="s">
        <v>3011</v>
      </c>
      <c r="D2034" s="319" t="s">
        <v>1172</v>
      </c>
      <c r="E2034" s="207">
        <f>G1955</f>
        <v>44</v>
      </c>
      <c r="F2034" s="190">
        <f>'BASIC DATA'!C529</f>
        <v>400</v>
      </c>
      <c r="G2034" s="190">
        <f t="shared" si="32"/>
        <v>17600</v>
      </c>
    </row>
    <row r="2035" spans="2:7">
      <c r="B2035" s="105">
        <v>11</v>
      </c>
      <c r="C2035" s="76" t="s">
        <v>5604</v>
      </c>
      <c r="D2035" s="319" t="s">
        <v>1172</v>
      </c>
      <c r="E2035" s="207">
        <v>2</v>
      </c>
      <c r="F2035" s="190">
        <f>'BASIC DATA'!C468</f>
        <v>515</v>
      </c>
      <c r="G2035" s="190">
        <f t="shared" si="32"/>
        <v>1030</v>
      </c>
    </row>
    <row r="2036" spans="2:7">
      <c r="B2036" s="92"/>
      <c r="C2036" s="193"/>
      <c r="D2036" s="151" t="s">
        <v>1174</v>
      </c>
      <c r="E2036" s="160"/>
      <c r="F2036" s="236" t="s">
        <v>1698</v>
      </c>
      <c r="G2036" s="318">
        <f>SUM(G2025:G2035)</f>
        <v>46799.199999999997</v>
      </c>
    </row>
    <row r="2037" spans="2:7">
      <c r="B2037" s="60" t="s">
        <v>5948</v>
      </c>
      <c r="C2037" s="31"/>
      <c r="D2037" s="31"/>
      <c r="E2037" s="85">
        <f>ROUND(G2036/F1969,1)</f>
        <v>1872</v>
      </c>
    </row>
    <row r="2038" spans="2:7">
      <c r="B2038" s="60" t="s">
        <v>3163</v>
      </c>
      <c r="C2038" s="31"/>
      <c r="D2038" s="31">
        <f>'BASIC DATA'!$C$577</f>
        <v>0.13614999999999999</v>
      </c>
      <c r="E2038" s="85">
        <f>ROUND(E2037*D2038,1)</f>
        <v>254.9</v>
      </c>
    </row>
    <row r="2039" spans="2:7">
      <c r="B2039" s="60" t="s">
        <v>5949</v>
      </c>
      <c r="C2039" s="31"/>
      <c r="D2039" s="31"/>
      <c r="E2039" s="199">
        <f>E2038+E2037</f>
        <v>2126.9</v>
      </c>
    </row>
    <row r="2040" spans="2:7">
      <c r="B2040" s="60"/>
      <c r="C2040" s="31"/>
      <c r="D2040" s="31"/>
      <c r="E2040" s="31"/>
      <c r="G2040" s="85"/>
    </row>
    <row r="2041" spans="2:7">
      <c r="B2041" s="170" t="s">
        <v>1175</v>
      </c>
    </row>
    <row r="2042" spans="2:7">
      <c r="B2042" s="26" t="s">
        <v>1176</v>
      </c>
      <c r="F2042" s="171" t="s">
        <v>1698</v>
      </c>
      <c r="G2042" s="68">
        <f>G2002</f>
        <v>1475546.9666666668</v>
      </c>
    </row>
    <row r="2043" spans="2:7">
      <c r="B2043" s="26" t="s">
        <v>1186</v>
      </c>
      <c r="F2043" s="171" t="s">
        <v>1698</v>
      </c>
      <c r="G2043" s="68">
        <f>G2020</f>
        <v>16233.199999999999</v>
      </c>
    </row>
    <row r="2044" spans="2:7">
      <c r="B2044" s="26" t="s">
        <v>2660</v>
      </c>
      <c r="F2044" s="171" t="s">
        <v>1698</v>
      </c>
      <c r="G2044" s="75">
        <f>G2036</f>
        <v>46799.199999999997</v>
      </c>
    </row>
    <row r="2045" spans="2:7">
      <c r="B2045" s="26"/>
      <c r="E2045" s="171" t="s">
        <v>5551</v>
      </c>
      <c r="F2045" s="171" t="s">
        <v>1698</v>
      </c>
      <c r="G2045" s="205">
        <f>SUM(G2042:G2044)</f>
        <v>1538579.3666666667</v>
      </c>
    </row>
    <row r="2046" spans="2:7">
      <c r="B2046" s="26" t="s">
        <v>5087</v>
      </c>
      <c r="E2046" s="693">
        <f>'BASIC DATA'!C593</f>
        <v>0</v>
      </c>
      <c r="F2046" s="171" t="s">
        <v>1698</v>
      </c>
      <c r="G2046" s="68">
        <f>(G2044+G2043)*E2046*0.75</f>
        <v>0</v>
      </c>
    </row>
    <row r="2047" spans="2:7">
      <c r="B2047" s="26" t="s">
        <v>5084</v>
      </c>
      <c r="E2047" s="171" t="s">
        <v>1518</v>
      </c>
      <c r="F2047" s="171" t="s">
        <v>1698</v>
      </c>
      <c r="G2047" s="205">
        <f>G2046+G2045</f>
        <v>1538579.3666666667</v>
      </c>
    </row>
    <row r="2048" spans="2:7">
      <c r="B2048" s="26" t="s">
        <v>5086</v>
      </c>
      <c r="E2048" s="201">
        <f>'BASIC DATA'!C594</f>
        <v>0.03</v>
      </c>
      <c r="F2048" s="171" t="s">
        <v>1698</v>
      </c>
      <c r="G2048" s="75">
        <f>G2047*E2048</f>
        <v>46157.381000000001</v>
      </c>
    </row>
    <row r="2049" spans="1:34">
      <c r="B2049" s="26"/>
      <c r="E2049" s="26" t="s">
        <v>2392</v>
      </c>
      <c r="F2049" s="171" t="s">
        <v>1698</v>
      </c>
      <c r="G2049" s="75">
        <f>G2048+G2047</f>
        <v>1584736.7476666667</v>
      </c>
    </row>
    <row r="2050" spans="1:34">
      <c r="B2050" s="1206" t="s">
        <v>4717</v>
      </c>
      <c r="C2050" s="1206"/>
      <c r="D2050" s="201">
        <f>'BASIC DATA'!$C$577</f>
        <v>0.13614999999999999</v>
      </c>
      <c r="F2050" s="171" t="s">
        <v>1698</v>
      </c>
      <c r="G2050" s="75">
        <f>G2049*D2050</f>
        <v>215761.90819481667</v>
      </c>
      <c r="I2050" s="68"/>
    </row>
    <row r="2051" spans="1:34">
      <c r="B2051" s="26" t="s">
        <v>898</v>
      </c>
    </row>
    <row r="2052" spans="1:34">
      <c r="B2052" s="47" t="s">
        <v>897</v>
      </c>
      <c r="D2052" s="48"/>
      <c r="E2052" s="68">
        <f>leadcharges!F65</f>
        <v>19</v>
      </c>
      <c r="F2052" s="27" t="s">
        <v>1279</v>
      </c>
      <c r="G2052" s="76">
        <f>2*ROUND(E2052*F1968,3)</f>
        <v>237.23400000000001</v>
      </c>
      <c r="AH2052" s="68"/>
    </row>
    <row r="2053" spans="1:34">
      <c r="B2053" s="47" t="s">
        <v>896</v>
      </c>
      <c r="D2053" s="48"/>
      <c r="E2053" s="68">
        <f>leadcharges!$G$79</f>
        <v>74.8</v>
      </c>
      <c r="F2053" s="27" t="s">
        <v>1279</v>
      </c>
      <c r="G2053" s="76">
        <f>2*ROUND(E2053*F1968,3)</f>
        <v>933.952</v>
      </c>
    </row>
    <row r="2054" spans="1:34">
      <c r="B2054" s="26" t="s">
        <v>5078</v>
      </c>
      <c r="D2054" s="278">
        <f>F1968</f>
        <v>6.2430000000000003</v>
      </c>
      <c r="E2054" s="26" t="s">
        <v>4768</v>
      </c>
      <c r="F2054" s="171" t="s">
        <v>1698</v>
      </c>
      <c r="G2054" s="205">
        <f>G2050+G2049+G2053+G2052</f>
        <v>1801669.8418614834</v>
      </c>
    </row>
    <row r="2055" spans="1:34">
      <c r="D2055" s="278">
        <f>F1969</f>
        <v>25</v>
      </c>
      <c r="E2055" s="26" t="s">
        <v>4769</v>
      </c>
      <c r="F2055" s="171" t="s">
        <v>1698</v>
      </c>
      <c r="G2055" s="68"/>
    </row>
    <row r="2056" spans="1:34" ht="18.75" thickBot="1">
      <c r="D2056" s="171" t="s">
        <v>3884</v>
      </c>
      <c r="E2056" s="26" t="s">
        <v>4768</v>
      </c>
      <c r="F2056" s="171" t="s">
        <v>1698</v>
      </c>
      <c r="G2056" s="68">
        <f>ROUND(G2054/D2054,1)</f>
        <v>288590.40000000002</v>
      </c>
    </row>
    <row r="2057" spans="1:34" ht="18.75" thickBot="1">
      <c r="C2057" s="713"/>
      <c r="D2057" s="695"/>
      <c r="E2057" s="721" t="s">
        <v>391</v>
      </c>
      <c r="F2057" s="696" t="s">
        <v>1698</v>
      </c>
      <c r="G2057" s="715">
        <f>ROUND(G2054/D2055,1)</f>
        <v>72066.8</v>
      </c>
    </row>
    <row r="2058" spans="1:34">
      <c r="B2058" s="26"/>
      <c r="C2058" s="78"/>
    </row>
    <row r="2059" spans="1:34">
      <c r="B2059" s="26"/>
      <c r="E2059" s="78"/>
      <c r="G2059" s="171"/>
      <c r="H2059" s="27"/>
    </row>
    <row r="2060" spans="1:34">
      <c r="B2060" s="314" t="s">
        <v>1655</v>
      </c>
    </row>
    <row r="2061" spans="1:34">
      <c r="A2061" s="26" t="s">
        <v>7173</v>
      </c>
      <c r="B2061" s="26" t="s">
        <v>9052</v>
      </c>
    </row>
    <row r="2062" spans="1:34">
      <c r="B2062" s="26" t="s">
        <v>4636</v>
      </c>
    </row>
    <row r="2063" spans="1:34">
      <c r="B2063" s="26" t="s">
        <v>3002</v>
      </c>
    </row>
    <row r="2064" spans="1:34">
      <c r="B2064" s="26" t="s">
        <v>3879</v>
      </c>
    </row>
    <row r="2065" spans="1:7">
      <c r="B2065" s="26" t="s">
        <v>9053</v>
      </c>
    </row>
    <row r="2066" spans="1:7">
      <c r="B2066" s="26" t="s">
        <v>538</v>
      </c>
      <c r="E2066" s="322"/>
    </row>
    <row r="2067" spans="1:7">
      <c r="B2067" s="26" t="s">
        <v>3549</v>
      </c>
      <c r="E2067" s="322"/>
    </row>
    <row r="2068" spans="1:7" hidden="1">
      <c r="A2068" s="78" t="s">
        <v>3984</v>
      </c>
      <c r="B2068" s="26" t="s">
        <v>5209</v>
      </c>
    </row>
    <row r="2069" spans="1:7" hidden="1">
      <c r="B2069" s="26" t="s">
        <v>3263</v>
      </c>
    </row>
    <row r="2070" spans="1:7" hidden="1">
      <c r="B2070" s="26" t="s">
        <v>3264</v>
      </c>
    </row>
    <row r="2071" spans="1:7" hidden="1">
      <c r="B2071" s="26" t="s">
        <v>3265</v>
      </c>
    </row>
    <row r="2072" spans="1:7" hidden="1">
      <c r="B2072" s="26" t="s">
        <v>3552</v>
      </c>
    </row>
    <row r="2073" spans="1:7" hidden="1">
      <c r="B2073" s="26" t="s">
        <v>3553</v>
      </c>
    </row>
    <row r="2074" spans="1:7" hidden="1">
      <c r="B2074" s="26" t="s">
        <v>3329</v>
      </c>
    </row>
    <row r="2075" spans="1:7" hidden="1">
      <c r="B2075" s="26" t="s">
        <v>3554</v>
      </c>
    </row>
    <row r="2076" spans="1:7" hidden="1">
      <c r="B2076" s="26" t="s">
        <v>3555</v>
      </c>
      <c r="E2076" s="322" t="s">
        <v>1697</v>
      </c>
      <c r="F2076" s="68">
        <v>3600</v>
      </c>
      <c r="G2076" s="26" t="s">
        <v>3478</v>
      </c>
    </row>
    <row r="2077" spans="1:7" hidden="1">
      <c r="B2077" s="26" t="s">
        <v>3556</v>
      </c>
      <c r="E2077" s="322" t="s">
        <v>1697</v>
      </c>
      <c r="F2077" s="68">
        <v>6000</v>
      </c>
      <c r="G2077" s="26" t="s">
        <v>3478</v>
      </c>
    </row>
    <row r="2078" spans="1:7" hidden="1">
      <c r="B2078" s="26"/>
      <c r="D2078" s="171" t="s">
        <v>1518</v>
      </c>
      <c r="E2078" s="322" t="s">
        <v>1697</v>
      </c>
      <c r="F2078" s="68">
        <v>9600</v>
      </c>
      <c r="G2078" s="26" t="s">
        <v>3478</v>
      </c>
    </row>
    <row r="2079" spans="1:7" hidden="1">
      <c r="B2079" s="26" t="s">
        <v>3542</v>
      </c>
      <c r="D2079" s="171"/>
      <c r="E2079" s="322" t="s">
        <v>1697</v>
      </c>
      <c r="F2079" s="68">
        <v>960</v>
      </c>
      <c r="G2079" s="26" t="s">
        <v>3478</v>
      </c>
    </row>
    <row r="2080" spans="1:7" hidden="1">
      <c r="B2080" s="26"/>
      <c r="D2080" s="171" t="s">
        <v>1518</v>
      </c>
      <c r="E2080" s="322" t="s">
        <v>1697</v>
      </c>
      <c r="F2080" s="68">
        <v>10560</v>
      </c>
      <c r="G2080" s="26" t="s">
        <v>3478</v>
      </c>
    </row>
    <row r="2081" spans="1:7" hidden="1">
      <c r="B2081" s="26" t="s">
        <v>3543</v>
      </c>
      <c r="E2081" s="322" t="s">
        <v>1697</v>
      </c>
      <c r="F2081" s="68">
        <v>10239</v>
      </c>
      <c r="G2081" s="26" t="s">
        <v>3478</v>
      </c>
    </row>
    <row r="2082" spans="1:7" hidden="1">
      <c r="B2082" s="26" t="s">
        <v>240</v>
      </c>
      <c r="E2082" s="322"/>
    </row>
    <row r="2083" spans="1:7" hidden="1">
      <c r="A2083" s="78">
        <v>1</v>
      </c>
      <c r="B2083" s="26" t="s">
        <v>2016</v>
      </c>
      <c r="E2083" s="322"/>
    </row>
    <row r="2084" spans="1:7" hidden="1">
      <c r="A2084" s="171" t="s">
        <v>1535</v>
      </c>
      <c r="B2084" s="26" t="s">
        <v>241</v>
      </c>
      <c r="E2084" s="322"/>
    </row>
    <row r="2085" spans="1:7" hidden="1">
      <c r="A2085" s="171"/>
      <c r="B2085" s="26" t="s">
        <v>5592</v>
      </c>
      <c r="E2085" s="322" t="s">
        <v>1697</v>
      </c>
      <c r="F2085" s="26">
        <v>4564</v>
      </c>
      <c r="G2085" s="26" t="s">
        <v>3478</v>
      </c>
    </row>
    <row r="2086" spans="1:7" hidden="1">
      <c r="A2086" s="171"/>
      <c r="B2086" s="26" t="s">
        <v>243</v>
      </c>
      <c r="E2086" s="322" t="s">
        <v>1697</v>
      </c>
      <c r="F2086" s="26">
        <v>5567</v>
      </c>
      <c r="G2086" s="26" t="s">
        <v>3478</v>
      </c>
    </row>
    <row r="2087" spans="1:7" hidden="1">
      <c r="A2087" s="171"/>
      <c r="B2087" s="26" t="s">
        <v>4986</v>
      </c>
      <c r="E2087" s="322" t="s">
        <v>1697</v>
      </c>
      <c r="F2087" s="26">
        <v>136</v>
      </c>
      <c r="G2087" s="26" t="s">
        <v>3478</v>
      </c>
    </row>
    <row r="2088" spans="1:7" hidden="1">
      <c r="A2088" s="171" t="s">
        <v>5400</v>
      </c>
      <c r="B2088" s="26" t="s">
        <v>3544</v>
      </c>
      <c r="E2088" s="322" t="s">
        <v>1697</v>
      </c>
      <c r="F2088" s="26">
        <v>32</v>
      </c>
      <c r="G2088" s="26" t="s">
        <v>3483</v>
      </c>
    </row>
    <row r="2089" spans="1:7" hidden="1">
      <c r="A2089" s="171"/>
      <c r="B2089" s="26" t="s">
        <v>3545</v>
      </c>
      <c r="E2089" s="322" t="s">
        <v>1697</v>
      </c>
      <c r="F2089" s="26">
        <v>64</v>
      </c>
      <c r="G2089" s="26" t="s">
        <v>3483</v>
      </c>
    </row>
    <row r="2090" spans="1:7" hidden="1">
      <c r="A2090" s="171" t="s">
        <v>5401</v>
      </c>
      <c r="B2090" s="26" t="s">
        <v>374</v>
      </c>
      <c r="E2090" s="322"/>
    </row>
    <row r="2091" spans="1:7" hidden="1">
      <c r="A2091" s="171"/>
      <c r="B2091" s="26" t="s">
        <v>3546</v>
      </c>
      <c r="E2091" s="322" t="s">
        <v>1697</v>
      </c>
      <c r="F2091" s="26">
        <v>18.5</v>
      </c>
      <c r="G2091" s="26" t="s">
        <v>3478</v>
      </c>
    </row>
    <row r="2092" spans="1:7" hidden="1">
      <c r="A2092" s="171" t="s">
        <v>1696</v>
      </c>
      <c r="B2092" s="26" t="s">
        <v>1195</v>
      </c>
      <c r="E2092" s="322"/>
    </row>
    <row r="2093" spans="1:7" hidden="1">
      <c r="A2093" s="171"/>
      <c r="B2093" s="26" t="s">
        <v>517</v>
      </c>
      <c r="E2093" s="322" t="s">
        <v>1697</v>
      </c>
      <c r="F2093" s="26">
        <v>388</v>
      </c>
      <c r="G2093" s="26" t="s">
        <v>2059</v>
      </c>
    </row>
    <row r="2094" spans="1:7" hidden="1">
      <c r="A2094" s="171"/>
      <c r="B2094" s="26" t="s">
        <v>519</v>
      </c>
      <c r="E2094" s="322" t="s">
        <v>1697</v>
      </c>
      <c r="F2094" s="26">
        <v>3495</v>
      </c>
      <c r="G2094" s="26" t="s">
        <v>2059</v>
      </c>
    </row>
    <row r="2095" spans="1:7" hidden="1">
      <c r="A2095" s="78">
        <v>2</v>
      </c>
      <c r="B2095" s="26" t="s">
        <v>2281</v>
      </c>
      <c r="E2095" s="322"/>
    </row>
    <row r="2096" spans="1:7" hidden="1">
      <c r="B2096" s="26" t="s">
        <v>4962</v>
      </c>
      <c r="E2096" s="322" t="s">
        <v>1697</v>
      </c>
      <c r="F2096" s="26">
        <v>290</v>
      </c>
      <c r="G2096" s="26" t="s">
        <v>3483</v>
      </c>
    </row>
    <row r="2097" spans="1:7" hidden="1">
      <c r="B2097" s="26" t="s">
        <v>2985</v>
      </c>
      <c r="E2097" s="322" t="s">
        <v>1697</v>
      </c>
      <c r="F2097" s="174">
        <v>29</v>
      </c>
      <c r="G2097" s="26" t="s">
        <v>3483</v>
      </c>
    </row>
    <row r="2098" spans="1:7" hidden="1">
      <c r="B2098" s="26"/>
      <c r="D2098" s="171" t="s">
        <v>1518</v>
      </c>
      <c r="E2098" s="322" t="s">
        <v>1697</v>
      </c>
      <c r="F2098" s="26">
        <v>319</v>
      </c>
      <c r="G2098" s="26" t="s">
        <v>3483</v>
      </c>
    </row>
    <row r="2099" spans="1:7" hidden="1">
      <c r="B2099" s="26" t="s">
        <v>165</v>
      </c>
      <c r="E2099" s="322"/>
    </row>
    <row r="2100" spans="1:7" hidden="1">
      <c r="B2100" s="26" t="s">
        <v>3532</v>
      </c>
      <c r="E2100" s="322" t="s">
        <v>1697</v>
      </c>
      <c r="F2100" s="26">
        <v>100</v>
      </c>
      <c r="G2100" s="26" t="s">
        <v>2602</v>
      </c>
    </row>
    <row r="2101" spans="1:7" hidden="1">
      <c r="B2101" s="26" t="s">
        <v>3533</v>
      </c>
      <c r="E2101" s="322" t="s">
        <v>1697</v>
      </c>
      <c r="F2101" s="26">
        <v>219</v>
      </c>
      <c r="G2101" s="26" t="s">
        <v>2602</v>
      </c>
    </row>
    <row r="2102" spans="1:7" hidden="1">
      <c r="B2102" s="26" t="s">
        <v>2278</v>
      </c>
      <c r="E2102" s="322" t="s">
        <v>1697</v>
      </c>
      <c r="F2102" s="26">
        <v>50</v>
      </c>
      <c r="G2102" s="26" t="s">
        <v>4665</v>
      </c>
    </row>
    <row r="2103" spans="1:7" hidden="1">
      <c r="B2103" s="26" t="s">
        <v>2279</v>
      </c>
      <c r="E2103" s="322" t="s">
        <v>1697</v>
      </c>
      <c r="F2103" s="26">
        <v>73</v>
      </c>
      <c r="G2103" s="26" t="s">
        <v>4665</v>
      </c>
    </row>
    <row r="2104" spans="1:7" hidden="1">
      <c r="B2104" s="26" t="s">
        <v>3547</v>
      </c>
      <c r="E2104" s="322" t="s">
        <v>1697</v>
      </c>
      <c r="F2104" s="26">
        <v>74</v>
      </c>
      <c r="G2104" s="26" t="s">
        <v>3477</v>
      </c>
    </row>
    <row r="2105" spans="1:7" hidden="1">
      <c r="B2105" s="26" t="s">
        <v>3548</v>
      </c>
      <c r="E2105" s="322" t="s">
        <v>1697</v>
      </c>
      <c r="F2105" s="26">
        <v>222</v>
      </c>
      <c r="G2105" s="26" t="s">
        <v>3477</v>
      </c>
    </row>
    <row r="2106" spans="1:7" hidden="1">
      <c r="B2106" s="26" t="s">
        <v>375</v>
      </c>
      <c r="E2106" s="322" t="s">
        <v>1697</v>
      </c>
      <c r="F2106" s="26">
        <v>60</v>
      </c>
      <c r="G2106" s="26" t="s">
        <v>4665</v>
      </c>
    </row>
    <row r="2107" spans="1:7" hidden="1">
      <c r="B2107" s="26" t="s">
        <v>376</v>
      </c>
      <c r="E2107" s="322" t="s">
        <v>1697</v>
      </c>
      <c r="F2107" s="26">
        <v>88</v>
      </c>
      <c r="G2107" s="26" t="s">
        <v>4665</v>
      </c>
    </row>
    <row r="2108" spans="1:7" hidden="1">
      <c r="A2108" s="78">
        <v>3</v>
      </c>
      <c r="B2108" s="26" t="s">
        <v>4651</v>
      </c>
      <c r="E2108" s="322"/>
    </row>
    <row r="2109" spans="1:7" hidden="1">
      <c r="B2109" s="26" t="s">
        <v>2504</v>
      </c>
      <c r="E2109" s="322" t="s">
        <v>1697</v>
      </c>
      <c r="F2109" s="26">
        <v>473</v>
      </c>
      <c r="G2109" s="26" t="s">
        <v>3483</v>
      </c>
    </row>
    <row r="2110" spans="1:7" hidden="1">
      <c r="B2110" s="26" t="s">
        <v>5723</v>
      </c>
      <c r="E2110" s="322"/>
    </row>
    <row r="2111" spans="1:7" hidden="1">
      <c r="B2111" s="26"/>
      <c r="C2111" s="26" t="s">
        <v>377</v>
      </c>
      <c r="E2111" s="322" t="s">
        <v>1697</v>
      </c>
      <c r="F2111" s="26">
        <v>104</v>
      </c>
      <c r="G2111" s="26" t="s">
        <v>4665</v>
      </c>
    </row>
    <row r="2112" spans="1:7" hidden="1">
      <c r="B2112" s="26" t="s">
        <v>1913</v>
      </c>
      <c r="E2112" s="322"/>
    </row>
    <row r="2113" spans="1:7" hidden="1">
      <c r="B2113" s="26"/>
      <c r="C2113" s="26" t="s">
        <v>378</v>
      </c>
      <c r="E2113" s="322" t="s">
        <v>1697</v>
      </c>
      <c r="F2113" s="174">
        <v>311</v>
      </c>
      <c r="G2113" s="26" t="s">
        <v>4665</v>
      </c>
    </row>
    <row r="2114" spans="1:7" hidden="1">
      <c r="B2114" s="26"/>
      <c r="D2114" s="171" t="s">
        <v>1518</v>
      </c>
      <c r="E2114" s="322" t="s">
        <v>1697</v>
      </c>
      <c r="F2114" s="26">
        <v>415</v>
      </c>
      <c r="G2114" s="26" t="s">
        <v>4665</v>
      </c>
    </row>
    <row r="2115" spans="1:7" hidden="1">
      <c r="B2115" s="26" t="s">
        <v>379</v>
      </c>
      <c r="E2115" s="322"/>
    </row>
    <row r="2116" spans="1:7" hidden="1">
      <c r="B2116" s="26" t="s">
        <v>2657</v>
      </c>
      <c r="E2116" s="322"/>
    </row>
    <row r="2117" spans="1:7" hidden="1">
      <c r="A2117" s="78">
        <v>4</v>
      </c>
      <c r="B2117" s="26" t="s">
        <v>4249</v>
      </c>
    </row>
    <row r="2118" spans="1:7" hidden="1">
      <c r="B2118" s="26" t="s">
        <v>5767</v>
      </c>
    </row>
    <row r="2119" spans="1:7" hidden="1">
      <c r="B2119" s="26" t="s">
        <v>5768</v>
      </c>
    </row>
    <row r="2120" spans="1:7" hidden="1">
      <c r="B2120" s="26" t="s">
        <v>6850</v>
      </c>
    </row>
    <row r="2121" spans="1:7" hidden="1">
      <c r="B2121" s="26" t="s">
        <v>3789</v>
      </c>
    </row>
    <row r="2122" spans="1:7" hidden="1">
      <c r="B2122" s="26"/>
    </row>
    <row r="2123" spans="1:7" hidden="1">
      <c r="A2123" s="78">
        <v>5</v>
      </c>
      <c r="B2123" s="31" t="s">
        <v>4900</v>
      </c>
      <c r="C2123" s="31"/>
      <c r="D2123" s="31"/>
      <c r="E2123" s="31"/>
      <c r="F2123" s="31"/>
    </row>
    <row r="2124" spans="1:7" hidden="1">
      <c r="B2124" s="1266" t="s">
        <v>4901</v>
      </c>
      <c r="C2124" s="1266"/>
      <c r="D2124" s="38" t="s">
        <v>2468</v>
      </c>
      <c r="E2124" s="38" t="s">
        <v>4902</v>
      </c>
      <c r="F2124" s="38" t="s">
        <v>4903</v>
      </c>
      <c r="G2124" s="38" t="s">
        <v>6199</v>
      </c>
    </row>
    <row r="2125" spans="1:7" hidden="1">
      <c r="B2125" s="1266"/>
      <c r="C2125" s="1266"/>
      <c r="D2125" s="38"/>
      <c r="E2125" s="38" t="s">
        <v>4904</v>
      </c>
      <c r="F2125" s="38" t="s">
        <v>4905</v>
      </c>
      <c r="G2125" s="38"/>
    </row>
    <row r="2126" spans="1:7" hidden="1">
      <c r="B2126" s="1266"/>
      <c r="C2126" s="1266"/>
      <c r="D2126" s="38"/>
      <c r="E2126" s="38" t="s">
        <v>6307</v>
      </c>
      <c r="F2126" s="36"/>
      <c r="G2126" s="38"/>
    </row>
    <row r="2127" spans="1:7" hidden="1">
      <c r="B2127" s="38" t="s">
        <v>6851</v>
      </c>
      <c r="C2127" s="38"/>
      <c r="D2127" s="36">
        <v>9</v>
      </c>
      <c r="E2127" s="36">
        <v>18</v>
      </c>
      <c r="F2127" s="36">
        <v>18</v>
      </c>
      <c r="G2127" s="36">
        <v>36</v>
      </c>
    </row>
    <row r="2128" spans="1:7" hidden="1">
      <c r="B2128" s="38" t="s">
        <v>6385</v>
      </c>
      <c r="C2128" s="38"/>
      <c r="D2128" s="36">
        <v>6</v>
      </c>
      <c r="E2128" s="36">
        <v>13</v>
      </c>
      <c r="F2128" s="36" t="s">
        <v>5854</v>
      </c>
      <c r="G2128" s="36">
        <v>26</v>
      </c>
    </row>
    <row r="2129" spans="1:7" hidden="1">
      <c r="B2129" s="38" t="s">
        <v>6386</v>
      </c>
      <c r="C2129" s="38"/>
      <c r="D2129" s="36">
        <v>4</v>
      </c>
      <c r="E2129" s="36" t="s">
        <v>5854</v>
      </c>
      <c r="F2129" s="36">
        <v>39</v>
      </c>
      <c r="G2129" s="36">
        <v>39</v>
      </c>
    </row>
    <row r="2130" spans="1:7" hidden="1">
      <c r="B2130" s="38" t="s">
        <v>6387</v>
      </c>
      <c r="C2130" s="38"/>
      <c r="D2130" s="36">
        <v>2</v>
      </c>
      <c r="E2130" s="36">
        <v>4</v>
      </c>
      <c r="F2130" s="36" t="s">
        <v>5854</v>
      </c>
      <c r="G2130" s="36">
        <v>8</v>
      </c>
    </row>
    <row r="2131" spans="1:7" hidden="1">
      <c r="B2131" s="38" t="s">
        <v>6388</v>
      </c>
      <c r="C2131" s="38"/>
      <c r="D2131" s="36">
        <v>4</v>
      </c>
      <c r="E2131" s="36">
        <v>8</v>
      </c>
      <c r="F2131" s="36" t="s">
        <v>5854</v>
      </c>
      <c r="G2131" s="36">
        <v>16</v>
      </c>
    </row>
    <row r="2132" spans="1:7" hidden="1">
      <c r="B2132" s="38" t="s">
        <v>6389</v>
      </c>
      <c r="C2132" s="38"/>
      <c r="D2132" s="36">
        <v>1</v>
      </c>
      <c r="E2132" s="36">
        <v>2</v>
      </c>
      <c r="F2132" s="36" t="s">
        <v>5854</v>
      </c>
      <c r="G2132" s="36">
        <v>4</v>
      </c>
    </row>
    <row r="2133" spans="1:7" hidden="1">
      <c r="B2133" s="38" t="s">
        <v>3790</v>
      </c>
      <c r="C2133" s="38"/>
      <c r="D2133" s="36">
        <v>1</v>
      </c>
      <c r="E2133" s="36">
        <v>1</v>
      </c>
      <c r="F2133" s="36" t="s">
        <v>5854</v>
      </c>
      <c r="G2133" s="36">
        <v>1</v>
      </c>
    </row>
    <row r="2134" spans="1:7" hidden="1">
      <c r="B2134" s="36" t="s">
        <v>2656</v>
      </c>
      <c r="C2134" s="36"/>
      <c r="D2134" s="36">
        <f>SUM(D2127:D2133)</f>
        <v>27</v>
      </c>
      <c r="E2134" s="36">
        <f>SUM(E2127:E2133)</f>
        <v>46</v>
      </c>
      <c r="F2134" s="36">
        <f>SUM(F2127:F2133)</f>
        <v>57</v>
      </c>
      <c r="G2134" s="36">
        <f>SUM(G2127:G2133)</f>
        <v>130</v>
      </c>
    </row>
    <row r="2135" spans="1:7" hidden="1">
      <c r="A2135" s="78">
        <v>6</v>
      </c>
      <c r="B2135" s="26" t="s">
        <v>673</v>
      </c>
    </row>
    <row r="2136" spans="1:7" hidden="1">
      <c r="B2136" s="26" t="s">
        <v>6017</v>
      </c>
    </row>
    <row r="2137" spans="1:7" hidden="1">
      <c r="B2137" s="26" t="s">
        <v>2385</v>
      </c>
    </row>
    <row r="2138" spans="1:7" hidden="1">
      <c r="B2138" s="26" t="s">
        <v>4751</v>
      </c>
    </row>
    <row r="2139" spans="1:7" hidden="1">
      <c r="A2139" s="78">
        <v>7</v>
      </c>
      <c r="B2139" s="26" t="s">
        <v>2366</v>
      </c>
    </row>
    <row r="2140" spans="1:7" hidden="1">
      <c r="B2140" s="26" t="s">
        <v>5079</v>
      </c>
      <c r="C2140" s="68">
        <f>'BASIC DATA'!D373</f>
        <v>7800</v>
      </c>
      <c r="D2140" s="26" t="s">
        <v>2290</v>
      </c>
      <c r="E2140" s="315" t="s">
        <v>1698</v>
      </c>
      <c r="F2140" s="68">
        <f>C2140</f>
        <v>7800</v>
      </c>
    </row>
    <row r="2141" spans="1:7" hidden="1">
      <c r="B2141" s="26" t="s">
        <v>3231</v>
      </c>
      <c r="E2141" s="322" t="s">
        <v>1697</v>
      </c>
      <c r="F2141" s="316">
        <v>1000</v>
      </c>
      <c r="G2141" s="26" t="s">
        <v>4665</v>
      </c>
    </row>
    <row r="2142" spans="1:7" hidden="1">
      <c r="B2142" s="26" t="s">
        <v>3232</v>
      </c>
      <c r="C2142" s="26" t="s">
        <v>7593</v>
      </c>
      <c r="E2142" s="315" t="s">
        <v>1698</v>
      </c>
      <c r="F2142" s="68">
        <f>F2140/F2141</f>
        <v>7.8</v>
      </c>
    </row>
    <row r="2143" spans="1:7" hidden="1">
      <c r="B2143" s="26" t="s">
        <v>2056</v>
      </c>
      <c r="C2143" s="68">
        <f>'BASIC DATA'!D371</f>
        <v>14500</v>
      </c>
      <c r="D2143" s="26" t="s">
        <v>2290</v>
      </c>
      <c r="E2143" s="315" t="s">
        <v>1698</v>
      </c>
      <c r="F2143" s="68">
        <f>C2143</f>
        <v>14500</v>
      </c>
    </row>
    <row r="2144" spans="1:7" hidden="1">
      <c r="B2144" s="26" t="s">
        <v>5868</v>
      </c>
      <c r="E2144" s="322" t="s">
        <v>1697</v>
      </c>
      <c r="F2144" s="316">
        <v>600</v>
      </c>
      <c r="G2144" s="26" t="s">
        <v>4665</v>
      </c>
    </row>
    <row r="2145" spans="1:7" hidden="1">
      <c r="B2145" s="26" t="s">
        <v>3234</v>
      </c>
      <c r="C2145" s="26" t="s">
        <v>7593</v>
      </c>
      <c r="E2145" s="315" t="s">
        <v>1698</v>
      </c>
      <c r="F2145" s="68">
        <f>F2143/F2144</f>
        <v>24.166666666666668</v>
      </c>
    </row>
    <row r="2146" spans="1:7"/>
    <row r="2147" spans="1:7">
      <c r="A2147" s="78" t="s">
        <v>3984</v>
      </c>
      <c r="C2147" s="203" t="s">
        <v>2367</v>
      </c>
      <c r="E2147" s="171" t="s">
        <v>297</v>
      </c>
      <c r="F2147" s="692">
        <v>10.239000000000001</v>
      </c>
      <c r="G2147" s="26" t="s">
        <v>3480</v>
      </c>
    </row>
    <row r="2148" spans="1:7">
      <c r="B2148" s="79" t="s">
        <v>2368</v>
      </c>
      <c r="F2148" s="316"/>
    </row>
    <row r="2149" spans="1:7">
      <c r="B2149" s="95" t="s">
        <v>2369</v>
      </c>
      <c r="C2149" s="157" t="s">
        <v>6374</v>
      </c>
      <c r="D2149" s="95" t="s">
        <v>2370</v>
      </c>
      <c r="E2149" s="95" t="s">
        <v>1166</v>
      </c>
      <c r="F2149" s="95" t="s">
        <v>2371</v>
      </c>
      <c r="G2149" s="95" t="s">
        <v>2372</v>
      </c>
    </row>
    <row r="2150" spans="1:7">
      <c r="B2150" s="114"/>
      <c r="C2150" s="154"/>
      <c r="D2150" s="114"/>
      <c r="E2150" s="114"/>
      <c r="F2150" s="114" t="s">
        <v>3485</v>
      </c>
      <c r="G2150" s="114" t="s">
        <v>3485</v>
      </c>
    </row>
    <row r="2151" spans="1:7">
      <c r="B2151" s="95">
        <v>1</v>
      </c>
      <c r="C2151" s="135" t="s">
        <v>6390</v>
      </c>
      <c r="D2151" s="451" t="s">
        <v>3478</v>
      </c>
      <c r="E2151" s="190">
        <v>4564</v>
      </c>
      <c r="F2151" s="214">
        <f>'BASIC DATA'!D97/1000</f>
        <v>37.5</v>
      </c>
      <c r="G2151" s="190">
        <f>E2151*F2151</f>
        <v>171150</v>
      </c>
    </row>
    <row r="2152" spans="1:7">
      <c r="B2152" s="426"/>
      <c r="C2152" s="135" t="s">
        <v>3162</v>
      </c>
      <c r="D2152" s="319" t="s">
        <v>3478</v>
      </c>
      <c r="E2152" s="190">
        <v>5567</v>
      </c>
      <c r="F2152" s="214">
        <f>'BASIC DATA'!D98/1000</f>
        <v>37.4</v>
      </c>
      <c r="G2152" s="190">
        <f t="shared" ref="G2152:G2163" si="33">E2152*F2152</f>
        <v>208205.8</v>
      </c>
    </row>
    <row r="2153" spans="1:7">
      <c r="B2153" s="426"/>
      <c r="C2153" s="135" t="s">
        <v>6899</v>
      </c>
      <c r="D2153" s="319" t="s">
        <v>3478</v>
      </c>
      <c r="E2153" s="190">
        <v>136</v>
      </c>
      <c r="F2153" s="214">
        <f>'BASIC DATA'!D33</f>
        <v>63</v>
      </c>
      <c r="G2153" s="190">
        <f t="shared" si="33"/>
        <v>8568</v>
      </c>
    </row>
    <row r="2154" spans="1:7">
      <c r="B2154" s="105">
        <v>2</v>
      </c>
      <c r="C2154" s="135" t="s">
        <v>15</v>
      </c>
      <c r="D2154" s="319" t="s">
        <v>3483</v>
      </c>
      <c r="E2154" s="190">
        <v>32</v>
      </c>
      <c r="F2154" s="214">
        <f>'BASIC DATA'!D172</f>
        <v>185</v>
      </c>
      <c r="G2154" s="190">
        <f t="shared" si="33"/>
        <v>5920</v>
      </c>
    </row>
    <row r="2155" spans="1:7">
      <c r="B2155" s="426"/>
      <c r="C2155" s="135" t="s">
        <v>6391</v>
      </c>
      <c r="D2155" s="319" t="s">
        <v>3483</v>
      </c>
      <c r="E2155" s="190">
        <v>64</v>
      </c>
      <c r="F2155" s="722">
        <f>'BASIC DATA'!D173</f>
        <v>150</v>
      </c>
      <c r="G2155" s="190">
        <f>F2155*E2155</f>
        <v>9600</v>
      </c>
    </row>
    <row r="2156" spans="1:7">
      <c r="B2156" s="105">
        <v>3</v>
      </c>
      <c r="C2156" s="135" t="s">
        <v>6392</v>
      </c>
      <c r="D2156" s="319" t="s">
        <v>3478</v>
      </c>
      <c r="E2156" s="190">
        <v>18.5</v>
      </c>
      <c r="F2156" s="217">
        <f>'BASIC DATA'!D84</f>
        <v>80</v>
      </c>
      <c r="G2156" s="190">
        <f>E2156*F2156</f>
        <v>1480</v>
      </c>
    </row>
    <row r="2157" spans="1:7">
      <c r="B2157" s="105">
        <v>4</v>
      </c>
      <c r="C2157" s="135" t="s">
        <v>958</v>
      </c>
      <c r="D2157" s="319" t="s">
        <v>3477</v>
      </c>
      <c r="E2157" s="190">
        <v>222</v>
      </c>
      <c r="F2157" s="214">
        <f>'BASIC DATA'!D87</f>
        <v>42</v>
      </c>
      <c r="G2157" s="190">
        <f t="shared" si="33"/>
        <v>9324</v>
      </c>
    </row>
    <row r="2158" spans="1:7">
      <c r="B2158" s="105">
        <v>5</v>
      </c>
      <c r="C2158" s="135" t="s">
        <v>6815</v>
      </c>
      <c r="D2158" s="319" t="s">
        <v>3477</v>
      </c>
      <c r="E2158" s="190">
        <v>74</v>
      </c>
      <c r="F2158" s="214">
        <f>'BASIC DATA'!D28</f>
        <v>335</v>
      </c>
      <c r="G2158" s="190">
        <f t="shared" si="33"/>
        <v>24790</v>
      </c>
    </row>
    <row r="2159" spans="1:7">
      <c r="B2159" s="105">
        <v>6</v>
      </c>
      <c r="C2159" s="135" t="s">
        <v>6816</v>
      </c>
      <c r="D2159" s="319" t="s">
        <v>2059</v>
      </c>
      <c r="E2159" s="190">
        <v>388</v>
      </c>
      <c r="F2159" s="214">
        <f>'BASIC DATA'!D109</f>
        <v>80</v>
      </c>
      <c r="G2159" s="190">
        <f t="shared" si="33"/>
        <v>31040</v>
      </c>
    </row>
    <row r="2160" spans="1:7">
      <c r="B2160" s="105">
        <v>7</v>
      </c>
      <c r="C2160" s="135" t="s">
        <v>4655</v>
      </c>
      <c r="D2160" s="319" t="s">
        <v>2059</v>
      </c>
      <c r="E2160" s="190">
        <v>3495</v>
      </c>
      <c r="F2160" s="214">
        <f>'BASIC DATA'!D181</f>
        <v>15</v>
      </c>
      <c r="G2160" s="190">
        <f t="shared" si="33"/>
        <v>52425</v>
      </c>
    </row>
    <row r="2161" spans="2:7">
      <c r="B2161" s="105">
        <v>8</v>
      </c>
      <c r="C2161" s="135" t="s">
        <v>6556</v>
      </c>
      <c r="D2161" s="319" t="s">
        <v>2374</v>
      </c>
      <c r="E2161" s="190">
        <v>415</v>
      </c>
      <c r="F2161" s="214">
        <f>F2142</f>
        <v>7.8</v>
      </c>
      <c r="G2161" s="190">
        <f t="shared" si="33"/>
        <v>3237</v>
      </c>
    </row>
    <row r="2162" spans="2:7">
      <c r="B2162" s="105">
        <v>9</v>
      </c>
      <c r="C2162" s="135" t="s">
        <v>6557</v>
      </c>
      <c r="D2162" s="319" t="s">
        <v>2374</v>
      </c>
      <c r="E2162" s="190">
        <v>60</v>
      </c>
      <c r="F2162" s="214">
        <f>F2145</f>
        <v>24.166666666666668</v>
      </c>
      <c r="G2162" s="190">
        <f t="shared" si="33"/>
        <v>1450</v>
      </c>
    </row>
    <row r="2163" spans="2:7">
      <c r="B2163" s="176">
        <v>10</v>
      </c>
      <c r="C2163" s="76" t="s">
        <v>2373</v>
      </c>
      <c r="D2163" s="319" t="s">
        <v>2173</v>
      </c>
      <c r="E2163" s="190">
        <v>50</v>
      </c>
      <c r="F2163" s="214">
        <f>'BASIC DATA'!D359</f>
        <v>30</v>
      </c>
      <c r="G2163" s="190">
        <f t="shared" si="33"/>
        <v>1500</v>
      </c>
    </row>
    <row r="2164" spans="2:7">
      <c r="B2164" s="92"/>
      <c r="C2164" s="193"/>
      <c r="D2164" s="151" t="s">
        <v>2376</v>
      </c>
      <c r="E2164" s="160"/>
      <c r="F2164" s="236" t="s">
        <v>1698</v>
      </c>
      <c r="G2164" s="318">
        <f>SUM(G2151:G2163)</f>
        <v>528689.80000000005</v>
      </c>
    </row>
    <row r="2165" spans="2:7"/>
    <row r="2166" spans="2:7">
      <c r="B2166" s="79" t="s">
        <v>2377</v>
      </c>
    </row>
    <row r="2167" spans="2:7">
      <c r="B2167" s="95" t="s">
        <v>2369</v>
      </c>
      <c r="C2167" s="157" t="s">
        <v>2378</v>
      </c>
      <c r="D2167" s="95" t="s">
        <v>2370</v>
      </c>
      <c r="E2167" s="95" t="s">
        <v>1166</v>
      </c>
      <c r="F2167" s="95" t="s">
        <v>2371</v>
      </c>
      <c r="G2167" s="95" t="s">
        <v>2372</v>
      </c>
    </row>
    <row r="2168" spans="2:7">
      <c r="B2168" s="114"/>
      <c r="C2168" s="154"/>
      <c r="D2168" s="114"/>
      <c r="E2168" s="114"/>
      <c r="F2168" s="114" t="s">
        <v>3485</v>
      </c>
      <c r="G2168" s="114" t="s">
        <v>3485</v>
      </c>
    </row>
    <row r="2169" spans="2:7">
      <c r="B2169" s="95">
        <v>1</v>
      </c>
      <c r="C2169" s="135" t="s">
        <v>6558</v>
      </c>
      <c r="D2169" s="451" t="s">
        <v>2374</v>
      </c>
      <c r="E2169" s="190">
        <v>415</v>
      </c>
      <c r="F2169" s="190">
        <f>'HIRE CHARGES'!D556</f>
        <v>16</v>
      </c>
      <c r="G2169" s="190">
        <f>E2169*F2169</f>
        <v>6640</v>
      </c>
    </row>
    <row r="2170" spans="2:7">
      <c r="B2170" s="317"/>
      <c r="C2170" s="135" t="s">
        <v>2379</v>
      </c>
      <c r="D2170" s="319" t="s">
        <v>2374</v>
      </c>
      <c r="E2170" s="190">
        <v>259</v>
      </c>
      <c r="F2170" s="190">
        <f>'HIRE CHARGES'!E556</f>
        <v>67.2</v>
      </c>
      <c r="G2170" s="190">
        <f t="shared" ref="G2170:G2181" si="34">E2170*F2170</f>
        <v>17404.8</v>
      </c>
    </row>
    <row r="2171" spans="2:7">
      <c r="B2171" s="105">
        <v>2</v>
      </c>
      <c r="C2171" s="135" t="s">
        <v>6060</v>
      </c>
      <c r="D2171" s="319" t="s">
        <v>2374</v>
      </c>
      <c r="E2171" s="190">
        <v>88</v>
      </c>
      <c r="F2171" s="190">
        <f>'HIRE CHARGES'!D539</f>
        <v>6.4</v>
      </c>
      <c r="G2171" s="190">
        <f t="shared" si="34"/>
        <v>563.20000000000005</v>
      </c>
    </row>
    <row r="2172" spans="2:7">
      <c r="B2172" s="317"/>
      <c r="C2172" s="135" t="s">
        <v>2379</v>
      </c>
      <c r="D2172" s="319" t="s">
        <v>2374</v>
      </c>
      <c r="E2172" s="190">
        <v>88</v>
      </c>
      <c r="F2172" s="190">
        <f>'HIRE CHARGES'!E539</f>
        <v>2.8</v>
      </c>
      <c r="G2172" s="190">
        <f t="shared" si="34"/>
        <v>246.39999999999998</v>
      </c>
    </row>
    <row r="2173" spans="2:7">
      <c r="B2173" s="105">
        <v>3</v>
      </c>
      <c r="C2173" s="135" t="s">
        <v>6561</v>
      </c>
      <c r="D2173" s="319" t="s">
        <v>2374</v>
      </c>
      <c r="E2173" s="190">
        <v>20</v>
      </c>
      <c r="F2173" s="190">
        <f>'HIRE CHARGES'!D550</f>
        <v>519.69999999999993</v>
      </c>
      <c r="G2173" s="190">
        <f t="shared" si="34"/>
        <v>10393.999999999998</v>
      </c>
    </row>
    <row r="2174" spans="2:7">
      <c r="B2174" s="317"/>
      <c r="C2174" s="135" t="s">
        <v>2379</v>
      </c>
      <c r="D2174" s="319" t="s">
        <v>2374</v>
      </c>
      <c r="E2174" s="190">
        <v>20</v>
      </c>
      <c r="F2174" s="190">
        <f>'HIRE CHARGES'!E550</f>
        <v>299.89999999999998</v>
      </c>
      <c r="G2174" s="190">
        <f t="shared" si="34"/>
        <v>5998</v>
      </c>
    </row>
    <row r="2175" spans="2:7">
      <c r="B2175" s="105">
        <v>4</v>
      </c>
      <c r="C2175" s="135" t="s">
        <v>866</v>
      </c>
      <c r="D2175" s="319" t="s">
        <v>2374</v>
      </c>
      <c r="E2175" s="190">
        <v>40</v>
      </c>
      <c r="F2175" s="190">
        <f>'HIRE CHARGES'!D544</f>
        <v>86.1</v>
      </c>
      <c r="G2175" s="190">
        <f t="shared" si="34"/>
        <v>3444</v>
      </c>
    </row>
    <row r="2176" spans="2:7">
      <c r="B2176" s="317"/>
      <c r="C2176" s="135" t="s">
        <v>2379</v>
      </c>
      <c r="D2176" s="319" t="s">
        <v>2374</v>
      </c>
      <c r="E2176" s="190">
        <v>40</v>
      </c>
      <c r="F2176" s="190">
        <f>'HIRE CHARGES'!E544</f>
        <v>0</v>
      </c>
      <c r="G2176" s="190">
        <f t="shared" si="34"/>
        <v>0</v>
      </c>
    </row>
    <row r="2177" spans="2:7">
      <c r="B2177" s="105">
        <v>5</v>
      </c>
      <c r="C2177" s="135" t="s">
        <v>6393</v>
      </c>
      <c r="D2177" s="319" t="s">
        <v>2374</v>
      </c>
      <c r="E2177" s="190">
        <v>8</v>
      </c>
      <c r="F2177" s="190">
        <f>'HIRE CHARGES'!D551</f>
        <v>22.5</v>
      </c>
      <c r="G2177" s="190">
        <f t="shared" si="34"/>
        <v>180</v>
      </c>
    </row>
    <row r="2178" spans="2:7">
      <c r="B2178" s="317"/>
      <c r="C2178" s="135" t="s">
        <v>2379</v>
      </c>
      <c r="D2178" s="319" t="s">
        <v>2374</v>
      </c>
      <c r="E2178" s="190">
        <v>8</v>
      </c>
      <c r="F2178" s="190">
        <f>'HIRE CHARGES'!E551</f>
        <v>28</v>
      </c>
      <c r="G2178" s="190">
        <f t="shared" si="34"/>
        <v>224</v>
      </c>
    </row>
    <row r="2179" spans="2:7">
      <c r="B2179" s="105">
        <v>6</v>
      </c>
      <c r="C2179" s="135" t="s">
        <v>6562</v>
      </c>
      <c r="D2179" s="319" t="s">
        <v>2374</v>
      </c>
      <c r="E2179" s="190">
        <v>8</v>
      </c>
      <c r="F2179" s="190">
        <f>'HIRE CHARGES'!D551</f>
        <v>22.5</v>
      </c>
      <c r="G2179" s="190">
        <f t="shared" si="34"/>
        <v>180</v>
      </c>
    </row>
    <row r="2180" spans="2:7">
      <c r="B2180" s="317"/>
      <c r="C2180" s="135" t="s">
        <v>2379</v>
      </c>
      <c r="D2180" s="319" t="s">
        <v>2374</v>
      </c>
      <c r="E2180" s="190">
        <v>8</v>
      </c>
      <c r="F2180" s="190">
        <f>'HIRE CHARGES'!E551</f>
        <v>28</v>
      </c>
      <c r="G2180" s="190">
        <f t="shared" si="34"/>
        <v>224</v>
      </c>
    </row>
    <row r="2181" spans="2:7">
      <c r="B2181" s="114">
        <v>7</v>
      </c>
      <c r="C2181" s="135" t="s">
        <v>2373</v>
      </c>
      <c r="D2181" s="319" t="s">
        <v>2173</v>
      </c>
      <c r="E2181" s="190">
        <v>50</v>
      </c>
      <c r="F2181" s="214">
        <f>'BASIC DATA'!D359</f>
        <v>30</v>
      </c>
      <c r="G2181" s="190">
        <f t="shared" si="34"/>
        <v>1500</v>
      </c>
    </row>
    <row r="2182" spans="2:7">
      <c r="B2182" s="176"/>
      <c r="C2182" s="193" t="s">
        <v>2380</v>
      </c>
      <c r="D2182" s="193"/>
      <c r="E2182" s="208"/>
      <c r="F2182" s="236" t="s">
        <v>1698</v>
      </c>
      <c r="G2182" s="318">
        <f>SUM(G2169:G2181)</f>
        <v>46998.400000000001</v>
      </c>
    </row>
    <row r="2183" spans="2:7"/>
    <row r="2184" spans="2:7">
      <c r="B2184" s="79" t="s">
        <v>2381</v>
      </c>
    </row>
    <row r="2185" spans="2:7">
      <c r="B2185" s="95" t="s">
        <v>2369</v>
      </c>
      <c r="C2185" s="157" t="s">
        <v>2378</v>
      </c>
      <c r="D2185" s="95" t="s">
        <v>2370</v>
      </c>
      <c r="E2185" s="95" t="s">
        <v>1166</v>
      </c>
      <c r="F2185" s="95" t="s">
        <v>2371</v>
      </c>
      <c r="G2185" s="95" t="s">
        <v>2372</v>
      </c>
    </row>
    <row r="2186" spans="2:7">
      <c r="B2186" s="114"/>
      <c r="C2186" s="154"/>
      <c r="D2186" s="114"/>
      <c r="E2186" s="114"/>
      <c r="F2186" s="114" t="s">
        <v>3485</v>
      </c>
      <c r="G2186" s="114" t="s">
        <v>3485</v>
      </c>
    </row>
    <row r="2187" spans="2:7">
      <c r="B2187" s="105">
        <v>1</v>
      </c>
      <c r="C2187" s="76" t="s">
        <v>5542</v>
      </c>
      <c r="D2187" s="319" t="s">
        <v>2374</v>
      </c>
      <c r="E2187" s="207">
        <v>20</v>
      </c>
      <c r="F2187" s="190">
        <f>'HIRE CHARGES'!F550</f>
        <v>177.5</v>
      </c>
      <c r="G2187" s="190">
        <f>E2187*F2187</f>
        <v>3550</v>
      </c>
    </row>
    <row r="2188" spans="2:7">
      <c r="B2188" s="105">
        <v>2</v>
      </c>
      <c r="C2188" s="76" t="s">
        <v>5545</v>
      </c>
      <c r="D2188" s="319" t="s">
        <v>2374</v>
      </c>
      <c r="E2188" s="207">
        <v>8</v>
      </c>
      <c r="F2188" s="190">
        <f>'HIRE CHARGES'!F551</f>
        <v>198.9</v>
      </c>
      <c r="G2188" s="190">
        <f t="shared" ref="G2188:G2195" si="35">E2188*F2188</f>
        <v>1591.2</v>
      </c>
    </row>
    <row r="2189" spans="2:7">
      <c r="B2189" s="105">
        <v>3</v>
      </c>
      <c r="C2189" s="76" t="s">
        <v>5546</v>
      </c>
      <c r="D2189" s="319" t="s">
        <v>2374</v>
      </c>
      <c r="E2189" s="207">
        <v>8</v>
      </c>
      <c r="F2189" s="190">
        <f>'HIRE CHARGES'!F551</f>
        <v>198.9</v>
      </c>
      <c r="G2189" s="190">
        <f t="shared" si="35"/>
        <v>1591.2</v>
      </c>
    </row>
    <row r="2190" spans="2:7">
      <c r="B2190" s="105">
        <v>4</v>
      </c>
      <c r="C2190" s="76" t="s">
        <v>2468</v>
      </c>
      <c r="D2190" s="319" t="s">
        <v>1172</v>
      </c>
      <c r="E2190" s="207">
        <f>D2134</f>
        <v>27</v>
      </c>
      <c r="F2190" s="190">
        <f>'BASIC DATA'!C471</f>
        <v>510</v>
      </c>
      <c r="G2190" s="190">
        <f t="shared" si="35"/>
        <v>13770</v>
      </c>
    </row>
    <row r="2191" spans="2:7">
      <c r="B2191" s="105">
        <v>5</v>
      </c>
      <c r="C2191" s="76" t="s">
        <v>5547</v>
      </c>
      <c r="D2191" s="319" t="s">
        <v>1172</v>
      </c>
      <c r="E2191" s="207">
        <f>E2134</f>
        <v>46</v>
      </c>
      <c r="F2191" s="190">
        <f>'BASIC DATA'!C503</f>
        <v>550</v>
      </c>
      <c r="G2191" s="190">
        <f t="shared" si="35"/>
        <v>25300</v>
      </c>
    </row>
    <row r="2192" spans="2:7">
      <c r="B2192" s="105">
        <v>6</v>
      </c>
      <c r="C2192" s="76" t="s">
        <v>3010</v>
      </c>
      <c r="D2192" s="319" t="s">
        <v>1172</v>
      </c>
      <c r="E2192" s="207">
        <v>18</v>
      </c>
      <c r="F2192" s="190">
        <f>'BASIC DATA'!C504</f>
        <v>445</v>
      </c>
      <c r="G2192" s="190">
        <f t="shared" si="35"/>
        <v>8010</v>
      </c>
    </row>
    <row r="2193" spans="2:7">
      <c r="B2193" s="105">
        <v>7</v>
      </c>
      <c r="C2193" s="76" t="s">
        <v>3013</v>
      </c>
      <c r="D2193" s="319" t="s">
        <v>1172</v>
      </c>
      <c r="E2193" s="207">
        <v>39</v>
      </c>
      <c r="F2193" s="190">
        <f>'BASIC DATA'!C504</f>
        <v>445</v>
      </c>
      <c r="G2193" s="190">
        <f t="shared" si="35"/>
        <v>17355</v>
      </c>
    </row>
    <row r="2194" spans="2:7">
      <c r="B2194" s="105">
        <v>8</v>
      </c>
      <c r="C2194" s="76" t="s">
        <v>3011</v>
      </c>
      <c r="D2194" s="319" t="s">
        <v>1172</v>
      </c>
      <c r="E2194" s="207">
        <f>G2134</f>
        <v>130</v>
      </c>
      <c r="F2194" s="190">
        <f>'BASIC DATA'!C529</f>
        <v>400</v>
      </c>
      <c r="G2194" s="190">
        <f t="shared" si="35"/>
        <v>52000</v>
      </c>
    </row>
    <row r="2195" spans="2:7">
      <c r="B2195" s="105">
        <v>9</v>
      </c>
      <c r="C2195" s="76" t="s">
        <v>5604</v>
      </c>
      <c r="D2195" s="319" t="s">
        <v>1172</v>
      </c>
      <c r="E2195" s="207">
        <v>5</v>
      </c>
      <c r="F2195" s="190">
        <f>'BASIC DATA'!C468</f>
        <v>515</v>
      </c>
      <c r="G2195" s="190">
        <f t="shared" si="35"/>
        <v>2575</v>
      </c>
    </row>
    <row r="2196" spans="2:7">
      <c r="B2196" s="92"/>
      <c r="C2196" s="193"/>
      <c r="D2196" s="151" t="s">
        <v>1174</v>
      </c>
      <c r="E2196" s="160"/>
      <c r="F2196" s="236" t="s">
        <v>1698</v>
      </c>
      <c r="G2196" s="318">
        <f>SUM(G2187:G2195)</f>
        <v>125742.39999999999</v>
      </c>
    </row>
    <row r="2197" spans="2:7">
      <c r="B2197" s="60" t="s">
        <v>5948</v>
      </c>
      <c r="C2197" s="31"/>
      <c r="D2197" s="31"/>
      <c r="E2197" s="85">
        <f>ROUND(G2196/F2147,1)</f>
        <v>12280.7</v>
      </c>
    </row>
    <row r="2198" spans="2:7">
      <c r="B2198" s="60" t="s">
        <v>3163</v>
      </c>
      <c r="C2198" s="31"/>
      <c r="D2198" s="31">
        <f>'BASIC DATA'!$C$577</f>
        <v>0.13614999999999999</v>
      </c>
      <c r="E2198" s="85">
        <f>ROUND(E2197*D2198,1)</f>
        <v>1672</v>
      </c>
    </row>
    <row r="2199" spans="2:7">
      <c r="B2199" s="60" t="s">
        <v>5949</v>
      </c>
      <c r="C2199" s="31"/>
      <c r="D2199" s="31"/>
      <c r="E2199" s="199">
        <f>E2198+E2197</f>
        <v>13952.7</v>
      </c>
    </row>
    <row r="2200" spans="2:7">
      <c r="B2200" s="26"/>
    </row>
    <row r="2201" spans="2:7">
      <c r="B2201" s="170" t="s">
        <v>1175</v>
      </c>
    </row>
    <row r="2202" spans="2:7">
      <c r="B2202" s="26" t="s">
        <v>1176</v>
      </c>
      <c r="F2202" s="171" t="s">
        <v>1698</v>
      </c>
      <c r="G2202" s="68">
        <f>G2164</f>
        <v>528689.80000000005</v>
      </c>
    </row>
    <row r="2203" spans="2:7">
      <c r="B2203" s="26" t="s">
        <v>1186</v>
      </c>
      <c r="F2203" s="171" t="s">
        <v>1698</v>
      </c>
      <c r="G2203" s="68">
        <f>G2182</f>
        <v>46998.400000000001</v>
      </c>
    </row>
    <row r="2204" spans="2:7">
      <c r="B2204" s="26" t="s">
        <v>2660</v>
      </c>
      <c r="F2204" s="171" t="s">
        <v>1698</v>
      </c>
      <c r="G2204" s="75">
        <f>G2196</f>
        <v>125742.39999999999</v>
      </c>
    </row>
    <row r="2205" spans="2:7">
      <c r="B2205" s="26"/>
      <c r="E2205" s="171" t="s">
        <v>5551</v>
      </c>
      <c r="F2205" s="171" t="s">
        <v>1698</v>
      </c>
      <c r="G2205" s="205">
        <f>SUM(G2202:G2204)</f>
        <v>701430.60000000009</v>
      </c>
    </row>
    <row r="2206" spans="2:7">
      <c r="B2206" s="26" t="s">
        <v>5087</v>
      </c>
      <c r="E2206" s="693">
        <f>'BASIC DATA'!C593</f>
        <v>0</v>
      </c>
      <c r="F2206" s="171" t="s">
        <v>1698</v>
      </c>
      <c r="G2206" s="68">
        <f>(G2204+G2203)*E2206*0.75</f>
        <v>0</v>
      </c>
    </row>
    <row r="2207" spans="2:7">
      <c r="B2207" s="26" t="s">
        <v>5084</v>
      </c>
      <c r="E2207" s="171" t="s">
        <v>1518</v>
      </c>
      <c r="F2207" s="171" t="s">
        <v>1698</v>
      </c>
      <c r="G2207" s="205">
        <f>G2206+G2205</f>
        <v>701430.60000000009</v>
      </c>
    </row>
    <row r="2208" spans="2:7">
      <c r="B2208" s="26" t="s">
        <v>5086</v>
      </c>
      <c r="E2208" s="201">
        <f>'BASIC DATA'!C594</f>
        <v>0.03</v>
      </c>
      <c r="F2208" s="171" t="s">
        <v>1698</v>
      </c>
      <c r="G2208" s="75">
        <f>G2207*E2208</f>
        <v>21042.918000000001</v>
      </c>
    </row>
    <row r="2209" spans="1:34">
      <c r="B2209" s="26"/>
      <c r="E2209" s="26" t="s">
        <v>2392</v>
      </c>
      <c r="F2209" s="171" t="s">
        <v>1698</v>
      </c>
      <c r="G2209" s="75">
        <f>G2208+G2207</f>
        <v>722473.51800000004</v>
      </c>
    </row>
    <row r="2210" spans="1:34">
      <c r="B2210" s="1206" t="s">
        <v>4717</v>
      </c>
      <c r="C2210" s="1206"/>
      <c r="D2210" s="201">
        <f>'BASIC DATA'!$C$577</f>
        <v>0.13614999999999999</v>
      </c>
      <c r="F2210" s="171" t="s">
        <v>1698</v>
      </c>
      <c r="G2210" s="75">
        <f>G2209*D2210</f>
        <v>98364.769475699999</v>
      </c>
      <c r="I2210" s="68"/>
    </row>
    <row r="2211" spans="1:34">
      <c r="B2211" s="26" t="s">
        <v>898</v>
      </c>
    </row>
    <row r="2212" spans="1:34">
      <c r="B2212" s="47" t="s">
        <v>897</v>
      </c>
      <c r="D2212" s="48"/>
      <c r="E2212" s="68">
        <f>leadcharges!F65</f>
        <v>19</v>
      </c>
      <c r="F2212" s="27" t="s">
        <v>1279</v>
      </c>
      <c r="G2212" s="76">
        <f>2*ROUND(E2212*F2147,3)</f>
        <v>389.08199999999999</v>
      </c>
      <c r="AH2212" s="68"/>
    </row>
    <row r="2213" spans="1:34">
      <c r="B2213" s="47" t="s">
        <v>896</v>
      </c>
      <c r="D2213" s="48"/>
      <c r="E2213" s="68">
        <f>leadcharges!$G$79</f>
        <v>74.8</v>
      </c>
      <c r="F2213" s="27" t="s">
        <v>1279</v>
      </c>
      <c r="G2213" s="76">
        <f>2*ROUND(E2213*F2147,3)</f>
        <v>1531.7539999999999</v>
      </c>
    </row>
    <row r="2214" spans="1:34" ht="18.75" thickBot="1">
      <c r="B2214" s="26" t="s">
        <v>5078</v>
      </c>
      <c r="D2214" s="278">
        <f>F2147</f>
        <v>10.239000000000001</v>
      </c>
      <c r="E2214" s="26" t="s">
        <v>3041</v>
      </c>
      <c r="F2214" s="171" t="s">
        <v>1698</v>
      </c>
      <c r="G2214" s="205">
        <f>G2210+G2209</f>
        <v>820838.28747570002</v>
      </c>
    </row>
    <row r="2215" spans="1:34" ht="18.75" thickBot="1">
      <c r="D2215" s="694" t="s">
        <v>3884</v>
      </c>
      <c r="E2215" s="695" t="s">
        <v>3041</v>
      </c>
      <c r="F2215" s="696" t="s">
        <v>1698</v>
      </c>
      <c r="G2215" s="715">
        <f>ROUND(G2214/D2214,1)</f>
        <v>80167.8</v>
      </c>
    </row>
    <row r="2216" spans="1:34">
      <c r="B2216" s="26"/>
    </row>
    <row r="2217" spans="1:34" ht="18.75" thickBot="1">
      <c r="G2217" s="171"/>
      <c r="H2217" s="27"/>
    </row>
    <row r="2218" spans="1:34" ht="18.75" thickBot="1">
      <c r="B2218" s="723" t="s">
        <v>3330</v>
      </c>
      <c r="C2218" s="724"/>
      <c r="D2218" s="725"/>
      <c r="E2218" s="61"/>
      <c r="F2218" s="61"/>
      <c r="G2218" s="61"/>
    </row>
    <row r="2219" spans="1:34" ht="18.75">
      <c r="A2219" s="26" t="s">
        <v>7174</v>
      </c>
      <c r="B2219" s="61" t="s">
        <v>9054</v>
      </c>
      <c r="C2219" s="61"/>
      <c r="D2219" s="61"/>
      <c r="E2219" s="61"/>
      <c r="F2219" s="61"/>
      <c r="G2219" s="61"/>
    </row>
    <row r="2220" spans="1:34">
      <c r="B2220" s="61" t="s">
        <v>9055</v>
      </c>
      <c r="C2220" s="61"/>
      <c r="D2220" s="61"/>
      <c r="E2220" s="61"/>
      <c r="F2220" s="61"/>
      <c r="G2220" s="61"/>
    </row>
    <row r="2221" spans="1:34">
      <c r="B2221" s="61" t="s">
        <v>6035</v>
      </c>
      <c r="C2221" s="61"/>
      <c r="D2221" s="61"/>
      <c r="E2221" s="61"/>
      <c r="F2221" s="61"/>
      <c r="G2221" s="61"/>
    </row>
    <row r="2222" spans="1:34" ht="18.75">
      <c r="B2222" s="61" t="s">
        <v>9056</v>
      </c>
      <c r="C2222" s="61"/>
      <c r="D2222" s="61"/>
      <c r="E2222" s="61"/>
      <c r="F2222" s="61"/>
      <c r="G2222" s="61"/>
    </row>
    <row r="2223" spans="1:34">
      <c r="B2223" s="61" t="s">
        <v>6036</v>
      </c>
      <c r="C2223" s="61"/>
      <c r="D2223" s="61"/>
      <c r="E2223" s="61"/>
      <c r="F2223" s="61"/>
      <c r="G2223" s="61"/>
    </row>
    <row r="2224" spans="1:34">
      <c r="B2224" s="61" t="s">
        <v>9057</v>
      </c>
      <c r="C2224" s="61"/>
      <c r="D2224" s="61"/>
      <c r="E2224" s="61"/>
      <c r="F2224" s="61"/>
      <c r="G2224" s="61"/>
    </row>
    <row r="2225" spans="1:7">
      <c r="B2225" s="61" t="s">
        <v>538</v>
      </c>
      <c r="C2225" s="61"/>
      <c r="D2225" s="61"/>
      <c r="E2225" s="726"/>
      <c r="F2225" s="61"/>
      <c r="G2225" s="61"/>
    </row>
    <row r="2226" spans="1:7">
      <c r="B2226" s="61" t="s">
        <v>3549</v>
      </c>
      <c r="C2226" s="61"/>
      <c r="D2226" s="61"/>
      <c r="E2226" s="726"/>
      <c r="F2226" s="61"/>
      <c r="G2226" s="61"/>
    </row>
    <row r="2227" spans="1:7" hidden="1">
      <c r="A2227" s="78" t="s">
        <v>3984</v>
      </c>
      <c r="B2227" s="61" t="s">
        <v>5951</v>
      </c>
      <c r="C2227" s="61"/>
      <c r="D2227" s="61"/>
      <c r="E2227" s="61"/>
      <c r="F2227" s="61"/>
      <c r="G2227" s="61"/>
    </row>
    <row r="2228" spans="1:7" hidden="1">
      <c r="B2228" s="61" t="s">
        <v>5952</v>
      </c>
      <c r="C2228" s="61"/>
      <c r="D2228" s="61"/>
      <c r="E2228" s="61"/>
      <c r="F2228" s="61"/>
      <c r="G2228" s="61"/>
    </row>
    <row r="2229" spans="1:7" hidden="1">
      <c r="B2229" s="61" t="s">
        <v>1027</v>
      </c>
      <c r="C2229" s="61"/>
      <c r="D2229" s="61"/>
      <c r="E2229" s="61"/>
      <c r="F2229" s="61"/>
      <c r="G2229" s="61"/>
    </row>
    <row r="2230" spans="1:7" hidden="1">
      <c r="B2230" s="61" t="s">
        <v>7116</v>
      </c>
      <c r="C2230" s="61"/>
      <c r="D2230" s="61"/>
      <c r="E2230" s="61"/>
      <c r="F2230" s="61"/>
      <c r="G2230" s="61"/>
    </row>
    <row r="2231" spans="1:7" hidden="1">
      <c r="B2231" s="61" t="s">
        <v>7119</v>
      </c>
      <c r="C2231" s="61"/>
      <c r="D2231" s="61"/>
      <c r="E2231" s="61"/>
      <c r="F2231" s="61"/>
      <c r="G2231" s="61"/>
    </row>
    <row r="2232" spans="1:7" hidden="1">
      <c r="B2232" s="61" t="s">
        <v>4637</v>
      </c>
      <c r="C2232" s="61"/>
      <c r="D2232" s="61"/>
      <c r="E2232" s="61"/>
      <c r="F2232" s="61"/>
      <c r="G2232" s="61"/>
    </row>
    <row r="2233" spans="1:7" hidden="1">
      <c r="B2233" s="61" t="s">
        <v>7120</v>
      </c>
      <c r="C2233" s="61"/>
      <c r="D2233" s="61"/>
      <c r="E2233" s="61"/>
      <c r="F2233" s="241">
        <v>49.933</v>
      </c>
      <c r="G2233" s="61" t="s">
        <v>45</v>
      </c>
    </row>
    <row r="2234" spans="1:7" hidden="1">
      <c r="B2234" s="61"/>
      <c r="C2234" s="61"/>
      <c r="D2234" s="61"/>
      <c r="E2234" s="727" t="s">
        <v>1123</v>
      </c>
      <c r="F2234" s="528">
        <v>50</v>
      </c>
      <c r="G2234" s="61" t="s">
        <v>45</v>
      </c>
    </row>
    <row r="2235" spans="1:7" hidden="1">
      <c r="B2235" s="61" t="s">
        <v>5274</v>
      </c>
      <c r="C2235" s="61"/>
      <c r="D2235" s="61"/>
      <c r="E2235" s="61"/>
      <c r="F2235" s="61"/>
      <c r="G2235" s="61"/>
    </row>
    <row r="2236" spans="1:7" hidden="1">
      <c r="B2236" s="61" t="s">
        <v>2270</v>
      </c>
      <c r="C2236" s="61"/>
      <c r="D2236" s="61"/>
      <c r="E2236" s="61"/>
      <c r="F2236" s="61"/>
      <c r="G2236" s="61"/>
    </row>
    <row r="2237" spans="1:7" hidden="1">
      <c r="B2237" s="61" t="s">
        <v>2271</v>
      </c>
      <c r="C2237" s="61"/>
      <c r="D2237" s="61"/>
      <c r="E2237" s="726" t="s">
        <v>1697</v>
      </c>
      <c r="F2237" s="223">
        <v>5</v>
      </c>
      <c r="G2237" s="61" t="s">
        <v>45</v>
      </c>
    </row>
    <row r="2238" spans="1:7" hidden="1">
      <c r="B2238" s="61" t="s">
        <v>2272</v>
      </c>
      <c r="C2238" s="61"/>
      <c r="D2238" s="61"/>
      <c r="E2238" s="726" t="s">
        <v>1697</v>
      </c>
      <c r="F2238" s="61">
        <v>5.069</v>
      </c>
      <c r="G2238" s="61" t="s">
        <v>2710</v>
      </c>
    </row>
    <row r="2239" spans="1:7" hidden="1">
      <c r="B2239" s="61" t="s">
        <v>240</v>
      </c>
      <c r="C2239" s="61"/>
      <c r="D2239" s="61"/>
      <c r="E2239" s="726"/>
      <c r="F2239" s="61"/>
      <c r="G2239" s="61"/>
    </row>
    <row r="2240" spans="1:7" hidden="1">
      <c r="A2240" s="78">
        <v>1</v>
      </c>
      <c r="B2240" s="61" t="s">
        <v>8017</v>
      </c>
      <c r="C2240" s="61"/>
      <c r="D2240" s="61"/>
      <c r="E2240" s="726"/>
      <c r="F2240" s="61"/>
      <c r="G2240" s="61"/>
    </row>
    <row r="2241" spans="1:7" hidden="1">
      <c r="A2241" s="171" t="s">
        <v>1535</v>
      </c>
      <c r="B2241" s="61" t="s">
        <v>241</v>
      </c>
      <c r="C2241" s="61"/>
      <c r="D2241" s="61"/>
      <c r="E2241" s="726"/>
      <c r="F2241" s="61"/>
      <c r="G2241" s="61"/>
    </row>
    <row r="2242" spans="1:7" hidden="1">
      <c r="A2242" s="171"/>
      <c r="B2242" s="61" t="s">
        <v>5966</v>
      </c>
      <c r="C2242" s="61"/>
      <c r="D2242" s="61"/>
      <c r="E2242" s="726" t="s">
        <v>1697</v>
      </c>
      <c r="F2242" s="61">
        <v>420</v>
      </c>
      <c r="G2242" s="61" t="s">
        <v>3478</v>
      </c>
    </row>
    <row r="2243" spans="1:7" hidden="1">
      <c r="A2243" s="171"/>
      <c r="B2243" s="61" t="s">
        <v>5967</v>
      </c>
      <c r="C2243" s="61"/>
      <c r="D2243" s="61"/>
      <c r="E2243" s="726" t="s">
        <v>1697</v>
      </c>
      <c r="F2243" s="61">
        <v>225</v>
      </c>
      <c r="G2243" s="61" t="s">
        <v>3478</v>
      </c>
    </row>
    <row r="2244" spans="1:7" hidden="1">
      <c r="A2244" s="171" t="s">
        <v>5400</v>
      </c>
      <c r="B2244" s="61" t="s">
        <v>5165</v>
      </c>
      <c r="C2244" s="61"/>
      <c r="D2244" s="61"/>
      <c r="E2244" s="726"/>
      <c r="F2244" s="61"/>
      <c r="G2244" s="61"/>
    </row>
    <row r="2245" spans="1:7" hidden="1">
      <c r="A2245" s="171"/>
      <c r="B2245" s="61" t="s">
        <v>4987</v>
      </c>
      <c r="C2245" s="61"/>
      <c r="D2245" s="61"/>
      <c r="E2245" s="726" t="s">
        <v>1697</v>
      </c>
      <c r="F2245" s="61">
        <v>1290</v>
      </c>
      <c r="G2245" s="61" t="s">
        <v>3478</v>
      </c>
    </row>
    <row r="2246" spans="1:7" hidden="1">
      <c r="A2246" s="171"/>
      <c r="B2246" s="61" t="s">
        <v>5969</v>
      </c>
      <c r="C2246" s="61"/>
      <c r="D2246" s="61"/>
      <c r="E2246" s="726" t="s">
        <v>1697</v>
      </c>
      <c r="F2246" s="61">
        <v>98</v>
      </c>
      <c r="G2246" s="61" t="s">
        <v>3478</v>
      </c>
    </row>
    <row r="2247" spans="1:7" hidden="1">
      <c r="A2247" s="171"/>
      <c r="B2247" s="61" t="s">
        <v>6874</v>
      </c>
      <c r="C2247" s="61"/>
      <c r="D2247" s="61"/>
      <c r="E2247" s="726" t="s">
        <v>1697</v>
      </c>
      <c r="F2247" s="61">
        <v>650</v>
      </c>
      <c r="G2247" s="61" t="s">
        <v>3478</v>
      </c>
    </row>
    <row r="2248" spans="1:7" hidden="1">
      <c r="A2248" s="171"/>
      <c r="B2248" s="61" t="s">
        <v>5971</v>
      </c>
      <c r="C2248" s="61"/>
      <c r="D2248" s="61"/>
      <c r="E2248" s="726" t="s">
        <v>1697</v>
      </c>
      <c r="F2248" s="61">
        <v>250</v>
      </c>
      <c r="G2248" s="61" t="s">
        <v>3478</v>
      </c>
    </row>
    <row r="2249" spans="1:7" hidden="1">
      <c r="A2249" s="171" t="s">
        <v>5401</v>
      </c>
      <c r="B2249" s="61" t="s">
        <v>6875</v>
      </c>
      <c r="C2249" s="61"/>
      <c r="D2249" s="61"/>
      <c r="E2249" s="726"/>
      <c r="F2249" s="61"/>
      <c r="G2249" s="61"/>
    </row>
    <row r="2250" spans="1:7" hidden="1">
      <c r="A2250" s="171"/>
      <c r="B2250" s="61" t="s">
        <v>5330</v>
      </c>
      <c r="C2250" s="61"/>
      <c r="D2250" s="61"/>
      <c r="E2250" s="726" t="s">
        <v>1697</v>
      </c>
      <c r="F2250" s="61">
        <v>350</v>
      </c>
      <c r="G2250" s="61" t="s">
        <v>3478</v>
      </c>
    </row>
    <row r="2251" spans="1:7" hidden="1">
      <c r="A2251" s="171"/>
      <c r="B2251" s="61" t="s">
        <v>4773</v>
      </c>
      <c r="C2251" s="61"/>
      <c r="D2251" s="61"/>
      <c r="E2251" s="726" t="s">
        <v>1697</v>
      </c>
      <c r="F2251" s="61">
        <v>96</v>
      </c>
      <c r="G2251" s="61" t="s">
        <v>3478</v>
      </c>
    </row>
    <row r="2252" spans="1:7" hidden="1">
      <c r="A2252" s="171" t="s">
        <v>1696</v>
      </c>
      <c r="B2252" s="61" t="s">
        <v>6988</v>
      </c>
      <c r="C2252" s="61"/>
      <c r="D2252" s="61"/>
      <c r="E2252" s="726"/>
      <c r="F2252" s="61"/>
      <c r="G2252" s="61"/>
    </row>
    <row r="2253" spans="1:7" hidden="1">
      <c r="A2253" s="171"/>
      <c r="B2253" s="61" t="s">
        <v>6989</v>
      </c>
      <c r="C2253" s="61"/>
      <c r="D2253" s="61"/>
      <c r="E2253" s="726" t="s">
        <v>1697</v>
      </c>
      <c r="F2253" s="61">
        <v>100</v>
      </c>
      <c r="G2253" s="61" t="s">
        <v>3478</v>
      </c>
    </row>
    <row r="2254" spans="1:7" hidden="1">
      <c r="A2254" s="171" t="s">
        <v>5082</v>
      </c>
      <c r="B2254" s="61" t="s">
        <v>5128</v>
      </c>
      <c r="C2254" s="61"/>
      <c r="D2254" s="61"/>
      <c r="E2254" s="726"/>
      <c r="F2254" s="61"/>
      <c r="G2254" s="61"/>
    </row>
    <row r="2255" spans="1:7" hidden="1">
      <c r="A2255" s="171"/>
      <c r="B2255" s="61" t="s">
        <v>3606</v>
      </c>
      <c r="C2255" s="61"/>
      <c r="D2255" s="61"/>
      <c r="E2255" s="726" t="s">
        <v>1697</v>
      </c>
      <c r="F2255" s="61">
        <v>26</v>
      </c>
      <c r="G2255" s="61" t="s">
        <v>3478</v>
      </c>
    </row>
    <row r="2256" spans="1:7" hidden="1">
      <c r="A2256" s="171" t="s">
        <v>2408</v>
      </c>
      <c r="B2256" s="61" t="s">
        <v>6876</v>
      </c>
      <c r="C2256" s="61"/>
      <c r="D2256" s="61"/>
      <c r="E2256" s="726"/>
      <c r="F2256" s="61"/>
      <c r="G2256" s="61"/>
    </row>
    <row r="2257" spans="1:7" hidden="1">
      <c r="A2257" s="171"/>
      <c r="B2257" s="61" t="s">
        <v>694</v>
      </c>
      <c r="C2257" s="61"/>
      <c r="D2257" s="61"/>
      <c r="E2257" s="726" t="s">
        <v>1697</v>
      </c>
      <c r="F2257" s="61">
        <v>435</v>
      </c>
      <c r="G2257" s="61" t="s">
        <v>3478</v>
      </c>
    </row>
    <row r="2258" spans="1:7" hidden="1">
      <c r="A2258" s="171" t="s">
        <v>2410</v>
      </c>
      <c r="B2258" s="61" t="s">
        <v>1705</v>
      </c>
      <c r="C2258" s="61"/>
      <c r="D2258" s="61"/>
      <c r="E2258" s="726"/>
      <c r="F2258" s="61"/>
      <c r="G2258" s="61"/>
    </row>
    <row r="2259" spans="1:7" hidden="1">
      <c r="A2259" s="171"/>
      <c r="B2259" s="61" t="s">
        <v>1706</v>
      </c>
      <c r="C2259" s="61"/>
      <c r="D2259" s="61"/>
      <c r="E2259" s="726" t="s">
        <v>1697</v>
      </c>
      <c r="F2259" s="61">
        <v>1</v>
      </c>
      <c r="G2259" s="61" t="s">
        <v>4089</v>
      </c>
    </row>
    <row r="2260" spans="1:7" hidden="1">
      <c r="A2260" s="171"/>
      <c r="B2260" s="61" t="s">
        <v>5331</v>
      </c>
      <c r="C2260" s="61"/>
      <c r="D2260" s="61"/>
      <c r="E2260" s="726" t="s">
        <v>1697</v>
      </c>
      <c r="F2260" s="61">
        <v>1</v>
      </c>
      <c r="G2260" s="61" t="s">
        <v>4089</v>
      </c>
    </row>
    <row r="2261" spans="1:7" hidden="1">
      <c r="A2261" s="171"/>
      <c r="B2261" s="61" t="s">
        <v>5332</v>
      </c>
      <c r="C2261" s="61"/>
      <c r="D2261" s="61"/>
      <c r="E2261" s="726" t="s">
        <v>1697</v>
      </c>
      <c r="F2261" s="61">
        <v>1</v>
      </c>
      <c r="G2261" s="61" t="s">
        <v>4089</v>
      </c>
    </row>
    <row r="2262" spans="1:7" hidden="1">
      <c r="A2262" s="171"/>
      <c r="B2262" s="61" t="s">
        <v>6185</v>
      </c>
      <c r="C2262" s="61"/>
      <c r="D2262" s="61"/>
      <c r="E2262" s="726" t="s">
        <v>1697</v>
      </c>
      <c r="F2262" s="61">
        <v>1</v>
      </c>
      <c r="G2262" s="61" t="s">
        <v>4089</v>
      </c>
    </row>
    <row r="2263" spans="1:7" hidden="1">
      <c r="A2263" s="171"/>
      <c r="B2263" s="61" t="s">
        <v>6186</v>
      </c>
      <c r="C2263" s="61"/>
      <c r="D2263" s="61"/>
      <c r="E2263" s="726" t="s">
        <v>1697</v>
      </c>
      <c r="F2263" s="61">
        <v>1</v>
      </c>
      <c r="G2263" s="61" t="s">
        <v>4089</v>
      </c>
    </row>
    <row r="2264" spans="1:7" hidden="1">
      <c r="A2264" s="171"/>
      <c r="B2264" s="61" t="s">
        <v>6400</v>
      </c>
      <c r="C2264" s="61"/>
      <c r="D2264" s="61"/>
      <c r="E2264" s="726" t="s">
        <v>1697</v>
      </c>
      <c r="F2264" s="61">
        <v>1</v>
      </c>
      <c r="G2264" s="61" t="s">
        <v>6927</v>
      </c>
    </row>
    <row r="2265" spans="1:7" hidden="1">
      <c r="A2265" s="171" t="s">
        <v>6401</v>
      </c>
      <c r="B2265" s="61" t="s">
        <v>1195</v>
      </c>
      <c r="C2265" s="61"/>
      <c r="D2265" s="61"/>
      <c r="E2265" s="726"/>
      <c r="F2265" s="61"/>
      <c r="G2265" s="61"/>
    </row>
    <row r="2266" spans="1:7" hidden="1">
      <c r="A2266" s="171"/>
      <c r="B2266" s="61" t="s">
        <v>517</v>
      </c>
      <c r="C2266" s="61"/>
      <c r="D2266" s="61"/>
      <c r="E2266" s="726" t="s">
        <v>1697</v>
      </c>
      <c r="F2266" s="61">
        <v>37</v>
      </c>
      <c r="G2266" s="61" t="s">
        <v>3483</v>
      </c>
    </row>
    <row r="2267" spans="1:7" hidden="1">
      <c r="A2267" s="171"/>
      <c r="B2267" s="61" t="s">
        <v>519</v>
      </c>
      <c r="C2267" s="61"/>
      <c r="D2267" s="61"/>
      <c r="E2267" s="726" t="s">
        <v>1697</v>
      </c>
      <c r="F2267" s="241">
        <v>4</v>
      </c>
      <c r="G2267" s="61" t="s">
        <v>3483</v>
      </c>
    </row>
    <row r="2268" spans="1:7" hidden="1">
      <c r="B2268" s="61"/>
      <c r="C2268" s="61"/>
      <c r="D2268" s="222" t="s">
        <v>1518</v>
      </c>
      <c r="E2268" s="726" t="s">
        <v>1697</v>
      </c>
      <c r="F2268" s="61">
        <v>41</v>
      </c>
      <c r="G2268" s="61" t="s">
        <v>3483</v>
      </c>
    </row>
    <row r="2269" spans="1:7" hidden="1">
      <c r="B2269" s="61" t="s">
        <v>165</v>
      </c>
      <c r="C2269" s="61"/>
      <c r="D2269" s="61"/>
      <c r="E2269" s="726"/>
      <c r="F2269" s="61"/>
      <c r="G2269" s="61"/>
    </row>
    <row r="2270" spans="1:7" hidden="1">
      <c r="B2270" s="61" t="s">
        <v>3532</v>
      </c>
      <c r="C2270" s="61"/>
      <c r="D2270" s="61"/>
      <c r="E2270" s="726" t="s">
        <v>1697</v>
      </c>
      <c r="F2270" s="61">
        <v>20</v>
      </c>
      <c r="G2270" s="61" t="s">
        <v>2602</v>
      </c>
    </row>
    <row r="2271" spans="1:7" hidden="1">
      <c r="B2271" s="61" t="s">
        <v>3533</v>
      </c>
      <c r="C2271" s="61"/>
      <c r="D2271" s="61"/>
      <c r="E2271" s="726" t="s">
        <v>1697</v>
      </c>
      <c r="F2271" s="61">
        <v>21</v>
      </c>
      <c r="G2271" s="61" t="s">
        <v>2602</v>
      </c>
    </row>
    <row r="2272" spans="1:7" hidden="1">
      <c r="B2272" s="61" t="s">
        <v>2278</v>
      </c>
      <c r="C2272" s="61"/>
      <c r="D2272" s="61"/>
      <c r="E2272" s="726" t="s">
        <v>1697</v>
      </c>
      <c r="F2272" s="61">
        <v>10</v>
      </c>
      <c r="G2272" s="61" t="s">
        <v>4665</v>
      </c>
    </row>
    <row r="2273" spans="1:7" hidden="1">
      <c r="B2273" s="61" t="s">
        <v>2279</v>
      </c>
      <c r="C2273" s="61"/>
      <c r="D2273" s="61"/>
      <c r="E2273" s="726" t="s">
        <v>1697</v>
      </c>
      <c r="F2273" s="61">
        <v>7</v>
      </c>
      <c r="G2273" s="61" t="s">
        <v>4665</v>
      </c>
    </row>
    <row r="2274" spans="1:7" hidden="1">
      <c r="B2274" s="61" t="s">
        <v>3826</v>
      </c>
      <c r="C2274" s="61"/>
      <c r="D2274" s="61"/>
      <c r="E2274" s="726" t="s">
        <v>1697</v>
      </c>
      <c r="F2274" s="61">
        <v>10</v>
      </c>
      <c r="G2274" s="61" t="s">
        <v>3477</v>
      </c>
    </row>
    <row r="2275" spans="1:7" hidden="1">
      <c r="B2275" s="61" t="s">
        <v>3827</v>
      </c>
      <c r="C2275" s="61"/>
      <c r="D2275" s="61"/>
      <c r="E2275" s="726" t="s">
        <v>1697</v>
      </c>
      <c r="F2275" s="61">
        <v>30</v>
      </c>
      <c r="G2275" s="61" t="s">
        <v>3477</v>
      </c>
    </row>
    <row r="2276" spans="1:7" hidden="1">
      <c r="B2276" s="61" t="s">
        <v>3828</v>
      </c>
      <c r="C2276" s="61"/>
      <c r="D2276" s="61"/>
      <c r="E2276" s="726" t="s">
        <v>1697</v>
      </c>
      <c r="F2276" s="61">
        <v>12</v>
      </c>
      <c r="G2276" s="61" t="s">
        <v>4665</v>
      </c>
    </row>
    <row r="2277" spans="1:7" hidden="1">
      <c r="B2277" s="61" t="s">
        <v>2955</v>
      </c>
      <c r="C2277" s="61"/>
      <c r="D2277" s="61"/>
      <c r="E2277" s="726" t="s">
        <v>1697</v>
      </c>
      <c r="F2277" s="61">
        <v>9</v>
      </c>
      <c r="G2277" s="61" t="s">
        <v>4665</v>
      </c>
    </row>
    <row r="2278" spans="1:7" hidden="1">
      <c r="A2278" s="78">
        <v>2</v>
      </c>
      <c r="B2278" s="61" t="s">
        <v>4651</v>
      </c>
      <c r="C2278" s="61"/>
      <c r="D2278" s="61"/>
      <c r="E2278" s="726"/>
      <c r="F2278" s="61"/>
      <c r="G2278" s="61"/>
    </row>
    <row r="2279" spans="1:7" hidden="1">
      <c r="B2279" s="61" t="s">
        <v>2504</v>
      </c>
      <c r="C2279" s="61"/>
      <c r="D2279" s="61"/>
      <c r="E2279" s="726" t="s">
        <v>1697</v>
      </c>
      <c r="F2279" s="61">
        <v>53</v>
      </c>
      <c r="G2279" s="61" t="s">
        <v>3483</v>
      </c>
    </row>
    <row r="2280" spans="1:7" hidden="1">
      <c r="B2280" s="61" t="s">
        <v>5723</v>
      </c>
      <c r="C2280" s="61"/>
      <c r="D2280" s="61"/>
      <c r="E2280" s="726"/>
      <c r="F2280" s="61"/>
      <c r="G2280" s="61"/>
    </row>
    <row r="2281" spans="1:7" hidden="1">
      <c r="B2281" s="61"/>
      <c r="C2281" s="61" t="s">
        <v>2956</v>
      </c>
      <c r="D2281" s="61"/>
      <c r="E2281" s="726" t="s">
        <v>1697</v>
      </c>
      <c r="F2281" s="61">
        <v>12</v>
      </c>
      <c r="G2281" s="61" t="s">
        <v>4665</v>
      </c>
    </row>
    <row r="2282" spans="1:7" hidden="1">
      <c r="B2282" s="61" t="s">
        <v>1913</v>
      </c>
      <c r="C2282" s="61"/>
      <c r="D2282" s="61"/>
      <c r="E2282" s="726"/>
      <c r="F2282" s="61"/>
      <c r="G2282" s="61"/>
    </row>
    <row r="2283" spans="1:7" hidden="1">
      <c r="B2283" s="61"/>
      <c r="C2283" s="61" t="s">
        <v>2957</v>
      </c>
      <c r="D2283" s="61"/>
      <c r="E2283" s="726" t="s">
        <v>1697</v>
      </c>
      <c r="F2283" s="241">
        <v>35</v>
      </c>
      <c r="G2283" s="61" t="s">
        <v>4665</v>
      </c>
    </row>
    <row r="2284" spans="1:7" hidden="1">
      <c r="B2284" s="61"/>
      <c r="C2284" s="61"/>
      <c r="D2284" s="222" t="s">
        <v>1518</v>
      </c>
      <c r="E2284" s="726" t="s">
        <v>1697</v>
      </c>
      <c r="F2284" s="61">
        <v>47</v>
      </c>
      <c r="G2284" s="61" t="s">
        <v>4665</v>
      </c>
    </row>
    <row r="2285" spans="1:7" hidden="1">
      <c r="B2285" s="61" t="s">
        <v>4752</v>
      </c>
      <c r="C2285" s="61"/>
      <c r="D2285" s="61"/>
      <c r="E2285" s="726"/>
      <c r="F2285" s="61"/>
      <c r="G2285" s="61"/>
    </row>
    <row r="2286" spans="1:7" hidden="1">
      <c r="B2286" s="61" t="s">
        <v>2657</v>
      </c>
      <c r="C2286" s="61"/>
      <c r="D2286" s="61"/>
      <c r="E2286" s="726"/>
      <c r="F2286" s="61"/>
      <c r="G2286" s="61"/>
    </row>
    <row r="2287" spans="1:7" hidden="1">
      <c r="A2287" s="78">
        <v>3</v>
      </c>
      <c r="B2287" s="61" t="s">
        <v>4249</v>
      </c>
      <c r="C2287" s="61"/>
      <c r="D2287" s="61"/>
      <c r="E2287" s="61"/>
      <c r="F2287" s="61"/>
      <c r="G2287" s="61"/>
    </row>
    <row r="2288" spans="1:7" hidden="1">
      <c r="B2288" s="61" t="s">
        <v>1818</v>
      </c>
      <c r="C2288" s="61"/>
      <c r="D2288" s="61"/>
      <c r="E2288" s="61"/>
      <c r="F2288" s="61"/>
      <c r="G2288" s="61"/>
    </row>
    <row r="2289" spans="1:7" hidden="1">
      <c r="B2289" s="61" t="s">
        <v>6585</v>
      </c>
      <c r="C2289" s="61"/>
      <c r="D2289" s="61"/>
      <c r="E2289" s="61"/>
      <c r="F2289" s="61"/>
      <c r="G2289" s="61"/>
    </row>
    <row r="2290" spans="1:7" hidden="1">
      <c r="B2290" s="61" t="s">
        <v>6778</v>
      </c>
      <c r="C2290" s="61"/>
      <c r="D2290" s="61"/>
      <c r="E2290" s="61"/>
      <c r="F2290" s="61"/>
      <c r="G2290" s="61"/>
    </row>
    <row r="2291" spans="1:7" hidden="1">
      <c r="B2291" s="61" t="s">
        <v>1887</v>
      </c>
      <c r="C2291" s="61"/>
      <c r="D2291" s="61"/>
      <c r="E2291" s="61"/>
      <c r="F2291" s="61"/>
      <c r="G2291" s="61"/>
    </row>
    <row r="2292" spans="1:7" hidden="1">
      <c r="B2292" s="61" t="s">
        <v>1888</v>
      </c>
      <c r="C2292" s="61"/>
      <c r="D2292" s="61"/>
      <c r="E2292" s="61"/>
      <c r="F2292" s="61"/>
      <c r="G2292" s="61"/>
    </row>
    <row r="2293" spans="1:7" hidden="1">
      <c r="B2293" s="61"/>
      <c r="C2293" s="61"/>
      <c r="D2293" s="61"/>
      <c r="E2293" s="61"/>
      <c r="F2293" s="61"/>
      <c r="G2293" s="61"/>
    </row>
    <row r="2294" spans="1:7" hidden="1">
      <c r="A2294" s="78">
        <v>4</v>
      </c>
      <c r="B2294" s="60" t="s">
        <v>4900</v>
      </c>
      <c r="C2294" s="60"/>
      <c r="D2294" s="60"/>
      <c r="E2294" s="60"/>
      <c r="F2294" s="60"/>
      <c r="G2294" s="61"/>
    </row>
    <row r="2295" spans="1:7" hidden="1">
      <c r="B2295" s="1269" t="s">
        <v>4901</v>
      </c>
      <c r="C2295" s="1269"/>
      <c r="D2295" s="50" t="s">
        <v>2468</v>
      </c>
      <c r="E2295" s="50" t="s">
        <v>4902</v>
      </c>
      <c r="F2295" s="50" t="s">
        <v>4903</v>
      </c>
      <c r="G2295" s="50" t="s">
        <v>6199</v>
      </c>
    </row>
    <row r="2296" spans="1:7" hidden="1">
      <c r="B2296" s="1269"/>
      <c r="C2296" s="1269"/>
      <c r="D2296" s="50"/>
      <c r="E2296" s="50" t="s">
        <v>4904</v>
      </c>
      <c r="F2296" s="50" t="s">
        <v>4905</v>
      </c>
      <c r="G2296" s="50"/>
    </row>
    <row r="2297" spans="1:7" hidden="1">
      <c r="B2297" s="1269"/>
      <c r="C2297" s="1269"/>
      <c r="D2297" s="50"/>
      <c r="E2297" s="50" t="s">
        <v>6307</v>
      </c>
      <c r="F2297" s="69"/>
      <c r="G2297" s="50"/>
    </row>
    <row r="2298" spans="1:7" hidden="1">
      <c r="B2298" s="50" t="s">
        <v>6255</v>
      </c>
      <c r="C2298" s="50"/>
      <c r="D2298" s="69">
        <v>1</v>
      </c>
      <c r="E2298" s="69">
        <v>3</v>
      </c>
      <c r="F2298" s="69">
        <v>3</v>
      </c>
      <c r="G2298" s="69">
        <v>6</v>
      </c>
    </row>
    <row r="2299" spans="1:7" hidden="1">
      <c r="B2299" s="50" t="s">
        <v>5160</v>
      </c>
      <c r="C2299" s="50"/>
      <c r="D2299" s="69">
        <v>1</v>
      </c>
      <c r="E2299" s="69">
        <v>2</v>
      </c>
      <c r="F2299" s="69" t="s">
        <v>5854</v>
      </c>
      <c r="G2299" s="69">
        <v>3</v>
      </c>
    </row>
    <row r="2300" spans="1:7" hidden="1">
      <c r="B2300" s="50" t="s">
        <v>5161</v>
      </c>
      <c r="C2300" s="50"/>
      <c r="D2300" s="69">
        <v>1</v>
      </c>
      <c r="E2300" s="69" t="s">
        <v>5854</v>
      </c>
      <c r="F2300" s="69">
        <v>5</v>
      </c>
      <c r="G2300" s="69">
        <v>5</v>
      </c>
    </row>
    <row r="2301" spans="1:7" hidden="1">
      <c r="B2301" s="50" t="s">
        <v>6782</v>
      </c>
      <c r="C2301" s="50"/>
      <c r="D2301" s="69">
        <v>1</v>
      </c>
      <c r="E2301" s="69">
        <v>1</v>
      </c>
      <c r="F2301" s="69" t="s">
        <v>5854</v>
      </c>
      <c r="G2301" s="69">
        <v>2</v>
      </c>
    </row>
    <row r="2302" spans="1:7" hidden="1">
      <c r="B2302" s="50" t="s">
        <v>6783</v>
      </c>
      <c r="C2302" s="50"/>
      <c r="D2302" s="69">
        <v>1</v>
      </c>
      <c r="E2302" s="69">
        <v>2</v>
      </c>
      <c r="F2302" s="69" t="s">
        <v>5854</v>
      </c>
      <c r="G2302" s="69">
        <v>4</v>
      </c>
    </row>
    <row r="2303" spans="1:7" hidden="1">
      <c r="B2303" s="50" t="s">
        <v>6784</v>
      </c>
      <c r="C2303" s="50"/>
      <c r="D2303" s="69">
        <v>1</v>
      </c>
      <c r="E2303" s="69">
        <v>2</v>
      </c>
      <c r="F2303" s="69" t="s">
        <v>5854</v>
      </c>
      <c r="G2303" s="69">
        <v>4</v>
      </c>
    </row>
    <row r="2304" spans="1:7" hidden="1">
      <c r="B2304" s="50" t="s">
        <v>3271</v>
      </c>
      <c r="C2304" s="50"/>
      <c r="D2304" s="69">
        <v>1</v>
      </c>
      <c r="E2304" s="69">
        <v>1</v>
      </c>
      <c r="F2304" s="69" t="s">
        <v>5854</v>
      </c>
      <c r="G2304" s="69">
        <v>2</v>
      </c>
    </row>
    <row r="2305" spans="1:7" hidden="1">
      <c r="B2305" s="50" t="s">
        <v>2961</v>
      </c>
      <c r="C2305" s="50"/>
      <c r="D2305" s="69">
        <v>1</v>
      </c>
      <c r="E2305" s="69">
        <v>1</v>
      </c>
      <c r="F2305" s="69" t="s">
        <v>5854</v>
      </c>
      <c r="G2305" s="69">
        <v>2</v>
      </c>
    </row>
    <row r="2306" spans="1:7" hidden="1">
      <c r="B2306" s="50" t="s">
        <v>2962</v>
      </c>
      <c r="C2306" s="50"/>
      <c r="D2306" s="69">
        <v>1</v>
      </c>
      <c r="E2306" s="69">
        <v>1</v>
      </c>
      <c r="F2306" s="69" t="s">
        <v>5854</v>
      </c>
      <c r="G2306" s="69">
        <v>1</v>
      </c>
    </row>
    <row r="2307" spans="1:7" hidden="1">
      <c r="B2307" s="50" t="s">
        <v>3986</v>
      </c>
      <c r="C2307" s="50"/>
      <c r="D2307" s="69">
        <v>1</v>
      </c>
      <c r="E2307" s="69">
        <v>1</v>
      </c>
      <c r="F2307" s="69" t="s">
        <v>5854</v>
      </c>
      <c r="G2307" s="69">
        <v>2</v>
      </c>
    </row>
    <row r="2308" spans="1:7" hidden="1">
      <c r="B2308" s="50" t="s">
        <v>2964</v>
      </c>
      <c r="C2308" s="50"/>
      <c r="D2308" s="69">
        <v>1</v>
      </c>
      <c r="E2308" s="69">
        <v>1</v>
      </c>
      <c r="F2308" s="69" t="s">
        <v>5854</v>
      </c>
      <c r="G2308" s="69">
        <v>2</v>
      </c>
    </row>
    <row r="2309" spans="1:7" hidden="1">
      <c r="B2309" s="50" t="s">
        <v>3987</v>
      </c>
      <c r="C2309" s="50"/>
      <c r="D2309" s="69">
        <v>1</v>
      </c>
      <c r="E2309" s="69">
        <v>1</v>
      </c>
      <c r="F2309" s="69" t="s">
        <v>5854</v>
      </c>
      <c r="G2309" s="69">
        <v>2</v>
      </c>
    </row>
    <row r="2310" spans="1:7" hidden="1">
      <c r="B2310" s="50" t="s">
        <v>1691</v>
      </c>
      <c r="C2310" s="50"/>
      <c r="D2310" s="69">
        <v>1</v>
      </c>
      <c r="E2310" s="69">
        <v>1</v>
      </c>
      <c r="F2310" s="69" t="s">
        <v>5854</v>
      </c>
      <c r="G2310" s="69">
        <v>1</v>
      </c>
    </row>
    <row r="2311" spans="1:7" hidden="1">
      <c r="B2311" s="69" t="s">
        <v>2656</v>
      </c>
      <c r="C2311" s="69"/>
      <c r="D2311" s="69">
        <f>SUM(D2298:D2310)</f>
        <v>13</v>
      </c>
      <c r="E2311" s="69">
        <f>SUM(E2298:E2310)</f>
        <v>17</v>
      </c>
      <c r="F2311" s="69">
        <f>SUM(F2298:F2310)</f>
        <v>8</v>
      </c>
      <c r="G2311" s="69">
        <f>SUM(G2298:G2310)</f>
        <v>36</v>
      </c>
    </row>
    <row r="2312" spans="1:7" hidden="1">
      <c r="A2312" s="78">
        <v>5</v>
      </c>
      <c r="B2312" s="61" t="s">
        <v>673</v>
      </c>
      <c r="C2312" s="61"/>
      <c r="D2312" s="61"/>
      <c r="E2312" s="61"/>
      <c r="F2312" s="61"/>
      <c r="G2312" s="61"/>
    </row>
    <row r="2313" spans="1:7" hidden="1">
      <c r="B2313" s="61" t="s">
        <v>6017</v>
      </c>
      <c r="C2313" s="61"/>
      <c r="D2313" s="61"/>
      <c r="E2313" s="61"/>
      <c r="F2313" s="61"/>
      <c r="G2313" s="61"/>
    </row>
    <row r="2314" spans="1:7" hidden="1">
      <c r="B2314" s="61" t="s">
        <v>2385</v>
      </c>
      <c r="C2314" s="61"/>
      <c r="D2314" s="61"/>
      <c r="E2314" s="61"/>
      <c r="F2314" s="61"/>
      <c r="G2314" s="61"/>
    </row>
    <row r="2315" spans="1:7" hidden="1">
      <c r="B2315" s="61" t="s">
        <v>4751</v>
      </c>
      <c r="C2315" s="61"/>
      <c r="D2315" s="61"/>
      <c r="E2315" s="61"/>
      <c r="F2315" s="61"/>
      <c r="G2315" s="61"/>
    </row>
    <row r="2316" spans="1:7" hidden="1">
      <c r="A2316" s="78">
        <v>6</v>
      </c>
      <c r="B2316" s="26" t="s">
        <v>2366</v>
      </c>
    </row>
    <row r="2317" spans="1:7" hidden="1">
      <c r="B2317" s="26" t="s">
        <v>4045</v>
      </c>
      <c r="C2317" s="68">
        <f>'BASIC DATA'!D373</f>
        <v>7800</v>
      </c>
      <c r="D2317" s="26" t="s">
        <v>2290</v>
      </c>
      <c r="E2317" s="315" t="s">
        <v>1698</v>
      </c>
      <c r="F2317" s="68">
        <f>C2317</f>
        <v>7800</v>
      </c>
    </row>
    <row r="2318" spans="1:7" hidden="1">
      <c r="B2318" s="26" t="s">
        <v>3231</v>
      </c>
      <c r="E2318" s="322" t="s">
        <v>1697</v>
      </c>
      <c r="F2318" s="316">
        <v>1000</v>
      </c>
      <c r="G2318" s="26" t="s">
        <v>4665</v>
      </c>
    </row>
    <row r="2319" spans="1:7" hidden="1">
      <c r="B2319" s="26" t="s">
        <v>3232</v>
      </c>
      <c r="C2319" s="26" t="s">
        <v>7593</v>
      </c>
      <c r="E2319" s="315" t="s">
        <v>1698</v>
      </c>
      <c r="F2319" s="68">
        <f>F2317/F2318</f>
        <v>7.8</v>
      </c>
    </row>
    <row r="2320" spans="1:7" hidden="1">
      <c r="B2320" s="26" t="s">
        <v>1136</v>
      </c>
      <c r="C2320" s="68">
        <f>'BASIC DATA'!D371</f>
        <v>14500</v>
      </c>
      <c r="D2320" s="26" t="s">
        <v>2290</v>
      </c>
      <c r="E2320" s="315" t="s">
        <v>1698</v>
      </c>
      <c r="F2320" s="68">
        <f>C2320</f>
        <v>14500</v>
      </c>
    </row>
    <row r="2321" spans="1:7" hidden="1">
      <c r="B2321" s="26" t="s">
        <v>5868</v>
      </c>
      <c r="E2321" s="322" t="s">
        <v>1697</v>
      </c>
      <c r="F2321" s="316">
        <v>600</v>
      </c>
      <c r="G2321" s="26" t="s">
        <v>4665</v>
      </c>
    </row>
    <row r="2322" spans="1:7" hidden="1">
      <c r="B2322" s="26" t="s">
        <v>3234</v>
      </c>
      <c r="C2322" s="26" t="s">
        <v>7593</v>
      </c>
      <c r="E2322" s="315" t="s">
        <v>1698</v>
      </c>
      <c r="F2322" s="68">
        <f>F2320/F2321</f>
        <v>24.166666666666668</v>
      </c>
    </row>
    <row r="2323" spans="1:7">
      <c r="B2323" s="26"/>
    </row>
    <row r="2324" spans="1:7">
      <c r="A2324" s="78" t="s">
        <v>3984</v>
      </c>
      <c r="C2324" s="203" t="s">
        <v>2367</v>
      </c>
      <c r="E2324" s="171" t="s">
        <v>297</v>
      </c>
      <c r="F2324" s="692">
        <v>5.069</v>
      </c>
      <c r="G2324" s="26" t="s">
        <v>4768</v>
      </c>
    </row>
    <row r="2325" spans="1:7">
      <c r="B2325" s="79" t="s">
        <v>2368</v>
      </c>
      <c r="F2325" s="211">
        <v>50</v>
      </c>
      <c r="G2325" s="26" t="s">
        <v>4769</v>
      </c>
    </row>
    <row r="2326" spans="1:7">
      <c r="B2326" s="95" t="s">
        <v>2369</v>
      </c>
      <c r="C2326" s="157" t="s">
        <v>6374</v>
      </c>
      <c r="D2326" s="95" t="s">
        <v>2370</v>
      </c>
      <c r="E2326" s="95" t="s">
        <v>1166</v>
      </c>
      <c r="F2326" s="95" t="s">
        <v>2371</v>
      </c>
      <c r="G2326" s="95" t="s">
        <v>2372</v>
      </c>
    </row>
    <row r="2327" spans="1:7">
      <c r="B2327" s="114"/>
      <c r="C2327" s="154"/>
      <c r="D2327" s="114"/>
      <c r="E2327" s="114"/>
      <c r="F2327" s="114" t="s">
        <v>3485</v>
      </c>
      <c r="G2327" s="114" t="s">
        <v>3485</v>
      </c>
    </row>
    <row r="2328" spans="1:7">
      <c r="B2328" s="95">
        <v>1</v>
      </c>
      <c r="C2328" s="135" t="s">
        <v>4770</v>
      </c>
      <c r="D2328" s="451"/>
      <c r="E2328" s="190"/>
      <c r="F2328" s="190"/>
      <c r="G2328" s="190"/>
    </row>
    <row r="2329" spans="1:7">
      <c r="B2329" s="105"/>
      <c r="C2329" s="135" t="s">
        <v>4915</v>
      </c>
      <c r="D2329" s="319" t="s">
        <v>3478</v>
      </c>
      <c r="E2329" s="190">
        <v>420</v>
      </c>
      <c r="F2329" s="214">
        <f>'BASIC DATA'!D97/1000</f>
        <v>37.5</v>
      </c>
      <c r="G2329" s="190">
        <f>E2329*F2329</f>
        <v>15750</v>
      </c>
    </row>
    <row r="2330" spans="1:7">
      <c r="B2330" s="105"/>
      <c r="C2330" s="135" t="s">
        <v>4916</v>
      </c>
      <c r="D2330" s="319" t="s">
        <v>3478</v>
      </c>
      <c r="E2330" s="190">
        <v>225</v>
      </c>
      <c r="F2330" s="214">
        <f>'BASIC DATA'!D98/1000</f>
        <v>37.4</v>
      </c>
      <c r="G2330" s="190">
        <f t="shared" ref="G2330:G2356" si="36">E2330*F2330</f>
        <v>8415</v>
      </c>
    </row>
    <row r="2331" spans="1:7">
      <c r="B2331" s="105">
        <v>2</v>
      </c>
      <c r="C2331" s="135" t="s">
        <v>4917</v>
      </c>
      <c r="D2331" s="319"/>
      <c r="E2331" s="190"/>
      <c r="F2331" s="214"/>
      <c r="G2331" s="190"/>
    </row>
    <row r="2332" spans="1:7">
      <c r="B2332" s="105"/>
      <c r="C2332" s="135" t="s">
        <v>4987</v>
      </c>
      <c r="D2332" s="319" t="s">
        <v>3478</v>
      </c>
      <c r="E2332" s="190">
        <v>1290</v>
      </c>
      <c r="F2332" s="214">
        <f>'BASIC DATA'!D165</f>
        <v>235</v>
      </c>
      <c r="G2332" s="190">
        <f t="shared" si="36"/>
        <v>303150</v>
      </c>
    </row>
    <row r="2333" spans="1:7">
      <c r="B2333" s="105"/>
      <c r="C2333" s="135" t="s">
        <v>5969</v>
      </c>
      <c r="D2333" s="319" t="s">
        <v>3478</v>
      </c>
      <c r="E2333" s="190">
        <v>98</v>
      </c>
      <c r="F2333" s="214">
        <f>'BASIC DATA'!D166</f>
        <v>225</v>
      </c>
      <c r="G2333" s="190">
        <f t="shared" si="36"/>
        <v>22050</v>
      </c>
    </row>
    <row r="2334" spans="1:7">
      <c r="B2334" s="105"/>
      <c r="C2334" s="135" t="s">
        <v>6874</v>
      </c>
      <c r="D2334" s="319" t="s">
        <v>3478</v>
      </c>
      <c r="E2334" s="190">
        <v>650</v>
      </c>
      <c r="F2334" s="214">
        <f>'BASIC DATA'!D167</f>
        <v>190</v>
      </c>
      <c r="G2334" s="190">
        <f t="shared" si="36"/>
        <v>123500</v>
      </c>
    </row>
    <row r="2335" spans="1:7">
      <c r="B2335" s="105"/>
      <c r="C2335" s="135" t="s">
        <v>5971</v>
      </c>
      <c r="D2335" s="319" t="s">
        <v>3478</v>
      </c>
      <c r="E2335" s="190">
        <v>250</v>
      </c>
      <c r="F2335" s="214">
        <f>'BASIC DATA'!D167</f>
        <v>190</v>
      </c>
      <c r="G2335" s="190">
        <f t="shared" si="36"/>
        <v>47500</v>
      </c>
    </row>
    <row r="2336" spans="1:7">
      <c r="B2336" s="105">
        <v>3</v>
      </c>
      <c r="C2336" s="135" t="s">
        <v>4771</v>
      </c>
      <c r="D2336" s="319"/>
      <c r="E2336" s="190"/>
      <c r="F2336" s="214"/>
      <c r="G2336" s="190"/>
    </row>
    <row r="2337" spans="2:7">
      <c r="B2337" s="105"/>
      <c r="C2337" s="135" t="s">
        <v>5330</v>
      </c>
      <c r="D2337" s="319" t="s">
        <v>3478</v>
      </c>
      <c r="E2337" s="190">
        <v>350</v>
      </c>
      <c r="F2337" s="214">
        <f>'BASIC DATA'!D159</f>
        <v>235</v>
      </c>
      <c r="G2337" s="190">
        <f t="shared" si="36"/>
        <v>82250</v>
      </c>
    </row>
    <row r="2338" spans="2:7">
      <c r="B2338" s="105"/>
      <c r="C2338" s="135" t="s">
        <v>4773</v>
      </c>
      <c r="D2338" s="319" t="s">
        <v>3478</v>
      </c>
      <c r="E2338" s="190">
        <v>96</v>
      </c>
      <c r="F2338" s="214">
        <f>'BASIC DATA'!D160</f>
        <v>450</v>
      </c>
      <c r="G2338" s="190">
        <f t="shared" si="36"/>
        <v>43200</v>
      </c>
    </row>
    <row r="2339" spans="2:7">
      <c r="B2339" s="105">
        <v>4</v>
      </c>
      <c r="C2339" s="135" t="s">
        <v>5973</v>
      </c>
      <c r="D2339" s="319"/>
      <c r="E2339" s="190"/>
      <c r="F2339" s="214"/>
      <c r="G2339" s="190"/>
    </row>
    <row r="2340" spans="2:7">
      <c r="B2340" s="105"/>
      <c r="C2340" s="135" t="s">
        <v>5974</v>
      </c>
      <c r="D2340" s="319" t="s">
        <v>3478</v>
      </c>
      <c r="E2340" s="190">
        <v>100</v>
      </c>
      <c r="F2340" s="214">
        <f>'BASIC DATA'!D163</f>
        <v>970</v>
      </c>
      <c r="G2340" s="190">
        <f t="shared" si="36"/>
        <v>97000</v>
      </c>
    </row>
    <row r="2341" spans="2:7">
      <c r="B2341" s="105">
        <v>5</v>
      </c>
      <c r="C2341" s="135" t="s">
        <v>2976</v>
      </c>
      <c r="D2341" s="319" t="s">
        <v>3478</v>
      </c>
      <c r="E2341" s="190">
        <v>435</v>
      </c>
      <c r="F2341" s="214">
        <f>'BASIC DATA'!D183</f>
        <v>200</v>
      </c>
      <c r="G2341" s="190">
        <f t="shared" si="36"/>
        <v>87000</v>
      </c>
    </row>
    <row r="2342" spans="2:7">
      <c r="B2342" s="105">
        <v>6</v>
      </c>
      <c r="C2342" s="135" t="s">
        <v>5976</v>
      </c>
      <c r="D2342" s="319" t="s">
        <v>3478</v>
      </c>
      <c r="E2342" s="190">
        <v>26</v>
      </c>
      <c r="F2342" s="214">
        <f>'BASIC DATA'!D84</f>
        <v>80</v>
      </c>
      <c r="G2342" s="190">
        <f t="shared" si="36"/>
        <v>2080</v>
      </c>
    </row>
    <row r="2343" spans="2:7">
      <c r="B2343" s="105">
        <v>7</v>
      </c>
      <c r="C2343" s="135" t="s">
        <v>5977</v>
      </c>
      <c r="D2343" s="319" t="s">
        <v>4089</v>
      </c>
      <c r="E2343" s="190">
        <v>1</v>
      </c>
      <c r="F2343" s="214">
        <f>'BASIC DATA'!D382</f>
        <v>224400</v>
      </c>
      <c r="G2343" s="190">
        <f t="shared" si="36"/>
        <v>224400</v>
      </c>
    </row>
    <row r="2344" spans="2:7">
      <c r="B2344" s="105">
        <v>8</v>
      </c>
      <c r="C2344" s="135" t="s">
        <v>5332</v>
      </c>
      <c r="D2344" s="319" t="s">
        <v>4089</v>
      </c>
      <c r="E2344" s="190">
        <v>1</v>
      </c>
      <c r="F2344" s="214">
        <f>'BASIC DATA'!D385</f>
        <v>72600</v>
      </c>
      <c r="G2344" s="190">
        <f t="shared" si="36"/>
        <v>72600</v>
      </c>
    </row>
    <row r="2345" spans="2:7">
      <c r="B2345" s="105">
        <v>9</v>
      </c>
      <c r="C2345" s="135" t="s">
        <v>5979</v>
      </c>
      <c r="D2345" s="319" t="s">
        <v>4089</v>
      </c>
      <c r="E2345" s="190">
        <v>1</v>
      </c>
      <c r="F2345" s="214">
        <f>'BASIC DATA'!D390</f>
        <v>28820</v>
      </c>
      <c r="G2345" s="190">
        <f t="shared" si="36"/>
        <v>28820</v>
      </c>
    </row>
    <row r="2346" spans="2:7">
      <c r="B2346" s="105">
        <v>10</v>
      </c>
      <c r="C2346" s="135" t="s">
        <v>6185</v>
      </c>
      <c r="D2346" s="319" t="s">
        <v>4089</v>
      </c>
      <c r="E2346" s="190">
        <v>1</v>
      </c>
      <c r="F2346" s="214">
        <f>'BASIC DATA'!D391</f>
        <v>195800</v>
      </c>
      <c r="G2346" s="190">
        <f t="shared" si="36"/>
        <v>195800</v>
      </c>
    </row>
    <row r="2347" spans="2:7">
      <c r="B2347" s="105">
        <v>11</v>
      </c>
      <c r="C2347" s="135" t="s">
        <v>6186</v>
      </c>
      <c r="D2347" s="319" t="s">
        <v>4089</v>
      </c>
      <c r="E2347" s="190">
        <v>1</v>
      </c>
      <c r="F2347" s="214">
        <f>'BASIC DATA'!D392</f>
        <v>35200</v>
      </c>
      <c r="G2347" s="190">
        <f t="shared" si="36"/>
        <v>35200</v>
      </c>
    </row>
    <row r="2348" spans="2:7">
      <c r="B2348" s="105">
        <v>12</v>
      </c>
      <c r="C2348" s="135" t="s">
        <v>6400</v>
      </c>
      <c r="D2348" s="319" t="s">
        <v>2173</v>
      </c>
      <c r="E2348" s="190">
        <v>1</v>
      </c>
      <c r="F2348" s="214">
        <f>'BASIC DATA'!D393</f>
        <v>50380</v>
      </c>
      <c r="G2348" s="190">
        <f t="shared" si="36"/>
        <v>50380</v>
      </c>
    </row>
    <row r="2349" spans="2:7">
      <c r="B2349" s="105">
        <v>13</v>
      </c>
      <c r="C2349" s="135" t="s">
        <v>958</v>
      </c>
      <c r="D2349" s="319" t="s">
        <v>3477</v>
      </c>
      <c r="E2349" s="190">
        <v>30</v>
      </c>
      <c r="F2349" s="214">
        <f>'BASIC DATA'!D87</f>
        <v>42</v>
      </c>
      <c r="G2349" s="190">
        <f t="shared" si="36"/>
        <v>1260</v>
      </c>
    </row>
    <row r="2350" spans="2:7">
      <c r="B2350" s="105">
        <v>14</v>
      </c>
      <c r="C2350" s="135" t="s">
        <v>6815</v>
      </c>
      <c r="D2350" s="319" t="s">
        <v>3477</v>
      </c>
      <c r="E2350" s="190">
        <v>10</v>
      </c>
      <c r="F2350" s="214">
        <f>'BASIC DATA'!D28</f>
        <v>335</v>
      </c>
      <c r="G2350" s="190">
        <f t="shared" si="36"/>
        <v>3350</v>
      </c>
    </row>
    <row r="2351" spans="2:7">
      <c r="B2351" s="105">
        <v>15</v>
      </c>
      <c r="C2351" s="135" t="s">
        <v>6816</v>
      </c>
      <c r="D2351" s="319" t="s">
        <v>2059</v>
      </c>
      <c r="E2351" s="190">
        <v>44</v>
      </c>
      <c r="F2351" s="214">
        <f>'BASIC DATA'!D109</f>
        <v>80</v>
      </c>
      <c r="G2351" s="190">
        <f t="shared" si="36"/>
        <v>3520</v>
      </c>
    </row>
    <row r="2352" spans="2:7">
      <c r="B2352" s="105">
        <v>16</v>
      </c>
      <c r="C2352" s="135" t="s">
        <v>4655</v>
      </c>
      <c r="D2352" s="319" t="s">
        <v>2059</v>
      </c>
      <c r="E2352" s="190">
        <v>392</v>
      </c>
      <c r="F2352" s="214">
        <f>'BASIC DATA'!D181</f>
        <v>15</v>
      </c>
      <c r="G2352" s="190">
        <f t="shared" si="36"/>
        <v>5880</v>
      </c>
    </row>
    <row r="2353" spans="2:7">
      <c r="B2353" s="105">
        <v>17</v>
      </c>
      <c r="C2353" s="135" t="s">
        <v>5980</v>
      </c>
      <c r="D2353" s="319" t="s">
        <v>3478</v>
      </c>
      <c r="E2353" s="190">
        <v>50</v>
      </c>
      <c r="F2353" s="214">
        <f>'BASIC DATA'!D372</f>
        <v>275</v>
      </c>
      <c r="G2353" s="190">
        <f t="shared" si="36"/>
        <v>13750</v>
      </c>
    </row>
    <row r="2354" spans="2:7">
      <c r="B2354" s="105">
        <v>18</v>
      </c>
      <c r="C2354" s="135" t="s">
        <v>6556</v>
      </c>
      <c r="D2354" s="319" t="s">
        <v>2374</v>
      </c>
      <c r="E2354" s="190">
        <v>47</v>
      </c>
      <c r="F2354" s="214">
        <f>F2319</f>
        <v>7.8</v>
      </c>
      <c r="G2354" s="190">
        <f t="shared" si="36"/>
        <v>366.59999999999997</v>
      </c>
    </row>
    <row r="2355" spans="2:7">
      <c r="B2355" s="105">
        <v>19</v>
      </c>
      <c r="C2355" s="135" t="s">
        <v>6557</v>
      </c>
      <c r="D2355" s="319" t="s">
        <v>2374</v>
      </c>
      <c r="E2355" s="190">
        <v>12</v>
      </c>
      <c r="F2355" s="190">
        <f>F2322</f>
        <v>24.166666666666668</v>
      </c>
      <c r="G2355" s="190">
        <f t="shared" si="36"/>
        <v>290</v>
      </c>
    </row>
    <row r="2356" spans="2:7">
      <c r="B2356" s="114">
        <v>20</v>
      </c>
      <c r="C2356" s="135" t="s">
        <v>2373</v>
      </c>
      <c r="D2356" s="319" t="s">
        <v>2173</v>
      </c>
      <c r="E2356" s="190">
        <v>25</v>
      </c>
      <c r="F2356" s="214">
        <f>'BASIC DATA'!D359</f>
        <v>30</v>
      </c>
      <c r="G2356" s="190">
        <f t="shared" si="36"/>
        <v>750</v>
      </c>
    </row>
    <row r="2357" spans="2:7">
      <c r="B2357" s="92"/>
      <c r="C2357" s="193"/>
      <c r="D2357" s="151" t="s">
        <v>2376</v>
      </c>
      <c r="E2357" s="160"/>
      <c r="F2357" s="236" t="s">
        <v>1698</v>
      </c>
      <c r="G2357" s="318">
        <f>SUM(G2329:G2356)</f>
        <v>1468261.6</v>
      </c>
    </row>
    <row r="2358" spans="2:7"/>
    <row r="2359" spans="2:7">
      <c r="B2359" s="79" t="s">
        <v>2377</v>
      </c>
    </row>
    <row r="2360" spans="2:7">
      <c r="B2360" s="95" t="s">
        <v>2369</v>
      </c>
      <c r="C2360" s="157" t="s">
        <v>2378</v>
      </c>
      <c r="D2360" s="95" t="s">
        <v>2370</v>
      </c>
      <c r="E2360" s="95" t="s">
        <v>1166</v>
      </c>
      <c r="F2360" s="95" t="s">
        <v>2371</v>
      </c>
      <c r="G2360" s="95" t="s">
        <v>2372</v>
      </c>
    </row>
    <row r="2361" spans="2:7">
      <c r="B2361" s="114"/>
      <c r="C2361" s="154"/>
      <c r="D2361" s="114"/>
      <c r="E2361" s="114"/>
      <c r="F2361" s="114" t="s">
        <v>3485</v>
      </c>
      <c r="G2361" s="114" t="s">
        <v>3485</v>
      </c>
    </row>
    <row r="2362" spans="2:7">
      <c r="B2362" s="95">
        <v>1</v>
      </c>
      <c r="C2362" s="135" t="s">
        <v>6558</v>
      </c>
      <c r="D2362" s="451" t="s">
        <v>2374</v>
      </c>
      <c r="E2362" s="190">
        <v>47</v>
      </c>
      <c r="F2362" s="190">
        <f>'HIRE CHARGES'!D556</f>
        <v>16</v>
      </c>
      <c r="G2362" s="190">
        <f>E2362*F2362</f>
        <v>752</v>
      </c>
    </row>
    <row r="2363" spans="2:7">
      <c r="B2363" s="317"/>
      <c r="C2363" s="135" t="s">
        <v>2379</v>
      </c>
      <c r="D2363" s="319" t="s">
        <v>2374</v>
      </c>
      <c r="E2363" s="190">
        <v>47</v>
      </c>
      <c r="F2363" s="190">
        <f>'HIRE CHARGES'!E556</f>
        <v>67.2</v>
      </c>
      <c r="G2363" s="190">
        <f t="shared" ref="G2363:G2374" si="37">E2363*F2363</f>
        <v>3158.4</v>
      </c>
    </row>
    <row r="2364" spans="2:7">
      <c r="B2364" s="105">
        <v>2</v>
      </c>
      <c r="C2364" s="135" t="s">
        <v>389</v>
      </c>
      <c r="D2364" s="319" t="s">
        <v>2374</v>
      </c>
      <c r="E2364" s="190">
        <v>2</v>
      </c>
      <c r="F2364" s="190">
        <f>'HIRE CHARGES'!D547</f>
        <v>867.1</v>
      </c>
      <c r="G2364" s="190">
        <f t="shared" si="37"/>
        <v>1734.2</v>
      </c>
    </row>
    <row r="2365" spans="2:7">
      <c r="B2365" s="317"/>
      <c r="C2365" s="135" t="s">
        <v>2379</v>
      </c>
      <c r="D2365" s="319" t="s">
        <v>2374</v>
      </c>
      <c r="E2365" s="190">
        <v>2</v>
      </c>
      <c r="F2365" s="190">
        <f>'HIRE CHARGES'!E547</f>
        <v>145.69999999999999</v>
      </c>
      <c r="G2365" s="190">
        <f t="shared" si="37"/>
        <v>291.39999999999998</v>
      </c>
    </row>
    <row r="2366" spans="2:7">
      <c r="B2366" s="105">
        <v>3</v>
      </c>
      <c r="C2366" s="135" t="s">
        <v>6060</v>
      </c>
      <c r="D2366" s="319" t="s">
        <v>2374</v>
      </c>
      <c r="E2366" s="190">
        <v>9</v>
      </c>
      <c r="F2366" s="190">
        <f>'HIRE CHARGES'!D539</f>
        <v>6.4</v>
      </c>
      <c r="G2366" s="190">
        <f t="shared" si="37"/>
        <v>57.6</v>
      </c>
    </row>
    <row r="2367" spans="2:7">
      <c r="B2367" s="317"/>
      <c r="C2367" s="135" t="s">
        <v>2379</v>
      </c>
      <c r="D2367" s="319" t="s">
        <v>2374</v>
      </c>
      <c r="E2367" s="190">
        <v>9</v>
      </c>
      <c r="F2367" s="190">
        <f>'HIRE CHARGES'!E539</f>
        <v>2.8</v>
      </c>
      <c r="G2367" s="190">
        <f t="shared" si="37"/>
        <v>25.2</v>
      </c>
    </row>
    <row r="2368" spans="2:7">
      <c r="B2368" s="105">
        <v>4</v>
      </c>
      <c r="C2368" s="135" t="s">
        <v>6561</v>
      </c>
      <c r="D2368" s="319" t="s">
        <v>2374</v>
      </c>
      <c r="E2368" s="190">
        <v>10</v>
      </c>
      <c r="F2368" s="190">
        <f>'HIRE CHARGES'!D550</f>
        <v>519.69999999999993</v>
      </c>
      <c r="G2368" s="190">
        <f t="shared" si="37"/>
        <v>5196.9999999999991</v>
      </c>
    </row>
    <row r="2369" spans="2:7">
      <c r="B2369" s="317"/>
      <c r="C2369" s="135" t="s">
        <v>2379</v>
      </c>
      <c r="D2369" s="319" t="s">
        <v>2374</v>
      </c>
      <c r="E2369" s="190">
        <v>10</v>
      </c>
      <c r="F2369" s="190">
        <f>'HIRE CHARGES'!E550</f>
        <v>299.89999999999998</v>
      </c>
      <c r="G2369" s="190">
        <f t="shared" si="37"/>
        <v>2999</v>
      </c>
    </row>
    <row r="2370" spans="2:7">
      <c r="B2370" s="105">
        <v>5</v>
      </c>
      <c r="C2370" s="135" t="s">
        <v>6562</v>
      </c>
      <c r="D2370" s="319" t="s">
        <v>2374</v>
      </c>
      <c r="E2370" s="190">
        <v>2</v>
      </c>
      <c r="F2370" s="190">
        <f>'HIRE CHARGES'!D551</f>
        <v>22.5</v>
      </c>
      <c r="G2370" s="190">
        <f t="shared" si="37"/>
        <v>45</v>
      </c>
    </row>
    <row r="2371" spans="2:7">
      <c r="B2371" s="317"/>
      <c r="C2371" s="135" t="s">
        <v>2379</v>
      </c>
      <c r="D2371" s="319" t="s">
        <v>2374</v>
      </c>
      <c r="E2371" s="190">
        <v>2</v>
      </c>
      <c r="F2371" s="190">
        <f>'HIRE CHARGES'!E551</f>
        <v>28</v>
      </c>
      <c r="G2371" s="190">
        <f t="shared" si="37"/>
        <v>56</v>
      </c>
    </row>
    <row r="2372" spans="2:7">
      <c r="B2372" s="105">
        <v>6</v>
      </c>
      <c r="C2372" s="135" t="s">
        <v>5539</v>
      </c>
      <c r="D2372" s="319" t="s">
        <v>2374</v>
      </c>
      <c r="E2372" s="190">
        <v>2</v>
      </c>
      <c r="F2372" s="190">
        <f>'HIRE CHARGES'!D551</f>
        <v>22.5</v>
      </c>
      <c r="G2372" s="190">
        <f t="shared" si="37"/>
        <v>45</v>
      </c>
    </row>
    <row r="2373" spans="2:7">
      <c r="B2373" s="317"/>
      <c r="C2373" s="135" t="s">
        <v>2379</v>
      </c>
      <c r="D2373" s="319" t="s">
        <v>2374</v>
      </c>
      <c r="E2373" s="190">
        <v>2</v>
      </c>
      <c r="F2373" s="190">
        <f>'HIRE CHARGES'!E551</f>
        <v>28</v>
      </c>
      <c r="G2373" s="190">
        <f t="shared" si="37"/>
        <v>56</v>
      </c>
    </row>
    <row r="2374" spans="2:7">
      <c r="B2374" s="114">
        <v>7</v>
      </c>
      <c r="C2374" s="135" t="s">
        <v>2373</v>
      </c>
      <c r="D2374" s="319" t="s">
        <v>2173</v>
      </c>
      <c r="E2374" s="190">
        <v>25</v>
      </c>
      <c r="F2374" s="214">
        <f>'BASIC DATA'!D359</f>
        <v>30</v>
      </c>
      <c r="G2374" s="190">
        <f t="shared" si="37"/>
        <v>750</v>
      </c>
    </row>
    <row r="2375" spans="2:7">
      <c r="B2375" s="176"/>
      <c r="C2375" s="193" t="s">
        <v>2380</v>
      </c>
      <c r="D2375" s="193"/>
      <c r="E2375" s="208"/>
      <c r="F2375" s="236" t="s">
        <v>1698</v>
      </c>
      <c r="G2375" s="318">
        <f>SUM(G2362:G2374)</f>
        <v>15166.8</v>
      </c>
    </row>
    <row r="2376" spans="2:7"/>
    <row r="2377" spans="2:7">
      <c r="B2377" s="79" t="s">
        <v>2381</v>
      </c>
    </row>
    <row r="2378" spans="2:7">
      <c r="B2378" s="95" t="s">
        <v>2369</v>
      </c>
      <c r="C2378" s="157" t="s">
        <v>2378</v>
      </c>
      <c r="D2378" s="95" t="s">
        <v>2370</v>
      </c>
      <c r="E2378" s="95" t="s">
        <v>1166</v>
      </c>
      <c r="F2378" s="95" t="s">
        <v>2371</v>
      </c>
      <c r="G2378" s="95" t="s">
        <v>2372</v>
      </c>
    </row>
    <row r="2379" spans="2:7">
      <c r="B2379" s="114"/>
      <c r="C2379" s="154"/>
      <c r="D2379" s="114"/>
      <c r="E2379" s="114"/>
      <c r="F2379" s="114" t="s">
        <v>3485</v>
      </c>
      <c r="G2379" s="114" t="s">
        <v>3485</v>
      </c>
    </row>
    <row r="2380" spans="2:7">
      <c r="B2380" s="105">
        <v>1</v>
      </c>
      <c r="C2380" s="76" t="s">
        <v>5542</v>
      </c>
      <c r="D2380" s="319" t="s">
        <v>2374</v>
      </c>
      <c r="E2380" s="207">
        <v>10</v>
      </c>
      <c r="F2380" s="190">
        <f>'HIRE CHARGES'!F550</f>
        <v>177.5</v>
      </c>
      <c r="G2380" s="190">
        <f>E2380*F2380</f>
        <v>1775</v>
      </c>
    </row>
    <row r="2381" spans="2:7">
      <c r="B2381" s="105">
        <v>2</v>
      </c>
      <c r="C2381" s="76" t="s">
        <v>5541</v>
      </c>
      <c r="D2381" s="319" t="s">
        <v>2374</v>
      </c>
      <c r="E2381" s="207">
        <v>2</v>
      </c>
      <c r="F2381" s="190">
        <f>'HIRE CHARGES'!F547</f>
        <v>189.3</v>
      </c>
      <c r="G2381" s="190">
        <f t="shared" ref="G2381:G2390" si="38">E2381*F2381</f>
        <v>378.6</v>
      </c>
    </row>
    <row r="2382" spans="2:7">
      <c r="B2382" s="105">
        <v>3</v>
      </c>
      <c r="C2382" s="76" t="s">
        <v>5545</v>
      </c>
      <c r="D2382" s="319" t="s">
        <v>2374</v>
      </c>
      <c r="E2382" s="207">
        <v>2</v>
      </c>
      <c r="F2382" s="190">
        <f>'HIRE CHARGES'!F551</f>
        <v>198.9</v>
      </c>
      <c r="G2382" s="190">
        <f t="shared" si="38"/>
        <v>397.8</v>
      </c>
    </row>
    <row r="2383" spans="2:7">
      <c r="B2383" s="105">
        <v>4</v>
      </c>
      <c r="C2383" s="76" t="s">
        <v>5546</v>
      </c>
      <c r="D2383" s="319" t="s">
        <v>2374</v>
      </c>
      <c r="E2383" s="207">
        <v>2</v>
      </c>
      <c r="F2383" s="190">
        <f>'HIRE CHARGES'!F551</f>
        <v>198.9</v>
      </c>
      <c r="G2383" s="190">
        <f t="shared" si="38"/>
        <v>397.8</v>
      </c>
    </row>
    <row r="2384" spans="2:7">
      <c r="B2384" s="105">
        <v>5</v>
      </c>
      <c r="C2384" s="76" t="s">
        <v>2468</v>
      </c>
      <c r="D2384" s="319" t="s">
        <v>1172</v>
      </c>
      <c r="E2384" s="207">
        <f>D2311</f>
        <v>13</v>
      </c>
      <c r="F2384" s="190">
        <f>'BASIC DATA'!C471</f>
        <v>510</v>
      </c>
      <c r="G2384" s="190">
        <f t="shared" si="38"/>
        <v>6630</v>
      </c>
    </row>
    <row r="2385" spans="2:7">
      <c r="B2385" s="105">
        <v>6</v>
      </c>
      <c r="C2385" s="76" t="s">
        <v>5547</v>
      </c>
      <c r="D2385" s="319" t="s">
        <v>1172</v>
      </c>
      <c r="E2385" s="207">
        <f>E2311</f>
        <v>17</v>
      </c>
      <c r="F2385" s="190">
        <f>'BASIC DATA'!C503</f>
        <v>550</v>
      </c>
      <c r="G2385" s="190">
        <f t="shared" si="38"/>
        <v>9350</v>
      </c>
    </row>
    <row r="2386" spans="2:7">
      <c r="B2386" s="105">
        <v>7</v>
      </c>
      <c r="C2386" s="76" t="s">
        <v>3010</v>
      </c>
      <c r="D2386" s="319" t="s">
        <v>1172</v>
      </c>
      <c r="E2386" s="207">
        <v>3</v>
      </c>
      <c r="F2386" s="190">
        <f>'BASIC DATA'!C504</f>
        <v>445</v>
      </c>
      <c r="G2386" s="190">
        <f t="shared" si="38"/>
        <v>1335</v>
      </c>
    </row>
    <row r="2387" spans="2:7">
      <c r="B2387" s="105">
        <v>8</v>
      </c>
      <c r="C2387" s="76" t="s">
        <v>3013</v>
      </c>
      <c r="D2387" s="319" t="s">
        <v>1172</v>
      </c>
      <c r="E2387" s="207">
        <v>5</v>
      </c>
      <c r="F2387" s="190">
        <f>'BASIC DATA'!C504</f>
        <v>445</v>
      </c>
      <c r="G2387" s="190">
        <f t="shared" si="38"/>
        <v>2225</v>
      </c>
    </row>
    <row r="2388" spans="2:7">
      <c r="B2388" s="105">
        <v>9</v>
      </c>
      <c r="C2388" s="76" t="s">
        <v>3012</v>
      </c>
      <c r="D2388" s="319" t="s">
        <v>1172</v>
      </c>
      <c r="E2388" s="207">
        <v>4</v>
      </c>
      <c r="F2388" s="190">
        <f>'BASIC DATA'!C500</f>
        <v>445</v>
      </c>
      <c r="G2388" s="190">
        <f t="shared" si="38"/>
        <v>1780</v>
      </c>
    </row>
    <row r="2389" spans="2:7">
      <c r="B2389" s="105">
        <v>10</v>
      </c>
      <c r="C2389" s="76" t="s">
        <v>3011</v>
      </c>
      <c r="D2389" s="319" t="s">
        <v>1172</v>
      </c>
      <c r="E2389" s="207">
        <f>G2311</f>
        <v>36</v>
      </c>
      <c r="F2389" s="190">
        <f>'BASIC DATA'!C529</f>
        <v>400</v>
      </c>
      <c r="G2389" s="190">
        <f t="shared" si="38"/>
        <v>14400</v>
      </c>
    </row>
    <row r="2390" spans="2:7">
      <c r="B2390" s="105">
        <v>11</v>
      </c>
      <c r="C2390" s="76" t="s">
        <v>5604</v>
      </c>
      <c r="D2390" s="319" t="s">
        <v>1172</v>
      </c>
      <c r="E2390" s="207">
        <v>2</v>
      </c>
      <c r="F2390" s="190">
        <f>'BASIC DATA'!C468</f>
        <v>515</v>
      </c>
      <c r="G2390" s="190">
        <f t="shared" si="38"/>
        <v>1030</v>
      </c>
    </row>
    <row r="2391" spans="2:7">
      <c r="B2391" s="92"/>
      <c r="C2391" s="193"/>
      <c r="D2391" s="151" t="s">
        <v>1174</v>
      </c>
      <c r="E2391" s="160"/>
      <c r="F2391" s="236" t="s">
        <v>1698</v>
      </c>
      <c r="G2391" s="318">
        <f>SUM(G2380:G2390)</f>
        <v>39699.199999999997</v>
      </c>
    </row>
    <row r="2392" spans="2:7">
      <c r="B2392" s="60" t="s">
        <v>5948</v>
      </c>
      <c r="D2392" s="31"/>
      <c r="E2392" s="85">
        <f>ROUND(G2391/F2325,1)</f>
        <v>794</v>
      </c>
    </row>
    <row r="2393" spans="2:7">
      <c r="B2393" s="60" t="s">
        <v>3163</v>
      </c>
      <c r="D2393" s="31">
        <f>'BASIC DATA'!$C$577</f>
        <v>0.13614999999999999</v>
      </c>
      <c r="E2393" s="85">
        <f>ROUND(E2392*D2393,1)</f>
        <v>108.1</v>
      </c>
    </row>
    <row r="2394" spans="2:7">
      <c r="B2394" s="60" t="s">
        <v>5949</v>
      </c>
      <c r="D2394" s="31"/>
      <c r="E2394" s="199">
        <f>E2393+E2392</f>
        <v>902.1</v>
      </c>
    </row>
    <row r="2395" spans="2:7">
      <c r="B2395" s="60"/>
      <c r="D2395" s="31"/>
      <c r="E2395" s="31"/>
      <c r="F2395" s="31"/>
      <c r="G2395" s="85"/>
    </row>
    <row r="2396" spans="2:7">
      <c r="B2396" s="170" t="s">
        <v>1175</v>
      </c>
    </row>
    <row r="2397" spans="2:7">
      <c r="B2397" s="26" t="s">
        <v>1176</v>
      </c>
      <c r="F2397" s="171" t="s">
        <v>1698</v>
      </c>
      <c r="G2397" s="68">
        <f>G2357</f>
        <v>1468261.6</v>
      </c>
    </row>
    <row r="2398" spans="2:7">
      <c r="B2398" s="26" t="s">
        <v>1186</v>
      </c>
      <c r="F2398" s="171" t="s">
        <v>1698</v>
      </c>
      <c r="G2398" s="68">
        <f>G2375</f>
        <v>15166.8</v>
      </c>
    </row>
    <row r="2399" spans="2:7">
      <c r="B2399" s="26" t="s">
        <v>2660</v>
      </c>
      <c r="F2399" s="171" t="s">
        <v>1698</v>
      </c>
      <c r="G2399" s="75">
        <f>G2391</f>
        <v>39699.199999999997</v>
      </c>
    </row>
    <row r="2400" spans="2:7">
      <c r="B2400" s="26"/>
      <c r="E2400" s="171" t="s">
        <v>5551</v>
      </c>
      <c r="F2400" s="171" t="s">
        <v>1698</v>
      </c>
      <c r="G2400" s="205">
        <f>SUM(G2397:G2399)</f>
        <v>1523127.6</v>
      </c>
    </row>
    <row r="2401" spans="1:34">
      <c r="B2401" s="26" t="s">
        <v>5087</v>
      </c>
      <c r="E2401" s="693">
        <f>'BASIC DATA'!C593</f>
        <v>0</v>
      </c>
      <c r="F2401" s="171" t="s">
        <v>1698</v>
      </c>
      <c r="G2401" s="68">
        <f>(G2399+G2398)*E2401*0.75</f>
        <v>0</v>
      </c>
    </row>
    <row r="2402" spans="1:34">
      <c r="B2402" s="26" t="s">
        <v>5084</v>
      </c>
      <c r="E2402" s="171" t="s">
        <v>1518</v>
      </c>
      <c r="F2402" s="171" t="s">
        <v>1698</v>
      </c>
      <c r="G2402" s="205">
        <f>G2401+G2400</f>
        <v>1523127.6</v>
      </c>
    </row>
    <row r="2403" spans="1:34">
      <c r="B2403" s="26" t="s">
        <v>5086</v>
      </c>
      <c r="E2403" s="201">
        <f>'BASIC DATA'!C594</f>
        <v>0.03</v>
      </c>
      <c r="F2403" s="171" t="s">
        <v>1698</v>
      </c>
      <c r="G2403" s="75">
        <f>G2402*E2403</f>
        <v>45693.828000000001</v>
      </c>
    </row>
    <row r="2404" spans="1:34">
      <c r="B2404" s="26"/>
      <c r="E2404" s="26" t="s">
        <v>2392</v>
      </c>
      <c r="F2404" s="171" t="s">
        <v>1698</v>
      </c>
      <c r="G2404" s="75">
        <f>G2403+G2402</f>
        <v>1568821.4280000001</v>
      </c>
    </row>
    <row r="2405" spans="1:34">
      <c r="B2405" s="1206" t="s">
        <v>4717</v>
      </c>
      <c r="C2405" s="1206"/>
      <c r="D2405" s="201">
        <f>'BASIC DATA'!$C$577</f>
        <v>0.13614999999999999</v>
      </c>
      <c r="F2405" s="171" t="s">
        <v>1698</v>
      </c>
      <c r="G2405" s="75">
        <f>G2404*D2405</f>
        <v>213595.0374222</v>
      </c>
      <c r="I2405" s="68"/>
    </row>
    <row r="2406" spans="1:34">
      <c r="B2406" s="26" t="s">
        <v>898</v>
      </c>
    </row>
    <row r="2407" spans="1:34">
      <c r="B2407" s="47" t="s">
        <v>897</v>
      </c>
      <c r="D2407" s="48"/>
      <c r="E2407" s="68">
        <f>leadcharges!F65</f>
        <v>19</v>
      </c>
      <c r="F2407" s="27" t="s">
        <v>1279</v>
      </c>
      <c r="G2407" s="76">
        <f>2*ROUND(E2407*F2324,3)</f>
        <v>192.62200000000001</v>
      </c>
      <c r="AH2407" s="68"/>
    </row>
    <row r="2408" spans="1:34">
      <c r="B2408" s="47" t="s">
        <v>896</v>
      </c>
      <c r="D2408" s="48"/>
      <c r="E2408" s="68">
        <f>leadcharges!$G$79</f>
        <v>74.8</v>
      </c>
      <c r="F2408" s="27" t="s">
        <v>1279</v>
      </c>
      <c r="G2408" s="76">
        <f>2*ROUND(E2408*F2324,3)</f>
        <v>758.322</v>
      </c>
    </row>
    <row r="2409" spans="1:34">
      <c r="B2409" s="26" t="s">
        <v>5078</v>
      </c>
      <c r="D2409" s="278">
        <f>F2324</f>
        <v>5.069</v>
      </c>
      <c r="E2409" s="26" t="s">
        <v>4768</v>
      </c>
      <c r="F2409" s="171" t="s">
        <v>1698</v>
      </c>
      <c r="G2409" s="205">
        <f>G2405+G2404</f>
        <v>1782416.4654222</v>
      </c>
    </row>
    <row r="2410" spans="1:34">
      <c r="D2410" s="278">
        <f>F2325</f>
        <v>50</v>
      </c>
      <c r="E2410" s="26" t="s">
        <v>4769</v>
      </c>
      <c r="F2410" s="171" t="s">
        <v>1698</v>
      </c>
      <c r="G2410" s="68"/>
    </row>
    <row r="2411" spans="1:34" ht="18.75" thickBot="1">
      <c r="D2411" s="171" t="s">
        <v>3884</v>
      </c>
      <c r="E2411" s="26" t="s">
        <v>4768</v>
      </c>
      <c r="F2411" s="171" t="s">
        <v>1698</v>
      </c>
      <c r="G2411" s="68">
        <f>ROUND(G2409/D2409,1)</f>
        <v>351630.8</v>
      </c>
    </row>
    <row r="2412" spans="1:34" ht="18.75" thickBot="1">
      <c r="C2412" s="713"/>
      <c r="D2412" s="721"/>
      <c r="E2412" s="721" t="s">
        <v>391</v>
      </c>
      <c r="F2412" s="696" t="s">
        <v>1698</v>
      </c>
      <c r="G2412" s="717">
        <f>ROUND(G2409/D2410,1)</f>
        <v>35648.300000000003</v>
      </c>
      <c r="H2412" s="147"/>
    </row>
    <row r="2413" spans="1:34">
      <c r="B2413" s="26"/>
      <c r="C2413" s="78"/>
      <c r="E2413" s="171"/>
      <c r="F2413" s="171"/>
      <c r="G2413" s="171"/>
      <c r="H2413" s="68"/>
    </row>
    <row r="2414" spans="1:34" ht="18.75" thickBot="1">
      <c r="B2414" s="26"/>
      <c r="E2414" s="78"/>
      <c r="G2414" s="171"/>
      <c r="H2414" s="27"/>
    </row>
    <row r="2415" spans="1:34" ht="18.75" thickBot="1">
      <c r="B2415" s="728" t="s">
        <v>4663</v>
      </c>
      <c r="C2415" s="712"/>
      <c r="D2415" s="729"/>
      <c r="F2415" s="171"/>
      <c r="G2415" s="27"/>
    </row>
    <row r="2416" spans="1:34">
      <c r="A2416" s="26" t="s">
        <v>7175</v>
      </c>
    </row>
    <row r="2417" spans="1:7">
      <c r="B2417" s="26" t="s">
        <v>9058</v>
      </c>
    </row>
    <row r="2418" spans="1:7">
      <c r="B2418" s="26" t="s">
        <v>9059</v>
      </c>
    </row>
    <row r="2419" spans="1:7">
      <c r="B2419" s="26" t="s">
        <v>2302</v>
      </c>
    </row>
    <row r="2420" spans="1:7">
      <c r="B2420" s="26" t="s">
        <v>4578</v>
      </c>
    </row>
    <row r="2421" spans="1:7">
      <c r="B2421" s="26" t="s">
        <v>538</v>
      </c>
      <c r="E2421" s="322"/>
    </row>
    <row r="2422" spans="1:7">
      <c r="B2422" s="26" t="s">
        <v>3549</v>
      </c>
      <c r="E2422" s="322"/>
    </row>
    <row r="2423" spans="1:7">
      <c r="B2423" s="26"/>
    </row>
    <row r="2424" spans="1:7" hidden="1">
      <c r="A2424" s="78" t="s">
        <v>3984</v>
      </c>
      <c r="B2424" s="26" t="s">
        <v>4693</v>
      </c>
    </row>
    <row r="2425" spans="1:7" hidden="1">
      <c r="B2425" s="26" t="s">
        <v>4694</v>
      </c>
    </row>
    <row r="2426" spans="1:7" hidden="1">
      <c r="B2426" s="26" t="s">
        <v>4695</v>
      </c>
    </row>
    <row r="2427" spans="1:7" hidden="1">
      <c r="B2427" s="26" t="s">
        <v>5738</v>
      </c>
      <c r="E2427" s="322" t="s">
        <v>1697</v>
      </c>
      <c r="F2427" s="278">
        <v>3</v>
      </c>
      <c r="G2427" s="26" t="s">
        <v>45</v>
      </c>
    </row>
    <row r="2428" spans="1:7" hidden="1">
      <c r="B2428" s="26" t="s">
        <v>7613</v>
      </c>
      <c r="E2428" s="322"/>
      <c r="F2428" s="278"/>
    </row>
    <row r="2429" spans="1:7" hidden="1">
      <c r="B2429" s="26" t="s">
        <v>2067</v>
      </c>
      <c r="E2429" s="322" t="s">
        <v>1697</v>
      </c>
      <c r="F2429" s="26">
        <v>0.871</v>
      </c>
      <c r="G2429" s="26" t="s">
        <v>45</v>
      </c>
    </row>
    <row r="2430" spans="1:7" hidden="1">
      <c r="B2430" s="26" t="s">
        <v>240</v>
      </c>
    </row>
    <row r="2431" spans="1:7" hidden="1">
      <c r="A2431" s="78">
        <v>1</v>
      </c>
      <c r="B2431" s="26" t="s">
        <v>4302</v>
      </c>
    </row>
    <row r="2432" spans="1:7" hidden="1">
      <c r="A2432" s="171" t="s">
        <v>1535</v>
      </c>
      <c r="B2432" s="26" t="s">
        <v>241</v>
      </c>
    </row>
    <row r="2433" spans="1:7" hidden="1">
      <c r="A2433" s="171"/>
      <c r="B2433" s="26" t="s">
        <v>5966</v>
      </c>
      <c r="E2433" s="322" t="s">
        <v>1697</v>
      </c>
      <c r="F2433" s="68">
        <v>402</v>
      </c>
      <c r="G2433" s="26" t="s">
        <v>3478</v>
      </c>
    </row>
    <row r="2434" spans="1:7" hidden="1">
      <c r="A2434" s="171"/>
      <c r="B2434" s="26" t="s">
        <v>5967</v>
      </c>
      <c r="E2434" s="322" t="s">
        <v>1697</v>
      </c>
      <c r="F2434" s="68">
        <v>145</v>
      </c>
      <c r="G2434" s="26" t="s">
        <v>3478</v>
      </c>
    </row>
    <row r="2435" spans="1:7" hidden="1">
      <c r="A2435" s="171"/>
      <c r="B2435" s="26" t="s">
        <v>2329</v>
      </c>
      <c r="E2435" s="322" t="s">
        <v>1697</v>
      </c>
      <c r="F2435" s="68">
        <v>176</v>
      </c>
      <c r="G2435" s="26" t="s">
        <v>3478</v>
      </c>
    </row>
    <row r="2436" spans="1:7" hidden="1">
      <c r="A2436" s="171" t="s">
        <v>5400</v>
      </c>
      <c r="B2436" s="26" t="s">
        <v>6173</v>
      </c>
      <c r="F2436" s="68"/>
    </row>
    <row r="2437" spans="1:7" hidden="1">
      <c r="A2437" s="171"/>
      <c r="B2437" s="26" t="s">
        <v>2068</v>
      </c>
      <c r="E2437" s="322" t="s">
        <v>1697</v>
      </c>
      <c r="F2437" s="68">
        <v>55</v>
      </c>
      <c r="G2437" s="26" t="s">
        <v>3478</v>
      </c>
    </row>
    <row r="2438" spans="1:7" hidden="1">
      <c r="A2438" s="171" t="s">
        <v>5401</v>
      </c>
      <c r="B2438" s="26" t="s">
        <v>5162</v>
      </c>
      <c r="F2438" s="68"/>
    </row>
    <row r="2439" spans="1:7" hidden="1">
      <c r="A2439" s="171"/>
      <c r="B2439" s="26" t="s">
        <v>2069</v>
      </c>
      <c r="E2439" s="322" t="s">
        <v>1697</v>
      </c>
      <c r="F2439" s="68">
        <v>75</v>
      </c>
      <c r="G2439" s="26" t="s">
        <v>3478</v>
      </c>
    </row>
    <row r="2440" spans="1:7" hidden="1">
      <c r="A2440" s="171" t="s">
        <v>1696</v>
      </c>
      <c r="B2440" s="26" t="s">
        <v>6988</v>
      </c>
      <c r="F2440" s="68"/>
    </row>
    <row r="2441" spans="1:7" hidden="1">
      <c r="A2441" s="171"/>
      <c r="B2441" s="26" t="s">
        <v>6989</v>
      </c>
      <c r="E2441" s="322" t="s">
        <v>1697</v>
      </c>
      <c r="F2441" s="68">
        <v>4</v>
      </c>
      <c r="G2441" s="26" t="s">
        <v>3478</v>
      </c>
    </row>
    <row r="2442" spans="1:7" hidden="1">
      <c r="A2442" s="171" t="s">
        <v>5082</v>
      </c>
      <c r="B2442" s="26" t="s">
        <v>5128</v>
      </c>
      <c r="F2442" s="68"/>
    </row>
    <row r="2443" spans="1:7" hidden="1">
      <c r="A2443" s="171"/>
      <c r="B2443" s="26" t="s">
        <v>3606</v>
      </c>
      <c r="E2443" s="322" t="s">
        <v>1697</v>
      </c>
      <c r="F2443" s="68">
        <v>8</v>
      </c>
      <c r="G2443" s="26" t="s">
        <v>3478</v>
      </c>
    </row>
    <row r="2444" spans="1:7" hidden="1">
      <c r="A2444" s="171"/>
      <c r="B2444" s="26" t="s">
        <v>15</v>
      </c>
      <c r="E2444" s="322" t="s">
        <v>1697</v>
      </c>
      <c r="F2444" s="26">
        <v>8.8000000000000007</v>
      </c>
      <c r="G2444" s="26" t="s">
        <v>3483</v>
      </c>
    </row>
    <row r="2445" spans="1:7" hidden="1">
      <c r="A2445" s="171" t="s">
        <v>2408</v>
      </c>
      <c r="B2445" s="26" t="s">
        <v>1195</v>
      </c>
    </row>
    <row r="2446" spans="1:7" hidden="1">
      <c r="B2446" s="26" t="s">
        <v>4094</v>
      </c>
      <c r="E2446" s="322" t="s">
        <v>1697</v>
      </c>
      <c r="F2446" s="26">
        <v>7</v>
      </c>
      <c r="G2446" s="26" t="s">
        <v>2059</v>
      </c>
    </row>
    <row r="2447" spans="1:7" hidden="1">
      <c r="B2447" s="26" t="s">
        <v>2330</v>
      </c>
      <c r="E2447" s="322" t="s">
        <v>1697</v>
      </c>
      <c r="F2447" s="26">
        <v>66</v>
      </c>
      <c r="G2447" s="26" t="s">
        <v>2059</v>
      </c>
    </row>
    <row r="2448" spans="1:7" hidden="1">
      <c r="A2448" s="78">
        <v>2</v>
      </c>
      <c r="B2448" s="26" t="s">
        <v>2281</v>
      </c>
    </row>
    <row r="2449" spans="1:7" hidden="1">
      <c r="B2449" s="26" t="s">
        <v>2978</v>
      </c>
      <c r="E2449" s="322" t="s">
        <v>1697</v>
      </c>
      <c r="F2449" s="26">
        <v>18</v>
      </c>
      <c r="G2449" s="26" t="s">
        <v>3483</v>
      </c>
    </row>
    <row r="2450" spans="1:7" hidden="1">
      <c r="B2450" s="26" t="s">
        <v>2985</v>
      </c>
      <c r="E2450" s="322" t="s">
        <v>1697</v>
      </c>
      <c r="F2450" s="174">
        <v>2</v>
      </c>
      <c r="G2450" s="26" t="s">
        <v>3483</v>
      </c>
    </row>
    <row r="2451" spans="1:7" hidden="1">
      <c r="B2451" s="26"/>
      <c r="D2451" s="171" t="s">
        <v>1518</v>
      </c>
      <c r="E2451" s="322" t="s">
        <v>1697</v>
      </c>
      <c r="F2451" s="26">
        <v>20</v>
      </c>
      <c r="G2451" s="26" t="s">
        <v>3483</v>
      </c>
    </row>
    <row r="2452" spans="1:7" hidden="1">
      <c r="B2452" s="26" t="s">
        <v>165</v>
      </c>
      <c r="E2452" s="322"/>
    </row>
    <row r="2453" spans="1:7" hidden="1">
      <c r="B2453" s="26" t="s">
        <v>2278</v>
      </c>
      <c r="E2453" s="322" t="s">
        <v>1697</v>
      </c>
      <c r="F2453" s="26">
        <v>10</v>
      </c>
      <c r="G2453" s="26" t="s">
        <v>4665</v>
      </c>
    </row>
    <row r="2454" spans="1:7" hidden="1">
      <c r="B2454" s="26" t="s">
        <v>3287</v>
      </c>
      <c r="E2454" s="322" t="s">
        <v>1697</v>
      </c>
      <c r="F2454" s="26">
        <v>6</v>
      </c>
      <c r="G2454" s="26" t="s">
        <v>3477</v>
      </c>
    </row>
    <row r="2455" spans="1:7" hidden="1">
      <c r="B2455" s="26" t="s">
        <v>3288</v>
      </c>
      <c r="E2455" s="322" t="s">
        <v>1697</v>
      </c>
      <c r="F2455" s="26">
        <v>18</v>
      </c>
      <c r="G2455" s="26" t="s">
        <v>3477</v>
      </c>
    </row>
    <row r="2456" spans="1:7" hidden="1">
      <c r="B2456" s="26" t="s">
        <v>4598</v>
      </c>
      <c r="E2456" s="322" t="s">
        <v>1697</v>
      </c>
      <c r="F2456" s="26">
        <v>12</v>
      </c>
      <c r="G2456" s="26" t="s">
        <v>4665</v>
      </c>
    </row>
    <row r="2457" spans="1:7" hidden="1">
      <c r="A2457" s="78">
        <v>3</v>
      </c>
      <c r="B2457" s="26" t="s">
        <v>4651</v>
      </c>
      <c r="E2457" s="322"/>
    </row>
    <row r="2458" spans="1:7" hidden="1">
      <c r="B2458" s="26" t="s">
        <v>2504</v>
      </c>
      <c r="E2458" s="322" t="s">
        <v>1697</v>
      </c>
      <c r="F2458" s="26">
        <v>10</v>
      </c>
      <c r="G2458" s="26" t="s">
        <v>3483</v>
      </c>
    </row>
    <row r="2459" spans="1:7" hidden="1">
      <c r="B2459" s="26" t="s">
        <v>5723</v>
      </c>
      <c r="E2459" s="322"/>
    </row>
    <row r="2460" spans="1:7" hidden="1">
      <c r="B2460" s="26"/>
      <c r="C2460" s="26" t="s">
        <v>4599</v>
      </c>
      <c r="E2460" s="322" t="s">
        <v>1697</v>
      </c>
      <c r="F2460" s="26">
        <v>2</v>
      </c>
      <c r="G2460" s="26" t="s">
        <v>4665</v>
      </c>
    </row>
    <row r="2461" spans="1:7" hidden="1">
      <c r="B2461" s="26" t="s">
        <v>1913</v>
      </c>
      <c r="E2461" s="322"/>
    </row>
    <row r="2462" spans="1:7" hidden="1">
      <c r="B2462" s="26"/>
      <c r="C2462" s="26" t="s">
        <v>4600</v>
      </c>
      <c r="E2462" s="322" t="s">
        <v>1697</v>
      </c>
      <c r="F2462" s="26">
        <v>6</v>
      </c>
      <c r="G2462" s="26" t="s">
        <v>4665</v>
      </c>
    </row>
    <row r="2463" spans="1:7" hidden="1">
      <c r="B2463" s="26"/>
      <c r="D2463" s="171" t="s">
        <v>1518</v>
      </c>
      <c r="E2463" s="322" t="s">
        <v>1697</v>
      </c>
      <c r="F2463" s="26">
        <v>8</v>
      </c>
      <c r="G2463" s="26" t="s">
        <v>4665</v>
      </c>
    </row>
    <row r="2464" spans="1:7" hidden="1">
      <c r="B2464" s="26" t="s">
        <v>4601</v>
      </c>
      <c r="E2464" s="322"/>
    </row>
    <row r="2465" spans="1:7" hidden="1">
      <c r="B2465" s="26" t="s">
        <v>2657</v>
      </c>
      <c r="E2465" s="322"/>
    </row>
    <row r="2466" spans="1:7" hidden="1">
      <c r="B2466" s="26"/>
      <c r="C2466" s="26" t="s">
        <v>4602</v>
      </c>
      <c r="E2466" s="322" t="s">
        <v>1697</v>
      </c>
      <c r="F2466" s="26">
        <v>5</v>
      </c>
      <c r="G2466" s="26" t="s">
        <v>4665</v>
      </c>
    </row>
    <row r="2467" spans="1:7" hidden="1">
      <c r="A2467" s="78">
        <v>4</v>
      </c>
      <c r="B2467" s="26" t="s">
        <v>4249</v>
      </c>
    </row>
    <row r="2468" spans="1:7" hidden="1">
      <c r="B2468" s="26" t="s">
        <v>1887</v>
      </c>
    </row>
    <row r="2469" spans="1:7" hidden="1">
      <c r="B2469" s="26" t="s">
        <v>1888</v>
      </c>
    </row>
    <row r="2470" spans="1:7" hidden="1">
      <c r="B2470" s="26"/>
    </row>
    <row r="2471" spans="1:7" hidden="1">
      <c r="A2471" s="78">
        <v>5</v>
      </c>
      <c r="B2471" s="31" t="s">
        <v>4900</v>
      </c>
      <c r="C2471" s="31"/>
      <c r="D2471" s="31"/>
      <c r="E2471" s="31"/>
      <c r="F2471" s="31"/>
    </row>
    <row r="2472" spans="1:7" hidden="1">
      <c r="B2472" s="1267" t="s">
        <v>4901</v>
      </c>
      <c r="C2472" s="1267"/>
      <c r="D2472" s="38" t="s">
        <v>2468</v>
      </c>
      <c r="E2472" s="38" t="s">
        <v>4902</v>
      </c>
      <c r="F2472" s="38" t="s">
        <v>4903</v>
      </c>
      <c r="G2472" s="38" t="s">
        <v>6199</v>
      </c>
    </row>
    <row r="2473" spans="1:7" hidden="1">
      <c r="B2473" s="1267"/>
      <c r="C2473" s="1267"/>
      <c r="D2473" s="38"/>
      <c r="E2473" s="38" t="s">
        <v>4904</v>
      </c>
      <c r="F2473" s="38" t="s">
        <v>4905</v>
      </c>
      <c r="G2473" s="38"/>
    </row>
    <row r="2474" spans="1:7" hidden="1">
      <c r="B2474" s="1267"/>
      <c r="C2474" s="1267"/>
      <c r="D2474" s="38"/>
      <c r="E2474" s="38" t="s">
        <v>6307</v>
      </c>
      <c r="F2474" s="36"/>
      <c r="G2474" s="38"/>
    </row>
    <row r="2475" spans="1:7" hidden="1">
      <c r="B2475" s="38" t="s">
        <v>7595</v>
      </c>
      <c r="C2475" s="38"/>
      <c r="D2475" s="36">
        <v>1</v>
      </c>
      <c r="E2475" s="36">
        <v>2</v>
      </c>
      <c r="F2475" s="36">
        <v>2</v>
      </c>
      <c r="G2475" s="36">
        <v>4</v>
      </c>
    </row>
    <row r="2476" spans="1:7" hidden="1">
      <c r="B2476" s="38" t="s">
        <v>7596</v>
      </c>
      <c r="C2476" s="38"/>
      <c r="D2476" s="36">
        <v>1</v>
      </c>
      <c r="E2476" s="36">
        <v>1</v>
      </c>
      <c r="F2476" s="36">
        <v>1</v>
      </c>
      <c r="G2476" s="36">
        <v>2</v>
      </c>
    </row>
    <row r="2477" spans="1:7" hidden="1">
      <c r="B2477" s="38" t="s">
        <v>7597</v>
      </c>
      <c r="C2477" s="38"/>
      <c r="D2477" s="36">
        <v>1</v>
      </c>
      <c r="E2477" s="36">
        <v>1</v>
      </c>
      <c r="F2477" s="36" t="s">
        <v>5854</v>
      </c>
      <c r="G2477" s="36">
        <v>2</v>
      </c>
    </row>
    <row r="2478" spans="1:7" hidden="1">
      <c r="B2478" s="38" t="s">
        <v>5625</v>
      </c>
      <c r="C2478" s="38"/>
      <c r="D2478" s="36">
        <v>1</v>
      </c>
      <c r="E2478" s="36">
        <v>1</v>
      </c>
      <c r="F2478" s="36" t="s">
        <v>5854</v>
      </c>
      <c r="G2478" s="36">
        <v>1</v>
      </c>
    </row>
    <row r="2479" spans="1:7" hidden="1">
      <c r="B2479" s="36" t="s">
        <v>2656</v>
      </c>
      <c r="C2479" s="36"/>
      <c r="D2479" s="36">
        <v>4</v>
      </c>
      <c r="E2479" s="36">
        <v>5</v>
      </c>
      <c r="F2479" s="36">
        <v>3</v>
      </c>
      <c r="G2479" s="36">
        <v>9</v>
      </c>
    </row>
    <row r="2480" spans="1:7" hidden="1">
      <c r="A2480" s="78">
        <v>6</v>
      </c>
      <c r="B2480" s="26" t="s">
        <v>673</v>
      </c>
    </row>
    <row r="2481" spans="1:7" hidden="1">
      <c r="B2481" s="26" t="s">
        <v>6017</v>
      </c>
    </row>
    <row r="2482" spans="1:7" hidden="1">
      <c r="B2482" s="26" t="s">
        <v>2385</v>
      </c>
    </row>
    <row r="2483" spans="1:7" hidden="1">
      <c r="B2483" s="26" t="s">
        <v>4751</v>
      </c>
    </row>
    <row r="2484" spans="1:7" hidden="1">
      <c r="A2484" s="78">
        <v>7</v>
      </c>
      <c r="B2484" s="26" t="s">
        <v>2366</v>
      </c>
    </row>
    <row r="2485" spans="1:7" hidden="1">
      <c r="B2485" s="26" t="s">
        <v>2966</v>
      </c>
      <c r="C2485" s="68">
        <f>'BASIC DATA'!D373</f>
        <v>7800</v>
      </c>
      <c r="D2485" s="26" t="s">
        <v>2290</v>
      </c>
      <c r="E2485" s="315" t="s">
        <v>1698</v>
      </c>
      <c r="F2485" s="68">
        <f>C2485</f>
        <v>7800</v>
      </c>
    </row>
    <row r="2486" spans="1:7" hidden="1">
      <c r="B2486" s="26" t="s">
        <v>3231</v>
      </c>
      <c r="E2486" s="322" t="s">
        <v>1697</v>
      </c>
      <c r="F2486" s="316">
        <v>1000</v>
      </c>
      <c r="G2486" s="26" t="s">
        <v>4665</v>
      </c>
    </row>
    <row r="2487" spans="1:7" hidden="1">
      <c r="B2487" s="26" t="s">
        <v>3232</v>
      </c>
      <c r="C2487" s="26" t="s">
        <v>7593</v>
      </c>
      <c r="E2487" s="315" t="s">
        <v>1698</v>
      </c>
      <c r="F2487" s="68">
        <f>F2485/F2486</f>
        <v>7.8</v>
      </c>
    </row>
    <row r="2488" spans="1:7" hidden="1">
      <c r="B2488" s="26" t="s">
        <v>1163</v>
      </c>
      <c r="C2488" s="68">
        <f>'BASIC DATA'!D371</f>
        <v>14500</v>
      </c>
      <c r="D2488" s="26" t="s">
        <v>2290</v>
      </c>
      <c r="E2488" s="315" t="s">
        <v>1698</v>
      </c>
      <c r="F2488" s="68">
        <f>C2488</f>
        <v>14500</v>
      </c>
    </row>
    <row r="2489" spans="1:7" hidden="1">
      <c r="B2489" s="26" t="s">
        <v>5868</v>
      </c>
      <c r="E2489" s="322" t="s">
        <v>1697</v>
      </c>
      <c r="F2489" s="316">
        <v>600</v>
      </c>
      <c r="G2489" s="26" t="s">
        <v>4665</v>
      </c>
    </row>
    <row r="2490" spans="1:7" hidden="1">
      <c r="B2490" s="26" t="s">
        <v>3234</v>
      </c>
      <c r="C2490" s="26" t="s">
        <v>7593</v>
      </c>
      <c r="E2490" s="315" t="s">
        <v>1698</v>
      </c>
      <c r="F2490" s="68">
        <f>F2488/F2489</f>
        <v>24.166666666666668</v>
      </c>
    </row>
    <row r="2491" spans="1:7"/>
    <row r="2492" spans="1:7">
      <c r="A2492" s="78" t="s">
        <v>3984</v>
      </c>
      <c r="C2492" s="203" t="s">
        <v>2367</v>
      </c>
      <c r="E2492" s="171" t="s">
        <v>297</v>
      </c>
      <c r="F2492" s="692">
        <v>0.871</v>
      </c>
      <c r="G2492" s="26" t="s">
        <v>3480</v>
      </c>
    </row>
    <row r="2493" spans="1:7">
      <c r="B2493" s="79" t="s">
        <v>2368</v>
      </c>
      <c r="F2493" s="211">
        <v>3</v>
      </c>
      <c r="G2493" s="26" t="s">
        <v>4769</v>
      </c>
    </row>
    <row r="2494" spans="1:7">
      <c r="B2494" s="95" t="s">
        <v>2369</v>
      </c>
      <c r="C2494" s="157" t="s">
        <v>6374</v>
      </c>
      <c r="D2494" s="95" t="s">
        <v>2370</v>
      </c>
      <c r="E2494" s="95" t="s">
        <v>1166</v>
      </c>
      <c r="F2494" s="95" t="s">
        <v>2371</v>
      </c>
      <c r="G2494" s="95" t="s">
        <v>2372</v>
      </c>
    </row>
    <row r="2495" spans="1:7">
      <c r="B2495" s="114"/>
      <c r="C2495" s="154"/>
      <c r="D2495" s="114"/>
      <c r="E2495" s="114"/>
      <c r="F2495" s="114" t="s">
        <v>3485</v>
      </c>
      <c r="G2495" s="114" t="s">
        <v>3485</v>
      </c>
    </row>
    <row r="2496" spans="1:7">
      <c r="B2496" s="95">
        <v>1</v>
      </c>
      <c r="C2496" s="135" t="s">
        <v>4770</v>
      </c>
      <c r="D2496" s="451"/>
      <c r="E2496" s="190"/>
      <c r="F2496" s="190"/>
      <c r="G2496" s="190"/>
    </row>
    <row r="2497" spans="2:7">
      <c r="B2497" s="105"/>
      <c r="C2497" s="135" t="s">
        <v>4915</v>
      </c>
      <c r="D2497" s="319" t="s">
        <v>3478</v>
      </c>
      <c r="E2497" s="190">
        <v>402</v>
      </c>
      <c r="F2497" s="214">
        <f>'BASIC DATA'!D97/1000</f>
        <v>37.5</v>
      </c>
      <c r="G2497" s="190">
        <f>F2497*E2497</f>
        <v>15075</v>
      </c>
    </row>
    <row r="2498" spans="2:7">
      <c r="B2498" s="105"/>
      <c r="C2498" s="135" t="s">
        <v>4916</v>
      </c>
      <c r="D2498" s="319" t="s">
        <v>3478</v>
      </c>
      <c r="E2498" s="190">
        <v>145</v>
      </c>
      <c r="F2498" s="214">
        <f>'BASIC DATA'!D98/1000</f>
        <v>37.4</v>
      </c>
      <c r="G2498" s="190">
        <f>F2498*E2498</f>
        <v>5423</v>
      </c>
    </row>
    <row r="2499" spans="2:7">
      <c r="B2499" s="105"/>
      <c r="C2499" s="135" t="s">
        <v>6899</v>
      </c>
      <c r="D2499" s="319" t="s">
        <v>3478</v>
      </c>
      <c r="E2499" s="190">
        <v>176</v>
      </c>
      <c r="F2499" s="214">
        <f>'BASIC DATA'!D33</f>
        <v>63</v>
      </c>
      <c r="G2499" s="190">
        <f>F2499*E2499</f>
        <v>11088</v>
      </c>
    </row>
    <row r="2500" spans="2:7">
      <c r="B2500" s="105">
        <v>2</v>
      </c>
      <c r="C2500" s="135" t="s">
        <v>5626</v>
      </c>
      <c r="D2500" s="319"/>
      <c r="E2500" s="190"/>
      <c r="F2500" s="214"/>
      <c r="G2500" s="190"/>
    </row>
    <row r="2501" spans="2:7">
      <c r="B2501" s="105"/>
      <c r="C2501" s="135" t="s">
        <v>2068</v>
      </c>
      <c r="D2501" s="319" t="s">
        <v>3478</v>
      </c>
      <c r="E2501" s="190">
        <v>55</v>
      </c>
      <c r="F2501" s="214">
        <f>'BASIC DATA'!D165</f>
        <v>235</v>
      </c>
      <c r="G2501" s="190">
        <f>F2501*E2501</f>
        <v>12925</v>
      </c>
    </row>
    <row r="2502" spans="2:7">
      <c r="B2502" s="105">
        <v>3</v>
      </c>
      <c r="C2502" s="135" t="s">
        <v>4771</v>
      </c>
      <c r="D2502" s="319"/>
      <c r="E2502" s="190"/>
      <c r="F2502" s="214"/>
      <c r="G2502" s="190"/>
    </row>
    <row r="2503" spans="2:7">
      <c r="B2503" s="105"/>
      <c r="C2503" s="135" t="s">
        <v>2069</v>
      </c>
      <c r="D2503" s="319" t="s">
        <v>3478</v>
      </c>
      <c r="E2503" s="190">
        <v>75</v>
      </c>
      <c r="F2503" s="214">
        <f>'BASIC DATA'!D159</f>
        <v>235</v>
      </c>
      <c r="G2503" s="190">
        <f>F2503*E2503</f>
        <v>17625</v>
      </c>
    </row>
    <row r="2504" spans="2:7">
      <c r="B2504" s="105">
        <v>4</v>
      </c>
      <c r="C2504" s="135" t="s">
        <v>5973</v>
      </c>
      <c r="D2504" s="319"/>
      <c r="E2504" s="190"/>
      <c r="F2504" s="214"/>
      <c r="G2504" s="190"/>
    </row>
    <row r="2505" spans="2:7">
      <c r="B2505" s="105"/>
      <c r="C2505" s="135" t="s">
        <v>5627</v>
      </c>
      <c r="D2505" s="319" t="s">
        <v>3478</v>
      </c>
      <c r="E2505" s="190">
        <v>4</v>
      </c>
      <c r="F2505" s="214">
        <f>'BASIC DATA'!D163</f>
        <v>970</v>
      </c>
      <c r="G2505" s="190">
        <f t="shared" ref="G2505:G2514" si="39">F2505*E2505</f>
        <v>3880</v>
      </c>
    </row>
    <row r="2506" spans="2:7">
      <c r="B2506" s="105">
        <v>5</v>
      </c>
      <c r="C2506" s="135" t="s">
        <v>5976</v>
      </c>
      <c r="D2506" s="319" t="s">
        <v>3478</v>
      </c>
      <c r="E2506" s="190">
        <v>8</v>
      </c>
      <c r="F2506" s="214">
        <f>'BASIC DATA'!D84</f>
        <v>80</v>
      </c>
      <c r="G2506" s="190">
        <f t="shared" si="39"/>
        <v>640</v>
      </c>
    </row>
    <row r="2507" spans="2:7">
      <c r="B2507" s="105">
        <v>6</v>
      </c>
      <c r="C2507" s="135" t="s">
        <v>958</v>
      </c>
      <c r="D2507" s="319" t="s">
        <v>3477</v>
      </c>
      <c r="E2507" s="190">
        <v>18</v>
      </c>
      <c r="F2507" s="214">
        <f>'BASIC DATA'!D87</f>
        <v>42</v>
      </c>
      <c r="G2507" s="190">
        <f t="shared" si="39"/>
        <v>756</v>
      </c>
    </row>
    <row r="2508" spans="2:7">
      <c r="B2508" s="105">
        <v>7</v>
      </c>
      <c r="C2508" s="135" t="s">
        <v>6815</v>
      </c>
      <c r="D2508" s="319" t="s">
        <v>3477</v>
      </c>
      <c r="E2508" s="190">
        <v>6</v>
      </c>
      <c r="F2508" s="214">
        <f>'BASIC DATA'!D28</f>
        <v>335</v>
      </c>
      <c r="G2508" s="190">
        <f t="shared" si="39"/>
        <v>2010</v>
      </c>
    </row>
    <row r="2509" spans="2:7">
      <c r="B2509" s="105">
        <v>8</v>
      </c>
      <c r="C2509" s="135" t="s">
        <v>6816</v>
      </c>
      <c r="D2509" s="319" t="s">
        <v>2059</v>
      </c>
      <c r="E2509" s="190">
        <v>7</v>
      </c>
      <c r="F2509" s="214">
        <f>'BASIC DATA'!D109</f>
        <v>80</v>
      </c>
      <c r="G2509" s="190">
        <f t="shared" si="39"/>
        <v>560</v>
      </c>
    </row>
    <row r="2510" spans="2:7">
      <c r="B2510" s="105">
        <v>9</v>
      </c>
      <c r="C2510" s="135" t="s">
        <v>4655</v>
      </c>
      <c r="D2510" s="319" t="s">
        <v>2059</v>
      </c>
      <c r="E2510" s="190">
        <v>66</v>
      </c>
      <c r="F2510" s="214">
        <f>'BASIC DATA'!D181</f>
        <v>15</v>
      </c>
      <c r="G2510" s="190">
        <f t="shared" si="39"/>
        <v>990</v>
      </c>
    </row>
    <row r="2511" spans="2:7">
      <c r="B2511" s="105">
        <v>10</v>
      </c>
      <c r="C2511" s="135" t="s">
        <v>5980</v>
      </c>
      <c r="D2511" s="319" t="s">
        <v>3478</v>
      </c>
      <c r="E2511" s="190">
        <v>2</v>
      </c>
      <c r="F2511" s="214">
        <f>'BASIC DATA'!D372</f>
        <v>275</v>
      </c>
      <c r="G2511" s="190">
        <f t="shared" si="39"/>
        <v>550</v>
      </c>
    </row>
    <row r="2512" spans="2:7">
      <c r="B2512" s="105">
        <v>11</v>
      </c>
      <c r="C2512" s="135" t="s">
        <v>6556</v>
      </c>
      <c r="D2512" s="319" t="s">
        <v>2374</v>
      </c>
      <c r="E2512" s="190">
        <v>8</v>
      </c>
      <c r="F2512" s="214">
        <f>F2487</f>
        <v>7.8</v>
      </c>
      <c r="G2512" s="190">
        <f t="shared" si="39"/>
        <v>62.4</v>
      </c>
    </row>
    <row r="2513" spans="2:7">
      <c r="B2513" s="105">
        <v>12</v>
      </c>
      <c r="C2513" s="135" t="s">
        <v>6557</v>
      </c>
      <c r="D2513" s="319" t="s">
        <v>2374</v>
      </c>
      <c r="E2513" s="190">
        <v>11</v>
      </c>
      <c r="F2513" s="214">
        <f>F2490</f>
        <v>24.166666666666668</v>
      </c>
      <c r="G2513" s="190">
        <f t="shared" si="39"/>
        <v>265.83333333333337</v>
      </c>
    </row>
    <row r="2514" spans="2:7">
      <c r="B2514" s="114">
        <v>13</v>
      </c>
      <c r="C2514" s="135" t="s">
        <v>2373</v>
      </c>
      <c r="D2514" s="319" t="s">
        <v>2173</v>
      </c>
      <c r="E2514" s="190">
        <v>2</v>
      </c>
      <c r="F2514" s="214">
        <f>'BASIC DATA'!D359</f>
        <v>30</v>
      </c>
      <c r="G2514" s="190">
        <f t="shared" si="39"/>
        <v>60</v>
      </c>
    </row>
    <row r="2515" spans="2:7">
      <c r="B2515" s="92"/>
      <c r="C2515" s="193"/>
      <c r="D2515" s="151" t="s">
        <v>2376</v>
      </c>
      <c r="E2515" s="160"/>
      <c r="F2515" s="236" t="s">
        <v>1698</v>
      </c>
      <c r="G2515" s="318">
        <f>SUM(G2497:G2514)</f>
        <v>71910.233333333323</v>
      </c>
    </row>
    <row r="2516" spans="2:7"/>
    <row r="2517" spans="2:7">
      <c r="B2517" s="79" t="s">
        <v>2377</v>
      </c>
    </row>
    <row r="2518" spans="2:7">
      <c r="B2518" s="95" t="s">
        <v>2369</v>
      </c>
      <c r="C2518" s="157" t="s">
        <v>2378</v>
      </c>
      <c r="D2518" s="95" t="s">
        <v>2370</v>
      </c>
      <c r="E2518" s="95" t="s">
        <v>1166</v>
      </c>
      <c r="F2518" s="95" t="s">
        <v>2371</v>
      </c>
      <c r="G2518" s="95" t="s">
        <v>2372</v>
      </c>
    </row>
    <row r="2519" spans="2:7">
      <c r="B2519" s="114"/>
      <c r="C2519" s="154"/>
      <c r="D2519" s="114"/>
      <c r="E2519" s="114"/>
      <c r="F2519" s="114" t="s">
        <v>3485</v>
      </c>
      <c r="G2519" s="114" t="s">
        <v>3485</v>
      </c>
    </row>
    <row r="2520" spans="2:7">
      <c r="B2520" s="95">
        <v>1</v>
      </c>
      <c r="C2520" s="135" t="s">
        <v>6558</v>
      </c>
      <c r="D2520" s="451" t="s">
        <v>2374</v>
      </c>
      <c r="E2520" s="190">
        <v>8</v>
      </c>
      <c r="F2520" s="190">
        <f>'HIRE CHARGES'!D556</f>
        <v>16</v>
      </c>
      <c r="G2520" s="190">
        <f t="shared" ref="G2520:G2526" si="40">F2520*E2520</f>
        <v>128</v>
      </c>
    </row>
    <row r="2521" spans="2:7">
      <c r="B2521" s="317"/>
      <c r="C2521" s="135" t="s">
        <v>2379</v>
      </c>
      <c r="D2521" s="319" t="s">
        <v>2374</v>
      </c>
      <c r="E2521" s="190">
        <v>5</v>
      </c>
      <c r="F2521" s="190">
        <f>'HIRE CHARGES'!E556</f>
        <v>67.2</v>
      </c>
      <c r="G2521" s="190">
        <f t="shared" si="40"/>
        <v>336</v>
      </c>
    </row>
    <row r="2522" spans="2:7">
      <c r="B2522" s="105">
        <v>2</v>
      </c>
      <c r="C2522" s="135" t="s">
        <v>6562</v>
      </c>
      <c r="D2522" s="319" t="s">
        <v>2374</v>
      </c>
      <c r="E2522" s="190">
        <v>2</v>
      </c>
      <c r="F2522" s="190">
        <f>'HIRE CHARGES'!D551</f>
        <v>22.5</v>
      </c>
      <c r="G2522" s="190">
        <f t="shared" si="40"/>
        <v>45</v>
      </c>
    </row>
    <row r="2523" spans="2:7">
      <c r="B2523" s="317"/>
      <c r="C2523" s="135" t="s">
        <v>2379</v>
      </c>
      <c r="D2523" s="319" t="s">
        <v>2374</v>
      </c>
      <c r="E2523" s="190">
        <v>2</v>
      </c>
      <c r="F2523" s="190">
        <f>'HIRE CHARGES'!E551</f>
        <v>28</v>
      </c>
      <c r="G2523" s="190">
        <f t="shared" si="40"/>
        <v>56</v>
      </c>
    </row>
    <row r="2524" spans="2:7">
      <c r="B2524" s="105">
        <v>3</v>
      </c>
      <c r="C2524" s="135" t="s">
        <v>5539</v>
      </c>
      <c r="D2524" s="319" t="s">
        <v>2374</v>
      </c>
      <c r="E2524" s="190">
        <v>2</v>
      </c>
      <c r="F2524" s="190">
        <f>'HIRE CHARGES'!D551</f>
        <v>22.5</v>
      </c>
      <c r="G2524" s="190">
        <f t="shared" si="40"/>
        <v>45</v>
      </c>
    </row>
    <row r="2525" spans="2:7">
      <c r="B2525" s="317"/>
      <c r="C2525" s="135" t="s">
        <v>2379</v>
      </c>
      <c r="D2525" s="319" t="s">
        <v>2374</v>
      </c>
      <c r="E2525" s="190">
        <v>2</v>
      </c>
      <c r="F2525" s="190">
        <f>'HIRE CHARGES'!E551</f>
        <v>28</v>
      </c>
      <c r="G2525" s="190">
        <f t="shared" si="40"/>
        <v>56</v>
      </c>
    </row>
    <row r="2526" spans="2:7">
      <c r="B2526" s="105">
        <v>4</v>
      </c>
      <c r="C2526" s="135" t="s">
        <v>2373</v>
      </c>
      <c r="D2526" s="319" t="s">
        <v>2173</v>
      </c>
      <c r="E2526" s="190">
        <v>2</v>
      </c>
      <c r="F2526" s="214">
        <f>'BASIC DATA'!D359</f>
        <v>30</v>
      </c>
      <c r="G2526" s="190">
        <f t="shared" si="40"/>
        <v>60</v>
      </c>
    </row>
    <row r="2527" spans="2:7">
      <c r="B2527" s="176"/>
      <c r="C2527" s="193" t="s">
        <v>2380</v>
      </c>
      <c r="D2527" s="193"/>
      <c r="E2527" s="208"/>
      <c r="F2527" s="236" t="s">
        <v>1698</v>
      </c>
      <c r="G2527" s="318">
        <f>SUM(G2520:G2526)</f>
        <v>726</v>
      </c>
    </row>
    <row r="2528" spans="2:7"/>
    <row r="2529" spans="2:7">
      <c r="B2529" s="79" t="s">
        <v>2381</v>
      </c>
    </row>
    <row r="2530" spans="2:7">
      <c r="B2530" s="95" t="s">
        <v>2369</v>
      </c>
      <c r="C2530" s="157" t="s">
        <v>2378</v>
      </c>
      <c r="D2530" s="95" t="s">
        <v>2370</v>
      </c>
      <c r="E2530" s="95" t="s">
        <v>1166</v>
      </c>
      <c r="F2530" s="95" t="s">
        <v>2371</v>
      </c>
      <c r="G2530" s="95" t="s">
        <v>2372</v>
      </c>
    </row>
    <row r="2531" spans="2:7">
      <c r="B2531" s="114"/>
      <c r="C2531" s="154"/>
      <c r="D2531" s="114"/>
      <c r="E2531" s="114"/>
      <c r="F2531" s="114" t="s">
        <v>3485</v>
      </c>
      <c r="G2531" s="114" t="s">
        <v>3485</v>
      </c>
    </row>
    <row r="2532" spans="2:7">
      <c r="B2532" s="105">
        <v>1</v>
      </c>
      <c r="C2532" s="76" t="s">
        <v>5545</v>
      </c>
      <c r="D2532" s="319" t="s">
        <v>2374</v>
      </c>
      <c r="E2532" s="207">
        <v>2</v>
      </c>
      <c r="F2532" s="190">
        <f>'HIRE CHARGES'!F551</f>
        <v>198.9</v>
      </c>
      <c r="G2532" s="190">
        <f>(E2532*F2532)</f>
        <v>397.8</v>
      </c>
    </row>
    <row r="2533" spans="2:7">
      <c r="B2533" s="105">
        <v>2</v>
      </c>
      <c r="C2533" s="76" t="s">
        <v>5546</v>
      </c>
      <c r="D2533" s="319" t="s">
        <v>2374</v>
      </c>
      <c r="E2533" s="207">
        <v>2</v>
      </c>
      <c r="F2533" s="190">
        <f>'HIRE CHARGES'!F551</f>
        <v>198.9</v>
      </c>
      <c r="G2533" s="190">
        <f t="shared" ref="G2533:G2539" si="41">(E2533*F2533)</f>
        <v>397.8</v>
      </c>
    </row>
    <row r="2534" spans="2:7">
      <c r="B2534" s="105">
        <v>3</v>
      </c>
      <c r="C2534" s="76" t="s">
        <v>2468</v>
      </c>
      <c r="D2534" s="319" t="s">
        <v>1172</v>
      </c>
      <c r="E2534" s="207">
        <v>4</v>
      </c>
      <c r="F2534" s="190">
        <f>'BASIC DATA'!C471</f>
        <v>510</v>
      </c>
      <c r="G2534" s="190">
        <f t="shared" si="41"/>
        <v>2040</v>
      </c>
    </row>
    <row r="2535" spans="2:7">
      <c r="B2535" s="105">
        <v>4</v>
      </c>
      <c r="C2535" s="76" t="s">
        <v>5547</v>
      </c>
      <c r="D2535" s="319" t="s">
        <v>1172</v>
      </c>
      <c r="E2535" s="207">
        <v>5</v>
      </c>
      <c r="F2535" s="190">
        <f>'BASIC DATA'!C503</f>
        <v>550</v>
      </c>
      <c r="G2535" s="190">
        <f t="shared" si="41"/>
        <v>2750</v>
      </c>
    </row>
    <row r="2536" spans="2:7">
      <c r="B2536" s="105">
        <v>5</v>
      </c>
      <c r="C2536" s="76" t="s">
        <v>3010</v>
      </c>
      <c r="D2536" s="319" t="s">
        <v>1172</v>
      </c>
      <c r="E2536" s="207">
        <v>2</v>
      </c>
      <c r="F2536" s="190">
        <f>'BASIC DATA'!C504</f>
        <v>445</v>
      </c>
      <c r="G2536" s="190">
        <f t="shared" si="41"/>
        <v>890</v>
      </c>
    </row>
    <row r="2537" spans="2:7">
      <c r="B2537" s="105">
        <v>6</v>
      </c>
      <c r="C2537" s="76" t="s">
        <v>3013</v>
      </c>
      <c r="D2537" s="319" t="s">
        <v>1172</v>
      </c>
      <c r="E2537" s="207">
        <v>1</v>
      </c>
      <c r="F2537" s="190">
        <f>'BASIC DATA'!C504</f>
        <v>445</v>
      </c>
      <c r="G2537" s="190">
        <f t="shared" si="41"/>
        <v>445</v>
      </c>
    </row>
    <row r="2538" spans="2:7">
      <c r="B2538" s="105">
        <v>7</v>
      </c>
      <c r="C2538" s="76" t="s">
        <v>3011</v>
      </c>
      <c r="D2538" s="319" t="s">
        <v>1172</v>
      </c>
      <c r="E2538" s="207">
        <v>9</v>
      </c>
      <c r="F2538" s="190">
        <f>'BASIC DATA'!C529</f>
        <v>400</v>
      </c>
      <c r="G2538" s="190">
        <f t="shared" si="41"/>
        <v>3600</v>
      </c>
    </row>
    <row r="2539" spans="2:7">
      <c r="B2539" s="105">
        <v>8</v>
      </c>
      <c r="C2539" s="76" t="s">
        <v>5604</v>
      </c>
      <c r="D2539" s="319" t="s">
        <v>1172</v>
      </c>
      <c r="E2539" s="207">
        <v>0.5</v>
      </c>
      <c r="F2539" s="190">
        <f>'BASIC DATA'!C468</f>
        <v>515</v>
      </c>
      <c r="G2539" s="190">
        <f t="shared" si="41"/>
        <v>257.5</v>
      </c>
    </row>
    <row r="2540" spans="2:7">
      <c r="B2540" s="92"/>
      <c r="C2540" s="193"/>
      <c r="D2540" s="151" t="s">
        <v>1174</v>
      </c>
      <c r="E2540" s="160"/>
      <c r="F2540" s="236" t="s">
        <v>1698</v>
      </c>
      <c r="G2540" s="318">
        <f>SUM(G2532:G2539)</f>
        <v>10778.1</v>
      </c>
    </row>
    <row r="2541" spans="2:7">
      <c r="B2541" s="60" t="s">
        <v>5948</v>
      </c>
      <c r="C2541" s="31"/>
      <c r="D2541" s="31"/>
      <c r="E2541" s="85">
        <f>ROUND(G2540/F2493,1)</f>
        <v>3592.7</v>
      </c>
    </row>
    <row r="2542" spans="2:7">
      <c r="B2542" s="60" t="s">
        <v>3163</v>
      </c>
      <c r="C2542" s="31"/>
      <c r="D2542" s="31">
        <f>'BASIC DATA'!$C$577</f>
        <v>0.13614999999999999</v>
      </c>
      <c r="E2542" s="85">
        <f>ROUND(E2541*D2542,1)</f>
        <v>489.1</v>
      </c>
    </row>
    <row r="2543" spans="2:7">
      <c r="B2543" s="60" t="s">
        <v>5949</v>
      </c>
      <c r="C2543" s="31"/>
      <c r="D2543" s="31"/>
      <c r="E2543" s="199">
        <f>E2542+E2541</f>
        <v>4081.7999999999997</v>
      </c>
    </row>
    <row r="2544" spans="2:7">
      <c r="B2544" s="60"/>
      <c r="C2544" s="31"/>
      <c r="D2544" s="31"/>
      <c r="E2544" s="31"/>
      <c r="G2544" s="85"/>
    </row>
    <row r="2545" spans="2:34">
      <c r="B2545" s="170" t="s">
        <v>1175</v>
      </c>
    </row>
    <row r="2546" spans="2:34">
      <c r="B2546" s="26" t="s">
        <v>1176</v>
      </c>
      <c r="F2546" s="171" t="s">
        <v>1698</v>
      </c>
      <c r="G2546" s="68">
        <f>G2515</f>
        <v>71910.233333333323</v>
      </c>
    </row>
    <row r="2547" spans="2:34">
      <c r="B2547" s="26" t="s">
        <v>1186</v>
      </c>
      <c r="F2547" s="171" t="s">
        <v>1698</v>
      </c>
      <c r="G2547" s="68">
        <f>G2527</f>
        <v>726</v>
      </c>
    </row>
    <row r="2548" spans="2:34">
      <c r="B2548" s="26" t="s">
        <v>2660</v>
      </c>
      <c r="F2548" s="171" t="s">
        <v>1698</v>
      </c>
      <c r="G2548" s="75">
        <f>G2540</f>
        <v>10778.1</v>
      </c>
    </row>
    <row r="2549" spans="2:34">
      <c r="B2549" s="26"/>
      <c r="E2549" s="171" t="s">
        <v>5551</v>
      </c>
      <c r="F2549" s="171" t="s">
        <v>1698</v>
      </c>
      <c r="G2549" s="205">
        <f>SUM(G2546:G2548)</f>
        <v>83414.333333333328</v>
      </c>
    </row>
    <row r="2550" spans="2:34">
      <c r="B2550" s="26" t="s">
        <v>5087</v>
      </c>
      <c r="E2550" s="693">
        <f>'BASIC DATA'!C593</f>
        <v>0</v>
      </c>
      <c r="F2550" s="171" t="s">
        <v>1698</v>
      </c>
      <c r="G2550" s="68">
        <f>(G2548+G2547)*E2550*0.75</f>
        <v>0</v>
      </c>
    </row>
    <row r="2551" spans="2:34">
      <c r="B2551" s="26" t="s">
        <v>5084</v>
      </c>
      <c r="E2551" s="171" t="s">
        <v>1518</v>
      </c>
      <c r="F2551" s="171" t="s">
        <v>1698</v>
      </c>
      <c r="G2551" s="205">
        <f>G2550+G2549</f>
        <v>83414.333333333328</v>
      </c>
    </row>
    <row r="2552" spans="2:34">
      <c r="B2552" s="26" t="s">
        <v>5086</v>
      </c>
      <c r="E2552" s="201">
        <f>'BASIC DATA'!C594</f>
        <v>0.03</v>
      </c>
      <c r="F2552" s="171" t="s">
        <v>1698</v>
      </c>
      <c r="G2552" s="75">
        <f>G2551*E2552</f>
        <v>2502.4299999999998</v>
      </c>
    </row>
    <row r="2553" spans="2:34">
      <c r="B2553" s="26"/>
      <c r="E2553" s="26" t="s">
        <v>2392</v>
      </c>
      <c r="F2553" s="171" t="s">
        <v>1698</v>
      </c>
      <c r="G2553" s="75">
        <f>G2552+G2551</f>
        <v>85916.763333333321</v>
      </c>
    </row>
    <row r="2554" spans="2:34">
      <c r="B2554" s="1206" t="s">
        <v>4717</v>
      </c>
      <c r="C2554" s="1206"/>
      <c r="D2554" s="201">
        <f>'BASIC DATA'!$C$577</f>
        <v>0.13614999999999999</v>
      </c>
      <c r="F2554" s="171" t="s">
        <v>1698</v>
      </c>
      <c r="G2554" s="75">
        <f>G2553*D2554</f>
        <v>11697.567327833331</v>
      </c>
      <c r="I2554" s="68"/>
    </row>
    <row r="2555" spans="2:34">
      <c r="B2555" s="26" t="s">
        <v>898</v>
      </c>
    </row>
    <row r="2556" spans="2:34">
      <c r="B2556" s="47" t="s">
        <v>897</v>
      </c>
      <c r="D2556" s="48"/>
      <c r="E2556" s="68">
        <f>leadcharges!F65</f>
        <v>19</v>
      </c>
      <c r="F2556" s="27" t="s">
        <v>1279</v>
      </c>
      <c r="G2556" s="76">
        <f>2*ROUND(E2556*F2492,3)</f>
        <v>33.097999999999999</v>
      </c>
      <c r="AH2556" s="68"/>
    </row>
    <row r="2557" spans="2:34">
      <c r="B2557" s="47" t="s">
        <v>896</v>
      </c>
      <c r="D2557" s="48"/>
      <c r="E2557" s="68">
        <f>leadcharges!$G$79</f>
        <v>74.8</v>
      </c>
      <c r="F2557" s="27" t="s">
        <v>1279</v>
      </c>
      <c r="G2557" s="76">
        <f>2*ROUND(E2557*F2492,3)</f>
        <v>130.30199999999999</v>
      </c>
    </row>
    <row r="2558" spans="2:34">
      <c r="B2558" s="26" t="s">
        <v>5078</v>
      </c>
      <c r="D2558" s="278">
        <f>F2492</f>
        <v>0.871</v>
      </c>
      <c r="E2558" s="26" t="s">
        <v>3480</v>
      </c>
      <c r="F2558" s="171" t="s">
        <v>1698</v>
      </c>
      <c r="G2558" s="205">
        <f>G2554+G2553+G2557+G2556</f>
        <v>97777.730661166643</v>
      </c>
    </row>
    <row r="2559" spans="2:34">
      <c r="D2559" s="278">
        <f>F2493</f>
        <v>3</v>
      </c>
      <c r="E2559" s="26" t="s">
        <v>4769</v>
      </c>
      <c r="F2559" s="171" t="s">
        <v>1698</v>
      </c>
      <c r="G2559" s="68"/>
    </row>
    <row r="2560" spans="2:34">
      <c r="D2560" s="171" t="s">
        <v>3884</v>
      </c>
      <c r="E2560" s="26" t="s">
        <v>3041</v>
      </c>
      <c r="F2560" s="171" t="s">
        <v>1698</v>
      </c>
      <c r="G2560" s="68">
        <f>ROUND(G2558/D2558,1)</f>
        <v>112259.2</v>
      </c>
    </row>
    <row r="2561" spans="1:8">
      <c r="D2561" s="170"/>
      <c r="E2561" s="203" t="s">
        <v>2309</v>
      </c>
      <c r="F2561" s="171" t="s">
        <v>1698</v>
      </c>
      <c r="G2561" s="211">
        <f>ROUND(G2558/D2559,1)</f>
        <v>32592.6</v>
      </c>
    </row>
    <row r="2562" spans="1:8">
      <c r="B2562" s="26"/>
      <c r="C2562" s="78"/>
    </row>
    <row r="2563" spans="1:8">
      <c r="B2563" s="26"/>
      <c r="E2563" s="78"/>
      <c r="G2563" s="171"/>
      <c r="H2563" s="27"/>
    </row>
    <row r="2564" spans="1:8">
      <c r="A2564" s="171"/>
      <c r="B2564" s="314" t="s">
        <v>4624</v>
      </c>
    </row>
    <row r="2565" spans="1:8">
      <c r="A2565" s="26" t="s">
        <v>7176</v>
      </c>
    </row>
    <row r="2566" spans="1:8">
      <c r="B2566" s="26" t="s">
        <v>9060</v>
      </c>
    </row>
    <row r="2567" spans="1:8" ht="18.75">
      <c r="B2567" s="26" t="s">
        <v>9061</v>
      </c>
    </row>
    <row r="2568" spans="1:8">
      <c r="B2568" s="26" t="s">
        <v>4409</v>
      </c>
    </row>
    <row r="2569" spans="1:8">
      <c r="B2569" s="26" t="s">
        <v>4410</v>
      </c>
    </row>
    <row r="2570" spans="1:8">
      <c r="B2570" s="26" t="s">
        <v>9062</v>
      </c>
    </row>
    <row r="2571" spans="1:8">
      <c r="B2571" s="26" t="s">
        <v>538</v>
      </c>
      <c r="E2571" s="322"/>
    </row>
    <row r="2572" spans="1:8">
      <c r="B2572" s="26" t="s">
        <v>3549</v>
      </c>
      <c r="E2572" s="322"/>
    </row>
    <row r="2573" spans="1:8" hidden="1">
      <c r="A2573" s="78" t="s">
        <v>3984</v>
      </c>
      <c r="B2573" s="26" t="s">
        <v>760</v>
      </c>
    </row>
    <row r="2574" spans="1:8" hidden="1">
      <c r="B2574" s="26" t="s">
        <v>1081</v>
      </c>
    </row>
    <row r="2575" spans="1:8" hidden="1">
      <c r="B2575" s="26" t="s">
        <v>4160</v>
      </c>
    </row>
    <row r="2576" spans="1:8" hidden="1">
      <c r="B2576" s="26" t="s">
        <v>4161</v>
      </c>
    </row>
    <row r="2577" spans="1:7" hidden="1">
      <c r="B2577" s="26" t="s">
        <v>4699</v>
      </c>
    </row>
    <row r="2578" spans="1:7" hidden="1">
      <c r="B2578" s="26" t="s">
        <v>4700</v>
      </c>
      <c r="E2578" s="322"/>
    </row>
    <row r="2579" spans="1:7" hidden="1">
      <c r="B2579" s="26" t="s">
        <v>6873</v>
      </c>
      <c r="E2579" s="322"/>
      <c r="F2579" s="278">
        <v>10</v>
      </c>
      <c r="G2579" s="26" t="s">
        <v>45</v>
      </c>
    </row>
    <row r="2580" spans="1:7" hidden="1">
      <c r="B2580" s="26" t="s">
        <v>7613</v>
      </c>
      <c r="E2580" s="322"/>
      <c r="F2580" s="278"/>
    </row>
    <row r="2581" spans="1:7" hidden="1">
      <c r="B2581" s="26" t="s">
        <v>4162</v>
      </c>
      <c r="E2581" s="322" t="s">
        <v>1697</v>
      </c>
      <c r="F2581" s="278">
        <v>3</v>
      </c>
      <c r="G2581" s="26" t="s">
        <v>45</v>
      </c>
    </row>
    <row r="2582" spans="1:7" hidden="1">
      <c r="B2582" s="26" t="s">
        <v>6854</v>
      </c>
      <c r="E2582" s="322" t="s">
        <v>1697</v>
      </c>
      <c r="F2582" s="278">
        <v>0.2</v>
      </c>
      <c r="G2582" s="26" t="s">
        <v>45</v>
      </c>
    </row>
    <row r="2583" spans="1:7" hidden="1">
      <c r="B2583" s="26" t="s">
        <v>4252</v>
      </c>
      <c r="E2583" s="322" t="s">
        <v>1697</v>
      </c>
      <c r="F2583" s="278">
        <v>2.8</v>
      </c>
      <c r="G2583" s="26" t="s">
        <v>45</v>
      </c>
    </row>
    <row r="2584" spans="1:7" hidden="1">
      <c r="B2584" s="26" t="s">
        <v>7614</v>
      </c>
      <c r="E2584" s="322" t="s">
        <v>1697</v>
      </c>
      <c r="F2584" s="278">
        <v>2.8039999999999998</v>
      </c>
      <c r="G2584" s="26" t="s">
        <v>45</v>
      </c>
    </row>
    <row r="2585" spans="1:7" hidden="1">
      <c r="B2585" s="26" t="s">
        <v>240</v>
      </c>
      <c r="E2585" s="322"/>
    </row>
    <row r="2586" spans="1:7" hidden="1">
      <c r="A2586" s="78">
        <v>1</v>
      </c>
      <c r="B2586" s="26" t="s">
        <v>2016</v>
      </c>
      <c r="E2586" s="322"/>
    </row>
    <row r="2587" spans="1:7" hidden="1">
      <c r="A2587" s="78" t="s">
        <v>1535</v>
      </c>
      <c r="B2587" s="26" t="s">
        <v>241</v>
      </c>
      <c r="E2587" s="322"/>
    </row>
    <row r="2588" spans="1:7" hidden="1">
      <c r="B2588" s="26" t="s">
        <v>5966</v>
      </c>
      <c r="E2588" s="322" t="s">
        <v>1697</v>
      </c>
      <c r="F2588" s="26">
        <v>1229</v>
      </c>
      <c r="G2588" s="26" t="s">
        <v>3478</v>
      </c>
    </row>
    <row r="2589" spans="1:7" hidden="1">
      <c r="B2589" s="26" t="s">
        <v>5967</v>
      </c>
      <c r="E2589" s="322" t="s">
        <v>1697</v>
      </c>
      <c r="F2589" s="26">
        <v>453</v>
      </c>
      <c r="G2589" s="26" t="s">
        <v>3478</v>
      </c>
    </row>
    <row r="2590" spans="1:7" hidden="1">
      <c r="B2590" s="26" t="s">
        <v>6899</v>
      </c>
      <c r="E2590" s="322"/>
      <c r="F2590" s="26">
        <v>195</v>
      </c>
      <c r="G2590" s="26" t="s">
        <v>3478</v>
      </c>
    </row>
    <row r="2591" spans="1:7" hidden="1">
      <c r="A2591" s="78" t="s">
        <v>5400</v>
      </c>
      <c r="B2591" s="26" t="s">
        <v>5165</v>
      </c>
      <c r="E2591" s="322"/>
      <c r="F2591" s="174"/>
    </row>
    <row r="2592" spans="1:7" hidden="1">
      <c r="B2592" s="26" t="s">
        <v>4987</v>
      </c>
      <c r="D2592" s="171"/>
      <c r="E2592" s="322" t="s">
        <v>1697</v>
      </c>
      <c r="F2592" s="26">
        <v>384</v>
      </c>
      <c r="G2592" s="26" t="s">
        <v>3478</v>
      </c>
    </row>
    <row r="2593" spans="1:7" hidden="1">
      <c r="B2593" s="26" t="s">
        <v>5969</v>
      </c>
      <c r="E2593" s="322" t="s">
        <v>1697</v>
      </c>
      <c r="F2593" s="26">
        <v>14</v>
      </c>
      <c r="G2593" s="26" t="s">
        <v>3478</v>
      </c>
    </row>
    <row r="2594" spans="1:7" hidden="1">
      <c r="B2594" s="26" t="s">
        <v>7615</v>
      </c>
      <c r="E2594" s="322" t="s">
        <v>1697</v>
      </c>
      <c r="F2594" s="26">
        <v>108</v>
      </c>
      <c r="G2594" s="26" t="s">
        <v>3478</v>
      </c>
    </row>
    <row r="2595" spans="1:7" hidden="1">
      <c r="B2595" s="26" t="s">
        <v>5971</v>
      </c>
      <c r="E2595" s="322" t="s">
        <v>1697</v>
      </c>
      <c r="F2595" s="26">
        <v>47</v>
      </c>
      <c r="G2595" s="26" t="s">
        <v>3478</v>
      </c>
    </row>
    <row r="2596" spans="1:7" hidden="1">
      <c r="A2596" s="78" t="s">
        <v>5401</v>
      </c>
      <c r="B2596" s="26" t="s">
        <v>5162</v>
      </c>
      <c r="E2596" s="322"/>
    </row>
    <row r="2597" spans="1:7" hidden="1">
      <c r="B2597" s="26" t="s">
        <v>4772</v>
      </c>
      <c r="E2597" s="322" t="s">
        <v>1697</v>
      </c>
      <c r="F2597" s="26">
        <v>75</v>
      </c>
      <c r="G2597" s="26" t="s">
        <v>3478</v>
      </c>
    </row>
    <row r="2598" spans="1:7" hidden="1">
      <c r="B2598" s="26" t="s">
        <v>4773</v>
      </c>
      <c r="E2598" s="322"/>
      <c r="F2598" s="26">
        <v>24</v>
      </c>
      <c r="G2598" s="26" t="s">
        <v>3478</v>
      </c>
    </row>
    <row r="2599" spans="1:7" hidden="1">
      <c r="A2599" s="78" t="s">
        <v>1696</v>
      </c>
      <c r="B2599" s="26" t="s">
        <v>6988</v>
      </c>
      <c r="E2599" s="322"/>
    </row>
    <row r="2600" spans="1:7" hidden="1">
      <c r="B2600" s="26" t="s">
        <v>6989</v>
      </c>
      <c r="E2600" s="322" t="s">
        <v>1697</v>
      </c>
      <c r="F2600" s="26">
        <v>11</v>
      </c>
      <c r="G2600" s="26" t="s">
        <v>3478</v>
      </c>
    </row>
    <row r="2601" spans="1:7" hidden="1">
      <c r="A2601" s="78" t="s">
        <v>5082</v>
      </c>
      <c r="B2601" s="26" t="s">
        <v>5128</v>
      </c>
      <c r="E2601" s="322"/>
    </row>
    <row r="2602" spans="1:7" hidden="1">
      <c r="B2602" s="26" t="s">
        <v>3606</v>
      </c>
      <c r="E2602" s="322" t="s">
        <v>1697</v>
      </c>
      <c r="F2602" s="26">
        <v>64</v>
      </c>
      <c r="G2602" s="26" t="s">
        <v>3478</v>
      </c>
    </row>
    <row r="2603" spans="1:7" hidden="1">
      <c r="A2603" s="78" t="s">
        <v>2408</v>
      </c>
      <c r="B2603" s="26" t="s">
        <v>3607</v>
      </c>
      <c r="E2603" s="322"/>
    </row>
    <row r="2604" spans="1:7" hidden="1">
      <c r="B2604" s="26" t="s">
        <v>6143</v>
      </c>
      <c r="E2604" s="322" t="s">
        <v>1697</v>
      </c>
      <c r="F2604" s="26">
        <v>42</v>
      </c>
      <c r="G2604" s="26" t="s">
        <v>3478</v>
      </c>
    </row>
    <row r="2605" spans="1:7" hidden="1">
      <c r="A2605" s="78" t="s">
        <v>2410</v>
      </c>
      <c r="B2605" s="26" t="s">
        <v>1705</v>
      </c>
      <c r="E2605" s="322"/>
    </row>
    <row r="2606" spans="1:7" hidden="1">
      <c r="B2606" s="26" t="s">
        <v>5979</v>
      </c>
      <c r="E2606" s="322" t="s">
        <v>1697</v>
      </c>
      <c r="F2606" s="26">
        <v>1</v>
      </c>
      <c r="G2606" s="26" t="s">
        <v>4089</v>
      </c>
    </row>
    <row r="2607" spans="1:7" hidden="1">
      <c r="B2607" s="26" t="s">
        <v>5977</v>
      </c>
      <c r="E2607" s="322" t="s">
        <v>1697</v>
      </c>
      <c r="F2607" s="174">
        <v>1</v>
      </c>
      <c r="G2607" s="26" t="s">
        <v>4089</v>
      </c>
    </row>
    <row r="2608" spans="1:7" hidden="1">
      <c r="B2608" s="26" t="s">
        <v>6187</v>
      </c>
      <c r="D2608" s="171"/>
      <c r="E2608" s="322" t="s">
        <v>1697</v>
      </c>
      <c r="F2608" s="26">
        <v>2</v>
      </c>
      <c r="G2608" s="26" t="s">
        <v>2059</v>
      </c>
    </row>
    <row r="2609" spans="1:7" hidden="1">
      <c r="B2609" s="26" t="s">
        <v>15</v>
      </c>
      <c r="E2609" s="322" t="s">
        <v>1697</v>
      </c>
      <c r="F2609" s="26">
        <v>10.5</v>
      </c>
      <c r="G2609" s="26" t="s">
        <v>3483</v>
      </c>
    </row>
    <row r="2610" spans="1:7" hidden="1">
      <c r="A2610" s="78" t="s">
        <v>6401</v>
      </c>
      <c r="B2610" s="26" t="s">
        <v>1195</v>
      </c>
      <c r="E2610" s="322"/>
    </row>
    <row r="2611" spans="1:7" hidden="1">
      <c r="B2611" s="26" t="s">
        <v>1336</v>
      </c>
      <c r="E2611" s="322" t="s">
        <v>1697</v>
      </c>
      <c r="F2611" s="26">
        <v>69</v>
      </c>
      <c r="G2611" s="26" t="s">
        <v>2059</v>
      </c>
    </row>
    <row r="2612" spans="1:7" hidden="1">
      <c r="B2612" s="26" t="s">
        <v>519</v>
      </c>
      <c r="E2612" s="322" t="s">
        <v>1697</v>
      </c>
      <c r="F2612" s="26">
        <v>622</v>
      </c>
      <c r="G2612" s="26" t="s">
        <v>2059</v>
      </c>
    </row>
    <row r="2613" spans="1:7" hidden="1">
      <c r="A2613" s="78">
        <v>2</v>
      </c>
      <c r="B2613" s="26" t="s">
        <v>2281</v>
      </c>
      <c r="E2613" s="322"/>
    </row>
    <row r="2614" spans="1:7" hidden="1">
      <c r="B2614" s="26" t="s">
        <v>4962</v>
      </c>
      <c r="E2614" s="322" t="s">
        <v>1697</v>
      </c>
      <c r="F2614" s="26">
        <v>73</v>
      </c>
      <c r="G2614" s="26" t="s">
        <v>3483</v>
      </c>
    </row>
    <row r="2615" spans="1:7" hidden="1">
      <c r="B2615" s="26" t="s">
        <v>2985</v>
      </c>
      <c r="E2615" s="322" t="s">
        <v>1697</v>
      </c>
      <c r="F2615" s="26">
        <v>7</v>
      </c>
      <c r="G2615" s="26" t="s">
        <v>3483</v>
      </c>
    </row>
    <row r="2616" spans="1:7" hidden="1">
      <c r="B2616" s="26"/>
      <c r="D2616" s="26" t="s">
        <v>1518</v>
      </c>
      <c r="E2616" s="322" t="s">
        <v>1697</v>
      </c>
      <c r="F2616" s="26">
        <v>80</v>
      </c>
      <c r="G2616" s="26" t="s">
        <v>3483</v>
      </c>
    </row>
    <row r="2617" spans="1:7" hidden="1">
      <c r="B2617" s="26" t="s">
        <v>165</v>
      </c>
      <c r="E2617" s="322"/>
    </row>
    <row r="2618" spans="1:7" hidden="1">
      <c r="B2618" s="26" t="s">
        <v>3532</v>
      </c>
      <c r="E2618" s="322" t="s">
        <v>1697</v>
      </c>
      <c r="F2618" s="26">
        <v>70</v>
      </c>
      <c r="G2618" s="26" t="s">
        <v>3483</v>
      </c>
    </row>
    <row r="2619" spans="1:7" hidden="1">
      <c r="B2619" s="26" t="s">
        <v>3533</v>
      </c>
      <c r="E2619" s="322" t="s">
        <v>1697</v>
      </c>
      <c r="F2619" s="26">
        <v>20</v>
      </c>
      <c r="G2619" s="26" t="s">
        <v>3483</v>
      </c>
    </row>
    <row r="2620" spans="1:7" hidden="1">
      <c r="B2620" s="26" t="s">
        <v>2278</v>
      </c>
      <c r="E2620" s="322" t="s">
        <v>1697</v>
      </c>
      <c r="F2620" s="26">
        <v>35</v>
      </c>
      <c r="G2620" s="26" t="s">
        <v>4665</v>
      </c>
    </row>
    <row r="2621" spans="1:7" hidden="1">
      <c r="B2621" s="26" t="s">
        <v>2279</v>
      </c>
      <c r="E2621" s="322" t="s">
        <v>1697</v>
      </c>
      <c r="F2621" s="26">
        <v>7</v>
      </c>
      <c r="G2621" s="26" t="s">
        <v>4665</v>
      </c>
    </row>
    <row r="2622" spans="1:7" hidden="1">
      <c r="B2622" s="26" t="s">
        <v>3192</v>
      </c>
      <c r="E2622" s="322" t="s">
        <v>1697</v>
      </c>
      <c r="F2622" s="26">
        <v>25</v>
      </c>
      <c r="G2622" s="26" t="s">
        <v>3477</v>
      </c>
    </row>
    <row r="2623" spans="1:7" hidden="1">
      <c r="B2623" s="26" t="s">
        <v>3193</v>
      </c>
      <c r="E2623" s="322" t="s">
        <v>1697</v>
      </c>
      <c r="F2623" s="26">
        <v>75</v>
      </c>
      <c r="G2623" s="26" t="s">
        <v>3477</v>
      </c>
    </row>
    <row r="2624" spans="1:7" hidden="1">
      <c r="B2624" s="26" t="s">
        <v>1899</v>
      </c>
      <c r="E2624" s="26" t="s">
        <v>1697</v>
      </c>
      <c r="F2624" s="26">
        <v>42</v>
      </c>
      <c r="G2624" s="26" t="s">
        <v>4665</v>
      </c>
    </row>
    <row r="2625" spans="1:7" hidden="1">
      <c r="B2625" s="26" t="s">
        <v>6855</v>
      </c>
      <c r="E2625" s="26" t="s">
        <v>1697</v>
      </c>
      <c r="F2625" s="26">
        <v>8</v>
      </c>
      <c r="G2625" s="26" t="s">
        <v>4665</v>
      </c>
    </row>
    <row r="2626" spans="1:7" hidden="1">
      <c r="A2626" s="78">
        <v>3</v>
      </c>
      <c r="B2626" s="26" t="s">
        <v>4651</v>
      </c>
    </row>
    <row r="2627" spans="1:7" hidden="1">
      <c r="B2627" s="26" t="s">
        <v>2504</v>
      </c>
      <c r="E2627" s="322" t="s">
        <v>1697</v>
      </c>
      <c r="F2627" s="26">
        <v>113</v>
      </c>
      <c r="G2627" s="26" t="s">
        <v>3483</v>
      </c>
    </row>
    <row r="2628" spans="1:7" hidden="1">
      <c r="B2628" s="26" t="s">
        <v>5723</v>
      </c>
    </row>
    <row r="2629" spans="1:7" hidden="1">
      <c r="B2629" s="26"/>
      <c r="C2629" s="26" t="s">
        <v>1054</v>
      </c>
      <c r="E2629" s="26" t="s">
        <v>1697</v>
      </c>
      <c r="F2629" s="26">
        <v>18</v>
      </c>
      <c r="G2629" s="26" t="s">
        <v>4665</v>
      </c>
    </row>
    <row r="2630" spans="1:7" hidden="1">
      <c r="B2630" s="26" t="s">
        <v>1913</v>
      </c>
    </row>
    <row r="2631" spans="1:7" hidden="1">
      <c r="B2631" s="26"/>
      <c r="C2631" s="26" t="s">
        <v>1055</v>
      </c>
      <c r="E2631" s="26" t="s">
        <v>1697</v>
      </c>
      <c r="F2631" s="26">
        <v>55</v>
      </c>
      <c r="G2631" s="26" t="s">
        <v>4665</v>
      </c>
    </row>
    <row r="2632" spans="1:7" hidden="1">
      <c r="B2632" s="26"/>
      <c r="C2632" s="31"/>
      <c r="D2632" s="31" t="s">
        <v>1518</v>
      </c>
      <c r="E2632" s="31" t="s">
        <v>1697</v>
      </c>
      <c r="F2632" s="31">
        <v>73</v>
      </c>
      <c r="G2632" s="31" t="s">
        <v>4665</v>
      </c>
    </row>
    <row r="2633" spans="1:7" hidden="1">
      <c r="B2633" s="31" t="s">
        <v>1056</v>
      </c>
      <c r="C2633" s="31"/>
      <c r="D2633" s="31"/>
      <c r="E2633" s="31"/>
      <c r="F2633" s="31"/>
      <c r="G2633" s="31"/>
    </row>
    <row r="2634" spans="1:7" hidden="1">
      <c r="B2634" s="31" t="s">
        <v>2657</v>
      </c>
      <c r="C2634" s="31"/>
      <c r="D2634" s="31"/>
      <c r="E2634" s="31"/>
      <c r="F2634" s="31"/>
    </row>
    <row r="2635" spans="1:7" hidden="1">
      <c r="B2635" s="31" t="s">
        <v>1057</v>
      </c>
      <c r="C2635" s="31"/>
      <c r="D2635" s="31"/>
      <c r="E2635" s="33" t="s">
        <v>1697</v>
      </c>
      <c r="F2635" s="31">
        <v>46</v>
      </c>
      <c r="G2635" s="31" t="s">
        <v>4665</v>
      </c>
    </row>
    <row r="2636" spans="1:7" hidden="1">
      <c r="A2636" s="78">
        <v>4</v>
      </c>
      <c r="B2636" s="26" t="s">
        <v>4249</v>
      </c>
    </row>
    <row r="2637" spans="1:7" hidden="1">
      <c r="B2637" s="26" t="s">
        <v>380</v>
      </c>
    </row>
    <row r="2638" spans="1:7" hidden="1">
      <c r="B2638" s="26" t="s">
        <v>381</v>
      </c>
    </row>
    <row r="2639" spans="1:7" hidden="1">
      <c r="B2639" s="26" t="s">
        <v>6010</v>
      </c>
    </row>
    <row r="2640" spans="1:7" hidden="1">
      <c r="B2640" s="26" t="s">
        <v>6011</v>
      </c>
    </row>
    <row r="2641" spans="1:7" hidden="1">
      <c r="B2641" s="26"/>
    </row>
    <row r="2642" spans="1:7" hidden="1">
      <c r="A2642" s="78">
        <v>5</v>
      </c>
      <c r="B2642" s="26" t="s">
        <v>4900</v>
      </c>
    </row>
    <row r="2643" spans="1:7" hidden="1">
      <c r="B2643" s="1268" t="s">
        <v>4901</v>
      </c>
      <c r="C2643" s="1268"/>
      <c r="D2643" s="38" t="s">
        <v>2468</v>
      </c>
      <c r="E2643" s="38" t="s">
        <v>4902</v>
      </c>
      <c r="F2643" s="38" t="s">
        <v>4903</v>
      </c>
      <c r="G2643" s="38" t="s">
        <v>6199</v>
      </c>
    </row>
    <row r="2644" spans="1:7" hidden="1">
      <c r="B2644" s="38" t="s">
        <v>382</v>
      </c>
      <c r="C2644" s="38"/>
      <c r="D2644" s="38">
        <v>3</v>
      </c>
      <c r="E2644" s="38">
        <v>6</v>
      </c>
      <c r="F2644" s="45">
        <v>6</v>
      </c>
      <c r="G2644" s="38">
        <v>12</v>
      </c>
    </row>
    <row r="2645" spans="1:7" hidden="1">
      <c r="B2645" s="38" t="s">
        <v>6584</v>
      </c>
      <c r="C2645" s="38"/>
      <c r="D2645" s="36">
        <v>1</v>
      </c>
      <c r="E2645" s="36">
        <v>1</v>
      </c>
      <c r="F2645" s="36" t="s">
        <v>5854</v>
      </c>
      <c r="G2645" s="36">
        <v>1</v>
      </c>
    </row>
    <row r="2646" spans="1:7" hidden="1">
      <c r="B2646" s="38" t="s">
        <v>2666</v>
      </c>
      <c r="C2646" s="38"/>
      <c r="D2646" s="38">
        <v>1</v>
      </c>
      <c r="E2646" s="38">
        <v>2</v>
      </c>
      <c r="F2646" s="36" t="s">
        <v>5854</v>
      </c>
      <c r="G2646" s="38">
        <v>4</v>
      </c>
    </row>
    <row r="2647" spans="1:7" hidden="1">
      <c r="B2647" s="38" t="s">
        <v>1898</v>
      </c>
      <c r="C2647" s="38"/>
      <c r="D2647" s="38">
        <v>1</v>
      </c>
      <c r="E2647" s="36" t="s">
        <v>5854</v>
      </c>
      <c r="F2647" s="45">
        <v>7</v>
      </c>
      <c r="G2647" s="38">
        <v>7</v>
      </c>
    </row>
    <row r="2648" spans="1:7" hidden="1">
      <c r="B2648" s="38" t="s">
        <v>3268</v>
      </c>
      <c r="C2648" s="38"/>
      <c r="D2648" s="36">
        <v>1</v>
      </c>
      <c r="E2648" s="36">
        <v>1</v>
      </c>
      <c r="F2648" s="36" t="s">
        <v>5854</v>
      </c>
      <c r="G2648" s="36">
        <v>1</v>
      </c>
    </row>
    <row r="2649" spans="1:7" hidden="1">
      <c r="B2649" s="38" t="s">
        <v>3269</v>
      </c>
      <c r="C2649" s="38"/>
      <c r="D2649" s="38">
        <v>1</v>
      </c>
      <c r="E2649" s="38">
        <v>2</v>
      </c>
      <c r="F2649" s="36" t="s">
        <v>5854</v>
      </c>
      <c r="G2649" s="38">
        <v>4</v>
      </c>
    </row>
    <row r="2650" spans="1:7" hidden="1">
      <c r="B2650" s="39" t="s">
        <v>3270</v>
      </c>
      <c r="C2650" s="39"/>
      <c r="D2650" s="38">
        <v>1</v>
      </c>
      <c r="E2650" s="236">
        <v>1</v>
      </c>
      <c r="F2650" s="36" t="s">
        <v>5854</v>
      </c>
      <c r="G2650" s="38">
        <v>2</v>
      </c>
    </row>
    <row r="2651" spans="1:7" hidden="1">
      <c r="A2651" s="27"/>
      <c r="B2651" s="38" t="s">
        <v>856</v>
      </c>
      <c r="C2651" s="38"/>
      <c r="D2651" s="38">
        <v>1</v>
      </c>
      <c r="E2651" s="38">
        <v>2</v>
      </c>
      <c r="F2651" s="36" t="s">
        <v>5854</v>
      </c>
      <c r="G2651" s="38">
        <v>4</v>
      </c>
    </row>
    <row r="2652" spans="1:7" hidden="1">
      <c r="A2652" s="33"/>
      <c r="B2652" s="39" t="s">
        <v>2961</v>
      </c>
      <c r="C2652" s="39"/>
      <c r="D2652" s="236">
        <v>1</v>
      </c>
      <c r="E2652" s="45">
        <v>1</v>
      </c>
      <c r="F2652" s="36" t="s">
        <v>5854</v>
      </c>
      <c r="G2652" s="236">
        <v>2</v>
      </c>
    </row>
    <row r="2653" spans="1:7" hidden="1">
      <c r="A2653" s="33"/>
      <c r="B2653" s="38" t="s">
        <v>2963</v>
      </c>
      <c r="C2653" s="38"/>
      <c r="D2653" s="236">
        <v>1</v>
      </c>
      <c r="E2653" s="236">
        <v>1</v>
      </c>
      <c r="F2653" s="36" t="s">
        <v>5854</v>
      </c>
      <c r="G2653" s="236">
        <v>2</v>
      </c>
    </row>
    <row r="2654" spans="1:7" hidden="1">
      <c r="A2654" s="730"/>
      <c r="B2654" s="39" t="s">
        <v>2964</v>
      </c>
      <c r="C2654" s="39"/>
      <c r="D2654" s="45">
        <v>1</v>
      </c>
      <c r="E2654" s="38">
        <v>1</v>
      </c>
      <c r="F2654" s="36" t="s">
        <v>5854</v>
      </c>
      <c r="G2654" s="38">
        <v>2</v>
      </c>
    </row>
    <row r="2655" spans="1:7" hidden="1">
      <c r="A2655" s="730"/>
      <c r="B2655" s="39" t="s">
        <v>2965</v>
      </c>
      <c r="C2655" s="39"/>
      <c r="D2655" s="36" t="s">
        <v>5854</v>
      </c>
      <c r="E2655" s="36">
        <v>1</v>
      </c>
      <c r="F2655" s="36" t="s">
        <v>5854</v>
      </c>
      <c r="G2655" s="36">
        <v>1</v>
      </c>
    </row>
    <row r="2656" spans="1:7" hidden="1">
      <c r="A2656" s="730"/>
      <c r="B2656" s="39" t="s">
        <v>2585</v>
      </c>
      <c r="C2656" s="39"/>
      <c r="D2656" s="45">
        <v>1</v>
      </c>
      <c r="E2656" s="38">
        <v>1</v>
      </c>
      <c r="F2656" s="36" t="s">
        <v>5854</v>
      </c>
      <c r="G2656" s="38">
        <v>2</v>
      </c>
    </row>
    <row r="2657" spans="1:7" hidden="1">
      <c r="A2657" s="730"/>
      <c r="B2657" s="39" t="s">
        <v>2656</v>
      </c>
      <c r="C2657" s="39"/>
      <c r="D2657" s="45">
        <v>14</v>
      </c>
      <c r="E2657" s="38">
        <v>20</v>
      </c>
      <c r="F2657" s="38">
        <v>13</v>
      </c>
      <c r="G2657" s="38">
        <v>44</v>
      </c>
    </row>
    <row r="2658" spans="1:7" hidden="1">
      <c r="A2658" s="93">
        <v>6</v>
      </c>
      <c r="B2658" s="76" t="s">
        <v>673</v>
      </c>
      <c r="C2658" s="731"/>
      <c r="D2658" s="31"/>
      <c r="E2658" s="31"/>
      <c r="F2658" s="31"/>
    </row>
    <row r="2659" spans="1:7" hidden="1">
      <c r="A2659" s="233"/>
      <c r="B2659" s="76" t="s">
        <v>6017</v>
      </c>
      <c r="C2659" s="731"/>
      <c r="D2659" s="31"/>
      <c r="E2659" s="31"/>
      <c r="F2659" s="31"/>
    </row>
    <row r="2660" spans="1:7" hidden="1">
      <c r="A2660" s="233"/>
      <c r="B2660" s="76" t="s">
        <v>2385</v>
      </c>
      <c r="C2660" s="731"/>
      <c r="D2660" s="31"/>
      <c r="E2660" s="31"/>
      <c r="F2660" s="31"/>
    </row>
    <row r="2661" spans="1:7" hidden="1">
      <c r="A2661" s="233"/>
      <c r="B2661" s="76" t="s">
        <v>4751</v>
      </c>
      <c r="C2661" s="731"/>
      <c r="D2661" s="31"/>
      <c r="E2661" s="31"/>
      <c r="F2661" s="31"/>
    </row>
    <row r="2662" spans="1:7" hidden="1">
      <c r="A2662" s="30"/>
      <c r="B2662" s="76"/>
      <c r="C2662" s="731"/>
      <c r="D2662" s="31"/>
      <c r="E2662" s="31"/>
      <c r="F2662" s="31"/>
    </row>
    <row r="2663" spans="1:7" hidden="1">
      <c r="A2663" s="30"/>
      <c r="B2663" s="76" t="s">
        <v>2366</v>
      </c>
      <c r="C2663" s="731"/>
      <c r="D2663" s="31"/>
      <c r="E2663" s="31"/>
      <c r="F2663" s="31"/>
    </row>
    <row r="2664" spans="1:7" hidden="1">
      <c r="A2664" s="93"/>
      <c r="B2664" s="31" t="s">
        <v>4045</v>
      </c>
      <c r="C2664" s="75">
        <f>'BASIC DATA'!D373</f>
        <v>7800</v>
      </c>
      <c r="D2664" s="200" t="s">
        <v>2290</v>
      </c>
      <c r="E2664" s="200" t="s">
        <v>1698</v>
      </c>
      <c r="F2664" s="75">
        <f>C2664</f>
        <v>7800</v>
      </c>
    </row>
    <row r="2665" spans="1:7" hidden="1">
      <c r="A2665" s="93"/>
      <c r="B2665" s="31" t="s">
        <v>3231</v>
      </c>
      <c r="C2665" s="31"/>
      <c r="D2665" s="31"/>
      <c r="E2665" s="200" t="s">
        <v>1697</v>
      </c>
      <c r="F2665" s="732">
        <v>1000</v>
      </c>
      <c r="G2665" s="26" t="s">
        <v>4665</v>
      </c>
    </row>
    <row r="2666" spans="1:7" hidden="1">
      <c r="A2666" s="93"/>
      <c r="B2666" s="31" t="s">
        <v>3232</v>
      </c>
      <c r="C2666" s="31" t="s">
        <v>7593</v>
      </c>
      <c r="D2666" s="31"/>
      <c r="E2666" s="200" t="s">
        <v>1698</v>
      </c>
      <c r="F2666" s="75">
        <f>F2664/F2665</f>
        <v>7.8</v>
      </c>
    </row>
    <row r="2667" spans="1:7" hidden="1">
      <c r="A2667" s="93"/>
      <c r="B2667" s="31" t="s">
        <v>2967</v>
      </c>
      <c r="C2667" s="75">
        <f>'BASIC DATA'!D371</f>
        <v>14500</v>
      </c>
      <c r="D2667" s="31" t="s">
        <v>2290</v>
      </c>
      <c r="E2667" s="200" t="s">
        <v>1698</v>
      </c>
      <c r="F2667" s="75">
        <f>C2667</f>
        <v>14500</v>
      </c>
    </row>
    <row r="2668" spans="1:7" hidden="1">
      <c r="A2668" s="33"/>
      <c r="B2668" s="76" t="s">
        <v>5868</v>
      </c>
      <c r="C2668" s="76"/>
      <c r="D2668" s="76"/>
      <c r="E2668" s="732">
        <v>600</v>
      </c>
      <c r="F2668" s="31" t="s">
        <v>4665</v>
      </c>
    </row>
    <row r="2669" spans="1:7" hidden="1">
      <c r="B2669" s="26" t="s">
        <v>3234</v>
      </c>
      <c r="C2669" s="26" t="s">
        <v>7593</v>
      </c>
      <c r="E2669" s="26" t="s">
        <v>1698</v>
      </c>
      <c r="F2669" s="68">
        <f>F2667/E2668</f>
        <v>24.166666666666668</v>
      </c>
    </row>
    <row r="2670" spans="1:7">
      <c r="B2670" s="27"/>
    </row>
    <row r="2671" spans="1:7">
      <c r="A2671" s="78" t="s">
        <v>3984</v>
      </c>
      <c r="B2671" s="33"/>
      <c r="C2671" s="733" t="s">
        <v>2367</v>
      </c>
      <c r="D2671" s="33"/>
      <c r="E2671" s="33" t="s">
        <v>297</v>
      </c>
      <c r="F2671" s="734">
        <v>2.8039999999999998</v>
      </c>
      <c r="G2671" s="33" t="s">
        <v>3041</v>
      </c>
    </row>
    <row r="2672" spans="1:7">
      <c r="B2672" s="88" t="s">
        <v>2368</v>
      </c>
      <c r="D2672" s="31"/>
      <c r="E2672" s="33"/>
      <c r="F2672" s="735">
        <v>10</v>
      </c>
      <c r="G2672" s="33" t="s">
        <v>4769</v>
      </c>
    </row>
    <row r="2673" spans="2:7">
      <c r="B2673" s="426" t="s">
        <v>2369</v>
      </c>
      <c r="C2673" s="131" t="s">
        <v>6374</v>
      </c>
      <c r="D2673" s="95" t="s">
        <v>2370</v>
      </c>
      <c r="E2673" s="95" t="s">
        <v>1166</v>
      </c>
      <c r="F2673" s="95" t="s">
        <v>2371</v>
      </c>
      <c r="G2673" s="95" t="s">
        <v>2372</v>
      </c>
    </row>
    <row r="2674" spans="2:7">
      <c r="B2674" s="114"/>
      <c r="C2674" s="317"/>
      <c r="D2674" s="135"/>
      <c r="E2674" s="319"/>
      <c r="F2674" s="105" t="s">
        <v>3485</v>
      </c>
      <c r="G2674" s="210" t="s">
        <v>3485</v>
      </c>
    </row>
    <row r="2675" spans="2:7">
      <c r="B2675" s="105">
        <v>1</v>
      </c>
      <c r="C2675" s="39" t="s">
        <v>4770</v>
      </c>
      <c r="D2675" s="38"/>
      <c r="E2675" s="736"/>
      <c r="F2675" s="67"/>
      <c r="G2675" s="67"/>
    </row>
    <row r="2676" spans="2:7">
      <c r="B2676" s="105"/>
      <c r="C2676" s="39" t="s">
        <v>4915</v>
      </c>
      <c r="D2676" s="36" t="s">
        <v>3478</v>
      </c>
      <c r="E2676" s="82">
        <v>1229</v>
      </c>
      <c r="F2676" s="235">
        <f>'BASIC DATA'!D97/1000</f>
        <v>37.5</v>
      </c>
      <c r="G2676" s="82">
        <f>F2676*E2676</f>
        <v>46087.5</v>
      </c>
    </row>
    <row r="2677" spans="2:7">
      <c r="B2677" s="105"/>
      <c r="C2677" s="39" t="s">
        <v>4916</v>
      </c>
      <c r="D2677" s="36" t="s">
        <v>3478</v>
      </c>
      <c r="E2677" s="82">
        <v>453</v>
      </c>
      <c r="F2677" s="235">
        <f>'BASIC DATA'!D98/1000</f>
        <v>37.4</v>
      </c>
      <c r="G2677" s="82">
        <f>F2677*E2677</f>
        <v>16942.2</v>
      </c>
    </row>
    <row r="2678" spans="2:7">
      <c r="B2678" s="105"/>
      <c r="C2678" s="39" t="s">
        <v>6899</v>
      </c>
      <c r="D2678" s="36" t="s">
        <v>3478</v>
      </c>
      <c r="E2678" s="82">
        <v>195</v>
      </c>
      <c r="F2678" s="235">
        <f>'BASIC DATA'!D33</f>
        <v>63</v>
      </c>
      <c r="G2678" s="82">
        <f>F2678*E2678</f>
        <v>12285</v>
      </c>
    </row>
    <row r="2679" spans="2:7">
      <c r="B2679" s="105">
        <v>2</v>
      </c>
      <c r="C2679" s="39" t="s">
        <v>4917</v>
      </c>
      <c r="D2679" s="36"/>
      <c r="E2679" s="82"/>
      <c r="F2679" s="235"/>
      <c r="G2679" s="82"/>
    </row>
    <row r="2680" spans="2:7">
      <c r="B2680" s="105"/>
      <c r="C2680" s="39" t="s">
        <v>4987</v>
      </c>
      <c r="D2680" s="36" t="s">
        <v>3478</v>
      </c>
      <c r="E2680" s="82">
        <v>384</v>
      </c>
      <c r="F2680" s="235">
        <f>'BASIC DATA'!D165</f>
        <v>235</v>
      </c>
      <c r="G2680" s="82">
        <f>F2680*E2680</f>
        <v>90240</v>
      </c>
    </row>
    <row r="2681" spans="2:7">
      <c r="B2681" s="105"/>
      <c r="C2681" s="39" t="s">
        <v>5969</v>
      </c>
      <c r="D2681" s="36" t="s">
        <v>3478</v>
      </c>
      <c r="E2681" s="82">
        <v>14</v>
      </c>
      <c r="F2681" s="235">
        <f>'BASIC DATA'!D166</f>
        <v>225</v>
      </c>
      <c r="G2681" s="82">
        <f>F2681*E2681</f>
        <v>3150</v>
      </c>
    </row>
    <row r="2682" spans="2:7">
      <c r="B2682" s="105"/>
      <c r="C2682" s="39" t="s">
        <v>7615</v>
      </c>
      <c r="D2682" s="36" t="s">
        <v>3478</v>
      </c>
      <c r="E2682" s="82">
        <v>108</v>
      </c>
      <c r="F2682" s="235">
        <f>'BASIC DATA'!D167</f>
        <v>190</v>
      </c>
      <c r="G2682" s="82">
        <f>F2682*E2682</f>
        <v>20520</v>
      </c>
    </row>
    <row r="2683" spans="2:7">
      <c r="B2683" s="105"/>
      <c r="C2683" s="39" t="s">
        <v>4989</v>
      </c>
      <c r="D2683" s="36" t="s">
        <v>3478</v>
      </c>
      <c r="E2683" s="82">
        <v>47</v>
      </c>
      <c r="F2683" s="235">
        <f>'BASIC DATA'!D167</f>
        <v>190</v>
      </c>
      <c r="G2683" s="82">
        <f>F2683*E2683</f>
        <v>8930</v>
      </c>
    </row>
    <row r="2684" spans="2:7">
      <c r="B2684" s="105">
        <v>3</v>
      </c>
      <c r="C2684" s="38" t="s">
        <v>4771</v>
      </c>
      <c r="D2684" s="36"/>
      <c r="E2684" s="82"/>
      <c r="F2684" s="235"/>
      <c r="G2684" s="82"/>
    </row>
    <row r="2685" spans="2:7">
      <c r="B2685" s="105"/>
      <c r="C2685" s="38" t="s">
        <v>4772</v>
      </c>
      <c r="D2685" s="36" t="s">
        <v>3478</v>
      </c>
      <c r="E2685" s="82">
        <v>75</v>
      </c>
      <c r="F2685" s="235">
        <f>'BASIC DATA'!D159</f>
        <v>235</v>
      </c>
      <c r="G2685" s="82">
        <f>F2685*E2685</f>
        <v>17625</v>
      </c>
    </row>
    <row r="2686" spans="2:7">
      <c r="B2686" s="105"/>
      <c r="C2686" s="38" t="s">
        <v>4773</v>
      </c>
      <c r="D2686" s="36" t="s">
        <v>3478</v>
      </c>
      <c r="E2686" s="82">
        <v>24</v>
      </c>
      <c r="F2686" s="235">
        <f>'BASIC DATA'!D160</f>
        <v>450</v>
      </c>
      <c r="G2686" s="82">
        <f>F2686*E2686</f>
        <v>10800</v>
      </c>
    </row>
    <row r="2687" spans="2:7">
      <c r="B2687" s="105">
        <v>4</v>
      </c>
      <c r="C2687" s="38" t="s">
        <v>5973</v>
      </c>
      <c r="D2687" s="36"/>
      <c r="E2687" s="36"/>
      <c r="F2687" s="235"/>
      <c r="G2687" s="82"/>
    </row>
    <row r="2688" spans="2:7">
      <c r="B2688" s="105"/>
      <c r="C2688" s="160" t="s">
        <v>5974</v>
      </c>
      <c r="D2688" s="36" t="s">
        <v>3478</v>
      </c>
      <c r="E2688" s="82">
        <v>11</v>
      </c>
      <c r="F2688" s="235">
        <f>'BASIC DATA'!D163</f>
        <v>970</v>
      </c>
      <c r="G2688" s="82">
        <f t="shared" ref="G2688:G2702" si="42">F2688*E2688</f>
        <v>10670</v>
      </c>
    </row>
    <row r="2689" spans="2:7">
      <c r="B2689" s="105">
        <v>5</v>
      </c>
      <c r="C2689" s="38" t="s">
        <v>3517</v>
      </c>
      <c r="D2689" s="36" t="s">
        <v>3478</v>
      </c>
      <c r="E2689" s="82">
        <v>42</v>
      </c>
      <c r="F2689" s="235">
        <f>'BASIC DATA'!D183</f>
        <v>200</v>
      </c>
      <c r="G2689" s="82">
        <f t="shared" si="42"/>
        <v>8400</v>
      </c>
    </row>
    <row r="2690" spans="2:7">
      <c r="B2690" s="105">
        <v>6</v>
      </c>
      <c r="C2690" s="38" t="s">
        <v>5976</v>
      </c>
      <c r="D2690" s="36" t="s">
        <v>3478</v>
      </c>
      <c r="E2690" s="82">
        <v>64</v>
      </c>
      <c r="F2690" s="235">
        <f>'BASIC DATA'!D84</f>
        <v>80</v>
      </c>
      <c r="G2690" s="82">
        <f t="shared" si="42"/>
        <v>5120</v>
      </c>
    </row>
    <row r="2691" spans="2:7">
      <c r="B2691" s="105">
        <v>7</v>
      </c>
      <c r="C2691" s="39" t="s">
        <v>5977</v>
      </c>
      <c r="D2691" s="36" t="s">
        <v>4089</v>
      </c>
      <c r="E2691" s="82">
        <v>1</v>
      </c>
      <c r="F2691" s="235">
        <f>'BASIC DATA'!D382</f>
        <v>224400</v>
      </c>
      <c r="G2691" s="82">
        <f t="shared" si="42"/>
        <v>224400</v>
      </c>
    </row>
    <row r="2692" spans="2:7">
      <c r="B2692" s="105">
        <v>8</v>
      </c>
      <c r="C2692" s="38" t="s">
        <v>5979</v>
      </c>
      <c r="D2692" s="36" t="s">
        <v>4089</v>
      </c>
      <c r="E2692" s="82">
        <v>1</v>
      </c>
      <c r="F2692" s="235">
        <f>'BASIC DATA'!D390</f>
        <v>28820</v>
      </c>
      <c r="G2692" s="82">
        <f t="shared" si="42"/>
        <v>28820</v>
      </c>
    </row>
    <row r="2693" spans="2:7">
      <c r="B2693" s="105">
        <v>9</v>
      </c>
      <c r="C2693" s="39" t="s">
        <v>857</v>
      </c>
      <c r="D2693" s="36" t="s">
        <v>4089</v>
      </c>
      <c r="E2693" s="82">
        <v>1</v>
      </c>
      <c r="F2693" s="235">
        <f>'BASIC DATA'!D392</f>
        <v>35200</v>
      </c>
      <c r="G2693" s="82">
        <f t="shared" si="42"/>
        <v>35200</v>
      </c>
    </row>
    <row r="2694" spans="2:7">
      <c r="B2694" s="105">
        <v>10</v>
      </c>
      <c r="C2694" s="39" t="s">
        <v>6187</v>
      </c>
      <c r="D2694" s="36" t="s">
        <v>3518</v>
      </c>
      <c r="E2694" s="82">
        <v>2</v>
      </c>
      <c r="F2694" s="235">
        <f>'BASIC DATA'!D394</f>
        <v>4620</v>
      </c>
      <c r="G2694" s="82">
        <f t="shared" si="42"/>
        <v>9240</v>
      </c>
    </row>
    <row r="2695" spans="2:7">
      <c r="B2695" s="105">
        <v>11</v>
      </c>
      <c r="C2695" s="39" t="s">
        <v>958</v>
      </c>
      <c r="D2695" s="36" t="s">
        <v>3477</v>
      </c>
      <c r="E2695" s="82">
        <v>75</v>
      </c>
      <c r="F2695" s="235">
        <f>'BASIC DATA'!D87</f>
        <v>42</v>
      </c>
      <c r="G2695" s="82">
        <f t="shared" si="42"/>
        <v>3150</v>
      </c>
    </row>
    <row r="2696" spans="2:7">
      <c r="B2696" s="105">
        <v>12</v>
      </c>
      <c r="C2696" s="39" t="s">
        <v>6815</v>
      </c>
      <c r="D2696" s="36" t="s">
        <v>3477</v>
      </c>
      <c r="E2696" s="82">
        <v>25</v>
      </c>
      <c r="F2696" s="235">
        <f>'BASIC DATA'!D28</f>
        <v>335</v>
      </c>
      <c r="G2696" s="82">
        <f t="shared" si="42"/>
        <v>8375</v>
      </c>
    </row>
    <row r="2697" spans="2:7">
      <c r="B2697" s="105">
        <v>13</v>
      </c>
      <c r="C2697" s="39" t="s">
        <v>6816</v>
      </c>
      <c r="D2697" s="36" t="s">
        <v>2059</v>
      </c>
      <c r="E2697" s="82">
        <v>69</v>
      </c>
      <c r="F2697" s="235">
        <f>'BASIC DATA'!D109</f>
        <v>80</v>
      </c>
      <c r="G2697" s="82">
        <f t="shared" si="42"/>
        <v>5520</v>
      </c>
    </row>
    <row r="2698" spans="2:7">
      <c r="B2698" s="105">
        <v>14</v>
      </c>
      <c r="C2698" s="39" t="s">
        <v>4655</v>
      </c>
      <c r="D2698" s="36" t="s">
        <v>2059</v>
      </c>
      <c r="E2698" s="82">
        <v>622</v>
      </c>
      <c r="F2698" s="235">
        <f>'BASIC DATA'!D181</f>
        <v>15</v>
      </c>
      <c r="G2698" s="82">
        <f t="shared" si="42"/>
        <v>9330</v>
      </c>
    </row>
    <row r="2699" spans="2:7">
      <c r="B2699" s="105">
        <v>15</v>
      </c>
      <c r="C2699" s="39" t="s">
        <v>5980</v>
      </c>
      <c r="D2699" s="36" t="s">
        <v>3478</v>
      </c>
      <c r="E2699" s="82">
        <v>10</v>
      </c>
      <c r="F2699" s="235">
        <f>'BASIC DATA'!D372</f>
        <v>275</v>
      </c>
      <c r="G2699" s="82">
        <f t="shared" si="42"/>
        <v>2750</v>
      </c>
    </row>
    <row r="2700" spans="2:7">
      <c r="B2700" s="105">
        <v>16</v>
      </c>
      <c r="C2700" s="39" t="s">
        <v>6556</v>
      </c>
      <c r="D2700" s="36" t="s">
        <v>2374</v>
      </c>
      <c r="E2700" s="82">
        <v>73</v>
      </c>
      <c r="F2700" s="235">
        <f>F2666</f>
        <v>7.8</v>
      </c>
      <c r="G2700" s="82">
        <f t="shared" si="42"/>
        <v>569.4</v>
      </c>
    </row>
    <row r="2701" spans="2:7">
      <c r="B2701" s="105">
        <v>17</v>
      </c>
      <c r="C2701" s="39" t="s">
        <v>6557</v>
      </c>
      <c r="D2701" s="36" t="s">
        <v>2374</v>
      </c>
      <c r="E2701" s="82">
        <v>42</v>
      </c>
      <c r="F2701" s="235">
        <f>F2669</f>
        <v>24.166666666666668</v>
      </c>
      <c r="G2701" s="82">
        <f t="shared" si="42"/>
        <v>1015</v>
      </c>
    </row>
    <row r="2702" spans="2:7">
      <c r="B2702" s="105">
        <v>18</v>
      </c>
      <c r="C2702" s="38" t="s">
        <v>2373</v>
      </c>
      <c r="D2702" s="36" t="s">
        <v>2173</v>
      </c>
      <c r="E2702" s="82">
        <v>25</v>
      </c>
      <c r="F2702" s="235">
        <f>'BASIC DATA'!D359</f>
        <v>30</v>
      </c>
      <c r="G2702" s="82">
        <f t="shared" si="42"/>
        <v>750</v>
      </c>
    </row>
    <row r="2703" spans="2:7">
      <c r="B2703" s="226"/>
      <c r="C2703" s="193"/>
      <c r="D2703" s="151" t="s">
        <v>2376</v>
      </c>
      <c r="E2703" s="160"/>
      <c r="F2703" s="236" t="s">
        <v>1698</v>
      </c>
      <c r="G2703" s="737">
        <f>SUM(G2676:G2702)</f>
        <v>579889.1</v>
      </c>
    </row>
    <row r="2704" spans="2:7">
      <c r="B2704" s="30"/>
      <c r="C2704" s="78"/>
    </row>
    <row r="2705" spans="2:7">
      <c r="B2705" s="88" t="s">
        <v>2377</v>
      </c>
      <c r="D2705" s="31"/>
      <c r="E2705" s="31"/>
      <c r="F2705" s="31"/>
      <c r="G2705" s="31"/>
    </row>
    <row r="2706" spans="2:7">
      <c r="B2706" s="114" t="s">
        <v>2369</v>
      </c>
      <c r="C2706" s="38" t="s">
        <v>2378</v>
      </c>
      <c r="D2706" s="38" t="s">
        <v>2370</v>
      </c>
      <c r="E2706" s="38" t="s">
        <v>1166</v>
      </c>
      <c r="F2706" s="236" t="s">
        <v>2371</v>
      </c>
      <c r="G2706" s="38" t="s">
        <v>2372</v>
      </c>
    </row>
    <row r="2707" spans="2:7">
      <c r="B2707" s="45"/>
      <c r="C2707" s="38"/>
      <c r="D2707" s="38"/>
      <c r="E2707" s="38"/>
      <c r="F2707" s="236" t="s">
        <v>3485</v>
      </c>
      <c r="G2707" s="38" t="s">
        <v>3485</v>
      </c>
    </row>
    <row r="2708" spans="2:7">
      <c r="B2708" s="36">
        <v>1</v>
      </c>
      <c r="C2708" s="38" t="s">
        <v>6558</v>
      </c>
      <c r="D2708" s="38" t="s">
        <v>2374</v>
      </c>
      <c r="E2708" s="67">
        <v>73</v>
      </c>
      <c r="F2708" s="67">
        <f>'HIRE CHARGES'!D556</f>
        <v>16</v>
      </c>
      <c r="G2708" s="67">
        <f t="shared" ref="G2708:G2720" si="43">F2708*E2708</f>
        <v>1168</v>
      </c>
    </row>
    <row r="2709" spans="2:7">
      <c r="B2709" s="36"/>
      <c r="C2709" s="38" t="s">
        <v>2379</v>
      </c>
      <c r="D2709" s="38" t="s">
        <v>2374</v>
      </c>
      <c r="E2709" s="235">
        <v>46</v>
      </c>
      <c r="F2709" s="67">
        <f>'HIRE CHARGES'!E556</f>
        <v>67.2</v>
      </c>
      <c r="G2709" s="67">
        <f t="shared" si="43"/>
        <v>3091.2000000000003</v>
      </c>
    </row>
    <row r="2710" spans="2:7">
      <c r="B2710" s="36">
        <v>2</v>
      </c>
      <c r="C2710" s="38" t="s">
        <v>6060</v>
      </c>
      <c r="D2710" s="38" t="s">
        <v>2374</v>
      </c>
      <c r="E2710" s="235">
        <v>8</v>
      </c>
      <c r="F2710" s="67">
        <f>'HIRE CHARGES'!D539</f>
        <v>6.4</v>
      </c>
      <c r="G2710" s="67">
        <f t="shared" si="43"/>
        <v>51.2</v>
      </c>
    </row>
    <row r="2711" spans="2:7">
      <c r="B2711" s="36"/>
      <c r="C2711" s="38" t="s">
        <v>2379</v>
      </c>
      <c r="D2711" s="38" t="s">
        <v>2374</v>
      </c>
      <c r="E2711" s="738">
        <v>8</v>
      </c>
      <c r="F2711" s="67">
        <f>'HIRE CHARGES'!E539</f>
        <v>2.8</v>
      </c>
      <c r="G2711" s="67">
        <f t="shared" si="43"/>
        <v>22.4</v>
      </c>
    </row>
    <row r="2712" spans="2:7">
      <c r="B2712" s="36">
        <v>3</v>
      </c>
      <c r="C2712" s="38" t="s">
        <v>6561</v>
      </c>
      <c r="D2712" s="38" t="s">
        <v>2374</v>
      </c>
      <c r="E2712" s="738">
        <v>4</v>
      </c>
      <c r="F2712" s="67">
        <f>'HIRE CHARGES'!D550</f>
        <v>519.69999999999993</v>
      </c>
      <c r="G2712" s="67">
        <f t="shared" si="43"/>
        <v>2078.7999999999997</v>
      </c>
    </row>
    <row r="2713" spans="2:7">
      <c r="B2713" s="36"/>
      <c r="C2713" s="38" t="s">
        <v>2379</v>
      </c>
      <c r="D2713" s="38" t="s">
        <v>2374</v>
      </c>
      <c r="E2713" s="738">
        <v>4</v>
      </c>
      <c r="F2713" s="67">
        <f>'HIRE CHARGES'!E550</f>
        <v>299.89999999999998</v>
      </c>
      <c r="G2713" s="67">
        <f t="shared" si="43"/>
        <v>1199.5999999999999</v>
      </c>
    </row>
    <row r="2714" spans="2:7">
      <c r="B2714" s="36">
        <v>4</v>
      </c>
      <c r="C2714" s="38" t="s">
        <v>866</v>
      </c>
      <c r="D2714" s="38" t="s">
        <v>2374</v>
      </c>
      <c r="E2714" s="738">
        <v>8</v>
      </c>
      <c r="F2714" s="67">
        <f>'HIRE CHARGES'!D544</f>
        <v>86.1</v>
      </c>
      <c r="G2714" s="67">
        <f t="shared" si="43"/>
        <v>688.8</v>
      </c>
    </row>
    <row r="2715" spans="2:7">
      <c r="B2715" s="36"/>
      <c r="C2715" s="38" t="s">
        <v>2379</v>
      </c>
      <c r="D2715" s="38" t="s">
        <v>2374</v>
      </c>
      <c r="E2715" s="738">
        <v>8</v>
      </c>
      <c r="F2715" s="67">
        <f>'HIRE CHARGES'!E544</f>
        <v>0</v>
      </c>
      <c r="G2715" s="67">
        <f t="shared" si="43"/>
        <v>0</v>
      </c>
    </row>
    <row r="2716" spans="2:7">
      <c r="B2716" s="36">
        <v>5</v>
      </c>
      <c r="C2716" s="38" t="s">
        <v>6562</v>
      </c>
      <c r="D2716" s="38" t="s">
        <v>2374</v>
      </c>
      <c r="E2716" s="738">
        <v>8</v>
      </c>
      <c r="F2716" s="67">
        <f>'HIRE CHARGES'!D551</f>
        <v>22.5</v>
      </c>
      <c r="G2716" s="67">
        <f t="shared" si="43"/>
        <v>180</v>
      </c>
    </row>
    <row r="2717" spans="2:7">
      <c r="B2717" s="36"/>
      <c r="C2717" s="38" t="s">
        <v>2379</v>
      </c>
      <c r="D2717" s="38" t="s">
        <v>2374</v>
      </c>
      <c r="E2717" s="235">
        <v>8</v>
      </c>
      <c r="F2717" s="67">
        <f>'HIRE CHARGES'!E551</f>
        <v>28</v>
      </c>
      <c r="G2717" s="67">
        <f t="shared" si="43"/>
        <v>224</v>
      </c>
    </row>
    <row r="2718" spans="2:7">
      <c r="B2718" s="36">
        <v>6</v>
      </c>
      <c r="C2718" s="38" t="s">
        <v>5539</v>
      </c>
      <c r="D2718" s="38" t="s">
        <v>2374</v>
      </c>
      <c r="E2718" s="235">
        <v>16</v>
      </c>
      <c r="F2718" s="67">
        <f>'HIRE CHARGES'!D551</f>
        <v>22.5</v>
      </c>
      <c r="G2718" s="67">
        <f t="shared" si="43"/>
        <v>360</v>
      </c>
    </row>
    <row r="2719" spans="2:7">
      <c r="B2719" s="36"/>
      <c r="C2719" s="38" t="s">
        <v>2379</v>
      </c>
      <c r="D2719" s="38" t="s">
        <v>2374</v>
      </c>
      <c r="E2719" s="235">
        <v>16</v>
      </c>
      <c r="F2719" s="67">
        <f>'HIRE CHARGES'!E551</f>
        <v>28</v>
      </c>
      <c r="G2719" s="67">
        <f t="shared" si="43"/>
        <v>448</v>
      </c>
    </row>
    <row r="2720" spans="2:7">
      <c r="B2720" s="36">
        <v>7</v>
      </c>
      <c r="C2720" s="38" t="s">
        <v>2373</v>
      </c>
      <c r="D2720" s="38" t="s">
        <v>2173</v>
      </c>
      <c r="E2720" s="67">
        <v>25</v>
      </c>
      <c r="F2720" s="235">
        <f>'BASIC DATA'!D359</f>
        <v>30</v>
      </c>
      <c r="G2720" s="67">
        <f t="shared" si="43"/>
        <v>750</v>
      </c>
    </row>
    <row r="2721" spans="2:7">
      <c r="B2721" s="36"/>
      <c r="C2721" s="38" t="s">
        <v>2380</v>
      </c>
      <c r="D2721" s="36"/>
      <c r="E2721" s="38"/>
      <c r="F2721" s="236" t="s">
        <v>1698</v>
      </c>
      <c r="G2721" s="354">
        <f>SUM(G2708:G2720)</f>
        <v>10262</v>
      </c>
    </row>
    <row r="2722" spans="2:7">
      <c r="C2722" s="78"/>
    </row>
    <row r="2723" spans="2:7">
      <c r="B2723" s="79" t="s">
        <v>2381</v>
      </c>
    </row>
    <row r="2724" spans="2:7">
      <c r="B2724" s="36" t="s">
        <v>2369</v>
      </c>
      <c r="C2724" s="38" t="s">
        <v>2378</v>
      </c>
      <c r="D2724" s="38" t="s">
        <v>2370</v>
      </c>
      <c r="E2724" s="38" t="s">
        <v>1166</v>
      </c>
      <c r="F2724" s="38" t="s">
        <v>2371</v>
      </c>
      <c r="G2724" s="38" t="s">
        <v>2372</v>
      </c>
    </row>
    <row r="2725" spans="2:7">
      <c r="B2725" s="36"/>
      <c r="C2725" s="38"/>
      <c r="D2725" s="38"/>
      <c r="E2725" s="38"/>
      <c r="F2725" s="38" t="s">
        <v>3485</v>
      </c>
      <c r="G2725" s="38" t="s">
        <v>3485</v>
      </c>
    </row>
    <row r="2726" spans="2:7">
      <c r="B2726" s="36">
        <v>1</v>
      </c>
      <c r="C2726" s="38" t="s">
        <v>5542</v>
      </c>
      <c r="D2726" s="38" t="s">
        <v>2374</v>
      </c>
      <c r="E2726" s="67">
        <v>4</v>
      </c>
      <c r="F2726" s="67">
        <f>'HIRE CHARGES'!F550</f>
        <v>177.5</v>
      </c>
      <c r="G2726" s="67">
        <f t="shared" ref="G2726:G2734" si="44">F2726*E2726</f>
        <v>710</v>
      </c>
    </row>
    <row r="2727" spans="2:7">
      <c r="B2727" s="36">
        <v>2</v>
      </c>
      <c r="C2727" s="38" t="s">
        <v>5545</v>
      </c>
      <c r="D2727" s="38" t="s">
        <v>2374</v>
      </c>
      <c r="E2727" s="67">
        <v>16</v>
      </c>
      <c r="F2727" s="67">
        <f>'HIRE CHARGES'!F551</f>
        <v>198.9</v>
      </c>
      <c r="G2727" s="67">
        <f t="shared" si="44"/>
        <v>3182.4</v>
      </c>
    </row>
    <row r="2728" spans="2:7">
      <c r="B2728" s="36">
        <v>3</v>
      </c>
      <c r="C2728" s="38" t="s">
        <v>5546</v>
      </c>
      <c r="D2728" s="38" t="s">
        <v>2374</v>
      </c>
      <c r="E2728" s="67">
        <v>8</v>
      </c>
      <c r="F2728" s="67">
        <f>'HIRE CHARGES'!F551</f>
        <v>198.9</v>
      </c>
      <c r="G2728" s="67">
        <f t="shared" si="44"/>
        <v>1591.2</v>
      </c>
    </row>
    <row r="2729" spans="2:7">
      <c r="B2729" s="36">
        <v>4</v>
      </c>
      <c r="C2729" s="38" t="s">
        <v>2468</v>
      </c>
      <c r="D2729" s="38" t="s">
        <v>1172</v>
      </c>
      <c r="E2729" s="67">
        <v>14</v>
      </c>
      <c r="F2729" s="67">
        <f>'BASIC DATA'!C471</f>
        <v>510</v>
      </c>
      <c r="G2729" s="67">
        <f t="shared" si="44"/>
        <v>7140</v>
      </c>
    </row>
    <row r="2730" spans="2:7">
      <c r="B2730" s="36">
        <v>5</v>
      </c>
      <c r="C2730" s="38" t="s">
        <v>5547</v>
      </c>
      <c r="D2730" s="38" t="s">
        <v>1172</v>
      </c>
      <c r="E2730" s="67">
        <v>20</v>
      </c>
      <c r="F2730" s="67">
        <f>'BASIC DATA'!C503</f>
        <v>550</v>
      </c>
      <c r="G2730" s="67">
        <f t="shared" si="44"/>
        <v>11000</v>
      </c>
    </row>
    <row r="2731" spans="2:7">
      <c r="B2731" s="36">
        <v>6</v>
      </c>
      <c r="C2731" s="38" t="s">
        <v>3010</v>
      </c>
      <c r="D2731" s="38" t="s">
        <v>1172</v>
      </c>
      <c r="E2731" s="67">
        <v>6</v>
      </c>
      <c r="F2731" s="67">
        <f>'BASIC DATA'!C504</f>
        <v>445</v>
      </c>
      <c r="G2731" s="67">
        <f t="shared" si="44"/>
        <v>2670</v>
      </c>
    </row>
    <row r="2732" spans="2:7">
      <c r="B2732" s="36">
        <v>7</v>
      </c>
      <c r="C2732" s="38" t="s">
        <v>3013</v>
      </c>
      <c r="D2732" s="38" t="s">
        <v>1172</v>
      </c>
      <c r="E2732" s="67">
        <v>7</v>
      </c>
      <c r="F2732" s="67">
        <f>'BASIC DATA'!C504</f>
        <v>445</v>
      </c>
      <c r="G2732" s="67">
        <f t="shared" si="44"/>
        <v>3115</v>
      </c>
    </row>
    <row r="2733" spans="2:7">
      <c r="B2733" s="36">
        <v>8</v>
      </c>
      <c r="C2733" s="38" t="s">
        <v>3011</v>
      </c>
      <c r="D2733" s="38" t="s">
        <v>1172</v>
      </c>
      <c r="E2733" s="67">
        <v>44</v>
      </c>
      <c r="F2733" s="67">
        <f>'BASIC DATA'!C529</f>
        <v>400</v>
      </c>
      <c r="G2733" s="67">
        <f t="shared" si="44"/>
        <v>17600</v>
      </c>
    </row>
    <row r="2734" spans="2:7">
      <c r="B2734" s="36">
        <v>9</v>
      </c>
      <c r="C2734" s="38" t="s">
        <v>5604</v>
      </c>
      <c r="D2734" s="38" t="s">
        <v>1172</v>
      </c>
      <c r="E2734" s="67">
        <v>2</v>
      </c>
      <c r="F2734" s="67">
        <f>'BASIC DATA'!C468</f>
        <v>515</v>
      </c>
      <c r="G2734" s="67">
        <f t="shared" si="44"/>
        <v>1030</v>
      </c>
    </row>
    <row r="2735" spans="2:7">
      <c r="B2735" s="36"/>
      <c r="C2735" s="38"/>
      <c r="D2735" s="38" t="s">
        <v>1174</v>
      </c>
      <c r="E2735" s="38"/>
      <c r="F2735" s="38" t="s">
        <v>1698</v>
      </c>
      <c r="G2735" s="318">
        <f>SUM(G2726:G2734)</f>
        <v>48038.6</v>
      </c>
    </row>
    <row r="2736" spans="2:7">
      <c r="B2736" s="60" t="s">
        <v>5948</v>
      </c>
      <c r="C2736" s="31"/>
      <c r="D2736" s="31"/>
      <c r="E2736" s="85">
        <f>ROUND(G2735/F2672,1)</f>
        <v>4803.8999999999996</v>
      </c>
    </row>
    <row r="2737" spans="2:34">
      <c r="B2737" s="60" t="s">
        <v>3163</v>
      </c>
      <c r="C2737" s="31"/>
      <c r="D2737" s="31">
        <f>'BASIC DATA'!$C$577</f>
        <v>0.13614999999999999</v>
      </c>
      <c r="E2737" s="85">
        <f>ROUND(E2736*D2737,1)</f>
        <v>654.1</v>
      </c>
    </row>
    <row r="2738" spans="2:34">
      <c r="B2738" s="60" t="s">
        <v>5949</v>
      </c>
      <c r="C2738" s="31"/>
      <c r="D2738" s="31"/>
      <c r="E2738" s="739">
        <f>E2737+E2736</f>
        <v>5458</v>
      </c>
    </row>
    <row r="2739" spans="2:34">
      <c r="B2739" s="60"/>
      <c r="C2739" s="31"/>
      <c r="D2739" s="31"/>
      <c r="E2739" s="31"/>
      <c r="G2739" s="85"/>
    </row>
    <row r="2740" spans="2:34">
      <c r="B2740" s="170" t="s">
        <v>1175</v>
      </c>
    </row>
    <row r="2741" spans="2:34">
      <c r="B2741" s="26" t="s">
        <v>1176</v>
      </c>
      <c r="E2741" s="322" t="s">
        <v>1698</v>
      </c>
      <c r="F2741" s="68"/>
      <c r="G2741" s="68">
        <f>G2703</f>
        <v>579889.1</v>
      </c>
    </row>
    <row r="2742" spans="2:34">
      <c r="B2742" s="26" t="s">
        <v>1186</v>
      </c>
      <c r="E2742" s="322" t="s">
        <v>1698</v>
      </c>
      <c r="F2742" s="68"/>
      <c r="G2742" s="68">
        <f>G2721</f>
        <v>10262</v>
      </c>
    </row>
    <row r="2743" spans="2:34">
      <c r="B2743" s="26" t="s">
        <v>2660</v>
      </c>
      <c r="E2743" s="322" t="s">
        <v>1698</v>
      </c>
      <c r="F2743" s="68"/>
      <c r="G2743" s="68">
        <f>G2735</f>
        <v>48038.6</v>
      </c>
    </row>
    <row r="2744" spans="2:34">
      <c r="B2744" s="26"/>
      <c r="E2744" s="171" t="s">
        <v>5551</v>
      </c>
      <c r="F2744" s="171" t="s">
        <v>1698</v>
      </c>
      <c r="G2744" s="205">
        <f>SUM(G2741:G2743)</f>
        <v>638189.69999999995</v>
      </c>
    </row>
    <row r="2745" spans="2:34">
      <c r="B2745" s="26" t="s">
        <v>5087</v>
      </c>
      <c r="E2745" s="693">
        <f>'BASIC DATA'!C593</f>
        <v>0</v>
      </c>
      <c r="F2745" s="171" t="s">
        <v>1698</v>
      </c>
      <c r="G2745" s="68">
        <f>(G2743+G2742)*E2745*0.75</f>
        <v>0</v>
      </c>
    </row>
    <row r="2746" spans="2:34">
      <c r="B2746" s="26" t="s">
        <v>5084</v>
      </c>
      <c r="E2746" s="171" t="s">
        <v>1518</v>
      </c>
      <c r="F2746" s="171" t="s">
        <v>1698</v>
      </c>
      <c r="G2746" s="205">
        <f>G2745+G2744</f>
        <v>638189.69999999995</v>
      </c>
    </row>
    <row r="2747" spans="2:34">
      <c r="B2747" s="26" t="s">
        <v>5086</v>
      </c>
      <c r="E2747" s="201">
        <f>'BASIC DATA'!C594</f>
        <v>0.03</v>
      </c>
      <c r="F2747" s="171" t="s">
        <v>1698</v>
      </c>
      <c r="G2747" s="75">
        <f>G2746*E2747</f>
        <v>19145.690999999999</v>
      </c>
    </row>
    <row r="2748" spans="2:34">
      <c r="B2748" s="26"/>
      <c r="E2748" s="26" t="s">
        <v>2392</v>
      </c>
      <c r="F2748" s="171" t="s">
        <v>1698</v>
      </c>
      <c r="G2748" s="75">
        <f>G2747+G2746</f>
        <v>657335.39099999995</v>
      </c>
    </row>
    <row r="2749" spans="2:34">
      <c r="B2749" s="1206" t="s">
        <v>4717</v>
      </c>
      <c r="C2749" s="1206"/>
      <c r="D2749" s="201">
        <f>'BASIC DATA'!$C$577</f>
        <v>0.13614999999999999</v>
      </c>
      <c r="F2749" s="171" t="s">
        <v>1698</v>
      </c>
      <c r="G2749" s="75">
        <f>G2748*D2749</f>
        <v>89496.213484649983</v>
      </c>
      <c r="I2749" s="68"/>
    </row>
    <row r="2750" spans="2:34">
      <c r="B2750" s="26" t="s">
        <v>898</v>
      </c>
    </row>
    <row r="2751" spans="2:34">
      <c r="B2751" s="47" t="s">
        <v>897</v>
      </c>
      <c r="D2751" s="48"/>
      <c r="E2751" s="68">
        <f>leadcharges!F65</f>
        <v>19</v>
      </c>
      <c r="F2751" s="27" t="s">
        <v>1279</v>
      </c>
      <c r="G2751" s="76">
        <f>2*ROUND(E2751*F2671,3)</f>
        <v>106.55200000000001</v>
      </c>
      <c r="AH2751" s="68"/>
    </row>
    <row r="2752" spans="2:34">
      <c r="B2752" s="47" t="s">
        <v>896</v>
      </c>
      <c r="D2752" s="48"/>
      <c r="E2752" s="68">
        <f>leadcharges!$G$79</f>
        <v>74.8</v>
      </c>
      <c r="F2752" s="27" t="s">
        <v>1279</v>
      </c>
      <c r="G2752" s="76">
        <f>2*ROUND(E2752*F2671,3)</f>
        <v>419.47800000000001</v>
      </c>
    </row>
    <row r="2753" spans="1:9">
      <c r="B2753" s="26" t="s">
        <v>5078</v>
      </c>
      <c r="D2753" s="278">
        <f>F2671</f>
        <v>2.8039999999999998</v>
      </c>
      <c r="E2753" s="26" t="s">
        <v>3480</v>
      </c>
      <c r="F2753" s="171" t="s">
        <v>1698</v>
      </c>
      <c r="G2753" s="205">
        <f>G2749+G2748</f>
        <v>746831.60448464996</v>
      </c>
    </row>
    <row r="2754" spans="1:9">
      <c r="B2754" s="26"/>
      <c r="D2754" s="278">
        <f>F2672</f>
        <v>10</v>
      </c>
      <c r="E2754" s="26" t="s">
        <v>4769</v>
      </c>
      <c r="F2754" s="68"/>
      <c r="G2754" s="68"/>
    </row>
    <row r="2755" spans="1:9">
      <c r="B2755" s="26"/>
      <c r="C2755" s="26" t="s">
        <v>3884</v>
      </c>
      <c r="D2755" s="26" t="s">
        <v>3041</v>
      </c>
      <c r="F2755" s="322" t="s">
        <v>1698</v>
      </c>
      <c r="G2755" s="68">
        <f>ROUND(G2753/D2753,1)</f>
        <v>266345.09999999998</v>
      </c>
    </row>
    <row r="2756" spans="1:9">
      <c r="B2756" s="26"/>
      <c r="D2756" s="314" t="s">
        <v>3884</v>
      </c>
      <c r="E2756" s="314" t="s">
        <v>3041</v>
      </c>
      <c r="F2756" s="691" t="s">
        <v>1698</v>
      </c>
      <c r="G2756" s="211">
        <f>ROUND(G2753/D2754,1)</f>
        <v>74683.199999999997</v>
      </c>
    </row>
    <row r="2757" spans="1:9">
      <c r="B2757" s="26"/>
      <c r="D2757" s="314" t="s">
        <v>1671</v>
      </c>
      <c r="E2757" s="740"/>
      <c r="F2757" s="31"/>
    </row>
    <row r="2758" spans="1:9">
      <c r="B2758" s="26"/>
      <c r="C2758" s="78"/>
      <c r="D2758" s="78"/>
      <c r="H2758" s="322"/>
      <c r="I2758" s="31"/>
    </row>
    <row r="2759" spans="1:9">
      <c r="B2759" s="26"/>
      <c r="C2759" s="78"/>
    </row>
    <row r="2760" spans="1:9">
      <c r="A2760" s="26" t="s">
        <v>7177</v>
      </c>
      <c r="B2760" s="170" t="s">
        <v>1672</v>
      </c>
    </row>
    <row r="2761" spans="1:9">
      <c r="A2761" s="27"/>
    </row>
    <row r="2762" spans="1:9">
      <c r="A2762" s="26" t="s">
        <v>7178</v>
      </c>
      <c r="B2762" s="26" t="s">
        <v>9063</v>
      </c>
    </row>
    <row r="2763" spans="1:9">
      <c r="B2763" s="26" t="s">
        <v>9064</v>
      </c>
    </row>
    <row r="2764" spans="1:9">
      <c r="B2764" s="26" t="s">
        <v>9065</v>
      </c>
    </row>
    <row r="2765" spans="1:9" hidden="1">
      <c r="A2765" s="78" t="s">
        <v>3984</v>
      </c>
      <c r="B2765" s="26" t="s">
        <v>1673</v>
      </c>
    </row>
    <row r="2766" spans="1:9" hidden="1">
      <c r="A2766" s="78">
        <v>1</v>
      </c>
      <c r="B2766" s="26" t="s">
        <v>4302</v>
      </c>
    </row>
    <row r="2767" spans="1:9" hidden="1">
      <c r="B2767" s="26" t="s">
        <v>5204</v>
      </c>
    </row>
    <row r="2768" spans="1:9" hidden="1">
      <c r="B2768" s="26" t="s">
        <v>26</v>
      </c>
    </row>
    <row r="2769" spans="1:7" hidden="1">
      <c r="B2769" s="26" t="s">
        <v>27</v>
      </c>
    </row>
    <row r="2770" spans="1:7" hidden="1">
      <c r="B2770" s="26" t="s">
        <v>28</v>
      </c>
      <c r="E2770" s="78" t="s">
        <v>1697</v>
      </c>
      <c r="F2770" s="27">
        <v>150</v>
      </c>
      <c r="G2770" s="26" t="s">
        <v>3479</v>
      </c>
    </row>
    <row r="2771" spans="1:7" hidden="1">
      <c r="B2771" s="26" t="s">
        <v>29</v>
      </c>
      <c r="E2771" s="78" t="s">
        <v>1697</v>
      </c>
      <c r="F2771" s="117">
        <v>15</v>
      </c>
      <c r="G2771" s="26" t="s">
        <v>3477</v>
      </c>
    </row>
    <row r="2772" spans="1:7" hidden="1">
      <c r="B2772" s="26" t="s">
        <v>6426</v>
      </c>
      <c r="E2772" s="78" t="s">
        <v>1697</v>
      </c>
      <c r="F2772" s="117">
        <v>30</v>
      </c>
      <c r="G2772" s="26" t="s">
        <v>3477</v>
      </c>
    </row>
    <row r="2773" spans="1:7" hidden="1">
      <c r="A2773" s="78">
        <v>2</v>
      </c>
      <c r="B2773" s="26" t="s">
        <v>6427</v>
      </c>
      <c r="F2773" s="27"/>
    </row>
    <row r="2774" spans="1:7" hidden="1">
      <c r="B2774" s="26" t="s">
        <v>3361</v>
      </c>
      <c r="E2774" s="78" t="s">
        <v>1697</v>
      </c>
      <c r="F2774" s="27" t="s">
        <v>4933</v>
      </c>
      <c r="G2774" s="26" t="s">
        <v>3479</v>
      </c>
    </row>
    <row r="2775" spans="1:7" hidden="1">
      <c r="B2775" s="26" t="s">
        <v>100</v>
      </c>
      <c r="F2775" s="27"/>
    </row>
    <row r="2776" spans="1:7" hidden="1">
      <c r="B2776" s="26" t="s">
        <v>3415</v>
      </c>
      <c r="E2776" s="78" t="s">
        <v>1697</v>
      </c>
      <c r="F2776" s="27">
        <v>8</v>
      </c>
      <c r="G2776" s="26" t="s">
        <v>4665</v>
      </c>
    </row>
    <row r="2777" spans="1:7" hidden="1">
      <c r="B2777" s="26" t="s">
        <v>3416</v>
      </c>
      <c r="E2777" s="78" t="s">
        <v>1697</v>
      </c>
      <c r="F2777" s="27">
        <v>8</v>
      </c>
      <c r="G2777" s="26" t="s">
        <v>4665</v>
      </c>
    </row>
    <row r="2778" spans="1:7" hidden="1">
      <c r="B2778" s="26" t="s">
        <v>5815</v>
      </c>
      <c r="F2778" s="27"/>
    </row>
    <row r="2779" spans="1:7" hidden="1">
      <c r="B2779" s="26" t="s">
        <v>637</v>
      </c>
      <c r="F2779" s="27"/>
    </row>
    <row r="2780" spans="1:7" hidden="1">
      <c r="B2780" s="26" t="s">
        <v>3417</v>
      </c>
      <c r="E2780" s="78" t="s">
        <v>1697</v>
      </c>
      <c r="F2780" s="27">
        <v>6</v>
      </c>
      <c r="G2780" s="26" t="s">
        <v>4041</v>
      </c>
    </row>
    <row r="2781" spans="1:7" hidden="1">
      <c r="B2781" s="26" t="s">
        <v>3966</v>
      </c>
      <c r="E2781" s="78" t="s">
        <v>1697</v>
      </c>
      <c r="F2781" s="27">
        <v>2</v>
      </c>
      <c r="G2781" s="26" t="s">
        <v>4041</v>
      </c>
    </row>
    <row r="2782" spans="1:7" hidden="1">
      <c r="B2782" s="26" t="s">
        <v>3967</v>
      </c>
      <c r="E2782" s="78" t="s">
        <v>1697</v>
      </c>
      <c r="F2782" s="27">
        <v>1</v>
      </c>
      <c r="G2782" s="26" t="s">
        <v>4089</v>
      </c>
    </row>
    <row r="2783" spans="1:7" hidden="1">
      <c r="B2783" s="26" t="s">
        <v>637</v>
      </c>
      <c r="F2783" s="27"/>
    </row>
    <row r="2784" spans="1:7" hidden="1">
      <c r="B2784" s="26" t="s">
        <v>3417</v>
      </c>
      <c r="E2784" s="78" t="s">
        <v>1697</v>
      </c>
      <c r="F2784" s="27">
        <v>4</v>
      </c>
      <c r="G2784" s="26" t="s">
        <v>4041</v>
      </c>
    </row>
    <row r="2785" spans="1:7" hidden="1">
      <c r="B2785" s="26" t="s">
        <v>394</v>
      </c>
      <c r="E2785" s="78" t="s">
        <v>1697</v>
      </c>
      <c r="F2785" s="27">
        <v>2</v>
      </c>
      <c r="G2785" s="26" t="s">
        <v>4041</v>
      </c>
    </row>
    <row r="2786" spans="1:7" hidden="1">
      <c r="A2786" s="78">
        <v>3</v>
      </c>
      <c r="B2786" s="26" t="s">
        <v>2366</v>
      </c>
    </row>
    <row r="2787" spans="1:7" hidden="1">
      <c r="B2787" s="26" t="s">
        <v>395</v>
      </c>
      <c r="C2787" s="68">
        <f>'BASIC DATA'!D345</f>
        <v>300</v>
      </c>
      <c r="D2787" s="26" t="s">
        <v>2618</v>
      </c>
      <c r="E2787" s="78" t="s">
        <v>1698</v>
      </c>
      <c r="F2787" s="117">
        <f>C2787*50</f>
        <v>15000</v>
      </c>
    </row>
    <row r="2788" spans="1:7" hidden="1">
      <c r="B2788" s="26" t="s">
        <v>5152</v>
      </c>
      <c r="C2788" s="68"/>
      <c r="E2788" s="78" t="s">
        <v>1697</v>
      </c>
      <c r="F2788" s="576">
        <v>800</v>
      </c>
      <c r="G2788" s="26" t="s">
        <v>4665</v>
      </c>
    </row>
    <row r="2789" spans="1:7" hidden="1">
      <c r="B2789" s="26" t="s">
        <v>396</v>
      </c>
      <c r="C2789" s="26" t="s">
        <v>7593</v>
      </c>
      <c r="E2789" s="78" t="s">
        <v>1698</v>
      </c>
      <c r="F2789" s="117">
        <f>F2787/F2788</f>
        <v>18.75</v>
      </c>
    </row>
    <row r="2790" spans="1:7" hidden="1">
      <c r="B2790" s="26" t="s">
        <v>3907</v>
      </c>
      <c r="C2790" s="68">
        <f>'BASIC DATA'!D309</f>
        <v>700</v>
      </c>
      <c r="D2790" s="26" t="s">
        <v>2290</v>
      </c>
      <c r="E2790" s="78" t="s">
        <v>1698</v>
      </c>
      <c r="F2790" s="117">
        <f>C2790</f>
        <v>700</v>
      </c>
    </row>
    <row r="2791" spans="1:7" hidden="1">
      <c r="B2791" s="26" t="s">
        <v>3908</v>
      </c>
      <c r="E2791" s="78" t="s">
        <v>1697</v>
      </c>
      <c r="F2791" s="576">
        <v>200</v>
      </c>
      <c r="G2791" s="26" t="s">
        <v>4665</v>
      </c>
    </row>
    <row r="2792" spans="1:7" hidden="1">
      <c r="B2792" s="26" t="s">
        <v>3909</v>
      </c>
      <c r="C2792" s="26" t="s">
        <v>7593</v>
      </c>
      <c r="E2792" s="78" t="s">
        <v>1698</v>
      </c>
      <c r="F2792" s="117">
        <f>F2790/F2791</f>
        <v>3.5</v>
      </c>
    </row>
    <row r="2793" spans="1:7">
      <c r="B2793" s="26"/>
      <c r="F2793" s="27"/>
    </row>
    <row r="2794" spans="1:7">
      <c r="A2794" s="78" t="s">
        <v>3984</v>
      </c>
      <c r="C2794" s="203" t="s">
        <v>2367</v>
      </c>
      <c r="D2794" s="171"/>
      <c r="E2794" s="171" t="s">
        <v>297</v>
      </c>
      <c r="F2794" s="79">
        <v>100</v>
      </c>
      <c r="G2794" s="170" t="s">
        <v>3479</v>
      </c>
    </row>
    <row r="2795" spans="1:7">
      <c r="B2795" s="79" t="s">
        <v>2368</v>
      </c>
      <c r="G2795" s="27"/>
    </row>
    <row r="2796" spans="1:7">
      <c r="B2796" s="95" t="s">
        <v>2369</v>
      </c>
      <c r="C2796" s="157" t="s">
        <v>6374</v>
      </c>
      <c r="D2796" s="95" t="s">
        <v>2370</v>
      </c>
      <c r="E2796" s="95" t="s">
        <v>1166</v>
      </c>
      <c r="F2796" s="95" t="s">
        <v>2371</v>
      </c>
      <c r="G2796" s="95" t="s">
        <v>2372</v>
      </c>
    </row>
    <row r="2797" spans="1:7">
      <c r="B2797" s="114"/>
      <c r="C2797" s="154"/>
      <c r="D2797" s="114"/>
      <c r="E2797" s="114"/>
      <c r="F2797" s="114" t="s">
        <v>3485</v>
      </c>
      <c r="G2797" s="114" t="s">
        <v>3485</v>
      </c>
    </row>
    <row r="2798" spans="1:7" s="61" customFormat="1">
      <c r="A2798" s="62"/>
      <c r="B2798" s="240">
        <v>1</v>
      </c>
      <c r="C2798" s="326" t="s">
        <v>6827</v>
      </c>
      <c r="D2798" s="240" t="s">
        <v>3477</v>
      </c>
      <c r="E2798" s="255">
        <f>F2772</f>
        <v>30</v>
      </c>
      <c r="F2798" s="266">
        <f>'BASIC DATA'!D57</f>
        <v>165</v>
      </c>
      <c r="G2798" s="255">
        <f>F2798*E2798</f>
        <v>4950</v>
      </c>
    </row>
    <row r="2799" spans="1:7">
      <c r="B2799" s="105">
        <v>2</v>
      </c>
      <c r="C2799" s="135" t="s">
        <v>1404</v>
      </c>
      <c r="D2799" s="105" t="s">
        <v>2374</v>
      </c>
      <c r="E2799" s="190">
        <v>8</v>
      </c>
      <c r="F2799" s="214">
        <f>F2789</f>
        <v>18.75</v>
      </c>
      <c r="G2799" s="190">
        <f>F2799*E2799</f>
        <v>150</v>
      </c>
    </row>
    <row r="2800" spans="1:7" ht="18.75" thickBot="1">
      <c r="B2800" s="105">
        <v>3</v>
      </c>
      <c r="C2800" s="135" t="s">
        <v>1405</v>
      </c>
      <c r="D2800" s="105" t="s">
        <v>2374</v>
      </c>
      <c r="E2800" s="190">
        <v>8</v>
      </c>
      <c r="F2800" s="214">
        <f>F2792</f>
        <v>3.5</v>
      </c>
      <c r="G2800" s="190">
        <f>F2800*E2800</f>
        <v>28</v>
      </c>
    </row>
    <row r="2801" spans="2:7" ht="18.75" thickBot="1">
      <c r="B2801" s="741">
        <v>4</v>
      </c>
      <c r="C2801" s="742" t="s">
        <v>1406</v>
      </c>
      <c r="D2801" s="709" t="s">
        <v>2173</v>
      </c>
      <c r="E2801" s="743">
        <v>5</v>
      </c>
      <c r="F2801" s="465">
        <f>'BASIC DATA'!D359</f>
        <v>30</v>
      </c>
      <c r="G2801" s="207">
        <f>F2801*E2801</f>
        <v>150</v>
      </c>
    </row>
    <row r="2802" spans="2:7" ht="18.75" thickBot="1">
      <c r="B2802" s="744"/>
      <c r="C2802" s="745"/>
      <c r="D2802" s="746" t="s">
        <v>1518</v>
      </c>
      <c r="E2802" s="712"/>
      <c r="F2802" s="747"/>
      <c r="G2802" s="369">
        <f>SUM(G2798:G2801)</f>
        <v>5278</v>
      </c>
    </row>
    <row r="2803" spans="2:7">
      <c r="B2803" s="395"/>
      <c r="C2803" s="76" t="s">
        <v>5840</v>
      </c>
      <c r="D2803" s="31"/>
      <c r="E2803" s="33"/>
      <c r="F2803" s="207">
        <v>0.1</v>
      </c>
      <c r="G2803" s="179">
        <f>F2803*G2802</f>
        <v>527.80000000000007</v>
      </c>
    </row>
    <row r="2804" spans="2:7">
      <c r="B2804" s="92"/>
      <c r="C2804" s="159"/>
      <c r="D2804" s="159" t="s">
        <v>2376</v>
      </c>
      <c r="E2804" s="159"/>
      <c r="F2804" s="238"/>
      <c r="G2804" s="318">
        <f>G2803+G2802</f>
        <v>5805.8</v>
      </c>
    </row>
    <row r="2805" spans="2:7">
      <c r="B2805" s="79" t="s">
        <v>2377</v>
      </c>
    </row>
    <row r="2806" spans="2:7">
      <c r="B2806" s="95" t="s">
        <v>2369</v>
      </c>
      <c r="C2806" s="157" t="s">
        <v>2378</v>
      </c>
      <c r="D2806" s="95" t="s">
        <v>2370</v>
      </c>
      <c r="E2806" s="95" t="s">
        <v>1166</v>
      </c>
      <c r="F2806" s="95" t="s">
        <v>2371</v>
      </c>
      <c r="G2806" s="95" t="s">
        <v>2372</v>
      </c>
    </row>
    <row r="2807" spans="2:7">
      <c r="B2807" s="114"/>
      <c r="C2807" s="154"/>
      <c r="D2807" s="114"/>
      <c r="E2807" s="114"/>
      <c r="F2807" s="114" t="s">
        <v>3485</v>
      </c>
      <c r="G2807" s="114" t="s">
        <v>3485</v>
      </c>
    </row>
    <row r="2808" spans="2:7">
      <c r="B2808" s="95">
        <v>1</v>
      </c>
      <c r="C2808" s="135" t="s">
        <v>3171</v>
      </c>
      <c r="D2808" s="95" t="s">
        <v>2374</v>
      </c>
      <c r="E2808" s="190">
        <f>F2776</f>
        <v>8</v>
      </c>
      <c r="F2808" s="190">
        <f>'HIRE CHARGES'!D494</f>
        <v>241.3</v>
      </c>
      <c r="G2808" s="190">
        <f>F2808*E2808</f>
        <v>1930.4</v>
      </c>
    </row>
    <row r="2809" spans="2:7">
      <c r="B2809" s="280"/>
      <c r="C2809" s="135" t="s">
        <v>2379</v>
      </c>
      <c r="D2809" s="105" t="s">
        <v>2374</v>
      </c>
      <c r="E2809" s="190">
        <f>E2808</f>
        <v>8</v>
      </c>
      <c r="F2809" s="190">
        <f>'HIRE CHARGES'!E494</f>
        <v>714</v>
      </c>
      <c r="G2809" s="190">
        <f>F2809*E2809</f>
        <v>5712</v>
      </c>
    </row>
    <row r="2810" spans="2:7">
      <c r="B2810" s="105">
        <v>2</v>
      </c>
      <c r="C2810" s="135" t="s">
        <v>1407</v>
      </c>
      <c r="D2810" s="105" t="s">
        <v>2374</v>
      </c>
      <c r="E2810" s="190">
        <f>F2777</f>
        <v>8</v>
      </c>
      <c r="F2810" s="190">
        <f>'HIRE CHARGES'!D528</f>
        <v>110.1</v>
      </c>
      <c r="G2810" s="190">
        <f>F2810*E2810</f>
        <v>880.8</v>
      </c>
    </row>
    <row r="2811" spans="2:7">
      <c r="B2811" s="280"/>
      <c r="C2811" s="135" t="s">
        <v>2379</v>
      </c>
      <c r="D2811" s="105" t="s">
        <v>2374</v>
      </c>
      <c r="E2811" s="190">
        <f>E2810</f>
        <v>8</v>
      </c>
      <c r="F2811" s="190">
        <f>'HIRE CHARGES'!E528</f>
        <v>0</v>
      </c>
      <c r="G2811" s="190">
        <f>F2811*E2811</f>
        <v>0</v>
      </c>
    </row>
    <row r="2812" spans="2:7">
      <c r="B2812" s="176"/>
      <c r="C2812" s="174"/>
      <c r="D2812" s="174" t="s">
        <v>2380</v>
      </c>
      <c r="E2812" s="174"/>
      <c r="F2812" s="192"/>
      <c r="G2812" s="434">
        <f>SUM(G2808:G2811)</f>
        <v>8523.1999999999989</v>
      </c>
    </row>
    <row r="2813" spans="2:7">
      <c r="B2813" s="79" t="s">
        <v>2381</v>
      </c>
    </row>
    <row r="2814" spans="2:7">
      <c r="B2814" s="95" t="s">
        <v>2369</v>
      </c>
      <c r="C2814" s="157" t="s">
        <v>2378</v>
      </c>
      <c r="D2814" s="95" t="s">
        <v>2370</v>
      </c>
      <c r="E2814" s="95" t="s">
        <v>1166</v>
      </c>
      <c r="F2814" s="95" t="s">
        <v>2371</v>
      </c>
      <c r="G2814" s="95" t="s">
        <v>2372</v>
      </c>
    </row>
    <row r="2815" spans="2:7">
      <c r="B2815" s="114"/>
      <c r="C2815" s="154"/>
      <c r="D2815" s="105"/>
      <c r="E2815" s="114"/>
      <c r="F2815" s="114" t="s">
        <v>3485</v>
      </c>
      <c r="G2815" s="114" t="s">
        <v>3485</v>
      </c>
    </row>
    <row r="2816" spans="2:7" ht="18.75" thickBot="1">
      <c r="B2816" s="105">
        <v>1</v>
      </c>
      <c r="C2816" s="76" t="s">
        <v>4606</v>
      </c>
      <c r="D2816" s="95" t="s">
        <v>2374</v>
      </c>
      <c r="E2816" s="207">
        <f>E2808</f>
        <v>8</v>
      </c>
      <c r="F2816" s="190">
        <f>'HIRE CHARGES'!F494</f>
        <v>210.9</v>
      </c>
      <c r="G2816" s="190">
        <f>F2816*E2816</f>
        <v>1687.2</v>
      </c>
    </row>
    <row r="2817" spans="2:8">
      <c r="B2817" s="453">
        <v>2</v>
      </c>
      <c r="C2817" s="748" t="s">
        <v>7090</v>
      </c>
      <c r="D2817" s="706" t="s">
        <v>2374</v>
      </c>
      <c r="E2817" s="749">
        <f>E2810</f>
        <v>8</v>
      </c>
      <c r="F2817" s="750">
        <f>'HIRE CHARGES'!F528</f>
        <v>219.7</v>
      </c>
      <c r="G2817" s="207">
        <f>F2817*E2817</f>
        <v>1757.6</v>
      </c>
    </row>
    <row r="2818" spans="2:8" ht="18.75" thickBot="1">
      <c r="B2818" s="459">
        <v>3</v>
      </c>
      <c r="C2818" s="751" t="s">
        <v>2697</v>
      </c>
      <c r="D2818" s="752" t="s">
        <v>1172</v>
      </c>
      <c r="E2818" s="753">
        <v>15</v>
      </c>
      <c r="F2818" s="754">
        <f>'BASIC DATA'!C552</f>
        <v>350</v>
      </c>
      <c r="G2818" s="207">
        <f>F2818*E2818</f>
        <v>5250</v>
      </c>
    </row>
    <row r="2819" spans="2:8">
      <c r="B2819" s="114"/>
      <c r="C2819" s="174"/>
      <c r="D2819" s="174" t="s">
        <v>1174</v>
      </c>
      <c r="E2819" s="174"/>
      <c r="F2819" s="192"/>
      <c r="G2819" s="318">
        <f>SUM(G2816:G2818)</f>
        <v>8694.7999999999993</v>
      </c>
    </row>
    <row r="2820" spans="2:8">
      <c r="B2820" s="60" t="s">
        <v>5948</v>
      </c>
      <c r="C2820" s="31"/>
      <c r="D2820" s="31"/>
      <c r="E2820" s="85">
        <f>ROUND(G2819/F2794,1)</f>
        <v>86.9</v>
      </c>
      <c r="G2820" s="31"/>
    </row>
    <row r="2821" spans="2:8">
      <c r="B2821" s="60" t="s">
        <v>3163</v>
      </c>
      <c r="C2821" s="31"/>
      <c r="D2821" s="31">
        <f>'BASIC DATA'!$C$577</f>
        <v>0.13614999999999999</v>
      </c>
      <c r="E2821" s="85">
        <f>ROUND(E2820*D2821,1)</f>
        <v>11.8</v>
      </c>
      <c r="G2821" s="31"/>
    </row>
    <row r="2822" spans="2:8">
      <c r="B2822" s="60" t="s">
        <v>5949</v>
      </c>
      <c r="C2822" s="31"/>
      <c r="D2822" s="31"/>
      <c r="E2822" s="739">
        <f>E2821+E2820</f>
        <v>98.7</v>
      </c>
      <c r="G2822" s="31"/>
    </row>
    <row r="2823" spans="2:8">
      <c r="B2823" s="31"/>
      <c r="C2823" s="31"/>
      <c r="D2823" s="31"/>
      <c r="E2823" s="198"/>
      <c r="G2823" s="200"/>
      <c r="H2823" s="75"/>
    </row>
    <row r="2824" spans="2:8">
      <c r="B2824" s="170" t="s">
        <v>1175</v>
      </c>
    </row>
    <row r="2825" spans="2:8">
      <c r="B2825" s="26" t="s">
        <v>1176</v>
      </c>
      <c r="F2825" s="171" t="s">
        <v>1698</v>
      </c>
      <c r="G2825" s="68">
        <f>G2804</f>
        <v>5805.8</v>
      </c>
    </row>
    <row r="2826" spans="2:8">
      <c r="B2826" s="26" t="s">
        <v>1186</v>
      </c>
      <c r="F2826" s="171" t="s">
        <v>1698</v>
      </c>
      <c r="G2826" s="68">
        <f>G2812</f>
        <v>8523.1999999999989</v>
      </c>
    </row>
    <row r="2827" spans="2:8">
      <c r="B2827" s="26" t="s">
        <v>2660</v>
      </c>
      <c r="F2827" s="171" t="s">
        <v>1698</v>
      </c>
      <c r="G2827" s="75">
        <f>G2819</f>
        <v>8694.7999999999993</v>
      </c>
    </row>
    <row r="2828" spans="2:8">
      <c r="B2828" s="26"/>
      <c r="E2828" s="171" t="s">
        <v>5551</v>
      </c>
      <c r="F2828" s="171" t="s">
        <v>1698</v>
      </c>
      <c r="G2828" s="205">
        <f>SUM(G2825:G2827)</f>
        <v>23023.8</v>
      </c>
    </row>
    <row r="2829" spans="2:8">
      <c r="B2829" s="26" t="s">
        <v>5087</v>
      </c>
      <c r="E2829" s="693">
        <f>'BASIC DATA'!C593</f>
        <v>0</v>
      </c>
      <c r="F2829" s="171" t="s">
        <v>1698</v>
      </c>
      <c r="G2829" s="68">
        <f>(G2827+G2826)*0.75*E2829</f>
        <v>0</v>
      </c>
    </row>
    <row r="2830" spans="2:8">
      <c r="B2830" s="26" t="s">
        <v>5084</v>
      </c>
      <c r="E2830" s="171" t="s">
        <v>1518</v>
      </c>
      <c r="F2830" s="171" t="s">
        <v>1698</v>
      </c>
      <c r="G2830" s="205">
        <f>G2829+G2828</f>
        <v>23023.8</v>
      </c>
    </row>
    <row r="2831" spans="2:8">
      <c r="B2831" s="26" t="s">
        <v>5086</v>
      </c>
      <c r="E2831" s="201">
        <f>'BASIC DATA'!C594</f>
        <v>0.03</v>
      </c>
      <c r="F2831" s="171" t="s">
        <v>1698</v>
      </c>
      <c r="G2831" s="75">
        <f>G2830*E2831</f>
        <v>690.71399999999994</v>
      </c>
    </row>
    <row r="2832" spans="2:8">
      <c r="B2832" s="26"/>
      <c r="E2832" s="26" t="s">
        <v>2392</v>
      </c>
      <c r="F2832" s="171" t="s">
        <v>1698</v>
      </c>
      <c r="G2832" s="75">
        <f>G2831+G2830</f>
        <v>23714.513999999999</v>
      </c>
    </row>
    <row r="2833" spans="1:9">
      <c r="B2833" s="1206" t="s">
        <v>4717</v>
      </c>
      <c r="C2833" s="1206"/>
      <c r="D2833" s="201">
        <f>'BASIC DATA'!$C$577</f>
        <v>0.13614999999999999</v>
      </c>
      <c r="F2833" s="171" t="s">
        <v>1698</v>
      </c>
      <c r="G2833" s="75">
        <f>G2832*D2833</f>
        <v>3228.7310810999998</v>
      </c>
      <c r="I2833" s="68"/>
    </row>
    <row r="2834" spans="1:9">
      <c r="B2834" s="26" t="s">
        <v>5078</v>
      </c>
      <c r="D2834" s="68">
        <f>F2794</f>
        <v>100</v>
      </c>
      <c r="E2834" s="26" t="s">
        <v>3479</v>
      </c>
      <c r="F2834" s="171" t="s">
        <v>1698</v>
      </c>
      <c r="G2834" s="205">
        <f>G2833+G2832</f>
        <v>26943.245081099998</v>
      </c>
    </row>
    <row r="2835" spans="1:9">
      <c r="D2835" s="203" t="s">
        <v>3884</v>
      </c>
      <c r="E2835" s="170" t="s">
        <v>3479</v>
      </c>
      <c r="F2835" s="171" t="s">
        <v>1698</v>
      </c>
      <c r="G2835" s="211">
        <f>ROUND(G2834/D2834,1)</f>
        <v>269.39999999999998</v>
      </c>
    </row>
    <row r="2836" spans="1:9">
      <c r="B2836" s="26"/>
    </row>
    <row r="2837" spans="1:9">
      <c r="B2837" s="26"/>
    </row>
    <row r="2838" spans="1:9">
      <c r="A2838" s="26" t="s">
        <v>7179</v>
      </c>
      <c r="B2838" s="26" t="s">
        <v>9066</v>
      </c>
    </row>
    <row r="2839" spans="1:9">
      <c r="A2839" s="26"/>
      <c r="B2839" s="26" t="s">
        <v>5993</v>
      </c>
    </row>
    <row r="2840" spans="1:9">
      <c r="B2840" s="26" t="s">
        <v>1674</v>
      </c>
    </row>
    <row r="2841" spans="1:9">
      <c r="B2841" s="26" t="s">
        <v>1675</v>
      </c>
    </row>
    <row r="2842" spans="1:9">
      <c r="B2842" s="26" t="s">
        <v>9067</v>
      </c>
    </row>
    <row r="2843" spans="1:9">
      <c r="A2843" s="26"/>
      <c r="B2843" s="79" t="s">
        <v>5938</v>
      </c>
    </row>
    <row r="2844" spans="1:9">
      <c r="B2844" s="26"/>
    </row>
    <row r="2845" spans="1:9" hidden="1">
      <c r="A2845" s="78" t="s">
        <v>3984</v>
      </c>
      <c r="B2845" s="26" t="s">
        <v>4004</v>
      </c>
    </row>
    <row r="2846" spans="1:9" hidden="1">
      <c r="B2846" s="26" t="s">
        <v>5780</v>
      </c>
    </row>
    <row r="2847" spans="1:9" hidden="1">
      <c r="B2847" s="26" t="s">
        <v>8018</v>
      </c>
      <c r="E2847" s="78" t="s">
        <v>1697</v>
      </c>
      <c r="F2847" s="26">
        <v>9</v>
      </c>
      <c r="G2847" s="26" t="s">
        <v>4934</v>
      </c>
    </row>
    <row r="2848" spans="1:9" hidden="1">
      <c r="B2848" s="26" t="s">
        <v>5939</v>
      </c>
      <c r="E2848" s="78" t="s">
        <v>1697</v>
      </c>
      <c r="F2848" s="68">
        <v>12</v>
      </c>
      <c r="G2848" s="26" t="s">
        <v>6702</v>
      </c>
    </row>
    <row r="2849" spans="1:7" hidden="1">
      <c r="B2849" s="26"/>
      <c r="E2849" s="78"/>
      <c r="F2849" s="68"/>
    </row>
    <row r="2850" spans="1:7" hidden="1">
      <c r="B2850" s="26" t="s">
        <v>8019</v>
      </c>
      <c r="E2850" s="78" t="s">
        <v>1697</v>
      </c>
      <c r="F2850" s="26">
        <v>6</v>
      </c>
      <c r="G2850" s="26" t="s">
        <v>4934</v>
      </c>
    </row>
    <row r="2851" spans="1:7" hidden="1">
      <c r="B2851" s="26" t="s">
        <v>6523</v>
      </c>
      <c r="E2851" s="78" t="s">
        <v>1697</v>
      </c>
      <c r="F2851" s="68">
        <v>34</v>
      </c>
      <c r="G2851" s="26" t="s">
        <v>6702</v>
      </c>
    </row>
    <row r="2852" spans="1:7" hidden="1">
      <c r="B2852" s="26" t="s">
        <v>6977</v>
      </c>
      <c r="C2852" s="26" t="s">
        <v>6978</v>
      </c>
      <c r="E2852" s="78"/>
    </row>
    <row r="2853" spans="1:7" hidden="1">
      <c r="B2853" s="26" t="s">
        <v>2745</v>
      </c>
      <c r="E2853" s="78" t="s">
        <v>1697</v>
      </c>
      <c r="F2853" s="26">
        <v>20</v>
      </c>
      <c r="G2853" s="26" t="s">
        <v>4041</v>
      </c>
    </row>
    <row r="2854" spans="1:7" hidden="1">
      <c r="B2854" s="26" t="s">
        <v>6979</v>
      </c>
      <c r="C2854" s="26" t="s">
        <v>6980</v>
      </c>
      <c r="E2854" s="78" t="s">
        <v>1697</v>
      </c>
      <c r="F2854" s="26">
        <v>7</v>
      </c>
      <c r="G2854" s="26" t="s">
        <v>4041</v>
      </c>
    </row>
    <row r="2855" spans="1:7">
      <c r="B2855" s="26"/>
    </row>
    <row r="2856" spans="1:7">
      <c r="A2856" s="78" t="s">
        <v>3984</v>
      </c>
      <c r="C2856" s="203" t="s">
        <v>2367</v>
      </c>
      <c r="D2856" s="171"/>
      <c r="E2856" s="171" t="s">
        <v>297</v>
      </c>
      <c r="F2856" s="162">
        <v>100</v>
      </c>
      <c r="G2856" s="170" t="s">
        <v>3479</v>
      </c>
    </row>
    <row r="2857" spans="1:7">
      <c r="B2857" s="79" t="s">
        <v>2368</v>
      </c>
    </row>
    <row r="2858" spans="1:7">
      <c r="B2858" s="95" t="s">
        <v>2369</v>
      </c>
      <c r="C2858" s="157" t="s">
        <v>6374</v>
      </c>
      <c r="D2858" s="95" t="s">
        <v>2370</v>
      </c>
      <c r="E2858" s="95" t="s">
        <v>1166</v>
      </c>
      <c r="F2858" s="95" t="s">
        <v>2371</v>
      </c>
      <c r="G2858" s="95" t="s">
        <v>2372</v>
      </c>
    </row>
    <row r="2859" spans="1:7" ht="18.75" thickBot="1">
      <c r="B2859" s="114"/>
      <c r="C2859" s="147"/>
      <c r="D2859" s="114"/>
      <c r="E2859" s="114"/>
      <c r="F2859" s="114" t="s">
        <v>3485</v>
      </c>
      <c r="G2859" s="114" t="s">
        <v>3485</v>
      </c>
    </row>
    <row r="2860" spans="1:7">
      <c r="B2860" s="93">
        <v>1</v>
      </c>
      <c r="C2860" s="755" t="s">
        <v>6981</v>
      </c>
      <c r="D2860" s="276" t="s">
        <v>3004</v>
      </c>
      <c r="E2860" s="134">
        <f>F2848</f>
        <v>12</v>
      </c>
      <c r="F2860" s="134">
        <f>'BASIC DATA'!D114</f>
        <v>620</v>
      </c>
      <c r="G2860" s="105">
        <f>F2860*E2860</f>
        <v>7440</v>
      </c>
    </row>
    <row r="2861" spans="1:7">
      <c r="B2861" s="93">
        <v>2</v>
      </c>
      <c r="C2861" s="756" t="s">
        <v>6982</v>
      </c>
      <c r="D2861" s="276" t="s">
        <v>3482</v>
      </c>
      <c r="E2861" s="134">
        <f>F2851</f>
        <v>34</v>
      </c>
      <c r="F2861" s="190">
        <f>'BASIC DATA'!D115</f>
        <v>260</v>
      </c>
      <c r="G2861" s="105">
        <f>F2861*E2861</f>
        <v>8840</v>
      </c>
    </row>
    <row r="2862" spans="1:7" ht="18.75" thickBot="1">
      <c r="B2862" s="176">
        <v>3</v>
      </c>
      <c r="C2862" s="757" t="s">
        <v>6983</v>
      </c>
      <c r="D2862" s="758"/>
      <c r="E2862" s="134">
        <f>0.05*(E2861+E2860)</f>
        <v>2.3000000000000003</v>
      </c>
      <c r="F2862" s="190">
        <f>'BASIC DATA'!D359</f>
        <v>30</v>
      </c>
      <c r="G2862" s="105">
        <f>F2862*E2862</f>
        <v>69.000000000000014</v>
      </c>
    </row>
    <row r="2863" spans="1:7">
      <c r="B2863" s="92"/>
      <c r="C2863" s="174"/>
      <c r="D2863" s="159" t="s">
        <v>2376</v>
      </c>
      <c r="E2863" s="159"/>
      <c r="F2863" s="236" t="s">
        <v>1698</v>
      </c>
      <c r="G2863" s="318">
        <f>SUM(G2860:G2862)</f>
        <v>16349</v>
      </c>
    </row>
    <row r="2864" spans="1:7">
      <c r="B2864" s="79" t="s">
        <v>2377</v>
      </c>
    </row>
    <row r="2865" spans="2:8">
      <c r="B2865" s="95" t="s">
        <v>2369</v>
      </c>
      <c r="C2865" s="157" t="s">
        <v>2378</v>
      </c>
      <c r="D2865" s="95" t="s">
        <v>2370</v>
      </c>
      <c r="E2865" s="95" t="s">
        <v>1166</v>
      </c>
      <c r="F2865" s="95" t="s">
        <v>2371</v>
      </c>
      <c r="G2865" s="95" t="s">
        <v>2372</v>
      </c>
    </row>
    <row r="2866" spans="2:8" ht="18.75" thickBot="1">
      <c r="B2866" s="114"/>
      <c r="C2866" s="154"/>
      <c r="D2866" s="105"/>
      <c r="E2866" s="105"/>
      <c r="F2866" s="105" t="s">
        <v>3485</v>
      </c>
      <c r="G2866" s="105" t="s">
        <v>3485</v>
      </c>
    </row>
    <row r="2867" spans="2:8">
      <c r="B2867" s="95">
        <v>1</v>
      </c>
      <c r="C2867" s="33" t="s">
        <v>6976</v>
      </c>
      <c r="D2867" s="679"/>
      <c r="E2867" s="759">
        <v>0</v>
      </c>
      <c r="F2867" s="760">
        <v>0</v>
      </c>
      <c r="G2867" s="750">
        <f>E2867*F2867</f>
        <v>0</v>
      </c>
    </row>
    <row r="2868" spans="2:8" ht="18.75" thickBot="1">
      <c r="B2868" s="114"/>
      <c r="D2868" s="761"/>
      <c r="E2868" s="762"/>
      <c r="F2868" s="699"/>
      <c r="G2868" s="763"/>
    </row>
    <row r="2869" spans="2:8">
      <c r="B2869" s="92"/>
      <c r="C2869" s="159"/>
      <c r="D2869" s="174" t="s">
        <v>4498</v>
      </c>
      <c r="E2869" s="174"/>
      <c r="F2869" s="275" t="s">
        <v>1698</v>
      </c>
      <c r="G2869" s="434">
        <f>SUM(G2867:G2868)</f>
        <v>0</v>
      </c>
    </row>
    <row r="2870" spans="2:8">
      <c r="B2870" s="79" t="s">
        <v>2381</v>
      </c>
    </row>
    <row r="2871" spans="2:8">
      <c r="B2871" s="95" t="s">
        <v>2369</v>
      </c>
      <c r="C2871" s="157" t="s">
        <v>2378</v>
      </c>
      <c r="D2871" s="95" t="s">
        <v>2370</v>
      </c>
      <c r="E2871" s="95" t="s">
        <v>1166</v>
      </c>
      <c r="F2871" s="95" t="s">
        <v>2371</v>
      </c>
      <c r="G2871" s="95" t="s">
        <v>2372</v>
      </c>
    </row>
    <row r="2872" spans="2:8">
      <c r="B2872" s="114"/>
      <c r="C2872" s="154"/>
      <c r="D2872" s="105"/>
      <c r="E2872" s="114"/>
      <c r="F2872" s="114" t="s">
        <v>3485</v>
      </c>
      <c r="G2872" s="114" t="s">
        <v>3485</v>
      </c>
    </row>
    <row r="2873" spans="2:8">
      <c r="B2873" s="105">
        <v>1</v>
      </c>
      <c r="C2873" s="131" t="s">
        <v>2745</v>
      </c>
      <c r="D2873" s="95" t="s">
        <v>1172</v>
      </c>
      <c r="E2873" s="178">
        <f>F2853</f>
        <v>20</v>
      </c>
      <c r="F2873" s="179">
        <f>'BASIC DATA'!C543</f>
        <v>400</v>
      </c>
      <c r="G2873" s="179">
        <f>F2873*E2873</f>
        <v>8000</v>
      </c>
    </row>
    <row r="2874" spans="2:8">
      <c r="B2874" s="105">
        <v>2</v>
      </c>
      <c r="C2874" s="139" t="s">
        <v>2697</v>
      </c>
      <c r="D2874" s="114" t="s">
        <v>1172</v>
      </c>
      <c r="E2874" s="181">
        <f>F2854</f>
        <v>7</v>
      </c>
      <c r="F2874" s="182">
        <f>'BASIC DATA'!C552</f>
        <v>350</v>
      </c>
      <c r="G2874" s="182">
        <f>E2874*F2874</f>
        <v>2450</v>
      </c>
    </row>
    <row r="2875" spans="2:8">
      <c r="B2875" s="114"/>
      <c r="C2875" s="154"/>
      <c r="D2875" s="174" t="s">
        <v>1174</v>
      </c>
      <c r="E2875" s="174"/>
      <c r="F2875" s="275" t="s">
        <v>1698</v>
      </c>
      <c r="G2875" s="434">
        <f>SUM(G2873:G2874)</f>
        <v>10450</v>
      </c>
    </row>
    <row r="2876" spans="2:8">
      <c r="B2876" s="60" t="s">
        <v>5948</v>
      </c>
      <c r="C2876" s="31"/>
      <c r="D2876" s="31"/>
      <c r="E2876" s="85">
        <f>ROUND(G2875/F2856,1)</f>
        <v>104.5</v>
      </c>
      <c r="F2876" s="85"/>
    </row>
    <row r="2877" spans="2:8">
      <c r="B2877" s="60" t="s">
        <v>3163</v>
      </c>
      <c r="C2877" s="31"/>
      <c r="D2877" s="31">
        <f>'BASIC DATA'!$C$577</f>
        <v>0.13614999999999999</v>
      </c>
      <c r="E2877" s="85">
        <f>ROUND(E2876*D2877,1)</f>
        <v>14.2</v>
      </c>
      <c r="F2877" s="85"/>
    </row>
    <row r="2878" spans="2:8">
      <c r="B2878" s="60" t="s">
        <v>5949</v>
      </c>
      <c r="C2878" s="31"/>
      <c r="D2878" s="31"/>
      <c r="E2878" s="199">
        <f>E2877+E2876</f>
        <v>118.7</v>
      </c>
      <c r="F2878" s="85"/>
    </row>
    <row r="2879" spans="2:8">
      <c r="B2879" s="31"/>
      <c r="C2879" s="31"/>
      <c r="D2879" s="31"/>
      <c r="E2879" s="31"/>
      <c r="F2879" s="200"/>
      <c r="H2879" s="75"/>
    </row>
    <row r="2880" spans="2:8">
      <c r="B2880" s="170" t="s">
        <v>1175</v>
      </c>
    </row>
    <row r="2881" spans="1:9">
      <c r="B2881" s="26" t="s">
        <v>4</v>
      </c>
      <c r="F2881" s="171" t="s">
        <v>1698</v>
      </c>
      <c r="G2881" s="68">
        <f>G2863</f>
        <v>16349</v>
      </c>
    </row>
    <row r="2882" spans="1:9">
      <c r="B2882" s="26" t="s">
        <v>1186</v>
      </c>
      <c r="F2882" s="171" t="s">
        <v>1698</v>
      </c>
      <c r="G2882" s="68">
        <f>G2869</f>
        <v>0</v>
      </c>
    </row>
    <row r="2883" spans="1:9">
      <c r="B2883" s="26" t="s">
        <v>2660</v>
      </c>
      <c r="F2883" s="171" t="s">
        <v>1698</v>
      </c>
      <c r="G2883" s="75">
        <f>G2875</f>
        <v>10450</v>
      </c>
    </row>
    <row r="2884" spans="1:9">
      <c r="B2884" s="26"/>
      <c r="E2884" s="171" t="s">
        <v>5551</v>
      </c>
      <c r="F2884" s="171" t="s">
        <v>1698</v>
      </c>
      <c r="G2884" s="205">
        <f>SUM(G2881:G2883)</f>
        <v>26799</v>
      </c>
    </row>
    <row r="2885" spans="1:9">
      <c r="B2885" s="26" t="s">
        <v>5087</v>
      </c>
      <c r="E2885" s="26">
        <f>'BASIC DATA'!C593</f>
        <v>0</v>
      </c>
      <c r="F2885" s="171" t="s">
        <v>1698</v>
      </c>
      <c r="G2885" s="68">
        <f>(G2883+G2882)*0.75*E2885</f>
        <v>0</v>
      </c>
    </row>
    <row r="2886" spans="1:9">
      <c r="B2886" s="26" t="s">
        <v>5084</v>
      </c>
      <c r="E2886" s="171" t="s">
        <v>1518</v>
      </c>
      <c r="F2886" s="171" t="s">
        <v>1698</v>
      </c>
      <c r="G2886" s="205">
        <f>G2885+G2884</f>
        <v>26799</v>
      </c>
    </row>
    <row r="2887" spans="1:9">
      <c r="B2887" s="26" t="s">
        <v>5086</v>
      </c>
      <c r="E2887" s="26">
        <f>'BASIC DATA'!C594</f>
        <v>0.03</v>
      </c>
      <c r="F2887" s="171" t="s">
        <v>1698</v>
      </c>
      <c r="G2887" s="75">
        <f>G2886*E2887</f>
        <v>803.96999999999991</v>
      </c>
    </row>
    <row r="2888" spans="1:9">
      <c r="B2888" s="26"/>
      <c r="D2888" s="26" t="s">
        <v>2392</v>
      </c>
      <c r="F2888" s="171" t="s">
        <v>1698</v>
      </c>
      <c r="G2888" s="75">
        <f>G2887+G2886</f>
        <v>27602.97</v>
      </c>
    </row>
    <row r="2889" spans="1:9">
      <c r="B2889" s="1207" t="s">
        <v>4717</v>
      </c>
      <c r="C2889" s="1207"/>
      <c r="D2889" s="201">
        <f>'BASIC DATA'!$C$577</f>
        <v>0.13614999999999999</v>
      </c>
      <c r="E2889" s="171" t="s">
        <v>1698</v>
      </c>
      <c r="F2889" s="75">
        <f>G2888*D2889</f>
        <v>3758.1443654999998</v>
      </c>
      <c r="G2889" s="75">
        <f>G2888*D2889</f>
        <v>3758.1443654999998</v>
      </c>
      <c r="I2889" s="68"/>
    </row>
    <row r="2890" spans="1:9">
      <c r="B2890" s="26" t="s">
        <v>5078</v>
      </c>
      <c r="C2890" s="68">
        <f>F2856</f>
        <v>100</v>
      </c>
      <c r="D2890" s="26" t="s">
        <v>3479</v>
      </c>
      <c r="F2890" s="171" t="s">
        <v>1698</v>
      </c>
      <c r="G2890" s="205">
        <f>G2889+G2888</f>
        <v>31361.114365500001</v>
      </c>
    </row>
    <row r="2891" spans="1:9">
      <c r="C2891" s="203" t="s">
        <v>3884</v>
      </c>
      <c r="D2891" s="170" t="s">
        <v>3479</v>
      </c>
      <c r="F2891" s="171" t="s">
        <v>1698</v>
      </c>
      <c r="G2891" s="211">
        <f>ROUND(G2890/C2890,1)</f>
        <v>313.60000000000002</v>
      </c>
    </row>
    <row r="2892" spans="1:9">
      <c r="B2892" s="26"/>
    </row>
    <row r="2893" spans="1:9">
      <c r="A2893" s="26" t="s">
        <v>7180</v>
      </c>
    </row>
    <row r="2894" spans="1:9">
      <c r="A2894" s="26"/>
      <c r="B2894" s="26" t="s">
        <v>9068</v>
      </c>
    </row>
    <row r="2895" spans="1:9">
      <c r="B2895" s="26" t="s">
        <v>6040</v>
      </c>
    </row>
    <row r="2896" spans="1:9">
      <c r="B2896" s="26" t="s">
        <v>6041</v>
      </c>
    </row>
    <row r="2897" spans="1:7">
      <c r="B2897" s="26" t="s">
        <v>9067</v>
      </c>
    </row>
    <row r="2898" spans="1:7">
      <c r="B2898" s="79" t="s">
        <v>5938</v>
      </c>
    </row>
    <row r="2899" spans="1:7">
      <c r="B2899" s="26"/>
    </row>
    <row r="2900" spans="1:7" hidden="1">
      <c r="A2900" s="78" t="s">
        <v>3984</v>
      </c>
      <c r="B2900" s="26" t="s">
        <v>4004</v>
      </c>
    </row>
    <row r="2901" spans="1:7" hidden="1">
      <c r="B2901" s="26" t="s">
        <v>5780</v>
      </c>
    </row>
    <row r="2902" spans="1:7" hidden="1">
      <c r="B2902" s="26" t="s">
        <v>8020</v>
      </c>
      <c r="E2902" s="78" t="s">
        <v>1697</v>
      </c>
      <c r="F2902" s="26">
        <v>9</v>
      </c>
      <c r="G2902" s="26" t="s">
        <v>4934</v>
      </c>
    </row>
    <row r="2903" spans="1:7" hidden="1">
      <c r="B2903" s="26" t="s">
        <v>414</v>
      </c>
      <c r="E2903" s="78" t="s">
        <v>1697</v>
      </c>
      <c r="F2903" s="68">
        <v>22</v>
      </c>
      <c r="G2903" s="26" t="s">
        <v>6702</v>
      </c>
    </row>
    <row r="2904" spans="1:7" hidden="1">
      <c r="B2904" s="26"/>
      <c r="E2904" s="78"/>
      <c r="F2904" s="68"/>
    </row>
    <row r="2905" spans="1:7" hidden="1">
      <c r="B2905" s="26" t="s">
        <v>8021</v>
      </c>
      <c r="E2905" s="78" t="s">
        <v>1697</v>
      </c>
      <c r="F2905" s="26">
        <v>10</v>
      </c>
      <c r="G2905" s="26" t="s">
        <v>4934</v>
      </c>
    </row>
    <row r="2906" spans="1:7" hidden="1">
      <c r="B2906" s="26" t="s">
        <v>415</v>
      </c>
      <c r="E2906" s="78" t="s">
        <v>1697</v>
      </c>
      <c r="F2906" s="68">
        <v>20</v>
      </c>
      <c r="G2906" s="26" t="s">
        <v>6702</v>
      </c>
    </row>
    <row r="2907" spans="1:7" hidden="1">
      <c r="B2907" s="26" t="s">
        <v>6977</v>
      </c>
      <c r="C2907" s="26" t="s">
        <v>416</v>
      </c>
      <c r="E2907" s="78"/>
    </row>
    <row r="2908" spans="1:7" hidden="1">
      <c r="B2908" s="26" t="s">
        <v>2745</v>
      </c>
      <c r="E2908" s="78" t="s">
        <v>1697</v>
      </c>
      <c r="F2908" s="26">
        <v>15</v>
      </c>
      <c r="G2908" s="26" t="s">
        <v>4041</v>
      </c>
    </row>
    <row r="2909" spans="1:7" hidden="1">
      <c r="B2909" s="26" t="s">
        <v>6979</v>
      </c>
      <c r="C2909" s="26" t="s">
        <v>6980</v>
      </c>
      <c r="E2909" s="78" t="s">
        <v>1697</v>
      </c>
      <c r="F2909" s="26">
        <v>5</v>
      </c>
      <c r="G2909" s="26" t="s">
        <v>4041</v>
      </c>
    </row>
    <row r="2910" spans="1:7"/>
    <row r="2911" spans="1:7">
      <c r="A2911" s="78" t="s">
        <v>3984</v>
      </c>
      <c r="C2911" s="203" t="s">
        <v>2367</v>
      </c>
      <c r="D2911" s="171"/>
      <c r="E2911" s="171" t="s">
        <v>297</v>
      </c>
      <c r="F2911" s="162">
        <v>100</v>
      </c>
      <c r="G2911" s="170" t="s">
        <v>3479</v>
      </c>
    </row>
    <row r="2912" spans="1:7">
      <c r="B2912" s="79" t="s">
        <v>2368</v>
      </c>
    </row>
    <row r="2913" spans="2:7">
      <c r="B2913" s="95" t="s">
        <v>2369</v>
      </c>
      <c r="C2913" s="157" t="s">
        <v>6374</v>
      </c>
      <c r="D2913" s="95" t="s">
        <v>2370</v>
      </c>
      <c r="E2913" s="95" t="s">
        <v>1166</v>
      </c>
      <c r="F2913" s="95" t="s">
        <v>2371</v>
      </c>
      <c r="G2913" s="95" t="s">
        <v>2372</v>
      </c>
    </row>
    <row r="2914" spans="2:7">
      <c r="B2914" s="114"/>
      <c r="C2914" s="154"/>
      <c r="D2914" s="114"/>
      <c r="E2914" s="114"/>
      <c r="F2914" s="114" t="s">
        <v>3485</v>
      </c>
      <c r="G2914" s="114" t="s">
        <v>3485</v>
      </c>
    </row>
    <row r="2915" spans="2:7">
      <c r="B2915" s="105">
        <v>1</v>
      </c>
      <c r="C2915" s="187" t="s">
        <v>3300</v>
      </c>
      <c r="D2915" s="105" t="s">
        <v>3004</v>
      </c>
      <c r="E2915" s="134">
        <f>F2903</f>
        <v>22</v>
      </c>
      <c r="F2915" s="214">
        <f>'BASIC DATA'!D116</f>
        <v>223</v>
      </c>
      <c r="G2915" s="105">
        <f>F2915*E2915</f>
        <v>4906</v>
      </c>
    </row>
    <row r="2916" spans="2:7">
      <c r="B2916" s="105">
        <v>2</v>
      </c>
      <c r="C2916" s="135" t="s">
        <v>3301</v>
      </c>
      <c r="D2916" s="105" t="s">
        <v>3482</v>
      </c>
      <c r="E2916" s="134">
        <f>F2906</f>
        <v>20</v>
      </c>
      <c r="F2916" s="214">
        <f>'BASIC DATA'!D117</f>
        <v>185</v>
      </c>
      <c r="G2916" s="105">
        <f>F2916*E2916</f>
        <v>3700</v>
      </c>
    </row>
    <row r="2917" spans="2:7">
      <c r="B2917" s="114">
        <v>3</v>
      </c>
      <c r="C2917" s="135" t="s">
        <v>6983</v>
      </c>
      <c r="D2917" s="224"/>
      <c r="E2917" s="134">
        <f>0.05*(E2916+E2915)</f>
        <v>2.1</v>
      </c>
      <c r="F2917" s="214">
        <f>'BASIC DATA'!D359</f>
        <v>30</v>
      </c>
      <c r="G2917" s="105">
        <f>F2917*E2917</f>
        <v>63</v>
      </c>
    </row>
    <row r="2918" spans="2:7">
      <c r="B2918" s="92"/>
      <c r="C2918" s="159"/>
      <c r="D2918" s="159" t="s">
        <v>2376</v>
      </c>
      <c r="E2918" s="159"/>
      <c r="F2918" s="236" t="s">
        <v>1698</v>
      </c>
      <c r="G2918" s="318">
        <f>SUM(G2915:G2917)</f>
        <v>8669</v>
      </c>
    </row>
    <row r="2919" spans="2:7">
      <c r="B2919" s="79" t="s">
        <v>2377</v>
      </c>
    </row>
    <row r="2920" spans="2:7">
      <c r="B2920" s="95" t="s">
        <v>2369</v>
      </c>
      <c r="C2920" s="157" t="s">
        <v>2378</v>
      </c>
      <c r="D2920" s="95" t="s">
        <v>2370</v>
      </c>
      <c r="E2920" s="95" t="s">
        <v>1166</v>
      </c>
      <c r="F2920" s="95" t="s">
        <v>2371</v>
      </c>
      <c r="G2920" s="95" t="s">
        <v>2372</v>
      </c>
    </row>
    <row r="2921" spans="2:7">
      <c r="B2921" s="114"/>
      <c r="C2921" s="154"/>
      <c r="D2921" s="114"/>
      <c r="E2921" s="114"/>
      <c r="F2921" s="114" t="s">
        <v>3485</v>
      </c>
      <c r="G2921" s="114" t="s">
        <v>3485</v>
      </c>
    </row>
    <row r="2922" spans="2:7">
      <c r="B2922" s="95">
        <v>1</v>
      </c>
      <c r="C2922" s="93" t="s">
        <v>6976</v>
      </c>
      <c r="D2922" s="95"/>
      <c r="E2922" s="190"/>
      <c r="F2922" s="190"/>
      <c r="G2922" s="190"/>
    </row>
    <row r="2923" spans="2:7">
      <c r="B2923" s="92"/>
      <c r="C2923" s="159" t="s">
        <v>3194</v>
      </c>
      <c r="D2923" s="159"/>
      <c r="E2923" s="764"/>
      <c r="F2923" s="193" t="s">
        <v>3195</v>
      </c>
      <c r="G2923" s="282">
        <f>SUM(G2922)</f>
        <v>0</v>
      </c>
    </row>
    <row r="2924" spans="2:7">
      <c r="B2924" s="79" t="s">
        <v>2381</v>
      </c>
    </row>
    <row r="2925" spans="2:7">
      <c r="B2925" s="95" t="s">
        <v>2369</v>
      </c>
      <c r="C2925" s="157" t="s">
        <v>2378</v>
      </c>
      <c r="D2925" s="95" t="s">
        <v>2370</v>
      </c>
      <c r="E2925" s="95" t="s">
        <v>1166</v>
      </c>
      <c r="F2925" s="95" t="s">
        <v>2371</v>
      </c>
      <c r="G2925" s="95" t="s">
        <v>2372</v>
      </c>
    </row>
    <row r="2926" spans="2:7">
      <c r="B2926" s="114"/>
      <c r="C2926" s="154"/>
      <c r="D2926" s="105"/>
      <c r="E2926" s="114"/>
      <c r="F2926" s="114" t="s">
        <v>3485</v>
      </c>
      <c r="G2926" s="114" t="s">
        <v>3485</v>
      </c>
    </row>
    <row r="2927" spans="2:7">
      <c r="B2927" s="105">
        <v>1</v>
      </c>
      <c r="C2927" s="135" t="s">
        <v>2745</v>
      </c>
      <c r="D2927" s="95" t="s">
        <v>1172</v>
      </c>
      <c r="E2927" s="207">
        <f>F2908</f>
        <v>15</v>
      </c>
      <c r="F2927" s="190">
        <f>'BASIC DATA'!C543</f>
        <v>400</v>
      </c>
      <c r="G2927" s="190">
        <f>F2927*E2927</f>
        <v>6000</v>
      </c>
    </row>
    <row r="2928" spans="2:7">
      <c r="B2928" s="105">
        <v>2</v>
      </c>
      <c r="C2928" s="139" t="s">
        <v>2697</v>
      </c>
      <c r="D2928" s="114" t="s">
        <v>1172</v>
      </c>
      <c r="E2928" s="181">
        <f>F2909</f>
        <v>5</v>
      </c>
      <c r="F2928" s="182">
        <f>'BASIC DATA'!C552</f>
        <v>350</v>
      </c>
      <c r="G2928" s="182">
        <f>F2928*E2928</f>
        <v>1750</v>
      </c>
    </row>
    <row r="2929" spans="2:9">
      <c r="B2929" s="114"/>
      <c r="C2929" s="154"/>
      <c r="D2929" s="174" t="s">
        <v>1174</v>
      </c>
      <c r="E2929" s="174"/>
      <c r="F2929" s="275" t="s">
        <v>1698</v>
      </c>
      <c r="G2929" s="434">
        <f>SUM(G2927:G2928)</f>
        <v>7750</v>
      </c>
    </row>
    <row r="2930" spans="2:9">
      <c r="B2930" s="60" t="s">
        <v>5948</v>
      </c>
      <c r="C2930" s="31"/>
      <c r="D2930" s="31"/>
      <c r="E2930" s="85">
        <f>ROUND(G2929/F2911,1)</f>
        <v>77.5</v>
      </c>
      <c r="F2930" s="85"/>
    </row>
    <row r="2931" spans="2:9">
      <c r="B2931" s="60" t="s">
        <v>3163</v>
      </c>
      <c r="C2931" s="31"/>
      <c r="D2931" s="31">
        <f>'BASIC DATA'!$C$577</f>
        <v>0.13614999999999999</v>
      </c>
      <c r="E2931" s="85">
        <f>ROUND(D2931*E2930,1)</f>
        <v>10.6</v>
      </c>
      <c r="F2931" s="85"/>
    </row>
    <row r="2932" spans="2:9">
      <c r="B2932" s="60" t="s">
        <v>5949</v>
      </c>
      <c r="C2932" s="31"/>
      <c r="D2932" s="31"/>
      <c r="E2932" s="199">
        <f>E2931+E2930</f>
        <v>88.1</v>
      </c>
      <c r="F2932" s="85"/>
    </row>
    <row r="2933" spans="2:9">
      <c r="B2933" s="33"/>
      <c r="C2933" s="31"/>
      <c r="D2933" s="31"/>
      <c r="E2933" s="31"/>
      <c r="F2933" s="198"/>
      <c r="G2933" s="200"/>
      <c r="H2933" s="75"/>
    </row>
    <row r="2934" spans="2:9">
      <c r="B2934" s="170" t="s">
        <v>1175</v>
      </c>
    </row>
    <row r="2935" spans="2:9">
      <c r="B2935" s="26" t="s">
        <v>4</v>
      </c>
      <c r="F2935" s="171" t="s">
        <v>1698</v>
      </c>
      <c r="G2935" s="68">
        <f>G2918</f>
        <v>8669</v>
      </c>
    </row>
    <row r="2936" spans="2:9">
      <c r="B2936" s="26" t="s">
        <v>1186</v>
      </c>
      <c r="F2936" s="171" t="s">
        <v>1698</v>
      </c>
      <c r="G2936" s="68">
        <f>G2923</f>
        <v>0</v>
      </c>
    </row>
    <row r="2937" spans="2:9">
      <c r="B2937" s="26" t="s">
        <v>2660</v>
      </c>
      <c r="F2937" s="171" t="s">
        <v>1698</v>
      </c>
      <c r="G2937" s="75">
        <f>G2929</f>
        <v>7750</v>
      </c>
    </row>
    <row r="2938" spans="2:9">
      <c r="B2938" s="26"/>
      <c r="E2938" s="171" t="s">
        <v>5551</v>
      </c>
      <c r="F2938" s="171" t="s">
        <v>1698</v>
      </c>
      <c r="G2938" s="205">
        <f>SUM(G2935:G2937)</f>
        <v>16419</v>
      </c>
    </row>
    <row r="2939" spans="2:9">
      <c r="B2939" s="26" t="s">
        <v>5087</v>
      </c>
      <c r="E2939" s="26">
        <f>'BASIC DATA'!C593</f>
        <v>0</v>
      </c>
      <c r="F2939" s="171" t="s">
        <v>1698</v>
      </c>
      <c r="G2939" s="68">
        <f>(G2937+G2936)*0.75*E2939</f>
        <v>0</v>
      </c>
    </row>
    <row r="2940" spans="2:9">
      <c r="B2940" s="26" t="s">
        <v>5084</v>
      </c>
      <c r="E2940" s="171" t="s">
        <v>1518</v>
      </c>
      <c r="F2940" s="171" t="s">
        <v>1698</v>
      </c>
      <c r="G2940" s="205">
        <f>G2939+G2938</f>
        <v>16419</v>
      </c>
    </row>
    <row r="2941" spans="2:9">
      <c r="B2941" s="26" t="s">
        <v>5086</v>
      </c>
      <c r="E2941" s="26">
        <f>'BASIC DATA'!C594</f>
        <v>0.03</v>
      </c>
      <c r="F2941" s="171" t="s">
        <v>1698</v>
      </c>
      <c r="G2941" s="75">
        <f>G2940*E2941</f>
        <v>492.57</v>
      </c>
    </row>
    <row r="2942" spans="2:9">
      <c r="B2942" s="26"/>
      <c r="E2942" s="26" t="s">
        <v>2392</v>
      </c>
      <c r="F2942" s="171" t="s">
        <v>1698</v>
      </c>
      <c r="G2942" s="75">
        <f>G2941+G2940</f>
        <v>16911.57</v>
      </c>
    </row>
    <row r="2943" spans="2:9">
      <c r="B2943" s="1206" t="s">
        <v>4717</v>
      </c>
      <c r="C2943" s="1206"/>
      <c r="D2943" s="201">
        <f>'BASIC DATA'!$C$577</f>
        <v>0.13614999999999999</v>
      </c>
      <c r="E2943" s="171" t="s">
        <v>1698</v>
      </c>
      <c r="F2943" s="75">
        <f>G2942*D2943</f>
        <v>2302.5102554999999</v>
      </c>
      <c r="G2943" s="75">
        <f>G2942*D2943</f>
        <v>2302.5102554999999</v>
      </c>
      <c r="I2943" s="68"/>
    </row>
    <row r="2944" spans="2:9">
      <c r="B2944" s="26" t="s">
        <v>5078</v>
      </c>
      <c r="D2944" s="68">
        <f>F2911</f>
        <v>100</v>
      </c>
      <c r="E2944" s="26" t="s">
        <v>3479</v>
      </c>
      <c r="F2944" s="171" t="s">
        <v>1698</v>
      </c>
      <c r="G2944" s="205">
        <f>G2943+G2942</f>
        <v>19214.080255500001</v>
      </c>
    </row>
    <row r="2945" spans="1:7">
      <c r="D2945" s="203" t="s">
        <v>3884</v>
      </c>
      <c r="E2945" s="170" t="s">
        <v>3479</v>
      </c>
      <c r="F2945" s="171" t="s">
        <v>1698</v>
      </c>
      <c r="G2945" s="211">
        <f>ROUND(G2944/D2944,1)</f>
        <v>192.1</v>
      </c>
    </row>
    <row r="2946" spans="1:7">
      <c r="B2946" s="26"/>
      <c r="D2946" s="47"/>
    </row>
    <row r="2947" spans="1:7">
      <c r="A2947" s="47"/>
      <c r="B2947" s="26"/>
    </row>
    <row r="2948" spans="1:7">
      <c r="A2948" s="26" t="s">
        <v>7181</v>
      </c>
      <c r="B2948" s="170" t="s">
        <v>2884</v>
      </c>
    </row>
    <row r="2949" spans="1:7">
      <c r="B2949" s="26" t="s">
        <v>2527</v>
      </c>
    </row>
    <row r="2950" spans="1:7">
      <c r="B2950" s="26" t="s">
        <v>2885</v>
      </c>
    </row>
    <row r="2951" spans="1:7">
      <c r="B2951" s="26" t="s">
        <v>2886</v>
      </c>
    </row>
    <row r="2952" spans="1:7">
      <c r="B2952" s="26" t="s">
        <v>1037</v>
      </c>
    </row>
    <row r="2953" spans="1:7">
      <c r="A2953" s="26" t="s">
        <v>6607</v>
      </c>
      <c r="B2953" s="79" t="s">
        <v>5938</v>
      </c>
    </row>
    <row r="2954" spans="1:7" hidden="1">
      <c r="A2954" s="78" t="s">
        <v>3984</v>
      </c>
      <c r="B2954" s="26" t="s">
        <v>4004</v>
      </c>
    </row>
    <row r="2955" spans="1:7" hidden="1">
      <c r="B2955" s="26" t="s">
        <v>5780</v>
      </c>
    </row>
    <row r="2956" spans="1:7" hidden="1">
      <c r="B2956" s="26" t="s">
        <v>8020</v>
      </c>
      <c r="E2956" s="78" t="s">
        <v>1697</v>
      </c>
      <c r="F2956" s="26">
        <v>9</v>
      </c>
      <c r="G2956" s="26" t="s">
        <v>4934</v>
      </c>
    </row>
    <row r="2957" spans="1:7" hidden="1">
      <c r="B2957" s="26" t="s">
        <v>6806</v>
      </c>
      <c r="E2957" s="78" t="s">
        <v>1697</v>
      </c>
      <c r="F2957" s="68">
        <v>23</v>
      </c>
      <c r="G2957" s="26" t="s">
        <v>6702</v>
      </c>
    </row>
    <row r="2958" spans="1:7" hidden="1">
      <c r="B2958" s="26"/>
      <c r="E2958" s="78"/>
      <c r="F2958" s="68"/>
    </row>
    <row r="2959" spans="1:7" hidden="1">
      <c r="B2959" s="26" t="s">
        <v>8022</v>
      </c>
      <c r="E2959" s="78" t="s">
        <v>1697</v>
      </c>
      <c r="F2959" s="26">
        <v>7</v>
      </c>
      <c r="G2959" s="26" t="s">
        <v>4934</v>
      </c>
    </row>
    <row r="2960" spans="1:7" hidden="1">
      <c r="B2960" s="26" t="s">
        <v>6818</v>
      </c>
      <c r="E2960" s="78" t="s">
        <v>1697</v>
      </c>
      <c r="F2960" s="68">
        <v>15</v>
      </c>
      <c r="G2960" s="26" t="s">
        <v>6702</v>
      </c>
    </row>
    <row r="2961" spans="1:27" hidden="1">
      <c r="B2961" s="26" t="s">
        <v>6819</v>
      </c>
      <c r="E2961" s="78"/>
      <c r="F2961" s="68">
        <v>12</v>
      </c>
      <c r="G2961" s="26" t="s">
        <v>4934</v>
      </c>
    </row>
    <row r="2962" spans="1:27" hidden="1">
      <c r="B2962" s="26" t="s">
        <v>6820</v>
      </c>
      <c r="E2962" s="78"/>
      <c r="F2962" s="68">
        <v>17</v>
      </c>
      <c r="G2962" s="26" t="s">
        <v>6702</v>
      </c>
    </row>
    <row r="2963" spans="1:27" hidden="1">
      <c r="B2963" s="26"/>
      <c r="E2963" s="78"/>
      <c r="F2963" s="68"/>
    </row>
    <row r="2964" spans="1:27" hidden="1">
      <c r="B2964" s="26" t="s">
        <v>6977</v>
      </c>
      <c r="E2964" s="78"/>
    </row>
    <row r="2965" spans="1:27" hidden="1">
      <c r="B2965" s="26" t="s">
        <v>2745</v>
      </c>
      <c r="E2965" s="78" t="s">
        <v>1697</v>
      </c>
      <c r="F2965" s="26">
        <v>25</v>
      </c>
      <c r="G2965" s="26" t="s">
        <v>4041</v>
      </c>
      <c r="AA2965" s="26" t="s">
        <v>4716</v>
      </c>
    </row>
    <row r="2966" spans="1:27" hidden="1">
      <c r="B2966" s="26" t="s">
        <v>6979</v>
      </c>
      <c r="C2966" s="26" t="s">
        <v>6980</v>
      </c>
      <c r="E2966" s="78" t="s">
        <v>1697</v>
      </c>
      <c r="F2966" s="26">
        <v>8</v>
      </c>
      <c r="G2966" s="26" t="s">
        <v>4041</v>
      </c>
    </row>
    <row r="2967" spans="1:27"/>
    <row r="2968" spans="1:27">
      <c r="A2968" s="78" t="s">
        <v>3984</v>
      </c>
      <c r="C2968" s="203" t="s">
        <v>2367</v>
      </c>
      <c r="D2968" s="171"/>
      <c r="E2968" s="171" t="s">
        <v>297</v>
      </c>
      <c r="F2968" s="162">
        <v>100</v>
      </c>
      <c r="G2968" s="26" t="s">
        <v>3479</v>
      </c>
    </row>
    <row r="2969" spans="1:27">
      <c r="B2969" s="79" t="s">
        <v>2368</v>
      </c>
    </row>
    <row r="2970" spans="1:27">
      <c r="B2970" s="95" t="s">
        <v>2369</v>
      </c>
      <c r="C2970" s="157" t="s">
        <v>6374</v>
      </c>
      <c r="D2970" s="95" t="s">
        <v>2370</v>
      </c>
      <c r="E2970" s="95" t="s">
        <v>1166</v>
      </c>
      <c r="F2970" s="95" t="s">
        <v>2371</v>
      </c>
      <c r="G2970" s="95" t="s">
        <v>2372</v>
      </c>
    </row>
    <row r="2971" spans="1:27">
      <c r="B2971" s="114"/>
      <c r="C2971" s="154"/>
      <c r="D2971" s="114"/>
      <c r="E2971" s="114"/>
      <c r="F2971" s="114" t="s">
        <v>3485</v>
      </c>
      <c r="G2971" s="114" t="s">
        <v>3485</v>
      </c>
    </row>
    <row r="2972" spans="1:27">
      <c r="B2972" s="105">
        <v>1</v>
      </c>
      <c r="C2972" s="187" t="s">
        <v>3300</v>
      </c>
      <c r="D2972" s="105" t="s">
        <v>3004</v>
      </c>
      <c r="E2972" s="134">
        <f>F2957</f>
        <v>23</v>
      </c>
      <c r="F2972" s="214">
        <f>'BASIC DATA'!D116</f>
        <v>223</v>
      </c>
      <c r="G2972" s="105">
        <f>F2972*E2972</f>
        <v>5129</v>
      </c>
    </row>
    <row r="2973" spans="1:27">
      <c r="B2973" s="105">
        <v>2</v>
      </c>
      <c r="C2973" s="135" t="s">
        <v>6821</v>
      </c>
      <c r="D2973" s="105" t="s">
        <v>3482</v>
      </c>
      <c r="E2973" s="134">
        <f>F2960</f>
        <v>15</v>
      </c>
      <c r="F2973" s="214">
        <f>'BASIC DATA'!D117</f>
        <v>185</v>
      </c>
      <c r="G2973" s="105">
        <f>F2973*E2973</f>
        <v>2775</v>
      </c>
    </row>
    <row r="2974" spans="1:27">
      <c r="B2974" s="105">
        <v>3</v>
      </c>
      <c r="C2974" s="135" t="s">
        <v>6822</v>
      </c>
      <c r="D2974" s="105" t="s">
        <v>3004</v>
      </c>
      <c r="E2974" s="134">
        <f>F2962</f>
        <v>17</v>
      </c>
      <c r="F2974" s="214">
        <f>'BASIC DATA'!D100</f>
        <v>260</v>
      </c>
      <c r="G2974" s="105">
        <f>F2974*E2974</f>
        <v>4420</v>
      </c>
    </row>
    <row r="2975" spans="1:27">
      <c r="B2975" s="114">
        <v>4</v>
      </c>
      <c r="C2975" s="135" t="s">
        <v>6983</v>
      </c>
      <c r="D2975" s="224"/>
      <c r="E2975" s="134">
        <f>0.05*(E2972+E2973+E2974)</f>
        <v>2.75</v>
      </c>
      <c r="F2975" s="214">
        <f>'BASIC DATA'!D359</f>
        <v>30</v>
      </c>
      <c r="G2975" s="105">
        <f>F2975*E2975</f>
        <v>82.5</v>
      </c>
    </row>
    <row r="2976" spans="1:27">
      <c r="B2976" s="92"/>
      <c r="C2976" s="159"/>
      <c r="D2976" s="159" t="s">
        <v>2376</v>
      </c>
      <c r="E2976" s="159"/>
      <c r="F2976" s="236" t="s">
        <v>1698</v>
      </c>
      <c r="G2976" s="318">
        <f>SUM(G2972:G2975)</f>
        <v>12406.5</v>
      </c>
    </row>
    <row r="2977" spans="2:7">
      <c r="B2977" s="79" t="s">
        <v>2377</v>
      </c>
    </row>
    <row r="2978" spans="2:7">
      <c r="B2978" s="95" t="s">
        <v>2369</v>
      </c>
      <c r="C2978" s="157" t="s">
        <v>2378</v>
      </c>
      <c r="D2978" s="95" t="s">
        <v>2370</v>
      </c>
      <c r="E2978" s="95" t="s">
        <v>1166</v>
      </c>
      <c r="F2978" s="95" t="s">
        <v>2371</v>
      </c>
      <c r="G2978" s="95" t="s">
        <v>2372</v>
      </c>
    </row>
    <row r="2979" spans="2:7">
      <c r="B2979" s="114"/>
      <c r="C2979" s="154"/>
      <c r="D2979" s="114"/>
      <c r="E2979" s="114"/>
      <c r="F2979" s="114" t="s">
        <v>3485</v>
      </c>
      <c r="G2979" s="114" t="s">
        <v>3485</v>
      </c>
    </row>
    <row r="2980" spans="2:7">
      <c r="B2980" s="95">
        <v>1</v>
      </c>
      <c r="C2980" s="93" t="s">
        <v>6976</v>
      </c>
      <c r="D2980" s="95"/>
      <c r="E2980" s="190"/>
      <c r="F2980" s="190"/>
      <c r="G2980" s="190"/>
    </row>
    <row r="2981" spans="2:7">
      <c r="B2981" s="92"/>
      <c r="C2981" s="159"/>
      <c r="D2981" s="159" t="s">
        <v>4498</v>
      </c>
      <c r="E2981" s="159"/>
      <c r="F2981" s="236" t="s">
        <v>1698</v>
      </c>
      <c r="G2981" s="318">
        <f>SUM(G2980)</f>
        <v>0</v>
      </c>
    </row>
    <row r="2982" spans="2:7">
      <c r="B2982" s="79" t="s">
        <v>2381</v>
      </c>
    </row>
    <row r="2983" spans="2:7">
      <c r="B2983" s="95" t="s">
        <v>2369</v>
      </c>
      <c r="C2983" s="157" t="s">
        <v>2378</v>
      </c>
      <c r="D2983" s="95" t="s">
        <v>2370</v>
      </c>
      <c r="E2983" s="95" t="s">
        <v>1166</v>
      </c>
      <c r="F2983" s="95" t="s">
        <v>2371</v>
      </c>
      <c r="G2983" s="95" t="s">
        <v>2372</v>
      </c>
    </row>
    <row r="2984" spans="2:7">
      <c r="B2984" s="114"/>
      <c r="C2984" s="154"/>
      <c r="D2984" s="105"/>
      <c r="E2984" s="114"/>
      <c r="F2984" s="114" t="s">
        <v>3485</v>
      </c>
      <c r="G2984" s="114" t="s">
        <v>3485</v>
      </c>
    </row>
    <row r="2985" spans="2:7">
      <c r="B2985" s="95">
        <v>1</v>
      </c>
      <c r="C2985" s="76" t="s">
        <v>2745</v>
      </c>
      <c r="D2985" s="95" t="s">
        <v>1172</v>
      </c>
      <c r="E2985" s="207">
        <v>25</v>
      </c>
      <c r="F2985" s="190">
        <f>'BASIC DATA'!C543</f>
        <v>400</v>
      </c>
      <c r="G2985" s="190">
        <f>F2985*E2985</f>
        <v>10000</v>
      </c>
    </row>
    <row r="2986" spans="2:7">
      <c r="B2986" s="93">
        <v>2</v>
      </c>
      <c r="C2986" s="39" t="s">
        <v>2697</v>
      </c>
      <c r="D2986" s="36" t="s">
        <v>1172</v>
      </c>
      <c r="E2986" s="67">
        <v>8</v>
      </c>
      <c r="F2986" s="67">
        <f>'BASIC DATA'!C552</f>
        <v>350</v>
      </c>
      <c r="G2986" s="67">
        <f>F2986*E2986</f>
        <v>2800</v>
      </c>
    </row>
    <row r="2987" spans="2:7">
      <c r="B2987" s="176"/>
      <c r="C2987" s="154"/>
      <c r="D2987" s="174" t="s">
        <v>1174</v>
      </c>
      <c r="E2987" s="174"/>
      <c r="F2987" s="172" t="s">
        <v>1698</v>
      </c>
      <c r="G2987" s="765">
        <f>SUM(G2985:G2986)</f>
        <v>12800</v>
      </c>
    </row>
    <row r="2988" spans="2:7">
      <c r="B2988" s="60" t="s">
        <v>5948</v>
      </c>
      <c r="C2988" s="31"/>
      <c r="D2988" s="31"/>
      <c r="E2988" s="85">
        <f>ROUND(G2987/F2968,1)</f>
        <v>128</v>
      </c>
      <c r="F2988" s="85"/>
    </row>
    <row r="2989" spans="2:7">
      <c r="B2989" s="60" t="s">
        <v>3163</v>
      </c>
      <c r="C2989" s="31"/>
      <c r="D2989" s="31">
        <f>'BASIC DATA'!$C$577</f>
        <v>0.13614999999999999</v>
      </c>
      <c r="E2989" s="85">
        <f>ROUND(E2988*D2989,1)</f>
        <v>17.399999999999999</v>
      </c>
      <c r="F2989" s="85"/>
    </row>
    <row r="2990" spans="2:7">
      <c r="B2990" s="60" t="s">
        <v>5949</v>
      </c>
      <c r="C2990" s="31"/>
      <c r="D2990" s="31"/>
      <c r="E2990" s="199">
        <f>E2989+E2988</f>
        <v>145.4</v>
      </c>
      <c r="F2990" s="85"/>
    </row>
    <row r="2991" spans="2:7">
      <c r="B2991" s="26"/>
    </row>
    <row r="2992" spans="2:7">
      <c r="B2992" s="170" t="s">
        <v>1175</v>
      </c>
    </row>
    <row r="2993" spans="1:9">
      <c r="B2993" s="26" t="s">
        <v>4</v>
      </c>
      <c r="F2993" s="171" t="s">
        <v>1698</v>
      </c>
      <c r="G2993" s="68">
        <f>G2976</f>
        <v>12406.5</v>
      </c>
    </row>
    <row r="2994" spans="1:9">
      <c r="B2994" s="26" t="s">
        <v>1186</v>
      </c>
      <c r="F2994" s="171" t="s">
        <v>1698</v>
      </c>
      <c r="G2994" s="68">
        <f>G2981</f>
        <v>0</v>
      </c>
    </row>
    <row r="2995" spans="1:9">
      <c r="B2995" s="26" t="s">
        <v>2660</v>
      </c>
      <c r="F2995" s="171" t="s">
        <v>1698</v>
      </c>
      <c r="G2995" s="75">
        <f>G2987</f>
        <v>12800</v>
      </c>
    </row>
    <row r="2996" spans="1:9">
      <c r="B2996" s="26"/>
      <c r="E2996" s="171" t="s">
        <v>5551</v>
      </c>
      <c r="F2996" s="171" t="s">
        <v>1698</v>
      </c>
      <c r="G2996" s="205">
        <f>SUM(G2993:G2995)</f>
        <v>25206.5</v>
      </c>
    </row>
    <row r="2997" spans="1:9">
      <c r="B2997" s="26" t="s">
        <v>5087</v>
      </c>
      <c r="E2997" s="26">
        <f>'BASIC DATA'!C593</f>
        <v>0</v>
      </c>
      <c r="F2997" s="171" t="s">
        <v>1698</v>
      </c>
      <c r="G2997" s="68">
        <f>(G2995+G2994)*0.75*E2997</f>
        <v>0</v>
      </c>
    </row>
    <row r="2998" spans="1:9">
      <c r="B2998" s="26" t="s">
        <v>5084</v>
      </c>
      <c r="E2998" s="171" t="s">
        <v>1518</v>
      </c>
      <c r="F2998" s="171" t="s">
        <v>1698</v>
      </c>
      <c r="G2998" s="205">
        <f>G2997+G2996</f>
        <v>25206.5</v>
      </c>
    </row>
    <row r="2999" spans="1:9">
      <c r="B2999" s="26" t="s">
        <v>5086</v>
      </c>
      <c r="E2999" s="26">
        <f>'BASIC DATA'!C594</f>
        <v>0.03</v>
      </c>
      <c r="F2999" s="171" t="s">
        <v>1698</v>
      </c>
      <c r="G2999" s="75">
        <f>G2998*E2999</f>
        <v>756.19499999999994</v>
      </c>
    </row>
    <row r="3000" spans="1:9">
      <c r="B3000" s="26"/>
      <c r="E3000" s="26" t="s">
        <v>2392</v>
      </c>
      <c r="F3000" s="171" t="s">
        <v>1698</v>
      </c>
      <c r="G3000" s="75">
        <f>G2999+G2998</f>
        <v>25962.695</v>
      </c>
    </row>
    <row r="3001" spans="1:9">
      <c r="B3001" s="1206" t="s">
        <v>4717</v>
      </c>
      <c r="C3001" s="1206"/>
      <c r="D3001" s="201">
        <f>'BASIC DATA'!$C$577</f>
        <v>0.13614999999999999</v>
      </c>
      <c r="E3001" s="171" t="s">
        <v>1698</v>
      </c>
      <c r="F3001" s="75">
        <f>G3000*D3001</f>
        <v>3534.8209242499997</v>
      </c>
      <c r="G3001" s="75">
        <f>G3000*D3001</f>
        <v>3534.8209242499997</v>
      </c>
      <c r="I3001" s="68"/>
    </row>
    <row r="3002" spans="1:9">
      <c r="B3002" s="26" t="s">
        <v>5078</v>
      </c>
      <c r="D3002" s="68">
        <f>F2968</f>
        <v>100</v>
      </c>
      <c r="E3002" s="26" t="s">
        <v>3479</v>
      </c>
      <c r="F3002" s="171" t="s">
        <v>1698</v>
      </c>
      <c r="G3002" s="205">
        <f>G3001+G3000</f>
        <v>29497.515924250001</v>
      </c>
    </row>
    <row r="3003" spans="1:9">
      <c r="D3003" s="203" t="s">
        <v>3884</v>
      </c>
      <c r="E3003" s="170" t="s">
        <v>3479</v>
      </c>
      <c r="F3003" s="171" t="s">
        <v>1698</v>
      </c>
      <c r="G3003" s="211">
        <f>ROUND(G3002/D3002,1)</f>
        <v>295</v>
      </c>
    </row>
    <row r="3004" spans="1:9">
      <c r="B3004" s="26"/>
    </row>
    <row r="3005" spans="1:9">
      <c r="B3005" s="26"/>
    </row>
    <row r="3006" spans="1:9">
      <c r="A3006" s="26" t="s">
        <v>7182</v>
      </c>
      <c r="B3006" s="26" t="s">
        <v>9069</v>
      </c>
    </row>
    <row r="3007" spans="1:9">
      <c r="B3007" s="26" t="s">
        <v>6823</v>
      </c>
    </row>
    <row r="3008" spans="1:9">
      <c r="B3008" s="26" t="s">
        <v>277</v>
      </c>
    </row>
    <row r="3009" spans="1:8">
      <c r="B3009" s="26" t="s">
        <v>1037</v>
      </c>
    </row>
    <row r="3010" spans="1:8">
      <c r="B3010" s="79" t="s">
        <v>5938</v>
      </c>
    </row>
    <row r="3011" spans="1:8">
      <c r="B3011" s="26"/>
    </row>
    <row r="3012" spans="1:8" hidden="1">
      <c r="A3012" s="78" t="s">
        <v>3984</v>
      </c>
      <c r="B3012" s="26" t="s">
        <v>4004</v>
      </c>
    </row>
    <row r="3013" spans="1:8" hidden="1">
      <c r="B3013" s="26" t="s">
        <v>5780</v>
      </c>
    </row>
    <row r="3014" spans="1:8" hidden="1">
      <c r="B3014" s="26" t="s">
        <v>8020</v>
      </c>
      <c r="F3014" s="78" t="s">
        <v>1697</v>
      </c>
      <c r="G3014" s="26">
        <v>9</v>
      </c>
      <c r="H3014" s="26" t="s">
        <v>4934</v>
      </c>
    </row>
    <row r="3015" spans="1:8" hidden="1">
      <c r="B3015" s="26" t="s">
        <v>3958</v>
      </c>
      <c r="F3015" s="78" t="s">
        <v>1697</v>
      </c>
      <c r="G3015" s="68">
        <v>11</v>
      </c>
      <c r="H3015" s="26" t="s">
        <v>6702</v>
      </c>
    </row>
    <row r="3016" spans="1:8" hidden="1">
      <c r="B3016" s="26"/>
      <c r="F3016" s="78"/>
      <c r="G3016" s="68"/>
    </row>
    <row r="3017" spans="1:8" hidden="1">
      <c r="B3017" s="26" t="s">
        <v>8023</v>
      </c>
      <c r="F3017" s="78" t="s">
        <v>1697</v>
      </c>
      <c r="G3017" s="26">
        <v>12</v>
      </c>
      <c r="H3017" s="26" t="s">
        <v>4934</v>
      </c>
    </row>
    <row r="3018" spans="1:8" hidden="1">
      <c r="B3018" s="26" t="s">
        <v>3959</v>
      </c>
      <c r="F3018" s="78" t="s">
        <v>1697</v>
      </c>
      <c r="G3018" s="68">
        <v>26</v>
      </c>
      <c r="H3018" s="26" t="s">
        <v>6702</v>
      </c>
    </row>
    <row r="3019" spans="1:8" hidden="1">
      <c r="B3019" s="26" t="s">
        <v>6977</v>
      </c>
      <c r="C3019" s="26" t="s">
        <v>3960</v>
      </c>
      <c r="F3019" s="78"/>
    </row>
    <row r="3020" spans="1:8" hidden="1">
      <c r="B3020" s="26" t="s">
        <v>2745</v>
      </c>
      <c r="F3020" s="78" t="s">
        <v>1697</v>
      </c>
      <c r="G3020" s="26">
        <v>27</v>
      </c>
      <c r="H3020" s="26" t="s">
        <v>4041</v>
      </c>
    </row>
    <row r="3021" spans="1:8" hidden="1">
      <c r="B3021" s="26" t="s">
        <v>6979</v>
      </c>
      <c r="C3021" s="26" t="s">
        <v>6980</v>
      </c>
      <c r="F3021" s="78" t="s">
        <v>1697</v>
      </c>
      <c r="G3021" s="26">
        <v>9</v>
      </c>
      <c r="H3021" s="26" t="s">
        <v>4041</v>
      </c>
    </row>
    <row r="3022" spans="1:8"/>
    <row r="3023" spans="1:8">
      <c r="A3023" s="78" t="s">
        <v>3984</v>
      </c>
      <c r="C3023" s="203" t="s">
        <v>2367</v>
      </c>
      <c r="D3023" s="171"/>
      <c r="E3023" s="171" t="s">
        <v>297</v>
      </c>
      <c r="F3023" s="162">
        <v>100</v>
      </c>
      <c r="G3023" s="26" t="s">
        <v>3479</v>
      </c>
    </row>
    <row r="3024" spans="1:8">
      <c r="B3024" s="79" t="s">
        <v>2368</v>
      </c>
    </row>
    <row r="3025" spans="2:7">
      <c r="B3025" s="95" t="s">
        <v>2369</v>
      </c>
      <c r="C3025" s="157" t="s">
        <v>6374</v>
      </c>
      <c r="D3025" s="95" t="s">
        <v>2370</v>
      </c>
      <c r="E3025" s="95" t="s">
        <v>1166</v>
      </c>
      <c r="F3025" s="95" t="s">
        <v>2371</v>
      </c>
      <c r="G3025" s="95" t="s">
        <v>2372</v>
      </c>
    </row>
    <row r="3026" spans="2:7">
      <c r="B3026" s="114"/>
      <c r="C3026" s="154"/>
      <c r="D3026" s="114"/>
      <c r="E3026" s="114"/>
      <c r="F3026" s="114" t="s">
        <v>3485</v>
      </c>
      <c r="G3026" s="114" t="s">
        <v>3485</v>
      </c>
    </row>
    <row r="3027" spans="2:7">
      <c r="B3027" s="105">
        <v>1</v>
      </c>
      <c r="C3027" s="187" t="s">
        <v>3300</v>
      </c>
      <c r="D3027" s="105" t="s">
        <v>3004</v>
      </c>
      <c r="E3027" s="134">
        <f>G3015</f>
        <v>11</v>
      </c>
      <c r="F3027" s="214">
        <f>'BASIC DATA'!D116</f>
        <v>223</v>
      </c>
      <c r="G3027" s="105">
        <f>F3027*E3027</f>
        <v>2453</v>
      </c>
    </row>
    <row r="3028" spans="2:7">
      <c r="B3028" s="105">
        <v>2</v>
      </c>
      <c r="C3028" s="135" t="s">
        <v>392</v>
      </c>
      <c r="D3028" s="105" t="s">
        <v>3482</v>
      </c>
      <c r="E3028" s="134">
        <f>G3018</f>
        <v>26</v>
      </c>
      <c r="F3028" s="214">
        <f>'BASIC DATA'!D100</f>
        <v>260</v>
      </c>
      <c r="G3028" s="190">
        <f>F3028*E3028</f>
        <v>6760</v>
      </c>
    </row>
    <row r="3029" spans="2:7">
      <c r="B3029" s="114">
        <v>3</v>
      </c>
      <c r="C3029" s="135" t="s">
        <v>6983</v>
      </c>
      <c r="D3029" s="224"/>
      <c r="E3029" s="134">
        <f>0.05*(E3028+E3027)</f>
        <v>1.85</v>
      </c>
      <c r="F3029" s="214">
        <f>'BASIC DATA'!D359</f>
        <v>30</v>
      </c>
      <c r="G3029" s="190">
        <f>F3029*E3029</f>
        <v>55.5</v>
      </c>
    </row>
    <row r="3030" spans="2:7">
      <c r="B3030" s="92"/>
      <c r="C3030" s="159"/>
      <c r="D3030" s="159" t="s">
        <v>2376</v>
      </c>
      <c r="E3030" s="159"/>
      <c r="F3030" s="236" t="s">
        <v>1698</v>
      </c>
      <c r="G3030" s="318">
        <f>SUM(G3027:G3029)</f>
        <v>9268.5</v>
      </c>
    </row>
    <row r="3031" spans="2:7">
      <c r="B3031" s="79" t="s">
        <v>2377</v>
      </c>
    </row>
    <row r="3032" spans="2:7">
      <c r="B3032" s="95" t="s">
        <v>2369</v>
      </c>
      <c r="C3032" s="157" t="s">
        <v>2378</v>
      </c>
      <c r="D3032" s="95" t="s">
        <v>2370</v>
      </c>
      <c r="E3032" s="95" t="s">
        <v>1166</v>
      </c>
      <c r="F3032" s="95" t="s">
        <v>2371</v>
      </c>
      <c r="G3032" s="95" t="s">
        <v>2372</v>
      </c>
    </row>
    <row r="3033" spans="2:7">
      <c r="B3033" s="114"/>
      <c r="C3033" s="154"/>
      <c r="D3033" s="114"/>
      <c r="E3033" s="114"/>
      <c r="F3033" s="114" t="s">
        <v>3485</v>
      </c>
      <c r="G3033" s="114" t="s">
        <v>3485</v>
      </c>
    </row>
    <row r="3034" spans="2:7">
      <c r="B3034" s="95">
        <v>1</v>
      </c>
      <c r="C3034" s="93" t="s">
        <v>6976</v>
      </c>
      <c r="D3034" s="95"/>
      <c r="E3034" s="190"/>
      <c r="F3034" s="190"/>
      <c r="G3034" s="190"/>
    </row>
    <row r="3035" spans="2:7">
      <c r="B3035" s="92"/>
      <c r="C3035" s="159"/>
      <c r="D3035" s="159" t="s">
        <v>4498</v>
      </c>
      <c r="E3035" s="159"/>
      <c r="F3035" s="159" t="s">
        <v>1698</v>
      </c>
      <c r="G3035" s="282">
        <f>SUM(G3034)</f>
        <v>0</v>
      </c>
    </row>
    <row r="3036" spans="2:7">
      <c r="B3036" s="79" t="s">
        <v>2381</v>
      </c>
    </row>
    <row r="3037" spans="2:7">
      <c r="B3037" s="95" t="s">
        <v>2369</v>
      </c>
      <c r="C3037" s="157" t="s">
        <v>2378</v>
      </c>
      <c r="D3037" s="95" t="s">
        <v>2370</v>
      </c>
      <c r="E3037" s="95" t="s">
        <v>1166</v>
      </c>
      <c r="F3037" s="95" t="s">
        <v>2371</v>
      </c>
      <c r="G3037" s="95" t="s">
        <v>2372</v>
      </c>
    </row>
    <row r="3038" spans="2:7">
      <c r="B3038" s="114"/>
      <c r="C3038" s="154"/>
      <c r="D3038" s="105"/>
      <c r="E3038" s="114"/>
      <c r="F3038" s="114" t="s">
        <v>3485</v>
      </c>
      <c r="G3038" s="114" t="s">
        <v>3485</v>
      </c>
    </row>
    <row r="3039" spans="2:7">
      <c r="B3039" s="36">
        <v>1</v>
      </c>
      <c r="C3039" s="39" t="s">
        <v>2745</v>
      </c>
      <c r="D3039" s="36" t="s">
        <v>1172</v>
      </c>
      <c r="E3039" s="67">
        <v>27</v>
      </c>
      <c r="F3039" s="67">
        <f>'BASIC DATA'!C543</f>
        <v>400</v>
      </c>
      <c r="G3039" s="67">
        <f>F3039*E3039</f>
        <v>10800</v>
      </c>
    </row>
    <row r="3040" spans="2:7">
      <c r="B3040" s="36">
        <v>2</v>
      </c>
      <c r="C3040" s="39" t="s">
        <v>2697</v>
      </c>
      <c r="D3040" s="36" t="s">
        <v>1172</v>
      </c>
      <c r="E3040" s="67">
        <v>9</v>
      </c>
      <c r="F3040" s="67">
        <f>'BASIC DATA'!C552</f>
        <v>350</v>
      </c>
      <c r="G3040" s="67">
        <f>F3040*E3040</f>
        <v>3150</v>
      </c>
    </row>
    <row r="3041" spans="2:9">
      <c r="B3041" s="176"/>
      <c r="C3041" s="174"/>
      <c r="D3041" s="174" t="s">
        <v>1174</v>
      </c>
      <c r="E3041" s="174"/>
      <c r="F3041" s="275" t="s">
        <v>1698</v>
      </c>
      <c r="G3041" s="434">
        <f>SUM(G3039:G3040)</f>
        <v>13950</v>
      </c>
    </row>
    <row r="3042" spans="2:9">
      <c r="B3042" s="60" t="s">
        <v>5948</v>
      </c>
      <c r="C3042" s="31"/>
      <c r="D3042" s="31"/>
      <c r="E3042" s="85">
        <f>ROUND(G3041/F3023,1)</f>
        <v>139.5</v>
      </c>
      <c r="F3042" s="85"/>
    </row>
    <row r="3043" spans="2:9">
      <c r="B3043" s="60" t="s">
        <v>3163</v>
      </c>
      <c r="C3043" s="31"/>
      <c r="D3043" s="31">
        <f>'BASIC DATA'!$C$577</f>
        <v>0.13614999999999999</v>
      </c>
      <c r="E3043" s="85">
        <f>ROUND(D3043*E3042,1)</f>
        <v>19</v>
      </c>
      <c r="F3043" s="85"/>
    </row>
    <row r="3044" spans="2:9">
      <c r="B3044" s="60" t="s">
        <v>5949</v>
      </c>
      <c r="C3044" s="31"/>
      <c r="D3044" s="31"/>
      <c r="E3044" s="199">
        <f>E3043+E3042</f>
        <v>158.5</v>
      </c>
      <c r="F3044" s="85"/>
    </row>
    <row r="3045" spans="2:9">
      <c r="B3045" s="31"/>
      <c r="C3045" s="31"/>
      <c r="D3045" s="31"/>
      <c r="E3045" s="198"/>
      <c r="F3045" s="200"/>
      <c r="H3045" s="75"/>
    </row>
    <row r="3046" spans="2:9">
      <c r="B3046" s="170" t="s">
        <v>1175</v>
      </c>
    </row>
    <row r="3047" spans="2:9">
      <c r="B3047" s="26" t="s">
        <v>4</v>
      </c>
      <c r="F3047" s="171" t="s">
        <v>1698</v>
      </c>
      <c r="G3047" s="68">
        <f>G3030</f>
        <v>9268.5</v>
      </c>
    </row>
    <row r="3048" spans="2:9">
      <c r="B3048" s="26" t="s">
        <v>1186</v>
      </c>
      <c r="F3048" s="171" t="s">
        <v>1698</v>
      </c>
      <c r="G3048" s="68">
        <f>G3035</f>
        <v>0</v>
      </c>
    </row>
    <row r="3049" spans="2:9">
      <c r="B3049" s="26" t="s">
        <v>2660</v>
      </c>
      <c r="F3049" s="171" t="s">
        <v>1698</v>
      </c>
      <c r="G3049" s="68">
        <f>G3041</f>
        <v>13950</v>
      </c>
    </row>
    <row r="3050" spans="2:9">
      <c r="B3050" s="26"/>
      <c r="E3050" s="171" t="s">
        <v>1518</v>
      </c>
      <c r="F3050" s="171" t="s">
        <v>1698</v>
      </c>
      <c r="G3050" s="205">
        <f>SUM(G3047:G3049)</f>
        <v>23218.5</v>
      </c>
    </row>
    <row r="3051" spans="2:9">
      <c r="B3051" s="26" t="s">
        <v>5087</v>
      </c>
      <c r="E3051" s="26">
        <f>'BASIC DATA'!C593</f>
        <v>0</v>
      </c>
      <c r="F3051" s="171" t="s">
        <v>1698</v>
      </c>
      <c r="G3051" s="68">
        <f>(G3049+G3048)*0.75*E3051</f>
        <v>0</v>
      </c>
    </row>
    <row r="3052" spans="2:9">
      <c r="B3052" s="26" t="s">
        <v>5084</v>
      </c>
      <c r="E3052" s="171" t="s">
        <v>1518</v>
      </c>
      <c r="F3052" s="171" t="s">
        <v>1698</v>
      </c>
      <c r="G3052" s="205">
        <f>G3051+G3050</f>
        <v>23218.5</v>
      </c>
    </row>
    <row r="3053" spans="2:9">
      <c r="B3053" s="26" t="s">
        <v>5086</v>
      </c>
      <c r="E3053" s="26">
        <f>'BASIC DATA'!C594</f>
        <v>0.03</v>
      </c>
      <c r="F3053" s="171" t="s">
        <v>1698</v>
      </c>
      <c r="G3053" s="75">
        <f>G3052*E3053</f>
        <v>696.55499999999995</v>
      </c>
    </row>
    <row r="3054" spans="2:9">
      <c r="B3054" s="26"/>
      <c r="E3054" s="26" t="s">
        <v>2392</v>
      </c>
      <c r="F3054" s="171" t="s">
        <v>1698</v>
      </c>
      <c r="G3054" s="75">
        <f>G3053+G3052</f>
        <v>23915.055</v>
      </c>
    </row>
    <row r="3055" spans="2:9">
      <c r="B3055" s="1206" t="s">
        <v>4717</v>
      </c>
      <c r="C3055" s="1206"/>
      <c r="D3055" s="201">
        <f>'BASIC DATA'!$C$577</f>
        <v>0.13614999999999999</v>
      </c>
      <c r="E3055" s="171" t="s">
        <v>1698</v>
      </c>
      <c r="F3055" s="75">
        <f>G3054*D3055</f>
        <v>3256.0347382499999</v>
      </c>
      <c r="G3055" s="75">
        <f>G3054*D3055</f>
        <v>3256.0347382499999</v>
      </c>
      <c r="I3055" s="68"/>
    </row>
    <row r="3056" spans="2:9">
      <c r="B3056" s="26" t="s">
        <v>5078</v>
      </c>
      <c r="D3056" s="68">
        <f>F3023</f>
        <v>100</v>
      </c>
      <c r="E3056" s="26" t="s">
        <v>3479</v>
      </c>
      <c r="F3056" s="171" t="s">
        <v>1698</v>
      </c>
      <c r="G3056" s="205">
        <f>G3055+G3054</f>
        <v>27171.089738250001</v>
      </c>
    </row>
    <row r="3057" spans="1:7">
      <c r="D3057" s="203" t="s">
        <v>3884</v>
      </c>
      <c r="E3057" s="170" t="s">
        <v>3479</v>
      </c>
      <c r="F3057" s="171" t="s">
        <v>1698</v>
      </c>
      <c r="G3057" s="211">
        <f>ROUND(G3056/D3056,1)</f>
        <v>271.7</v>
      </c>
    </row>
    <row r="3058" spans="1:7">
      <c r="B3058" s="26"/>
      <c r="C3058" s="78"/>
    </row>
    <row r="3059" spans="1:7">
      <c r="B3059" s="26"/>
      <c r="C3059" s="78"/>
    </row>
    <row r="3060" spans="1:7">
      <c r="A3060" s="26" t="s">
        <v>7183</v>
      </c>
      <c r="B3060" s="26"/>
      <c r="C3060" s="325" t="s">
        <v>1644</v>
      </c>
    </row>
    <row r="3061" spans="1:7">
      <c r="C3061" s="78"/>
    </row>
    <row r="3062" spans="1:7">
      <c r="A3062" s="26" t="s">
        <v>7184</v>
      </c>
      <c r="B3062" s="170" t="s">
        <v>393</v>
      </c>
    </row>
    <row r="3063" spans="1:7">
      <c r="B3063" s="26" t="s">
        <v>9070</v>
      </c>
      <c r="E3063" s="322"/>
    </row>
    <row r="3064" spans="1:7">
      <c r="B3064" s="26" t="s">
        <v>7587</v>
      </c>
      <c r="E3064" s="322"/>
    </row>
    <row r="3065" spans="1:7">
      <c r="B3065" s="26" t="s">
        <v>7588</v>
      </c>
      <c r="E3065" s="322"/>
    </row>
    <row r="3066" spans="1:7">
      <c r="B3066" s="26" t="s">
        <v>9071</v>
      </c>
      <c r="E3066" s="322"/>
    </row>
    <row r="3067" spans="1:7" hidden="1">
      <c r="A3067" s="78" t="s">
        <v>3984</v>
      </c>
      <c r="B3067" s="26"/>
      <c r="E3067" s="322"/>
    </row>
    <row r="3068" spans="1:7" hidden="1">
      <c r="B3068" s="26" t="s">
        <v>1961</v>
      </c>
    </row>
    <row r="3069" spans="1:7" hidden="1">
      <c r="B3069" s="26" t="s">
        <v>787</v>
      </c>
    </row>
    <row r="3070" spans="1:7" hidden="1">
      <c r="B3070" s="26" t="s">
        <v>788</v>
      </c>
    </row>
    <row r="3071" spans="1:7" hidden="1">
      <c r="B3071" s="26" t="s">
        <v>789</v>
      </c>
      <c r="E3071" s="322"/>
    </row>
    <row r="3072" spans="1:7" hidden="1">
      <c r="B3072" s="26"/>
      <c r="E3072" s="322"/>
    </row>
    <row r="3073" spans="1:7" hidden="1">
      <c r="A3073" s="78">
        <v>1</v>
      </c>
      <c r="B3073" s="26" t="s">
        <v>5780</v>
      </c>
      <c r="E3073" s="26" t="s">
        <v>790</v>
      </c>
      <c r="F3073" s="26" t="s">
        <v>791</v>
      </c>
    </row>
    <row r="3074" spans="1:7" hidden="1">
      <c r="B3074" s="26" t="s">
        <v>2442</v>
      </c>
    </row>
    <row r="3075" spans="1:7" hidden="1">
      <c r="B3075" s="26" t="s">
        <v>6586</v>
      </c>
    </row>
    <row r="3076" spans="1:7" hidden="1">
      <c r="B3076" s="26" t="s">
        <v>6587</v>
      </c>
    </row>
    <row r="3077" spans="1:7" hidden="1">
      <c r="B3077" s="26" t="s">
        <v>4248</v>
      </c>
      <c r="E3077" s="322" t="s">
        <v>1697</v>
      </c>
      <c r="F3077" s="26">
        <v>13</v>
      </c>
      <c r="G3077" s="26" t="s">
        <v>3482</v>
      </c>
    </row>
    <row r="3078" spans="1:7" hidden="1">
      <c r="B3078" s="26"/>
    </row>
    <row r="3079" spans="1:7" hidden="1">
      <c r="A3079" s="78">
        <v>2</v>
      </c>
      <c r="B3079" s="26" t="s">
        <v>8024</v>
      </c>
      <c r="E3079" s="78" t="s">
        <v>1697</v>
      </c>
      <c r="F3079" s="26">
        <v>9</v>
      </c>
      <c r="G3079" s="26" t="s">
        <v>4934</v>
      </c>
    </row>
    <row r="3080" spans="1:7" hidden="1">
      <c r="A3080" s="315"/>
      <c r="B3080" s="26" t="s">
        <v>3958</v>
      </c>
      <c r="E3080" s="78" t="s">
        <v>1697</v>
      </c>
      <c r="F3080" s="68">
        <v>11</v>
      </c>
      <c r="G3080" s="26" t="s">
        <v>6702</v>
      </c>
    </row>
    <row r="3081" spans="1:7" hidden="1">
      <c r="A3081" s="78">
        <v>3</v>
      </c>
      <c r="B3081" s="26" t="s">
        <v>8025</v>
      </c>
      <c r="E3081" s="78" t="s">
        <v>1697</v>
      </c>
      <c r="F3081" s="26">
        <v>6</v>
      </c>
      <c r="G3081" s="26" t="s">
        <v>4934</v>
      </c>
    </row>
    <row r="3082" spans="1:7" hidden="1">
      <c r="B3082" s="26" t="s">
        <v>2443</v>
      </c>
      <c r="E3082" s="78"/>
      <c r="F3082" s="68">
        <v>68</v>
      </c>
      <c r="G3082" s="26" t="s">
        <v>6702</v>
      </c>
    </row>
    <row r="3083" spans="1:7" hidden="1">
      <c r="B3083" s="26"/>
      <c r="E3083" s="78"/>
      <c r="F3083" s="68"/>
    </row>
    <row r="3084" spans="1:7" hidden="1">
      <c r="A3084" s="78">
        <v>4</v>
      </c>
      <c r="B3084" s="26" t="s">
        <v>6977</v>
      </c>
      <c r="C3084" s="26" t="s">
        <v>2444</v>
      </c>
      <c r="E3084" s="78">
        <f>5*100/15</f>
        <v>33.333333333333336</v>
      </c>
    </row>
    <row r="3085" spans="1:7" hidden="1">
      <c r="B3085" s="26" t="s">
        <v>6824</v>
      </c>
      <c r="E3085" s="322"/>
      <c r="F3085" s="26" t="s">
        <v>6825</v>
      </c>
    </row>
    <row r="3086" spans="1:7" hidden="1">
      <c r="B3086" s="26" t="s">
        <v>4680</v>
      </c>
      <c r="E3086" s="78"/>
    </row>
    <row r="3087" spans="1:7" hidden="1">
      <c r="B3087" s="26" t="s">
        <v>672</v>
      </c>
      <c r="E3087" s="78"/>
    </row>
    <row r="3088" spans="1:7" hidden="1">
      <c r="B3088" s="26" t="s">
        <v>2745</v>
      </c>
      <c r="E3088" s="78" t="s">
        <v>1697</v>
      </c>
      <c r="F3088" s="26">
        <v>33</v>
      </c>
      <c r="G3088" s="26" t="s">
        <v>4041</v>
      </c>
    </row>
    <row r="3089" spans="1:7" hidden="1">
      <c r="B3089" s="26" t="s">
        <v>6979</v>
      </c>
      <c r="C3089" s="26" t="s">
        <v>5912</v>
      </c>
      <c r="E3089" s="78" t="s">
        <v>1697</v>
      </c>
      <c r="F3089" s="26">
        <v>8</v>
      </c>
      <c r="G3089" s="26" t="s">
        <v>4041</v>
      </c>
    </row>
    <row r="3090" spans="1:7" hidden="1">
      <c r="A3090" s="78">
        <v>5</v>
      </c>
      <c r="B3090" s="26" t="s">
        <v>5913</v>
      </c>
      <c r="E3090" s="315"/>
      <c r="F3090" s="68"/>
    </row>
    <row r="3091" spans="1:7" hidden="1">
      <c r="B3091" s="26" t="s">
        <v>6017</v>
      </c>
      <c r="E3091" s="315"/>
      <c r="F3091" s="68"/>
    </row>
    <row r="3092" spans="1:7" hidden="1">
      <c r="B3092" s="26" t="s">
        <v>4750</v>
      </c>
      <c r="E3092" s="315"/>
      <c r="F3092" s="68"/>
    </row>
    <row r="3093" spans="1:7" hidden="1">
      <c r="B3093" s="26" t="s">
        <v>4751</v>
      </c>
      <c r="E3093" s="315"/>
      <c r="F3093" s="68"/>
    </row>
    <row r="3094" spans="1:7">
      <c r="A3094" s="78" t="s">
        <v>3984</v>
      </c>
      <c r="C3094" s="203" t="s">
        <v>2367</v>
      </c>
      <c r="E3094" s="171" t="s">
        <v>297</v>
      </c>
      <c r="F3094" s="692">
        <v>100</v>
      </c>
      <c r="G3094" s="26" t="s">
        <v>9291</v>
      </c>
    </row>
    <row r="3095" spans="1:7">
      <c r="B3095" s="79" t="s">
        <v>2368</v>
      </c>
    </row>
    <row r="3096" spans="1:7">
      <c r="B3096" s="95" t="s">
        <v>2369</v>
      </c>
      <c r="C3096" s="157" t="s">
        <v>6374</v>
      </c>
      <c r="D3096" s="95" t="s">
        <v>2370</v>
      </c>
      <c r="E3096" s="95" t="s">
        <v>1166</v>
      </c>
      <c r="F3096" s="95" t="s">
        <v>2371</v>
      </c>
      <c r="G3096" s="95" t="s">
        <v>2372</v>
      </c>
    </row>
    <row r="3097" spans="1:7">
      <c r="B3097" s="114"/>
      <c r="C3097" s="154"/>
      <c r="D3097" s="114"/>
      <c r="E3097" s="114"/>
      <c r="F3097" s="114" t="s">
        <v>3485</v>
      </c>
      <c r="G3097" s="114" t="s">
        <v>3485</v>
      </c>
    </row>
    <row r="3098" spans="1:7">
      <c r="B3098" s="105">
        <v>1</v>
      </c>
      <c r="C3098" s="135" t="s">
        <v>4758</v>
      </c>
      <c r="D3098" s="319" t="s">
        <v>3482</v>
      </c>
      <c r="E3098" s="190">
        <f>F3080</f>
        <v>11</v>
      </c>
      <c r="F3098" s="214">
        <f>'BASIC DATA'!D185</f>
        <v>700</v>
      </c>
      <c r="G3098" s="190">
        <f>E3098*F3098</f>
        <v>7700</v>
      </c>
    </row>
    <row r="3099" spans="1:7">
      <c r="B3099" s="105">
        <v>2</v>
      </c>
      <c r="C3099" s="135" t="s">
        <v>12</v>
      </c>
      <c r="D3099" s="319" t="s">
        <v>3482</v>
      </c>
      <c r="E3099" s="190">
        <f>F3082</f>
        <v>68</v>
      </c>
      <c r="F3099" s="214">
        <f>'BASIC DATA'!D169</f>
        <v>215</v>
      </c>
      <c r="G3099" s="190">
        <f>E3099*F3099</f>
        <v>14620</v>
      </c>
    </row>
    <row r="3100" spans="1:7">
      <c r="B3100" s="105">
        <v>3</v>
      </c>
      <c r="C3100" s="135" t="s">
        <v>4759</v>
      </c>
      <c r="D3100" s="319" t="s">
        <v>3482</v>
      </c>
      <c r="E3100" s="190">
        <f>F3077</f>
        <v>13</v>
      </c>
      <c r="F3100" s="214">
        <f>'BASIC DATA'!D168</f>
        <v>130</v>
      </c>
      <c r="G3100" s="190">
        <f>E3100*F3100</f>
        <v>1690</v>
      </c>
    </row>
    <row r="3101" spans="1:7">
      <c r="B3101" s="105">
        <v>4</v>
      </c>
      <c r="C3101" s="135" t="s">
        <v>3851</v>
      </c>
      <c r="D3101" s="319" t="s">
        <v>2059</v>
      </c>
      <c r="E3101" s="190">
        <v>2</v>
      </c>
      <c r="F3101" s="214">
        <f>'BASIC DATA'!D110</f>
        <v>13</v>
      </c>
      <c r="G3101" s="190">
        <f>E3101*F3101</f>
        <v>26</v>
      </c>
    </row>
    <row r="3102" spans="1:7">
      <c r="B3102" s="114">
        <v>5</v>
      </c>
      <c r="C3102" s="135" t="s">
        <v>2373</v>
      </c>
      <c r="D3102" s="319" t="s">
        <v>2173</v>
      </c>
      <c r="E3102" s="190">
        <v>2</v>
      </c>
      <c r="F3102" s="214">
        <f>'BASIC DATA'!D359</f>
        <v>30</v>
      </c>
      <c r="G3102" s="190">
        <f>E3102*F3102</f>
        <v>60</v>
      </c>
    </row>
    <row r="3103" spans="1:7">
      <c r="B3103" s="92"/>
      <c r="C3103" s="193"/>
      <c r="D3103" s="151" t="s">
        <v>2376</v>
      </c>
      <c r="E3103" s="160"/>
      <c r="F3103" s="236" t="s">
        <v>1698</v>
      </c>
      <c r="G3103" s="318">
        <f>SUM(G3098:G3102)</f>
        <v>24096</v>
      </c>
    </row>
    <row r="3104" spans="1:7">
      <c r="B3104" s="33"/>
      <c r="C3104" s="30"/>
      <c r="D3104" s="31"/>
      <c r="E3104" s="198"/>
      <c r="F3104" s="200"/>
      <c r="G3104" s="75"/>
    </row>
    <row r="3105" spans="2:7">
      <c r="B3105" s="79" t="s">
        <v>2377</v>
      </c>
    </row>
    <row r="3106" spans="2:7">
      <c r="B3106" s="95" t="s">
        <v>2369</v>
      </c>
      <c r="C3106" s="157" t="s">
        <v>2378</v>
      </c>
      <c r="D3106" s="95" t="s">
        <v>2370</v>
      </c>
      <c r="E3106" s="95" t="s">
        <v>1166</v>
      </c>
      <c r="F3106" s="95" t="s">
        <v>2371</v>
      </c>
      <c r="G3106" s="95" t="s">
        <v>2372</v>
      </c>
    </row>
    <row r="3107" spans="2:7">
      <c r="B3107" s="114"/>
      <c r="C3107" s="176"/>
      <c r="D3107" s="114"/>
      <c r="E3107" s="114"/>
      <c r="F3107" s="114" t="s">
        <v>3485</v>
      </c>
      <c r="G3107" s="114" t="s">
        <v>3485</v>
      </c>
    </row>
    <row r="3108" spans="2:7">
      <c r="B3108" s="417"/>
      <c r="C3108" s="135" t="s">
        <v>5914</v>
      </c>
      <c r="D3108" s="451"/>
      <c r="E3108" s="190"/>
      <c r="F3108" s="190"/>
      <c r="G3108" s="190">
        <v>0</v>
      </c>
    </row>
    <row r="3109" spans="2:7">
      <c r="B3109" s="92"/>
      <c r="C3109" s="151" t="s">
        <v>4498</v>
      </c>
      <c r="D3109" s="160"/>
      <c r="E3109" s="159"/>
      <c r="F3109" s="159"/>
      <c r="G3109" s="282">
        <f>SUM(G3108)</f>
        <v>0</v>
      </c>
    </row>
    <row r="3110" spans="2:7"/>
    <row r="3111" spans="2:7">
      <c r="B3111" s="79" t="s">
        <v>2381</v>
      </c>
    </row>
    <row r="3112" spans="2:7">
      <c r="B3112" s="95" t="s">
        <v>2369</v>
      </c>
      <c r="C3112" s="157" t="s">
        <v>2378</v>
      </c>
      <c r="D3112" s="95" t="s">
        <v>2370</v>
      </c>
      <c r="E3112" s="95" t="s">
        <v>1166</v>
      </c>
      <c r="F3112" s="95" t="s">
        <v>2371</v>
      </c>
      <c r="G3112" s="95" t="s">
        <v>2372</v>
      </c>
    </row>
    <row r="3113" spans="2:7">
      <c r="B3113" s="114"/>
      <c r="C3113" s="154"/>
      <c r="D3113" s="114"/>
      <c r="E3113" s="114"/>
      <c r="F3113" s="114" t="s">
        <v>3485</v>
      </c>
      <c r="G3113" s="114" t="s">
        <v>3485</v>
      </c>
    </row>
    <row r="3114" spans="2:7">
      <c r="B3114" s="105">
        <v>1</v>
      </c>
      <c r="C3114" s="76" t="s">
        <v>5549</v>
      </c>
      <c r="D3114" s="319" t="s">
        <v>1172</v>
      </c>
      <c r="E3114" s="207">
        <v>15</v>
      </c>
      <c r="F3114" s="190">
        <f>'BASIC DATA'!C529</f>
        <v>400</v>
      </c>
      <c r="G3114" s="190">
        <f>E3114*F3114</f>
        <v>6000</v>
      </c>
    </row>
    <row r="3115" spans="2:7">
      <c r="B3115" s="105">
        <v>2</v>
      </c>
      <c r="C3115" s="76" t="s">
        <v>5550</v>
      </c>
      <c r="D3115" s="319" t="s">
        <v>1172</v>
      </c>
      <c r="E3115" s="207">
        <v>33</v>
      </c>
      <c r="F3115" s="190">
        <f>'BASIC DATA'!C543</f>
        <v>400</v>
      </c>
      <c r="G3115" s="190">
        <f>E3115*F3115</f>
        <v>13200</v>
      </c>
    </row>
    <row r="3116" spans="2:7">
      <c r="B3116" s="92"/>
      <c r="C3116" s="193"/>
      <c r="D3116" s="151" t="s">
        <v>1174</v>
      </c>
      <c r="E3116" s="160"/>
      <c r="F3116" s="236" t="s">
        <v>1698</v>
      </c>
      <c r="G3116" s="318">
        <f>SUM(G3114:G3115)</f>
        <v>19200</v>
      </c>
    </row>
    <row r="3117" spans="2:7">
      <c r="B3117" s="60" t="s">
        <v>5948</v>
      </c>
      <c r="C3117" s="31"/>
      <c r="D3117" s="31"/>
      <c r="E3117" s="85">
        <f>ROUND(G3116/100,1)</f>
        <v>192</v>
      </c>
    </row>
    <row r="3118" spans="2:7">
      <c r="B3118" s="60" t="s">
        <v>3163</v>
      </c>
      <c r="C3118" s="31"/>
      <c r="D3118" s="31">
        <f>'BASIC DATA'!$C$577</f>
        <v>0.13614999999999999</v>
      </c>
      <c r="E3118" s="85">
        <f>ROUND(E3117*D3118,1)</f>
        <v>26.1</v>
      </c>
    </row>
    <row r="3119" spans="2:7">
      <c r="B3119" s="60" t="s">
        <v>5949</v>
      </c>
      <c r="C3119" s="31"/>
      <c r="D3119" s="31"/>
      <c r="E3119" s="739">
        <f>E3118+E3117</f>
        <v>218.1</v>
      </c>
    </row>
    <row r="3120" spans="2:7">
      <c r="B3120" s="31"/>
      <c r="C3120" s="31"/>
      <c r="D3120" s="198"/>
      <c r="E3120" s="200"/>
      <c r="G3120" s="75"/>
    </row>
    <row r="3121" spans="1:9">
      <c r="B3121" s="170" t="s">
        <v>1175</v>
      </c>
    </row>
    <row r="3122" spans="1:9">
      <c r="B3122" s="26" t="s">
        <v>1176</v>
      </c>
      <c r="F3122" s="171" t="s">
        <v>1698</v>
      </c>
      <c r="G3122" s="68">
        <f>G3103</f>
        <v>24096</v>
      </c>
    </row>
    <row r="3123" spans="1:9">
      <c r="B3123" s="26" t="s">
        <v>1186</v>
      </c>
      <c r="F3123" s="171" t="s">
        <v>1698</v>
      </c>
      <c r="G3123" s="68">
        <f>G3109</f>
        <v>0</v>
      </c>
    </row>
    <row r="3124" spans="1:9">
      <c r="B3124" s="26" t="s">
        <v>2660</v>
      </c>
      <c r="F3124" s="171" t="s">
        <v>1698</v>
      </c>
      <c r="G3124" s="75">
        <f>G3116</f>
        <v>19200</v>
      </c>
    </row>
    <row r="3125" spans="1:9">
      <c r="B3125" s="26"/>
      <c r="E3125" s="171" t="s">
        <v>5551</v>
      </c>
      <c r="F3125" s="171" t="s">
        <v>1698</v>
      </c>
      <c r="G3125" s="205">
        <f>SUM(G3122:G3124)</f>
        <v>43296</v>
      </c>
    </row>
    <row r="3126" spans="1:9">
      <c r="B3126" s="26" t="s">
        <v>5087</v>
      </c>
      <c r="E3126" s="693">
        <f>'BASIC DATA'!C593</f>
        <v>0</v>
      </c>
      <c r="F3126" s="171" t="s">
        <v>1698</v>
      </c>
      <c r="G3126" s="68">
        <f>(G3124+G3123)*0.75*E3126</f>
        <v>0</v>
      </c>
    </row>
    <row r="3127" spans="1:9">
      <c r="B3127" s="26" t="s">
        <v>5084</v>
      </c>
      <c r="E3127" s="171" t="s">
        <v>1518</v>
      </c>
      <c r="F3127" s="171" t="s">
        <v>1698</v>
      </c>
      <c r="G3127" s="205">
        <f>G3126+G3125</f>
        <v>43296</v>
      </c>
    </row>
    <row r="3128" spans="1:9">
      <c r="B3128" s="26" t="s">
        <v>5086</v>
      </c>
      <c r="E3128" s="201">
        <f>'BASIC DATA'!C594</f>
        <v>0.03</v>
      </c>
      <c r="F3128" s="171" t="s">
        <v>1698</v>
      </c>
      <c r="G3128" s="75">
        <f>G3127*E3128</f>
        <v>1298.8799999999999</v>
      </c>
    </row>
    <row r="3129" spans="1:9">
      <c r="B3129" s="26"/>
      <c r="E3129" s="26" t="s">
        <v>2392</v>
      </c>
      <c r="F3129" s="171" t="s">
        <v>1698</v>
      </c>
      <c r="G3129" s="75">
        <f>G3128+G3127</f>
        <v>44594.879999999997</v>
      </c>
    </row>
    <row r="3130" spans="1:9">
      <c r="B3130" s="1206" t="s">
        <v>4717</v>
      </c>
      <c r="C3130" s="1206"/>
      <c r="D3130" s="201">
        <f>'BASIC DATA'!$C$577</f>
        <v>0.13614999999999999</v>
      </c>
      <c r="F3130" s="171" t="s">
        <v>1698</v>
      </c>
      <c r="G3130" s="75">
        <f>G3129*D3130</f>
        <v>6071.5929119999992</v>
      </c>
      <c r="I3130" s="68"/>
    </row>
    <row r="3131" spans="1:9" ht="18.75" thickBot="1">
      <c r="B3131" s="26" t="s">
        <v>5078</v>
      </c>
      <c r="D3131" s="68">
        <v>100</v>
      </c>
      <c r="E3131" s="26" t="s">
        <v>3479</v>
      </c>
      <c r="F3131" s="171" t="s">
        <v>1698</v>
      </c>
      <c r="G3131" s="205">
        <f>G3130+G3129</f>
        <v>50666.472911999997</v>
      </c>
    </row>
    <row r="3132" spans="1:9" ht="18.75" thickBot="1">
      <c r="D3132" s="694" t="s">
        <v>3884</v>
      </c>
      <c r="E3132" s="695" t="s">
        <v>5915</v>
      </c>
      <c r="F3132" s="696" t="s">
        <v>1698</v>
      </c>
      <c r="G3132" s="715">
        <f>ROUND(G3131/D3131,1)</f>
        <v>506.7</v>
      </c>
      <c r="H3132" s="68"/>
    </row>
    <row r="3133" spans="1:9">
      <c r="B3133" s="26"/>
      <c r="C3133" s="78"/>
    </row>
    <row r="3134" spans="1:9">
      <c r="B3134" s="26"/>
    </row>
    <row r="3135" spans="1:9">
      <c r="A3135" s="26" t="s">
        <v>7185</v>
      </c>
      <c r="B3135" s="170" t="s">
        <v>5916</v>
      </c>
    </row>
    <row r="3136" spans="1:9">
      <c r="B3136" s="26" t="s">
        <v>9081</v>
      </c>
      <c r="E3136" s="322"/>
    </row>
    <row r="3137" spans="1:7">
      <c r="B3137" s="26" t="s">
        <v>9082</v>
      </c>
      <c r="E3137" s="322"/>
    </row>
    <row r="3138" spans="1:7">
      <c r="B3138" s="26" t="s">
        <v>9083</v>
      </c>
      <c r="E3138" s="322"/>
    </row>
    <row r="3139" spans="1:7">
      <c r="B3139" s="26" t="s">
        <v>9080</v>
      </c>
      <c r="E3139" s="322"/>
    </row>
    <row r="3140" spans="1:7" hidden="1">
      <c r="A3140" s="78" t="s">
        <v>3984</v>
      </c>
      <c r="B3140" s="26"/>
      <c r="E3140" s="322"/>
    </row>
    <row r="3141" spans="1:7" hidden="1">
      <c r="B3141" s="26" t="s">
        <v>1961</v>
      </c>
    </row>
    <row r="3142" spans="1:7" hidden="1">
      <c r="B3142" s="26" t="s">
        <v>787</v>
      </c>
    </row>
    <row r="3143" spans="1:7" hidden="1">
      <c r="B3143" s="26" t="s">
        <v>788</v>
      </c>
    </row>
    <row r="3144" spans="1:7" hidden="1">
      <c r="B3144" s="26" t="s">
        <v>789</v>
      </c>
      <c r="E3144" s="322"/>
    </row>
    <row r="3145" spans="1:7" hidden="1">
      <c r="B3145" s="26"/>
      <c r="E3145" s="322"/>
    </row>
    <row r="3146" spans="1:7" hidden="1">
      <c r="A3146" s="78">
        <v>1</v>
      </c>
      <c r="B3146" s="26" t="s">
        <v>5780</v>
      </c>
      <c r="E3146" s="26" t="s">
        <v>790</v>
      </c>
      <c r="F3146" s="26" t="s">
        <v>791</v>
      </c>
    </row>
    <row r="3147" spans="1:7" hidden="1">
      <c r="B3147" s="26" t="s">
        <v>2442</v>
      </c>
    </row>
    <row r="3148" spans="1:7" hidden="1">
      <c r="B3148" s="26" t="s">
        <v>6586</v>
      </c>
    </row>
    <row r="3149" spans="1:7" hidden="1">
      <c r="B3149" s="26" t="s">
        <v>6587</v>
      </c>
    </row>
    <row r="3150" spans="1:7" hidden="1">
      <c r="B3150" s="26" t="s">
        <v>4248</v>
      </c>
      <c r="E3150" s="322" t="s">
        <v>1697</v>
      </c>
      <c r="F3150" s="26">
        <v>13</v>
      </c>
      <c r="G3150" s="26" t="s">
        <v>3482</v>
      </c>
    </row>
    <row r="3151" spans="1:7" hidden="1">
      <c r="A3151" s="78">
        <v>2</v>
      </c>
      <c r="B3151" s="26" t="s">
        <v>8024</v>
      </c>
      <c r="E3151" s="78" t="s">
        <v>1697</v>
      </c>
      <c r="F3151" s="26">
        <v>9</v>
      </c>
      <c r="G3151" s="26" t="s">
        <v>4934</v>
      </c>
    </row>
    <row r="3152" spans="1:7" hidden="1">
      <c r="A3152" s="315"/>
      <c r="B3152" s="26" t="s">
        <v>5917</v>
      </c>
      <c r="E3152" s="78" t="s">
        <v>1697</v>
      </c>
      <c r="F3152" s="68">
        <v>11</v>
      </c>
      <c r="G3152" s="26" t="s">
        <v>6702</v>
      </c>
    </row>
    <row r="3153" spans="1:7" hidden="1">
      <c r="A3153" s="78">
        <v>3</v>
      </c>
      <c r="B3153" s="26" t="s">
        <v>8026</v>
      </c>
      <c r="E3153" s="78" t="s">
        <v>1697</v>
      </c>
      <c r="F3153" s="26">
        <v>6</v>
      </c>
      <c r="G3153" s="26" t="s">
        <v>4934</v>
      </c>
    </row>
    <row r="3154" spans="1:7" hidden="1">
      <c r="B3154" s="26" t="s">
        <v>5918</v>
      </c>
      <c r="E3154" s="78"/>
      <c r="F3154" s="68">
        <v>51</v>
      </c>
      <c r="G3154" s="26" t="s">
        <v>6702</v>
      </c>
    </row>
    <row r="3155" spans="1:7" hidden="1">
      <c r="B3155" s="26"/>
      <c r="E3155" s="78"/>
      <c r="F3155" s="68"/>
    </row>
    <row r="3156" spans="1:7" hidden="1">
      <c r="A3156" s="78">
        <v>4</v>
      </c>
      <c r="B3156" s="26" t="s">
        <v>6977</v>
      </c>
      <c r="E3156" s="78"/>
    </row>
    <row r="3157" spans="1:7" hidden="1">
      <c r="B3157" s="26" t="s">
        <v>5920</v>
      </c>
      <c r="E3157" s="322"/>
      <c r="F3157" s="26">
        <v>7</v>
      </c>
    </row>
    <row r="3158" spans="1:7" hidden="1">
      <c r="B3158" s="26" t="s">
        <v>3525</v>
      </c>
      <c r="E3158" s="78"/>
    </row>
    <row r="3159" spans="1:7" hidden="1">
      <c r="B3159" s="26" t="s">
        <v>672</v>
      </c>
      <c r="E3159" s="78"/>
    </row>
    <row r="3160" spans="1:7" hidden="1">
      <c r="B3160" s="26" t="s">
        <v>2745</v>
      </c>
      <c r="C3160" s="26" t="s">
        <v>3960</v>
      </c>
      <c r="D3160" s="26">
        <f>4*100/15</f>
        <v>26.666666666666668</v>
      </c>
      <c r="E3160" s="78" t="s">
        <v>1697</v>
      </c>
      <c r="F3160" s="26">
        <v>27</v>
      </c>
      <c r="G3160" s="26" t="s">
        <v>4041</v>
      </c>
    </row>
    <row r="3161" spans="1:7" hidden="1">
      <c r="B3161" s="26" t="s">
        <v>6979</v>
      </c>
      <c r="C3161" s="26" t="s">
        <v>5912</v>
      </c>
      <c r="E3161" s="78" t="s">
        <v>1697</v>
      </c>
      <c r="F3161" s="26">
        <v>7</v>
      </c>
      <c r="G3161" s="26" t="s">
        <v>4041</v>
      </c>
    </row>
    <row r="3162" spans="1:7" hidden="1">
      <c r="A3162" s="78">
        <v>5</v>
      </c>
      <c r="B3162" s="26" t="s">
        <v>5913</v>
      </c>
      <c r="E3162" s="315"/>
      <c r="F3162" s="68"/>
    </row>
    <row r="3163" spans="1:7" hidden="1">
      <c r="B3163" s="26" t="s">
        <v>6017</v>
      </c>
      <c r="E3163" s="315"/>
      <c r="F3163" s="68"/>
    </row>
    <row r="3164" spans="1:7" hidden="1">
      <c r="B3164" s="26" t="s">
        <v>4750</v>
      </c>
      <c r="E3164" s="315"/>
      <c r="F3164" s="68"/>
    </row>
    <row r="3165" spans="1:7" hidden="1">
      <c r="B3165" s="26" t="s">
        <v>4751</v>
      </c>
      <c r="E3165" s="315"/>
      <c r="F3165" s="68"/>
    </row>
    <row r="3166" spans="1:7">
      <c r="A3166" s="78" t="s">
        <v>3984</v>
      </c>
      <c r="C3166" s="203" t="s">
        <v>2367</v>
      </c>
      <c r="E3166" s="171" t="s">
        <v>297</v>
      </c>
      <c r="F3166" s="692">
        <v>100</v>
      </c>
      <c r="G3166" s="26" t="s">
        <v>9291</v>
      </c>
    </row>
    <row r="3167" spans="1:7">
      <c r="B3167" s="79" t="s">
        <v>2368</v>
      </c>
    </row>
    <row r="3168" spans="1:7">
      <c r="B3168" s="95" t="s">
        <v>2369</v>
      </c>
      <c r="C3168" s="157" t="s">
        <v>6374</v>
      </c>
      <c r="D3168" s="95" t="s">
        <v>2370</v>
      </c>
      <c r="E3168" s="95" t="s">
        <v>1166</v>
      </c>
      <c r="F3168" s="95" t="s">
        <v>2371</v>
      </c>
      <c r="G3168" s="95" t="s">
        <v>2372</v>
      </c>
    </row>
    <row r="3169" spans="2:7">
      <c r="B3169" s="114"/>
      <c r="C3169" s="154"/>
      <c r="D3169" s="114"/>
      <c r="E3169" s="114"/>
      <c r="F3169" s="114" t="s">
        <v>3485</v>
      </c>
      <c r="G3169" s="114" t="s">
        <v>3485</v>
      </c>
    </row>
    <row r="3170" spans="2:7">
      <c r="B3170" s="105">
        <v>1</v>
      </c>
      <c r="C3170" s="135" t="s">
        <v>4758</v>
      </c>
      <c r="D3170" s="319" t="s">
        <v>3482</v>
      </c>
      <c r="E3170" s="190">
        <v>14</v>
      </c>
      <c r="F3170" s="214">
        <f>'BASIC DATA'!D185</f>
        <v>700</v>
      </c>
      <c r="G3170" s="190">
        <f>E3170*F3170</f>
        <v>9800</v>
      </c>
    </row>
    <row r="3171" spans="2:7">
      <c r="B3171" s="105">
        <v>2</v>
      </c>
      <c r="C3171" s="135" t="s">
        <v>12</v>
      </c>
      <c r="D3171" s="319" t="s">
        <v>3482</v>
      </c>
      <c r="E3171" s="190">
        <f>F3154</f>
        <v>51</v>
      </c>
      <c r="F3171" s="214">
        <f>'BASIC DATA'!D169</f>
        <v>215</v>
      </c>
      <c r="G3171" s="190">
        <f>E3171*F3171</f>
        <v>10965</v>
      </c>
    </row>
    <row r="3172" spans="2:7">
      <c r="B3172" s="105">
        <v>3</v>
      </c>
      <c r="C3172" s="135" t="s">
        <v>4759</v>
      </c>
      <c r="D3172" s="319" t="s">
        <v>3482</v>
      </c>
      <c r="E3172" s="190">
        <v>13</v>
      </c>
      <c r="F3172" s="214">
        <f>'BASIC DATA'!D168</f>
        <v>130</v>
      </c>
      <c r="G3172" s="190">
        <f>E3172*F3172</f>
        <v>1690</v>
      </c>
    </row>
    <row r="3173" spans="2:7">
      <c r="B3173" s="105">
        <v>4</v>
      </c>
      <c r="C3173" s="135" t="s">
        <v>3851</v>
      </c>
      <c r="D3173" s="319" t="s">
        <v>2059</v>
      </c>
      <c r="E3173" s="190">
        <v>2</v>
      </c>
      <c r="F3173" s="214">
        <f>'BASIC DATA'!D110</f>
        <v>13</v>
      </c>
      <c r="G3173" s="190">
        <f>E3173*F3173</f>
        <v>26</v>
      </c>
    </row>
    <row r="3174" spans="2:7" ht="18.75" thickBot="1">
      <c r="B3174" s="114">
        <v>5</v>
      </c>
      <c r="C3174" s="135" t="s">
        <v>2373</v>
      </c>
      <c r="D3174" s="319" t="s">
        <v>2173</v>
      </c>
      <c r="E3174" s="190">
        <v>2</v>
      </c>
      <c r="F3174" s="214">
        <f>'BASIC DATA'!D359</f>
        <v>30</v>
      </c>
      <c r="G3174" s="190">
        <f>E3174*F3174</f>
        <v>60</v>
      </c>
    </row>
    <row r="3175" spans="2:7" ht="18.75" thickBot="1">
      <c r="B3175" s="92"/>
      <c r="C3175" s="193"/>
      <c r="D3175" s="151" t="s">
        <v>2376</v>
      </c>
      <c r="E3175" s="160"/>
      <c r="F3175" s="696" t="s">
        <v>1698</v>
      </c>
      <c r="G3175" s="318">
        <f>SUM(G3170:G3174)</f>
        <v>22541</v>
      </c>
    </row>
    <row r="3176" spans="2:7">
      <c r="B3176" s="33"/>
      <c r="C3176" s="30"/>
      <c r="D3176" s="31"/>
      <c r="E3176" s="198"/>
      <c r="F3176" s="200"/>
      <c r="G3176" s="75"/>
    </row>
    <row r="3177" spans="2:7">
      <c r="B3177" s="79" t="s">
        <v>2377</v>
      </c>
    </row>
    <row r="3178" spans="2:7">
      <c r="B3178" s="95" t="s">
        <v>2369</v>
      </c>
      <c r="C3178" s="157" t="s">
        <v>2378</v>
      </c>
      <c r="D3178" s="95" t="s">
        <v>2370</v>
      </c>
      <c r="E3178" s="95" t="s">
        <v>1166</v>
      </c>
      <c r="F3178" s="95" t="s">
        <v>2371</v>
      </c>
      <c r="G3178" s="95" t="s">
        <v>2372</v>
      </c>
    </row>
    <row r="3179" spans="2:7">
      <c r="B3179" s="114"/>
      <c r="C3179" s="191"/>
      <c r="D3179" s="114"/>
      <c r="E3179" s="114"/>
      <c r="F3179" s="114" t="s">
        <v>3485</v>
      </c>
      <c r="G3179" s="114" t="s">
        <v>3485</v>
      </c>
    </row>
    <row r="3180" spans="2:7">
      <c r="B3180" s="417"/>
      <c r="C3180" s="176" t="s">
        <v>5914</v>
      </c>
      <c r="D3180" s="451"/>
      <c r="E3180" s="190"/>
      <c r="F3180" s="190"/>
      <c r="G3180" s="190">
        <v>0</v>
      </c>
    </row>
    <row r="3181" spans="2:7">
      <c r="B3181" s="92"/>
      <c r="C3181" s="193"/>
      <c r="D3181" s="151" t="s">
        <v>4498</v>
      </c>
      <c r="E3181" s="160"/>
      <c r="F3181" s="236" t="s">
        <v>1698</v>
      </c>
      <c r="G3181" s="318">
        <f>SUM(G3180)</f>
        <v>0</v>
      </c>
    </row>
    <row r="3182" spans="2:7"/>
    <row r="3183" spans="2:7">
      <c r="B3183" s="79" t="s">
        <v>2381</v>
      </c>
    </row>
    <row r="3184" spans="2:7">
      <c r="B3184" s="95" t="s">
        <v>2369</v>
      </c>
      <c r="C3184" s="157" t="s">
        <v>2378</v>
      </c>
      <c r="D3184" s="95" t="s">
        <v>2370</v>
      </c>
      <c r="E3184" s="95" t="s">
        <v>1166</v>
      </c>
      <c r="F3184" s="95" t="s">
        <v>2371</v>
      </c>
      <c r="G3184" s="95" t="s">
        <v>2372</v>
      </c>
    </row>
    <row r="3185" spans="2:7">
      <c r="B3185" s="114"/>
      <c r="C3185" s="154"/>
      <c r="D3185" s="114"/>
      <c r="E3185" s="114"/>
      <c r="F3185" s="114" t="s">
        <v>3485</v>
      </c>
      <c r="G3185" s="114" t="s">
        <v>3485</v>
      </c>
    </row>
    <row r="3186" spans="2:7">
      <c r="B3186" s="105">
        <v>1</v>
      </c>
      <c r="C3186" s="76" t="s">
        <v>5549</v>
      </c>
      <c r="D3186" s="319" t="s">
        <v>1172</v>
      </c>
      <c r="E3186" s="207">
        <v>14</v>
      </c>
      <c r="F3186" s="190">
        <f>'BASIC DATA'!C529</f>
        <v>400</v>
      </c>
      <c r="G3186" s="190">
        <f>E3186*F3186</f>
        <v>5600</v>
      </c>
    </row>
    <row r="3187" spans="2:7">
      <c r="B3187" s="105">
        <v>2</v>
      </c>
      <c r="C3187" s="76" t="s">
        <v>5550</v>
      </c>
      <c r="D3187" s="319" t="s">
        <v>1172</v>
      </c>
      <c r="E3187" s="207">
        <v>27</v>
      </c>
      <c r="F3187" s="190">
        <f>'BASIC DATA'!C543</f>
        <v>400</v>
      </c>
      <c r="G3187" s="190">
        <f>E3187*F3187</f>
        <v>10800</v>
      </c>
    </row>
    <row r="3188" spans="2:7">
      <c r="B3188" s="92"/>
      <c r="C3188" s="193"/>
      <c r="D3188" s="151" t="s">
        <v>1174</v>
      </c>
      <c r="E3188" s="160"/>
      <c r="F3188" s="236" t="s">
        <v>1698</v>
      </c>
      <c r="G3188" s="318">
        <f>SUM(G3186:G3187)</f>
        <v>16400</v>
      </c>
    </row>
    <row r="3189" spans="2:7">
      <c r="B3189" s="60" t="s">
        <v>5948</v>
      </c>
      <c r="C3189" s="31"/>
      <c r="D3189" s="31"/>
      <c r="E3189" s="85">
        <f>ROUND(G3188/100,1)</f>
        <v>164</v>
      </c>
    </row>
    <row r="3190" spans="2:7">
      <c r="B3190" s="60" t="s">
        <v>3163</v>
      </c>
      <c r="C3190" s="31"/>
      <c r="D3190" s="31">
        <f>'BASIC DATA'!$C$577</f>
        <v>0.13614999999999999</v>
      </c>
      <c r="E3190" s="85">
        <f>ROUND(E3189*D3190,1)</f>
        <v>22.3</v>
      </c>
    </row>
    <row r="3191" spans="2:7">
      <c r="B3191" s="60" t="s">
        <v>5949</v>
      </c>
      <c r="C3191" s="31"/>
      <c r="D3191" s="31"/>
      <c r="E3191" s="739">
        <f>E3190+E3189</f>
        <v>186.3</v>
      </c>
    </row>
    <row r="3192" spans="2:7">
      <c r="B3192" s="26"/>
    </row>
    <row r="3193" spans="2:7">
      <c r="B3193" s="170" t="s">
        <v>1175</v>
      </c>
    </row>
    <row r="3194" spans="2:7">
      <c r="B3194" s="26" t="s">
        <v>1176</v>
      </c>
      <c r="F3194" s="171" t="s">
        <v>1698</v>
      </c>
      <c r="G3194" s="68">
        <f>G3175</f>
        <v>22541</v>
      </c>
    </row>
    <row r="3195" spans="2:7">
      <c r="B3195" s="26" t="s">
        <v>1186</v>
      </c>
      <c r="F3195" s="171" t="s">
        <v>1698</v>
      </c>
      <c r="G3195" s="68">
        <f>G3181</f>
        <v>0</v>
      </c>
    </row>
    <row r="3196" spans="2:7">
      <c r="B3196" s="26" t="s">
        <v>2660</v>
      </c>
      <c r="F3196" s="171" t="s">
        <v>1698</v>
      </c>
      <c r="G3196" s="75">
        <f>G3188</f>
        <v>16400</v>
      </c>
    </row>
    <row r="3197" spans="2:7">
      <c r="B3197" s="26"/>
      <c r="E3197" s="171" t="s">
        <v>5551</v>
      </c>
      <c r="F3197" s="171" t="s">
        <v>1698</v>
      </c>
      <c r="G3197" s="205">
        <f>SUM(G3194:G3196)</f>
        <v>38941</v>
      </c>
    </row>
    <row r="3198" spans="2:7">
      <c r="B3198" s="26" t="s">
        <v>5087</v>
      </c>
      <c r="E3198" s="693">
        <f>'BASIC DATA'!C593</f>
        <v>0</v>
      </c>
      <c r="F3198" s="171" t="s">
        <v>1698</v>
      </c>
      <c r="G3198" s="68">
        <f>(G3196+G3195)*0.75*E3198</f>
        <v>0</v>
      </c>
    </row>
    <row r="3199" spans="2:7">
      <c r="B3199" s="26" t="s">
        <v>5084</v>
      </c>
      <c r="E3199" s="171" t="s">
        <v>1518</v>
      </c>
      <c r="F3199" s="171" t="s">
        <v>1698</v>
      </c>
      <c r="G3199" s="205">
        <f>G3198+G3197</f>
        <v>38941</v>
      </c>
    </row>
    <row r="3200" spans="2:7">
      <c r="B3200" s="26" t="s">
        <v>5086</v>
      </c>
      <c r="E3200" s="201">
        <f>'BASIC DATA'!C594</f>
        <v>0.03</v>
      </c>
      <c r="F3200" s="171" t="s">
        <v>1698</v>
      </c>
      <c r="G3200" s="75">
        <f>G3199*E3200</f>
        <v>1168.23</v>
      </c>
    </row>
    <row r="3201" spans="1:9">
      <c r="B3201" s="26"/>
      <c r="E3201" s="26" t="s">
        <v>2392</v>
      </c>
      <c r="F3201" s="171" t="s">
        <v>1698</v>
      </c>
      <c r="G3201" s="75">
        <f>G3200+G3199</f>
        <v>40109.230000000003</v>
      </c>
    </row>
    <row r="3202" spans="1:9">
      <c r="B3202" s="1206" t="s">
        <v>4717</v>
      </c>
      <c r="C3202" s="1206"/>
      <c r="D3202" s="201">
        <f>'BASIC DATA'!$C$577</f>
        <v>0.13614999999999999</v>
      </c>
      <c r="F3202" s="171" t="s">
        <v>1698</v>
      </c>
      <c r="G3202" s="75">
        <f>G3201*D3202</f>
        <v>5460.8716645000004</v>
      </c>
      <c r="I3202" s="68"/>
    </row>
    <row r="3203" spans="1:9" ht="18.75" thickBot="1">
      <c r="B3203" s="26" t="s">
        <v>5078</v>
      </c>
      <c r="D3203" s="68">
        <v>100</v>
      </c>
      <c r="E3203" s="26" t="s">
        <v>3479</v>
      </c>
      <c r="F3203" s="171" t="s">
        <v>1698</v>
      </c>
      <c r="G3203" s="205">
        <f>G3202+G3201</f>
        <v>45570.101664500005</v>
      </c>
    </row>
    <row r="3204" spans="1:9" ht="18.75" thickBot="1">
      <c r="D3204" s="694" t="s">
        <v>3884</v>
      </c>
      <c r="E3204" s="695" t="s">
        <v>5915</v>
      </c>
      <c r="F3204" s="696" t="s">
        <v>1698</v>
      </c>
      <c r="G3204" s="715">
        <f>ROUND(G3203/D3203,1)</f>
        <v>455.7</v>
      </c>
      <c r="H3204" s="68"/>
    </row>
    <row r="3205" spans="1:9">
      <c r="B3205" s="26"/>
      <c r="C3205" s="78"/>
    </row>
    <row r="3206" spans="1:9">
      <c r="B3206" s="26"/>
      <c r="C3206" s="78"/>
    </row>
    <row r="3207" spans="1:9">
      <c r="A3207" s="26" t="s">
        <v>7186</v>
      </c>
      <c r="B3207" s="170" t="s">
        <v>3023</v>
      </c>
    </row>
    <row r="3208" spans="1:9">
      <c r="B3208" s="26"/>
    </row>
    <row r="3209" spans="1:9">
      <c r="B3209" s="26" t="s">
        <v>9073</v>
      </c>
      <c r="E3209" s="322"/>
    </row>
    <row r="3210" spans="1:9">
      <c r="B3210" s="26" t="s">
        <v>9074</v>
      </c>
      <c r="E3210" s="322"/>
    </row>
    <row r="3211" spans="1:9">
      <c r="B3211" s="26" t="s">
        <v>9075</v>
      </c>
      <c r="E3211" s="322"/>
    </row>
    <row r="3212" spans="1:9">
      <c r="B3212" s="26" t="s">
        <v>9076</v>
      </c>
    </row>
    <row r="3213" spans="1:9">
      <c r="B3213" s="26" t="s">
        <v>787</v>
      </c>
    </row>
    <row r="3214" spans="1:9">
      <c r="B3214" s="26" t="s">
        <v>788</v>
      </c>
    </row>
    <row r="3215" spans="1:9">
      <c r="B3215" s="26" t="s">
        <v>789</v>
      </c>
      <c r="E3215" s="322"/>
    </row>
    <row r="3216" spans="1:9" hidden="1">
      <c r="A3216" s="78" t="s">
        <v>3984</v>
      </c>
      <c r="B3216" s="26"/>
      <c r="E3216" s="322"/>
    </row>
    <row r="3217" spans="1:7" hidden="1">
      <c r="A3217" s="78">
        <v>1</v>
      </c>
      <c r="B3217" s="26" t="s">
        <v>5780</v>
      </c>
      <c r="E3217" s="26" t="s">
        <v>790</v>
      </c>
      <c r="F3217" s="26" t="s">
        <v>791</v>
      </c>
    </row>
    <row r="3218" spans="1:7" hidden="1">
      <c r="B3218" s="26" t="s">
        <v>2442</v>
      </c>
    </row>
    <row r="3219" spans="1:7" hidden="1">
      <c r="B3219" s="26" t="s">
        <v>6586</v>
      </c>
    </row>
    <row r="3220" spans="1:7" hidden="1">
      <c r="B3220" s="26" t="s">
        <v>6587</v>
      </c>
    </row>
    <row r="3221" spans="1:7" hidden="1">
      <c r="B3221" s="26" t="s">
        <v>4248</v>
      </c>
      <c r="E3221" s="322" t="s">
        <v>1697</v>
      </c>
      <c r="F3221" s="26">
        <v>13</v>
      </c>
      <c r="G3221" s="26" t="s">
        <v>3482</v>
      </c>
    </row>
    <row r="3222" spans="1:7" hidden="1">
      <c r="A3222" s="78">
        <v>2</v>
      </c>
      <c r="B3222" s="26" t="s">
        <v>8027</v>
      </c>
      <c r="E3222" s="78" t="s">
        <v>1697</v>
      </c>
      <c r="F3222" s="26">
        <v>12</v>
      </c>
      <c r="G3222" s="26" t="s">
        <v>4934</v>
      </c>
    </row>
    <row r="3223" spans="1:7" hidden="1">
      <c r="A3223" s="315"/>
      <c r="B3223" s="26" t="s">
        <v>1621</v>
      </c>
      <c r="E3223" s="78" t="s">
        <v>1697</v>
      </c>
      <c r="F3223" s="68">
        <v>17</v>
      </c>
      <c r="G3223" s="26" t="s">
        <v>6702</v>
      </c>
    </row>
    <row r="3224" spans="1:7" hidden="1">
      <c r="A3224" s="78">
        <v>3</v>
      </c>
      <c r="B3224" s="26" t="s">
        <v>8028</v>
      </c>
      <c r="E3224" s="78" t="s">
        <v>1697</v>
      </c>
      <c r="F3224" s="26">
        <v>12</v>
      </c>
      <c r="G3224" s="26" t="s">
        <v>4934</v>
      </c>
    </row>
    <row r="3225" spans="1:7" hidden="1">
      <c r="B3225" s="26" t="s">
        <v>1622</v>
      </c>
      <c r="E3225" s="78"/>
      <c r="F3225" s="68">
        <v>26</v>
      </c>
      <c r="G3225" s="26" t="s">
        <v>6702</v>
      </c>
    </row>
    <row r="3226" spans="1:7" hidden="1">
      <c r="A3226" s="78">
        <v>4</v>
      </c>
      <c r="B3226" s="26" t="s">
        <v>6977</v>
      </c>
      <c r="E3226" s="78"/>
    </row>
    <row r="3227" spans="1:7" hidden="1">
      <c r="B3227" s="26" t="s">
        <v>5920</v>
      </c>
      <c r="E3227" s="322"/>
      <c r="F3227" s="26">
        <v>7</v>
      </c>
    </row>
    <row r="3228" spans="1:7" hidden="1">
      <c r="B3228" s="26" t="s">
        <v>3525</v>
      </c>
      <c r="E3228" s="78"/>
    </row>
    <row r="3229" spans="1:7" hidden="1">
      <c r="B3229" s="26" t="s">
        <v>672</v>
      </c>
      <c r="E3229" s="78"/>
    </row>
    <row r="3230" spans="1:7" hidden="1">
      <c r="B3230" s="26" t="s">
        <v>2745</v>
      </c>
      <c r="C3230" s="26" t="s">
        <v>2444</v>
      </c>
      <c r="D3230" s="26">
        <f>5*100/15</f>
        <v>33.333333333333336</v>
      </c>
      <c r="E3230" s="78" t="s">
        <v>1697</v>
      </c>
      <c r="F3230" s="26">
        <v>33</v>
      </c>
      <c r="G3230" s="26" t="s">
        <v>4041</v>
      </c>
    </row>
    <row r="3231" spans="1:7" hidden="1">
      <c r="B3231" s="26" t="s">
        <v>6979</v>
      </c>
      <c r="C3231" s="26" t="s">
        <v>5912</v>
      </c>
      <c r="E3231" s="78" t="s">
        <v>1697</v>
      </c>
      <c r="F3231" s="26">
        <v>8</v>
      </c>
      <c r="G3231" s="26" t="s">
        <v>4041</v>
      </c>
    </row>
    <row r="3232" spans="1:7" hidden="1">
      <c r="A3232" s="78">
        <v>5</v>
      </c>
      <c r="B3232" s="26" t="s">
        <v>5913</v>
      </c>
      <c r="E3232" s="315"/>
      <c r="F3232" s="68"/>
    </row>
    <row r="3233" spans="1:7" hidden="1">
      <c r="B3233" s="26" t="s">
        <v>6017</v>
      </c>
      <c r="E3233" s="315"/>
      <c r="F3233" s="68"/>
    </row>
    <row r="3234" spans="1:7" hidden="1">
      <c r="B3234" s="26" t="s">
        <v>4750</v>
      </c>
      <c r="E3234" s="315"/>
      <c r="F3234" s="68"/>
    </row>
    <row r="3235" spans="1:7" hidden="1">
      <c r="B3235" s="26" t="s">
        <v>4751</v>
      </c>
      <c r="E3235" s="315"/>
      <c r="F3235" s="68"/>
    </row>
    <row r="3236" spans="1:7">
      <c r="A3236" s="78" t="s">
        <v>3984</v>
      </c>
      <c r="C3236" s="203" t="s">
        <v>2367</v>
      </c>
      <c r="E3236" s="171" t="s">
        <v>297</v>
      </c>
      <c r="F3236" s="692">
        <v>100</v>
      </c>
      <c r="G3236" s="26" t="s">
        <v>9291</v>
      </c>
    </row>
    <row r="3237" spans="1:7" ht="18.75">
      <c r="B3237" s="79" t="s">
        <v>9072</v>
      </c>
    </row>
    <row r="3238" spans="1:7">
      <c r="B3238" s="95" t="s">
        <v>2369</v>
      </c>
      <c r="C3238" s="157" t="s">
        <v>6374</v>
      </c>
      <c r="D3238" s="95" t="s">
        <v>2370</v>
      </c>
      <c r="E3238" s="95" t="s">
        <v>1166</v>
      </c>
      <c r="F3238" s="95" t="s">
        <v>2371</v>
      </c>
      <c r="G3238" s="95" t="s">
        <v>2372</v>
      </c>
    </row>
    <row r="3239" spans="1:7">
      <c r="B3239" s="114"/>
      <c r="C3239" s="154"/>
      <c r="D3239" s="114"/>
      <c r="E3239" s="114"/>
      <c r="F3239" s="114" t="s">
        <v>3485</v>
      </c>
      <c r="G3239" s="114" t="s">
        <v>3485</v>
      </c>
    </row>
    <row r="3240" spans="1:7">
      <c r="B3240" s="105">
        <v>1</v>
      </c>
      <c r="C3240" s="135" t="s">
        <v>1623</v>
      </c>
      <c r="D3240" s="319" t="s">
        <v>3482</v>
      </c>
      <c r="E3240" s="190">
        <f>F3223</f>
        <v>17</v>
      </c>
      <c r="F3240" s="214">
        <f>'BASIC DATA'!D112</f>
        <v>235</v>
      </c>
      <c r="G3240" s="190">
        <f>F3240*E3240</f>
        <v>3995</v>
      </c>
    </row>
    <row r="3241" spans="1:7">
      <c r="B3241" s="105">
        <v>2</v>
      </c>
      <c r="C3241" s="135" t="s">
        <v>1624</v>
      </c>
      <c r="D3241" s="319" t="s">
        <v>3482</v>
      </c>
      <c r="E3241" s="190">
        <f>F3225</f>
        <v>26</v>
      </c>
      <c r="F3241" s="214">
        <f>'BASIC DATA'!D100</f>
        <v>260</v>
      </c>
      <c r="G3241" s="190">
        <f>F3241*E3241</f>
        <v>6760</v>
      </c>
    </row>
    <row r="3242" spans="1:7">
      <c r="B3242" s="105">
        <v>3</v>
      </c>
      <c r="C3242" s="135" t="s">
        <v>4759</v>
      </c>
      <c r="D3242" s="319" t="s">
        <v>3482</v>
      </c>
      <c r="E3242" s="190">
        <f>F3221</f>
        <v>13</v>
      </c>
      <c r="F3242" s="214">
        <f>'BASIC DATA'!D168</f>
        <v>130</v>
      </c>
      <c r="G3242" s="190">
        <f>F3242*E3242</f>
        <v>1690</v>
      </c>
    </row>
    <row r="3243" spans="1:7">
      <c r="B3243" s="105">
        <v>4</v>
      </c>
      <c r="C3243" s="135" t="s">
        <v>3851</v>
      </c>
      <c r="D3243" s="319" t="s">
        <v>2059</v>
      </c>
      <c r="E3243" s="190">
        <v>2</v>
      </c>
      <c r="F3243" s="214">
        <f>'BASIC DATA'!D110</f>
        <v>13</v>
      </c>
      <c r="G3243" s="190">
        <f>F3243*E3243</f>
        <v>26</v>
      </c>
    </row>
    <row r="3244" spans="1:7">
      <c r="B3244" s="114">
        <v>5</v>
      </c>
      <c r="C3244" s="135" t="s">
        <v>2373</v>
      </c>
      <c r="D3244" s="319" t="s">
        <v>2173</v>
      </c>
      <c r="E3244" s="190">
        <v>2</v>
      </c>
      <c r="F3244" s="214">
        <f>'BASIC DATA'!D359</f>
        <v>30</v>
      </c>
      <c r="G3244" s="190">
        <f>F3244*E3244</f>
        <v>60</v>
      </c>
    </row>
    <row r="3245" spans="1:7">
      <c r="B3245" s="92"/>
      <c r="C3245" s="193"/>
      <c r="D3245" s="151" t="s">
        <v>2376</v>
      </c>
      <c r="E3245" s="160"/>
      <c r="F3245" s="236"/>
      <c r="G3245" s="318">
        <f>SUM(G3240:G3244)</f>
        <v>12531</v>
      </c>
    </row>
    <row r="3246" spans="1:7">
      <c r="B3246" s="33"/>
      <c r="C3246" s="30"/>
      <c r="D3246" s="31"/>
      <c r="E3246" s="198"/>
      <c r="F3246" s="200"/>
      <c r="G3246" s="75"/>
    </row>
    <row r="3247" spans="1:7">
      <c r="B3247" s="239" t="s">
        <v>2377</v>
      </c>
    </row>
    <row r="3248" spans="1:7">
      <c r="B3248" s="105" t="s">
        <v>2369</v>
      </c>
      <c r="C3248" s="157" t="s">
        <v>2378</v>
      </c>
      <c r="D3248" s="95" t="s">
        <v>2370</v>
      </c>
      <c r="E3248" s="97" t="s">
        <v>1166</v>
      </c>
      <c r="F3248" s="95" t="s">
        <v>2371</v>
      </c>
      <c r="G3248" s="95" t="s">
        <v>2372</v>
      </c>
    </row>
    <row r="3249" spans="2:7">
      <c r="B3249" s="114"/>
      <c r="C3249" s="154"/>
      <c r="D3249" s="191"/>
      <c r="E3249" s="192"/>
      <c r="F3249" s="114" t="s">
        <v>3485</v>
      </c>
      <c r="G3249" s="114" t="s">
        <v>3485</v>
      </c>
    </row>
    <row r="3250" spans="2:7">
      <c r="B3250" s="417"/>
      <c r="C3250" s="176" t="s">
        <v>5914</v>
      </c>
      <c r="D3250" s="114"/>
      <c r="E3250" s="114">
        <v>0</v>
      </c>
      <c r="F3250" s="214" t="s">
        <v>4391</v>
      </c>
      <c r="G3250" s="190">
        <v>0</v>
      </c>
    </row>
    <row r="3251" spans="2:7">
      <c r="B3251" s="92"/>
      <c r="C3251" s="193"/>
      <c r="D3251" s="151" t="s">
        <v>4498</v>
      </c>
      <c r="E3251" s="160"/>
      <c r="F3251" s="236"/>
      <c r="G3251" s="318">
        <f>SUM(G3250)</f>
        <v>0</v>
      </c>
    </row>
    <row r="3252" spans="2:7"/>
    <row r="3253" spans="2:7">
      <c r="B3253" s="26" t="s">
        <v>6252</v>
      </c>
    </row>
    <row r="3254" spans="2:7">
      <c r="B3254" s="95" t="s">
        <v>2369</v>
      </c>
      <c r="C3254" s="175" t="s">
        <v>2378</v>
      </c>
      <c r="D3254" s="95" t="s">
        <v>2370</v>
      </c>
      <c r="E3254" s="95" t="s">
        <v>1166</v>
      </c>
      <c r="F3254" s="95" t="s">
        <v>2371</v>
      </c>
      <c r="G3254" s="95" t="s">
        <v>2372</v>
      </c>
    </row>
    <row r="3255" spans="2:7">
      <c r="B3255" s="114"/>
      <c r="C3255" s="154"/>
      <c r="D3255" s="114"/>
      <c r="E3255" s="114"/>
      <c r="F3255" s="114" t="s">
        <v>3485</v>
      </c>
      <c r="G3255" s="114" t="s">
        <v>3485</v>
      </c>
    </row>
    <row r="3256" spans="2:7">
      <c r="B3256" s="105">
        <v>1</v>
      </c>
      <c r="C3256" s="76" t="s">
        <v>5549</v>
      </c>
      <c r="D3256" s="319" t="s">
        <v>1172</v>
      </c>
      <c r="E3256" s="207">
        <v>15</v>
      </c>
      <c r="F3256" s="190">
        <f>'BASIC DATA'!C529</f>
        <v>400</v>
      </c>
      <c r="G3256" s="190">
        <f>F3256*E3256</f>
        <v>6000</v>
      </c>
    </row>
    <row r="3257" spans="2:7">
      <c r="B3257" s="105">
        <v>2</v>
      </c>
      <c r="C3257" s="76" t="s">
        <v>5550</v>
      </c>
      <c r="D3257" s="319" t="s">
        <v>1172</v>
      </c>
      <c r="E3257" s="207">
        <v>33</v>
      </c>
      <c r="F3257" s="190">
        <f>'BASIC DATA'!C543</f>
        <v>400</v>
      </c>
      <c r="G3257" s="190">
        <f>F3257*E3257</f>
        <v>13200</v>
      </c>
    </row>
    <row r="3258" spans="2:7">
      <c r="B3258" s="92"/>
      <c r="C3258" s="193"/>
      <c r="D3258" s="151" t="s">
        <v>1174</v>
      </c>
      <c r="E3258" s="160"/>
      <c r="F3258" s="236"/>
      <c r="G3258" s="318">
        <f>SUM(G3256:G3257)</f>
        <v>19200</v>
      </c>
    </row>
    <row r="3259" spans="2:7">
      <c r="B3259" s="60" t="s">
        <v>5948</v>
      </c>
      <c r="C3259" s="31"/>
      <c r="D3259" s="31"/>
      <c r="E3259" s="85">
        <f>ROUND(G3258/100,1)</f>
        <v>192</v>
      </c>
    </row>
    <row r="3260" spans="2:7">
      <c r="B3260" s="60" t="s">
        <v>3163</v>
      </c>
      <c r="C3260" s="31"/>
      <c r="D3260" s="31">
        <f>'BASIC DATA'!$C$577</f>
        <v>0.13614999999999999</v>
      </c>
      <c r="E3260" s="85">
        <f>ROUND(E3259*D3260,1)</f>
        <v>26.1</v>
      </c>
    </row>
    <row r="3261" spans="2:7">
      <c r="B3261" s="60" t="s">
        <v>5949</v>
      </c>
      <c r="C3261" s="31"/>
      <c r="D3261" s="31"/>
      <c r="E3261" s="739">
        <f>E3260+E3259</f>
        <v>218.1</v>
      </c>
    </row>
    <row r="3262" spans="2:7">
      <c r="B3262" s="33"/>
      <c r="C3262" s="31"/>
      <c r="D3262" s="31"/>
      <c r="E3262" s="198"/>
      <c r="F3262" s="200"/>
      <c r="G3262" s="75"/>
    </row>
    <row r="3263" spans="2:7">
      <c r="B3263" s="170" t="s">
        <v>1175</v>
      </c>
    </row>
    <row r="3264" spans="2:7">
      <c r="B3264" s="26" t="s">
        <v>1176</v>
      </c>
      <c r="F3264" s="171" t="s">
        <v>4108</v>
      </c>
      <c r="G3264" s="68">
        <f>G3245</f>
        <v>12531</v>
      </c>
    </row>
    <row r="3265" spans="1:9">
      <c r="B3265" s="26" t="s">
        <v>1186</v>
      </c>
      <c r="F3265" s="171" t="s">
        <v>4108</v>
      </c>
      <c r="G3265" s="68">
        <f>G3251</f>
        <v>0</v>
      </c>
    </row>
    <row r="3266" spans="1:9">
      <c r="B3266" s="26" t="s">
        <v>2660</v>
      </c>
      <c r="F3266" s="171" t="s">
        <v>4108</v>
      </c>
      <c r="G3266" s="68">
        <f>G3258</f>
        <v>19200</v>
      </c>
    </row>
    <row r="3267" spans="1:9">
      <c r="B3267" s="26"/>
      <c r="E3267" s="171" t="s">
        <v>5551</v>
      </c>
      <c r="F3267" s="171" t="s">
        <v>1698</v>
      </c>
      <c r="G3267" s="205">
        <f>SUM(G3264:G3266)</f>
        <v>31731</v>
      </c>
    </row>
    <row r="3268" spans="1:9">
      <c r="B3268" s="26" t="s">
        <v>5087</v>
      </c>
      <c r="E3268" s="693">
        <f>'BASIC DATA'!C593</f>
        <v>0</v>
      </c>
      <c r="F3268" s="171" t="s">
        <v>1698</v>
      </c>
      <c r="G3268" s="68">
        <f>(G3266+G3265)*0.75*E3268</f>
        <v>0</v>
      </c>
    </row>
    <row r="3269" spans="1:9">
      <c r="B3269" s="26" t="s">
        <v>5084</v>
      </c>
      <c r="E3269" s="171" t="s">
        <v>1518</v>
      </c>
      <c r="F3269" s="171" t="s">
        <v>1698</v>
      </c>
      <c r="G3269" s="205">
        <f>G3268+G3267</f>
        <v>31731</v>
      </c>
    </row>
    <row r="3270" spans="1:9">
      <c r="B3270" s="26" t="s">
        <v>5086</v>
      </c>
      <c r="E3270" s="201">
        <f>'BASIC DATA'!C594</f>
        <v>0.03</v>
      </c>
      <c r="F3270" s="171" t="s">
        <v>1698</v>
      </c>
      <c r="G3270" s="75">
        <f>G3269*E3270</f>
        <v>951.93</v>
      </c>
    </row>
    <row r="3271" spans="1:9">
      <c r="B3271" s="26"/>
      <c r="E3271" s="26" t="s">
        <v>2392</v>
      </c>
      <c r="F3271" s="171" t="s">
        <v>1698</v>
      </c>
      <c r="G3271" s="75">
        <f>G3270+G3269</f>
        <v>32682.93</v>
      </c>
    </row>
    <row r="3272" spans="1:9">
      <c r="B3272" s="1206" t="s">
        <v>4717</v>
      </c>
      <c r="C3272" s="1206"/>
      <c r="D3272" s="201">
        <f>'BASIC DATA'!$C$577</f>
        <v>0.13614999999999999</v>
      </c>
      <c r="F3272" s="171" t="s">
        <v>1698</v>
      </c>
      <c r="G3272" s="75">
        <f>G3271*D3272</f>
        <v>4449.7809195</v>
      </c>
      <c r="I3272" s="68"/>
    </row>
    <row r="3273" spans="1:9">
      <c r="B3273" s="26" t="s">
        <v>5078</v>
      </c>
      <c r="D3273" s="68">
        <v>100</v>
      </c>
      <c r="E3273" s="26" t="s">
        <v>3479</v>
      </c>
      <c r="F3273" s="171" t="s">
        <v>1698</v>
      </c>
      <c r="G3273" s="205">
        <f>G3272+G3271</f>
        <v>37132.710919500001</v>
      </c>
    </row>
    <row r="3274" spans="1:9">
      <c r="D3274" s="733" t="s">
        <v>3884</v>
      </c>
      <c r="E3274" s="314" t="s">
        <v>5915</v>
      </c>
      <c r="F3274" s="200"/>
      <c r="G3274" s="766">
        <f>ROUND(G3273/D3273,1)</f>
        <v>371.3</v>
      </c>
      <c r="H3274" s="68"/>
    </row>
    <row r="3275" spans="1:9">
      <c r="B3275" s="26"/>
      <c r="C3275" s="78"/>
    </row>
    <row r="3276" spans="1:9">
      <c r="B3276" s="26"/>
    </row>
    <row r="3277" spans="1:9">
      <c r="B3277" s="170" t="s">
        <v>1625</v>
      </c>
    </row>
    <row r="3278" spans="1:9">
      <c r="A3278" s="26" t="s">
        <v>7187</v>
      </c>
      <c r="B3278" s="26" t="s">
        <v>9077</v>
      </c>
      <c r="E3278" s="322"/>
    </row>
    <row r="3279" spans="1:9">
      <c r="B3279" s="26" t="s">
        <v>9078</v>
      </c>
      <c r="E3279" s="322"/>
    </row>
    <row r="3280" spans="1:9">
      <c r="B3280" s="26" t="s">
        <v>9079</v>
      </c>
      <c r="E3280" s="322"/>
    </row>
    <row r="3281" spans="1:7">
      <c r="B3281" s="26" t="s">
        <v>9080</v>
      </c>
      <c r="E3281" s="322"/>
    </row>
    <row r="3282" spans="1:7" hidden="1">
      <c r="A3282" s="78" t="s">
        <v>3984</v>
      </c>
      <c r="B3282" s="26"/>
      <c r="E3282" s="322"/>
    </row>
    <row r="3283" spans="1:7" hidden="1">
      <c r="B3283" s="26" t="s">
        <v>1961</v>
      </c>
    </row>
    <row r="3284" spans="1:7" hidden="1">
      <c r="B3284" s="26" t="s">
        <v>787</v>
      </c>
    </row>
    <row r="3285" spans="1:7" hidden="1">
      <c r="B3285" s="26" t="s">
        <v>788</v>
      </c>
    </row>
    <row r="3286" spans="1:7" hidden="1">
      <c r="B3286" s="26" t="s">
        <v>789</v>
      </c>
      <c r="E3286" s="322"/>
    </row>
    <row r="3287" spans="1:7" hidden="1">
      <c r="B3287" s="26"/>
      <c r="E3287" s="322"/>
    </row>
    <row r="3288" spans="1:7" hidden="1">
      <c r="A3288" s="78">
        <v>1</v>
      </c>
      <c r="B3288" s="26" t="s">
        <v>5780</v>
      </c>
      <c r="E3288" s="26" t="s">
        <v>790</v>
      </c>
      <c r="F3288" s="26" t="s">
        <v>791</v>
      </c>
    </row>
    <row r="3289" spans="1:7" hidden="1">
      <c r="B3289" s="26" t="s">
        <v>2442</v>
      </c>
    </row>
    <row r="3290" spans="1:7" hidden="1">
      <c r="B3290" s="26" t="s">
        <v>6586</v>
      </c>
    </row>
    <row r="3291" spans="1:7" hidden="1">
      <c r="B3291" s="26" t="s">
        <v>6587</v>
      </c>
    </row>
    <row r="3292" spans="1:7" hidden="1">
      <c r="B3292" s="26" t="s">
        <v>4248</v>
      </c>
      <c r="E3292" s="322" t="s">
        <v>1697</v>
      </c>
      <c r="F3292" s="26">
        <v>13</v>
      </c>
      <c r="G3292" s="26" t="s">
        <v>3482</v>
      </c>
    </row>
    <row r="3293" spans="1:7" hidden="1">
      <c r="B3293" s="26"/>
    </row>
    <row r="3294" spans="1:7" hidden="1">
      <c r="A3294" s="78">
        <v>2</v>
      </c>
      <c r="B3294" s="26" t="s">
        <v>8024</v>
      </c>
      <c r="E3294" s="78" t="s">
        <v>1697</v>
      </c>
      <c r="F3294" s="26">
        <v>9</v>
      </c>
      <c r="G3294" s="26" t="s">
        <v>4934</v>
      </c>
    </row>
    <row r="3295" spans="1:7" hidden="1">
      <c r="A3295" s="315"/>
      <c r="B3295" s="26" t="s">
        <v>3958</v>
      </c>
      <c r="E3295" s="78" t="s">
        <v>1697</v>
      </c>
      <c r="F3295" s="68">
        <v>11</v>
      </c>
      <c r="G3295" s="26" t="s">
        <v>6702</v>
      </c>
    </row>
    <row r="3296" spans="1:7" hidden="1">
      <c r="A3296" s="78">
        <v>3</v>
      </c>
      <c r="B3296" s="26" t="s">
        <v>8029</v>
      </c>
      <c r="E3296" s="78" t="s">
        <v>1697</v>
      </c>
      <c r="F3296" s="26">
        <v>6</v>
      </c>
      <c r="G3296" s="26" t="s">
        <v>4934</v>
      </c>
    </row>
    <row r="3297" spans="1:7" hidden="1">
      <c r="B3297" s="26" t="s">
        <v>841</v>
      </c>
      <c r="E3297" s="78"/>
      <c r="F3297" s="68">
        <v>34</v>
      </c>
      <c r="G3297" s="26" t="s">
        <v>6702</v>
      </c>
    </row>
    <row r="3298" spans="1:7" hidden="1">
      <c r="B3298" s="26"/>
      <c r="E3298" s="78"/>
      <c r="F3298" s="68"/>
    </row>
    <row r="3299" spans="1:7" hidden="1">
      <c r="A3299" s="78">
        <v>4</v>
      </c>
      <c r="B3299" s="26" t="s">
        <v>6977</v>
      </c>
      <c r="E3299" s="78"/>
    </row>
    <row r="3300" spans="1:7" hidden="1">
      <c r="B3300" s="26" t="s">
        <v>6824</v>
      </c>
      <c r="E3300" s="322"/>
      <c r="F3300" s="26" t="s">
        <v>6825</v>
      </c>
    </row>
    <row r="3301" spans="1:7" hidden="1">
      <c r="B3301" s="26" t="s">
        <v>4680</v>
      </c>
      <c r="E3301" s="78"/>
    </row>
    <row r="3302" spans="1:7" hidden="1">
      <c r="B3302" s="26" t="s">
        <v>672</v>
      </c>
      <c r="E3302" s="78"/>
    </row>
    <row r="3303" spans="1:7" hidden="1">
      <c r="B3303" s="26" t="s">
        <v>2745</v>
      </c>
      <c r="C3303" s="26" t="s">
        <v>6978</v>
      </c>
      <c r="D3303" s="26">
        <f>3*100/15</f>
        <v>20</v>
      </c>
      <c r="E3303" s="78" t="s">
        <v>1697</v>
      </c>
      <c r="F3303" s="26">
        <v>20</v>
      </c>
      <c r="G3303" s="26" t="s">
        <v>4041</v>
      </c>
    </row>
    <row r="3304" spans="1:7" hidden="1">
      <c r="B3304" s="26" t="s">
        <v>6979</v>
      </c>
      <c r="C3304" s="26" t="s">
        <v>5912</v>
      </c>
      <c r="E3304" s="78" t="s">
        <v>1697</v>
      </c>
      <c r="F3304" s="26">
        <v>5</v>
      </c>
      <c r="G3304" s="26" t="s">
        <v>4041</v>
      </c>
    </row>
    <row r="3305" spans="1:7" hidden="1">
      <c r="A3305" s="78">
        <v>5</v>
      </c>
      <c r="B3305" s="26" t="s">
        <v>5913</v>
      </c>
      <c r="E3305" s="315"/>
      <c r="F3305" s="68"/>
    </row>
    <row r="3306" spans="1:7" hidden="1">
      <c r="B3306" s="26" t="s">
        <v>6017</v>
      </c>
      <c r="E3306" s="315"/>
      <c r="F3306" s="68"/>
    </row>
    <row r="3307" spans="1:7" hidden="1">
      <c r="B3307" s="26" t="s">
        <v>4750</v>
      </c>
      <c r="E3307" s="315"/>
      <c r="F3307" s="68"/>
    </row>
    <row r="3308" spans="1:7" hidden="1">
      <c r="B3308" s="26" t="s">
        <v>4751</v>
      </c>
      <c r="E3308" s="315"/>
      <c r="F3308" s="68"/>
    </row>
    <row r="3309" spans="1:7">
      <c r="A3309" s="78" t="s">
        <v>3984</v>
      </c>
      <c r="C3309" s="203" t="s">
        <v>2367</v>
      </c>
      <c r="E3309" s="171" t="s">
        <v>297</v>
      </c>
      <c r="F3309" s="692">
        <v>100</v>
      </c>
      <c r="G3309" s="26" t="s">
        <v>9291</v>
      </c>
    </row>
    <row r="3310" spans="1:7">
      <c r="B3310" s="79" t="s">
        <v>2368</v>
      </c>
    </row>
    <row r="3311" spans="1:7">
      <c r="B3311" s="95" t="s">
        <v>2369</v>
      </c>
      <c r="C3311" s="157" t="s">
        <v>6374</v>
      </c>
      <c r="D3311" s="95" t="s">
        <v>2370</v>
      </c>
      <c r="E3311" s="95" t="s">
        <v>1166</v>
      </c>
      <c r="F3311" s="95" t="s">
        <v>2371</v>
      </c>
      <c r="G3311" s="95" t="s">
        <v>2372</v>
      </c>
    </row>
    <row r="3312" spans="1:7">
      <c r="B3312" s="114"/>
      <c r="C3312" s="154"/>
      <c r="D3312" s="114"/>
      <c r="E3312" s="114"/>
      <c r="F3312" s="114" t="s">
        <v>3485</v>
      </c>
      <c r="G3312" s="114" t="s">
        <v>3485</v>
      </c>
    </row>
    <row r="3313" spans="2:7">
      <c r="B3313" s="105">
        <v>1</v>
      </c>
      <c r="C3313" s="135" t="s">
        <v>4758</v>
      </c>
      <c r="D3313" s="319" t="s">
        <v>3482</v>
      </c>
      <c r="E3313" s="190">
        <f>F3295</f>
        <v>11</v>
      </c>
      <c r="F3313" s="214">
        <f>'BASIC DATA'!D185</f>
        <v>700</v>
      </c>
      <c r="G3313" s="190">
        <f>E3313*F3313</f>
        <v>7700</v>
      </c>
    </row>
    <row r="3314" spans="2:7">
      <c r="B3314" s="105">
        <v>2</v>
      </c>
      <c r="C3314" s="135" t="s">
        <v>12</v>
      </c>
      <c r="D3314" s="319" t="s">
        <v>3482</v>
      </c>
      <c r="E3314" s="190">
        <f>F3297</f>
        <v>34</v>
      </c>
      <c r="F3314" s="214">
        <f>'BASIC DATA'!D169</f>
        <v>215</v>
      </c>
      <c r="G3314" s="190">
        <f>E3314*F3314</f>
        <v>7310</v>
      </c>
    </row>
    <row r="3315" spans="2:7">
      <c r="B3315" s="105">
        <v>3</v>
      </c>
      <c r="C3315" s="135" t="s">
        <v>4759</v>
      </c>
      <c r="D3315" s="319" t="s">
        <v>3482</v>
      </c>
      <c r="E3315" s="190">
        <f>F3292</f>
        <v>13</v>
      </c>
      <c r="F3315" s="214">
        <f>'BASIC DATA'!D168</f>
        <v>130</v>
      </c>
      <c r="G3315" s="190">
        <f>E3315*F3315</f>
        <v>1690</v>
      </c>
    </row>
    <row r="3316" spans="2:7">
      <c r="B3316" s="105">
        <v>4</v>
      </c>
      <c r="C3316" s="135" t="s">
        <v>3851</v>
      </c>
      <c r="D3316" s="319" t="s">
        <v>2059</v>
      </c>
      <c r="E3316" s="190">
        <v>2</v>
      </c>
      <c r="F3316" s="214">
        <f>'BASIC DATA'!D110</f>
        <v>13</v>
      </c>
      <c r="G3316" s="190">
        <f>E3316*F3316</f>
        <v>26</v>
      </c>
    </row>
    <row r="3317" spans="2:7">
      <c r="B3317" s="114">
        <v>5</v>
      </c>
      <c r="C3317" s="135" t="s">
        <v>2373</v>
      </c>
      <c r="D3317" s="319" t="s">
        <v>2173</v>
      </c>
      <c r="E3317" s="190">
        <v>2</v>
      </c>
      <c r="F3317" s="214">
        <f>'BASIC DATA'!D359</f>
        <v>30</v>
      </c>
      <c r="G3317" s="190">
        <f>E3317*F3317</f>
        <v>60</v>
      </c>
    </row>
    <row r="3318" spans="2:7">
      <c r="B3318" s="92"/>
      <c r="C3318" s="193"/>
      <c r="D3318" s="151" t="s">
        <v>2376</v>
      </c>
      <c r="E3318" s="160"/>
      <c r="F3318" s="236" t="s">
        <v>1698</v>
      </c>
      <c r="G3318" s="318">
        <f>SUM(G3313:G3317)</f>
        <v>16786</v>
      </c>
    </row>
    <row r="3319" spans="2:7"/>
    <row r="3320" spans="2:7">
      <c r="B3320" s="79" t="s">
        <v>2377</v>
      </c>
    </row>
    <row r="3321" spans="2:7">
      <c r="B3321" s="95" t="s">
        <v>2369</v>
      </c>
      <c r="C3321" s="157" t="s">
        <v>2378</v>
      </c>
      <c r="D3321" s="95" t="s">
        <v>2370</v>
      </c>
      <c r="E3321" s="95" t="s">
        <v>1166</v>
      </c>
      <c r="F3321" s="95" t="s">
        <v>2371</v>
      </c>
      <c r="G3321" s="95" t="s">
        <v>2372</v>
      </c>
    </row>
    <row r="3322" spans="2:7">
      <c r="B3322" s="114"/>
      <c r="C3322" s="174"/>
      <c r="D3322" s="114"/>
      <c r="E3322" s="114"/>
      <c r="F3322" s="114" t="s">
        <v>3485</v>
      </c>
      <c r="G3322" s="114" t="s">
        <v>3485</v>
      </c>
    </row>
    <row r="3323" spans="2:7">
      <c r="B3323" s="317"/>
      <c r="C3323" s="188" t="s">
        <v>5914</v>
      </c>
      <c r="D3323" s="319"/>
      <c r="E3323" s="190"/>
      <c r="F3323" s="190"/>
      <c r="G3323" s="190">
        <v>0</v>
      </c>
    </row>
    <row r="3324" spans="2:7">
      <c r="B3324" s="92"/>
      <c r="C3324" s="193"/>
      <c r="D3324" s="151" t="s">
        <v>4498</v>
      </c>
      <c r="E3324" s="160"/>
      <c r="F3324" s="236" t="s">
        <v>1698</v>
      </c>
      <c r="G3324" s="318">
        <f>SUM(G3323)</f>
        <v>0</v>
      </c>
    </row>
    <row r="3325" spans="2:7"/>
    <row r="3326" spans="2:7">
      <c r="B3326" s="79" t="s">
        <v>2381</v>
      </c>
    </row>
    <row r="3327" spans="2:7">
      <c r="B3327" s="95" t="s">
        <v>2369</v>
      </c>
      <c r="C3327" s="157" t="s">
        <v>2378</v>
      </c>
      <c r="D3327" s="95" t="s">
        <v>2370</v>
      </c>
      <c r="E3327" s="95" t="s">
        <v>1166</v>
      </c>
      <c r="F3327" s="95" t="s">
        <v>2371</v>
      </c>
      <c r="G3327" s="95" t="s">
        <v>2372</v>
      </c>
    </row>
    <row r="3328" spans="2:7">
      <c r="B3328" s="114"/>
      <c r="C3328" s="154"/>
      <c r="D3328" s="114"/>
      <c r="E3328" s="114"/>
      <c r="F3328" s="114" t="s">
        <v>3485</v>
      </c>
      <c r="G3328" s="114" t="s">
        <v>3485</v>
      </c>
    </row>
    <row r="3329" spans="2:7">
      <c r="B3329" s="105">
        <v>1</v>
      </c>
      <c r="C3329" s="76" t="s">
        <v>5549</v>
      </c>
      <c r="D3329" s="319" t="s">
        <v>1172</v>
      </c>
      <c r="E3329" s="207">
        <v>12</v>
      </c>
      <c r="F3329" s="190">
        <f>'BASIC DATA'!C529</f>
        <v>400</v>
      </c>
      <c r="G3329" s="190">
        <f>E3329*F3329</f>
        <v>4800</v>
      </c>
    </row>
    <row r="3330" spans="2:7">
      <c r="B3330" s="105">
        <v>2</v>
      </c>
      <c r="C3330" s="76" t="s">
        <v>5550</v>
      </c>
      <c r="D3330" s="319" t="s">
        <v>1172</v>
      </c>
      <c r="E3330" s="207">
        <v>12</v>
      </c>
      <c r="F3330" s="190">
        <f>'BASIC DATA'!C543</f>
        <v>400</v>
      </c>
      <c r="G3330" s="190">
        <f>E3330*F3330</f>
        <v>4800</v>
      </c>
    </row>
    <row r="3331" spans="2:7">
      <c r="B3331" s="92"/>
      <c r="C3331" s="193"/>
      <c r="D3331" s="151" t="s">
        <v>1174</v>
      </c>
      <c r="E3331" s="160"/>
      <c r="F3331" s="236" t="s">
        <v>1698</v>
      </c>
      <c r="G3331" s="318">
        <f>SUM(G3329:G3330)</f>
        <v>9600</v>
      </c>
    </row>
    <row r="3332" spans="2:7">
      <c r="B3332" s="60" t="s">
        <v>5948</v>
      </c>
      <c r="C3332" s="31"/>
      <c r="D3332" s="31"/>
      <c r="E3332" s="85">
        <f>ROUND(G3331/100,1)</f>
        <v>96</v>
      </c>
    </row>
    <row r="3333" spans="2:7">
      <c r="B3333" s="60" t="s">
        <v>3163</v>
      </c>
      <c r="C3333" s="31"/>
      <c r="D3333" s="31">
        <f>'BASIC DATA'!$C$577</f>
        <v>0.13614999999999999</v>
      </c>
      <c r="E3333" s="85">
        <f>ROUND(E3332*D3333,1)</f>
        <v>13.1</v>
      </c>
    </row>
    <row r="3334" spans="2:7">
      <c r="B3334" s="60" t="s">
        <v>5949</v>
      </c>
      <c r="C3334" s="31"/>
      <c r="D3334" s="31"/>
      <c r="E3334" s="739">
        <f>E3333+E3332</f>
        <v>109.1</v>
      </c>
    </row>
    <row r="3335" spans="2:7">
      <c r="B3335" s="26"/>
    </row>
    <row r="3336" spans="2:7">
      <c r="B3336" s="170" t="s">
        <v>1175</v>
      </c>
    </row>
    <row r="3337" spans="2:7">
      <c r="B3337" s="26" t="s">
        <v>1176</v>
      </c>
      <c r="F3337" s="171" t="s">
        <v>1698</v>
      </c>
      <c r="G3337" s="68">
        <f>G3318</f>
        <v>16786</v>
      </c>
    </row>
    <row r="3338" spans="2:7">
      <c r="B3338" s="26" t="s">
        <v>1186</v>
      </c>
      <c r="F3338" s="171" t="s">
        <v>1698</v>
      </c>
      <c r="G3338" s="68">
        <f>G3324</f>
        <v>0</v>
      </c>
    </row>
    <row r="3339" spans="2:7">
      <c r="B3339" s="26" t="s">
        <v>2660</v>
      </c>
      <c r="F3339" s="171" t="s">
        <v>1698</v>
      </c>
      <c r="G3339" s="75">
        <f>G3331</f>
        <v>9600</v>
      </c>
    </row>
    <row r="3340" spans="2:7">
      <c r="B3340" s="26"/>
      <c r="E3340" s="171" t="s">
        <v>5551</v>
      </c>
      <c r="F3340" s="171" t="s">
        <v>1698</v>
      </c>
      <c r="G3340" s="205">
        <f>SUM(G3337:G3339)</f>
        <v>26386</v>
      </c>
    </row>
    <row r="3341" spans="2:7">
      <c r="B3341" s="26" t="s">
        <v>5087</v>
      </c>
      <c r="E3341" s="693">
        <f>'BASIC DATA'!C593</f>
        <v>0</v>
      </c>
      <c r="F3341" s="171" t="s">
        <v>1698</v>
      </c>
      <c r="G3341" s="68">
        <f>(G3339+G3338)*0.75*E3341</f>
        <v>0</v>
      </c>
    </row>
    <row r="3342" spans="2:7">
      <c r="B3342" s="26" t="s">
        <v>5084</v>
      </c>
      <c r="E3342" s="171" t="s">
        <v>1518</v>
      </c>
      <c r="F3342" s="171" t="s">
        <v>1698</v>
      </c>
      <c r="G3342" s="205">
        <f>G3341+G3340</f>
        <v>26386</v>
      </c>
    </row>
    <row r="3343" spans="2:7">
      <c r="B3343" s="26" t="s">
        <v>5086</v>
      </c>
      <c r="E3343" s="201">
        <f>'BASIC DATA'!C594</f>
        <v>0.03</v>
      </c>
      <c r="F3343" s="171" t="s">
        <v>1698</v>
      </c>
      <c r="G3343" s="75">
        <f>G3342*E3343</f>
        <v>791.57999999999993</v>
      </c>
    </row>
    <row r="3344" spans="2:7">
      <c r="B3344" s="26"/>
      <c r="E3344" s="26" t="s">
        <v>2392</v>
      </c>
      <c r="F3344" s="171" t="s">
        <v>1698</v>
      </c>
      <c r="G3344" s="75">
        <f>G3343+G3342</f>
        <v>27177.58</v>
      </c>
    </row>
    <row r="3345" spans="2:34">
      <c r="B3345" s="1206" t="s">
        <v>4717</v>
      </c>
      <c r="C3345" s="1206"/>
      <c r="D3345" s="201">
        <f>'BASIC DATA'!$C$577</f>
        <v>0.13614999999999999</v>
      </c>
      <c r="F3345" s="171" t="s">
        <v>1698</v>
      </c>
      <c r="G3345" s="75">
        <f>G3344*D3345</f>
        <v>3700.2275170000003</v>
      </c>
      <c r="I3345" s="68"/>
    </row>
    <row r="3346" spans="2:34">
      <c r="B3346" s="26" t="s">
        <v>5078</v>
      </c>
      <c r="D3346" s="68">
        <v>100</v>
      </c>
      <c r="E3346" s="26" t="s">
        <v>3479</v>
      </c>
      <c r="F3346" s="171" t="s">
        <v>1698</v>
      </c>
      <c r="G3346" s="205">
        <f>G3345+G3344</f>
        <v>30877.807517000001</v>
      </c>
    </row>
    <row r="3347" spans="2:34">
      <c r="D3347" s="733" t="s">
        <v>3884</v>
      </c>
      <c r="E3347" s="314" t="s">
        <v>5915</v>
      </c>
      <c r="F3347" s="200" t="s">
        <v>1698</v>
      </c>
      <c r="G3347" s="766">
        <f>ROUND(G3346/D3346,1)</f>
        <v>308.8</v>
      </c>
      <c r="H3347" s="31"/>
    </row>
    <row r="3348" spans="2:34" hidden="1">
      <c r="B3348" s="26"/>
      <c r="C3348" s="78"/>
    </row>
    <row r="3349" spans="2:34" hidden="1">
      <c r="B3349" s="26"/>
      <c r="C3349" s="78"/>
    </row>
    <row r="3350" spans="2:34" hidden="1">
      <c r="B3350" s="26"/>
      <c r="C3350" s="78"/>
    </row>
    <row r="3351" spans="2:34" hidden="1">
      <c r="B3351" s="26"/>
      <c r="C3351" s="78"/>
    </row>
    <row r="3352" spans="2:34" hidden="1">
      <c r="B3352" s="31"/>
      <c r="C3352" s="31"/>
      <c r="D3352" s="31"/>
      <c r="E3352" s="200"/>
      <c r="F3352" s="691"/>
      <c r="G3352" s="31"/>
      <c r="H3352" s="31"/>
      <c r="I3352" s="31"/>
      <c r="AG3352" s="31"/>
      <c r="AH3352" s="31"/>
    </row>
    <row r="3353" spans="2:34" hidden="1">
      <c r="B3353" s="31"/>
      <c r="C3353" s="31"/>
      <c r="D3353" s="31"/>
      <c r="E3353" s="31"/>
      <c r="F3353" s="31"/>
      <c r="G3353" s="31"/>
      <c r="H3353" s="31"/>
      <c r="I3353" s="31"/>
      <c r="AG3353" s="31"/>
      <c r="AH3353" s="31"/>
    </row>
    <row r="3354" spans="2:34" hidden="1">
      <c r="B3354" s="31"/>
      <c r="C3354" s="31"/>
      <c r="D3354" s="31"/>
      <c r="E3354" s="31"/>
      <c r="F3354" s="31"/>
      <c r="G3354" s="31"/>
      <c r="H3354" s="31"/>
      <c r="I3354" s="31"/>
      <c r="AG3354" s="31"/>
      <c r="AH3354" s="31"/>
    </row>
    <row r="3355" spans="2:34" hidden="1">
      <c r="B3355" s="31"/>
      <c r="C3355" s="31"/>
      <c r="D3355" s="31"/>
      <c r="E3355" s="31"/>
      <c r="F3355" s="31"/>
      <c r="G3355" s="31"/>
      <c r="H3355" s="31"/>
      <c r="I3355" s="31"/>
      <c r="AG3355" s="31"/>
      <c r="AH3355" s="31"/>
    </row>
    <row r="3356" spans="2:34" hidden="1">
      <c r="B3356" s="31"/>
      <c r="C3356" s="31"/>
      <c r="D3356" s="31"/>
      <c r="E3356" s="31"/>
      <c r="F3356" s="31"/>
      <c r="G3356" s="31"/>
      <c r="H3356" s="31"/>
      <c r="I3356" s="31"/>
      <c r="AG3356" s="31"/>
      <c r="AH3356" s="31"/>
    </row>
    <row r="3357" spans="2:34" hidden="1">
      <c r="B3357" s="31"/>
      <c r="C3357" s="31"/>
      <c r="D3357" s="31"/>
      <c r="E3357" s="31"/>
      <c r="F3357" s="31"/>
      <c r="G3357" s="31"/>
      <c r="H3357" s="31"/>
      <c r="I3357" s="31"/>
      <c r="AG3357" s="31"/>
      <c r="AH3357" s="31"/>
    </row>
    <row r="3358" spans="2:34" hidden="1">
      <c r="B3358" s="31"/>
      <c r="C3358" s="31"/>
      <c r="D3358" s="31"/>
      <c r="E3358" s="31"/>
      <c r="F3358" s="31"/>
      <c r="G3358" s="31"/>
      <c r="H3358" s="31"/>
      <c r="I3358" s="31"/>
      <c r="AG3358" s="31"/>
      <c r="AH3358" s="31"/>
    </row>
    <row r="3359" spans="2:34" hidden="1">
      <c r="B3359" s="31"/>
      <c r="C3359" s="31"/>
      <c r="D3359" s="31"/>
      <c r="E3359" s="31"/>
      <c r="F3359" s="31"/>
      <c r="G3359" s="31"/>
      <c r="H3359" s="31"/>
      <c r="I3359" s="31"/>
      <c r="AG3359" s="31"/>
      <c r="AH3359" s="31"/>
    </row>
    <row r="3360" spans="2:34" hidden="1">
      <c r="B3360" s="31"/>
      <c r="C3360" s="31"/>
      <c r="D3360" s="31"/>
      <c r="E3360" s="31"/>
      <c r="F3360" s="31"/>
      <c r="G3360" s="31"/>
      <c r="H3360" s="31"/>
      <c r="I3360" s="31"/>
      <c r="AG3360" s="31"/>
      <c r="AH3360" s="31"/>
    </row>
    <row r="3361" spans="2:34" hidden="1">
      <c r="B3361" s="31"/>
      <c r="C3361" s="31"/>
      <c r="D3361" s="31"/>
      <c r="E3361" s="31"/>
      <c r="F3361" s="31"/>
      <c r="G3361" s="31"/>
      <c r="H3361" s="31"/>
      <c r="I3361" s="31"/>
      <c r="AG3361" s="31"/>
      <c r="AH3361" s="31"/>
    </row>
    <row r="3362" spans="2:34" hidden="1">
      <c r="B3362" s="31"/>
      <c r="C3362" s="31"/>
      <c r="D3362" s="31"/>
      <c r="E3362" s="31"/>
      <c r="F3362" s="31"/>
      <c r="G3362" s="31"/>
      <c r="H3362" s="31"/>
      <c r="I3362" s="31"/>
      <c r="AG3362" s="31"/>
      <c r="AH3362" s="31"/>
    </row>
    <row r="3363" spans="2:34" hidden="1">
      <c r="B3363" s="31"/>
      <c r="C3363" s="31"/>
      <c r="D3363" s="31"/>
      <c r="E3363" s="31"/>
      <c r="F3363" s="31"/>
      <c r="G3363" s="31"/>
      <c r="H3363" s="31"/>
      <c r="I3363" s="31"/>
      <c r="AG3363" s="31"/>
      <c r="AH3363" s="31"/>
    </row>
    <row r="3364" spans="2:34" hidden="1">
      <c r="B3364" s="31"/>
      <c r="C3364" s="31"/>
      <c r="D3364" s="31"/>
      <c r="E3364" s="31"/>
      <c r="F3364" s="31"/>
      <c r="G3364" s="31"/>
      <c r="H3364" s="31"/>
      <c r="I3364" s="31"/>
      <c r="AG3364" s="31"/>
      <c r="AH3364" s="31"/>
    </row>
    <row r="3365" spans="2:34" hidden="1">
      <c r="B3365" s="31"/>
      <c r="C3365" s="31"/>
      <c r="D3365" s="31"/>
      <c r="E3365" s="31"/>
      <c r="F3365" s="31"/>
      <c r="G3365" s="31"/>
      <c r="H3365" s="31"/>
      <c r="I3365" s="31"/>
      <c r="AG3365" s="31"/>
      <c r="AH3365" s="31"/>
    </row>
    <row r="3366" spans="2:34" hidden="1">
      <c r="B3366" s="31"/>
      <c r="C3366" s="31"/>
      <c r="D3366" s="31"/>
      <c r="E3366" s="31"/>
      <c r="F3366" s="31"/>
      <c r="G3366" s="31"/>
      <c r="H3366" s="31"/>
      <c r="I3366" s="31"/>
      <c r="AG3366" s="31"/>
      <c r="AH3366" s="31"/>
    </row>
    <row r="3367" spans="2:34" hidden="1">
      <c r="B3367" s="31"/>
      <c r="C3367" s="31"/>
      <c r="D3367" s="31"/>
      <c r="E3367" s="31"/>
      <c r="F3367" s="31"/>
      <c r="G3367" s="31"/>
      <c r="H3367" s="31"/>
      <c r="I3367" s="31"/>
      <c r="AG3367" s="31"/>
      <c r="AH3367" s="31"/>
    </row>
    <row r="3368" spans="2:34" hidden="1">
      <c r="B3368" s="31"/>
      <c r="C3368" s="31"/>
      <c r="D3368" s="31"/>
      <c r="E3368" s="31"/>
      <c r="F3368" s="31"/>
      <c r="G3368" s="31"/>
      <c r="H3368" s="31"/>
      <c r="I3368" s="31"/>
      <c r="AG3368" s="31"/>
      <c r="AH3368" s="31"/>
    </row>
    <row r="3369" spans="2:34" hidden="1">
      <c r="B3369" s="31"/>
      <c r="C3369" s="31"/>
      <c r="D3369" s="31"/>
      <c r="E3369" s="31"/>
      <c r="F3369" s="31"/>
      <c r="G3369" s="31"/>
      <c r="H3369" s="31"/>
      <c r="I3369" s="31"/>
      <c r="AG3369" s="31"/>
      <c r="AH3369" s="31"/>
    </row>
    <row r="3370" spans="2:34" hidden="1">
      <c r="B3370" s="31"/>
      <c r="C3370" s="31"/>
      <c r="D3370" s="31"/>
      <c r="E3370" s="31"/>
      <c r="F3370" s="31"/>
      <c r="G3370" s="31"/>
      <c r="H3370" s="31"/>
      <c r="I3370" s="31"/>
      <c r="AG3370" s="31"/>
      <c r="AH3370" s="31"/>
    </row>
    <row r="3371" spans="2:34" hidden="1">
      <c r="B3371" s="31"/>
      <c r="C3371" s="31"/>
      <c r="D3371" s="31"/>
      <c r="E3371" s="31"/>
      <c r="F3371" s="31"/>
      <c r="G3371" s="31"/>
      <c r="H3371" s="31"/>
      <c r="I3371" s="31"/>
      <c r="AG3371" s="31"/>
      <c r="AH3371" s="31"/>
    </row>
    <row r="3372" spans="2:34" hidden="1">
      <c r="B3372" s="31"/>
      <c r="C3372" s="31"/>
      <c r="D3372" s="31"/>
      <c r="E3372" s="31"/>
      <c r="F3372" s="31"/>
      <c r="G3372" s="31"/>
      <c r="H3372" s="31"/>
      <c r="I3372" s="31"/>
      <c r="AG3372" s="31"/>
      <c r="AH3372" s="31"/>
    </row>
    <row r="3373" spans="2:34" hidden="1">
      <c r="B3373" s="31"/>
      <c r="C3373" s="31"/>
      <c r="D3373" s="31"/>
      <c r="E3373" s="31"/>
      <c r="F3373" s="31"/>
      <c r="G3373" s="31"/>
      <c r="H3373" s="31"/>
      <c r="I3373" s="31"/>
      <c r="AG3373" s="31"/>
      <c r="AH3373" s="31"/>
    </row>
    <row r="3374" spans="2:34" hidden="1">
      <c r="B3374" s="31"/>
      <c r="C3374" s="31"/>
      <c r="D3374" s="31"/>
      <c r="E3374" s="31"/>
      <c r="F3374" s="31"/>
      <c r="G3374" s="31"/>
      <c r="H3374" s="31"/>
      <c r="I3374" s="31"/>
      <c r="AG3374" s="31"/>
      <c r="AH3374" s="31"/>
    </row>
    <row r="3375" spans="2:34" hidden="1">
      <c r="B3375" s="31"/>
      <c r="C3375" s="31"/>
      <c r="D3375" s="31"/>
      <c r="E3375" s="31"/>
      <c r="F3375" s="31"/>
      <c r="G3375" s="31"/>
      <c r="H3375" s="31"/>
      <c r="I3375" s="31"/>
      <c r="AG3375" s="31"/>
      <c r="AH3375" s="31"/>
    </row>
    <row r="3376" spans="2:34" hidden="1">
      <c r="B3376" s="31"/>
      <c r="C3376" s="31"/>
      <c r="D3376" s="31"/>
      <c r="E3376" s="31"/>
      <c r="F3376" s="31"/>
      <c r="G3376" s="31"/>
      <c r="H3376" s="31"/>
      <c r="I3376" s="31"/>
      <c r="AG3376" s="31"/>
      <c r="AH3376" s="31"/>
    </row>
    <row r="3377" spans="2:34" hidden="1">
      <c r="B3377" s="31"/>
      <c r="C3377" s="31"/>
      <c r="D3377" s="31"/>
      <c r="E3377" s="31"/>
      <c r="F3377" s="31"/>
      <c r="G3377" s="31"/>
      <c r="H3377" s="31"/>
      <c r="I3377" s="31"/>
      <c r="AG3377" s="31"/>
      <c r="AH3377" s="31"/>
    </row>
    <row r="3378" spans="2:34" hidden="1">
      <c r="B3378" s="31"/>
      <c r="C3378" s="31"/>
      <c r="D3378" s="31"/>
      <c r="E3378" s="31"/>
      <c r="F3378" s="31"/>
      <c r="G3378" s="31"/>
      <c r="H3378" s="31"/>
      <c r="I3378" s="31"/>
      <c r="AG3378" s="31"/>
      <c r="AH3378" s="31"/>
    </row>
    <row r="3379" spans="2:34" hidden="1">
      <c r="B3379" s="31"/>
      <c r="C3379" s="31"/>
      <c r="D3379" s="31"/>
      <c r="E3379" s="31"/>
      <c r="F3379" s="31"/>
      <c r="G3379" s="31"/>
      <c r="H3379" s="31"/>
      <c r="I3379" s="31"/>
      <c r="AG3379" s="31"/>
      <c r="AH3379" s="31"/>
    </row>
    <row r="3380" spans="2:34" hidden="1">
      <c r="B3380" s="31"/>
      <c r="C3380" s="31"/>
      <c r="D3380" s="31"/>
      <c r="E3380" s="31"/>
      <c r="F3380" s="31"/>
      <c r="G3380" s="31"/>
      <c r="H3380" s="31"/>
      <c r="I3380" s="31"/>
      <c r="AG3380" s="31"/>
      <c r="AH3380" s="31"/>
    </row>
    <row r="3381" spans="2:34" hidden="1">
      <c r="B3381" s="31"/>
      <c r="C3381" s="31"/>
      <c r="D3381" s="31"/>
      <c r="E3381" s="31"/>
      <c r="F3381" s="31"/>
      <c r="G3381" s="31"/>
      <c r="H3381" s="31"/>
      <c r="I3381" s="31"/>
      <c r="AG3381" s="31"/>
      <c r="AH3381" s="31"/>
    </row>
    <row r="3382" spans="2:34" hidden="1">
      <c r="B3382" s="31"/>
      <c r="C3382" s="31"/>
      <c r="D3382" s="31"/>
      <c r="E3382" s="31"/>
      <c r="F3382" s="31"/>
      <c r="G3382" s="31"/>
      <c r="H3382" s="31"/>
      <c r="I3382" s="31"/>
      <c r="AG3382" s="31"/>
      <c r="AH3382" s="31"/>
    </row>
    <row r="3383" spans="2:34" hidden="1">
      <c r="B3383" s="31"/>
      <c r="C3383" s="31"/>
      <c r="D3383" s="31"/>
      <c r="E3383" s="31"/>
      <c r="F3383" s="31"/>
      <c r="G3383" s="31"/>
      <c r="H3383" s="31"/>
      <c r="I3383" s="31"/>
      <c r="AG3383" s="31"/>
      <c r="AH3383" s="31"/>
    </row>
    <row r="3384" spans="2:34" hidden="1">
      <c r="B3384" s="31"/>
      <c r="C3384" s="31"/>
      <c r="D3384" s="31"/>
      <c r="E3384" s="31"/>
      <c r="F3384" s="31"/>
      <c r="G3384" s="31"/>
      <c r="H3384" s="31"/>
      <c r="I3384" s="31"/>
      <c r="AG3384" s="31"/>
      <c r="AH3384" s="31"/>
    </row>
    <row r="3385" spans="2:34" hidden="1">
      <c r="B3385" s="31"/>
      <c r="C3385" s="31"/>
      <c r="D3385" s="31"/>
      <c r="E3385" s="31"/>
      <c r="F3385" s="31"/>
      <c r="G3385" s="31"/>
      <c r="H3385" s="31"/>
      <c r="I3385" s="31"/>
      <c r="AG3385" s="31"/>
      <c r="AH3385" s="31"/>
    </row>
    <row r="3386" spans="2:34" hidden="1">
      <c r="B3386" s="31"/>
      <c r="C3386" s="31"/>
      <c r="D3386" s="31"/>
      <c r="E3386" s="31"/>
      <c r="F3386" s="31"/>
      <c r="G3386" s="31"/>
      <c r="H3386" s="31"/>
      <c r="I3386" s="31"/>
      <c r="AG3386" s="31"/>
      <c r="AH3386" s="31"/>
    </row>
    <row r="3387" spans="2:34" hidden="1">
      <c r="B3387" s="31"/>
      <c r="C3387" s="31"/>
      <c r="D3387" s="31"/>
      <c r="E3387" s="31"/>
      <c r="F3387" s="31"/>
      <c r="G3387" s="31"/>
      <c r="H3387" s="31"/>
      <c r="I3387" s="31"/>
      <c r="AG3387" s="31"/>
      <c r="AH3387" s="31"/>
    </row>
    <row r="3388" spans="2:34" hidden="1">
      <c r="B3388" s="31"/>
      <c r="C3388" s="31"/>
      <c r="D3388" s="31"/>
      <c r="E3388" s="31"/>
      <c r="F3388" s="31"/>
      <c r="G3388" s="31"/>
      <c r="H3388" s="31"/>
      <c r="I3388" s="31"/>
      <c r="AG3388" s="31"/>
      <c r="AH3388" s="31"/>
    </row>
    <row r="3389" spans="2:34" hidden="1">
      <c r="B3389" s="31"/>
      <c r="C3389" s="31"/>
      <c r="D3389" s="31"/>
      <c r="E3389" s="31"/>
      <c r="F3389" s="31"/>
      <c r="G3389" s="31"/>
      <c r="H3389" s="31"/>
      <c r="I3389" s="31"/>
      <c r="AG3389" s="31"/>
      <c r="AH3389" s="31"/>
    </row>
    <row r="3390" spans="2:34" hidden="1">
      <c r="B3390" s="31"/>
      <c r="C3390" s="31"/>
      <c r="D3390" s="31"/>
      <c r="E3390" s="31"/>
      <c r="F3390" s="31"/>
      <c r="G3390" s="31"/>
      <c r="H3390" s="31"/>
      <c r="I3390" s="31"/>
      <c r="AG3390" s="31"/>
      <c r="AH3390" s="31"/>
    </row>
    <row r="3391" spans="2:34" hidden="1">
      <c r="B3391" s="31"/>
      <c r="C3391" s="31"/>
      <c r="D3391" s="31"/>
      <c r="E3391" s="31"/>
      <c r="F3391" s="31"/>
      <c r="G3391" s="31"/>
      <c r="H3391" s="31"/>
      <c r="I3391" s="31"/>
      <c r="AG3391" s="31"/>
      <c r="AH3391" s="31"/>
    </row>
    <row r="3392" spans="2:34" hidden="1">
      <c r="B3392" s="31"/>
      <c r="C3392" s="33"/>
      <c r="D3392" s="31"/>
      <c r="E3392" s="31"/>
      <c r="F3392" s="31"/>
      <c r="G3392" s="31"/>
      <c r="H3392" s="31"/>
      <c r="I3392" s="31"/>
      <c r="AG3392" s="31"/>
      <c r="AH3392" s="31"/>
    </row>
    <row r="3393" spans="2:8" hidden="1">
      <c r="B3393" s="33"/>
      <c r="C3393" s="31"/>
      <c r="D3393" s="31"/>
      <c r="E3393" s="301"/>
      <c r="F3393" s="200"/>
      <c r="G3393" s="75"/>
      <c r="H3393" s="31"/>
    </row>
    <row r="3394" spans="2:8" hidden="1">
      <c r="B3394" s="33"/>
      <c r="C3394" s="31"/>
      <c r="D3394" s="31"/>
      <c r="E3394" s="767"/>
      <c r="F3394" s="200"/>
      <c r="G3394" s="75"/>
      <c r="H3394" s="31"/>
    </row>
    <row r="3395" spans="2:8" hidden="1">
      <c r="B3395" s="33"/>
      <c r="C3395" s="31"/>
      <c r="D3395" s="31"/>
      <c r="E3395" s="767"/>
      <c r="F3395" s="200"/>
      <c r="G3395" s="75"/>
      <c r="H3395" s="31"/>
    </row>
    <row r="3396" spans="2:8" hidden="1">
      <c r="B3396" s="33"/>
      <c r="C3396" s="31"/>
      <c r="D3396" s="31"/>
      <c r="E3396" s="767"/>
      <c r="F3396" s="200"/>
      <c r="G3396" s="75"/>
      <c r="H3396" s="31"/>
    </row>
    <row r="3397" spans="2:8" hidden="1">
      <c r="B3397" s="33"/>
      <c r="C3397" s="31"/>
      <c r="D3397" s="31"/>
      <c r="E3397" s="767"/>
      <c r="F3397" s="200"/>
      <c r="G3397" s="75"/>
      <c r="H3397" s="31"/>
    </row>
    <row r="3398" spans="2:8" hidden="1">
      <c r="B3398" s="33"/>
      <c r="C3398" s="31"/>
      <c r="D3398" s="75"/>
      <c r="E3398" s="767"/>
      <c r="F3398" s="200"/>
      <c r="G3398" s="75"/>
      <c r="H3398" s="31"/>
    </row>
    <row r="3399" spans="2:8" hidden="1">
      <c r="B3399" s="33"/>
      <c r="C3399" s="31"/>
      <c r="D3399" s="31"/>
      <c r="E3399" s="767"/>
      <c r="F3399" s="200"/>
      <c r="G3399" s="75"/>
      <c r="H3399" s="31"/>
    </row>
    <row r="3400" spans="2:8" hidden="1">
      <c r="B3400" s="33"/>
      <c r="C3400" s="31"/>
      <c r="D3400" s="31"/>
      <c r="E3400" s="200"/>
      <c r="F3400" s="200"/>
      <c r="G3400" s="75"/>
      <c r="H3400" s="31"/>
    </row>
    <row r="3401" spans="2:8" hidden="1">
      <c r="B3401" s="33"/>
      <c r="C3401" s="31"/>
      <c r="D3401" s="31"/>
      <c r="E3401" s="200"/>
      <c r="F3401" s="200"/>
      <c r="G3401" s="31"/>
      <c r="H3401" s="31"/>
    </row>
    <row r="3402" spans="2:8" hidden="1">
      <c r="B3402" s="33"/>
      <c r="C3402" s="31"/>
      <c r="D3402" s="75"/>
      <c r="E3402" s="76"/>
      <c r="F3402" s="200"/>
      <c r="G3402" s="75"/>
      <c r="H3402" s="31"/>
    </row>
    <row r="3403" spans="2:8" hidden="1">
      <c r="B3403" s="33"/>
      <c r="C3403" s="31"/>
      <c r="D3403" s="198"/>
      <c r="E3403" s="198"/>
      <c r="F3403" s="200"/>
      <c r="G3403" s="75"/>
      <c r="H3403" s="31"/>
    </row>
    <row r="3404" spans="2:8" hidden="1">
      <c r="B3404" s="33"/>
      <c r="C3404" s="31"/>
      <c r="D3404" s="768"/>
      <c r="E3404" s="31"/>
      <c r="F3404" s="200"/>
      <c r="G3404" s="75"/>
      <c r="H3404" s="31"/>
    </row>
    <row r="3405" spans="2:8" hidden="1">
      <c r="B3405" s="33"/>
      <c r="C3405" s="31"/>
      <c r="D3405" s="200"/>
      <c r="E3405" s="31"/>
      <c r="F3405" s="200"/>
      <c r="G3405" s="75"/>
      <c r="H3405" s="31"/>
    </row>
    <row r="3406" spans="2:8" hidden="1">
      <c r="B3406" s="33"/>
      <c r="C3406" s="31"/>
      <c r="D3406" s="31"/>
      <c r="E3406" s="31"/>
      <c r="F3406" s="31"/>
      <c r="G3406" s="31"/>
      <c r="H3406" s="31"/>
    </row>
    <row r="3407" spans="2:8" hidden="1">
      <c r="B3407" s="33"/>
      <c r="C3407" s="31"/>
      <c r="D3407" s="31"/>
      <c r="E3407" s="31"/>
      <c r="F3407" s="31"/>
      <c r="G3407" s="31"/>
      <c r="H3407" s="31"/>
    </row>
    <row r="3408" spans="2:8" hidden="1">
      <c r="B3408" s="33"/>
      <c r="C3408" s="31"/>
      <c r="D3408" s="31"/>
      <c r="E3408" s="31"/>
      <c r="F3408" s="31"/>
      <c r="G3408" s="31"/>
      <c r="H3408" s="31"/>
    </row>
    <row r="3409" spans="2:8" hidden="1">
      <c r="B3409" s="33"/>
      <c r="C3409" s="31"/>
      <c r="D3409" s="33"/>
      <c r="E3409" s="31"/>
      <c r="F3409" s="200"/>
      <c r="G3409" s="76"/>
      <c r="H3409" s="31"/>
    </row>
    <row r="3410" spans="2:8" hidden="1">
      <c r="B3410" s="33"/>
      <c r="C3410" s="31"/>
      <c r="D3410" s="31"/>
      <c r="E3410" s="31"/>
      <c r="F3410" s="31"/>
      <c r="G3410" s="31"/>
      <c r="H3410" s="31"/>
    </row>
    <row r="3411" spans="2:8" hidden="1">
      <c r="B3411" s="33"/>
      <c r="C3411" s="31"/>
      <c r="D3411" s="31"/>
      <c r="E3411" s="31"/>
      <c r="F3411" s="31"/>
      <c r="G3411" s="31"/>
      <c r="H3411" s="31"/>
    </row>
    <row r="3412" spans="2:8" hidden="1">
      <c r="B3412" s="33"/>
      <c r="C3412" s="31"/>
      <c r="D3412" s="31"/>
      <c r="E3412" s="31"/>
      <c r="F3412" s="31"/>
      <c r="G3412" s="31"/>
      <c r="H3412" s="31"/>
    </row>
    <row r="3413" spans="2:8" hidden="1">
      <c r="B3413" s="33"/>
      <c r="C3413" s="31"/>
      <c r="D3413" s="31"/>
      <c r="E3413" s="31"/>
      <c r="F3413" s="31"/>
      <c r="G3413" s="31"/>
      <c r="H3413" s="31"/>
    </row>
    <row r="3414" spans="2:8" hidden="1">
      <c r="B3414" s="33"/>
      <c r="C3414" s="31"/>
      <c r="D3414" s="31"/>
      <c r="E3414" s="31"/>
      <c r="F3414" s="31"/>
      <c r="G3414" s="31"/>
      <c r="H3414" s="31"/>
    </row>
    <row r="3415" spans="2:8" hidden="1">
      <c r="B3415" s="33"/>
      <c r="C3415" s="31"/>
      <c r="D3415" s="31"/>
      <c r="E3415" s="31"/>
      <c r="F3415" s="31"/>
      <c r="G3415" s="31"/>
      <c r="H3415" s="31"/>
    </row>
    <row r="3416" spans="2:8" hidden="1">
      <c r="B3416" s="33"/>
      <c r="C3416" s="31"/>
      <c r="D3416" s="31"/>
      <c r="E3416" s="31"/>
      <c r="F3416" s="31"/>
      <c r="G3416" s="31"/>
      <c r="H3416" s="31"/>
    </row>
    <row r="3417" spans="2:8" hidden="1">
      <c r="B3417" s="33"/>
      <c r="C3417" s="31"/>
      <c r="D3417" s="31"/>
      <c r="E3417" s="31"/>
      <c r="F3417" s="31"/>
      <c r="G3417" s="31"/>
      <c r="H3417" s="31"/>
    </row>
    <row r="3418" spans="2:8" hidden="1">
      <c r="B3418" s="33"/>
      <c r="C3418" s="31"/>
      <c r="D3418" s="31"/>
      <c r="E3418" s="31"/>
      <c r="F3418" s="31"/>
      <c r="G3418" s="31"/>
      <c r="H3418" s="31"/>
    </row>
    <row r="3419" spans="2:8" hidden="1">
      <c r="B3419" s="33"/>
      <c r="C3419" s="31"/>
      <c r="D3419" s="31"/>
      <c r="E3419" s="31"/>
      <c r="F3419" s="31"/>
      <c r="G3419" s="31"/>
      <c r="H3419" s="31"/>
    </row>
    <row r="3420" spans="2:8" hidden="1">
      <c r="B3420" s="33"/>
      <c r="C3420" s="31"/>
      <c r="D3420" s="31"/>
      <c r="E3420" s="31"/>
      <c r="F3420" s="31"/>
      <c r="G3420" s="31"/>
      <c r="H3420" s="31"/>
    </row>
    <row r="3421" spans="2:8" hidden="1">
      <c r="B3421" s="33"/>
      <c r="C3421" s="31"/>
      <c r="D3421" s="31"/>
      <c r="E3421" s="31"/>
      <c r="F3421" s="31"/>
      <c r="G3421" s="31"/>
      <c r="H3421" s="31"/>
    </row>
    <row r="3422" spans="2:8" hidden="1">
      <c r="B3422" s="33"/>
      <c r="C3422" s="31"/>
      <c r="D3422" s="31"/>
      <c r="E3422" s="31"/>
      <c r="F3422" s="31"/>
      <c r="G3422" s="31"/>
      <c r="H3422" s="31"/>
    </row>
    <row r="3423" spans="2:8" hidden="1">
      <c r="B3423" s="33"/>
      <c r="C3423" s="31"/>
      <c r="D3423" s="31"/>
      <c r="E3423" s="31"/>
      <c r="F3423" s="31"/>
      <c r="G3423" s="31"/>
      <c r="H3423" s="31"/>
    </row>
    <row r="3424" spans="2:8" hidden="1">
      <c r="B3424" s="33"/>
      <c r="C3424" s="31"/>
      <c r="D3424" s="31"/>
      <c r="E3424" s="31"/>
      <c r="F3424" s="31"/>
      <c r="G3424" s="31"/>
      <c r="H3424" s="31"/>
    </row>
    <row r="3425" spans="2:8" hidden="1">
      <c r="B3425" s="33"/>
      <c r="C3425" s="31"/>
      <c r="D3425" s="31"/>
      <c r="E3425" s="31"/>
      <c r="F3425" s="31"/>
      <c r="G3425" s="31"/>
      <c r="H3425" s="31"/>
    </row>
    <row r="3426" spans="2:8" hidden="1">
      <c r="B3426" s="33"/>
      <c r="C3426" s="31"/>
      <c r="D3426" s="31"/>
      <c r="E3426" s="31"/>
      <c r="F3426" s="31"/>
      <c r="G3426" s="31"/>
      <c r="H3426" s="31"/>
    </row>
    <row r="3427" spans="2:8" hidden="1">
      <c r="B3427" s="33"/>
      <c r="C3427" s="31"/>
      <c r="D3427" s="31"/>
      <c r="E3427" s="31"/>
      <c r="F3427" s="31"/>
      <c r="G3427" s="31"/>
      <c r="H3427" s="31"/>
    </row>
    <row r="3428" spans="2:8" hidden="1">
      <c r="B3428" s="33"/>
      <c r="C3428" s="31"/>
      <c r="D3428" s="31"/>
      <c r="E3428" s="31"/>
      <c r="F3428" s="691"/>
      <c r="G3428" s="31"/>
      <c r="H3428" s="31"/>
    </row>
    <row r="3429" spans="2:8" hidden="1">
      <c r="B3429" s="33"/>
      <c r="C3429" s="31"/>
      <c r="D3429" s="31"/>
      <c r="E3429" s="31"/>
      <c r="F3429" s="691"/>
      <c r="G3429" s="31"/>
      <c r="H3429" s="31"/>
    </row>
    <row r="3430" spans="2:8" hidden="1">
      <c r="B3430" s="33"/>
      <c r="C3430" s="31"/>
      <c r="D3430" s="31"/>
      <c r="E3430" s="31"/>
      <c r="F3430" s="691"/>
      <c r="G3430" s="31"/>
      <c r="H3430" s="31"/>
    </row>
    <row r="3431" spans="2:8" hidden="1">
      <c r="B3431" s="33"/>
      <c r="C3431" s="31"/>
      <c r="D3431" s="31"/>
      <c r="E3431" s="31"/>
      <c r="F3431" s="691"/>
      <c r="G3431" s="31"/>
      <c r="H3431" s="31"/>
    </row>
    <row r="3432" spans="2:8" hidden="1">
      <c r="B3432" s="33"/>
      <c r="C3432" s="31"/>
      <c r="D3432" s="31"/>
      <c r="E3432" s="31"/>
      <c r="F3432" s="31"/>
      <c r="G3432" s="31"/>
      <c r="H3432" s="31"/>
    </row>
    <row r="3433" spans="2:8" hidden="1">
      <c r="B3433" s="33"/>
      <c r="C3433" s="31"/>
      <c r="D3433" s="31"/>
      <c r="E3433" s="31"/>
      <c r="F3433" s="31"/>
      <c r="G3433" s="31"/>
      <c r="H3433" s="31"/>
    </row>
    <row r="3434" spans="2:8" hidden="1">
      <c r="B3434" s="200"/>
      <c r="C3434" s="31"/>
      <c r="D3434" s="31"/>
      <c r="E3434" s="31"/>
      <c r="F3434" s="31"/>
      <c r="G3434" s="31"/>
      <c r="H3434" s="31"/>
    </row>
    <row r="3435" spans="2:8" hidden="1">
      <c r="B3435" s="200"/>
      <c r="C3435" s="31"/>
      <c r="D3435" s="31"/>
      <c r="E3435" s="31"/>
      <c r="F3435" s="691"/>
      <c r="G3435" s="31"/>
      <c r="H3435" s="31"/>
    </row>
    <row r="3436" spans="2:8" hidden="1">
      <c r="B3436" s="200"/>
      <c r="C3436" s="31"/>
      <c r="D3436" s="31"/>
      <c r="E3436" s="31"/>
      <c r="F3436" s="691"/>
      <c r="G3436" s="31"/>
      <c r="H3436" s="31"/>
    </row>
    <row r="3437" spans="2:8" hidden="1">
      <c r="B3437" s="200"/>
      <c r="C3437" s="31"/>
      <c r="D3437" s="31"/>
      <c r="E3437" s="31"/>
      <c r="F3437" s="691"/>
      <c r="G3437" s="31"/>
      <c r="H3437" s="31"/>
    </row>
    <row r="3438" spans="2:8" hidden="1">
      <c r="B3438" s="200"/>
      <c r="C3438" s="31"/>
      <c r="D3438" s="31"/>
      <c r="E3438" s="31"/>
      <c r="F3438" s="691"/>
      <c r="G3438" s="31"/>
      <c r="H3438" s="31"/>
    </row>
    <row r="3439" spans="2:8" hidden="1">
      <c r="B3439" s="33"/>
      <c r="C3439" s="31"/>
      <c r="D3439" s="31"/>
      <c r="E3439" s="31"/>
      <c r="F3439" s="691"/>
      <c r="G3439" s="31"/>
      <c r="H3439" s="31"/>
    </row>
    <row r="3440" spans="2:8" hidden="1">
      <c r="B3440" s="200"/>
      <c r="C3440" s="31"/>
      <c r="D3440" s="31"/>
      <c r="E3440" s="31"/>
      <c r="F3440" s="691"/>
      <c r="G3440" s="31"/>
      <c r="H3440" s="31"/>
    </row>
    <row r="3441" spans="2:8" hidden="1">
      <c r="B3441" s="200"/>
      <c r="C3441" s="31"/>
      <c r="D3441" s="31"/>
      <c r="E3441" s="31"/>
      <c r="F3441" s="691"/>
      <c r="G3441" s="31"/>
      <c r="H3441" s="31"/>
    </row>
    <row r="3442" spans="2:8" hidden="1">
      <c r="B3442" s="200"/>
      <c r="C3442" s="31"/>
      <c r="D3442" s="31"/>
      <c r="E3442" s="31"/>
      <c r="F3442" s="691"/>
      <c r="G3442" s="31"/>
      <c r="H3442" s="31"/>
    </row>
    <row r="3443" spans="2:8" hidden="1">
      <c r="B3443" s="200"/>
      <c r="C3443" s="31"/>
      <c r="D3443" s="31"/>
      <c r="E3443" s="31"/>
      <c r="F3443" s="691"/>
      <c r="G3443" s="31"/>
      <c r="H3443" s="31"/>
    </row>
    <row r="3444" spans="2:8" hidden="1">
      <c r="B3444" s="200"/>
      <c r="C3444" s="31"/>
      <c r="D3444" s="31"/>
      <c r="E3444" s="31"/>
      <c r="F3444" s="691"/>
      <c r="G3444" s="31"/>
      <c r="H3444" s="31"/>
    </row>
    <row r="3445" spans="2:8" hidden="1">
      <c r="B3445" s="200"/>
      <c r="C3445" s="31"/>
      <c r="D3445" s="31"/>
      <c r="E3445" s="31"/>
      <c r="F3445" s="691"/>
      <c r="G3445" s="31"/>
      <c r="H3445" s="31"/>
    </row>
    <row r="3446" spans="2:8" hidden="1">
      <c r="B3446" s="200"/>
      <c r="C3446" s="31"/>
      <c r="D3446" s="31"/>
      <c r="E3446" s="31"/>
      <c r="F3446" s="691"/>
      <c r="G3446" s="31"/>
      <c r="H3446" s="31"/>
    </row>
    <row r="3447" spans="2:8" hidden="1">
      <c r="B3447" s="200"/>
      <c r="C3447" s="31"/>
      <c r="D3447" s="31"/>
      <c r="E3447" s="31"/>
      <c r="F3447" s="691"/>
      <c r="G3447" s="31"/>
      <c r="H3447" s="31"/>
    </row>
    <row r="3448" spans="2:8" hidden="1">
      <c r="B3448" s="200"/>
      <c r="C3448" s="31"/>
      <c r="D3448" s="31"/>
      <c r="E3448" s="31"/>
      <c r="F3448" s="691"/>
      <c r="G3448" s="31"/>
      <c r="H3448" s="31"/>
    </row>
    <row r="3449" spans="2:8" hidden="1">
      <c r="B3449" s="200"/>
      <c r="C3449" s="31"/>
      <c r="D3449" s="31"/>
      <c r="E3449" s="31"/>
      <c r="F3449" s="691"/>
      <c r="G3449" s="31"/>
      <c r="H3449" s="31"/>
    </row>
    <row r="3450" spans="2:8" hidden="1">
      <c r="B3450" s="200"/>
      <c r="C3450" s="31"/>
      <c r="D3450" s="31"/>
      <c r="E3450" s="31"/>
      <c r="F3450" s="691"/>
      <c r="G3450" s="31"/>
      <c r="H3450" s="31"/>
    </row>
    <row r="3451" spans="2:8" hidden="1">
      <c r="B3451" s="200"/>
      <c r="C3451" s="31"/>
      <c r="D3451" s="31"/>
      <c r="E3451" s="31"/>
      <c r="F3451" s="691"/>
      <c r="G3451" s="31"/>
      <c r="H3451" s="31"/>
    </row>
    <row r="3452" spans="2:8" hidden="1">
      <c r="B3452" s="200"/>
      <c r="C3452" s="31"/>
      <c r="D3452" s="31"/>
      <c r="E3452" s="31"/>
      <c r="F3452" s="691"/>
      <c r="G3452" s="31"/>
      <c r="H3452" s="31"/>
    </row>
    <row r="3453" spans="2:8" hidden="1">
      <c r="B3453" s="200"/>
      <c r="C3453" s="31"/>
      <c r="D3453" s="31"/>
      <c r="E3453" s="31"/>
      <c r="F3453" s="691"/>
      <c r="G3453" s="31"/>
      <c r="H3453" s="31"/>
    </row>
    <row r="3454" spans="2:8" hidden="1">
      <c r="B3454" s="33"/>
      <c r="C3454" s="31"/>
      <c r="D3454" s="31"/>
      <c r="E3454" s="31"/>
      <c r="F3454" s="691"/>
      <c r="G3454" s="31"/>
      <c r="H3454" s="31"/>
    </row>
    <row r="3455" spans="2:8" hidden="1">
      <c r="B3455" s="33"/>
      <c r="C3455" s="31"/>
      <c r="D3455" s="31"/>
      <c r="E3455" s="31"/>
      <c r="F3455" s="691"/>
      <c r="G3455" s="31"/>
      <c r="H3455" s="31"/>
    </row>
    <row r="3456" spans="2:8" hidden="1">
      <c r="B3456" s="33"/>
      <c r="C3456" s="31"/>
      <c r="D3456" s="31"/>
      <c r="E3456" s="31"/>
      <c r="F3456" s="691"/>
      <c r="G3456" s="31"/>
      <c r="H3456" s="31"/>
    </row>
    <row r="3457" spans="2:8" hidden="1">
      <c r="B3457" s="33"/>
      <c r="C3457" s="31"/>
      <c r="D3457" s="31"/>
      <c r="E3457" s="31"/>
      <c r="F3457" s="691"/>
      <c r="G3457" s="31"/>
      <c r="H3457" s="31"/>
    </row>
    <row r="3458" spans="2:8" hidden="1">
      <c r="B3458" s="33"/>
      <c r="C3458" s="31"/>
      <c r="D3458" s="31"/>
      <c r="E3458" s="31"/>
      <c r="F3458" s="691"/>
      <c r="G3458" s="31"/>
      <c r="H3458" s="31"/>
    </row>
    <row r="3459" spans="2:8" hidden="1">
      <c r="B3459" s="33"/>
      <c r="C3459" s="31"/>
      <c r="D3459" s="31"/>
      <c r="E3459" s="200"/>
      <c r="F3459" s="691"/>
      <c r="G3459" s="31"/>
      <c r="H3459" s="31"/>
    </row>
    <row r="3460" spans="2:8" hidden="1">
      <c r="B3460" s="33"/>
      <c r="C3460" s="31"/>
      <c r="D3460" s="31"/>
      <c r="E3460" s="31"/>
      <c r="F3460" s="31"/>
      <c r="G3460" s="31"/>
      <c r="H3460" s="31"/>
    </row>
    <row r="3461" spans="2:8" hidden="1">
      <c r="B3461" s="33"/>
      <c r="C3461" s="31"/>
      <c r="D3461" s="31"/>
      <c r="E3461" s="31"/>
      <c r="F3461" s="31"/>
      <c r="G3461" s="31"/>
      <c r="H3461" s="31"/>
    </row>
    <row r="3462" spans="2:8" hidden="1">
      <c r="B3462" s="33"/>
      <c r="C3462" s="31"/>
      <c r="D3462" s="31"/>
      <c r="E3462" s="31"/>
      <c r="F3462" s="691"/>
      <c r="G3462" s="31"/>
      <c r="H3462" s="31"/>
    </row>
    <row r="3463" spans="2:8" hidden="1">
      <c r="B3463" s="33"/>
      <c r="C3463" s="31"/>
      <c r="D3463" s="31"/>
      <c r="E3463" s="31"/>
      <c r="F3463" s="691"/>
      <c r="G3463" s="31"/>
      <c r="H3463" s="31"/>
    </row>
    <row r="3464" spans="2:8" hidden="1">
      <c r="B3464" s="33"/>
      <c r="C3464" s="31"/>
      <c r="D3464" s="31"/>
      <c r="E3464" s="31"/>
      <c r="F3464" s="691"/>
      <c r="G3464" s="31"/>
      <c r="H3464" s="31"/>
    </row>
    <row r="3465" spans="2:8" hidden="1">
      <c r="B3465" s="33"/>
      <c r="C3465" s="31"/>
      <c r="D3465" s="31"/>
      <c r="E3465" s="31"/>
      <c r="F3465" s="691"/>
      <c r="G3465" s="31"/>
      <c r="H3465" s="31"/>
    </row>
    <row r="3466" spans="2:8" hidden="1">
      <c r="B3466" s="33"/>
      <c r="C3466" s="31"/>
      <c r="D3466" s="31"/>
      <c r="E3466" s="31"/>
      <c r="F3466" s="691"/>
      <c r="G3466" s="31"/>
      <c r="H3466" s="31"/>
    </row>
    <row r="3467" spans="2:8" hidden="1">
      <c r="B3467" s="33"/>
      <c r="C3467" s="31"/>
      <c r="D3467" s="31"/>
      <c r="E3467" s="31"/>
      <c r="F3467" s="691"/>
      <c r="G3467" s="31"/>
      <c r="H3467" s="31"/>
    </row>
    <row r="3468" spans="2:8" hidden="1">
      <c r="B3468" s="33"/>
      <c r="C3468" s="31"/>
      <c r="D3468" s="31"/>
      <c r="E3468" s="31"/>
      <c r="F3468" s="691"/>
      <c r="G3468" s="31"/>
      <c r="H3468" s="31"/>
    </row>
    <row r="3469" spans="2:8" hidden="1">
      <c r="B3469" s="33"/>
      <c r="C3469" s="31"/>
      <c r="D3469" s="31"/>
      <c r="E3469" s="31"/>
      <c r="F3469" s="691"/>
      <c r="G3469" s="31"/>
      <c r="H3469" s="31"/>
    </row>
    <row r="3470" spans="2:8" hidden="1">
      <c r="B3470" s="33"/>
      <c r="C3470" s="31"/>
      <c r="D3470" s="31"/>
      <c r="E3470" s="31"/>
      <c r="F3470" s="691"/>
      <c r="G3470" s="31"/>
      <c r="H3470" s="31"/>
    </row>
    <row r="3471" spans="2:8" hidden="1">
      <c r="B3471" s="33"/>
      <c r="C3471" s="31"/>
      <c r="D3471" s="31"/>
      <c r="E3471" s="31"/>
      <c r="F3471" s="691"/>
      <c r="G3471" s="31"/>
      <c r="H3471" s="31"/>
    </row>
    <row r="3472" spans="2:8" hidden="1">
      <c r="B3472" s="33"/>
      <c r="C3472" s="31"/>
      <c r="D3472" s="31"/>
      <c r="E3472" s="31"/>
      <c r="F3472" s="691"/>
      <c r="G3472" s="31"/>
      <c r="H3472" s="31"/>
    </row>
    <row r="3473" spans="2:8" hidden="1">
      <c r="B3473" s="33"/>
      <c r="C3473" s="31"/>
      <c r="D3473" s="31"/>
      <c r="E3473" s="31"/>
      <c r="F3473" s="691"/>
      <c r="G3473" s="31"/>
      <c r="H3473" s="31"/>
    </row>
    <row r="3474" spans="2:8" hidden="1">
      <c r="B3474" s="33"/>
      <c r="C3474" s="31"/>
      <c r="D3474" s="31"/>
      <c r="E3474" s="31"/>
      <c r="F3474" s="691"/>
      <c r="G3474" s="31"/>
      <c r="H3474" s="31"/>
    </row>
    <row r="3475" spans="2:8" hidden="1">
      <c r="B3475" s="33"/>
      <c r="C3475" s="31"/>
      <c r="D3475" s="31"/>
      <c r="E3475" s="31"/>
      <c r="F3475" s="691"/>
      <c r="G3475" s="31"/>
      <c r="H3475" s="31"/>
    </row>
    <row r="3476" spans="2:8" hidden="1">
      <c r="B3476" s="33"/>
      <c r="C3476" s="31"/>
      <c r="D3476" s="31"/>
      <c r="E3476" s="200"/>
      <c r="F3476" s="691"/>
      <c r="G3476" s="31"/>
      <c r="H3476" s="31"/>
    </row>
    <row r="3477" spans="2:8" hidden="1">
      <c r="B3477" s="33"/>
      <c r="C3477" s="31"/>
      <c r="D3477" s="31"/>
      <c r="E3477" s="31"/>
      <c r="F3477" s="691"/>
      <c r="G3477" s="31"/>
      <c r="H3477" s="31"/>
    </row>
    <row r="3478" spans="2:8" hidden="1">
      <c r="B3478" s="33"/>
      <c r="C3478" s="31"/>
      <c r="D3478" s="31"/>
      <c r="E3478" s="31"/>
      <c r="F3478" s="691"/>
      <c r="G3478" s="31"/>
      <c r="H3478" s="31"/>
    </row>
    <row r="3479" spans="2:8" hidden="1">
      <c r="B3479" s="33"/>
      <c r="C3479" s="31"/>
      <c r="D3479" s="31"/>
      <c r="E3479" s="31"/>
      <c r="F3479" s="691"/>
      <c r="G3479" s="31"/>
      <c r="H3479" s="31"/>
    </row>
    <row r="3480" spans="2:8" hidden="1">
      <c r="B3480" s="33"/>
      <c r="C3480" s="31"/>
      <c r="D3480" s="31"/>
      <c r="E3480" s="31"/>
      <c r="F3480" s="691"/>
      <c r="G3480" s="31"/>
      <c r="H3480" s="31"/>
    </row>
    <row r="3481" spans="2:8" hidden="1">
      <c r="B3481" s="33"/>
      <c r="C3481" s="31"/>
      <c r="D3481" s="31"/>
      <c r="E3481" s="31"/>
      <c r="F3481" s="691"/>
      <c r="G3481" s="31"/>
      <c r="H3481" s="31"/>
    </row>
    <row r="3482" spans="2:8" hidden="1">
      <c r="B3482" s="33"/>
      <c r="C3482" s="31"/>
      <c r="D3482" s="31"/>
      <c r="E3482" s="31"/>
      <c r="F3482" s="691"/>
      <c r="G3482" s="31"/>
      <c r="H3482" s="31"/>
    </row>
    <row r="3483" spans="2:8" hidden="1">
      <c r="B3483" s="33"/>
      <c r="C3483" s="31"/>
      <c r="D3483" s="31"/>
      <c r="E3483" s="31"/>
      <c r="F3483" s="691"/>
      <c r="G3483" s="31"/>
      <c r="H3483" s="31"/>
    </row>
    <row r="3484" spans="2:8" hidden="1">
      <c r="B3484" s="33"/>
      <c r="C3484" s="31"/>
      <c r="D3484" s="31"/>
      <c r="E3484" s="31"/>
      <c r="F3484" s="691"/>
      <c r="G3484" s="31"/>
      <c r="H3484" s="31"/>
    </row>
    <row r="3485" spans="2:8" hidden="1">
      <c r="B3485" s="33"/>
      <c r="C3485" s="31"/>
      <c r="D3485" s="31"/>
      <c r="E3485" s="31"/>
      <c r="F3485" s="691"/>
      <c r="G3485" s="31"/>
      <c r="H3485" s="31"/>
    </row>
    <row r="3486" spans="2:8" hidden="1">
      <c r="B3486" s="33"/>
      <c r="C3486" s="31"/>
      <c r="D3486" s="31"/>
      <c r="E3486" s="31"/>
      <c r="F3486" s="31"/>
      <c r="G3486" s="31"/>
      <c r="H3486" s="31"/>
    </row>
    <row r="3487" spans="2:8" hidden="1">
      <c r="B3487" s="33"/>
      <c r="C3487" s="31"/>
      <c r="D3487" s="31"/>
      <c r="E3487" s="31"/>
      <c r="F3487" s="31"/>
      <c r="G3487" s="31"/>
      <c r="H3487" s="31"/>
    </row>
    <row r="3488" spans="2:8" hidden="1">
      <c r="B3488" s="33"/>
      <c r="C3488" s="31"/>
      <c r="D3488" s="31"/>
      <c r="E3488" s="31"/>
      <c r="F3488" s="31"/>
      <c r="G3488" s="31"/>
      <c r="H3488" s="31"/>
    </row>
    <row r="3489" spans="2:8" hidden="1">
      <c r="B3489" s="33"/>
      <c r="C3489" s="31"/>
      <c r="D3489" s="31"/>
      <c r="E3489" s="31"/>
      <c r="F3489" s="691"/>
      <c r="G3489" s="31"/>
      <c r="H3489" s="31"/>
    </row>
    <row r="3490" spans="2:8" hidden="1">
      <c r="B3490" s="33"/>
      <c r="C3490" s="31"/>
      <c r="D3490" s="31"/>
      <c r="E3490" s="31"/>
      <c r="F3490" s="31"/>
      <c r="G3490" s="31"/>
      <c r="H3490" s="31"/>
    </row>
    <row r="3491" spans="2:8" hidden="1">
      <c r="B3491" s="33"/>
      <c r="C3491" s="31"/>
      <c r="D3491" s="31"/>
      <c r="E3491" s="31"/>
      <c r="F3491" s="31"/>
      <c r="G3491" s="31"/>
      <c r="H3491" s="31"/>
    </row>
    <row r="3492" spans="2:8" hidden="1">
      <c r="B3492" s="33"/>
      <c r="C3492" s="31"/>
      <c r="D3492" s="31"/>
      <c r="E3492" s="31"/>
      <c r="F3492" s="31"/>
      <c r="G3492" s="31"/>
      <c r="H3492" s="31"/>
    </row>
    <row r="3493" spans="2:8" hidden="1">
      <c r="B3493" s="33"/>
      <c r="C3493" s="31"/>
      <c r="D3493" s="31"/>
      <c r="E3493" s="31"/>
      <c r="F3493" s="31"/>
      <c r="G3493" s="31"/>
      <c r="H3493" s="31"/>
    </row>
    <row r="3494" spans="2:8" hidden="1">
      <c r="B3494" s="33"/>
      <c r="C3494" s="31"/>
      <c r="D3494" s="31"/>
      <c r="E3494" s="31"/>
      <c r="F3494" s="31"/>
      <c r="G3494" s="31"/>
      <c r="H3494" s="31"/>
    </row>
    <row r="3495" spans="2:8" hidden="1">
      <c r="B3495" s="33"/>
      <c r="C3495" s="31"/>
      <c r="D3495" s="31"/>
      <c r="E3495" s="31"/>
      <c r="F3495" s="31"/>
      <c r="G3495" s="31"/>
      <c r="H3495" s="31"/>
    </row>
    <row r="3496" spans="2:8" hidden="1">
      <c r="B3496" s="33"/>
      <c r="C3496" s="31"/>
      <c r="D3496" s="31"/>
      <c r="E3496" s="31"/>
      <c r="F3496" s="31"/>
      <c r="G3496" s="31"/>
      <c r="H3496" s="31"/>
    </row>
    <row r="3497" spans="2:8" hidden="1">
      <c r="B3497" s="33"/>
      <c r="C3497" s="31"/>
      <c r="D3497" s="31"/>
      <c r="E3497" s="31"/>
      <c r="F3497" s="31"/>
      <c r="G3497" s="31"/>
      <c r="H3497" s="31"/>
    </row>
    <row r="3498" spans="2:8" hidden="1">
      <c r="B3498" s="33"/>
      <c r="C3498" s="31"/>
      <c r="D3498" s="31"/>
      <c r="E3498" s="31"/>
      <c r="F3498" s="31"/>
      <c r="G3498" s="31"/>
      <c r="H3498" s="31"/>
    </row>
    <row r="3499" spans="2:8" hidden="1">
      <c r="B3499" s="33"/>
      <c r="C3499" s="31"/>
      <c r="D3499" s="31"/>
      <c r="E3499" s="31"/>
      <c r="F3499" s="31"/>
      <c r="G3499" s="31"/>
      <c r="H3499" s="31"/>
    </row>
    <row r="3500" spans="2:8" hidden="1">
      <c r="B3500" s="33"/>
      <c r="C3500" s="31"/>
      <c r="D3500" s="31"/>
      <c r="E3500" s="31"/>
      <c r="F3500" s="31"/>
      <c r="G3500" s="31"/>
      <c r="H3500" s="31"/>
    </row>
    <row r="3501" spans="2:8" hidden="1">
      <c r="B3501" s="33"/>
      <c r="C3501" s="31"/>
      <c r="D3501" s="31"/>
      <c r="E3501" s="31"/>
      <c r="F3501" s="31"/>
      <c r="G3501" s="31"/>
      <c r="H3501" s="31"/>
    </row>
    <row r="3502" spans="2:8" hidden="1">
      <c r="B3502" s="33"/>
      <c r="C3502" s="31"/>
      <c r="D3502" s="31"/>
      <c r="E3502" s="31"/>
      <c r="F3502" s="33"/>
      <c r="G3502" s="31"/>
      <c r="H3502" s="31"/>
    </row>
    <row r="3503" spans="2:8" hidden="1">
      <c r="B3503" s="33"/>
      <c r="C3503" s="31"/>
      <c r="D3503" s="33"/>
      <c r="E3503" s="33"/>
      <c r="F3503" s="33"/>
      <c r="G3503" s="33"/>
      <c r="H3503" s="31"/>
    </row>
    <row r="3504" spans="2:8" hidden="1">
      <c r="B3504" s="33"/>
      <c r="C3504" s="31"/>
      <c r="D3504" s="33"/>
      <c r="E3504" s="33"/>
      <c r="F3504" s="33"/>
      <c r="G3504" s="33"/>
      <c r="H3504" s="31"/>
    </row>
    <row r="3505" spans="2:8" hidden="1">
      <c r="B3505" s="33"/>
      <c r="C3505" s="31"/>
      <c r="D3505" s="33"/>
      <c r="E3505" s="33"/>
      <c r="F3505" s="33"/>
      <c r="G3505" s="33"/>
      <c r="H3505" s="31"/>
    </row>
    <row r="3506" spans="2:8" hidden="1">
      <c r="B3506" s="33"/>
      <c r="C3506" s="31"/>
      <c r="D3506" s="33"/>
      <c r="E3506" s="33"/>
      <c r="F3506" s="33"/>
      <c r="G3506" s="33"/>
      <c r="H3506" s="31"/>
    </row>
    <row r="3507" spans="2:8" hidden="1">
      <c r="B3507" s="33"/>
      <c r="C3507" s="31"/>
      <c r="D3507" s="33"/>
      <c r="E3507" s="33"/>
      <c r="F3507" s="33"/>
      <c r="G3507" s="33"/>
      <c r="H3507" s="31"/>
    </row>
    <row r="3508" spans="2:8" hidden="1">
      <c r="B3508" s="33"/>
      <c r="C3508" s="31"/>
      <c r="D3508" s="33"/>
      <c r="E3508" s="33"/>
      <c r="F3508" s="33"/>
      <c r="G3508" s="33"/>
      <c r="H3508" s="31"/>
    </row>
    <row r="3509" spans="2:8" hidden="1">
      <c r="B3509" s="33"/>
      <c r="C3509" s="31"/>
      <c r="D3509" s="33"/>
      <c r="E3509" s="33"/>
      <c r="F3509" s="33"/>
      <c r="G3509" s="33"/>
      <c r="H3509" s="31"/>
    </row>
    <row r="3510" spans="2:8" hidden="1">
      <c r="B3510" s="33"/>
      <c r="C3510" s="33"/>
      <c r="D3510" s="33"/>
      <c r="E3510" s="33"/>
      <c r="F3510" s="33"/>
      <c r="G3510" s="33"/>
      <c r="H3510" s="31"/>
    </row>
    <row r="3511" spans="2:8" hidden="1">
      <c r="B3511" s="33"/>
      <c r="C3511" s="31"/>
      <c r="D3511" s="31"/>
      <c r="E3511" s="31"/>
      <c r="F3511" s="31"/>
      <c r="G3511" s="31"/>
      <c r="H3511" s="31"/>
    </row>
    <row r="3512" spans="2:8" hidden="1">
      <c r="B3512" s="33"/>
      <c r="C3512" s="31"/>
      <c r="D3512" s="31"/>
      <c r="E3512" s="31"/>
      <c r="F3512" s="31"/>
      <c r="G3512" s="31"/>
      <c r="H3512" s="31"/>
    </row>
    <row r="3513" spans="2:8" hidden="1">
      <c r="B3513" s="33"/>
      <c r="C3513" s="31"/>
      <c r="D3513" s="31"/>
      <c r="E3513" s="31"/>
      <c r="F3513" s="31"/>
      <c r="G3513" s="31"/>
      <c r="H3513" s="31"/>
    </row>
    <row r="3514" spans="2:8" hidden="1">
      <c r="B3514" s="33"/>
      <c r="C3514" s="31"/>
      <c r="D3514" s="31"/>
      <c r="E3514" s="31"/>
      <c r="F3514" s="31"/>
      <c r="G3514" s="31"/>
      <c r="H3514" s="31"/>
    </row>
    <row r="3515" spans="2:8" hidden="1">
      <c r="B3515" s="33"/>
      <c r="C3515" s="31"/>
      <c r="D3515" s="31"/>
      <c r="E3515" s="31"/>
      <c r="F3515" s="31"/>
      <c r="G3515" s="31"/>
      <c r="H3515" s="31"/>
    </row>
    <row r="3516" spans="2:8" hidden="1">
      <c r="B3516" s="33"/>
      <c r="C3516" s="31"/>
      <c r="D3516" s="31"/>
      <c r="E3516" s="31"/>
      <c r="F3516" s="31"/>
      <c r="G3516" s="31"/>
      <c r="H3516" s="31"/>
    </row>
    <row r="3517" spans="2:8" hidden="1">
      <c r="B3517" s="33"/>
      <c r="C3517" s="31"/>
      <c r="D3517" s="31"/>
      <c r="E3517" s="31"/>
      <c r="F3517" s="31"/>
      <c r="G3517" s="31"/>
      <c r="H3517" s="31"/>
    </row>
    <row r="3518" spans="2:8" hidden="1">
      <c r="B3518" s="33"/>
      <c r="C3518" s="31"/>
      <c r="D3518" s="31"/>
      <c r="E3518" s="31"/>
      <c r="F3518" s="31"/>
      <c r="G3518" s="31"/>
      <c r="H3518" s="31"/>
    </row>
    <row r="3519" spans="2:8" hidden="1">
      <c r="B3519" s="33"/>
      <c r="C3519" s="31"/>
      <c r="D3519" s="31"/>
      <c r="E3519" s="31"/>
      <c r="F3519" s="31"/>
      <c r="G3519" s="31"/>
      <c r="H3519" s="31"/>
    </row>
    <row r="3520" spans="2:8" hidden="1">
      <c r="B3520" s="33"/>
      <c r="C3520" s="31"/>
      <c r="D3520" s="31"/>
      <c r="E3520" s="31"/>
      <c r="F3520" s="31"/>
      <c r="G3520" s="31"/>
      <c r="H3520" s="31"/>
    </row>
    <row r="3521" spans="2:8" hidden="1">
      <c r="B3521" s="33"/>
      <c r="C3521" s="31"/>
      <c r="D3521" s="31"/>
      <c r="E3521" s="31"/>
      <c r="F3521" s="31"/>
      <c r="G3521" s="31"/>
      <c r="H3521" s="31"/>
    </row>
    <row r="3522" spans="2:8" hidden="1">
      <c r="B3522" s="33"/>
      <c r="C3522" s="31"/>
      <c r="D3522" s="31"/>
      <c r="E3522" s="31"/>
      <c r="F3522" s="31"/>
      <c r="G3522" s="31"/>
      <c r="H3522" s="31"/>
    </row>
    <row r="3523" spans="2:8" hidden="1">
      <c r="B3523" s="33"/>
      <c r="C3523" s="31"/>
      <c r="D3523" s="75"/>
      <c r="E3523" s="31"/>
      <c r="F3523" s="405"/>
      <c r="G3523" s="75"/>
      <c r="H3523" s="31"/>
    </row>
    <row r="3524" spans="2:8" hidden="1">
      <c r="B3524" s="33"/>
      <c r="C3524" s="31"/>
      <c r="D3524" s="31"/>
      <c r="E3524" s="31"/>
      <c r="F3524" s="691"/>
      <c r="G3524" s="732"/>
      <c r="H3524" s="31"/>
    </row>
    <row r="3525" spans="2:8" hidden="1">
      <c r="B3525" s="33"/>
      <c r="C3525" s="31"/>
      <c r="D3525" s="31"/>
      <c r="E3525" s="31"/>
      <c r="F3525" s="405"/>
      <c r="G3525" s="75"/>
      <c r="H3525" s="31"/>
    </row>
    <row r="3526" spans="2:8" hidden="1">
      <c r="B3526" s="33"/>
      <c r="C3526" s="31"/>
      <c r="D3526" s="75"/>
      <c r="E3526" s="31"/>
      <c r="F3526" s="405"/>
      <c r="G3526" s="75"/>
      <c r="H3526" s="31"/>
    </row>
    <row r="3527" spans="2:8" hidden="1">
      <c r="B3527" s="33"/>
      <c r="C3527" s="31"/>
      <c r="D3527" s="31"/>
      <c r="E3527" s="31"/>
      <c r="F3527" s="691"/>
      <c r="G3527" s="732"/>
      <c r="H3527" s="31"/>
    </row>
    <row r="3528" spans="2:8" hidden="1">
      <c r="B3528" s="33"/>
      <c r="C3528" s="31"/>
      <c r="D3528" s="31"/>
      <c r="E3528" s="31"/>
      <c r="F3528" s="405"/>
      <c r="G3528" s="75"/>
      <c r="H3528" s="31"/>
    </row>
    <row r="3529" spans="2:8" hidden="1">
      <c r="B3529" s="33"/>
      <c r="C3529" s="31"/>
      <c r="D3529" s="31"/>
      <c r="E3529" s="31"/>
      <c r="F3529" s="31"/>
      <c r="G3529" s="31"/>
      <c r="H3529" s="31"/>
    </row>
    <row r="3530" spans="2:8" hidden="1">
      <c r="B3530" s="33"/>
      <c r="C3530" s="200"/>
      <c r="D3530" s="31"/>
      <c r="E3530" s="200"/>
      <c r="F3530" s="769"/>
      <c r="G3530" s="31"/>
      <c r="H3530" s="31"/>
    </row>
    <row r="3531" spans="2:8" hidden="1">
      <c r="B3531" s="76"/>
      <c r="C3531" s="31"/>
      <c r="D3531" s="31"/>
      <c r="E3531" s="31"/>
      <c r="F3531" s="732"/>
      <c r="G3531" s="31"/>
      <c r="H3531" s="31"/>
    </row>
    <row r="3532" spans="2:8" hidden="1">
      <c r="B3532" s="33"/>
      <c r="C3532" s="33"/>
      <c r="D3532" s="33"/>
      <c r="E3532" s="33"/>
      <c r="F3532" s="33"/>
      <c r="G3532" s="33"/>
      <c r="H3532" s="31"/>
    </row>
    <row r="3533" spans="2:8" hidden="1">
      <c r="B3533" s="33"/>
      <c r="C3533" s="31"/>
      <c r="D3533" s="33"/>
      <c r="E3533" s="33"/>
      <c r="F3533" s="33"/>
      <c r="G3533" s="33"/>
      <c r="H3533" s="31"/>
    </row>
    <row r="3534" spans="2:8" hidden="1">
      <c r="B3534" s="405"/>
      <c r="C3534" s="76"/>
      <c r="D3534" s="731"/>
      <c r="E3534" s="75"/>
      <c r="F3534" s="75"/>
      <c r="G3534" s="75"/>
      <c r="H3534" s="31"/>
    </row>
    <row r="3535" spans="2:8" hidden="1">
      <c r="B3535" s="405"/>
      <c r="C3535" s="76"/>
      <c r="D3535" s="731"/>
      <c r="E3535" s="75"/>
      <c r="F3535" s="75"/>
      <c r="G3535" s="75"/>
      <c r="H3535" s="31"/>
    </row>
    <row r="3536" spans="2:8" hidden="1">
      <c r="B3536" s="405"/>
      <c r="C3536" s="76"/>
      <c r="D3536" s="731"/>
      <c r="E3536" s="75"/>
      <c r="F3536" s="75"/>
      <c r="G3536" s="75"/>
      <c r="H3536" s="31"/>
    </row>
    <row r="3537" spans="2:8" hidden="1">
      <c r="B3537" s="405"/>
      <c r="C3537" s="76"/>
      <c r="D3537" s="731"/>
      <c r="E3537" s="75"/>
      <c r="F3537" s="75"/>
      <c r="G3537" s="75"/>
      <c r="H3537" s="31"/>
    </row>
    <row r="3538" spans="2:8" hidden="1">
      <c r="B3538" s="405"/>
      <c r="C3538" s="76"/>
      <c r="D3538" s="731"/>
      <c r="E3538" s="75"/>
      <c r="F3538" s="75"/>
      <c r="G3538" s="75"/>
      <c r="H3538" s="31"/>
    </row>
    <row r="3539" spans="2:8" hidden="1">
      <c r="B3539" s="405"/>
      <c r="C3539" s="76"/>
      <c r="D3539" s="731"/>
      <c r="E3539" s="75"/>
      <c r="F3539" s="75"/>
      <c r="G3539" s="75"/>
      <c r="H3539" s="31"/>
    </row>
    <row r="3540" spans="2:8" hidden="1">
      <c r="B3540" s="405"/>
      <c r="C3540" s="76"/>
      <c r="D3540" s="731"/>
      <c r="E3540" s="75"/>
      <c r="F3540" s="75"/>
      <c r="G3540" s="75"/>
      <c r="H3540" s="31"/>
    </row>
    <row r="3541" spans="2:8" hidden="1">
      <c r="B3541" s="405"/>
      <c r="C3541" s="76"/>
      <c r="D3541" s="731"/>
      <c r="E3541" s="75"/>
      <c r="F3541" s="75"/>
      <c r="G3541" s="75"/>
      <c r="H3541" s="31"/>
    </row>
    <row r="3542" spans="2:8" hidden="1">
      <c r="B3542" s="405"/>
      <c r="C3542" s="76"/>
      <c r="D3542" s="731"/>
      <c r="E3542" s="75"/>
      <c r="F3542" s="75"/>
      <c r="G3542" s="75"/>
      <c r="H3542" s="31"/>
    </row>
    <row r="3543" spans="2:8" hidden="1">
      <c r="B3543" s="405"/>
      <c r="C3543" s="76"/>
      <c r="D3543" s="731"/>
      <c r="E3543" s="75"/>
      <c r="F3543" s="75"/>
      <c r="G3543" s="75"/>
      <c r="H3543" s="31"/>
    </row>
    <row r="3544" spans="2:8" hidden="1">
      <c r="B3544" s="405"/>
      <c r="C3544" s="76"/>
      <c r="D3544" s="731"/>
      <c r="E3544" s="75"/>
      <c r="F3544" s="75"/>
      <c r="G3544" s="75"/>
      <c r="H3544" s="31"/>
    </row>
    <row r="3545" spans="2:8" hidden="1">
      <c r="B3545" s="405"/>
      <c r="C3545" s="76"/>
      <c r="D3545" s="731"/>
      <c r="E3545" s="75"/>
      <c r="F3545" s="75"/>
      <c r="G3545" s="75"/>
      <c r="H3545" s="31"/>
    </row>
    <row r="3546" spans="2:8" hidden="1">
      <c r="B3546" s="405"/>
      <c r="C3546" s="76"/>
      <c r="D3546" s="731"/>
      <c r="E3546" s="75"/>
      <c r="F3546" s="75"/>
      <c r="G3546" s="75"/>
      <c r="H3546" s="31"/>
    </row>
    <row r="3547" spans="2:8" hidden="1">
      <c r="B3547" s="405"/>
      <c r="C3547" s="76"/>
      <c r="D3547" s="731"/>
      <c r="E3547" s="75"/>
      <c r="F3547" s="75"/>
      <c r="G3547" s="75"/>
      <c r="H3547" s="31"/>
    </row>
    <row r="3548" spans="2:8" hidden="1">
      <c r="B3548" s="405"/>
      <c r="C3548" s="76"/>
      <c r="D3548" s="731"/>
      <c r="E3548" s="75"/>
      <c r="F3548" s="75"/>
      <c r="G3548" s="75"/>
      <c r="H3548" s="31"/>
    </row>
    <row r="3549" spans="2:8" hidden="1">
      <c r="B3549" s="405"/>
      <c r="C3549" s="76"/>
      <c r="D3549" s="731"/>
      <c r="E3549" s="75"/>
      <c r="F3549" s="75"/>
      <c r="G3549" s="75"/>
      <c r="H3549" s="31"/>
    </row>
    <row r="3550" spans="2:8" hidden="1">
      <c r="B3550" s="405"/>
      <c r="C3550" s="76"/>
      <c r="D3550" s="731"/>
      <c r="E3550" s="75"/>
      <c r="F3550" s="75"/>
      <c r="G3550" s="75"/>
      <c r="H3550" s="31"/>
    </row>
    <row r="3551" spans="2:8" hidden="1">
      <c r="B3551" s="405"/>
      <c r="C3551" s="76"/>
      <c r="D3551" s="731"/>
      <c r="E3551" s="75"/>
      <c r="F3551" s="75"/>
      <c r="G3551" s="75"/>
      <c r="H3551" s="31"/>
    </row>
    <row r="3552" spans="2:8" hidden="1">
      <c r="B3552" s="405"/>
      <c r="C3552" s="76"/>
      <c r="D3552" s="731"/>
      <c r="E3552" s="75"/>
      <c r="F3552" s="75"/>
      <c r="G3552" s="75"/>
      <c r="H3552" s="31"/>
    </row>
    <row r="3553" spans="2:8" hidden="1">
      <c r="B3553" s="405"/>
      <c r="C3553" s="76"/>
      <c r="D3553" s="731"/>
      <c r="E3553" s="75"/>
      <c r="F3553" s="75"/>
      <c r="G3553" s="75"/>
      <c r="H3553" s="31"/>
    </row>
    <row r="3554" spans="2:8" hidden="1">
      <c r="B3554" s="405"/>
      <c r="C3554" s="76"/>
      <c r="D3554" s="731"/>
      <c r="E3554" s="75"/>
      <c r="F3554" s="75"/>
      <c r="G3554" s="75"/>
      <c r="H3554" s="31"/>
    </row>
    <row r="3555" spans="2:8" hidden="1">
      <c r="B3555" s="30"/>
      <c r="C3555" s="76"/>
      <c r="D3555" s="731"/>
      <c r="E3555" s="75"/>
      <c r="F3555" s="75"/>
      <c r="G3555" s="75"/>
      <c r="H3555" s="31"/>
    </row>
    <row r="3556" spans="2:8" hidden="1">
      <c r="B3556" s="30"/>
      <c r="C3556" s="76"/>
      <c r="D3556" s="731"/>
      <c r="E3556" s="75"/>
      <c r="F3556" s="75"/>
      <c r="G3556" s="75"/>
      <c r="H3556" s="31"/>
    </row>
    <row r="3557" spans="2:8" hidden="1">
      <c r="B3557" s="30"/>
      <c r="C3557" s="76"/>
      <c r="D3557" s="731"/>
      <c r="E3557" s="75"/>
      <c r="F3557" s="75"/>
      <c r="G3557" s="75"/>
      <c r="H3557" s="31"/>
    </row>
    <row r="3558" spans="2:8" hidden="1">
      <c r="B3558" s="30"/>
      <c r="C3558" s="76"/>
      <c r="D3558" s="731"/>
      <c r="E3558" s="75"/>
      <c r="F3558" s="75"/>
      <c r="G3558" s="75"/>
      <c r="H3558" s="31"/>
    </row>
    <row r="3559" spans="2:8" hidden="1">
      <c r="B3559" s="30"/>
      <c r="C3559" s="76"/>
      <c r="D3559" s="731"/>
      <c r="E3559" s="75"/>
      <c r="F3559" s="75"/>
      <c r="G3559" s="75"/>
      <c r="H3559" s="31"/>
    </row>
    <row r="3560" spans="2:8" hidden="1">
      <c r="B3560" s="30"/>
      <c r="C3560" s="76"/>
      <c r="D3560" s="731"/>
      <c r="E3560" s="75"/>
      <c r="F3560" s="75"/>
      <c r="G3560" s="75"/>
      <c r="H3560" s="31"/>
    </row>
    <row r="3561" spans="2:8" hidden="1">
      <c r="B3561" s="30"/>
      <c r="C3561" s="76"/>
      <c r="D3561" s="731"/>
      <c r="E3561" s="75"/>
      <c r="F3561" s="75"/>
      <c r="G3561" s="75"/>
      <c r="H3561" s="31"/>
    </row>
    <row r="3562" spans="2:8" hidden="1">
      <c r="B3562" s="30"/>
      <c r="C3562" s="76"/>
      <c r="D3562" s="731"/>
      <c r="E3562" s="75"/>
      <c r="F3562" s="75"/>
      <c r="G3562" s="75"/>
      <c r="H3562" s="31"/>
    </row>
    <row r="3563" spans="2:8" hidden="1">
      <c r="B3563" s="30"/>
      <c r="C3563" s="76"/>
      <c r="D3563" s="731"/>
      <c r="E3563" s="75"/>
      <c r="F3563" s="75"/>
      <c r="G3563" s="75"/>
      <c r="H3563" s="31"/>
    </row>
    <row r="3564" spans="2:8" hidden="1">
      <c r="B3564" s="33"/>
      <c r="C3564" s="31"/>
      <c r="D3564" s="31"/>
      <c r="E3564" s="200"/>
      <c r="F3564" s="200"/>
      <c r="G3564" s="75"/>
      <c r="H3564" s="31"/>
    </row>
    <row r="3565" spans="2:8" hidden="1">
      <c r="B3565" s="33"/>
      <c r="C3565" s="31"/>
      <c r="D3565" s="31"/>
      <c r="E3565" s="198"/>
      <c r="F3565" s="200"/>
      <c r="G3565" s="75"/>
      <c r="H3565" s="31"/>
    </row>
    <row r="3566" spans="2:8" hidden="1">
      <c r="B3566" s="33"/>
      <c r="C3566" s="31"/>
      <c r="D3566" s="31"/>
      <c r="E3566" s="198"/>
      <c r="F3566" s="200"/>
      <c r="G3566" s="75"/>
      <c r="H3566" s="31"/>
    </row>
    <row r="3567" spans="2:8" hidden="1">
      <c r="B3567" s="33"/>
      <c r="C3567" s="31"/>
      <c r="D3567" s="31"/>
      <c r="E3567" s="198"/>
      <c r="F3567" s="200"/>
      <c r="G3567" s="75"/>
      <c r="H3567" s="31"/>
    </row>
    <row r="3568" spans="2:8" hidden="1">
      <c r="B3568" s="33"/>
      <c r="C3568" s="200"/>
      <c r="D3568" s="30"/>
      <c r="E3568" s="30"/>
      <c r="F3568" s="200"/>
      <c r="G3568" s="75"/>
      <c r="H3568" s="31"/>
    </row>
    <row r="3569" spans="2:8" hidden="1">
      <c r="B3569" s="33"/>
      <c r="C3569" s="31"/>
      <c r="D3569" s="31"/>
      <c r="E3569" s="31"/>
      <c r="F3569" s="31"/>
      <c r="G3569" s="31"/>
      <c r="H3569" s="31"/>
    </row>
    <row r="3570" spans="2:8" hidden="1">
      <c r="B3570" s="76"/>
      <c r="C3570" s="31"/>
      <c r="D3570" s="31"/>
      <c r="E3570" s="31"/>
      <c r="F3570" s="31"/>
      <c r="G3570" s="31"/>
      <c r="H3570" s="31"/>
    </row>
    <row r="3571" spans="2:8" hidden="1">
      <c r="B3571" s="33"/>
      <c r="C3571" s="33"/>
      <c r="D3571" s="33"/>
      <c r="E3571" s="33"/>
      <c r="F3571" s="33"/>
      <c r="G3571" s="33"/>
      <c r="H3571" s="31"/>
    </row>
    <row r="3572" spans="2:8" hidden="1">
      <c r="B3572" s="33"/>
      <c r="C3572" s="31"/>
      <c r="D3572" s="33"/>
      <c r="E3572" s="33"/>
      <c r="F3572" s="33"/>
      <c r="G3572" s="33"/>
      <c r="H3572" s="31"/>
    </row>
    <row r="3573" spans="2:8" hidden="1">
      <c r="B3573" s="405"/>
      <c r="C3573" s="76"/>
      <c r="D3573" s="731"/>
      <c r="E3573" s="75"/>
      <c r="F3573" s="75"/>
      <c r="G3573" s="75"/>
      <c r="H3573" s="31"/>
    </row>
    <row r="3574" spans="2:8" hidden="1">
      <c r="B3574" s="405"/>
      <c r="C3574" s="76"/>
      <c r="D3574" s="731"/>
      <c r="E3574" s="75"/>
      <c r="F3574" s="75"/>
      <c r="G3574" s="75"/>
      <c r="H3574" s="31"/>
    </row>
    <row r="3575" spans="2:8" hidden="1">
      <c r="B3575" s="405"/>
      <c r="C3575" s="76"/>
      <c r="D3575" s="731"/>
      <c r="E3575" s="75"/>
      <c r="F3575" s="75"/>
      <c r="G3575" s="75"/>
      <c r="H3575" s="31"/>
    </row>
    <row r="3576" spans="2:8" hidden="1">
      <c r="B3576" s="405"/>
      <c r="C3576" s="76"/>
      <c r="D3576" s="731"/>
      <c r="E3576" s="75"/>
      <c r="F3576" s="75"/>
      <c r="G3576" s="75"/>
      <c r="H3576" s="31"/>
    </row>
    <row r="3577" spans="2:8" hidden="1">
      <c r="B3577" s="405"/>
      <c r="C3577" s="76"/>
      <c r="D3577" s="731"/>
      <c r="E3577" s="75"/>
      <c r="F3577" s="75"/>
      <c r="G3577" s="75"/>
      <c r="H3577" s="31"/>
    </row>
    <row r="3578" spans="2:8" hidden="1">
      <c r="B3578" s="405"/>
      <c r="C3578" s="76"/>
      <c r="D3578" s="731"/>
      <c r="E3578" s="75"/>
      <c r="F3578" s="75"/>
      <c r="G3578" s="75"/>
      <c r="H3578" s="31"/>
    </row>
    <row r="3579" spans="2:8" hidden="1">
      <c r="B3579" s="405"/>
      <c r="C3579" s="76"/>
      <c r="D3579" s="731"/>
      <c r="E3579" s="75"/>
      <c r="F3579" s="75"/>
      <c r="G3579" s="75"/>
      <c r="H3579" s="31"/>
    </row>
    <row r="3580" spans="2:8" hidden="1">
      <c r="B3580" s="405"/>
      <c r="C3580" s="76"/>
      <c r="D3580" s="731"/>
      <c r="E3580" s="75"/>
      <c r="F3580" s="75"/>
      <c r="G3580" s="75"/>
      <c r="H3580" s="31"/>
    </row>
    <row r="3581" spans="2:8" hidden="1">
      <c r="B3581" s="405"/>
      <c r="C3581" s="76"/>
      <c r="D3581" s="731"/>
      <c r="E3581" s="75"/>
      <c r="F3581" s="75"/>
      <c r="G3581" s="75"/>
      <c r="H3581" s="31"/>
    </row>
    <row r="3582" spans="2:8" hidden="1">
      <c r="B3582" s="405"/>
      <c r="C3582" s="76"/>
      <c r="D3582" s="731"/>
      <c r="E3582" s="75"/>
      <c r="F3582" s="75"/>
      <c r="G3582" s="75"/>
      <c r="H3582" s="31"/>
    </row>
    <row r="3583" spans="2:8" hidden="1">
      <c r="B3583" s="405"/>
      <c r="C3583" s="76"/>
      <c r="D3583" s="731"/>
      <c r="E3583" s="75"/>
      <c r="F3583" s="75"/>
      <c r="G3583" s="75"/>
      <c r="H3583" s="31"/>
    </row>
    <row r="3584" spans="2:8" hidden="1">
      <c r="B3584" s="405"/>
      <c r="C3584" s="76"/>
      <c r="D3584" s="731"/>
      <c r="E3584" s="75"/>
      <c r="F3584" s="75"/>
      <c r="G3584" s="75"/>
      <c r="H3584" s="31"/>
    </row>
    <row r="3585" spans="2:8" hidden="1">
      <c r="B3585" s="405"/>
      <c r="C3585" s="76"/>
      <c r="D3585" s="731"/>
      <c r="E3585" s="75"/>
      <c r="F3585" s="75"/>
      <c r="G3585" s="75"/>
      <c r="H3585" s="31"/>
    </row>
    <row r="3586" spans="2:8" hidden="1">
      <c r="B3586" s="405"/>
      <c r="C3586" s="76"/>
      <c r="D3586" s="731"/>
      <c r="E3586" s="75"/>
      <c r="F3586" s="75"/>
      <c r="G3586" s="75"/>
      <c r="H3586" s="31"/>
    </row>
    <row r="3587" spans="2:8" hidden="1">
      <c r="B3587" s="405"/>
      <c r="C3587" s="76"/>
      <c r="D3587" s="731"/>
      <c r="E3587" s="75"/>
      <c r="F3587" s="75"/>
      <c r="G3587" s="75"/>
      <c r="H3587" s="31"/>
    </row>
    <row r="3588" spans="2:8" hidden="1">
      <c r="B3588" s="33"/>
      <c r="C3588" s="31"/>
      <c r="D3588" s="31"/>
      <c r="E3588" s="200"/>
      <c r="F3588" s="200"/>
      <c r="G3588" s="75"/>
      <c r="H3588" s="31"/>
    </row>
    <row r="3589" spans="2:8" hidden="1">
      <c r="B3589" s="33"/>
      <c r="C3589" s="31"/>
      <c r="D3589" s="31"/>
      <c r="E3589" s="198"/>
      <c r="F3589" s="200"/>
      <c r="G3589" s="75"/>
      <c r="H3589" s="31"/>
    </row>
    <row r="3590" spans="2:8" hidden="1">
      <c r="B3590" s="33"/>
      <c r="C3590" s="31"/>
      <c r="D3590" s="31"/>
      <c r="E3590" s="198"/>
      <c r="F3590" s="200"/>
      <c r="G3590" s="75"/>
      <c r="H3590" s="31"/>
    </row>
    <row r="3591" spans="2:8" hidden="1">
      <c r="B3591" s="33"/>
      <c r="C3591" s="31"/>
      <c r="D3591" s="31"/>
      <c r="E3591" s="198"/>
      <c r="F3591" s="200"/>
      <c r="G3591" s="75"/>
      <c r="H3591" s="31"/>
    </row>
    <row r="3592" spans="2:8" hidden="1">
      <c r="B3592" s="33"/>
      <c r="C3592" s="30"/>
      <c r="D3592" s="30"/>
      <c r="E3592" s="30"/>
      <c r="F3592" s="200"/>
      <c r="G3592" s="75"/>
      <c r="H3592" s="31"/>
    </row>
    <row r="3593" spans="2:8" hidden="1">
      <c r="B3593" s="33"/>
      <c r="C3593" s="31"/>
      <c r="D3593" s="31"/>
      <c r="E3593" s="31"/>
      <c r="F3593" s="31"/>
      <c r="G3593" s="31"/>
      <c r="H3593" s="31"/>
    </row>
    <row r="3594" spans="2:8" hidden="1">
      <c r="B3594" s="76"/>
      <c r="C3594" s="31"/>
      <c r="D3594" s="31"/>
      <c r="E3594" s="31"/>
      <c r="F3594" s="31"/>
      <c r="G3594" s="31"/>
      <c r="H3594" s="31"/>
    </row>
    <row r="3595" spans="2:8" hidden="1">
      <c r="B3595" s="33"/>
      <c r="C3595" s="33"/>
      <c r="D3595" s="33"/>
      <c r="E3595" s="33"/>
      <c r="F3595" s="33"/>
      <c r="G3595" s="33"/>
      <c r="H3595" s="31"/>
    </row>
    <row r="3596" spans="2:8" hidden="1">
      <c r="B3596" s="33"/>
      <c r="C3596" s="31"/>
      <c r="D3596" s="33"/>
      <c r="E3596" s="33"/>
      <c r="F3596" s="33"/>
      <c r="G3596" s="33"/>
      <c r="H3596" s="31"/>
    </row>
    <row r="3597" spans="2:8" hidden="1">
      <c r="B3597" s="405"/>
      <c r="C3597" s="76"/>
      <c r="D3597" s="731"/>
      <c r="E3597" s="75"/>
      <c r="F3597" s="75"/>
      <c r="G3597" s="75"/>
      <c r="H3597" s="31"/>
    </row>
    <row r="3598" spans="2:8" hidden="1">
      <c r="B3598" s="405"/>
      <c r="C3598" s="76"/>
      <c r="D3598" s="731"/>
      <c r="E3598" s="75"/>
      <c r="F3598" s="75"/>
      <c r="G3598" s="75"/>
      <c r="H3598" s="31"/>
    </row>
    <row r="3599" spans="2:8" hidden="1">
      <c r="B3599" s="405"/>
      <c r="C3599" s="76"/>
      <c r="D3599" s="731"/>
      <c r="E3599" s="75"/>
      <c r="F3599" s="75"/>
      <c r="G3599" s="75"/>
      <c r="H3599" s="31"/>
    </row>
    <row r="3600" spans="2:8" hidden="1">
      <c r="B3600" s="405"/>
      <c r="C3600" s="76"/>
      <c r="D3600" s="731"/>
      <c r="E3600" s="75"/>
      <c r="F3600" s="75"/>
      <c r="G3600" s="75"/>
      <c r="H3600" s="31"/>
    </row>
    <row r="3601" spans="2:8" hidden="1">
      <c r="B3601" s="405"/>
      <c r="C3601" s="76"/>
      <c r="D3601" s="731"/>
      <c r="E3601" s="75"/>
      <c r="F3601" s="75"/>
      <c r="G3601" s="75"/>
      <c r="H3601" s="31"/>
    </row>
    <row r="3602" spans="2:8" hidden="1">
      <c r="B3602" s="405"/>
      <c r="C3602" s="76"/>
      <c r="D3602" s="731"/>
      <c r="E3602" s="75"/>
      <c r="F3602" s="75"/>
      <c r="G3602" s="75"/>
      <c r="H3602" s="31"/>
    </row>
    <row r="3603" spans="2:8" hidden="1">
      <c r="B3603" s="405"/>
      <c r="C3603" s="76"/>
      <c r="D3603" s="731"/>
      <c r="E3603" s="75"/>
      <c r="F3603" s="75"/>
      <c r="G3603" s="75"/>
      <c r="H3603" s="31"/>
    </row>
    <row r="3604" spans="2:8" hidden="1">
      <c r="B3604" s="405"/>
      <c r="C3604" s="76"/>
      <c r="D3604" s="731"/>
      <c r="E3604" s="75"/>
      <c r="F3604" s="75"/>
      <c r="G3604" s="75"/>
      <c r="H3604" s="31"/>
    </row>
    <row r="3605" spans="2:8" hidden="1">
      <c r="B3605" s="405"/>
      <c r="C3605" s="76"/>
      <c r="D3605" s="731"/>
      <c r="E3605" s="75"/>
      <c r="F3605" s="75"/>
      <c r="G3605" s="75"/>
      <c r="H3605" s="31"/>
    </row>
    <row r="3606" spans="2:8" hidden="1">
      <c r="B3606" s="30"/>
      <c r="C3606" s="76"/>
      <c r="D3606" s="731"/>
      <c r="E3606" s="75"/>
      <c r="F3606" s="75"/>
      <c r="G3606" s="75"/>
      <c r="H3606" s="31"/>
    </row>
    <row r="3607" spans="2:8" hidden="1">
      <c r="B3607" s="30"/>
      <c r="C3607" s="76"/>
      <c r="D3607" s="731"/>
      <c r="E3607" s="75"/>
      <c r="F3607" s="75"/>
      <c r="G3607" s="75"/>
      <c r="H3607" s="31"/>
    </row>
    <row r="3608" spans="2:8" hidden="1">
      <c r="B3608" s="30"/>
      <c r="C3608" s="76"/>
      <c r="D3608" s="731"/>
      <c r="E3608" s="75"/>
      <c r="F3608" s="75"/>
      <c r="G3608" s="75"/>
      <c r="H3608" s="31"/>
    </row>
    <row r="3609" spans="2:8" hidden="1">
      <c r="B3609" s="30"/>
      <c r="C3609" s="76"/>
      <c r="D3609" s="731"/>
      <c r="E3609" s="75"/>
      <c r="F3609" s="75"/>
      <c r="G3609" s="75"/>
      <c r="H3609" s="31"/>
    </row>
    <row r="3610" spans="2:8" hidden="1">
      <c r="B3610" s="30"/>
      <c r="C3610" s="76"/>
      <c r="D3610" s="731"/>
      <c r="E3610" s="75"/>
      <c r="F3610" s="75"/>
      <c r="G3610" s="75"/>
      <c r="H3610" s="31"/>
    </row>
    <row r="3611" spans="2:8" hidden="1">
      <c r="B3611" s="33"/>
      <c r="C3611" s="31"/>
      <c r="D3611" s="31"/>
      <c r="E3611" s="200"/>
      <c r="F3611" s="200"/>
      <c r="G3611" s="75"/>
      <c r="H3611" s="31"/>
    </row>
    <row r="3612" spans="2:8" hidden="1">
      <c r="B3612" s="33"/>
      <c r="C3612" s="31"/>
      <c r="D3612" s="31"/>
      <c r="E3612" s="198"/>
      <c r="F3612" s="200"/>
      <c r="G3612" s="75"/>
      <c r="H3612" s="31"/>
    </row>
    <row r="3613" spans="2:8" hidden="1">
      <c r="B3613" s="33"/>
      <c r="C3613" s="31"/>
      <c r="D3613" s="31"/>
      <c r="E3613" s="198"/>
      <c r="F3613" s="200"/>
      <c r="G3613" s="75"/>
      <c r="H3613" s="31"/>
    </row>
    <row r="3614" spans="2:8" hidden="1">
      <c r="B3614" s="33"/>
      <c r="C3614" s="31"/>
      <c r="D3614" s="31"/>
      <c r="E3614" s="198"/>
      <c r="F3614" s="200"/>
      <c r="G3614" s="75"/>
      <c r="H3614" s="31"/>
    </row>
    <row r="3615" spans="2:8" hidden="1">
      <c r="B3615" s="33"/>
      <c r="C3615" s="31"/>
      <c r="D3615" s="31"/>
      <c r="E3615" s="198"/>
      <c r="F3615" s="200"/>
      <c r="G3615" s="75"/>
      <c r="H3615" s="31"/>
    </row>
    <row r="3616" spans="2:8" hidden="1">
      <c r="B3616" s="33"/>
      <c r="C3616" s="31"/>
      <c r="D3616" s="31"/>
      <c r="E3616" s="198"/>
      <c r="F3616" s="200"/>
      <c r="G3616" s="75"/>
      <c r="H3616" s="31"/>
    </row>
    <row r="3617" spans="2:8" hidden="1">
      <c r="B3617" s="33"/>
      <c r="C3617" s="200"/>
      <c r="D3617" s="30"/>
      <c r="E3617" s="30"/>
      <c r="F3617" s="200"/>
      <c r="G3617" s="75"/>
      <c r="H3617" s="31"/>
    </row>
    <row r="3618" spans="2:8" hidden="1">
      <c r="B3618" s="33"/>
      <c r="C3618" s="31"/>
      <c r="D3618" s="31"/>
      <c r="E3618" s="31"/>
      <c r="F3618" s="31"/>
      <c r="G3618" s="31"/>
      <c r="H3618" s="31"/>
    </row>
    <row r="3619" spans="2:8" hidden="1">
      <c r="B3619" s="33"/>
      <c r="C3619" s="31"/>
      <c r="D3619" s="31"/>
      <c r="E3619" s="31"/>
      <c r="F3619" s="31"/>
      <c r="G3619" s="31"/>
      <c r="H3619" s="31"/>
    </row>
    <row r="3620" spans="2:8" hidden="1">
      <c r="B3620" s="33"/>
      <c r="C3620" s="31"/>
      <c r="D3620" s="31"/>
      <c r="E3620" s="31"/>
      <c r="F3620" s="200"/>
      <c r="G3620" s="75"/>
      <c r="H3620" s="31"/>
    </row>
    <row r="3621" spans="2:8" hidden="1">
      <c r="B3621" s="33"/>
      <c r="C3621" s="31"/>
      <c r="D3621" s="31"/>
      <c r="E3621" s="31"/>
      <c r="F3621" s="200"/>
      <c r="G3621" s="75"/>
      <c r="H3621" s="31"/>
    </row>
    <row r="3622" spans="2:8" hidden="1">
      <c r="B3622" s="33"/>
      <c r="C3622" s="31"/>
      <c r="D3622" s="31"/>
      <c r="E3622" s="31"/>
      <c r="F3622" s="200"/>
      <c r="G3622" s="75"/>
      <c r="H3622" s="31"/>
    </row>
    <row r="3623" spans="2:8" hidden="1">
      <c r="B3623" s="33"/>
      <c r="C3623" s="31"/>
      <c r="D3623" s="31"/>
      <c r="E3623" s="200"/>
      <c r="F3623" s="200"/>
      <c r="G3623" s="75"/>
      <c r="H3623" s="31"/>
    </row>
    <row r="3624" spans="2:8" hidden="1">
      <c r="B3624" s="33"/>
      <c r="C3624" s="31"/>
      <c r="D3624" s="31"/>
      <c r="E3624" s="301"/>
      <c r="F3624" s="200"/>
      <c r="G3624" s="75"/>
      <c r="H3624" s="31"/>
    </row>
    <row r="3625" spans="2:8" hidden="1">
      <c r="B3625" s="33"/>
      <c r="C3625" s="31"/>
      <c r="D3625" s="31"/>
      <c r="E3625" s="767"/>
      <c r="F3625" s="200"/>
      <c r="G3625" s="75"/>
      <c r="H3625" s="31"/>
    </row>
    <row r="3626" spans="2:8" hidden="1">
      <c r="B3626" s="33"/>
      <c r="C3626" s="31"/>
      <c r="D3626" s="31"/>
      <c r="E3626" s="767"/>
      <c r="F3626" s="200"/>
      <c r="G3626" s="75"/>
      <c r="H3626" s="31"/>
    </row>
    <row r="3627" spans="2:8" hidden="1">
      <c r="B3627" s="33"/>
      <c r="C3627" s="31"/>
      <c r="D3627" s="31"/>
      <c r="E3627" s="767"/>
      <c r="F3627" s="200"/>
      <c r="G3627" s="75"/>
      <c r="H3627" s="31"/>
    </row>
    <row r="3628" spans="2:8" hidden="1">
      <c r="B3628" s="33"/>
      <c r="C3628" s="31"/>
      <c r="D3628" s="31"/>
      <c r="E3628" s="767"/>
      <c r="F3628" s="200"/>
      <c r="G3628" s="75"/>
      <c r="H3628" s="31"/>
    </row>
    <row r="3629" spans="2:8" hidden="1">
      <c r="B3629" s="33"/>
      <c r="C3629" s="31"/>
      <c r="D3629" s="75"/>
      <c r="E3629" s="767"/>
      <c r="F3629" s="200"/>
      <c r="G3629" s="75"/>
      <c r="H3629" s="31"/>
    </row>
    <row r="3630" spans="2:8" hidden="1">
      <c r="B3630" s="33"/>
      <c r="C3630" s="31"/>
      <c r="D3630" s="31"/>
      <c r="E3630" s="767"/>
      <c r="F3630" s="200"/>
      <c r="G3630" s="75"/>
      <c r="H3630" s="31"/>
    </row>
    <row r="3631" spans="2:8" hidden="1">
      <c r="B3631" s="33"/>
      <c r="C3631" s="31"/>
      <c r="D3631" s="31"/>
      <c r="E3631" s="200"/>
      <c r="F3631" s="200"/>
      <c r="G3631" s="75"/>
      <c r="H3631" s="31"/>
    </row>
    <row r="3632" spans="2:8" hidden="1">
      <c r="B3632" s="33"/>
      <c r="C3632" s="31"/>
      <c r="D3632" s="31"/>
      <c r="E3632" s="200"/>
      <c r="F3632" s="200"/>
      <c r="G3632" s="31"/>
      <c r="H3632" s="31"/>
    </row>
    <row r="3633" spans="2:8" hidden="1">
      <c r="B3633" s="33"/>
      <c r="C3633" s="31"/>
      <c r="D3633" s="75"/>
      <c r="E3633" s="76"/>
      <c r="F3633" s="200"/>
      <c r="G3633" s="75"/>
      <c r="H3633" s="31"/>
    </row>
    <row r="3634" spans="2:8" hidden="1">
      <c r="B3634" s="33"/>
      <c r="C3634" s="31"/>
      <c r="D3634" s="198"/>
      <c r="E3634" s="198"/>
      <c r="F3634" s="200"/>
      <c r="G3634" s="75"/>
      <c r="H3634" s="31"/>
    </row>
    <row r="3635" spans="2:8" hidden="1">
      <c r="B3635" s="33"/>
      <c r="C3635" s="31"/>
      <c r="D3635" s="768"/>
      <c r="E3635" s="31"/>
      <c r="F3635" s="200"/>
      <c r="G3635" s="75"/>
      <c r="H3635" s="31"/>
    </row>
    <row r="3636" spans="2:8" hidden="1">
      <c r="B3636" s="33"/>
      <c r="C3636" s="31"/>
      <c r="D3636" s="200"/>
      <c r="E3636" s="31"/>
      <c r="F3636" s="200"/>
      <c r="G3636" s="75"/>
      <c r="H3636" s="31"/>
    </row>
    <row r="3637" spans="2:8" hidden="1">
      <c r="B3637" s="33"/>
      <c r="C3637" s="31"/>
      <c r="D3637" s="31"/>
      <c r="E3637" s="31"/>
      <c r="F3637" s="31"/>
      <c r="G3637" s="31"/>
      <c r="H3637" s="31"/>
    </row>
    <row r="3638" spans="2:8" hidden="1">
      <c r="B3638" s="33"/>
      <c r="C3638" s="31"/>
      <c r="D3638" s="31"/>
      <c r="E3638" s="31"/>
      <c r="F3638" s="31"/>
      <c r="G3638" s="31"/>
      <c r="H3638" s="31"/>
    </row>
    <row r="3639" spans="2:8" hidden="1">
      <c r="B3639" s="33"/>
      <c r="C3639" s="31"/>
      <c r="D3639" s="31"/>
      <c r="E3639" s="31"/>
      <c r="F3639" s="31"/>
      <c r="G3639" s="31"/>
      <c r="H3639" s="31"/>
    </row>
    <row r="3640" spans="2:8" hidden="1">
      <c r="B3640" s="33"/>
      <c r="C3640" s="31"/>
      <c r="D3640" s="33"/>
      <c r="E3640" s="31"/>
      <c r="F3640" s="200"/>
      <c r="G3640" s="76"/>
      <c r="H3640" s="31"/>
    </row>
    <row r="3641" spans="2:8" hidden="1">
      <c r="B3641" s="33"/>
      <c r="C3641" s="31"/>
      <c r="D3641" s="31"/>
      <c r="E3641" s="31"/>
      <c r="F3641" s="31"/>
      <c r="G3641" s="31"/>
      <c r="H3641" s="31"/>
    </row>
    <row r="3642" spans="2:8" hidden="1">
      <c r="B3642" s="33"/>
      <c r="C3642" s="31"/>
      <c r="D3642" s="31"/>
      <c r="E3642" s="31"/>
      <c r="F3642" s="31"/>
      <c r="G3642" s="31"/>
      <c r="H3642" s="31"/>
    </row>
    <row r="3643" spans="2:8" hidden="1">
      <c r="B3643" s="33"/>
      <c r="C3643" s="31"/>
      <c r="D3643" s="31"/>
      <c r="E3643" s="31"/>
      <c r="F3643" s="31"/>
      <c r="G3643" s="31"/>
      <c r="H3643" s="31"/>
    </row>
    <row r="3644" spans="2:8" hidden="1">
      <c r="B3644" s="33"/>
      <c r="C3644" s="31"/>
      <c r="D3644" s="31"/>
      <c r="E3644" s="31"/>
      <c r="F3644" s="31"/>
      <c r="G3644" s="31"/>
      <c r="H3644" s="31"/>
    </row>
    <row r="3645" spans="2:8" hidden="1">
      <c r="B3645" s="33"/>
      <c r="C3645" s="31"/>
      <c r="D3645" s="31"/>
      <c r="E3645" s="31"/>
      <c r="F3645" s="31"/>
      <c r="G3645" s="31"/>
      <c r="H3645" s="31"/>
    </row>
    <row r="3646" spans="2:8" hidden="1">
      <c r="B3646" s="33"/>
      <c r="C3646" s="31"/>
      <c r="D3646" s="31"/>
      <c r="E3646" s="31"/>
      <c r="F3646" s="31"/>
      <c r="G3646" s="31"/>
      <c r="H3646" s="31"/>
    </row>
    <row r="3647" spans="2:8" hidden="1">
      <c r="B3647" s="33"/>
      <c r="C3647" s="31"/>
      <c r="D3647" s="31"/>
      <c r="E3647" s="31"/>
      <c r="F3647" s="31"/>
      <c r="G3647" s="31"/>
      <c r="H3647" s="31"/>
    </row>
    <row r="3648" spans="2:8" hidden="1">
      <c r="B3648" s="33"/>
      <c r="C3648" s="31"/>
      <c r="D3648" s="31"/>
      <c r="E3648" s="31"/>
      <c r="F3648" s="31"/>
      <c r="G3648" s="31"/>
      <c r="H3648" s="31"/>
    </row>
    <row r="3649" spans="2:8" hidden="1">
      <c r="B3649" s="33"/>
      <c r="C3649" s="31"/>
      <c r="D3649" s="31"/>
      <c r="E3649" s="31"/>
      <c r="F3649" s="31"/>
      <c r="G3649" s="31"/>
      <c r="H3649" s="31"/>
    </row>
    <row r="3650" spans="2:8" hidden="1">
      <c r="B3650" s="33"/>
      <c r="C3650" s="31"/>
      <c r="D3650" s="31"/>
      <c r="E3650" s="31"/>
      <c r="F3650" s="31"/>
      <c r="G3650" s="31"/>
      <c r="H3650" s="31"/>
    </row>
    <row r="3651" spans="2:8" hidden="1">
      <c r="B3651" s="33"/>
      <c r="C3651" s="31"/>
      <c r="D3651" s="31"/>
      <c r="E3651" s="31"/>
      <c r="F3651" s="31"/>
      <c r="G3651" s="31"/>
      <c r="H3651" s="31"/>
    </row>
    <row r="3652" spans="2:8" hidden="1">
      <c r="B3652" s="33"/>
      <c r="C3652" s="31"/>
      <c r="D3652" s="31"/>
      <c r="E3652" s="31"/>
      <c r="F3652" s="31"/>
      <c r="G3652" s="31"/>
      <c r="H3652" s="31"/>
    </row>
    <row r="3653" spans="2:8" hidden="1">
      <c r="B3653" s="33"/>
      <c r="C3653" s="31"/>
      <c r="D3653" s="31"/>
      <c r="E3653" s="31"/>
      <c r="F3653" s="31"/>
      <c r="G3653" s="31"/>
      <c r="H3653" s="31"/>
    </row>
    <row r="3654" spans="2:8" hidden="1">
      <c r="B3654" s="33"/>
      <c r="C3654" s="31"/>
      <c r="D3654" s="31"/>
      <c r="E3654" s="31"/>
      <c r="F3654" s="31"/>
      <c r="G3654" s="31"/>
      <c r="H3654" s="31"/>
    </row>
    <row r="3655" spans="2:8" hidden="1">
      <c r="B3655" s="33"/>
      <c r="C3655" s="31"/>
      <c r="D3655" s="31"/>
      <c r="E3655" s="31"/>
      <c r="F3655" s="31"/>
      <c r="G3655" s="31"/>
      <c r="H3655" s="31"/>
    </row>
    <row r="3656" spans="2:8" hidden="1">
      <c r="B3656" s="33"/>
      <c r="C3656" s="31"/>
      <c r="D3656" s="31"/>
      <c r="E3656" s="31"/>
      <c r="F3656" s="31"/>
      <c r="G3656" s="31"/>
      <c r="H3656" s="31"/>
    </row>
    <row r="3657" spans="2:8" hidden="1">
      <c r="B3657" s="33"/>
      <c r="C3657" s="31"/>
      <c r="D3657" s="31"/>
      <c r="E3657" s="31"/>
      <c r="F3657" s="31"/>
      <c r="G3657" s="31"/>
      <c r="H3657" s="31"/>
    </row>
    <row r="3658" spans="2:8" hidden="1">
      <c r="B3658" s="33"/>
      <c r="C3658" s="31"/>
      <c r="D3658" s="31"/>
      <c r="E3658" s="31"/>
      <c r="F3658" s="31"/>
      <c r="G3658" s="31"/>
      <c r="H3658" s="31"/>
    </row>
    <row r="3659" spans="2:8" hidden="1">
      <c r="B3659" s="33"/>
      <c r="C3659" s="31"/>
      <c r="D3659" s="31"/>
      <c r="E3659" s="31"/>
      <c r="F3659" s="691"/>
      <c r="G3659" s="31"/>
      <c r="H3659" s="31"/>
    </row>
    <row r="3660" spans="2:8" hidden="1">
      <c r="B3660" s="33"/>
      <c r="C3660" s="31"/>
      <c r="D3660" s="31"/>
      <c r="E3660" s="31"/>
      <c r="F3660" s="691"/>
      <c r="G3660" s="31"/>
      <c r="H3660" s="31"/>
    </row>
    <row r="3661" spans="2:8" hidden="1">
      <c r="B3661" s="33"/>
      <c r="C3661" s="31"/>
      <c r="D3661" s="31"/>
      <c r="E3661" s="31"/>
      <c r="F3661" s="691"/>
      <c r="G3661" s="31"/>
      <c r="H3661" s="31"/>
    </row>
    <row r="3662" spans="2:8" hidden="1">
      <c r="B3662" s="33"/>
      <c r="C3662" s="31"/>
      <c r="D3662" s="31"/>
      <c r="E3662" s="31"/>
      <c r="F3662" s="691"/>
      <c r="G3662" s="31"/>
      <c r="H3662" s="31"/>
    </row>
    <row r="3663" spans="2:8" hidden="1">
      <c r="B3663" s="33"/>
      <c r="C3663" s="31"/>
      <c r="D3663" s="31"/>
      <c r="E3663" s="31"/>
      <c r="F3663" s="31"/>
      <c r="G3663" s="31"/>
      <c r="H3663" s="31"/>
    </row>
    <row r="3664" spans="2:8" hidden="1">
      <c r="B3664" s="33"/>
      <c r="C3664" s="31"/>
      <c r="D3664" s="31"/>
      <c r="E3664" s="31"/>
      <c r="F3664" s="31"/>
      <c r="G3664" s="31"/>
      <c r="H3664" s="31"/>
    </row>
    <row r="3665" spans="2:8" hidden="1">
      <c r="B3665" s="33"/>
      <c r="C3665" s="31"/>
      <c r="D3665" s="31"/>
      <c r="E3665" s="31"/>
      <c r="F3665" s="31"/>
      <c r="G3665" s="31"/>
      <c r="H3665" s="31"/>
    </row>
    <row r="3666" spans="2:8" hidden="1">
      <c r="B3666" s="33"/>
      <c r="C3666" s="31"/>
      <c r="D3666" s="31"/>
      <c r="E3666" s="31"/>
      <c r="F3666" s="691"/>
      <c r="G3666" s="31"/>
      <c r="H3666" s="31"/>
    </row>
    <row r="3667" spans="2:8" hidden="1">
      <c r="B3667" s="33"/>
      <c r="C3667" s="31"/>
      <c r="D3667" s="31"/>
      <c r="E3667" s="31"/>
      <c r="F3667" s="691"/>
      <c r="G3667" s="31"/>
      <c r="H3667" s="31"/>
    </row>
    <row r="3668" spans="2:8" hidden="1">
      <c r="B3668" s="33"/>
      <c r="C3668" s="31"/>
      <c r="D3668" s="31"/>
      <c r="E3668" s="31"/>
      <c r="F3668" s="691"/>
      <c r="G3668" s="31"/>
      <c r="H3668" s="31"/>
    </row>
    <row r="3669" spans="2:8" hidden="1">
      <c r="B3669" s="33"/>
      <c r="C3669" s="31"/>
      <c r="D3669" s="31"/>
      <c r="E3669" s="31"/>
      <c r="F3669" s="691"/>
      <c r="G3669" s="31"/>
      <c r="H3669" s="31"/>
    </row>
    <row r="3670" spans="2:8" hidden="1">
      <c r="B3670" s="33"/>
      <c r="C3670" s="31"/>
      <c r="D3670" s="31"/>
      <c r="E3670" s="31"/>
      <c r="F3670" s="691"/>
      <c r="G3670" s="31"/>
      <c r="H3670" s="31"/>
    </row>
    <row r="3671" spans="2:8" hidden="1">
      <c r="B3671" s="33"/>
      <c r="C3671" s="31"/>
      <c r="D3671" s="31"/>
      <c r="E3671" s="31"/>
      <c r="F3671" s="691"/>
      <c r="G3671" s="31"/>
      <c r="H3671" s="31"/>
    </row>
    <row r="3672" spans="2:8" hidden="1">
      <c r="B3672" s="33"/>
      <c r="C3672" s="31"/>
      <c r="D3672" s="31"/>
      <c r="E3672" s="31"/>
      <c r="F3672" s="691"/>
      <c r="G3672" s="31"/>
      <c r="H3672" s="31"/>
    </row>
    <row r="3673" spans="2:8" hidden="1">
      <c r="B3673" s="33"/>
      <c r="C3673" s="31"/>
      <c r="D3673" s="31"/>
      <c r="E3673" s="31"/>
      <c r="F3673" s="691"/>
      <c r="G3673" s="31"/>
      <c r="H3673" s="31"/>
    </row>
    <row r="3674" spans="2:8" hidden="1">
      <c r="B3674" s="33"/>
      <c r="C3674" s="31"/>
      <c r="D3674" s="31"/>
      <c r="E3674" s="31"/>
      <c r="F3674" s="691"/>
      <c r="G3674" s="31"/>
      <c r="H3674" s="31"/>
    </row>
    <row r="3675" spans="2:8" hidden="1">
      <c r="B3675" s="33"/>
      <c r="C3675" s="31"/>
      <c r="D3675" s="31"/>
      <c r="E3675" s="31"/>
      <c r="F3675" s="691"/>
      <c r="G3675" s="31"/>
      <c r="H3675" s="31"/>
    </row>
    <row r="3676" spans="2:8" hidden="1">
      <c r="B3676" s="33"/>
      <c r="C3676" s="31"/>
      <c r="D3676" s="31"/>
      <c r="E3676" s="31"/>
      <c r="F3676" s="691"/>
      <c r="G3676" s="31"/>
      <c r="H3676" s="31"/>
    </row>
    <row r="3677" spans="2:8" hidden="1">
      <c r="B3677" s="33"/>
      <c r="C3677" s="31"/>
      <c r="D3677" s="31"/>
      <c r="E3677" s="31"/>
      <c r="F3677" s="691"/>
      <c r="G3677" s="31"/>
      <c r="H3677" s="31"/>
    </row>
    <row r="3678" spans="2:8" hidden="1">
      <c r="B3678" s="33"/>
      <c r="C3678" s="31"/>
      <c r="D3678" s="31"/>
      <c r="E3678" s="31"/>
      <c r="F3678" s="691"/>
      <c r="G3678" s="31"/>
      <c r="H3678" s="31"/>
    </row>
    <row r="3679" spans="2:8" hidden="1">
      <c r="B3679" s="33"/>
      <c r="C3679" s="31"/>
      <c r="D3679" s="31"/>
      <c r="E3679" s="31"/>
      <c r="F3679" s="691"/>
      <c r="G3679" s="31"/>
      <c r="H3679" s="31"/>
    </row>
    <row r="3680" spans="2:8" hidden="1">
      <c r="B3680" s="33"/>
      <c r="C3680" s="31"/>
      <c r="D3680" s="31"/>
      <c r="E3680" s="31"/>
      <c r="F3680" s="691"/>
      <c r="G3680" s="31"/>
      <c r="H3680" s="31"/>
    </row>
    <row r="3681" spans="2:8" hidden="1">
      <c r="B3681" s="33"/>
      <c r="C3681" s="31"/>
      <c r="D3681" s="31"/>
      <c r="E3681" s="31"/>
      <c r="F3681" s="691"/>
      <c r="G3681" s="31"/>
      <c r="H3681" s="31"/>
    </row>
    <row r="3682" spans="2:8" hidden="1">
      <c r="B3682" s="33"/>
      <c r="C3682" s="31"/>
      <c r="D3682" s="31"/>
      <c r="E3682" s="200"/>
      <c r="F3682" s="691"/>
      <c r="G3682" s="31"/>
      <c r="H3682" s="31"/>
    </row>
    <row r="3683" spans="2:8" hidden="1">
      <c r="B3683" s="33"/>
      <c r="C3683" s="31"/>
      <c r="D3683" s="31"/>
      <c r="E3683" s="31"/>
      <c r="F3683" s="691"/>
      <c r="G3683" s="31"/>
      <c r="H3683" s="31"/>
    </row>
    <row r="3684" spans="2:8" hidden="1">
      <c r="B3684" s="33"/>
      <c r="C3684" s="31"/>
      <c r="D3684" s="31"/>
      <c r="E3684" s="31"/>
      <c r="F3684" s="691"/>
      <c r="G3684" s="31"/>
      <c r="H3684" s="31"/>
    </row>
    <row r="3685" spans="2:8" hidden="1">
      <c r="B3685" s="33"/>
      <c r="C3685" s="31"/>
      <c r="D3685" s="31"/>
      <c r="E3685" s="31"/>
      <c r="F3685" s="691"/>
      <c r="G3685" s="31"/>
      <c r="H3685" s="31"/>
    </row>
    <row r="3686" spans="2:8" hidden="1">
      <c r="B3686" s="33"/>
      <c r="C3686" s="31"/>
      <c r="D3686" s="31"/>
      <c r="E3686" s="31"/>
      <c r="F3686" s="691"/>
      <c r="G3686" s="31"/>
      <c r="H3686" s="31"/>
    </row>
    <row r="3687" spans="2:8" hidden="1">
      <c r="B3687" s="33"/>
      <c r="C3687" s="31"/>
      <c r="D3687" s="31"/>
      <c r="E3687" s="31"/>
      <c r="F3687" s="691"/>
      <c r="G3687" s="31"/>
      <c r="H3687" s="31"/>
    </row>
    <row r="3688" spans="2:8" hidden="1">
      <c r="B3688" s="33"/>
      <c r="C3688" s="31"/>
      <c r="D3688" s="31"/>
      <c r="E3688" s="31"/>
      <c r="F3688" s="691"/>
      <c r="G3688" s="31"/>
      <c r="H3688" s="31"/>
    </row>
    <row r="3689" spans="2:8" hidden="1">
      <c r="B3689" s="33"/>
      <c r="C3689" s="31"/>
      <c r="D3689" s="31"/>
      <c r="E3689" s="31"/>
      <c r="F3689" s="691"/>
      <c r="G3689" s="31"/>
      <c r="H3689" s="31"/>
    </row>
    <row r="3690" spans="2:8" hidden="1">
      <c r="B3690" s="33"/>
      <c r="C3690" s="31"/>
      <c r="D3690" s="31"/>
      <c r="E3690" s="31"/>
      <c r="F3690" s="691"/>
      <c r="G3690" s="31"/>
      <c r="H3690" s="31"/>
    </row>
    <row r="3691" spans="2:8" hidden="1">
      <c r="B3691" s="33"/>
      <c r="C3691" s="31"/>
      <c r="D3691" s="31"/>
      <c r="E3691" s="31"/>
      <c r="F3691" s="691"/>
      <c r="G3691" s="31"/>
      <c r="H3691" s="31"/>
    </row>
    <row r="3692" spans="2:8" hidden="1">
      <c r="B3692" s="33"/>
      <c r="C3692" s="31"/>
      <c r="D3692" s="31"/>
      <c r="E3692" s="31"/>
      <c r="F3692" s="691"/>
      <c r="G3692" s="31"/>
      <c r="H3692" s="31"/>
    </row>
    <row r="3693" spans="2:8" hidden="1">
      <c r="B3693" s="33"/>
      <c r="C3693" s="31"/>
      <c r="D3693" s="31"/>
      <c r="E3693" s="31"/>
      <c r="F3693" s="691"/>
      <c r="G3693" s="31"/>
      <c r="H3693" s="31"/>
    </row>
    <row r="3694" spans="2:8" hidden="1">
      <c r="B3694" s="33"/>
      <c r="C3694" s="31"/>
      <c r="D3694" s="31"/>
      <c r="E3694" s="31"/>
      <c r="F3694" s="691"/>
      <c r="G3694" s="31"/>
      <c r="H3694" s="31"/>
    </row>
    <row r="3695" spans="2:8" hidden="1">
      <c r="B3695" s="33"/>
      <c r="C3695" s="31"/>
      <c r="D3695" s="31"/>
      <c r="E3695" s="31"/>
      <c r="F3695" s="691"/>
      <c r="G3695" s="31"/>
      <c r="H3695" s="31"/>
    </row>
    <row r="3696" spans="2:8" hidden="1">
      <c r="B3696" s="33"/>
      <c r="C3696" s="31"/>
      <c r="D3696" s="31"/>
      <c r="E3696" s="31"/>
      <c r="F3696" s="691"/>
      <c r="G3696" s="31"/>
      <c r="H3696" s="31"/>
    </row>
    <row r="3697" spans="2:8" hidden="1">
      <c r="B3697" s="33"/>
      <c r="C3697" s="31"/>
      <c r="D3697" s="31"/>
      <c r="E3697" s="31"/>
      <c r="F3697" s="691"/>
      <c r="G3697" s="31"/>
      <c r="H3697" s="31"/>
    </row>
    <row r="3698" spans="2:8" hidden="1">
      <c r="B3698" s="33"/>
      <c r="C3698" s="31"/>
      <c r="D3698" s="31"/>
      <c r="E3698" s="200"/>
      <c r="F3698" s="691"/>
      <c r="G3698" s="31"/>
      <c r="H3698" s="31"/>
    </row>
    <row r="3699" spans="2:8" hidden="1">
      <c r="B3699" s="33"/>
      <c r="C3699" s="31"/>
      <c r="D3699" s="31"/>
      <c r="E3699" s="31"/>
      <c r="F3699" s="691"/>
      <c r="G3699" s="31"/>
      <c r="H3699" s="31"/>
    </row>
    <row r="3700" spans="2:8" hidden="1">
      <c r="B3700" s="33"/>
      <c r="C3700" s="31"/>
      <c r="D3700" s="31"/>
      <c r="E3700" s="31"/>
      <c r="F3700" s="691"/>
      <c r="G3700" s="31"/>
      <c r="H3700" s="31"/>
    </row>
    <row r="3701" spans="2:8" hidden="1">
      <c r="B3701" s="33"/>
      <c r="C3701" s="31"/>
      <c r="D3701" s="31"/>
      <c r="E3701" s="31"/>
      <c r="F3701" s="691"/>
      <c r="G3701" s="31"/>
      <c r="H3701" s="31"/>
    </row>
    <row r="3702" spans="2:8" hidden="1">
      <c r="B3702" s="33"/>
      <c r="C3702" s="31"/>
      <c r="D3702" s="31"/>
      <c r="E3702" s="31"/>
      <c r="F3702" s="691"/>
      <c r="G3702" s="31"/>
      <c r="H3702" s="31"/>
    </row>
    <row r="3703" spans="2:8" hidden="1">
      <c r="B3703" s="33"/>
      <c r="C3703" s="31"/>
      <c r="D3703" s="31"/>
      <c r="E3703" s="31"/>
      <c r="F3703" s="691"/>
      <c r="G3703" s="31"/>
      <c r="H3703" s="31"/>
    </row>
    <row r="3704" spans="2:8" hidden="1">
      <c r="B3704" s="33"/>
      <c r="C3704" s="31"/>
      <c r="D3704" s="31"/>
      <c r="E3704" s="31"/>
      <c r="F3704" s="691"/>
      <c r="G3704" s="31"/>
      <c r="H3704" s="31"/>
    </row>
    <row r="3705" spans="2:8" hidden="1">
      <c r="B3705" s="33"/>
      <c r="C3705" s="31"/>
      <c r="D3705" s="31"/>
      <c r="E3705" s="31"/>
      <c r="F3705" s="691"/>
      <c r="G3705" s="31"/>
      <c r="H3705" s="31"/>
    </row>
    <row r="3706" spans="2:8" hidden="1">
      <c r="B3706" s="33"/>
      <c r="C3706" s="31"/>
      <c r="D3706" s="31"/>
      <c r="E3706" s="31"/>
      <c r="F3706" s="691"/>
      <c r="G3706" s="31"/>
      <c r="H3706" s="31"/>
    </row>
    <row r="3707" spans="2:8" hidden="1">
      <c r="B3707" s="33"/>
      <c r="C3707" s="31"/>
      <c r="D3707" s="31"/>
      <c r="E3707" s="31"/>
      <c r="F3707" s="691"/>
      <c r="G3707" s="31"/>
      <c r="H3707" s="31"/>
    </row>
    <row r="3708" spans="2:8" hidden="1">
      <c r="B3708" s="33"/>
      <c r="C3708" s="31"/>
      <c r="D3708" s="31"/>
      <c r="E3708" s="31"/>
      <c r="F3708" s="691"/>
      <c r="G3708" s="31"/>
      <c r="H3708" s="31"/>
    </row>
    <row r="3709" spans="2:8" hidden="1">
      <c r="B3709" s="33"/>
      <c r="C3709" s="31"/>
      <c r="D3709" s="31"/>
      <c r="E3709" s="31"/>
      <c r="F3709" s="691"/>
      <c r="G3709" s="31"/>
      <c r="H3709" s="31"/>
    </row>
    <row r="3710" spans="2:8" hidden="1">
      <c r="B3710" s="33"/>
      <c r="C3710" s="31"/>
      <c r="D3710" s="31"/>
      <c r="E3710" s="31"/>
      <c r="F3710" s="691"/>
      <c r="G3710" s="31"/>
      <c r="H3710" s="31"/>
    </row>
    <row r="3711" spans="2:8" hidden="1">
      <c r="B3711" s="33"/>
      <c r="C3711" s="31"/>
      <c r="D3711" s="31"/>
      <c r="E3711" s="31"/>
      <c r="F3711" s="691"/>
      <c r="G3711" s="31"/>
      <c r="H3711" s="31"/>
    </row>
    <row r="3712" spans="2:8" hidden="1">
      <c r="B3712" s="33"/>
      <c r="C3712" s="31"/>
      <c r="D3712" s="31"/>
      <c r="E3712" s="31"/>
      <c r="F3712" s="31"/>
      <c r="G3712" s="31"/>
      <c r="H3712" s="31"/>
    </row>
    <row r="3713" spans="2:8" hidden="1">
      <c r="B3713" s="33"/>
      <c r="C3713" s="31"/>
      <c r="D3713" s="31"/>
      <c r="E3713" s="31"/>
      <c r="F3713" s="31"/>
      <c r="G3713" s="31"/>
      <c r="H3713" s="31"/>
    </row>
    <row r="3714" spans="2:8" hidden="1">
      <c r="B3714" s="33"/>
      <c r="C3714" s="31"/>
      <c r="D3714" s="31"/>
      <c r="E3714" s="31"/>
      <c r="F3714" s="31"/>
      <c r="G3714" s="31"/>
      <c r="H3714" s="31"/>
    </row>
    <row r="3715" spans="2:8" hidden="1">
      <c r="B3715" s="33"/>
      <c r="C3715" s="31"/>
      <c r="D3715" s="31"/>
      <c r="E3715" s="31"/>
      <c r="F3715" s="31"/>
      <c r="G3715" s="31"/>
      <c r="H3715" s="31"/>
    </row>
    <row r="3716" spans="2:8" hidden="1">
      <c r="B3716" s="33"/>
      <c r="C3716" s="31"/>
      <c r="D3716" s="31"/>
      <c r="E3716" s="31"/>
      <c r="F3716" s="31"/>
      <c r="G3716" s="31"/>
      <c r="H3716" s="31"/>
    </row>
    <row r="3717" spans="2:8" hidden="1">
      <c r="B3717" s="33"/>
      <c r="C3717" s="31"/>
      <c r="D3717" s="31"/>
      <c r="E3717" s="31"/>
      <c r="F3717" s="31"/>
      <c r="G3717" s="31"/>
      <c r="H3717" s="31"/>
    </row>
    <row r="3718" spans="2:8" hidden="1">
      <c r="B3718" s="33"/>
      <c r="C3718" s="31"/>
      <c r="D3718" s="31"/>
      <c r="E3718" s="31"/>
      <c r="F3718" s="31"/>
      <c r="G3718" s="31"/>
      <c r="H3718" s="31"/>
    </row>
    <row r="3719" spans="2:8" hidden="1">
      <c r="B3719" s="33"/>
      <c r="C3719" s="31"/>
      <c r="D3719" s="31"/>
      <c r="E3719" s="31"/>
      <c r="F3719" s="33"/>
      <c r="G3719" s="31"/>
      <c r="H3719" s="31"/>
    </row>
    <row r="3720" spans="2:8" hidden="1">
      <c r="B3720" s="33"/>
      <c r="C3720" s="31"/>
      <c r="D3720" s="33"/>
      <c r="E3720" s="33"/>
      <c r="F3720" s="33"/>
      <c r="G3720" s="33"/>
      <c r="H3720" s="31"/>
    </row>
    <row r="3721" spans="2:8" hidden="1">
      <c r="B3721" s="33"/>
      <c r="C3721" s="31"/>
      <c r="D3721" s="33"/>
      <c r="E3721" s="33"/>
      <c r="F3721" s="33"/>
      <c r="G3721" s="33"/>
      <c r="H3721" s="31"/>
    </row>
    <row r="3722" spans="2:8" hidden="1">
      <c r="B3722" s="33"/>
      <c r="C3722" s="31"/>
      <c r="D3722" s="33"/>
      <c r="E3722" s="33"/>
      <c r="F3722" s="33"/>
      <c r="G3722" s="33"/>
      <c r="H3722" s="31"/>
    </row>
    <row r="3723" spans="2:8" hidden="1">
      <c r="B3723" s="33"/>
      <c r="C3723" s="31"/>
      <c r="D3723" s="33"/>
      <c r="E3723" s="33"/>
      <c r="F3723" s="33"/>
      <c r="G3723" s="33"/>
      <c r="H3723" s="31"/>
    </row>
    <row r="3724" spans="2:8" hidden="1">
      <c r="B3724" s="33"/>
      <c r="C3724" s="31"/>
      <c r="D3724" s="33"/>
      <c r="E3724" s="33"/>
      <c r="F3724" s="33"/>
      <c r="G3724" s="33"/>
      <c r="H3724" s="31"/>
    </row>
    <row r="3725" spans="2:8" hidden="1">
      <c r="B3725" s="33"/>
      <c r="C3725" s="33"/>
      <c r="D3725" s="33"/>
      <c r="E3725" s="33"/>
      <c r="F3725" s="33"/>
      <c r="G3725" s="33"/>
      <c r="H3725" s="31"/>
    </row>
    <row r="3726" spans="2:8" hidden="1">
      <c r="B3726" s="33"/>
      <c r="C3726" s="31"/>
      <c r="D3726" s="31"/>
      <c r="E3726" s="31"/>
      <c r="F3726" s="31"/>
      <c r="G3726" s="31"/>
      <c r="H3726" s="31"/>
    </row>
    <row r="3727" spans="2:8" hidden="1">
      <c r="B3727" s="33"/>
      <c r="C3727" s="31"/>
      <c r="D3727" s="31"/>
      <c r="E3727" s="31"/>
      <c r="F3727" s="31"/>
      <c r="G3727" s="31"/>
      <c r="H3727" s="31"/>
    </row>
    <row r="3728" spans="2:8" hidden="1">
      <c r="B3728" s="33"/>
      <c r="C3728" s="31"/>
      <c r="D3728" s="31"/>
      <c r="E3728" s="31"/>
      <c r="F3728" s="31"/>
      <c r="G3728" s="31"/>
      <c r="H3728" s="31"/>
    </row>
    <row r="3729" spans="2:8" hidden="1">
      <c r="B3729" s="33"/>
      <c r="C3729" s="31"/>
      <c r="D3729" s="31"/>
      <c r="E3729" s="31"/>
      <c r="F3729" s="31"/>
      <c r="G3729" s="31"/>
      <c r="H3729" s="31"/>
    </row>
    <row r="3730" spans="2:8" hidden="1">
      <c r="B3730" s="33"/>
      <c r="C3730" s="31"/>
      <c r="D3730" s="31"/>
      <c r="E3730" s="31"/>
      <c r="F3730" s="31"/>
      <c r="G3730" s="31"/>
      <c r="H3730" s="31"/>
    </row>
    <row r="3731" spans="2:8" hidden="1">
      <c r="B3731" s="33"/>
      <c r="C3731" s="31"/>
      <c r="D3731" s="31"/>
      <c r="E3731" s="31"/>
      <c r="F3731" s="31"/>
      <c r="G3731" s="31"/>
      <c r="H3731" s="31"/>
    </row>
    <row r="3732" spans="2:8" hidden="1">
      <c r="B3732" s="33"/>
      <c r="C3732" s="31"/>
      <c r="D3732" s="31"/>
      <c r="E3732" s="31"/>
      <c r="F3732" s="31"/>
      <c r="G3732" s="31"/>
      <c r="H3732" s="31"/>
    </row>
    <row r="3733" spans="2:8" hidden="1">
      <c r="B3733" s="33"/>
      <c r="C3733" s="31"/>
      <c r="D3733" s="31"/>
      <c r="E3733" s="31"/>
      <c r="F3733" s="31"/>
      <c r="G3733" s="31"/>
      <c r="H3733" s="31"/>
    </row>
    <row r="3734" spans="2:8" hidden="1">
      <c r="B3734" s="33"/>
      <c r="C3734" s="31"/>
      <c r="D3734" s="31"/>
      <c r="E3734" s="31"/>
      <c r="F3734" s="31"/>
      <c r="G3734" s="31"/>
      <c r="H3734" s="31"/>
    </row>
    <row r="3735" spans="2:8" hidden="1">
      <c r="B3735" s="33"/>
      <c r="C3735" s="31"/>
      <c r="D3735" s="31"/>
      <c r="E3735" s="31"/>
      <c r="F3735" s="31"/>
      <c r="G3735" s="31"/>
      <c r="H3735" s="31"/>
    </row>
    <row r="3736" spans="2:8" hidden="1">
      <c r="B3736" s="33"/>
      <c r="C3736" s="31"/>
      <c r="D3736" s="31"/>
      <c r="E3736" s="31"/>
      <c r="F3736" s="31"/>
      <c r="G3736" s="31"/>
      <c r="H3736" s="31"/>
    </row>
    <row r="3737" spans="2:8" hidden="1">
      <c r="B3737" s="33"/>
      <c r="C3737" s="31"/>
      <c r="D3737" s="31"/>
      <c r="E3737" s="31"/>
      <c r="F3737" s="31"/>
      <c r="G3737" s="31"/>
      <c r="H3737" s="31"/>
    </row>
    <row r="3738" spans="2:8" hidden="1">
      <c r="B3738" s="33"/>
      <c r="C3738" s="31"/>
      <c r="D3738" s="75"/>
      <c r="E3738" s="31"/>
      <c r="F3738" s="405"/>
      <c r="G3738" s="75"/>
      <c r="H3738" s="31"/>
    </row>
    <row r="3739" spans="2:8" hidden="1">
      <c r="B3739" s="33"/>
      <c r="C3739" s="31"/>
      <c r="D3739" s="31"/>
      <c r="E3739" s="31"/>
      <c r="F3739" s="691"/>
      <c r="G3739" s="732"/>
      <c r="H3739" s="31"/>
    </row>
    <row r="3740" spans="2:8" hidden="1">
      <c r="B3740" s="33"/>
      <c r="C3740" s="31"/>
      <c r="D3740" s="31"/>
      <c r="E3740" s="31"/>
      <c r="F3740" s="405"/>
      <c r="G3740" s="75"/>
      <c r="H3740" s="31"/>
    </row>
    <row r="3741" spans="2:8" hidden="1">
      <c r="B3741" s="33"/>
      <c r="C3741" s="31"/>
      <c r="D3741" s="75"/>
      <c r="E3741" s="31"/>
      <c r="F3741" s="405"/>
      <c r="G3741" s="75"/>
      <c r="H3741" s="31"/>
    </row>
    <row r="3742" spans="2:8" hidden="1">
      <c r="B3742" s="33"/>
      <c r="C3742" s="31"/>
      <c r="D3742" s="31"/>
      <c r="E3742" s="31"/>
      <c r="F3742" s="691"/>
      <c r="G3742" s="732"/>
      <c r="H3742" s="31"/>
    </row>
    <row r="3743" spans="2:8" hidden="1">
      <c r="B3743" s="33"/>
      <c r="C3743" s="31"/>
      <c r="D3743" s="31"/>
      <c r="E3743" s="31"/>
      <c r="F3743" s="405"/>
      <c r="G3743" s="75"/>
      <c r="H3743" s="31"/>
    </row>
    <row r="3744" spans="2:8" hidden="1">
      <c r="B3744" s="33"/>
      <c r="C3744" s="31"/>
      <c r="D3744" s="31"/>
      <c r="E3744" s="31"/>
      <c r="F3744" s="31"/>
      <c r="G3744" s="31"/>
      <c r="H3744" s="31"/>
    </row>
    <row r="3745" spans="2:8" hidden="1">
      <c r="B3745" s="33"/>
      <c r="C3745" s="200"/>
      <c r="D3745" s="31"/>
      <c r="E3745" s="200"/>
      <c r="F3745" s="769"/>
      <c r="G3745" s="31"/>
      <c r="H3745" s="31"/>
    </row>
    <row r="3746" spans="2:8" hidden="1">
      <c r="B3746" s="76"/>
      <c r="C3746" s="31"/>
      <c r="D3746" s="31"/>
      <c r="E3746" s="31"/>
      <c r="F3746" s="732"/>
      <c r="G3746" s="31"/>
      <c r="H3746" s="31"/>
    </row>
    <row r="3747" spans="2:8" hidden="1">
      <c r="B3747" s="33"/>
      <c r="C3747" s="33"/>
      <c r="D3747" s="33"/>
      <c r="E3747" s="33"/>
      <c r="F3747" s="33"/>
      <c r="G3747" s="33"/>
      <c r="H3747" s="31"/>
    </row>
    <row r="3748" spans="2:8" hidden="1">
      <c r="B3748" s="33"/>
      <c r="C3748" s="31"/>
      <c r="D3748" s="33"/>
      <c r="E3748" s="33"/>
      <c r="F3748" s="33"/>
      <c r="G3748" s="33"/>
      <c r="H3748" s="31"/>
    </row>
    <row r="3749" spans="2:8" hidden="1">
      <c r="B3749" s="405"/>
      <c r="C3749" s="76"/>
      <c r="D3749" s="731"/>
      <c r="E3749" s="75"/>
      <c r="F3749" s="75"/>
      <c r="G3749" s="75"/>
      <c r="H3749" s="31"/>
    </row>
    <row r="3750" spans="2:8" hidden="1">
      <c r="B3750" s="405"/>
      <c r="C3750" s="76"/>
      <c r="D3750" s="731"/>
      <c r="E3750" s="75"/>
      <c r="F3750" s="75"/>
      <c r="G3750" s="75"/>
      <c r="H3750" s="31"/>
    </row>
    <row r="3751" spans="2:8" hidden="1">
      <c r="B3751" s="405"/>
      <c r="C3751" s="76"/>
      <c r="D3751" s="731"/>
      <c r="E3751" s="75"/>
      <c r="F3751" s="75"/>
      <c r="G3751" s="75"/>
      <c r="H3751" s="31"/>
    </row>
    <row r="3752" spans="2:8" hidden="1">
      <c r="B3752" s="405"/>
      <c r="C3752" s="76"/>
      <c r="D3752" s="731"/>
      <c r="E3752" s="75"/>
      <c r="F3752" s="75"/>
      <c r="G3752" s="75"/>
      <c r="H3752" s="31"/>
    </row>
    <row r="3753" spans="2:8" hidden="1">
      <c r="B3753" s="405"/>
      <c r="C3753" s="76"/>
      <c r="D3753" s="731"/>
      <c r="E3753" s="75"/>
      <c r="F3753" s="75"/>
      <c r="G3753" s="75"/>
      <c r="H3753" s="31"/>
    </row>
    <row r="3754" spans="2:8" hidden="1">
      <c r="B3754" s="405"/>
      <c r="C3754" s="76"/>
      <c r="D3754" s="731"/>
      <c r="E3754" s="75"/>
      <c r="F3754" s="75"/>
      <c r="G3754" s="75"/>
      <c r="H3754" s="31"/>
    </row>
    <row r="3755" spans="2:8" hidden="1">
      <c r="B3755" s="405"/>
      <c r="C3755" s="76"/>
      <c r="D3755" s="731"/>
      <c r="E3755" s="75"/>
      <c r="F3755" s="75"/>
      <c r="G3755" s="75"/>
      <c r="H3755" s="31"/>
    </row>
    <row r="3756" spans="2:8" hidden="1">
      <c r="B3756" s="405"/>
      <c r="C3756" s="76"/>
      <c r="D3756" s="731"/>
      <c r="E3756" s="75"/>
      <c r="F3756" s="75"/>
      <c r="G3756" s="75"/>
      <c r="H3756" s="31"/>
    </row>
    <row r="3757" spans="2:8" hidden="1">
      <c r="B3757" s="405"/>
      <c r="C3757" s="76"/>
      <c r="D3757" s="731"/>
      <c r="E3757" s="75"/>
      <c r="F3757" s="75"/>
      <c r="G3757" s="75"/>
      <c r="H3757" s="31"/>
    </row>
    <row r="3758" spans="2:8" hidden="1">
      <c r="B3758" s="405"/>
      <c r="C3758" s="76"/>
      <c r="D3758" s="731"/>
      <c r="E3758" s="75"/>
      <c r="F3758" s="75"/>
      <c r="G3758" s="75"/>
      <c r="H3758" s="31"/>
    </row>
    <row r="3759" spans="2:8" hidden="1">
      <c r="B3759" s="405"/>
      <c r="C3759" s="76"/>
      <c r="D3759" s="731"/>
      <c r="E3759" s="75"/>
      <c r="F3759" s="75"/>
      <c r="G3759" s="75"/>
      <c r="H3759" s="31"/>
    </row>
    <row r="3760" spans="2:8" hidden="1">
      <c r="B3760" s="405"/>
      <c r="C3760" s="76"/>
      <c r="D3760" s="731"/>
      <c r="E3760" s="75"/>
      <c r="F3760" s="75"/>
      <c r="G3760" s="75"/>
      <c r="H3760" s="31"/>
    </row>
    <row r="3761" spans="2:8" hidden="1">
      <c r="B3761" s="405"/>
      <c r="C3761" s="76"/>
      <c r="D3761" s="731"/>
      <c r="E3761" s="75"/>
      <c r="F3761" s="75"/>
      <c r="G3761" s="75"/>
      <c r="H3761" s="31"/>
    </row>
    <row r="3762" spans="2:8" hidden="1">
      <c r="B3762" s="405"/>
      <c r="C3762" s="76"/>
      <c r="D3762" s="731"/>
      <c r="E3762" s="75"/>
      <c r="F3762" s="75"/>
      <c r="G3762" s="75"/>
      <c r="H3762" s="31"/>
    </row>
    <row r="3763" spans="2:8" hidden="1">
      <c r="B3763" s="405"/>
      <c r="C3763" s="76"/>
      <c r="D3763" s="731"/>
      <c r="E3763" s="75"/>
      <c r="F3763" s="75"/>
      <c r="G3763" s="75"/>
      <c r="H3763" s="31"/>
    </row>
    <row r="3764" spans="2:8" hidden="1">
      <c r="B3764" s="30"/>
      <c r="C3764" s="76"/>
      <c r="D3764" s="731"/>
      <c r="E3764" s="75"/>
      <c r="F3764" s="75"/>
      <c r="G3764" s="75"/>
      <c r="H3764" s="31"/>
    </row>
    <row r="3765" spans="2:8" hidden="1">
      <c r="B3765" s="30"/>
      <c r="C3765" s="76"/>
      <c r="D3765" s="731"/>
      <c r="E3765" s="75"/>
      <c r="F3765" s="75"/>
      <c r="G3765" s="75"/>
      <c r="H3765" s="31"/>
    </row>
    <row r="3766" spans="2:8" hidden="1">
      <c r="B3766" s="30"/>
      <c r="C3766" s="76"/>
      <c r="D3766" s="731"/>
      <c r="E3766" s="75"/>
      <c r="F3766" s="75"/>
      <c r="G3766" s="75"/>
      <c r="H3766" s="31"/>
    </row>
    <row r="3767" spans="2:8" hidden="1">
      <c r="B3767" s="30"/>
      <c r="C3767" s="76"/>
      <c r="D3767" s="731"/>
      <c r="E3767" s="75"/>
      <c r="F3767" s="75"/>
      <c r="G3767" s="75"/>
      <c r="H3767" s="31"/>
    </row>
    <row r="3768" spans="2:8" hidden="1">
      <c r="B3768" s="30"/>
      <c r="C3768" s="76"/>
      <c r="D3768" s="731"/>
      <c r="E3768" s="75"/>
      <c r="F3768" s="75"/>
      <c r="G3768" s="75"/>
      <c r="H3768" s="31"/>
    </row>
    <row r="3769" spans="2:8" hidden="1">
      <c r="B3769" s="30"/>
      <c r="C3769" s="76"/>
      <c r="D3769" s="731"/>
      <c r="E3769" s="75"/>
      <c r="F3769" s="75"/>
      <c r="G3769" s="75"/>
      <c r="H3769" s="31"/>
    </row>
    <row r="3770" spans="2:8" hidden="1">
      <c r="B3770" s="30"/>
      <c r="C3770" s="76"/>
      <c r="D3770" s="731"/>
      <c r="E3770" s="75"/>
      <c r="F3770" s="75"/>
      <c r="G3770" s="75"/>
      <c r="H3770" s="31"/>
    </row>
    <row r="3771" spans="2:8" hidden="1">
      <c r="B3771" s="30"/>
      <c r="C3771" s="76"/>
      <c r="D3771" s="731"/>
      <c r="E3771" s="75"/>
      <c r="F3771" s="75"/>
      <c r="G3771" s="75"/>
      <c r="H3771" s="31"/>
    </row>
    <row r="3772" spans="2:8" hidden="1">
      <c r="B3772" s="33"/>
      <c r="C3772" s="31"/>
      <c r="D3772" s="31"/>
      <c r="E3772" s="200"/>
      <c r="F3772" s="200"/>
      <c r="G3772" s="75"/>
      <c r="H3772" s="31"/>
    </row>
    <row r="3773" spans="2:8" hidden="1">
      <c r="B3773" s="33"/>
      <c r="C3773" s="31"/>
      <c r="D3773" s="31"/>
      <c r="E3773" s="198"/>
      <c r="F3773" s="200"/>
      <c r="G3773" s="75"/>
      <c r="H3773" s="31"/>
    </row>
    <row r="3774" spans="2:8" hidden="1">
      <c r="B3774" s="33"/>
      <c r="C3774" s="31"/>
      <c r="D3774" s="31"/>
      <c r="E3774" s="198"/>
      <c r="F3774" s="200"/>
      <c r="G3774" s="75"/>
      <c r="H3774" s="31"/>
    </row>
    <row r="3775" spans="2:8" hidden="1">
      <c r="B3775" s="33"/>
      <c r="C3775" s="31"/>
      <c r="D3775" s="31"/>
      <c r="E3775" s="198"/>
      <c r="F3775" s="200"/>
      <c r="G3775" s="75"/>
      <c r="H3775" s="31"/>
    </row>
    <row r="3776" spans="2:8" hidden="1">
      <c r="B3776" s="33"/>
      <c r="C3776" s="200"/>
      <c r="D3776" s="30"/>
      <c r="E3776" s="30"/>
      <c r="F3776" s="200"/>
      <c r="G3776" s="75"/>
      <c r="H3776" s="31"/>
    </row>
    <row r="3777" spans="2:8" hidden="1">
      <c r="B3777" s="33"/>
      <c r="C3777" s="31"/>
      <c r="D3777" s="31"/>
      <c r="E3777" s="31"/>
      <c r="F3777" s="31"/>
      <c r="G3777" s="31"/>
      <c r="H3777" s="31"/>
    </row>
    <row r="3778" spans="2:8" hidden="1">
      <c r="B3778" s="76"/>
      <c r="C3778" s="31"/>
      <c r="D3778" s="31"/>
      <c r="E3778" s="31"/>
      <c r="F3778" s="31"/>
      <c r="G3778" s="31"/>
      <c r="H3778" s="31"/>
    </row>
    <row r="3779" spans="2:8" hidden="1">
      <c r="B3779" s="33"/>
      <c r="C3779" s="33"/>
      <c r="D3779" s="33"/>
      <c r="E3779" s="33"/>
      <c r="F3779" s="33"/>
      <c r="G3779" s="33"/>
      <c r="H3779" s="31"/>
    </row>
    <row r="3780" spans="2:8" hidden="1">
      <c r="B3780" s="33"/>
      <c r="C3780" s="31"/>
      <c r="D3780" s="33"/>
      <c r="E3780" s="33"/>
      <c r="F3780" s="33"/>
      <c r="G3780" s="33"/>
      <c r="H3780" s="31"/>
    </row>
    <row r="3781" spans="2:8" hidden="1">
      <c r="B3781" s="405"/>
      <c r="C3781" s="76"/>
      <c r="D3781" s="731"/>
      <c r="E3781" s="75"/>
      <c r="F3781" s="75"/>
      <c r="G3781" s="75"/>
      <c r="H3781" s="31"/>
    </row>
    <row r="3782" spans="2:8" hidden="1">
      <c r="B3782" s="405"/>
      <c r="C3782" s="76"/>
      <c r="D3782" s="731"/>
      <c r="E3782" s="75"/>
      <c r="F3782" s="75"/>
      <c r="G3782" s="75"/>
      <c r="H3782" s="31"/>
    </row>
    <row r="3783" spans="2:8" hidden="1">
      <c r="B3783" s="405"/>
      <c r="C3783" s="76"/>
      <c r="D3783" s="731"/>
      <c r="E3783" s="75"/>
      <c r="F3783" s="75"/>
      <c r="G3783" s="75"/>
      <c r="H3783" s="31"/>
    </row>
    <row r="3784" spans="2:8" hidden="1">
      <c r="B3784" s="405"/>
      <c r="C3784" s="76"/>
      <c r="D3784" s="731"/>
      <c r="E3784" s="75"/>
      <c r="F3784" s="75"/>
      <c r="G3784" s="75"/>
      <c r="H3784" s="31"/>
    </row>
    <row r="3785" spans="2:8" hidden="1">
      <c r="B3785" s="405"/>
      <c r="C3785" s="76"/>
      <c r="D3785" s="731"/>
      <c r="E3785" s="75"/>
      <c r="F3785" s="75"/>
      <c r="G3785" s="75"/>
      <c r="H3785" s="31"/>
    </row>
    <row r="3786" spans="2:8" hidden="1">
      <c r="B3786" s="405"/>
      <c r="C3786" s="76"/>
      <c r="D3786" s="731"/>
      <c r="E3786" s="75"/>
      <c r="F3786" s="75"/>
      <c r="G3786" s="75"/>
      <c r="H3786" s="31"/>
    </row>
    <row r="3787" spans="2:8" hidden="1">
      <c r="B3787" s="405"/>
      <c r="C3787" s="76"/>
      <c r="D3787" s="731"/>
      <c r="E3787" s="75"/>
      <c r="F3787" s="75"/>
      <c r="G3787" s="75"/>
      <c r="H3787" s="31"/>
    </row>
    <row r="3788" spans="2:8" hidden="1">
      <c r="B3788" s="405"/>
      <c r="C3788" s="76"/>
      <c r="D3788" s="731"/>
      <c r="E3788" s="75"/>
      <c r="F3788" s="75"/>
      <c r="G3788" s="75"/>
      <c r="H3788" s="31"/>
    </row>
    <row r="3789" spans="2:8" hidden="1">
      <c r="B3789" s="405"/>
      <c r="C3789" s="76"/>
      <c r="D3789" s="731"/>
      <c r="E3789" s="75"/>
      <c r="F3789" s="75"/>
      <c r="G3789" s="75"/>
      <c r="H3789" s="31"/>
    </row>
    <row r="3790" spans="2:8" hidden="1">
      <c r="B3790" s="33"/>
      <c r="C3790" s="31"/>
      <c r="D3790" s="31"/>
      <c r="E3790" s="200"/>
      <c r="F3790" s="200"/>
      <c r="G3790" s="75"/>
      <c r="H3790" s="31"/>
    </row>
    <row r="3791" spans="2:8" hidden="1">
      <c r="B3791" s="33"/>
      <c r="C3791" s="31"/>
      <c r="D3791" s="31"/>
      <c r="E3791" s="198"/>
      <c r="F3791" s="200"/>
      <c r="G3791" s="75"/>
      <c r="H3791" s="31"/>
    </row>
    <row r="3792" spans="2:8" hidden="1">
      <c r="B3792" s="33"/>
      <c r="C3792" s="31"/>
      <c r="D3792" s="31"/>
      <c r="E3792" s="198"/>
      <c r="F3792" s="200"/>
      <c r="G3792" s="75"/>
      <c r="H3792" s="31"/>
    </row>
    <row r="3793" spans="2:8" hidden="1">
      <c r="B3793" s="33"/>
      <c r="C3793" s="31"/>
      <c r="D3793" s="31"/>
      <c r="E3793" s="198"/>
      <c r="F3793" s="200"/>
      <c r="G3793" s="75"/>
      <c r="H3793" s="31"/>
    </row>
    <row r="3794" spans="2:8" hidden="1">
      <c r="B3794" s="33"/>
      <c r="C3794" s="30"/>
      <c r="D3794" s="30"/>
      <c r="E3794" s="30"/>
      <c r="F3794" s="200"/>
      <c r="G3794" s="75"/>
      <c r="H3794" s="31"/>
    </row>
    <row r="3795" spans="2:8" hidden="1">
      <c r="B3795" s="33"/>
      <c r="C3795" s="31"/>
      <c r="D3795" s="31"/>
      <c r="E3795" s="31"/>
      <c r="F3795" s="31"/>
      <c r="G3795" s="31"/>
      <c r="H3795" s="31"/>
    </row>
    <row r="3796" spans="2:8" hidden="1">
      <c r="B3796" s="76"/>
      <c r="C3796" s="31"/>
      <c r="D3796" s="31"/>
      <c r="E3796" s="31"/>
      <c r="F3796" s="31"/>
      <c r="G3796" s="31"/>
      <c r="H3796" s="31"/>
    </row>
    <row r="3797" spans="2:8" hidden="1">
      <c r="B3797" s="33"/>
      <c r="C3797" s="33"/>
      <c r="D3797" s="33"/>
      <c r="E3797" s="33"/>
      <c r="F3797" s="33"/>
      <c r="G3797" s="33"/>
      <c r="H3797" s="31"/>
    </row>
    <row r="3798" spans="2:8" hidden="1">
      <c r="B3798" s="33"/>
      <c r="C3798" s="31"/>
      <c r="D3798" s="33"/>
      <c r="E3798" s="33"/>
      <c r="F3798" s="33"/>
      <c r="G3798" s="33"/>
      <c r="H3798" s="31"/>
    </row>
    <row r="3799" spans="2:8" hidden="1">
      <c r="B3799" s="405"/>
      <c r="C3799" s="76"/>
      <c r="D3799" s="731"/>
      <c r="E3799" s="75"/>
      <c r="F3799" s="75"/>
      <c r="G3799" s="75"/>
      <c r="H3799" s="31"/>
    </row>
    <row r="3800" spans="2:8" hidden="1">
      <c r="B3800" s="405"/>
      <c r="C3800" s="76"/>
      <c r="D3800" s="731"/>
      <c r="E3800" s="75"/>
      <c r="F3800" s="75"/>
      <c r="G3800" s="75"/>
      <c r="H3800" s="31"/>
    </row>
    <row r="3801" spans="2:8" hidden="1">
      <c r="B3801" s="405"/>
      <c r="C3801" s="76"/>
      <c r="D3801" s="731"/>
      <c r="E3801" s="75"/>
      <c r="F3801" s="75"/>
      <c r="G3801" s="75"/>
      <c r="H3801" s="31"/>
    </row>
    <row r="3802" spans="2:8" hidden="1">
      <c r="B3802" s="405"/>
      <c r="C3802" s="76"/>
      <c r="D3802" s="731"/>
      <c r="E3802" s="75"/>
      <c r="F3802" s="75"/>
      <c r="G3802" s="75"/>
      <c r="H3802" s="31"/>
    </row>
    <row r="3803" spans="2:8" hidden="1">
      <c r="B3803" s="405"/>
      <c r="C3803" s="76"/>
      <c r="D3803" s="731"/>
      <c r="E3803" s="75"/>
      <c r="F3803" s="75"/>
      <c r="G3803" s="75"/>
      <c r="H3803" s="31"/>
    </row>
    <row r="3804" spans="2:8" hidden="1">
      <c r="B3804" s="405"/>
      <c r="C3804" s="76"/>
      <c r="D3804" s="731"/>
      <c r="E3804" s="75"/>
      <c r="F3804" s="75"/>
      <c r="G3804" s="75"/>
      <c r="H3804" s="31"/>
    </row>
    <row r="3805" spans="2:8" hidden="1">
      <c r="B3805" s="405"/>
      <c r="C3805" s="76"/>
      <c r="D3805" s="731"/>
      <c r="E3805" s="75"/>
      <c r="F3805" s="75"/>
      <c r="G3805" s="75"/>
      <c r="H3805" s="31"/>
    </row>
    <row r="3806" spans="2:8" hidden="1">
      <c r="B3806" s="405"/>
      <c r="C3806" s="76"/>
      <c r="D3806" s="731"/>
      <c r="E3806" s="75"/>
      <c r="F3806" s="75"/>
      <c r="G3806" s="75"/>
      <c r="H3806" s="31"/>
    </row>
    <row r="3807" spans="2:8" hidden="1">
      <c r="B3807" s="405"/>
      <c r="C3807" s="76"/>
      <c r="D3807" s="731"/>
      <c r="E3807" s="75"/>
      <c r="F3807" s="75"/>
      <c r="G3807" s="75"/>
      <c r="H3807" s="31"/>
    </row>
    <row r="3808" spans="2:8" hidden="1">
      <c r="B3808" s="30"/>
      <c r="C3808" s="76"/>
      <c r="D3808" s="731"/>
      <c r="E3808" s="75"/>
      <c r="F3808" s="75"/>
      <c r="G3808" s="75"/>
      <c r="H3808" s="31"/>
    </row>
    <row r="3809" spans="2:8" hidden="1">
      <c r="B3809" s="33"/>
      <c r="C3809" s="31"/>
      <c r="D3809" s="31"/>
      <c r="E3809" s="200"/>
      <c r="F3809" s="200"/>
      <c r="G3809" s="75"/>
      <c r="H3809" s="31"/>
    </row>
    <row r="3810" spans="2:8" hidden="1">
      <c r="B3810" s="33"/>
      <c r="C3810" s="31"/>
      <c r="D3810" s="31"/>
      <c r="E3810" s="198"/>
      <c r="F3810" s="200"/>
      <c r="G3810" s="75"/>
      <c r="H3810" s="31"/>
    </row>
    <row r="3811" spans="2:8" hidden="1">
      <c r="B3811" s="33"/>
      <c r="C3811" s="31"/>
      <c r="D3811" s="31"/>
      <c r="E3811" s="198"/>
      <c r="F3811" s="200"/>
      <c r="G3811" s="75"/>
      <c r="H3811" s="31"/>
    </row>
    <row r="3812" spans="2:8" hidden="1">
      <c r="B3812" s="33"/>
      <c r="C3812" s="31"/>
      <c r="D3812" s="31"/>
      <c r="E3812" s="198"/>
      <c r="F3812" s="200"/>
      <c r="G3812" s="75"/>
      <c r="H3812" s="31"/>
    </row>
    <row r="3813" spans="2:8" hidden="1">
      <c r="B3813" s="33"/>
      <c r="C3813" s="31"/>
      <c r="D3813" s="31"/>
      <c r="E3813" s="198"/>
      <c r="F3813" s="200"/>
      <c r="G3813" s="75"/>
      <c r="H3813" s="31"/>
    </row>
    <row r="3814" spans="2:8" hidden="1">
      <c r="B3814" s="33"/>
      <c r="C3814" s="31"/>
      <c r="D3814" s="31"/>
      <c r="E3814" s="198"/>
      <c r="F3814" s="200"/>
      <c r="G3814" s="75"/>
      <c r="H3814" s="31"/>
    </row>
    <row r="3815" spans="2:8" hidden="1">
      <c r="B3815" s="33"/>
      <c r="C3815" s="200"/>
      <c r="D3815" s="30"/>
      <c r="E3815" s="30"/>
      <c r="F3815" s="200"/>
      <c r="G3815" s="75"/>
      <c r="H3815" s="31"/>
    </row>
    <row r="3816" spans="2:8" hidden="1">
      <c r="B3816" s="33"/>
      <c r="C3816" s="31"/>
      <c r="D3816" s="31"/>
      <c r="E3816" s="31"/>
      <c r="F3816" s="31"/>
      <c r="G3816" s="31"/>
      <c r="H3816" s="31"/>
    </row>
    <row r="3817" spans="2:8" hidden="1">
      <c r="B3817" s="33"/>
      <c r="C3817" s="31"/>
      <c r="D3817" s="31"/>
      <c r="E3817" s="31"/>
      <c r="F3817" s="31"/>
      <c r="G3817" s="31"/>
      <c r="H3817" s="31"/>
    </row>
    <row r="3818" spans="2:8" hidden="1">
      <c r="B3818" s="33"/>
      <c r="C3818" s="31"/>
      <c r="D3818" s="31"/>
      <c r="E3818" s="31"/>
      <c r="F3818" s="200"/>
      <c r="G3818" s="75"/>
      <c r="H3818" s="31"/>
    </row>
    <row r="3819" spans="2:8" hidden="1">
      <c r="B3819" s="33"/>
      <c r="C3819" s="31"/>
      <c r="D3819" s="31"/>
      <c r="E3819" s="31"/>
      <c r="F3819" s="200"/>
      <c r="G3819" s="75"/>
      <c r="H3819" s="31"/>
    </row>
    <row r="3820" spans="2:8" hidden="1">
      <c r="B3820" s="33"/>
      <c r="C3820" s="31"/>
      <c r="D3820" s="31"/>
      <c r="E3820" s="31"/>
      <c r="F3820" s="200"/>
      <c r="G3820" s="75"/>
      <c r="H3820" s="31"/>
    </row>
    <row r="3821" spans="2:8" hidden="1">
      <c r="B3821" s="33"/>
      <c r="C3821" s="31"/>
      <c r="D3821" s="31"/>
      <c r="E3821" s="200"/>
      <c r="F3821" s="200"/>
      <c r="G3821" s="75"/>
      <c r="H3821" s="31"/>
    </row>
    <row r="3822" spans="2:8" hidden="1">
      <c r="B3822" s="33"/>
      <c r="C3822" s="31"/>
      <c r="D3822" s="31"/>
      <c r="E3822" s="301"/>
      <c r="F3822" s="200"/>
      <c r="G3822" s="75"/>
      <c r="H3822" s="31"/>
    </row>
    <row r="3823" spans="2:8" hidden="1">
      <c r="B3823" s="33"/>
      <c r="C3823" s="31"/>
      <c r="D3823" s="31"/>
      <c r="E3823" s="767"/>
      <c r="F3823" s="200"/>
      <c r="G3823" s="75"/>
      <c r="H3823" s="31"/>
    </row>
    <row r="3824" spans="2:8" hidden="1">
      <c r="B3824" s="33"/>
      <c r="C3824" s="31"/>
      <c r="D3824" s="31"/>
      <c r="E3824" s="767"/>
      <c r="F3824" s="200"/>
      <c r="G3824" s="75"/>
      <c r="H3824" s="31"/>
    </row>
    <row r="3825" spans="2:8" hidden="1">
      <c r="B3825" s="33"/>
      <c r="C3825" s="31"/>
      <c r="D3825" s="31"/>
      <c r="E3825" s="767"/>
      <c r="F3825" s="200"/>
      <c r="G3825" s="75"/>
      <c r="H3825" s="31"/>
    </row>
    <row r="3826" spans="2:8" hidden="1">
      <c r="B3826" s="33"/>
      <c r="C3826" s="31"/>
      <c r="D3826" s="31"/>
      <c r="E3826" s="767"/>
      <c r="F3826" s="200"/>
      <c r="G3826" s="75"/>
      <c r="H3826" s="31"/>
    </row>
    <row r="3827" spans="2:8" hidden="1">
      <c r="B3827" s="33"/>
      <c r="C3827" s="31"/>
      <c r="D3827" s="75"/>
      <c r="E3827" s="767"/>
      <c r="F3827" s="200"/>
      <c r="G3827" s="75"/>
      <c r="H3827" s="31"/>
    </row>
    <row r="3828" spans="2:8" hidden="1">
      <c r="B3828" s="33"/>
      <c r="C3828" s="31"/>
      <c r="D3828" s="31"/>
      <c r="E3828" s="767"/>
      <c r="F3828" s="200"/>
      <c r="G3828" s="75"/>
      <c r="H3828" s="31"/>
    </row>
    <row r="3829" spans="2:8" hidden="1">
      <c r="B3829" s="33"/>
      <c r="C3829" s="31"/>
      <c r="D3829" s="31"/>
      <c r="E3829" s="200"/>
      <c r="F3829" s="200"/>
      <c r="G3829" s="75"/>
      <c r="H3829" s="31"/>
    </row>
    <row r="3830" spans="2:8" hidden="1">
      <c r="B3830" s="33"/>
      <c r="C3830" s="31"/>
      <c r="D3830" s="31"/>
      <c r="E3830" s="200"/>
      <c r="F3830" s="200"/>
      <c r="G3830" s="31"/>
      <c r="H3830" s="31"/>
    </row>
    <row r="3831" spans="2:8" hidden="1">
      <c r="B3831" s="33"/>
      <c r="C3831" s="31"/>
      <c r="D3831" s="75"/>
      <c r="E3831" s="76"/>
      <c r="F3831" s="200"/>
      <c r="G3831" s="75"/>
      <c r="H3831" s="31"/>
    </row>
    <row r="3832" spans="2:8" hidden="1">
      <c r="B3832" s="33"/>
      <c r="C3832" s="31"/>
      <c r="D3832" s="198"/>
      <c r="E3832" s="198"/>
      <c r="F3832" s="200"/>
      <c r="G3832" s="75"/>
      <c r="H3832" s="31"/>
    </row>
    <row r="3833" spans="2:8" hidden="1">
      <c r="B3833" s="33"/>
      <c r="C3833" s="31"/>
      <c r="D3833" s="768"/>
      <c r="E3833" s="31"/>
      <c r="F3833" s="200"/>
      <c r="G3833" s="75"/>
      <c r="H3833" s="31"/>
    </row>
    <row r="3834" spans="2:8" hidden="1">
      <c r="B3834" s="33"/>
      <c r="C3834" s="31"/>
      <c r="D3834" s="200"/>
      <c r="E3834" s="31"/>
      <c r="F3834" s="200"/>
      <c r="G3834" s="75"/>
      <c r="H3834" s="31"/>
    </row>
    <row r="3835" spans="2:8" hidden="1">
      <c r="B3835" s="33"/>
      <c r="C3835" s="31"/>
      <c r="D3835" s="31"/>
      <c r="E3835" s="31"/>
      <c r="F3835" s="31"/>
      <c r="G3835" s="31"/>
      <c r="H3835" s="31"/>
    </row>
    <row r="3836" spans="2:8" hidden="1">
      <c r="B3836" s="33"/>
      <c r="C3836" s="31"/>
      <c r="D3836" s="31"/>
      <c r="E3836" s="31"/>
      <c r="F3836" s="31"/>
      <c r="G3836" s="31"/>
      <c r="H3836" s="31"/>
    </row>
    <row r="3837" spans="2:8" hidden="1">
      <c r="B3837" s="33"/>
      <c r="C3837" s="31"/>
      <c r="D3837" s="31"/>
      <c r="E3837" s="31"/>
      <c r="F3837" s="31"/>
      <c r="G3837" s="31"/>
      <c r="H3837" s="31"/>
    </row>
    <row r="3838" spans="2:8" hidden="1">
      <c r="B3838" s="33"/>
      <c r="C3838" s="31"/>
      <c r="D3838" s="33"/>
      <c r="E3838" s="31"/>
      <c r="F3838" s="200"/>
      <c r="G3838" s="76"/>
      <c r="H3838" s="31"/>
    </row>
    <row r="3839" spans="2:8" hidden="1">
      <c r="B3839" s="33"/>
      <c r="C3839" s="31"/>
      <c r="D3839" s="31"/>
      <c r="E3839" s="31"/>
      <c r="F3839" s="31"/>
      <c r="G3839" s="31"/>
      <c r="H3839" s="31"/>
    </row>
    <row r="3840" spans="2:8" hidden="1">
      <c r="B3840" s="33"/>
      <c r="C3840" s="31"/>
      <c r="D3840" s="31"/>
      <c r="E3840" s="31"/>
      <c r="F3840" s="31"/>
      <c r="G3840" s="31"/>
      <c r="H3840" s="31"/>
    </row>
    <row r="3841" spans="2:8" hidden="1">
      <c r="B3841" s="33"/>
      <c r="C3841" s="31"/>
      <c r="D3841" s="31"/>
      <c r="E3841" s="31"/>
      <c r="F3841" s="31"/>
      <c r="G3841" s="31"/>
      <c r="H3841" s="31"/>
    </row>
    <row r="3842" spans="2:8" hidden="1">
      <c r="B3842" s="33"/>
      <c r="C3842" s="31"/>
      <c r="D3842" s="31"/>
      <c r="E3842" s="31"/>
      <c r="F3842" s="31"/>
      <c r="G3842" s="31"/>
      <c r="H3842" s="31"/>
    </row>
    <row r="3843" spans="2:8" hidden="1">
      <c r="B3843" s="33"/>
      <c r="C3843" s="31"/>
      <c r="D3843" s="31"/>
      <c r="E3843" s="31"/>
      <c r="F3843" s="31"/>
      <c r="G3843" s="31"/>
      <c r="H3843" s="31"/>
    </row>
    <row r="3844" spans="2:8" hidden="1">
      <c r="B3844" s="33"/>
      <c r="C3844" s="31"/>
      <c r="D3844" s="31"/>
      <c r="E3844" s="31"/>
      <c r="F3844" s="31"/>
      <c r="G3844" s="31"/>
      <c r="H3844" s="31"/>
    </row>
    <row r="3845" spans="2:8" hidden="1">
      <c r="B3845" s="33"/>
      <c r="C3845" s="31"/>
      <c r="D3845" s="31"/>
      <c r="E3845" s="31"/>
      <c r="F3845" s="31"/>
      <c r="G3845" s="31"/>
      <c r="H3845" s="31"/>
    </row>
    <row r="3846" spans="2:8" hidden="1">
      <c r="B3846" s="33"/>
      <c r="C3846" s="31"/>
      <c r="D3846" s="31"/>
      <c r="E3846" s="31"/>
      <c r="F3846" s="31"/>
      <c r="G3846" s="31"/>
      <c r="H3846" s="31"/>
    </row>
    <row r="3847" spans="2:8" hidden="1">
      <c r="B3847" s="33"/>
      <c r="C3847" s="31"/>
      <c r="D3847" s="31"/>
      <c r="E3847" s="31"/>
      <c r="F3847" s="31"/>
      <c r="G3847" s="31"/>
      <c r="H3847" s="31"/>
    </row>
    <row r="3848" spans="2:8" hidden="1">
      <c r="B3848" s="33"/>
      <c r="C3848" s="31"/>
      <c r="D3848" s="31"/>
      <c r="E3848" s="31"/>
      <c r="F3848" s="31"/>
      <c r="G3848" s="31"/>
      <c r="H3848" s="31"/>
    </row>
    <row r="3849" spans="2:8" hidden="1">
      <c r="B3849" s="33"/>
      <c r="C3849" s="31"/>
      <c r="D3849" s="31"/>
      <c r="E3849" s="31"/>
      <c r="F3849" s="31"/>
      <c r="G3849" s="31"/>
      <c r="H3849" s="31"/>
    </row>
    <row r="3850" spans="2:8" hidden="1">
      <c r="B3850" s="33"/>
      <c r="C3850" s="31"/>
      <c r="D3850" s="31"/>
      <c r="E3850" s="31"/>
      <c r="F3850" s="31"/>
      <c r="G3850" s="31"/>
      <c r="H3850" s="31"/>
    </row>
    <row r="3851" spans="2:8" hidden="1">
      <c r="B3851" s="33"/>
      <c r="C3851" s="31"/>
      <c r="D3851" s="31"/>
      <c r="E3851" s="31"/>
      <c r="F3851" s="31"/>
      <c r="G3851" s="31"/>
      <c r="H3851" s="31"/>
    </row>
    <row r="3852" spans="2:8" hidden="1">
      <c r="B3852" s="33"/>
      <c r="C3852" s="31"/>
      <c r="D3852" s="31"/>
      <c r="E3852" s="31"/>
      <c r="F3852" s="31"/>
      <c r="G3852" s="31"/>
      <c r="H3852" s="31"/>
    </row>
    <row r="3853" spans="2:8" hidden="1">
      <c r="B3853" s="33"/>
      <c r="C3853" s="31"/>
      <c r="D3853" s="31"/>
      <c r="E3853" s="31"/>
      <c r="F3853" s="31"/>
      <c r="G3853" s="31"/>
      <c r="H3853" s="31"/>
    </row>
    <row r="3854" spans="2:8" hidden="1">
      <c r="B3854" s="33"/>
      <c r="C3854" s="31"/>
      <c r="D3854" s="31"/>
      <c r="E3854" s="31"/>
      <c r="F3854" s="31"/>
      <c r="G3854" s="31"/>
      <c r="H3854" s="31"/>
    </row>
    <row r="3855" spans="2:8" hidden="1">
      <c r="B3855" s="33"/>
      <c r="C3855" s="31"/>
      <c r="D3855" s="31"/>
      <c r="E3855" s="31"/>
      <c r="F3855" s="31"/>
      <c r="G3855" s="31"/>
      <c r="H3855" s="31"/>
    </row>
    <row r="3856" spans="2:8" hidden="1">
      <c r="B3856" s="33"/>
      <c r="C3856" s="31"/>
      <c r="D3856" s="31"/>
      <c r="E3856" s="31"/>
      <c r="F3856" s="31"/>
      <c r="G3856" s="31"/>
      <c r="H3856" s="31"/>
    </row>
    <row r="3857" spans="2:8" hidden="1">
      <c r="B3857" s="33"/>
      <c r="C3857" s="31"/>
      <c r="D3857" s="31"/>
      <c r="E3857" s="31"/>
      <c r="F3857" s="691"/>
      <c r="G3857" s="31"/>
      <c r="H3857" s="31"/>
    </row>
    <row r="3858" spans="2:8" hidden="1">
      <c r="B3858" s="33"/>
      <c r="C3858" s="31"/>
      <c r="D3858" s="31"/>
      <c r="E3858" s="31"/>
      <c r="F3858" s="31"/>
      <c r="G3858" s="31"/>
      <c r="H3858" s="31"/>
    </row>
    <row r="3859" spans="2:8" hidden="1">
      <c r="B3859" s="33"/>
      <c r="C3859" s="31"/>
      <c r="D3859" s="31"/>
      <c r="E3859" s="31"/>
      <c r="F3859" s="691"/>
      <c r="G3859" s="31"/>
      <c r="H3859" s="31"/>
    </row>
    <row r="3860" spans="2:8" hidden="1">
      <c r="B3860" s="33"/>
      <c r="C3860" s="31"/>
      <c r="D3860" s="31"/>
      <c r="E3860" s="31"/>
      <c r="F3860" s="691"/>
      <c r="G3860" s="31"/>
      <c r="H3860" s="31"/>
    </row>
    <row r="3861" spans="2:8" hidden="1">
      <c r="B3861" s="33"/>
      <c r="C3861" s="31"/>
      <c r="D3861" s="31"/>
      <c r="E3861" s="31"/>
      <c r="F3861" s="31"/>
      <c r="G3861" s="31"/>
      <c r="H3861" s="31"/>
    </row>
    <row r="3862" spans="2:8" hidden="1">
      <c r="B3862" s="33"/>
      <c r="C3862" s="31"/>
      <c r="D3862" s="31"/>
      <c r="E3862" s="31"/>
      <c r="F3862" s="31"/>
      <c r="G3862" s="31"/>
      <c r="H3862" s="31"/>
    </row>
    <row r="3863" spans="2:8" hidden="1">
      <c r="B3863" s="200"/>
      <c r="C3863" s="31"/>
      <c r="D3863" s="31"/>
      <c r="E3863" s="31"/>
      <c r="F3863" s="31"/>
      <c r="G3863" s="31"/>
      <c r="H3863" s="31"/>
    </row>
    <row r="3864" spans="2:8" hidden="1">
      <c r="B3864" s="200"/>
      <c r="C3864" s="31"/>
      <c r="D3864" s="31"/>
      <c r="E3864" s="31"/>
      <c r="F3864" s="691"/>
      <c r="G3864" s="31"/>
      <c r="H3864" s="31"/>
    </row>
    <row r="3865" spans="2:8" hidden="1">
      <c r="B3865" s="200"/>
      <c r="C3865" s="31"/>
      <c r="D3865" s="31"/>
      <c r="E3865" s="31"/>
      <c r="F3865" s="691"/>
      <c r="G3865" s="31"/>
      <c r="H3865" s="31"/>
    </row>
    <row r="3866" spans="2:8" hidden="1">
      <c r="B3866" s="200"/>
      <c r="C3866" s="31"/>
      <c r="D3866" s="31"/>
      <c r="E3866" s="31"/>
      <c r="F3866" s="691"/>
      <c r="G3866" s="31"/>
      <c r="H3866" s="31"/>
    </row>
    <row r="3867" spans="2:8" hidden="1">
      <c r="B3867" s="200"/>
      <c r="C3867" s="31"/>
      <c r="D3867" s="31"/>
      <c r="E3867" s="31"/>
      <c r="F3867" s="691"/>
      <c r="G3867" s="31"/>
      <c r="H3867" s="31"/>
    </row>
    <row r="3868" spans="2:8" hidden="1">
      <c r="B3868" s="200"/>
      <c r="C3868" s="31"/>
      <c r="D3868" s="31"/>
      <c r="E3868" s="31"/>
      <c r="F3868" s="691"/>
      <c r="G3868" s="31"/>
      <c r="H3868" s="31"/>
    </row>
    <row r="3869" spans="2:8" hidden="1">
      <c r="B3869" s="200"/>
      <c r="C3869" s="31"/>
      <c r="D3869" s="31"/>
      <c r="E3869" s="31"/>
      <c r="F3869" s="691"/>
      <c r="G3869" s="31"/>
      <c r="H3869" s="31"/>
    </row>
    <row r="3870" spans="2:8" hidden="1">
      <c r="B3870" s="200"/>
      <c r="C3870" s="31"/>
      <c r="D3870" s="31"/>
      <c r="E3870" s="31"/>
      <c r="F3870" s="691"/>
      <c r="G3870" s="31"/>
      <c r="H3870" s="31"/>
    </row>
    <row r="3871" spans="2:8" hidden="1">
      <c r="B3871" s="33"/>
      <c r="C3871" s="31"/>
      <c r="D3871" s="31"/>
      <c r="E3871" s="31"/>
      <c r="F3871" s="691"/>
      <c r="G3871" s="31"/>
      <c r="H3871" s="31"/>
    </row>
    <row r="3872" spans="2:8" hidden="1">
      <c r="B3872" s="33"/>
      <c r="C3872" s="31"/>
      <c r="D3872" s="31"/>
      <c r="E3872" s="31"/>
      <c r="F3872" s="691"/>
      <c r="G3872" s="31"/>
      <c r="H3872" s="31"/>
    </row>
    <row r="3873" spans="2:8" hidden="1">
      <c r="B3873" s="33"/>
      <c r="C3873" s="31"/>
      <c r="D3873" s="31"/>
      <c r="E3873" s="31"/>
      <c r="F3873" s="691"/>
      <c r="G3873" s="31"/>
      <c r="H3873" s="31"/>
    </row>
    <row r="3874" spans="2:8" hidden="1">
      <c r="B3874" s="33"/>
      <c r="C3874" s="31"/>
      <c r="D3874" s="31"/>
      <c r="E3874" s="31"/>
      <c r="F3874" s="691"/>
      <c r="G3874" s="31"/>
      <c r="H3874" s="31"/>
    </row>
    <row r="3875" spans="2:8" hidden="1">
      <c r="B3875" s="33"/>
      <c r="C3875" s="31"/>
      <c r="D3875" s="31"/>
      <c r="E3875" s="31"/>
      <c r="F3875" s="691"/>
      <c r="G3875" s="31"/>
      <c r="H3875" s="31"/>
    </row>
    <row r="3876" spans="2:8" hidden="1">
      <c r="B3876" s="33"/>
      <c r="C3876" s="31"/>
      <c r="D3876" s="31"/>
      <c r="E3876" s="31"/>
      <c r="F3876" s="691"/>
      <c r="G3876" s="31"/>
      <c r="H3876" s="31"/>
    </row>
    <row r="3877" spans="2:8" hidden="1">
      <c r="B3877" s="33"/>
      <c r="C3877" s="31"/>
      <c r="D3877" s="31"/>
      <c r="E3877" s="31"/>
      <c r="F3877" s="691"/>
      <c r="G3877" s="31"/>
      <c r="H3877" s="31"/>
    </row>
    <row r="3878" spans="2:8" hidden="1">
      <c r="B3878" s="33"/>
      <c r="C3878" s="31"/>
      <c r="D3878" s="31"/>
      <c r="E3878" s="31"/>
      <c r="F3878" s="691"/>
      <c r="G3878" s="31"/>
      <c r="H3878" s="31"/>
    </row>
    <row r="3879" spans="2:8" hidden="1">
      <c r="B3879" s="33"/>
      <c r="C3879" s="31"/>
      <c r="D3879" s="31"/>
      <c r="E3879" s="31"/>
      <c r="F3879" s="31"/>
      <c r="G3879" s="31"/>
      <c r="H3879" s="31"/>
    </row>
    <row r="3880" spans="2:8" hidden="1">
      <c r="B3880" s="33"/>
      <c r="C3880" s="31"/>
      <c r="D3880" s="31"/>
      <c r="E3880" s="31"/>
      <c r="F3880" s="31"/>
      <c r="G3880" s="31"/>
      <c r="H3880" s="31"/>
    </row>
    <row r="3881" spans="2:8" hidden="1">
      <c r="B3881" s="33"/>
      <c r="C3881" s="31"/>
      <c r="D3881" s="31"/>
      <c r="E3881" s="31"/>
      <c r="F3881" s="691"/>
      <c r="G3881" s="31"/>
      <c r="H3881" s="31"/>
    </row>
    <row r="3882" spans="2:8" hidden="1">
      <c r="B3882" s="33"/>
      <c r="C3882" s="31"/>
      <c r="D3882" s="31"/>
      <c r="E3882" s="31"/>
      <c r="F3882" s="691"/>
      <c r="G3882" s="31"/>
      <c r="H3882" s="31"/>
    </row>
    <row r="3883" spans="2:8" hidden="1">
      <c r="B3883" s="33"/>
      <c r="C3883" s="31"/>
      <c r="D3883" s="31"/>
      <c r="E3883" s="31"/>
      <c r="F3883" s="691"/>
      <c r="G3883" s="31"/>
      <c r="H3883" s="31"/>
    </row>
    <row r="3884" spans="2:8" hidden="1">
      <c r="B3884" s="33"/>
      <c r="C3884" s="31"/>
      <c r="D3884" s="31"/>
      <c r="E3884" s="31"/>
      <c r="F3884" s="691"/>
      <c r="G3884" s="31"/>
      <c r="H3884" s="31"/>
    </row>
    <row r="3885" spans="2:8" hidden="1">
      <c r="B3885" s="33"/>
      <c r="C3885" s="31"/>
      <c r="D3885" s="31"/>
      <c r="E3885" s="31"/>
      <c r="F3885" s="691"/>
      <c r="G3885" s="31"/>
      <c r="H3885" s="31"/>
    </row>
    <row r="3886" spans="2:8" hidden="1">
      <c r="B3886" s="33"/>
      <c r="C3886" s="31"/>
      <c r="D3886" s="31"/>
      <c r="E3886" s="31"/>
      <c r="F3886" s="691"/>
      <c r="G3886" s="31"/>
      <c r="H3886" s="31"/>
    </row>
    <row r="3887" spans="2:8" hidden="1">
      <c r="B3887" s="33"/>
      <c r="C3887" s="31"/>
      <c r="D3887" s="31"/>
      <c r="E3887" s="31"/>
      <c r="F3887" s="691"/>
      <c r="G3887" s="31"/>
      <c r="H3887" s="31"/>
    </row>
    <row r="3888" spans="2:8" hidden="1">
      <c r="B3888" s="33"/>
      <c r="C3888" s="31"/>
      <c r="D3888" s="31"/>
      <c r="E3888" s="31"/>
      <c r="F3888" s="691"/>
      <c r="G3888" s="31"/>
      <c r="H3888" s="31"/>
    </row>
    <row r="3889" spans="2:8" hidden="1">
      <c r="B3889" s="33"/>
      <c r="C3889" s="31"/>
      <c r="D3889" s="31"/>
      <c r="E3889" s="31"/>
      <c r="F3889" s="691"/>
      <c r="G3889" s="31"/>
      <c r="H3889" s="31"/>
    </row>
    <row r="3890" spans="2:8" hidden="1">
      <c r="B3890" s="33"/>
      <c r="C3890" s="31"/>
      <c r="D3890" s="31"/>
      <c r="E3890" s="31"/>
      <c r="F3890" s="691"/>
      <c r="G3890" s="31"/>
      <c r="H3890" s="31"/>
    </row>
    <row r="3891" spans="2:8" hidden="1">
      <c r="B3891" s="33"/>
      <c r="C3891" s="31"/>
      <c r="D3891" s="31"/>
      <c r="E3891" s="31"/>
      <c r="F3891" s="691"/>
      <c r="G3891" s="31"/>
      <c r="H3891" s="31"/>
    </row>
    <row r="3892" spans="2:8" hidden="1">
      <c r="B3892" s="33"/>
      <c r="C3892" s="31"/>
      <c r="D3892" s="31"/>
      <c r="E3892" s="31"/>
      <c r="F3892" s="691"/>
      <c r="G3892" s="31"/>
      <c r="H3892" s="31"/>
    </row>
    <row r="3893" spans="2:8" hidden="1">
      <c r="B3893" s="33"/>
      <c r="C3893" s="31"/>
      <c r="D3893" s="31"/>
      <c r="E3893" s="31"/>
      <c r="F3893" s="691"/>
      <c r="G3893" s="31"/>
      <c r="H3893" s="31"/>
    </row>
    <row r="3894" spans="2:8" hidden="1">
      <c r="B3894" s="33"/>
      <c r="C3894" s="31"/>
      <c r="D3894" s="31"/>
      <c r="E3894" s="31"/>
      <c r="F3894" s="691"/>
      <c r="G3894" s="31"/>
      <c r="H3894" s="31"/>
    </row>
    <row r="3895" spans="2:8" hidden="1">
      <c r="B3895" s="33"/>
      <c r="C3895" s="31"/>
      <c r="D3895" s="31"/>
      <c r="E3895" s="31"/>
      <c r="F3895" s="691"/>
      <c r="G3895" s="31"/>
      <c r="H3895" s="31"/>
    </row>
    <row r="3896" spans="2:8" hidden="1">
      <c r="B3896" s="33"/>
      <c r="C3896" s="31"/>
      <c r="D3896" s="31"/>
      <c r="E3896" s="31"/>
      <c r="F3896" s="691"/>
      <c r="G3896" s="31"/>
      <c r="H3896" s="31"/>
    </row>
    <row r="3897" spans="2:8" hidden="1">
      <c r="B3897" s="33"/>
      <c r="C3897" s="31"/>
      <c r="D3897" s="31"/>
      <c r="E3897" s="31"/>
      <c r="F3897" s="691"/>
      <c r="G3897" s="31"/>
      <c r="H3897" s="31"/>
    </row>
    <row r="3898" spans="2:8" hidden="1">
      <c r="B3898" s="33"/>
      <c r="C3898" s="31"/>
      <c r="D3898" s="31"/>
      <c r="E3898" s="200"/>
      <c r="F3898" s="691"/>
      <c r="G3898" s="31"/>
      <c r="H3898" s="31"/>
    </row>
    <row r="3899" spans="2:8" hidden="1">
      <c r="B3899" s="33"/>
      <c r="C3899" s="31"/>
      <c r="D3899" s="31"/>
      <c r="E3899" s="31"/>
      <c r="F3899" s="691"/>
      <c r="G3899" s="31"/>
      <c r="H3899" s="31"/>
    </row>
    <row r="3900" spans="2:8" hidden="1">
      <c r="B3900" s="33"/>
      <c r="C3900" s="31"/>
      <c r="D3900" s="31"/>
      <c r="E3900" s="31"/>
      <c r="F3900" s="691"/>
      <c r="G3900" s="31"/>
      <c r="H3900" s="31"/>
    </row>
    <row r="3901" spans="2:8" hidden="1">
      <c r="B3901" s="33"/>
      <c r="C3901" s="31"/>
      <c r="D3901" s="31"/>
      <c r="E3901" s="31"/>
      <c r="F3901" s="691"/>
      <c r="G3901" s="31"/>
      <c r="H3901" s="31"/>
    </row>
    <row r="3902" spans="2:8" hidden="1">
      <c r="B3902" s="33"/>
      <c r="C3902" s="31"/>
      <c r="D3902" s="31"/>
      <c r="E3902" s="31"/>
      <c r="F3902" s="691"/>
      <c r="G3902" s="31"/>
      <c r="H3902" s="31"/>
    </row>
    <row r="3903" spans="2:8" hidden="1">
      <c r="B3903" s="33"/>
      <c r="C3903" s="31"/>
      <c r="D3903" s="31"/>
      <c r="E3903" s="31"/>
      <c r="F3903" s="691"/>
      <c r="G3903" s="31"/>
      <c r="H3903" s="31"/>
    </row>
    <row r="3904" spans="2:8" hidden="1">
      <c r="B3904" s="33"/>
      <c r="C3904" s="31"/>
      <c r="D3904" s="31"/>
      <c r="E3904" s="31"/>
      <c r="F3904" s="691"/>
      <c r="G3904" s="31"/>
      <c r="H3904" s="31"/>
    </row>
    <row r="3905" spans="2:8" hidden="1">
      <c r="B3905" s="33"/>
      <c r="C3905" s="31"/>
      <c r="D3905" s="31"/>
      <c r="E3905" s="31"/>
      <c r="F3905" s="691"/>
      <c r="G3905" s="31"/>
      <c r="H3905" s="31"/>
    </row>
    <row r="3906" spans="2:8" hidden="1">
      <c r="B3906" s="33"/>
      <c r="C3906" s="31"/>
      <c r="D3906" s="31"/>
      <c r="E3906" s="31"/>
      <c r="F3906" s="691"/>
      <c r="G3906" s="31"/>
      <c r="H3906" s="31"/>
    </row>
    <row r="3907" spans="2:8" hidden="1">
      <c r="B3907" s="33"/>
      <c r="C3907" s="31"/>
      <c r="D3907" s="31"/>
      <c r="E3907" s="31"/>
      <c r="F3907" s="691"/>
      <c r="G3907" s="31"/>
      <c r="H3907" s="31"/>
    </row>
    <row r="3908" spans="2:8" hidden="1">
      <c r="B3908" s="33"/>
      <c r="C3908" s="31"/>
      <c r="D3908" s="31"/>
      <c r="E3908" s="31"/>
      <c r="F3908" s="691"/>
      <c r="G3908" s="31"/>
      <c r="H3908" s="31"/>
    </row>
    <row r="3909" spans="2:8" hidden="1">
      <c r="B3909" s="33"/>
      <c r="C3909" s="31"/>
      <c r="D3909" s="31"/>
      <c r="E3909" s="31"/>
      <c r="F3909" s="691"/>
      <c r="G3909" s="31"/>
      <c r="H3909" s="31"/>
    </row>
    <row r="3910" spans="2:8" hidden="1">
      <c r="B3910" s="33"/>
      <c r="C3910" s="31"/>
      <c r="D3910" s="31"/>
      <c r="E3910" s="31"/>
      <c r="F3910" s="691"/>
      <c r="G3910" s="31"/>
      <c r="H3910" s="31"/>
    </row>
    <row r="3911" spans="2:8" hidden="1">
      <c r="B3911" s="33"/>
      <c r="C3911" s="31"/>
      <c r="D3911" s="31"/>
      <c r="E3911" s="31"/>
      <c r="F3911" s="691"/>
      <c r="G3911" s="31"/>
      <c r="H3911" s="31"/>
    </row>
    <row r="3912" spans="2:8" hidden="1">
      <c r="B3912" s="33"/>
      <c r="C3912" s="31"/>
      <c r="D3912" s="31"/>
      <c r="E3912" s="31"/>
      <c r="F3912" s="691"/>
      <c r="G3912" s="31"/>
      <c r="H3912" s="31"/>
    </row>
    <row r="3913" spans="2:8" hidden="1">
      <c r="B3913" s="33"/>
      <c r="C3913" s="31"/>
      <c r="D3913" s="31"/>
      <c r="E3913" s="31"/>
      <c r="F3913" s="691"/>
      <c r="G3913" s="31"/>
      <c r="H3913" s="31"/>
    </row>
    <row r="3914" spans="2:8" hidden="1">
      <c r="B3914" s="33"/>
      <c r="C3914" s="31"/>
      <c r="D3914" s="31"/>
      <c r="E3914" s="31"/>
      <c r="F3914" s="31"/>
      <c r="G3914" s="31"/>
      <c r="H3914" s="31"/>
    </row>
    <row r="3915" spans="2:8" hidden="1">
      <c r="B3915" s="33"/>
      <c r="C3915" s="31"/>
      <c r="D3915" s="31"/>
      <c r="E3915" s="31"/>
      <c r="F3915" s="31"/>
      <c r="G3915" s="31"/>
      <c r="H3915" s="31"/>
    </row>
    <row r="3916" spans="2:8" hidden="1">
      <c r="B3916" s="33"/>
      <c r="C3916" s="31"/>
      <c r="D3916" s="31"/>
      <c r="E3916" s="31"/>
      <c r="F3916" s="31"/>
      <c r="G3916" s="31"/>
      <c r="H3916" s="31"/>
    </row>
    <row r="3917" spans="2:8" hidden="1">
      <c r="B3917" s="33"/>
      <c r="C3917" s="31"/>
      <c r="D3917" s="31"/>
      <c r="E3917" s="31"/>
      <c r="F3917" s="31"/>
      <c r="G3917" s="31"/>
      <c r="H3917" s="31"/>
    </row>
    <row r="3918" spans="2:8" hidden="1">
      <c r="B3918" s="33"/>
      <c r="C3918" s="31"/>
      <c r="D3918" s="31"/>
      <c r="E3918" s="31"/>
      <c r="F3918" s="31"/>
      <c r="G3918" s="31"/>
      <c r="H3918" s="31"/>
    </row>
    <row r="3919" spans="2:8" hidden="1">
      <c r="B3919" s="33"/>
      <c r="C3919" s="31"/>
      <c r="D3919" s="31"/>
      <c r="E3919" s="31"/>
      <c r="F3919" s="31"/>
      <c r="G3919" s="31"/>
      <c r="H3919" s="31"/>
    </row>
    <row r="3920" spans="2:8" hidden="1">
      <c r="B3920" s="33"/>
      <c r="C3920" s="31"/>
      <c r="D3920" s="31"/>
      <c r="E3920" s="31"/>
      <c r="F3920" s="31"/>
      <c r="G3920" s="31"/>
      <c r="H3920" s="31"/>
    </row>
    <row r="3921" spans="2:8" hidden="1">
      <c r="B3921" s="33"/>
      <c r="C3921" s="31"/>
      <c r="D3921" s="31"/>
      <c r="E3921" s="31"/>
      <c r="F3921" s="31"/>
      <c r="G3921" s="31"/>
      <c r="H3921" s="31"/>
    </row>
    <row r="3922" spans="2:8" hidden="1">
      <c r="B3922" s="33"/>
      <c r="C3922" s="31"/>
      <c r="D3922" s="31"/>
      <c r="E3922" s="31"/>
      <c r="F3922" s="31"/>
      <c r="G3922" s="31"/>
      <c r="H3922" s="31"/>
    </row>
    <row r="3923" spans="2:8" hidden="1">
      <c r="B3923" s="33"/>
      <c r="C3923" s="31"/>
      <c r="D3923" s="31"/>
      <c r="E3923" s="31"/>
      <c r="F3923" s="31"/>
      <c r="G3923" s="31"/>
      <c r="H3923" s="31"/>
    </row>
    <row r="3924" spans="2:8" hidden="1">
      <c r="B3924" s="33"/>
      <c r="C3924" s="31"/>
      <c r="D3924" s="31"/>
      <c r="E3924" s="31"/>
      <c r="F3924" s="31"/>
      <c r="G3924" s="31"/>
      <c r="H3924" s="31"/>
    </row>
    <row r="3925" spans="2:8" hidden="1">
      <c r="B3925" s="33"/>
      <c r="C3925" s="31"/>
      <c r="D3925" s="31"/>
      <c r="E3925" s="31"/>
      <c r="F3925" s="31"/>
      <c r="G3925" s="31"/>
      <c r="H3925" s="31"/>
    </row>
    <row r="3926" spans="2:8" hidden="1">
      <c r="B3926" s="33"/>
      <c r="C3926" s="31"/>
      <c r="D3926" s="31"/>
      <c r="E3926" s="31"/>
      <c r="F3926" s="31"/>
      <c r="G3926" s="31"/>
      <c r="H3926" s="31"/>
    </row>
    <row r="3927" spans="2:8" hidden="1">
      <c r="B3927" s="33"/>
      <c r="C3927" s="31"/>
      <c r="D3927" s="31"/>
      <c r="E3927" s="31"/>
      <c r="F3927" s="33"/>
      <c r="G3927" s="31"/>
      <c r="H3927" s="31"/>
    </row>
    <row r="3928" spans="2:8" hidden="1">
      <c r="B3928" s="33"/>
      <c r="C3928" s="31"/>
      <c r="D3928" s="33"/>
      <c r="E3928" s="33"/>
      <c r="F3928" s="33"/>
      <c r="G3928" s="33"/>
      <c r="H3928" s="31"/>
    </row>
    <row r="3929" spans="2:8" hidden="1">
      <c r="B3929" s="33"/>
      <c r="C3929" s="31"/>
      <c r="D3929" s="33"/>
      <c r="E3929" s="33"/>
      <c r="F3929" s="33"/>
      <c r="G3929" s="33"/>
      <c r="H3929" s="31"/>
    </row>
    <row r="3930" spans="2:8" hidden="1">
      <c r="B3930" s="33"/>
      <c r="C3930" s="31"/>
      <c r="D3930" s="33"/>
      <c r="E3930" s="33"/>
      <c r="F3930" s="33"/>
      <c r="G3930" s="33"/>
      <c r="H3930" s="31"/>
    </row>
    <row r="3931" spans="2:8" hidden="1">
      <c r="B3931" s="33"/>
      <c r="C3931" s="31"/>
      <c r="D3931" s="33"/>
      <c r="E3931" s="33"/>
      <c r="F3931" s="33"/>
      <c r="G3931" s="33"/>
      <c r="H3931" s="31"/>
    </row>
    <row r="3932" spans="2:8" hidden="1">
      <c r="B3932" s="33"/>
      <c r="C3932" s="31"/>
      <c r="D3932" s="33"/>
      <c r="E3932" s="33"/>
      <c r="F3932" s="33"/>
      <c r="G3932" s="33"/>
      <c r="H3932" s="31"/>
    </row>
    <row r="3933" spans="2:8" hidden="1">
      <c r="B3933" s="33"/>
      <c r="C3933" s="31"/>
      <c r="D3933" s="33"/>
      <c r="E3933" s="33"/>
      <c r="F3933" s="33"/>
      <c r="G3933" s="33"/>
      <c r="H3933" s="31"/>
    </row>
    <row r="3934" spans="2:8" hidden="1">
      <c r="B3934" s="33"/>
      <c r="C3934" s="31"/>
      <c r="D3934" s="33"/>
      <c r="E3934" s="33"/>
      <c r="F3934" s="33"/>
      <c r="G3934" s="33"/>
      <c r="H3934" s="31"/>
    </row>
    <row r="3935" spans="2:8" hidden="1">
      <c r="B3935" s="33"/>
      <c r="C3935" s="33"/>
      <c r="D3935" s="33"/>
      <c r="E3935" s="33"/>
      <c r="F3935" s="33"/>
      <c r="G3935" s="33"/>
      <c r="H3935" s="31"/>
    </row>
    <row r="3936" spans="2:8" hidden="1">
      <c r="B3936" s="33"/>
      <c r="C3936" s="31"/>
      <c r="D3936" s="31"/>
      <c r="E3936" s="31"/>
      <c r="F3936" s="31"/>
      <c r="G3936" s="31"/>
      <c r="H3936" s="31"/>
    </row>
    <row r="3937" spans="2:8" hidden="1">
      <c r="B3937" s="33"/>
      <c r="C3937" s="31"/>
      <c r="D3937" s="31"/>
      <c r="E3937" s="31"/>
      <c r="F3937" s="31"/>
      <c r="G3937" s="31"/>
      <c r="H3937" s="31"/>
    </row>
    <row r="3938" spans="2:8" hidden="1">
      <c r="B3938" s="33"/>
      <c r="C3938" s="31"/>
      <c r="D3938" s="31"/>
      <c r="E3938" s="31"/>
      <c r="F3938" s="31"/>
      <c r="G3938" s="31"/>
      <c r="H3938" s="31"/>
    </row>
    <row r="3939" spans="2:8" hidden="1">
      <c r="B3939" s="33"/>
      <c r="C3939" s="31"/>
      <c r="D3939" s="31"/>
      <c r="E3939" s="31"/>
      <c r="F3939" s="31"/>
      <c r="G3939" s="31"/>
      <c r="H3939" s="31"/>
    </row>
    <row r="3940" spans="2:8" hidden="1">
      <c r="B3940" s="33"/>
      <c r="C3940" s="31"/>
      <c r="D3940" s="31"/>
      <c r="E3940" s="31"/>
      <c r="F3940" s="31"/>
      <c r="G3940" s="31"/>
      <c r="H3940" s="31"/>
    </row>
    <row r="3941" spans="2:8" hidden="1">
      <c r="B3941" s="33"/>
      <c r="C3941" s="31"/>
      <c r="D3941" s="31"/>
      <c r="E3941" s="31"/>
      <c r="F3941" s="31"/>
      <c r="G3941" s="31"/>
      <c r="H3941" s="31"/>
    </row>
    <row r="3942" spans="2:8" hidden="1">
      <c r="B3942" s="33"/>
      <c r="C3942" s="31"/>
      <c r="D3942" s="31"/>
      <c r="E3942" s="31"/>
      <c r="F3942" s="31"/>
      <c r="G3942" s="31"/>
      <c r="H3942" s="31"/>
    </row>
    <row r="3943" spans="2:8" hidden="1">
      <c r="B3943" s="33"/>
      <c r="C3943" s="31"/>
      <c r="D3943" s="31"/>
      <c r="E3943" s="31"/>
      <c r="F3943" s="31"/>
      <c r="G3943" s="31"/>
      <c r="H3943" s="31"/>
    </row>
    <row r="3944" spans="2:8" hidden="1">
      <c r="B3944" s="33"/>
      <c r="C3944" s="31"/>
      <c r="D3944" s="31"/>
      <c r="E3944" s="31"/>
      <c r="F3944" s="31"/>
      <c r="G3944" s="31"/>
      <c r="H3944" s="31"/>
    </row>
    <row r="3945" spans="2:8" hidden="1">
      <c r="B3945" s="33"/>
      <c r="C3945" s="31"/>
      <c r="D3945" s="31"/>
      <c r="E3945" s="31"/>
      <c r="F3945" s="31"/>
      <c r="G3945" s="31"/>
      <c r="H3945" s="31"/>
    </row>
    <row r="3946" spans="2:8" hidden="1">
      <c r="B3946" s="33"/>
      <c r="C3946" s="31"/>
      <c r="D3946" s="31"/>
      <c r="E3946" s="31"/>
      <c r="F3946" s="31"/>
      <c r="G3946" s="31"/>
      <c r="H3946" s="31"/>
    </row>
    <row r="3947" spans="2:8" hidden="1">
      <c r="B3947" s="33"/>
      <c r="C3947" s="31"/>
      <c r="D3947" s="31"/>
      <c r="E3947" s="31"/>
      <c r="F3947" s="31"/>
      <c r="G3947" s="31"/>
      <c r="H3947" s="31"/>
    </row>
    <row r="3948" spans="2:8" hidden="1">
      <c r="B3948" s="33"/>
      <c r="C3948" s="31"/>
      <c r="D3948" s="75"/>
      <c r="E3948" s="31"/>
      <c r="F3948" s="405"/>
      <c r="G3948" s="75"/>
      <c r="H3948" s="31"/>
    </row>
    <row r="3949" spans="2:8" hidden="1">
      <c r="B3949" s="33"/>
      <c r="C3949" s="31"/>
      <c r="D3949" s="31"/>
      <c r="E3949" s="31"/>
      <c r="F3949" s="691"/>
      <c r="G3949" s="732"/>
      <c r="H3949" s="31"/>
    </row>
    <row r="3950" spans="2:8" hidden="1">
      <c r="B3950" s="33"/>
      <c r="C3950" s="31"/>
      <c r="D3950" s="31"/>
      <c r="E3950" s="31"/>
      <c r="F3950" s="405"/>
      <c r="G3950" s="75"/>
      <c r="H3950" s="31"/>
    </row>
    <row r="3951" spans="2:8" hidden="1">
      <c r="B3951" s="33"/>
      <c r="C3951" s="31"/>
      <c r="D3951" s="75"/>
      <c r="E3951" s="31"/>
      <c r="F3951" s="405"/>
      <c r="G3951" s="75"/>
      <c r="H3951" s="31"/>
    </row>
    <row r="3952" spans="2:8" hidden="1">
      <c r="B3952" s="33"/>
      <c r="C3952" s="31"/>
      <c r="D3952" s="31"/>
      <c r="E3952" s="31"/>
      <c r="F3952" s="691"/>
      <c r="G3952" s="732"/>
      <c r="H3952" s="31"/>
    </row>
    <row r="3953" spans="2:8" hidden="1">
      <c r="B3953" s="33"/>
      <c r="C3953" s="31"/>
      <c r="D3953" s="31"/>
      <c r="E3953" s="31"/>
      <c r="F3953" s="405"/>
      <c r="G3953" s="75"/>
      <c r="H3953" s="31"/>
    </row>
    <row r="3954" spans="2:8" hidden="1">
      <c r="B3954" s="33"/>
      <c r="C3954" s="31"/>
      <c r="D3954" s="31"/>
      <c r="E3954" s="31"/>
      <c r="F3954" s="31"/>
      <c r="G3954" s="31"/>
      <c r="H3954" s="31"/>
    </row>
    <row r="3955" spans="2:8" hidden="1">
      <c r="B3955" s="33"/>
      <c r="C3955" s="200"/>
      <c r="D3955" s="31"/>
      <c r="E3955" s="200"/>
      <c r="F3955" s="769"/>
      <c r="G3955" s="31"/>
      <c r="H3955" s="31"/>
    </row>
    <row r="3956" spans="2:8" hidden="1">
      <c r="B3956" s="76"/>
      <c r="C3956" s="31"/>
      <c r="D3956" s="31"/>
      <c r="E3956" s="31"/>
      <c r="F3956" s="732"/>
      <c r="G3956" s="31"/>
      <c r="H3956" s="31"/>
    </row>
    <row r="3957" spans="2:8" hidden="1">
      <c r="B3957" s="33"/>
      <c r="C3957" s="33"/>
      <c r="D3957" s="33"/>
      <c r="E3957" s="33"/>
      <c r="F3957" s="33"/>
      <c r="G3957" s="33"/>
      <c r="H3957" s="31"/>
    </row>
    <row r="3958" spans="2:8" hidden="1">
      <c r="B3958" s="33"/>
      <c r="C3958" s="31"/>
      <c r="D3958" s="33"/>
      <c r="E3958" s="33"/>
      <c r="F3958" s="33"/>
      <c r="G3958" s="33"/>
      <c r="H3958" s="31"/>
    </row>
    <row r="3959" spans="2:8" hidden="1">
      <c r="B3959" s="405"/>
      <c r="C3959" s="76"/>
      <c r="D3959" s="731"/>
      <c r="E3959" s="75"/>
      <c r="F3959" s="75"/>
      <c r="G3959" s="75"/>
      <c r="H3959" s="31"/>
    </row>
    <row r="3960" spans="2:8" hidden="1">
      <c r="B3960" s="405"/>
      <c r="C3960" s="76"/>
      <c r="D3960" s="731"/>
      <c r="E3960" s="75"/>
      <c r="F3960" s="75"/>
      <c r="G3960" s="75"/>
      <c r="H3960" s="31"/>
    </row>
    <row r="3961" spans="2:8" hidden="1">
      <c r="B3961" s="405"/>
      <c r="C3961" s="76"/>
      <c r="D3961" s="731"/>
      <c r="E3961" s="75"/>
      <c r="F3961" s="75"/>
      <c r="G3961" s="75"/>
      <c r="H3961" s="31"/>
    </row>
    <row r="3962" spans="2:8" hidden="1">
      <c r="B3962" s="405"/>
      <c r="C3962" s="76"/>
      <c r="D3962" s="731"/>
      <c r="E3962" s="75"/>
      <c r="F3962" s="75"/>
      <c r="G3962" s="75"/>
      <c r="H3962" s="31"/>
    </row>
    <row r="3963" spans="2:8" hidden="1">
      <c r="B3963" s="405"/>
      <c r="C3963" s="76"/>
      <c r="D3963" s="731"/>
      <c r="E3963" s="75"/>
      <c r="F3963" s="75"/>
      <c r="G3963" s="75"/>
      <c r="H3963" s="31"/>
    </row>
    <row r="3964" spans="2:8" hidden="1">
      <c r="B3964" s="405"/>
      <c r="C3964" s="76"/>
      <c r="D3964" s="731"/>
      <c r="E3964" s="75"/>
      <c r="F3964" s="75"/>
      <c r="G3964" s="75"/>
      <c r="H3964" s="31"/>
    </row>
    <row r="3965" spans="2:8" hidden="1">
      <c r="B3965" s="405"/>
      <c r="C3965" s="76"/>
      <c r="D3965" s="731"/>
      <c r="E3965" s="75"/>
      <c r="F3965" s="75"/>
      <c r="G3965" s="75"/>
      <c r="H3965" s="31"/>
    </row>
    <row r="3966" spans="2:8" hidden="1">
      <c r="B3966" s="405"/>
      <c r="C3966" s="76"/>
      <c r="D3966" s="731"/>
      <c r="E3966" s="75"/>
      <c r="F3966" s="75"/>
      <c r="G3966" s="75"/>
      <c r="H3966" s="31"/>
    </row>
    <row r="3967" spans="2:8" hidden="1">
      <c r="B3967" s="405"/>
      <c r="C3967" s="76"/>
      <c r="D3967" s="731"/>
      <c r="E3967" s="75"/>
      <c r="F3967" s="75"/>
      <c r="G3967" s="75"/>
      <c r="H3967" s="31"/>
    </row>
    <row r="3968" spans="2:8" hidden="1">
      <c r="B3968" s="30"/>
      <c r="C3968" s="76"/>
      <c r="D3968" s="731"/>
      <c r="E3968" s="75"/>
      <c r="F3968" s="75"/>
      <c r="G3968" s="75"/>
      <c r="H3968" s="31"/>
    </row>
    <row r="3969" spans="2:8" hidden="1">
      <c r="B3969" s="30"/>
      <c r="C3969" s="76"/>
      <c r="D3969" s="731"/>
      <c r="E3969" s="75"/>
      <c r="F3969" s="75"/>
      <c r="G3969" s="75"/>
      <c r="H3969" s="31"/>
    </row>
    <row r="3970" spans="2:8" hidden="1">
      <c r="B3970" s="30"/>
      <c r="C3970" s="76"/>
      <c r="D3970" s="731"/>
      <c r="E3970" s="75"/>
      <c r="F3970" s="75"/>
      <c r="G3970" s="75"/>
      <c r="H3970" s="31"/>
    </row>
    <row r="3971" spans="2:8" hidden="1">
      <c r="B3971" s="30"/>
      <c r="C3971" s="76"/>
      <c r="D3971" s="731"/>
      <c r="E3971" s="75"/>
      <c r="F3971" s="75"/>
      <c r="G3971" s="75"/>
      <c r="H3971" s="31"/>
    </row>
    <row r="3972" spans="2:8" hidden="1">
      <c r="B3972" s="30"/>
      <c r="C3972" s="76"/>
      <c r="D3972" s="731"/>
      <c r="E3972" s="75"/>
      <c r="F3972" s="75"/>
      <c r="G3972" s="75"/>
      <c r="H3972" s="31"/>
    </row>
    <row r="3973" spans="2:8" hidden="1">
      <c r="B3973" s="30"/>
      <c r="C3973" s="76"/>
      <c r="D3973" s="731"/>
      <c r="E3973" s="75"/>
      <c r="F3973" s="75"/>
      <c r="G3973" s="75"/>
      <c r="H3973" s="31"/>
    </row>
    <row r="3974" spans="2:8" hidden="1">
      <c r="B3974" s="30"/>
      <c r="C3974" s="76"/>
      <c r="D3974" s="731"/>
      <c r="E3974" s="75"/>
      <c r="F3974" s="75"/>
      <c r="G3974" s="75"/>
      <c r="H3974" s="31"/>
    </row>
    <row r="3975" spans="2:8" hidden="1">
      <c r="B3975" s="33"/>
      <c r="C3975" s="31"/>
      <c r="D3975" s="31"/>
      <c r="E3975" s="200"/>
      <c r="F3975" s="200"/>
      <c r="G3975" s="75"/>
      <c r="H3975" s="31"/>
    </row>
    <row r="3976" spans="2:8" hidden="1">
      <c r="B3976" s="33"/>
      <c r="C3976" s="31"/>
      <c r="D3976" s="31"/>
      <c r="E3976" s="198"/>
      <c r="F3976" s="200"/>
      <c r="G3976" s="75"/>
      <c r="H3976" s="31"/>
    </row>
    <row r="3977" spans="2:8" hidden="1">
      <c r="B3977" s="33"/>
      <c r="C3977" s="31"/>
      <c r="D3977" s="31"/>
      <c r="E3977" s="198"/>
      <c r="F3977" s="200"/>
      <c r="G3977" s="75"/>
      <c r="H3977" s="31"/>
    </row>
    <row r="3978" spans="2:8" hidden="1">
      <c r="B3978" s="33"/>
      <c r="C3978" s="31"/>
      <c r="D3978" s="31"/>
      <c r="E3978" s="198"/>
      <c r="F3978" s="200"/>
      <c r="G3978" s="75"/>
      <c r="H3978" s="31"/>
    </row>
    <row r="3979" spans="2:8" hidden="1">
      <c r="B3979" s="33"/>
      <c r="C3979" s="200"/>
      <c r="D3979" s="30"/>
      <c r="E3979" s="30"/>
      <c r="F3979" s="200"/>
      <c r="G3979" s="75"/>
      <c r="H3979" s="31"/>
    </row>
    <row r="3980" spans="2:8" hidden="1">
      <c r="B3980" s="33"/>
      <c r="C3980" s="31"/>
      <c r="D3980" s="31"/>
      <c r="E3980" s="31"/>
      <c r="F3980" s="31"/>
      <c r="G3980" s="31"/>
      <c r="H3980" s="31"/>
    </row>
    <row r="3981" spans="2:8" hidden="1">
      <c r="B3981" s="76"/>
      <c r="C3981" s="31"/>
      <c r="D3981" s="31"/>
      <c r="E3981" s="31"/>
      <c r="F3981" s="31"/>
      <c r="G3981" s="31"/>
      <c r="H3981" s="31"/>
    </row>
    <row r="3982" spans="2:8" hidden="1">
      <c r="B3982" s="33"/>
      <c r="C3982" s="33"/>
      <c r="D3982" s="33"/>
      <c r="E3982" s="33"/>
      <c r="F3982" s="33"/>
      <c r="G3982" s="33"/>
      <c r="H3982" s="31"/>
    </row>
    <row r="3983" spans="2:8" hidden="1">
      <c r="B3983" s="33"/>
      <c r="C3983" s="31"/>
      <c r="D3983" s="33"/>
      <c r="E3983" s="33"/>
      <c r="F3983" s="33"/>
      <c r="G3983" s="33"/>
      <c r="H3983" s="31"/>
    </row>
    <row r="3984" spans="2:8" hidden="1">
      <c r="B3984" s="405"/>
      <c r="C3984" s="76"/>
      <c r="D3984" s="731"/>
      <c r="E3984" s="75"/>
      <c r="F3984" s="75"/>
      <c r="G3984" s="75"/>
      <c r="H3984" s="31"/>
    </row>
    <row r="3985" spans="2:8" hidden="1">
      <c r="B3985" s="405"/>
      <c r="C3985" s="76"/>
      <c r="D3985" s="731"/>
      <c r="E3985" s="75"/>
      <c r="F3985" s="75"/>
      <c r="G3985" s="75"/>
      <c r="H3985" s="31"/>
    </row>
    <row r="3986" spans="2:8" hidden="1">
      <c r="B3986" s="405"/>
      <c r="C3986" s="76"/>
      <c r="D3986" s="731"/>
      <c r="E3986" s="75"/>
      <c r="F3986" s="75"/>
      <c r="G3986" s="75"/>
      <c r="H3986" s="31"/>
    </row>
    <row r="3987" spans="2:8" hidden="1">
      <c r="B3987" s="405"/>
      <c r="C3987" s="76"/>
      <c r="D3987" s="731"/>
      <c r="E3987" s="75"/>
      <c r="F3987" s="75"/>
      <c r="G3987" s="75"/>
      <c r="H3987" s="31"/>
    </row>
    <row r="3988" spans="2:8" hidden="1">
      <c r="B3988" s="405"/>
      <c r="C3988" s="76"/>
      <c r="D3988" s="731"/>
      <c r="E3988" s="75"/>
      <c r="F3988" s="75"/>
      <c r="G3988" s="75"/>
      <c r="H3988" s="31"/>
    </row>
    <row r="3989" spans="2:8" hidden="1">
      <c r="B3989" s="405"/>
      <c r="C3989" s="76"/>
      <c r="D3989" s="731"/>
      <c r="E3989" s="75"/>
      <c r="F3989" s="75"/>
      <c r="G3989" s="75"/>
      <c r="H3989" s="31"/>
    </row>
    <row r="3990" spans="2:8" hidden="1">
      <c r="B3990" s="405"/>
      <c r="C3990" s="76"/>
      <c r="D3990" s="731"/>
      <c r="E3990" s="75"/>
      <c r="F3990" s="75"/>
      <c r="G3990" s="75"/>
      <c r="H3990" s="31"/>
    </row>
    <row r="3991" spans="2:8" hidden="1">
      <c r="B3991" s="405"/>
      <c r="C3991" s="76"/>
      <c r="D3991" s="731"/>
      <c r="E3991" s="75"/>
      <c r="F3991" s="75"/>
      <c r="G3991" s="75"/>
      <c r="H3991" s="31"/>
    </row>
    <row r="3992" spans="2:8" hidden="1">
      <c r="B3992" s="405"/>
      <c r="C3992" s="76"/>
      <c r="D3992" s="731"/>
      <c r="E3992" s="75"/>
      <c r="F3992" s="75"/>
      <c r="G3992" s="75"/>
      <c r="H3992" s="31"/>
    </row>
    <row r="3993" spans="2:8" hidden="1">
      <c r="B3993" s="405"/>
      <c r="C3993" s="76"/>
      <c r="D3993" s="731"/>
      <c r="E3993" s="75"/>
      <c r="F3993" s="75"/>
      <c r="G3993" s="75"/>
      <c r="H3993" s="31"/>
    </row>
    <row r="3994" spans="2:8" hidden="1">
      <c r="B3994" s="405"/>
      <c r="C3994" s="76"/>
      <c r="D3994" s="731"/>
      <c r="E3994" s="75"/>
      <c r="F3994" s="75"/>
      <c r="G3994" s="75"/>
      <c r="H3994" s="31"/>
    </row>
    <row r="3995" spans="2:8" hidden="1">
      <c r="B3995" s="405"/>
      <c r="C3995" s="76"/>
      <c r="D3995" s="731"/>
      <c r="E3995" s="75"/>
      <c r="F3995" s="75"/>
      <c r="G3995" s="75"/>
      <c r="H3995" s="31"/>
    </row>
    <row r="3996" spans="2:8" hidden="1">
      <c r="B3996" s="405"/>
      <c r="C3996" s="76"/>
      <c r="D3996" s="731"/>
      <c r="E3996" s="75"/>
      <c r="F3996" s="75"/>
      <c r="G3996" s="75"/>
      <c r="H3996" s="31"/>
    </row>
    <row r="3997" spans="2:8" hidden="1">
      <c r="B3997" s="405"/>
      <c r="C3997" s="76"/>
      <c r="D3997" s="731"/>
      <c r="E3997" s="75"/>
      <c r="F3997" s="75"/>
      <c r="G3997" s="75"/>
      <c r="H3997" s="31"/>
    </row>
    <row r="3998" spans="2:8" hidden="1">
      <c r="B3998" s="405"/>
      <c r="C3998" s="76"/>
      <c r="D3998" s="731"/>
      <c r="E3998" s="75"/>
      <c r="F3998" s="75"/>
      <c r="G3998" s="75"/>
      <c r="H3998" s="31"/>
    </row>
    <row r="3999" spans="2:8" hidden="1">
      <c r="B3999" s="33"/>
      <c r="C3999" s="31"/>
      <c r="D3999" s="31"/>
      <c r="E3999" s="200"/>
      <c r="F3999" s="200"/>
      <c r="G3999" s="75"/>
      <c r="H3999" s="31"/>
    </row>
    <row r="4000" spans="2:8" hidden="1">
      <c r="B4000" s="33"/>
      <c r="C4000" s="31"/>
      <c r="D4000" s="31"/>
      <c r="E4000" s="198"/>
      <c r="F4000" s="200"/>
      <c r="G4000" s="75"/>
      <c r="H4000" s="31"/>
    </row>
    <row r="4001" spans="2:8" hidden="1">
      <c r="B4001" s="33"/>
      <c r="C4001" s="31"/>
      <c r="D4001" s="31"/>
      <c r="E4001" s="198"/>
      <c r="F4001" s="200"/>
      <c r="G4001" s="75"/>
      <c r="H4001" s="31"/>
    </row>
    <row r="4002" spans="2:8" hidden="1">
      <c r="B4002" s="33"/>
      <c r="C4002" s="31"/>
      <c r="D4002" s="31"/>
      <c r="E4002" s="198"/>
      <c r="F4002" s="200"/>
      <c r="G4002" s="75"/>
      <c r="H4002" s="31"/>
    </row>
    <row r="4003" spans="2:8" hidden="1">
      <c r="B4003" s="33"/>
      <c r="C4003" s="30"/>
      <c r="D4003" s="30"/>
      <c r="E4003" s="30"/>
      <c r="F4003" s="200"/>
      <c r="G4003" s="75"/>
      <c r="H4003" s="31"/>
    </row>
    <row r="4004" spans="2:8" hidden="1">
      <c r="B4004" s="33"/>
      <c r="C4004" s="31"/>
      <c r="D4004" s="31"/>
      <c r="E4004" s="31"/>
      <c r="F4004" s="31"/>
      <c r="G4004" s="31"/>
      <c r="H4004" s="31"/>
    </row>
    <row r="4005" spans="2:8" hidden="1">
      <c r="B4005" s="76"/>
      <c r="C4005" s="31"/>
      <c r="D4005" s="31"/>
      <c r="E4005" s="31"/>
      <c r="F4005" s="31"/>
      <c r="G4005" s="31"/>
      <c r="H4005" s="31"/>
    </row>
    <row r="4006" spans="2:8" hidden="1">
      <c r="B4006" s="33"/>
      <c r="C4006" s="33"/>
      <c r="D4006" s="33"/>
      <c r="E4006" s="33"/>
      <c r="F4006" s="33"/>
      <c r="G4006" s="33"/>
      <c r="H4006" s="31"/>
    </row>
    <row r="4007" spans="2:8" hidden="1">
      <c r="B4007" s="33"/>
      <c r="C4007" s="31"/>
      <c r="D4007" s="33"/>
      <c r="E4007" s="33"/>
      <c r="F4007" s="33"/>
      <c r="G4007" s="33"/>
      <c r="H4007" s="31"/>
    </row>
    <row r="4008" spans="2:8" hidden="1">
      <c r="B4008" s="405"/>
      <c r="C4008" s="76"/>
      <c r="D4008" s="731"/>
      <c r="E4008" s="75"/>
      <c r="F4008" s="75"/>
      <c r="G4008" s="75"/>
      <c r="H4008" s="31"/>
    </row>
    <row r="4009" spans="2:8" hidden="1">
      <c r="B4009" s="405"/>
      <c r="C4009" s="76"/>
      <c r="D4009" s="731"/>
      <c r="E4009" s="75"/>
      <c r="F4009" s="75"/>
      <c r="G4009" s="75"/>
      <c r="H4009" s="31"/>
    </row>
    <row r="4010" spans="2:8" hidden="1">
      <c r="B4010" s="405"/>
      <c r="C4010" s="76"/>
      <c r="D4010" s="731"/>
      <c r="E4010" s="75"/>
      <c r="F4010" s="75"/>
      <c r="G4010" s="75"/>
      <c r="H4010" s="31"/>
    </row>
    <row r="4011" spans="2:8" hidden="1">
      <c r="B4011" s="405"/>
      <c r="C4011" s="76"/>
      <c r="D4011" s="731"/>
      <c r="E4011" s="75"/>
      <c r="F4011" s="75"/>
      <c r="G4011" s="75"/>
      <c r="H4011" s="31"/>
    </row>
    <row r="4012" spans="2:8" hidden="1">
      <c r="B4012" s="405"/>
      <c r="C4012" s="76"/>
      <c r="D4012" s="731"/>
      <c r="E4012" s="75"/>
      <c r="F4012" s="75"/>
      <c r="G4012" s="75"/>
      <c r="H4012" s="31"/>
    </row>
    <row r="4013" spans="2:8" hidden="1">
      <c r="B4013" s="405"/>
      <c r="C4013" s="76"/>
      <c r="D4013" s="731"/>
      <c r="E4013" s="75"/>
      <c r="F4013" s="75"/>
      <c r="G4013" s="75"/>
      <c r="H4013" s="31"/>
    </row>
    <row r="4014" spans="2:8" hidden="1">
      <c r="B4014" s="405"/>
      <c r="C4014" s="76"/>
      <c r="D4014" s="731"/>
      <c r="E4014" s="75"/>
      <c r="F4014" s="75"/>
      <c r="G4014" s="75"/>
      <c r="H4014" s="31"/>
    </row>
    <row r="4015" spans="2:8" hidden="1">
      <c r="B4015" s="405"/>
      <c r="C4015" s="76"/>
      <c r="D4015" s="731"/>
      <c r="E4015" s="75"/>
      <c r="F4015" s="75"/>
      <c r="G4015" s="75"/>
      <c r="H4015" s="31"/>
    </row>
    <row r="4016" spans="2:8" hidden="1">
      <c r="B4016" s="405"/>
      <c r="C4016" s="76"/>
      <c r="D4016" s="731"/>
      <c r="E4016" s="75"/>
      <c r="F4016" s="75"/>
      <c r="G4016" s="75"/>
      <c r="H4016" s="31"/>
    </row>
    <row r="4017" spans="2:8" hidden="1">
      <c r="B4017" s="30"/>
      <c r="C4017" s="76"/>
      <c r="D4017" s="731"/>
      <c r="E4017" s="75"/>
      <c r="F4017" s="75"/>
      <c r="G4017" s="75"/>
      <c r="H4017" s="31"/>
    </row>
    <row r="4018" spans="2:8" hidden="1">
      <c r="B4018" s="30"/>
      <c r="C4018" s="76"/>
      <c r="D4018" s="731"/>
      <c r="E4018" s="75"/>
      <c r="F4018" s="75"/>
      <c r="G4018" s="75"/>
      <c r="H4018" s="31"/>
    </row>
    <row r="4019" spans="2:8" hidden="1">
      <c r="B4019" s="30"/>
      <c r="C4019" s="76"/>
      <c r="D4019" s="731"/>
      <c r="E4019" s="75"/>
      <c r="F4019" s="75"/>
      <c r="G4019" s="75"/>
      <c r="H4019" s="31"/>
    </row>
    <row r="4020" spans="2:8" hidden="1">
      <c r="B4020" s="30"/>
      <c r="C4020" s="76"/>
      <c r="D4020" s="731"/>
      <c r="E4020" s="75"/>
      <c r="F4020" s="75"/>
      <c r="G4020" s="75"/>
      <c r="H4020" s="31"/>
    </row>
    <row r="4021" spans="2:8" hidden="1">
      <c r="B4021" s="30"/>
      <c r="C4021" s="76"/>
      <c r="D4021" s="731"/>
      <c r="E4021" s="75"/>
      <c r="F4021" s="75"/>
      <c r="G4021" s="75"/>
      <c r="H4021" s="31"/>
    </row>
    <row r="4022" spans="2:8" hidden="1">
      <c r="B4022" s="33"/>
      <c r="C4022" s="31"/>
      <c r="D4022" s="31"/>
      <c r="E4022" s="200"/>
      <c r="F4022" s="200"/>
      <c r="G4022" s="75"/>
      <c r="H4022" s="31"/>
    </row>
    <row r="4023" spans="2:8" hidden="1">
      <c r="B4023" s="33"/>
      <c r="C4023" s="31"/>
      <c r="D4023" s="31"/>
      <c r="E4023" s="198"/>
      <c r="F4023" s="200"/>
      <c r="G4023" s="75"/>
      <c r="H4023" s="31"/>
    </row>
    <row r="4024" spans="2:8" hidden="1">
      <c r="B4024" s="33"/>
      <c r="C4024" s="31"/>
      <c r="D4024" s="31"/>
      <c r="E4024" s="198"/>
      <c r="F4024" s="200"/>
      <c r="G4024" s="75"/>
      <c r="H4024" s="31"/>
    </row>
    <row r="4025" spans="2:8" hidden="1">
      <c r="B4025" s="33"/>
      <c r="C4025" s="31"/>
      <c r="D4025" s="31"/>
      <c r="E4025" s="198"/>
      <c r="F4025" s="200"/>
      <c r="G4025" s="75"/>
      <c r="H4025" s="31"/>
    </row>
    <row r="4026" spans="2:8" hidden="1">
      <c r="B4026" s="33"/>
      <c r="C4026" s="31"/>
      <c r="D4026" s="31"/>
      <c r="E4026" s="198"/>
      <c r="F4026" s="200"/>
      <c r="G4026" s="75"/>
      <c r="H4026" s="31"/>
    </row>
    <row r="4027" spans="2:8" hidden="1">
      <c r="B4027" s="33"/>
      <c r="C4027" s="31"/>
      <c r="D4027" s="31"/>
      <c r="E4027" s="198"/>
      <c r="F4027" s="200"/>
      <c r="G4027" s="75"/>
      <c r="H4027" s="31"/>
    </row>
    <row r="4028" spans="2:8" hidden="1">
      <c r="B4028" s="33"/>
      <c r="C4028" s="200"/>
      <c r="D4028" s="30"/>
      <c r="E4028" s="30"/>
      <c r="F4028" s="200"/>
      <c r="G4028" s="75"/>
      <c r="H4028" s="31"/>
    </row>
    <row r="4029" spans="2:8" hidden="1">
      <c r="B4029" s="33"/>
      <c r="C4029" s="31"/>
      <c r="D4029" s="31"/>
      <c r="E4029" s="31"/>
      <c r="F4029" s="31"/>
      <c r="G4029" s="31"/>
      <c r="H4029" s="31"/>
    </row>
    <row r="4030" spans="2:8" hidden="1">
      <c r="B4030" s="33"/>
      <c r="C4030" s="31"/>
      <c r="D4030" s="31"/>
      <c r="E4030" s="31"/>
      <c r="F4030" s="31"/>
      <c r="G4030" s="31"/>
      <c r="H4030" s="31"/>
    </row>
    <row r="4031" spans="2:8" hidden="1">
      <c r="B4031" s="33"/>
      <c r="C4031" s="31"/>
      <c r="D4031" s="31"/>
      <c r="E4031" s="31"/>
      <c r="F4031" s="200"/>
      <c r="G4031" s="75"/>
      <c r="H4031" s="31"/>
    </row>
    <row r="4032" spans="2:8" hidden="1">
      <c r="B4032" s="33"/>
      <c r="C4032" s="31"/>
      <c r="D4032" s="31"/>
      <c r="E4032" s="31"/>
      <c r="F4032" s="200"/>
      <c r="G4032" s="75"/>
      <c r="H4032" s="31"/>
    </row>
    <row r="4033" spans="2:8" hidden="1">
      <c r="B4033" s="33"/>
      <c r="C4033" s="31"/>
      <c r="D4033" s="31"/>
      <c r="E4033" s="31"/>
      <c r="F4033" s="200"/>
      <c r="G4033" s="75"/>
      <c r="H4033" s="31"/>
    </row>
    <row r="4034" spans="2:8" hidden="1">
      <c r="B4034" s="33"/>
      <c r="C4034" s="31"/>
      <c r="D4034" s="31"/>
      <c r="E4034" s="200"/>
      <c r="F4034" s="200"/>
      <c r="G4034" s="75"/>
      <c r="H4034" s="31"/>
    </row>
    <row r="4035" spans="2:8" hidden="1">
      <c r="B4035" s="33"/>
      <c r="C4035" s="31"/>
      <c r="D4035" s="31"/>
      <c r="E4035" s="301"/>
      <c r="F4035" s="200"/>
      <c r="G4035" s="75"/>
      <c r="H4035" s="31"/>
    </row>
    <row r="4036" spans="2:8" hidden="1">
      <c r="B4036" s="33"/>
      <c r="C4036" s="31"/>
      <c r="D4036" s="31"/>
      <c r="E4036" s="767"/>
      <c r="F4036" s="200"/>
      <c r="G4036" s="75"/>
      <c r="H4036" s="31"/>
    </row>
    <row r="4037" spans="2:8" hidden="1">
      <c r="B4037" s="33"/>
      <c r="C4037" s="31"/>
      <c r="D4037" s="31"/>
      <c r="E4037" s="767"/>
      <c r="F4037" s="200"/>
      <c r="G4037" s="75"/>
      <c r="H4037" s="31"/>
    </row>
    <row r="4038" spans="2:8" hidden="1">
      <c r="B4038" s="33"/>
      <c r="C4038" s="31"/>
      <c r="D4038" s="31"/>
      <c r="E4038" s="767"/>
      <c r="F4038" s="200"/>
      <c r="G4038" s="75"/>
      <c r="H4038" s="31"/>
    </row>
    <row r="4039" spans="2:8" hidden="1">
      <c r="B4039" s="33"/>
      <c r="C4039" s="31"/>
      <c r="D4039" s="31"/>
      <c r="E4039" s="767"/>
      <c r="F4039" s="200"/>
      <c r="G4039" s="75"/>
      <c r="H4039" s="31"/>
    </row>
    <row r="4040" spans="2:8" hidden="1">
      <c r="B4040" s="33"/>
      <c r="C4040" s="31"/>
      <c r="D4040" s="75"/>
      <c r="E4040" s="767"/>
      <c r="F4040" s="200"/>
      <c r="G4040" s="75"/>
      <c r="H4040" s="31"/>
    </row>
    <row r="4041" spans="2:8" hidden="1">
      <c r="B4041" s="33"/>
      <c r="C4041" s="31"/>
      <c r="D4041" s="31"/>
      <c r="E4041" s="767"/>
      <c r="F4041" s="200"/>
      <c r="G4041" s="75"/>
      <c r="H4041" s="31"/>
    </row>
    <row r="4042" spans="2:8" hidden="1">
      <c r="B4042" s="33"/>
      <c r="C4042" s="31"/>
      <c r="D4042" s="31"/>
      <c r="E4042" s="200"/>
      <c r="F4042" s="200"/>
      <c r="G4042" s="75"/>
      <c r="H4042" s="31"/>
    </row>
    <row r="4043" spans="2:8" hidden="1">
      <c r="B4043" s="33"/>
      <c r="C4043" s="31"/>
      <c r="D4043" s="31"/>
      <c r="E4043" s="200"/>
      <c r="F4043" s="200"/>
      <c r="G4043" s="31"/>
      <c r="H4043" s="31"/>
    </row>
    <row r="4044" spans="2:8" hidden="1">
      <c r="B4044" s="33"/>
      <c r="C4044" s="31"/>
      <c r="D4044" s="75"/>
      <c r="E4044" s="76"/>
      <c r="F4044" s="200"/>
      <c r="G4044" s="75"/>
      <c r="H4044" s="31"/>
    </row>
    <row r="4045" spans="2:8" hidden="1">
      <c r="B4045" s="33"/>
      <c r="C4045" s="31"/>
      <c r="D4045" s="198"/>
      <c r="E4045" s="198"/>
      <c r="F4045" s="200"/>
      <c r="G4045" s="75"/>
      <c r="H4045" s="31"/>
    </row>
    <row r="4046" spans="2:8" hidden="1">
      <c r="B4046" s="33"/>
      <c r="C4046" s="31"/>
      <c r="D4046" s="768"/>
      <c r="E4046" s="31"/>
      <c r="F4046" s="200"/>
      <c r="G4046" s="75"/>
      <c r="H4046" s="31"/>
    </row>
    <row r="4047" spans="2:8" hidden="1">
      <c r="B4047" s="33"/>
      <c r="C4047" s="31"/>
      <c r="D4047" s="200"/>
      <c r="E4047" s="31"/>
      <c r="F4047" s="200"/>
      <c r="G4047" s="75"/>
      <c r="H4047" s="31"/>
    </row>
    <row r="4048" spans="2:8" hidden="1">
      <c r="B4048" s="33"/>
      <c r="C4048" s="31"/>
      <c r="D4048" s="31"/>
      <c r="E4048" s="31"/>
      <c r="F4048" s="31"/>
      <c r="G4048" s="31"/>
      <c r="H4048" s="31"/>
    </row>
    <row r="4049" spans="2:8" hidden="1">
      <c r="B4049" s="33"/>
      <c r="C4049" s="31"/>
      <c r="D4049" s="31"/>
      <c r="E4049" s="31"/>
      <c r="F4049" s="31"/>
      <c r="G4049" s="31"/>
      <c r="H4049" s="31"/>
    </row>
    <row r="4050" spans="2:8" hidden="1">
      <c r="B4050" s="33"/>
      <c r="C4050" s="31"/>
      <c r="D4050" s="31"/>
      <c r="E4050" s="31"/>
      <c r="F4050" s="31"/>
      <c r="G4050" s="31"/>
      <c r="H4050" s="31"/>
    </row>
    <row r="4051" spans="2:8" hidden="1">
      <c r="B4051" s="33"/>
      <c r="C4051" s="31"/>
      <c r="D4051" s="33"/>
      <c r="E4051" s="31"/>
      <c r="F4051" s="200"/>
      <c r="G4051" s="76"/>
      <c r="H4051" s="31"/>
    </row>
    <row r="4052" spans="2:8" hidden="1">
      <c r="B4052" s="33"/>
      <c r="C4052" s="31"/>
      <c r="D4052" s="31"/>
      <c r="E4052" s="31"/>
      <c r="F4052" s="31"/>
      <c r="G4052" s="31"/>
      <c r="H4052" s="31"/>
    </row>
    <row r="4053" spans="2:8" hidden="1">
      <c r="B4053" s="33"/>
      <c r="C4053" s="31"/>
      <c r="D4053" s="31"/>
      <c r="E4053" s="31"/>
      <c r="F4053" s="31"/>
      <c r="G4053" s="31"/>
      <c r="H4053" s="31"/>
    </row>
    <row r="4054" spans="2:8" hidden="1">
      <c r="B4054" s="33"/>
      <c r="C4054" s="31"/>
      <c r="D4054" s="31"/>
      <c r="E4054" s="31"/>
      <c r="F4054" s="31"/>
      <c r="G4054" s="31"/>
      <c r="H4054" s="31"/>
    </row>
    <row r="4055" spans="2:8" hidden="1">
      <c r="B4055" s="33"/>
      <c r="C4055" s="31"/>
      <c r="D4055" s="31"/>
      <c r="E4055" s="31"/>
      <c r="F4055" s="31"/>
      <c r="G4055" s="31"/>
      <c r="H4055" s="31"/>
    </row>
    <row r="4056" spans="2:8" hidden="1">
      <c r="B4056" s="33"/>
      <c r="C4056" s="31"/>
      <c r="D4056" s="31"/>
      <c r="E4056" s="31"/>
      <c r="F4056" s="31"/>
      <c r="G4056" s="31"/>
      <c r="H4056" s="31"/>
    </row>
    <row r="4057" spans="2:8" hidden="1">
      <c r="B4057" s="33"/>
      <c r="C4057" s="31"/>
      <c r="D4057" s="31"/>
      <c r="E4057" s="31"/>
      <c r="F4057" s="31"/>
      <c r="G4057" s="31"/>
      <c r="H4057" s="31"/>
    </row>
    <row r="4058" spans="2:8" hidden="1">
      <c r="B4058" s="33"/>
      <c r="C4058" s="31"/>
      <c r="D4058" s="31"/>
      <c r="E4058" s="31"/>
      <c r="F4058" s="31"/>
      <c r="G4058" s="31"/>
      <c r="H4058" s="31"/>
    </row>
    <row r="4059" spans="2:8" hidden="1">
      <c r="B4059" s="33"/>
      <c r="C4059" s="31"/>
      <c r="D4059" s="31"/>
      <c r="E4059" s="31"/>
      <c r="F4059" s="31"/>
      <c r="G4059" s="31"/>
      <c r="H4059" s="31"/>
    </row>
    <row r="4060" spans="2:8" hidden="1">
      <c r="B4060" s="33"/>
      <c r="C4060" s="31"/>
      <c r="D4060" s="31"/>
      <c r="E4060" s="31"/>
      <c r="F4060" s="31"/>
      <c r="G4060" s="31"/>
      <c r="H4060" s="31"/>
    </row>
    <row r="4061" spans="2:8" hidden="1">
      <c r="B4061" s="33"/>
      <c r="C4061" s="31"/>
      <c r="D4061" s="31"/>
      <c r="E4061" s="31"/>
      <c r="F4061" s="31"/>
      <c r="G4061" s="31"/>
      <c r="H4061" s="31"/>
    </row>
    <row r="4062" spans="2:8" hidden="1">
      <c r="B4062" s="33"/>
      <c r="C4062" s="31"/>
      <c r="D4062" s="31"/>
      <c r="E4062" s="31"/>
      <c r="F4062" s="31"/>
      <c r="G4062" s="31"/>
      <c r="H4062" s="31"/>
    </row>
    <row r="4063" spans="2:8" hidden="1">
      <c r="B4063" s="33"/>
      <c r="C4063" s="31"/>
      <c r="D4063" s="31"/>
      <c r="E4063" s="31"/>
      <c r="F4063" s="31"/>
      <c r="G4063" s="31"/>
      <c r="H4063" s="31"/>
    </row>
    <row r="4064" spans="2:8" hidden="1">
      <c r="B4064" s="33"/>
      <c r="C4064" s="31"/>
      <c r="D4064" s="31"/>
      <c r="E4064" s="31"/>
      <c r="F4064" s="31"/>
      <c r="G4064" s="31"/>
      <c r="H4064" s="31"/>
    </row>
    <row r="4065" spans="2:8" hidden="1">
      <c r="B4065" s="33"/>
      <c r="C4065" s="31"/>
      <c r="D4065" s="31"/>
      <c r="E4065" s="31"/>
      <c r="F4065" s="31"/>
      <c r="G4065" s="31"/>
      <c r="H4065" s="31"/>
    </row>
    <row r="4066" spans="2:8" hidden="1">
      <c r="B4066" s="33"/>
      <c r="C4066" s="31"/>
      <c r="D4066" s="31"/>
      <c r="E4066" s="31"/>
      <c r="F4066" s="31"/>
      <c r="G4066" s="31"/>
      <c r="H4066" s="31"/>
    </row>
    <row r="4067" spans="2:8" hidden="1">
      <c r="B4067" s="33"/>
      <c r="C4067" s="31"/>
      <c r="D4067" s="31"/>
      <c r="E4067" s="31"/>
      <c r="F4067" s="31"/>
      <c r="G4067" s="31"/>
      <c r="H4067" s="31"/>
    </row>
    <row r="4068" spans="2:8" hidden="1">
      <c r="B4068" s="33"/>
      <c r="C4068" s="31"/>
      <c r="D4068" s="31"/>
      <c r="E4068" s="31"/>
      <c r="F4068" s="31"/>
      <c r="G4068" s="31"/>
      <c r="H4068" s="31"/>
    </row>
    <row r="4069" spans="2:8" hidden="1">
      <c r="B4069" s="33"/>
      <c r="C4069" s="31"/>
      <c r="D4069" s="31"/>
      <c r="E4069" s="31"/>
      <c r="F4069" s="31"/>
      <c r="G4069" s="31"/>
      <c r="H4069" s="31"/>
    </row>
    <row r="4070" spans="2:8" hidden="1">
      <c r="B4070" s="33"/>
      <c r="C4070" s="31"/>
      <c r="D4070" s="31"/>
      <c r="E4070" s="31"/>
      <c r="F4070" s="691"/>
      <c r="G4070" s="31"/>
      <c r="H4070" s="31"/>
    </row>
    <row r="4071" spans="2:8" hidden="1">
      <c r="B4071" s="33"/>
      <c r="C4071" s="31"/>
      <c r="D4071" s="31"/>
      <c r="E4071" s="31"/>
      <c r="F4071" s="691"/>
      <c r="G4071" s="31"/>
      <c r="H4071" s="31"/>
    </row>
    <row r="4072" spans="2:8" hidden="1">
      <c r="B4072" s="33"/>
      <c r="C4072" s="31"/>
      <c r="D4072" s="31"/>
      <c r="E4072" s="31"/>
      <c r="F4072" s="691"/>
      <c r="G4072" s="31"/>
      <c r="H4072" s="31"/>
    </row>
    <row r="4073" spans="2:8" hidden="1">
      <c r="B4073" s="33"/>
      <c r="C4073" s="31"/>
      <c r="D4073" s="31"/>
      <c r="E4073" s="31"/>
      <c r="F4073" s="31"/>
      <c r="G4073" s="31"/>
      <c r="H4073" s="31"/>
    </row>
    <row r="4074" spans="2:8" hidden="1">
      <c r="B4074" s="33"/>
      <c r="C4074" s="31"/>
      <c r="D4074" s="31"/>
      <c r="E4074" s="31"/>
      <c r="F4074" s="31"/>
      <c r="G4074" s="31"/>
      <c r="H4074" s="31"/>
    </row>
    <row r="4075" spans="2:8" hidden="1">
      <c r="B4075" s="200"/>
      <c r="C4075" s="31"/>
      <c r="D4075" s="31"/>
      <c r="E4075" s="31"/>
      <c r="F4075" s="31"/>
      <c r="G4075" s="31"/>
      <c r="H4075" s="31"/>
    </row>
    <row r="4076" spans="2:8" hidden="1">
      <c r="B4076" s="200"/>
      <c r="C4076" s="31"/>
      <c r="D4076" s="31"/>
      <c r="E4076" s="31"/>
      <c r="F4076" s="691"/>
      <c r="G4076" s="31"/>
      <c r="H4076" s="31"/>
    </row>
    <row r="4077" spans="2:8" hidden="1">
      <c r="B4077" s="200"/>
      <c r="C4077" s="31"/>
      <c r="D4077" s="31"/>
      <c r="E4077" s="31"/>
      <c r="F4077" s="691"/>
      <c r="G4077" s="31"/>
      <c r="H4077" s="31"/>
    </row>
    <row r="4078" spans="2:8" hidden="1">
      <c r="B4078" s="200"/>
      <c r="C4078" s="31"/>
      <c r="D4078" s="31"/>
      <c r="E4078" s="31"/>
      <c r="F4078" s="691"/>
      <c r="G4078" s="31"/>
      <c r="H4078" s="31"/>
    </row>
    <row r="4079" spans="2:8" hidden="1">
      <c r="B4079" s="200"/>
      <c r="C4079" s="31"/>
      <c r="D4079" s="31"/>
      <c r="E4079" s="31"/>
      <c r="F4079" s="691"/>
      <c r="G4079" s="31"/>
      <c r="H4079" s="31"/>
    </row>
    <row r="4080" spans="2:8" hidden="1">
      <c r="B4080" s="200"/>
      <c r="C4080" s="31"/>
      <c r="D4080" s="31"/>
      <c r="E4080" s="31"/>
      <c r="F4080" s="691"/>
      <c r="G4080" s="31"/>
      <c r="H4080" s="31"/>
    </row>
    <row r="4081" spans="2:8" hidden="1">
      <c r="B4081" s="200"/>
      <c r="C4081" s="31"/>
      <c r="D4081" s="31"/>
      <c r="E4081" s="31"/>
      <c r="F4081" s="691"/>
      <c r="G4081" s="31"/>
      <c r="H4081" s="31"/>
    </row>
    <row r="4082" spans="2:8" hidden="1">
      <c r="B4082" s="200"/>
      <c r="C4082" s="31"/>
      <c r="D4082" s="31"/>
      <c r="E4082" s="31"/>
      <c r="F4082" s="691"/>
      <c r="G4082" s="31"/>
      <c r="H4082" s="31"/>
    </row>
    <row r="4083" spans="2:8" hidden="1">
      <c r="B4083" s="200"/>
      <c r="C4083" s="31"/>
      <c r="D4083" s="31"/>
      <c r="E4083" s="31"/>
      <c r="F4083" s="691"/>
      <c r="G4083" s="31"/>
      <c r="H4083" s="31"/>
    </row>
    <row r="4084" spans="2:8" hidden="1">
      <c r="B4084" s="200"/>
      <c r="C4084" s="31"/>
      <c r="D4084" s="31"/>
      <c r="E4084" s="31"/>
      <c r="F4084" s="691"/>
      <c r="G4084" s="31"/>
      <c r="H4084" s="31"/>
    </row>
    <row r="4085" spans="2:8" hidden="1">
      <c r="B4085" s="200"/>
      <c r="C4085" s="31"/>
      <c r="D4085" s="31"/>
      <c r="E4085" s="31"/>
      <c r="F4085" s="691"/>
      <c r="G4085" s="31"/>
      <c r="H4085" s="31"/>
    </row>
    <row r="4086" spans="2:8" hidden="1">
      <c r="B4086" s="200"/>
      <c r="C4086" s="31"/>
      <c r="D4086" s="31"/>
      <c r="E4086" s="31"/>
      <c r="F4086" s="691"/>
      <c r="G4086" s="31"/>
      <c r="H4086" s="31"/>
    </row>
    <row r="4087" spans="2:8" hidden="1">
      <c r="B4087" s="200"/>
      <c r="C4087" s="31"/>
      <c r="D4087" s="31"/>
      <c r="E4087" s="31"/>
      <c r="F4087" s="691"/>
      <c r="G4087" s="31"/>
      <c r="H4087" s="31"/>
    </row>
    <row r="4088" spans="2:8" hidden="1">
      <c r="B4088" s="200"/>
      <c r="C4088" s="31"/>
      <c r="D4088" s="31"/>
      <c r="E4088" s="31"/>
      <c r="F4088" s="691"/>
      <c r="G4088" s="31"/>
      <c r="H4088" s="31"/>
    </row>
    <row r="4089" spans="2:8" hidden="1">
      <c r="B4089" s="200"/>
      <c r="C4089" s="31"/>
      <c r="D4089" s="31"/>
      <c r="E4089" s="31"/>
      <c r="F4089" s="691"/>
      <c r="G4089" s="31"/>
      <c r="H4089" s="31"/>
    </row>
    <row r="4090" spans="2:8" hidden="1">
      <c r="B4090" s="200"/>
      <c r="C4090" s="31"/>
      <c r="D4090" s="31"/>
      <c r="E4090" s="31"/>
      <c r="F4090" s="691"/>
      <c r="G4090" s="31"/>
      <c r="H4090" s="31"/>
    </row>
    <row r="4091" spans="2:8" hidden="1">
      <c r="B4091" s="200"/>
      <c r="C4091" s="31"/>
      <c r="D4091" s="31"/>
      <c r="E4091" s="31"/>
      <c r="F4091" s="691"/>
      <c r="G4091" s="31"/>
      <c r="H4091" s="31"/>
    </row>
    <row r="4092" spans="2:8" hidden="1">
      <c r="B4092" s="33"/>
      <c r="C4092" s="31"/>
      <c r="D4092" s="31"/>
      <c r="E4092" s="31"/>
      <c r="F4092" s="691"/>
      <c r="G4092" s="31"/>
      <c r="H4092" s="31"/>
    </row>
    <row r="4093" spans="2:8" hidden="1">
      <c r="B4093" s="33"/>
      <c r="C4093" s="31"/>
      <c r="D4093" s="31"/>
      <c r="E4093" s="31"/>
      <c r="F4093" s="691"/>
      <c r="G4093" s="31"/>
      <c r="H4093" s="31"/>
    </row>
    <row r="4094" spans="2:8" hidden="1">
      <c r="B4094" s="33"/>
      <c r="C4094" s="31"/>
      <c r="D4094" s="31"/>
      <c r="E4094" s="31"/>
      <c r="F4094" s="691"/>
      <c r="G4094" s="31"/>
      <c r="H4094" s="31"/>
    </row>
    <row r="4095" spans="2:8" hidden="1">
      <c r="B4095" s="33"/>
      <c r="C4095" s="31"/>
      <c r="D4095" s="31"/>
      <c r="E4095" s="31"/>
      <c r="F4095" s="691"/>
      <c r="G4095" s="31"/>
      <c r="H4095" s="31"/>
    </row>
    <row r="4096" spans="2:8" hidden="1">
      <c r="B4096" s="33"/>
      <c r="C4096" s="31"/>
      <c r="D4096" s="31"/>
      <c r="E4096" s="200"/>
      <c r="F4096" s="691"/>
      <c r="G4096" s="31"/>
      <c r="H4096" s="31"/>
    </row>
    <row r="4097" spans="2:8" hidden="1">
      <c r="B4097" s="33"/>
      <c r="C4097" s="31"/>
      <c r="D4097" s="31"/>
      <c r="E4097" s="31"/>
      <c r="F4097" s="691"/>
      <c r="G4097" s="31"/>
      <c r="H4097" s="31"/>
    </row>
    <row r="4098" spans="2:8" hidden="1">
      <c r="B4098" s="33"/>
      <c r="C4098" s="31"/>
      <c r="D4098" s="31"/>
      <c r="E4098" s="31"/>
      <c r="F4098" s="691"/>
      <c r="G4098" s="31"/>
      <c r="H4098" s="31"/>
    </row>
    <row r="4099" spans="2:8" hidden="1">
      <c r="B4099" s="33"/>
      <c r="C4099" s="31"/>
      <c r="D4099" s="31"/>
      <c r="E4099" s="31"/>
      <c r="F4099" s="691"/>
      <c r="G4099" s="31"/>
      <c r="H4099" s="31"/>
    </row>
    <row r="4100" spans="2:8" hidden="1">
      <c r="B4100" s="33"/>
      <c r="C4100" s="31"/>
      <c r="D4100" s="31"/>
      <c r="E4100" s="31"/>
      <c r="F4100" s="691"/>
      <c r="G4100" s="31"/>
      <c r="H4100" s="31"/>
    </row>
    <row r="4101" spans="2:8" hidden="1">
      <c r="B4101" s="33"/>
      <c r="C4101" s="31"/>
      <c r="D4101" s="31"/>
      <c r="E4101" s="31"/>
      <c r="F4101" s="691"/>
      <c r="G4101" s="31"/>
      <c r="H4101" s="31"/>
    </row>
    <row r="4102" spans="2:8" hidden="1">
      <c r="B4102" s="33"/>
      <c r="C4102" s="31"/>
      <c r="D4102" s="31"/>
      <c r="E4102" s="31"/>
      <c r="F4102" s="691"/>
      <c r="G4102" s="31"/>
      <c r="H4102" s="31"/>
    </row>
    <row r="4103" spans="2:8" hidden="1">
      <c r="B4103" s="33"/>
      <c r="C4103" s="31"/>
      <c r="D4103" s="31"/>
      <c r="E4103" s="31"/>
      <c r="F4103" s="691"/>
      <c r="G4103" s="31"/>
      <c r="H4103" s="31"/>
    </row>
    <row r="4104" spans="2:8" hidden="1">
      <c r="B4104" s="33"/>
      <c r="C4104" s="31"/>
      <c r="D4104" s="31"/>
      <c r="E4104" s="31"/>
      <c r="F4104" s="691"/>
      <c r="G4104" s="31"/>
      <c r="H4104" s="31"/>
    </row>
    <row r="4105" spans="2:8" hidden="1">
      <c r="B4105" s="33"/>
      <c r="C4105" s="31"/>
      <c r="D4105" s="31"/>
      <c r="E4105" s="31"/>
      <c r="F4105" s="691"/>
      <c r="G4105" s="31"/>
      <c r="H4105" s="31"/>
    </row>
    <row r="4106" spans="2:8" hidden="1">
      <c r="B4106" s="33"/>
      <c r="C4106" s="31"/>
      <c r="D4106" s="31"/>
      <c r="E4106" s="31"/>
      <c r="F4106" s="691"/>
      <c r="G4106" s="31"/>
      <c r="H4106" s="31"/>
    </row>
    <row r="4107" spans="2:8" hidden="1">
      <c r="B4107" s="33"/>
      <c r="C4107" s="31"/>
      <c r="D4107" s="31"/>
      <c r="E4107" s="31"/>
      <c r="F4107" s="691"/>
      <c r="G4107" s="31"/>
      <c r="H4107" s="31"/>
    </row>
    <row r="4108" spans="2:8" hidden="1">
      <c r="B4108" s="33"/>
      <c r="C4108" s="31"/>
      <c r="D4108" s="31"/>
      <c r="E4108" s="31"/>
      <c r="F4108" s="691"/>
      <c r="G4108" s="31"/>
      <c r="H4108" s="31"/>
    </row>
    <row r="4109" spans="2:8" hidden="1">
      <c r="B4109" s="33"/>
      <c r="C4109" s="31"/>
      <c r="D4109" s="31"/>
      <c r="E4109" s="31"/>
      <c r="F4109" s="691"/>
      <c r="G4109" s="31"/>
      <c r="H4109" s="31"/>
    </row>
    <row r="4110" spans="2:8" hidden="1">
      <c r="B4110" s="33"/>
      <c r="C4110" s="31"/>
      <c r="D4110" s="31"/>
      <c r="E4110" s="31"/>
      <c r="F4110" s="691"/>
      <c r="G4110" s="31"/>
      <c r="H4110" s="31"/>
    </row>
    <row r="4111" spans="2:8" hidden="1">
      <c r="B4111" s="33"/>
      <c r="C4111" s="31"/>
      <c r="D4111" s="31"/>
      <c r="E4111" s="31"/>
      <c r="F4111" s="691"/>
      <c r="G4111" s="31"/>
      <c r="H4111" s="31"/>
    </row>
    <row r="4112" spans="2:8" hidden="1">
      <c r="B4112" s="33"/>
      <c r="C4112" s="31"/>
      <c r="D4112" s="31"/>
      <c r="E4112" s="31"/>
      <c r="F4112" s="691"/>
      <c r="G4112" s="31"/>
      <c r="H4112" s="31"/>
    </row>
    <row r="4113" spans="2:8" hidden="1">
      <c r="B4113" s="33"/>
      <c r="C4113" s="31"/>
      <c r="D4113" s="31"/>
      <c r="E4113" s="31"/>
      <c r="F4113" s="691"/>
      <c r="G4113" s="31"/>
      <c r="H4113" s="31"/>
    </row>
    <row r="4114" spans="2:8" hidden="1">
      <c r="B4114" s="33"/>
      <c r="C4114" s="31"/>
      <c r="D4114" s="31"/>
      <c r="E4114" s="31"/>
      <c r="F4114" s="691"/>
      <c r="G4114" s="31"/>
      <c r="H4114" s="31"/>
    </row>
    <row r="4115" spans="2:8" hidden="1">
      <c r="B4115" s="33"/>
      <c r="C4115" s="31"/>
      <c r="D4115" s="31"/>
      <c r="E4115" s="31"/>
      <c r="F4115" s="691"/>
      <c r="G4115" s="31"/>
      <c r="H4115" s="31"/>
    </row>
    <row r="4116" spans="2:8" hidden="1">
      <c r="B4116" s="33"/>
      <c r="C4116" s="31"/>
      <c r="D4116" s="31"/>
      <c r="E4116" s="200"/>
      <c r="F4116" s="691"/>
      <c r="G4116" s="31"/>
      <c r="H4116" s="31"/>
    </row>
    <row r="4117" spans="2:8" hidden="1">
      <c r="B4117" s="33"/>
      <c r="C4117" s="31"/>
      <c r="D4117" s="31"/>
      <c r="E4117" s="31"/>
      <c r="F4117" s="691"/>
      <c r="G4117" s="31"/>
      <c r="H4117" s="31"/>
    </row>
    <row r="4118" spans="2:8" hidden="1">
      <c r="B4118" s="33"/>
      <c r="C4118" s="31"/>
      <c r="D4118" s="31"/>
      <c r="E4118" s="31"/>
      <c r="F4118" s="691"/>
      <c r="G4118" s="31"/>
      <c r="H4118" s="31"/>
    </row>
    <row r="4119" spans="2:8" hidden="1">
      <c r="B4119" s="33"/>
      <c r="C4119" s="200"/>
      <c r="D4119" s="31"/>
      <c r="E4119" s="31"/>
      <c r="F4119" s="691"/>
      <c r="G4119" s="31"/>
      <c r="H4119" s="31"/>
    </row>
    <row r="4120" spans="2:8" hidden="1">
      <c r="B4120" s="33"/>
      <c r="C4120" s="31"/>
      <c r="D4120" s="31"/>
      <c r="E4120" s="31"/>
      <c r="F4120" s="691"/>
      <c r="G4120" s="31"/>
      <c r="H4120" s="31"/>
    </row>
    <row r="4121" spans="2:8" hidden="1">
      <c r="B4121" s="33"/>
      <c r="C4121" s="31"/>
      <c r="D4121" s="31"/>
      <c r="E4121" s="31"/>
      <c r="F4121" s="691"/>
      <c r="G4121" s="31"/>
      <c r="H4121" s="31"/>
    </row>
    <row r="4122" spans="2:8" hidden="1">
      <c r="B4122" s="33"/>
      <c r="C4122" s="31"/>
      <c r="D4122" s="31"/>
      <c r="E4122" s="31"/>
      <c r="F4122" s="691"/>
      <c r="G4122" s="31"/>
      <c r="H4122" s="31"/>
    </row>
    <row r="4123" spans="2:8" hidden="1">
      <c r="B4123" s="33"/>
      <c r="C4123" s="31"/>
      <c r="D4123" s="31"/>
      <c r="E4123" s="31"/>
      <c r="F4123" s="691"/>
      <c r="G4123" s="31"/>
      <c r="H4123" s="31"/>
    </row>
    <row r="4124" spans="2:8" hidden="1">
      <c r="B4124" s="33"/>
      <c r="C4124" s="31"/>
      <c r="D4124" s="31"/>
      <c r="E4124" s="31"/>
      <c r="F4124" s="691"/>
      <c r="G4124" s="31"/>
      <c r="H4124" s="31"/>
    </row>
    <row r="4125" spans="2:8" hidden="1">
      <c r="B4125" s="33"/>
      <c r="C4125" s="31"/>
      <c r="D4125" s="31"/>
      <c r="E4125" s="31"/>
      <c r="F4125" s="691"/>
      <c r="G4125" s="31"/>
      <c r="H4125" s="31"/>
    </row>
    <row r="4126" spans="2:8" hidden="1">
      <c r="B4126" s="33"/>
      <c r="C4126" s="31"/>
      <c r="D4126" s="31"/>
      <c r="E4126" s="31"/>
      <c r="F4126" s="31"/>
      <c r="G4126" s="31"/>
      <c r="H4126" s="31"/>
    </row>
    <row r="4127" spans="2:8" hidden="1">
      <c r="B4127" s="33"/>
      <c r="C4127" s="31"/>
      <c r="D4127" s="31"/>
      <c r="E4127" s="31"/>
      <c r="F4127" s="31"/>
      <c r="G4127" s="31"/>
      <c r="H4127" s="31"/>
    </row>
    <row r="4128" spans="2:8" hidden="1">
      <c r="B4128" s="33"/>
      <c r="C4128" s="31"/>
      <c r="D4128" s="31"/>
      <c r="E4128" s="31"/>
      <c r="F4128" s="31"/>
      <c r="G4128" s="31"/>
      <c r="H4128" s="31"/>
    </row>
    <row r="4129" spans="2:8" hidden="1">
      <c r="B4129" s="33"/>
      <c r="C4129" s="31"/>
      <c r="D4129" s="31"/>
      <c r="E4129" s="31"/>
      <c r="F4129" s="691"/>
      <c r="G4129" s="31"/>
      <c r="H4129" s="31"/>
    </row>
    <row r="4130" spans="2:8" hidden="1">
      <c r="B4130" s="33"/>
      <c r="C4130" s="31"/>
      <c r="D4130" s="31"/>
      <c r="E4130" s="31"/>
      <c r="F4130" s="31"/>
      <c r="G4130" s="31"/>
      <c r="H4130" s="31"/>
    </row>
    <row r="4131" spans="2:8" hidden="1">
      <c r="B4131" s="33"/>
      <c r="C4131" s="31"/>
      <c r="D4131" s="31"/>
      <c r="E4131" s="31"/>
      <c r="F4131" s="31"/>
      <c r="G4131" s="31"/>
      <c r="H4131" s="31"/>
    </row>
    <row r="4132" spans="2:8" hidden="1">
      <c r="B4132" s="33"/>
      <c r="C4132" s="31"/>
      <c r="D4132" s="31"/>
      <c r="E4132" s="31"/>
      <c r="F4132" s="31"/>
      <c r="G4132" s="31"/>
      <c r="H4132" s="31"/>
    </row>
    <row r="4133" spans="2:8" hidden="1">
      <c r="B4133" s="33"/>
      <c r="C4133" s="31"/>
      <c r="D4133" s="31"/>
      <c r="E4133" s="31"/>
      <c r="F4133" s="31"/>
      <c r="G4133" s="31"/>
      <c r="H4133" s="31"/>
    </row>
    <row r="4134" spans="2:8" hidden="1">
      <c r="B4134" s="33"/>
      <c r="C4134" s="31"/>
      <c r="D4134" s="31"/>
      <c r="E4134" s="31"/>
      <c r="F4134" s="31"/>
      <c r="G4134" s="31"/>
      <c r="H4134" s="31"/>
    </row>
    <row r="4135" spans="2:8" hidden="1">
      <c r="B4135" s="33"/>
      <c r="C4135" s="31"/>
      <c r="D4135" s="31"/>
      <c r="E4135" s="31"/>
      <c r="F4135" s="31"/>
      <c r="G4135" s="31"/>
      <c r="H4135" s="31"/>
    </row>
    <row r="4136" spans="2:8" hidden="1">
      <c r="B4136" s="33"/>
      <c r="C4136" s="31"/>
      <c r="D4136" s="31"/>
      <c r="E4136" s="31"/>
      <c r="F4136" s="31"/>
      <c r="G4136" s="31"/>
      <c r="H4136" s="31"/>
    </row>
    <row r="4137" spans="2:8" hidden="1">
      <c r="B4137" s="33"/>
      <c r="C4137" s="31"/>
      <c r="D4137" s="31"/>
      <c r="E4137" s="31"/>
      <c r="F4137" s="31"/>
      <c r="G4137" s="31"/>
      <c r="H4137" s="31"/>
    </row>
    <row r="4138" spans="2:8" hidden="1">
      <c r="B4138" s="33"/>
      <c r="C4138" s="31"/>
      <c r="D4138" s="31"/>
      <c r="E4138" s="31"/>
      <c r="F4138" s="31"/>
      <c r="G4138" s="31"/>
      <c r="H4138" s="31"/>
    </row>
    <row r="4139" spans="2:8" hidden="1">
      <c r="B4139" s="33"/>
      <c r="C4139" s="31"/>
      <c r="D4139" s="31"/>
      <c r="E4139" s="31"/>
      <c r="F4139" s="31"/>
      <c r="G4139" s="31"/>
      <c r="H4139" s="31"/>
    </row>
    <row r="4140" spans="2:8" hidden="1">
      <c r="B4140" s="33"/>
      <c r="C4140" s="31"/>
      <c r="D4140" s="31"/>
      <c r="E4140" s="31"/>
      <c r="F4140" s="31"/>
      <c r="G4140" s="31"/>
      <c r="H4140" s="31"/>
    </row>
    <row r="4141" spans="2:8" hidden="1">
      <c r="B4141" s="33"/>
      <c r="C4141" s="31"/>
      <c r="D4141" s="31"/>
      <c r="E4141" s="31"/>
      <c r="F4141" s="31"/>
      <c r="G4141" s="31"/>
      <c r="H4141" s="31"/>
    </row>
    <row r="4142" spans="2:8" hidden="1">
      <c r="B4142" s="33"/>
      <c r="C4142" s="31"/>
      <c r="D4142" s="31"/>
      <c r="E4142" s="31"/>
      <c r="F4142" s="33"/>
      <c r="G4142" s="31"/>
      <c r="H4142" s="31"/>
    </row>
    <row r="4143" spans="2:8" hidden="1">
      <c r="B4143" s="33"/>
      <c r="C4143" s="31"/>
      <c r="D4143" s="33"/>
      <c r="E4143" s="33"/>
      <c r="F4143" s="33"/>
      <c r="G4143" s="33"/>
      <c r="H4143" s="31"/>
    </row>
    <row r="4144" spans="2:8" hidden="1">
      <c r="B4144" s="33"/>
      <c r="C4144" s="31"/>
      <c r="D4144" s="33"/>
      <c r="E4144" s="33"/>
      <c r="F4144" s="33"/>
      <c r="G4144" s="33"/>
      <c r="H4144" s="31"/>
    </row>
    <row r="4145" spans="2:8" hidden="1">
      <c r="B4145" s="33"/>
      <c r="C4145" s="31"/>
      <c r="D4145" s="33"/>
      <c r="E4145" s="33"/>
      <c r="F4145" s="33"/>
      <c r="G4145" s="33"/>
      <c r="H4145" s="31"/>
    </row>
    <row r="4146" spans="2:8" hidden="1">
      <c r="B4146" s="33"/>
      <c r="C4146" s="31"/>
      <c r="D4146" s="33"/>
      <c r="E4146" s="33"/>
      <c r="F4146" s="33"/>
      <c r="G4146" s="33"/>
      <c r="H4146" s="31"/>
    </row>
    <row r="4147" spans="2:8" hidden="1">
      <c r="B4147" s="33"/>
      <c r="C4147" s="31"/>
      <c r="D4147" s="33"/>
      <c r="E4147" s="33"/>
      <c r="F4147" s="33"/>
      <c r="G4147" s="33"/>
      <c r="H4147" s="31"/>
    </row>
    <row r="4148" spans="2:8" hidden="1">
      <c r="B4148" s="33"/>
      <c r="C4148" s="31"/>
      <c r="D4148" s="33"/>
      <c r="E4148" s="33"/>
      <c r="F4148" s="33"/>
      <c r="G4148" s="33"/>
      <c r="H4148" s="31"/>
    </row>
    <row r="4149" spans="2:8" hidden="1">
      <c r="B4149" s="33"/>
      <c r="C4149" s="31"/>
      <c r="D4149" s="33"/>
      <c r="E4149" s="33"/>
      <c r="F4149" s="33"/>
      <c r="G4149" s="33"/>
      <c r="H4149" s="31"/>
    </row>
    <row r="4150" spans="2:8" hidden="1">
      <c r="B4150" s="33"/>
      <c r="C4150" s="31"/>
      <c r="D4150" s="33"/>
      <c r="E4150" s="33"/>
      <c r="F4150" s="33"/>
      <c r="G4150" s="33"/>
      <c r="H4150" s="31"/>
    </row>
    <row r="4151" spans="2:8" hidden="1">
      <c r="B4151" s="33"/>
      <c r="C4151" s="33"/>
      <c r="D4151" s="33"/>
      <c r="E4151" s="33"/>
      <c r="F4151" s="33"/>
      <c r="G4151" s="33"/>
      <c r="H4151" s="31"/>
    </row>
    <row r="4152" spans="2:8" hidden="1">
      <c r="B4152" s="33"/>
      <c r="C4152" s="31"/>
      <c r="D4152" s="31"/>
      <c r="E4152" s="31"/>
      <c r="F4152" s="31"/>
      <c r="G4152" s="31"/>
      <c r="H4152" s="31"/>
    </row>
    <row r="4153" spans="2:8" hidden="1">
      <c r="B4153" s="33"/>
      <c r="C4153" s="31"/>
      <c r="D4153" s="31"/>
      <c r="E4153" s="31"/>
      <c r="F4153" s="31"/>
      <c r="G4153" s="31"/>
      <c r="H4153" s="31"/>
    </row>
    <row r="4154" spans="2:8" hidden="1">
      <c r="B4154" s="33"/>
      <c r="C4154" s="31"/>
      <c r="D4154" s="31"/>
      <c r="E4154" s="31"/>
      <c r="F4154" s="31"/>
      <c r="G4154" s="31"/>
      <c r="H4154" s="31"/>
    </row>
    <row r="4155" spans="2:8" hidden="1">
      <c r="B4155" s="33"/>
      <c r="C4155" s="31"/>
      <c r="D4155" s="31"/>
      <c r="E4155" s="31"/>
      <c r="F4155" s="31"/>
      <c r="G4155" s="31"/>
      <c r="H4155" s="31"/>
    </row>
    <row r="4156" spans="2:8" hidden="1">
      <c r="B4156" s="33"/>
      <c r="C4156" s="31"/>
      <c r="D4156" s="31"/>
      <c r="E4156" s="31"/>
      <c r="F4156" s="31"/>
      <c r="G4156" s="31"/>
      <c r="H4156" s="31"/>
    </row>
    <row r="4157" spans="2:8" hidden="1">
      <c r="B4157" s="33"/>
      <c r="C4157" s="31"/>
      <c r="D4157" s="31"/>
      <c r="E4157" s="31"/>
      <c r="F4157" s="31"/>
      <c r="G4157" s="31"/>
      <c r="H4157" s="31"/>
    </row>
    <row r="4158" spans="2:8" hidden="1">
      <c r="B4158" s="33"/>
      <c r="C4158" s="31"/>
      <c r="D4158" s="31"/>
      <c r="E4158" s="31"/>
      <c r="F4158" s="31"/>
      <c r="G4158" s="31"/>
      <c r="H4158" s="31"/>
    </row>
    <row r="4159" spans="2:8" hidden="1">
      <c r="B4159" s="33"/>
      <c r="C4159" s="31"/>
      <c r="D4159" s="31"/>
      <c r="E4159" s="31"/>
      <c r="F4159" s="31"/>
      <c r="G4159" s="31"/>
      <c r="H4159" s="31"/>
    </row>
    <row r="4160" spans="2:8" hidden="1">
      <c r="B4160" s="33"/>
      <c r="C4160" s="31"/>
      <c r="D4160" s="31"/>
      <c r="E4160" s="31"/>
      <c r="F4160" s="31"/>
      <c r="G4160" s="31"/>
      <c r="H4160" s="31"/>
    </row>
    <row r="4161" spans="2:8" hidden="1">
      <c r="B4161" s="33"/>
      <c r="C4161" s="31"/>
      <c r="D4161" s="31"/>
      <c r="E4161" s="31"/>
      <c r="F4161" s="31"/>
      <c r="G4161" s="31"/>
      <c r="H4161" s="31"/>
    </row>
    <row r="4162" spans="2:8" hidden="1">
      <c r="B4162" s="33"/>
      <c r="C4162" s="31"/>
      <c r="D4162" s="31"/>
      <c r="E4162" s="31"/>
      <c r="F4162" s="31"/>
      <c r="G4162" s="31"/>
      <c r="H4162" s="31"/>
    </row>
    <row r="4163" spans="2:8" hidden="1">
      <c r="B4163" s="33"/>
      <c r="C4163" s="31"/>
      <c r="D4163" s="31"/>
      <c r="E4163" s="31"/>
      <c r="F4163" s="31"/>
      <c r="G4163" s="31"/>
      <c r="H4163" s="31"/>
    </row>
    <row r="4164" spans="2:8" hidden="1">
      <c r="B4164" s="33"/>
      <c r="C4164" s="31"/>
      <c r="D4164" s="75"/>
      <c r="E4164" s="31"/>
      <c r="F4164" s="405"/>
      <c r="G4164" s="75"/>
      <c r="H4164" s="31"/>
    </row>
    <row r="4165" spans="2:8" hidden="1">
      <c r="B4165" s="33"/>
      <c r="C4165" s="31"/>
      <c r="D4165" s="31"/>
      <c r="E4165" s="31"/>
      <c r="F4165" s="691"/>
      <c r="G4165" s="732"/>
      <c r="H4165" s="31"/>
    </row>
    <row r="4166" spans="2:8" hidden="1">
      <c r="B4166" s="33"/>
      <c r="C4166" s="31"/>
      <c r="D4166" s="31"/>
      <c r="E4166" s="31"/>
      <c r="F4166" s="405"/>
      <c r="G4166" s="75"/>
      <c r="H4166" s="31"/>
    </row>
    <row r="4167" spans="2:8" hidden="1">
      <c r="B4167" s="33"/>
      <c r="C4167" s="31"/>
      <c r="D4167" s="75"/>
      <c r="E4167" s="31"/>
      <c r="F4167" s="405"/>
      <c r="G4167" s="75"/>
      <c r="H4167" s="31"/>
    </row>
    <row r="4168" spans="2:8" hidden="1">
      <c r="B4168" s="33"/>
      <c r="C4168" s="31"/>
      <c r="D4168" s="31"/>
      <c r="E4168" s="31"/>
      <c r="F4168" s="691"/>
      <c r="G4168" s="732"/>
      <c r="H4168" s="31"/>
    </row>
    <row r="4169" spans="2:8" hidden="1">
      <c r="B4169" s="33"/>
      <c r="C4169" s="31"/>
      <c r="D4169" s="31"/>
      <c r="E4169" s="31"/>
      <c r="F4169" s="405"/>
      <c r="G4169" s="75"/>
      <c r="H4169" s="31"/>
    </row>
    <row r="4170" spans="2:8" hidden="1">
      <c r="B4170" s="33"/>
      <c r="C4170" s="31"/>
      <c r="D4170" s="31"/>
      <c r="E4170" s="31"/>
      <c r="F4170" s="31"/>
      <c r="G4170" s="31"/>
      <c r="H4170" s="31"/>
    </row>
    <row r="4171" spans="2:8" hidden="1">
      <c r="B4171" s="33"/>
      <c r="C4171" s="200"/>
      <c r="D4171" s="31"/>
      <c r="E4171" s="200"/>
      <c r="F4171" s="769"/>
      <c r="G4171" s="31"/>
      <c r="H4171" s="31"/>
    </row>
    <row r="4172" spans="2:8" hidden="1">
      <c r="B4172" s="76"/>
      <c r="C4172" s="31"/>
      <c r="D4172" s="31"/>
      <c r="E4172" s="31"/>
      <c r="F4172" s="732"/>
      <c r="G4172" s="31"/>
      <c r="H4172" s="31"/>
    </row>
    <row r="4173" spans="2:8" hidden="1">
      <c r="B4173" s="33"/>
      <c r="C4173" s="33"/>
      <c r="D4173" s="33"/>
      <c r="E4173" s="33"/>
      <c r="F4173" s="33"/>
      <c r="G4173" s="33"/>
      <c r="H4173" s="31"/>
    </row>
    <row r="4174" spans="2:8" hidden="1">
      <c r="B4174" s="33"/>
      <c r="C4174" s="31"/>
      <c r="D4174" s="33"/>
      <c r="E4174" s="33"/>
      <c r="F4174" s="33"/>
      <c r="G4174" s="33"/>
      <c r="H4174" s="31"/>
    </row>
    <row r="4175" spans="2:8" hidden="1">
      <c r="B4175" s="405"/>
      <c r="C4175" s="76"/>
      <c r="D4175" s="731"/>
      <c r="E4175" s="75"/>
      <c r="F4175" s="75"/>
      <c r="G4175" s="75"/>
      <c r="H4175" s="31"/>
    </row>
    <row r="4176" spans="2:8" hidden="1">
      <c r="B4176" s="405"/>
      <c r="C4176" s="76"/>
      <c r="D4176" s="731"/>
      <c r="E4176" s="75"/>
      <c r="F4176" s="75"/>
      <c r="G4176" s="75"/>
      <c r="H4176" s="31"/>
    </row>
    <row r="4177" spans="2:8" hidden="1">
      <c r="B4177" s="405"/>
      <c r="C4177" s="76"/>
      <c r="D4177" s="731"/>
      <c r="E4177" s="75"/>
      <c r="F4177" s="75"/>
      <c r="G4177" s="75"/>
      <c r="H4177" s="31"/>
    </row>
    <row r="4178" spans="2:8" hidden="1">
      <c r="B4178" s="405"/>
      <c r="C4178" s="76"/>
      <c r="D4178" s="731"/>
      <c r="E4178" s="75"/>
      <c r="F4178" s="75"/>
      <c r="G4178" s="75"/>
      <c r="H4178" s="31"/>
    </row>
    <row r="4179" spans="2:8" hidden="1">
      <c r="B4179" s="405"/>
      <c r="C4179" s="76"/>
      <c r="D4179" s="731"/>
      <c r="E4179" s="75"/>
      <c r="F4179" s="75"/>
      <c r="G4179" s="75"/>
      <c r="H4179" s="31"/>
    </row>
    <row r="4180" spans="2:8" hidden="1">
      <c r="B4180" s="405"/>
      <c r="C4180" s="76"/>
      <c r="D4180" s="731"/>
      <c r="E4180" s="75"/>
      <c r="F4180" s="75"/>
      <c r="G4180" s="75"/>
      <c r="H4180" s="31"/>
    </row>
    <row r="4181" spans="2:8" hidden="1">
      <c r="B4181" s="405"/>
      <c r="C4181" s="76"/>
      <c r="D4181" s="731"/>
      <c r="E4181" s="75"/>
      <c r="F4181" s="75"/>
      <c r="G4181" s="75"/>
      <c r="H4181" s="31"/>
    </row>
    <row r="4182" spans="2:8" hidden="1">
      <c r="B4182" s="405"/>
      <c r="C4182" s="76"/>
      <c r="D4182" s="731"/>
      <c r="E4182" s="75"/>
      <c r="F4182" s="75"/>
      <c r="G4182" s="75"/>
      <c r="H4182" s="31"/>
    </row>
    <row r="4183" spans="2:8" hidden="1">
      <c r="B4183" s="405"/>
      <c r="C4183" s="76"/>
      <c r="D4183" s="731"/>
      <c r="E4183" s="75"/>
      <c r="F4183" s="75"/>
      <c r="G4183" s="75"/>
      <c r="H4183" s="31"/>
    </row>
    <row r="4184" spans="2:8" hidden="1">
      <c r="B4184" s="405"/>
      <c r="C4184" s="76"/>
      <c r="D4184" s="731"/>
      <c r="E4184" s="75"/>
      <c r="F4184" s="75"/>
      <c r="G4184" s="75"/>
      <c r="H4184" s="31"/>
    </row>
    <row r="4185" spans="2:8" hidden="1">
      <c r="B4185" s="405"/>
      <c r="C4185" s="76"/>
      <c r="D4185" s="731"/>
      <c r="E4185" s="75"/>
      <c r="F4185" s="75"/>
      <c r="G4185" s="75"/>
      <c r="H4185" s="31"/>
    </row>
    <row r="4186" spans="2:8" hidden="1">
      <c r="B4186" s="405"/>
      <c r="C4186" s="76"/>
      <c r="D4186" s="731"/>
      <c r="E4186" s="75"/>
      <c r="F4186" s="75"/>
      <c r="G4186" s="75"/>
      <c r="H4186" s="31"/>
    </row>
    <row r="4187" spans="2:8" hidden="1">
      <c r="B4187" s="405"/>
      <c r="C4187" s="76"/>
      <c r="D4187" s="731"/>
      <c r="E4187" s="75"/>
      <c r="F4187" s="75"/>
      <c r="G4187" s="75"/>
      <c r="H4187" s="31"/>
    </row>
    <row r="4188" spans="2:8" hidden="1">
      <c r="B4188" s="405"/>
      <c r="C4188" s="76"/>
      <c r="D4188" s="731"/>
      <c r="E4188" s="75"/>
      <c r="F4188" s="75"/>
      <c r="G4188" s="75"/>
      <c r="H4188" s="31"/>
    </row>
    <row r="4189" spans="2:8" hidden="1">
      <c r="B4189" s="405"/>
      <c r="C4189" s="76"/>
      <c r="D4189" s="731"/>
      <c r="E4189" s="75"/>
      <c r="F4189" s="75"/>
      <c r="G4189" s="75"/>
      <c r="H4189" s="31"/>
    </row>
    <row r="4190" spans="2:8" hidden="1">
      <c r="B4190" s="405"/>
      <c r="C4190" s="76"/>
      <c r="D4190" s="731"/>
      <c r="E4190" s="75"/>
      <c r="F4190" s="75"/>
      <c r="G4190" s="75"/>
      <c r="H4190" s="31"/>
    </row>
    <row r="4191" spans="2:8" hidden="1">
      <c r="B4191" s="405"/>
      <c r="C4191" s="76"/>
      <c r="D4191" s="731"/>
      <c r="E4191" s="75"/>
      <c r="F4191" s="75"/>
      <c r="G4191" s="75"/>
      <c r="H4191" s="31"/>
    </row>
    <row r="4192" spans="2:8" hidden="1">
      <c r="B4192" s="30"/>
      <c r="C4192" s="76"/>
      <c r="D4192" s="731"/>
      <c r="E4192" s="75"/>
      <c r="F4192" s="75"/>
      <c r="G4192" s="75"/>
      <c r="H4192" s="31"/>
    </row>
    <row r="4193" spans="2:8" hidden="1">
      <c r="B4193" s="30"/>
      <c r="C4193" s="76"/>
      <c r="D4193" s="731"/>
      <c r="E4193" s="75"/>
      <c r="F4193" s="75"/>
      <c r="G4193" s="75"/>
      <c r="H4193" s="31"/>
    </row>
    <row r="4194" spans="2:8" hidden="1">
      <c r="B4194" s="30"/>
      <c r="C4194" s="76"/>
      <c r="D4194" s="731"/>
      <c r="E4194" s="75"/>
      <c r="F4194" s="75"/>
      <c r="G4194" s="75"/>
      <c r="H4194" s="31"/>
    </row>
    <row r="4195" spans="2:8" hidden="1">
      <c r="B4195" s="30"/>
      <c r="C4195" s="76"/>
      <c r="D4195" s="731"/>
      <c r="E4195" s="75"/>
      <c r="F4195" s="75"/>
      <c r="G4195" s="75"/>
      <c r="H4195" s="31"/>
    </row>
    <row r="4196" spans="2:8" hidden="1">
      <c r="B4196" s="30"/>
      <c r="C4196" s="76"/>
      <c r="D4196" s="731"/>
      <c r="E4196" s="75"/>
      <c r="F4196" s="75"/>
      <c r="G4196" s="75"/>
      <c r="H4196" s="31"/>
    </row>
    <row r="4197" spans="2:8" hidden="1">
      <c r="B4197" s="30"/>
      <c r="C4197" s="76"/>
      <c r="D4197" s="731"/>
      <c r="E4197" s="75"/>
      <c r="F4197" s="75"/>
      <c r="G4197" s="75"/>
      <c r="H4197" s="31"/>
    </row>
    <row r="4198" spans="2:8" hidden="1">
      <c r="B4198" s="30"/>
      <c r="C4198" s="76"/>
      <c r="D4198" s="731"/>
      <c r="E4198" s="75"/>
      <c r="F4198" s="75"/>
      <c r="G4198" s="75"/>
      <c r="H4198" s="31"/>
    </row>
    <row r="4199" spans="2:8" hidden="1">
      <c r="B4199" s="30"/>
      <c r="C4199" s="76"/>
      <c r="D4199" s="731"/>
      <c r="E4199" s="75"/>
      <c r="F4199" s="75"/>
      <c r="G4199" s="75"/>
      <c r="H4199" s="31"/>
    </row>
    <row r="4200" spans="2:8" hidden="1">
      <c r="B4200" s="30"/>
      <c r="C4200" s="76"/>
      <c r="D4200" s="731"/>
      <c r="E4200" s="75"/>
      <c r="F4200" s="75"/>
      <c r="G4200" s="75"/>
      <c r="H4200" s="31"/>
    </row>
    <row r="4201" spans="2:8" hidden="1">
      <c r="B4201" s="33"/>
      <c r="C4201" s="31"/>
      <c r="D4201" s="31"/>
      <c r="E4201" s="200"/>
      <c r="F4201" s="200"/>
      <c r="G4201" s="75"/>
      <c r="H4201" s="31"/>
    </row>
    <row r="4202" spans="2:8" hidden="1">
      <c r="B4202" s="33"/>
      <c r="C4202" s="31"/>
      <c r="D4202" s="31"/>
      <c r="E4202" s="198"/>
      <c r="F4202" s="200"/>
      <c r="G4202" s="75"/>
      <c r="H4202" s="31"/>
    </row>
    <row r="4203" spans="2:8" hidden="1">
      <c r="B4203" s="33"/>
      <c r="C4203" s="31"/>
      <c r="D4203" s="31"/>
      <c r="E4203" s="198"/>
      <c r="F4203" s="200"/>
      <c r="G4203" s="75"/>
      <c r="H4203" s="31"/>
    </row>
    <row r="4204" spans="2:8" hidden="1">
      <c r="B4204" s="33"/>
      <c r="C4204" s="31"/>
      <c r="D4204" s="31"/>
      <c r="E4204" s="198"/>
      <c r="F4204" s="200"/>
      <c r="G4204" s="75"/>
      <c r="H4204" s="31"/>
    </row>
    <row r="4205" spans="2:8" hidden="1">
      <c r="B4205" s="33"/>
      <c r="C4205" s="200"/>
      <c r="D4205" s="30"/>
      <c r="E4205" s="30"/>
      <c r="F4205" s="200"/>
      <c r="G4205" s="75"/>
      <c r="H4205" s="31"/>
    </row>
    <row r="4206" spans="2:8" hidden="1">
      <c r="B4206" s="33"/>
      <c r="C4206" s="31"/>
      <c r="D4206" s="31"/>
      <c r="E4206" s="31"/>
      <c r="F4206" s="31"/>
      <c r="G4206" s="31"/>
      <c r="H4206" s="31"/>
    </row>
    <row r="4207" spans="2:8" hidden="1">
      <c r="B4207" s="76"/>
      <c r="C4207" s="31"/>
      <c r="D4207" s="31"/>
      <c r="E4207" s="31"/>
      <c r="F4207" s="31"/>
      <c r="G4207" s="31"/>
      <c r="H4207" s="31"/>
    </row>
    <row r="4208" spans="2:8" hidden="1">
      <c r="B4208" s="33"/>
      <c r="C4208" s="33"/>
      <c r="D4208" s="33"/>
      <c r="E4208" s="33"/>
      <c r="F4208" s="33"/>
      <c r="G4208" s="33"/>
      <c r="H4208" s="31"/>
    </row>
    <row r="4209" spans="2:8" hidden="1">
      <c r="B4209" s="33"/>
      <c r="C4209" s="31"/>
      <c r="D4209" s="33"/>
      <c r="E4209" s="33"/>
      <c r="F4209" s="33"/>
      <c r="G4209" s="33"/>
      <c r="H4209" s="31"/>
    </row>
    <row r="4210" spans="2:8" hidden="1">
      <c r="B4210" s="405"/>
      <c r="C4210" s="76"/>
      <c r="D4210" s="731"/>
      <c r="E4210" s="75"/>
      <c r="F4210" s="75"/>
      <c r="G4210" s="75"/>
      <c r="H4210" s="31"/>
    </row>
    <row r="4211" spans="2:8" hidden="1">
      <c r="B4211" s="405"/>
      <c r="C4211" s="76"/>
      <c r="D4211" s="731"/>
      <c r="E4211" s="75"/>
      <c r="F4211" s="75"/>
      <c r="G4211" s="75"/>
      <c r="H4211" s="31"/>
    </row>
    <row r="4212" spans="2:8" hidden="1">
      <c r="B4212" s="405"/>
      <c r="C4212" s="76"/>
      <c r="D4212" s="731"/>
      <c r="E4212" s="75"/>
      <c r="F4212" s="75"/>
      <c r="G4212" s="75"/>
      <c r="H4212" s="31"/>
    </row>
    <row r="4213" spans="2:8" hidden="1">
      <c r="B4213" s="405"/>
      <c r="C4213" s="76"/>
      <c r="D4213" s="731"/>
      <c r="E4213" s="75"/>
      <c r="F4213" s="75"/>
      <c r="G4213" s="75"/>
      <c r="H4213" s="31"/>
    </row>
    <row r="4214" spans="2:8" hidden="1">
      <c r="B4214" s="405"/>
      <c r="C4214" s="76"/>
      <c r="D4214" s="731"/>
      <c r="E4214" s="75"/>
      <c r="F4214" s="75"/>
      <c r="G4214" s="75"/>
      <c r="H4214" s="31"/>
    </row>
    <row r="4215" spans="2:8" hidden="1">
      <c r="B4215" s="405"/>
      <c r="C4215" s="76"/>
      <c r="D4215" s="731"/>
      <c r="E4215" s="75"/>
      <c r="F4215" s="75"/>
      <c r="G4215" s="75"/>
      <c r="H4215" s="31"/>
    </row>
    <row r="4216" spans="2:8" hidden="1">
      <c r="B4216" s="405"/>
      <c r="C4216" s="76"/>
      <c r="D4216" s="731"/>
      <c r="E4216" s="75"/>
      <c r="F4216" s="75"/>
      <c r="G4216" s="75"/>
      <c r="H4216" s="31"/>
    </row>
    <row r="4217" spans="2:8" hidden="1">
      <c r="B4217" s="405"/>
      <c r="C4217" s="76"/>
      <c r="D4217" s="731"/>
      <c r="E4217" s="75"/>
      <c r="F4217" s="75"/>
      <c r="G4217" s="75"/>
      <c r="H4217" s="31"/>
    </row>
    <row r="4218" spans="2:8" hidden="1">
      <c r="B4218" s="405"/>
      <c r="C4218" s="76"/>
      <c r="D4218" s="731"/>
      <c r="E4218" s="75"/>
      <c r="F4218" s="75"/>
      <c r="G4218" s="75"/>
      <c r="H4218" s="31"/>
    </row>
    <row r="4219" spans="2:8" hidden="1">
      <c r="B4219" s="405"/>
      <c r="C4219" s="76"/>
      <c r="D4219" s="731"/>
      <c r="E4219" s="75"/>
      <c r="F4219" s="75"/>
      <c r="G4219" s="75"/>
      <c r="H4219" s="31"/>
    </row>
    <row r="4220" spans="2:8" hidden="1">
      <c r="B4220" s="405"/>
      <c r="C4220" s="76"/>
      <c r="D4220" s="731"/>
      <c r="E4220" s="75"/>
      <c r="F4220" s="75"/>
      <c r="G4220" s="75"/>
      <c r="H4220" s="31"/>
    </row>
    <row r="4221" spans="2:8" hidden="1">
      <c r="B4221" s="405"/>
      <c r="C4221" s="76"/>
      <c r="D4221" s="731"/>
      <c r="E4221" s="75"/>
      <c r="F4221" s="75"/>
      <c r="G4221" s="75"/>
      <c r="H4221" s="31"/>
    </row>
    <row r="4222" spans="2:8" hidden="1">
      <c r="B4222" s="405"/>
      <c r="C4222" s="76"/>
      <c r="D4222" s="731"/>
      <c r="E4222" s="75"/>
      <c r="F4222" s="75"/>
      <c r="G4222" s="75"/>
      <c r="H4222" s="31"/>
    </row>
    <row r="4223" spans="2:8" hidden="1">
      <c r="B4223" s="405"/>
      <c r="C4223" s="76"/>
      <c r="D4223" s="731"/>
      <c r="E4223" s="75"/>
      <c r="F4223" s="75"/>
      <c r="G4223" s="75"/>
      <c r="H4223" s="31"/>
    </row>
    <row r="4224" spans="2:8" hidden="1">
      <c r="B4224" s="405"/>
      <c r="C4224" s="76"/>
      <c r="D4224" s="731"/>
      <c r="E4224" s="75"/>
      <c r="F4224" s="75"/>
      <c r="G4224" s="75"/>
      <c r="H4224" s="31"/>
    </row>
    <row r="4225" spans="2:8" hidden="1">
      <c r="B4225" s="405"/>
      <c r="C4225" s="76"/>
      <c r="D4225" s="731"/>
      <c r="E4225" s="75"/>
      <c r="F4225" s="75"/>
      <c r="G4225" s="75"/>
      <c r="H4225" s="31"/>
    </row>
    <row r="4226" spans="2:8" hidden="1">
      <c r="B4226" s="405"/>
      <c r="C4226" s="76"/>
      <c r="D4226" s="731"/>
      <c r="E4226" s="75"/>
      <c r="F4226" s="75"/>
      <c r="G4226" s="75"/>
      <c r="H4226" s="31"/>
    </row>
    <row r="4227" spans="2:8" hidden="1">
      <c r="B4227" s="33"/>
      <c r="C4227" s="31"/>
      <c r="D4227" s="31"/>
      <c r="E4227" s="200"/>
      <c r="F4227" s="200"/>
      <c r="G4227" s="75"/>
      <c r="H4227" s="31"/>
    </row>
    <row r="4228" spans="2:8" hidden="1">
      <c r="B4228" s="33"/>
      <c r="C4228" s="31"/>
      <c r="D4228" s="31"/>
      <c r="E4228" s="198"/>
      <c r="F4228" s="200"/>
      <c r="G4228" s="75"/>
      <c r="H4228" s="31"/>
    </row>
    <row r="4229" spans="2:8" hidden="1">
      <c r="B4229" s="33"/>
      <c r="C4229" s="31"/>
      <c r="D4229" s="31"/>
      <c r="E4229" s="198"/>
      <c r="F4229" s="200"/>
      <c r="G4229" s="75"/>
      <c r="H4229" s="31"/>
    </row>
    <row r="4230" spans="2:8" hidden="1">
      <c r="B4230" s="33"/>
      <c r="C4230" s="31"/>
      <c r="D4230" s="31"/>
      <c r="E4230" s="198"/>
      <c r="F4230" s="200"/>
      <c r="G4230" s="75"/>
      <c r="H4230" s="31"/>
    </row>
    <row r="4231" spans="2:8" hidden="1">
      <c r="B4231" s="33"/>
      <c r="C4231" s="30"/>
      <c r="D4231" s="30"/>
      <c r="E4231" s="30"/>
      <c r="F4231" s="200"/>
      <c r="G4231" s="75"/>
      <c r="H4231" s="31"/>
    </row>
    <row r="4232" spans="2:8" hidden="1">
      <c r="B4232" s="33"/>
      <c r="C4232" s="31"/>
      <c r="D4232" s="31"/>
      <c r="E4232" s="31"/>
      <c r="F4232" s="31"/>
      <c r="G4232" s="31"/>
      <c r="H4232" s="31"/>
    </row>
    <row r="4233" spans="2:8" hidden="1">
      <c r="B4233" s="76"/>
      <c r="C4233" s="31"/>
      <c r="D4233" s="31"/>
      <c r="E4233" s="31"/>
      <c r="F4233" s="31"/>
      <c r="G4233" s="31"/>
      <c r="H4233" s="31"/>
    </row>
    <row r="4234" spans="2:8" hidden="1">
      <c r="B4234" s="33"/>
      <c r="C4234" s="33"/>
      <c r="D4234" s="33"/>
      <c r="E4234" s="33"/>
      <c r="F4234" s="33"/>
      <c r="G4234" s="33"/>
      <c r="H4234" s="31"/>
    </row>
    <row r="4235" spans="2:8" hidden="1">
      <c r="B4235" s="33"/>
      <c r="C4235" s="31"/>
      <c r="D4235" s="33"/>
      <c r="E4235" s="33"/>
      <c r="F4235" s="33"/>
      <c r="G4235" s="33"/>
      <c r="H4235" s="31"/>
    </row>
    <row r="4236" spans="2:8" hidden="1">
      <c r="B4236" s="405"/>
      <c r="C4236" s="76"/>
      <c r="D4236" s="731"/>
      <c r="E4236" s="75"/>
      <c r="F4236" s="75"/>
      <c r="G4236" s="75"/>
      <c r="H4236" s="31"/>
    </row>
    <row r="4237" spans="2:8" hidden="1">
      <c r="B4237" s="405"/>
      <c r="C4237" s="76"/>
      <c r="D4237" s="731"/>
      <c r="E4237" s="75"/>
      <c r="F4237" s="75"/>
      <c r="G4237" s="75"/>
      <c r="H4237" s="31"/>
    </row>
    <row r="4238" spans="2:8" hidden="1">
      <c r="B4238" s="405"/>
      <c r="C4238" s="76"/>
      <c r="D4238" s="731"/>
      <c r="E4238" s="75"/>
      <c r="F4238" s="75"/>
      <c r="G4238" s="75"/>
      <c r="H4238" s="31"/>
    </row>
    <row r="4239" spans="2:8" hidden="1">
      <c r="B4239" s="405"/>
      <c r="C4239" s="76"/>
      <c r="D4239" s="731"/>
      <c r="E4239" s="75"/>
      <c r="F4239" s="75"/>
      <c r="G4239" s="75"/>
      <c r="H4239" s="31"/>
    </row>
    <row r="4240" spans="2:8" hidden="1">
      <c r="B4240" s="405"/>
      <c r="C4240" s="76"/>
      <c r="D4240" s="731"/>
      <c r="E4240" s="75"/>
      <c r="F4240" s="75"/>
      <c r="G4240" s="75"/>
      <c r="H4240" s="31"/>
    </row>
    <row r="4241" spans="2:8" hidden="1">
      <c r="B4241" s="405"/>
      <c r="C4241" s="76"/>
      <c r="D4241" s="731"/>
      <c r="E4241" s="75"/>
      <c r="F4241" s="75"/>
      <c r="G4241" s="75"/>
      <c r="H4241" s="31"/>
    </row>
    <row r="4242" spans="2:8" hidden="1">
      <c r="B4242" s="405"/>
      <c r="C4242" s="76"/>
      <c r="D4242" s="731"/>
      <c r="E4242" s="75"/>
      <c r="F4242" s="75"/>
      <c r="G4242" s="75"/>
      <c r="H4242" s="31"/>
    </row>
    <row r="4243" spans="2:8" hidden="1">
      <c r="B4243" s="405"/>
      <c r="C4243" s="76"/>
      <c r="D4243" s="731"/>
      <c r="E4243" s="75"/>
      <c r="F4243" s="75"/>
      <c r="G4243" s="75"/>
      <c r="H4243" s="31"/>
    </row>
    <row r="4244" spans="2:8" hidden="1">
      <c r="B4244" s="405"/>
      <c r="C4244" s="76"/>
      <c r="D4244" s="731"/>
      <c r="E4244" s="75"/>
      <c r="F4244" s="75"/>
      <c r="G4244" s="75"/>
      <c r="H4244" s="31"/>
    </row>
    <row r="4245" spans="2:8" hidden="1">
      <c r="B4245" s="30"/>
      <c r="C4245" s="76"/>
      <c r="D4245" s="731"/>
      <c r="E4245" s="75"/>
      <c r="F4245" s="75"/>
      <c r="G4245" s="75"/>
      <c r="H4245" s="31"/>
    </row>
    <row r="4246" spans="2:8" hidden="1">
      <c r="B4246" s="30"/>
      <c r="C4246" s="76"/>
      <c r="D4246" s="731"/>
      <c r="E4246" s="75"/>
      <c r="F4246" s="75"/>
      <c r="G4246" s="75"/>
      <c r="H4246" s="31"/>
    </row>
    <row r="4247" spans="2:8" hidden="1">
      <c r="B4247" s="30"/>
      <c r="C4247" s="76"/>
      <c r="D4247" s="731"/>
      <c r="E4247" s="75"/>
      <c r="F4247" s="75"/>
      <c r="G4247" s="75"/>
      <c r="H4247" s="31"/>
    </row>
    <row r="4248" spans="2:8" hidden="1">
      <c r="B4248" s="30"/>
      <c r="C4248" s="76"/>
      <c r="D4248" s="731"/>
      <c r="E4248" s="75"/>
      <c r="F4248" s="75"/>
      <c r="G4248" s="75"/>
      <c r="H4248" s="31"/>
    </row>
    <row r="4249" spans="2:8" hidden="1">
      <c r="B4249" s="30"/>
      <c r="C4249" s="76"/>
      <c r="D4249" s="731"/>
      <c r="E4249" s="75"/>
      <c r="F4249" s="75"/>
      <c r="G4249" s="75"/>
      <c r="H4249" s="31"/>
    </row>
    <row r="4250" spans="2:8" hidden="1">
      <c r="B4250" s="30"/>
      <c r="C4250" s="76"/>
      <c r="D4250" s="731"/>
      <c r="E4250" s="75"/>
      <c r="F4250" s="75"/>
      <c r="G4250" s="75"/>
      <c r="H4250" s="31"/>
    </row>
    <row r="4251" spans="2:8" hidden="1">
      <c r="B4251" s="33"/>
      <c r="C4251" s="31"/>
      <c r="D4251" s="31"/>
      <c r="E4251" s="200"/>
      <c r="F4251" s="200"/>
      <c r="G4251" s="75"/>
      <c r="H4251" s="31"/>
    </row>
    <row r="4252" spans="2:8" hidden="1">
      <c r="B4252" s="33"/>
      <c r="C4252" s="31"/>
      <c r="D4252" s="31"/>
      <c r="E4252" s="198"/>
      <c r="F4252" s="200"/>
      <c r="G4252" s="75"/>
      <c r="H4252" s="31"/>
    </row>
    <row r="4253" spans="2:8" hidden="1">
      <c r="B4253" s="33"/>
      <c r="C4253" s="31"/>
      <c r="D4253" s="31"/>
      <c r="E4253" s="198"/>
      <c r="F4253" s="200"/>
      <c r="G4253" s="75"/>
      <c r="H4253" s="31"/>
    </row>
    <row r="4254" spans="2:8" hidden="1">
      <c r="B4254" s="33"/>
      <c r="C4254" s="31"/>
      <c r="D4254" s="31"/>
      <c r="E4254" s="198"/>
      <c r="F4254" s="200"/>
      <c r="G4254" s="75"/>
      <c r="H4254" s="31"/>
    </row>
    <row r="4255" spans="2:8" hidden="1">
      <c r="B4255" s="33"/>
      <c r="C4255" s="31"/>
      <c r="D4255" s="31"/>
      <c r="E4255" s="198"/>
      <c r="F4255" s="200"/>
      <c r="G4255" s="75"/>
      <c r="H4255" s="31"/>
    </row>
    <row r="4256" spans="2:8" hidden="1">
      <c r="B4256" s="33"/>
      <c r="C4256" s="31"/>
      <c r="D4256" s="31"/>
      <c r="E4256" s="198"/>
      <c r="F4256" s="200"/>
      <c r="G4256" s="75"/>
      <c r="H4256" s="31"/>
    </row>
    <row r="4257" spans="2:8" hidden="1">
      <c r="B4257" s="33"/>
      <c r="C4257" s="200"/>
      <c r="D4257" s="30"/>
      <c r="E4257" s="30"/>
      <c r="F4257" s="200"/>
      <c r="G4257" s="75"/>
      <c r="H4257" s="31"/>
    </row>
    <row r="4258" spans="2:8" hidden="1">
      <c r="B4258" s="33"/>
      <c r="C4258" s="31"/>
      <c r="D4258" s="31"/>
      <c r="E4258" s="31"/>
      <c r="F4258" s="31"/>
      <c r="G4258" s="31"/>
      <c r="H4258" s="31"/>
    </row>
    <row r="4259" spans="2:8" hidden="1">
      <c r="B4259" s="33"/>
      <c r="C4259" s="31"/>
      <c r="D4259" s="31"/>
      <c r="E4259" s="31"/>
      <c r="F4259" s="31"/>
      <c r="G4259" s="31"/>
      <c r="H4259" s="31"/>
    </row>
    <row r="4260" spans="2:8" hidden="1">
      <c r="B4260" s="33"/>
      <c r="C4260" s="31"/>
      <c r="D4260" s="31"/>
      <c r="E4260" s="31"/>
      <c r="F4260" s="200"/>
      <c r="G4260" s="75"/>
      <c r="H4260" s="31"/>
    </row>
    <row r="4261" spans="2:8" hidden="1">
      <c r="B4261" s="33"/>
      <c r="C4261" s="31"/>
      <c r="D4261" s="31"/>
      <c r="E4261" s="31"/>
      <c r="F4261" s="200"/>
      <c r="G4261" s="75"/>
      <c r="H4261" s="31"/>
    </row>
    <row r="4262" spans="2:8" hidden="1">
      <c r="B4262" s="33"/>
      <c r="C4262" s="31"/>
      <c r="D4262" s="31"/>
      <c r="E4262" s="31"/>
      <c r="F4262" s="200"/>
      <c r="G4262" s="75"/>
      <c r="H4262" s="31"/>
    </row>
    <row r="4263" spans="2:8" hidden="1">
      <c r="B4263" s="33"/>
      <c r="C4263" s="31"/>
      <c r="D4263" s="31"/>
      <c r="E4263" s="200"/>
      <c r="F4263" s="200"/>
      <c r="G4263" s="75"/>
      <c r="H4263" s="31"/>
    </row>
    <row r="4264" spans="2:8" hidden="1">
      <c r="B4264" s="33"/>
      <c r="C4264" s="31"/>
      <c r="D4264" s="31"/>
      <c r="E4264" s="301"/>
      <c r="F4264" s="200"/>
      <c r="G4264" s="75"/>
      <c r="H4264" s="31"/>
    </row>
    <row r="4265" spans="2:8" hidden="1">
      <c r="B4265" s="33"/>
      <c r="C4265" s="31"/>
      <c r="D4265" s="31"/>
      <c r="E4265" s="767"/>
      <c r="F4265" s="200"/>
      <c r="G4265" s="75"/>
      <c r="H4265" s="31"/>
    </row>
    <row r="4266" spans="2:8" hidden="1">
      <c r="B4266" s="33"/>
      <c r="C4266" s="31"/>
      <c r="D4266" s="31"/>
      <c r="E4266" s="767"/>
      <c r="F4266" s="200"/>
      <c r="G4266" s="75"/>
      <c r="H4266" s="31"/>
    </row>
    <row r="4267" spans="2:8" hidden="1">
      <c r="B4267" s="33"/>
      <c r="C4267" s="31"/>
      <c r="D4267" s="31"/>
      <c r="E4267" s="767"/>
      <c r="F4267" s="200"/>
      <c r="G4267" s="75"/>
      <c r="H4267" s="31"/>
    </row>
    <row r="4268" spans="2:8" hidden="1">
      <c r="B4268" s="33"/>
      <c r="C4268" s="31"/>
      <c r="D4268" s="31"/>
      <c r="E4268" s="767"/>
      <c r="F4268" s="200"/>
      <c r="G4268" s="75"/>
      <c r="H4268" s="31"/>
    </row>
    <row r="4269" spans="2:8" hidden="1">
      <c r="B4269" s="33"/>
      <c r="C4269" s="31"/>
      <c r="D4269" s="75"/>
      <c r="E4269" s="767"/>
      <c r="F4269" s="200"/>
      <c r="G4269" s="75"/>
      <c r="H4269" s="31"/>
    </row>
    <row r="4270" spans="2:8" hidden="1">
      <c r="B4270" s="33"/>
      <c r="C4270" s="31"/>
      <c r="D4270" s="31"/>
      <c r="E4270" s="767"/>
      <c r="F4270" s="200"/>
      <c r="G4270" s="75"/>
      <c r="H4270" s="31"/>
    </row>
    <row r="4271" spans="2:8" hidden="1">
      <c r="B4271" s="33"/>
      <c r="C4271" s="31"/>
      <c r="D4271" s="31"/>
      <c r="E4271" s="200"/>
      <c r="F4271" s="200"/>
      <c r="G4271" s="75"/>
      <c r="H4271" s="31"/>
    </row>
    <row r="4272" spans="2:8" hidden="1">
      <c r="B4272" s="33"/>
      <c r="C4272" s="31"/>
      <c r="D4272" s="31"/>
      <c r="E4272" s="200"/>
      <c r="F4272" s="200"/>
      <c r="G4272" s="31"/>
      <c r="H4272" s="31"/>
    </row>
    <row r="4273" spans="2:8" hidden="1">
      <c r="B4273" s="33"/>
      <c r="C4273" s="31"/>
      <c r="D4273" s="75"/>
      <c r="E4273" s="76"/>
      <c r="F4273" s="200"/>
      <c r="G4273" s="75"/>
      <c r="H4273" s="31"/>
    </row>
    <row r="4274" spans="2:8" hidden="1">
      <c r="B4274" s="33"/>
      <c r="C4274" s="31"/>
      <c r="D4274" s="198"/>
      <c r="E4274" s="198"/>
      <c r="F4274" s="200"/>
      <c r="G4274" s="75"/>
      <c r="H4274" s="31"/>
    </row>
    <row r="4275" spans="2:8" hidden="1">
      <c r="B4275" s="33"/>
      <c r="C4275" s="31"/>
      <c r="D4275" s="768"/>
      <c r="E4275" s="31"/>
      <c r="F4275" s="200"/>
      <c r="G4275" s="75"/>
      <c r="H4275" s="31"/>
    </row>
    <row r="4276" spans="2:8" hidden="1">
      <c r="B4276" s="33"/>
      <c r="C4276" s="31"/>
      <c r="D4276" s="200"/>
      <c r="E4276" s="31"/>
      <c r="F4276" s="200"/>
      <c r="G4276" s="75"/>
      <c r="H4276" s="31"/>
    </row>
    <row r="4277" spans="2:8" hidden="1">
      <c r="B4277" s="33"/>
      <c r="C4277" s="31"/>
      <c r="D4277" s="31"/>
      <c r="E4277" s="31"/>
      <c r="F4277" s="31"/>
      <c r="G4277" s="31"/>
      <c r="H4277" s="31"/>
    </row>
    <row r="4278" spans="2:8" hidden="1">
      <c r="B4278" s="33"/>
      <c r="C4278" s="31"/>
      <c r="D4278" s="31"/>
      <c r="E4278" s="31"/>
      <c r="F4278" s="31"/>
      <c r="G4278" s="31"/>
      <c r="H4278" s="31"/>
    </row>
    <row r="4279" spans="2:8" hidden="1">
      <c r="B4279" s="33"/>
      <c r="C4279" s="31"/>
      <c r="D4279" s="33"/>
      <c r="E4279" s="31"/>
      <c r="F4279" s="200"/>
      <c r="G4279" s="76"/>
      <c r="H4279" s="31"/>
    </row>
    <row r="4280" spans="2:8" hidden="1">
      <c r="B4280" s="33"/>
      <c r="C4280" s="31"/>
      <c r="D4280" s="31"/>
      <c r="E4280" s="31"/>
      <c r="F4280" s="31"/>
      <c r="G4280" s="31"/>
      <c r="H4280" s="31"/>
    </row>
    <row r="4281" spans="2:8" hidden="1">
      <c r="B4281" s="33"/>
      <c r="C4281" s="31"/>
      <c r="D4281" s="31"/>
      <c r="E4281" s="31"/>
      <c r="F4281" s="31"/>
      <c r="G4281" s="31"/>
      <c r="H4281" s="31"/>
    </row>
    <row r="4282" spans="2:8" hidden="1">
      <c r="B4282" s="33"/>
      <c r="C4282" s="31"/>
      <c r="D4282" s="31"/>
      <c r="E4282" s="31"/>
      <c r="F4282" s="31"/>
      <c r="G4282" s="31"/>
      <c r="H4282" s="31"/>
    </row>
    <row r="4283" spans="2:8" hidden="1">
      <c r="B4283" s="33"/>
      <c r="C4283" s="31"/>
      <c r="D4283" s="31"/>
      <c r="E4283" s="31"/>
      <c r="F4283" s="31"/>
      <c r="G4283" s="31"/>
      <c r="H4283" s="31"/>
    </row>
    <row r="4284" spans="2:8" hidden="1">
      <c r="B4284" s="33"/>
      <c r="C4284" s="31"/>
      <c r="D4284" s="31"/>
      <c r="E4284" s="31"/>
      <c r="F4284" s="31"/>
      <c r="G4284" s="31"/>
      <c r="H4284" s="31"/>
    </row>
    <row r="4285" spans="2:8" hidden="1">
      <c r="B4285" s="33"/>
      <c r="C4285" s="31"/>
      <c r="D4285" s="31"/>
      <c r="E4285" s="31"/>
      <c r="F4285" s="31"/>
      <c r="G4285" s="31"/>
      <c r="H4285" s="31"/>
    </row>
    <row r="4286" spans="2:8" hidden="1">
      <c r="B4286" s="33"/>
      <c r="C4286" s="31"/>
      <c r="D4286" s="31"/>
      <c r="E4286" s="31"/>
      <c r="F4286" s="31"/>
      <c r="G4286" s="31"/>
      <c r="H4286" s="31"/>
    </row>
    <row r="4287" spans="2:8" hidden="1">
      <c r="B4287" s="33"/>
      <c r="C4287" s="31"/>
      <c r="D4287" s="31"/>
      <c r="E4287" s="31"/>
      <c r="F4287" s="31"/>
      <c r="G4287" s="31"/>
      <c r="H4287" s="31"/>
    </row>
    <row r="4288" spans="2:8" hidden="1">
      <c r="B4288" s="33"/>
      <c r="C4288" s="31"/>
      <c r="D4288" s="31"/>
      <c r="E4288" s="31"/>
      <c r="F4288" s="31"/>
      <c r="G4288" s="31"/>
      <c r="H4288" s="31"/>
    </row>
    <row r="4289" spans="2:8" hidden="1">
      <c r="B4289" s="33"/>
      <c r="C4289" s="31"/>
      <c r="D4289" s="31"/>
      <c r="E4289" s="31"/>
      <c r="F4289" s="31"/>
      <c r="G4289" s="31"/>
      <c r="H4289" s="31"/>
    </row>
    <row r="4290" spans="2:8" hidden="1">
      <c r="B4290" s="33"/>
      <c r="C4290" s="31"/>
      <c r="D4290" s="31"/>
      <c r="E4290" s="31"/>
      <c r="F4290" s="31"/>
      <c r="G4290" s="31"/>
      <c r="H4290" s="31"/>
    </row>
    <row r="4291" spans="2:8" hidden="1">
      <c r="B4291" s="33"/>
      <c r="C4291" s="31"/>
      <c r="D4291" s="31"/>
      <c r="E4291" s="31"/>
      <c r="F4291" s="31"/>
      <c r="G4291" s="31"/>
      <c r="H4291" s="31"/>
    </row>
    <row r="4292" spans="2:8" hidden="1">
      <c r="B4292" s="33"/>
      <c r="C4292" s="31"/>
      <c r="D4292" s="31"/>
      <c r="E4292" s="31"/>
      <c r="F4292" s="31"/>
      <c r="G4292" s="31"/>
      <c r="H4292" s="31"/>
    </row>
    <row r="4293" spans="2:8" hidden="1">
      <c r="B4293" s="33"/>
      <c r="C4293" s="31"/>
      <c r="D4293" s="31"/>
      <c r="E4293" s="31"/>
      <c r="F4293" s="31"/>
      <c r="G4293" s="31"/>
      <c r="H4293" s="31"/>
    </row>
    <row r="4294" spans="2:8" hidden="1">
      <c r="B4294" s="33"/>
      <c r="C4294" s="31"/>
      <c r="D4294" s="31"/>
      <c r="E4294" s="31"/>
      <c r="F4294" s="31"/>
      <c r="G4294" s="31"/>
      <c r="H4294" s="31"/>
    </row>
    <row r="4295" spans="2:8" hidden="1">
      <c r="B4295" s="33"/>
      <c r="C4295" s="31"/>
      <c r="D4295" s="31"/>
      <c r="E4295" s="31"/>
      <c r="F4295" s="31"/>
      <c r="G4295" s="31"/>
      <c r="H4295" s="31"/>
    </row>
    <row r="4296" spans="2:8" hidden="1">
      <c r="B4296" s="33"/>
      <c r="C4296" s="31"/>
      <c r="D4296" s="31"/>
      <c r="E4296" s="31"/>
      <c r="F4296" s="691"/>
      <c r="G4296" s="75"/>
      <c r="H4296" s="31"/>
    </row>
    <row r="4297" spans="2:8" hidden="1">
      <c r="B4297" s="33"/>
      <c r="C4297" s="31"/>
      <c r="D4297" s="31"/>
      <c r="E4297" s="31"/>
      <c r="F4297" s="691"/>
      <c r="G4297" s="75"/>
      <c r="H4297" s="31"/>
    </row>
    <row r="4298" spans="2:8" hidden="1">
      <c r="B4298" s="33"/>
      <c r="C4298" s="31"/>
      <c r="D4298" s="31"/>
      <c r="E4298" s="200"/>
      <c r="F4298" s="691"/>
      <c r="G4298" s="75"/>
      <c r="H4298" s="31"/>
    </row>
    <row r="4299" spans="2:8" hidden="1">
      <c r="B4299" s="33"/>
      <c r="C4299" s="31"/>
      <c r="D4299" s="31"/>
      <c r="E4299" s="200"/>
      <c r="F4299" s="691"/>
      <c r="G4299" s="75"/>
      <c r="H4299" s="31"/>
    </row>
    <row r="4300" spans="2:8" hidden="1">
      <c r="B4300" s="33"/>
      <c r="C4300" s="31"/>
      <c r="D4300" s="31"/>
      <c r="E4300" s="200"/>
      <c r="F4300" s="691"/>
      <c r="G4300" s="75"/>
      <c r="H4300" s="31"/>
    </row>
    <row r="4301" spans="2:8" hidden="1">
      <c r="B4301" s="33"/>
      <c r="C4301" s="31"/>
      <c r="D4301" s="31"/>
      <c r="E4301" s="31"/>
      <c r="F4301" s="691"/>
      <c r="G4301" s="75"/>
      <c r="H4301" s="31"/>
    </row>
    <row r="4302" spans="2:8" hidden="1">
      <c r="B4302" s="33"/>
      <c r="C4302" s="31"/>
      <c r="D4302" s="31"/>
      <c r="E4302" s="31"/>
      <c r="F4302" s="691"/>
      <c r="G4302" s="31"/>
      <c r="H4302" s="31"/>
    </row>
    <row r="4303" spans="2:8" hidden="1">
      <c r="B4303" s="33"/>
      <c r="C4303" s="31"/>
      <c r="D4303" s="31"/>
      <c r="E4303" s="31"/>
      <c r="F4303" s="691"/>
      <c r="G4303" s="31"/>
      <c r="H4303" s="31"/>
    </row>
    <row r="4304" spans="2:8" hidden="1">
      <c r="B4304" s="200"/>
      <c r="C4304" s="31"/>
      <c r="D4304" s="31"/>
      <c r="E4304" s="31"/>
      <c r="F4304" s="691"/>
      <c r="G4304" s="31"/>
      <c r="H4304" s="31"/>
    </row>
    <row r="4305" spans="2:8" hidden="1">
      <c r="B4305" s="200"/>
      <c r="C4305" s="31"/>
      <c r="D4305" s="31"/>
      <c r="E4305" s="31"/>
      <c r="F4305" s="691"/>
      <c r="G4305" s="31"/>
      <c r="H4305" s="31"/>
    </row>
    <row r="4306" spans="2:8" hidden="1">
      <c r="B4306" s="200"/>
      <c r="C4306" s="31"/>
      <c r="D4306" s="31"/>
      <c r="E4306" s="31"/>
      <c r="F4306" s="691"/>
      <c r="G4306" s="31"/>
      <c r="H4306" s="31"/>
    </row>
    <row r="4307" spans="2:8" hidden="1">
      <c r="B4307" s="200"/>
      <c r="C4307" s="31"/>
      <c r="D4307" s="31"/>
      <c r="E4307" s="31"/>
      <c r="F4307" s="691"/>
      <c r="G4307" s="31"/>
      <c r="H4307" s="31"/>
    </row>
    <row r="4308" spans="2:8" hidden="1">
      <c r="B4308" s="200"/>
      <c r="C4308" s="31"/>
      <c r="D4308" s="31"/>
      <c r="E4308" s="31"/>
      <c r="F4308" s="691"/>
      <c r="G4308" s="31"/>
      <c r="H4308" s="31"/>
    </row>
    <row r="4309" spans="2:8" hidden="1">
      <c r="B4309" s="200"/>
      <c r="C4309" s="31"/>
      <c r="D4309" s="31"/>
      <c r="E4309" s="31"/>
      <c r="F4309" s="691"/>
      <c r="G4309" s="31"/>
      <c r="H4309" s="31"/>
    </row>
    <row r="4310" spans="2:8" hidden="1">
      <c r="B4310" s="200"/>
      <c r="C4310" s="31"/>
      <c r="D4310" s="31"/>
      <c r="E4310" s="31"/>
      <c r="F4310" s="691"/>
      <c r="G4310" s="31"/>
      <c r="H4310" s="31"/>
    </row>
    <row r="4311" spans="2:8" hidden="1">
      <c r="B4311" s="200"/>
      <c r="C4311" s="31"/>
      <c r="D4311" s="31"/>
      <c r="E4311" s="31"/>
      <c r="F4311" s="691"/>
      <c r="G4311" s="31"/>
      <c r="H4311" s="31"/>
    </row>
    <row r="4312" spans="2:8" hidden="1">
      <c r="B4312" s="200"/>
      <c r="C4312" s="31"/>
      <c r="D4312" s="31"/>
      <c r="E4312" s="31"/>
      <c r="F4312" s="691"/>
      <c r="G4312" s="31"/>
      <c r="H4312" s="31"/>
    </row>
    <row r="4313" spans="2:8" hidden="1">
      <c r="B4313" s="200"/>
      <c r="C4313" s="31"/>
      <c r="D4313" s="31"/>
      <c r="E4313" s="31"/>
      <c r="F4313" s="691"/>
      <c r="G4313" s="31"/>
      <c r="H4313" s="31"/>
    </row>
    <row r="4314" spans="2:8" hidden="1">
      <c r="B4314" s="200"/>
      <c r="C4314" s="31"/>
      <c r="D4314" s="31"/>
      <c r="E4314" s="31"/>
      <c r="F4314" s="691"/>
      <c r="G4314" s="31"/>
      <c r="H4314" s="31"/>
    </row>
    <row r="4315" spans="2:8" hidden="1">
      <c r="B4315" s="33"/>
      <c r="C4315" s="31"/>
      <c r="D4315" s="31"/>
      <c r="E4315" s="31"/>
      <c r="F4315" s="691"/>
      <c r="G4315" s="31"/>
      <c r="H4315" s="31"/>
    </row>
    <row r="4316" spans="2:8" hidden="1">
      <c r="B4316" s="33"/>
      <c r="C4316" s="31"/>
      <c r="D4316" s="31"/>
      <c r="E4316" s="31"/>
      <c r="F4316" s="691"/>
      <c r="G4316" s="31"/>
      <c r="H4316" s="31"/>
    </row>
    <row r="4317" spans="2:8" hidden="1">
      <c r="B4317" s="33"/>
      <c r="C4317" s="31"/>
      <c r="D4317" s="31"/>
      <c r="E4317" s="31"/>
      <c r="F4317" s="691"/>
      <c r="G4317" s="31"/>
      <c r="H4317" s="31"/>
    </row>
    <row r="4318" spans="2:8" hidden="1">
      <c r="B4318" s="33"/>
      <c r="C4318" s="31"/>
      <c r="D4318" s="31"/>
      <c r="E4318" s="200"/>
      <c r="F4318" s="691"/>
      <c r="G4318" s="31"/>
      <c r="H4318" s="31"/>
    </row>
    <row r="4319" spans="2:8" hidden="1">
      <c r="B4319" s="33"/>
      <c r="C4319" s="31"/>
      <c r="D4319" s="31"/>
      <c r="E4319" s="31"/>
      <c r="F4319" s="691"/>
      <c r="G4319" s="31"/>
      <c r="H4319" s="31"/>
    </row>
    <row r="4320" spans="2:8" hidden="1">
      <c r="B4320" s="33"/>
      <c r="C4320" s="31"/>
      <c r="D4320" s="31"/>
      <c r="E4320" s="31"/>
      <c r="F4320" s="691"/>
      <c r="G4320" s="31"/>
      <c r="H4320" s="31"/>
    </row>
    <row r="4321" spans="2:8" hidden="1">
      <c r="B4321" s="33"/>
      <c r="C4321" s="31"/>
      <c r="D4321" s="31"/>
      <c r="E4321" s="31"/>
      <c r="F4321" s="691"/>
      <c r="G4321" s="31"/>
      <c r="H4321" s="31"/>
    </row>
    <row r="4322" spans="2:8" hidden="1">
      <c r="B4322" s="33"/>
      <c r="C4322" s="31"/>
      <c r="D4322" s="31"/>
      <c r="E4322" s="31"/>
      <c r="F4322" s="691"/>
      <c r="G4322" s="31"/>
      <c r="H4322" s="31"/>
    </row>
    <row r="4323" spans="2:8" hidden="1">
      <c r="B4323" s="33"/>
      <c r="C4323" s="31"/>
      <c r="D4323" s="31"/>
      <c r="E4323" s="31"/>
      <c r="F4323" s="691"/>
      <c r="G4323" s="31"/>
      <c r="H4323" s="31"/>
    </row>
    <row r="4324" spans="2:8" hidden="1">
      <c r="B4324" s="33"/>
      <c r="C4324" s="31"/>
      <c r="D4324" s="31"/>
      <c r="E4324" s="31"/>
      <c r="F4324" s="691"/>
      <c r="G4324" s="31"/>
      <c r="H4324" s="31"/>
    </row>
    <row r="4325" spans="2:8" hidden="1">
      <c r="B4325" s="33"/>
      <c r="C4325" s="31"/>
      <c r="D4325" s="31"/>
      <c r="E4325" s="31"/>
      <c r="F4325" s="691"/>
      <c r="G4325" s="31"/>
      <c r="H4325" s="31"/>
    </row>
    <row r="4326" spans="2:8" hidden="1">
      <c r="B4326" s="33"/>
      <c r="C4326" s="31"/>
      <c r="D4326" s="31"/>
      <c r="E4326" s="31"/>
      <c r="F4326" s="691"/>
      <c r="G4326" s="31"/>
      <c r="H4326" s="31"/>
    </row>
    <row r="4327" spans="2:8" hidden="1">
      <c r="B4327" s="33"/>
      <c r="C4327" s="31"/>
      <c r="D4327" s="31"/>
      <c r="E4327" s="31"/>
      <c r="F4327" s="691"/>
      <c r="G4327" s="31"/>
      <c r="H4327" s="31"/>
    </row>
    <row r="4328" spans="2:8" hidden="1">
      <c r="B4328" s="33"/>
      <c r="C4328" s="31"/>
      <c r="D4328" s="31"/>
      <c r="E4328" s="31"/>
      <c r="F4328" s="691"/>
      <c r="G4328" s="31"/>
      <c r="H4328" s="31"/>
    </row>
    <row r="4329" spans="2:8" hidden="1">
      <c r="B4329" s="33"/>
      <c r="C4329" s="31"/>
      <c r="D4329" s="31"/>
      <c r="E4329" s="31"/>
      <c r="F4329" s="691"/>
      <c r="G4329" s="31"/>
      <c r="H4329" s="31"/>
    </row>
    <row r="4330" spans="2:8" hidden="1">
      <c r="B4330" s="33"/>
      <c r="C4330" s="31"/>
      <c r="D4330" s="31"/>
      <c r="E4330" s="31"/>
      <c r="F4330" s="691"/>
      <c r="G4330" s="31"/>
      <c r="H4330" s="31"/>
    </row>
    <row r="4331" spans="2:8" hidden="1">
      <c r="B4331" s="33"/>
      <c r="C4331" s="31"/>
      <c r="D4331" s="31"/>
      <c r="E4331" s="31"/>
      <c r="F4331" s="691"/>
      <c r="G4331" s="31"/>
      <c r="H4331" s="31"/>
    </row>
    <row r="4332" spans="2:8" hidden="1">
      <c r="B4332" s="33"/>
      <c r="C4332" s="31"/>
      <c r="D4332" s="31"/>
      <c r="E4332" s="31"/>
      <c r="F4332" s="691"/>
      <c r="G4332" s="31"/>
      <c r="H4332" s="31"/>
    </row>
    <row r="4333" spans="2:8" hidden="1">
      <c r="B4333" s="33"/>
      <c r="C4333" s="31"/>
      <c r="D4333" s="31"/>
      <c r="E4333" s="31"/>
      <c r="F4333" s="691"/>
      <c r="G4333" s="31"/>
      <c r="H4333" s="31"/>
    </row>
    <row r="4334" spans="2:8" hidden="1">
      <c r="B4334" s="33"/>
      <c r="C4334" s="31"/>
      <c r="D4334" s="31"/>
      <c r="E4334" s="200"/>
      <c r="F4334" s="691"/>
      <c r="G4334" s="31"/>
      <c r="H4334" s="31"/>
    </row>
    <row r="4335" spans="2:8" hidden="1">
      <c r="B4335" s="33"/>
      <c r="C4335" s="31"/>
      <c r="D4335" s="31"/>
      <c r="E4335" s="31"/>
      <c r="F4335" s="691"/>
      <c r="G4335" s="31"/>
      <c r="H4335" s="31"/>
    </row>
    <row r="4336" spans="2:8" hidden="1">
      <c r="B4336" s="33"/>
      <c r="C4336" s="31"/>
      <c r="D4336" s="31"/>
      <c r="E4336" s="31"/>
      <c r="F4336" s="691"/>
      <c r="G4336" s="31"/>
      <c r="H4336" s="31"/>
    </row>
    <row r="4337" spans="2:8" hidden="1">
      <c r="B4337" s="33"/>
      <c r="C4337" s="31"/>
      <c r="D4337" s="31"/>
      <c r="E4337" s="31"/>
      <c r="F4337" s="691"/>
      <c r="G4337" s="31"/>
      <c r="H4337" s="31"/>
    </row>
    <row r="4338" spans="2:8" hidden="1">
      <c r="B4338" s="33"/>
      <c r="C4338" s="31"/>
      <c r="D4338" s="31"/>
      <c r="E4338" s="31"/>
      <c r="F4338" s="691"/>
      <c r="G4338" s="31"/>
      <c r="H4338" s="31"/>
    </row>
    <row r="4339" spans="2:8" hidden="1">
      <c r="B4339" s="33"/>
      <c r="C4339" s="31"/>
      <c r="D4339" s="31"/>
      <c r="E4339" s="31"/>
      <c r="F4339" s="691"/>
      <c r="G4339" s="31"/>
      <c r="H4339" s="31"/>
    </row>
    <row r="4340" spans="2:8" hidden="1">
      <c r="B4340" s="33"/>
      <c r="C4340" s="31"/>
      <c r="D4340" s="31"/>
      <c r="E4340" s="31"/>
      <c r="F4340" s="691"/>
      <c r="G4340" s="31"/>
      <c r="H4340" s="31"/>
    </row>
    <row r="4341" spans="2:8" hidden="1">
      <c r="B4341" s="33"/>
      <c r="C4341" s="31"/>
      <c r="D4341" s="31"/>
      <c r="E4341" s="31"/>
      <c r="F4341" s="691"/>
      <c r="G4341" s="31"/>
      <c r="H4341" s="31"/>
    </row>
    <row r="4342" spans="2:8" hidden="1">
      <c r="B4342" s="33"/>
      <c r="C4342" s="31"/>
      <c r="D4342" s="31"/>
      <c r="E4342" s="31"/>
      <c r="F4342" s="691"/>
      <c r="G4342" s="31"/>
      <c r="H4342" s="31"/>
    </row>
    <row r="4343" spans="2:8" hidden="1">
      <c r="B4343" s="33"/>
      <c r="C4343" s="31"/>
      <c r="D4343" s="31"/>
      <c r="E4343" s="31"/>
      <c r="F4343" s="691"/>
      <c r="G4343" s="31"/>
      <c r="H4343" s="31"/>
    </row>
    <row r="4344" spans="2:8" hidden="1">
      <c r="B4344" s="33"/>
      <c r="C4344" s="31"/>
      <c r="D4344" s="31"/>
      <c r="E4344" s="31"/>
      <c r="F4344" s="691"/>
      <c r="G4344" s="31"/>
      <c r="H4344" s="31"/>
    </row>
    <row r="4345" spans="2:8" hidden="1">
      <c r="B4345" s="33"/>
      <c r="C4345" s="31"/>
      <c r="D4345" s="31"/>
      <c r="E4345" s="31"/>
      <c r="F4345" s="691"/>
      <c r="G4345" s="31"/>
      <c r="H4345" s="31"/>
    </row>
    <row r="4346" spans="2:8" hidden="1">
      <c r="B4346" s="33"/>
      <c r="C4346" s="31"/>
      <c r="D4346" s="31"/>
      <c r="E4346" s="31"/>
      <c r="F4346" s="691"/>
      <c r="G4346" s="31"/>
      <c r="H4346" s="31"/>
    </row>
    <row r="4347" spans="2:8" hidden="1">
      <c r="B4347" s="33"/>
      <c r="C4347" s="31"/>
      <c r="D4347" s="31"/>
      <c r="E4347" s="31"/>
      <c r="F4347" s="691"/>
      <c r="G4347" s="31"/>
      <c r="H4347" s="31"/>
    </row>
    <row r="4348" spans="2:8" hidden="1">
      <c r="B4348" s="33"/>
      <c r="C4348" s="31"/>
      <c r="D4348" s="31"/>
      <c r="E4348" s="31"/>
      <c r="F4348" s="31"/>
      <c r="G4348" s="31"/>
      <c r="H4348" s="31"/>
    </row>
    <row r="4349" spans="2:8" hidden="1">
      <c r="B4349" s="33"/>
      <c r="C4349" s="31"/>
      <c r="D4349" s="31"/>
      <c r="E4349" s="31"/>
      <c r="F4349" s="31"/>
      <c r="G4349" s="31"/>
      <c r="H4349" s="31"/>
    </row>
    <row r="4350" spans="2:8" hidden="1">
      <c r="B4350" s="33"/>
      <c r="C4350" s="31"/>
      <c r="D4350" s="31"/>
      <c r="E4350" s="31"/>
      <c r="F4350" s="31"/>
      <c r="G4350" s="31"/>
      <c r="H4350" s="31"/>
    </row>
    <row r="4351" spans="2:8" hidden="1">
      <c r="B4351" s="33"/>
      <c r="C4351" s="31"/>
      <c r="D4351" s="31"/>
      <c r="E4351" s="31"/>
      <c r="F4351" s="31"/>
      <c r="G4351" s="31"/>
      <c r="H4351" s="31"/>
    </row>
    <row r="4352" spans="2:8" hidden="1">
      <c r="B4352" s="33"/>
      <c r="C4352" s="31"/>
      <c r="D4352" s="31"/>
      <c r="E4352" s="31"/>
      <c r="F4352" s="31"/>
      <c r="G4352" s="31"/>
      <c r="H4352" s="31"/>
    </row>
    <row r="4353" spans="2:8" hidden="1">
      <c r="B4353" s="33"/>
      <c r="C4353" s="31"/>
      <c r="D4353" s="31"/>
      <c r="E4353" s="31"/>
      <c r="F4353" s="31"/>
      <c r="G4353" s="31"/>
      <c r="H4353" s="31"/>
    </row>
    <row r="4354" spans="2:8" hidden="1">
      <c r="B4354" s="33"/>
      <c r="C4354" s="31"/>
      <c r="D4354" s="31"/>
      <c r="E4354" s="31"/>
      <c r="F4354" s="31"/>
      <c r="G4354" s="31"/>
      <c r="H4354" s="31"/>
    </row>
    <row r="4355" spans="2:8" hidden="1">
      <c r="B4355" s="33"/>
      <c r="C4355" s="31"/>
      <c r="D4355" s="31"/>
      <c r="E4355" s="31"/>
      <c r="F4355" s="31"/>
      <c r="G4355" s="31"/>
      <c r="H4355" s="31"/>
    </row>
    <row r="4356" spans="2:8" hidden="1">
      <c r="B4356" s="33"/>
      <c r="C4356" s="31"/>
      <c r="D4356" s="31"/>
      <c r="E4356" s="31"/>
      <c r="F4356" s="31"/>
      <c r="G4356" s="31"/>
      <c r="H4356" s="31"/>
    </row>
    <row r="4357" spans="2:8" hidden="1">
      <c r="B4357" s="33"/>
      <c r="C4357" s="31"/>
      <c r="D4357" s="31"/>
      <c r="E4357" s="31"/>
      <c r="F4357" s="33"/>
      <c r="G4357" s="31"/>
      <c r="H4357" s="31"/>
    </row>
    <row r="4358" spans="2:8" hidden="1">
      <c r="B4358" s="33"/>
      <c r="C4358" s="31"/>
      <c r="D4358" s="33"/>
      <c r="E4358" s="33"/>
      <c r="F4358" s="33"/>
      <c r="G4358" s="33"/>
      <c r="H4358" s="31"/>
    </row>
    <row r="4359" spans="2:8" hidden="1">
      <c r="B4359" s="33"/>
      <c r="C4359" s="31"/>
      <c r="D4359" s="33"/>
      <c r="E4359" s="33"/>
      <c r="F4359" s="33"/>
      <c r="G4359" s="33"/>
      <c r="H4359" s="31"/>
    </row>
    <row r="4360" spans="2:8" hidden="1">
      <c r="B4360" s="33"/>
      <c r="C4360" s="31"/>
      <c r="D4360" s="33"/>
      <c r="E4360" s="33"/>
      <c r="F4360" s="33"/>
      <c r="G4360" s="33"/>
      <c r="H4360" s="31"/>
    </row>
    <row r="4361" spans="2:8" hidden="1">
      <c r="B4361" s="33"/>
      <c r="C4361" s="31"/>
      <c r="D4361" s="33"/>
      <c r="E4361" s="33"/>
      <c r="F4361" s="33"/>
      <c r="G4361" s="33"/>
      <c r="H4361" s="31"/>
    </row>
    <row r="4362" spans="2:8" hidden="1">
      <c r="B4362" s="33"/>
      <c r="C4362" s="31"/>
      <c r="D4362" s="33"/>
      <c r="E4362" s="33"/>
      <c r="F4362" s="33"/>
      <c r="G4362" s="33"/>
      <c r="H4362" s="31"/>
    </row>
    <row r="4363" spans="2:8" hidden="1">
      <c r="B4363" s="33"/>
      <c r="C4363" s="31"/>
      <c r="D4363" s="33"/>
      <c r="E4363" s="33"/>
      <c r="F4363" s="33"/>
      <c r="G4363" s="33"/>
      <c r="H4363" s="31"/>
    </row>
    <row r="4364" spans="2:8" hidden="1">
      <c r="B4364" s="33"/>
      <c r="C4364" s="31"/>
      <c r="D4364" s="33"/>
      <c r="E4364" s="33"/>
      <c r="F4364" s="33"/>
      <c r="G4364" s="33"/>
      <c r="H4364" s="31"/>
    </row>
    <row r="4365" spans="2:8" hidden="1">
      <c r="B4365" s="33"/>
      <c r="C4365" s="33"/>
      <c r="D4365" s="33"/>
      <c r="E4365" s="33"/>
      <c r="F4365" s="33"/>
      <c r="G4365" s="33"/>
      <c r="H4365" s="31"/>
    </row>
    <row r="4366" spans="2:8" hidden="1">
      <c r="B4366" s="33"/>
      <c r="C4366" s="31"/>
      <c r="D4366" s="31"/>
      <c r="E4366" s="31"/>
      <c r="F4366" s="31"/>
      <c r="G4366" s="31"/>
      <c r="H4366" s="31"/>
    </row>
    <row r="4367" spans="2:8" hidden="1">
      <c r="B4367" s="33"/>
      <c r="C4367" s="31"/>
      <c r="D4367" s="31"/>
      <c r="E4367" s="31"/>
      <c r="F4367" s="31"/>
      <c r="G4367" s="31"/>
      <c r="H4367" s="31"/>
    </row>
    <row r="4368" spans="2:8" hidden="1">
      <c r="B4368" s="33"/>
      <c r="C4368" s="31"/>
      <c r="D4368" s="31"/>
      <c r="E4368" s="31"/>
      <c r="F4368" s="31"/>
      <c r="G4368" s="31"/>
      <c r="H4368" s="31"/>
    </row>
    <row r="4369" spans="2:8" hidden="1">
      <c r="B4369" s="33"/>
      <c r="C4369" s="31"/>
      <c r="D4369" s="31"/>
      <c r="E4369" s="31"/>
      <c r="F4369" s="31"/>
      <c r="G4369" s="31"/>
      <c r="H4369" s="31"/>
    </row>
    <row r="4370" spans="2:8" hidden="1">
      <c r="B4370" s="33"/>
      <c r="C4370" s="31"/>
      <c r="D4370" s="31"/>
      <c r="E4370" s="31"/>
      <c r="F4370" s="31"/>
      <c r="G4370" s="31"/>
      <c r="H4370" s="31"/>
    </row>
    <row r="4371" spans="2:8" hidden="1">
      <c r="B4371" s="33"/>
      <c r="C4371" s="31"/>
      <c r="D4371" s="31"/>
      <c r="E4371" s="31"/>
      <c r="F4371" s="31"/>
      <c r="G4371" s="31"/>
      <c r="H4371" s="31"/>
    </row>
    <row r="4372" spans="2:8" hidden="1">
      <c r="B4372" s="33"/>
      <c r="C4372" s="31"/>
      <c r="D4372" s="31"/>
      <c r="E4372" s="31"/>
      <c r="F4372" s="31"/>
      <c r="G4372" s="31"/>
      <c r="H4372" s="31"/>
    </row>
    <row r="4373" spans="2:8" hidden="1">
      <c r="B4373" s="33"/>
      <c r="C4373" s="31"/>
      <c r="D4373" s="31"/>
      <c r="E4373" s="31"/>
      <c r="F4373" s="31"/>
      <c r="G4373" s="31"/>
      <c r="H4373" s="31"/>
    </row>
    <row r="4374" spans="2:8" hidden="1">
      <c r="B4374" s="33"/>
      <c r="C4374" s="31"/>
      <c r="D4374" s="31"/>
      <c r="E4374" s="31"/>
      <c r="F4374" s="31"/>
      <c r="G4374" s="31"/>
      <c r="H4374" s="31"/>
    </row>
    <row r="4375" spans="2:8" hidden="1">
      <c r="B4375" s="33"/>
      <c r="C4375" s="31"/>
      <c r="D4375" s="31"/>
      <c r="E4375" s="31"/>
      <c r="F4375" s="31"/>
      <c r="G4375" s="31"/>
      <c r="H4375" s="31"/>
    </row>
    <row r="4376" spans="2:8" hidden="1">
      <c r="B4376" s="33"/>
      <c r="C4376" s="31"/>
      <c r="D4376" s="31"/>
      <c r="E4376" s="31"/>
      <c r="F4376" s="31"/>
      <c r="G4376" s="31"/>
      <c r="H4376" s="31"/>
    </row>
    <row r="4377" spans="2:8" hidden="1">
      <c r="B4377" s="33"/>
      <c r="C4377" s="31"/>
      <c r="D4377" s="31"/>
      <c r="E4377" s="31"/>
      <c r="F4377" s="31"/>
      <c r="G4377" s="31"/>
      <c r="H4377" s="31"/>
    </row>
    <row r="4378" spans="2:8" hidden="1">
      <c r="B4378" s="33"/>
      <c r="C4378" s="31"/>
      <c r="D4378" s="75"/>
      <c r="E4378" s="31"/>
      <c r="F4378" s="405"/>
      <c r="G4378" s="75"/>
      <c r="H4378" s="31"/>
    </row>
    <row r="4379" spans="2:8" hidden="1">
      <c r="B4379" s="33"/>
      <c r="C4379" s="31"/>
      <c r="D4379" s="31"/>
      <c r="E4379" s="31"/>
      <c r="F4379" s="691"/>
      <c r="G4379" s="732"/>
      <c r="H4379" s="31"/>
    </row>
    <row r="4380" spans="2:8" hidden="1">
      <c r="B4380" s="33"/>
      <c r="C4380" s="31"/>
      <c r="D4380" s="31"/>
      <c r="E4380" s="31"/>
      <c r="F4380" s="405"/>
      <c r="G4380" s="75"/>
      <c r="H4380" s="31"/>
    </row>
    <row r="4381" spans="2:8" hidden="1">
      <c r="B4381" s="33"/>
      <c r="C4381" s="31"/>
      <c r="D4381" s="75"/>
      <c r="E4381" s="31"/>
      <c r="F4381" s="405"/>
      <c r="G4381" s="75"/>
      <c r="H4381" s="31"/>
    </row>
    <row r="4382" spans="2:8" hidden="1">
      <c r="B4382" s="33"/>
      <c r="C4382" s="31"/>
      <c r="D4382" s="31"/>
      <c r="E4382" s="31"/>
      <c r="F4382" s="691"/>
      <c r="G4382" s="732"/>
      <c r="H4382" s="31"/>
    </row>
    <row r="4383" spans="2:8" hidden="1">
      <c r="B4383" s="33"/>
      <c r="C4383" s="31"/>
      <c r="D4383" s="31"/>
      <c r="E4383" s="31"/>
      <c r="F4383" s="405"/>
      <c r="G4383" s="75"/>
      <c r="H4383" s="31"/>
    </row>
    <row r="4384" spans="2:8" hidden="1">
      <c r="B4384" s="33"/>
      <c r="C4384" s="31"/>
      <c r="D4384" s="31"/>
      <c r="E4384" s="31"/>
      <c r="F4384" s="31"/>
      <c r="G4384" s="31"/>
      <c r="H4384" s="31"/>
    </row>
    <row r="4385" spans="2:8" hidden="1">
      <c r="B4385" s="33"/>
      <c r="C4385" s="200"/>
      <c r="D4385" s="31"/>
      <c r="E4385" s="200"/>
      <c r="F4385" s="769"/>
      <c r="G4385" s="31"/>
      <c r="H4385" s="31"/>
    </row>
    <row r="4386" spans="2:8" hidden="1">
      <c r="B4386" s="76"/>
      <c r="C4386" s="31"/>
      <c r="D4386" s="31"/>
      <c r="E4386" s="31"/>
      <c r="F4386" s="732"/>
      <c r="G4386" s="31"/>
      <c r="H4386" s="31"/>
    </row>
    <row r="4387" spans="2:8" hidden="1">
      <c r="B4387" s="33"/>
      <c r="C4387" s="33"/>
      <c r="D4387" s="33"/>
      <c r="E4387" s="33"/>
      <c r="F4387" s="33"/>
      <c r="G4387" s="33"/>
      <c r="H4387" s="31"/>
    </row>
    <row r="4388" spans="2:8" hidden="1">
      <c r="B4388" s="33"/>
      <c r="C4388" s="31"/>
      <c r="D4388" s="33"/>
      <c r="E4388" s="33"/>
      <c r="F4388" s="33"/>
      <c r="G4388" s="33"/>
      <c r="H4388" s="31"/>
    </row>
    <row r="4389" spans="2:8" hidden="1">
      <c r="B4389" s="405"/>
      <c r="C4389" s="76"/>
      <c r="D4389" s="731"/>
      <c r="E4389" s="75"/>
      <c r="F4389" s="75"/>
      <c r="G4389" s="75"/>
      <c r="H4389" s="31"/>
    </row>
    <row r="4390" spans="2:8" hidden="1">
      <c r="B4390" s="405"/>
      <c r="C4390" s="76"/>
      <c r="D4390" s="731"/>
      <c r="E4390" s="75"/>
      <c r="F4390" s="75"/>
      <c r="G4390" s="75"/>
      <c r="H4390" s="31"/>
    </row>
    <row r="4391" spans="2:8" hidden="1">
      <c r="B4391" s="405"/>
      <c r="C4391" s="76"/>
      <c r="D4391" s="731"/>
      <c r="E4391" s="75"/>
      <c r="F4391" s="75"/>
      <c r="G4391" s="75"/>
      <c r="H4391" s="31"/>
    </row>
    <row r="4392" spans="2:8" hidden="1">
      <c r="B4392" s="405"/>
      <c r="C4392" s="76"/>
      <c r="D4392" s="731"/>
      <c r="E4392" s="75"/>
      <c r="F4392" s="75"/>
      <c r="G4392" s="75"/>
      <c r="H4392" s="31"/>
    </row>
    <row r="4393" spans="2:8" hidden="1">
      <c r="B4393" s="405"/>
      <c r="C4393" s="76"/>
      <c r="D4393" s="731"/>
      <c r="E4393" s="75"/>
      <c r="F4393" s="75"/>
      <c r="G4393" s="75"/>
      <c r="H4393" s="31"/>
    </row>
    <row r="4394" spans="2:8" hidden="1">
      <c r="B4394" s="405"/>
      <c r="C4394" s="76"/>
      <c r="D4394" s="731"/>
      <c r="E4394" s="75"/>
      <c r="F4394" s="75"/>
      <c r="G4394" s="75"/>
      <c r="H4394" s="31"/>
    </row>
    <row r="4395" spans="2:8" hidden="1">
      <c r="B4395" s="405"/>
      <c r="C4395" s="76"/>
      <c r="D4395" s="731"/>
      <c r="E4395" s="75"/>
      <c r="F4395" s="75"/>
      <c r="G4395" s="75"/>
      <c r="H4395" s="31"/>
    </row>
    <row r="4396" spans="2:8" hidden="1">
      <c r="B4396" s="405"/>
      <c r="C4396" s="76"/>
      <c r="D4396" s="731"/>
      <c r="E4396" s="75"/>
      <c r="F4396" s="75"/>
      <c r="G4396" s="75"/>
      <c r="H4396" s="31"/>
    </row>
    <row r="4397" spans="2:8" hidden="1">
      <c r="B4397" s="405"/>
      <c r="C4397" s="76"/>
      <c r="D4397" s="731"/>
      <c r="E4397" s="75"/>
      <c r="F4397" s="75"/>
      <c r="G4397" s="75"/>
      <c r="H4397" s="31"/>
    </row>
    <row r="4398" spans="2:8" hidden="1">
      <c r="B4398" s="405"/>
      <c r="C4398" s="76"/>
      <c r="D4398" s="731"/>
      <c r="E4398" s="75"/>
      <c r="F4398" s="75"/>
      <c r="G4398" s="75"/>
      <c r="H4398" s="31"/>
    </row>
    <row r="4399" spans="2:8" hidden="1">
      <c r="B4399" s="405"/>
      <c r="C4399" s="76"/>
      <c r="D4399" s="731"/>
      <c r="E4399" s="75"/>
      <c r="F4399" s="75"/>
      <c r="G4399" s="75"/>
      <c r="H4399" s="31"/>
    </row>
    <row r="4400" spans="2:8" hidden="1">
      <c r="B4400" s="405"/>
      <c r="C4400" s="76"/>
      <c r="D4400" s="731"/>
      <c r="E4400" s="75"/>
      <c r="F4400" s="75"/>
      <c r="G4400" s="75"/>
      <c r="H4400" s="31"/>
    </row>
    <row r="4401" spans="2:8" hidden="1">
      <c r="B4401" s="30"/>
      <c r="C4401" s="76"/>
      <c r="D4401" s="731"/>
      <c r="E4401" s="75"/>
      <c r="F4401" s="75"/>
      <c r="G4401" s="75"/>
      <c r="H4401" s="31"/>
    </row>
    <row r="4402" spans="2:8" hidden="1">
      <c r="B4402" s="30"/>
      <c r="C4402" s="76"/>
      <c r="D4402" s="731"/>
      <c r="E4402" s="75"/>
      <c r="F4402" s="75"/>
      <c r="G4402" s="75"/>
      <c r="H4402" s="31"/>
    </row>
    <row r="4403" spans="2:8" hidden="1">
      <c r="B4403" s="30"/>
      <c r="C4403" s="76"/>
      <c r="D4403" s="731"/>
      <c r="E4403" s="75"/>
      <c r="F4403" s="75"/>
      <c r="G4403" s="75"/>
      <c r="H4403" s="31"/>
    </row>
    <row r="4404" spans="2:8" hidden="1">
      <c r="B4404" s="30"/>
      <c r="C4404" s="76"/>
      <c r="D4404" s="731"/>
      <c r="E4404" s="75"/>
      <c r="F4404" s="75"/>
      <c r="G4404" s="75"/>
      <c r="H4404" s="31"/>
    </row>
    <row r="4405" spans="2:8" hidden="1">
      <c r="B4405" s="30"/>
      <c r="C4405" s="76"/>
      <c r="D4405" s="731"/>
      <c r="E4405" s="75"/>
      <c r="F4405" s="75"/>
      <c r="G4405" s="75"/>
      <c r="H4405" s="31"/>
    </row>
    <row r="4406" spans="2:8" hidden="1">
      <c r="B4406" s="33"/>
      <c r="C4406" s="31"/>
      <c r="D4406" s="31"/>
      <c r="E4406" s="200"/>
      <c r="F4406" s="200"/>
      <c r="G4406" s="75"/>
      <c r="H4406" s="31"/>
    </row>
    <row r="4407" spans="2:8" hidden="1">
      <c r="B4407" s="33"/>
      <c r="C4407" s="31"/>
      <c r="D4407" s="31"/>
      <c r="E4407" s="198"/>
      <c r="F4407" s="200"/>
      <c r="G4407" s="75"/>
      <c r="H4407" s="31"/>
    </row>
    <row r="4408" spans="2:8" hidden="1">
      <c r="B4408" s="33"/>
      <c r="C4408" s="31"/>
      <c r="D4408" s="31"/>
      <c r="E4408" s="198"/>
      <c r="F4408" s="200"/>
      <c r="G4408" s="75"/>
      <c r="H4408" s="31"/>
    </row>
    <row r="4409" spans="2:8" hidden="1">
      <c r="B4409" s="33"/>
      <c r="C4409" s="31"/>
      <c r="D4409" s="31"/>
      <c r="E4409" s="198"/>
      <c r="F4409" s="200"/>
      <c r="G4409" s="75"/>
      <c r="H4409" s="31"/>
    </row>
    <row r="4410" spans="2:8" hidden="1">
      <c r="B4410" s="33"/>
      <c r="C4410" s="200"/>
      <c r="D4410" s="30"/>
      <c r="E4410" s="30"/>
      <c r="F4410" s="200"/>
      <c r="G4410" s="75"/>
      <c r="H4410" s="31"/>
    </row>
    <row r="4411" spans="2:8" hidden="1">
      <c r="B4411" s="33"/>
      <c r="C4411" s="31"/>
      <c r="D4411" s="31"/>
      <c r="E4411" s="31"/>
      <c r="F4411" s="31"/>
      <c r="G4411" s="31"/>
      <c r="H4411" s="31"/>
    </row>
    <row r="4412" spans="2:8" hidden="1">
      <c r="B4412" s="76"/>
      <c r="C4412" s="31"/>
      <c r="D4412" s="31"/>
      <c r="E4412" s="31"/>
      <c r="F4412" s="31"/>
      <c r="G4412" s="31"/>
      <c r="H4412" s="31"/>
    </row>
    <row r="4413" spans="2:8" hidden="1">
      <c r="B4413" s="33"/>
      <c r="C4413" s="33"/>
      <c r="D4413" s="33"/>
      <c r="E4413" s="33"/>
      <c r="F4413" s="33"/>
      <c r="G4413" s="33"/>
      <c r="H4413" s="31"/>
    </row>
    <row r="4414" spans="2:8" hidden="1">
      <c r="B4414" s="33"/>
      <c r="C4414" s="31"/>
      <c r="D4414" s="33"/>
      <c r="E4414" s="33"/>
      <c r="F4414" s="33"/>
      <c r="G4414" s="33"/>
      <c r="H4414" s="31"/>
    </row>
    <row r="4415" spans="2:8" hidden="1">
      <c r="B4415" s="405"/>
      <c r="C4415" s="76"/>
      <c r="D4415" s="731"/>
      <c r="E4415" s="75"/>
      <c r="F4415" s="75"/>
      <c r="G4415" s="75"/>
      <c r="H4415" s="31"/>
    </row>
    <row r="4416" spans="2:8" hidden="1">
      <c r="B4416" s="405"/>
      <c r="C4416" s="76"/>
      <c r="D4416" s="731"/>
      <c r="E4416" s="75"/>
      <c r="F4416" s="75"/>
      <c r="G4416" s="75"/>
      <c r="H4416" s="31"/>
    </row>
    <row r="4417" spans="2:8" hidden="1">
      <c r="B4417" s="405"/>
      <c r="C4417" s="76"/>
      <c r="D4417" s="731"/>
      <c r="E4417" s="75"/>
      <c r="F4417" s="75"/>
      <c r="G4417" s="75"/>
      <c r="H4417" s="31"/>
    </row>
    <row r="4418" spans="2:8" hidden="1">
      <c r="B4418" s="405"/>
      <c r="C4418" s="76"/>
      <c r="D4418" s="731"/>
      <c r="E4418" s="75"/>
      <c r="F4418" s="75"/>
      <c r="G4418" s="75"/>
      <c r="H4418" s="31"/>
    </row>
    <row r="4419" spans="2:8" hidden="1">
      <c r="B4419" s="405"/>
      <c r="C4419" s="76"/>
      <c r="D4419" s="731"/>
      <c r="E4419" s="75"/>
      <c r="F4419" s="75"/>
      <c r="G4419" s="75"/>
      <c r="H4419" s="31"/>
    </row>
    <row r="4420" spans="2:8" hidden="1">
      <c r="B4420" s="405"/>
      <c r="C4420" s="76"/>
      <c r="D4420" s="731"/>
      <c r="E4420" s="75"/>
      <c r="F4420" s="75"/>
      <c r="G4420" s="75"/>
      <c r="H4420" s="31"/>
    </row>
    <row r="4421" spans="2:8" hidden="1">
      <c r="B4421" s="405"/>
      <c r="C4421" s="76"/>
      <c r="D4421" s="731"/>
      <c r="E4421" s="75"/>
      <c r="F4421" s="75"/>
      <c r="G4421" s="75"/>
      <c r="H4421" s="31"/>
    </row>
    <row r="4422" spans="2:8" hidden="1">
      <c r="B4422" s="405"/>
      <c r="C4422" s="76"/>
      <c r="D4422" s="731"/>
      <c r="E4422" s="75"/>
      <c r="F4422" s="75"/>
      <c r="G4422" s="75"/>
      <c r="H4422" s="31"/>
    </row>
    <row r="4423" spans="2:8" hidden="1">
      <c r="B4423" s="405"/>
      <c r="C4423" s="76"/>
      <c r="D4423" s="731"/>
      <c r="E4423" s="75"/>
      <c r="F4423" s="75"/>
      <c r="G4423" s="75"/>
      <c r="H4423" s="31"/>
    </row>
    <row r="4424" spans="2:8" hidden="1">
      <c r="B4424" s="405"/>
      <c r="C4424" s="76"/>
      <c r="D4424" s="731"/>
      <c r="E4424" s="75"/>
      <c r="F4424" s="75"/>
      <c r="G4424" s="75"/>
      <c r="H4424" s="31"/>
    </row>
    <row r="4425" spans="2:8" hidden="1">
      <c r="B4425" s="405"/>
      <c r="C4425" s="76"/>
      <c r="D4425" s="731"/>
      <c r="E4425" s="75"/>
      <c r="F4425" s="75"/>
      <c r="G4425" s="75"/>
      <c r="H4425" s="31"/>
    </row>
    <row r="4426" spans="2:8" hidden="1">
      <c r="B4426" s="405"/>
      <c r="C4426" s="76"/>
      <c r="D4426" s="731"/>
      <c r="E4426" s="75"/>
      <c r="F4426" s="75"/>
      <c r="G4426" s="75"/>
      <c r="H4426" s="31"/>
    </row>
    <row r="4427" spans="2:8" hidden="1">
      <c r="B4427" s="405"/>
      <c r="C4427" s="76"/>
      <c r="D4427" s="731"/>
      <c r="E4427" s="75"/>
      <c r="F4427" s="75"/>
      <c r="G4427" s="75"/>
      <c r="H4427" s="31"/>
    </row>
    <row r="4428" spans="2:8" hidden="1">
      <c r="B4428" s="33"/>
      <c r="C4428" s="31"/>
      <c r="D4428" s="31"/>
      <c r="E4428" s="200"/>
      <c r="F4428" s="200"/>
      <c r="G4428" s="75"/>
      <c r="H4428" s="31"/>
    </row>
    <row r="4429" spans="2:8" hidden="1">
      <c r="B4429" s="33"/>
      <c r="C4429" s="31"/>
      <c r="D4429" s="31"/>
      <c r="E4429" s="198"/>
      <c r="F4429" s="200"/>
      <c r="G4429" s="75"/>
      <c r="H4429" s="31"/>
    </row>
    <row r="4430" spans="2:8" hidden="1">
      <c r="B4430" s="33"/>
      <c r="C4430" s="31"/>
      <c r="D4430" s="31"/>
      <c r="E4430" s="198"/>
      <c r="F4430" s="200"/>
      <c r="G4430" s="75"/>
      <c r="H4430" s="31"/>
    </row>
    <row r="4431" spans="2:8" hidden="1">
      <c r="B4431" s="33"/>
      <c r="C4431" s="31"/>
      <c r="D4431" s="31"/>
      <c r="E4431" s="198"/>
      <c r="F4431" s="200"/>
      <c r="G4431" s="75"/>
      <c r="H4431" s="31"/>
    </row>
    <row r="4432" spans="2:8" hidden="1">
      <c r="B4432" s="33"/>
      <c r="C4432" s="30"/>
      <c r="D4432" s="30"/>
      <c r="E4432" s="30"/>
      <c r="F4432" s="200"/>
      <c r="G4432" s="75"/>
      <c r="H4432" s="31"/>
    </row>
    <row r="4433" spans="2:8" hidden="1">
      <c r="B4433" s="33"/>
      <c r="C4433" s="31"/>
      <c r="D4433" s="31"/>
      <c r="E4433" s="31"/>
      <c r="F4433" s="31"/>
      <c r="G4433" s="31"/>
      <c r="H4433" s="31"/>
    </row>
    <row r="4434" spans="2:8" hidden="1">
      <c r="B4434" s="76"/>
      <c r="C4434" s="31"/>
      <c r="D4434" s="31"/>
      <c r="E4434" s="31"/>
      <c r="F4434" s="31"/>
      <c r="G4434" s="31"/>
      <c r="H4434" s="31"/>
    </row>
    <row r="4435" spans="2:8" hidden="1">
      <c r="B4435" s="33"/>
      <c r="C4435" s="33"/>
      <c r="D4435" s="33"/>
      <c r="E4435" s="33"/>
      <c r="F4435" s="33"/>
      <c r="G4435" s="33"/>
      <c r="H4435" s="31"/>
    </row>
    <row r="4436" spans="2:8" hidden="1">
      <c r="B4436" s="33"/>
      <c r="C4436" s="31"/>
      <c r="D4436" s="33"/>
      <c r="E4436" s="33"/>
      <c r="F4436" s="33"/>
      <c r="G4436" s="33"/>
      <c r="H4436" s="31"/>
    </row>
    <row r="4437" spans="2:8" hidden="1">
      <c r="B4437" s="405"/>
      <c r="C4437" s="76"/>
      <c r="D4437" s="731"/>
      <c r="E4437" s="75"/>
      <c r="F4437" s="75"/>
      <c r="G4437" s="75"/>
      <c r="H4437" s="31"/>
    </row>
    <row r="4438" spans="2:8" hidden="1">
      <c r="B4438" s="405"/>
      <c r="C4438" s="76"/>
      <c r="D4438" s="731"/>
      <c r="E4438" s="75"/>
      <c r="F4438" s="75"/>
      <c r="G4438" s="75"/>
      <c r="H4438" s="31"/>
    </row>
    <row r="4439" spans="2:8" hidden="1">
      <c r="B4439" s="405"/>
      <c r="C4439" s="76"/>
      <c r="D4439" s="731"/>
      <c r="E4439" s="75"/>
      <c r="F4439" s="75"/>
      <c r="G4439" s="75"/>
      <c r="H4439" s="31"/>
    </row>
    <row r="4440" spans="2:8" hidden="1">
      <c r="B4440" s="405"/>
      <c r="C4440" s="76"/>
      <c r="D4440" s="731"/>
      <c r="E4440" s="75"/>
      <c r="F4440" s="75"/>
      <c r="G4440" s="75"/>
      <c r="H4440" s="31"/>
    </row>
    <row r="4441" spans="2:8" hidden="1">
      <c r="B4441" s="405"/>
      <c r="C4441" s="76"/>
      <c r="D4441" s="731"/>
      <c r="E4441" s="75"/>
      <c r="F4441" s="75"/>
      <c r="G4441" s="75"/>
      <c r="H4441" s="31"/>
    </row>
    <row r="4442" spans="2:8" hidden="1">
      <c r="B4442" s="405"/>
      <c r="C4442" s="76"/>
      <c r="D4442" s="731"/>
      <c r="E4442" s="75"/>
      <c r="F4442" s="75"/>
      <c r="G4442" s="75"/>
      <c r="H4442" s="31"/>
    </row>
    <row r="4443" spans="2:8" hidden="1">
      <c r="B4443" s="405"/>
      <c r="C4443" s="76"/>
      <c r="D4443" s="731"/>
      <c r="E4443" s="75"/>
      <c r="F4443" s="75"/>
      <c r="G4443" s="75"/>
      <c r="H4443" s="31"/>
    </row>
    <row r="4444" spans="2:8" hidden="1">
      <c r="B4444" s="405"/>
      <c r="C4444" s="76"/>
      <c r="D4444" s="731"/>
      <c r="E4444" s="75"/>
      <c r="F4444" s="75"/>
      <c r="G4444" s="75"/>
      <c r="H4444" s="31"/>
    </row>
    <row r="4445" spans="2:8" hidden="1">
      <c r="B4445" s="405"/>
      <c r="C4445" s="76"/>
      <c r="D4445" s="731"/>
      <c r="E4445" s="75"/>
      <c r="F4445" s="75"/>
      <c r="G4445" s="75"/>
      <c r="H4445" s="31"/>
    </row>
    <row r="4446" spans="2:8" hidden="1">
      <c r="B4446" s="30"/>
      <c r="C4446" s="76"/>
      <c r="D4446" s="731"/>
      <c r="E4446" s="75"/>
      <c r="F4446" s="75"/>
      <c r="G4446" s="75"/>
      <c r="H4446" s="31"/>
    </row>
    <row r="4447" spans="2:8" hidden="1">
      <c r="B4447" s="30"/>
      <c r="C4447" s="76"/>
      <c r="D4447" s="731"/>
      <c r="E4447" s="75"/>
      <c r="F4447" s="75"/>
      <c r="G4447" s="75"/>
      <c r="H4447" s="31"/>
    </row>
    <row r="4448" spans="2:8" hidden="1">
      <c r="B4448" s="33"/>
      <c r="C4448" s="31"/>
      <c r="D4448" s="31"/>
      <c r="E4448" s="200"/>
      <c r="F4448" s="200"/>
      <c r="G4448" s="75"/>
      <c r="H4448" s="31"/>
    </row>
    <row r="4449" spans="2:8" hidden="1">
      <c r="B4449" s="33"/>
      <c r="C4449" s="31"/>
      <c r="D4449" s="31"/>
      <c r="E4449" s="198"/>
      <c r="F4449" s="200"/>
      <c r="G4449" s="75"/>
      <c r="H4449" s="31"/>
    </row>
    <row r="4450" spans="2:8" hidden="1">
      <c r="B4450" s="33"/>
      <c r="C4450" s="31"/>
      <c r="D4450" s="31"/>
      <c r="E4450" s="198"/>
      <c r="F4450" s="200"/>
      <c r="G4450" s="75"/>
      <c r="H4450" s="31"/>
    </row>
    <row r="4451" spans="2:8" hidden="1">
      <c r="B4451" s="33"/>
      <c r="C4451" s="31"/>
      <c r="D4451" s="31"/>
      <c r="E4451" s="198"/>
      <c r="F4451" s="200"/>
      <c r="G4451" s="75"/>
      <c r="H4451" s="31"/>
    </row>
    <row r="4452" spans="2:8" hidden="1">
      <c r="B4452" s="33"/>
      <c r="C4452" s="31"/>
      <c r="D4452" s="31"/>
      <c r="E4452" s="198"/>
      <c r="F4452" s="200"/>
      <c r="G4452" s="75"/>
      <c r="H4452" s="31"/>
    </row>
    <row r="4453" spans="2:8" hidden="1">
      <c r="B4453" s="33"/>
      <c r="C4453" s="31"/>
      <c r="D4453" s="31"/>
      <c r="E4453" s="198"/>
      <c r="F4453" s="200"/>
      <c r="G4453" s="75"/>
      <c r="H4453" s="31"/>
    </row>
    <row r="4454" spans="2:8" hidden="1">
      <c r="B4454" s="33"/>
      <c r="C4454" s="200"/>
      <c r="D4454" s="30"/>
      <c r="E4454" s="30"/>
      <c r="F4454" s="200"/>
      <c r="G4454" s="75"/>
      <c r="H4454" s="31"/>
    </row>
    <row r="4455" spans="2:8" hidden="1">
      <c r="B4455" s="33"/>
      <c r="C4455" s="31"/>
      <c r="D4455" s="31"/>
      <c r="E4455" s="31"/>
      <c r="F4455" s="31"/>
      <c r="G4455" s="31"/>
      <c r="H4455" s="31"/>
    </row>
    <row r="4456" spans="2:8" hidden="1">
      <c r="B4456" s="33"/>
      <c r="C4456" s="31"/>
      <c r="D4456" s="31"/>
      <c r="E4456" s="31"/>
      <c r="F4456" s="31"/>
      <c r="G4456" s="31"/>
      <c r="H4456" s="31"/>
    </row>
    <row r="4457" spans="2:8" hidden="1">
      <c r="B4457" s="33"/>
      <c r="C4457" s="31"/>
      <c r="D4457" s="31"/>
      <c r="E4457" s="31"/>
      <c r="F4457" s="200"/>
      <c r="G4457" s="75"/>
      <c r="H4457" s="31"/>
    </row>
    <row r="4458" spans="2:8" hidden="1">
      <c r="B4458" s="33"/>
      <c r="C4458" s="31"/>
      <c r="D4458" s="31"/>
      <c r="E4458" s="31"/>
      <c r="F4458" s="200"/>
      <c r="G4458" s="75"/>
      <c r="H4458" s="31"/>
    </row>
    <row r="4459" spans="2:8" hidden="1">
      <c r="B4459" s="33"/>
      <c r="C4459" s="31"/>
      <c r="D4459" s="31"/>
      <c r="E4459" s="31"/>
      <c r="F4459" s="200"/>
      <c r="G4459" s="75"/>
      <c r="H4459" s="31"/>
    </row>
    <row r="4460" spans="2:8" hidden="1">
      <c r="B4460" s="33"/>
      <c r="C4460" s="31"/>
      <c r="D4460" s="31"/>
      <c r="E4460" s="200"/>
      <c r="F4460" s="200"/>
      <c r="G4460" s="75"/>
      <c r="H4460" s="31"/>
    </row>
    <row r="4461" spans="2:8" hidden="1">
      <c r="B4461" s="33"/>
      <c r="C4461" s="31"/>
      <c r="D4461" s="31"/>
      <c r="E4461" s="301"/>
      <c r="F4461" s="200"/>
      <c r="G4461" s="75"/>
      <c r="H4461" s="31"/>
    </row>
    <row r="4462" spans="2:8" hidden="1">
      <c r="B4462" s="33"/>
      <c r="C4462" s="31"/>
      <c r="D4462" s="31"/>
      <c r="E4462" s="767"/>
      <c r="F4462" s="200"/>
      <c r="G4462" s="75"/>
      <c r="H4462" s="31"/>
    </row>
    <row r="4463" spans="2:8" hidden="1">
      <c r="B4463" s="33"/>
      <c r="C4463" s="31"/>
      <c r="D4463" s="31"/>
      <c r="E4463" s="767"/>
      <c r="F4463" s="200"/>
      <c r="G4463" s="75"/>
      <c r="H4463" s="31"/>
    </row>
    <row r="4464" spans="2:8" hidden="1">
      <c r="B4464" s="33"/>
      <c r="C4464" s="31"/>
      <c r="D4464" s="31"/>
      <c r="E4464" s="767"/>
      <c r="F4464" s="200"/>
      <c r="G4464" s="75"/>
      <c r="H4464" s="31"/>
    </row>
    <row r="4465" spans="2:8" hidden="1">
      <c r="B4465" s="33"/>
      <c r="C4465" s="31"/>
      <c r="D4465" s="31"/>
      <c r="E4465" s="767"/>
      <c r="F4465" s="200"/>
      <c r="G4465" s="75"/>
      <c r="H4465" s="31"/>
    </row>
    <row r="4466" spans="2:8" hidden="1">
      <c r="B4466" s="33"/>
      <c r="C4466" s="31"/>
      <c r="D4466" s="75"/>
      <c r="E4466" s="767"/>
      <c r="F4466" s="200"/>
      <c r="G4466" s="75"/>
      <c r="H4466" s="31"/>
    </row>
    <row r="4467" spans="2:8" hidden="1">
      <c r="B4467" s="33"/>
      <c r="C4467" s="31"/>
      <c r="D4467" s="31"/>
      <c r="E4467" s="767"/>
      <c r="F4467" s="200"/>
      <c r="G4467" s="75"/>
      <c r="H4467" s="31"/>
    </row>
    <row r="4468" spans="2:8" hidden="1">
      <c r="B4468" s="33"/>
      <c r="C4468" s="31"/>
      <c r="D4468" s="31"/>
      <c r="E4468" s="200"/>
      <c r="F4468" s="200"/>
      <c r="G4468" s="75"/>
      <c r="H4468" s="31"/>
    </row>
    <row r="4469" spans="2:8" hidden="1">
      <c r="B4469" s="33"/>
      <c r="C4469" s="31"/>
      <c r="D4469" s="31"/>
      <c r="E4469" s="200"/>
      <c r="F4469" s="200"/>
      <c r="G4469" s="31"/>
      <c r="H4469" s="31"/>
    </row>
    <row r="4470" spans="2:8" hidden="1">
      <c r="B4470" s="33"/>
      <c r="C4470" s="31"/>
      <c r="D4470" s="75"/>
      <c r="E4470" s="76"/>
      <c r="F4470" s="200"/>
      <c r="G4470" s="75"/>
      <c r="H4470" s="31"/>
    </row>
    <row r="4471" spans="2:8" hidden="1">
      <c r="B4471" s="33"/>
      <c r="C4471" s="31"/>
      <c r="D4471" s="198"/>
      <c r="E4471" s="198"/>
      <c r="F4471" s="200"/>
      <c r="G4471" s="75"/>
      <c r="H4471" s="31"/>
    </row>
    <row r="4472" spans="2:8" hidden="1">
      <c r="B4472" s="33"/>
      <c r="C4472" s="31"/>
      <c r="D4472" s="768"/>
      <c r="E4472" s="31"/>
      <c r="F4472" s="200"/>
      <c r="G4472" s="75"/>
      <c r="H4472" s="31"/>
    </row>
    <row r="4473" spans="2:8" hidden="1">
      <c r="B4473" s="33"/>
      <c r="C4473" s="31"/>
      <c r="D4473" s="200"/>
      <c r="E4473" s="31"/>
      <c r="F4473" s="200"/>
      <c r="G4473" s="75"/>
      <c r="H4473" s="31"/>
    </row>
    <row r="4474" spans="2:8" hidden="1">
      <c r="B4474" s="33"/>
      <c r="C4474" s="31"/>
      <c r="D4474" s="31"/>
      <c r="E4474" s="31"/>
      <c r="F4474" s="31"/>
      <c r="G4474" s="31"/>
      <c r="H4474" s="31"/>
    </row>
    <row r="4475" spans="2:8" hidden="1">
      <c r="B4475" s="33"/>
      <c r="C4475" s="31"/>
      <c r="D4475" s="31"/>
      <c r="E4475" s="31"/>
      <c r="F4475" s="31"/>
      <c r="G4475" s="31"/>
      <c r="H4475" s="31"/>
    </row>
    <row r="4476" spans="2:8" hidden="1">
      <c r="B4476" s="33"/>
      <c r="C4476" s="31"/>
      <c r="D4476" s="33"/>
      <c r="E4476" s="31"/>
      <c r="F4476" s="200"/>
      <c r="G4476" s="76"/>
      <c r="H4476" s="31"/>
    </row>
    <row r="4477" spans="2:8" hidden="1">
      <c r="B4477" s="33"/>
      <c r="C4477" s="31"/>
      <c r="D4477" s="31"/>
      <c r="E4477" s="31"/>
      <c r="F4477" s="31"/>
      <c r="G4477" s="31"/>
      <c r="H4477" s="31"/>
    </row>
    <row r="4478" spans="2:8" hidden="1">
      <c r="B4478" s="33"/>
      <c r="C4478" s="31"/>
      <c r="D4478" s="31"/>
      <c r="E4478" s="31"/>
      <c r="F4478" s="31"/>
      <c r="G4478" s="31"/>
      <c r="H4478" s="31"/>
    </row>
    <row r="4479" spans="2:8" hidden="1">
      <c r="B4479" s="33"/>
      <c r="C4479" s="31"/>
      <c r="D4479" s="31"/>
      <c r="E4479" s="31"/>
      <c r="F4479" s="31"/>
      <c r="G4479" s="31"/>
      <c r="H4479" s="31"/>
    </row>
    <row r="4480" spans="2:8" hidden="1">
      <c r="B4480" s="33"/>
      <c r="C4480" s="31"/>
      <c r="D4480" s="31"/>
      <c r="E4480" s="31"/>
      <c r="F4480" s="31"/>
      <c r="G4480" s="31"/>
      <c r="H4480" s="31"/>
    </row>
    <row r="4481" spans="2:8" hidden="1">
      <c r="B4481" s="33"/>
      <c r="C4481" s="31"/>
      <c r="D4481" s="31"/>
      <c r="E4481" s="31"/>
      <c r="F4481" s="31"/>
      <c r="G4481" s="31"/>
      <c r="H4481" s="31"/>
    </row>
    <row r="4482" spans="2:8" hidden="1">
      <c r="B4482" s="33"/>
      <c r="C4482" s="31"/>
      <c r="D4482" s="31"/>
      <c r="E4482" s="31"/>
      <c r="F4482" s="31"/>
      <c r="G4482" s="31"/>
      <c r="H4482" s="31"/>
    </row>
    <row r="4483" spans="2:8" hidden="1">
      <c r="B4483" s="33"/>
      <c r="C4483" s="31"/>
      <c r="D4483" s="31"/>
      <c r="E4483" s="31"/>
      <c r="F4483" s="31"/>
      <c r="G4483" s="31"/>
      <c r="H4483" s="31"/>
    </row>
    <row r="4484" spans="2:8" hidden="1">
      <c r="B4484" s="33"/>
      <c r="C4484" s="31"/>
      <c r="D4484" s="31"/>
      <c r="E4484" s="31"/>
      <c r="F4484" s="31"/>
      <c r="G4484" s="31"/>
      <c r="H4484" s="31"/>
    </row>
    <row r="4485" spans="2:8" hidden="1">
      <c r="B4485" s="33"/>
      <c r="C4485" s="31"/>
      <c r="D4485" s="31"/>
      <c r="E4485" s="31"/>
      <c r="F4485" s="31"/>
      <c r="G4485" s="31"/>
      <c r="H4485" s="31"/>
    </row>
    <row r="4486" spans="2:8" hidden="1">
      <c r="B4486" s="33"/>
      <c r="C4486" s="31"/>
      <c r="D4486" s="31"/>
      <c r="E4486" s="31"/>
      <c r="F4486" s="31"/>
      <c r="G4486" s="31"/>
      <c r="H4486" s="31"/>
    </row>
    <row r="4487" spans="2:8" hidden="1">
      <c r="B4487" s="33"/>
      <c r="C4487" s="31"/>
      <c r="D4487" s="31"/>
      <c r="E4487" s="31"/>
      <c r="F4487" s="31"/>
      <c r="G4487" s="31"/>
      <c r="H4487" s="31"/>
    </row>
    <row r="4488" spans="2:8" hidden="1">
      <c r="B4488" s="33"/>
      <c r="C4488" s="31"/>
      <c r="D4488" s="31"/>
      <c r="E4488" s="31"/>
      <c r="F4488" s="31"/>
      <c r="G4488" s="31"/>
      <c r="H4488" s="31"/>
    </row>
    <row r="4489" spans="2:8" hidden="1">
      <c r="B4489" s="33"/>
      <c r="C4489" s="31"/>
      <c r="D4489" s="31"/>
      <c r="E4489" s="31"/>
      <c r="F4489" s="31"/>
      <c r="G4489" s="31"/>
      <c r="H4489" s="31"/>
    </row>
    <row r="4490" spans="2:8" hidden="1">
      <c r="B4490" s="33"/>
      <c r="C4490" s="31"/>
      <c r="D4490" s="31"/>
      <c r="E4490" s="31"/>
      <c r="F4490" s="31"/>
      <c r="G4490" s="31"/>
      <c r="H4490" s="31"/>
    </row>
    <row r="4491" spans="2:8" hidden="1">
      <c r="B4491" s="33"/>
      <c r="C4491" s="31"/>
      <c r="D4491" s="31"/>
      <c r="E4491" s="31"/>
      <c r="F4491" s="31"/>
      <c r="G4491" s="31"/>
      <c r="H4491" s="31"/>
    </row>
    <row r="4492" spans="2:8" hidden="1">
      <c r="B4492" s="33"/>
      <c r="C4492" s="31"/>
      <c r="D4492" s="31"/>
      <c r="E4492" s="31"/>
      <c r="F4492" s="31"/>
      <c r="G4492" s="31"/>
      <c r="H4492" s="31"/>
    </row>
    <row r="4493" spans="2:8" hidden="1">
      <c r="B4493" s="33"/>
      <c r="C4493" s="31"/>
      <c r="D4493" s="31"/>
      <c r="E4493" s="31"/>
      <c r="F4493" s="31"/>
      <c r="G4493" s="31"/>
      <c r="H4493" s="31"/>
    </row>
    <row r="4494" spans="2:8" hidden="1">
      <c r="B4494" s="33"/>
      <c r="C4494" s="31"/>
      <c r="D4494" s="31"/>
      <c r="E4494" s="31"/>
      <c r="F4494" s="31"/>
      <c r="G4494" s="31"/>
      <c r="H4494" s="31"/>
    </row>
    <row r="4495" spans="2:8" hidden="1">
      <c r="B4495" s="33"/>
      <c r="C4495" s="31"/>
      <c r="D4495" s="31"/>
      <c r="E4495" s="31"/>
      <c r="F4495" s="31"/>
      <c r="G4495" s="31"/>
      <c r="H4495" s="31"/>
    </row>
    <row r="4496" spans="2:8" hidden="1">
      <c r="B4496" s="33"/>
      <c r="C4496" s="31"/>
      <c r="D4496" s="31"/>
      <c r="E4496" s="31"/>
      <c r="F4496" s="31"/>
      <c r="G4496" s="31"/>
      <c r="H4496" s="31"/>
    </row>
    <row r="4497" spans="2:8" hidden="1">
      <c r="B4497" s="33"/>
      <c r="C4497" s="31"/>
      <c r="D4497" s="31"/>
      <c r="E4497" s="31"/>
      <c r="F4497" s="31"/>
      <c r="G4497" s="31"/>
      <c r="H4497" s="31"/>
    </row>
    <row r="4498" spans="2:8" hidden="1">
      <c r="B4498" s="33"/>
      <c r="C4498" s="31"/>
      <c r="D4498" s="31"/>
      <c r="E4498" s="31"/>
      <c r="F4498" s="691"/>
      <c r="G4498" s="31"/>
      <c r="H4498" s="31"/>
    </row>
    <row r="4499" spans="2:8" hidden="1">
      <c r="B4499" s="33"/>
      <c r="C4499" s="31"/>
      <c r="D4499" s="31"/>
      <c r="E4499" s="31"/>
      <c r="F4499" s="691"/>
      <c r="G4499" s="31"/>
      <c r="H4499" s="31"/>
    </row>
    <row r="4500" spans="2:8" hidden="1">
      <c r="B4500" s="33"/>
      <c r="C4500" s="31"/>
      <c r="D4500" s="691"/>
      <c r="E4500" s="31"/>
      <c r="F4500" s="691"/>
      <c r="G4500" s="31"/>
      <c r="H4500" s="31"/>
    </row>
    <row r="4501" spans="2:8" hidden="1">
      <c r="B4501" s="33"/>
      <c r="C4501" s="31"/>
      <c r="D4501" s="31"/>
      <c r="E4501" s="31"/>
      <c r="F4501" s="691"/>
      <c r="G4501" s="31"/>
      <c r="H4501" s="31"/>
    </row>
    <row r="4502" spans="2:8" hidden="1">
      <c r="B4502" s="33"/>
      <c r="C4502" s="31"/>
      <c r="D4502" s="31"/>
      <c r="E4502" s="31"/>
      <c r="F4502" s="691"/>
      <c r="G4502" s="31"/>
      <c r="H4502" s="31"/>
    </row>
    <row r="4503" spans="2:8" hidden="1">
      <c r="B4503" s="33"/>
      <c r="C4503" s="31"/>
      <c r="D4503" s="31"/>
      <c r="E4503" s="31"/>
      <c r="F4503" s="731"/>
      <c r="G4503" s="768"/>
      <c r="H4503" s="31"/>
    </row>
    <row r="4504" spans="2:8" hidden="1">
      <c r="B4504" s="33"/>
      <c r="C4504" s="31"/>
      <c r="D4504" s="31"/>
      <c r="E4504" s="31"/>
      <c r="F4504" s="31"/>
      <c r="G4504" s="31"/>
      <c r="H4504" s="31"/>
    </row>
    <row r="4505" spans="2:8" hidden="1">
      <c r="B4505" s="33"/>
      <c r="C4505" s="31"/>
      <c r="D4505" s="31"/>
      <c r="E4505" s="31"/>
      <c r="F4505" s="31"/>
      <c r="G4505" s="31"/>
      <c r="H4505" s="31"/>
    </row>
    <row r="4506" spans="2:8" hidden="1">
      <c r="B4506" s="33"/>
      <c r="C4506" s="31"/>
      <c r="D4506" s="31"/>
      <c r="E4506" s="31"/>
      <c r="F4506" s="691"/>
      <c r="G4506" s="75"/>
      <c r="H4506" s="31"/>
    </row>
    <row r="4507" spans="2:8" hidden="1">
      <c r="B4507" s="33"/>
      <c r="C4507" s="31"/>
      <c r="D4507" s="31"/>
      <c r="E4507" s="31"/>
      <c r="F4507" s="691"/>
      <c r="G4507" s="31"/>
      <c r="H4507" s="31"/>
    </row>
    <row r="4508" spans="2:8" hidden="1">
      <c r="B4508" s="33"/>
      <c r="C4508" s="31"/>
      <c r="D4508" s="31"/>
      <c r="E4508" s="31"/>
      <c r="F4508" s="691"/>
      <c r="G4508" s="31"/>
      <c r="H4508" s="31"/>
    </row>
    <row r="4509" spans="2:8" hidden="1">
      <c r="B4509" s="33"/>
      <c r="C4509" s="31"/>
      <c r="D4509" s="31"/>
      <c r="E4509" s="31"/>
      <c r="F4509" s="691"/>
      <c r="G4509" s="31"/>
      <c r="H4509" s="31"/>
    </row>
    <row r="4510" spans="2:8" hidden="1">
      <c r="B4510" s="200"/>
      <c r="C4510" s="31"/>
      <c r="D4510" s="31"/>
      <c r="E4510" s="31"/>
      <c r="F4510" s="691"/>
      <c r="G4510" s="31"/>
      <c r="H4510" s="31"/>
    </row>
    <row r="4511" spans="2:8" hidden="1">
      <c r="B4511" s="200"/>
      <c r="C4511" s="31"/>
      <c r="D4511" s="31"/>
      <c r="E4511" s="31"/>
      <c r="F4511" s="691"/>
      <c r="G4511" s="31"/>
      <c r="H4511" s="31"/>
    </row>
    <row r="4512" spans="2:8" hidden="1">
      <c r="B4512" s="200"/>
      <c r="C4512" s="31"/>
      <c r="D4512" s="31"/>
      <c r="E4512" s="31"/>
      <c r="F4512" s="691"/>
      <c r="G4512" s="31"/>
      <c r="H4512" s="31"/>
    </row>
    <row r="4513" spans="2:8" hidden="1">
      <c r="B4513" s="200"/>
      <c r="C4513" s="31"/>
      <c r="D4513" s="31"/>
      <c r="E4513" s="31"/>
      <c r="F4513" s="691"/>
      <c r="G4513" s="31"/>
      <c r="H4513" s="31"/>
    </row>
    <row r="4514" spans="2:8" hidden="1">
      <c r="B4514" s="200"/>
      <c r="C4514" s="31"/>
      <c r="D4514" s="31"/>
      <c r="E4514" s="31"/>
      <c r="F4514" s="691"/>
      <c r="G4514" s="31"/>
      <c r="H4514" s="31"/>
    </row>
    <row r="4515" spans="2:8" hidden="1">
      <c r="B4515" s="200"/>
      <c r="C4515" s="31"/>
      <c r="D4515" s="31"/>
      <c r="E4515" s="31"/>
      <c r="F4515" s="691"/>
      <c r="G4515" s="31"/>
      <c r="H4515" s="31"/>
    </row>
    <row r="4516" spans="2:8" hidden="1">
      <c r="B4516" s="200"/>
      <c r="C4516" s="31"/>
      <c r="D4516" s="31"/>
      <c r="E4516" s="31"/>
      <c r="F4516" s="691"/>
      <c r="G4516" s="31"/>
      <c r="H4516" s="31"/>
    </row>
    <row r="4517" spans="2:8" hidden="1">
      <c r="B4517" s="200"/>
      <c r="C4517" s="31"/>
      <c r="D4517" s="31"/>
      <c r="E4517" s="31"/>
      <c r="F4517" s="691"/>
      <c r="G4517" s="31"/>
      <c r="H4517" s="31"/>
    </row>
    <row r="4518" spans="2:8" hidden="1">
      <c r="B4518" s="200"/>
      <c r="C4518" s="31"/>
      <c r="D4518" s="31"/>
      <c r="E4518" s="31"/>
      <c r="F4518" s="691"/>
      <c r="G4518" s="31"/>
      <c r="H4518" s="31"/>
    </row>
    <row r="4519" spans="2:8" hidden="1">
      <c r="B4519" s="200"/>
      <c r="C4519" s="31"/>
      <c r="D4519" s="31"/>
      <c r="E4519" s="31"/>
      <c r="F4519" s="691"/>
      <c r="G4519" s="31"/>
      <c r="H4519" s="31"/>
    </row>
    <row r="4520" spans="2:8" hidden="1">
      <c r="B4520" s="200"/>
      <c r="C4520" s="31"/>
      <c r="D4520" s="31"/>
      <c r="E4520" s="31"/>
      <c r="F4520" s="691"/>
      <c r="G4520" s="31"/>
      <c r="H4520" s="31"/>
    </row>
    <row r="4521" spans="2:8" hidden="1">
      <c r="B4521" s="200"/>
      <c r="C4521" s="31"/>
      <c r="D4521" s="31"/>
      <c r="E4521" s="31"/>
      <c r="F4521" s="691"/>
      <c r="G4521" s="31"/>
      <c r="H4521" s="31"/>
    </row>
    <row r="4522" spans="2:8" hidden="1">
      <c r="B4522" s="200"/>
      <c r="C4522" s="31"/>
      <c r="D4522" s="31"/>
      <c r="E4522" s="31"/>
      <c r="F4522" s="691"/>
      <c r="G4522" s="31"/>
      <c r="H4522" s="31"/>
    </row>
    <row r="4523" spans="2:8" hidden="1">
      <c r="B4523" s="200"/>
      <c r="C4523" s="31"/>
      <c r="D4523" s="31"/>
      <c r="E4523" s="31"/>
      <c r="F4523" s="691"/>
      <c r="G4523" s="31"/>
      <c r="H4523" s="31"/>
    </row>
    <row r="4524" spans="2:8" hidden="1">
      <c r="B4524" s="200"/>
      <c r="C4524" s="31"/>
      <c r="D4524" s="31"/>
      <c r="E4524" s="31"/>
      <c r="F4524" s="691"/>
      <c r="G4524" s="31"/>
      <c r="H4524" s="31"/>
    </row>
    <row r="4525" spans="2:8" hidden="1">
      <c r="B4525" s="200"/>
      <c r="C4525" s="31"/>
      <c r="D4525" s="31"/>
      <c r="E4525" s="31"/>
      <c r="F4525" s="691"/>
      <c r="G4525" s="31"/>
      <c r="H4525" s="31"/>
    </row>
    <row r="4526" spans="2:8" hidden="1">
      <c r="B4526" s="200"/>
      <c r="C4526" s="31"/>
      <c r="D4526" s="31"/>
      <c r="E4526" s="31"/>
      <c r="F4526" s="691"/>
      <c r="G4526" s="31"/>
      <c r="H4526" s="31"/>
    </row>
    <row r="4527" spans="2:8" hidden="1">
      <c r="B4527" s="200"/>
      <c r="C4527" s="31"/>
      <c r="D4527" s="31"/>
      <c r="E4527" s="31"/>
      <c r="F4527" s="691"/>
      <c r="G4527" s="31"/>
      <c r="H4527" s="31"/>
    </row>
    <row r="4528" spans="2:8" hidden="1">
      <c r="B4528" s="200"/>
      <c r="C4528" s="31"/>
      <c r="D4528" s="31"/>
      <c r="E4528" s="31"/>
      <c r="F4528" s="691"/>
      <c r="G4528" s="31"/>
      <c r="H4528" s="31"/>
    </row>
    <row r="4529" spans="2:8" hidden="1">
      <c r="B4529" s="200"/>
      <c r="C4529" s="31"/>
      <c r="D4529" s="31"/>
      <c r="E4529" s="31"/>
      <c r="F4529" s="691"/>
      <c r="G4529" s="31"/>
      <c r="H4529" s="31"/>
    </row>
    <row r="4530" spans="2:8" hidden="1">
      <c r="B4530" s="200"/>
      <c r="C4530" s="31"/>
      <c r="D4530" s="31"/>
      <c r="E4530" s="31"/>
      <c r="F4530" s="691"/>
      <c r="G4530" s="31"/>
      <c r="H4530" s="31"/>
    </row>
    <row r="4531" spans="2:8" hidden="1">
      <c r="B4531" s="200"/>
      <c r="C4531" s="31"/>
      <c r="D4531" s="31"/>
      <c r="E4531" s="31"/>
      <c r="F4531" s="691"/>
      <c r="G4531" s="31"/>
      <c r="H4531" s="31"/>
    </row>
    <row r="4532" spans="2:8" hidden="1">
      <c r="B4532" s="200"/>
      <c r="C4532" s="31"/>
      <c r="D4532" s="31"/>
      <c r="E4532" s="31"/>
      <c r="F4532" s="691"/>
      <c r="G4532" s="31"/>
      <c r="H4532" s="31"/>
    </row>
    <row r="4533" spans="2:8" hidden="1">
      <c r="B4533" s="200"/>
      <c r="C4533" s="31"/>
      <c r="D4533" s="31"/>
      <c r="E4533" s="31"/>
      <c r="F4533" s="691"/>
      <c r="G4533" s="31"/>
      <c r="H4533" s="31"/>
    </row>
    <row r="4534" spans="2:8" hidden="1">
      <c r="B4534" s="200"/>
      <c r="C4534" s="31"/>
      <c r="D4534" s="31"/>
      <c r="E4534" s="31"/>
      <c r="F4534" s="691"/>
      <c r="G4534" s="31"/>
      <c r="H4534" s="31"/>
    </row>
    <row r="4535" spans="2:8" hidden="1">
      <c r="B4535" s="200"/>
      <c r="C4535" s="31"/>
      <c r="D4535" s="31"/>
      <c r="E4535" s="31"/>
      <c r="F4535" s="691"/>
      <c r="G4535" s="31"/>
      <c r="H4535" s="31"/>
    </row>
    <row r="4536" spans="2:8" hidden="1">
      <c r="B4536" s="200"/>
      <c r="C4536" s="31"/>
      <c r="D4536" s="31"/>
      <c r="E4536" s="31"/>
      <c r="F4536" s="691"/>
      <c r="G4536" s="31"/>
      <c r="H4536" s="31"/>
    </row>
    <row r="4537" spans="2:8" hidden="1">
      <c r="B4537" s="33"/>
      <c r="C4537" s="31"/>
      <c r="D4537" s="31"/>
      <c r="E4537" s="200"/>
      <c r="F4537" s="691"/>
      <c r="G4537" s="31"/>
      <c r="H4537" s="31"/>
    </row>
    <row r="4538" spans="2:8" hidden="1">
      <c r="B4538" s="33"/>
      <c r="C4538" s="31"/>
      <c r="D4538" s="31"/>
      <c r="E4538" s="31"/>
      <c r="F4538" s="691"/>
      <c r="G4538" s="31"/>
      <c r="H4538" s="31"/>
    </row>
    <row r="4539" spans="2:8" hidden="1">
      <c r="B4539" s="33"/>
      <c r="C4539" s="31"/>
      <c r="D4539" s="31"/>
      <c r="E4539" s="31"/>
      <c r="F4539" s="691"/>
      <c r="G4539" s="31"/>
      <c r="H4539" s="31"/>
    </row>
    <row r="4540" spans="2:8" hidden="1">
      <c r="B4540" s="33"/>
      <c r="C4540" s="31"/>
      <c r="D4540" s="31"/>
      <c r="E4540" s="31"/>
      <c r="F4540" s="691"/>
      <c r="G4540" s="31"/>
      <c r="H4540" s="31"/>
    </row>
    <row r="4541" spans="2:8" hidden="1">
      <c r="B4541" s="33"/>
      <c r="C4541" s="31"/>
      <c r="D4541" s="31"/>
      <c r="E4541" s="31"/>
      <c r="F4541" s="691"/>
      <c r="G4541" s="31"/>
      <c r="H4541" s="31"/>
    </row>
    <row r="4542" spans="2:8" hidden="1">
      <c r="B4542" s="33"/>
      <c r="C4542" s="31"/>
      <c r="D4542" s="31"/>
      <c r="E4542" s="31"/>
      <c r="F4542" s="691"/>
      <c r="G4542" s="31"/>
      <c r="H4542" s="31"/>
    </row>
    <row r="4543" spans="2:8" hidden="1">
      <c r="B4543" s="33"/>
      <c r="C4543" s="31"/>
      <c r="D4543" s="31"/>
      <c r="E4543" s="31"/>
      <c r="F4543" s="691"/>
      <c r="G4543" s="31"/>
      <c r="H4543" s="31"/>
    </row>
    <row r="4544" spans="2:8" hidden="1">
      <c r="B4544" s="33"/>
      <c r="C4544" s="31"/>
      <c r="D4544" s="31"/>
      <c r="E4544" s="31"/>
      <c r="F4544" s="691"/>
      <c r="G4544" s="31"/>
      <c r="H4544" s="31"/>
    </row>
    <row r="4545" spans="2:8" hidden="1">
      <c r="B4545" s="33"/>
      <c r="C4545" s="31"/>
      <c r="D4545" s="31"/>
      <c r="E4545" s="31"/>
      <c r="F4545" s="691"/>
      <c r="G4545" s="31"/>
      <c r="H4545" s="31"/>
    </row>
    <row r="4546" spans="2:8" hidden="1">
      <c r="B4546" s="33"/>
      <c r="C4546" s="31"/>
      <c r="D4546" s="31"/>
      <c r="E4546" s="31"/>
      <c r="F4546" s="691"/>
      <c r="G4546" s="31"/>
      <c r="H4546" s="31"/>
    </row>
    <row r="4547" spans="2:8" hidden="1">
      <c r="B4547" s="33"/>
      <c r="C4547" s="31"/>
      <c r="D4547" s="31"/>
      <c r="E4547" s="31"/>
      <c r="F4547" s="691"/>
      <c r="G4547" s="31"/>
      <c r="H4547" s="31"/>
    </row>
    <row r="4548" spans="2:8" hidden="1">
      <c r="B4548" s="33"/>
      <c r="C4548" s="31"/>
      <c r="D4548" s="31"/>
      <c r="E4548" s="31"/>
      <c r="F4548" s="691"/>
      <c r="G4548" s="31"/>
      <c r="H4548" s="31"/>
    </row>
    <row r="4549" spans="2:8" hidden="1">
      <c r="B4549" s="33"/>
      <c r="C4549" s="31"/>
      <c r="D4549" s="31"/>
      <c r="E4549" s="31"/>
      <c r="F4549" s="691"/>
      <c r="G4549" s="31"/>
      <c r="H4549" s="31"/>
    </row>
    <row r="4550" spans="2:8" hidden="1">
      <c r="B4550" s="33"/>
      <c r="C4550" s="31"/>
      <c r="D4550" s="31"/>
      <c r="E4550" s="31"/>
      <c r="F4550" s="691"/>
      <c r="G4550" s="31"/>
      <c r="H4550" s="31"/>
    </row>
    <row r="4551" spans="2:8" hidden="1">
      <c r="B4551" s="33"/>
      <c r="C4551" s="31"/>
      <c r="D4551" s="31"/>
      <c r="E4551" s="31"/>
      <c r="F4551" s="691"/>
      <c r="G4551" s="31"/>
      <c r="H4551" s="31"/>
    </row>
    <row r="4552" spans="2:8" hidden="1">
      <c r="B4552" s="33"/>
      <c r="C4552" s="31"/>
      <c r="D4552" s="31"/>
      <c r="E4552" s="31"/>
      <c r="F4552" s="691"/>
      <c r="G4552" s="31"/>
      <c r="H4552" s="31"/>
    </row>
    <row r="4553" spans="2:8" hidden="1">
      <c r="B4553" s="33"/>
      <c r="C4553" s="31"/>
      <c r="D4553" s="31"/>
      <c r="E4553" s="200"/>
      <c r="F4553" s="691"/>
      <c r="G4553" s="31"/>
      <c r="H4553" s="31"/>
    </row>
    <row r="4554" spans="2:8" hidden="1">
      <c r="B4554" s="33"/>
      <c r="C4554" s="31"/>
      <c r="D4554" s="31"/>
      <c r="E4554" s="31"/>
      <c r="F4554" s="691"/>
      <c r="G4554" s="31"/>
      <c r="H4554" s="31"/>
    </row>
    <row r="4555" spans="2:8" hidden="1">
      <c r="B4555" s="33"/>
      <c r="C4555" s="31"/>
      <c r="D4555" s="31"/>
      <c r="E4555" s="31"/>
      <c r="F4555" s="691"/>
      <c r="G4555" s="31"/>
      <c r="H4555" s="31"/>
    </row>
    <row r="4556" spans="2:8" hidden="1">
      <c r="B4556" s="33"/>
      <c r="C4556" s="31"/>
      <c r="D4556" s="31"/>
      <c r="E4556" s="31"/>
      <c r="F4556" s="691"/>
      <c r="G4556" s="31"/>
      <c r="H4556" s="31"/>
    </row>
    <row r="4557" spans="2:8" hidden="1">
      <c r="B4557" s="33"/>
      <c r="C4557" s="31"/>
      <c r="D4557" s="31"/>
      <c r="E4557" s="31"/>
      <c r="F4557" s="691"/>
      <c r="G4557" s="31"/>
      <c r="H4557" s="31"/>
    </row>
    <row r="4558" spans="2:8" hidden="1">
      <c r="B4558" s="33"/>
      <c r="C4558" s="31"/>
      <c r="D4558" s="31"/>
      <c r="E4558" s="31"/>
      <c r="F4558" s="691"/>
      <c r="G4558" s="31"/>
      <c r="H4558" s="31"/>
    </row>
    <row r="4559" spans="2:8" hidden="1">
      <c r="B4559" s="33"/>
      <c r="C4559" s="31"/>
      <c r="D4559" s="31"/>
      <c r="E4559" s="31"/>
      <c r="F4559" s="691"/>
      <c r="G4559" s="31"/>
      <c r="H4559" s="31"/>
    </row>
    <row r="4560" spans="2:8" hidden="1">
      <c r="B4560" s="33"/>
      <c r="C4560" s="31"/>
      <c r="D4560" s="31"/>
      <c r="E4560" s="31"/>
      <c r="F4560" s="691"/>
      <c r="G4560" s="31"/>
      <c r="H4560" s="31"/>
    </row>
    <row r="4561" spans="2:8" hidden="1">
      <c r="B4561" s="33"/>
      <c r="C4561" s="31"/>
      <c r="D4561" s="31"/>
      <c r="E4561" s="31"/>
      <c r="F4561" s="691"/>
      <c r="G4561" s="31"/>
      <c r="H4561" s="31"/>
    </row>
    <row r="4562" spans="2:8" hidden="1">
      <c r="B4562" s="33"/>
      <c r="C4562" s="31"/>
      <c r="D4562" s="31"/>
      <c r="E4562" s="31"/>
      <c r="F4562" s="691"/>
      <c r="G4562" s="31"/>
      <c r="H4562" s="31"/>
    </row>
    <row r="4563" spans="2:8" hidden="1">
      <c r="B4563" s="33"/>
      <c r="C4563" s="31"/>
      <c r="D4563" s="31"/>
      <c r="E4563" s="31"/>
      <c r="F4563" s="31"/>
      <c r="G4563" s="31"/>
      <c r="H4563" s="31"/>
    </row>
    <row r="4564" spans="2:8" hidden="1">
      <c r="B4564" s="33"/>
      <c r="C4564" s="31"/>
      <c r="D4564" s="31"/>
      <c r="E4564" s="31"/>
      <c r="F4564" s="31"/>
      <c r="G4564" s="31"/>
      <c r="H4564" s="31"/>
    </row>
    <row r="4565" spans="2:8" hidden="1">
      <c r="B4565" s="33"/>
      <c r="C4565" s="31"/>
      <c r="D4565" s="31"/>
      <c r="E4565" s="31"/>
      <c r="F4565" s="31"/>
      <c r="G4565" s="31"/>
      <c r="H4565" s="31"/>
    </row>
    <row r="4566" spans="2:8" hidden="1">
      <c r="B4566" s="33"/>
      <c r="C4566" s="31"/>
      <c r="D4566" s="31"/>
      <c r="E4566" s="31"/>
      <c r="F4566" s="691"/>
      <c r="G4566" s="31"/>
      <c r="H4566" s="31"/>
    </row>
    <row r="4567" spans="2:8" hidden="1">
      <c r="B4567" s="33"/>
      <c r="C4567" s="31"/>
      <c r="D4567" s="31"/>
      <c r="E4567" s="31"/>
      <c r="F4567" s="31"/>
      <c r="G4567" s="31"/>
      <c r="H4567" s="31"/>
    </row>
    <row r="4568" spans="2:8" hidden="1">
      <c r="B4568" s="33"/>
      <c r="C4568" s="31"/>
      <c r="D4568" s="31"/>
      <c r="E4568" s="31"/>
      <c r="F4568" s="31"/>
      <c r="G4568" s="31"/>
      <c r="H4568" s="31"/>
    </row>
    <row r="4569" spans="2:8" hidden="1">
      <c r="B4569" s="33"/>
      <c r="C4569" s="31"/>
      <c r="D4569" s="31"/>
      <c r="E4569" s="31"/>
      <c r="F4569" s="31"/>
      <c r="G4569" s="31"/>
      <c r="H4569" s="31"/>
    </row>
    <row r="4570" spans="2:8" hidden="1">
      <c r="B4570" s="33"/>
      <c r="C4570" s="31"/>
      <c r="D4570" s="31"/>
      <c r="E4570" s="31"/>
      <c r="F4570" s="31"/>
      <c r="G4570" s="31"/>
      <c r="H4570" s="31"/>
    </row>
    <row r="4571" spans="2:8" hidden="1">
      <c r="B4571" s="33"/>
      <c r="C4571" s="31"/>
      <c r="D4571" s="31"/>
      <c r="E4571" s="31"/>
      <c r="F4571" s="31"/>
      <c r="G4571" s="31"/>
      <c r="H4571" s="31"/>
    </row>
    <row r="4572" spans="2:8" hidden="1">
      <c r="B4572" s="33"/>
      <c r="C4572" s="31"/>
      <c r="D4572" s="31"/>
      <c r="E4572" s="31"/>
      <c r="F4572" s="31"/>
      <c r="G4572" s="31"/>
      <c r="H4572" s="31"/>
    </row>
    <row r="4573" spans="2:8" hidden="1">
      <c r="B4573" s="33"/>
      <c r="C4573" s="31"/>
      <c r="D4573" s="31"/>
      <c r="E4573" s="31"/>
      <c r="F4573" s="31"/>
      <c r="G4573" s="31"/>
      <c r="H4573" s="31"/>
    </row>
    <row r="4574" spans="2:8" hidden="1">
      <c r="B4574" s="33"/>
      <c r="C4574" s="31"/>
      <c r="D4574" s="31"/>
      <c r="E4574" s="31"/>
      <c r="F4574" s="31"/>
      <c r="G4574" s="31"/>
      <c r="H4574" s="31"/>
    </row>
    <row r="4575" spans="2:8" hidden="1">
      <c r="B4575" s="33"/>
      <c r="C4575" s="31"/>
      <c r="D4575" s="31"/>
      <c r="E4575" s="31"/>
      <c r="F4575" s="31"/>
      <c r="G4575" s="31"/>
      <c r="H4575" s="31"/>
    </row>
    <row r="4576" spans="2:8" hidden="1">
      <c r="B4576" s="33"/>
      <c r="C4576" s="31"/>
      <c r="D4576" s="31"/>
      <c r="E4576" s="31"/>
      <c r="F4576" s="31"/>
      <c r="G4576" s="31"/>
      <c r="H4576" s="31"/>
    </row>
    <row r="4577" spans="2:8" hidden="1">
      <c r="B4577" s="33"/>
      <c r="C4577" s="31"/>
      <c r="D4577" s="31"/>
      <c r="E4577" s="31"/>
      <c r="F4577" s="33"/>
      <c r="G4577" s="31"/>
      <c r="H4577" s="31"/>
    </row>
    <row r="4578" spans="2:8" hidden="1">
      <c r="B4578" s="33"/>
      <c r="C4578" s="31"/>
      <c r="D4578" s="33"/>
      <c r="E4578" s="33"/>
      <c r="F4578" s="33"/>
      <c r="G4578" s="33"/>
      <c r="H4578" s="31"/>
    </row>
    <row r="4579" spans="2:8" hidden="1">
      <c r="B4579" s="33"/>
      <c r="C4579" s="31"/>
      <c r="D4579" s="33"/>
      <c r="E4579" s="33"/>
      <c r="F4579" s="33"/>
      <c r="G4579" s="33"/>
      <c r="H4579" s="31"/>
    </row>
    <row r="4580" spans="2:8" hidden="1">
      <c r="B4580" s="33"/>
      <c r="C4580" s="31"/>
      <c r="D4580" s="33"/>
      <c r="E4580" s="33"/>
      <c r="F4580" s="33"/>
      <c r="G4580" s="33"/>
      <c r="H4580" s="31"/>
    </row>
    <row r="4581" spans="2:8" hidden="1">
      <c r="B4581" s="33"/>
      <c r="C4581" s="31"/>
      <c r="D4581" s="33"/>
      <c r="E4581" s="33"/>
      <c r="F4581" s="33"/>
      <c r="G4581" s="33"/>
      <c r="H4581" s="31"/>
    </row>
    <row r="4582" spans="2:8" hidden="1">
      <c r="B4582" s="33"/>
      <c r="C4582" s="31"/>
      <c r="D4582" s="33"/>
      <c r="E4582" s="33"/>
      <c r="F4582" s="33"/>
      <c r="G4582" s="33"/>
      <c r="H4582" s="31"/>
    </row>
    <row r="4583" spans="2:8" hidden="1">
      <c r="B4583" s="33"/>
      <c r="C4583" s="31"/>
      <c r="D4583" s="33"/>
      <c r="E4583" s="33"/>
      <c r="F4583" s="33"/>
      <c r="G4583" s="33"/>
      <c r="H4583" s="31"/>
    </row>
    <row r="4584" spans="2:8" hidden="1">
      <c r="B4584" s="33"/>
      <c r="C4584" s="31"/>
      <c r="D4584" s="33"/>
      <c r="E4584" s="33"/>
      <c r="F4584" s="33"/>
      <c r="G4584" s="33"/>
      <c r="H4584" s="31"/>
    </row>
    <row r="4585" spans="2:8" hidden="1">
      <c r="B4585" s="33"/>
      <c r="C4585" s="31"/>
      <c r="D4585" s="33"/>
      <c r="E4585" s="33"/>
      <c r="F4585" s="33"/>
      <c r="G4585" s="33"/>
      <c r="H4585" s="31"/>
    </row>
    <row r="4586" spans="2:8" hidden="1">
      <c r="B4586" s="33"/>
      <c r="C4586" s="31"/>
      <c r="D4586" s="33"/>
      <c r="E4586" s="33"/>
      <c r="F4586" s="33"/>
      <c r="G4586" s="33"/>
      <c r="H4586" s="31"/>
    </row>
    <row r="4587" spans="2:8" hidden="1">
      <c r="B4587" s="33"/>
      <c r="C4587" s="31"/>
      <c r="D4587" s="33"/>
      <c r="E4587" s="33"/>
      <c r="F4587" s="33"/>
      <c r="G4587" s="33"/>
      <c r="H4587" s="31"/>
    </row>
    <row r="4588" spans="2:8" hidden="1">
      <c r="B4588" s="33"/>
      <c r="C4588" s="31"/>
      <c r="D4588" s="33"/>
      <c r="E4588" s="33"/>
      <c r="F4588" s="33"/>
      <c r="G4588" s="33"/>
      <c r="H4588" s="31"/>
    </row>
    <row r="4589" spans="2:8" hidden="1">
      <c r="B4589" s="33"/>
      <c r="C4589" s="31"/>
      <c r="D4589" s="33"/>
      <c r="E4589" s="33"/>
      <c r="F4589" s="33"/>
      <c r="G4589" s="33"/>
      <c r="H4589" s="31"/>
    </row>
    <row r="4590" spans="2:8" hidden="1">
      <c r="B4590" s="33"/>
      <c r="C4590" s="31"/>
      <c r="D4590" s="33"/>
      <c r="E4590" s="33"/>
      <c r="F4590" s="33"/>
      <c r="G4590" s="33"/>
      <c r="H4590" s="31"/>
    </row>
    <row r="4591" spans="2:8" hidden="1">
      <c r="B4591" s="33"/>
      <c r="C4591" s="33"/>
      <c r="D4591" s="33"/>
      <c r="E4591" s="33"/>
      <c r="F4591" s="33"/>
      <c r="G4591" s="33"/>
      <c r="H4591" s="31"/>
    </row>
    <row r="4592" spans="2:8" hidden="1">
      <c r="B4592" s="33"/>
      <c r="C4592" s="31"/>
      <c r="D4592" s="31"/>
      <c r="E4592" s="31"/>
      <c r="F4592" s="31"/>
      <c r="G4592" s="31"/>
      <c r="H4592" s="31"/>
    </row>
    <row r="4593" spans="2:8" hidden="1">
      <c r="B4593" s="33"/>
      <c r="C4593" s="31"/>
      <c r="D4593" s="31"/>
      <c r="E4593" s="31"/>
      <c r="F4593" s="31"/>
      <c r="G4593" s="31"/>
      <c r="H4593" s="31"/>
    </row>
    <row r="4594" spans="2:8" hidden="1">
      <c r="B4594" s="33"/>
      <c r="C4594" s="31"/>
      <c r="D4594" s="31"/>
      <c r="E4594" s="31"/>
      <c r="F4594" s="31"/>
      <c r="G4594" s="31"/>
      <c r="H4594" s="31"/>
    </row>
    <row r="4595" spans="2:8" hidden="1">
      <c r="B4595" s="33"/>
      <c r="C4595" s="31"/>
      <c r="D4595" s="31"/>
      <c r="E4595" s="31"/>
      <c r="F4595" s="31"/>
      <c r="G4595" s="31"/>
      <c r="H4595" s="31"/>
    </row>
    <row r="4596" spans="2:8" hidden="1">
      <c r="B4596" s="33"/>
      <c r="C4596" s="31"/>
      <c r="D4596" s="31"/>
      <c r="E4596" s="31"/>
      <c r="F4596" s="31"/>
      <c r="G4596" s="31"/>
      <c r="H4596" s="31"/>
    </row>
    <row r="4597" spans="2:8" hidden="1">
      <c r="B4597" s="33"/>
      <c r="C4597" s="31"/>
      <c r="D4597" s="31"/>
      <c r="E4597" s="31"/>
      <c r="F4597" s="31"/>
      <c r="G4597" s="31"/>
      <c r="H4597" s="31"/>
    </row>
    <row r="4598" spans="2:8" hidden="1">
      <c r="B4598" s="33"/>
      <c r="C4598" s="31"/>
      <c r="D4598" s="31"/>
      <c r="E4598" s="31"/>
      <c r="F4598" s="31"/>
      <c r="G4598" s="31"/>
      <c r="H4598" s="31"/>
    </row>
    <row r="4599" spans="2:8" hidden="1">
      <c r="B4599" s="33"/>
      <c r="C4599" s="31"/>
      <c r="D4599" s="31"/>
      <c r="E4599" s="31"/>
      <c r="F4599" s="31"/>
      <c r="G4599" s="31"/>
      <c r="H4599" s="31"/>
    </row>
    <row r="4600" spans="2:8" hidden="1">
      <c r="B4600" s="33"/>
      <c r="C4600" s="31"/>
      <c r="D4600" s="31"/>
      <c r="E4600" s="31"/>
      <c r="F4600" s="31"/>
      <c r="G4600" s="31"/>
      <c r="H4600" s="31"/>
    </row>
    <row r="4601" spans="2:8" hidden="1">
      <c r="B4601" s="33"/>
      <c r="C4601" s="31"/>
      <c r="D4601" s="31"/>
      <c r="E4601" s="31"/>
      <c r="F4601" s="31"/>
      <c r="G4601" s="31"/>
      <c r="H4601" s="31"/>
    </row>
    <row r="4602" spans="2:8" hidden="1">
      <c r="B4602" s="33"/>
      <c r="C4602" s="31"/>
      <c r="D4602" s="31"/>
      <c r="E4602" s="31"/>
      <c r="F4602" s="31"/>
      <c r="G4602" s="31"/>
      <c r="H4602" s="31"/>
    </row>
    <row r="4603" spans="2:8" hidden="1">
      <c r="B4603" s="33"/>
      <c r="C4603" s="31"/>
      <c r="D4603" s="31"/>
      <c r="E4603" s="31"/>
      <c r="F4603" s="31"/>
      <c r="G4603" s="31"/>
      <c r="H4603" s="31"/>
    </row>
    <row r="4604" spans="2:8" hidden="1">
      <c r="B4604" s="33"/>
      <c r="C4604" s="31"/>
      <c r="D4604" s="75"/>
      <c r="E4604" s="31"/>
      <c r="F4604" s="405"/>
      <c r="G4604" s="75"/>
      <c r="H4604" s="31"/>
    </row>
    <row r="4605" spans="2:8" hidden="1">
      <c r="B4605" s="33"/>
      <c r="C4605" s="31"/>
      <c r="D4605" s="31"/>
      <c r="E4605" s="31"/>
      <c r="F4605" s="691"/>
      <c r="G4605" s="732"/>
      <c r="H4605" s="31"/>
    </row>
    <row r="4606" spans="2:8" hidden="1">
      <c r="B4606" s="33"/>
      <c r="C4606" s="31"/>
      <c r="D4606" s="31"/>
      <c r="E4606" s="31"/>
      <c r="F4606" s="405"/>
      <c r="G4606" s="75"/>
      <c r="H4606" s="31"/>
    </row>
    <row r="4607" spans="2:8" hidden="1">
      <c r="B4607" s="33"/>
      <c r="C4607" s="31"/>
      <c r="D4607" s="75"/>
      <c r="E4607" s="31"/>
      <c r="F4607" s="405"/>
      <c r="G4607" s="75"/>
      <c r="H4607" s="31"/>
    </row>
    <row r="4608" spans="2:8" hidden="1">
      <c r="B4608" s="33"/>
      <c r="C4608" s="31"/>
      <c r="D4608" s="31"/>
      <c r="E4608" s="31"/>
      <c r="F4608" s="691"/>
      <c r="G4608" s="732"/>
      <c r="H4608" s="31"/>
    </row>
    <row r="4609" spans="2:8" hidden="1">
      <c r="B4609" s="33"/>
      <c r="C4609" s="31"/>
      <c r="D4609" s="31"/>
      <c r="E4609" s="31"/>
      <c r="F4609" s="405"/>
      <c r="G4609" s="75"/>
      <c r="H4609" s="31"/>
    </row>
    <row r="4610" spans="2:8" hidden="1">
      <c r="B4610" s="33"/>
      <c r="C4610" s="31"/>
      <c r="D4610" s="31"/>
      <c r="E4610" s="31"/>
      <c r="F4610" s="31"/>
      <c r="G4610" s="31"/>
      <c r="H4610" s="31"/>
    </row>
    <row r="4611" spans="2:8" hidden="1">
      <c r="B4611" s="33"/>
      <c r="C4611" s="31"/>
      <c r="D4611" s="31"/>
      <c r="E4611" s="31"/>
      <c r="F4611" s="31"/>
      <c r="G4611" s="31"/>
      <c r="H4611" s="31"/>
    </row>
    <row r="4612" spans="2:8" hidden="1">
      <c r="B4612" s="33"/>
      <c r="C4612" s="200"/>
      <c r="D4612" s="31"/>
      <c r="E4612" s="200"/>
      <c r="F4612" s="769"/>
      <c r="G4612" s="31"/>
      <c r="H4612" s="31"/>
    </row>
    <row r="4613" spans="2:8" hidden="1">
      <c r="B4613" s="76"/>
      <c r="C4613" s="31"/>
      <c r="D4613" s="31"/>
      <c r="E4613" s="31"/>
      <c r="F4613" s="75"/>
      <c r="G4613" s="31"/>
      <c r="H4613" s="31"/>
    </row>
    <row r="4614" spans="2:8" hidden="1">
      <c r="B4614" s="33"/>
      <c r="C4614" s="33"/>
      <c r="D4614" s="33"/>
      <c r="E4614" s="33"/>
      <c r="F4614" s="33"/>
      <c r="G4614" s="33"/>
      <c r="H4614" s="31"/>
    </row>
    <row r="4615" spans="2:8" hidden="1">
      <c r="B4615" s="33"/>
      <c r="C4615" s="31"/>
      <c r="D4615" s="33"/>
      <c r="E4615" s="33"/>
      <c r="F4615" s="33"/>
      <c r="G4615" s="33"/>
      <c r="H4615" s="31"/>
    </row>
    <row r="4616" spans="2:8" hidden="1">
      <c r="B4616" s="405"/>
      <c r="C4616" s="76"/>
      <c r="D4616" s="731"/>
      <c r="E4616" s="75"/>
      <c r="F4616" s="75"/>
      <c r="G4616" s="75"/>
      <c r="H4616" s="31"/>
    </row>
    <row r="4617" spans="2:8" hidden="1">
      <c r="B4617" s="405"/>
      <c r="C4617" s="76"/>
      <c r="D4617" s="731"/>
      <c r="E4617" s="75"/>
      <c r="F4617" s="75"/>
      <c r="G4617" s="75"/>
      <c r="H4617" s="31"/>
    </row>
    <row r="4618" spans="2:8" hidden="1">
      <c r="B4618" s="405"/>
      <c r="C4618" s="76"/>
      <c r="D4618" s="731"/>
      <c r="E4618" s="75"/>
      <c r="F4618" s="75"/>
      <c r="G4618" s="75"/>
      <c r="H4618" s="31"/>
    </row>
    <row r="4619" spans="2:8" hidden="1">
      <c r="B4619" s="405"/>
      <c r="C4619" s="76"/>
      <c r="D4619" s="731"/>
      <c r="E4619" s="75"/>
      <c r="F4619" s="75"/>
      <c r="G4619" s="75"/>
      <c r="H4619" s="31"/>
    </row>
    <row r="4620" spans="2:8" hidden="1">
      <c r="B4620" s="405"/>
      <c r="C4620" s="76"/>
      <c r="D4620" s="731"/>
      <c r="E4620" s="75"/>
      <c r="F4620" s="75"/>
      <c r="G4620" s="75"/>
      <c r="H4620" s="31"/>
    </row>
    <row r="4621" spans="2:8" hidden="1">
      <c r="B4621" s="405"/>
      <c r="C4621" s="76"/>
      <c r="D4621" s="731"/>
      <c r="E4621" s="75"/>
      <c r="F4621" s="75"/>
      <c r="G4621" s="75"/>
      <c r="H4621" s="31"/>
    </row>
    <row r="4622" spans="2:8" hidden="1">
      <c r="B4622" s="405"/>
      <c r="C4622" s="76"/>
      <c r="D4622" s="731"/>
      <c r="E4622" s="75"/>
      <c r="F4622" s="75"/>
      <c r="G4622" s="75"/>
      <c r="H4622" s="31"/>
    </row>
    <row r="4623" spans="2:8" hidden="1">
      <c r="B4623" s="405"/>
      <c r="C4623" s="76"/>
      <c r="D4623" s="731"/>
      <c r="E4623" s="75"/>
      <c r="F4623" s="75"/>
      <c r="G4623" s="75"/>
      <c r="H4623" s="31"/>
    </row>
    <row r="4624" spans="2:8" hidden="1">
      <c r="B4624" s="405"/>
      <c r="C4624" s="76"/>
      <c r="D4624" s="731"/>
      <c r="E4624" s="75"/>
      <c r="F4624" s="75"/>
      <c r="G4624" s="75"/>
      <c r="H4624" s="31"/>
    </row>
    <row r="4625" spans="2:8" hidden="1">
      <c r="B4625" s="405"/>
      <c r="C4625" s="76"/>
      <c r="D4625" s="731"/>
      <c r="E4625" s="75"/>
      <c r="F4625" s="75"/>
      <c r="G4625" s="75"/>
      <c r="H4625" s="31"/>
    </row>
    <row r="4626" spans="2:8" hidden="1">
      <c r="B4626" s="405"/>
      <c r="C4626" s="76"/>
      <c r="D4626" s="731"/>
      <c r="E4626" s="75"/>
      <c r="F4626" s="75"/>
      <c r="G4626" s="75"/>
      <c r="H4626" s="31"/>
    </row>
    <row r="4627" spans="2:8" hidden="1">
      <c r="B4627" s="405"/>
      <c r="C4627" s="76"/>
      <c r="D4627" s="731"/>
      <c r="E4627" s="75"/>
      <c r="F4627" s="75"/>
      <c r="G4627" s="75"/>
      <c r="H4627" s="31"/>
    </row>
    <row r="4628" spans="2:8" hidden="1">
      <c r="B4628" s="405"/>
      <c r="C4628" s="76"/>
      <c r="D4628" s="731"/>
      <c r="E4628" s="75"/>
      <c r="F4628" s="75"/>
      <c r="G4628" s="75"/>
      <c r="H4628" s="31"/>
    </row>
    <row r="4629" spans="2:8" hidden="1">
      <c r="B4629" s="405"/>
      <c r="C4629" s="76"/>
      <c r="D4629" s="731"/>
      <c r="E4629" s="75"/>
      <c r="F4629" s="75"/>
      <c r="G4629" s="75"/>
      <c r="H4629" s="31"/>
    </row>
    <row r="4630" spans="2:8" hidden="1">
      <c r="B4630" s="405"/>
      <c r="C4630" s="76"/>
      <c r="D4630" s="731"/>
      <c r="E4630" s="75"/>
      <c r="F4630" s="75"/>
      <c r="G4630" s="75"/>
      <c r="H4630" s="31"/>
    </row>
    <row r="4631" spans="2:8" hidden="1">
      <c r="B4631" s="405"/>
      <c r="C4631" s="76"/>
      <c r="D4631" s="731"/>
      <c r="E4631" s="75"/>
      <c r="F4631" s="75"/>
      <c r="G4631" s="75"/>
      <c r="H4631" s="31"/>
    </row>
    <row r="4632" spans="2:8" hidden="1">
      <c r="B4632" s="405"/>
      <c r="C4632" s="76"/>
      <c r="D4632" s="731"/>
      <c r="E4632" s="75"/>
      <c r="F4632" s="75"/>
      <c r="G4632" s="75"/>
      <c r="H4632" s="31"/>
    </row>
    <row r="4633" spans="2:8" hidden="1">
      <c r="B4633" s="405"/>
      <c r="C4633" s="76"/>
      <c r="D4633" s="731"/>
      <c r="E4633" s="75"/>
      <c r="F4633" s="75"/>
      <c r="G4633" s="75"/>
      <c r="H4633" s="31"/>
    </row>
    <row r="4634" spans="2:8" hidden="1">
      <c r="B4634" s="30"/>
      <c r="C4634" s="76"/>
      <c r="D4634" s="731"/>
      <c r="E4634" s="75"/>
      <c r="F4634" s="75"/>
      <c r="G4634" s="75"/>
      <c r="H4634" s="31"/>
    </row>
    <row r="4635" spans="2:8" hidden="1">
      <c r="B4635" s="30"/>
      <c r="C4635" s="76"/>
      <c r="D4635" s="731"/>
      <c r="E4635" s="75"/>
      <c r="F4635" s="75"/>
      <c r="G4635" s="75"/>
      <c r="H4635" s="31"/>
    </row>
    <row r="4636" spans="2:8" hidden="1">
      <c r="B4636" s="30"/>
      <c r="C4636" s="76"/>
      <c r="D4636" s="731"/>
      <c r="E4636" s="75"/>
      <c r="F4636" s="75"/>
      <c r="G4636" s="75"/>
      <c r="H4636" s="31"/>
    </row>
    <row r="4637" spans="2:8" hidden="1">
      <c r="B4637" s="30"/>
      <c r="C4637" s="76"/>
      <c r="D4637" s="731"/>
      <c r="E4637" s="75"/>
      <c r="F4637" s="75"/>
      <c r="G4637" s="75"/>
      <c r="H4637" s="31"/>
    </row>
    <row r="4638" spans="2:8" hidden="1">
      <c r="B4638" s="30"/>
      <c r="C4638" s="76"/>
      <c r="D4638" s="731"/>
      <c r="E4638" s="75"/>
      <c r="F4638" s="75"/>
      <c r="G4638" s="75"/>
      <c r="H4638" s="31"/>
    </row>
    <row r="4639" spans="2:8" hidden="1">
      <c r="B4639" s="30"/>
      <c r="C4639" s="76"/>
      <c r="D4639" s="731"/>
      <c r="E4639" s="75"/>
      <c r="F4639" s="75"/>
      <c r="G4639" s="75"/>
      <c r="H4639" s="31"/>
    </row>
    <row r="4640" spans="2:8" hidden="1">
      <c r="B4640" s="30"/>
      <c r="C4640" s="76"/>
      <c r="D4640" s="731"/>
      <c r="E4640" s="75"/>
      <c r="F4640" s="75"/>
      <c r="G4640" s="75"/>
      <c r="H4640" s="31"/>
    </row>
    <row r="4641" spans="2:8" hidden="1">
      <c r="B4641" s="30"/>
      <c r="C4641" s="76"/>
      <c r="D4641" s="731"/>
      <c r="E4641" s="75"/>
      <c r="F4641" s="75"/>
      <c r="G4641" s="75"/>
      <c r="H4641" s="31"/>
    </row>
    <row r="4642" spans="2:8" hidden="1">
      <c r="B4642" s="30"/>
      <c r="C4642" s="76"/>
      <c r="D4642" s="731"/>
      <c r="E4642" s="75"/>
      <c r="F4642" s="75"/>
      <c r="G4642" s="75"/>
      <c r="H4642" s="31"/>
    </row>
    <row r="4643" spans="2:8" hidden="1">
      <c r="B4643" s="30"/>
      <c r="C4643" s="76"/>
      <c r="D4643" s="731"/>
      <c r="E4643" s="75"/>
      <c r="F4643" s="75"/>
      <c r="G4643" s="75"/>
      <c r="H4643" s="31"/>
    </row>
    <row r="4644" spans="2:8" hidden="1">
      <c r="B4644" s="30"/>
      <c r="C4644" s="76"/>
      <c r="D4644" s="731"/>
      <c r="E4644" s="75"/>
      <c r="F4644" s="75"/>
      <c r="G4644" s="75"/>
      <c r="H4644" s="31"/>
    </row>
    <row r="4645" spans="2:8" hidden="1">
      <c r="B4645" s="30"/>
      <c r="C4645" s="76"/>
      <c r="D4645" s="731"/>
      <c r="E4645" s="75"/>
      <c r="F4645" s="75"/>
      <c r="G4645" s="75"/>
      <c r="H4645" s="31"/>
    </row>
    <row r="4646" spans="2:8" hidden="1">
      <c r="B4646" s="30"/>
      <c r="C4646" s="76"/>
      <c r="D4646" s="731"/>
      <c r="E4646" s="75"/>
      <c r="F4646" s="75"/>
      <c r="G4646" s="75"/>
      <c r="H4646" s="31"/>
    </row>
    <row r="4647" spans="2:8" hidden="1">
      <c r="B4647" s="30"/>
      <c r="C4647" s="76"/>
      <c r="D4647" s="731"/>
      <c r="E4647" s="75"/>
      <c r="F4647" s="75"/>
      <c r="G4647" s="75"/>
      <c r="H4647" s="31"/>
    </row>
    <row r="4648" spans="2:8" hidden="1">
      <c r="B4648" s="30"/>
      <c r="C4648" s="76"/>
      <c r="D4648" s="731"/>
      <c r="E4648" s="75"/>
      <c r="F4648" s="75"/>
      <c r="G4648" s="75"/>
      <c r="H4648" s="31"/>
    </row>
    <row r="4649" spans="2:8" hidden="1">
      <c r="B4649" s="33"/>
      <c r="C4649" s="31"/>
      <c r="D4649" s="31"/>
      <c r="E4649" s="200"/>
      <c r="F4649" s="200"/>
      <c r="G4649" s="75"/>
      <c r="H4649" s="31"/>
    </row>
    <row r="4650" spans="2:8" hidden="1">
      <c r="B4650" s="33"/>
      <c r="C4650" s="31"/>
      <c r="D4650" s="31"/>
      <c r="E4650" s="198"/>
      <c r="F4650" s="200"/>
      <c r="G4650" s="75"/>
      <c r="H4650" s="31"/>
    </row>
    <row r="4651" spans="2:8" hidden="1">
      <c r="B4651" s="33"/>
      <c r="C4651" s="31"/>
      <c r="D4651" s="31"/>
      <c r="E4651" s="198"/>
      <c r="F4651" s="200"/>
      <c r="G4651" s="75"/>
      <c r="H4651" s="31"/>
    </row>
    <row r="4652" spans="2:8" hidden="1">
      <c r="B4652" s="33"/>
      <c r="C4652" s="31"/>
      <c r="D4652" s="31"/>
      <c r="E4652" s="198"/>
      <c r="F4652" s="200"/>
      <c r="G4652" s="75"/>
      <c r="H4652" s="31"/>
    </row>
    <row r="4653" spans="2:8" hidden="1">
      <c r="B4653" s="33"/>
      <c r="C4653" s="200"/>
      <c r="D4653" s="30"/>
      <c r="E4653" s="30"/>
      <c r="F4653" s="200"/>
      <c r="G4653" s="75"/>
      <c r="H4653" s="31"/>
    </row>
    <row r="4654" spans="2:8" hidden="1">
      <c r="B4654" s="33"/>
      <c r="C4654" s="31"/>
      <c r="D4654" s="31"/>
      <c r="E4654" s="31"/>
      <c r="F4654" s="31"/>
      <c r="G4654" s="31"/>
      <c r="H4654" s="31"/>
    </row>
    <row r="4655" spans="2:8" hidden="1">
      <c r="B4655" s="76"/>
      <c r="C4655" s="31"/>
      <c r="D4655" s="31"/>
      <c r="E4655" s="31"/>
      <c r="F4655" s="31"/>
      <c r="G4655" s="31"/>
      <c r="H4655" s="31"/>
    </row>
    <row r="4656" spans="2:8" hidden="1">
      <c r="B4656" s="33"/>
      <c r="C4656" s="33"/>
      <c r="D4656" s="33"/>
      <c r="E4656" s="33"/>
      <c r="F4656" s="33"/>
      <c r="G4656" s="33"/>
      <c r="H4656" s="31"/>
    </row>
    <row r="4657" spans="2:8" hidden="1">
      <c r="B4657" s="33"/>
      <c r="C4657" s="31"/>
      <c r="D4657" s="33"/>
      <c r="E4657" s="33"/>
      <c r="F4657" s="33"/>
      <c r="G4657" s="33"/>
      <c r="H4657" s="31"/>
    </row>
    <row r="4658" spans="2:8" hidden="1">
      <c r="B4658" s="405"/>
      <c r="C4658" s="76"/>
      <c r="D4658" s="731"/>
      <c r="E4658" s="75"/>
      <c r="F4658" s="75"/>
      <c r="G4658" s="75"/>
      <c r="H4658" s="31"/>
    </row>
    <row r="4659" spans="2:8" hidden="1">
      <c r="B4659" s="405"/>
      <c r="C4659" s="76"/>
      <c r="D4659" s="731"/>
      <c r="E4659" s="75"/>
      <c r="F4659" s="75"/>
      <c r="G4659" s="75"/>
      <c r="H4659" s="31"/>
    </row>
    <row r="4660" spans="2:8" hidden="1">
      <c r="B4660" s="405"/>
      <c r="C4660" s="76"/>
      <c r="D4660" s="731"/>
      <c r="E4660" s="75"/>
      <c r="F4660" s="75"/>
      <c r="G4660" s="75"/>
      <c r="H4660" s="31"/>
    </row>
    <row r="4661" spans="2:8" hidden="1">
      <c r="B4661" s="405"/>
      <c r="C4661" s="76"/>
      <c r="D4661" s="731"/>
      <c r="E4661" s="75"/>
      <c r="F4661" s="75"/>
      <c r="G4661" s="75"/>
      <c r="H4661" s="31"/>
    </row>
    <row r="4662" spans="2:8" hidden="1">
      <c r="B4662" s="405"/>
      <c r="C4662" s="76"/>
      <c r="D4662" s="731"/>
      <c r="E4662" s="75"/>
      <c r="F4662" s="75"/>
      <c r="G4662" s="75"/>
      <c r="H4662" s="31"/>
    </row>
    <row r="4663" spans="2:8" hidden="1">
      <c r="B4663" s="405"/>
      <c r="C4663" s="76"/>
      <c r="D4663" s="731"/>
      <c r="E4663" s="75"/>
      <c r="F4663" s="75"/>
      <c r="G4663" s="75"/>
      <c r="H4663" s="31"/>
    </row>
    <row r="4664" spans="2:8" hidden="1">
      <c r="B4664" s="405"/>
      <c r="C4664" s="76"/>
      <c r="D4664" s="731"/>
      <c r="E4664" s="75"/>
      <c r="F4664" s="75"/>
      <c r="G4664" s="75"/>
      <c r="H4664" s="31"/>
    </row>
    <row r="4665" spans="2:8" hidden="1">
      <c r="B4665" s="405"/>
      <c r="C4665" s="76"/>
      <c r="D4665" s="731"/>
      <c r="E4665" s="75"/>
      <c r="F4665" s="75"/>
      <c r="G4665" s="75"/>
      <c r="H4665" s="31"/>
    </row>
    <row r="4666" spans="2:8" hidden="1">
      <c r="B4666" s="405"/>
      <c r="C4666" s="76"/>
      <c r="D4666" s="731"/>
      <c r="E4666" s="75"/>
      <c r="F4666" s="75"/>
      <c r="G4666" s="75"/>
      <c r="H4666" s="31"/>
    </row>
    <row r="4667" spans="2:8" hidden="1">
      <c r="B4667" s="405"/>
      <c r="C4667" s="76"/>
      <c r="D4667" s="731"/>
      <c r="E4667" s="75"/>
      <c r="F4667" s="75"/>
      <c r="G4667" s="75"/>
      <c r="H4667" s="31"/>
    </row>
    <row r="4668" spans="2:8" hidden="1">
      <c r="B4668" s="405"/>
      <c r="C4668" s="76"/>
      <c r="D4668" s="731"/>
      <c r="E4668" s="75"/>
      <c r="F4668" s="75"/>
      <c r="G4668" s="75"/>
      <c r="H4668" s="31"/>
    </row>
    <row r="4669" spans="2:8" hidden="1">
      <c r="B4669" s="405"/>
      <c r="C4669" s="76"/>
      <c r="D4669" s="731"/>
      <c r="E4669" s="75"/>
      <c r="F4669" s="75"/>
      <c r="G4669" s="75"/>
      <c r="H4669" s="31"/>
    </row>
    <row r="4670" spans="2:8" hidden="1">
      <c r="B4670" s="405"/>
      <c r="C4670" s="76"/>
      <c r="D4670" s="731"/>
      <c r="E4670" s="75"/>
      <c r="F4670" s="75"/>
      <c r="G4670" s="75"/>
      <c r="H4670" s="31"/>
    </row>
    <row r="4671" spans="2:8" hidden="1">
      <c r="B4671" s="33"/>
      <c r="C4671" s="31"/>
      <c r="D4671" s="31"/>
      <c r="E4671" s="200"/>
      <c r="F4671" s="200"/>
      <c r="G4671" s="75"/>
      <c r="H4671" s="31"/>
    </row>
    <row r="4672" spans="2:8" hidden="1">
      <c r="B4672" s="33"/>
      <c r="C4672" s="31"/>
      <c r="D4672" s="31"/>
      <c r="E4672" s="198"/>
      <c r="F4672" s="200"/>
      <c r="G4672" s="75"/>
      <c r="H4672" s="31"/>
    </row>
    <row r="4673" spans="2:8" hidden="1">
      <c r="B4673" s="33"/>
      <c r="C4673" s="31"/>
      <c r="D4673" s="31"/>
      <c r="E4673" s="198"/>
      <c r="F4673" s="200"/>
      <c r="G4673" s="75"/>
      <c r="H4673" s="31"/>
    </row>
    <row r="4674" spans="2:8" hidden="1">
      <c r="B4674" s="33"/>
      <c r="C4674" s="31"/>
      <c r="D4674" s="31"/>
      <c r="E4674" s="198"/>
      <c r="F4674" s="200"/>
      <c r="G4674" s="75"/>
      <c r="H4674" s="31"/>
    </row>
    <row r="4675" spans="2:8" hidden="1">
      <c r="B4675" s="33"/>
      <c r="C4675" s="30"/>
      <c r="D4675" s="30"/>
      <c r="E4675" s="30"/>
      <c r="F4675" s="200"/>
      <c r="G4675" s="75"/>
      <c r="H4675" s="31"/>
    </row>
    <row r="4676" spans="2:8" hidden="1">
      <c r="B4676" s="33"/>
      <c r="C4676" s="31"/>
      <c r="D4676" s="31"/>
      <c r="E4676" s="31"/>
      <c r="F4676" s="31"/>
      <c r="G4676" s="31"/>
      <c r="H4676" s="31"/>
    </row>
    <row r="4677" spans="2:8" hidden="1">
      <c r="B4677" s="76"/>
      <c r="C4677" s="31"/>
      <c r="D4677" s="31"/>
      <c r="E4677" s="31"/>
      <c r="F4677" s="31"/>
      <c r="G4677" s="31"/>
      <c r="H4677" s="31"/>
    </row>
    <row r="4678" spans="2:8" hidden="1">
      <c r="B4678" s="33"/>
      <c r="C4678" s="33"/>
      <c r="D4678" s="33"/>
      <c r="E4678" s="33"/>
      <c r="F4678" s="33"/>
      <c r="G4678" s="33"/>
      <c r="H4678" s="31"/>
    </row>
    <row r="4679" spans="2:8" hidden="1">
      <c r="B4679" s="33"/>
      <c r="C4679" s="31"/>
      <c r="D4679" s="33"/>
      <c r="E4679" s="33"/>
      <c r="F4679" s="33"/>
      <c r="G4679" s="33"/>
      <c r="H4679" s="31"/>
    </row>
    <row r="4680" spans="2:8" hidden="1">
      <c r="B4680" s="405"/>
      <c r="C4680" s="76"/>
      <c r="D4680" s="731"/>
      <c r="E4680" s="75"/>
      <c r="F4680" s="75"/>
      <c r="G4680" s="75"/>
      <c r="H4680" s="31"/>
    </row>
    <row r="4681" spans="2:8" hidden="1">
      <c r="B4681" s="405"/>
      <c r="C4681" s="76"/>
      <c r="D4681" s="731"/>
      <c r="E4681" s="75"/>
      <c r="F4681" s="75"/>
      <c r="G4681" s="75"/>
      <c r="H4681" s="31"/>
    </row>
    <row r="4682" spans="2:8" hidden="1">
      <c r="B4682" s="405"/>
      <c r="C4682" s="76"/>
      <c r="D4682" s="731"/>
      <c r="E4682" s="75"/>
      <c r="F4682" s="75"/>
      <c r="G4682" s="75"/>
      <c r="H4682" s="31"/>
    </row>
    <row r="4683" spans="2:8" hidden="1">
      <c r="B4683" s="405"/>
      <c r="C4683" s="76"/>
      <c r="D4683" s="731"/>
      <c r="E4683" s="75"/>
      <c r="F4683" s="75"/>
      <c r="G4683" s="75"/>
      <c r="H4683" s="31"/>
    </row>
    <row r="4684" spans="2:8" hidden="1">
      <c r="B4684" s="405"/>
      <c r="C4684" s="76"/>
      <c r="D4684" s="731"/>
      <c r="E4684" s="75"/>
      <c r="F4684" s="75"/>
      <c r="G4684" s="75"/>
      <c r="H4684" s="31"/>
    </row>
    <row r="4685" spans="2:8" hidden="1">
      <c r="B4685" s="405"/>
      <c r="C4685" s="76"/>
      <c r="D4685" s="731"/>
      <c r="E4685" s="75"/>
      <c r="F4685" s="75"/>
      <c r="G4685" s="75"/>
      <c r="H4685" s="31"/>
    </row>
    <row r="4686" spans="2:8" hidden="1">
      <c r="B4686" s="405"/>
      <c r="C4686" s="76"/>
      <c r="D4686" s="731"/>
      <c r="E4686" s="75"/>
      <c r="F4686" s="75"/>
      <c r="G4686" s="75"/>
      <c r="H4686" s="31"/>
    </row>
    <row r="4687" spans="2:8" hidden="1">
      <c r="B4687" s="405"/>
      <c r="C4687" s="76"/>
      <c r="D4687" s="731"/>
      <c r="E4687" s="75"/>
      <c r="F4687" s="75"/>
      <c r="G4687" s="75"/>
      <c r="H4687" s="31"/>
    </row>
    <row r="4688" spans="2:8" hidden="1">
      <c r="B4688" s="405"/>
      <c r="C4688" s="76"/>
      <c r="D4688" s="731"/>
      <c r="E4688" s="75"/>
      <c r="F4688" s="75"/>
      <c r="G4688" s="75"/>
      <c r="H4688" s="31"/>
    </row>
    <row r="4689" spans="2:8" hidden="1">
      <c r="B4689" s="30"/>
      <c r="C4689" s="76"/>
      <c r="D4689" s="731"/>
      <c r="E4689" s="75"/>
      <c r="F4689" s="75"/>
      <c r="G4689" s="75"/>
      <c r="H4689" s="31"/>
    </row>
    <row r="4690" spans="2:8" hidden="1">
      <c r="B4690" s="30"/>
      <c r="C4690" s="76"/>
      <c r="D4690" s="731"/>
      <c r="E4690" s="75"/>
      <c r="F4690" s="75"/>
      <c r="G4690" s="75"/>
      <c r="H4690" s="31"/>
    </row>
    <row r="4691" spans="2:8" hidden="1">
      <c r="B4691" s="30"/>
      <c r="C4691" s="76"/>
      <c r="D4691" s="731"/>
      <c r="E4691" s="75"/>
      <c r="F4691" s="75"/>
      <c r="G4691" s="75"/>
      <c r="H4691" s="31"/>
    </row>
    <row r="4692" spans="2:8" hidden="1">
      <c r="B4692" s="30"/>
      <c r="C4692" s="76"/>
      <c r="D4692" s="731"/>
      <c r="E4692" s="75"/>
      <c r="F4692" s="75"/>
      <c r="G4692" s="75"/>
      <c r="H4692" s="31"/>
    </row>
    <row r="4693" spans="2:8" hidden="1">
      <c r="B4693" s="33"/>
      <c r="C4693" s="31"/>
      <c r="D4693" s="31"/>
      <c r="E4693" s="200"/>
      <c r="F4693" s="200"/>
      <c r="G4693" s="75"/>
      <c r="H4693" s="31"/>
    </row>
    <row r="4694" spans="2:8" hidden="1">
      <c r="B4694" s="33"/>
      <c r="C4694" s="31"/>
      <c r="D4694" s="31"/>
      <c r="E4694" s="198"/>
      <c r="F4694" s="200"/>
      <c r="G4694" s="75"/>
      <c r="H4694" s="31"/>
    </row>
    <row r="4695" spans="2:8" hidden="1">
      <c r="B4695" s="33"/>
      <c r="C4695" s="31"/>
      <c r="D4695" s="31"/>
      <c r="E4695" s="198"/>
      <c r="F4695" s="200"/>
      <c r="G4695" s="75"/>
      <c r="H4695" s="31"/>
    </row>
    <row r="4696" spans="2:8" hidden="1">
      <c r="B4696" s="33"/>
      <c r="C4696" s="31"/>
      <c r="D4696" s="31"/>
      <c r="E4696" s="198"/>
      <c r="F4696" s="200"/>
      <c r="G4696" s="75"/>
      <c r="H4696" s="31"/>
    </row>
    <row r="4697" spans="2:8" hidden="1">
      <c r="B4697" s="33"/>
      <c r="C4697" s="31"/>
      <c r="D4697" s="31"/>
      <c r="E4697" s="198"/>
      <c r="F4697" s="200"/>
      <c r="G4697" s="75"/>
      <c r="H4697" s="31"/>
    </row>
    <row r="4698" spans="2:8" hidden="1">
      <c r="B4698" s="33"/>
      <c r="C4698" s="31"/>
      <c r="D4698" s="31"/>
      <c r="E4698" s="198"/>
      <c r="F4698" s="200"/>
      <c r="G4698" s="75"/>
      <c r="H4698" s="31"/>
    </row>
    <row r="4699" spans="2:8" hidden="1">
      <c r="B4699" s="33"/>
      <c r="C4699" s="200"/>
      <c r="D4699" s="30"/>
      <c r="E4699" s="30"/>
      <c r="F4699" s="200"/>
      <c r="G4699" s="75"/>
      <c r="H4699" s="31"/>
    </row>
    <row r="4700" spans="2:8" hidden="1">
      <c r="B4700" s="33"/>
      <c r="C4700" s="31"/>
      <c r="D4700" s="31"/>
      <c r="E4700" s="31"/>
      <c r="F4700" s="31"/>
      <c r="G4700" s="31"/>
      <c r="H4700" s="31"/>
    </row>
    <row r="4701" spans="2:8" hidden="1">
      <c r="B4701" s="33"/>
      <c r="C4701" s="31"/>
      <c r="D4701" s="31"/>
      <c r="E4701" s="31"/>
      <c r="F4701" s="31"/>
      <c r="G4701" s="31"/>
      <c r="H4701" s="31"/>
    </row>
    <row r="4702" spans="2:8" hidden="1">
      <c r="B4702" s="33"/>
      <c r="C4702" s="31"/>
      <c r="D4702" s="31"/>
      <c r="E4702" s="31"/>
      <c r="F4702" s="200"/>
      <c r="G4702" s="75"/>
      <c r="H4702" s="31"/>
    </row>
    <row r="4703" spans="2:8" hidden="1">
      <c r="B4703" s="33"/>
      <c r="C4703" s="31"/>
      <c r="D4703" s="31"/>
      <c r="E4703" s="31"/>
      <c r="F4703" s="200"/>
      <c r="G4703" s="75"/>
      <c r="H4703" s="31"/>
    </row>
    <row r="4704" spans="2:8" hidden="1">
      <c r="B4704" s="33"/>
      <c r="C4704" s="31"/>
      <c r="D4704" s="31"/>
      <c r="E4704" s="31"/>
      <c r="F4704" s="200"/>
      <c r="G4704" s="75"/>
      <c r="H4704" s="31"/>
    </row>
    <row r="4705" spans="2:8" hidden="1">
      <c r="B4705" s="33"/>
      <c r="C4705" s="31"/>
      <c r="D4705" s="31"/>
      <c r="E4705" s="200"/>
      <c r="F4705" s="200"/>
      <c r="G4705" s="75"/>
      <c r="H4705" s="31"/>
    </row>
    <row r="4706" spans="2:8" hidden="1">
      <c r="B4706" s="33"/>
      <c r="C4706" s="31"/>
      <c r="D4706" s="31"/>
      <c r="E4706" s="301"/>
      <c r="F4706" s="200"/>
      <c r="G4706" s="75"/>
      <c r="H4706" s="31"/>
    </row>
    <row r="4707" spans="2:8" hidden="1">
      <c r="B4707" s="33"/>
      <c r="C4707" s="31"/>
      <c r="D4707" s="31"/>
      <c r="E4707" s="767"/>
      <c r="F4707" s="200"/>
      <c r="G4707" s="75"/>
      <c r="H4707" s="31"/>
    </row>
    <row r="4708" spans="2:8" hidden="1">
      <c r="B4708" s="33"/>
      <c r="C4708" s="31"/>
      <c r="D4708" s="31"/>
      <c r="E4708" s="767"/>
      <c r="F4708" s="200"/>
      <c r="G4708" s="75"/>
      <c r="H4708" s="31"/>
    </row>
    <row r="4709" spans="2:8" hidden="1">
      <c r="B4709" s="33"/>
      <c r="C4709" s="31"/>
      <c r="D4709" s="31"/>
      <c r="E4709" s="767"/>
      <c r="F4709" s="200"/>
      <c r="G4709" s="75"/>
      <c r="H4709" s="31"/>
    </row>
    <row r="4710" spans="2:8" hidden="1">
      <c r="B4710" s="33"/>
      <c r="C4710" s="31"/>
      <c r="D4710" s="31"/>
      <c r="E4710" s="767"/>
      <c r="F4710" s="200"/>
      <c r="G4710" s="75"/>
      <c r="H4710" s="31"/>
    </row>
    <row r="4711" spans="2:8" hidden="1">
      <c r="B4711" s="33"/>
      <c r="C4711" s="31"/>
      <c r="D4711" s="75"/>
      <c r="E4711" s="767"/>
      <c r="F4711" s="200"/>
      <c r="G4711" s="75"/>
      <c r="H4711" s="31"/>
    </row>
    <row r="4712" spans="2:8" hidden="1">
      <c r="B4712" s="33"/>
      <c r="C4712" s="31"/>
      <c r="D4712" s="31"/>
      <c r="E4712" s="767"/>
      <c r="F4712" s="200"/>
      <c r="G4712" s="75"/>
      <c r="H4712" s="31"/>
    </row>
    <row r="4713" spans="2:8" hidden="1">
      <c r="B4713" s="33"/>
      <c r="C4713" s="31"/>
      <c r="D4713" s="31"/>
      <c r="E4713" s="200"/>
      <c r="F4713" s="200"/>
      <c r="G4713" s="75"/>
      <c r="H4713" s="31"/>
    </row>
    <row r="4714" spans="2:8" hidden="1">
      <c r="B4714" s="33"/>
      <c r="C4714" s="31"/>
      <c r="D4714" s="31"/>
      <c r="E4714" s="200"/>
      <c r="F4714" s="200"/>
      <c r="G4714" s="31"/>
      <c r="H4714" s="31"/>
    </row>
    <row r="4715" spans="2:8" hidden="1">
      <c r="B4715" s="33"/>
      <c r="C4715" s="31"/>
      <c r="D4715" s="75"/>
      <c r="E4715" s="76"/>
      <c r="F4715" s="200"/>
      <c r="G4715" s="75"/>
      <c r="H4715" s="31"/>
    </row>
    <row r="4716" spans="2:8" hidden="1">
      <c r="B4716" s="33"/>
      <c r="C4716" s="31"/>
      <c r="D4716" s="198"/>
      <c r="E4716" s="198"/>
      <c r="F4716" s="200"/>
      <c r="G4716" s="75"/>
      <c r="H4716" s="31"/>
    </row>
    <row r="4717" spans="2:8" hidden="1">
      <c r="B4717" s="33"/>
      <c r="C4717" s="31"/>
      <c r="D4717" s="768"/>
      <c r="E4717" s="31"/>
      <c r="F4717" s="200"/>
      <c r="G4717" s="75"/>
      <c r="H4717" s="31"/>
    </row>
    <row r="4718" spans="2:8" hidden="1">
      <c r="B4718" s="33"/>
      <c r="C4718" s="31"/>
      <c r="D4718" s="768"/>
      <c r="E4718" s="31"/>
      <c r="F4718" s="200"/>
      <c r="G4718" s="31"/>
      <c r="H4718" s="31"/>
    </row>
    <row r="4719" spans="2:8" hidden="1">
      <c r="B4719" s="33"/>
      <c r="C4719" s="31"/>
      <c r="D4719" s="200"/>
      <c r="E4719" s="31"/>
      <c r="F4719" s="200"/>
      <c r="G4719" s="75"/>
      <c r="H4719" s="31"/>
    </row>
    <row r="4720" spans="2:8" hidden="1">
      <c r="B4720" s="33"/>
      <c r="C4720" s="31"/>
      <c r="D4720" s="200"/>
      <c r="E4720" s="200"/>
      <c r="F4720" s="200"/>
      <c r="G4720" s="75"/>
      <c r="H4720" s="31"/>
    </row>
    <row r="4721" spans="2:8" hidden="1">
      <c r="B4721" s="33"/>
      <c r="C4721" s="31"/>
      <c r="D4721" s="31"/>
      <c r="E4721" s="31"/>
      <c r="F4721" s="31"/>
      <c r="G4721" s="31"/>
      <c r="H4721" s="31"/>
    </row>
    <row r="4722" spans="2:8" hidden="1">
      <c r="B4722" s="33"/>
      <c r="C4722" s="31"/>
      <c r="D4722" s="31"/>
      <c r="E4722" s="31"/>
      <c r="F4722" s="31"/>
      <c r="G4722" s="31"/>
      <c r="H4722" s="31"/>
    </row>
    <row r="4723" spans="2:8" hidden="1">
      <c r="B4723" s="33"/>
      <c r="C4723" s="31"/>
      <c r="D4723" s="33"/>
      <c r="E4723" s="31"/>
      <c r="F4723" s="200"/>
      <c r="G4723" s="76"/>
      <c r="H4723" s="31"/>
    </row>
    <row r="4724" spans="2:8" hidden="1">
      <c r="B4724" s="33"/>
      <c r="C4724" s="31"/>
      <c r="D4724" s="31"/>
      <c r="E4724" s="31"/>
      <c r="F4724" s="31"/>
      <c r="G4724" s="31"/>
      <c r="H4724" s="31"/>
    </row>
    <row r="4725" spans="2:8" hidden="1">
      <c r="B4725" s="33"/>
      <c r="C4725" s="31"/>
      <c r="D4725" s="31"/>
      <c r="E4725" s="31"/>
      <c r="F4725" s="31"/>
      <c r="G4725" s="31"/>
      <c r="H4725" s="31"/>
    </row>
    <row r="4726" spans="2:8" hidden="1">
      <c r="B4726" s="33"/>
      <c r="C4726" s="31"/>
      <c r="D4726" s="31"/>
      <c r="E4726" s="31"/>
      <c r="F4726" s="31"/>
      <c r="G4726" s="31"/>
      <c r="H4726" s="31"/>
    </row>
    <row r="4727" spans="2:8" hidden="1">
      <c r="B4727" s="33"/>
      <c r="C4727" s="31"/>
      <c r="D4727" s="31"/>
      <c r="E4727" s="31"/>
      <c r="F4727" s="31"/>
      <c r="G4727" s="31"/>
      <c r="H4727" s="31"/>
    </row>
    <row r="4728" spans="2:8" hidden="1">
      <c r="B4728" s="33"/>
      <c r="C4728" s="31"/>
      <c r="D4728" s="31"/>
      <c r="E4728" s="31"/>
      <c r="F4728" s="31"/>
      <c r="G4728" s="31"/>
      <c r="H4728" s="31"/>
    </row>
    <row r="4729" spans="2:8" hidden="1">
      <c r="B4729" s="33"/>
      <c r="C4729" s="31"/>
      <c r="D4729" s="31"/>
      <c r="E4729" s="31"/>
      <c r="F4729" s="31"/>
      <c r="G4729" s="31"/>
      <c r="H4729" s="31"/>
    </row>
    <row r="4730" spans="2:8" hidden="1">
      <c r="B4730" s="33"/>
      <c r="C4730" s="31"/>
      <c r="D4730" s="31"/>
      <c r="E4730" s="31"/>
      <c r="F4730" s="31"/>
      <c r="G4730" s="31"/>
      <c r="H4730" s="31"/>
    </row>
    <row r="4731" spans="2:8" hidden="1">
      <c r="B4731" s="33"/>
      <c r="C4731" s="31"/>
      <c r="D4731" s="31"/>
      <c r="E4731" s="31"/>
      <c r="F4731" s="31"/>
      <c r="G4731" s="31"/>
      <c r="H4731" s="31"/>
    </row>
    <row r="4732" spans="2:8" hidden="1">
      <c r="B4732" s="33"/>
      <c r="C4732" s="31"/>
      <c r="D4732" s="31"/>
      <c r="E4732" s="31"/>
      <c r="F4732" s="31"/>
      <c r="G4732" s="31"/>
      <c r="H4732" s="31"/>
    </row>
    <row r="4733" spans="2:8" hidden="1">
      <c r="B4733" s="33"/>
      <c r="C4733" s="31"/>
      <c r="D4733" s="31"/>
      <c r="E4733" s="31"/>
      <c r="F4733" s="31"/>
      <c r="G4733" s="31"/>
      <c r="H4733" s="31"/>
    </row>
    <row r="4734" spans="2:8" hidden="1">
      <c r="B4734" s="33"/>
      <c r="C4734" s="31"/>
      <c r="D4734" s="31"/>
      <c r="E4734" s="31"/>
      <c r="F4734" s="31"/>
      <c r="G4734" s="31"/>
      <c r="H4734" s="31"/>
    </row>
    <row r="4735" spans="2:8" hidden="1">
      <c r="B4735" s="33"/>
      <c r="C4735" s="31"/>
      <c r="D4735" s="31"/>
      <c r="E4735" s="31"/>
      <c r="F4735" s="31"/>
      <c r="G4735" s="31"/>
      <c r="H4735" s="31"/>
    </row>
    <row r="4736" spans="2:8" hidden="1">
      <c r="B4736" s="33"/>
      <c r="C4736" s="31"/>
      <c r="D4736" s="31"/>
      <c r="E4736" s="31"/>
      <c r="F4736" s="31"/>
      <c r="G4736" s="31"/>
      <c r="H4736" s="31"/>
    </row>
    <row r="4737" spans="2:8" hidden="1">
      <c r="B4737" s="33"/>
      <c r="C4737" s="31"/>
      <c r="D4737" s="31"/>
      <c r="E4737" s="31"/>
      <c r="F4737" s="31"/>
      <c r="G4737" s="31"/>
      <c r="H4737" s="31"/>
    </row>
    <row r="4738" spans="2:8" hidden="1">
      <c r="B4738" s="33"/>
      <c r="C4738" s="31"/>
      <c r="D4738" s="31"/>
      <c r="E4738" s="31"/>
      <c r="F4738" s="31"/>
      <c r="G4738" s="31"/>
      <c r="H4738" s="31"/>
    </row>
    <row r="4739" spans="2:8" hidden="1">
      <c r="B4739" s="33"/>
      <c r="C4739" s="31"/>
      <c r="D4739" s="31"/>
      <c r="E4739" s="31"/>
      <c r="F4739" s="31"/>
      <c r="G4739" s="31"/>
      <c r="H4739" s="31"/>
    </row>
    <row r="4740" spans="2:8" hidden="1">
      <c r="B4740" s="33"/>
      <c r="C4740" s="31"/>
      <c r="D4740" s="31"/>
      <c r="E4740" s="31"/>
      <c r="F4740" s="31"/>
      <c r="G4740" s="31"/>
      <c r="H4740" s="31"/>
    </row>
    <row r="4741" spans="2:8" hidden="1">
      <c r="B4741" s="33"/>
      <c r="C4741" s="200"/>
      <c r="D4741" s="31"/>
      <c r="E4741" s="31"/>
      <c r="F4741" s="691"/>
      <c r="G4741" s="31"/>
      <c r="H4741" s="31"/>
    </row>
    <row r="4742" spans="2:8" hidden="1">
      <c r="B4742" s="33"/>
      <c r="C4742" s="31"/>
      <c r="D4742" s="31"/>
      <c r="E4742" s="31"/>
      <c r="F4742" s="691"/>
      <c r="G4742" s="31"/>
      <c r="H4742" s="31"/>
    </row>
    <row r="4743" spans="2:8" hidden="1">
      <c r="B4743" s="33"/>
      <c r="C4743" s="31"/>
      <c r="D4743" s="31"/>
      <c r="E4743" s="31"/>
      <c r="F4743" s="691"/>
      <c r="G4743" s="31"/>
      <c r="H4743" s="31"/>
    </row>
    <row r="4744" spans="2:8" hidden="1">
      <c r="B4744" s="33"/>
      <c r="C4744" s="31"/>
      <c r="D4744" s="31"/>
      <c r="E4744" s="31"/>
      <c r="F4744" s="691"/>
      <c r="G4744" s="31"/>
      <c r="H4744" s="31"/>
    </row>
    <row r="4745" spans="2:8" hidden="1">
      <c r="B4745" s="200"/>
      <c r="C4745" s="31"/>
      <c r="D4745" s="31"/>
      <c r="E4745" s="31"/>
      <c r="F4745" s="691"/>
      <c r="G4745" s="31"/>
      <c r="H4745" s="31"/>
    </row>
    <row r="4746" spans="2:8" hidden="1">
      <c r="B4746" s="200"/>
      <c r="C4746" s="31"/>
      <c r="D4746" s="31"/>
      <c r="E4746" s="31"/>
      <c r="F4746" s="691"/>
      <c r="G4746" s="31"/>
      <c r="H4746" s="31"/>
    </row>
    <row r="4747" spans="2:8" hidden="1">
      <c r="B4747" s="200"/>
      <c r="C4747" s="31"/>
      <c r="D4747" s="31"/>
      <c r="E4747" s="31"/>
      <c r="F4747" s="691"/>
      <c r="G4747" s="31"/>
      <c r="H4747" s="31"/>
    </row>
    <row r="4748" spans="2:8" hidden="1">
      <c r="B4748" s="200"/>
      <c r="C4748" s="31"/>
      <c r="D4748" s="31"/>
      <c r="E4748" s="31"/>
      <c r="F4748" s="691"/>
      <c r="G4748" s="31"/>
      <c r="H4748" s="31"/>
    </row>
    <row r="4749" spans="2:8" hidden="1">
      <c r="B4749" s="200"/>
      <c r="C4749" s="31"/>
      <c r="D4749" s="31"/>
      <c r="E4749" s="31"/>
      <c r="F4749" s="691"/>
      <c r="G4749" s="31"/>
      <c r="H4749" s="31"/>
    </row>
    <row r="4750" spans="2:8" hidden="1">
      <c r="B4750" s="200"/>
      <c r="C4750" s="31"/>
      <c r="D4750" s="31"/>
      <c r="E4750" s="31"/>
      <c r="F4750" s="691"/>
      <c r="G4750" s="31"/>
      <c r="H4750" s="31"/>
    </row>
    <row r="4751" spans="2:8" hidden="1">
      <c r="B4751" s="200"/>
      <c r="C4751" s="31"/>
      <c r="D4751" s="31"/>
      <c r="E4751" s="31"/>
      <c r="F4751" s="691"/>
      <c r="G4751" s="31"/>
      <c r="H4751" s="31"/>
    </row>
    <row r="4752" spans="2:8" hidden="1">
      <c r="B4752" s="200"/>
      <c r="C4752" s="31"/>
      <c r="D4752" s="31"/>
      <c r="E4752" s="31"/>
      <c r="F4752" s="691"/>
      <c r="G4752" s="31"/>
      <c r="H4752" s="31"/>
    </row>
    <row r="4753" spans="2:8" hidden="1">
      <c r="B4753" s="33"/>
      <c r="C4753" s="31"/>
      <c r="D4753" s="31"/>
      <c r="E4753" s="31"/>
      <c r="F4753" s="691"/>
      <c r="G4753" s="31"/>
      <c r="H4753" s="31"/>
    </row>
    <row r="4754" spans="2:8" hidden="1">
      <c r="B4754" s="33"/>
      <c r="C4754" s="31"/>
      <c r="D4754" s="31"/>
      <c r="E4754" s="31"/>
      <c r="F4754" s="691"/>
      <c r="G4754" s="31"/>
      <c r="H4754" s="31"/>
    </row>
    <row r="4755" spans="2:8" hidden="1">
      <c r="B4755" s="33"/>
      <c r="C4755" s="31"/>
      <c r="D4755" s="31"/>
      <c r="E4755" s="31"/>
      <c r="F4755" s="691"/>
      <c r="G4755" s="31"/>
      <c r="H4755" s="31"/>
    </row>
    <row r="4756" spans="2:8" hidden="1">
      <c r="B4756" s="33"/>
      <c r="C4756" s="31"/>
      <c r="D4756" s="31"/>
      <c r="E4756" s="31"/>
      <c r="F4756" s="691"/>
      <c r="G4756" s="31"/>
      <c r="H4756" s="31"/>
    </row>
    <row r="4757" spans="2:8" hidden="1">
      <c r="B4757" s="33"/>
      <c r="C4757" s="31"/>
      <c r="D4757" s="31"/>
      <c r="E4757" s="31"/>
      <c r="F4757" s="691"/>
      <c r="G4757" s="31"/>
      <c r="H4757" s="31"/>
    </row>
    <row r="4758" spans="2:8" hidden="1">
      <c r="B4758" s="33"/>
      <c r="C4758" s="31"/>
      <c r="D4758" s="31"/>
      <c r="E4758" s="31"/>
      <c r="F4758" s="691"/>
      <c r="G4758" s="31"/>
      <c r="H4758" s="31"/>
    </row>
    <row r="4759" spans="2:8" hidden="1">
      <c r="B4759" s="33"/>
      <c r="C4759" s="31"/>
      <c r="D4759" s="31"/>
      <c r="E4759" s="31"/>
      <c r="F4759" s="691"/>
      <c r="G4759" s="31"/>
      <c r="H4759" s="31"/>
    </row>
    <row r="4760" spans="2:8" hidden="1">
      <c r="B4760" s="33"/>
      <c r="C4760" s="31"/>
      <c r="D4760" s="31"/>
      <c r="E4760" s="200"/>
      <c r="F4760" s="691"/>
      <c r="G4760" s="31"/>
      <c r="H4760" s="31"/>
    </row>
    <row r="4761" spans="2:8" hidden="1">
      <c r="B4761" s="33"/>
      <c r="C4761" s="31"/>
      <c r="D4761" s="31"/>
      <c r="E4761" s="31"/>
      <c r="F4761" s="691"/>
      <c r="G4761" s="31"/>
      <c r="H4761" s="31"/>
    </row>
    <row r="4762" spans="2:8" hidden="1">
      <c r="B4762" s="33"/>
      <c r="C4762" s="31"/>
      <c r="D4762" s="31"/>
      <c r="E4762" s="31"/>
      <c r="F4762" s="691"/>
      <c r="G4762" s="31"/>
      <c r="H4762" s="31"/>
    </row>
    <row r="4763" spans="2:8" hidden="1">
      <c r="B4763" s="33"/>
      <c r="C4763" s="31"/>
      <c r="D4763" s="31"/>
      <c r="E4763" s="31"/>
      <c r="F4763" s="691"/>
      <c r="G4763" s="31"/>
      <c r="H4763" s="31"/>
    </row>
    <row r="4764" spans="2:8" hidden="1">
      <c r="B4764" s="33"/>
      <c r="C4764" s="31"/>
      <c r="D4764" s="31"/>
      <c r="E4764" s="31"/>
      <c r="F4764" s="691"/>
      <c r="G4764" s="31"/>
      <c r="H4764" s="31"/>
    </row>
    <row r="4765" spans="2:8" hidden="1">
      <c r="B4765" s="33"/>
      <c r="C4765" s="31"/>
      <c r="D4765" s="31"/>
      <c r="E4765" s="31"/>
      <c r="F4765" s="691"/>
      <c r="G4765" s="31"/>
      <c r="H4765" s="31"/>
    </row>
    <row r="4766" spans="2:8" hidden="1">
      <c r="B4766" s="33"/>
      <c r="C4766" s="31"/>
      <c r="D4766" s="31"/>
      <c r="E4766" s="31"/>
      <c r="F4766" s="691"/>
      <c r="G4766" s="31"/>
      <c r="H4766" s="31"/>
    </row>
    <row r="4767" spans="2:8" hidden="1">
      <c r="B4767" s="33"/>
      <c r="C4767" s="31"/>
      <c r="D4767" s="31"/>
      <c r="E4767" s="31"/>
      <c r="F4767" s="691"/>
      <c r="G4767" s="31"/>
      <c r="H4767" s="31"/>
    </row>
    <row r="4768" spans="2:8" hidden="1">
      <c r="B4768" s="33"/>
      <c r="C4768" s="31"/>
      <c r="D4768" s="31"/>
      <c r="E4768" s="31"/>
      <c r="F4768" s="691"/>
      <c r="G4768" s="31"/>
      <c r="H4768" s="31"/>
    </row>
    <row r="4769" spans="2:8" hidden="1">
      <c r="B4769" s="33"/>
      <c r="C4769" s="31"/>
      <c r="D4769" s="31"/>
      <c r="E4769" s="31"/>
      <c r="F4769" s="691"/>
      <c r="G4769" s="31"/>
      <c r="H4769" s="31"/>
    </row>
    <row r="4770" spans="2:8" hidden="1">
      <c r="B4770" s="33"/>
      <c r="C4770" s="31"/>
      <c r="D4770" s="31"/>
      <c r="E4770" s="31"/>
      <c r="F4770" s="691"/>
      <c r="G4770" s="31"/>
      <c r="H4770" s="31"/>
    </row>
    <row r="4771" spans="2:8" hidden="1">
      <c r="B4771" s="33"/>
      <c r="C4771" s="31"/>
      <c r="D4771" s="31"/>
      <c r="E4771" s="31"/>
      <c r="F4771" s="691"/>
      <c r="G4771" s="31"/>
      <c r="H4771" s="31"/>
    </row>
    <row r="4772" spans="2:8" hidden="1">
      <c r="B4772" s="33"/>
      <c r="C4772" s="31"/>
      <c r="D4772" s="31"/>
      <c r="E4772" s="31"/>
      <c r="F4772" s="691"/>
      <c r="G4772" s="31"/>
      <c r="H4772" s="31"/>
    </row>
    <row r="4773" spans="2:8" hidden="1">
      <c r="B4773" s="33"/>
      <c r="C4773" s="31"/>
      <c r="D4773" s="31"/>
      <c r="E4773" s="31"/>
      <c r="F4773" s="691"/>
      <c r="G4773" s="31"/>
      <c r="H4773" s="31"/>
    </row>
    <row r="4774" spans="2:8" hidden="1">
      <c r="B4774" s="33"/>
      <c r="C4774" s="31"/>
      <c r="D4774" s="31"/>
      <c r="E4774" s="31"/>
      <c r="F4774" s="691"/>
      <c r="G4774" s="31"/>
      <c r="H4774" s="31"/>
    </row>
    <row r="4775" spans="2:8" hidden="1">
      <c r="B4775" s="33"/>
      <c r="C4775" s="31"/>
      <c r="D4775" s="31"/>
      <c r="E4775" s="31"/>
      <c r="F4775" s="691"/>
      <c r="G4775" s="31"/>
      <c r="H4775" s="31"/>
    </row>
    <row r="4776" spans="2:8" hidden="1">
      <c r="B4776" s="33"/>
      <c r="C4776" s="31"/>
      <c r="D4776" s="31"/>
      <c r="E4776" s="200"/>
      <c r="F4776" s="691"/>
      <c r="G4776" s="31"/>
      <c r="H4776" s="31"/>
    </row>
    <row r="4777" spans="2:8" hidden="1">
      <c r="B4777" s="33"/>
      <c r="C4777" s="31"/>
      <c r="D4777" s="31"/>
      <c r="E4777" s="31"/>
      <c r="F4777" s="31"/>
      <c r="G4777" s="31"/>
      <c r="H4777" s="31"/>
    </row>
    <row r="4778" spans="2:8" hidden="1">
      <c r="B4778" s="33"/>
      <c r="C4778" s="31"/>
      <c r="D4778" s="31"/>
      <c r="E4778" s="31"/>
      <c r="F4778" s="31"/>
      <c r="G4778" s="31"/>
      <c r="H4778" s="31"/>
    </row>
    <row r="4779" spans="2:8" hidden="1">
      <c r="B4779" s="33"/>
      <c r="C4779" s="31"/>
      <c r="D4779" s="31"/>
      <c r="E4779" s="31"/>
      <c r="F4779" s="691"/>
      <c r="G4779" s="31"/>
      <c r="H4779" s="31"/>
    </row>
    <row r="4780" spans="2:8" hidden="1">
      <c r="B4780" s="33"/>
      <c r="C4780" s="31"/>
      <c r="D4780" s="31"/>
      <c r="E4780" s="31"/>
      <c r="F4780" s="31"/>
      <c r="G4780" s="31"/>
      <c r="H4780" s="31"/>
    </row>
    <row r="4781" spans="2:8" hidden="1">
      <c r="B4781" s="33"/>
      <c r="C4781" s="31"/>
      <c r="D4781" s="31"/>
      <c r="E4781" s="31"/>
      <c r="F4781" s="31"/>
      <c r="G4781" s="31"/>
      <c r="H4781" s="31"/>
    </row>
    <row r="4782" spans="2:8" hidden="1">
      <c r="B4782" s="33"/>
      <c r="C4782" s="31"/>
      <c r="D4782" s="31"/>
      <c r="E4782" s="31"/>
      <c r="F4782" s="691"/>
      <c r="G4782" s="31"/>
      <c r="H4782" s="31"/>
    </row>
    <row r="4783" spans="2:8" hidden="1">
      <c r="B4783" s="33"/>
      <c r="C4783" s="31"/>
      <c r="D4783" s="31"/>
      <c r="E4783" s="31"/>
      <c r="F4783" s="691"/>
      <c r="G4783" s="31"/>
      <c r="H4783" s="31"/>
    </row>
    <row r="4784" spans="2:8" hidden="1">
      <c r="B4784" s="33"/>
      <c r="C4784" s="31"/>
      <c r="D4784" s="31"/>
      <c r="E4784" s="31"/>
      <c r="F4784" s="691"/>
      <c r="G4784" s="31"/>
      <c r="H4784" s="31"/>
    </row>
    <row r="4785" spans="2:8" hidden="1">
      <c r="B4785" s="33"/>
      <c r="C4785" s="31"/>
      <c r="D4785" s="31"/>
      <c r="E4785" s="31"/>
      <c r="F4785" s="691"/>
      <c r="G4785" s="31"/>
      <c r="H4785" s="31"/>
    </row>
    <row r="4786" spans="2:8" hidden="1">
      <c r="B4786" s="33"/>
      <c r="C4786" s="31"/>
      <c r="D4786" s="31"/>
      <c r="E4786" s="31"/>
      <c r="F4786" s="691"/>
      <c r="G4786" s="31"/>
      <c r="H4786" s="31"/>
    </row>
    <row r="4787" spans="2:8" hidden="1">
      <c r="B4787" s="33"/>
      <c r="C4787" s="31"/>
      <c r="D4787" s="31"/>
      <c r="E4787" s="31"/>
      <c r="F4787" s="691"/>
      <c r="G4787" s="31"/>
      <c r="H4787" s="31"/>
    </row>
    <row r="4788" spans="2:8" hidden="1">
      <c r="B4788" s="33"/>
      <c r="C4788" s="31"/>
      <c r="D4788" s="31"/>
      <c r="E4788" s="31"/>
      <c r="F4788" s="691"/>
      <c r="G4788" s="31"/>
      <c r="H4788" s="31"/>
    </row>
    <row r="4789" spans="2:8" hidden="1">
      <c r="B4789" s="33"/>
      <c r="C4789" s="31"/>
      <c r="D4789" s="31"/>
      <c r="E4789" s="31"/>
      <c r="F4789" s="691"/>
      <c r="G4789" s="31"/>
      <c r="H4789" s="31"/>
    </row>
    <row r="4790" spans="2:8" hidden="1">
      <c r="B4790" s="33"/>
      <c r="C4790" s="31"/>
      <c r="D4790" s="31"/>
      <c r="E4790" s="31"/>
      <c r="F4790" s="691"/>
      <c r="G4790" s="31"/>
      <c r="H4790" s="31"/>
    </row>
    <row r="4791" spans="2:8" hidden="1">
      <c r="B4791" s="33"/>
      <c r="C4791" s="31"/>
      <c r="D4791" s="31"/>
      <c r="E4791" s="31"/>
      <c r="F4791" s="691"/>
      <c r="G4791" s="31"/>
      <c r="H4791" s="31"/>
    </row>
    <row r="4792" spans="2:8" hidden="1">
      <c r="B4792" s="33"/>
      <c r="C4792" s="31"/>
      <c r="D4792" s="31"/>
      <c r="E4792" s="31"/>
      <c r="F4792" s="31"/>
      <c r="G4792" s="31"/>
      <c r="H4792" s="31"/>
    </row>
    <row r="4793" spans="2:8" hidden="1">
      <c r="B4793" s="33"/>
      <c r="C4793" s="31"/>
      <c r="D4793" s="31"/>
      <c r="E4793" s="31"/>
      <c r="F4793" s="31"/>
      <c r="G4793" s="31"/>
      <c r="H4793" s="31"/>
    </row>
    <row r="4794" spans="2:8" hidden="1">
      <c r="B4794" s="33"/>
      <c r="C4794" s="31"/>
      <c r="D4794" s="31"/>
      <c r="E4794" s="31"/>
      <c r="F4794" s="31"/>
      <c r="G4794" s="31"/>
      <c r="H4794" s="31"/>
    </row>
    <row r="4795" spans="2:8" hidden="1">
      <c r="B4795" s="33"/>
      <c r="C4795" s="31"/>
      <c r="D4795" s="31"/>
      <c r="E4795" s="31"/>
      <c r="F4795" s="691"/>
      <c r="G4795" s="31"/>
      <c r="H4795" s="31"/>
    </row>
    <row r="4796" spans="2:8" hidden="1">
      <c r="B4796" s="33"/>
      <c r="C4796" s="31"/>
      <c r="D4796" s="31"/>
      <c r="E4796" s="31"/>
      <c r="F4796" s="31"/>
      <c r="G4796" s="31"/>
      <c r="H4796" s="31"/>
    </row>
    <row r="4797" spans="2:8" hidden="1">
      <c r="B4797" s="33"/>
      <c r="C4797" s="31"/>
      <c r="D4797" s="31"/>
      <c r="E4797" s="31"/>
      <c r="F4797" s="31"/>
      <c r="G4797" s="31"/>
      <c r="H4797" s="31"/>
    </row>
    <row r="4798" spans="2:8" hidden="1">
      <c r="B4798" s="33"/>
      <c r="C4798" s="31"/>
      <c r="D4798" s="31"/>
      <c r="E4798" s="31"/>
      <c r="F4798" s="31"/>
      <c r="G4798" s="31"/>
      <c r="H4798" s="31"/>
    </row>
    <row r="4799" spans="2:8" hidden="1">
      <c r="B4799" s="33"/>
      <c r="C4799" s="31"/>
      <c r="D4799" s="31"/>
      <c r="E4799" s="31"/>
      <c r="F4799" s="31"/>
      <c r="G4799" s="31"/>
      <c r="H4799" s="31"/>
    </row>
    <row r="4800" spans="2:8" hidden="1">
      <c r="B4800" s="33"/>
      <c r="C4800" s="31"/>
      <c r="D4800" s="31"/>
      <c r="E4800" s="31"/>
      <c r="F4800" s="31"/>
      <c r="G4800" s="31"/>
      <c r="H4800" s="31"/>
    </row>
    <row r="4801" spans="2:8" hidden="1">
      <c r="B4801" s="33"/>
      <c r="C4801" s="31"/>
      <c r="D4801" s="31"/>
      <c r="E4801" s="31"/>
      <c r="F4801" s="31"/>
      <c r="G4801" s="31"/>
      <c r="H4801" s="31"/>
    </row>
    <row r="4802" spans="2:8" hidden="1">
      <c r="B4802" s="33"/>
      <c r="C4802" s="31"/>
      <c r="D4802" s="31"/>
      <c r="E4802" s="31"/>
      <c r="F4802" s="31"/>
      <c r="G4802" s="31"/>
      <c r="H4802" s="31"/>
    </row>
    <row r="4803" spans="2:8" hidden="1">
      <c r="B4803" s="33"/>
      <c r="C4803" s="31"/>
      <c r="D4803" s="31"/>
      <c r="E4803" s="31"/>
      <c r="F4803" s="31"/>
      <c r="G4803" s="31"/>
      <c r="H4803" s="31"/>
    </row>
    <row r="4804" spans="2:8" hidden="1">
      <c r="B4804" s="33"/>
      <c r="C4804" s="31"/>
      <c r="D4804" s="31"/>
      <c r="E4804" s="31"/>
      <c r="F4804" s="31"/>
      <c r="G4804" s="31"/>
      <c r="H4804" s="31"/>
    </row>
    <row r="4805" spans="2:8" hidden="1">
      <c r="B4805" s="33"/>
      <c r="C4805" s="31"/>
      <c r="D4805" s="31"/>
      <c r="E4805" s="31"/>
      <c r="F4805" s="33"/>
      <c r="G4805" s="31"/>
      <c r="H4805" s="31"/>
    </row>
    <row r="4806" spans="2:8" hidden="1">
      <c r="B4806" s="33"/>
      <c r="C4806" s="31"/>
      <c r="D4806" s="33"/>
      <c r="E4806" s="33"/>
      <c r="F4806" s="33"/>
      <c r="G4806" s="33"/>
      <c r="H4806" s="31"/>
    </row>
    <row r="4807" spans="2:8" hidden="1">
      <c r="B4807" s="33"/>
      <c r="C4807" s="31"/>
      <c r="D4807" s="33"/>
      <c r="E4807" s="33"/>
      <c r="F4807" s="33"/>
      <c r="G4807" s="33"/>
      <c r="H4807" s="31"/>
    </row>
    <row r="4808" spans="2:8" hidden="1">
      <c r="B4808" s="33"/>
      <c r="C4808" s="31"/>
      <c r="D4808" s="33"/>
      <c r="E4808" s="33"/>
      <c r="F4808" s="33"/>
      <c r="G4808" s="33"/>
      <c r="H4808" s="31"/>
    </row>
    <row r="4809" spans="2:8" hidden="1">
      <c r="B4809" s="33"/>
      <c r="C4809" s="31"/>
      <c r="D4809" s="33"/>
      <c r="E4809" s="33"/>
      <c r="F4809" s="33"/>
      <c r="G4809" s="33"/>
      <c r="H4809" s="31"/>
    </row>
    <row r="4810" spans="2:8" hidden="1">
      <c r="B4810" s="33"/>
      <c r="C4810" s="31"/>
      <c r="D4810" s="33"/>
      <c r="E4810" s="33"/>
      <c r="F4810" s="33"/>
      <c r="G4810" s="33"/>
      <c r="H4810" s="31"/>
    </row>
    <row r="4811" spans="2:8" hidden="1">
      <c r="B4811" s="33"/>
      <c r="C4811" s="31"/>
      <c r="D4811" s="33"/>
      <c r="E4811" s="33"/>
      <c r="F4811" s="33"/>
      <c r="G4811" s="33"/>
      <c r="H4811" s="31"/>
    </row>
    <row r="4812" spans="2:8" hidden="1">
      <c r="B4812" s="33"/>
      <c r="C4812" s="31"/>
      <c r="D4812" s="33"/>
      <c r="E4812" s="33"/>
      <c r="F4812" s="33"/>
      <c r="G4812" s="33"/>
      <c r="H4812" s="31"/>
    </row>
    <row r="4813" spans="2:8" hidden="1">
      <c r="B4813" s="33"/>
      <c r="C4813" s="31"/>
      <c r="D4813" s="33"/>
      <c r="E4813" s="33"/>
      <c r="F4813" s="33"/>
      <c r="G4813" s="33"/>
      <c r="H4813" s="31"/>
    </row>
    <row r="4814" spans="2:8" hidden="1">
      <c r="B4814" s="33"/>
      <c r="C4814" s="33"/>
      <c r="D4814" s="33"/>
      <c r="E4814" s="33"/>
      <c r="F4814" s="33"/>
      <c r="G4814" s="33"/>
      <c r="H4814" s="31"/>
    </row>
    <row r="4815" spans="2:8" hidden="1">
      <c r="B4815" s="33"/>
      <c r="C4815" s="31"/>
      <c r="D4815" s="31"/>
      <c r="E4815" s="31"/>
      <c r="F4815" s="31"/>
      <c r="G4815" s="31"/>
      <c r="H4815" s="31"/>
    </row>
    <row r="4816" spans="2:8" hidden="1">
      <c r="B4816" s="33"/>
      <c r="C4816" s="31"/>
      <c r="D4816" s="31"/>
      <c r="E4816" s="31"/>
      <c r="F4816" s="31"/>
      <c r="G4816" s="31"/>
      <c r="H4816" s="31"/>
    </row>
    <row r="4817" spans="2:8" hidden="1">
      <c r="B4817" s="33"/>
      <c r="C4817" s="31"/>
      <c r="D4817" s="31"/>
      <c r="E4817" s="31"/>
      <c r="F4817" s="31"/>
      <c r="G4817" s="31"/>
      <c r="H4817" s="31"/>
    </row>
    <row r="4818" spans="2:8" hidden="1">
      <c r="B4818" s="33"/>
      <c r="C4818" s="31"/>
      <c r="D4818" s="31"/>
      <c r="E4818" s="31"/>
      <c r="F4818" s="31"/>
      <c r="G4818" s="31"/>
      <c r="H4818" s="31"/>
    </row>
    <row r="4819" spans="2:8" hidden="1">
      <c r="B4819" s="33"/>
      <c r="C4819" s="31"/>
      <c r="D4819" s="31"/>
      <c r="E4819" s="31"/>
      <c r="F4819" s="31"/>
      <c r="G4819" s="31"/>
      <c r="H4819" s="31"/>
    </row>
    <row r="4820" spans="2:8" hidden="1">
      <c r="B4820" s="33"/>
      <c r="C4820" s="31"/>
      <c r="D4820" s="31"/>
      <c r="E4820" s="31"/>
      <c r="F4820" s="31"/>
      <c r="G4820" s="31"/>
      <c r="H4820" s="31"/>
    </row>
    <row r="4821" spans="2:8" hidden="1">
      <c r="B4821" s="33"/>
      <c r="C4821" s="31"/>
      <c r="D4821" s="31"/>
      <c r="E4821" s="31"/>
      <c r="F4821" s="31"/>
      <c r="G4821" s="31"/>
      <c r="H4821" s="31"/>
    </row>
    <row r="4822" spans="2:8" hidden="1">
      <c r="B4822" s="33"/>
      <c r="C4822" s="31"/>
      <c r="D4822" s="31"/>
      <c r="E4822" s="31"/>
      <c r="F4822" s="31"/>
      <c r="G4822" s="31"/>
      <c r="H4822" s="31"/>
    </row>
    <row r="4823" spans="2:8" hidden="1">
      <c r="B4823" s="33"/>
      <c r="C4823" s="31"/>
      <c r="D4823" s="31"/>
      <c r="E4823" s="31"/>
      <c r="F4823" s="31"/>
      <c r="G4823" s="31"/>
      <c r="H4823" s="31"/>
    </row>
    <row r="4824" spans="2:8" hidden="1">
      <c r="B4824" s="33"/>
      <c r="C4824" s="31"/>
      <c r="D4824" s="31"/>
      <c r="E4824" s="31"/>
      <c r="F4824" s="31"/>
      <c r="G4824" s="31"/>
      <c r="H4824" s="31"/>
    </row>
    <row r="4825" spans="2:8" hidden="1">
      <c r="B4825" s="33"/>
      <c r="C4825" s="31"/>
      <c r="D4825" s="31"/>
      <c r="E4825" s="31"/>
      <c r="F4825" s="31"/>
      <c r="G4825" s="31"/>
      <c r="H4825" s="31"/>
    </row>
    <row r="4826" spans="2:8" hidden="1">
      <c r="B4826" s="33"/>
      <c r="C4826" s="31"/>
      <c r="D4826" s="31"/>
      <c r="E4826" s="31"/>
      <c r="F4826" s="31"/>
      <c r="G4826" s="31"/>
      <c r="H4826" s="31"/>
    </row>
    <row r="4827" spans="2:8" hidden="1">
      <c r="B4827" s="33"/>
      <c r="C4827" s="31"/>
      <c r="D4827" s="31"/>
      <c r="E4827" s="31"/>
      <c r="F4827" s="31"/>
      <c r="G4827" s="31"/>
      <c r="H4827" s="31"/>
    </row>
    <row r="4828" spans="2:8" hidden="1">
      <c r="B4828" s="33"/>
      <c r="C4828" s="31"/>
      <c r="D4828" s="75"/>
      <c r="E4828" s="31"/>
      <c r="F4828" s="405"/>
      <c r="G4828" s="75"/>
      <c r="H4828" s="31"/>
    </row>
    <row r="4829" spans="2:8" hidden="1">
      <c r="B4829" s="33"/>
      <c r="C4829" s="31"/>
      <c r="D4829" s="31"/>
      <c r="E4829" s="31"/>
      <c r="F4829" s="691"/>
      <c r="G4829" s="75"/>
      <c r="H4829" s="31"/>
    </row>
    <row r="4830" spans="2:8" hidden="1">
      <c r="B4830" s="33"/>
      <c r="C4830" s="31"/>
      <c r="D4830" s="31"/>
      <c r="E4830" s="31"/>
      <c r="F4830" s="405"/>
      <c r="G4830" s="75"/>
      <c r="H4830" s="31"/>
    </row>
    <row r="4831" spans="2:8" hidden="1">
      <c r="B4831" s="33"/>
      <c r="C4831" s="31"/>
      <c r="D4831" s="75"/>
      <c r="E4831" s="31"/>
      <c r="F4831" s="405"/>
      <c r="G4831" s="75"/>
      <c r="H4831" s="31"/>
    </row>
    <row r="4832" spans="2:8" hidden="1">
      <c r="B4832" s="33"/>
      <c r="C4832" s="31"/>
      <c r="D4832" s="75"/>
      <c r="E4832" s="31"/>
      <c r="F4832" s="691"/>
      <c r="G4832" s="75"/>
      <c r="H4832" s="31"/>
    </row>
    <row r="4833" spans="2:8" hidden="1">
      <c r="B4833" s="33"/>
      <c r="C4833" s="31"/>
      <c r="D4833" s="31"/>
      <c r="E4833" s="31"/>
      <c r="F4833" s="405"/>
      <c r="G4833" s="75"/>
      <c r="H4833" s="31"/>
    </row>
    <row r="4834" spans="2:8" hidden="1">
      <c r="B4834" s="33"/>
      <c r="C4834" s="31"/>
      <c r="D4834" s="31"/>
      <c r="E4834" s="31"/>
      <c r="F4834" s="31"/>
      <c r="G4834" s="31"/>
      <c r="H4834" s="31"/>
    </row>
    <row r="4835" spans="2:8" hidden="1">
      <c r="B4835" s="33"/>
      <c r="C4835" s="200"/>
      <c r="D4835" s="31"/>
      <c r="E4835" s="200"/>
      <c r="F4835" s="769"/>
      <c r="G4835" s="31"/>
      <c r="H4835" s="31"/>
    </row>
    <row r="4836" spans="2:8" hidden="1">
      <c r="B4836" s="76"/>
      <c r="C4836" s="31"/>
      <c r="D4836" s="31"/>
      <c r="E4836" s="31"/>
      <c r="F4836" s="75"/>
      <c r="G4836" s="31"/>
      <c r="H4836" s="31"/>
    </row>
    <row r="4837" spans="2:8" hidden="1">
      <c r="B4837" s="33"/>
      <c r="C4837" s="33"/>
      <c r="D4837" s="33"/>
      <c r="E4837" s="33"/>
      <c r="F4837" s="33"/>
      <c r="G4837" s="33"/>
      <c r="H4837" s="31"/>
    </row>
    <row r="4838" spans="2:8" hidden="1">
      <c r="B4838" s="33"/>
      <c r="C4838" s="31"/>
      <c r="D4838" s="33"/>
      <c r="E4838" s="33"/>
      <c r="F4838" s="33"/>
      <c r="G4838" s="33"/>
      <c r="H4838" s="31"/>
    </row>
    <row r="4839" spans="2:8" hidden="1">
      <c r="B4839" s="405"/>
      <c r="C4839" s="76"/>
      <c r="D4839" s="731"/>
      <c r="E4839" s="75"/>
      <c r="F4839" s="75"/>
      <c r="G4839" s="75"/>
      <c r="H4839" s="31"/>
    </row>
    <row r="4840" spans="2:8" hidden="1">
      <c r="B4840" s="405"/>
      <c r="C4840" s="76"/>
      <c r="D4840" s="731"/>
      <c r="E4840" s="75"/>
      <c r="F4840" s="75"/>
      <c r="G4840" s="75"/>
      <c r="H4840" s="31"/>
    </row>
    <row r="4841" spans="2:8" hidden="1">
      <c r="B4841" s="405"/>
      <c r="C4841" s="76"/>
      <c r="D4841" s="731"/>
      <c r="E4841" s="75"/>
      <c r="F4841" s="75"/>
      <c r="G4841" s="75"/>
      <c r="H4841" s="31"/>
    </row>
    <row r="4842" spans="2:8" hidden="1">
      <c r="B4842" s="405"/>
      <c r="C4842" s="76"/>
      <c r="D4842" s="731"/>
      <c r="E4842" s="75"/>
      <c r="F4842" s="75"/>
      <c r="G4842" s="75"/>
      <c r="H4842" s="31"/>
    </row>
    <row r="4843" spans="2:8" hidden="1">
      <c r="B4843" s="405"/>
      <c r="C4843" s="76"/>
      <c r="D4843" s="731"/>
      <c r="E4843" s="75"/>
      <c r="F4843" s="75"/>
      <c r="G4843" s="75"/>
      <c r="H4843" s="31"/>
    </row>
    <row r="4844" spans="2:8" hidden="1">
      <c r="B4844" s="405"/>
      <c r="C4844" s="76"/>
      <c r="D4844" s="731"/>
      <c r="E4844" s="75"/>
      <c r="F4844" s="75"/>
      <c r="G4844" s="75"/>
      <c r="H4844" s="31"/>
    </row>
    <row r="4845" spans="2:8" hidden="1">
      <c r="B4845" s="405"/>
      <c r="C4845" s="76"/>
      <c r="D4845" s="731"/>
      <c r="E4845" s="75"/>
      <c r="F4845" s="75"/>
      <c r="G4845" s="75"/>
      <c r="H4845" s="31"/>
    </row>
    <row r="4846" spans="2:8" hidden="1">
      <c r="B4846" s="405"/>
      <c r="C4846" s="76"/>
      <c r="D4846" s="731"/>
      <c r="E4846" s="75"/>
      <c r="F4846" s="75"/>
      <c r="G4846" s="75"/>
      <c r="H4846" s="31"/>
    </row>
    <row r="4847" spans="2:8" hidden="1">
      <c r="B4847" s="405"/>
      <c r="C4847" s="76"/>
      <c r="D4847" s="731"/>
      <c r="E4847" s="75"/>
      <c r="F4847" s="75"/>
      <c r="G4847" s="75"/>
      <c r="H4847" s="31"/>
    </row>
    <row r="4848" spans="2:8" hidden="1">
      <c r="B4848" s="30"/>
      <c r="C4848" s="76"/>
      <c r="D4848" s="731"/>
      <c r="E4848" s="75"/>
      <c r="F4848" s="75"/>
      <c r="G4848" s="75"/>
      <c r="H4848" s="31"/>
    </row>
    <row r="4849" spans="2:8" hidden="1">
      <c r="B4849" s="30"/>
      <c r="C4849" s="76"/>
      <c r="D4849" s="731"/>
      <c r="E4849" s="75"/>
      <c r="F4849" s="75"/>
      <c r="G4849" s="75"/>
      <c r="H4849" s="31"/>
    </row>
    <row r="4850" spans="2:8" hidden="1">
      <c r="B4850" s="30"/>
      <c r="C4850" s="76"/>
      <c r="D4850" s="731"/>
      <c r="E4850" s="75"/>
      <c r="F4850" s="75"/>
      <c r="G4850" s="75"/>
      <c r="H4850" s="31"/>
    </row>
    <row r="4851" spans="2:8" hidden="1">
      <c r="B4851" s="30"/>
      <c r="C4851" s="76"/>
      <c r="D4851" s="731"/>
      <c r="E4851" s="75"/>
      <c r="F4851" s="75"/>
      <c r="G4851" s="75"/>
      <c r="H4851" s="31"/>
    </row>
    <row r="4852" spans="2:8" hidden="1">
      <c r="B4852" s="30"/>
      <c r="C4852" s="76"/>
      <c r="D4852" s="731"/>
      <c r="E4852" s="75"/>
      <c r="F4852" s="75"/>
      <c r="G4852" s="75"/>
      <c r="H4852" s="31"/>
    </row>
    <row r="4853" spans="2:8" hidden="1">
      <c r="B4853" s="30"/>
      <c r="C4853" s="76"/>
      <c r="D4853" s="731"/>
      <c r="E4853" s="75"/>
      <c r="F4853" s="75"/>
      <c r="G4853" s="75"/>
      <c r="H4853" s="31"/>
    </row>
    <row r="4854" spans="2:8" hidden="1">
      <c r="B4854" s="30"/>
      <c r="C4854" s="76"/>
      <c r="D4854" s="731"/>
      <c r="E4854" s="75"/>
      <c r="F4854" s="75"/>
      <c r="G4854" s="75"/>
      <c r="H4854" s="31"/>
    </row>
    <row r="4855" spans="2:8" hidden="1">
      <c r="B4855" s="33"/>
      <c r="C4855" s="31"/>
      <c r="D4855" s="31"/>
      <c r="E4855" s="200"/>
      <c r="F4855" s="200"/>
      <c r="G4855" s="75"/>
      <c r="H4855" s="31"/>
    </row>
    <row r="4856" spans="2:8" hidden="1">
      <c r="B4856" s="33"/>
      <c r="C4856" s="31"/>
      <c r="D4856" s="31"/>
      <c r="E4856" s="198"/>
      <c r="F4856" s="200"/>
      <c r="G4856" s="75"/>
      <c r="H4856" s="31"/>
    </row>
    <row r="4857" spans="2:8" hidden="1">
      <c r="B4857" s="33"/>
      <c r="C4857" s="31"/>
      <c r="D4857" s="31"/>
      <c r="E4857" s="198"/>
      <c r="F4857" s="200"/>
      <c r="G4857" s="75"/>
      <c r="H4857" s="31"/>
    </row>
    <row r="4858" spans="2:8" hidden="1">
      <c r="B4858" s="33"/>
      <c r="C4858" s="31"/>
      <c r="D4858" s="31"/>
      <c r="E4858" s="198"/>
      <c r="F4858" s="200"/>
      <c r="G4858" s="75"/>
      <c r="H4858" s="31"/>
    </row>
    <row r="4859" spans="2:8" hidden="1">
      <c r="B4859" s="33"/>
      <c r="C4859" s="200"/>
      <c r="D4859" s="30"/>
      <c r="E4859" s="30"/>
      <c r="F4859" s="200"/>
      <c r="G4859" s="75"/>
      <c r="H4859" s="31"/>
    </row>
    <row r="4860" spans="2:8" hidden="1">
      <c r="B4860" s="33"/>
      <c r="C4860" s="31"/>
      <c r="D4860" s="31"/>
      <c r="E4860" s="31"/>
      <c r="F4860" s="31"/>
      <c r="G4860" s="31"/>
      <c r="H4860" s="31"/>
    </row>
    <row r="4861" spans="2:8" hidden="1">
      <c r="B4861" s="76"/>
      <c r="C4861" s="31"/>
      <c r="D4861" s="31"/>
      <c r="E4861" s="31"/>
      <c r="F4861" s="31"/>
      <c r="G4861" s="31"/>
      <c r="H4861" s="31"/>
    </row>
    <row r="4862" spans="2:8" hidden="1">
      <c r="B4862" s="33"/>
      <c r="C4862" s="33"/>
      <c r="D4862" s="33"/>
      <c r="E4862" s="33"/>
      <c r="F4862" s="33"/>
      <c r="G4862" s="33"/>
      <c r="H4862" s="31"/>
    </row>
    <row r="4863" spans="2:8" hidden="1">
      <c r="B4863" s="33"/>
      <c r="C4863" s="31"/>
      <c r="D4863" s="33"/>
      <c r="E4863" s="33"/>
      <c r="F4863" s="33"/>
      <c r="G4863" s="33"/>
      <c r="H4863" s="31"/>
    </row>
    <row r="4864" spans="2:8" hidden="1">
      <c r="B4864" s="405"/>
      <c r="C4864" s="76"/>
      <c r="D4864" s="731"/>
      <c r="E4864" s="75"/>
      <c r="F4864" s="75"/>
      <c r="G4864" s="75"/>
      <c r="H4864" s="31"/>
    </row>
    <row r="4865" spans="2:8" hidden="1">
      <c r="B4865" s="405"/>
      <c r="C4865" s="76"/>
      <c r="D4865" s="731"/>
      <c r="E4865" s="75"/>
      <c r="F4865" s="75"/>
      <c r="G4865" s="75"/>
      <c r="H4865" s="31"/>
    </row>
    <row r="4866" spans="2:8" hidden="1">
      <c r="B4866" s="405"/>
      <c r="C4866" s="76"/>
      <c r="D4866" s="731"/>
      <c r="E4866" s="75"/>
      <c r="F4866" s="75"/>
      <c r="G4866" s="75"/>
      <c r="H4866" s="31"/>
    </row>
    <row r="4867" spans="2:8" hidden="1">
      <c r="B4867" s="405"/>
      <c r="C4867" s="76"/>
      <c r="D4867" s="731"/>
      <c r="E4867" s="75"/>
      <c r="F4867" s="75"/>
      <c r="G4867" s="75"/>
      <c r="H4867" s="31"/>
    </row>
    <row r="4868" spans="2:8" hidden="1">
      <c r="B4868" s="405"/>
      <c r="C4868" s="76"/>
      <c r="D4868" s="731"/>
      <c r="E4868" s="75"/>
      <c r="F4868" s="75"/>
      <c r="G4868" s="75"/>
      <c r="H4868" s="31"/>
    </row>
    <row r="4869" spans="2:8" hidden="1">
      <c r="B4869" s="405"/>
      <c r="C4869" s="76"/>
      <c r="D4869" s="731"/>
      <c r="E4869" s="75"/>
      <c r="F4869" s="75"/>
      <c r="G4869" s="75"/>
      <c r="H4869" s="31"/>
    </row>
    <row r="4870" spans="2:8" hidden="1">
      <c r="B4870" s="405"/>
      <c r="C4870" s="76"/>
      <c r="D4870" s="731"/>
      <c r="E4870" s="75"/>
      <c r="F4870" s="75"/>
      <c r="G4870" s="75"/>
      <c r="H4870" s="31"/>
    </row>
    <row r="4871" spans="2:8" hidden="1">
      <c r="B4871" s="405"/>
      <c r="C4871" s="76"/>
      <c r="D4871" s="731"/>
      <c r="E4871" s="75"/>
      <c r="F4871" s="75"/>
      <c r="G4871" s="75"/>
      <c r="H4871" s="31"/>
    </row>
    <row r="4872" spans="2:8" hidden="1">
      <c r="B4872" s="405"/>
      <c r="C4872" s="76"/>
      <c r="D4872" s="731"/>
      <c r="E4872" s="75"/>
      <c r="F4872" s="75"/>
      <c r="G4872" s="75"/>
      <c r="H4872" s="31"/>
    </row>
    <row r="4873" spans="2:8" hidden="1">
      <c r="B4873" s="405"/>
      <c r="C4873" s="76"/>
      <c r="D4873" s="731"/>
      <c r="E4873" s="75"/>
      <c r="F4873" s="75"/>
      <c r="G4873" s="75"/>
      <c r="H4873" s="31"/>
    </row>
    <row r="4874" spans="2:8" hidden="1">
      <c r="B4874" s="405"/>
      <c r="C4874" s="76"/>
      <c r="D4874" s="731"/>
      <c r="E4874" s="75"/>
      <c r="F4874" s="75"/>
      <c r="G4874" s="75"/>
      <c r="H4874" s="31"/>
    </row>
    <row r="4875" spans="2:8" hidden="1">
      <c r="B4875" s="405"/>
      <c r="C4875" s="76"/>
      <c r="D4875" s="731"/>
      <c r="E4875" s="75"/>
      <c r="F4875" s="75"/>
      <c r="G4875" s="75"/>
      <c r="H4875" s="31"/>
    </row>
    <row r="4876" spans="2:8" hidden="1">
      <c r="B4876" s="405"/>
      <c r="C4876" s="76"/>
      <c r="D4876" s="731"/>
      <c r="E4876" s="75"/>
      <c r="F4876" s="75"/>
      <c r="G4876" s="75"/>
      <c r="H4876" s="31"/>
    </row>
    <row r="4877" spans="2:8" hidden="1">
      <c r="B4877" s="405"/>
      <c r="C4877" s="76"/>
      <c r="D4877" s="731"/>
      <c r="E4877" s="75"/>
      <c r="F4877" s="75"/>
      <c r="G4877" s="75"/>
      <c r="H4877" s="31"/>
    </row>
    <row r="4878" spans="2:8" hidden="1">
      <c r="B4878" s="405"/>
      <c r="C4878" s="76"/>
      <c r="D4878" s="731"/>
      <c r="E4878" s="75"/>
      <c r="F4878" s="75"/>
      <c r="G4878" s="75"/>
      <c r="H4878" s="31"/>
    </row>
    <row r="4879" spans="2:8" hidden="1">
      <c r="B4879" s="33"/>
      <c r="C4879" s="31"/>
      <c r="D4879" s="31"/>
      <c r="E4879" s="200"/>
      <c r="F4879" s="200"/>
      <c r="G4879" s="75"/>
      <c r="H4879" s="31"/>
    </row>
    <row r="4880" spans="2:8" hidden="1">
      <c r="B4880" s="33"/>
      <c r="C4880" s="31"/>
      <c r="D4880" s="31"/>
      <c r="E4880" s="198"/>
      <c r="F4880" s="200"/>
      <c r="G4880" s="75"/>
      <c r="H4880" s="31"/>
    </row>
    <row r="4881" spans="2:8" hidden="1">
      <c r="B4881" s="33"/>
      <c r="C4881" s="31"/>
      <c r="D4881" s="31"/>
      <c r="E4881" s="198"/>
      <c r="F4881" s="200"/>
      <c r="G4881" s="75"/>
      <c r="H4881" s="31"/>
    </row>
    <row r="4882" spans="2:8" hidden="1">
      <c r="B4882" s="33"/>
      <c r="C4882" s="31"/>
      <c r="D4882" s="31"/>
      <c r="E4882" s="198"/>
      <c r="F4882" s="200"/>
      <c r="G4882" s="75"/>
      <c r="H4882" s="31"/>
    </row>
    <row r="4883" spans="2:8" hidden="1">
      <c r="B4883" s="33"/>
      <c r="C4883" s="30"/>
      <c r="D4883" s="30"/>
      <c r="E4883" s="30"/>
      <c r="F4883" s="200"/>
      <c r="G4883" s="75"/>
      <c r="H4883" s="31"/>
    </row>
    <row r="4884" spans="2:8" hidden="1">
      <c r="B4884" s="33"/>
      <c r="C4884" s="31"/>
      <c r="D4884" s="31"/>
      <c r="E4884" s="31"/>
      <c r="F4884" s="31"/>
      <c r="G4884" s="31"/>
      <c r="H4884" s="31"/>
    </row>
    <row r="4885" spans="2:8" hidden="1">
      <c r="B4885" s="76"/>
      <c r="C4885" s="31"/>
      <c r="D4885" s="31"/>
      <c r="E4885" s="31"/>
      <c r="F4885" s="31"/>
      <c r="G4885" s="31"/>
      <c r="H4885" s="31"/>
    </row>
    <row r="4886" spans="2:8" hidden="1">
      <c r="B4886" s="33"/>
      <c r="C4886" s="33"/>
      <c r="D4886" s="33"/>
      <c r="E4886" s="33"/>
      <c r="F4886" s="33"/>
      <c r="G4886" s="33"/>
      <c r="H4886" s="31"/>
    </row>
    <row r="4887" spans="2:8" hidden="1">
      <c r="B4887" s="33"/>
      <c r="C4887" s="31"/>
      <c r="D4887" s="33"/>
      <c r="E4887" s="33"/>
      <c r="F4887" s="33"/>
      <c r="G4887" s="33"/>
      <c r="H4887" s="31"/>
    </row>
    <row r="4888" spans="2:8" hidden="1">
      <c r="B4888" s="405"/>
      <c r="C4888" s="76"/>
      <c r="D4888" s="731"/>
      <c r="E4888" s="75"/>
      <c r="F4888" s="75"/>
      <c r="G4888" s="75"/>
      <c r="H4888" s="31"/>
    </row>
    <row r="4889" spans="2:8" hidden="1">
      <c r="B4889" s="405"/>
      <c r="C4889" s="76"/>
      <c r="D4889" s="731"/>
      <c r="E4889" s="75"/>
      <c r="F4889" s="75"/>
      <c r="G4889" s="75"/>
      <c r="H4889" s="31"/>
    </row>
    <row r="4890" spans="2:8" hidden="1">
      <c r="B4890" s="405"/>
      <c r="C4890" s="76"/>
      <c r="D4890" s="731"/>
      <c r="E4890" s="75"/>
      <c r="F4890" s="75"/>
      <c r="G4890" s="75"/>
      <c r="H4890" s="31"/>
    </row>
    <row r="4891" spans="2:8" hidden="1">
      <c r="B4891" s="405"/>
      <c r="C4891" s="76"/>
      <c r="D4891" s="731"/>
      <c r="E4891" s="75"/>
      <c r="F4891" s="75"/>
      <c r="G4891" s="75"/>
      <c r="H4891" s="31"/>
    </row>
    <row r="4892" spans="2:8" hidden="1">
      <c r="B4892" s="405"/>
      <c r="C4892" s="76"/>
      <c r="D4892" s="731"/>
      <c r="E4892" s="75"/>
      <c r="F4892" s="75"/>
      <c r="G4892" s="75"/>
      <c r="H4892" s="31"/>
    </row>
    <row r="4893" spans="2:8" hidden="1">
      <c r="B4893" s="405"/>
      <c r="C4893" s="76"/>
      <c r="D4893" s="731"/>
      <c r="E4893" s="75"/>
      <c r="F4893" s="75"/>
      <c r="G4893" s="75"/>
      <c r="H4893" s="31"/>
    </row>
    <row r="4894" spans="2:8" hidden="1">
      <c r="B4894" s="405"/>
      <c r="C4894" s="76"/>
      <c r="D4894" s="731"/>
      <c r="E4894" s="75"/>
      <c r="F4894" s="75"/>
      <c r="G4894" s="75"/>
      <c r="H4894" s="31"/>
    </row>
    <row r="4895" spans="2:8" hidden="1">
      <c r="B4895" s="405"/>
      <c r="C4895" s="76"/>
      <c r="D4895" s="731"/>
      <c r="E4895" s="75"/>
      <c r="F4895" s="75"/>
      <c r="G4895" s="75"/>
      <c r="H4895" s="31"/>
    </row>
    <row r="4896" spans="2:8" hidden="1">
      <c r="B4896" s="405"/>
      <c r="C4896" s="76"/>
      <c r="D4896" s="731"/>
      <c r="E4896" s="75"/>
      <c r="F4896" s="75"/>
      <c r="G4896" s="75"/>
      <c r="H4896" s="31"/>
    </row>
    <row r="4897" spans="2:8" hidden="1">
      <c r="B4897" s="30"/>
      <c r="C4897" s="76"/>
      <c r="D4897" s="731"/>
      <c r="E4897" s="75"/>
      <c r="F4897" s="75"/>
      <c r="G4897" s="75"/>
      <c r="H4897" s="31"/>
    </row>
    <row r="4898" spans="2:8" hidden="1">
      <c r="B4898" s="30"/>
      <c r="C4898" s="76"/>
      <c r="D4898" s="731"/>
      <c r="E4898" s="75"/>
      <c r="F4898" s="75"/>
      <c r="G4898" s="75"/>
      <c r="H4898" s="31"/>
    </row>
    <row r="4899" spans="2:8" hidden="1">
      <c r="B4899" s="30"/>
      <c r="C4899" s="76"/>
      <c r="D4899" s="731"/>
      <c r="E4899" s="75"/>
      <c r="F4899" s="75"/>
      <c r="G4899" s="75"/>
      <c r="H4899" s="31"/>
    </row>
    <row r="4900" spans="2:8" hidden="1">
      <c r="B4900" s="30"/>
      <c r="C4900" s="76"/>
      <c r="D4900" s="731"/>
      <c r="E4900" s="75"/>
      <c r="F4900" s="75"/>
      <c r="G4900" s="75"/>
      <c r="H4900" s="31"/>
    </row>
    <row r="4901" spans="2:8" hidden="1">
      <c r="B4901" s="33"/>
      <c r="C4901" s="31"/>
      <c r="D4901" s="31"/>
      <c r="E4901" s="200"/>
      <c r="F4901" s="200"/>
      <c r="G4901" s="75"/>
      <c r="H4901" s="31"/>
    </row>
    <row r="4902" spans="2:8" hidden="1">
      <c r="B4902" s="33"/>
      <c r="C4902" s="31"/>
      <c r="D4902" s="31"/>
      <c r="E4902" s="198"/>
      <c r="F4902" s="200"/>
      <c r="G4902" s="75"/>
      <c r="H4902" s="31"/>
    </row>
    <row r="4903" spans="2:8" hidden="1">
      <c r="B4903" s="33"/>
      <c r="C4903" s="31"/>
      <c r="D4903" s="31"/>
      <c r="E4903" s="198"/>
      <c r="F4903" s="200"/>
      <c r="G4903" s="75"/>
      <c r="H4903" s="31"/>
    </row>
    <row r="4904" spans="2:8" hidden="1">
      <c r="B4904" s="33"/>
      <c r="C4904" s="31"/>
      <c r="D4904" s="31"/>
      <c r="E4904" s="198"/>
      <c r="F4904" s="200"/>
      <c r="G4904" s="75"/>
      <c r="H4904" s="31"/>
    </row>
    <row r="4905" spans="2:8" hidden="1">
      <c r="B4905" s="33"/>
      <c r="C4905" s="31"/>
      <c r="D4905" s="31"/>
      <c r="E4905" s="198"/>
      <c r="F4905" s="200"/>
      <c r="G4905" s="75"/>
      <c r="H4905" s="31"/>
    </row>
    <row r="4906" spans="2:8" hidden="1">
      <c r="B4906" s="33"/>
      <c r="C4906" s="31"/>
      <c r="D4906" s="31"/>
      <c r="E4906" s="198"/>
      <c r="F4906" s="200"/>
      <c r="G4906" s="75"/>
      <c r="H4906" s="31"/>
    </row>
    <row r="4907" spans="2:8" hidden="1">
      <c r="B4907" s="33"/>
      <c r="C4907" s="200"/>
      <c r="D4907" s="30"/>
      <c r="E4907" s="30"/>
      <c r="F4907" s="200"/>
      <c r="G4907" s="75"/>
      <c r="H4907" s="31"/>
    </row>
    <row r="4908" spans="2:8" hidden="1">
      <c r="B4908" s="33"/>
      <c r="C4908" s="31"/>
      <c r="D4908" s="31"/>
      <c r="E4908" s="31"/>
      <c r="F4908" s="31"/>
      <c r="G4908" s="31"/>
      <c r="H4908" s="31"/>
    </row>
    <row r="4909" spans="2:8" hidden="1">
      <c r="B4909" s="33"/>
      <c r="C4909" s="31"/>
      <c r="D4909" s="31"/>
      <c r="E4909" s="31"/>
      <c r="F4909" s="31"/>
      <c r="G4909" s="31"/>
      <c r="H4909" s="31"/>
    </row>
    <row r="4910" spans="2:8" hidden="1">
      <c r="B4910" s="33"/>
      <c r="C4910" s="31"/>
      <c r="D4910" s="31"/>
      <c r="E4910" s="31"/>
      <c r="F4910" s="200"/>
      <c r="G4910" s="75"/>
      <c r="H4910" s="31"/>
    </row>
    <row r="4911" spans="2:8" hidden="1">
      <c r="B4911" s="33"/>
      <c r="C4911" s="31"/>
      <c r="D4911" s="31"/>
      <c r="E4911" s="31"/>
      <c r="F4911" s="200"/>
      <c r="G4911" s="75"/>
      <c r="H4911" s="31"/>
    </row>
    <row r="4912" spans="2:8" hidden="1">
      <c r="B4912" s="33"/>
      <c r="C4912" s="31"/>
      <c r="D4912" s="31"/>
      <c r="E4912" s="31"/>
      <c r="F4912" s="200"/>
      <c r="G4912" s="75"/>
      <c r="H4912" s="31"/>
    </row>
    <row r="4913" spans="2:8" hidden="1">
      <c r="B4913" s="33"/>
      <c r="C4913" s="31"/>
      <c r="D4913" s="31"/>
      <c r="E4913" s="200"/>
      <c r="F4913" s="200"/>
      <c r="G4913" s="75"/>
      <c r="H4913" s="31"/>
    </row>
    <row r="4914" spans="2:8" hidden="1">
      <c r="B4914" s="33"/>
      <c r="C4914" s="31"/>
      <c r="D4914" s="31"/>
      <c r="E4914" s="301"/>
      <c r="F4914" s="200"/>
      <c r="G4914" s="75"/>
      <c r="H4914" s="31"/>
    </row>
    <row r="4915" spans="2:8" hidden="1">
      <c r="B4915" s="33"/>
      <c r="C4915" s="31"/>
      <c r="D4915" s="31"/>
      <c r="E4915" s="770"/>
      <c r="F4915" s="200"/>
      <c r="G4915" s="75"/>
      <c r="H4915" s="31"/>
    </row>
    <row r="4916" spans="2:8" hidden="1">
      <c r="B4916" s="33"/>
      <c r="C4916" s="31"/>
      <c r="D4916" s="31"/>
      <c r="E4916" s="770"/>
      <c r="F4916" s="200"/>
      <c r="G4916" s="75"/>
      <c r="H4916" s="31"/>
    </row>
    <row r="4917" spans="2:8" hidden="1">
      <c r="B4917" s="33"/>
      <c r="C4917" s="31"/>
      <c r="D4917" s="31"/>
      <c r="E4917" s="770"/>
      <c r="F4917" s="200"/>
      <c r="G4917" s="75"/>
      <c r="H4917" s="31"/>
    </row>
    <row r="4918" spans="2:8" hidden="1">
      <c r="B4918" s="33"/>
      <c r="C4918" s="31"/>
      <c r="D4918" s="31"/>
      <c r="E4918" s="770"/>
      <c r="F4918" s="200"/>
      <c r="G4918" s="75"/>
      <c r="H4918" s="31"/>
    </row>
    <row r="4919" spans="2:8" hidden="1">
      <c r="B4919" s="33"/>
      <c r="C4919" s="31"/>
      <c r="D4919" s="75"/>
      <c r="E4919" s="770"/>
      <c r="F4919" s="200"/>
      <c r="G4919" s="75"/>
      <c r="H4919" s="31"/>
    </row>
    <row r="4920" spans="2:8" hidden="1">
      <c r="B4920" s="33"/>
      <c r="C4920" s="31"/>
      <c r="D4920" s="31"/>
      <c r="E4920" s="770"/>
      <c r="F4920" s="200"/>
      <c r="G4920" s="75"/>
      <c r="H4920" s="31"/>
    </row>
    <row r="4921" spans="2:8" hidden="1">
      <c r="B4921" s="33"/>
      <c r="C4921" s="31"/>
      <c r="D4921" s="31"/>
      <c r="E4921" s="200"/>
      <c r="F4921" s="200"/>
      <c r="G4921" s="75"/>
      <c r="H4921" s="31"/>
    </row>
    <row r="4922" spans="2:8" hidden="1">
      <c r="B4922" s="33"/>
      <c r="C4922" s="31"/>
      <c r="D4922" s="31"/>
      <c r="E4922" s="200"/>
      <c r="F4922" s="200"/>
      <c r="G4922" s="31"/>
      <c r="H4922" s="31"/>
    </row>
    <row r="4923" spans="2:8" hidden="1">
      <c r="B4923" s="33"/>
      <c r="C4923" s="31"/>
      <c r="D4923" s="75"/>
      <c r="E4923" s="76"/>
      <c r="F4923" s="200"/>
      <c r="G4923" s="75"/>
      <c r="H4923" s="31"/>
    </row>
    <row r="4924" spans="2:8" hidden="1">
      <c r="B4924" s="33"/>
      <c r="C4924" s="31"/>
      <c r="D4924" s="198"/>
      <c r="E4924" s="198"/>
      <c r="F4924" s="200"/>
      <c r="G4924" s="75"/>
      <c r="H4924" s="31"/>
    </row>
    <row r="4925" spans="2:8" hidden="1">
      <c r="B4925" s="33"/>
      <c r="C4925" s="31"/>
      <c r="D4925" s="768"/>
      <c r="E4925" s="31"/>
      <c r="F4925" s="200"/>
      <c r="G4925" s="75"/>
      <c r="H4925" s="31"/>
    </row>
    <row r="4926" spans="2:8" hidden="1">
      <c r="B4926" s="33"/>
      <c r="C4926" s="31"/>
      <c r="D4926" s="200"/>
      <c r="E4926" s="31"/>
      <c r="F4926" s="200"/>
      <c r="G4926" s="75"/>
      <c r="H4926" s="31"/>
    </row>
    <row r="4927" spans="2:8" hidden="1">
      <c r="B4927" s="33"/>
      <c r="C4927" s="31"/>
      <c r="D4927" s="31"/>
      <c r="E4927" s="31"/>
      <c r="F4927" s="31"/>
      <c r="G4927" s="31"/>
      <c r="H4927" s="31"/>
    </row>
    <row r="4928" spans="2:8" hidden="1">
      <c r="B4928" s="33"/>
      <c r="C4928" s="31"/>
      <c r="D4928" s="31"/>
      <c r="E4928" s="31"/>
      <c r="F4928" s="31"/>
      <c r="G4928" s="31"/>
      <c r="H4928" s="31"/>
    </row>
    <row r="4929" spans="2:8" hidden="1">
      <c r="B4929" s="33"/>
      <c r="C4929" s="31"/>
      <c r="D4929" s="33"/>
      <c r="E4929" s="31"/>
      <c r="F4929" s="200"/>
      <c r="G4929" s="76"/>
      <c r="H4929" s="31"/>
    </row>
    <row r="4930" spans="2:8" hidden="1">
      <c r="B4930" s="33"/>
      <c r="C4930" s="31"/>
      <c r="D4930" s="31"/>
      <c r="E4930" s="31"/>
      <c r="F4930" s="31"/>
      <c r="G4930" s="31"/>
      <c r="H4930" s="31"/>
    </row>
    <row r="4931" spans="2:8" hidden="1">
      <c r="B4931" s="33"/>
      <c r="C4931" s="31"/>
      <c r="D4931" s="31"/>
      <c r="E4931" s="31"/>
      <c r="F4931" s="31"/>
      <c r="G4931" s="31"/>
      <c r="H4931" s="31"/>
    </row>
    <row r="4932" spans="2:8" hidden="1">
      <c r="B4932" s="33"/>
      <c r="C4932" s="31"/>
      <c r="D4932" s="31"/>
      <c r="E4932" s="31"/>
      <c r="F4932" s="31"/>
      <c r="G4932" s="31"/>
      <c r="H4932" s="31"/>
    </row>
    <row r="4933" spans="2:8" hidden="1">
      <c r="B4933" s="33"/>
      <c r="C4933" s="31"/>
      <c r="D4933" s="31"/>
      <c r="E4933" s="31"/>
      <c r="F4933" s="31"/>
      <c r="G4933" s="31"/>
      <c r="H4933" s="31"/>
    </row>
    <row r="4934" spans="2:8" hidden="1">
      <c r="B4934" s="33"/>
      <c r="C4934" s="31"/>
      <c r="D4934" s="31"/>
      <c r="E4934" s="31"/>
      <c r="F4934" s="31"/>
      <c r="G4934" s="31"/>
      <c r="H4934" s="31"/>
    </row>
    <row r="4935" spans="2:8" hidden="1">
      <c r="B4935" s="33"/>
      <c r="C4935" s="31"/>
      <c r="D4935" s="31"/>
      <c r="E4935" s="31"/>
      <c r="F4935" s="31"/>
      <c r="G4935" s="31"/>
      <c r="H4935" s="31"/>
    </row>
    <row r="4936" spans="2:8" hidden="1">
      <c r="B4936" s="33"/>
      <c r="C4936" s="31"/>
      <c r="D4936" s="31"/>
      <c r="E4936" s="31"/>
      <c r="F4936" s="31"/>
      <c r="G4936" s="31"/>
      <c r="H4936" s="31"/>
    </row>
    <row r="4937" spans="2:8" hidden="1">
      <c r="B4937" s="33"/>
      <c r="C4937" s="31"/>
      <c r="D4937" s="31"/>
      <c r="E4937" s="31"/>
      <c r="F4937" s="31"/>
      <c r="G4937" s="31"/>
      <c r="H4937" s="31"/>
    </row>
    <row r="4938" spans="2:8" hidden="1">
      <c r="B4938" s="33"/>
      <c r="C4938" s="31"/>
      <c r="D4938" s="31"/>
      <c r="E4938" s="31"/>
      <c r="F4938" s="31"/>
      <c r="G4938" s="31"/>
      <c r="H4938" s="31"/>
    </row>
    <row r="4939" spans="2:8" hidden="1">
      <c r="B4939" s="33"/>
      <c r="C4939" s="31"/>
      <c r="D4939" s="31"/>
      <c r="E4939" s="31"/>
      <c r="F4939" s="31"/>
      <c r="G4939" s="31"/>
      <c r="H4939" s="31"/>
    </row>
    <row r="4940" spans="2:8" hidden="1">
      <c r="B4940" s="33"/>
      <c r="C4940" s="31"/>
      <c r="D4940" s="31"/>
      <c r="E4940" s="31"/>
      <c r="F4940" s="31"/>
      <c r="G4940" s="31"/>
      <c r="H4940" s="31"/>
    </row>
    <row r="4941" spans="2:8" hidden="1">
      <c r="B4941" s="33"/>
      <c r="C4941" s="31"/>
      <c r="D4941" s="31"/>
      <c r="E4941" s="31"/>
      <c r="F4941" s="31"/>
      <c r="G4941" s="31"/>
      <c r="H4941" s="31"/>
    </row>
    <row r="4942" spans="2:8" hidden="1">
      <c r="B4942" s="33"/>
      <c r="C4942" s="31"/>
      <c r="D4942" s="31"/>
      <c r="E4942" s="31"/>
      <c r="F4942" s="31"/>
      <c r="G4942" s="31"/>
      <c r="H4942" s="31"/>
    </row>
    <row r="4943" spans="2:8" hidden="1">
      <c r="B4943" s="33"/>
      <c r="C4943" s="31"/>
      <c r="D4943" s="31"/>
      <c r="E4943" s="31"/>
      <c r="F4943" s="31"/>
      <c r="G4943" s="31"/>
      <c r="H4943" s="31"/>
    </row>
    <row r="4944" spans="2:8" hidden="1">
      <c r="B4944" s="33"/>
      <c r="C4944" s="31"/>
      <c r="D4944" s="31"/>
      <c r="E4944" s="31"/>
      <c r="F4944" s="31"/>
      <c r="G4944" s="31"/>
      <c r="H4944" s="31"/>
    </row>
    <row r="4945" spans="2:8" hidden="1">
      <c r="B4945" s="33"/>
      <c r="C4945" s="31"/>
      <c r="D4945" s="31"/>
      <c r="E4945" s="31"/>
      <c r="F4945" s="31"/>
      <c r="G4945" s="31"/>
      <c r="H4945" s="31"/>
    </row>
    <row r="4946" spans="2:8" hidden="1">
      <c r="B4946" s="33"/>
      <c r="C4946" s="31"/>
      <c r="D4946" s="31"/>
      <c r="E4946" s="31"/>
      <c r="F4946" s="31"/>
      <c r="G4946" s="31"/>
      <c r="H4946" s="31"/>
    </row>
    <row r="4947" spans="2:8" hidden="1">
      <c r="B4947" s="33"/>
      <c r="C4947" s="31"/>
      <c r="D4947" s="31"/>
      <c r="E4947" s="31"/>
      <c r="F4947" s="31"/>
      <c r="G4947" s="31"/>
      <c r="H4947" s="31"/>
    </row>
    <row r="4948" spans="2:8" hidden="1">
      <c r="B4948" s="33"/>
      <c r="C4948" s="31"/>
      <c r="D4948" s="31"/>
      <c r="E4948" s="31"/>
      <c r="F4948" s="31"/>
      <c r="G4948" s="31"/>
      <c r="H4948" s="31"/>
    </row>
    <row r="4949" spans="2:8" hidden="1">
      <c r="B4949" s="33"/>
      <c r="C4949" s="31"/>
      <c r="D4949" s="31"/>
      <c r="E4949" s="31"/>
      <c r="F4949" s="31"/>
      <c r="G4949" s="31"/>
      <c r="H4949" s="31"/>
    </row>
    <row r="4950" spans="2:8" hidden="1">
      <c r="B4950" s="33"/>
      <c r="C4950" s="31"/>
      <c r="D4950" s="31"/>
      <c r="E4950" s="31"/>
      <c r="F4950" s="31"/>
      <c r="G4950" s="31"/>
      <c r="H4950" s="31"/>
    </row>
    <row r="4951" spans="2:8" hidden="1">
      <c r="B4951" s="33"/>
      <c r="C4951" s="31"/>
      <c r="D4951" s="31"/>
      <c r="E4951" s="31"/>
      <c r="F4951" s="31"/>
      <c r="G4951" s="31"/>
      <c r="H4951" s="31"/>
    </row>
    <row r="4952" spans="2:8" hidden="1">
      <c r="B4952" s="33"/>
      <c r="C4952" s="31"/>
      <c r="D4952" s="31"/>
      <c r="E4952" s="31"/>
      <c r="F4952" s="31"/>
      <c r="G4952" s="31"/>
      <c r="H4952" s="31"/>
    </row>
    <row r="4953" spans="2:8" hidden="1">
      <c r="B4953" s="33"/>
      <c r="C4953" s="200"/>
      <c r="D4953" s="31"/>
      <c r="E4953" s="31"/>
      <c r="F4953" s="691"/>
      <c r="G4953" s="31"/>
      <c r="H4953" s="31"/>
    </row>
    <row r="4954" spans="2:8" hidden="1">
      <c r="B4954" s="33"/>
      <c r="C4954" s="31"/>
      <c r="D4954" s="31"/>
      <c r="E4954" s="31"/>
      <c r="F4954" s="691"/>
      <c r="G4954" s="31"/>
      <c r="H4954" s="31"/>
    </row>
    <row r="4955" spans="2:8" hidden="1">
      <c r="B4955" s="33"/>
      <c r="C4955" s="31"/>
      <c r="D4955" s="31"/>
      <c r="E4955" s="31"/>
      <c r="F4955" s="31"/>
      <c r="G4955" s="31"/>
      <c r="H4955" s="31"/>
    </row>
    <row r="4956" spans="2:8" hidden="1">
      <c r="B4956" s="33"/>
      <c r="C4956" s="31"/>
      <c r="D4956" s="31"/>
      <c r="E4956" s="31"/>
      <c r="F4956" s="31"/>
      <c r="G4956" s="31"/>
      <c r="H4956" s="31"/>
    </row>
    <row r="4957" spans="2:8" hidden="1">
      <c r="B4957" s="33"/>
      <c r="C4957" s="31"/>
      <c r="D4957" s="31"/>
      <c r="E4957" s="31"/>
      <c r="F4957" s="31"/>
      <c r="G4957" s="31"/>
      <c r="H4957" s="31"/>
    </row>
    <row r="4958" spans="2:8" hidden="1">
      <c r="B4958" s="33"/>
      <c r="C4958" s="31"/>
      <c r="D4958" s="31"/>
      <c r="E4958" s="31"/>
      <c r="F4958" s="691"/>
      <c r="G4958" s="31"/>
      <c r="H4958" s="31"/>
    </row>
    <row r="4959" spans="2:8" hidden="1">
      <c r="B4959" s="33"/>
      <c r="C4959" s="31"/>
      <c r="D4959" s="31"/>
      <c r="E4959" s="31"/>
      <c r="F4959" s="691"/>
      <c r="G4959" s="31"/>
      <c r="H4959" s="31"/>
    </row>
    <row r="4960" spans="2:8" hidden="1">
      <c r="B4960" s="33"/>
      <c r="C4960" s="31"/>
      <c r="D4960" s="31"/>
      <c r="E4960" s="31"/>
      <c r="F4960" s="691"/>
      <c r="G4960" s="31"/>
      <c r="H4960" s="31"/>
    </row>
    <row r="4961" spans="2:8" hidden="1">
      <c r="B4961" s="33"/>
      <c r="C4961" s="31"/>
      <c r="D4961" s="31"/>
      <c r="E4961" s="31"/>
      <c r="F4961" s="691"/>
      <c r="G4961" s="31"/>
      <c r="H4961" s="31"/>
    </row>
    <row r="4962" spans="2:8" hidden="1">
      <c r="B4962" s="33"/>
      <c r="C4962" s="31"/>
      <c r="D4962" s="31"/>
      <c r="E4962" s="31"/>
      <c r="F4962" s="691"/>
      <c r="G4962" s="31"/>
      <c r="H4962" s="31"/>
    </row>
    <row r="4963" spans="2:8" hidden="1">
      <c r="B4963" s="33"/>
      <c r="C4963" s="31"/>
      <c r="D4963" s="31"/>
      <c r="E4963" s="31"/>
      <c r="F4963" s="691"/>
      <c r="G4963" s="31"/>
      <c r="H4963" s="31"/>
    </row>
    <row r="4964" spans="2:8" hidden="1">
      <c r="B4964" s="33"/>
      <c r="C4964" s="31"/>
      <c r="D4964" s="31"/>
      <c r="E4964" s="31"/>
      <c r="F4964" s="691"/>
      <c r="G4964" s="31"/>
      <c r="H4964" s="31"/>
    </row>
    <row r="4965" spans="2:8" hidden="1">
      <c r="B4965" s="33"/>
      <c r="C4965" s="31"/>
      <c r="D4965" s="31"/>
      <c r="E4965" s="31"/>
      <c r="F4965" s="691"/>
      <c r="G4965" s="31"/>
      <c r="H4965" s="31"/>
    </row>
    <row r="4966" spans="2:8" hidden="1">
      <c r="B4966" s="33"/>
      <c r="C4966" s="31"/>
      <c r="D4966" s="31"/>
      <c r="E4966" s="31"/>
      <c r="F4966" s="691"/>
      <c r="G4966" s="31"/>
      <c r="H4966" s="31"/>
    </row>
    <row r="4967" spans="2:8" hidden="1">
      <c r="B4967" s="33"/>
      <c r="C4967" s="31"/>
      <c r="D4967" s="31"/>
      <c r="E4967" s="31"/>
      <c r="F4967" s="691"/>
      <c r="G4967" s="31"/>
      <c r="H4967" s="31"/>
    </row>
    <row r="4968" spans="2:8" hidden="1">
      <c r="B4968" s="33"/>
      <c r="C4968" s="31"/>
      <c r="D4968" s="31"/>
      <c r="E4968" s="31"/>
      <c r="F4968" s="691"/>
      <c r="G4968" s="31"/>
      <c r="H4968" s="31"/>
    </row>
    <row r="4969" spans="2:8" hidden="1">
      <c r="B4969" s="33"/>
      <c r="C4969" s="31"/>
      <c r="D4969" s="31"/>
      <c r="E4969" s="31"/>
      <c r="F4969" s="691"/>
      <c r="G4969" s="31"/>
      <c r="H4969" s="31"/>
    </row>
    <row r="4970" spans="2:8" hidden="1">
      <c r="B4970" s="33"/>
      <c r="C4970" s="31"/>
      <c r="D4970" s="31"/>
      <c r="E4970" s="31"/>
      <c r="F4970" s="691"/>
      <c r="G4970" s="31"/>
      <c r="H4970" s="31"/>
    </row>
    <row r="4971" spans="2:8" hidden="1">
      <c r="B4971" s="33"/>
      <c r="C4971" s="31"/>
      <c r="D4971" s="31"/>
      <c r="E4971" s="31"/>
      <c r="F4971" s="691"/>
      <c r="G4971" s="31"/>
      <c r="H4971" s="31"/>
    </row>
    <row r="4972" spans="2:8" hidden="1">
      <c r="B4972" s="33"/>
      <c r="C4972" s="31"/>
      <c r="D4972" s="31"/>
      <c r="E4972" s="31"/>
      <c r="F4972" s="691"/>
      <c r="G4972" s="31"/>
      <c r="H4972" s="31"/>
    </row>
    <row r="4973" spans="2:8" hidden="1">
      <c r="B4973" s="33"/>
      <c r="C4973" s="31"/>
      <c r="D4973" s="31"/>
      <c r="E4973" s="31"/>
      <c r="F4973" s="691"/>
      <c r="G4973" s="31"/>
      <c r="H4973" s="31"/>
    </row>
    <row r="4974" spans="2:8" hidden="1">
      <c r="B4974" s="33"/>
      <c r="C4974" s="31"/>
      <c r="D4974" s="31"/>
      <c r="E4974" s="31"/>
      <c r="F4974" s="691"/>
      <c r="G4974" s="31"/>
      <c r="H4974" s="31"/>
    </row>
    <row r="4975" spans="2:8" hidden="1">
      <c r="B4975" s="33"/>
      <c r="C4975" s="31"/>
      <c r="D4975" s="31"/>
      <c r="E4975" s="31"/>
      <c r="F4975" s="691"/>
      <c r="G4975" s="31"/>
      <c r="H4975" s="31"/>
    </row>
    <row r="4976" spans="2:8" hidden="1">
      <c r="B4976" s="33"/>
      <c r="C4976" s="31"/>
      <c r="D4976" s="31"/>
      <c r="E4976" s="31"/>
      <c r="F4976" s="691"/>
      <c r="G4976" s="31"/>
      <c r="H4976" s="31"/>
    </row>
    <row r="4977" spans="2:8" hidden="1">
      <c r="B4977" s="33"/>
      <c r="C4977" s="31"/>
      <c r="D4977" s="31"/>
      <c r="E4977" s="31"/>
      <c r="F4977" s="691"/>
      <c r="G4977" s="31"/>
      <c r="H4977" s="31"/>
    </row>
    <row r="4978" spans="2:8" hidden="1">
      <c r="B4978" s="33"/>
      <c r="C4978" s="31"/>
      <c r="D4978" s="31"/>
      <c r="E4978" s="200"/>
      <c r="F4978" s="691"/>
      <c r="G4978" s="31"/>
      <c r="H4978" s="31"/>
    </row>
    <row r="4979" spans="2:8" hidden="1">
      <c r="B4979" s="33"/>
      <c r="C4979" s="31"/>
      <c r="D4979" s="31"/>
      <c r="E4979" s="31"/>
      <c r="F4979" s="691"/>
      <c r="G4979" s="31"/>
      <c r="H4979" s="31"/>
    </row>
    <row r="4980" spans="2:8" hidden="1">
      <c r="B4980" s="33"/>
      <c r="C4980" s="31"/>
      <c r="D4980" s="31"/>
      <c r="E4980" s="31"/>
      <c r="F4980" s="691"/>
      <c r="G4980" s="31"/>
      <c r="H4980" s="31"/>
    </row>
    <row r="4981" spans="2:8" hidden="1">
      <c r="B4981" s="33"/>
      <c r="C4981" s="31"/>
      <c r="D4981" s="31"/>
      <c r="E4981" s="31"/>
      <c r="F4981" s="691"/>
      <c r="G4981" s="31"/>
      <c r="H4981" s="31"/>
    </row>
    <row r="4982" spans="2:8" hidden="1">
      <c r="B4982" s="33"/>
      <c r="C4982" s="31"/>
      <c r="D4982" s="31"/>
      <c r="E4982" s="31"/>
      <c r="F4982" s="691"/>
      <c r="G4982" s="31"/>
      <c r="H4982" s="31"/>
    </row>
    <row r="4983" spans="2:8" hidden="1">
      <c r="B4983" s="33"/>
      <c r="C4983" s="31"/>
      <c r="D4983" s="31"/>
      <c r="E4983" s="31"/>
      <c r="F4983" s="691"/>
      <c r="G4983" s="31"/>
      <c r="H4983" s="31"/>
    </row>
    <row r="4984" spans="2:8" hidden="1">
      <c r="B4984" s="33"/>
      <c r="C4984" s="31"/>
      <c r="D4984" s="31"/>
      <c r="E4984" s="31"/>
      <c r="F4984" s="691"/>
      <c r="G4984" s="31"/>
      <c r="H4984" s="31"/>
    </row>
    <row r="4985" spans="2:8" hidden="1">
      <c r="B4985" s="33"/>
      <c r="C4985" s="31"/>
      <c r="D4985" s="31"/>
      <c r="E4985" s="31"/>
      <c r="F4985" s="691"/>
      <c r="G4985" s="31"/>
      <c r="H4985" s="31"/>
    </row>
    <row r="4986" spans="2:8" hidden="1">
      <c r="B4986" s="33"/>
      <c r="C4986" s="31"/>
      <c r="D4986" s="31"/>
      <c r="E4986" s="31"/>
      <c r="F4986" s="691"/>
      <c r="G4986" s="31"/>
      <c r="H4986" s="31"/>
    </row>
    <row r="4987" spans="2:8" hidden="1">
      <c r="B4987" s="33"/>
      <c r="C4987" s="31"/>
      <c r="D4987" s="31"/>
      <c r="E4987" s="31"/>
      <c r="F4987" s="691"/>
      <c r="G4987" s="31"/>
      <c r="H4987" s="31"/>
    </row>
    <row r="4988" spans="2:8" hidden="1">
      <c r="B4988" s="33"/>
      <c r="C4988" s="31"/>
      <c r="D4988" s="31"/>
      <c r="E4988" s="31"/>
      <c r="F4988" s="691"/>
      <c r="G4988" s="31"/>
      <c r="H4988" s="31"/>
    </row>
    <row r="4989" spans="2:8" hidden="1">
      <c r="B4989" s="33"/>
      <c r="C4989" s="31"/>
      <c r="D4989" s="31"/>
      <c r="E4989" s="31"/>
      <c r="F4989" s="691"/>
      <c r="G4989" s="31"/>
      <c r="H4989" s="31"/>
    </row>
    <row r="4990" spans="2:8" hidden="1">
      <c r="B4990" s="33"/>
      <c r="C4990" s="31"/>
      <c r="D4990" s="31"/>
      <c r="E4990" s="31"/>
      <c r="F4990" s="691"/>
      <c r="G4990" s="31"/>
      <c r="H4990" s="31"/>
    </row>
    <row r="4991" spans="2:8" hidden="1">
      <c r="B4991" s="33"/>
      <c r="C4991" s="31"/>
      <c r="D4991" s="31"/>
      <c r="E4991" s="31"/>
      <c r="F4991" s="691"/>
      <c r="G4991" s="31"/>
      <c r="H4991" s="31"/>
    </row>
    <row r="4992" spans="2:8" hidden="1">
      <c r="B4992" s="33"/>
      <c r="C4992" s="31"/>
      <c r="D4992" s="31"/>
      <c r="E4992" s="200"/>
      <c r="F4992" s="691"/>
      <c r="G4992" s="31"/>
      <c r="H4992" s="31"/>
    </row>
    <row r="4993" spans="2:8" hidden="1">
      <c r="B4993" s="33"/>
      <c r="C4993" s="31"/>
      <c r="D4993" s="31"/>
      <c r="E4993" s="31"/>
      <c r="F4993" s="691"/>
      <c r="G4993" s="31"/>
      <c r="H4993" s="31"/>
    </row>
    <row r="4994" spans="2:8" hidden="1">
      <c r="B4994" s="33"/>
      <c r="C4994" s="31"/>
      <c r="D4994" s="31"/>
      <c r="E4994" s="31"/>
      <c r="F4994" s="691"/>
      <c r="G4994" s="31"/>
      <c r="H4994" s="31"/>
    </row>
    <row r="4995" spans="2:8" hidden="1">
      <c r="B4995" s="33"/>
      <c r="C4995" s="31"/>
      <c r="D4995" s="31"/>
      <c r="E4995" s="31"/>
      <c r="F4995" s="691"/>
      <c r="G4995" s="31"/>
      <c r="H4995" s="31"/>
    </row>
    <row r="4996" spans="2:8" hidden="1">
      <c r="B4996" s="33"/>
      <c r="C4996" s="31"/>
      <c r="D4996" s="31"/>
      <c r="E4996" s="31"/>
      <c r="F4996" s="691"/>
      <c r="G4996" s="31"/>
      <c r="H4996" s="31"/>
    </row>
    <row r="4997" spans="2:8" hidden="1">
      <c r="B4997" s="33"/>
      <c r="C4997" s="31"/>
      <c r="D4997" s="31"/>
      <c r="E4997" s="31"/>
      <c r="F4997" s="691"/>
      <c r="G4997" s="31"/>
      <c r="H4997" s="31"/>
    </row>
    <row r="4998" spans="2:8" hidden="1">
      <c r="B4998" s="33"/>
      <c r="C4998" s="31"/>
      <c r="D4998" s="31"/>
      <c r="E4998" s="31"/>
      <c r="F4998" s="691"/>
      <c r="G4998" s="31"/>
      <c r="H4998" s="31"/>
    </row>
    <row r="4999" spans="2:8" hidden="1">
      <c r="B4999" s="33"/>
      <c r="C4999" s="31"/>
      <c r="D4999" s="31"/>
      <c r="E4999" s="31"/>
      <c r="F4999" s="691"/>
      <c r="G4999" s="31"/>
      <c r="H4999" s="31"/>
    </row>
    <row r="5000" spans="2:8" hidden="1">
      <c r="B5000" s="33"/>
      <c r="C5000" s="31"/>
      <c r="D5000" s="31"/>
      <c r="E5000" s="31"/>
      <c r="F5000" s="691"/>
      <c r="G5000" s="31"/>
      <c r="H5000" s="31"/>
    </row>
    <row r="5001" spans="2:8" hidden="1">
      <c r="B5001" s="33"/>
      <c r="C5001" s="31"/>
      <c r="D5001" s="31"/>
      <c r="E5001" s="200"/>
      <c r="F5001" s="691"/>
      <c r="G5001" s="31"/>
      <c r="H5001" s="31"/>
    </row>
    <row r="5002" spans="2:8" hidden="1">
      <c r="B5002" s="33"/>
      <c r="C5002" s="31"/>
      <c r="D5002" s="31"/>
      <c r="E5002" s="31"/>
      <c r="F5002" s="691"/>
      <c r="G5002" s="31"/>
      <c r="H5002" s="31"/>
    </row>
    <row r="5003" spans="2:8" hidden="1">
      <c r="B5003" s="33"/>
      <c r="C5003" s="31"/>
      <c r="D5003" s="31"/>
      <c r="E5003" s="31"/>
      <c r="F5003" s="691"/>
      <c r="G5003" s="31"/>
      <c r="H5003" s="31"/>
    </row>
    <row r="5004" spans="2:8" hidden="1">
      <c r="B5004" s="33"/>
      <c r="C5004" s="200"/>
      <c r="D5004" s="31"/>
      <c r="E5004" s="31"/>
      <c r="F5004" s="691"/>
      <c r="G5004" s="31"/>
      <c r="H5004" s="31"/>
    </row>
    <row r="5005" spans="2:8" hidden="1">
      <c r="B5005" s="33"/>
      <c r="C5005" s="31"/>
      <c r="D5005" s="31"/>
      <c r="E5005" s="31"/>
      <c r="F5005" s="691"/>
      <c r="G5005" s="31"/>
      <c r="H5005" s="31"/>
    </row>
    <row r="5006" spans="2:8" hidden="1">
      <c r="B5006" s="33"/>
      <c r="C5006" s="31"/>
      <c r="D5006" s="31"/>
      <c r="E5006" s="31"/>
      <c r="F5006" s="691"/>
      <c r="G5006" s="31"/>
      <c r="H5006" s="31"/>
    </row>
    <row r="5007" spans="2:8" hidden="1">
      <c r="B5007" s="33"/>
      <c r="C5007" s="31"/>
      <c r="D5007" s="31"/>
      <c r="E5007" s="31"/>
      <c r="F5007" s="691"/>
      <c r="G5007" s="31"/>
      <c r="H5007" s="31"/>
    </row>
    <row r="5008" spans="2:8" hidden="1">
      <c r="B5008" s="33"/>
      <c r="C5008" s="31"/>
      <c r="D5008" s="31"/>
      <c r="E5008" s="31"/>
      <c r="F5008" s="691"/>
      <c r="G5008" s="31"/>
      <c r="H5008" s="31"/>
    </row>
    <row r="5009" spans="2:8" hidden="1">
      <c r="B5009" s="33"/>
      <c r="C5009" s="31"/>
      <c r="D5009" s="31"/>
      <c r="E5009" s="31"/>
      <c r="F5009" s="691"/>
      <c r="G5009" s="31"/>
      <c r="H5009" s="31"/>
    </row>
    <row r="5010" spans="2:8" hidden="1">
      <c r="B5010" s="33"/>
      <c r="C5010" s="31"/>
      <c r="D5010" s="31"/>
      <c r="E5010" s="31"/>
      <c r="F5010" s="691"/>
      <c r="G5010" s="31"/>
      <c r="H5010" s="31"/>
    </row>
    <row r="5011" spans="2:8" hidden="1">
      <c r="B5011" s="33"/>
      <c r="C5011" s="31"/>
      <c r="D5011" s="31"/>
      <c r="E5011" s="31"/>
      <c r="F5011" s="31"/>
      <c r="G5011" s="31"/>
      <c r="H5011" s="31"/>
    </row>
    <row r="5012" spans="2:8" hidden="1">
      <c r="B5012" s="33"/>
      <c r="C5012" s="31"/>
      <c r="D5012" s="31"/>
      <c r="E5012" s="31"/>
      <c r="F5012" s="31"/>
      <c r="G5012" s="31"/>
      <c r="H5012" s="31"/>
    </row>
    <row r="5013" spans="2:8" hidden="1">
      <c r="B5013" s="33"/>
      <c r="C5013" s="31"/>
      <c r="D5013" s="31"/>
      <c r="E5013" s="31"/>
      <c r="F5013" s="31"/>
      <c r="G5013" s="31"/>
      <c r="H5013" s="31"/>
    </row>
    <row r="5014" spans="2:8" hidden="1">
      <c r="B5014" s="33"/>
      <c r="C5014" s="31"/>
      <c r="D5014" s="31"/>
      <c r="E5014" s="31"/>
      <c r="F5014" s="691"/>
      <c r="G5014" s="31"/>
      <c r="H5014" s="31"/>
    </row>
    <row r="5015" spans="2:8" hidden="1">
      <c r="B5015" s="33"/>
      <c r="C5015" s="31"/>
      <c r="D5015" s="31"/>
      <c r="E5015" s="31"/>
      <c r="F5015" s="31"/>
      <c r="G5015" s="31"/>
      <c r="H5015" s="31"/>
    </row>
    <row r="5016" spans="2:8" hidden="1">
      <c r="B5016" s="33"/>
      <c r="C5016" s="31"/>
      <c r="D5016" s="31"/>
      <c r="E5016" s="31"/>
      <c r="F5016" s="31"/>
      <c r="G5016" s="31"/>
      <c r="H5016" s="31"/>
    </row>
    <row r="5017" spans="2:8" hidden="1">
      <c r="B5017" s="33"/>
      <c r="C5017" s="31"/>
      <c r="D5017" s="31"/>
      <c r="E5017" s="31"/>
      <c r="F5017" s="31"/>
      <c r="G5017" s="31"/>
      <c r="H5017" s="31"/>
    </row>
    <row r="5018" spans="2:8" hidden="1">
      <c r="B5018" s="33"/>
      <c r="C5018" s="31"/>
      <c r="D5018" s="31"/>
      <c r="E5018" s="31"/>
      <c r="F5018" s="31"/>
      <c r="G5018" s="31"/>
      <c r="H5018" s="31"/>
    </row>
    <row r="5019" spans="2:8" hidden="1">
      <c r="B5019" s="33"/>
      <c r="C5019" s="31"/>
      <c r="D5019" s="31"/>
      <c r="E5019" s="31"/>
      <c r="F5019" s="31"/>
      <c r="G5019" s="31"/>
      <c r="H5019" s="31"/>
    </row>
    <row r="5020" spans="2:8" hidden="1">
      <c r="B5020" s="33"/>
      <c r="C5020" s="31"/>
      <c r="D5020" s="31"/>
      <c r="E5020" s="31"/>
      <c r="F5020" s="31"/>
      <c r="G5020" s="31"/>
      <c r="H5020" s="31"/>
    </row>
    <row r="5021" spans="2:8" hidden="1">
      <c r="B5021" s="33"/>
      <c r="C5021" s="31"/>
      <c r="D5021" s="31"/>
      <c r="E5021" s="31"/>
      <c r="F5021" s="31"/>
      <c r="G5021" s="31"/>
      <c r="H5021" s="31"/>
    </row>
    <row r="5022" spans="2:8" hidden="1">
      <c r="B5022" s="33"/>
      <c r="C5022" s="31"/>
      <c r="D5022" s="31"/>
      <c r="E5022" s="31"/>
      <c r="F5022" s="31"/>
      <c r="G5022" s="31"/>
      <c r="H5022" s="31"/>
    </row>
    <row r="5023" spans="2:8" hidden="1">
      <c r="B5023" s="33"/>
      <c r="C5023" s="31"/>
      <c r="D5023" s="31"/>
      <c r="E5023" s="31"/>
      <c r="F5023" s="31"/>
      <c r="G5023" s="31"/>
      <c r="H5023" s="31"/>
    </row>
    <row r="5024" spans="2:8" hidden="1">
      <c r="B5024" s="33"/>
      <c r="C5024" s="31"/>
      <c r="D5024" s="31"/>
      <c r="E5024" s="31"/>
      <c r="F5024" s="31"/>
      <c r="G5024" s="31"/>
      <c r="H5024" s="31"/>
    </row>
    <row r="5025" spans="2:8" hidden="1">
      <c r="B5025" s="33"/>
      <c r="C5025" s="31"/>
      <c r="D5025" s="31"/>
      <c r="E5025" s="31"/>
      <c r="F5025" s="31"/>
      <c r="G5025" s="31"/>
      <c r="H5025" s="31"/>
    </row>
    <row r="5026" spans="2:8" hidden="1">
      <c r="B5026" s="33"/>
      <c r="C5026" s="31"/>
      <c r="D5026" s="31"/>
      <c r="E5026" s="31"/>
      <c r="F5026" s="33"/>
      <c r="G5026" s="31"/>
      <c r="H5026" s="31"/>
    </row>
    <row r="5027" spans="2:8" hidden="1">
      <c r="B5027" s="33"/>
      <c r="C5027" s="31"/>
      <c r="D5027" s="33"/>
      <c r="E5027" s="33"/>
      <c r="F5027" s="33"/>
      <c r="G5027" s="33"/>
      <c r="H5027" s="31"/>
    </row>
    <row r="5028" spans="2:8" hidden="1">
      <c r="B5028" s="33"/>
      <c r="C5028" s="31"/>
      <c r="D5028" s="33"/>
      <c r="E5028" s="33"/>
      <c r="F5028" s="33"/>
      <c r="G5028" s="33"/>
      <c r="H5028" s="31"/>
    </row>
    <row r="5029" spans="2:8" hidden="1">
      <c r="B5029" s="33"/>
      <c r="C5029" s="31"/>
      <c r="D5029" s="33"/>
      <c r="E5029" s="33"/>
      <c r="F5029" s="33"/>
      <c r="G5029" s="33"/>
      <c r="H5029" s="31"/>
    </row>
    <row r="5030" spans="2:8" hidden="1">
      <c r="B5030" s="33"/>
      <c r="C5030" s="31"/>
      <c r="D5030" s="33"/>
      <c r="E5030" s="33"/>
      <c r="F5030" s="33"/>
      <c r="G5030" s="33"/>
      <c r="H5030" s="31"/>
    </row>
    <row r="5031" spans="2:8" hidden="1">
      <c r="B5031" s="33"/>
      <c r="C5031" s="31"/>
      <c r="D5031" s="33"/>
      <c r="E5031" s="33"/>
      <c r="F5031" s="33"/>
      <c r="G5031" s="33"/>
      <c r="H5031" s="31"/>
    </row>
    <row r="5032" spans="2:8" hidden="1">
      <c r="B5032" s="33"/>
      <c r="C5032" s="31"/>
      <c r="D5032" s="33"/>
      <c r="E5032" s="33"/>
      <c r="F5032" s="33"/>
      <c r="G5032" s="33"/>
      <c r="H5032" s="31"/>
    </row>
    <row r="5033" spans="2:8" hidden="1">
      <c r="B5033" s="33"/>
      <c r="C5033" s="31"/>
      <c r="D5033" s="33"/>
      <c r="E5033" s="33"/>
      <c r="F5033" s="33"/>
      <c r="G5033" s="33"/>
      <c r="H5033" s="31"/>
    </row>
    <row r="5034" spans="2:8" hidden="1">
      <c r="B5034" s="33"/>
      <c r="C5034" s="31"/>
      <c r="D5034" s="33"/>
      <c r="E5034" s="33"/>
      <c r="F5034" s="33"/>
      <c r="G5034" s="33"/>
      <c r="H5034" s="31"/>
    </row>
    <row r="5035" spans="2:8" hidden="1">
      <c r="B5035" s="33"/>
      <c r="C5035" s="31"/>
      <c r="D5035" s="33"/>
      <c r="E5035" s="33"/>
      <c r="F5035" s="33"/>
      <c r="G5035" s="33"/>
      <c r="H5035" s="31"/>
    </row>
    <row r="5036" spans="2:8" hidden="1">
      <c r="B5036" s="33"/>
      <c r="C5036" s="31"/>
      <c r="D5036" s="33"/>
      <c r="E5036" s="33"/>
      <c r="F5036" s="33"/>
      <c r="G5036" s="33"/>
      <c r="H5036" s="31"/>
    </row>
    <row r="5037" spans="2:8" hidden="1">
      <c r="B5037" s="33"/>
      <c r="C5037" s="31"/>
      <c r="D5037" s="33"/>
      <c r="E5037" s="33"/>
      <c r="F5037" s="33"/>
      <c r="G5037" s="33"/>
      <c r="H5037" s="31"/>
    </row>
    <row r="5038" spans="2:8" hidden="1">
      <c r="B5038" s="33"/>
      <c r="C5038" s="31"/>
      <c r="D5038" s="33"/>
      <c r="E5038" s="33"/>
      <c r="F5038" s="33"/>
      <c r="G5038" s="33"/>
      <c r="H5038" s="31"/>
    </row>
    <row r="5039" spans="2:8" hidden="1">
      <c r="B5039" s="33"/>
      <c r="C5039" s="33"/>
      <c r="D5039" s="33"/>
      <c r="E5039" s="33"/>
      <c r="F5039" s="33"/>
      <c r="G5039" s="33"/>
      <c r="H5039" s="31"/>
    </row>
    <row r="5040" spans="2:8" hidden="1">
      <c r="B5040" s="33"/>
      <c r="C5040" s="31"/>
      <c r="D5040" s="31"/>
      <c r="E5040" s="31"/>
      <c r="F5040" s="31"/>
      <c r="G5040" s="31"/>
      <c r="H5040" s="31"/>
    </row>
    <row r="5041" spans="2:8" hidden="1">
      <c r="B5041" s="33"/>
      <c r="C5041" s="31"/>
      <c r="D5041" s="31"/>
      <c r="E5041" s="31"/>
      <c r="F5041" s="31"/>
      <c r="G5041" s="31"/>
      <c r="H5041" s="31"/>
    </row>
    <row r="5042" spans="2:8" hidden="1">
      <c r="B5042" s="33"/>
      <c r="C5042" s="31"/>
      <c r="D5042" s="31"/>
      <c r="E5042" s="31"/>
      <c r="F5042" s="31"/>
      <c r="G5042" s="31"/>
      <c r="H5042" s="31"/>
    </row>
    <row r="5043" spans="2:8" hidden="1">
      <c r="B5043" s="33"/>
      <c r="C5043" s="31"/>
      <c r="D5043" s="31"/>
      <c r="E5043" s="31"/>
      <c r="F5043" s="31"/>
      <c r="G5043" s="31"/>
      <c r="H5043" s="31"/>
    </row>
    <row r="5044" spans="2:8" hidden="1">
      <c r="B5044" s="33"/>
      <c r="C5044" s="31"/>
      <c r="D5044" s="31"/>
      <c r="E5044" s="31"/>
      <c r="F5044" s="31"/>
      <c r="G5044" s="31"/>
      <c r="H5044" s="31"/>
    </row>
    <row r="5045" spans="2:8" hidden="1">
      <c r="B5045" s="33"/>
      <c r="C5045" s="31"/>
      <c r="D5045" s="31"/>
      <c r="E5045" s="31"/>
      <c r="F5045" s="31"/>
      <c r="G5045" s="31"/>
      <c r="H5045" s="31"/>
    </row>
    <row r="5046" spans="2:8" hidden="1">
      <c r="B5046" s="33"/>
      <c r="C5046" s="31"/>
      <c r="D5046" s="31"/>
      <c r="E5046" s="31"/>
      <c r="F5046" s="31"/>
      <c r="G5046" s="31"/>
      <c r="H5046" s="31"/>
    </row>
    <row r="5047" spans="2:8" hidden="1">
      <c r="B5047" s="33"/>
      <c r="C5047" s="31"/>
      <c r="D5047" s="31"/>
      <c r="E5047" s="31"/>
      <c r="F5047" s="31"/>
      <c r="G5047" s="31"/>
      <c r="H5047" s="31"/>
    </row>
    <row r="5048" spans="2:8" hidden="1">
      <c r="B5048" s="33"/>
      <c r="C5048" s="31"/>
      <c r="D5048" s="31"/>
      <c r="E5048" s="31"/>
      <c r="F5048" s="31"/>
      <c r="G5048" s="31"/>
      <c r="H5048" s="31"/>
    </row>
    <row r="5049" spans="2:8" hidden="1">
      <c r="B5049" s="33"/>
      <c r="C5049" s="31"/>
      <c r="D5049" s="31"/>
      <c r="E5049" s="31"/>
      <c r="F5049" s="31"/>
      <c r="G5049" s="31"/>
      <c r="H5049" s="31"/>
    </row>
    <row r="5050" spans="2:8" hidden="1">
      <c r="B5050" s="33"/>
      <c r="C5050" s="31"/>
      <c r="D5050" s="31"/>
      <c r="E5050" s="31"/>
      <c r="F5050" s="31"/>
      <c r="G5050" s="31"/>
      <c r="H5050" s="31"/>
    </row>
    <row r="5051" spans="2:8" hidden="1">
      <c r="B5051" s="33"/>
      <c r="C5051" s="31"/>
      <c r="D5051" s="31"/>
      <c r="E5051" s="31"/>
      <c r="F5051" s="31"/>
      <c r="G5051" s="31"/>
      <c r="H5051" s="31"/>
    </row>
    <row r="5052" spans="2:8" hidden="1">
      <c r="B5052" s="33"/>
      <c r="C5052" s="31"/>
      <c r="D5052" s="75"/>
      <c r="E5052" s="31"/>
      <c r="F5052" s="405"/>
      <c r="G5052" s="75"/>
      <c r="H5052" s="31"/>
    </row>
    <row r="5053" spans="2:8" hidden="1">
      <c r="B5053" s="33"/>
      <c r="C5053" s="31"/>
      <c r="D5053" s="31"/>
      <c r="E5053" s="31"/>
      <c r="F5053" s="405"/>
      <c r="G5053" s="732"/>
      <c r="H5053" s="31"/>
    </row>
    <row r="5054" spans="2:8" hidden="1">
      <c r="B5054" s="33"/>
      <c r="C5054" s="31"/>
      <c r="D5054" s="31"/>
      <c r="E5054" s="31"/>
      <c r="F5054" s="405"/>
      <c r="G5054" s="75"/>
      <c r="H5054" s="31"/>
    </row>
    <row r="5055" spans="2:8" hidden="1">
      <c r="B5055" s="33"/>
      <c r="C5055" s="31"/>
      <c r="D5055" s="75"/>
      <c r="E5055" s="31"/>
      <c r="F5055" s="405"/>
      <c r="G5055" s="75"/>
      <c r="H5055" s="31"/>
    </row>
    <row r="5056" spans="2:8" hidden="1">
      <c r="B5056" s="33"/>
      <c r="C5056" s="31"/>
      <c r="D5056" s="31"/>
      <c r="E5056" s="31"/>
      <c r="F5056" s="405"/>
      <c r="G5056" s="732"/>
      <c r="H5056" s="31"/>
    </row>
    <row r="5057" spans="2:8" hidden="1">
      <c r="B5057" s="33"/>
      <c r="C5057" s="31"/>
      <c r="D5057" s="31"/>
      <c r="E5057" s="31"/>
      <c r="F5057" s="405"/>
      <c r="G5057" s="75"/>
      <c r="H5057" s="31"/>
    </row>
    <row r="5058" spans="2:8" hidden="1">
      <c r="B5058" s="33"/>
      <c r="C5058" s="31"/>
      <c r="D5058" s="31"/>
      <c r="E5058" s="31"/>
      <c r="F5058" s="31"/>
      <c r="G5058" s="31"/>
      <c r="H5058" s="31"/>
    </row>
    <row r="5059" spans="2:8" hidden="1">
      <c r="B5059" s="33"/>
      <c r="C5059" s="200"/>
      <c r="D5059" s="31"/>
      <c r="E5059" s="200"/>
      <c r="F5059" s="769"/>
      <c r="G5059" s="31"/>
      <c r="H5059" s="31"/>
    </row>
    <row r="5060" spans="2:8" hidden="1">
      <c r="B5060" s="76"/>
      <c r="C5060" s="31"/>
      <c r="D5060" s="31"/>
      <c r="E5060" s="31"/>
      <c r="F5060" s="75"/>
      <c r="G5060" s="31"/>
      <c r="H5060" s="31"/>
    </row>
    <row r="5061" spans="2:8" hidden="1">
      <c r="B5061" s="33"/>
      <c r="C5061" s="33"/>
      <c r="D5061" s="33"/>
      <c r="E5061" s="33"/>
      <c r="F5061" s="33"/>
      <c r="G5061" s="33"/>
      <c r="H5061" s="31"/>
    </row>
    <row r="5062" spans="2:8" hidden="1">
      <c r="B5062" s="33"/>
      <c r="C5062" s="31"/>
      <c r="D5062" s="33"/>
      <c r="E5062" s="33"/>
      <c r="F5062" s="33"/>
      <c r="G5062" s="33"/>
      <c r="H5062" s="31"/>
    </row>
    <row r="5063" spans="2:8" hidden="1">
      <c r="B5063" s="405"/>
      <c r="C5063" s="76"/>
      <c r="D5063" s="731"/>
      <c r="E5063" s="75"/>
      <c r="F5063" s="75"/>
      <c r="G5063" s="75"/>
      <c r="H5063" s="31"/>
    </row>
    <row r="5064" spans="2:8" hidden="1">
      <c r="B5064" s="405"/>
      <c r="C5064" s="76"/>
      <c r="D5064" s="731"/>
      <c r="E5064" s="75"/>
      <c r="F5064" s="75"/>
      <c r="G5064" s="75"/>
      <c r="H5064" s="31"/>
    </row>
    <row r="5065" spans="2:8" hidden="1">
      <c r="B5065" s="405"/>
      <c r="C5065" s="76"/>
      <c r="D5065" s="731"/>
      <c r="E5065" s="75"/>
      <c r="F5065" s="75"/>
      <c r="G5065" s="75"/>
      <c r="H5065" s="31"/>
    </row>
    <row r="5066" spans="2:8" hidden="1">
      <c r="B5066" s="405"/>
      <c r="C5066" s="76"/>
      <c r="D5066" s="731"/>
      <c r="E5066" s="75"/>
      <c r="F5066" s="75"/>
      <c r="G5066" s="75"/>
      <c r="H5066" s="31"/>
    </row>
    <row r="5067" spans="2:8" hidden="1">
      <c r="B5067" s="405"/>
      <c r="C5067" s="76"/>
      <c r="D5067" s="731"/>
      <c r="E5067" s="75"/>
      <c r="F5067" s="75"/>
      <c r="G5067" s="75"/>
      <c r="H5067" s="31"/>
    </row>
    <row r="5068" spans="2:8" hidden="1">
      <c r="B5068" s="405"/>
      <c r="C5068" s="76"/>
      <c r="D5068" s="731"/>
      <c r="E5068" s="75"/>
      <c r="F5068" s="75"/>
      <c r="G5068" s="75"/>
      <c r="H5068" s="31"/>
    </row>
    <row r="5069" spans="2:8" hidden="1">
      <c r="B5069" s="405"/>
      <c r="C5069" s="76"/>
      <c r="D5069" s="731"/>
      <c r="E5069" s="75"/>
      <c r="F5069" s="75"/>
      <c r="G5069" s="75"/>
      <c r="H5069" s="31"/>
    </row>
    <row r="5070" spans="2:8" hidden="1">
      <c r="B5070" s="405"/>
      <c r="C5070" s="76"/>
      <c r="D5070" s="731"/>
      <c r="E5070" s="75"/>
      <c r="F5070" s="75"/>
      <c r="G5070" s="75"/>
      <c r="H5070" s="31"/>
    </row>
    <row r="5071" spans="2:8" hidden="1">
      <c r="B5071" s="405"/>
      <c r="C5071" s="76"/>
      <c r="D5071" s="731"/>
      <c r="E5071" s="75"/>
      <c r="F5071" s="75"/>
      <c r="G5071" s="75"/>
      <c r="H5071" s="31"/>
    </row>
    <row r="5072" spans="2:8" hidden="1">
      <c r="B5072" s="405"/>
      <c r="C5072" s="76"/>
      <c r="D5072" s="731"/>
      <c r="E5072" s="75"/>
      <c r="F5072" s="75"/>
      <c r="G5072" s="75"/>
      <c r="H5072" s="31"/>
    </row>
    <row r="5073" spans="2:8" hidden="1">
      <c r="B5073" s="405"/>
      <c r="C5073" s="76"/>
      <c r="D5073" s="731"/>
      <c r="E5073" s="75"/>
      <c r="F5073" s="75"/>
      <c r="G5073" s="75"/>
      <c r="H5073" s="31"/>
    </row>
    <row r="5074" spans="2:8" hidden="1">
      <c r="B5074" s="405"/>
      <c r="C5074" s="76"/>
      <c r="D5074" s="731"/>
      <c r="E5074" s="75"/>
      <c r="F5074" s="75"/>
      <c r="G5074" s="75"/>
      <c r="H5074" s="31"/>
    </row>
    <row r="5075" spans="2:8" hidden="1">
      <c r="B5075" s="405"/>
      <c r="C5075" s="76"/>
      <c r="D5075" s="731"/>
      <c r="E5075" s="75"/>
      <c r="F5075" s="75"/>
      <c r="G5075" s="75"/>
      <c r="H5075" s="31"/>
    </row>
    <row r="5076" spans="2:8" hidden="1">
      <c r="B5076" s="405"/>
      <c r="C5076" s="76"/>
      <c r="D5076" s="731"/>
      <c r="E5076" s="75"/>
      <c r="F5076" s="75"/>
      <c r="G5076" s="75"/>
      <c r="H5076" s="31"/>
    </row>
    <row r="5077" spans="2:8" hidden="1">
      <c r="B5077" s="405"/>
      <c r="C5077" s="76"/>
      <c r="D5077" s="731"/>
      <c r="E5077" s="75"/>
      <c r="F5077" s="75"/>
      <c r="G5077" s="75"/>
      <c r="H5077" s="31"/>
    </row>
    <row r="5078" spans="2:8" hidden="1">
      <c r="B5078" s="405"/>
      <c r="C5078" s="76"/>
      <c r="D5078" s="731"/>
      <c r="E5078" s="75"/>
      <c r="F5078" s="75"/>
      <c r="G5078" s="75"/>
      <c r="H5078" s="31"/>
    </row>
    <row r="5079" spans="2:8" hidden="1">
      <c r="B5079" s="405"/>
      <c r="C5079" s="76"/>
      <c r="D5079" s="731"/>
      <c r="E5079" s="75"/>
      <c r="F5079" s="75"/>
      <c r="G5079" s="75"/>
      <c r="H5079" s="31"/>
    </row>
    <row r="5080" spans="2:8" hidden="1">
      <c r="B5080" s="405"/>
      <c r="C5080" s="76"/>
      <c r="D5080" s="731"/>
      <c r="E5080" s="75"/>
      <c r="F5080" s="75"/>
      <c r="G5080" s="75"/>
      <c r="H5080" s="31"/>
    </row>
    <row r="5081" spans="2:8" hidden="1">
      <c r="B5081" s="30"/>
      <c r="C5081" s="76"/>
      <c r="D5081" s="731"/>
      <c r="E5081" s="75"/>
      <c r="F5081" s="75"/>
      <c r="G5081" s="75"/>
      <c r="H5081" s="31"/>
    </row>
    <row r="5082" spans="2:8" hidden="1">
      <c r="B5082" s="30"/>
      <c r="C5082" s="76"/>
      <c r="D5082" s="731"/>
      <c r="E5082" s="75"/>
      <c r="F5082" s="75"/>
      <c r="G5082" s="75"/>
      <c r="H5082" s="31"/>
    </row>
    <row r="5083" spans="2:8" hidden="1">
      <c r="B5083" s="30"/>
      <c r="C5083" s="76"/>
      <c r="D5083" s="731"/>
      <c r="E5083" s="75"/>
      <c r="F5083" s="75"/>
      <c r="G5083" s="75"/>
      <c r="H5083" s="31"/>
    </row>
    <row r="5084" spans="2:8" hidden="1">
      <c r="B5084" s="30"/>
      <c r="C5084" s="76"/>
      <c r="D5084" s="731"/>
      <c r="E5084" s="75"/>
      <c r="F5084" s="75"/>
      <c r="G5084" s="75"/>
      <c r="H5084" s="31"/>
    </row>
    <row r="5085" spans="2:8" hidden="1">
      <c r="B5085" s="30"/>
      <c r="C5085" s="76"/>
      <c r="D5085" s="731"/>
      <c r="E5085" s="75"/>
      <c r="F5085" s="75"/>
      <c r="G5085" s="75"/>
      <c r="H5085" s="31"/>
    </row>
    <row r="5086" spans="2:8" hidden="1">
      <c r="B5086" s="30"/>
      <c r="C5086" s="76"/>
      <c r="D5086" s="731"/>
      <c r="E5086" s="75"/>
      <c r="F5086" s="75"/>
      <c r="G5086" s="75"/>
      <c r="H5086" s="31"/>
    </row>
    <row r="5087" spans="2:8" hidden="1">
      <c r="B5087" s="30"/>
      <c r="C5087" s="76"/>
      <c r="D5087" s="731"/>
      <c r="E5087" s="75"/>
      <c r="F5087" s="75"/>
      <c r="G5087" s="75"/>
      <c r="H5087" s="31"/>
    </row>
    <row r="5088" spans="2:8" hidden="1">
      <c r="B5088" s="30"/>
      <c r="C5088" s="76"/>
      <c r="D5088" s="731"/>
      <c r="E5088" s="75"/>
      <c r="F5088" s="75"/>
      <c r="G5088" s="75"/>
      <c r="H5088" s="31"/>
    </row>
    <row r="5089" spans="2:8" hidden="1">
      <c r="B5089" s="30"/>
      <c r="C5089" s="76"/>
      <c r="D5089" s="731"/>
      <c r="E5089" s="75"/>
      <c r="F5089" s="75"/>
      <c r="G5089" s="75"/>
      <c r="H5089" s="31"/>
    </row>
    <row r="5090" spans="2:8" hidden="1">
      <c r="B5090" s="33"/>
      <c r="C5090" s="31"/>
      <c r="D5090" s="31"/>
      <c r="E5090" s="200"/>
      <c r="F5090" s="200"/>
      <c r="G5090" s="75"/>
      <c r="H5090" s="31"/>
    </row>
    <row r="5091" spans="2:8" hidden="1">
      <c r="B5091" s="33"/>
      <c r="C5091" s="31"/>
      <c r="D5091" s="31"/>
      <c r="E5091" s="198"/>
      <c r="F5091" s="200"/>
      <c r="G5091" s="75"/>
      <c r="H5091" s="31"/>
    </row>
    <row r="5092" spans="2:8" hidden="1">
      <c r="B5092" s="33"/>
      <c r="C5092" s="31"/>
      <c r="D5092" s="31"/>
      <c r="E5092" s="198"/>
      <c r="F5092" s="200"/>
      <c r="G5092" s="75"/>
      <c r="H5092" s="31"/>
    </row>
    <row r="5093" spans="2:8" hidden="1">
      <c r="B5093" s="33"/>
      <c r="C5093" s="31"/>
      <c r="D5093" s="31"/>
      <c r="E5093" s="198"/>
      <c r="F5093" s="200"/>
      <c r="G5093" s="75"/>
      <c r="H5093" s="31"/>
    </row>
    <row r="5094" spans="2:8" hidden="1">
      <c r="B5094" s="33"/>
      <c r="C5094" s="200"/>
      <c r="D5094" s="30"/>
      <c r="E5094" s="30"/>
      <c r="F5094" s="200"/>
      <c r="G5094" s="75"/>
      <c r="H5094" s="31"/>
    </row>
    <row r="5095" spans="2:8" hidden="1">
      <c r="B5095" s="33"/>
      <c r="C5095" s="31"/>
      <c r="D5095" s="31"/>
      <c r="E5095" s="31"/>
      <c r="F5095" s="31"/>
      <c r="G5095" s="31"/>
      <c r="H5095" s="31"/>
    </row>
    <row r="5096" spans="2:8" hidden="1">
      <c r="B5096" s="76"/>
      <c r="C5096" s="31"/>
      <c r="D5096" s="31"/>
      <c r="E5096" s="31"/>
      <c r="F5096" s="31"/>
      <c r="G5096" s="31"/>
      <c r="H5096" s="31"/>
    </row>
    <row r="5097" spans="2:8" hidden="1">
      <c r="B5097" s="33"/>
      <c r="C5097" s="33"/>
      <c r="D5097" s="33"/>
      <c r="E5097" s="33"/>
      <c r="F5097" s="33"/>
      <c r="G5097" s="33"/>
      <c r="H5097" s="31"/>
    </row>
    <row r="5098" spans="2:8" hidden="1">
      <c r="B5098" s="33"/>
      <c r="C5098" s="31"/>
      <c r="D5098" s="33"/>
      <c r="E5098" s="33"/>
      <c r="F5098" s="33"/>
      <c r="G5098" s="33"/>
      <c r="H5098" s="31"/>
    </row>
    <row r="5099" spans="2:8" hidden="1">
      <c r="B5099" s="405"/>
      <c r="C5099" s="76"/>
      <c r="D5099" s="731"/>
      <c r="E5099" s="75"/>
      <c r="F5099" s="75"/>
      <c r="G5099" s="75"/>
      <c r="H5099" s="31"/>
    </row>
    <row r="5100" spans="2:8" hidden="1">
      <c r="B5100" s="405"/>
      <c r="C5100" s="76"/>
      <c r="D5100" s="731"/>
      <c r="E5100" s="75"/>
      <c r="F5100" s="75"/>
      <c r="G5100" s="75"/>
      <c r="H5100" s="31"/>
    </row>
    <row r="5101" spans="2:8" hidden="1">
      <c r="B5101" s="405"/>
      <c r="C5101" s="76"/>
      <c r="D5101" s="731"/>
      <c r="E5101" s="75"/>
      <c r="F5101" s="75"/>
      <c r="G5101" s="75"/>
      <c r="H5101" s="31"/>
    </row>
    <row r="5102" spans="2:8" hidden="1">
      <c r="B5102" s="405"/>
      <c r="C5102" s="76"/>
      <c r="D5102" s="731"/>
      <c r="E5102" s="75"/>
      <c r="F5102" s="75"/>
      <c r="G5102" s="75"/>
      <c r="H5102" s="31"/>
    </row>
    <row r="5103" spans="2:8" hidden="1">
      <c r="B5103" s="405"/>
      <c r="C5103" s="76"/>
      <c r="D5103" s="731"/>
      <c r="E5103" s="75"/>
      <c r="F5103" s="75"/>
      <c r="G5103" s="75"/>
      <c r="H5103" s="31"/>
    </row>
    <row r="5104" spans="2:8" hidden="1">
      <c r="B5104" s="405"/>
      <c r="C5104" s="76"/>
      <c r="D5104" s="731"/>
      <c r="E5104" s="75"/>
      <c r="F5104" s="75"/>
      <c r="G5104" s="75"/>
      <c r="H5104" s="31"/>
    </row>
    <row r="5105" spans="2:8" hidden="1">
      <c r="B5105" s="405"/>
      <c r="C5105" s="76"/>
      <c r="D5105" s="731"/>
      <c r="E5105" s="75"/>
      <c r="F5105" s="75"/>
      <c r="G5105" s="75"/>
      <c r="H5105" s="31"/>
    </row>
    <row r="5106" spans="2:8" hidden="1">
      <c r="B5106" s="405"/>
      <c r="C5106" s="76"/>
      <c r="D5106" s="731"/>
      <c r="E5106" s="75"/>
      <c r="F5106" s="75"/>
      <c r="G5106" s="75"/>
      <c r="H5106" s="31"/>
    </row>
    <row r="5107" spans="2:8" hidden="1">
      <c r="B5107" s="405"/>
      <c r="C5107" s="76"/>
      <c r="D5107" s="731"/>
      <c r="E5107" s="75"/>
      <c r="F5107" s="75"/>
      <c r="G5107" s="75"/>
      <c r="H5107" s="31"/>
    </row>
    <row r="5108" spans="2:8" hidden="1">
      <c r="B5108" s="405"/>
      <c r="C5108" s="76"/>
      <c r="D5108" s="731"/>
      <c r="E5108" s="75"/>
      <c r="F5108" s="75"/>
      <c r="G5108" s="75"/>
      <c r="H5108" s="31"/>
    </row>
    <row r="5109" spans="2:8" hidden="1">
      <c r="B5109" s="405"/>
      <c r="C5109" s="76"/>
      <c r="D5109" s="731"/>
      <c r="E5109" s="75"/>
      <c r="F5109" s="75"/>
      <c r="G5109" s="75"/>
      <c r="H5109" s="31"/>
    </row>
    <row r="5110" spans="2:8" hidden="1">
      <c r="B5110" s="405"/>
      <c r="C5110" s="76"/>
      <c r="D5110" s="731"/>
      <c r="E5110" s="75"/>
      <c r="F5110" s="75"/>
      <c r="G5110" s="75"/>
      <c r="H5110" s="31"/>
    </row>
    <row r="5111" spans="2:8" hidden="1">
      <c r="B5111" s="405"/>
      <c r="C5111" s="76"/>
      <c r="D5111" s="731"/>
      <c r="E5111" s="75"/>
      <c r="F5111" s="75"/>
      <c r="G5111" s="75"/>
      <c r="H5111" s="31"/>
    </row>
    <row r="5112" spans="2:8" hidden="1">
      <c r="B5112" s="405"/>
      <c r="C5112" s="76"/>
      <c r="D5112" s="731"/>
      <c r="E5112" s="75"/>
      <c r="F5112" s="75"/>
      <c r="G5112" s="75"/>
      <c r="H5112" s="31"/>
    </row>
    <row r="5113" spans="2:8" hidden="1">
      <c r="B5113" s="405"/>
      <c r="C5113" s="76"/>
      <c r="D5113" s="731"/>
      <c r="E5113" s="75"/>
      <c r="F5113" s="75"/>
      <c r="G5113" s="75"/>
      <c r="H5113" s="31"/>
    </row>
    <row r="5114" spans="2:8" hidden="1">
      <c r="B5114" s="33"/>
      <c r="C5114" s="31"/>
      <c r="D5114" s="31"/>
      <c r="E5114" s="200"/>
      <c r="F5114" s="200"/>
      <c r="G5114" s="75"/>
      <c r="H5114" s="31"/>
    </row>
    <row r="5115" spans="2:8" hidden="1">
      <c r="B5115" s="33"/>
      <c r="C5115" s="31"/>
      <c r="D5115" s="31"/>
      <c r="E5115" s="198"/>
      <c r="F5115" s="200"/>
      <c r="G5115" s="75"/>
      <c r="H5115" s="31"/>
    </row>
    <row r="5116" spans="2:8" hidden="1">
      <c r="B5116" s="33"/>
      <c r="C5116" s="31"/>
      <c r="D5116" s="31"/>
      <c r="E5116" s="198"/>
      <c r="F5116" s="200"/>
      <c r="G5116" s="75"/>
      <c r="H5116" s="31"/>
    </row>
    <row r="5117" spans="2:8" hidden="1">
      <c r="B5117" s="33"/>
      <c r="C5117" s="31"/>
      <c r="D5117" s="31"/>
      <c r="E5117" s="198"/>
      <c r="F5117" s="200"/>
      <c r="G5117" s="75"/>
      <c r="H5117" s="31"/>
    </row>
    <row r="5118" spans="2:8" hidden="1">
      <c r="B5118" s="33"/>
      <c r="C5118" s="30"/>
      <c r="D5118" s="30"/>
      <c r="E5118" s="30"/>
      <c r="F5118" s="200"/>
      <c r="G5118" s="75"/>
      <c r="H5118" s="31"/>
    </row>
    <row r="5119" spans="2:8" hidden="1">
      <c r="B5119" s="33"/>
      <c r="C5119" s="31"/>
      <c r="D5119" s="31"/>
      <c r="E5119" s="31"/>
      <c r="F5119" s="31"/>
      <c r="G5119" s="31"/>
      <c r="H5119" s="31"/>
    </row>
    <row r="5120" spans="2:8" hidden="1">
      <c r="B5120" s="76"/>
      <c r="C5120" s="31"/>
      <c r="D5120" s="31"/>
      <c r="E5120" s="31"/>
      <c r="F5120" s="31"/>
      <c r="G5120" s="31"/>
      <c r="H5120" s="31"/>
    </row>
    <row r="5121" spans="2:8" hidden="1">
      <c r="B5121" s="33"/>
      <c r="C5121" s="33"/>
      <c r="D5121" s="33"/>
      <c r="E5121" s="33"/>
      <c r="F5121" s="33"/>
      <c r="G5121" s="33"/>
      <c r="H5121" s="31"/>
    </row>
    <row r="5122" spans="2:8" hidden="1">
      <c r="B5122" s="33"/>
      <c r="C5122" s="31"/>
      <c r="D5122" s="33"/>
      <c r="E5122" s="33"/>
      <c r="F5122" s="33"/>
      <c r="G5122" s="33"/>
      <c r="H5122" s="31"/>
    </row>
    <row r="5123" spans="2:8" hidden="1">
      <c r="B5123" s="405"/>
      <c r="C5123" s="76"/>
      <c r="D5123" s="731"/>
      <c r="E5123" s="75"/>
      <c r="F5123" s="75"/>
      <c r="G5123" s="75"/>
      <c r="H5123" s="31"/>
    </row>
    <row r="5124" spans="2:8" hidden="1">
      <c r="B5124" s="405"/>
      <c r="C5124" s="76"/>
      <c r="D5124" s="731"/>
      <c r="E5124" s="75"/>
      <c r="F5124" s="75"/>
      <c r="G5124" s="75"/>
      <c r="H5124" s="31"/>
    </row>
    <row r="5125" spans="2:8" hidden="1">
      <c r="B5125" s="405"/>
      <c r="C5125" s="76"/>
      <c r="D5125" s="731"/>
      <c r="E5125" s="75"/>
      <c r="F5125" s="75"/>
      <c r="G5125" s="75"/>
      <c r="H5125" s="31"/>
    </row>
    <row r="5126" spans="2:8" hidden="1">
      <c r="B5126" s="405"/>
      <c r="C5126" s="76"/>
      <c r="D5126" s="731"/>
      <c r="E5126" s="75"/>
      <c r="F5126" s="75"/>
      <c r="G5126" s="75"/>
      <c r="H5126" s="31"/>
    </row>
    <row r="5127" spans="2:8" hidden="1">
      <c r="B5127" s="405"/>
      <c r="C5127" s="76"/>
      <c r="D5127" s="731"/>
      <c r="E5127" s="75"/>
      <c r="F5127" s="75"/>
      <c r="G5127" s="75"/>
      <c r="H5127" s="31"/>
    </row>
    <row r="5128" spans="2:8" hidden="1">
      <c r="B5128" s="405"/>
      <c r="C5128" s="76"/>
      <c r="D5128" s="731"/>
      <c r="E5128" s="75"/>
      <c r="F5128" s="75"/>
      <c r="G5128" s="75"/>
      <c r="H5128" s="31"/>
    </row>
    <row r="5129" spans="2:8" hidden="1">
      <c r="B5129" s="405"/>
      <c r="C5129" s="76"/>
      <c r="D5129" s="731"/>
      <c r="E5129" s="75"/>
      <c r="F5129" s="75"/>
      <c r="G5129" s="75"/>
      <c r="H5129" s="31"/>
    </row>
    <row r="5130" spans="2:8" hidden="1">
      <c r="B5130" s="405"/>
      <c r="C5130" s="76"/>
      <c r="D5130" s="731"/>
      <c r="E5130" s="75"/>
      <c r="F5130" s="75"/>
      <c r="G5130" s="75"/>
      <c r="H5130" s="31"/>
    </row>
    <row r="5131" spans="2:8" hidden="1">
      <c r="B5131" s="405"/>
      <c r="C5131" s="76"/>
      <c r="D5131" s="731"/>
      <c r="E5131" s="75"/>
      <c r="F5131" s="75"/>
      <c r="G5131" s="75"/>
      <c r="H5131" s="31"/>
    </row>
    <row r="5132" spans="2:8" hidden="1">
      <c r="B5132" s="30"/>
      <c r="C5132" s="76"/>
      <c r="D5132" s="731"/>
      <c r="E5132" s="75"/>
      <c r="F5132" s="75"/>
      <c r="G5132" s="75"/>
      <c r="H5132" s="31"/>
    </row>
    <row r="5133" spans="2:8" hidden="1">
      <c r="B5133" s="30"/>
      <c r="C5133" s="76"/>
      <c r="D5133" s="731"/>
      <c r="E5133" s="75"/>
      <c r="F5133" s="75"/>
      <c r="G5133" s="75"/>
      <c r="H5133" s="31"/>
    </row>
    <row r="5134" spans="2:8" hidden="1">
      <c r="B5134" s="30"/>
      <c r="C5134" s="76"/>
      <c r="D5134" s="731"/>
      <c r="E5134" s="75"/>
      <c r="F5134" s="75"/>
      <c r="G5134" s="75"/>
      <c r="H5134" s="31"/>
    </row>
    <row r="5135" spans="2:8" hidden="1">
      <c r="B5135" s="30"/>
      <c r="C5135" s="76"/>
      <c r="D5135" s="731"/>
      <c r="E5135" s="75"/>
      <c r="F5135" s="75"/>
      <c r="G5135" s="75"/>
      <c r="H5135" s="31"/>
    </row>
    <row r="5136" spans="2:8" hidden="1">
      <c r="B5136" s="33"/>
      <c r="C5136" s="31"/>
      <c r="D5136" s="31"/>
      <c r="E5136" s="200"/>
      <c r="F5136" s="200"/>
      <c r="G5136" s="75"/>
      <c r="H5136" s="31"/>
    </row>
    <row r="5137" spans="2:8" hidden="1">
      <c r="B5137" s="33"/>
      <c r="C5137" s="31"/>
      <c r="D5137" s="31"/>
      <c r="E5137" s="198"/>
      <c r="F5137" s="200"/>
      <c r="G5137" s="75"/>
      <c r="H5137" s="31"/>
    </row>
    <row r="5138" spans="2:8" hidden="1">
      <c r="B5138" s="33"/>
      <c r="C5138" s="31"/>
      <c r="D5138" s="31"/>
      <c r="E5138" s="198"/>
      <c r="F5138" s="200"/>
      <c r="G5138" s="75"/>
      <c r="H5138" s="31"/>
    </row>
    <row r="5139" spans="2:8" hidden="1">
      <c r="B5139" s="33"/>
      <c r="C5139" s="31"/>
      <c r="D5139" s="31"/>
      <c r="E5139" s="198"/>
      <c r="F5139" s="200"/>
      <c r="G5139" s="75"/>
      <c r="H5139" s="31"/>
    </row>
    <row r="5140" spans="2:8" hidden="1">
      <c r="B5140" s="33"/>
      <c r="C5140" s="31"/>
      <c r="D5140" s="31"/>
      <c r="E5140" s="198"/>
      <c r="F5140" s="200"/>
      <c r="G5140" s="75"/>
      <c r="H5140" s="31"/>
    </row>
    <row r="5141" spans="2:8" hidden="1">
      <c r="B5141" s="33"/>
      <c r="C5141" s="31"/>
      <c r="D5141" s="31"/>
      <c r="E5141" s="198"/>
      <c r="F5141" s="200"/>
      <c r="G5141" s="75"/>
      <c r="H5141" s="31"/>
    </row>
    <row r="5142" spans="2:8" hidden="1">
      <c r="B5142" s="33"/>
      <c r="C5142" s="200"/>
      <c r="D5142" s="30"/>
      <c r="E5142" s="30"/>
      <c r="F5142" s="200"/>
      <c r="G5142" s="75"/>
      <c r="H5142" s="31"/>
    </row>
    <row r="5143" spans="2:8" hidden="1">
      <c r="B5143" s="33"/>
      <c r="C5143" s="31"/>
      <c r="D5143" s="31"/>
      <c r="E5143" s="31"/>
      <c r="F5143" s="31"/>
      <c r="G5143" s="31"/>
      <c r="H5143" s="31"/>
    </row>
    <row r="5144" spans="2:8" hidden="1">
      <c r="B5144" s="33"/>
      <c r="C5144" s="31"/>
      <c r="D5144" s="31"/>
      <c r="E5144" s="31"/>
      <c r="F5144" s="31"/>
      <c r="G5144" s="31"/>
      <c r="H5144" s="31"/>
    </row>
    <row r="5145" spans="2:8" hidden="1">
      <c r="B5145" s="33"/>
      <c r="C5145" s="31"/>
      <c r="D5145" s="31"/>
      <c r="E5145" s="31"/>
      <c r="F5145" s="200"/>
      <c r="G5145" s="75"/>
      <c r="H5145" s="31"/>
    </row>
    <row r="5146" spans="2:8" hidden="1">
      <c r="B5146" s="33"/>
      <c r="C5146" s="31"/>
      <c r="D5146" s="31"/>
      <c r="E5146" s="31"/>
      <c r="F5146" s="200"/>
      <c r="G5146" s="75"/>
      <c r="H5146" s="31"/>
    </row>
    <row r="5147" spans="2:8" hidden="1">
      <c r="B5147" s="33"/>
      <c r="C5147" s="31"/>
      <c r="D5147" s="31"/>
      <c r="E5147" s="31"/>
      <c r="F5147" s="200"/>
      <c r="G5147" s="75"/>
      <c r="H5147" s="31"/>
    </row>
    <row r="5148" spans="2:8" hidden="1">
      <c r="B5148" s="33"/>
      <c r="C5148" s="31"/>
      <c r="D5148" s="31"/>
      <c r="E5148" s="200"/>
      <c r="F5148" s="200"/>
      <c r="G5148" s="75"/>
      <c r="H5148" s="31"/>
    </row>
    <row r="5149" spans="2:8" hidden="1">
      <c r="B5149" s="33"/>
      <c r="C5149" s="31"/>
      <c r="D5149" s="31"/>
      <c r="E5149" s="301"/>
      <c r="F5149" s="200"/>
      <c r="G5149" s="75"/>
      <c r="H5149" s="31"/>
    </row>
    <row r="5150" spans="2:8" hidden="1">
      <c r="B5150" s="33"/>
      <c r="C5150" s="31"/>
      <c r="D5150" s="31"/>
      <c r="E5150" s="767"/>
      <c r="F5150" s="200"/>
      <c r="G5150" s="75"/>
      <c r="H5150" s="31"/>
    </row>
    <row r="5151" spans="2:8" hidden="1">
      <c r="B5151" s="33"/>
      <c r="C5151" s="31"/>
      <c r="D5151" s="31"/>
      <c r="E5151" s="767"/>
      <c r="F5151" s="200"/>
      <c r="G5151" s="75"/>
      <c r="H5151" s="31"/>
    </row>
    <row r="5152" spans="2:8" hidden="1">
      <c r="B5152" s="33"/>
      <c r="C5152" s="31"/>
      <c r="D5152" s="31"/>
      <c r="E5152" s="767"/>
      <c r="F5152" s="200"/>
      <c r="G5152" s="75"/>
      <c r="H5152" s="31"/>
    </row>
    <row r="5153" spans="2:8" hidden="1">
      <c r="B5153" s="33"/>
      <c r="C5153" s="31"/>
      <c r="D5153" s="31"/>
      <c r="E5153" s="767"/>
      <c r="F5153" s="200"/>
      <c r="G5153" s="75"/>
      <c r="H5153" s="31"/>
    </row>
    <row r="5154" spans="2:8" hidden="1">
      <c r="B5154" s="33"/>
      <c r="C5154" s="31"/>
      <c r="D5154" s="75"/>
      <c r="E5154" s="767"/>
      <c r="F5154" s="200"/>
      <c r="G5154" s="75"/>
      <c r="H5154" s="31"/>
    </row>
    <row r="5155" spans="2:8" hidden="1">
      <c r="B5155" s="33"/>
      <c r="C5155" s="31"/>
      <c r="D5155" s="31"/>
      <c r="E5155" s="767"/>
      <c r="F5155" s="200"/>
      <c r="G5155" s="75"/>
      <c r="H5155" s="31"/>
    </row>
    <row r="5156" spans="2:8" hidden="1">
      <c r="B5156" s="33"/>
      <c r="C5156" s="31"/>
      <c r="D5156" s="31"/>
      <c r="E5156" s="200"/>
      <c r="F5156" s="200"/>
      <c r="G5156" s="75"/>
      <c r="H5156" s="31"/>
    </row>
    <row r="5157" spans="2:8" hidden="1">
      <c r="B5157" s="33"/>
      <c r="C5157" s="31"/>
      <c r="D5157" s="31"/>
      <c r="E5157" s="200"/>
      <c r="F5157" s="200"/>
      <c r="G5157" s="31"/>
      <c r="H5157" s="31"/>
    </row>
    <row r="5158" spans="2:8" hidden="1">
      <c r="B5158" s="33"/>
      <c r="C5158" s="31"/>
      <c r="D5158" s="75"/>
      <c r="E5158" s="76"/>
      <c r="F5158" s="200"/>
      <c r="G5158" s="75"/>
      <c r="H5158" s="31"/>
    </row>
    <row r="5159" spans="2:8" hidden="1">
      <c r="B5159" s="33"/>
      <c r="C5159" s="31"/>
      <c r="D5159" s="198"/>
      <c r="E5159" s="198"/>
      <c r="F5159" s="200"/>
      <c r="G5159" s="75"/>
      <c r="H5159" s="31"/>
    </row>
    <row r="5160" spans="2:8" hidden="1">
      <c r="B5160" s="33"/>
      <c r="C5160" s="31"/>
      <c r="D5160" s="768"/>
      <c r="E5160" s="31"/>
      <c r="F5160" s="200"/>
      <c r="G5160" s="75"/>
      <c r="H5160" s="31"/>
    </row>
    <row r="5161" spans="2:8" hidden="1">
      <c r="B5161" s="33"/>
      <c r="C5161" s="31"/>
      <c r="D5161" s="200"/>
      <c r="E5161" s="31"/>
      <c r="F5161" s="200"/>
      <c r="G5161" s="75"/>
      <c r="H5161" s="31"/>
    </row>
    <row r="5162" spans="2:8" hidden="1">
      <c r="B5162" s="33"/>
      <c r="C5162" s="31"/>
      <c r="D5162" s="31"/>
      <c r="E5162" s="31"/>
      <c r="F5162" s="31"/>
      <c r="G5162" s="31"/>
      <c r="H5162" s="31"/>
    </row>
    <row r="5163" spans="2:8" hidden="1">
      <c r="B5163" s="33"/>
      <c r="C5163" s="31"/>
      <c r="D5163" s="31"/>
      <c r="E5163" s="31"/>
      <c r="F5163" s="31"/>
      <c r="G5163" s="31"/>
      <c r="H5163" s="31"/>
    </row>
    <row r="5164" spans="2:8" hidden="1">
      <c r="B5164" s="33"/>
      <c r="C5164" s="31"/>
      <c r="D5164" s="31"/>
      <c r="E5164" s="31"/>
      <c r="F5164" s="31"/>
      <c r="G5164" s="31"/>
      <c r="H5164" s="31"/>
    </row>
    <row r="5165" spans="2:8" hidden="1">
      <c r="B5165" s="33"/>
      <c r="C5165" s="31"/>
      <c r="D5165" s="33"/>
      <c r="E5165" s="31"/>
      <c r="F5165" s="200"/>
      <c r="G5165" s="76"/>
      <c r="H5165" s="31"/>
    </row>
    <row r="5166" spans="2:8" hidden="1">
      <c r="B5166" s="33"/>
      <c r="C5166" s="31"/>
      <c r="D5166" s="31"/>
      <c r="E5166" s="31"/>
      <c r="F5166" s="31"/>
      <c r="G5166" s="31"/>
      <c r="H5166" s="31"/>
    </row>
    <row r="5167" spans="2:8" hidden="1">
      <c r="B5167" s="33"/>
      <c r="C5167" s="31"/>
      <c r="D5167" s="31"/>
      <c r="E5167" s="31"/>
      <c r="F5167" s="31"/>
      <c r="G5167" s="31"/>
      <c r="H5167" s="31"/>
    </row>
    <row r="5168" spans="2:8" hidden="1">
      <c r="B5168" s="33"/>
      <c r="C5168" s="31"/>
      <c r="D5168" s="31"/>
      <c r="E5168" s="31"/>
      <c r="F5168" s="31"/>
      <c r="G5168" s="31"/>
      <c r="H5168" s="31"/>
    </row>
    <row r="5169" spans="2:8" hidden="1">
      <c r="B5169" s="33"/>
      <c r="C5169" s="31"/>
      <c r="D5169" s="31"/>
      <c r="E5169" s="31"/>
      <c r="F5169" s="31"/>
      <c r="G5169" s="31"/>
      <c r="H5169" s="31"/>
    </row>
    <row r="5170" spans="2:8" hidden="1">
      <c r="B5170" s="33"/>
      <c r="C5170" s="31"/>
      <c r="D5170" s="31"/>
      <c r="E5170" s="31"/>
      <c r="F5170" s="31"/>
      <c r="G5170" s="31"/>
      <c r="H5170" s="31"/>
    </row>
    <row r="5171" spans="2:8" hidden="1">
      <c r="B5171" s="33"/>
      <c r="C5171" s="31"/>
      <c r="D5171" s="31"/>
      <c r="E5171" s="31"/>
      <c r="F5171" s="31"/>
      <c r="G5171" s="31"/>
      <c r="H5171" s="31"/>
    </row>
    <row r="5172" spans="2:8" hidden="1">
      <c r="B5172" s="33"/>
      <c r="C5172" s="31"/>
      <c r="D5172" s="31"/>
      <c r="E5172" s="31"/>
      <c r="F5172" s="31"/>
      <c r="G5172" s="31"/>
      <c r="H5172" s="31"/>
    </row>
    <row r="5173" spans="2:8" hidden="1">
      <c r="B5173" s="33"/>
      <c r="C5173" s="31"/>
      <c r="D5173" s="31"/>
      <c r="E5173" s="31"/>
      <c r="F5173" s="31"/>
      <c r="G5173" s="31"/>
      <c r="H5173" s="31"/>
    </row>
    <row r="5174" spans="2:8" hidden="1">
      <c r="B5174" s="33"/>
      <c r="C5174" s="31"/>
      <c r="D5174" s="31"/>
      <c r="E5174" s="31"/>
      <c r="F5174" s="31"/>
      <c r="G5174" s="31"/>
      <c r="H5174" s="31"/>
    </row>
    <row r="5175" spans="2:8" hidden="1">
      <c r="B5175" s="33"/>
      <c r="C5175" s="31"/>
      <c r="D5175" s="31"/>
      <c r="E5175" s="31"/>
      <c r="F5175" s="31"/>
      <c r="G5175" s="31"/>
      <c r="H5175" s="31"/>
    </row>
    <row r="5176" spans="2:8" hidden="1">
      <c r="B5176" s="33"/>
      <c r="C5176" s="31"/>
      <c r="D5176" s="31"/>
      <c r="E5176" s="31"/>
      <c r="F5176" s="31"/>
      <c r="G5176" s="31"/>
      <c r="H5176" s="31"/>
    </row>
    <row r="5177" spans="2:8" hidden="1">
      <c r="B5177" s="33"/>
      <c r="C5177" s="31"/>
      <c r="D5177" s="31"/>
      <c r="E5177" s="31"/>
      <c r="F5177" s="31"/>
      <c r="G5177" s="31"/>
      <c r="H5177" s="31"/>
    </row>
    <row r="5178" spans="2:8" hidden="1">
      <c r="B5178" s="33"/>
      <c r="C5178" s="31"/>
      <c r="D5178" s="31"/>
      <c r="E5178" s="31"/>
      <c r="F5178" s="31"/>
      <c r="G5178" s="31"/>
      <c r="H5178" s="31"/>
    </row>
    <row r="5179" spans="2:8" hidden="1">
      <c r="B5179" s="33"/>
      <c r="C5179" s="31"/>
      <c r="D5179" s="31"/>
      <c r="E5179" s="31"/>
      <c r="F5179" s="31"/>
      <c r="G5179" s="31"/>
      <c r="H5179" s="31"/>
    </row>
    <row r="5180" spans="2:8" hidden="1">
      <c r="B5180" s="33"/>
      <c r="C5180" s="31"/>
      <c r="D5180" s="31"/>
      <c r="E5180" s="31"/>
      <c r="F5180" s="31"/>
      <c r="G5180" s="31"/>
      <c r="H5180" s="31"/>
    </row>
    <row r="5181" spans="2:8" hidden="1">
      <c r="B5181" s="33"/>
      <c r="C5181" s="31"/>
      <c r="D5181" s="31"/>
      <c r="E5181" s="31"/>
      <c r="F5181" s="31"/>
      <c r="G5181" s="31"/>
      <c r="H5181" s="31"/>
    </row>
    <row r="5182" spans="2:8" hidden="1">
      <c r="B5182" s="33"/>
      <c r="C5182" s="31"/>
      <c r="D5182" s="31"/>
      <c r="E5182" s="31"/>
      <c r="F5182" s="31"/>
      <c r="G5182" s="31"/>
      <c r="H5182" s="31"/>
    </row>
    <row r="5183" spans="2:8" hidden="1">
      <c r="B5183" s="33"/>
      <c r="C5183" s="31"/>
      <c r="D5183" s="31"/>
      <c r="E5183" s="31"/>
      <c r="F5183" s="31"/>
      <c r="G5183" s="31"/>
      <c r="H5183" s="31"/>
    </row>
    <row r="5184" spans="2:8" hidden="1">
      <c r="B5184" s="33"/>
      <c r="C5184" s="31"/>
      <c r="D5184" s="31"/>
      <c r="E5184" s="31"/>
      <c r="F5184" s="31"/>
      <c r="G5184" s="31"/>
      <c r="H5184" s="31"/>
    </row>
    <row r="5185" spans="2:8" hidden="1">
      <c r="B5185" s="33"/>
      <c r="C5185" s="31"/>
      <c r="D5185" s="31"/>
      <c r="E5185" s="31"/>
      <c r="F5185" s="31"/>
      <c r="G5185" s="31"/>
      <c r="H5185" s="31"/>
    </row>
    <row r="5186" spans="2:8" hidden="1">
      <c r="B5186" s="33"/>
      <c r="C5186" s="31"/>
      <c r="D5186" s="31"/>
      <c r="E5186" s="31"/>
      <c r="F5186" s="31"/>
      <c r="G5186" s="31"/>
      <c r="H5186" s="31"/>
    </row>
    <row r="5187" spans="2:8" hidden="1">
      <c r="B5187" s="33"/>
      <c r="C5187" s="200"/>
      <c r="D5187" s="31"/>
      <c r="E5187" s="31"/>
      <c r="F5187" s="691"/>
      <c r="G5187" s="31"/>
      <c r="H5187" s="31"/>
    </row>
    <row r="5188" spans="2:8" hidden="1">
      <c r="B5188" s="33"/>
      <c r="C5188" s="31"/>
      <c r="D5188" s="31"/>
      <c r="E5188" s="31"/>
      <c r="F5188" s="691"/>
      <c r="G5188" s="31"/>
      <c r="H5188" s="31"/>
    </row>
    <row r="5189" spans="2:8" hidden="1">
      <c r="B5189" s="33"/>
      <c r="C5189" s="31"/>
      <c r="D5189" s="31"/>
      <c r="E5189" s="31"/>
      <c r="F5189" s="691"/>
      <c r="G5189" s="31"/>
      <c r="H5189" s="31"/>
    </row>
    <row r="5190" spans="2:8" hidden="1">
      <c r="B5190" s="33"/>
      <c r="C5190" s="31"/>
      <c r="D5190" s="31"/>
      <c r="E5190" s="731"/>
      <c r="F5190" s="731"/>
      <c r="G5190" s="768"/>
      <c r="H5190" s="31"/>
    </row>
    <row r="5191" spans="2:8" hidden="1">
      <c r="B5191" s="33"/>
      <c r="C5191" s="31"/>
      <c r="D5191" s="31"/>
      <c r="E5191" s="31"/>
      <c r="F5191" s="691"/>
      <c r="G5191" s="768"/>
      <c r="H5191" s="31"/>
    </row>
    <row r="5192" spans="2:8" hidden="1">
      <c r="B5192" s="33"/>
      <c r="C5192" s="31"/>
      <c r="D5192" s="31"/>
      <c r="E5192" s="31"/>
      <c r="F5192" s="691"/>
      <c r="G5192" s="768"/>
      <c r="H5192" s="31"/>
    </row>
    <row r="5193" spans="2:8" hidden="1">
      <c r="B5193" s="33"/>
      <c r="C5193" s="31"/>
      <c r="D5193" s="31"/>
      <c r="E5193" s="31"/>
      <c r="F5193" s="691"/>
      <c r="G5193" s="768"/>
      <c r="H5193" s="31"/>
    </row>
    <row r="5194" spans="2:8" hidden="1">
      <c r="B5194" s="33"/>
      <c r="C5194" s="31"/>
      <c r="D5194" s="31"/>
      <c r="E5194" s="31"/>
      <c r="F5194" s="691"/>
      <c r="G5194" s="31"/>
      <c r="H5194" s="31"/>
    </row>
    <row r="5195" spans="2:8" hidden="1">
      <c r="B5195" s="33"/>
      <c r="C5195" s="31"/>
      <c r="D5195" s="31"/>
      <c r="E5195" s="31"/>
      <c r="F5195" s="691"/>
      <c r="G5195" s="31"/>
      <c r="H5195" s="31"/>
    </row>
    <row r="5196" spans="2:8" hidden="1">
      <c r="B5196" s="33"/>
      <c r="C5196" s="31"/>
      <c r="D5196" s="31"/>
      <c r="E5196" s="31"/>
      <c r="F5196" s="691"/>
      <c r="G5196" s="31"/>
      <c r="H5196" s="31"/>
    </row>
    <row r="5197" spans="2:8" hidden="1">
      <c r="B5197" s="200"/>
      <c r="C5197" s="31"/>
      <c r="D5197" s="31"/>
      <c r="E5197" s="31"/>
      <c r="F5197" s="691"/>
      <c r="G5197" s="31"/>
      <c r="H5197" s="31"/>
    </row>
    <row r="5198" spans="2:8" hidden="1">
      <c r="B5198" s="200"/>
      <c r="C5198" s="31"/>
      <c r="D5198" s="31"/>
      <c r="E5198" s="31"/>
      <c r="F5198" s="691"/>
      <c r="G5198" s="31"/>
      <c r="H5198" s="31"/>
    </row>
    <row r="5199" spans="2:8" hidden="1">
      <c r="B5199" s="200"/>
      <c r="C5199" s="31"/>
      <c r="D5199" s="31"/>
      <c r="E5199" s="31"/>
      <c r="F5199" s="691"/>
      <c r="G5199" s="31"/>
      <c r="H5199" s="31"/>
    </row>
    <row r="5200" spans="2:8" hidden="1">
      <c r="B5200" s="200"/>
      <c r="C5200" s="31"/>
      <c r="D5200" s="31"/>
      <c r="E5200" s="31"/>
      <c r="F5200" s="691"/>
      <c r="G5200" s="31"/>
      <c r="H5200" s="31"/>
    </row>
    <row r="5201" spans="2:8" hidden="1">
      <c r="B5201" s="200"/>
      <c r="C5201" s="31"/>
      <c r="D5201" s="31"/>
      <c r="E5201" s="31"/>
      <c r="F5201" s="691"/>
      <c r="G5201" s="31"/>
      <c r="H5201" s="31"/>
    </row>
    <row r="5202" spans="2:8" hidden="1">
      <c r="B5202" s="33"/>
      <c r="C5202" s="31"/>
      <c r="D5202" s="31"/>
      <c r="E5202" s="31"/>
      <c r="F5202" s="691"/>
      <c r="G5202" s="31"/>
      <c r="H5202" s="31"/>
    </row>
    <row r="5203" spans="2:8" hidden="1">
      <c r="B5203" s="33"/>
      <c r="C5203" s="31"/>
      <c r="D5203" s="31"/>
      <c r="E5203" s="31"/>
      <c r="F5203" s="691"/>
      <c r="G5203" s="31"/>
      <c r="H5203" s="31"/>
    </row>
    <row r="5204" spans="2:8" hidden="1">
      <c r="B5204" s="33"/>
      <c r="C5204" s="31"/>
      <c r="D5204" s="31"/>
      <c r="E5204" s="31"/>
      <c r="F5204" s="691"/>
      <c r="G5204" s="31"/>
      <c r="H5204" s="31"/>
    </row>
    <row r="5205" spans="2:8" hidden="1">
      <c r="B5205" s="200"/>
      <c r="C5205" s="31"/>
      <c r="D5205" s="31"/>
      <c r="E5205" s="31"/>
      <c r="F5205" s="691"/>
      <c r="G5205" s="31"/>
      <c r="H5205" s="31"/>
    </row>
    <row r="5206" spans="2:8" hidden="1">
      <c r="B5206" s="200"/>
      <c r="C5206" s="31"/>
      <c r="D5206" s="31"/>
      <c r="E5206" s="31"/>
      <c r="F5206" s="691"/>
      <c r="G5206" s="31"/>
      <c r="H5206" s="31"/>
    </row>
    <row r="5207" spans="2:8" hidden="1">
      <c r="B5207" s="200"/>
      <c r="C5207" s="31"/>
      <c r="D5207" s="31"/>
      <c r="E5207" s="31"/>
      <c r="F5207" s="691"/>
      <c r="G5207" s="31"/>
      <c r="H5207" s="31"/>
    </row>
    <row r="5208" spans="2:8" hidden="1">
      <c r="B5208" s="200"/>
      <c r="C5208" s="31"/>
      <c r="D5208" s="31"/>
      <c r="E5208" s="31"/>
      <c r="F5208" s="691"/>
      <c r="G5208" s="31"/>
      <c r="H5208" s="31"/>
    </row>
    <row r="5209" spans="2:8" hidden="1">
      <c r="B5209" s="200"/>
      <c r="C5209" s="31"/>
      <c r="D5209" s="31"/>
      <c r="E5209" s="31"/>
      <c r="F5209" s="691"/>
      <c r="G5209" s="31"/>
      <c r="H5209" s="31"/>
    </row>
    <row r="5210" spans="2:8" hidden="1">
      <c r="B5210" s="200"/>
      <c r="C5210" s="31"/>
      <c r="D5210" s="31"/>
      <c r="E5210" s="31"/>
      <c r="F5210" s="691"/>
      <c r="G5210" s="31"/>
      <c r="H5210" s="31"/>
    </row>
    <row r="5211" spans="2:8" hidden="1">
      <c r="B5211" s="200"/>
      <c r="C5211" s="31"/>
      <c r="D5211" s="31"/>
      <c r="E5211" s="31"/>
      <c r="F5211" s="691"/>
      <c r="G5211" s="31"/>
      <c r="H5211" s="31"/>
    </row>
    <row r="5212" spans="2:8" hidden="1">
      <c r="B5212" s="200"/>
      <c r="C5212" s="31"/>
      <c r="D5212" s="31"/>
      <c r="E5212" s="31"/>
      <c r="F5212" s="691"/>
      <c r="G5212" s="31"/>
      <c r="H5212" s="31"/>
    </row>
    <row r="5213" spans="2:8" hidden="1">
      <c r="B5213" s="200"/>
      <c r="C5213" s="31"/>
      <c r="D5213" s="31"/>
      <c r="E5213" s="31"/>
      <c r="F5213" s="691"/>
      <c r="G5213" s="31"/>
      <c r="H5213" s="31"/>
    </row>
    <row r="5214" spans="2:8" hidden="1">
      <c r="B5214" s="200"/>
      <c r="C5214" s="31"/>
      <c r="D5214" s="31"/>
      <c r="E5214" s="31"/>
      <c r="F5214" s="691"/>
      <c r="G5214" s="31"/>
      <c r="H5214" s="31"/>
    </row>
    <row r="5215" spans="2:8" hidden="1">
      <c r="B5215" s="200"/>
      <c r="C5215" s="31"/>
      <c r="D5215" s="31"/>
      <c r="E5215" s="31"/>
      <c r="F5215" s="691"/>
      <c r="G5215" s="31"/>
      <c r="H5215" s="31"/>
    </row>
    <row r="5216" spans="2:8" hidden="1">
      <c r="B5216" s="200"/>
      <c r="C5216" s="31"/>
      <c r="D5216" s="31"/>
      <c r="E5216" s="31"/>
      <c r="F5216" s="691"/>
      <c r="G5216" s="31"/>
      <c r="H5216" s="31"/>
    </row>
    <row r="5217" spans="2:8" hidden="1">
      <c r="B5217" s="200"/>
      <c r="C5217" s="31"/>
      <c r="D5217" s="31"/>
      <c r="E5217" s="31"/>
      <c r="F5217" s="691"/>
      <c r="G5217" s="31"/>
      <c r="H5217" s="31"/>
    </row>
    <row r="5218" spans="2:8" hidden="1">
      <c r="B5218" s="200"/>
      <c r="C5218" s="31"/>
      <c r="D5218" s="31"/>
      <c r="E5218" s="31"/>
      <c r="F5218" s="691"/>
      <c r="G5218" s="31"/>
      <c r="H5218" s="31"/>
    </row>
    <row r="5219" spans="2:8" hidden="1">
      <c r="B5219" s="200"/>
      <c r="C5219" s="31"/>
      <c r="D5219" s="31"/>
      <c r="E5219" s="31"/>
      <c r="F5219" s="691"/>
      <c r="G5219" s="31"/>
      <c r="H5219" s="31"/>
    </row>
    <row r="5220" spans="2:8" hidden="1">
      <c r="B5220" s="200"/>
      <c r="C5220" s="31"/>
      <c r="D5220" s="31"/>
      <c r="E5220" s="31"/>
      <c r="F5220" s="691"/>
      <c r="G5220" s="31"/>
      <c r="H5220" s="31"/>
    </row>
    <row r="5221" spans="2:8" hidden="1">
      <c r="B5221" s="200"/>
      <c r="C5221" s="31"/>
      <c r="D5221" s="31"/>
      <c r="E5221" s="31"/>
      <c r="F5221" s="691"/>
      <c r="G5221" s="31"/>
      <c r="H5221" s="31"/>
    </row>
    <row r="5222" spans="2:8" hidden="1">
      <c r="B5222" s="200"/>
      <c r="C5222" s="31"/>
      <c r="D5222" s="31"/>
      <c r="E5222" s="31"/>
      <c r="F5222" s="691"/>
      <c r="G5222" s="31"/>
      <c r="H5222" s="31"/>
    </row>
    <row r="5223" spans="2:8" hidden="1">
      <c r="B5223" s="200"/>
      <c r="C5223" s="31"/>
      <c r="D5223" s="31"/>
      <c r="E5223" s="31"/>
      <c r="F5223" s="691"/>
      <c r="G5223" s="31"/>
      <c r="H5223" s="31"/>
    </row>
    <row r="5224" spans="2:8" hidden="1">
      <c r="B5224" s="33"/>
      <c r="C5224" s="31"/>
      <c r="D5224" s="31"/>
      <c r="E5224" s="31"/>
      <c r="F5224" s="691"/>
      <c r="G5224" s="31"/>
      <c r="H5224" s="31"/>
    </row>
    <row r="5225" spans="2:8" hidden="1">
      <c r="B5225" s="33"/>
      <c r="C5225" s="31"/>
      <c r="D5225" s="31"/>
      <c r="E5225" s="31"/>
      <c r="F5225" s="691"/>
      <c r="G5225" s="31"/>
      <c r="H5225" s="31"/>
    </row>
    <row r="5226" spans="2:8" hidden="1">
      <c r="B5226" s="33"/>
      <c r="C5226" s="31"/>
      <c r="D5226" s="31"/>
      <c r="E5226" s="31"/>
      <c r="F5226" s="691"/>
      <c r="G5226" s="31"/>
      <c r="H5226" s="31"/>
    </row>
    <row r="5227" spans="2:8" hidden="1">
      <c r="B5227" s="33"/>
      <c r="C5227" s="31"/>
      <c r="D5227" s="31"/>
      <c r="E5227" s="31"/>
      <c r="F5227" s="691"/>
      <c r="G5227" s="31"/>
      <c r="H5227" s="31"/>
    </row>
    <row r="5228" spans="2:8" hidden="1">
      <c r="B5228" s="33"/>
      <c r="C5228" s="31"/>
      <c r="D5228" s="31"/>
      <c r="E5228" s="31"/>
      <c r="F5228" s="691"/>
      <c r="G5228" s="31"/>
      <c r="H5228" s="31"/>
    </row>
    <row r="5229" spans="2:8" hidden="1">
      <c r="B5229" s="33"/>
      <c r="C5229" s="31"/>
      <c r="D5229" s="31"/>
      <c r="E5229" s="200"/>
      <c r="F5229" s="691"/>
      <c r="G5229" s="31"/>
      <c r="H5229" s="31"/>
    </row>
    <row r="5230" spans="2:8" hidden="1">
      <c r="B5230" s="33"/>
      <c r="C5230" s="31"/>
      <c r="D5230" s="31"/>
      <c r="E5230" s="31"/>
      <c r="F5230" s="691"/>
      <c r="G5230" s="31"/>
      <c r="H5230" s="31"/>
    </row>
    <row r="5231" spans="2:8" hidden="1">
      <c r="B5231" s="33"/>
      <c r="C5231" s="31"/>
      <c r="D5231" s="31"/>
      <c r="E5231" s="31"/>
      <c r="F5231" s="691"/>
      <c r="G5231" s="31"/>
      <c r="H5231" s="31"/>
    </row>
    <row r="5232" spans="2:8" hidden="1">
      <c r="B5232" s="33"/>
      <c r="C5232" s="31"/>
      <c r="D5232" s="31"/>
      <c r="E5232" s="31"/>
      <c r="F5232" s="691"/>
      <c r="G5232" s="31"/>
      <c r="H5232" s="31"/>
    </row>
    <row r="5233" spans="2:8" hidden="1">
      <c r="B5233" s="33"/>
      <c r="C5233" s="31"/>
      <c r="D5233" s="31"/>
      <c r="E5233" s="31"/>
      <c r="F5233" s="691"/>
      <c r="G5233" s="31"/>
      <c r="H5233" s="31"/>
    </row>
    <row r="5234" spans="2:8" hidden="1">
      <c r="B5234" s="33"/>
      <c r="C5234" s="31"/>
      <c r="D5234" s="31"/>
      <c r="E5234" s="31"/>
      <c r="F5234" s="691"/>
      <c r="G5234" s="31"/>
      <c r="H5234" s="31"/>
    </row>
    <row r="5235" spans="2:8" hidden="1">
      <c r="B5235" s="33"/>
      <c r="C5235" s="31"/>
      <c r="D5235" s="31"/>
      <c r="E5235" s="31"/>
      <c r="F5235" s="691"/>
      <c r="G5235" s="31"/>
      <c r="H5235" s="31"/>
    </row>
    <row r="5236" spans="2:8" hidden="1">
      <c r="B5236" s="33"/>
      <c r="C5236" s="31"/>
      <c r="D5236" s="31"/>
      <c r="E5236" s="31"/>
      <c r="F5236" s="691"/>
      <c r="G5236" s="31"/>
      <c r="H5236" s="31"/>
    </row>
    <row r="5237" spans="2:8" hidden="1">
      <c r="B5237" s="33"/>
      <c r="C5237" s="31"/>
      <c r="D5237" s="31"/>
      <c r="E5237" s="31"/>
      <c r="F5237" s="691"/>
      <c r="G5237" s="31"/>
      <c r="H5237" s="31"/>
    </row>
    <row r="5238" spans="2:8" hidden="1">
      <c r="B5238" s="33"/>
      <c r="C5238" s="31"/>
      <c r="D5238" s="31"/>
      <c r="E5238" s="31"/>
      <c r="F5238" s="691"/>
      <c r="G5238" s="31"/>
      <c r="H5238" s="31"/>
    </row>
    <row r="5239" spans="2:8" hidden="1">
      <c r="B5239" s="33"/>
      <c r="C5239" s="31"/>
      <c r="D5239" s="31"/>
      <c r="E5239" s="31"/>
      <c r="F5239" s="691"/>
      <c r="G5239" s="31"/>
      <c r="H5239" s="31"/>
    </row>
    <row r="5240" spans="2:8" hidden="1">
      <c r="B5240" s="33"/>
      <c r="C5240" s="31"/>
      <c r="D5240" s="31"/>
      <c r="E5240" s="31"/>
      <c r="F5240" s="691"/>
      <c r="G5240" s="31"/>
      <c r="H5240" s="31"/>
    </row>
    <row r="5241" spans="2:8" hidden="1">
      <c r="B5241" s="33"/>
      <c r="C5241" s="31"/>
      <c r="D5241" s="31"/>
      <c r="E5241" s="31"/>
      <c r="F5241" s="691"/>
      <c r="G5241" s="31"/>
      <c r="H5241" s="31"/>
    </row>
    <row r="5242" spans="2:8" hidden="1">
      <c r="B5242" s="33"/>
      <c r="C5242" s="31"/>
      <c r="D5242" s="31"/>
      <c r="E5242" s="31"/>
      <c r="F5242" s="691"/>
      <c r="G5242" s="31"/>
      <c r="H5242" s="31"/>
    </row>
    <row r="5243" spans="2:8" hidden="1">
      <c r="B5243" s="33"/>
      <c r="C5243" s="31"/>
      <c r="D5243" s="31"/>
      <c r="E5243" s="31"/>
      <c r="F5243" s="691"/>
      <c r="G5243" s="31"/>
      <c r="H5243" s="31"/>
    </row>
    <row r="5244" spans="2:8" hidden="1">
      <c r="B5244" s="33"/>
      <c r="C5244" s="31"/>
      <c r="D5244" s="31"/>
      <c r="E5244" s="31"/>
      <c r="F5244" s="691"/>
      <c r="G5244" s="31"/>
      <c r="H5244" s="31"/>
    </row>
    <row r="5245" spans="2:8" hidden="1">
      <c r="B5245" s="33"/>
      <c r="C5245" s="31"/>
      <c r="D5245" s="31"/>
      <c r="E5245" s="200"/>
      <c r="F5245" s="691"/>
      <c r="G5245" s="31"/>
      <c r="H5245" s="31"/>
    </row>
    <row r="5246" spans="2:8" hidden="1">
      <c r="B5246" s="33"/>
      <c r="C5246" s="31"/>
      <c r="D5246" s="31"/>
      <c r="E5246" s="31"/>
      <c r="F5246" s="691"/>
      <c r="G5246" s="31"/>
      <c r="H5246" s="31"/>
    </row>
    <row r="5247" spans="2:8" hidden="1">
      <c r="B5247" s="33"/>
      <c r="C5247" s="31"/>
      <c r="D5247" s="31"/>
      <c r="E5247" s="31"/>
      <c r="F5247" s="691"/>
      <c r="G5247" s="31"/>
      <c r="H5247" s="31"/>
    </row>
    <row r="5248" spans="2:8" hidden="1">
      <c r="B5248" s="33"/>
      <c r="C5248" s="31"/>
      <c r="D5248" s="31"/>
      <c r="E5248" s="31"/>
      <c r="F5248" s="691"/>
      <c r="G5248" s="31"/>
      <c r="H5248" s="31"/>
    </row>
    <row r="5249" spans="2:8" hidden="1">
      <c r="B5249" s="33"/>
      <c r="C5249" s="31"/>
      <c r="D5249" s="31"/>
      <c r="E5249" s="31"/>
      <c r="F5249" s="691"/>
      <c r="G5249" s="31"/>
      <c r="H5249" s="31"/>
    </row>
    <row r="5250" spans="2:8" hidden="1">
      <c r="B5250" s="33"/>
      <c r="C5250" s="31"/>
      <c r="D5250" s="31"/>
      <c r="E5250" s="31"/>
      <c r="F5250" s="691"/>
      <c r="G5250" s="31"/>
      <c r="H5250" s="31"/>
    </row>
    <row r="5251" spans="2:8" hidden="1">
      <c r="B5251" s="33"/>
      <c r="C5251" s="31"/>
      <c r="D5251" s="31"/>
      <c r="E5251" s="31"/>
      <c r="F5251" s="691"/>
      <c r="G5251" s="31"/>
      <c r="H5251" s="31"/>
    </row>
    <row r="5252" spans="2:8" hidden="1">
      <c r="B5252" s="33"/>
      <c r="C5252" s="31"/>
      <c r="D5252" s="31"/>
      <c r="E5252" s="31"/>
      <c r="F5252" s="691"/>
      <c r="G5252" s="31"/>
      <c r="H5252" s="31"/>
    </row>
    <row r="5253" spans="2:8" hidden="1">
      <c r="B5253" s="33"/>
      <c r="C5253" s="31"/>
      <c r="D5253" s="31"/>
      <c r="E5253" s="31"/>
      <c r="F5253" s="691"/>
      <c r="G5253" s="31"/>
      <c r="H5253" s="31"/>
    </row>
    <row r="5254" spans="2:8" hidden="1">
      <c r="B5254" s="33"/>
      <c r="C5254" s="31"/>
      <c r="D5254" s="31"/>
      <c r="E5254" s="31"/>
      <c r="F5254" s="691"/>
      <c r="G5254" s="31"/>
      <c r="H5254" s="31"/>
    </row>
    <row r="5255" spans="2:8" hidden="1">
      <c r="B5255" s="33"/>
      <c r="C5255" s="31"/>
      <c r="D5255" s="31"/>
      <c r="E5255" s="31"/>
      <c r="F5255" s="691"/>
      <c r="G5255" s="31"/>
      <c r="H5255" s="31"/>
    </row>
    <row r="5256" spans="2:8" hidden="1">
      <c r="B5256" s="33"/>
      <c r="C5256" s="31"/>
      <c r="D5256" s="31"/>
      <c r="E5256" s="31"/>
      <c r="F5256" s="691"/>
      <c r="G5256" s="31"/>
      <c r="H5256" s="31"/>
    </row>
    <row r="5257" spans="2:8" hidden="1">
      <c r="B5257" s="33"/>
      <c r="C5257" s="31"/>
      <c r="D5257" s="31"/>
      <c r="E5257" s="31"/>
      <c r="F5257" s="691"/>
      <c r="G5257" s="31"/>
      <c r="H5257" s="31"/>
    </row>
    <row r="5258" spans="2:8" hidden="1">
      <c r="B5258" s="33"/>
      <c r="C5258" s="31"/>
      <c r="D5258" s="31"/>
      <c r="E5258" s="31"/>
      <c r="F5258" s="691"/>
      <c r="G5258" s="31"/>
      <c r="H5258" s="31"/>
    </row>
    <row r="5259" spans="2:8" hidden="1">
      <c r="B5259" s="33"/>
      <c r="C5259" s="31"/>
      <c r="D5259" s="31"/>
      <c r="E5259" s="31"/>
      <c r="F5259" s="31"/>
      <c r="G5259" s="31"/>
      <c r="H5259" s="31"/>
    </row>
    <row r="5260" spans="2:8" hidden="1">
      <c r="B5260" s="33"/>
      <c r="C5260" s="31"/>
      <c r="D5260" s="31"/>
      <c r="E5260" s="31"/>
      <c r="F5260" s="31"/>
      <c r="G5260" s="31"/>
      <c r="H5260" s="31"/>
    </row>
    <row r="5261" spans="2:8" hidden="1">
      <c r="B5261" s="33"/>
      <c r="C5261" s="31"/>
      <c r="D5261" s="31"/>
      <c r="E5261" s="31"/>
      <c r="F5261" s="31"/>
      <c r="G5261" s="31"/>
      <c r="H5261" s="31"/>
    </row>
    <row r="5262" spans="2:8" hidden="1">
      <c r="B5262" s="33"/>
      <c r="C5262" s="31"/>
      <c r="D5262" s="31"/>
      <c r="E5262" s="31"/>
      <c r="F5262" s="31"/>
      <c r="G5262" s="31"/>
      <c r="H5262" s="31"/>
    </row>
    <row r="5263" spans="2:8" hidden="1">
      <c r="B5263" s="33"/>
      <c r="C5263" s="31"/>
      <c r="D5263" s="31"/>
      <c r="E5263" s="31"/>
      <c r="F5263" s="31"/>
      <c r="G5263" s="31"/>
      <c r="H5263" s="31"/>
    </row>
    <row r="5264" spans="2:8" hidden="1">
      <c r="B5264" s="33"/>
      <c r="C5264" s="31"/>
      <c r="D5264" s="31"/>
      <c r="E5264" s="31"/>
      <c r="F5264" s="31"/>
      <c r="G5264" s="31"/>
      <c r="H5264" s="31"/>
    </row>
    <row r="5265" spans="2:8" hidden="1">
      <c r="B5265" s="33"/>
      <c r="C5265" s="31"/>
      <c r="D5265" s="31"/>
      <c r="E5265" s="31"/>
      <c r="F5265" s="31"/>
      <c r="G5265" s="31"/>
      <c r="H5265" s="31"/>
    </row>
    <row r="5266" spans="2:8" hidden="1">
      <c r="B5266" s="33"/>
      <c r="C5266" s="31"/>
      <c r="D5266" s="31"/>
      <c r="E5266" s="31"/>
      <c r="F5266" s="31"/>
      <c r="G5266" s="31"/>
      <c r="H5266" s="31"/>
    </row>
    <row r="5267" spans="2:8" hidden="1">
      <c r="B5267" s="33"/>
      <c r="C5267" s="31"/>
      <c r="D5267" s="31"/>
      <c r="E5267" s="31"/>
      <c r="F5267" s="31"/>
      <c r="G5267" s="31"/>
      <c r="H5267" s="31"/>
    </row>
    <row r="5268" spans="2:8" hidden="1">
      <c r="B5268" s="33"/>
      <c r="C5268" s="31"/>
      <c r="D5268" s="31"/>
      <c r="E5268" s="31"/>
      <c r="F5268" s="33"/>
      <c r="G5268" s="31"/>
      <c r="H5268" s="31"/>
    </row>
    <row r="5269" spans="2:8" hidden="1">
      <c r="B5269" s="33"/>
      <c r="C5269" s="31"/>
      <c r="D5269" s="33"/>
      <c r="E5269" s="33"/>
      <c r="F5269" s="33"/>
      <c r="G5269" s="33"/>
      <c r="H5269" s="31"/>
    </row>
    <row r="5270" spans="2:8" hidden="1">
      <c r="B5270" s="33"/>
      <c r="C5270" s="31"/>
      <c r="D5270" s="33"/>
      <c r="E5270" s="33"/>
      <c r="F5270" s="33"/>
      <c r="G5270" s="33"/>
      <c r="H5270" s="31"/>
    </row>
    <row r="5271" spans="2:8" hidden="1">
      <c r="B5271" s="33"/>
      <c r="C5271" s="31"/>
      <c r="D5271" s="33"/>
      <c r="E5271" s="33"/>
      <c r="F5271" s="33"/>
      <c r="G5271" s="33"/>
      <c r="H5271" s="31"/>
    </row>
    <row r="5272" spans="2:8" hidden="1">
      <c r="B5272" s="33"/>
      <c r="C5272" s="31"/>
      <c r="D5272" s="33"/>
      <c r="E5272" s="33"/>
      <c r="F5272" s="33"/>
      <c r="G5272" s="33"/>
      <c r="H5272" s="31"/>
    </row>
    <row r="5273" spans="2:8" hidden="1">
      <c r="B5273" s="33"/>
      <c r="C5273" s="31"/>
      <c r="D5273" s="33"/>
      <c r="E5273" s="33"/>
      <c r="F5273" s="33"/>
      <c r="G5273" s="33"/>
      <c r="H5273" s="31"/>
    </row>
    <row r="5274" spans="2:8" hidden="1">
      <c r="B5274" s="33"/>
      <c r="C5274" s="31"/>
      <c r="D5274" s="33"/>
      <c r="E5274" s="33"/>
      <c r="F5274" s="33"/>
      <c r="G5274" s="33"/>
      <c r="H5274" s="31"/>
    </row>
    <row r="5275" spans="2:8" hidden="1">
      <c r="B5275" s="33"/>
      <c r="C5275" s="31"/>
      <c r="D5275" s="33"/>
      <c r="E5275" s="33"/>
      <c r="F5275" s="33"/>
      <c r="G5275" s="33"/>
      <c r="H5275" s="31"/>
    </row>
    <row r="5276" spans="2:8" hidden="1">
      <c r="B5276" s="33"/>
      <c r="C5276" s="31"/>
      <c r="D5276" s="33"/>
      <c r="E5276" s="33"/>
      <c r="F5276" s="33"/>
      <c r="G5276" s="33"/>
      <c r="H5276" s="31"/>
    </row>
    <row r="5277" spans="2:8" hidden="1">
      <c r="B5277" s="33"/>
      <c r="C5277" s="31"/>
      <c r="D5277" s="33"/>
      <c r="E5277" s="33"/>
      <c r="F5277" s="33"/>
      <c r="G5277" s="33"/>
      <c r="H5277" s="31"/>
    </row>
    <row r="5278" spans="2:8" hidden="1">
      <c r="B5278" s="33"/>
      <c r="C5278" s="31"/>
      <c r="D5278" s="33"/>
      <c r="E5278" s="33"/>
      <c r="F5278" s="33"/>
      <c r="G5278" s="33"/>
      <c r="H5278" s="31"/>
    </row>
    <row r="5279" spans="2:8" hidden="1">
      <c r="B5279" s="33"/>
      <c r="C5279" s="31"/>
      <c r="D5279" s="33"/>
      <c r="E5279" s="33"/>
      <c r="F5279" s="33"/>
      <c r="G5279" s="33"/>
      <c r="H5279" s="31"/>
    </row>
    <row r="5280" spans="2:8" hidden="1">
      <c r="B5280" s="33"/>
      <c r="C5280" s="31"/>
      <c r="D5280" s="33"/>
      <c r="E5280" s="33"/>
      <c r="F5280" s="33"/>
      <c r="G5280" s="33"/>
      <c r="H5280" s="31"/>
    </row>
    <row r="5281" spans="2:8" hidden="1">
      <c r="B5281" s="33"/>
      <c r="C5281" s="31"/>
      <c r="D5281" s="33"/>
      <c r="E5281" s="33"/>
      <c r="F5281" s="33"/>
      <c r="G5281" s="33"/>
      <c r="H5281" s="31"/>
    </row>
    <row r="5282" spans="2:8" hidden="1">
      <c r="B5282" s="33"/>
      <c r="C5282" s="33"/>
      <c r="D5282" s="33"/>
      <c r="E5282" s="33"/>
      <c r="F5282" s="33"/>
      <c r="G5282" s="33"/>
      <c r="H5282" s="31"/>
    </row>
    <row r="5283" spans="2:8" hidden="1">
      <c r="B5283" s="33"/>
      <c r="C5283" s="31"/>
      <c r="D5283" s="31"/>
      <c r="E5283" s="31"/>
      <c r="F5283" s="31"/>
      <c r="G5283" s="31"/>
      <c r="H5283" s="31"/>
    </row>
    <row r="5284" spans="2:8" hidden="1">
      <c r="B5284" s="33"/>
      <c r="C5284" s="31"/>
      <c r="D5284" s="31"/>
      <c r="E5284" s="31"/>
      <c r="F5284" s="31"/>
      <c r="G5284" s="31"/>
      <c r="H5284" s="31"/>
    </row>
    <row r="5285" spans="2:8" hidden="1">
      <c r="B5285" s="33"/>
      <c r="C5285" s="31"/>
      <c r="D5285" s="31"/>
      <c r="E5285" s="31"/>
      <c r="F5285" s="31"/>
      <c r="G5285" s="31"/>
      <c r="H5285" s="31"/>
    </row>
    <row r="5286" spans="2:8" hidden="1">
      <c r="B5286" s="33"/>
      <c r="C5286" s="31"/>
      <c r="D5286" s="31"/>
      <c r="E5286" s="31"/>
      <c r="F5286" s="31"/>
      <c r="G5286" s="31"/>
      <c r="H5286" s="31"/>
    </row>
    <row r="5287" spans="2:8" hidden="1">
      <c r="B5287" s="33"/>
      <c r="C5287" s="31"/>
      <c r="D5287" s="31"/>
      <c r="E5287" s="31"/>
      <c r="F5287" s="31"/>
      <c r="G5287" s="31"/>
      <c r="H5287" s="31"/>
    </row>
    <row r="5288" spans="2:8" hidden="1">
      <c r="B5288" s="33"/>
      <c r="C5288" s="31"/>
      <c r="D5288" s="31"/>
      <c r="E5288" s="31"/>
      <c r="F5288" s="31"/>
      <c r="G5288" s="31"/>
      <c r="H5288" s="31"/>
    </row>
    <row r="5289" spans="2:8" hidden="1">
      <c r="B5289" s="33"/>
      <c r="C5289" s="31"/>
      <c r="D5289" s="31"/>
      <c r="E5289" s="31"/>
      <c r="F5289" s="31"/>
      <c r="G5289" s="31"/>
      <c r="H5289" s="31"/>
    </row>
    <row r="5290" spans="2:8" hidden="1">
      <c r="B5290" s="33"/>
      <c r="C5290" s="31"/>
      <c r="D5290" s="31"/>
      <c r="E5290" s="31"/>
      <c r="F5290" s="31"/>
      <c r="G5290" s="31"/>
      <c r="H5290" s="31"/>
    </row>
    <row r="5291" spans="2:8" hidden="1">
      <c r="B5291" s="33"/>
      <c r="C5291" s="31"/>
      <c r="D5291" s="31"/>
      <c r="E5291" s="31"/>
      <c r="F5291" s="31"/>
      <c r="G5291" s="31"/>
      <c r="H5291" s="31"/>
    </row>
    <row r="5292" spans="2:8" hidden="1">
      <c r="B5292" s="33"/>
      <c r="C5292" s="31"/>
      <c r="D5292" s="31"/>
      <c r="E5292" s="31"/>
      <c r="F5292" s="31"/>
      <c r="G5292" s="31"/>
      <c r="H5292" s="31"/>
    </row>
    <row r="5293" spans="2:8" hidden="1">
      <c r="B5293" s="33"/>
      <c r="C5293" s="31"/>
      <c r="D5293" s="31"/>
      <c r="E5293" s="31"/>
      <c r="F5293" s="31"/>
      <c r="G5293" s="31"/>
      <c r="H5293" s="31"/>
    </row>
    <row r="5294" spans="2:8" hidden="1">
      <c r="B5294" s="33"/>
      <c r="C5294" s="31"/>
      <c r="D5294" s="31"/>
      <c r="E5294" s="31"/>
      <c r="F5294" s="31"/>
      <c r="G5294" s="31"/>
      <c r="H5294" s="31"/>
    </row>
    <row r="5295" spans="2:8" hidden="1">
      <c r="B5295" s="33"/>
      <c r="C5295" s="31"/>
      <c r="D5295" s="75"/>
      <c r="E5295" s="31"/>
      <c r="F5295" s="405"/>
      <c r="G5295" s="75"/>
      <c r="H5295" s="31"/>
    </row>
    <row r="5296" spans="2:8" hidden="1">
      <c r="B5296" s="33"/>
      <c r="C5296" s="31"/>
      <c r="D5296" s="31"/>
      <c r="E5296" s="31"/>
      <c r="F5296" s="691"/>
      <c r="G5296" s="732"/>
      <c r="H5296" s="31"/>
    </row>
    <row r="5297" spans="2:8" hidden="1">
      <c r="B5297" s="33"/>
      <c r="C5297" s="31"/>
      <c r="D5297" s="31"/>
      <c r="E5297" s="31"/>
      <c r="F5297" s="405"/>
      <c r="G5297" s="75"/>
      <c r="H5297" s="31"/>
    </row>
    <row r="5298" spans="2:8" hidden="1">
      <c r="B5298" s="33"/>
      <c r="C5298" s="31"/>
      <c r="D5298" s="75"/>
      <c r="E5298" s="31"/>
      <c r="F5298" s="405"/>
      <c r="G5298" s="75"/>
      <c r="H5298" s="31"/>
    </row>
    <row r="5299" spans="2:8" hidden="1">
      <c r="B5299" s="33"/>
      <c r="C5299" s="31"/>
      <c r="D5299" s="31"/>
      <c r="E5299" s="31"/>
      <c r="F5299" s="691"/>
      <c r="G5299" s="732"/>
      <c r="H5299" s="31"/>
    </row>
    <row r="5300" spans="2:8" hidden="1">
      <c r="B5300" s="33"/>
      <c r="C5300" s="31"/>
      <c r="D5300" s="31"/>
      <c r="E5300" s="31"/>
      <c r="F5300" s="405"/>
      <c r="G5300" s="75"/>
      <c r="H5300" s="31"/>
    </row>
    <row r="5301" spans="2:8" hidden="1">
      <c r="B5301" s="33"/>
      <c r="C5301" s="31"/>
      <c r="D5301" s="31"/>
      <c r="E5301" s="31"/>
      <c r="F5301" s="31"/>
      <c r="G5301" s="31"/>
      <c r="H5301" s="31"/>
    </row>
    <row r="5302" spans="2:8" hidden="1">
      <c r="B5302" s="33"/>
      <c r="C5302" s="200"/>
      <c r="D5302" s="31"/>
      <c r="E5302" s="200"/>
      <c r="F5302" s="769"/>
      <c r="G5302" s="31"/>
      <c r="H5302" s="31"/>
    </row>
    <row r="5303" spans="2:8" hidden="1">
      <c r="B5303" s="76"/>
      <c r="C5303" s="31"/>
      <c r="D5303" s="31"/>
      <c r="E5303" s="31"/>
      <c r="F5303" s="75"/>
      <c r="G5303" s="31"/>
      <c r="H5303" s="31"/>
    </row>
    <row r="5304" spans="2:8" hidden="1">
      <c r="B5304" s="33"/>
      <c r="C5304" s="33"/>
      <c r="D5304" s="33"/>
      <c r="E5304" s="33"/>
      <c r="F5304" s="33"/>
      <c r="G5304" s="33"/>
      <c r="H5304" s="31"/>
    </row>
    <row r="5305" spans="2:8" hidden="1">
      <c r="B5305" s="33"/>
      <c r="C5305" s="31"/>
      <c r="D5305" s="33"/>
      <c r="E5305" s="33"/>
      <c r="F5305" s="33"/>
      <c r="G5305" s="33"/>
      <c r="H5305" s="31"/>
    </row>
    <row r="5306" spans="2:8" hidden="1">
      <c r="B5306" s="405"/>
      <c r="C5306" s="76"/>
      <c r="D5306" s="731"/>
      <c r="E5306" s="75"/>
      <c r="F5306" s="75"/>
      <c r="G5306" s="75"/>
      <c r="H5306" s="31"/>
    </row>
    <row r="5307" spans="2:8" hidden="1">
      <c r="B5307" s="405"/>
      <c r="C5307" s="76"/>
      <c r="D5307" s="731"/>
      <c r="E5307" s="75"/>
      <c r="F5307" s="75"/>
      <c r="G5307" s="75"/>
      <c r="H5307" s="31"/>
    </row>
    <row r="5308" spans="2:8" hidden="1">
      <c r="B5308" s="405"/>
      <c r="C5308" s="76"/>
      <c r="D5308" s="731"/>
      <c r="E5308" s="75"/>
      <c r="F5308" s="75"/>
      <c r="G5308" s="75"/>
      <c r="H5308" s="31"/>
    </row>
    <row r="5309" spans="2:8" hidden="1">
      <c r="B5309" s="405"/>
      <c r="C5309" s="76"/>
      <c r="D5309" s="731"/>
      <c r="E5309" s="75"/>
      <c r="F5309" s="75"/>
      <c r="G5309" s="75"/>
      <c r="H5309" s="31"/>
    </row>
    <row r="5310" spans="2:8" hidden="1">
      <c r="B5310" s="405"/>
      <c r="C5310" s="76"/>
      <c r="D5310" s="731"/>
      <c r="E5310" s="75"/>
      <c r="F5310" s="75"/>
      <c r="G5310" s="75"/>
      <c r="H5310" s="31"/>
    </row>
    <row r="5311" spans="2:8" hidden="1">
      <c r="B5311" s="405"/>
      <c r="C5311" s="76"/>
      <c r="D5311" s="731"/>
      <c r="E5311" s="75"/>
      <c r="F5311" s="75"/>
      <c r="G5311" s="75"/>
      <c r="H5311" s="31"/>
    </row>
    <row r="5312" spans="2:8" hidden="1">
      <c r="B5312" s="405"/>
      <c r="C5312" s="76"/>
      <c r="D5312" s="731"/>
      <c r="E5312" s="75"/>
      <c r="F5312" s="75"/>
      <c r="G5312" s="75"/>
      <c r="H5312" s="31"/>
    </row>
    <row r="5313" spans="2:8" hidden="1">
      <c r="B5313" s="405"/>
      <c r="C5313" s="76"/>
      <c r="D5313" s="731"/>
      <c r="E5313" s="75"/>
      <c r="F5313" s="75"/>
      <c r="G5313" s="75"/>
      <c r="H5313" s="31"/>
    </row>
    <row r="5314" spans="2:8" hidden="1">
      <c r="B5314" s="405"/>
      <c r="C5314" s="76"/>
      <c r="D5314" s="731"/>
      <c r="E5314" s="75"/>
      <c r="F5314" s="75"/>
      <c r="G5314" s="75"/>
      <c r="H5314" s="31"/>
    </row>
    <row r="5315" spans="2:8" hidden="1">
      <c r="B5315" s="405"/>
      <c r="C5315" s="76"/>
      <c r="D5315" s="731"/>
      <c r="E5315" s="75"/>
      <c r="F5315" s="75"/>
      <c r="G5315" s="75"/>
      <c r="H5315" s="31"/>
    </row>
    <row r="5316" spans="2:8" hidden="1">
      <c r="B5316" s="405"/>
      <c r="C5316" s="76"/>
      <c r="D5316" s="731"/>
      <c r="E5316" s="75"/>
      <c r="F5316" s="75"/>
      <c r="G5316" s="75"/>
      <c r="H5316" s="31"/>
    </row>
    <row r="5317" spans="2:8" hidden="1">
      <c r="B5317" s="405"/>
      <c r="C5317" s="76"/>
      <c r="D5317" s="731"/>
      <c r="E5317" s="75"/>
      <c r="F5317" s="75"/>
      <c r="G5317" s="75"/>
      <c r="H5317" s="31"/>
    </row>
    <row r="5318" spans="2:8" hidden="1">
      <c r="B5318" s="405"/>
      <c r="C5318" s="76"/>
      <c r="D5318" s="731"/>
      <c r="E5318" s="75"/>
      <c r="F5318" s="75"/>
      <c r="G5318" s="75"/>
      <c r="H5318" s="31"/>
    </row>
    <row r="5319" spans="2:8" hidden="1">
      <c r="B5319" s="405"/>
      <c r="C5319" s="76"/>
      <c r="D5319" s="731"/>
      <c r="E5319" s="75"/>
      <c r="F5319" s="75"/>
      <c r="G5319" s="75"/>
      <c r="H5319" s="31"/>
    </row>
    <row r="5320" spans="2:8" hidden="1">
      <c r="B5320" s="405"/>
      <c r="C5320" s="76"/>
      <c r="D5320" s="731"/>
      <c r="E5320" s="75"/>
      <c r="F5320" s="75"/>
      <c r="G5320" s="75"/>
      <c r="H5320" s="31"/>
    </row>
    <row r="5321" spans="2:8" hidden="1">
      <c r="B5321" s="405"/>
      <c r="C5321" s="76"/>
      <c r="D5321" s="731"/>
      <c r="E5321" s="75"/>
      <c r="F5321" s="75"/>
      <c r="G5321" s="75"/>
      <c r="H5321" s="31"/>
    </row>
    <row r="5322" spans="2:8" hidden="1">
      <c r="B5322" s="405"/>
      <c r="C5322" s="76"/>
      <c r="D5322" s="731"/>
      <c r="E5322" s="75"/>
      <c r="F5322" s="75"/>
      <c r="G5322" s="75"/>
      <c r="H5322" s="31"/>
    </row>
    <row r="5323" spans="2:8" hidden="1">
      <c r="B5323" s="405"/>
      <c r="C5323" s="76"/>
      <c r="D5323" s="731"/>
      <c r="E5323" s="75"/>
      <c r="F5323" s="75"/>
      <c r="G5323" s="75"/>
      <c r="H5323" s="31"/>
    </row>
    <row r="5324" spans="2:8" hidden="1">
      <c r="B5324" s="405"/>
      <c r="C5324" s="76"/>
      <c r="D5324" s="731"/>
      <c r="E5324" s="75"/>
      <c r="F5324" s="75"/>
      <c r="G5324" s="75"/>
      <c r="H5324" s="31"/>
    </row>
    <row r="5325" spans="2:8" hidden="1">
      <c r="B5325" s="30"/>
      <c r="C5325" s="76"/>
      <c r="D5325" s="731"/>
      <c r="E5325" s="75"/>
      <c r="F5325" s="75"/>
      <c r="G5325" s="75"/>
      <c r="H5325" s="31"/>
    </row>
    <row r="5326" spans="2:8" hidden="1">
      <c r="B5326" s="30"/>
      <c r="C5326" s="76"/>
      <c r="D5326" s="731"/>
      <c r="E5326" s="75"/>
      <c r="F5326" s="75"/>
      <c r="G5326" s="75"/>
      <c r="H5326" s="31"/>
    </row>
    <row r="5327" spans="2:8" hidden="1">
      <c r="B5327" s="30"/>
      <c r="C5327" s="76"/>
      <c r="D5327" s="731"/>
      <c r="E5327" s="75"/>
      <c r="F5327" s="75"/>
      <c r="G5327" s="75"/>
      <c r="H5327" s="31"/>
    </row>
    <row r="5328" spans="2:8" hidden="1">
      <c r="B5328" s="30"/>
      <c r="C5328" s="76"/>
      <c r="D5328" s="731"/>
      <c r="E5328" s="75"/>
      <c r="F5328" s="75"/>
      <c r="G5328" s="75"/>
      <c r="H5328" s="31"/>
    </row>
    <row r="5329" spans="2:8" hidden="1">
      <c r="B5329" s="30"/>
      <c r="C5329" s="76"/>
      <c r="D5329" s="731"/>
      <c r="E5329" s="75"/>
      <c r="F5329" s="75"/>
      <c r="G5329" s="75"/>
      <c r="H5329" s="31"/>
    </row>
    <row r="5330" spans="2:8" hidden="1">
      <c r="B5330" s="30"/>
      <c r="C5330" s="76"/>
      <c r="D5330" s="731"/>
      <c r="E5330" s="75"/>
      <c r="F5330" s="75"/>
      <c r="G5330" s="75"/>
      <c r="H5330" s="31"/>
    </row>
    <row r="5331" spans="2:8" hidden="1">
      <c r="B5331" s="30"/>
      <c r="C5331" s="76"/>
      <c r="D5331" s="731"/>
      <c r="E5331" s="75"/>
      <c r="F5331" s="75"/>
      <c r="G5331" s="75"/>
      <c r="H5331" s="31"/>
    </row>
    <row r="5332" spans="2:8" hidden="1">
      <c r="B5332" s="30"/>
      <c r="C5332" s="76"/>
      <c r="D5332" s="731"/>
      <c r="E5332" s="75"/>
      <c r="F5332" s="75"/>
      <c r="G5332" s="75"/>
      <c r="H5332" s="31"/>
    </row>
    <row r="5333" spans="2:8" hidden="1">
      <c r="B5333" s="30"/>
      <c r="C5333" s="76"/>
      <c r="D5333" s="731"/>
      <c r="E5333" s="75"/>
      <c r="F5333" s="75"/>
      <c r="G5333" s="75"/>
      <c r="H5333" s="31"/>
    </row>
    <row r="5334" spans="2:8" hidden="1">
      <c r="B5334" s="30"/>
      <c r="C5334" s="76"/>
      <c r="D5334" s="731"/>
      <c r="E5334" s="75"/>
      <c r="F5334" s="75"/>
      <c r="G5334" s="75"/>
      <c r="H5334" s="31"/>
    </row>
    <row r="5335" spans="2:8" hidden="1">
      <c r="B5335" s="30"/>
      <c r="C5335" s="76"/>
      <c r="D5335" s="731"/>
      <c r="E5335" s="75"/>
      <c r="F5335" s="75"/>
      <c r="G5335" s="75"/>
      <c r="H5335" s="31"/>
    </row>
    <row r="5336" spans="2:8" hidden="1">
      <c r="B5336" s="30"/>
      <c r="C5336" s="76"/>
      <c r="D5336" s="731"/>
      <c r="E5336" s="75"/>
      <c r="F5336" s="75"/>
      <c r="G5336" s="75"/>
      <c r="H5336" s="31"/>
    </row>
    <row r="5337" spans="2:8" hidden="1">
      <c r="B5337" s="30"/>
      <c r="C5337" s="76"/>
      <c r="D5337" s="731"/>
      <c r="E5337" s="75"/>
      <c r="F5337" s="75"/>
      <c r="G5337" s="75"/>
      <c r="H5337" s="31"/>
    </row>
    <row r="5338" spans="2:8" hidden="1">
      <c r="B5338" s="30"/>
      <c r="C5338" s="76"/>
      <c r="D5338" s="731"/>
      <c r="E5338" s="75"/>
      <c r="F5338" s="75"/>
      <c r="G5338" s="75"/>
      <c r="H5338" s="31"/>
    </row>
    <row r="5339" spans="2:8" hidden="1">
      <c r="B5339" s="30"/>
      <c r="C5339" s="76"/>
      <c r="D5339" s="731"/>
      <c r="E5339" s="75"/>
      <c r="F5339" s="75"/>
      <c r="G5339" s="75"/>
      <c r="H5339" s="31"/>
    </row>
    <row r="5340" spans="2:8" hidden="1">
      <c r="B5340" s="33"/>
      <c r="C5340" s="31"/>
      <c r="D5340" s="31"/>
      <c r="E5340" s="200"/>
      <c r="F5340" s="200"/>
      <c r="G5340" s="75"/>
      <c r="H5340" s="31"/>
    </row>
    <row r="5341" spans="2:8" hidden="1">
      <c r="B5341" s="33"/>
      <c r="C5341" s="31"/>
      <c r="D5341" s="31"/>
      <c r="E5341" s="198"/>
      <c r="F5341" s="200"/>
      <c r="G5341" s="75"/>
      <c r="H5341" s="31"/>
    </row>
    <row r="5342" spans="2:8" hidden="1">
      <c r="B5342" s="33"/>
      <c r="C5342" s="31"/>
      <c r="D5342" s="31"/>
      <c r="E5342" s="198"/>
      <c r="F5342" s="200"/>
      <c r="G5342" s="75"/>
      <c r="H5342" s="31"/>
    </row>
    <row r="5343" spans="2:8" hidden="1">
      <c r="B5343" s="33"/>
      <c r="C5343" s="31"/>
      <c r="D5343" s="31"/>
      <c r="E5343" s="198"/>
      <c r="F5343" s="200"/>
      <c r="G5343" s="75"/>
      <c r="H5343" s="31"/>
    </row>
    <row r="5344" spans="2:8" hidden="1">
      <c r="B5344" s="33"/>
      <c r="C5344" s="200"/>
      <c r="D5344" s="30"/>
      <c r="E5344" s="30"/>
      <c r="F5344" s="200"/>
      <c r="G5344" s="75"/>
      <c r="H5344" s="31"/>
    </row>
    <row r="5345" spans="2:8" hidden="1">
      <c r="B5345" s="33"/>
      <c r="C5345" s="31"/>
      <c r="D5345" s="31"/>
      <c r="E5345" s="31"/>
      <c r="F5345" s="31"/>
      <c r="G5345" s="31"/>
      <c r="H5345" s="31"/>
    </row>
    <row r="5346" spans="2:8" hidden="1">
      <c r="B5346" s="76"/>
      <c r="C5346" s="31"/>
      <c r="D5346" s="31"/>
      <c r="E5346" s="31"/>
      <c r="F5346" s="31"/>
      <c r="G5346" s="31"/>
      <c r="H5346" s="31"/>
    </row>
    <row r="5347" spans="2:8" hidden="1">
      <c r="B5347" s="33"/>
      <c r="C5347" s="33"/>
      <c r="D5347" s="33"/>
      <c r="E5347" s="33"/>
      <c r="F5347" s="33"/>
      <c r="G5347" s="33"/>
      <c r="H5347" s="31"/>
    </row>
    <row r="5348" spans="2:8" hidden="1">
      <c r="B5348" s="33"/>
      <c r="C5348" s="31"/>
      <c r="D5348" s="33"/>
      <c r="E5348" s="33"/>
      <c r="F5348" s="33"/>
      <c r="G5348" s="33"/>
      <c r="H5348" s="31"/>
    </row>
    <row r="5349" spans="2:8" hidden="1">
      <c r="B5349" s="405"/>
      <c r="C5349" s="76"/>
      <c r="D5349" s="731"/>
      <c r="E5349" s="75"/>
      <c r="F5349" s="75"/>
      <c r="G5349" s="75"/>
      <c r="H5349" s="31"/>
    </row>
    <row r="5350" spans="2:8" hidden="1">
      <c r="B5350" s="405"/>
      <c r="C5350" s="76"/>
      <c r="D5350" s="731"/>
      <c r="E5350" s="75"/>
      <c r="F5350" s="75"/>
      <c r="G5350" s="75"/>
      <c r="H5350" s="31"/>
    </row>
    <row r="5351" spans="2:8" hidden="1">
      <c r="B5351" s="405"/>
      <c r="C5351" s="76"/>
      <c r="D5351" s="731"/>
      <c r="E5351" s="75"/>
      <c r="F5351" s="75"/>
      <c r="G5351" s="75"/>
      <c r="H5351" s="31"/>
    </row>
    <row r="5352" spans="2:8" hidden="1">
      <c r="B5352" s="405"/>
      <c r="C5352" s="76"/>
      <c r="D5352" s="731"/>
      <c r="E5352" s="75"/>
      <c r="F5352" s="75"/>
      <c r="G5352" s="75"/>
      <c r="H5352" s="31"/>
    </row>
    <row r="5353" spans="2:8" hidden="1">
      <c r="B5353" s="405"/>
      <c r="C5353" s="76"/>
      <c r="D5353" s="731"/>
      <c r="E5353" s="75"/>
      <c r="F5353" s="75"/>
      <c r="G5353" s="75"/>
      <c r="H5353" s="31"/>
    </row>
    <row r="5354" spans="2:8" hidden="1">
      <c r="B5354" s="405"/>
      <c r="C5354" s="76"/>
      <c r="D5354" s="731"/>
      <c r="E5354" s="75"/>
      <c r="F5354" s="75"/>
      <c r="G5354" s="75"/>
      <c r="H5354" s="31"/>
    </row>
    <row r="5355" spans="2:8" hidden="1">
      <c r="B5355" s="405"/>
      <c r="C5355" s="76"/>
      <c r="D5355" s="731"/>
      <c r="E5355" s="75"/>
      <c r="F5355" s="75"/>
      <c r="G5355" s="75"/>
      <c r="H5355" s="31"/>
    </row>
    <row r="5356" spans="2:8" hidden="1">
      <c r="B5356" s="405"/>
      <c r="C5356" s="76"/>
      <c r="D5356" s="731"/>
      <c r="E5356" s="75"/>
      <c r="F5356" s="75"/>
      <c r="G5356" s="75"/>
      <c r="H5356" s="31"/>
    </row>
    <row r="5357" spans="2:8" hidden="1">
      <c r="B5357" s="405"/>
      <c r="C5357" s="76"/>
      <c r="D5357" s="731"/>
      <c r="E5357" s="75"/>
      <c r="F5357" s="75"/>
      <c r="G5357" s="75"/>
      <c r="H5357" s="31"/>
    </row>
    <row r="5358" spans="2:8" hidden="1">
      <c r="B5358" s="405"/>
      <c r="C5358" s="76"/>
      <c r="D5358" s="731"/>
      <c r="E5358" s="75"/>
      <c r="F5358" s="75"/>
      <c r="G5358" s="75"/>
      <c r="H5358" s="31"/>
    </row>
    <row r="5359" spans="2:8" hidden="1">
      <c r="B5359" s="405"/>
      <c r="C5359" s="76"/>
      <c r="D5359" s="731"/>
      <c r="E5359" s="75"/>
      <c r="F5359" s="75"/>
      <c r="G5359" s="75"/>
      <c r="H5359" s="31"/>
    </row>
    <row r="5360" spans="2:8" hidden="1">
      <c r="B5360" s="405"/>
      <c r="C5360" s="76"/>
      <c r="D5360" s="731"/>
      <c r="E5360" s="75"/>
      <c r="F5360" s="75"/>
      <c r="G5360" s="75"/>
      <c r="H5360" s="31"/>
    </row>
    <row r="5361" spans="2:8" hidden="1">
      <c r="B5361" s="405"/>
      <c r="C5361" s="76"/>
      <c r="D5361" s="731"/>
      <c r="E5361" s="75"/>
      <c r="F5361" s="75"/>
      <c r="G5361" s="75"/>
      <c r="H5361" s="31"/>
    </row>
    <row r="5362" spans="2:8" hidden="1">
      <c r="B5362" s="33"/>
      <c r="C5362" s="31"/>
      <c r="D5362" s="31"/>
      <c r="E5362" s="200"/>
      <c r="F5362" s="200"/>
      <c r="G5362" s="75"/>
      <c r="H5362" s="31"/>
    </row>
    <row r="5363" spans="2:8" hidden="1">
      <c r="B5363" s="33"/>
      <c r="C5363" s="31"/>
      <c r="D5363" s="31"/>
      <c r="E5363" s="198"/>
      <c r="F5363" s="200"/>
      <c r="G5363" s="75"/>
      <c r="H5363" s="31"/>
    </row>
    <row r="5364" spans="2:8" hidden="1">
      <c r="B5364" s="33"/>
      <c r="C5364" s="31"/>
      <c r="D5364" s="31"/>
      <c r="E5364" s="198"/>
      <c r="F5364" s="200"/>
      <c r="G5364" s="75"/>
      <c r="H5364" s="31"/>
    </row>
    <row r="5365" spans="2:8" hidden="1">
      <c r="B5365" s="33"/>
      <c r="C5365" s="31"/>
      <c r="D5365" s="31"/>
      <c r="E5365" s="198"/>
      <c r="F5365" s="200"/>
      <c r="G5365" s="75"/>
      <c r="H5365" s="31"/>
    </row>
    <row r="5366" spans="2:8" hidden="1">
      <c r="B5366" s="33"/>
      <c r="C5366" s="30"/>
      <c r="D5366" s="30"/>
      <c r="E5366" s="30"/>
      <c r="F5366" s="200"/>
      <c r="G5366" s="75"/>
      <c r="H5366" s="31"/>
    </row>
    <row r="5367" spans="2:8" hidden="1">
      <c r="B5367" s="33"/>
      <c r="C5367" s="31"/>
      <c r="D5367" s="31"/>
      <c r="E5367" s="31"/>
      <c r="F5367" s="31"/>
      <c r="G5367" s="31"/>
      <c r="H5367" s="31"/>
    </row>
    <row r="5368" spans="2:8" hidden="1">
      <c r="B5368" s="76"/>
      <c r="C5368" s="31"/>
      <c r="D5368" s="31"/>
      <c r="E5368" s="31"/>
      <c r="F5368" s="31"/>
      <c r="G5368" s="31"/>
      <c r="H5368" s="31"/>
    </row>
    <row r="5369" spans="2:8" hidden="1">
      <c r="B5369" s="33"/>
      <c r="C5369" s="33"/>
      <c r="D5369" s="33"/>
      <c r="E5369" s="33"/>
      <c r="F5369" s="33"/>
      <c r="G5369" s="33"/>
      <c r="H5369" s="31"/>
    </row>
    <row r="5370" spans="2:8" hidden="1">
      <c r="B5370" s="33"/>
      <c r="C5370" s="31"/>
      <c r="D5370" s="33"/>
      <c r="E5370" s="33"/>
      <c r="F5370" s="33"/>
      <c r="G5370" s="33"/>
      <c r="H5370" s="31"/>
    </row>
    <row r="5371" spans="2:8" hidden="1">
      <c r="B5371" s="405"/>
      <c r="C5371" s="76"/>
      <c r="D5371" s="731"/>
      <c r="E5371" s="75"/>
      <c r="F5371" s="75"/>
      <c r="G5371" s="75"/>
      <c r="H5371" s="31"/>
    </row>
    <row r="5372" spans="2:8" hidden="1">
      <c r="B5372" s="405"/>
      <c r="C5372" s="76"/>
      <c r="D5372" s="731"/>
      <c r="E5372" s="75"/>
      <c r="F5372" s="75"/>
      <c r="G5372" s="75"/>
      <c r="H5372" s="31"/>
    </row>
    <row r="5373" spans="2:8" hidden="1">
      <c r="B5373" s="405"/>
      <c r="C5373" s="76"/>
      <c r="D5373" s="731"/>
      <c r="E5373" s="75"/>
      <c r="F5373" s="75"/>
      <c r="G5373" s="75"/>
      <c r="H5373" s="31"/>
    </row>
    <row r="5374" spans="2:8" hidden="1">
      <c r="B5374" s="405"/>
      <c r="C5374" s="76"/>
      <c r="D5374" s="731"/>
      <c r="E5374" s="75"/>
      <c r="F5374" s="75"/>
      <c r="G5374" s="75"/>
      <c r="H5374" s="31"/>
    </row>
    <row r="5375" spans="2:8" hidden="1">
      <c r="B5375" s="405"/>
      <c r="C5375" s="76"/>
      <c r="D5375" s="731"/>
      <c r="E5375" s="75"/>
      <c r="F5375" s="75"/>
      <c r="G5375" s="75"/>
      <c r="H5375" s="31"/>
    </row>
    <row r="5376" spans="2:8" hidden="1">
      <c r="B5376" s="405"/>
      <c r="C5376" s="76"/>
      <c r="D5376" s="731"/>
      <c r="E5376" s="75"/>
      <c r="F5376" s="75"/>
      <c r="G5376" s="75"/>
      <c r="H5376" s="31"/>
    </row>
    <row r="5377" spans="2:8" hidden="1">
      <c r="B5377" s="405"/>
      <c r="C5377" s="76"/>
      <c r="D5377" s="731"/>
      <c r="E5377" s="75"/>
      <c r="F5377" s="75"/>
      <c r="G5377" s="75"/>
      <c r="H5377" s="31"/>
    </row>
    <row r="5378" spans="2:8" hidden="1">
      <c r="B5378" s="405"/>
      <c r="C5378" s="76"/>
      <c r="D5378" s="731"/>
      <c r="E5378" s="75"/>
      <c r="F5378" s="75"/>
      <c r="G5378" s="75"/>
      <c r="H5378" s="31"/>
    </row>
    <row r="5379" spans="2:8" hidden="1">
      <c r="B5379" s="405"/>
      <c r="C5379" s="76"/>
      <c r="D5379" s="731"/>
      <c r="E5379" s="75"/>
      <c r="F5379" s="75"/>
      <c r="G5379" s="75"/>
      <c r="H5379" s="31"/>
    </row>
    <row r="5380" spans="2:8" hidden="1">
      <c r="B5380" s="30"/>
      <c r="C5380" s="76"/>
      <c r="D5380" s="731"/>
      <c r="E5380" s="75"/>
      <c r="F5380" s="75"/>
      <c r="G5380" s="75"/>
      <c r="H5380" s="31"/>
    </row>
    <row r="5381" spans="2:8" hidden="1">
      <c r="B5381" s="30"/>
      <c r="C5381" s="76"/>
      <c r="D5381" s="731"/>
      <c r="E5381" s="75"/>
      <c r="F5381" s="75"/>
      <c r="G5381" s="75"/>
      <c r="H5381" s="31"/>
    </row>
    <row r="5382" spans="2:8" hidden="1">
      <c r="B5382" s="33"/>
      <c r="C5382" s="31"/>
      <c r="D5382" s="31"/>
      <c r="E5382" s="200"/>
      <c r="F5382" s="200"/>
      <c r="G5382" s="75"/>
      <c r="H5382" s="31"/>
    </row>
    <row r="5383" spans="2:8" hidden="1">
      <c r="B5383" s="33"/>
      <c r="C5383" s="31"/>
      <c r="D5383" s="31"/>
      <c r="E5383" s="198"/>
      <c r="F5383" s="200"/>
      <c r="G5383" s="75"/>
      <c r="H5383" s="31"/>
    </row>
    <row r="5384" spans="2:8" hidden="1">
      <c r="B5384" s="33"/>
      <c r="C5384" s="31"/>
      <c r="D5384" s="31"/>
      <c r="E5384" s="198"/>
      <c r="F5384" s="200"/>
      <c r="G5384" s="75"/>
      <c r="H5384" s="31"/>
    </row>
    <row r="5385" spans="2:8" hidden="1">
      <c r="B5385" s="33"/>
      <c r="C5385" s="31"/>
      <c r="D5385" s="31"/>
      <c r="E5385" s="198"/>
      <c r="F5385" s="200"/>
      <c r="G5385" s="75"/>
      <c r="H5385" s="31"/>
    </row>
    <row r="5386" spans="2:8" hidden="1">
      <c r="B5386" s="33"/>
      <c r="C5386" s="31"/>
      <c r="D5386" s="31"/>
      <c r="E5386" s="198"/>
      <c r="F5386" s="200"/>
      <c r="G5386" s="75"/>
      <c r="H5386" s="31"/>
    </row>
    <row r="5387" spans="2:8" hidden="1">
      <c r="B5387" s="33"/>
      <c r="C5387" s="31"/>
      <c r="D5387" s="31"/>
      <c r="E5387" s="198"/>
      <c r="F5387" s="200"/>
      <c r="G5387" s="75"/>
      <c r="H5387" s="31"/>
    </row>
    <row r="5388" spans="2:8" hidden="1">
      <c r="B5388" s="33"/>
      <c r="C5388" s="200"/>
      <c r="D5388" s="30"/>
      <c r="E5388" s="30"/>
      <c r="F5388" s="200"/>
      <c r="G5388" s="75"/>
      <c r="H5388" s="31"/>
    </row>
    <row r="5389" spans="2:8" hidden="1">
      <c r="B5389" s="33"/>
      <c r="C5389" s="31"/>
      <c r="D5389" s="31"/>
      <c r="E5389" s="31"/>
      <c r="F5389" s="31"/>
      <c r="G5389" s="31"/>
      <c r="H5389" s="31"/>
    </row>
    <row r="5390" spans="2:8" hidden="1">
      <c r="B5390" s="33"/>
      <c r="C5390" s="31"/>
      <c r="D5390" s="31"/>
      <c r="E5390" s="31"/>
      <c r="F5390" s="31"/>
      <c r="G5390" s="31"/>
      <c r="H5390" s="31"/>
    </row>
    <row r="5391" spans="2:8" hidden="1">
      <c r="B5391" s="33"/>
      <c r="C5391" s="31"/>
      <c r="D5391" s="31"/>
      <c r="E5391" s="31"/>
      <c r="F5391" s="200"/>
      <c r="G5391" s="75"/>
      <c r="H5391" s="31"/>
    </row>
    <row r="5392" spans="2:8" hidden="1">
      <c r="B5392" s="33"/>
      <c r="C5392" s="31"/>
      <c r="D5392" s="31"/>
      <c r="E5392" s="31"/>
      <c r="F5392" s="200"/>
      <c r="G5392" s="75"/>
      <c r="H5392" s="31"/>
    </row>
    <row r="5393" spans="2:8" hidden="1">
      <c r="B5393" s="33"/>
      <c r="C5393" s="31"/>
      <c r="D5393" s="31"/>
      <c r="E5393" s="31"/>
      <c r="F5393" s="200"/>
      <c r="G5393" s="75"/>
      <c r="H5393" s="31"/>
    </row>
    <row r="5394" spans="2:8" hidden="1">
      <c r="B5394" s="33"/>
      <c r="C5394" s="31"/>
      <c r="D5394" s="31"/>
      <c r="E5394" s="200"/>
      <c r="F5394" s="200"/>
      <c r="G5394" s="75"/>
      <c r="H5394" s="31"/>
    </row>
    <row r="5395" spans="2:8" hidden="1">
      <c r="B5395" s="33"/>
      <c r="C5395" s="31"/>
      <c r="D5395" s="31"/>
      <c r="E5395" s="301"/>
      <c r="F5395" s="200"/>
      <c r="G5395" s="75"/>
      <c r="H5395" s="31"/>
    </row>
    <row r="5396" spans="2:8" hidden="1">
      <c r="B5396" s="33"/>
      <c r="C5396" s="31"/>
      <c r="D5396" s="31"/>
      <c r="E5396" s="767"/>
      <c r="F5396" s="200"/>
      <c r="G5396" s="75"/>
      <c r="H5396" s="31"/>
    </row>
    <row r="5397" spans="2:8" hidden="1">
      <c r="B5397" s="33"/>
      <c r="C5397" s="31"/>
      <c r="D5397" s="31"/>
      <c r="E5397" s="767"/>
      <c r="F5397" s="200"/>
      <c r="G5397" s="75"/>
      <c r="H5397" s="31"/>
    </row>
    <row r="5398" spans="2:8" hidden="1">
      <c r="B5398" s="33"/>
      <c r="C5398" s="31"/>
      <c r="D5398" s="31"/>
      <c r="E5398" s="767"/>
      <c r="F5398" s="200"/>
      <c r="G5398" s="75"/>
      <c r="H5398" s="31"/>
    </row>
    <row r="5399" spans="2:8" hidden="1">
      <c r="B5399" s="33"/>
      <c r="C5399" s="31"/>
      <c r="D5399" s="31"/>
      <c r="E5399" s="767"/>
      <c r="F5399" s="200"/>
      <c r="G5399" s="75"/>
      <c r="H5399" s="31"/>
    </row>
    <row r="5400" spans="2:8" hidden="1">
      <c r="B5400" s="33"/>
      <c r="C5400" s="31"/>
      <c r="D5400" s="75"/>
      <c r="E5400" s="767"/>
      <c r="F5400" s="200"/>
      <c r="G5400" s="75"/>
      <c r="H5400" s="31"/>
    </row>
    <row r="5401" spans="2:8" hidden="1">
      <c r="B5401" s="33"/>
      <c r="C5401" s="31"/>
      <c r="D5401" s="31"/>
      <c r="E5401" s="767"/>
      <c r="F5401" s="200"/>
      <c r="G5401" s="75"/>
      <c r="H5401" s="31"/>
    </row>
    <row r="5402" spans="2:8" hidden="1">
      <c r="B5402" s="33"/>
      <c r="C5402" s="31"/>
      <c r="D5402" s="31"/>
      <c r="E5402" s="200"/>
      <c r="F5402" s="200"/>
      <c r="G5402" s="75"/>
      <c r="H5402" s="31"/>
    </row>
    <row r="5403" spans="2:8" hidden="1">
      <c r="B5403" s="33"/>
      <c r="C5403" s="31"/>
      <c r="D5403" s="31"/>
      <c r="E5403" s="200"/>
      <c r="F5403" s="200"/>
      <c r="G5403" s="31"/>
      <c r="H5403" s="31"/>
    </row>
    <row r="5404" spans="2:8" hidden="1">
      <c r="B5404" s="33"/>
      <c r="C5404" s="31"/>
      <c r="D5404" s="75"/>
      <c r="E5404" s="76"/>
      <c r="F5404" s="200"/>
      <c r="G5404" s="75"/>
      <c r="H5404" s="31"/>
    </row>
    <row r="5405" spans="2:8" hidden="1">
      <c r="B5405" s="33"/>
      <c r="C5405" s="31"/>
      <c r="D5405" s="198"/>
      <c r="E5405" s="198"/>
      <c r="F5405" s="200"/>
      <c r="G5405" s="75"/>
      <c r="H5405" s="31"/>
    </row>
    <row r="5406" spans="2:8" hidden="1">
      <c r="B5406" s="33"/>
      <c r="C5406" s="31"/>
      <c r="D5406" s="768"/>
      <c r="E5406" s="31"/>
      <c r="F5406" s="200"/>
      <c r="G5406" s="75"/>
      <c r="H5406" s="31"/>
    </row>
    <row r="5407" spans="2:8" hidden="1">
      <c r="B5407" s="33"/>
      <c r="C5407" s="31"/>
      <c r="D5407" s="768"/>
      <c r="E5407" s="31"/>
      <c r="F5407" s="200"/>
      <c r="G5407" s="31"/>
      <c r="H5407" s="31"/>
    </row>
    <row r="5408" spans="2:8" hidden="1">
      <c r="B5408" s="33"/>
      <c r="C5408" s="31"/>
      <c r="D5408" s="200"/>
      <c r="E5408" s="31"/>
      <c r="F5408" s="200"/>
      <c r="G5408" s="75"/>
      <c r="H5408" s="31"/>
    </row>
    <row r="5409" spans="2:8" hidden="1">
      <c r="B5409" s="33"/>
      <c r="C5409" s="31"/>
      <c r="D5409" s="31"/>
      <c r="E5409" s="200"/>
      <c r="F5409" s="200"/>
      <c r="G5409" s="75"/>
      <c r="H5409" s="31"/>
    </row>
    <row r="5410" spans="2:8" hidden="1">
      <c r="B5410" s="33"/>
      <c r="C5410" s="31"/>
      <c r="D5410" s="31"/>
      <c r="E5410" s="31"/>
      <c r="F5410" s="31"/>
      <c r="G5410" s="31"/>
      <c r="H5410" s="31"/>
    </row>
    <row r="5411" spans="2:8" hidden="1">
      <c r="B5411" s="33"/>
      <c r="C5411" s="31"/>
      <c r="D5411" s="31"/>
      <c r="E5411" s="31"/>
      <c r="F5411" s="31"/>
      <c r="G5411" s="31"/>
      <c r="H5411" s="31"/>
    </row>
    <row r="5412" spans="2:8" hidden="1">
      <c r="B5412" s="33"/>
      <c r="C5412" s="31"/>
      <c r="D5412" s="31"/>
      <c r="E5412" s="31"/>
      <c r="F5412" s="31"/>
      <c r="G5412" s="31"/>
      <c r="H5412" s="31"/>
    </row>
    <row r="5413" spans="2:8" hidden="1">
      <c r="B5413" s="33"/>
      <c r="C5413" s="31"/>
      <c r="D5413" s="33"/>
      <c r="E5413" s="31"/>
      <c r="F5413" s="200"/>
      <c r="G5413" s="76"/>
      <c r="H5413" s="31"/>
    </row>
    <row r="5414" spans="2:8" hidden="1">
      <c r="B5414" s="33"/>
      <c r="C5414" s="31"/>
      <c r="D5414" s="31"/>
      <c r="E5414" s="31"/>
      <c r="F5414" s="31"/>
      <c r="G5414" s="31"/>
      <c r="H5414" s="31"/>
    </row>
    <row r="5415" spans="2:8" hidden="1">
      <c r="B5415" s="33"/>
      <c r="C5415" s="31"/>
      <c r="D5415" s="31"/>
      <c r="E5415" s="31"/>
      <c r="F5415" s="31"/>
      <c r="G5415" s="31"/>
      <c r="H5415" s="31"/>
    </row>
    <row r="5416" spans="2:8" hidden="1">
      <c r="B5416" s="33"/>
      <c r="C5416" s="31"/>
      <c r="D5416" s="31"/>
      <c r="E5416" s="31"/>
      <c r="F5416" s="31"/>
      <c r="G5416" s="31"/>
      <c r="H5416" s="31"/>
    </row>
    <row r="5417" spans="2:8" hidden="1">
      <c r="B5417" s="33"/>
      <c r="C5417" s="31"/>
      <c r="D5417" s="31"/>
      <c r="E5417" s="31"/>
      <c r="F5417" s="31"/>
      <c r="G5417" s="31"/>
      <c r="H5417" s="31"/>
    </row>
    <row r="5418" spans="2:8" hidden="1">
      <c r="B5418" s="33"/>
      <c r="C5418" s="31"/>
      <c r="D5418" s="31"/>
      <c r="E5418" s="31"/>
      <c r="F5418" s="31"/>
      <c r="G5418" s="31"/>
      <c r="H5418" s="31"/>
    </row>
    <row r="5419" spans="2:8" hidden="1">
      <c r="B5419" s="33"/>
      <c r="C5419" s="31"/>
      <c r="D5419" s="31"/>
      <c r="E5419" s="31"/>
      <c r="F5419" s="31"/>
      <c r="G5419" s="31"/>
      <c r="H5419" s="31"/>
    </row>
    <row r="5420" spans="2:8" hidden="1">
      <c r="B5420" s="33"/>
      <c r="C5420" s="31"/>
      <c r="D5420" s="31"/>
      <c r="E5420" s="31"/>
      <c r="F5420" s="31"/>
      <c r="G5420" s="31"/>
      <c r="H5420" s="31"/>
    </row>
    <row r="5421" spans="2:8" hidden="1">
      <c r="B5421" s="33"/>
      <c r="C5421" s="31"/>
      <c r="D5421" s="31"/>
      <c r="E5421" s="31"/>
      <c r="F5421" s="31"/>
      <c r="G5421" s="31"/>
      <c r="H5421" s="31"/>
    </row>
    <row r="5422" spans="2:8" hidden="1">
      <c r="B5422" s="33"/>
      <c r="C5422" s="31"/>
      <c r="D5422" s="31"/>
      <c r="E5422" s="31"/>
      <c r="F5422" s="31"/>
      <c r="G5422" s="31"/>
      <c r="H5422" s="31"/>
    </row>
    <row r="5423" spans="2:8" hidden="1">
      <c r="B5423" s="33"/>
      <c r="C5423" s="31"/>
      <c r="D5423" s="31"/>
      <c r="E5423" s="31"/>
      <c r="F5423" s="31"/>
      <c r="G5423" s="31"/>
      <c r="H5423" s="31"/>
    </row>
    <row r="5424" spans="2:8" hidden="1">
      <c r="B5424" s="33"/>
      <c r="C5424" s="31"/>
      <c r="D5424" s="31"/>
      <c r="E5424" s="31"/>
      <c r="F5424" s="31"/>
      <c r="G5424" s="31"/>
      <c r="H5424" s="31"/>
    </row>
    <row r="5425" spans="2:8" hidden="1">
      <c r="B5425" s="33"/>
      <c r="C5425" s="31"/>
      <c r="D5425" s="31"/>
      <c r="E5425" s="31"/>
      <c r="F5425" s="31"/>
      <c r="G5425" s="31"/>
      <c r="H5425" s="31"/>
    </row>
    <row r="5426" spans="2:8" hidden="1">
      <c r="B5426" s="33"/>
      <c r="C5426" s="31"/>
      <c r="D5426" s="31"/>
      <c r="E5426" s="31"/>
      <c r="F5426" s="31"/>
      <c r="G5426" s="31"/>
      <c r="H5426" s="31"/>
    </row>
    <row r="5427" spans="2:8" hidden="1">
      <c r="B5427" s="33"/>
      <c r="C5427" s="31"/>
      <c r="D5427" s="31"/>
      <c r="E5427" s="31"/>
      <c r="F5427" s="31"/>
      <c r="G5427" s="31"/>
      <c r="H5427" s="31"/>
    </row>
    <row r="5428" spans="2:8" hidden="1">
      <c r="B5428" s="33"/>
      <c r="C5428" s="31"/>
      <c r="D5428" s="31"/>
      <c r="E5428" s="31"/>
      <c r="F5428" s="31"/>
      <c r="G5428" s="31"/>
      <c r="H5428" s="31"/>
    </row>
    <row r="5429" spans="2:8" hidden="1">
      <c r="B5429" s="33"/>
      <c r="C5429" s="31"/>
      <c r="D5429" s="31"/>
      <c r="E5429" s="31"/>
      <c r="F5429" s="31"/>
      <c r="G5429" s="31"/>
      <c r="H5429" s="31"/>
    </row>
    <row r="5430" spans="2:8" hidden="1">
      <c r="B5430" s="33"/>
      <c r="C5430" s="31"/>
      <c r="D5430" s="31"/>
      <c r="E5430" s="31"/>
      <c r="F5430" s="31"/>
      <c r="G5430" s="31"/>
      <c r="H5430" s="31"/>
    </row>
    <row r="5431" spans="2:8" hidden="1">
      <c r="B5431" s="33"/>
      <c r="C5431" s="31"/>
      <c r="D5431" s="31"/>
      <c r="E5431" s="31"/>
      <c r="F5431" s="31"/>
      <c r="G5431" s="31"/>
      <c r="H5431" s="31"/>
    </row>
    <row r="5432" spans="2:8" hidden="1">
      <c r="B5432" s="33"/>
      <c r="C5432" s="31"/>
      <c r="D5432" s="31"/>
      <c r="E5432" s="31"/>
      <c r="F5432" s="31"/>
      <c r="G5432" s="31"/>
      <c r="H5432" s="31"/>
    </row>
    <row r="5433" spans="2:8" hidden="1">
      <c r="B5433" s="33"/>
      <c r="C5433" s="31"/>
      <c r="D5433" s="31"/>
      <c r="E5433" s="31"/>
      <c r="F5433" s="31"/>
      <c r="G5433" s="31"/>
      <c r="H5433" s="31"/>
    </row>
    <row r="5434" spans="2:8" hidden="1">
      <c r="B5434" s="33"/>
      <c r="C5434" s="31"/>
      <c r="D5434" s="31"/>
      <c r="E5434" s="31"/>
      <c r="F5434" s="31"/>
      <c r="G5434" s="31"/>
      <c r="H5434" s="31"/>
    </row>
    <row r="5435" spans="2:8" hidden="1">
      <c r="B5435" s="33"/>
      <c r="C5435" s="200"/>
      <c r="D5435" s="31"/>
      <c r="E5435" s="31"/>
      <c r="F5435" s="691"/>
      <c r="G5435" s="31"/>
      <c r="H5435" s="31"/>
    </row>
    <row r="5436" spans="2:8" hidden="1">
      <c r="B5436" s="33"/>
      <c r="C5436" s="31"/>
      <c r="D5436" s="31"/>
      <c r="E5436" s="31"/>
      <c r="F5436" s="691"/>
      <c r="G5436" s="31"/>
      <c r="H5436" s="31"/>
    </row>
    <row r="5437" spans="2:8" hidden="1">
      <c r="B5437" s="33"/>
      <c r="C5437" s="31"/>
      <c r="D5437" s="31"/>
      <c r="E5437" s="31"/>
      <c r="F5437" s="691"/>
      <c r="G5437" s="31"/>
      <c r="H5437" s="31"/>
    </row>
    <row r="5438" spans="2:8" hidden="1">
      <c r="B5438" s="33"/>
      <c r="C5438" s="31"/>
      <c r="D5438" s="31"/>
      <c r="E5438" s="31"/>
      <c r="F5438" s="731"/>
      <c r="G5438" s="768"/>
      <c r="H5438" s="31"/>
    </row>
    <row r="5439" spans="2:8" hidden="1">
      <c r="B5439" s="33"/>
      <c r="C5439" s="31"/>
      <c r="D5439" s="31"/>
      <c r="E5439" s="31"/>
      <c r="F5439" s="31"/>
      <c r="G5439" s="768"/>
      <c r="H5439" s="31"/>
    </row>
    <row r="5440" spans="2:8" hidden="1">
      <c r="B5440" s="33"/>
      <c r="C5440" s="31"/>
      <c r="D5440" s="31"/>
      <c r="E5440" s="31"/>
      <c r="F5440" s="691"/>
      <c r="G5440" s="768"/>
      <c r="H5440" s="31"/>
    </row>
    <row r="5441" spans="2:8" hidden="1">
      <c r="B5441" s="33"/>
      <c r="C5441" s="31"/>
      <c r="D5441" s="31"/>
      <c r="E5441" s="31"/>
      <c r="F5441" s="691"/>
      <c r="G5441" s="768"/>
      <c r="H5441" s="31"/>
    </row>
    <row r="5442" spans="2:8" hidden="1">
      <c r="B5442" s="33"/>
      <c r="C5442" s="31"/>
      <c r="D5442" s="31"/>
      <c r="E5442" s="31"/>
      <c r="F5442" s="691"/>
      <c r="G5442" s="768"/>
      <c r="H5442" s="31"/>
    </row>
    <row r="5443" spans="2:8" hidden="1">
      <c r="B5443" s="33"/>
      <c r="C5443" s="31"/>
      <c r="D5443" s="31"/>
      <c r="E5443" s="31"/>
      <c r="F5443" s="691"/>
      <c r="G5443" s="768"/>
      <c r="H5443" s="31"/>
    </row>
    <row r="5444" spans="2:8" hidden="1">
      <c r="B5444" s="33"/>
      <c r="C5444" s="31"/>
      <c r="D5444" s="31"/>
      <c r="E5444" s="31"/>
      <c r="F5444" s="31"/>
      <c r="G5444" s="31"/>
      <c r="H5444" s="31"/>
    </row>
    <row r="5445" spans="2:8" hidden="1">
      <c r="B5445" s="33"/>
      <c r="C5445" s="31"/>
      <c r="D5445" s="31"/>
      <c r="E5445" s="31"/>
      <c r="F5445" s="31"/>
      <c r="G5445" s="31"/>
      <c r="H5445" s="31"/>
    </row>
    <row r="5446" spans="2:8" hidden="1">
      <c r="B5446" s="200"/>
      <c r="C5446" s="31"/>
      <c r="D5446" s="31"/>
      <c r="E5446" s="31"/>
      <c r="F5446" s="31"/>
      <c r="G5446" s="31"/>
      <c r="H5446" s="31"/>
    </row>
    <row r="5447" spans="2:8" hidden="1">
      <c r="B5447" s="200"/>
      <c r="C5447" s="31"/>
      <c r="D5447" s="31"/>
      <c r="E5447" s="31"/>
      <c r="F5447" s="691"/>
      <c r="G5447" s="31"/>
      <c r="H5447" s="31"/>
    </row>
    <row r="5448" spans="2:8" hidden="1">
      <c r="B5448" s="200"/>
      <c r="C5448" s="31"/>
      <c r="D5448" s="31"/>
      <c r="E5448" s="31"/>
      <c r="F5448" s="691"/>
      <c r="G5448" s="31"/>
      <c r="H5448" s="31"/>
    </row>
    <row r="5449" spans="2:8" hidden="1">
      <c r="B5449" s="200"/>
      <c r="C5449" s="31"/>
      <c r="D5449" s="31"/>
      <c r="E5449" s="31"/>
      <c r="F5449" s="691"/>
      <c r="G5449" s="31"/>
      <c r="H5449" s="31"/>
    </row>
    <row r="5450" spans="2:8" hidden="1">
      <c r="B5450" s="200"/>
      <c r="C5450" s="31"/>
      <c r="D5450" s="31"/>
      <c r="E5450" s="31"/>
      <c r="F5450" s="31"/>
      <c r="G5450" s="31"/>
      <c r="H5450" s="31"/>
    </row>
    <row r="5451" spans="2:8" hidden="1">
      <c r="B5451" s="200"/>
      <c r="C5451" s="31"/>
      <c r="D5451" s="31"/>
      <c r="E5451" s="31"/>
      <c r="F5451" s="691"/>
      <c r="G5451" s="31"/>
      <c r="H5451" s="31"/>
    </row>
    <row r="5452" spans="2:8" hidden="1">
      <c r="B5452" s="200"/>
      <c r="C5452" s="31"/>
      <c r="D5452" s="31"/>
      <c r="E5452" s="31"/>
      <c r="F5452" s="691"/>
      <c r="G5452" s="31"/>
      <c r="H5452" s="31"/>
    </row>
    <row r="5453" spans="2:8" hidden="1">
      <c r="B5453" s="200"/>
      <c r="C5453" s="31"/>
      <c r="D5453" s="31"/>
      <c r="E5453" s="31"/>
      <c r="F5453" s="691"/>
      <c r="G5453" s="31"/>
      <c r="H5453" s="31"/>
    </row>
    <row r="5454" spans="2:8" hidden="1">
      <c r="B5454" s="200"/>
      <c r="C5454" s="31"/>
      <c r="D5454" s="31"/>
      <c r="E5454" s="31"/>
      <c r="F5454" s="691"/>
      <c r="G5454" s="31"/>
      <c r="H5454" s="31"/>
    </row>
    <row r="5455" spans="2:8" hidden="1">
      <c r="B5455" s="200"/>
      <c r="C5455" s="31"/>
      <c r="D5455" s="31"/>
      <c r="E5455" s="31"/>
      <c r="F5455" s="691"/>
      <c r="G5455" s="31"/>
      <c r="H5455" s="31"/>
    </row>
    <row r="5456" spans="2:8" hidden="1">
      <c r="B5456" s="200"/>
      <c r="C5456" s="31"/>
      <c r="D5456" s="31"/>
      <c r="E5456" s="31"/>
      <c r="F5456" s="691"/>
      <c r="G5456" s="31"/>
      <c r="H5456" s="31"/>
    </row>
    <row r="5457" spans="2:8" hidden="1">
      <c r="B5457" s="200"/>
      <c r="C5457" s="31"/>
      <c r="D5457" s="31"/>
      <c r="E5457" s="31"/>
      <c r="F5457" s="31"/>
      <c r="G5457" s="31"/>
      <c r="H5457" s="31"/>
    </row>
    <row r="5458" spans="2:8" hidden="1">
      <c r="B5458" s="200"/>
      <c r="C5458" s="31"/>
      <c r="D5458" s="31"/>
      <c r="E5458" s="31"/>
      <c r="F5458" s="31"/>
      <c r="G5458" s="31"/>
      <c r="H5458" s="31"/>
    </row>
    <row r="5459" spans="2:8" hidden="1">
      <c r="B5459" s="200"/>
      <c r="C5459" s="31"/>
      <c r="D5459" s="31"/>
      <c r="E5459" s="31"/>
      <c r="F5459" s="691"/>
      <c r="G5459" s="31"/>
      <c r="H5459" s="31"/>
    </row>
    <row r="5460" spans="2:8" hidden="1">
      <c r="B5460" s="200"/>
      <c r="C5460" s="31"/>
      <c r="D5460" s="31"/>
      <c r="E5460" s="31"/>
      <c r="F5460" s="691"/>
      <c r="G5460" s="31"/>
      <c r="H5460" s="31"/>
    </row>
    <row r="5461" spans="2:8" hidden="1">
      <c r="B5461" s="200"/>
      <c r="C5461" s="31"/>
      <c r="D5461" s="31"/>
      <c r="E5461" s="31"/>
      <c r="F5461" s="691"/>
      <c r="G5461" s="31"/>
      <c r="H5461" s="31"/>
    </row>
    <row r="5462" spans="2:8" hidden="1">
      <c r="B5462" s="200"/>
      <c r="C5462" s="31"/>
      <c r="D5462" s="31"/>
      <c r="E5462" s="31"/>
      <c r="F5462" s="691"/>
      <c r="G5462" s="31"/>
      <c r="H5462" s="31"/>
    </row>
    <row r="5463" spans="2:8" hidden="1">
      <c r="B5463" s="200"/>
      <c r="C5463" s="31"/>
      <c r="D5463" s="31"/>
      <c r="E5463" s="31"/>
      <c r="F5463" s="691"/>
      <c r="G5463" s="31"/>
      <c r="H5463" s="31"/>
    </row>
    <row r="5464" spans="2:8" hidden="1">
      <c r="B5464" s="200"/>
      <c r="C5464" s="31"/>
      <c r="D5464" s="31"/>
      <c r="E5464" s="31"/>
      <c r="F5464" s="691"/>
      <c r="G5464" s="31"/>
      <c r="H5464" s="31"/>
    </row>
    <row r="5465" spans="2:8" hidden="1">
      <c r="B5465" s="33"/>
      <c r="C5465" s="31"/>
      <c r="D5465" s="31"/>
      <c r="E5465" s="31"/>
      <c r="F5465" s="691"/>
      <c r="G5465" s="31"/>
      <c r="H5465" s="31"/>
    </row>
    <row r="5466" spans="2:8" hidden="1">
      <c r="B5466" s="33"/>
      <c r="C5466" s="31"/>
      <c r="D5466" s="31"/>
      <c r="E5466" s="31"/>
      <c r="F5466" s="691"/>
      <c r="G5466" s="31"/>
      <c r="H5466" s="31"/>
    </row>
    <row r="5467" spans="2:8" hidden="1">
      <c r="B5467" s="33"/>
      <c r="C5467" s="31"/>
      <c r="D5467" s="31"/>
      <c r="E5467" s="31"/>
      <c r="F5467" s="691"/>
      <c r="G5467" s="31"/>
      <c r="H5467" s="31"/>
    </row>
    <row r="5468" spans="2:8" hidden="1">
      <c r="B5468" s="33"/>
      <c r="C5468" s="31"/>
      <c r="D5468" s="31"/>
      <c r="E5468" s="31"/>
      <c r="F5468" s="691"/>
      <c r="G5468" s="31"/>
      <c r="H5468" s="31"/>
    </row>
    <row r="5469" spans="2:8" hidden="1">
      <c r="B5469" s="33"/>
      <c r="C5469" s="31"/>
      <c r="D5469" s="31"/>
      <c r="E5469" s="31"/>
      <c r="F5469" s="691"/>
      <c r="G5469" s="31"/>
      <c r="H5469" s="31"/>
    </row>
    <row r="5470" spans="2:8" hidden="1">
      <c r="B5470" s="33"/>
      <c r="C5470" s="31"/>
      <c r="D5470" s="31"/>
      <c r="E5470" s="31"/>
      <c r="F5470" s="691"/>
      <c r="G5470" s="31"/>
      <c r="H5470" s="31"/>
    </row>
    <row r="5471" spans="2:8" hidden="1">
      <c r="B5471" s="33"/>
      <c r="C5471" s="31"/>
      <c r="D5471" s="31"/>
      <c r="E5471" s="31"/>
      <c r="F5471" s="691"/>
      <c r="G5471" s="31"/>
      <c r="H5471" s="31"/>
    </row>
    <row r="5472" spans="2:8" hidden="1">
      <c r="B5472" s="33"/>
      <c r="C5472" s="31"/>
      <c r="D5472" s="31"/>
      <c r="E5472" s="31"/>
      <c r="F5472" s="691"/>
      <c r="G5472" s="31"/>
      <c r="H5472" s="31"/>
    </row>
    <row r="5473" spans="2:8" hidden="1">
      <c r="B5473" s="33"/>
      <c r="C5473" s="31"/>
      <c r="D5473" s="31"/>
      <c r="E5473" s="31"/>
      <c r="F5473" s="691"/>
      <c r="G5473" s="31"/>
      <c r="H5473" s="31"/>
    </row>
    <row r="5474" spans="2:8" hidden="1">
      <c r="B5474" s="33"/>
      <c r="C5474" s="31"/>
      <c r="D5474" s="31"/>
      <c r="E5474" s="31"/>
      <c r="F5474" s="691"/>
      <c r="G5474" s="31"/>
      <c r="H5474" s="31"/>
    </row>
    <row r="5475" spans="2:8" hidden="1">
      <c r="B5475" s="33"/>
      <c r="C5475" s="31"/>
      <c r="D5475" s="31"/>
      <c r="E5475" s="31"/>
      <c r="F5475" s="691"/>
      <c r="G5475" s="31"/>
      <c r="H5475" s="31"/>
    </row>
    <row r="5476" spans="2:8" hidden="1">
      <c r="B5476" s="33"/>
      <c r="C5476" s="31"/>
      <c r="D5476" s="31"/>
      <c r="E5476" s="31"/>
      <c r="F5476" s="691"/>
      <c r="G5476" s="31"/>
      <c r="H5476" s="31"/>
    </row>
    <row r="5477" spans="2:8" hidden="1">
      <c r="B5477" s="33"/>
      <c r="C5477" s="31"/>
      <c r="D5477" s="31"/>
      <c r="E5477" s="31"/>
      <c r="F5477" s="691"/>
      <c r="G5477" s="31"/>
      <c r="H5477" s="31"/>
    </row>
    <row r="5478" spans="2:8" hidden="1">
      <c r="B5478" s="33"/>
      <c r="C5478" s="31"/>
      <c r="D5478" s="31"/>
      <c r="E5478" s="31"/>
      <c r="F5478" s="691"/>
      <c r="G5478" s="31"/>
      <c r="H5478" s="31"/>
    </row>
    <row r="5479" spans="2:8" hidden="1">
      <c r="B5479" s="33"/>
      <c r="C5479" s="31"/>
      <c r="D5479" s="31"/>
      <c r="E5479" s="31"/>
      <c r="F5479" s="691"/>
      <c r="G5479" s="31"/>
      <c r="H5479" s="31"/>
    </row>
    <row r="5480" spans="2:8" hidden="1">
      <c r="B5480" s="33"/>
      <c r="C5480" s="31"/>
      <c r="D5480" s="31"/>
      <c r="E5480" s="31"/>
      <c r="F5480" s="691"/>
      <c r="G5480" s="31"/>
      <c r="H5480" s="31"/>
    </row>
    <row r="5481" spans="2:8" hidden="1">
      <c r="B5481" s="33"/>
      <c r="C5481" s="31"/>
      <c r="D5481" s="31"/>
      <c r="E5481" s="31"/>
      <c r="F5481" s="691"/>
      <c r="G5481" s="31"/>
      <c r="H5481" s="31"/>
    </row>
    <row r="5482" spans="2:8" hidden="1">
      <c r="B5482" s="33"/>
      <c r="C5482" s="31"/>
      <c r="D5482" s="31"/>
      <c r="E5482" s="31"/>
      <c r="F5482" s="691"/>
      <c r="G5482" s="31"/>
      <c r="H5482" s="31"/>
    </row>
    <row r="5483" spans="2:8" hidden="1">
      <c r="B5483" s="33"/>
      <c r="C5483" s="31"/>
      <c r="D5483" s="31"/>
      <c r="E5483" s="31"/>
      <c r="F5483" s="691"/>
      <c r="G5483" s="31"/>
      <c r="H5483" s="31"/>
    </row>
    <row r="5484" spans="2:8" hidden="1">
      <c r="B5484" s="33"/>
      <c r="C5484" s="31"/>
      <c r="D5484" s="31"/>
      <c r="E5484" s="31"/>
      <c r="F5484" s="691"/>
      <c r="G5484" s="31"/>
      <c r="H5484" s="31"/>
    </row>
    <row r="5485" spans="2:8" hidden="1">
      <c r="B5485" s="33"/>
      <c r="C5485" s="31"/>
      <c r="D5485" s="31"/>
      <c r="E5485" s="31"/>
      <c r="F5485" s="31"/>
      <c r="G5485" s="31"/>
      <c r="H5485" s="31"/>
    </row>
    <row r="5486" spans="2:8" hidden="1">
      <c r="B5486" s="33"/>
      <c r="C5486" s="31"/>
      <c r="D5486" s="31"/>
      <c r="E5486" s="31"/>
      <c r="F5486" s="691"/>
      <c r="G5486" s="31"/>
      <c r="H5486" s="31"/>
    </row>
    <row r="5487" spans="2:8" hidden="1">
      <c r="B5487" s="33"/>
      <c r="C5487" s="31"/>
      <c r="D5487" s="31"/>
      <c r="E5487" s="31"/>
      <c r="F5487" s="31"/>
      <c r="G5487" s="31"/>
      <c r="H5487" s="31"/>
    </row>
    <row r="5488" spans="2:8" hidden="1">
      <c r="B5488" s="33"/>
      <c r="C5488" s="31"/>
      <c r="D5488" s="31"/>
      <c r="E5488" s="31"/>
      <c r="F5488" s="691"/>
      <c r="G5488" s="31"/>
      <c r="H5488" s="31"/>
    </row>
    <row r="5489" spans="2:8" hidden="1">
      <c r="B5489" s="33"/>
      <c r="C5489" s="31"/>
      <c r="D5489" s="31"/>
      <c r="E5489" s="31"/>
      <c r="F5489" s="31"/>
      <c r="G5489" s="31"/>
      <c r="H5489" s="31"/>
    </row>
    <row r="5490" spans="2:8" hidden="1">
      <c r="B5490" s="33"/>
      <c r="C5490" s="31"/>
      <c r="D5490" s="31"/>
      <c r="E5490" s="31"/>
      <c r="F5490" s="691"/>
      <c r="G5490" s="31"/>
      <c r="H5490" s="31"/>
    </row>
    <row r="5491" spans="2:8" hidden="1">
      <c r="B5491" s="33"/>
      <c r="C5491" s="31"/>
      <c r="D5491" s="31"/>
      <c r="E5491" s="200"/>
      <c r="F5491" s="691"/>
      <c r="G5491" s="31"/>
      <c r="H5491" s="31"/>
    </row>
    <row r="5492" spans="2:8" hidden="1">
      <c r="B5492" s="33"/>
      <c r="C5492" s="31"/>
      <c r="D5492" s="31"/>
      <c r="E5492" s="31"/>
      <c r="F5492" s="691"/>
      <c r="G5492" s="31"/>
      <c r="H5492" s="31"/>
    </row>
    <row r="5493" spans="2:8" hidden="1">
      <c r="B5493" s="33"/>
      <c r="C5493" s="31"/>
      <c r="D5493" s="31"/>
      <c r="E5493" s="31"/>
      <c r="F5493" s="691"/>
      <c r="G5493" s="31"/>
      <c r="H5493" s="31"/>
    </row>
    <row r="5494" spans="2:8" hidden="1">
      <c r="B5494" s="33"/>
      <c r="C5494" s="200"/>
      <c r="D5494" s="31"/>
      <c r="E5494" s="31"/>
      <c r="F5494" s="691"/>
      <c r="G5494" s="31"/>
      <c r="H5494" s="31"/>
    </row>
    <row r="5495" spans="2:8" hidden="1">
      <c r="B5495" s="33"/>
      <c r="C5495" s="31"/>
      <c r="D5495" s="31"/>
      <c r="E5495" s="31"/>
      <c r="F5495" s="691"/>
      <c r="G5495" s="31"/>
      <c r="H5495" s="31"/>
    </row>
    <row r="5496" spans="2:8" hidden="1">
      <c r="B5496" s="33"/>
      <c r="C5496" s="31"/>
      <c r="D5496" s="31"/>
      <c r="E5496" s="31"/>
      <c r="F5496" s="691"/>
      <c r="G5496" s="31"/>
      <c r="H5496" s="31"/>
    </row>
    <row r="5497" spans="2:8" hidden="1">
      <c r="B5497" s="33"/>
      <c r="C5497" s="31"/>
      <c r="D5497" s="31"/>
      <c r="E5497" s="31"/>
      <c r="F5497" s="691"/>
      <c r="G5497" s="31"/>
      <c r="H5497" s="31"/>
    </row>
    <row r="5498" spans="2:8" hidden="1">
      <c r="B5498" s="33"/>
      <c r="C5498" s="31"/>
      <c r="D5498" s="31"/>
      <c r="E5498" s="31"/>
      <c r="F5498" s="691"/>
      <c r="G5498" s="31"/>
      <c r="H5498" s="31"/>
    </row>
    <row r="5499" spans="2:8" hidden="1">
      <c r="B5499" s="33"/>
      <c r="C5499" s="31"/>
      <c r="D5499" s="31"/>
      <c r="E5499" s="31"/>
      <c r="F5499" s="691"/>
      <c r="G5499" s="31"/>
      <c r="H5499" s="31"/>
    </row>
    <row r="5500" spans="2:8" hidden="1">
      <c r="B5500" s="33"/>
      <c r="C5500" s="31"/>
      <c r="D5500" s="31"/>
      <c r="E5500" s="31"/>
      <c r="F5500" s="691"/>
      <c r="G5500" s="31"/>
      <c r="H5500" s="31"/>
    </row>
    <row r="5501" spans="2:8" hidden="1">
      <c r="B5501" s="33"/>
      <c r="C5501" s="31"/>
      <c r="D5501" s="31"/>
      <c r="E5501" s="31"/>
      <c r="F5501" s="31"/>
      <c r="G5501" s="31"/>
      <c r="H5501" s="31"/>
    </row>
    <row r="5502" spans="2:8" hidden="1">
      <c r="B5502" s="33"/>
      <c r="C5502" s="31"/>
      <c r="D5502" s="31"/>
      <c r="E5502" s="31"/>
      <c r="F5502" s="31"/>
      <c r="G5502" s="31"/>
      <c r="H5502" s="31"/>
    </row>
    <row r="5503" spans="2:8" hidden="1">
      <c r="B5503" s="33"/>
      <c r="C5503" s="31"/>
      <c r="D5503" s="31"/>
      <c r="E5503" s="31"/>
      <c r="F5503" s="31"/>
      <c r="G5503" s="31"/>
      <c r="H5503" s="31"/>
    </row>
    <row r="5504" spans="2:8" hidden="1">
      <c r="B5504" s="33"/>
      <c r="C5504" s="31"/>
      <c r="D5504" s="31"/>
      <c r="E5504" s="31"/>
      <c r="F5504" s="691"/>
      <c r="G5504" s="31"/>
      <c r="H5504" s="31"/>
    </row>
    <row r="5505" spans="2:8" hidden="1">
      <c r="B5505" s="33"/>
      <c r="C5505" s="31"/>
      <c r="D5505" s="31"/>
      <c r="E5505" s="31"/>
      <c r="F5505" s="31"/>
      <c r="G5505" s="31"/>
      <c r="H5505" s="31"/>
    </row>
    <row r="5506" spans="2:8" hidden="1">
      <c r="B5506" s="33"/>
      <c r="C5506" s="31"/>
      <c r="D5506" s="31"/>
      <c r="E5506" s="31"/>
      <c r="F5506" s="31"/>
      <c r="G5506" s="31"/>
      <c r="H5506" s="31"/>
    </row>
    <row r="5507" spans="2:8" hidden="1">
      <c r="B5507" s="33"/>
      <c r="C5507" s="31"/>
      <c r="D5507" s="31"/>
      <c r="E5507" s="31"/>
      <c r="F5507" s="31"/>
      <c r="G5507" s="31"/>
      <c r="H5507" s="31"/>
    </row>
    <row r="5508" spans="2:8" hidden="1">
      <c r="B5508" s="33"/>
      <c r="C5508" s="31"/>
      <c r="D5508" s="31"/>
      <c r="E5508" s="31"/>
      <c r="F5508" s="31"/>
      <c r="G5508" s="31"/>
      <c r="H5508" s="31"/>
    </row>
    <row r="5509" spans="2:8" hidden="1">
      <c r="B5509" s="33"/>
      <c r="C5509" s="31"/>
      <c r="D5509" s="31"/>
      <c r="E5509" s="31"/>
      <c r="F5509" s="31"/>
      <c r="G5509" s="31"/>
      <c r="H5509" s="31"/>
    </row>
    <row r="5510" spans="2:8" hidden="1">
      <c r="B5510" s="33"/>
      <c r="C5510" s="31"/>
      <c r="D5510" s="31"/>
      <c r="E5510" s="31"/>
      <c r="F5510" s="31"/>
      <c r="G5510" s="31"/>
      <c r="H5510" s="31"/>
    </row>
    <row r="5511" spans="2:8" hidden="1">
      <c r="B5511" s="33"/>
      <c r="C5511" s="31"/>
      <c r="D5511" s="31"/>
      <c r="E5511" s="31"/>
      <c r="F5511" s="31"/>
      <c r="G5511" s="31"/>
      <c r="H5511" s="31"/>
    </row>
    <row r="5512" spans="2:8" hidden="1">
      <c r="B5512" s="33"/>
      <c r="C5512" s="31"/>
      <c r="D5512" s="31"/>
      <c r="E5512" s="31"/>
      <c r="F5512" s="31"/>
      <c r="G5512" s="31"/>
      <c r="H5512" s="31"/>
    </row>
    <row r="5513" spans="2:8" hidden="1">
      <c r="B5513" s="33"/>
      <c r="C5513" s="31"/>
      <c r="D5513" s="31"/>
      <c r="E5513" s="31"/>
      <c r="F5513" s="31"/>
      <c r="G5513" s="31"/>
      <c r="H5513" s="31"/>
    </row>
    <row r="5514" spans="2:8" hidden="1">
      <c r="B5514" s="33"/>
      <c r="C5514" s="31"/>
      <c r="D5514" s="31"/>
      <c r="E5514" s="31"/>
      <c r="F5514" s="33"/>
      <c r="G5514" s="31"/>
      <c r="H5514" s="31"/>
    </row>
    <row r="5515" spans="2:8" hidden="1">
      <c r="B5515" s="33"/>
      <c r="C5515" s="31"/>
      <c r="D5515" s="33"/>
      <c r="E5515" s="33"/>
      <c r="F5515" s="33"/>
      <c r="G5515" s="33"/>
      <c r="H5515" s="31"/>
    </row>
    <row r="5516" spans="2:8" hidden="1">
      <c r="B5516" s="33"/>
      <c r="C5516" s="31"/>
      <c r="D5516" s="33"/>
      <c r="E5516" s="33"/>
      <c r="F5516" s="33"/>
      <c r="G5516" s="33"/>
      <c r="H5516" s="31"/>
    </row>
    <row r="5517" spans="2:8" hidden="1">
      <c r="B5517" s="33"/>
      <c r="C5517" s="31"/>
      <c r="D5517" s="33"/>
      <c r="E5517" s="33"/>
      <c r="F5517" s="33"/>
      <c r="G5517" s="33"/>
      <c r="H5517" s="31"/>
    </row>
    <row r="5518" spans="2:8" hidden="1">
      <c r="B5518" s="33"/>
      <c r="C5518" s="31"/>
      <c r="D5518" s="33"/>
      <c r="E5518" s="33"/>
      <c r="F5518" s="33"/>
      <c r="G5518" s="33"/>
      <c r="H5518" s="31"/>
    </row>
    <row r="5519" spans="2:8" hidden="1">
      <c r="B5519" s="33"/>
      <c r="C5519" s="31"/>
      <c r="D5519" s="33"/>
      <c r="E5519" s="33"/>
      <c r="F5519" s="33"/>
      <c r="G5519" s="33"/>
      <c r="H5519" s="31"/>
    </row>
    <row r="5520" spans="2:8" hidden="1">
      <c r="B5520" s="33"/>
      <c r="C5520" s="31"/>
      <c r="D5520" s="33"/>
      <c r="E5520" s="33"/>
      <c r="F5520" s="33"/>
      <c r="G5520" s="33"/>
      <c r="H5520" s="31"/>
    </row>
    <row r="5521" spans="2:8" hidden="1">
      <c r="B5521" s="33"/>
      <c r="C5521" s="31"/>
      <c r="D5521" s="33"/>
      <c r="E5521" s="33"/>
      <c r="F5521" s="33"/>
      <c r="G5521" s="33"/>
      <c r="H5521" s="31"/>
    </row>
    <row r="5522" spans="2:8" hidden="1">
      <c r="B5522" s="33"/>
      <c r="C5522" s="31"/>
      <c r="D5522" s="33"/>
      <c r="E5522" s="33"/>
      <c r="F5522" s="33"/>
      <c r="G5522" s="33"/>
      <c r="H5522" s="31"/>
    </row>
    <row r="5523" spans="2:8" hidden="1">
      <c r="B5523" s="33"/>
      <c r="C5523" s="31"/>
      <c r="D5523" s="33"/>
      <c r="E5523" s="33"/>
      <c r="F5523" s="33"/>
      <c r="G5523" s="33"/>
      <c r="H5523" s="31"/>
    </row>
    <row r="5524" spans="2:8" hidden="1">
      <c r="B5524" s="33"/>
      <c r="C5524" s="31"/>
      <c r="D5524" s="33"/>
      <c r="E5524" s="33"/>
      <c r="F5524" s="33"/>
      <c r="G5524" s="33"/>
      <c r="H5524" s="31"/>
    </row>
    <row r="5525" spans="2:8" hidden="1">
      <c r="B5525" s="33"/>
      <c r="C5525" s="31"/>
      <c r="D5525" s="33"/>
      <c r="E5525" s="33"/>
      <c r="F5525" s="33"/>
      <c r="G5525" s="33"/>
      <c r="H5525" s="31"/>
    </row>
    <row r="5526" spans="2:8" hidden="1">
      <c r="B5526" s="33"/>
      <c r="C5526" s="31"/>
      <c r="D5526" s="33"/>
      <c r="E5526" s="33"/>
      <c r="F5526" s="33"/>
      <c r="G5526" s="33"/>
      <c r="H5526" s="31"/>
    </row>
    <row r="5527" spans="2:8" hidden="1">
      <c r="B5527" s="33"/>
      <c r="C5527" s="31"/>
      <c r="D5527" s="33"/>
      <c r="E5527" s="33"/>
      <c r="F5527" s="33"/>
      <c r="G5527" s="33"/>
      <c r="H5527" s="31"/>
    </row>
    <row r="5528" spans="2:8" hidden="1">
      <c r="B5528" s="33"/>
      <c r="C5528" s="33"/>
      <c r="D5528" s="33"/>
      <c r="E5528" s="33"/>
      <c r="F5528" s="33"/>
      <c r="G5528" s="33"/>
      <c r="H5528" s="31"/>
    </row>
    <row r="5529" spans="2:8" hidden="1">
      <c r="B5529" s="33"/>
      <c r="C5529" s="31"/>
      <c r="D5529" s="31"/>
      <c r="E5529" s="31"/>
      <c r="F5529" s="31"/>
      <c r="G5529" s="31"/>
      <c r="H5529" s="31"/>
    </row>
    <row r="5530" spans="2:8" hidden="1">
      <c r="B5530" s="33"/>
      <c r="C5530" s="31"/>
      <c r="D5530" s="31"/>
      <c r="E5530" s="31"/>
      <c r="F5530" s="31"/>
      <c r="G5530" s="31"/>
      <c r="H5530" s="31"/>
    </row>
    <row r="5531" spans="2:8" hidden="1">
      <c r="B5531" s="33"/>
      <c r="C5531" s="31"/>
      <c r="D5531" s="31"/>
      <c r="E5531" s="31"/>
      <c r="F5531" s="31"/>
      <c r="G5531" s="31"/>
      <c r="H5531" s="31"/>
    </row>
    <row r="5532" spans="2:8" hidden="1">
      <c r="B5532" s="33"/>
      <c r="C5532" s="31"/>
      <c r="D5532" s="31"/>
      <c r="E5532" s="31"/>
      <c r="F5532" s="31"/>
      <c r="G5532" s="31"/>
      <c r="H5532" s="31"/>
    </row>
    <row r="5533" spans="2:8" hidden="1">
      <c r="B5533" s="33"/>
      <c r="C5533" s="31"/>
      <c r="D5533" s="31"/>
      <c r="E5533" s="31"/>
      <c r="F5533" s="31"/>
      <c r="G5533" s="31"/>
      <c r="H5533" s="31"/>
    </row>
    <row r="5534" spans="2:8" hidden="1">
      <c r="B5534" s="33"/>
      <c r="C5534" s="31"/>
      <c r="D5534" s="31"/>
      <c r="E5534" s="31"/>
      <c r="F5534" s="31"/>
      <c r="G5534" s="31"/>
      <c r="H5534" s="31"/>
    </row>
    <row r="5535" spans="2:8" hidden="1">
      <c r="B5535" s="33"/>
      <c r="C5535" s="31"/>
      <c r="D5535" s="31"/>
      <c r="E5535" s="31"/>
      <c r="F5535" s="31"/>
      <c r="G5535" s="31"/>
      <c r="H5535" s="31"/>
    </row>
    <row r="5536" spans="2:8" hidden="1">
      <c r="B5536" s="33"/>
      <c r="C5536" s="31"/>
      <c r="D5536" s="31"/>
      <c r="E5536" s="31"/>
      <c r="F5536" s="31"/>
      <c r="G5536" s="31"/>
      <c r="H5536" s="31"/>
    </row>
    <row r="5537" spans="2:8" hidden="1">
      <c r="B5537" s="33"/>
      <c r="C5537" s="31"/>
      <c r="D5537" s="31"/>
      <c r="E5537" s="31"/>
      <c r="F5537" s="31"/>
      <c r="G5537" s="31"/>
      <c r="H5537" s="31"/>
    </row>
    <row r="5538" spans="2:8" hidden="1">
      <c r="B5538" s="33"/>
      <c r="C5538" s="31"/>
      <c r="D5538" s="31"/>
      <c r="E5538" s="31"/>
      <c r="F5538" s="31"/>
      <c r="G5538" s="31"/>
      <c r="H5538" s="31"/>
    </row>
    <row r="5539" spans="2:8" hidden="1">
      <c r="B5539" s="33"/>
      <c r="C5539" s="31"/>
      <c r="D5539" s="31"/>
      <c r="E5539" s="31"/>
      <c r="F5539" s="31"/>
      <c r="G5539" s="31"/>
      <c r="H5539" s="31"/>
    </row>
    <row r="5540" spans="2:8" hidden="1">
      <c r="B5540" s="33"/>
      <c r="C5540" s="31"/>
      <c r="D5540" s="31"/>
      <c r="E5540" s="31"/>
      <c r="F5540" s="31"/>
      <c r="G5540" s="31"/>
      <c r="H5540" s="31"/>
    </row>
    <row r="5541" spans="2:8" hidden="1">
      <c r="B5541" s="33"/>
      <c r="C5541" s="31"/>
      <c r="D5541" s="75"/>
      <c r="E5541" s="31"/>
      <c r="F5541" s="405"/>
      <c r="G5541" s="75"/>
      <c r="H5541" s="31"/>
    </row>
    <row r="5542" spans="2:8" hidden="1">
      <c r="B5542" s="33"/>
      <c r="C5542" s="31"/>
      <c r="D5542" s="31"/>
      <c r="E5542" s="31"/>
      <c r="F5542" s="691"/>
      <c r="G5542" s="732"/>
      <c r="H5542" s="31"/>
    </row>
    <row r="5543" spans="2:8" hidden="1">
      <c r="B5543" s="33"/>
      <c r="C5543" s="31"/>
      <c r="D5543" s="31"/>
      <c r="E5543" s="31"/>
      <c r="F5543" s="405"/>
      <c r="G5543" s="75"/>
      <c r="H5543" s="31"/>
    </row>
    <row r="5544" spans="2:8" hidden="1">
      <c r="B5544" s="33"/>
      <c r="C5544" s="31"/>
      <c r="D5544" s="75"/>
      <c r="E5544" s="31"/>
      <c r="F5544" s="405"/>
      <c r="G5544" s="75"/>
      <c r="H5544" s="31"/>
    </row>
    <row r="5545" spans="2:8" hidden="1">
      <c r="B5545" s="33"/>
      <c r="C5545" s="31"/>
      <c r="D5545" s="31"/>
      <c r="E5545" s="31"/>
      <c r="F5545" s="691"/>
      <c r="G5545" s="732"/>
      <c r="H5545" s="31"/>
    </row>
    <row r="5546" spans="2:8" hidden="1">
      <c r="B5546" s="33"/>
      <c r="C5546" s="31"/>
      <c r="D5546" s="31"/>
      <c r="E5546" s="31"/>
      <c r="F5546" s="405"/>
      <c r="G5546" s="75"/>
      <c r="H5546" s="31"/>
    </row>
    <row r="5547" spans="2:8" hidden="1">
      <c r="B5547" s="33"/>
      <c r="C5547" s="31"/>
      <c r="D5547" s="31"/>
      <c r="E5547" s="31"/>
      <c r="F5547" s="31"/>
      <c r="G5547" s="31"/>
      <c r="H5547" s="31"/>
    </row>
    <row r="5548" spans="2:8" hidden="1">
      <c r="B5548" s="33"/>
      <c r="C5548" s="200"/>
      <c r="D5548" s="31"/>
      <c r="E5548" s="200"/>
      <c r="F5548" s="769"/>
      <c r="G5548" s="31"/>
      <c r="H5548" s="31"/>
    </row>
    <row r="5549" spans="2:8" hidden="1">
      <c r="B5549" s="76"/>
      <c r="C5549" s="31"/>
      <c r="D5549" s="31"/>
      <c r="E5549" s="31"/>
      <c r="F5549" s="75"/>
      <c r="G5549" s="31"/>
      <c r="H5549" s="31"/>
    </row>
    <row r="5550" spans="2:8" hidden="1">
      <c r="B5550" s="33"/>
      <c r="C5550" s="33"/>
      <c r="D5550" s="33"/>
      <c r="E5550" s="33"/>
      <c r="F5550" s="33"/>
      <c r="G5550" s="33"/>
      <c r="H5550" s="31"/>
    </row>
    <row r="5551" spans="2:8" hidden="1">
      <c r="B5551" s="33"/>
      <c r="C5551" s="31"/>
      <c r="D5551" s="33"/>
      <c r="E5551" s="33"/>
      <c r="F5551" s="33"/>
      <c r="G5551" s="33"/>
      <c r="H5551" s="31"/>
    </row>
    <row r="5552" spans="2:8" hidden="1">
      <c r="B5552" s="405"/>
      <c r="C5552" s="76"/>
      <c r="D5552" s="731"/>
      <c r="E5552" s="75"/>
      <c r="F5552" s="75"/>
      <c r="G5552" s="75"/>
      <c r="H5552" s="31"/>
    </row>
    <row r="5553" spans="2:8" hidden="1">
      <c r="B5553" s="405"/>
      <c r="C5553" s="76"/>
      <c r="D5553" s="731"/>
      <c r="E5553" s="75"/>
      <c r="F5553" s="75"/>
      <c r="G5553" s="75"/>
      <c r="H5553" s="31"/>
    </row>
    <row r="5554" spans="2:8" hidden="1">
      <c r="B5554" s="405"/>
      <c r="C5554" s="76"/>
      <c r="D5554" s="731"/>
      <c r="E5554" s="75"/>
      <c r="F5554" s="75"/>
      <c r="G5554" s="75"/>
      <c r="H5554" s="31"/>
    </row>
    <row r="5555" spans="2:8" hidden="1">
      <c r="B5555" s="405"/>
      <c r="C5555" s="76"/>
      <c r="D5555" s="731"/>
      <c r="E5555" s="75"/>
      <c r="F5555" s="75"/>
      <c r="G5555" s="75"/>
      <c r="H5555" s="31"/>
    </row>
    <row r="5556" spans="2:8" hidden="1">
      <c r="B5556" s="405"/>
      <c r="C5556" s="76"/>
      <c r="D5556" s="731"/>
      <c r="E5556" s="75"/>
      <c r="F5556" s="75"/>
      <c r="G5556" s="75"/>
      <c r="H5556" s="31"/>
    </row>
    <row r="5557" spans="2:8" hidden="1">
      <c r="B5557" s="405"/>
      <c r="C5557" s="76"/>
      <c r="D5557" s="731"/>
      <c r="E5557" s="75"/>
      <c r="F5557" s="75"/>
      <c r="G5557" s="75"/>
      <c r="H5557" s="31"/>
    </row>
    <row r="5558" spans="2:8" hidden="1">
      <c r="B5558" s="405"/>
      <c r="C5558" s="76"/>
      <c r="D5558" s="731"/>
      <c r="E5558" s="75"/>
      <c r="F5558" s="75"/>
      <c r="G5558" s="75"/>
      <c r="H5558" s="31"/>
    </row>
    <row r="5559" spans="2:8" hidden="1">
      <c r="B5559" s="405"/>
      <c r="C5559" s="76"/>
      <c r="D5559" s="731"/>
      <c r="E5559" s="75"/>
      <c r="F5559" s="75"/>
      <c r="G5559" s="75"/>
      <c r="H5559" s="31"/>
    </row>
    <row r="5560" spans="2:8" hidden="1">
      <c r="B5560" s="405"/>
      <c r="C5560" s="76"/>
      <c r="D5560" s="731"/>
      <c r="E5560" s="75"/>
      <c r="F5560" s="75"/>
      <c r="G5560" s="75"/>
      <c r="H5560" s="31"/>
    </row>
    <row r="5561" spans="2:8" hidden="1">
      <c r="B5561" s="405"/>
      <c r="C5561" s="76"/>
      <c r="D5561" s="731"/>
      <c r="E5561" s="75"/>
      <c r="F5561" s="75"/>
      <c r="G5561" s="75"/>
      <c r="H5561" s="31"/>
    </row>
    <row r="5562" spans="2:8" hidden="1">
      <c r="B5562" s="405"/>
      <c r="C5562" s="76"/>
      <c r="D5562" s="731"/>
      <c r="E5562" s="75"/>
      <c r="F5562" s="75"/>
      <c r="G5562" s="75"/>
      <c r="H5562" s="31"/>
    </row>
    <row r="5563" spans="2:8" hidden="1">
      <c r="B5563" s="405"/>
      <c r="C5563" s="76"/>
      <c r="D5563" s="731"/>
      <c r="E5563" s="75"/>
      <c r="F5563" s="75"/>
      <c r="G5563" s="75"/>
      <c r="H5563" s="31"/>
    </row>
    <row r="5564" spans="2:8" hidden="1">
      <c r="B5564" s="405"/>
      <c r="C5564" s="76"/>
      <c r="D5564" s="731"/>
      <c r="E5564" s="75"/>
      <c r="F5564" s="75"/>
      <c r="G5564" s="75"/>
      <c r="H5564" s="31"/>
    </row>
    <row r="5565" spans="2:8" hidden="1">
      <c r="B5565" s="405"/>
      <c r="C5565" s="76"/>
      <c r="D5565" s="731"/>
      <c r="E5565" s="75"/>
      <c r="F5565" s="75"/>
      <c r="G5565" s="75"/>
      <c r="H5565" s="31"/>
    </row>
    <row r="5566" spans="2:8" hidden="1">
      <c r="B5566" s="405"/>
      <c r="C5566" s="76"/>
      <c r="D5566" s="731"/>
      <c r="E5566" s="75"/>
      <c r="F5566" s="75"/>
      <c r="G5566" s="75"/>
      <c r="H5566" s="31"/>
    </row>
    <row r="5567" spans="2:8" hidden="1">
      <c r="B5567" s="405"/>
      <c r="C5567" s="76"/>
      <c r="D5567" s="731"/>
      <c r="E5567" s="75"/>
      <c r="F5567" s="75"/>
      <c r="G5567" s="75"/>
      <c r="H5567" s="31"/>
    </row>
    <row r="5568" spans="2:8" hidden="1">
      <c r="B5568" s="405"/>
      <c r="C5568" s="76"/>
      <c r="D5568" s="731"/>
      <c r="E5568" s="75"/>
      <c r="F5568" s="75"/>
      <c r="G5568" s="75"/>
      <c r="H5568" s="31"/>
    </row>
    <row r="5569" spans="2:8" hidden="1">
      <c r="B5569" s="405"/>
      <c r="C5569" s="76"/>
      <c r="D5569" s="731"/>
      <c r="E5569" s="75"/>
      <c r="F5569" s="75"/>
      <c r="G5569" s="75"/>
      <c r="H5569" s="31"/>
    </row>
    <row r="5570" spans="2:8" hidden="1">
      <c r="B5570" s="405"/>
      <c r="C5570" s="76"/>
      <c r="D5570" s="731"/>
      <c r="E5570" s="75"/>
      <c r="F5570" s="75"/>
      <c r="G5570" s="75"/>
      <c r="H5570" s="31"/>
    </row>
    <row r="5571" spans="2:8" hidden="1">
      <c r="B5571" s="30"/>
      <c r="C5571" s="76"/>
      <c r="D5571" s="731"/>
      <c r="E5571" s="75"/>
      <c r="F5571" s="75"/>
      <c r="G5571" s="75"/>
      <c r="H5571" s="31"/>
    </row>
    <row r="5572" spans="2:8" hidden="1">
      <c r="B5572" s="30"/>
      <c r="C5572" s="76"/>
      <c r="D5572" s="731"/>
      <c r="E5572" s="75"/>
      <c r="F5572" s="75"/>
      <c r="G5572" s="75"/>
      <c r="H5572" s="31"/>
    </row>
    <row r="5573" spans="2:8" hidden="1">
      <c r="B5573" s="30"/>
      <c r="C5573" s="76"/>
      <c r="D5573" s="731"/>
      <c r="E5573" s="75"/>
      <c r="F5573" s="75"/>
      <c r="G5573" s="75"/>
      <c r="H5573" s="31"/>
    </row>
    <row r="5574" spans="2:8" hidden="1">
      <c r="B5574" s="30"/>
      <c r="C5574" s="76"/>
      <c r="D5574" s="731"/>
      <c r="E5574" s="75"/>
      <c r="F5574" s="75"/>
      <c r="G5574" s="75"/>
      <c r="H5574" s="31"/>
    </row>
    <row r="5575" spans="2:8" hidden="1">
      <c r="B5575" s="30"/>
      <c r="C5575" s="76"/>
      <c r="D5575" s="731"/>
      <c r="E5575" s="75"/>
      <c r="F5575" s="75"/>
      <c r="G5575" s="75"/>
      <c r="H5575" s="31"/>
    </row>
    <row r="5576" spans="2:8" hidden="1">
      <c r="B5576" s="30"/>
      <c r="C5576" s="76"/>
      <c r="D5576" s="731"/>
      <c r="E5576" s="75"/>
      <c r="F5576" s="75"/>
      <c r="G5576" s="75"/>
      <c r="H5576" s="31"/>
    </row>
    <row r="5577" spans="2:8" hidden="1">
      <c r="B5577" s="30"/>
      <c r="C5577" s="76"/>
      <c r="D5577" s="731"/>
      <c r="E5577" s="75"/>
      <c r="F5577" s="75"/>
      <c r="G5577" s="75"/>
      <c r="H5577" s="31"/>
    </row>
    <row r="5578" spans="2:8" hidden="1">
      <c r="B5578" s="30"/>
      <c r="C5578" s="76"/>
      <c r="D5578" s="731"/>
      <c r="E5578" s="75"/>
      <c r="F5578" s="75"/>
      <c r="G5578" s="75"/>
      <c r="H5578" s="31"/>
    </row>
    <row r="5579" spans="2:8" hidden="1">
      <c r="B5579" s="30"/>
      <c r="C5579" s="76"/>
      <c r="D5579" s="731"/>
      <c r="E5579" s="75"/>
      <c r="F5579" s="75"/>
      <c r="G5579" s="75"/>
      <c r="H5579" s="31"/>
    </row>
    <row r="5580" spans="2:8" hidden="1">
      <c r="B5580" s="30"/>
      <c r="C5580" s="76"/>
      <c r="D5580" s="731"/>
      <c r="E5580" s="75"/>
      <c r="F5580" s="75"/>
      <c r="G5580" s="75"/>
      <c r="H5580" s="31"/>
    </row>
    <row r="5581" spans="2:8" hidden="1">
      <c r="B5581" s="30"/>
      <c r="C5581" s="76"/>
      <c r="D5581" s="731"/>
      <c r="E5581" s="75"/>
      <c r="F5581" s="75"/>
      <c r="G5581" s="75"/>
      <c r="H5581" s="31"/>
    </row>
    <row r="5582" spans="2:8" hidden="1">
      <c r="B5582" s="30"/>
      <c r="C5582" s="76"/>
      <c r="D5582" s="731"/>
      <c r="E5582" s="75"/>
      <c r="F5582" s="75"/>
      <c r="G5582" s="75"/>
      <c r="H5582" s="31"/>
    </row>
    <row r="5583" spans="2:8" hidden="1">
      <c r="B5583" s="30"/>
      <c r="C5583" s="76"/>
      <c r="D5583" s="731"/>
      <c r="E5583" s="75"/>
      <c r="F5583" s="75"/>
      <c r="G5583" s="75"/>
      <c r="H5583" s="31"/>
    </row>
    <row r="5584" spans="2:8" hidden="1">
      <c r="B5584" s="33"/>
      <c r="C5584" s="31"/>
      <c r="D5584" s="31"/>
      <c r="E5584" s="200"/>
      <c r="F5584" s="200"/>
      <c r="G5584" s="75"/>
      <c r="H5584" s="31"/>
    </row>
    <row r="5585" spans="2:8" hidden="1">
      <c r="B5585" s="33"/>
      <c r="C5585" s="31"/>
      <c r="D5585" s="31"/>
      <c r="E5585" s="198"/>
      <c r="F5585" s="200"/>
      <c r="G5585" s="75"/>
      <c r="H5585" s="31"/>
    </row>
    <row r="5586" spans="2:8" hidden="1">
      <c r="B5586" s="33"/>
      <c r="C5586" s="31"/>
      <c r="D5586" s="31"/>
      <c r="E5586" s="198"/>
      <c r="F5586" s="200"/>
      <c r="G5586" s="75"/>
      <c r="H5586" s="31"/>
    </row>
    <row r="5587" spans="2:8" hidden="1">
      <c r="B5587" s="33"/>
      <c r="C5587" s="31"/>
      <c r="D5587" s="31"/>
      <c r="E5587" s="198"/>
      <c r="F5587" s="200"/>
      <c r="G5587" s="75"/>
      <c r="H5587" s="31"/>
    </row>
    <row r="5588" spans="2:8" hidden="1">
      <c r="B5588" s="33"/>
      <c r="C5588" s="200"/>
      <c r="D5588" s="30"/>
      <c r="E5588" s="30"/>
      <c r="F5588" s="200"/>
      <c r="G5588" s="75"/>
      <c r="H5588" s="31"/>
    </row>
    <row r="5589" spans="2:8" hidden="1">
      <c r="B5589" s="33"/>
      <c r="C5589" s="31"/>
      <c r="D5589" s="31"/>
      <c r="E5589" s="31"/>
      <c r="F5589" s="31"/>
      <c r="G5589" s="31"/>
      <c r="H5589" s="31"/>
    </row>
    <row r="5590" spans="2:8" hidden="1">
      <c r="B5590" s="76"/>
      <c r="C5590" s="31"/>
      <c r="D5590" s="31"/>
      <c r="E5590" s="31"/>
      <c r="F5590" s="31"/>
      <c r="G5590" s="31"/>
      <c r="H5590" s="31"/>
    </row>
    <row r="5591" spans="2:8" hidden="1">
      <c r="B5591" s="33"/>
      <c r="C5591" s="33"/>
      <c r="D5591" s="33"/>
      <c r="E5591" s="33"/>
      <c r="F5591" s="33"/>
      <c r="G5591" s="33"/>
      <c r="H5591" s="31"/>
    </row>
    <row r="5592" spans="2:8" hidden="1">
      <c r="B5592" s="33"/>
      <c r="C5592" s="31"/>
      <c r="D5592" s="33"/>
      <c r="E5592" s="33"/>
      <c r="F5592" s="33"/>
      <c r="G5592" s="33"/>
      <c r="H5592" s="31"/>
    </row>
    <row r="5593" spans="2:8" hidden="1">
      <c r="B5593" s="405"/>
      <c r="C5593" s="76"/>
      <c r="D5593" s="731"/>
      <c r="E5593" s="75"/>
      <c r="F5593" s="75"/>
      <c r="G5593" s="75"/>
      <c r="H5593" s="31"/>
    </row>
    <row r="5594" spans="2:8" hidden="1">
      <c r="B5594" s="405"/>
      <c r="C5594" s="76"/>
      <c r="D5594" s="731"/>
      <c r="E5594" s="75"/>
      <c r="F5594" s="75"/>
      <c r="G5594" s="75"/>
      <c r="H5594" s="31"/>
    </row>
    <row r="5595" spans="2:8" hidden="1">
      <c r="B5595" s="405"/>
      <c r="C5595" s="76"/>
      <c r="D5595" s="731"/>
      <c r="E5595" s="75"/>
      <c r="F5595" s="75"/>
      <c r="G5595" s="75"/>
      <c r="H5595" s="31"/>
    </row>
    <row r="5596" spans="2:8" hidden="1">
      <c r="B5596" s="405"/>
      <c r="C5596" s="76"/>
      <c r="D5596" s="731"/>
      <c r="E5596" s="75"/>
      <c r="F5596" s="75"/>
      <c r="G5596" s="75"/>
      <c r="H5596" s="31"/>
    </row>
    <row r="5597" spans="2:8" hidden="1">
      <c r="B5597" s="405"/>
      <c r="C5597" s="76"/>
      <c r="D5597" s="731"/>
      <c r="E5597" s="75"/>
      <c r="F5597" s="75"/>
      <c r="G5597" s="75"/>
      <c r="H5597" s="31"/>
    </row>
    <row r="5598" spans="2:8" hidden="1">
      <c r="B5598" s="405"/>
      <c r="C5598" s="76"/>
      <c r="D5598" s="731"/>
      <c r="E5598" s="75"/>
      <c r="F5598" s="75"/>
      <c r="G5598" s="75"/>
      <c r="H5598" s="31"/>
    </row>
    <row r="5599" spans="2:8" hidden="1">
      <c r="B5599" s="405"/>
      <c r="C5599" s="76"/>
      <c r="D5599" s="731"/>
      <c r="E5599" s="75"/>
      <c r="F5599" s="75"/>
      <c r="G5599" s="75"/>
      <c r="H5599" s="31"/>
    </row>
    <row r="5600" spans="2:8" hidden="1">
      <c r="B5600" s="405"/>
      <c r="C5600" s="76"/>
      <c r="D5600" s="731"/>
      <c r="E5600" s="75"/>
      <c r="F5600" s="75"/>
      <c r="G5600" s="75"/>
      <c r="H5600" s="31"/>
    </row>
    <row r="5601" spans="2:8" hidden="1">
      <c r="B5601" s="405"/>
      <c r="C5601" s="76"/>
      <c r="D5601" s="731"/>
      <c r="E5601" s="75"/>
      <c r="F5601" s="75"/>
      <c r="G5601" s="75"/>
      <c r="H5601" s="31"/>
    </row>
    <row r="5602" spans="2:8" hidden="1">
      <c r="B5602" s="405"/>
      <c r="C5602" s="76"/>
      <c r="D5602" s="731"/>
      <c r="E5602" s="75"/>
      <c r="F5602" s="75"/>
      <c r="G5602" s="75"/>
      <c r="H5602" s="31"/>
    </row>
    <row r="5603" spans="2:8" hidden="1">
      <c r="B5603" s="405"/>
      <c r="C5603" s="76"/>
      <c r="D5603" s="731"/>
      <c r="E5603" s="75"/>
      <c r="F5603" s="75"/>
      <c r="G5603" s="75"/>
      <c r="H5603" s="31"/>
    </row>
    <row r="5604" spans="2:8" hidden="1">
      <c r="B5604" s="405"/>
      <c r="C5604" s="76"/>
      <c r="D5604" s="731"/>
      <c r="E5604" s="75"/>
      <c r="F5604" s="75"/>
      <c r="G5604" s="75"/>
      <c r="H5604" s="31"/>
    </row>
    <row r="5605" spans="2:8" hidden="1">
      <c r="B5605" s="405"/>
      <c r="C5605" s="76"/>
      <c r="D5605" s="731"/>
      <c r="E5605" s="75"/>
      <c r="F5605" s="75"/>
      <c r="G5605" s="75"/>
      <c r="H5605" s="31"/>
    </row>
    <row r="5606" spans="2:8" hidden="1">
      <c r="B5606" s="33"/>
      <c r="C5606" s="31"/>
      <c r="D5606" s="31"/>
      <c r="E5606" s="200"/>
      <c r="F5606" s="200"/>
      <c r="G5606" s="75"/>
      <c r="H5606" s="31"/>
    </row>
    <row r="5607" spans="2:8" hidden="1">
      <c r="B5607" s="33"/>
      <c r="C5607" s="31"/>
      <c r="D5607" s="31"/>
      <c r="E5607" s="198"/>
      <c r="F5607" s="200"/>
      <c r="G5607" s="75"/>
      <c r="H5607" s="31"/>
    </row>
    <row r="5608" spans="2:8" hidden="1">
      <c r="B5608" s="33"/>
      <c r="C5608" s="31"/>
      <c r="D5608" s="31"/>
      <c r="E5608" s="198"/>
      <c r="F5608" s="200"/>
      <c r="G5608" s="75"/>
      <c r="H5608" s="31"/>
    </row>
    <row r="5609" spans="2:8" hidden="1">
      <c r="B5609" s="33"/>
      <c r="C5609" s="31"/>
      <c r="D5609" s="31"/>
      <c r="E5609" s="198"/>
      <c r="F5609" s="200"/>
      <c r="G5609" s="75"/>
      <c r="H5609" s="31"/>
    </row>
    <row r="5610" spans="2:8" hidden="1">
      <c r="B5610" s="33"/>
      <c r="C5610" s="30"/>
      <c r="D5610" s="30"/>
      <c r="E5610" s="30"/>
      <c r="F5610" s="200"/>
      <c r="G5610" s="75"/>
      <c r="H5610" s="31"/>
    </row>
    <row r="5611" spans="2:8" hidden="1">
      <c r="B5611" s="33"/>
      <c r="C5611" s="31"/>
      <c r="D5611" s="31"/>
      <c r="E5611" s="31"/>
      <c r="F5611" s="31"/>
      <c r="G5611" s="31"/>
      <c r="H5611" s="31"/>
    </row>
    <row r="5612" spans="2:8" hidden="1">
      <c r="B5612" s="76"/>
      <c r="C5612" s="31"/>
      <c r="D5612" s="31"/>
      <c r="E5612" s="31"/>
      <c r="F5612" s="31"/>
      <c r="G5612" s="31"/>
      <c r="H5612" s="31"/>
    </row>
    <row r="5613" spans="2:8" hidden="1">
      <c r="B5613" s="33"/>
      <c r="C5613" s="33"/>
      <c r="D5613" s="33"/>
      <c r="E5613" s="33"/>
      <c r="F5613" s="33"/>
      <c r="G5613" s="33"/>
      <c r="H5613" s="31"/>
    </row>
    <row r="5614" spans="2:8" hidden="1">
      <c r="B5614" s="33"/>
      <c r="C5614" s="31"/>
      <c r="D5614" s="33"/>
      <c r="E5614" s="33"/>
      <c r="F5614" s="33"/>
      <c r="G5614" s="33"/>
      <c r="H5614" s="31"/>
    </row>
    <row r="5615" spans="2:8" hidden="1">
      <c r="B5615" s="405"/>
      <c r="C5615" s="76"/>
      <c r="D5615" s="731"/>
      <c r="E5615" s="75"/>
      <c r="F5615" s="75"/>
      <c r="G5615" s="75"/>
      <c r="H5615" s="31"/>
    </row>
    <row r="5616" spans="2:8" hidden="1">
      <c r="B5616" s="405"/>
      <c r="C5616" s="76"/>
      <c r="D5616" s="731"/>
      <c r="E5616" s="75"/>
      <c r="F5616" s="75"/>
      <c r="G5616" s="75"/>
      <c r="H5616" s="31"/>
    </row>
    <row r="5617" spans="2:8" hidden="1">
      <c r="B5617" s="405"/>
      <c r="C5617" s="76"/>
      <c r="D5617" s="731"/>
      <c r="E5617" s="75"/>
      <c r="F5617" s="75"/>
      <c r="G5617" s="75"/>
      <c r="H5617" s="31"/>
    </row>
    <row r="5618" spans="2:8" hidden="1">
      <c r="B5618" s="405"/>
      <c r="C5618" s="76"/>
      <c r="D5618" s="731"/>
      <c r="E5618" s="75"/>
      <c r="F5618" s="75"/>
      <c r="G5618" s="75"/>
      <c r="H5618" s="31"/>
    </row>
    <row r="5619" spans="2:8" hidden="1">
      <c r="B5619" s="405"/>
      <c r="C5619" s="76"/>
      <c r="D5619" s="731"/>
      <c r="E5619" s="75"/>
      <c r="F5619" s="75"/>
      <c r="G5619" s="75"/>
      <c r="H5619" s="31"/>
    </row>
    <row r="5620" spans="2:8" hidden="1">
      <c r="B5620" s="405"/>
      <c r="C5620" s="76"/>
      <c r="D5620" s="731"/>
      <c r="E5620" s="75"/>
      <c r="F5620" s="75"/>
      <c r="G5620" s="75"/>
      <c r="H5620" s="31"/>
    </row>
    <row r="5621" spans="2:8" hidden="1">
      <c r="B5621" s="405"/>
      <c r="C5621" s="76"/>
      <c r="D5621" s="731"/>
      <c r="E5621" s="75"/>
      <c r="F5621" s="75"/>
      <c r="G5621" s="75"/>
      <c r="H5621" s="31"/>
    </row>
    <row r="5622" spans="2:8" hidden="1">
      <c r="B5622" s="405"/>
      <c r="C5622" s="76"/>
      <c r="D5622" s="731"/>
      <c r="E5622" s="75"/>
      <c r="F5622" s="75"/>
      <c r="G5622" s="75"/>
      <c r="H5622" s="31"/>
    </row>
    <row r="5623" spans="2:8" hidden="1">
      <c r="B5623" s="405"/>
      <c r="C5623" s="76"/>
      <c r="D5623" s="731"/>
      <c r="E5623" s="75"/>
      <c r="F5623" s="75"/>
      <c r="G5623" s="75"/>
      <c r="H5623" s="31"/>
    </row>
    <row r="5624" spans="2:8" hidden="1">
      <c r="B5624" s="30"/>
      <c r="C5624" s="76"/>
      <c r="D5624" s="731"/>
      <c r="E5624" s="75"/>
      <c r="F5624" s="75"/>
      <c r="G5624" s="75"/>
      <c r="H5624" s="31"/>
    </row>
    <row r="5625" spans="2:8" hidden="1">
      <c r="B5625" s="30"/>
      <c r="C5625" s="76"/>
      <c r="D5625" s="731"/>
      <c r="E5625" s="75"/>
      <c r="F5625" s="75"/>
      <c r="G5625" s="75"/>
      <c r="H5625" s="31"/>
    </row>
    <row r="5626" spans="2:8" hidden="1">
      <c r="B5626" s="33"/>
      <c r="C5626" s="31"/>
      <c r="D5626" s="31"/>
      <c r="E5626" s="200"/>
      <c r="F5626" s="200"/>
      <c r="G5626" s="75"/>
      <c r="H5626" s="31"/>
    </row>
    <row r="5627" spans="2:8" hidden="1">
      <c r="B5627" s="33"/>
      <c r="C5627" s="31"/>
      <c r="D5627" s="31"/>
      <c r="E5627" s="198"/>
      <c r="F5627" s="200"/>
      <c r="G5627" s="75"/>
      <c r="H5627" s="31"/>
    </row>
    <row r="5628" spans="2:8" hidden="1">
      <c r="B5628" s="33"/>
      <c r="C5628" s="31"/>
      <c r="D5628" s="31"/>
      <c r="E5628" s="198"/>
      <c r="F5628" s="200"/>
      <c r="G5628" s="75"/>
      <c r="H5628" s="31"/>
    </row>
    <row r="5629" spans="2:8" hidden="1">
      <c r="B5629" s="33"/>
      <c r="C5629" s="31"/>
      <c r="D5629" s="31"/>
      <c r="E5629" s="198"/>
      <c r="F5629" s="200"/>
      <c r="G5629" s="75"/>
      <c r="H5629" s="31"/>
    </row>
    <row r="5630" spans="2:8" hidden="1">
      <c r="B5630" s="33"/>
      <c r="C5630" s="31"/>
      <c r="D5630" s="31"/>
      <c r="E5630" s="198"/>
      <c r="F5630" s="200"/>
      <c r="G5630" s="75"/>
      <c r="H5630" s="31"/>
    </row>
    <row r="5631" spans="2:8" hidden="1">
      <c r="B5631" s="33"/>
      <c r="C5631" s="31"/>
      <c r="D5631" s="31"/>
      <c r="E5631" s="198"/>
      <c r="F5631" s="200"/>
      <c r="G5631" s="75"/>
      <c r="H5631" s="31"/>
    </row>
    <row r="5632" spans="2:8" hidden="1">
      <c r="B5632" s="33"/>
      <c r="C5632" s="200"/>
      <c r="D5632" s="30"/>
      <c r="E5632" s="30"/>
      <c r="F5632" s="200"/>
      <c r="G5632" s="75"/>
      <c r="H5632" s="31"/>
    </row>
    <row r="5633" spans="2:8" hidden="1">
      <c r="B5633" s="33"/>
      <c r="C5633" s="31"/>
      <c r="D5633" s="31"/>
      <c r="E5633" s="31"/>
      <c r="F5633" s="31"/>
      <c r="G5633" s="31"/>
      <c r="H5633" s="31"/>
    </row>
    <row r="5634" spans="2:8" hidden="1">
      <c r="B5634" s="33"/>
      <c r="C5634" s="31"/>
      <c r="D5634" s="31"/>
      <c r="E5634" s="31"/>
      <c r="F5634" s="31"/>
      <c r="G5634" s="31"/>
      <c r="H5634" s="31"/>
    </row>
    <row r="5635" spans="2:8" hidden="1">
      <c r="B5635" s="33"/>
      <c r="C5635" s="31"/>
      <c r="D5635" s="31"/>
      <c r="E5635" s="31"/>
      <c r="F5635" s="200"/>
      <c r="G5635" s="75"/>
      <c r="H5635" s="31"/>
    </row>
    <row r="5636" spans="2:8" hidden="1">
      <c r="B5636" s="33"/>
      <c r="C5636" s="31"/>
      <c r="D5636" s="31"/>
      <c r="E5636" s="31"/>
      <c r="F5636" s="200"/>
      <c r="G5636" s="75"/>
      <c r="H5636" s="31"/>
    </row>
    <row r="5637" spans="2:8" hidden="1">
      <c r="B5637" s="33"/>
      <c r="C5637" s="31"/>
      <c r="D5637" s="31"/>
      <c r="E5637" s="31"/>
      <c r="F5637" s="200"/>
      <c r="G5637" s="75"/>
      <c r="H5637" s="31"/>
    </row>
    <row r="5638" spans="2:8" hidden="1">
      <c r="B5638" s="33"/>
      <c r="C5638" s="31"/>
      <c r="D5638" s="31"/>
      <c r="E5638" s="200"/>
      <c r="F5638" s="200"/>
      <c r="G5638" s="75"/>
      <c r="H5638" s="31"/>
    </row>
    <row r="5639" spans="2:8" hidden="1">
      <c r="B5639" s="33"/>
      <c r="C5639" s="31"/>
      <c r="D5639" s="31"/>
      <c r="E5639" s="301"/>
      <c r="F5639" s="200"/>
      <c r="G5639" s="75"/>
      <c r="H5639" s="31"/>
    </row>
    <row r="5640" spans="2:8" hidden="1">
      <c r="B5640" s="33"/>
      <c r="C5640" s="31"/>
      <c r="D5640" s="31"/>
      <c r="E5640" s="767"/>
      <c r="F5640" s="200"/>
      <c r="G5640" s="75"/>
      <c r="H5640" s="31"/>
    </row>
    <row r="5641" spans="2:8" hidden="1">
      <c r="B5641" s="33"/>
      <c r="C5641" s="31"/>
      <c r="D5641" s="31"/>
      <c r="E5641" s="767"/>
      <c r="F5641" s="200"/>
      <c r="G5641" s="75"/>
      <c r="H5641" s="31"/>
    </row>
    <row r="5642" spans="2:8" hidden="1">
      <c r="B5642" s="33"/>
      <c r="C5642" s="31"/>
      <c r="D5642" s="31"/>
      <c r="E5642" s="767"/>
      <c r="F5642" s="200"/>
      <c r="G5642" s="75"/>
      <c r="H5642" s="31"/>
    </row>
    <row r="5643" spans="2:8" hidden="1">
      <c r="B5643" s="33"/>
      <c r="C5643" s="31"/>
      <c r="D5643" s="31"/>
      <c r="E5643" s="767"/>
      <c r="F5643" s="200"/>
      <c r="G5643" s="75"/>
      <c r="H5643" s="31"/>
    </row>
    <row r="5644" spans="2:8" hidden="1">
      <c r="B5644" s="33"/>
      <c r="C5644" s="31"/>
      <c r="D5644" s="75"/>
      <c r="E5644" s="767"/>
      <c r="F5644" s="200"/>
      <c r="G5644" s="75"/>
      <c r="H5644" s="31"/>
    </row>
    <row r="5645" spans="2:8" hidden="1">
      <c r="B5645" s="33"/>
      <c r="C5645" s="31"/>
      <c r="D5645" s="31"/>
      <c r="E5645" s="767"/>
      <c r="F5645" s="200"/>
      <c r="G5645" s="75"/>
      <c r="H5645" s="31"/>
    </row>
    <row r="5646" spans="2:8" hidden="1">
      <c r="B5646" s="33"/>
      <c r="C5646" s="31"/>
      <c r="D5646" s="31"/>
      <c r="E5646" s="200"/>
      <c r="F5646" s="200"/>
      <c r="G5646" s="75"/>
      <c r="H5646" s="31"/>
    </row>
    <row r="5647" spans="2:8" hidden="1">
      <c r="B5647" s="33"/>
      <c r="C5647" s="31"/>
      <c r="D5647" s="31"/>
      <c r="E5647" s="200"/>
      <c r="F5647" s="200"/>
      <c r="G5647" s="31"/>
      <c r="H5647" s="31"/>
    </row>
    <row r="5648" spans="2:8" hidden="1">
      <c r="B5648" s="33"/>
      <c r="C5648" s="31"/>
      <c r="D5648" s="75"/>
      <c r="E5648" s="76"/>
      <c r="F5648" s="200"/>
      <c r="G5648" s="75"/>
      <c r="H5648" s="31"/>
    </row>
    <row r="5649" spans="2:8" hidden="1">
      <c r="B5649" s="33"/>
      <c r="C5649" s="31"/>
      <c r="D5649" s="198"/>
      <c r="E5649" s="198"/>
      <c r="F5649" s="200"/>
      <c r="G5649" s="75"/>
      <c r="H5649" s="31"/>
    </row>
    <row r="5650" spans="2:8" hidden="1">
      <c r="B5650" s="33"/>
      <c r="C5650" s="31"/>
      <c r="D5650" s="768"/>
      <c r="E5650" s="31"/>
      <c r="F5650" s="200"/>
      <c r="G5650" s="75"/>
      <c r="H5650" s="31"/>
    </row>
    <row r="5651" spans="2:8" hidden="1">
      <c r="B5651" s="33"/>
      <c r="C5651" s="31"/>
      <c r="D5651" s="768"/>
      <c r="E5651" s="31"/>
      <c r="F5651" s="200"/>
      <c r="G5651" s="31"/>
      <c r="H5651" s="31"/>
    </row>
    <row r="5652" spans="2:8" hidden="1">
      <c r="B5652" s="33"/>
      <c r="C5652" s="31"/>
      <c r="D5652" s="200"/>
      <c r="E5652" s="31"/>
      <c r="F5652" s="200"/>
      <c r="G5652" s="75"/>
      <c r="H5652" s="31"/>
    </row>
    <row r="5653" spans="2:8" hidden="1">
      <c r="B5653" s="33"/>
      <c r="C5653" s="31"/>
      <c r="D5653" s="31"/>
      <c r="E5653" s="200"/>
      <c r="F5653" s="200"/>
      <c r="G5653" s="75"/>
      <c r="H5653" s="31"/>
    </row>
    <row r="5654" spans="2:8" hidden="1">
      <c r="B5654" s="33"/>
      <c r="C5654" s="31"/>
      <c r="D5654" s="31"/>
      <c r="E5654" s="31"/>
      <c r="F5654" s="31"/>
      <c r="G5654" s="31"/>
      <c r="H5654" s="31"/>
    </row>
    <row r="5655" spans="2:8" hidden="1">
      <c r="B5655" s="33"/>
      <c r="C5655" s="31"/>
      <c r="D5655" s="31"/>
      <c r="E5655" s="31"/>
      <c r="F5655" s="31"/>
      <c r="G5655" s="31"/>
      <c r="H5655" s="31"/>
    </row>
    <row r="5656" spans="2:8" hidden="1">
      <c r="B5656" s="33"/>
      <c r="C5656" s="31"/>
      <c r="D5656" s="31"/>
      <c r="E5656" s="31"/>
      <c r="F5656" s="31"/>
      <c r="G5656" s="31"/>
      <c r="H5656" s="31"/>
    </row>
    <row r="5657" spans="2:8" hidden="1">
      <c r="B5657" s="33"/>
      <c r="C5657" s="31"/>
      <c r="D5657" s="33"/>
      <c r="E5657" s="31"/>
      <c r="F5657" s="200"/>
      <c r="G5657" s="76"/>
      <c r="H5657" s="31"/>
    </row>
    <row r="5658" spans="2:8" hidden="1">
      <c r="B5658" s="33"/>
      <c r="C5658" s="31"/>
      <c r="D5658" s="31"/>
      <c r="E5658" s="31"/>
      <c r="F5658" s="31"/>
      <c r="G5658" s="31"/>
      <c r="H5658" s="31"/>
    </row>
    <row r="5659" spans="2:8" hidden="1">
      <c r="B5659" s="33"/>
      <c r="C5659" s="31"/>
      <c r="D5659" s="31"/>
      <c r="E5659" s="31"/>
      <c r="F5659" s="31"/>
      <c r="G5659" s="31"/>
      <c r="H5659" s="31"/>
    </row>
    <row r="5660" spans="2:8" hidden="1">
      <c r="B5660" s="33"/>
      <c r="C5660" s="31"/>
      <c r="D5660" s="31"/>
      <c r="E5660" s="31"/>
      <c r="F5660" s="31"/>
      <c r="G5660" s="31"/>
      <c r="H5660" s="31"/>
    </row>
    <row r="5661" spans="2:8" hidden="1">
      <c r="B5661" s="33"/>
      <c r="C5661" s="31"/>
      <c r="D5661" s="31"/>
      <c r="E5661" s="31"/>
      <c r="F5661" s="31"/>
      <c r="G5661" s="31"/>
      <c r="H5661" s="31"/>
    </row>
    <row r="5662" spans="2:8" hidden="1">
      <c r="B5662" s="33"/>
      <c r="C5662" s="31"/>
      <c r="D5662" s="31"/>
      <c r="E5662" s="31"/>
      <c r="F5662" s="31"/>
      <c r="G5662" s="31"/>
      <c r="H5662" s="31"/>
    </row>
    <row r="5663" spans="2:8" hidden="1">
      <c r="B5663" s="33"/>
      <c r="C5663" s="31"/>
      <c r="D5663" s="31"/>
      <c r="E5663" s="31"/>
      <c r="F5663" s="31"/>
      <c r="G5663" s="31"/>
      <c r="H5663" s="31"/>
    </row>
    <row r="5664" spans="2:8" hidden="1">
      <c r="B5664" s="33"/>
      <c r="C5664" s="31"/>
      <c r="D5664" s="31"/>
      <c r="E5664" s="31"/>
      <c r="F5664" s="31"/>
      <c r="G5664" s="31"/>
      <c r="H5664" s="31"/>
    </row>
    <row r="5665" spans="2:8" hidden="1">
      <c r="B5665" s="33"/>
      <c r="C5665" s="31"/>
      <c r="D5665" s="31"/>
      <c r="E5665" s="31"/>
      <c r="F5665" s="31"/>
      <c r="G5665" s="31"/>
      <c r="H5665" s="31"/>
    </row>
    <row r="5666" spans="2:8" hidden="1">
      <c r="B5666" s="33"/>
      <c r="C5666" s="31"/>
      <c r="D5666" s="31"/>
      <c r="E5666" s="31"/>
      <c r="F5666" s="31"/>
      <c r="G5666" s="31"/>
      <c r="H5666" s="31"/>
    </row>
    <row r="5667" spans="2:8" hidden="1">
      <c r="B5667" s="33"/>
      <c r="C5667" s="31"/>
      <c r="D5667" s="31"/>
      <c r="E5667" s="31"/>
      <c r="F5667" s="31"/>
      <c r="G5667" s="31"/>
      <c r="H5667" s="31"/>
    </row>
    <row r="5668" spans="2:8" hidden="1">
      <c r="B5668" s="33"/>
      <c r="C5668" s="31"/>
      <c r="D5668" s="31"/>
      <c r="E5668" s="31"/>
      <c r="F5668" s="31"/>
      <c r="G5668" s="31"/>
      <c r="H5668" s="31"/>
    </row>
    <row r="5669" spans="2:8" hidden="1">
      <c r="B5669" s="33"/>
      <c r="C5669" s="31"/>
      <c r="D5669" s="31"/>
      <c r="E5669" s="31"/>
      <c r="F5669" s="31"/>
      <c r="G5669" s="31"/>
      <c r="H5669" s="31"/>
    </row>
    <row r="5670" spans="2:8" hidden="1">
      <c r="B5670" s="33"/>
      <c r="C5670" s="31"/>
      <c r="D5670" s="31"/>
      <c r="E5670" s="31"/>
      <c r="F5670" s="31"/>
      <c r="G5670" s="31"/>
      <c r="H5670" s="31"/>
    </row>
    <row r="5671" spans="2:8" hidden="1">
      <c r="B5671" s="33"/>
      <c r="C5671" s="31"/>
      <c r="D5671" s="31"/>
      <c r="E5671" s="31"/>
      <c r="F5671" s="31"/>
      <c r="G5671" s="31"/>
      <c r="H5671" s="31"/>
    </row>
    <row r="5672" spans="2:8" hidden="1">
      <c r="B5672" s="33"/>
      <c r="C5672" s="31"/>
      <c r="D5672" s="31"/>
      <c r="E5672" s="31"/>
      <c r="F5672" s="31"/>
      <c r="G5672" s="31"/>
      <c r="H5672" s="31"/>
    </row>
    <row r="5673" spans="2:8" hidden="1">
      <c r="B5673" s="33"/>
      <c r="C5673" s="31"/>
      <c r="D5673" s="31"/>
      <c r="E5673" s="31"/>
      <c r="F5673" s="31"/>
      <c r="G5673" s="31"/>
      <c r="H5673" s="31"/>
    </row>
    <row r="5674" spans="2:8" hidden="1">
      <c r="B5674" s="33"/>
      <c r="C5674" s="31"/>
      <c r="D5674" s="31"/>
      <c r="E5674" s="31"/>
      <c r="F5674" s="31"/>
      <c r="G5674" s="31"/>
      <c r="H5674" s="31"/>
    </row>
    <row r="5675" spans="2:8" hidden="1">
      <c r="B5675" s="33"/>
      <c r="C5675" s="31"/>
      <c r="D5675" s="31"/>
      <c r="E5675" s="31"/>
      <c r="F5675" s="31"/>
      <c r="G5675" s="31"/>
      <c r="H5675" s="31"/>
    </row>
    <row r="5676" spans="2:8" hidden="1">
      <c r="B5676" s="33"/>
      <c r="C5676" s="31"/>
      <c r="D5676" s="31"/>
      <c r="E5676" s="31"/>
      <c r="F5676" s="31"/>
      <c r="G5676" s="31"/>
      <c r="H5676" s="31"/>
    </row>
    <row r="5677" spans="2:8" hidden="1">
      <c r="B5677" s="33"/>
      <c r="C5677" s="31"/>
      <c r="D5677" s="31"/>
      <c r="E5677" s="31"/>
      <c r="F5677" s="691"/>
      <c r="G5677" s="31"/>
      <c r="H5677" s="31"/>
    </row>
    <row r="5678" spans="2:8" hidden="1">
      <c r="B5678" s="33"/>
      <c r="C5678" s="31"/>
      <c r="D5678" s="31"/>
      <c r="E5678" s="31"/>
      <c r="F5678" s="691"/>
      <c r="G5678" s="31"/>
      <c r="H5678" s="31"/>
    </row>
    <row r="5679" spans="2:8" hidden="1">
      <c r="B5679" s="33"/>
      <c r="C5679" s="31"/>
      <c r="D5679" s="31"/>
      <c r="E5679" s="31"/>
      <c r="F5679" s="691"/>
      <c r="G5679" s="31"/>
      <c r="H5679" s="31"/>
    </row>
    <row r="5680" spans="2:8" hidden="1">
      <c r="B5680" s="33"/>
      <c r="C5680" s="31"/>
      <c r="D5680" s="31"/>
      <c r="E5680" s="31"/>
      <c r="F5680" s="691"/>
      <c r="G5680" s="31"/>
      <c r="H5680" s="31"/>
    </row>
    <row r="5681" spans="2:8" hidden="1">
      <c r="B5681" s="33"/>
      <c r="C5681" s="31"/>
      <c r="D5681" s="31"/>
      <c r="E5681" s="31"/>
      <c r="F5681" s="691"/>
      <c r="G5681" s="31"/>
      <c r="H5681" s="31"/>
    </row>
    <row r="5682" spans="2:8" hidden="1">
      <c r="B5682" s="33"/>
      <c r="C5682" s="31"/>
      <c r="D5682" s="31"/>
      <c r="E5682" s="31"/>
      <c r="F5682" s="691"/>
      <c r="G5682" s="31"/>
      <c r="H5682" s="31"/>
    </row>
    <row r="5683" spans="2:8" hidden="1">
      <c r="B5683" s="33"/>
      <c r="C5683" s="31"/>
      <c r="D5683" s="31"/>
      <c r="E5683" s="31"/>
      <c r="F5683" s="691"/>
      <c r="G5683" s="31"/>
      <c r="H5683" s="31"/>
    </row>
    <row r="5684" spans="2:8" hidden="1">
      <c r="B5684" s="33"/>
      <c r="C5684" s="31"/>
      <c r="D5684" s="31"/>
      <c r="E5684" s="31"/>
      <c r="F5684" s="691"/>
      <c r="G5684" s="31"/>
      <c r="H5684" s="31"/>
    </row>
    <row r="5685" spans="2:8" hidden="1">
      <c r="B5685" s="33"/>
      <c r="C5685" s="31"/>
      <c r="D5685" s="31"/>
      <c r="E5685" s="31"/>
      <c r="F5685" s="691"/>
      <c r="G5685" s="31"/>
      <c r="H5685" s="31"/>
    </row>
    <row r="5686" spans="2:8" hidden="1">
      <c r="B5686" s="33"/>
      <c r="C5686" s="31"/>
      <c r="D5686" s="31"/>
      <c r="E5686" s="31"/>
      <c r="F5686" s="691"/>
      <c r="G5686" s="31"/>
      <c r="H5686" s="31"/>
    </row>
    <row r="5687" spans="2:8" hidden="1">
      <c r="B5687" s="33"/>
      <c r="C5687" s="31"/>
      <c r="D5687" s="31"/>
      <c r="E5687" s="31"/>
      <c r="F5687" s="691"/>
      <c r="G5687" s="31"/>
      <c r="H5687" s="31"/>
    </row>
    <row r="5688" spans="2:8" hidden="1">
      <c r="B5688" s="33"/>
      <c r="C5688" s="31"/>
      <c r="D5688" s="31"/>
      <c r="E5688" s="31"/>
      <c r="F5688" s="691"/>
      <c r="G5688" s="31"/>
      <c r="H5688" s="31"/>
    </row>
    <row r="5689" spans="2:8" hidden="1">
      <c r="B5689" s="33"/>
      <c r="C5689" s="31"/>
      <c r="D5689" s="31"/>
      <c r="E5689" s="31"/>
      <c r="F5689" s="691"/>
      <c r="G5689" s="31"/>
      <c r="H5689" s="31"/>
    </row>
    <row r="5690" spans="2:8" hidden="1">
      <c r="B5690" s="33"/>
      <c r="C5690" s="31"/>
      <c r="D5690" s="31"/>
      <c r="E5690" s="31"/>
      <c r="F5690" s="691"/>
      <c r="G5690" s="31"/>
      <c r="H5690" s="31"/>
    </row>
    <row r="5691" spans="2:8" hidden="1">
      <c r="B5691" s="33"/>
      <c r="C5691" s="31"/>
      <c r="D5691" s="31"/>
      <c r="E5691" s="31"/>
      <c r="F5691" s="691"/>
      <c r="G5691" s="31"/>
      <c r="H5691" s="31"/>
    </row>
    <row r="5692" spans="2:8" hidden="1">
      <c r="B5692" s="33"/>
      <c r="C5692" s="31"/>
      <c r="D5692" s="31"/>
      <c r="E5692" s="31"/>
      <c r="F5692" s="691"/>
      <c r="G5692" s="31"/>
      <c r="H5692" s="31"/>
    </row>
    <row r="5693" spans="2:8" hidden="1">
      <c r="B5693" s="33"/>
      <c r="C5693" s="31"/>
      <c r="D5693" s="31"/>
      <c r="E5693" s="31"/>
      <c r="F5693" s="691"/>
      <c r="G5693" s="31"/>
      <c r="H5693" s="31"/>
    </row>
    <row r="5694" spans="2:8" hidden="1">
      <c r="B5694" s="33"/>
      <c r="C5694" s="31"/>
      <c r="D5694" s="31"/>
      <c r="E5694" s="31"/>
      <c r="F5694" s="691"/>
      <c r="G5694" s="31"/>
      <c r="H5694" s="31"/>
    </row>
    <row r="5695" spans="2:8" hidden="1">
      <c r="B5695" s="33"/>
      <c r="C5695" s="31"/>
      <c r="D5695" s="31"/>
      <c r="E5695" s="31"/>
      <c r="F5695" s="691"/>
      <c r="G5695" s="31"/>
      <c r="H5695" s="31"/>
    </row>
    <row r="5696" spans="2:8" hidden="1">
      <c r="B5696" s="33"/>
      <c r="C5696" s="31"/>
      <c r="D5696" s="31"/>
      <c r="E5696" s="200"/>
      <c r="F5696" s="691"/>
      <c r="G5696" s="31"/>
      <c r="H5696" s="31"/>
    </row>
    <row r="5697" spans="2:8" hidden="1">
      <c r="B5697" s="33"/>
      <c r="C5697" s="31"/>
      <c r="D5697" s="31"/>
      <c r="E5697" s="31"/>
      <c r="F5697" s="691"/>
      <c r="G5697" s="31"/>
      <c r="H5697" s="31"/>
    </row>
    <row r="5698" spans="2:8" hidden="1">
      <c r="B5698" s="33"/>
      <c r="C5698" s="31"/>
      <c r="D5698" s="31"/>
      <c r="E5698" s="31"/>
      <c r="F5698" s="691"/>
      <c r="G5698" s="31"/>
      <c r="H5698" s="31"/>
    </row>
    <row r="5699" spans="2:8" hidden="1">
      <c r="B5699" s="33"/>
      <c r="C5699" s="31"/>
      <c r="D5699" s="31"/>
      <c r="E5699" s="31"/>
      <c r="F5699" s="691"/>
      <c r="G5699" s="31"/>
      <c r="H5699" s="31"/>
    </row>
    <row r="5700" spans="2:8" hidden="1">
      <c r="B5700" s="33"/>
      <c r="C5700" s="31"/>
      <c r="D5700" s="31"/>
      <c r="E5700" s="31"/>
      <c r="F5700" s="691"/>
      <c r="G5700" s="31"/>
      <c r="H5700" s="31"/>
    </row>
    <row r="5701" spans="2:8" hidden="1">
      <c r="B5701" s="33"/>
      <c r="C5701" s="31"/>
      <c r="D5701" s="31"/>
      <c r="E5701" s="31"/>
      <c r="F5701" s="691"/>
      <c r="G5701" s="31"/>
      <c r="H5701" s="31"/>
    </row>
    <row r="5702" spans="2:8" hidden="1">
      <c r="B5702" s="33"/>
      <c r="C5702" s="31"/>
      <c r="D5702" s="31"/>
      <c r="E5702" s="31"/>
      <c r="F5702" s="691"/>
      <c r="G5702" s="31"/>
      <c r="H5702" s="31"/>
    </row>
    <row r="5703" spans="2:8" hidden="1">
      <c r="B5703" s="33"/>
      <c r="C5703" s="31"/>
      <c r="D5703" s="31"/>
      <c r="E5703" s="31"/>
      <c r="F5703" s="691"/>
      <c r="G5703" s="31"/>
      <c r="H5703" s="31"/>
    </row>
    <row r="5704" spans="2:8" hidden="1">
      <c r="B5704" s="33"/>
      <c r="C5704" s="31"/>
      <c r="D5704" s="31"/>
      <c r="E5704" s="31"/>
      <c r="F5704" s="691"/>
      <c r="G5704" s="31"/>
      <c r="H5704" s="31"/>
    </row>
    <row r="5705" spans="2:8" hidden="1">
      <c r="B5705" s="33"/>
      <c r="C5705" s="31"/>
      <c r="D5705" s="31"/>
      <c r="E5705" s="31"/>
      <c r="F5705" s="691"/>
      <c r="G5705" s="31"/>
      <c r="H5705" s="31"/>
    </row>
    <row r="5706" spans="2:8" hidden="1">
      <c r="B5706" s="33"/>
      <c r="C5706" s="31"/>
      <c r="D5706" s="31"/>
      <c r="E5706" s="31"/>
      <c r="F5706" s="691"/>
      <c r="G5706" s="31"/>
      <c r="H5706" s="31"/>
    </row>
    <row r="5707" spans="2:8" hidden="1">
      <c r="B5707" s="33"/>
      <c r="C5707" s="31"/>
      <c r="D5707" s="31"/>
      <c r="E5707" s="31"/>
      <c r="F5707" s="691"/>
      <c r="G5707" s="31"/>
      <c r="H5707" s="31"/>
    </row>
    <row r="5708" spans="2:8" hidden="1">
      <c r="B5708" s="33"/>
      <c r="C5708" s="31"/>
      <c r="D5708" s="31"/>
      <c r="E5708" s="31"/>
      <c r="F5708" s="691"/>
      <c r="G5708" s="31"/>
      <c r="H5708" s="31"/>
    </row>
    <row r="5709" spans="2:8" hidden="1">
      <c r="B5709" s="33"/>
      <c r="C5709" s="31"/>
      <c r="D5709" s="31"/>
      <c r="E5709" s="31"/>
      <c r="F5709" s="691"/>
      <c r="G5709" s="31"/>
      <c r="H5709" s="31"/>
    </row>
    <row r="5710" spans="2:8" hidden="1">
      <c r="B5710" s="33"/>
      <c r="C5710" s="31"/>
      <c r="D5710" s="31"/>
      <c r="E5710" s="31"/>
      <c r="F5710" s="691"/>
      <c r="G5710" s="31"/>
      <c r="H5710" s="31"/>
    </row>
    <row r="5711" spans="2:8" hidden="1">
      <c r="B5711" s="33"/>
      <c r="C5711" s="31"/>
      <c r="D5711" s="31"/>
      <c r="E5711" s="31"/>
      <c r="F5711" s="691"/>
      <c r="G5711" s="31"/>
      <c r="H5711" s="31"/>
    </row>
    <row r="5712" spans="2:8" hidden="1">
      <c r="B5712" s="33"/>
      <c r="C5712" s="31"/>
      <c r="D5712" s="31"/>
      <c r="E5712" s="200"/>
      <c r="F5712" s="691"/>
      <c r="G5712" s="31"/>
      <c r="H5712" s="31"/>
    </row>
    <row r="5713" spans="2:8" hidden="1">
      <c r="B5713" s="33"/>
      <c r="C5713" s="31"/>
      <c r="D5713" s="31"/>
      <c r="E5713" s="31"/>
      <c r="F5713" s="691"/>
      <c r="G5713" s="31"/>
      <c r="H5713" s="31"/>
    </row>
    <row r="5714" spans="2:8" hidden="1">
      <c r="B5714" s="33"/>
      <c r="C5714" s="31"/>
      <c r="D5714" s="31"/>
      <c r="E5714" s="31"/>
      <c r="F5714" s="691"/>
      <c r="G5714" s="31"/>
      <c r="H5714" s="31"/>
    </row>
    <row r="5715" spans="2:8" hidden="1">
      <c r="B5715" s="33"/>
      <c r="C5715" s="31"/>
      <c r="D5715" s="31"/>
      <c r="E5715" s="31"/>
      <c r="F5715" s="691"/>
      <c r="G5715" s="31"/>
      <c r="H5715" s="31"/>
    </row>
    <row r="5716" spans="2:8" hidden="1">
      <c r="B5716" s="33"/>
      <c r="C5716" s="31"/>
      <c r="D5716" s="31"/>
      <c r="E5716" s="31"/>
      <c r="F5716" s="691"/>
      <c r="G5716" s="31"/>
      <c r="H5716" s="31"/>
    </row>
    <row r="5717" spans="2:8" hidden="1">
      <c r="B5717" s="33"/>
      <c r="C5717" s="31"/>
      <c r="D5717" s="31"/>
      <c r="E5717" s="31"/>
      <c r="F5717" s="691"/>
      <c r="G5717" s="31"/>
      <c r="H5717" s="31"/>
    </row>
    <row r="5718" spans="2:8" hidden="1">
      <c r="B5718" s="33"/>
      <c r="C5718" s="31"/>
      <c r="D5718" s="31"/>
      <c r="E5718" s="31"/>
      <c r="F5718" s="691"/>
      <c r="G5718" s="31"/>
      <c r="H5718" s="31"/>
    </row>
    <row r="5719" spans="2:8" hidden="1">
      <c r="B5719" s="33"/>
      <c r="C5719" s="31"/>
      <c r="D5719" s="31"/>
      <c r="E5719" s="31"/>
      <c r="F5719" s="691"/>
      <c r="G5719" s="31"/>
      <c r="H5719" s="31"/>
    </row>
    <row r="5720" spans="2:8" hidden="1">
      <c r="B5720" s="33"/>
      <c r="C5720" s="31"/>
      <c r="D5720" s="31"/>
      <c r="E5720" s="31"/>
      <c r="F5720" s="691"/>
      <c r="G5720" s="31"/>
      <c r="H5720" s="31"/>
    </row>
    <row r="5721" spans="2:8" hidden="1">
      <c r="B5721" s="33"/>
      <c r="C5721" s="31"/>
      <c r="D5721" s="31"/>
      <c r="E5721" s="31"/>
      <c r="F5721" s="691"/>
      <c r="G5721" s="31"/>
      <c r="H5721" s="31"/>
    </row>
    <row r="5722" spans="2:8" hidden="1">
      <c r="B5722" s="33"/>
      <c r="C5722" s="31"/>
      <c r="D5722" s="31"/>
      <c r="E5722" s="31"/>
      <c r="F5722" s="691"/>
      <c r="G5722" s="31"/>
      <c r="H5722" s="31"/>
    </row>
    <row r="5723" spans="2:8" hidden="1">
      <c r="B5723" s="33"/>
      <c r="C5723" s="31"/>
      <c r="D5723" s="31"/>
      <c r="E5723" s="31"/>
      <c r="F5723" s="691"/>
      <c r="G5723" s="31"/>
      <c r="H5723" s="31"/>
    </row>
    <row r="5724" spans="2:8" hidden="1">
      <c r="B5724" s="33"/>
      <c r="C5724" s="31"/>
      <c r="D5724" s="31"/>
      <c r="E5724" s="31"/>
      <c r="F5724" s="691"/>
      <c r="G5724" s="31"/>
      <c r="H5724" s="31"/>
    </row>
    <row r="5725" spans="2:8" hidden="1">
      <c r="B5725" s="33"/>
      <c r="C5725" s="31"/>
      <c r="D5725" s="31"/>
      <c r="E5725" s="31"/>
      <c r="F5725" s="691"/>
      <c r="G5725" s="31"/>
      <c r="H5725" s="31"/>
    </row>
    <row r="5726" spans="2:8" hidden="1">
      <c r="B5726" s="33"/>
      <c r="C5726" s="31"/>
      <c r="D5726" s="31"/>
      <c r="E5726" s="31"/>
      <c r="F5726" s="691"/>
      <c r="G5726" s="31"/>
      <c r="H5726" s="31"/>
    </row>
    <row r="5727" spans="2:8" hidden="1">
      <c r="B5727" s="33"/>
      <c r="C5727" s="31"/>
      <c r="D5727" s="31"/>
      <c r="E5727" s="31"/>
      <c r="F5727" s="691"/>
      <c r="G5727" s="31"/>
      <c r="H5727" s="31"/>
    </row>
    <row r="5728" spans="2:8" hidden="1">
      <c r="B5728" s="33"/>
      <c r="C5728" s="31"/>
      <c r="D5728" s="31"/>
      <c r="E5728" s="31"/>
      <c r="F5728" s="31"/>
      <c r="G5728" s="31"/>
      <c r="H5728" s="31"/>
    </row>
    <row r="5729" spans="2:8" hidden="1">
      <c r="B5729" s="33"/>
      <c r="C5729" s="31"/>
      <c r="D5729" s="31"/>
      <c r="E5729" s="31"/>
      <c r="F5729" s="31"/>
      <c r="G5729" s="31"/>
      <c r="H5729" s="31"/>
    </row>
    <row r="5730" spans="2:8" hidden="1">
      <c r="B5730" s="33"/>
      <c r="C5730" s="31"/>
      <c r="D5730" s="31"/>
      <c r="E5730" s="31"/>
      <c r="F5730" s="31"/>
      <c r="G5730" s="31"/>
      <c r="H5730" s="31"/>
    </row>
    <row r="5731" spans="2:8" hidden="1">
      <c r="B5731" s="33"/>
      <c r="C5731" s="31"/>
      <c r="D5731" s="31"/>
      <c r="E5731" s="31"/>
      <c r="F5731" s="691"/>
      <c r="G5731" s="31"/>
      <c r="H5731" s="31"/>
    </row>
    <row r="5732" spans="2:8" hidden="1">
      <c r="B5732" s="33"/>
      <c r="C5732" s="31"/>
      <c r="D5732" s="31"/>
      <c r="E5732" s="31"/>
      <c r="F5732" s="31"/>
      <c r="G5732" s="31"/>
      <c r="H5732" s="31"/>
    </row>
    <row r="5733" spans="2:8" hidden="1">
      <c r="B5733" s="33"/>
      <c r="C5733" s="31"/>
      <c r="D5733" s="31"/>
      <c r="E5733" s="31"/>
      <c r="F5733" s="31"/>
      <c r="G5733" s="31"/>
      <c r="H5733" s="31"/>
    </row>
    <row r="5734" spans="2:8" hidden="1">
      <c r="B5734" s="33"/>
      <c r="C5734" s="31"/>
      <c r="D5734" s="31"/>
      <c r="E5734" s="31"/>
      <c r="F5734" s="31"/>
      <c r="G5734" s="31"/>
      <c r="H5734" s="31"/>
    </row>
    <row r="5735" spans="2:8" hidden="1">
      <c r="B5735" s="33"/>
      <c r="C5735" s="31"/>
      <c r="D5735" s="31"/>
      <c r="E5735" s="31"/>
      <c r="F5735" s="31"/>
      <c r="G5735" s="31"/>
      <c r="H5735" s="31"/>
    </row>
    <row r="5736" spans="2:8" hidden="1">
      <c r="B5736" s="33"/>
      <c r="C5736" s="31"/>
      <c r="D5736" s="31"/>
      <c r="E5736" s="31"/>
      <c r="F5736" s="31"/>
      <c r="G5736" s="31"/>
      <c r="H5736" s="31"/>
    </row>
    <row r="5737" spans="2:8" hidden="1">
      <c r="B5737" s="33"/>
      <c r="C5737" s="31"/>
      <c r="D5737" s="31"/>
      <c r="E5737" s="31"/>
      <c r="F5737" s="31"/>
      <c r="G5737" s="31"/>
      <c r="H5737" s="31"/>
    </row>
    <row r="5738" spans="2:8" hidden="1">
      <c r="B5738" s="33"/>
      <c r="C5738" s="31"/>
      <c r="D5738" s="31"/>
      <c r="E5738" s="31"/>
      <c r="F5738" s="31"/>
      <c r="G5738" s="31"/>
      <c r="H5738" s="31"/>
    </row>
    <row r="5739" spans="2:8" hidden="1">
      <c r="B5739" s="33"/>
      <c r="C5739" s="31"/>
      <c r="D5739" s="31"/>
      <c r="E5739" s="31"/>
      <c r="F5739" s="33"/>
      <c r="G5739" s="31"/>
      <c r="H5739" s="31"/>
    </row>
    <row r="5740" spans="2:8" hidden="1">
      <c r="B5740" s="33"/>
      <c r="C5740" s="31"/>
      <c r="D5740" s="33"/>
      <c r="E5740" s="33"/>
      <c r="F5740" s="33"/>
      <c r="G5740" s="33"/>
      <c r="H5740" s="31"/>
    </row>
    <row r="5741" spans="2:8" hidden="1">
      <c r="B5741" s="33"/>
      <c r="C5741" s="31"/>
      <c r="D5741" s="33"/>
      <c r="E5741" s="33"/>
      <c r="F5741" s="33"/>
      <c r="G5741" s="33"/>
      <c r="H5741" s="31"/>
    </row>
    <row r="5742" spans="2:8" hidden="1">
      <c r="B5742" s="33"/>
      <c r="C5742" s="31"/>
      <c r="D5742" s="33"/>
      <c r="E5742" s="33"/>
      <c r="F5742" s="33"/>
      <c r="G5742" s="33"/>
      <c r="H5742" s="31"/>
    </row>
    <row r="5743" spans="2:8" hidden="1">
      <c r="B5743" s="33"/>
      <c r="C5743" s="31"/>
      <c r="D5743" s="33"/>
      <c r="E5743" s="33"/>
      <c r="F5743" s="33"/>
      <c r="G5743" s="33"/>
      <c r="H5743" s="31"/>
    </row>
    <row r="5744" spans="2:8" hidden="1">
      <c r="B5744" s="33"/>
      <c r="C5744" s="31"/>
      <c r="D5744" s="33"/>
      <c r="E5744" s="33"/>
      <c r="F5744" s="33"/>
      <c r="G5744" s="33"/>
      <c r="H5744" s="31"/>
    </row>
    <row r="5745" spans="2:8" hidden="1">
      <c r="B5745" s="33"/>
      <c r="C5745" s="31"/>
      <c r="D5745" s="33"/>
      <c r="E5745" s="33"/>
      <c r="F5745" s="33"/>
      <c r="G5745" s="33"/>
      <c r="H5745" s="31"/>
    </row>
    <row r="5746" spans="2:8" hidden="1">
      <c r="B5746" s="33"/>
      <c r="C5746" s="33"/>
      <c r="D5746" s="33"/>
      <c r="E5746" s="33"/>
      <c r="F5746" s="33"/>
      <c r="G5746" s="33"/>
      <c r="H5746" s="31"/>
    </row>
    <row r="5747" spans="2:8" hidden="1">
      <c r="B5747" s="33"/>
      <c r="C5747" s="31"/>
      <c r="D5747" s="31"/>
      <c r="E5747" s="31"/>
      <c r="F5747" s="31"/>
      <c r="G5747" s="31"/>
      <c r="H5747" s="31"/>
    </row>
    <row r="5748" spans="2:8" hidden="1">
      <c r="B5748" s="33"/>
      <c r="C5748" s="31"/>
      <c r="D5748" s="31"/>
      <c r="E5748" s="31"/>
      <c r="F5748" s="31"/>
      <c r="G5748" s="31"/>
      <c r="H5748" s="31"/>
    </row>
    <row r="5749" spans="2:8" hidden="1">
      <c r="B5749" s="33"/>
      <c r="C5749" s="31"/>
      <c r="D5749" s="31"/>
      <c r="E5749" s="31"/>
      <c r="F5749" s="31"/>
      <c r="G5749" s="31"/>
      <c r="H5749" s="31"/>
    </row>
    <row r="5750" spans="2:8" hidden="1">
      <c r="B5750" s="33"/>
      <c r="C5750" s="31"/>
      <c r="D5750" s="31"/>
      <c r="E5750" s="31"/>
      <c r="F5750" s="31"/>
      <c r="G5750" s="31"/>
      <c r="H5750" s="31"/>
    </row>
    <row r="5751" spans="2:8" hidden="1">
      <c r="B5751" s="33"/>
      <c r="C5751" s="31"/>
      <c r="D5751" s="31"/>
      <c r="E5751" s="31"/>
      <c r="F5751" s="31"/>
      <c r="G5751" s="31"/>
      <c r="H5751" s="31"/>
    </row>
    <row r="5752" spans="2:8" hidden="1">
      <c r="B5752" s="33"/>
      <c r="C5752" s="31"/>
      <c r="D5752" s="31"/>
      <c r="E5752" s="31"/>
      <c r="F5752" s="31"/>
      <c r="G5752" s="31"/>
      <c r="H5752" s="31"/>
    </row>
    <row r="5753" spans="2:8" hidden="1">
      <c r="B5753" s="33"/>
      <c r="C5753" s="31"/>
      <c r="D5753" s="31"/>
      <c r="E5753" s="31"/>
      <c r="F5753" s="31"/>
      <c r="G5753" s="31"/>
      <c r="H5753" s="31"/>
    </row>
    <row r="5754" spans="2:8" hidden="1">
      <c r="B5754" s="33"/>
      <c r="C5754" s="31"/>
      <c r="D5754" s="31"/>
      <c r="E5754" s="31"/>
      <c r="F5754" s="31"/>
      <c r="G5754" s="31"/>
      <c r="H5754" s="31"/>
    </row>
    <row r="5755" spans="2:8" hidden="1">
      <c r="B5755" s="33"/>
      <c r="C5755" s="31"/>
      <c r="D5755" s="31"/>
      <c r="E5755" s="31"/>
      <c r="F5755" s="31"/>
      <c r="G5755" s="31"/>
      <c r="H5755" s="31"/>
    </row>
    <row r="5756" spans="2:8" hidden="1">
      <c r="B5756" s="33"/>
      <c r="C5756" s="31"/>
      <c r="D5756" s="31"/>
      <c r="E5756" s="31"/>
      <c r="F5756" s="31"/>
      <c r="G5756" s="31"/>
      <c r="H5756" s="31"/>
    </row>
    <row r="5757" spans="2:8" hidden="1">
      <c r="B5757" s="33"/>
      <c r="C5757" s="31"/>
      <c r="D5757" s="31"/>
      <c r="E5757" s="31"/>
      <c r="F5757" s="31"/>
      <c r="G5757" s="31"/>
      <c r="H5757" s="31"/>
    </row>
    <row r="5758" spans="2:8" hidden="1">
      <c r="B5758" s="33"/>
      <c r="C5758" s="31"/>
      <c r="D5758" s="31"/>
      <c r="E5758" s="31"/>
      <c r="F5758" s="31"/>
      <c r="G5758" s="31"/>
      <c r="H5758" s="31"/>
    </row>
    <row r="5759" spans="2:8" hidden="1">
      <c r="B5759" s="33"/>
      <c r="C5759" s="31"/>
      <c r="D5759" s="75"/>
      <c r="E5759" s="31"/>
      <c r="F5759" s="405"/>
      <c r="G5759" s="75"/>
      <c r="H5759" s="31"/>
    </row>
    <row r="5760" spans="2:8" hidden="1">
      <c r="B5760" s="33"/>
      <c r="C5760" s="31"/>
      <c r="D5760" s="31"/>
      <c r="E5760" s="31"/>
      <c r="F5760" s="691"/>
      <c r="G5760" s="732"/>
      <c r="H5760" s="31"/>
    </row>
    <row r="5761" spans="2:8" hidden="1">
      <c r="B5761" s="33"/>
      <c r="C5761" s="31"/>
      <c r="D5761" s="31"/>
      <c r="E5761" s="31"/>
      <c r="F5761" s="405"/>
      <c r="G5761" s="75"/>
      <c r="H5761" s="31"/>
    </row>
    <row r="5762" spans="2:8" hidden="1">
      <c r="B5762" s="33"/>
      <c r="C5762" s="31"/>
      <c r="D5762" s="75"/>
      <c r="E5762" s="31"/>
      <c r="F5762" s="405"/>
      <c r="G5762" s="75"/>
      <c r="H5762" s="31"/>
    </row>
    <row r="5763" spans="2:8" hidden="1">
      <c r="B5763" s="33"/>
      <c r="C5763" s="31"/>
      <c r="D5763" s="31"/>
      <c r="E5763" s="31"/>
      <c r="F5763" s="691"/>
      <c r="G5763" s="31"/>
      <c r="H5763" s="31"/>
    </row>
    <row r="5764" spans="2:8" hidden="1">
      <c r="B5764" s="33"/>
      <c r="C5764" s="31"/>
      <c r="D5764" s="31"/>
      <c r="E5764" s="31"/>
      <c r="F5764" s="405"/>
      <c r="G5764" s="75"/>
      <c r="H5764" s="31"/>
    </row>
    <row r="5765" spans="2:8" hidden="1">
      <c r="B5765" s="33"/>
      <c r="C5765" s="31"/>
      <c r="D5765" s="31"/>
      <c r="E5765" s="31"/>
      <c r="F5765" s="31"/>
      <c r="G5765" s="31"/>
      <c r="H5765" s="31"/>
    </row>
    <row r="5766" spans="2:8" hidden="1">
      <c r="B5766" s="33"/>
      <c r="C5766" s="200"/>
      <c r="D5766" s="31"/>
      <c r="E5766" s="200"/>
      <c r="F5766" s="769"/>
      <c r="G5766" s="31"/>
      <c r="H5766" s="31"/>
    </row>
    <row r="5767" spans="2:8" hidden="1">
      <c r="B5767" s="76"/>
      <c r="C5767" s="31"/>
      <c r="D5767" s="31"/>
      <c r="E5767" s="31"/>
      <c r="F5767" s="75"/>
      <c r="G5767" s="31"/>
      <c r="H5767" s="31"/>
    </row>
    <row r="5768" spans="2:8" hidden="1">
      <c r="B5768" s="33"/>
      <c r="C5768" s="33"/>
      <c r="D5768" s="33"/>
      <c r="E5768" s="33"/>
      <c r="F5768" s="33"/>
      <c r="G5768" s="33"/>
      <c r="H5768" s="31"/>
    </row>
    <row r="5769" spans="2:8" hidden="1">
      <c r="B5769" s="33"/>
      <c r="C5769" s="31"/>
      <c r="D5769" s="33"/>
      <c r="E5769" s="33"/>
      <c r="F5769" s="33"/>
      <c r="G5769" s="33"/>
      <c r="H5769" s="31"/>
    </row>
    <row r="5770" spans="2:8" hidden="1">
      <c r="B5770" s="405"/>
      <c r="C5770" s="76"/>
      <c r="D5770" s="731"/>
      <c r="E5770" s="75"/>
      <c r="F5770" s="75"/>
      <c r="G5770" s="75"/>
      <c r="H5770" s="31"/>
    </row>
    <row r="5771" spans="2:8" hidden="1">
      <c r="B5771" s="405"/>
      <c r="C5771" s="76"/>
      <c r="D5771" s="731"/>
      <c r="E5771" s="75"/>
      <c r="F5771" s="75"/>
      <c r="G5771" s="75"/>
      <c r="H5771" s="31"/>
    </row>
    <row r="5772" spans="2:8" hidden="1">
      <c r="B5772" s="405"/>
      <c r="C5772" s="76"/>
      <c r="D5772" s="731"/>
      <c r="E5772" s="75"/>
      <c r="F5772" s="75"/>
      <c r="G5772" s="75"/>
      <c r="H5772" s="31"/>
    </row>
    <row r="5773" spans="2:8" hidden="1">
      <c r="B5773" s="405"/>
      <c r="C5773" s="76"/>
      <c r="D5773" s="731"/>
      <c r="E5773" s="75"/>
      <c r="F5773" s="75"/>
      <c r="G5773" s="75"/>
      <c r="H5773" s="31"/>
    </row>
    <row r="5774" spans="2:8" hidden="1">
      <c r="B5774" s="405"/>
      <c r="C5774" s="76"/>
      <c r="D5774" s="731"/>
      <c r="E5774" s="75"/>
      <c r="F5774" s="75"/>
      <c r="G5774" s="75"/>
      <c r="H5774" s="31"/>
    </row>
    <row r="5775" spans="2:8" hidden="1">
      <c r="B5775" s="405"/>
      <c r="C5775" s="76"/>
      <c r="D5775" s="731"/>
      <c r="E5775" s="75"/>
      <c r="F5775" s="75"/>
      <c r="G5775" s="75"/>
      <c r="H5775" s="31"/>
    </row>
    <row r="5776" spans="2:8" hidden="1">
      <c r="B5776" s="405"/>
      <c r="C5776" s="76"/>
      <c r="D5776" s="731"/>
      <c r="E5776" s="75"/>
      <c r="F5776" s="75"/>
      <c r="G5776" s="75"/>
      <c r="H5776" s="31"/>
    </row>
    <row r="5777" spans="2:8" hidden="1">
      <c r="B5777" s="405"/>
      <c r="C5777" s="76"/>
      <c r="D5777" s="731"/>
      <c r="E5777" s="75"/>
      <c r="F5777" s="75"/>
      <c r="G5777" s="75"/>
      <c r="H5777" s="31"/>
    </row>
    <row r="5778" spans="2:8" hidden="1">
      <c r="B5778" s="405"/>
      <c r="C5778" s="76"/>
      <c r="D5778" s="731"/>
      <c r="E5778" s="75"/>
      <c r="F5778" s="75"/>
      <c r="G5778" s="75"/>
      <c r="H5778" s="31"/>
    </row>
    <row r="5779" spans="2:8" hidden="1">
      <c r="B5779" s="30"/>
      <c r="C5779" s="76"/>
      <c r="D5779" s="731"/>
      <c r="E5779" s="75"/>
      <c r="F5779" s="75"/>
      <c r="G5779" s="75"/>
      <c r="H5779" s="31"/>
    </row>
    <row r="5780" spans="2:8" hidden="1">
      <c r="B5780" s="30"/>
      <c r="C5780" s="76"/>
      <c r="D5780" s="731"/>
      <c r="E5780" s="75"/>
      <c r="F5780" s="75"/>
      <c r="G5780" s="75"/>
      <c r="H5780" s="31"/>
    </row>
    <row r="5781" spans="2:8" hidden="1">
      <c r="B5781" s="30"/>
      <c r="C5781" s="76"/>
      <c r="D5781" s="731"/>
      <c r="E5781" s="75"/>
      <c r="F5781" s="75"/>
      <c r="G5781" s="75"/>
      <c r="H5781" s="31"/>
    </row>
    <row r="5782" spans="2:8" hidden="1">
      <c r="B5782" s="30"/>
      <c r="C5782" s="76"/>
      <c r="D5782" s="731"/>
      <c r="E5782" s="75"/>
      <c r="F5782" s="75"/>
      <c r="G5782" s="75"/>
      <c r="H5782" s="31"/>
    </row>
    <row r="5783" spans="2:8" hidden="1">
      <c r="B5783" s="30"/>
      <c r="C5783" s="76"/>
      <c r="D5783" s="731"/>
      <c r="E5783" s="75"/>
      <c r="F5783" s="75"/>
      <c r="G5783" s="75"/>
      <c r="H5783" s="31"/>
    </row>
    <row r="5784" spans="2:8" hidden="1">
      <c r="B5784" s="30"/>
      <c r="C5784" s="76"/>
      <c r="D5784" s="731"/>
      <c r="E5784" s="75"/>
      <c r="F5784" s="75"/>
      <c r="G5784" s="75"/>
      <c r="H5784" s="31"/>
    </row>
    <row r="5785" spans="2:8" hidden="1">
      <c r="B5785" s="30"/>
      <c r="C5785" s="76"/>
      <c r="D5785" s="731"/>
      <c r="E5785" s="75"/>
      <c r="F5785" s="75"/>
      <c r="G5785" s="75"/>
      <c r="H5785" s="31"/>
    </row>
    <row r="5786" spans="2:8" hidden="1">
      <c r="B5786" s="33"/>
      <c r="C5786" s="31"/>
      <c r="D5786" s="31"/>
      <c r="E5786" s="200"/>
      <c r="F5786" s="200"/>
      <c r="G5786" s="75"/>
      <c r="H5786" s="31"/>
    </row>
    <row r="5787" spans="2:8" hidden="1">
      <c r="B5787" s="33"/>
      <c r="C5787" s="31"/>
      <c r="D5787" s="31"/>
      <c r="E5787" s="198"/>
      <c r="F5787" s="200"/>
      <c r="G5787" s="75"/>
      <c r="H5787" s="31"/>
    </row>
    <row r="5788" spans="2:8" hidden="1">
      <c r="B5788" s="33"/>
      <c r="C5788" s="31"/>
      <c r="D5788" s="31"/>
      <c r="E5788" s="198"/>
      <c r="F5788" s="200"/>
      <c r="G5788" s="75"/>
      <c r="H5788" s="31"/>
    </row>
    <row r="5789" spans="2:8" hidden="1">
      <c r="B5789" s="33"/>
      <c r="C5789" s="31"/>
      <c r="D5789" s="31"/>
      <c r="E5789" s="198"/>
      <c r="F5789" s="200"/>
      <c r="G5789" s="75"/>
      <c r="H5789" s="31"/>
    </row>
    <row r="5790" spans="2:8" hidden="1">
      <c r="B5790" s="33"/>
      <c r="C5790" s="200"/>
      <c r="D5790" s="30"/>
      <c r="E5790" s="30"/>
      <c r="F5790" s="200"/>
      <c r="G5790" s="75"/>
      <c r="H5790" s="31"/>
    </row>
    <row r="5791" spans="2:8" hidden="1">
      <c r="B5791" s="33"/>
      <c r="C5791" s="31"/>
      <c r="D5791" s="31"/>
      <c r="E5791" s="31"/>
      <c r="F5791" s="31"/>
      <c r="G5791" s="31"/>
      <c r="H5791" s="31"/>
    </row>
    <row r="5792" spans="2:8" hidden="1">
      <c r="B5792" s="76"/>
      <c r="C5792" s="31"/>
      <c r="D5792" s="31"/>
      <c r="E5792" s="31"/>
      <c r="F5792" s="31"/>
      <c r="G5792" s="31"/>
      <c r="H5792" s="31"/>
    </row>
    <row r="5793" spans="2:8" hidden="1">
      <c r="B5793" s="33"/>
      <c r="C5793" s="33"/>
      <c r="D5793" s="33"/>
      <c r="E5793" s="33"/>
      <c r="F5793" s="33"/>
      <c r="G5793" s="33"/>
      <c r="H5793" s="31"/>
    </row>
    <row r="5794" spans="2:8" hidden="1">
      <c r="B5794" s="33"/>
      <c r="C5794" s="31"/>
      <c r="D5794" s="33"/>
      <c r="E5794" s="33"/>
      <c r="F5794" s="33"/>
      <c r="G5794" s="33"/>
      <c r="H5794" s="31"/>
    </row>
    <row r="5795" spans="2:8" hidden="1">
      <c r="B5795" s="405"/>
      <c r="C5795" s="76"/>
      <c r="D5795" s="731"/>
      <c r="E5795" s="75"/>
      <c r="F5795" s="75"/>
      <c r="G5795" s="75"/>
      <c r="H5795" s="31"/>
    </row>
    <row r="5796" spans="2:8" hidden="1">
      <c r="B5796" s="405"/>
      <c r="C5796" s="76"/>
      <c r="D5796" s="731"/>
      <c r="E5796" s="75"/>
      <c r="F5796" s="75"/>
      <c r="G5796" s="75"/>
      <c r="H5796" s="31"/>
    </row>
    <row r="5797" spans="2:8" hidden="1">
      <c r="B5797" s="405"/>
      <c r="C5797" s="76"/>
      <c r="D5797" s="731"/>
      <c r="E5797" s="75"/>
      <c r="F5797" s="75"/>
      <c r="G5797" s="75"/>
      <c r="H5797" s="31"/>
    </row>
    <row r="5798" spans="2:8" hidden="1">
      <c r="B5798" s="405"/>
      <c r="C5798" s="76"/>
      <c r="D5798" s="731"/>
      <c r="E5798" s="75"/>
      <c r="F5798" s="75"/>
      <c r="G5798" s="75"/>
      <c r="H5798" s="31"/>
    </row>
    <row r="5799" spans="2:8" hidden="1">
      <c r="B5799" s="405"/>
      <c r="C5799" s="76"/>
      <c r="D5799" s="731"/>
      <c r="E5799" s="75"/>
      <c r="F5799" s="75"/>
      <c r="G5799" s="75"/>
      <c r="H5799" s="31"/>
    </row>
    <row r="5800" spans="2:8" hidden="1">
      <c r="B5800" s="405"/>
      <c r="C5800" s="76"/>
      <c r="D5800" s="731"/>
      <c r="E5800" s="75"/>
      <c r="F5800" s="75"/>
      <c r="G5800" s="75"/>
      <c r="H5800" s="31"/>
    </row>
    <row r="5801" spans="2:8" hidden="1">
      <c r="B5801" s="405"/>
      <c r="C5801" s="76"/>
      <c r="D5801" s="731"/>
      <c r="E5801" s="75"/>
      <c r="F5801" s="75"/>
      <c r="G5801" s="75"/>
      <c r="H5801" s="31"/>
    </row>
    <row r="5802" spans="2:8" hidden="1">
      <c r="B5802" s="405"/>
      <c r="C5802" s="76"/>
      <c r="D5802" s="731"/>
      <c r="E5802" s="75"/>
      <c r="F5802" s="75"/>
      <c r="G5802" s="75"/>
      <c r="H5802" s="31"/>
    </row>
    <row r="5803" spans="2:8" hidden="1">
      <c r="B5803" s="405"/>
      <c r="C5803" s="76"/>
      <c r="D5803" s="731"/>
      <c r="E5803" s="75"/>
      <c r="F5803" s="75"/>
      <c r="G5803" s="75"/>
      <c r="H5803" s="31"/>
    </row>
    <row r="5804" spans="2:8" hidden="1">
      <c r="B5804" s="405"/>
      <c r="C5804" s="76"/>
      <c r="D5804" s="731"/>
      <c r="E5804" s="75"/>
      <c r="F5804" s="75"/>
      <c r="G5804" s="75"/>
      <c r="H5804" s="31"/>
    </row>
    <row r="5805" spans="2:8" hidden="1">
      <c r="B5805" s="405"/>
      <c r="C5805" s="76"/>
      <c r="D5805" s="731"/>
      <c r="E5805" s="75"/>
      <c r="F5805" s="75"/>
      <c r="G5805" s="75"/>
      <c r="H5805" s="31"/>
    </row>
    <row r="5806" spans="2:8" hidden="1">
      <c r="B5806" s="33"/>
      <c r="C5806" s="31"/>
      <c r="D5806" s="31"/>
      <c r="E5806" s="200"/>
      <c r="F5806" s="200"/>
      <c r="G5806" s="75"/>
      <c r="H5806" s="31"/>
    </row>
    <row r="5807" spans="2:8" hidden="1">
      <c r="B5807" s="33"/>
      <c r="C5807" s="31"/>
      <c r="D5807" s="31"/>
      <c r="E5807" s="198"/>
      <c r="F5807" s="200"/>
      <c r="G5807" s="75"/>
      <c r="H5807" s="31"/>
    </row>
    <row r="5808" spans="2:8" hidden="1">
      <c r="B5808" s="33"/>
      <c r="C5808" s="31"/>
      <c r="D5808" s="31"/>
      <c r="E5808" s="198"/>
      <c r="F5808" s="200"/>
      <c r="G5808" s="75"/>
      <c r="H5808" s="31"/>
    </row>
    <row r="5809" spans="2:8" hidden="1">
      <c r="B5809" s="33"/>
      <c r="C5809" s="31"/>
      <c r="D5809" s="31"/>
      <c r="E5809" s="198"/>
      <c r="F5809" s="200"/>
      <c r="G5809" s="75"/>
      <c r="H5809" s="31"/>
    </row>
    <row r="5810" spans="2:8" hidden="1">
      <c r="B5810" s="33"/>
      <c r="C5810" s="30"/>
      <c r="D5810" s="30"/>
      <c r="E5810" s="30"/>
      <c r="F5810" s="200"/>
      <c r="G5810" s="75"/>
      <c r="H5810" s="31"/>
    </row>
    <row r="5811" spans="2:8" hidden="1">
      <c r="B5811" s="33"/>
      <c r="C5811" s="31"/>
      <c r="D5811" s="31"/>
      <c r="E5811" s="31"/>
      <c r="F5811" s="31"/>
      <c r="G5811" s="31"/>
      <c r="H5811" s="31"/>
    </row>
    <row r="5812" spans="2:8" hidden="1">
      <c r="B5812" s="76"/>
      <c r="C5812" s="31"/>
      <c r="D5812" s="31"/>
      <c r="E5812" s="31"/>
      <c r="F5812" s="31"/>
      <c r="G5812" s="31"/>
      <c r="H5812" s="31"/>
    </row>
    <row r="5813" spans="2:8" hidden="1">
      <c r="B5813" s="33"/>
      <c r="C5813" s="33"/>
      <c r="D5813" s="33"/>
      <c r="E5813" s="33"/>
      <c r="F5813" s="33"/>
      <c r="G5813" s="33"/>
      <c r="H5813" s="31"/>
    </row>
    <row r="5814" spans="2:8" hidden="1">
      <c r="B5814" s="33"/>
      <c r="C5814" s="31"/>
      <c r="D5814" s="33"/>
      <c r="E5814" s="33"/>
      <c r="F5814" s="33"/>
      <c r="G5814" s="33"/>
      <c r="H5814" s="31"/>
    </row>
    <row r="5815" spans="2:8" hidden="1">
      <c r="B5815" s="405"/>
      <c r="C5815" s="76"/>
      <c r="D5815" s="731"/>
      <c r="E5815" s="75"/>
      <c r="F5815" s="75"/>
      <c r="G5815" s="75"/>
      <c r="H5815" s="31"/>
    </row>
    <row r="5816" spans="2:8" hidden="1">
      <c r="B5816" s="405"/>
      <c r="C5816" s="76"/>
      <c r="D5816" s="731"/>
      <c r="E5816" s="75"/>
      <c r="F5816" s="75"/>
      <c r="G5816" s="75"/>
      <c r="H5816" s="31"/>
    </row>
    <row r="5817" spans="2:8" hidden="1">
      <c r="B5817" s="405"/>
      <c r="C5817" s="76"/>
      <c r="D5817" s="731"/>
      <c r="E5817" s="75"/>
      <c r="F5817" s="75"/>
      <c r="G5817" s="75"/>
      <c r="H5817" s="31"/>
    </row>
    <row r="5818" spans="2:8" hidden="1">
      <c r="B5818" s="405"/>
      <c r="C5818" s="76"/>
      <c r="D5818" s="731"/>
      <c r="E5818" s="75"/>
      <c r="F5818" s="75"/>
      <c r="G5818" s="75"/>
      <c r="H5818" s="31"/>
    </row>
    <row r="5819" spans="2:8" hidden="1">
      <c r="B5819" s="405"/>
      <c r="C5819" s="76"/>
      <c r="D5819" s="731"/>
      <c r="E5819" s="75"/>
      <c r="F5819" s="75"/>
      <c r="G5819" s="75"/>
      <c r="H5819" s="31"/>
    </row>
    <row r="5820" spans="2:8" hidden="1">
      <c r="B5820" s="405"/>
      <c r="C5820" s="76"/>
      <c r="D5820" s="731"/>
      <c r="E5820" s="75"/>
      <c r="F5820" s="75"/>
      <c r="G5820" s="75"/>
      <c r="H5820" s="31"/>
    </row>
    <row r="5821" spans="2:8" hidden="1">
      <c r="B5821" s="405"/>
      <c r="C5821" s="76"/>
      <c r="D5821" s="731"/>
      <c r="E5821" s="75"/>
      <c r="F5821" s="75"/>
      <c r="G5821" s="75"/>
      <c r="H5821" s="31"/>
    </row>
    <row r="5822" spans="2:8" hidden="1">
      <c r="B5822" s="405"/>
      <c r="C5822" s="76"/>
      <c r="D5822" s="731"/>
      <c r="E5822" s="75"/>
      <c r="F5822" s="75"/>
      <c r="G5822" s="75"/>
      <c r="H5822" s="31"/>
    </row>
    <row r="5823" spans="2:8" hidden="1">
      <c r="B5823" s="405"/>
      <c r="C5823" s="76"/>
      <c r="D5823" s="731"/>
      <c r="E5823" s="75"/>
      <c r="F5823" s="75"/>
      <c r="G5823" s="75"/>
      <c r="H5823" s="31"/>
    </row>
    <row r="5824" spans="2:8" hidden="1">
      <c r="B5824" s="30"/>
      <c r="C5824" s="76"/>
      <c r="D5824" s="731"/>
      <c r="E5824" s="75"/>
      <c r="F5824" s="75"/>
      <c r="G5824" s="75"/>
      <c r="H5824" s="31"/>
    </row>
    <row r="5825" spans="2:8" hidden="1">
      <c r="B5825" s="30"/>
      <c r="C5825" s="76"/>
      <c r="D5825" s="731"/>
      <c r="E5825" s="75"/>
      <c r="F5825" s="75"/>
      <c r="G5825" s="75"/>
      <c r="H5825" s="31"/>
    </row>
    <row r="5826" spans="2:8" hidden="1">
      <c r="B5826" s="30"/>
      <c r="C5826" s="76"/>
      <c r="D5826" s="731"/>
      <c r="E5826" s="75"/>
      <c r="F5826" s="75"/>
      <c r="G5826" s="75"/>
      <c r="H5826" s="31"/>
    </row>
    <row r="5827" spans="2:8" hidden="1">
      <c r="B5827" s="33"/>
      <c r="C5827" s="31"/>
      <c r="D5827" s="31"/>
      <c r="E5827" s="200"/>
      <c r="F5827" s="200"/>
      <c r="G5827" s="75"/>
      <c r="H5827" s="31"/>
    </row>
    <row r="5828" spans="2:8" hidden="1">
      <c r="B5828" s="33"/>
      <c r="C5828" s="31"/>
      <c r="D5828" s="31"/>
      <c r="E5828" s="198"/>
      <c r="F5828" s="200"/>
      <c r="G5828" s="75"/>
      <c r="H5828" s="31"/>
    </row>
    <row r="5829" spans="2:8" hidden="1">
      <c r="B5829" s="33"/>
      <c r="C5829" s="31"/>
      <c r="D5829" s="31"/>
      <c r="E5829" s="198"/>
      <c r="F5829" s="200"/>
      <c r="G5829" s="75"/>
      <c r="H5829" s="31"/>
    </row>
    <row r="5830" spans="2:8" hidden="1">
      <c r="B5830" s="33"/>
      <c r="C5830" s="31"/>
      <c r="D5830" s="31"/>
      <c r="E5830" s="198"/>
      <c r="F5830" s="200"/>
      <c r="G5830" s="75"/>
      <c r="H5830" s="31"/>
    </row>
    <row r="5831" spans="2:8" hidden="1">
      <c r="B5831" s="33"/>
      <c r="C5831" s="31"/>
      <c r="D5831" s="31"/>
      <c r="E5831" s="198"/>
      <c r="F5831" s="200"/>
      <c r="G5831" s="75"/>
      <c r="H5831" s="31"/>
    </row>
    <row r="5832" spans="2:8" hidden="1">
      <c r="B5832" s="33"/>
      <c r="C5832" s="31"/>
      <c r="D5832" s="31"/>
      <c r="E5832" s="198"/>
      <c r="F5832" s="200"/>
      <c r="G5832" s="75"/>
      <c r="H5832" s="31"/>
    </row>
    <row r="5833" spans="2:8" hidden="1">
      <c r="B5833" s="33"/>
      <c r="C5833" s="200"/>
      <c r="D5833" s="30"/>
      <c r="E5833" s="30"/>
      <c r="F5833" s="200"/>
      <c r="G5833" s="75"/>
      <c r="H5833" s="31"/>
    </row>
    <row r="5834" spans="2:8" hidden="1">
      <c r="B5834" s="33"/>
      <c r="C5834" s="31"/>
      <c r="D5834" s="31"/>
      <c r="E5834" s="31"/>
      <c r="F5834" s="31"/>
      <c r="G5834" s="31"/>
      <c r="H5834" s="31"/>
    </row>
    <row r="5835" spans="2:8" hidden="1">
      <c r="B5835" s="33"/>
      <c r="C5835" s="31"/>
      <c r="D5835" s="31"/>
      <c r="E5835" s="31"/>
      <c r="F5835" s="31"/>
      <c r="G5835" s="31"/>
      <c r="H5835" s="31"/>
    </row>
    <row r="5836" spans="2:8" hidden="1">
      <c r="B5836" s="33"/>
      <c r="C5836" s="31"/>
      <c r="D5836" s="31"/>
      <c r="E5836" s="31"/>
      <c r="F5836" s="200"/>
      <c r="G5836" s="75"/>
      <c r="H5836" s="31"/>
    </row>
    <row r="5837" spans="2:8" hidden="1">
      <c r="B5837" s="33"/>
      <c r="C5837" s="31"/>
      <c r="D5837" s="31"/>
      <c r="E5837" s="31"/>
      <c r="F5837" s="200"/>
      <c r="G5837" s="75"/>
      <c r="H5837" s="31"/>
    </row>
    <row r="5838" spans="2:8" hidden="1">
      <c r="B5838" s="33"/>
      <c r="C5838" s="31"/>
      <c r="D5838" s="31"/>
      <c r="E5838" s="31"/>
      <c r="F5838" s="200"/>
      <c r="G5838" s="75"/>
      <c r="H5838" s="31"/>
    </row>
    <row r="5839" spans="2:8" hidden="1">
      <c r="B5839" s="33"/>
      <c r="C5839" s="31"/>
      <c r="D5839" s="31"/>
      <c r="E5839" s="200"/>
      <c r="F5839" s="200"/>
      <c r="G5839" s="75"/>
      <c r="H5839" s="31"/>
    </row>
    <row r="5840" spans="2:8" hidden="1">
      <c r="B5840" s="33"/>
      <c r="C5840" s="31"/>
      <c r="D5840" s="31"/>
      <c r="E5840" s="301"/>
      <c r="F5840" s="200"/>
      <c r="G5840" s="75"/>
      <c r="H5840" s="31"/>
    </row>
    <row r="5841" spans="2:8" hidden="1">
      <c r="B5841" s="33"/>
      <c r="C5841" s="31"/>
      <c r="D5841" s="31"/>
      <c r="E5841" s="767"/>
      <c r="F5841" s="200"/>
      <c r="G5841" s="75"/>
      <c r="H5841" s="31"/>
    </row>
    <row r="5842" spans="2:8" hidden="1">
      <c r="B5842" s="33"/>
      <c r="C5842" s="31"/>
      <c r="D5842" s="31"/>
      <c r="E5842" s="767"/>
      <c r="F5842" s="200"/>
      <c r="G5842" s="75"/>
      <c r="H5842" s="31"/>
    </row>
    <row r="5843" spans="2:8" hidden="1">
      <c r="B5843" s="33"/>
      <c r="C5843" s="31"/>
      <c r="D5843" s="31"/>
      <c r="E5843" s="767"/>
      <c r="F5843" s="200"/>
      <c r="G5843" s="75"/>
      <c r="H5843" s="31"/>
    </row>
    <row r="5844" spans="2:8" hidden="1">
      <c r="B5844" s="33"/>
      <c r="C5844" s="31"/>
      <c r="D5844" s="31"/>
      <c r="E5844" s="767"/>
      <c r="F5844" s="200"/>
      <c r="G5844" s="75"/>
      <c r="H5844" s="31"/>
    </row>
    <row r="5845" spans="2:8" hidden="1">
      <c r="B5845" s="33"/>
      <c r="C5845" s="31"/>
      <c r="D5845" s="75"/>
      <c r="E5845" s="767"/>
      <c r="F5845" s="200"/>
      <c r="G5845" s="75"/>
      <c r="H5845" s="31"/>
    </row>
    <row r="5846" spans="2:8" hidden="1">
      <c r="B5846" s="33"/>
      <c r="C5846" s="31"/>
      <c r="D5846" s="31"/>
      <c r="E5846" s="767"/>
      <c r="F5846" s="200"/>
      <c r="G5846" s="75"/>
      <c r="H5846" s="31"/>
    </row>
    <row r="5847" spans="2:8" hidden="1">
      <c r="B5847" s="33"/>
      <c r="C5847" s="31"/>
      <c r="D5847" s="31"/>
      <c r="E5847" s="200"/>
      <c r="F5847" s="200"/>
      <c r="G5847" s="75"/>
      <c r="H5847" s="31"/>
    </row>
    <row r="5848" spans="2:8" hidden="1">
      <c r="B5848" s="33"/>
      <c r="C5848" s="31"/>
      <c r="D5848" s="31"/>
      <c r="E5848" s="200"/>
      <c r="F5848" s="200"/>
      <c r="G5848" s="31"/>
      <c r="H5848" s="31"/>
    </row>
    <row r="5849" spans="2:8" hidden="1">
      <c r="B5849" s="33"/>
      <c r="C5849" s="31"/>
      <c r="D5849" s="75"/>
      <c r="E5849" s="76"/>
      <c r="F5849" s="200"/>
      <c r="G5849" s="75"/>
      <c r="H5849" s="31"/>
    </row>
    <row r="5850" spans="2:8" hidden="1">
      <c r="B5850" s="33"/>
      <c r="C5850" s="31"/>
      <c r="D5850" s="198"/>
      <c r="E5850" s="198"/>
      <c r="F5850" s="200"/>
      <c r="G5850" s="75"/>
      <c r="H5850" s="31"/>
    </row>
    <row r="5851" spans="2:8" hidden="1">
      <c r="B5851" s="33"/>
      <c r="C5851" s="31"/>
      <c r="D5851" s="768"/>
      <c r="E5851" s="31"/>
      <c r="F5851" s="200"/>
      <c r="G5851" s="75"/>
      <c r="H5851" s="31"/>
    </row>
    <row r="5852" spans="2:8" hidden="1">
      <c r="B5852" s="33"/>
      <c r="C5852" s="31"/>
      <c r="D5852" s="200"/>
      <c r="E5852" s="31"/>
      <c r="F5852" s="200"/>
      <c r="G5852" s="75"/>
      <c r="H5852" s="31"/>
    </row>
    <row r="5853" spans="2:8" hidden="1">
      <c r="B5853" s="33"/>
      <c r="C5853" s="31"/>
      <c r="D5853" s="31"/>
      <c r="E5853" s="31"/>
      <c r="F5853" s="31"/>
      <c r="G5853" s="31"/>
      <c r="H5853" s="31"/>
    </row>
    <row r="5854" spans="2:8" hidden="1">
      <c r="B5854" s="33"/>
      <c r="C5854" s="31"/>
      <c r="D5854" s="31"/>
      <c r="E5854" s="31"/>
      <c r="F5854" s="31"/>
      <c r="G5854" s="31"/>
      <c r="H5854" s="31"/>
    </row>
    <row r="5855" spans="2:8" hidden="1">
      <c r="B5855" s="33"/>
      <c r="C5855" s="31"/>
      <c r="D5855" s="33"/>
      <c r="E5855" s="31"/>
      <c r="F5855" s="200"/>
      <c r="G5855" s="76"/>
      <c r="H5855" s="31"/>
    </row>
    <row r="5856" spans="2:8" hidden="1">
      <c r="B5856" s="33"/>
      <c r="C5856" s="31"/>
      <c r="D5856" s="31"/>
      <c r="E5856" s="31"/>
      <c r="F5856" s="31"/>
      <c r="G5856" s="31"/>
      <c r="H5856" s="31"/>
    </row>
    <row r="5857" spans="2:8" hidden="1">
      <c r="B5857" s="33"/>
      <c r="C5857" s="31"/>
      <c r="D5857" s="31"/>
      <c r="E5857" s="31"/>
      <c r="F5857" s="31"/>
      <c r="G5857" s="31"/>
      <c r="H5857" s="31"/>
    </row>
    <row r="5858" spans="2:8" hidden="1">
      <c r="B5858" s="33"/>
      <c r="C5858" s="31"/>
      <c r="D5858" s="31"/>
      <c r="E5858" s="31"/>
      <c r="F5858" s="31"/>
      <c r="G5858" s="31"/>
      <c r="H5858" s="31"/>
    </row>
    <row r="5859" spans="2:8" hidden="1">
      <c r="B5859" s="33"/>
      <c r="C5859" s="31"/>
      <c r="D5859" s="31"/>
      <c r="E5859" s="31"/>
      <c r="F5859" s="31"/>
      <c r="G5859" s="31"/>
      <c r="H5859" s="31"/>
    </row>
    <row r="5860" spans="2:8" hidden="1">
      <c r="B5860" s="33"/>
      <c r="C5860" s="31"/>
      <c r="D5860" s="31"/>
      <c r="E5860" s="31"/>
      <c r="F5860" s="31"/>
      <c r="G5860" s="31"/>
      <c r="H5860" s="31"/>
    </row>
    <row r="5861" spans="2:8" hidden="1">
      <c r="B5861" s="33"/>
      <c r="C5861" s="31"/>
      <c r="D5861" s="31"/>
      <c r="E5861" s="31"/>
      <c r="F5861" s="31"/>
      <c r="G5861" s="31"/>
      <c r="H5861" s="31"/>
    </row>
    <row r="5862" spans="2:8" hidden="1">
      <c r="B5862" s="33"/>
      <c r="C5862" s="31"/>
      <c r="D5862" s="31"/>
      <c r="E5862" s="31"/>
      <c r="F5862" s="31"/>
      <c r="G5862" s="31"/>
      <c r="H5862" s="31"/>
    </row>
    <row r="5863" spans="2:8" hidden="1">
      <c r="B5863" s="33"/>
      <c r="C5863" s="31"/>
      <c r="D5863" s="31"/>
      <c r="E5863" s="31"/>
      <c r="F5863" s="31"/>
      <c r="G5863" s="31"/>
      <c r="H5863" s="31"/>
    </row>
    <row r="5864" spans="2:8" hidden="1">
      <c r="B5864" s="33"/>
      <c r="C5864" s="31"/>
      <c r="D5864" s="31"/>
      <c r="E5864" s="31"/>
      <c r="F5864" s="31"/>
      <c r="G5864" s="31"/>
      <c r="H5864" s="31"/>
    </row>
    <row r="5865" spans="2:8" hidden="1">
      <c r="B5865" s="33"/>
      <c r="C5865" s="31"/>
      <c r="D5865" s="31"/>
      <c r="E5865" s="31"/>
      <c r="F5865" s="31"/>
      <c r="G5865" s="31"/>
      <c r="H5865" s="31"/>
    </row>
    <row r="5866" spans="2:8" hidden="1">
      <c r="B5866" s="33"/>
      <c r="C5866" s="31"/>
      <c r="D5866" s="31"/>
      <c r="E5866" s="31"/>
      <c r="F5866" s="31"/>
      <c r="G5866" s="31"/>
      <c r="H5866" s="31"/>
    </row>
    <row r="5867" spans="2:8" hidden="1">
      <c r="B5867" s="33"/>
      <c r="C5867" s="31"/>
      <c r="D5867" s="31"/>
      <c r="E5867" s="31"/>
      <c r="F5867" s="31"/>
      <c r="G5867" s="31"/>
      <c r="H5867" s="31"/>
    </row>
    <row r="5868" spans="2:8" hidden="1">
      <c r="B5868" s="33"/>
      <c r="C5868" s="31"/>
      <c r="D5868" s="31"/>
      <c r="E5868" s="31"/>
      <c r="F5868" s="31"/>
      <c r="G5868" s="31"/>
      <c r="H5868" s="31"/>
    </row>
    <row r="5869" spans="2:8" hidden="1">
      <c r="B5869" s="33"/>
      <c r="C5869" s="31"/>
      <c r="D5869" s="31"/>
      <c r="E5869" s="31"/>
      <c r="F5869" s="31"/>
      <c r="G5869" s="31"/>
      <c r="H5869" s="31"/>
    </row>
    <row r="5870" spans="2:8" hidden="1">
      <c r="B5870" s="33"/>
      <c r="C5870" s="31"/>
      <c r="D5870" s="31"/>
      <c r="E5870" s="31"/>
      <c r="F5870" s="31"/>
      <c r="G5870" s="31"/>
      <c r="H5870" s="31"/>
    </row>
    <row r="5871" spans="2:8" hidden="1">
      <c r="B5871" s="33"/>
      <c r="C5871" s="31"/>
      <c r="D5871" s="31"/>
      <c r="E5871" s="31"/>
      <c r="F5871" s="31"/>
      <c r="G5871" s="31"/>
      <c r="H5871" s="31"/>
    </row>
    <row r="5872" spans="2:8" hidden="1">
      <c r="B5872" s="33"/>
      <c r="C5872" s="31"/>
      <c r="D5872" s="31"/>
      <c r="E5872" s="31"/>
      <c r="F5872" s="31"/>
      <c r="G5872" s="31"/>
      <c r="H5872" s="31"/>
    </row>
    <row r="5873" spans="2:8" hidden="1">
      <c r="B5873" s="33"/>
      <c r="C5873" s="31"/>
      <c r="D5873" s="31"/>
      <c r="E5873" s="31"/>
      <c r="F5873" s="31"/>
      <c r="G5873" s="31"/>
      <c r="H5873" s="31"/>
    </row>
    <row r="5874" spans="2:8" hidden="1">
      <c r="B5874" s="33"/>
      <c r="C5874" s="31"/>
      <c r="D5874" s="31"/>
      <c r="E5874" s="31"/>
      <c r="F5874" s="691"/>
      <c r="G5874" s="31"/>
      <c r="H5874" s="31"/>
    </row>
    <row r="5875" spans="2:8" hidden="1">
      <c r="B5875" s="33"/>
      <c r="C5875" s="31"/>
      <c r="D5875" s="31"/>
      <c r="E5875" s="31"/>
      <c r="F5875" s="691"/>
      <c r="G5875" s="31"/>
      <c r="H5875" s="31"/>
    </row>
    <row r="5876" spans="2:8" hidden="1">
      <c r="B5876" s="33"/>
      <c r="C5876" s="31"/>
      <c r="D5876" s="31"/>
      <c r="E5876" s="31"/>
      <c r="F5876" s="691"/>
      <c r="G5876" s="31"/>
      <c r="H5876" s="31"/>
    </row>
    <row r="5877" spans="2:8" hidden="1">
      <c r="B5877" s="33"/>
      <c r="C5877" s="31"/>
      <c r="D5877" s="31"/>
      <c r="E5877" s="31"/>
      <c r="F5877" s="31"/>
      <c r="G5877" s="31"/>
      <c r="H5877" s="31"/>
    </row>
    <row r="5878" spans="2:8" hidden="1">
      <c r="B5878" s="33"/>
      <c r="C5878" s="31"/>
      <c r="D5878" s="31"/>
      <c r="E5878" s="31"/>
      <c r="F5878" s="31"/>
      <c r="G5878" s="31"/>
      <c r="H5878" s="31"/>
    </row>
    <row r="5879" spans="2:8" hidden="1">
      <c r="B5879" s="200"/>
      <c r="C5879" s="31"/>
      <c r="D5879" s="31"/>
      <c r="E5879" s="31"/>
      <c r="F5879" s="31"/>
      <c r="G5879" s="31"/>
      <c r="H5879" s="31"/>
    </row>
    <row r="5880" spans="2:8" hidden="1">
      <c r="B5880" s="200"/>
      <c r="C5880" s="31"/>
      <c r="D5880" s="31"/>
      <c r="E5880" s="31"/>
      <c r="F5880" s="691"/>
      <c r="G5880" s="31"/>
      <c r="H5880" s="31"/>
    </row>
    <row r="5881" spans="2:8" hidden="1">
      <c r="B5881" s="200"/>
      <c r="C5881" s="31"/>
      <c r="D5881" s="31"/>
      <c r="E5881" s="31"/>
      <c r="F5881" s="691"/>
      <c r="G5881" s="31"/>
      <c r="H5881" s="31"/>
    </row>
    <row r="5882" spans="2:8" hidden="1">
      <c r="B5882" s="200"/>
      <c r="C5882" s="31"/>
      <c r="D5882" s="31"/>
      <c r="E5882" s="31"/>
      <c r="F5882" s="691"/>
      <c r="G5882" s="31"/>
      <c r="H5882" s="31"/>
    </row>
    <row r="5883" spans="2:8" hidden="1">
      <c r="B5883" s="200"/>
      <c r="C5883" s="31"/>
      <c r="D5883" s="31"/>
      <c r="E5883" s="31"/>
      <c r="F5883" s="691"/>
      <c r="G5883" s="31"/>
      <c r="H5883" s="31"/>
    </row>
    <row r="5884" spans="2:8" hidden="1">
      <c r="B5884" s="200"/>
      <c r="C5884" s="31"/>
      <c r="D5884" s="31"/>
      <c r="E5884" s="31"/>
      <c r="F5884" s="691"/>
      <c r="G5884" s="31"/>
      <c r="H5884" s="31"/>
    </row>
    <row r="5885" spans="2:8" hidden="1">
      <c r="B5885" s="200"/>
      <c r="C5885" s="31"/>
      <c r="D5885" s="31"/>
      <c r="E5885" s="31"/>
      <c r="F5885" s="691"/>
      <c r="G5885" s="31"/>
      <c r="H5885" s="31"/>
    </row>
    <row r="5886" spans="2:8" hidden="1">
      <c r="B5886" s="200"/>
      <c r="C5886" s="31"/>
      <c r="D5886" s="31"/>
      <c r="E5886" s="31"/>
      <c r="F5886" s="691"/>
      <c r="G5886" s="31"/>
      <c r="H5886" s="31"/>
    </row>
    <row r="5887" spans="2:8" hidden="1">
      <c r="B5887" s="200"/>
      <c r="C5887" s="31"/>
      <c r="D5887" s="31"/>
      <c r="E5887" s="31"/>
      <c r="F5887" s="691"/>
      <c r="G5887" s="31"/>
      <c r="H5887" s="31"/>
    </row>
    <row r="5888" spans="2:8" hidden="1">
      <c r="B5888" s="200"/>
      <c r="C5888" s="31"/>
      <c r="D5888" s="31"/>
      <c r="E5888" s="31"/>
      <c r="F5888" s="691"/>
      <c r="G5888" s="31"/>
      <c r="H5888" s="31"/>
    </row>
    <row r="5889" spans="2:8" hidden="1">
      <c r="B5889" s="200"/>
      <c r="C5889" s="31"/>
      <c r="D5889" s="31"/>
      <c r="E5889" s="31"/>
      <c r="F5889" s="691"/>
      <c r="G5889" s="31"/>
      <c r="H5889" s="31"/>
    </row>
    <row r="5890" spans="2:8" hidden="1">
      <c r="B5890" s="200"/>
      <c r="C5890" s="31"/>
      <c r="D5890" s="31"/>
      <c r="E5890" s="31"/>
      <c r="F5890" s="691"/>
      <c r="G5890" s="31"/>
      <c r="H5890" s="31"/>
    </row>
    <row r="5891" spans="2:8" hidden="1">
      <c r="B5891" s="200"/>
      <c r="C5891" s="31"/>
      <c r="D5891" s="31"/>
      <c r="E5891" s="31"/>
      <c r="F5891" s="691"/>
      <c r="G5891" s="31"/>
      <c r="H5891" s="31"/>
    </row>
    <row r="5892" spans="2:8" hidden="1">
      <c r="B5892" s="200"/>
      <c r="C5892" s="31"/>
      <c r="D5892" s="31"/>
      <c r="E5892" s="31"/>
      <c r="F5892" s="691"/>
      <c r="G5892" s="31"/>
      <c r="H5892" s="31"/>
    </row>
    <row r="5893" spans="2:8" hidden="1">
      <c r="B5893" s="200"/>
      <c r="C5893" s="31"/>
      <c r="D5893" s="31"/>
      <c r="E5893" s="31"/>
      <c r="F5893" s="691"/>
      <c r="G5893" s="771"/>
      <c r="H5893" s="31"/>
    </row>
    <row r="5894" spans="2:8" hidden="1">
      <c r="B5894" s="200"/>
      <c r="C5894" s="31"/>
      <c r="D5894" s="31"/>
      <c r="E5894" s="31"/>
      <c r="F5894" s="691"/>
      <c r="G5894" s="31"/>
      <c r="H5894" s="31"/>
    </row>
    <row r="5895" spans="2:8" hidden="1">
      <c r="B5895" s="200"/>
      <c r="C5895" s="31"/>
      <c r="D5895" s="31"/>
      <c r="E5895" s="31"/>
      <c r="F5895" s="691"/>
      <c r="G5895" s="31"/>
      <c r="H5895" s="31"/>
    </row>
    <row r="5896" spans="2:8" hidden="1">
      <c r="B5896" s="33"/>
      <c r="C5896" s="31"/>
      <c r="D5896" s="31"/>
      <c r="E5896" s="31"/>
      <c r="F5896" s="691"/>
      <c r="G5896" s="31"/>
      <c r="H5896" s="31"/>
    </row>
    <row r="5897" spans="2:8" hidden="1">
      <c r="B5897" s="33"/>
      <c r="C5897" s="31"/>
      <c r="D5897" s="31"/>
      <c r="E5897" s="31"/>
      <c r="F5897" s="691"/>
      <c r="G5897" s="31"/>
      <c r="H5897" s="31"/>
    </row>
    <row r="5898" spans="2:8" hidden="1">
      <c r="B5898" s="33"/>
      <c r="C5898" s="31"/>
      <c r="D5898" s="31"/>
      <c r="E5898" s="31"/>
      <c r="F5898" s="691"/>
      <c r="G5898" s="31"/>
      <c r="H5898" s="31"/>
    </row>
    <row r="5899" spans="2:8" hidden="1">
      <c r="B5899" s="33"/>
      <c r="C5899" s="31"/>
      <c r="D5899" s="31"/>
      <c r="E5899" s="31"/>
      <c r="F5899" s="691"/>
      <c r="G5899" s="31"/>
      <c r="H5899" s="31"/>
    </row>
    <row r="5900" spans="2:8" hidden="1">
      <c r="B5900" s="33"/>
      <c r="C5900" s="31"/>
      <c r="D5900" s="31"/>
      <c r="E5900" s="31"/>
      <c r="F5900" s="691"/>
      <c r="G5900" s="31"/>
      <c r="H5900" s="31"/>
    </row>
    <row r="5901" spans="2:8" hidden="1">
      <c r="B5901" s="33"/>
      <c r="C5901" s="31"/>
      <c r="D5901" s="31"/>
      <c r="E5901" s="200"/>
      <c r="F5901" s="691"/>
      <c r="G5901" s="31"/>
      <c r="H5901" s="31"/>
    </row>
    <row r="5902" spans="2:8" hidden="1">
      <c r="B5902" s="33"/>
      <c r="C5902" s="31"/>
      <c r="D5902" s="31"/>
      <c r="E5902" s="31"/>
      <c r="F5902" s="691"/>
      <c r="G5902" s="31"/>
      <c r="H5902" s="31"/>
    </row>
    <row r="5903" spans="2:8" hidden="1">
      <c r="B5903" s="33"/>
      <c r="C5903" s="31"/>
      <c r="D5903" s="31"/>
      <c r="E5903" s="31"/>
      <c r="F5903" s="691"/>
      <c r="G5903" s="31"/>
      <c r="H5903" s="31"/>
    </row>
    <row r="5904" spans="2:8" hidden="1">
      <c r="B5904" s="33"/>
      <c r="C5904" s="31"/>
      <c r="D5904" s="31"/>
      <c r="E5904" s="31"/>
      <c r="F5904" s="691"/>
      <c r="G5904" s="31"/>
      <c r="H5904" s="31"/>
    </row>
    <row r="5905" spans="2:8" hidden="1">
      <c r="B5905" s="33"/>
      <c r="C5905" s="31"/>
      <c r="D5905" s="31"/>
      <c r="E5905" s="31"/>
      <c r="F5905" s="691"/>
      <c r="G5905" s="31"/>
      <c r="H5905" s="31"/>
    </row>
    <row r="5906" spans="2:8" hidden="1">
      <c r="B5906" s="33"/>
      <c r="C5906" s="31"/>
      <c r="D5906" s="31"/>
      <c r="E5906" s="31"/>
      <c r="F5906" s="691"/>
      <c r="G5906" s="31"/>
      <c r="H5906" s="31"/>
    </row>
    <row r="5907" spans="2:8" hidden="1">
      <c r="B5907" s="33"/>
      <c r="C5907" s="31"/>
      <c r="D5907" s="31"/>
      <c r="E5907" s="31"/>
      <c r="F5907" s="691"/>
      <c r="G5907" s="31"/>
      <c r="H5907" s="31"/>
    </row>
    <row r="5908" spans="2:8" hidden="1">
      <c r="B5908" s="33"/>
      <c r="C5908" s="31"/>
      <c r="D5908" s="31"/>
      <c r="E5908" s="31"/>
      <c r="F5908" s="691"/>
      <c r="G5908" s="31"/>
      <c r="H5908" s="31"/>
    </row>
    <row r="5909" spans="2:8" hidden="1">
      <c r="B5909" s="33"/>
      <c r="C5909" s="31"/>
      <c r="D5909" s="31"/>
      <c r="E5909" s="31"/>
      <c r="F5909" s="691"/>
      <c r="G5909" s="31"/>
      <c r="H5909" s="31"/>
    </row>
    <row r="5910" spans="2:8" hidden="1">
      <c r="B5910" s="33"/>
      <c r="C5910" s="31"/>
      <c r="D5910" s="31"/>
      <c r="E5910" s="31"/>
      <c r="F5910" s="691"/>
      <c r="G5910" s="31"/>
      <c r="H5910" s="31"/>
    </row>
    <row r="5911" spans="2:8" hidden="1">
      <c r="B5911" s="33"/>
      <c r="C5911" s="31"/>
      <c r="D5911" s="31"/>
      <c r="E5911" s="31"/>
      <c r="F5911" s="691"/>
      <c r="G5911" s="31"/>
      <c r="H5911" s="31"/>
    </row>
    <row r="5912" spans="2:8" hidden="1">
      <c r="B5912" s="33"/>
      <c r="C5912" s="31"/>
      <c r="D5912" s="31"/>
      <c r="E5912" s="31"/>
      <c r="F5912" s="691"/>
      <c r="G5912" s="31"/>
      <c r="H5912" s="31"/>
    </row>
    <row r="5913" spans="2:8" hidden="1">
      <c r="B5913" s="33"/>
      <c r="C5913" s="31"/>
      <c r="D5913" s="31"/>
      <c r="E5913" s="31"/>
      <c r="F5913" s="691"/>
      <c r="G5913" s="31"/>
      <c r="H5913" s="31"/>
    </row>
    <row r="5914" spans="2:8" hidden="1">
      <c r="B5914" s="33"/>
      <c r="C5914" s="31"/>
      <c r="D5914" s="31"/>
      <c r="E5914" s="31"/>
      <c r="F5914" s="691"/>
      <c r="G5914" s="31"/>
      <c r="H5914" s="31"/>
    </row>
    <row r="5915" spans="2:8" hidden="1">
      <c r="B5915" s="33"/>
      <c r="C5915" s="31"/>
      <c r="D5915" s="31"/>
      <c r="E5915" s="31"/>
      <c r="F5915" s="691"/>
      <c r="G5915" s="31"/>
      <c r="H5915" s="31"/>
    </row>
    <row r="5916" spans="2:8" hidden="1">
      <c r="B5916" s="33"/>
      <c r="C5916" s="31"/>
      <c r="D5916" s="31"/>
      <c r="E5916" s="31"/>
      <c r="F5916" s="691"/>
      <c r="G5916" s="31"/>
      <c r="H5916" s="31"/>
    </row>
    <row r="5917" spans="2:8" hidden="1">
      <c r="B5917" s="33"/>
      <c r="C5917" s="31"/>
      <c r="D5917" s="31"/>
      <c r="E5917" s="200"/>
      <c r="F5917" s="691"/>
      <c r="G5917" s="31"/>
      <c r="H5917" s="31"/>
    </row>
    <row r="5918" spans="2:8" hidden="1">
      <c r="B5918" s="33"/>
      <c r="C5918" s="31"/>
      <c r="D5918" s="31"/>
      <c r="E5918" s="31"/>
      <c r="F5918" s="691"/>
      <c r="G5918" s="31"/>
      <c r="H5918" s="31"/>
    </row>
    <row r="5919" spans="2:8" hidden="1">
      <c r="B5919" s="33"/>
      <c r="C5919" s="31"/>
      <c r="D5919" s="31"/>
      <c r="E5919" s="31"/>
      <c r="F5919" s="691"/>
      <c r="G5919" s="31"/>
      <c r="H5919" s="31"/>
    </row>
    <row r="5920" spans="2:8" hidden="1">
      <c r="B5920" s="33"/>
      <c r="C5920" s="31"/>
      <c r="D5920" s="31"/>
      <c r="E5920" s="31"/>
      <c r="F5920" s="691"/>
      <c r="G5920" s="31"/>
      <c r="H5920" s="31"/>
    </row>
    <row r="5921" spans="2:8" hidden="1">
      <c r="B5921" s="33"/>
      <c r="C5921" s="31"/>
      <c r="D5921" s="31"/>
      <c r="E5921" s="31"/>
      <c r="F5921" s="691"/>
      <c r="G5921" s="31"/>
      <c r="H5921" s="31"/>
    </row>
    <row r="5922" spans="2:8" hidden="1">
      <c r="B5922" s="33"/>
      <c r="C5922" s="31"/>
      <c r="D5922" s="31"/>
      <c r="E5922" s="31"/>
      <c r="F5922" s="691"/>
      <c r="G5922" s="31"/>
      <c r="H5922" s="31"/>
    </row>
    <row r="5923" spans="2:8" hidden="1">
      <c r="B5923" s="33"/>
      <c r="C5923" s="31"/>
      <c r="D5923" s="31"/>
      <c r="E5923" s="31"/>
      <c r="F5923" s="691"/>
      <c r="G5923" s="31"/>
      <c r="H5923" s="31"/>
    </row>
    <row r="5924" spans="2:8" hidden="1">
      <c r="B5924" s="33"/>
      <c r="C5924" s="31"/>
      <c r="D5924" s="31"/>
      <c r="E5924" s="31"/>
      <c r="F5924" s="691"/>
      <c r="G5924" s="31"/>
      <c r="H5924" s="31"/>
    </row>
    <row r="5925" spans="2:8" hidden="1">
      <c r="B5925" s="33"/>
      <c r="C5925" s="31"/>
      <c r="D5925" s="31"/>
      <c r="E5925" s="31"/>
      <c r="F5925" s="691"/>
      <c r="G5925" s="31"/>
      <c r="H5925" s="31"/>
    </row>
    <row r="5926" spans="2:8" hidden="1">
      <c r="B5926" s="33"/>
      <c r="C5926" s="31"/>
      <c r="D5926" s="31"/>
      <c r="E5926" s="31"/>
      <c r="F5926" s="691"/>
      <c r="G5926" s="31"/>
      <c r="H5926" s="31"/>
    </row>
    <row r="5927" spans="2:8" hidden="1">
      <c r="B5927" s="33"/>
      <c r="C5927" s="31"/>
      <c r="D5927" s="31"/>
      <c r="E5927" s="31"/>
      <c r="F5927" s="31"/>
      <c r="G5927" s="31"/>
      <c r="H5927" s="31"/>
    </row>
    <row r="5928" spans="2:8" hidden="1">
      <c r="B5928" s="33"/>
      <c r="C5928" s="31"/>
      <c r="D5928" s="31"/>
      <c r="E5928" s="31"/>
      <c r="F5928" s="31"/>
      <c r="G5928" s="31"/>
      <c r="H5928" s="31"/>
    </row>
    <row r="5929" spans="2:8" hidden="1">
      <c r="B5929" s="33"/>
      <c r="C5929" s="31"/>
      <c r="D5929" s="31"/>
      <c r="E5929" s="31"/>
      <c r="F5929" s="31"/>
      <c r="G5929" s="31"/>
      <c r="H5929" s="31"/>
    </row>
    <row r="5930" spans="2:8" hidden="1">
      <c r="B5930" s="33"/>
      <c r="C5930" s="31"/>
      <c r="D5930" s="31"/>
      <c r="E5930" s="31"/>
      <c r="F5930" s="691"/>
      <c r="G5930" s="31"/>
      <c r="H5930" s="31"/>
    </row>
    <row r="5931" spans="2:8" hidden="1">
      <c r="B5931" s="33"/>
      <c r="C5931" s="31"/>
      <c r="D5931" s="31"/>
      <c r="E5931" s="31"/>
      <c r="F5931" s="31"/>
      <c r="G5931" s="31"/>
      <c r="H5931" s="31"/>
    </row>
    <row r="5932" spans="2:8" hidden="1">
      <c r="B5932" s="33"/>
      <c r="C5932" s="31"/>
      <c r="D5932" s="31"/>
      <c r="E5932" s="31"/>
      <c r="F5932" s="31"/>
      <c r="G5932" s="31"/>
      <c r="H5932" s="31"/>
    </row>
    <row r="5933" spans="2:8" hidden="1">
      <c r="B5933" s="33"/>
      <c r="C5933" s="31"/>
      <c r="D5933" s="31"/>
      <c r="E5933" s="31"/>
      <c r="F5933" s="31"/>
      <c r="G5933" s="31"/>
      <c r="H5933" s="31"/>
    </row>
    <row r="5934" spans="2:8" hidden="1">
      <c r="B5934" s="33"/>
      <c r="C5934" s="31"/>
      <c r="D5934" s="31"/>
      <c r="E5934" s="31"/>
      <c r="F5934" s="31"/>
      <c r="G5934" s="31"/>
      <c r="H5934" s="31"/>
    </row>
    <row r="5935" spans="2:8" hidden="1">
      <c r="B5935" s="33"/>
      <c r="C5935" s="31"/>
      <c r="D5935" s="31"/>
      <c r="E5935" s="31"/>
      <c r="F5935" s="31"/>
      <c r="G5935" s="31"/>
      <c r="H5935" s="31"/>
    </row>
    <row r="5936" spans="2:8" hidden="1">
      <c r="B5936" s="33"/>
      <c r="C5936" s="31"/>
      <c r="D5936" s="31"/>
      <c r="E5936" s="31"/>
      <c r="F5936" s="31"/>
      <c r="G5936" s="31"/>
      <c r="H5936" s="31"/>
    </row>
    <row r="5937" spans="2:8" hidden="1">
      <c r="B5937" s="33"/>
      <c r="C5937" s="31"/>
      <c r="D5937" s="31"/>
      <c r="E5937" s="31"/>
      <c r="F5937" s="31"/>
      <c r="G5937" s="31"/>
      <c r="H5937" s="31"/>
    </row>
    <row r="5938" spans="2:8" hidden="1">
      <c r="B5938" s="33"/>
      <c r="C5938" s="31"/>
      <c r="D5938" s="31"/>
      <c r="E5938" s="31"/>
      <c r="F5938" s="31"/>
      <c r="G5938" s="31"/>
      <c r="H5938" s="31"/>
    </row>
    <row r="5939" spans="2:8" hidden="1">
      <c r="B5939" s="33"/>
      <c r="C5939" s="31"/>
      <c r="D5939" s="31"/>
      <c r="E5939" s="31"/>
      <c r="F5939" s="31"/>
      <c r="G5939" s="31"/>
      <c r="H5939" s="31"/>
    </row>
    <row r="5940" spans="2:8" hidden="1">
      <c r="B5940" s="33"/>
      <c r="C5940" s="31"/>
      <c r="D5940" s="31"/>
      <c r="E5940" s="31"/>
      <c r="F5940" s="31"/>
      <c r="G5940" s="31"/>
      <c r="H5940" s="31"/>
    </row>
    <row r="5941" spans="2:8" hidden="1">
      <c r="B5941" s="33"/>
      <c r="C5941" s="31"/>
      <c r="D5941" s="31"/>
      <c r="E5941" s="31"/>
      <c r="F5941" s="31"/>
      <c r="G5941" s="31"/>
      <c r="H5941" s="31"/>
    </row>
    <row r="5942" spans="2:8" hidden="1">
      <c r="B5942" s="33"/>
      <c r="C5942" s="31"/>
      <c r="D5942" s="31"/>
      <c r="E5942" s="31"/>
      <c r="F5942" s="33"/>
      <c r="G5942" s="31"/>
      <c r="H5942" s="31"/>
    </row>
    <row r="5943" spans="2:8" hidden="1">
      <c r="B5943" s="33"/>
      <c r="C5943" s="31"/>
      <c r="D5943" s="33"/>
      <c r="E5943" s="33"/>
      <c r="F5943" s="33"/>
      <c r="G5943" s="33"/>
      <c r="H5943" s="31"/>
    </row>
    <row r="5944" spans="2:8" hidden="1">
      <c r="B5944" s="33"/>
      <c r="C5944" s="31"/>
      <c r="D5944" s="33"/>
      <c r="E5944" s="33"/>
      <c r="F5944" s="33"/>
      <c r="G5944" s="33"/>
      <c r="H5944" s="31"/>
    </row>
    <row r="5945" spans="2:8" hidden="1">
      <c r="B5945" s="33"/>
      <c r="C5945" s="31"/>
      <c r="D5945" s="33"/>
      <c r="E5945" s="33"/>
      <c r="F5945" s="33"/>
      <c r="G5945" s="33"/>
      <c r="H5945" s="31"/>
    </row>
    <row r="5946" spans="2:8" hidden="1">
      <c r="B5946" s="33"/>
      <c r="C5946" s="31"/>
      <c r="D5946" s="33"/>
      <c r="E5946" s="33"/>
      <c r="F5946" s="33"/>
      <c r="G5946" s="33"/>
      <c r="H5946" s="31"/>
    </row>
    <row r="5947" spans="2:8" hidden="1">
      <c r="B5947" s="33"/>
      <c r="C5947" s="31"/>
      <c r="D5947" s="33"/>
      <c r="E5947" s="33"/>
      <c r="F5947" s="33"/>
      <c r="G5947" s="33"/>
      <c r="H5947" s="31"/>
    </row>
    <row r="5948" spans="2:8" hidden="1">
      <c r="B5948" s="33"/>
      <c r="C5948" s="33"/>
      <c r="D5948" s="33"/>
      <c r="E5948" s="33"/>
      <c r="F5948" s="33"/>
      <c r="G5948" s="33"/>
      <c r="H5948" s="31"/>
    </row>
    <row r="5949" spans="2:8" hidden="1">
      <c r="B5949" s="33"/>
      <c r="C5949" s="31"/>
      <c r="D5949" s="31"/>
      <c r="E5949" s="31"/>
      <c r="F5949" s="31"/>
      <c r="G5949" s="31"/>
      <c r="H5949" s="31"/>
    </row>
    <row r="5950" spans="2:8" hidden="1">
      <c r="B5950" s="33"/>
      <c r="C5950" s="31"/>
      <c r="D5950" s="31"/>
      <c r="E5950" s="31"/>
      <c r="F5950" s="31"/>
      <c r="G5950" s="31"/>
      <c r="H5950" s="31"/>
    </row>
    <row r="5951" spans="2:8" hidden="1">
      <c r="B5951" s="33"/>
      <c r="C5951" s="31"/>
      <c r="D5951" s="31"/>
      <c r="E5951" s="31"/>
      <c r="F5951" s="31"/>
      <c r="G5951" s="31"/>
      <c r="H5951" s="31"/>
    </row>
    <row r="5952" spans="2:8" hidden="1">
      <c r="B5952" s="33"/>
      <c r="C5952" s="31"/>
      <c r="D5952" s="31"/>
      <c r="E5952" s="31"/>
      <c r="F5952" s="31"/>
      <c r="G5952" s="31"/>
      <c r="H5952" s="31"/>
    </row>
    <row r="5953" spans="2:8" hidden="1">
      <c r="B5953" s="33"/>
      <c r="C5953" s="31"/>
      <c r="D5953" s="31"/>
      <c r="E5953" s="31"/>
      <c r="F5953" s="31"/>
      <c r="G5953" s="31"/>
      <c r="H5953" s="31"/>
    </row>
    <row r="5954" spans="2:8" hidden="1">
      <c r="B5954" s="33"/>
      <c r="C5954" s="31"/>
      <c r="D5954" s="31"/>
      <c r="E5954" s="31"/>
      <c r="F5954" s="31"/>
      <c r="G5954" s="31"/>
      <c r="H5954" s="31"/>
    </row>
    <row r="5955" spans="2:8" hidden="1">
      <c r="B5955" s="33"/>
      <c r="C5955" s="31"/>
      <c r="D5955" s="31"/>
      <c r="E5955" s="31"/>
      <c r="F5955" s="31"/>
      <c r="G5955" s="31"/>
      <c r="H5955" s="31"/>
    </row>
    <row r="5956" spans="2:8" hidden="1">
      <c r="B5956" s="33"/>
      <c r="C5956" s="31"/>
      <c r="D5956" s="31"/>
      <c r="E5956" s="31"/>
      <c r="F5956" s="31"/>
      <c r="G5956" s="31"/>
      <c r="H5956" s="31"/>
    </row>
    <row r="5957" spans="2:8" hidden="1">
      <c r="B5957" s="33"/>
      <c r="C5957" s="31"/>
      <c r="D5957" s="31"/>
      <c r="E5957" s="31"/>
      <c r="F5957" s="31"/>
      <c r="G5957" s="31"/>
      <c r="H5957" s="31"/>
    </row>
    <row r="5958" spans="2:8" hidden="1">
      <c r="B5958" s="33"/>
      <c r="C5958" s="31"/>
      <c r="D5958" s="31"/>
      <c r="E5958" s="31"/>
      <c r="F5958" s="31"/>
      <c r="G5958" s="31"/>
      <c r="H5958" s="31"/>
    </row>
    <row r="5959" spans="2:8" hidden="1">
      <c r="B5959" s="33"/>
      <c r="C5959" s="31"/>
      <c r="D5959" s="31"/>
      <c r="E5959" s="31"/>
      <c r="F5959" s="31"/>
      <c r="G5959" s="31"/>
      <c r="H5959" s="31"/>
    </row>
    <row r="5960" spans="2:8" hidden="1">
      <c r="B5960" s="33"/>
      <c r="C5960" s="31"/>
      <c r="D5960" s="31"/>
      <c r="E5960" s="31"/>
      <c r="F5960" s="31"/>
      <c r="G5960" s="31"/>
      <c r="H5960" s="31"/>
    </row>
    <row r="5961" spans="2:8" hidden="1">
      <c r="B5961" s="33"/>
      <c r="C5961" s="31"/>
      <c r="D5961" s="75"/>
      <c r="E5961" s="31"/>
      <c r="F5961" s="405"/>
      <c r="G5961" s="75"/>
      <c r="H5961" s="31"/>
    </row>
    <row r="5962" spans="2:8" hidden="1">
      <c r="B5962" s="33"/>
      <c r="C5962" s="31"/>
      <c r="D5962" s="31"/>
      <c r="E5962" s="31"/>
      <c r="F5962" s="691"/>
      <c r="G5962" s="732"/>
      <c r="H5962" s="31"/>
    </row>
    <row r="5963" spans="2:8" hidden="1">
      <c r="B5963" s="33"/>
      <c r="C5963" s="31"/>
      <c r="D5963" s="31"/>
      <c r="E5963" s="31"/>
      <c r="F5963" s="405"/>
      <c r="G5963" s="75"/>
      <c r="H5963" s="31"/>
    </row>
    <row r="5964" spans="2:8" hidden="1">
      <c r="B5964" s="33"/>
      <c r="C5964" s="31"/>
      <c r="D5964" s="75"/>
      <c r="E5964" s="31"/>
      <c r="F5964" s="405"/>
      <c r="G5964" s="75"/>
      <c r="H5964" s="31"/>
    </row>
    <row r="5965" spans="2:8" hidden="1">
      <c r="B5965" s="33"/>
      <c r="C5965" s="31"/>
      <c r="D5965" s="31"/>
      <c r="E5965" s="31"/>
      <c r="F5965" s="691"/>
      <c r="G5965" s="732"/>
      <c r="H5965" s="31"/>
    </row>
    <row r="5966" spans="2:8" hidden="1">
      <c r="B5966" s="33"/>
      <c r="C5966" s="31"/>
      <c r="D5966" s="31"/>
      <c r="E5966" s="31"/>
      <c r="F5966" s="405"/>
      <c r="G5966" s="75"/>
      <c r="H5966" s="31"/>
    </row>
    <row r="5967" spans="2:8" hidden="1">
      <c r="B5967" s="33"/>
      <c r="C5967" s="31"/>
      <c r="D5967" s="31"/>
      <c r="E5967" s="31"/>
      <c r="F5967" s="31"/>
      <c r="G5967" s="31"/>
      <c r="H5967" s="31"/>
    </row>
    <row r="5968" spans="2:8" hidden="1">
      <c r="B5968" s="33"/>
      <c r="C5968" s="200"/>
      <c r="D5968" s="31"/>
      <c r="E5968" s="200"/>
      <c r="F5968" s="769"/>
      <c r="G5968" s="31"/>
      <c r="H5968" s="31"/>
    </row>
    <row r="5969" spans="2:8" hidden="1">
      <c r="B5969" s="76"/>
      <c r="C5969" s="31"/>
      <c r="D5969" s="31"/>
      <c r="E5969" s="31"/>
      <c r="F5969" s="75"/>
      <c r="G5969" s="31"/>
      <c r="H5969" s="31"/>
    </row>
    <row r="5970" spans="2:8" hidden="1">
      <c r="B5970" s="33"/>
      <c r="C5970" s="33"/>
      <c r="D5970" s="33"/>
      <c r="E5970" s="33"/>
      <c r="F5970" s="33"/>
      <c r="G5970" s="33"/>
      <c r="H5970" s="31"/>
    </row>
    <row r="5971" spans="2:8" hidden="1">
      <c r="B5971" s="33"/>
      <c r="C5971" s="31"/>
      <c r="D5971" s="33"/>
      <c r="E5971" s="33"/>
      <c r="F5971" s="33"/>
      <c r="G5971" s="33"/>
      <c r="H5971" s="31"/>
    </row>
    <row r="5972" spans="2:8" hidden="1">
      <c r="B5972" s="405"/>
      <c r="C5972" s="76"/>
      <c r="D5972" s="731"/>
      <c r="E5972" s="75"/>
      <c r="F5972" s="75"/>
      <c r="G5972" s="75"/>
      <c r="H5972" s="31"/>
    </row>
    <row r="5973" spans="2:8" hidden="1">
      <c r="B5973" s="405"/>
      <c r="C5973" s="76"/>
      <c r="D5973" s="731"/>
      <c r="E5973" s="75"/>
      <c r="F5973" s="75"/>
      <c r="G5973" s="75"/>
      <c r="H5973" s="31"/>
    </row>
    <row r="5974" spans="2:8" hidden="1">
      <c r="B5974" s="405"/>
      <c r="C5974" s="76"/>
      <c r="D5974" s="731"/>
      <c r="E5974" s="75"/>
      <c r="F5974" s="75"/>
      <c r="G5974" s="75"/>
      <c r="H5974" s="31"/>
    </row>
    <row r="5975" spans="2:8" hidden="1">
      <c r="B5975" s="405"/>
      <c r="C5975" s="76"/>
      <c r="D5975" s="731"/>
      <c r="E5975" s="75"/>
      <c r="F5975" s="75"/>
      <c r="G5975" s="75"/>
      <c r="H5975" s="31"/>
    </row>
    <row r="5976" spans="2:8" hidden="1">
      <c r="B5976" s="405"/>
      <c r="C5976" s="76"/>
      <c r="D5976" s="731"/>
      <c r="E5976" s="75"/>
      <c r="F5976" s="75"/>
      <c r="G5976" s="75"/>
      <c r="H5976" s="31"/>
    </row>
    <row r="5977" spans="2:8" hidden="1">
      <c r="B5977" s="405"/>
      <c r="C5977" s="76"/>
      <c r="D5977" s="731"/>
      <c r="E5977" s="75"/>
      <c r="F5977" s="75"/>
      <c r="G5977" s="75"/>
      <c r="H5977" s="31"/>
    </row>
    <row r="5978" spans="2:8" hidden="1">
      <c r="B5978" s="405"/>
      <c r="C5978" s="76"/>
      <c r="D5978" s="731"/>
      <c r="E5978" s="75"/>
      <c r="F5978" s="75"/>
      <c r="G5978" s="75"/>
      <c r="H5978" s="31"/>
    </row>
    <row r="5979" spans="2:8" hidden="1">
      <c r="B5979" s="405"/>
      <c r="C5979" s="76"/>
      <c r="D5979" s="731"/>
      <c r="E5979" s="75"/>
      <c r="F5979" s="75"/>
      <c r="G5979" s="75"/>
      <c r="H5979" s="31"/>
    </row>
    <row r="5980" spans="2:8" hidden="1">
      <c r="B5980" s="405"/>
      <c r="C5980" s="76"/>
      <c r="D5980" s="731"/>
      <c r="E5980" s="75"/>
      <c r="F5980" s="75"/>
      <c r="G5980" s="75"/>
      <c r="H5980" s="31"/>
    </row>
    <row r="5981" spans="2:8" hidden="1">
      <c r="B5981" s="405"/>
      <c r="C5981" s="76"/>
      <c r="D5981" s="731"/>
      <c r="E5981" s="75"/>
      <c r="F5981" s="75"/>
      <c r="G5981" s="75"/>
      <c r="H5981" s="31"/>
    </row>
    <row r="5982" spans="2:8" hidden="1">
      <c r="B5982" s="30"/>
      <c r="C5982" s="76"/>
      <c r="D5982" s="731"/>
      <c r="E5982" s="75"/>
      <c r="F5982" s="75"/>
      <c r="G5982" s="75"/>
      <c r="H5982" s="31"/>
    </row>
    <row r="5983" spans="2:8" hidden="1">
      <c r="B5983" s="30"/>
      <c r="C5983" s="76"/>
      <c r="D5983" s="731"/>
      <c r="E5983" s="75"/>
      <c r="F5983" s="75"/>
      <c r="G5983" s="75"/>
      <c r="H5983" s="31"/>
    </row>
    <row r="5984" spans="2:8" hidden="1">
      <c r="B5984" s="405"/>
      <c r="C5984" s="76"/>
      <c r="D5984" s="731"/>
      <c r="E5984" s="75"/>
      <c r="F5984" s="75"/>
      <c r="G5984" s="75"/>
      <c r="H5984" s="31"/>
    </row>
    <row r="5985" spans="2:8" hidden="1">
      <c r="B5985" s="30"/>
      <c r="C5985" s="76"/>
      <c r="D5985" s="731"/>
      <c r="E5985" s="75"/>
      <c r="F5985" s="75"/>
      <c r="G5985" s="75"/>
      <c r="H5985" s="31"/>
    </row>
    <row r="5986" spans="2:8" hidden="1">
      <c r="B5986" s="30"/>
      <c r="C5986" s="76"/>
      <c r="D5986" s="731"/>
      <c r="E5986" s="75"/>
      <c r="F5986" s="75"/>
      <c r="G5986" s="75"/>
      <c r="H5986" s="31"/>
    </row>
    <row r="5987" spans="2:8" hidden="1">
      <c r="B5987" s="30"/>
      <c r="C5987" s="76"/>
      <c r="D5987" s="731"/>
      <c r="E5987" s="75"/>
      <c r="F5987" s="75"/>
      <c r="G5987" s="75"/>
      <c r="H5987" s="31"/>
    </row>
    <row r="5988" spans="2:8" hidden="1">
      <c r="B5988" s="30"/>
      <c r="C5988" s="76"/>
      <c r="D5988" s="731"/>
      <c r="E5988" s="75"/>
      <c r="F5988" s="75"/>
      <c r="G5988" s="75"/>
      <c r="H5988" s="31"/>
    </row>
    <row r="5989" spans="2:8" hidden="1">
      <c r="B5989" s="405"/>
      <c r="C5989" s="76"/>
      <c r="D5989" s="731"/>
      <c r="E5989" s="75"/>
      <c r="F5989" s="75"/>
      <c r="G5989" s="75"/>
      <c r="H5989" s="31"/>
    </row>
    <row r="5990" spans="2:8" hidden="1">
      <c r="B5990" s="405"/>
      <c r="C5990" s="76"/>
      <c r="D5990" s="731"/>
      <c r="E5990" s="75"/>
      <c r="F5990" s="75"/>
      <c r="G5990" s="75"/>
      <c r="H5990" s="31"/>
    </row>
    <row r="5991" spans="2:8" hidden="1">
      <c r="B5991" s="405"/>
      <c r="C5991" s="76"/>
      <c r="D5991" s="731"/>
      <c r="E5991" s="75"/>
      <c r="F5991" s="75"/>
      <c r="G5991" s="75"/>
      <c r="H5991" s="31"/>
    </row>
    <row r="5992" spans="2:8" hidden="1">
      <c r="B5992" s="30"/>
      <c r="C5992" s="76"/>
      <c r="D5992" s="731"/>
      <c r="E5992" s="75"/>
      <c r="F5992" s="75"/>
      <c r="G5992" s="75"/>
      <c r="H5992" s="31"/>
    </row>
    <row r="5993" spans="2:8" hidden="1">
      <c r="B5993" s="30"/>
      <c r="C5993" s="76"/>
      <c r="D5993" s="731"/>
      <c r="E5993" s="75"/>
      <c r="F5993" s="75"/>
      <c r="G5993" s="75"/>
      <c r="H5993" s="31"/>
    </row>
    <row r="5994" spans="2:8" hidden="1">
      <c r="B5994" s="30"/>
      <c r="C5994" s="76"/>
      <c r="D5994" s="731"/>
      <c r="E5994" s="75"/>
      <c r="F5994" s="75"/>
      <c r="G5994" s="75"/>
      <c r="H5994" s="31"/>
    </row>
    <row r="5995" spans="2:8" hidden="1">
      <c r="B5995" s="30"/>
      <c r="C5995" s="76"/>
      <c r="D5995" s="731"/>
      <c r="E5995" s="75"/>
      <c r="F5995" s="75"/>
      <c r="G5995" s="75"/>
      <c r="H5995" s="31"/>
    </row>
    <row r="5996" spans="2:8" hidden="1">
      <c r="B5996" s="30"/>
      <c r="C5996" s="76"/>
      <c r="D5996" s="731"/>
      <c r="E5996" s="75"/>
      <c r="F5996" s="75"/>
      <c r="G5996" s="75"/>
      <c r="H5996" s="31"/>
    </row>
    <row r="5997" spans="2:8" hidden="1">
      <c r="B5997" s="30"/>
      <c r="C5997" s="76"/>
      <c r="D5997" s="731"/>
      <c r="E5997" s="75"/>
      <c r="F5997" s="75"/>
      <c r="G5997" s="75"/>
      <c r="H5997" s="31"/>
    </row>
    <row r="5998" spans="2:8" hidden="1">
      <c r="B5998" s="30"/>
      <c r="C5998" s="76"/>
      <c r="D5998" s="731"/>
      <c r="E5998" s="75"/>
      <c r="F5998" s="75"/>
      <c r="G5998" s="75"/>
      <c r="H5998" s="31"/>
    </row>
    <row r="5999" spans="2:8" hidden="1">
      <c r="B5999" s="30"/>
      <c r="C5999" s="76"/>
      <c r="D5999" s="731"/>
      <c r="E5999" s="75"/>
      <c r="F5999" s="75"/>
      <c r="G5999" s="75"/>
      <c r="H5999" s="31"/>
    </row>
    <row r="6000" spans="2:8" hidden="1">
      <c r="B6000" s="33"/>
      <c r="C6000" s="31"/>
      <c r="D6000" s="31"/>
      <c r="E6000" s="200"/>
      <c r="F6000" s="200"/>
      <c r="G6000" s="75"/>
      <c r="H6000" s="31"/>
    </row>
    <row r="6001" spans="2:8" hidden="1">
      <c r="B6001" s="33"/>
      <c r="C6001" s="31"/>
      <c r="D6001" s="31"/>
      <c r="E6001" s="198"/>
      <c r="F6001" s="200"/>
      <c r="G6001" s="75"/>
      <c r="H6001" s="31"/>
    </row>
    <row r="6002" spans="2:8" hidden="1">
      <c r="B6002" s="33"/>
      <c r="C6002" s="31"/>
      <c r="D6002" s="31"/>
      <c r="E6002" s="198"/>
      <c r="F6002" s="200"/>
      <c r="G6002" s="75"/>
      <c r="H6002" s="31"/>
    </row>
    <row r="6003" spans="2:8" hidden="1">
      <c r="B6003" s="33"/>
      <c r="C6003" s="31"/>
      <c r="D6003" s="31"/>
      <c r="E6003" s="198"/>
      <c r="F6003" s="200"/>
      <c r="G6003" s="75"/>
      <c r="H6003" s="31"/>
    </row>
    <row r="6004" spans="2:8" hidden="1">
      <c r="B6004" s="33"/>
      <c r="C6004" s="200"/>
      <c r="D6004" s="30"/>
      <c r="E6004" s="30"/>
      <c r="F6004" s="200"/>
      <c r="G6004" s="75"/>
      <c r="H6004" s="31"/>
    </row>
    <row r="6005" spans="2:8" hidden="1">
      <c r="B6005" s="33"/>
      <c r="C6005" s="31"/>
      <c r="D6005" s="31"/>
      <c r="E6005" s="31"/>
      <c r="F6005" s="31"/>
      <c r="G6005" s="31"/>
      <c r="H6005" s="31"/>
    </row>
    <row r="6006" spans="2:8" hidden="1">
      <c r="B6006" s="76"/>
      <c r="C6006" s="31"/>
      <c r="D6006" s="31"/>
      <c r="E6006" s="31"/>
      <c r="F6006" s="31"/>
      <c r="G6006" s="31"/>
      <c r="H6006" s="31"/>
    </row>
    <row r="6007" spans="2:8" hidden="1">
      <c r="B6007" s="33"/>
      <c r="C6007" s="33"/>
      <c r="D6007" s="33"/>
      <c r="E6007" s="33"/>
      <c r="F6007" s="33"/>
      <c r="G6007" s="33"/>
      <c r="H6007" s="31"/>
    </row>
    <row r="6008" spans="2:8" hidden="1">
      <c r="B6008" s="33"/>
      <c r="C6008" s="31"/>
      <c r="D6008" s="33"/>
      <c r="E6008" s="33"/>
      <c r="F6008" s="33"/>
      <c r="G6008" s="33"/>
      <c r="H6008" s="31"/>
    </row>
    <row r="6009" spans="2:8" hidden="1">
      <c r="B6009" s="405"/>
      <c r="C6009" s="76"/>
      <c r="D6009" s="731"/>
      <c r="E6009" s="75"/>
      <c r="F6009" s="75"/>
      <c r="G6009" s="75"/>
      <c r="H6009" s="31"/>
    </row>
    <row r="6010" spans="2:8" hidden="1">
      <c r="B6010" s="405"/>
      <c r="C6010" s="76"/>
      <c r="D6010" s="731"/>
      <c r="E6010" s="75"/>
      <c r="F6010" s="75"/>
      <c r="G6010" s="75"/>
      <c r="H6010" s="31"/>
    </row>
    <row r="6011" spans="2:8" hidden="1">
      <c r="B6011" s="405"/>
      <c r="C6011" s="76"/>
      <c r="D6011" s="731"/>
      <c r="E6011" s="75"/>
      <c r="F6011" s="75"/>
      <c r="G6011" s="75"/>
      <c r="H6011" s="31"/>
    </row>
    <row r="6012" spans="2:8" hidden="1">
      <c r="B6012" s="405"/>
      <c r="C6012" s="76"/>
      <c r="D6012" s="731"/>
      <c r="E6012" s="75"/>
      <c r="F6012" s="75"/>
      <c r="G6012" s="75"/>
      <c r="H6012" s="31"/>
    </row>
    <row r="6013" spans="2:8" hidden="1">
      <c r="B6013" s="405"/>
      <c r="C6013" s="76"/>
      <c r="D6013" s="731"/>
      <c r="E6013" s="75"/>
      <c r="F6013" s="75"/>
      <c r="G6013" s="75"/>
      <c r="H6013" s="31"/>
    </row>
    <row r="6014" spans="2:8" hidden="1">
      <c r="B6014" s="405"/>
      <c r="C6014" s="76"/>
      <c r="D6014" s="731"/>
      <c r="E6014" s="75"/>
      <c r="F6014" s="75"/>
      <c r="G6014" s="75"/>
      <c r="H6014" s="31"/>
    </row>
    <row r="6015" spans="2:8" hidden="1">
      <c r="B6015" s="405"/>
      <c r="C6015" s="76"/>
      <c r="D6015" s="731"/>
      <c r="E6015" s="75"/>
      <c r="F6015" s="75"/>
      <c r="G6015" s="75"/>
      <c r="H6015" s="31"/>
    </row>
    <row r="6016" spans="2:8" hidden="1">
      <c r="B6016" s="405"/>
      <c r="C6016" s="76"/>
      <c r="D6016" s="731"/>
      <c r="E6016" s="75"/>
      <c r="F6016" s="75"/>
      <c r="G6016" s="75"/>
      <c r="H6016" s="31"/>
    </row>
    <row r="6017" spans="2:8" hidden="1">
      <c r="B6017" s="405"/>
      <c r="C6017" s="76"/>
      <c r="D6017" s="731"/>
      <c r="E6017" s="75"/>
      <c r="F6017" s="75"/>
      <c r="G6017" s="75"/>
      <c r="H6017" s="31"/>
    </row>
    <row r="6018" spans="2:8" hidden="1">
      <c r="B6018" s="405"/>
      <c r="C6018" s="76"/>
      <c r="D6018" s="731"/>
      <c r="E6018" s="75"/>
      <c r="F6018" s="75"/>
      <c r="G6018" s="75"/>
      <c r="H6018" s="31"/>
    </row>
    <row r="6019" spans="2:8" hidden="1">
      <c r="B6019" s="405"/>
      <c r="C6019" s="76"/>
      <c r="D6019" s="731"/>
      <c r="E6019" s="75"/>
      <c r="F6019" s="75"/>
      <c r="G6019" s="75"/>
      <c r="H6019" s="31"/>
    </row>
    <row r="6020" spans="2:8" hidden="1">
      <c r="B6020" s="405"/>
      <c r="C6020" s="76"/>
      <c r="D6020" s="731"/>
      <c r="E6020" s="75"/>
      <c r="F6020" s="75"/>
      <c r="G6020" s="75"/>
      <c r="H6020" s="31"/>
    </row>
    <row r="6021" spans="2:8" hidden="1">
      <c r="B6021" s="405"/>
      <c r="C6021" s="76"/>
      <c r="D6021" s="731"/>
      <c r="E6021" s="75"/>
      <c r="F6021" s="75"/>
      <c r="G6021" s="75"/>
      <c r="H6021" s="31"/>
    </row>
    <row r="6022" spans="2:8" hidden="1">
      <c r="B6022" s="33"/>
      <c r="C6022" s="31"/>
      <c r="D6022" s="31"/>
      <c r="E6022" s="200"/>
      <c r="F6022" s="200"/>
      <c r="G6022" s="75"/>
      <c r="H6022" s="31"/>
    </row>
    <row r="6023" spans="2:8" hidden="1">
      <c r="B6023" s="33"/>
      <c r="C6023" s="31"/>
      <c r="D6023" s="31"/>
      <c r="E6023" s="198"/>
      <c r="F6023" s="200"/>
      <c r="G6023" s="75"/>
      <c r="H6023" s="31"/>
    </row>
    <row r="6024" spans="2:8" hidden="1">
      <c r="B6024" s="33"/>
      <c r="C6024" s="31"/>
      <c r="D6024" s="31"/>
      <c r="E6024" s="198"/>
      <c r="F6024" s="200"/>
      <c r="G6024" s="75"/>
      <c r="H6024" s="31"/>
    </row>
    <row r="6025" spans="2:8" hidden="1">
      <c r="B6025" s="33"/>
      <c r="C6025" s="31"/>
      <c r="D6025" s="31"/>
      <c r="E6025" s="198"/>
      <c r="F6025" s="200"/>
      <c r="G6025" s="75"/>
      <c r="H6025" s="31"/>
    </row>
    <row r="6026" spans="2:8" hidden="1">
      <c r="B6026" s="33"/>
      <c r="C6026" s="30"/>
      <c r="D6026" s="30"/>
      <c r="E6026" s="30"/>
      <c r="F6026" s="200"/>
      <c r="G6026" s="75"/>
      <c r="H6026" s="31"/>
    </row>
    <row r="6027" spans="2:8" hidden="1">
      <c r="B6027" s="33"/>
      <c r="C6027" s="31"/>
      <c r="D6027" s="31"/>
      <c r="E6027" s="31"/>
      <c r="F6027" s="31"/>
      <c r="G6027" s="31"/>
      <c r="H6027" s="31"/>
    </row>
    <row r="6028" spans="2:8" hidden="1">
      <c r="B6028" s="76"/>
      <c r="C6028" s="31"/>
      <c r="D6028" s="31"/>
      <c r="E6028" s="31"/>
      <c r="F6028" s="31"/>
      <c r="G6028" s="31"/>
      <c r="H6028" s="31"/>
    </row>
    <row r="6029" spans="2:8" hidden="1">
      <c r="B6029" s="33"/>
      <c r="C6029" s="33"/>
      <c r="D6029" s="33"/>
      <c r="E6029" s="33"/>
      <c r="F6029" s="33"/>
      <c r="G6029" s="33"/>
      <c r="H6029" s="31"/>
    </row>
    <row r="6030" spans="2:8" hidden="1">
      <c r="B6030" s="33"/>
      <c r="C6030" s="31"/>
      <c r="D6030" s="33"/>
      <c r="E6030" s="33"/>
      <c r="F6030" s="33"/>
      <c r="G6030" s="33"/>
      <c r="H6030" s="31"/>
    </row>
    <row r="6031" spans="2:8" hidden="1">
      <c r="B6031" s="405"/>
      <c r="C6031" s="76"/>
      <c r="D6031" s="731"/>
      <c r="E6031" s="75"/>
      <c r="F6031" s="75"/>
      <c r="G6031" s="75"/>
      <c r="H6031" s="31"/>
    </row>
    <row r="6032" spans="2:8" hidden="1">
      <c r="B6032" s="405"/>
      <c r="C6032" s="76"/>
      <c r="D6032" s="731"/>
      <c r="E6032" s="75"/>
      <c r="F6032" s="75"/>
      <c r="G6032" s="75"/>
      <c r="H6032" s="31"/>
    </row>
    <row r="6033" spans="2:8" hidden="1">
      <c r="B6033" s="405"/>
      <c r="C6033" s="76"/>
      <c r="D6033" s="731"/>
      <c r="E6033" s="75"/>
      <c r="F6033" s="75"/>
      <c r="G6033" s="75"/>
      <c r="H6033" s="31"/>
    </row>
    <row r="6034" spans="2:8" hidden="1">
      <c r="B6034" s="405"/>
      <c r="C6034" s="76"/>
      <c r="D6034" s="731"/>
      <c r="E6034" s="75"/>
      <c r="F6034" s="75"/>
      <c r="G6034" s="75"/>
      <c r="H6034" s="31"/>
    </row>
    <row r="6035" spans="2:8" hidden="1">
      <c r="B6035" s="405"/>
      <c r="C6035" s="76"/>
      <c r="D6035" s="731"/>
      <c r="E6035" s="75"/>
      <c r="F6035" s="75"/>
      <c r="G6035" s="75"/>
      <c r="H6035" s="31"/>
    </row>
    <row r="6036" spans="2:8" hidden="1">
      <c r="B6036" s="405"/>
      <c r="C6036" s="76"/>
      <c r="D6036" s="731"/>
      <c r="E6036" s="75"/>
      <c r="F6036" s="75"/>
      <c r="G6036" s="75"/>
      <c r="H6036" s="31"/>
    </row>
    <row r="6037" spans="2:8" hidden="1">
      <c r="B6037" s="405"/>
      <c r="C6037" s="76"/>
      <c r="D6037" s="731"/>
      <c r="E6037" s="75"/>
      <c r="F6037" s="75"/>
      <c r="G6037" s="75"/>
      <c r="H6037" s="31"/>
    </row>
    <row r="6038" spans="2:8" hidden="1">
      <c r="B6038" s="405"/>
      <c r="C6038" s="76"/>
      <c r="D6038" s="731"/>
      <c r="E6038" s="75"/>
      <c r="F6038" s="75"/>
      <c r="G6038" s="75"/>
      <c r="H6038" s="31"/>
    </row>
    <row r="6039" spans="2:8" hidden="1">
      <c r="B6039" s="405"/>
      <c r="C6039" s="76"/>
      <c r="D6039" s="731"/>
      <c r="E6039" s="75"/>
      <c r="F6039" s="75"/>
      <c r="G6039" s="75"/>
      <c r="H6039" s="31"/>
    </row>
    <row r="6040" spans="2:8" hidden="1">
      <c r="B6040" s="30"/>
      <c r="C6040" s="76"/>
      <c r="D6040" s="731"/>
      <c r="E6040" s="75"/>
      <c r="F6040" s="75"/>
      <c r="G6040" s="75"/>
      <c r="H6040" s="31"/>
    </row>
    <row r="6041" spans="2:8" hidden="1">
      <c r="B6041" s="30"/>
      <c r="C6041" s="76"/>
      <c r="D6041" s="731"/>
      <c r="E6041" s="75"/>
      <c r="F6041" s="75"/>
      <c r="G6041" s="75"/>
      <c r="H6041" s="31"/>
    </row>
    <row r="6042" spans="2:8" hidden="1">
      <c r="B6042" s="30"/>
      <c r="C6042" s="76"/>
      <c r="D6042" s="731"/>
      <c r="E6042" s="75"/>
      <c r="F6042" s="75"/>
      <c r="G6042" s="75"/>
      <c r="H6042" s="31"/>
    </row>
    <row r="6043" spans="2:8" hidden="1">
      <c r="B6043" s="33"/>
      <c r="C6043" s="31"/>
      <c r="D6043" s="31"/>
      <c r="E6043" s="200"/>
      <c r="F6043" s="200"/>
      <c r="G6043" s="75"/>
      <c r="H6043" s="31"/>
    </row>
    <row r="6044" spans="2:8" hidden="1">
      <c r="B6044" s="33"/>
      <c r="C6044" s="31"/>
      <c r="D6044" s="31"/>
      <c r="E6044" s="198"/>
      <c r="F6044" s="200"/>
      <c r="G6044" s="75"/>
      <c r="H6044" s="31"/>
    </row>
    <row r="6045" spans="2:8" hidden="1">
      <c r="B6045" s="33"/>
      <c r="C6045" s="31"/>
      <c r="D6045" s="31"/>
      <c r="E6045" s="198"/>
      <c r="F6045" s="200"/>
      <c r="G6045" s="75"/>
      <c r="H6045" s="31"/>
    </row>
    <row r="6046" spans="2:8" hidden="1">
      <c r="B6046" s="33"/>
      <c r="C6046" s="31"/>
      <c r="D6046" s="31"/>
      <c r="E6046" s="198"/>
      <c r="F6046" s="200"/>
      <c r="G6046" s="75"/>
      <c r="H6046" s="31"/>
    </row>
    <row r="6047" spans="2:8" hidden="1">
      <c r="B6047" s="33"/>
      <c r="C6047" s="31"/>
      <c r="D6047" s="31"/>
      <c r="E6047" s="198"/>
      <c r="F6047" s="200"/>
      <c r="G6047" s="75"/>
      <c r="H6047" s="31"/>
    </row>
    <row r="6048" spans="2:8" hidden="1">
      <c r="B6048" s="33"/>
      <c r="C6048" s="31"/>
      <c r="D6048" s="31"/>
      <c r="E6048" s="198"/>
      <c r="F6048" s="200"/>
      <c r="G6048" s="75"/>
      <c r="H6048" s="31"/>
    </row>
    <row r="6049" spans="2:8" hidden="1">
      <c r="B6049" s="33"/>
      <c r="C6049" s="200"/>
      <c r="D6049" s="30"/>
      <c r="E6049" s="30"/>
      <c r="F6049" s="200"/>
      <c r="G6049" s="75"/>
      <c r="H6049" s="31"/>
    </row>
    <row r="6050" spans="2:8" hidden="1">
      <c r="B6050" s="33"/>
      <c r="C6050" s="31"/>
      <c r="D6050" s="31"/>
      <c r="E6050" s="31"/>
      <c r="F6050" s="31"/>
      <c r="G6050" s="31"/>
      <c r="H6050" s="31"/>
    </row>
    <row r="6051" spans="2:8" hidden="1">
      <c r="B6051" s="33"/>
      <c r="C6051" s="31"/>
      <c r="D6051" s="31"/>
      <c r="E6051" s="31"/>
      <c r="F6051" s="31"/>
      <c r="G6051" s="31"/>
      <c r="H6051" s="31"/>
    </row>
    <row r="6052" spans="2:8" hidden="1">
      <c r="B6052" s="33"/>
      <c r="C6052" s="31"/>
      <c r="D6052" s="31"/>
      <c r="E6052" s="31"/>
      <c r="F6052" s="200"/>
      <c r="G6052" s="75"/>
      <c r="H6052" s="31"/>
    </row>
    <row r="6053" spans="2:8" hidden="1">
      <c r="B6053" s="33"/>
      <c r="C6053" s="31"/>
      <c r="D6053" s="31"/>
      <c r="E6053" s="31"/>
      <c r="F6053" s="200"/>
      <c r="G6053" s="75"/>
      <c r="H6053" s="31"/>
    </row>
    <row r="6054" spans="2:8" hidden="1">
      <c r="B6054" s="33"/>
      <c r="C6054" s="31"/>
      <c r="D6054" s="31"/>
      <c r="E6054" s="31"/>
      <c r="F6054" s="200"/>
      <c r="G6054" s="75"/>
      <c r="H6054" s="31"/>
    </row>
    <row r="6055" spans="2:8" hidden="1">
      <c r="B6055" s="33"/>
      <c r="C6055" s="31"/>
      <c r="D6055" s="31"/>
      <c r="E6055" s="200"/>
      <c r="F6055" s="200"/>
      <c r="G6055" s="75"/>
      <c r="H6055" s="31"/>
    </row>
    <row r="6056" spans="2:8" hidden="1">
      <c r="B6056" s="33"/>
      <c r="C6056" s="31"/>
      <c r="D6056" s="31"/>
      <c r="E6056" s="301"/>
      <c r="F6056" s="200"/>
      <c r="G6056" s="75"/>
      <c r="H6056" s="31"/>
    </row>
    <row r="6057" spans="2:8" hidden="1">
      <c r="B6057" s="33"/>
      <c r="C6057" s="31"/>
      <c r="D6057" s="31"/>
      <c r="E6057" s="767"/>
      <c r="F6057" s="200"/>
      <c r="G6057" s="75"/>
      <c r="H6057" s="31"/>
    </row>
    <row r="6058" spans="2:8" hidden="1">
      <c r="B6058" s="33"/>
      <c r="C6058" s="31"/>
      <c r="D6058" s="31"/>
      <c r="E6058" s="767"/>
      <c r="F6058" s="200"/>
      <c r="G6058" s="75"/>
      <c r="H6058" s="31"/>
    </row>
    <row r="6059" spans="2:8" hidden="1">
      <c r="B6059" s="33"/>
      <c r="C6059" s="31"/>
      <c r="D6059" s="31"/>
      <c r="E6059" s="767"/>
      <c r="F6059" s="200"/>
      <c r="G6059" s="75"/>
      <c r="H6059" s="31"/>
    </row>
    <row r="6060" spans="2:8" hidden="1">
      <c r="B6060" s="33"/>
      <c r="C6060" s="31"/>
      <c r="D6060" s="31"/>
      <c r="E6060" s="767"/>
      <c r="F6060" s="200"/>
      <c r="G6060" s="75"/>
      <c r="H6060" s="31"/>
    </row>
    <row r="6061" spans="2:8" hidden="1">
      <c r="B6061" s="33"/>
      <c r="C6061" s="31"/>
      <c r="D6061" s="75"/>
      <c r="E6061" s="767"/>
      <c r="F6061" s="200"/>
      <c r="G6061" s="75"/>
      <c r="H6061" s="31"/>
    </row>
    <row r="6062" spans="2:8" hidden="1">
      <c r="B6062" s="33"/>
      <c r="C6062" s="31"/>
      <c r="D6062" s="31"/>
      <c r="E6062" s="767"/>
      <c r="F6062" s="200"/>
      <c r="G6062" s="75"/>
      <c r="H6062" s="31"/>
    </row>
    <row r="6063" spans="2:8" hidden="1">
      <c r="B6063" s="33"/>
      <c r="C6063" s="31"/>
      <c r="D6063" s="31"/>
      <c r="E6063" s="200"/>
      <c r="F6063" s="200"/>
      <c r="G6063" s="75"/>
      <c r="H6063" s="31"/>
    </row>
    <row r="6064" spans="2:8" hidden="1">
      <c r="B6064" s="33"/>
      <c r="C6064" s="31"/>
      <c r="D6064" s="31"/>
      <c r="E6064" s="200"/>
      <c r="F6064" s="200"/>
      <c r="G6064" s="31"/>
      <c r="H6064" s="31"/>
    </row>
    <row r="6065" spans="2:8" hidden="1">
      <c r="B6065" s="33"/>
      <c r="C6065" s="31"/>
      <c r="D6065" s="75"/>
      <c r="E6065" s="76"/>
      <c r="F6065" s="200"/>
      <c r="G6065" s="75"/>
      <c r="H6065" s="31"/>
    </row>
    <row r="6066" spans="2:8" hidden="1">
      <c r="B6066" s="33"/>
      <c r="C6066" s="31"/>
      <c r="D6066" s="198"/>
      <c r="E6066" s="198"/>
      <c r="F6066" s="200"/>
      <c r="G6066" s="75"/>
      <c r="H6066" s="31"/>
    </row>
    <row r="6067" spans="2:8" hidden="1">
      <c r="B6067" s="33"/>
      <c r="C6067" s="31"/>
      <c r="D6067" s="768"/>
      <c r="E6067" s="31"/>
      <c r="F6067" s="200"/>
      <c r="G6067" s="75"/>
      <c r="H6067" s="31"/>
    </row>
    <row r="6068" spans="2:8" hidden="1">
      <c r="B6068" s="33"/>
      <c r="C6068" s="31"/>
      <c r="D6068" s="200"/>
      <c r="E6068" s="31"/>
      <c r="F6068" s="200"/>
      <c r="G6068" s="75"/>
      <c r="H6068" s="31"/>
    </row>
    <row r="6069" spans="2:8" hidden="1">
      <c r="B6069" s="33"/>
      <c r="C6069" s="31"/>
      <c r="D6069" s="31"/>
      <c r="E6069" s="31"/>
      <c r="F6069" s="31"/>
      <c r="G6069" s="31"/>
      <c r="H6069" s="31"/>
    </row>
    <row r="6070" spans="2:8" hidden="1">
      <c r="B6070" s="33"/>
      <c r="C6070" s="31"/>
      <c r="D6070" s="31"/>
      <c r="E6070" s="31"/>
      <c r="F6070" s="31"/>
      <c r="G6070" s="31"/>
      <c r="H6070" s="31"/>
    </row>
    <row r="6071" spans="2:8" hidden="1">
      <c r="B6071" s="33"/>
      <c r="C6071" s="31"/>
      <c r="D6071" s="33"/>
      <c r="E6071" s="31"/>
      <c r="F6071" s="200"/>
      <c r="G6071" s="76"/>
      <c r="H6071" s="31"/>
    </row>
    <row r="6072" spans="2:8" hidden="1">
      <c r="B6072" s="33"/>
      <c r="C6072" s="31"/>
      <c r="D6072" s="31"/>
      <c r="E6072" s="31"/>
      <c r="F6072" s="31"/>
      <c r="G6072" s="31"/>
      <c r="H6072" s="31"/>
    </row>
    <row r="6073" spans="2:8" hidden="1">
      <c r="B6073" s="33"/>
      <c r="C6073" s="31"/>
      <c r="D6073" s="31"/>
      <c r="E6073" s="31"/>
      <c r="F6073" s="31"/>
      <c r="G6073" s="31"/>
      <c r="H6073" s="31"/>
    </row>
    <row r="6074" spans="2:8" hidden="1">
      <c r="B6074" s="33"/>
      <c r="C6074" s="31"/>
      <c r="D6074" s="31"/>
      <c r="E6074" s="31"/>
      <c r="F6074" s="31"/>
      <c r="G6074" s="31"/>
      <c r="H6074" s="31"/>
    </row>
    <row r="6075" spans="2:8" hidden="1">
      <c r="B6075" s="33"/>
      <c r="C6075" s="31"/>
      <c r="D6075" s="31"/>
      <c r="E6075" s="31"/>
      <c r="F6075" s="31"/>
      <c r="G6075" s="31"/>
      <c r="H6075" s="31"/>
    </row>
    <row r="6076" spans="2:8" hidden="1">
      <c r="B6076" s="33"/>
      <c r="C6076" s="31"/>
      <c r="D6076" s="31"/>
      <c r="E6076" s="31"/>
      <c r="F6076" s="31"/>
      <c r="G6076" s="31"/>
      <c r="H6076" s="31"/>
    </row>
    <row r="6077" spans="2:8" hidden="1">
      <c r="B6077" s="33"/>
      <c r="C6077" s="31"/>
      <c r="D6077" s="31"/>
      <c r="E6077" s="31"/>
      <c r="F6077" s="31"/>
      <c r="G6077" s="31"/>
      <c r="H6077" s="31"/>
    </row>
    <row r="6078" spans="2:8" hidden="1">
      <c r="B6078" s="33"/>
      <c r="C6078" s="31"/>
      <c r="D6078" s="31"/>
      <c r="E6078" s="31"/>
      <c r="F6078" s="31"/>
      <c r="G6078" s="31"/>
      <c r="H6078" s="31"/>
    </row>
    <row r="6079" spans="2:8" hidden="1">
      <c r="B6079" s="33"/>
      <c r="C6079" s="31"/>
      <c r="D6079" s="31"/>
      <c r="E6079" s="31"/>
      <c r="F6079" s="31"/>
      <c r="G6079" s="31"/>
      <c r="H6079" s="31"/>
    </row>
    <row r="6080" spans="2:8" hidden="1">
      <c r="B6080" s="33"/>
      <c r="C6080" s="31"/>
      <c r="D6080" s="31"/>
      <c r="E6080" s="31"/>
      <c r="F6080" s="31"/>
      <c r="G6080" s="31"/>
      <c r="H6080" s="31"/>
    </row>
    <row r="6081" spans="2:8" hidden="1">
      <c r="B6081" s="33"/>
      <c r="C6081" s="31"/>
      <c r="D6081" s="31"/>
      <c r="E6081" s="31"/>
      <c r="F6081" s="31"/>
      <c r="G6081" s="31"/>
      <c r="H6081" s="31"/>
    </row>
    <row r="6082" spans="2:8" hidden="1">
      <c r="B6082" s="33"/>
      <c r="C6082" s="31"/>
      <c r="D6082" s="31"/>
      <c r="E6082" s="31"/>
      <c r="F6082" s="31"/>
      <c r="G6082" s="31"/>
      <c r="H6082" s="31"/>
    </row>
    <row r="6083" spans="2:8" hidden="1">
      <c r="B6083" s="33"/>
      <c r="C6083" s="31"/>
      <c r="D6083" s="31"/>
      <c r="E6083" s="31"/>
      <c r="F6083" s="31"/>
      <c r="G6083" s="31"/>
      <c r="H6083" s="31"/>
    </row>
    <row r="6084" spans="2:8" hidden="1">
      <c r="B6084" s="33"/>
      <c r="C6084" s="31"/>
      <c r="D6084" s="31"/>
      <c r="E6084" s="31"/>
      <c r="F6084" s="31"/>
      <c r="G6084" s="31"/>
      <c r="H6084" s="31"/>
    </row>
    <row r="6085" spans="2:8" hidden="1">
      <c r="B6085" s="33"/>
      <c r="C6085" s="31"/>
      <c r="D6085" s="31"/>
      <c r="E6085" s="31"/>
      <c r="F6085" s="31"/>
      <c r="G6085" s="31"/>
      <c r="H6085" s="31"/>
    </row>
    <row r="6086" spans="2:8" hidden="1">
      <c r="B6086" s="33"/>
      <c r="C6086" s="31"/>
      <c r="D6086" s="31"/>
      <c r="E6086" s="31"/>
      <c r="F6086" s="31"/>
      <c r="G6086" s="31"/>
      <c r="H6086" s="31"/>
    </row>
    <row r="6087" spans="2:8" hidden="1">
      <c r="B6087" s="33"/>
      <c r="C6087" s="31"/>
      <c r="D6087" s="31"/>
      <c r="E6087" s="31"/>
      <c r="F6087" s="31"/>
      <c r="G6087" s="31"/>
      <c r="H6087" s="31"/>
    </row>
    <row r="6088" spans="2:8" hidden="1">
      <c r="B6088" s="33"/>
      <c r="C6088" s="31"/>
      <c r="D6088" s="31"/>
      <c r="E6088" s="31"/>
      <c r="F6088" s="31"/>
      <c r="G6088" s="31"/>
      <c r="H6088" s="31"/>
    </row>
    <row r="6089" spans="2:8" hidden="1">
      <c r="B6089" s="33"/>
      <c r="C6089" s="31"/>
      <c r="D6089" s="31"/>
      <c r="E6089" s="31"/>
      <c r="F6089" s="31"/>
      <c r="G6089" s="31"/>
      <c r="H6089" s="31"/>
    </row>
    <row r="6090" spans="2:8" hidden="1">
      <c r="B6090" s="33"/>
      <c r="C6090" s="200"/>
      <c r="D6090" s="31"/>
      <c r="E6090" s="31"/>
      <c r="F6090" s="691"/>
      <c r="G6090" s="31"/>
      <c r="H6090" s="31"/>
    </row>
    <row r="6091" spans="2:8" hidden="1">
      <c r="B6091" s="33"/>
      <c r="C6091" s="31"/>
      <c r="D6091" s="31"/>
      <c r="E6091" s="31"/>
      <c r="F6091" s="691"/>
      <c r="G6091" s="31"/>
      <c r="H6091" s="31"/>
    </row>
    <row r="6092" spans="2:8" hidden="1">
      <c r="B6092" s="33"/>
      <c r="C6092" s="31"/>
      <c r="D6092" s="31"/>
      <c r="E6092" s="31"/>
      <c r="F6092" s="691"/>
      <c r="G6092" s="31"/>
      <c r="H6092" s="31"/>
    </row>
    <row r="6093" spans="2:8" hidden="1">
      <c r="B6093" s="33"/>
      <c r="C6093" s="31"/>
      <c r="D6093" s="31"/>
      <c r="E6093" s="31"/>
      <c r="F6093" s="691"/>
      <c r="G6093" s="31"/>
      <c r="H6093" s="31"/>
    </row>
    <row r="6094" spans="2:8" hidden="1">
      <c r="B6094" s="33"/>
      <c r="C6094" s="31"/>
      <c r="D6094" s="31"/>
      <c r="E6094" s="31"/>
      <c r="F6094" s="731"/>
      <c r="G6094" s="768"/>
      <c r="H6094" s="31"/>
    </row>
    <row r="6095" spans="2:8" hidden="1">
      <c r="B6095" s="33"/>
      <c r="C6095" s="31"/>
      <c r="D6095" s="31"/>
      <c r="E6095" s="31"/>
      <c r="F6095" s="691"/>
      <c r="G6095" s="768"/>
      <c r="H6095" s="31"/>
    </row>
    <row r="6096" spans="2:8" hidden="1">
      <c r="B6096" s="33"/>
      <c r="C6096" s="31"/>
      <c r="D6096" s="31"/>
      <c r="E6096" s="31"/>
      <c r="F6096" s="691"/>
      <c r="G6096" s="768"/>
      <c r="H6096" s="31"/>
    </row>
    <row r="6097" spans="2:8" hidden="1">
      <c r="B6097" s="33"/>
      <c r="C6097" s="31"/>
      <c r="D6097" s="31"/>
      <c r="E6097" s="31"/>
      <c r="F6097" s="691"/>
      <c r="G6097" s="768"/>
      <c r="H6097" s="31"/>
    </row>
    <row r="6098" spans="2:8" hidden="1">
      <c r="B6098" s="33"/>
      <c r="C6098" s="31"/>
      <c r="D6098" s="31"/>
      <c r="E6098" s="31"/>
      <c r="F6098" s="691"/>
      <c r="G6098" s="31"/>
      <c r="H6098" s="31"/>
    </row>
    <row r="6099" spans="2:8" hidden="1">
      <c r="B6099" s="33"/>
      <c r="C6099" s="31"/>
      <c r="D6099" s="31"/>
      <c r="E6099" s="31"/>
      <c r="F6099" s="31"/>
      <c r="G6099" s="31"/>
      <c r="H6099" s="31"/>
    </row>
    <row r="6100" spans="2:8" hidden="1">
      <c r="B6100" s="33"/>
      <c r="C6100" s="31"/>
      <c r="D6100" s="31"/>
      <c r="E6100" s="31"/>
      <c r="F6100" s="31"/>
      <c r="G6100" s="31"/>
      <c r="H6100" s="31"/>
    </row>
    <row r="6101" spans="2:8" hidden="1">
      <c r="B6101" s="200"/>
      <c r="C6101" s="31"/>
      <c r="D6101" s="31"/>
      <c r="E6101" s="31"/>
      <c r="F6101" s="31"/>
      <c r="G6101" s="31"/>
      <c r="H6101" s="31"/>
    </row>
    <row r="6102" spans="2:8" hidden="1">
      <c r="B6102" s="200"/>
      <c r="C6102" s="31"/>
      <c r="D6102" s="31"/>
      <c r="E6102" s="31"/>
      <c r="F6102" s="691"/>
      <c r="G6102" s="75"/>
      <c r="H6102" s="31"/>
    </row>
    <row r="6103" spans="2:8" hidden="1">
      <c r="B6103" s="200"/>
      <c r="C6103" s="31"/>
      <c r="D6103" s="31"/>
      <c r="E6103" s="31"/>
      <c r="F6103" s="691"/>
      <c r="G6103" s="75"/>
      <c r="H6103" s="31"/>
    </row>
    <row r="6104" spans="2:8" hidden="1">
      <c r="B6104" s="200"/>
      <c r="C6104" s="31"/>
      <c r="D6104" s="31"/>
      <c r="E6104" s="31"/>
      <c r="F6104" s="691"/>
      <c r="G6104" s="75"/>
      <c r="H6104" s="31"/>
    </row>
    <row r="6105" spans="2:8" hidden="1">
      <c r="B6105" s="200"/>
      <c r="C6105" s="31"/>
      <c r="D6105" s="31"/>
      <c r="E6105" s="31"/>
      <c r="F6105" s="31"/>
      <c r="G6105" s="75"/>
      <c r="H6105" s="31"/>
    </row>
    <row r="6106" spans="2:8" hidden="1">
      <c r="B6106" s="200"/>
      <c r="C6106" s="31"/>
      <c r="D6106" s="31"/>
      <c r="E6106" s="31"/>
      <c r="F6106" s="691"/>
      <c r="G6106" s="75"/>
      <c r="H6106" s="31"/>
    </row>
    <row r="6107" spans="2:8" hidden="1">
      <c r="B6107" s="200"/>
      <c r="C6107" s="31"/>
      <c r="D6107" s="31"/>
      <c r="E6107" s="31"/>
      <c r="F6107" s="31"/>
      <c r="G6107" s="75"/>
      <c r="H6107" s="31"/>
    </row>
    <row r="6108" spans="2:8" hidden="1">
      <c r="B6108" s="200"/>
      <c r="C6108" s="31"/>
      <c r="D6108" s="31"/>
      <c r="E6108" s="31"/>
      <c r="F6108" s="691"/>
      <c r="G6108" s="75"/>
      <c r="H6108" s="31"/>
    </row>
    <row r="6109" spans="2:8" hidden="1">
      <c r="B6109" s="200"/>
      <c r="C6109" s="31"/>
      <c r="D6109" s="31"/>
      <c r="E6109" s="31"/>
      <c r="F6109" s="31"/>
      <c r="G6109" s="75"/>
      <c r="H6109" s="31"/>
    </row>
    <row r="6110" spans="2:8" hidden="1">
      <c r="B6110" s="200"/>
      <c r="C6110" s="31"/>
      <c r="D6110" s="31"/>
      <c r="E6110" s="31"/>
      <c r="F6110" s="691"/>
      <c r="G6110" s="75"/>
      <c r="H6110" s="31"/>
    </row>
    <row r="6111" spans="2:8" hidden="1">
      <c r="B6111" s="200"/>
      <c r="C6111" s="31"/>
      <c r="D6111" s="31"/>
      <c r="E6111" s="31"/>
      <c r="F6111" s="31"/>
      <c r="G6111" s="75"/>
      <c r="H6111" s="31"/>
    </row>
    <row r="6112" spans="2:8" hidden="1">
      <c r="B6112" s="200"/>
      <c r="C6112" s="31"/>
      <c r="D6112" s="31"/>
      <c r="E6112" s="31"/>
      <c r="F6112" s="691"/>
      <c r="G6112" s="75"/>
      <c r="H6112" s="31"/>
    </row>
    <row r="6113" spans="2:8" hidden="1">
      <c r="B6113" s="200"/>
      <c r="C6113" s="31"/>
      <c r="D6113" s="31"/>
      <c r="E6113" s="31"/>
      <c r="F6113" s="691"/>
      <c r="G6113" s="31"/>
      <c r="H6113" s="31"/>
    </row>
    <row r="6114" spans="2:8" hidden="1">
      <c r="B6114" s="200"/>
      <c r="C6114" s="31"/>
      <c r="D6114" s="31"/>
      <c r="E6114" s="31"/>
      <c r="F6114" s="31"/>
      <c r="G6114" s="31"/>
      <c r="H6114" s="31"/>
    </row>
    <row r="6115" spans="2:8" hidden="1">
      <c r="B6115" s="33"/>
      <c r="C6115" s="31"/>
      <c r="D6115" s="31"/>
      <c r="E6115" s="31"/>
      <c r="F6115" s="691"/>
      <c r="G6115" s="31"/>
      <c r="H6115" s="31"/>
    </row>
    <row r="6116" spans="2:8" hidden="1">
      <c r="B6116" s="33"/>
      <c r="C6116" s="31"/>
      <c r="D6116" s="31"/>
      <c r="E6116" s="31"/>
      <c r="F6116" s="691"/>
      <c r="G6116" s="31"/>
      <c r="H6116" s="31"/>
    </row>
    <row r="6117" spans="2:8" hidden="1">
      <c r="B6117" s="33"/>
      <c r="C6117" s="31"/>
      <c r="D6117" s="31"/>
      <c r="E6117" s="31"/>
      <c r="F6117" s="31"/>
      <c r="G6117" s="31"/>
      <c r="H6117" s="31"/>
    </row>
    <row r="6118" spans="2:8" hidden="1">
      <c r="B6118" s="33"/>
      <c r="C6118" s="31"/>
      <c r="D6118" s="31"/>
      <c r="E6118" s="31"/>
      <c r="F6118" s="691"/>
      <c r="G6118" s="31"/>
      <c r="H6118" s="31"/>
    </row>
    <row r="6119" spans="2:8" hidden="1">
      <c r="B6119" s="33"/>
      <c r="C6119" s="31"/>
      <c r="D6119" s="31"/>
      <c r="E6119" s="31"/>
      <c r="F6119" s="691"/>
      <c r="G6119" s="31"/>
      <c r="H6119" s="31"/>
    </row>
    <row r="6120" spans="2:8" hidden="1">
      <c r="B6120" s="33"/>
      <c r="C6120" s="31"/>
      <c r="D6120" s="31"/>
      <c r="E6120" s="200"/>
      <c r="F6120" s="691"/>
      <c r="G6120" s="31"/>
      <c r="H6120" s="31"/>
    </row>
    <row r="6121" spans="2:8" hidden="1">
      <c r="B6121" s="33"/>
      <c r="C6121" s="31"/>
      <c r="D6121" s="31"/>
      <c r="E6121" s="31"/>
      <c r="F6121" s="691"/>
      <c r="G6121" s="31"/>
      <c r="H6121" s="31"/>
    </row>
    <row r="6122" spans="2:8" hidden="1">
      <c r="B6122" s="33"/>
      <c r="C6122" s="31"/>
      <c r="D6122" s="31"/>
      <c r="E6122" s="31"/>
      <c r="F6122" s="691"/>
      <c r="G6122" s="31"/>
      <c r="H6122" s="31"/>
    </row>
    <row r="6123" spans="2:8" hidden="1">
      <c r="B6123" s="33"/>
      <c r="C6123" s="31"/>
      <c r="D6123" s="31"/>
      <c r="E6123" s="31"/>
      <c r="F6123" s="691"/>
      <c r="G6123" s="31"/>
      <c r="H6123" s="31"/>
    </row>
    <row r="6124" spans="2:8" hidden="1">
      <c r="B6124" s="33"/>
      <c r="C6124" s="31"/>
      <c r="D6124" s="31"/>
      <c r="E6124" s="31"/>
      <c r="F6124" s="691"/>
      <c r="G6124" s="31"/>
      <c r="H6124" s="31"/>
    </row>
    <row r="6125" spans="2:8" hidden="1">
      <c r="B6125" s="33"/>
      <c r="C6125" s="31"/>
      <c r="D6125" s="31"/>
      <c r="E6125" s="31"/>
      <c r="F6125" s="691"/>
      <c r="G6125" s="31"/>
      <c r="H6125" s="31"/>
    </row>
    <row r="6126" spans="2:8" hidden="1">
      <c r="B6126" s="33"/>
      <c r="C6126" s="31"/>
      <c r="D6126" s="31"/>
      <c r="E6126" s="31"/>
      <c r="F6126" s="691"/>
      <c r="G6126" s="31"/>
      <c r="H6126" s="31"/>
    </row>
    <row r="6127" spans="2:8" hidden="1">
      <c r="B6127" s="33"/>
      <c r="C6127" s="31"/>
      <c r="D6127" s="31"/>
      <c r="E6127" s="31"/>
      <c r="F6127" s="691"/>
      <c r="G6127" s="31"/>
      <c r="H6127" s="31"/>
    </row>
    <row r="6128" spans="2:8" hidden="1">
      <c r="B6128" s="33"/>
      <c r="C6128" s="31"/>
      <c r="D6128" s="31"/>
      <c r="E6128" s="31"/>
      <c r="F6128" s="691"/>
      <c r="G6128" s="31"/>
      <c r="H6128" s="31"/>
    </row>
    <row r="6129" spans="2:8" hidden="1">
      <c r="B6129" s="33"/>
      <c r="C6129" s="31"/>
      <c r="D6129" s="31"/>
      <c r="E6129" s="31"/>
      <c r="F6129" s="691"/>
      <c r="G6129" s="31"/>
      <c r="H6129" s="31"/>
    </row>
    <row r="6130" spans="2:8" hidden="1">
      <c r="B6130" s="33"/>
      <c r="C6130" s="31"/>
      <c r="D6130" s="31"/>
      <c r="E6130" s="31"/>
      <c r="F6130" s="691"/>
      <c r="G6130" s="31"/>
      <c r="H6130" s="31"/>
    </row>
    <row r="6131" spans="2:8" hidden="1">
      <c r="B6131" s="33"/>
      <c r="C6131" s="31"/>
      <c r="D6131" s="31"/>
      <c r="E6131" s="31"/>
      <c r="F6131" s="691"/>
      <c r="G6131" s="31"/>
      <c r="H6131" s="31"/>
    </row>
    <row r="6132" spans="2:8" hidden="1">
      <c r="B6132" s="33"/>
      <c r="C6132" s="31"/>
      <c r="D6132" s="31"/>
      <c r="E6132" s="200"/>
      <c r="F6132" s="691"/>
      <c r="G6132" s="31"/>
      <c r="H6132" s="31"/>
    </row>
    <row r="6133" spans="2:8" hidden="1">
      <c r="B6133" s="33"/>
      <c r="C6133" s="31"/>
      <c r="D6133" s="31"/>
      <c r="E6133" s="31"/>
      <c r="F6133" s="691"/>
      <c r="G6133" s="31"/>
      <c r="H6133" s="31"/>
    </row>
    <row r="6134" spans="2:8" hidden="1">
      <c r="B6134" s="33"/>
      <c r="C6134" s="31"/>
      <c r="D6134" s="31"/>
      <c r="E6134" s="31"/>
      <c r="F6134" s="691"/>
      <c r="G6134" s="31"/>
      <c r="H6134" s="31"/>
    </row>
    <row r="6135" spans="2:8" hidden="1">
      <c r="B6135" s="33"/>
      <c r="C6135" s="31"/>
      <c r="D6135" s="31"/>
      <c r="E6135" s="31"/>
      <c r="F6135" s="691"/>
      <c r="G6135" s="31"/>
      <c r="H6135" s="31"/>
    </row>
    <row r="6136" spans="2:8" hidden="1">
      <c r="B6136" s="33"/>
      <c r="C6136" s="31"/>
      <c r="D6136" s="31"/>
      <c r="E6136" s="31"/>
      <c r="F6136" s="691"/>
      <c r="G6136" s="31"/>
      <c r="H6136" s="31"/>
    </row>
    <row r="6137" spans="2:8" hidden="1">
      <c r="B6137" s="33"/>
      <c r="C6137" s="31"/>
      <c r="D6137" s="31"/>
      <c r="E6137" s="31"/>
      <c r="F6137" s="691"/>
      <c r="G6137" s="31"/>
      <c r="H6137" s="31"/>
    </row>
    <row r="6138" spans="2:8" hidden="1">
      <c r="B6138" s="33"/>
      <c r="C6138" s="31"/>
      <c r="D6138" s="31"/>
      <c r="E6138" s="31"/>
      <c r="F6138" s="691"/>
      <c r="G6138" s="31"/>
      <c r="H6138" s="31"/>
    </row>
    <row r="6139" spans="2:8" hidden="1">
      <c r="B6139" s="33"/>
      <c r="C6139" s="31"/>
      <c r="D6139" s="31"/>
      <c r="E6139" s="31"/>
      <c r="F6139" s="691"/>
      <c r="G6139" s="31"/>
      <c r="H6139" s="31"/>
    </row>
    <row r="6140" spans="2:8" hidden="1">
      <c r="B6140" s="33"/>
      <c r="C6140" s="31"/>
      <c r="D6140" s="31"/>
      <c r="E6140" s="31"/>
      <c r="F6140" s="691"/>
      <c r="G6140" s="31"/>
      <c r="H6140" s="31"/>
    </row>
    <row r="6141" spans="2:8" hidden="1">
      <c r="B6141" s="33"/>
      <c r="C6141" s="31"/>
      <c r="D6141" s="31"/>
      <c r="E6141" s="31"/>
      <c r="F6141" s="691"/>
      <c r="G6141" s="31"/>
      <c r="H6141" s="31"/>
    </row>
    <row r="6142" spans="2:8" hidden="1">
      <c r="B6142" s="33"/>
      <c r="C6142" s="31"/>
      <c r="D6142" s="31"/>
      <c r="E6142" s="31"/>
      <c r="F6142" s="691"/>
      <c r="G6142" s="31"/>
      <c r="H6142" s="31"/>
    </row>
    <row r="6143" spans="2:8" hidden="1">
      <c r="B6143" s="33"/>
      <c r="C6143" s="31"/>
      <c r="D6143" s="31"/>
      <c r="E6143" s="31"/>
      <c r="F6143" s="691"/>
      <c r="G6143" s="31"/>
      <c r="H6143" s="31"/>
    </row>
    <row r="6144" spans="2:8" hidden="1">
      <c r="B6144" s="33"/>
      <c r="C6144" s="31"/>
      <c r="D6144" s="31"/>
      <c r="E6144" s="31"/>
      <c r="F6144" s="691"/>
      <c r="G6144" s="31"/>
      <c r="H6144" s="31"/>
    </row>
    <row r="6145" spans="2:8" hidden="1">
      <c r="B6145" s="33"/>
      <c r="C6145" s="31"/>
      <c r="D6145" s="31"/>
      <c r="E6145" s="31"/>
      <c r="F6145" s="691"/>
      <c r="G6145" s="31"/>
      <c r="H6145" s="31"/>
    </row>
    <row r="6146" spans="2:8" hidden="1">
      <c r="B6146" s="33"/>
      <c r="C6146" s="31"/>
      <c r="D6146" s="31"/>
      <c r="E6146" s="31"/>
      <c r="F6146" s="31"/>
      <c r="G6146" s="31"/>
      <c r="H6146" s="31"/>
    </row>
    <row r="6147" spans="2:8" hidden="1">
      <c r="B6147" s="33"/>
      <c r="C6147" s="31"/>
      <c r="D6147" s="31"/>
      <c r="E6147" s="31"/>
      <c r="F6147" s="31"/>
      <c r="G6147" s="31"/>
      <c r="H6147" s="31"/>
    </row>
    <row r="6148" spans="2:8" hidden="1">
      <c r="B6148" s="33"/>
      <c r="C6148" s="31"/>
      <c r="D6148" s="31"/>
      <c r="E6148" s="31"/>
      <c r="F6148" s="31"/>
      <c r="G6148" s="31"/>
      <c r="H6148" s="31"/>
    </row>
    <row r="6149" spans="2:8" hidden="1">
      <c r="B6149" s="33"/>
      <c r="C6149" s="31"/>
      <c r="D6149" s="31"/>
      <c r="E6149" s="31"/>
      <c r="F6149" s="31"/>
      <c r="G6149" s="31"/>
      <c r="H6149" s="31"/>
    </row>
    <row r="6150" spans="2:8" hidden="1">
      <c r="B6150" s="33"/>
      <c r="C6150" s="31"/>
      <c r="D6150" s="31"/>
      <c r="E6150" s="31"/>
      <c r="F6150" s="31"/>
      <c r="G6150" s="31"/>
      <c r="H6150" s="31"/>
    </row>
    <row r="6151" spans="2:8" hidden="1">
      <c r="B6151" s="33"/>
      <c r="C6151" s="31"/>
      <c r="D6151" s="31"/>
      <c r="E6151" s="31"/>
      <c r="F6151" s="31"/>
      <c r="G6151" s="31"/>
      <c r="H6151" s="31"/>
    </row>
    <row r="6152" spans="2:8" hidden="1">
      <c r="B6152" s="33"/>
      <c r="C6152" s="31"/>
      <c r="D6152" s="31"/>
      <c r="E6152" s="31"/>
      <c r="F6152" s="31"/>
      <c r="G6152" s="31"/>
      <c r="H6152" s="31"/>
    </row>
    <row r="6153" spans="2:8" hidden="1">
      <c r="B6153" s="33"/>
      <c r="C6153" s="31"/>
      <c r="D6153" s="31"/>
      <c r="E6153" s="31"/>
      <c r="F6153" s="33"/>
      <c r="G6153" s="31"/>
      <c r="H6153" s="31"/>
    </row>
    <row r="6154" spans="2:8" hidden="1">
      <c r="B6154" s="33"/>
      <c r="C6154" s="31"/>
      <c r="D6154" s="33"/>
      <c r="E6154" s="33"/>
      <c r="F6154" s="33"/>
      <c r="G6154" s="33"/>
      <c r="H6154" s="31"/>
    </row>
    <row r="6155" spans="2:8" hidden="1">
      <c r="B6155" s="33"/>
      <c r="C6155" s="31"/>
      <c r="D6155" s="33"/>
      <c r="E6155" s="33"/>
      <c r="F6155" s="33"/>
      <c r="G6155" s="33"/>
      <c r="H6155" s="31"/>
    </row>
    <row r="6156" spans="2:8" hidden="1">
      <c r="B6156" s="33"/>
      <c r="C6156" s="31"/>
      <c r="D6156" s="33"/>
      <c r="E6156" s="33"/>
      <c r="F6156" s="33"/>
      <c r="G6156" s="33"/>
      <c r="H6156" s="31"/>
    </row>
    <row r="6157" spans="2:8" hidden="1">
      <c r="B6157" s="33"/>
      <c r="C6157" s="31"/>
      <c r="D6157" s="33"/>
      <c r="E6157" s="33"/>
      <c r="F6157" s="33"/>
      <c r="G6157" s="33"/>
      <c r="H6157" s="31"/>
    </row>
    <row r="6158" spans="2:8" hidden="1">
      <c r="B6158" s="33"/>
      <c r="C6158" s="33"/>
      <c r="D6158" s="33"/>
      <c r="E6158" s="33"/>
      <c r="F6158" s="33"/>
      <c r="G6158" s="33"/>
      <c r="H6158" s="31"/>
    </row>
    <row r="6159" spans="2:8" hidden="1">
      <c r="B6159" s="33"/>
      <c r="C6159" s="31"/>
      <c r="D6159" s="31"/>
      <c r="E6159" s="31"/>
      <c r="F6159" s="31"/>
      <c r="G6159" s="31"/>
      <c r="H6159" s="31"/>
    </row>
    <row r="6160" spans="2:8" hidden="1">
      <c r="B6160" s="33"/>
      <c r="C6160" s="31"/>
      <c r="D6160" s="31"/>
      <c r="E6160" s="31"/>
      <c r="F6160" s="31"/>
      <c r="G6160" s="31"/>
      <c r="H6160" s="31"/>
    </row>
    <row r="6161" spans="2:8" hidden="1">
      <c r="B6161" s="33"/>
      <c r="C6161" s="31"/>
      <c r="D6161" s="31"/>
      <c r="E6161" s="31"/>
      <c r="F6161" s="31"/>
      <c r="G6161" s="31"/>
      <c r="H6161" s="31"/>
    </row>
    <row r="6162" spans="2:8" hidden="1">
      <c r="B6162" s="33"/>
      <c r="C6162" s="31"/>
      <c r="D6162" s="31"/>
      <c r="E6162" s="31"/>
      <c r="F6162" s="31"/>
      <c r="G6162" s="31"/>
      <c r="H6162" s="31"/>
    </row>
    <row r="6163" spans="2:8" hidden="1">
      <c r="B6163" s="33"/>
      <c r="C6163" s="31"/>
      <c r="D6163" s="31"/>
      <c r="E6163" s="31"/>
      <c r="F6163" s="31"/>
      <c r="G6163" s="31"/>
      <c r="H6163" s="31"/>
    </row>
    <row r="6164" spans="2:8" hidden="1">
      <c r="B6164" s="33"/>
      <c r="C6164" s="31"/>
      <c r="D6164" s="31"/>
      <c r="E6164" s="31"/>
      <c r="F6164" s="31"/>
      <c r="G6164" s="31"/>
      <c r="H6164" s="31"/>
    </row>
    <row r="6165" spans="2:8" hidden="1">
      <c r="B6165" s="33"/>
      <c r="C6165" s="31"/>
      <c r="D6165" s="31"/>
      <c r="E6165" s="31"/>
      <c r="F6165" s="31"/>
      <c r="G6165" s="31"/>
      <c r="H6165" s="31"/>
    </row>
    <row r="6166" spans="2:8" hidden="1">
      <c r="B6166" s="33"/>
      <c r="C6166" s="31"/>
      <c r="D6166" s="31"/>
      <c r="E6166" s="31"/>
      <c r="F6166" s="31"/>
      <c r="G6166" s="31"/>
      <c r="H6166" s="31"/>
    </row>
    <row r="6167" spans="2:8" hidden="1">
      <c r="B6167" s="33"/>
      <c r="C6167" s="31"/>
      <c r="D6167" s="31"/>
      <c r="E6167" s="31"/>
      <c r="F6167" s="31"/>
      <c r="G6167" s="31"/>
      <c r="H6167" s="31"/>
    </row>
    <row r="6168" spans="2:8" hidden="1">
      <c r="B6168" s="33"/>
      <c r="C6168" s="31"/>
      <c r="D6168" s="31"/>
      <c r="E6168" s="31"/>
      <c r="F6168" s="31"/>
      <c r="G6168" s="31"/>
      <c r="H6168" s="31"/>
    </row>
    <row r="6169" spans="2:8" hidden="1">
      <c r="B6169" s="33"/>
      <c r="C6169" s="31"/>
      <c r="D6169" s="31"/>
      <c r="E6169" s="31"/>
      <c r="F6169" s="31"/>
      <c r="G6169" s="31"/>
      <c r="H6169" s="31"/>
    </row>
    <row r="6170" spans="2:8" hidden="1">
      <c r="B6170" s="33"/>
      <c r="C6170" s="31"/>
      <c r="D6170" s="31"/>
      <c r="E6170" s="31"/>
      <c r="F6170" s="31"/>
      <c r="G6170" s="31"/>
      <c r="H6170" s="31"/>
    </row>
    <row r="6171" spans="2:8" hidden="1">
      <c r="B6171" s="33"/>
      <c r="C6171" s="31"/>
      <c r="D6171" s="75"/>
      <c r="E6171" s="31"/>
      <c r="F6171" s="405"/>
      <c r="G6171" s="75"/>
      <c r="H6171" s="31"/>
    </row>
    <row r="6172" spans="2:8" hidden="1">
      <c r="B6172" s="33"/>
      <c r="C6172" s="31"/>
      <c r="D6172" s="31"/>
      <c r="E6172" s="31"/>
      <c r="F6172" s="691"/>
      <c r="G6172" s="732"/>
      <c r="H6172" s="31"/>
    </row>
    <row r="6173" spans="2:8" hidden="1">
      <c r="B6173" s="33"/>
      <c r="C6173" s="31"/>
      <c r="D6173" s="31"/>
      <c r="E6173" s="31"/>
      <c r="F6173" s="405"/>
      <c r="G6173" s="75"/>
      <c r="H6173" s="31"/>
    </row>
    <row r="6174" spans="2:8" hidden="1">
      <c r="B6174" s="33"/>
      <c r="C6174" s="31"/>
      <c r="D6174" s="75"/>
      <c r="E6174" s="31"/>
      <c r="F6174" s="405"/>
      <c r="G6174" s="75"/>
      <c r="H6174" s="31"/>
    </row>
    <row r="6175" spans="2:8" hidden="1">
      <c r="B6175" s="33"/>
      <c r="C6175" s="31"/>
      <c r="D6175" s="31"/>
      <c r="E6175" s="31"/>
      <c r="F6175" s="691"/>
      <c r="G6175" s="732"/>
      <c r="H6175" s="31"/>
    </row>
    <row r="6176" spans="2:8" hidden="1">
      <c r="B6176" s="33"/>
      <c r="C6176" s="31"/>
      <c r="D6176" s="31"/>
      <c r="E6176" s="31"/>
      <c r="F6176" s="405"/>
      <c r="G6176" s="75"/>
      <c r="H6176" s="31"/>
    </row>
    <row r="6177" spans="2:8" hidden="1">
      <c r="B6177" s="33"/>
      <c r="C6177" s="31"/>
      <c r="D6177" s="31"/>
      <c r="E6177" s="31"/>
      <c r="F6177" s="31"/>
      <c r="G6177" s="31"/>
      <c r="H6177" s="31"/>
    </row>
    <row r="6178" spans="2:8" hidden="1">
      <c r="B6178" s="33"/>
      <c r="C6178" s="200"/>
      <c r="D6178" s="31"/>
      <c r="E6178" s="200"/>
      <c r="F6178" s="769"/>
      <c r="G6178" s="31"/>
      <c r="H6178" s="31"/>
    </row>
    <row r="6179" spans="2:8" hidden="1">
      <c r="B6179" s="76"/>
      <c r="C6179" s="31"/>
      <c r="D6179" s="31"/>
      <c r="E6179" s="31"/>
      <c r="F6179" s="75"/>
      <c r="G6179" s="31"/>
      <c r="H6179" s="31"/>
    </row>
    <row r="6180" spans="2:8" hidden="1">
      <c r="B6180" s="33"/>
      <c r="C6180" s="33"/>
      <c r="D6180" s="33"/>
      <c r="E6180" s="33"/>
      <c r="F6180" s="33"/>
      <c r="G6180" s="33"/>
      <c r="H6180" s="31"/>
    </row>
    <row r="6181" spans="2:8" hidden="1">
      <c r="B6181" s="33"/>
      <c r="C6181" s="31"/>
      <c r="D6181" s="33"/>
      <c r="E6181" s="33"/>
      <c r="F6181" s="33"/>
      <c r="G6181" s="33"/>
      <c r="H6181" s="31"/>
    </row>
    <row r="6182" spans="2:8" hidden="1">
      <c r="B6182" s="405"/>
      <c r="C6182" s="76"/>
      <c r="D6182" s="731"/>
      <c r="E6182" s="75"/>
      <c r="F6182" s="75"/>
      <c r="G6182" s="75"/>
      <c r="H6182" s="31"/>
    </row>
    <row r="6183" spans="2:8" hidden="1">
      <c r="B6183" s="405"/>
      <c r="C6183" s="76"/>
      <c r="D6183" s="731"/>
      <c r="E6183" s="75"/>
      <c r="F6183" s="75"/>
      <c r="G6183" s="75"/>
      <c r="H6183" s="31"/>
    </row>
    <row r="6184" spans="2:8" hidden="1">
      <c r="B6184" s="405"/>
      <c r="C6184" s="76"/>
      <c r="D6184" s="731"/>
      <c r="E6184" s="75"/>
      <c r="F6184" s="75"/>
      <c r="G6184" s="75"/>
      <c r="H6184" s="31"/>
    </row>
    <row r="6185" spans="2:8" hidden="1">
      <c r="B6185" s="405"/>
      <c r="C6185" s="76"/>
      <c r="D6185" s="731"/>
      <c r="E6185" s="75"/>
      <c r="F6185" s="75"/>
      <c r="G6185" s="75"/>
      <c r="H6185" s="31"/>
    </row>
    <row r="6186" spans="2:8" hidden="1">
      <c r="B6186" s="405"/>
      <c r="C6186" s="76"/>
      <c r="D6186" s="731"/>
      <c r="E6186" s="75"/>
      <c r="F6186" s="75"/>
      <c r="G6186" s="75"/>
      <c r="H6186" s="31"/>
    </row>
    <row r="6187" spans="2:8" hidden="1">
      <c r="B6187" s="30"/>
      <c r="C6187" s="76"/>
      <c r="D6187" s="731"/>
      <c r="E6187" s="75"/>
      <c r="F6187" s="75"/>
      <c r="G6187" s="75"/>
      <c r="H6187" s="31"/>
    </row>
    <row r="6188" spans="2:8" hidden="1">
      <c r="B6188" s="405"/>
      <c r="C6188" s="76"/>
      <c r="D6188" s="731"/>
      <c r="E6188" s="75"/>
      <c r="F6188" s="75"/>
      <c r="G6188" s="75"/>
      <c r="H6188" s="31"/>
    </row>
    <row r="6189" spans="2:8" hidden="1">
      <c r="B6189" s="405"/>
      <c r="C6189" s="76"/>
      <c r="D6189" s="731"/>
      <c r="E6189" s="75"/>
      <c r="F6189" s="75"/>
      <c r="G6189" s="75"/>
      <c r="H6189" s="31"/>
    </row>
    <row r="6190" spans="2:8" hidden="1">
      <c r="B6190" s="405"/>
      <c r="C6190" s="76"/>
      <c r="D6190" s="731"/>
      <c r="E6190" s="75"/>
      <c r="F6190" s="75"/>
      <c r="G6190" s="75"/>
      <c r="H6190" s="31"/>
    </row>
    <row r="6191" spans="2:8" hidden="1">
      <c r="B6191" s="405"/>
      <c r="C6191" s="76"/>
      <c r="D6191" s="731"/>
      <c r="E6191" s="75"/>
      <c r="F6191" s="75"/>
      <c r="G6191" s="75"/>
      <c r="H6191" s="31"/>
    </row>
    <row r="6192" spans="2:8" hidden="1">
      <c r="B6192" s="405"/>
      <c r="C6192" s="76"/>
      <c r="D6192" s="731"/>
      <c r="E6192" s="75"/>
      <c r="F6192" s="75"/>
      <c r="G6192" s="75"/>
      <c r="H6192" s="31"/>
    </row>
    <row r="6193" spans="2:8" hidden="1">
      <c r="B6193" s="405"/>
      <c r="C6193" s="76"/>
      <c r="D6193" s="731"/>
      <c r="E6193" s="75"/>
      <c r="F6193" s="75"/>
      <c r="G6193" s="75"/>
      <c r="H6193" s="31"/>
    </row>
    <row r="6194" spans="2:8" hidden="1">
      <c r="B6194" s="405"/>
      <c r="C6194" s="76"/>
      <c r="D6194" s="731"/>
      <c r="E6194" s="75"/>
      <c r="F6194" s="75"/>
      <c r="G6194" s="75"/>
      <c r="H6194" s="31"/>
    </row>
    <row r="6195" spans="2:8" hidden="1">
      <c r="B6195" s="405"/>
      <c r="C6195" s="76"/>
      <c r="D6195" s="731"/>
      <c r="E6195" s="75"/>
      <c r="F6195" s="75"/>
      <c r="G6195" s="75"/>
      <c r="H6195" s="31"/>
    </row>
    <row r="6196" spans="2:8" hidden="1">
      <c r="B6196" s="405"/>
      <c r="C6196" s="76"/>
      <c r="D6196" s="731"/>
      <c r="E6196" s="75"/>
      <c r="F6196" s="75"/>
      <c r="G6196" s="75"/>
      <c r="H6196" s="31"/>
    </row>
    <row r="6197" spans="2:8" hidden="1">
      <c r="B6197" s="30"/>
      <c r="C6197" s="76"/>
      <c r="D6197" s="731"/>
      <c r="E6197" s="75"/>
      <c r="F6197" s="75"/>
      <c r="G6197" s="75"/>
      <c r="H6197" s="31"/>
    </row>
    <row r="6198" spans="2:8" hidden="1">
      <c r="B6198" s="30"/>
      <c r="C6198" s="76"/>
      <c r="D6198" s="731"/>
      <c r="E6198" s="75"/>
      <c r="F6198" s="75"/>
      <c r="G6198" s="75"/>
      <c r="H6198" s="31"/>
    </row>
    <row r="6199" spans="2:8" hidden="1">
      <c r="B6199" s="30"/>
      <c r="C6199" s="76"/>
      <c r="D6199" s="731"/>
      <c r="E6199" s="75"/>
      <c r="F6199" s="75"/>
      <c r="G6199" s="75"/>
      <c r="H6199" s="31"/>
    </row>
    <row r="6200" spans="2:8" hidden="1">
      <c r="B6200" s="30"/>
      <c r="C6200" s="76"/>
      <c r="D6200" s="731"/>
      <c r="E6200" s="75"/>
      <c r="F6200" s="75"/>
      <c r="G6200" s="75"/>
      <c r="H6200" s="31"/>
    </row>
    <row r="6201" spans="2:8" hidden="1">
      <c r="B6201" s="30"/>
      <c r="C6201" s="76"/>
      <c r="D6201" s="731"/>
      <c r="E6201" s="75"/>
      <c r="F6201" s="75"/>
      <c r="G6201" s="75"/>
      <c r="H6201" s="31"/>
    </row>
    <row r="6202" spans="2:8" hidden="1">
      <c r="B6202" s="30"/>
      <c r="C6202" s="76"/>
      <c r="D6202" s="731"/>
      <c r="E6202" s="75"/>
      <c r="F6202" s="75"/>
      <c r="G6202" s="75"/>
      <c r="H6202" s="31"/>
    </row>
    <row r="6203" spans="2:8" hidden="1">
      <c r="B6203" s="30"/>
      <c r="C6203" s="76"/>
      <c r="D6203" s="731"/>
      <c r="E6203" s="75"/>
      <c r="F6203" s="75"/>
      <c r="G6203" s="75"/>
      <c r="H6203" s="31"/>
    </row>
    <row r="6204" spans="2:8" hidden="1">
      <c r="B6204" s="30"/>
      <c r="C6204" s="76"/>
      <c r="D6204" s="731"/>
      <c r="E6204" s="75"/>
      <c r="F6204" s="75"/>
      <c r="G6204" s="75"/>
      <c r="H6204" s="31"/>
    </row>
    <row r="6205" spans="2:8" hidden="1">
      <c r="B6205" s="33"/>
      <c r="C6205" s="31"/>
      <c r="D6205" s="31"/>
      <c r="E6205" s="200"/>
      <c r="F6205" s="200"/>
      <c r="G6205" s="75"/>
      <c r="H6205" s="31"/>
    </row>
    <row r="6206" spans="2:8" hidden="1">
      <c r="B6206" s="33"/>
      <c r="C6206" s="31"/>
      <c r="D6206" s="31"/>
      <c r="E6206" s="198"/>
      <c r="F6206" s="200"/>
      <c r="G6206" s="75"/>
      <c r="H6206" s="31"/>
    </row>
    <row r="6207" spans="2:8" hidden="1">
      <c r="B6207" s="33"/>
      <c r="C6207" s="31"/>
      <c r="D6207" s="31"/>
      <c r="E6207" s="198"/>
      <c r="F6207" s="200"/>
      <c r="G6207" s="75"/>
      <c r="H6207" s="31"/>
    </row>
    <row r="6208" spans="2:8" hidden="1">
      <c r="B6208" s="33"/>
      <c r="C6208" s="31"/>
      <c r="D6208" s="31"/>
      <c r="E6208" s="198"/>
      <c r="F6208" s="200"/>
      <c r="G6208" s="75"/>
      <c r="H6208" s="31"/>
    </row>
    <row r="6209" spans="2:8" hidden="1">
      <c r="B6209" s="33"/>
      <c r="C6209" s="200"/>
      <c r="D6209" s="30"/>
      <c r="E6209" s="30"/>
      <c r="F6209" s="200"/>
      <c r="G6209" s="75"/>
      <c r="H6209" s="31"/>
    </row>
    <row r="6210" spans="2:8" hidden="1">
      <c r="B6210" s="33"/>
      <c r="C6210" s="31"/>
      <c r="D6210" s="31"/>
      <c r="E6210" s="31"/>
      <c r="F6210" s="31"/>
      <c r="G6210" s="31"/>
      <c r="H6210" s="31"/>
    </row>
    <row r="6211" spans="2:8" hidden="1">
      <c r="B6211" s="76"/>
      <c r="C6211" s="31"/>
      <c r="D6211" s="31"/>
      <c r="E6211" s="31"/>
      <c r="F6211" s="31"/>
      <c r="G6211" s="31"/>
      <c r="H6211" s="31"/>
    </row>
    <row r="6212" spans="2:8" hidden="1">
      <c r="B6212" s="33"/>
      <c r="C6212" s="33"/>
      <c r="D6212" s="33"/>
      <c r="E6212" s="33"/>
      <c r="F6212" s="33"/>
      <c r="G6212" s="33"/>
      <c r="H6212" s="31"/>
    </row>
    <row r="6213" spans="2:8" hidden="1">
      <c r="B6213" s="33"/>
      <c r="C6213" s="31"/>
      <c r="D6213" s="33"/>
      <c r="E6213" s="33"/>
      <c r="F6213" s="33"/>
      <c r="G6213" s="33"/>
      <c r="H6213" s="31"/>
    </row>
    <row r="6214" spans="2:8" hidden="1">
      <c r="B6214" s="405"/>
      <c r="C6214" s="76"/>
      <c r="D6214" s="731"/>
      <c r="E6214" s="75"/>
      <c r="F6214" s="75"/>
      <c r="G6214" s="75"/>
      <c r="H6214" s="31"/>
    </row>
    <row r="6215" spans="2:8" hidden="1">
      <c r="B6215" s="405"/>
      <c r="C6215" s="76"/>
      <c r="D6215" s="731"/>
      <c r="E6215" s="75"/>
      <c r="F6215" s="75"/>
      <c r="G6215" s="75"/>
      <c r="H6215" s="31"/>
    </row>
    <row r="6216" spans="2:8" hidden="1">
      <c r="B6216" s="405"/>
      <c r="C6216" s="76"/>
      <c r="D6216" s="731"/>
      <c r="E6216" s="75"/>
      <c r="F6216" s="75"/>
      <c r="G6216" s="75"/>
      <c r="H6216" s="31"/>
    </row>
    <row r="6217" spans="2:8" hidden="1">
      <c r="B6217" s="405"/>
      <c r="C6217" s="76"/>
      <c r="D6217" s="731"/>
      <c r="E6217" s="75"/>
      <c r="F6217" s="75"/>
      <c r="G6217" s="75"/>
      <c r="H6217" s="31"/>
    </row>
    <row r="6218" spans="2:8" hidden="1">
      <c r="B6218" s="405"/>
      <c r="C6218" s="76"/>
      <c r="D6218" s="731"/>
      <c r="E6218" s="75"/>
      <c r="F6218" s="75"/>
      <c r="G6218" s="75"/>
      <c r="H6218" s="31"/>
    </row>
    <row r="6219" spans="2:8" hidden="1">
      <c r="B6219" s="405"/>
      <c r="C6219" s="76"/>
      <c r="D6219" s="731"/>
      <c r="E6219" s="75"/>
      <c r="F6219" s="75"/>
      <c r="G6219" s="75"/>
      <c r="H6219" s="31"/>
    </row>
    <row r="6220" spans="2:8" hidden="1">
      <c r="B6220" s="405"/>
      <c r="C6220" s="76"/>
      <c r="D6220" s="731"/>
      <c r="E6220" s="75"/>
      <c r="F6220" s="75"/>
      <c r="G6220" s="75"/>
      <c r="H6220" s="31"/>
    </row>
    <row r="6221" spans="2:8" hidden="1">
      <c r="B6221" s="33"/>
      <c r="C6221" s="31"/>
      <c r="D6221" s="31"/>
      <c r="E6221" s="200"/>
      <c r="F6221" s="200"/>
      <c r="G6221" s="75"/>
      <c r="H6221" s="31"/>
    </row>
    <row r="6222" spans="2:8" hidden="1">
      <c r="B6222" s="33"/>
      <c r="C6222" s="31"/>
      <c r="D6222" s="31"/>
      <c r="E6222" s="198"/>
      <c r="F6222" s="200"/>
      <c r="G6222" s="75"/>
      <c r="H6222" s="31"/>
    </row>
    <row r="6223" spans="2:8" hidden="1">
      <c r="B6223" s="33"/>
      <c r="C6223" s="31"/>
      <c r="D6223" s="31"/>
      <c r="E6223" s="198"/>
      <c r="F6223" s="200"/>
      <c r="G6223" s="75"/>
      <c r="H6223" s="31"/>
    </row>
    <row r="6224" spans="2:8" hidden="1">
      <c r="B6224" s="33"/>
      <c r="C6224" s="31"/>
      <c r="D6224" s="31"/>
      <c r="E6224" s="198"/>
      <c r="F6224" s="200"/>
      <c r="G6224" s="75"/>
      <c r="H6224" s="31"/>
    </row>
    <row r="6225" spans="2:8" hidden="1">
      <c r="B6225" s="33"/>
      <c r="C6225" s="30"/>
      <c r="D6225" s="30"/>
      <c r="E6225" s="30"/>
      <c r="F6225" s="200"/>
      <c r="G6225" s="75"/>
      <c r="H6225" s="31"/>
    </row>
    <row r="6226" spans="2:8" hidden="1">
      <c r="B6226" s="33"/>
      <c r="C6226" s="31"/>
      <c r="D6226" s="31"/>
      <c r="E6226" s="31"/>
      <c r="F6226" s="31"/>
      <c r="G6226" s="31"/>
      <c r="H6226" s="31"/>
    </row>
    <row r="6227" spans="2:8" hidden="1">
      <c r="B6227" s="76"/>
      <c r="C6227" s="31"/>
      <c r="D6227" s="31"/>
      <c r="E6227" s="31"/>
      <c r="F6227" s="31"/>
      <c r="G6227" s="31"/>
      <c r="H6227" s="31"/>
    </row>
    <row r="6228" spans="2:8" hidden="1">
      <c r="B6228" s="33"/>
      <c r="C6228" s="33"/>
      <c r="D6228" s="33"/>
      <c r="E6228" s="33"/>
      <c r="F6228" s="33"/>
      <c r="G6228" s="33"/>
      <c r="H6228" s="31"/>
    </row>
    <row r="6229" spans="2:8" hidden="1">
      <c r="B6229" s="33"/>
      <c r="C6229" s="31"/>
      <c r="D6229" s="33"/>
      <c r="E6229" s="33"/>
      <c r="F6229" s="33"/>
      <c r="G6229" s="33"/>
      <c r="H6229" s="31"/>
    </row>
    <row r="6230" spans="2:8" hidden="1">
      <c r="B6230" s="405"/>
      <c r="C6230" s="76"/>
      <c r="D6230" s="731"/>
      <c r="E6230" s="75"/>
      <c r="F6230" s="75"/>
      <c r="G6230" s="75"/>
      <c r="H6230" s="31"/>
    </row>
    <row r="6231" spans="2:8" hidden="1">
      <c r="B6231" s="405"/>
      <c r="C6231" s="76"/>
      <c r="D6231" s="731"/>
      <c r="E6231" s="75"/>
      <c r="F6231" s="75"/>
      <c r="G6231" s="75"/>
      <c r="H6231" s="31"/>
    </row>
    <row r="6232" spans="2:8" hidden="1">
      <c r="B6232" s="405"/>
      <c r="C6232" s="76"/>
      <c r="D6232" s="731"/>
      <c r="E6232" s="75"/>
      <c r="F6232" s="75"/>
      <c r="G6232" s="75"/>
      <c r="H6232" s="31"/>
    </row>
    <row r="6233" spans="2:8" hidden="1">
      <c r="B6233" s="405"/>
      <c r="C6233" s="76"/>
      <c r="D6233" s="731"/>
      <c r="E6233" s="75"/>
      <c r="F6233" s="75"/>
      <c r="G6233" s="75"/>
      <c r="H6233" s="31"/>
    </row>
    <row r="6234" spans="2:8" hidden="1">
      <c r="B6234" s="405"/>
      <c r="C6234" s="76"/>
      <c r="D6234" s="731"/>
      <c r="E6234" s="75"/>
      <c r="F6234" s="75"/>
      <c r="G6234" s="75"/>
      <c r="H6234" s="31"/>
    </row>
    <row r="6235" spans="2:8" hidden="1">
      <c r="B6235" s="405"/>
      <c r="C6235" s="76"/>
      <c r="D6235" s="731"/>
      <c r="E6235" s="75"/>
      <c r="F6235" s="75"/>
      <c r="G6235" s="75"/>
      <c r="H6235" s="31"/>
    </row>
    <row r="6236" spans="2:8" hidden="1">
      <c r="B6236" s="405"/>
      <c r="C6236" s="76"/>
      <c r="D6236" s="731"/>
      <c r="E6236" s="75"/>
      <c r="F6236" s="75"/>
      <c r="G6236" s="75"/>
      <c r="H6236" s="31"/>
    </row>
    <row r="6237" spans="2:8" hidden="1">
      <c r="B6237" s="405"/>
      <c r="C6237" s="76"/>
      <c r="D6237" s="731"/>
      <c r="E6237" s="75"/>
      <c r="F6237" s="75"/>
      <c r="G6237" s="75"/>
      <c r="H6237" s="31"/>
    </row>
    <row r="6238" spans="2:8" hidden="1">
      <c r="B6238" s="405"/>
      <c r="C6238" s="76"/>
      <c r="D6238" s="731"/>
      <c r="E6238" s="75"/>
      <c r="F6238" s="75"/>
      <c r="G6238" s="75"/>
      <c r="H6238" s="31"/>
    </row>
    <row r="6239" spans="2:8" hidden="1">
      <c r="B6239" s="30"/>
      <c r="C6239" s="76"/>
      <c r="D6239" s="731"/>
      <c r="E6239" s="75"/>
      <c r="F6239" s="75"/>
      <c r="G6239" s="75"/>
      <c r="H6239" s="31"/>
    </row>
    <row r="6240" spans="2:8" hidden="1">
      <c r="B6240" s="33"/>
      <c r="C6240" s="31"/>
      <c r="D6240" s="31"/>
      <c r="E6240" s="200"/>
      <c r="F6240" s="200"/>
      <c r="G6240" s="75"/>
      <c r="H6240" s="31"/>
    </row>
    <row r="6241" spans="2:8" hidden="1">
      <c r="B6241" s="33"/>
      <c r="C6241" s="31"/>
      <c r="D6241" s="31"/>
      <c r="E6241" s="198"/>
      <c r="F6241" s="200"/>
      <c r="G6241" s="75"/>
      <c r="H6241" s="31"/>
    </row>
    <row r="6242" spans="2:8" hidden="1">
      <c r="B6242" s="33"/>
      <c r="C6242" s="31"/>
      <c r="D6242" s="31"/>
      <c r="E6242" s="198"/>
      <c r="F6242" s="200"/>
      <c r="G6242" s="75"/>
      <c r="H6242" s="31"/>
    </row>
    <row r="6243" spans="2:8" hidden="1">
      <c r="B6243" s="33"/>
      <c r="C6243" s="31"/>
      <c r="D6243" s="31"/>
      <c r="E6243" s="198"/>
      <c r="F6243" s="200"/>
      <c r="G6243" s="75"/>
      <c r="H6243" s="31"/>
    </row>
    <row r="6244" spans="2:8" hidden="1">
      <c r="B6244" s="33"/>
      <c r="C6244" s="31"/>
      <c r="D6244" s="31"/>
      <c r="E6244" s="198"/>
      <c r="F6244" s="200"/>
      <c r="G6244" s="75"/>
      <c r="H6244" s="31"/>
    </row>
    <row r="6245" spans="2:8" hidden="1">
      <c r="B6245" s="33"/>
      <c r="C6245" s="31"/>
      <c r="D6245" s="31"/>
      <c r="E6245" s="198"/>
      <c r="F6245" s="200"/>
      <c r="G6245" s="75"/>
      <c r="H6245" s="31"/>
    </row>
    <row r="6246" spans="2:8" hidden="1">
      <c r="B6246" s="33"/>
      <c r="C6246" s="200"/>
      <c r="D6246" s="30"/>
      <c r="E6246" s="30"/>
      <c r="F6246" s="200"/>
      <c r="G6246" s="75"/>
      <c r="H6246" s="31"/>
    </row>
    <row r="6247" spans="2:8" hidden="1">
      <c r="B6247" s="33"/>
      <c r="C6247" s="31"/>
      <c r="D6247" s="31"/>
      <c r="E6247" s="31"/>
      <c r="F6247" s="31"/>
      <c r="G6247" s="31"/>
      <c r="H6247" s="31"/>
    </row>
    <row r="6248" spans="2:8" hidden="1">
      <c r="B6248" s="33"/>
      <c r="C6248" s="31"/>
      <c r="D6248" s="31"/>
      <c r="E6248" s="31"/>
      <c r="F6248" s="31"/>
      <c r="G6248" s="31"/>
      <c r="H6248" s="31"/>
    </row>
    <row r="6249" spans="2:8" hidden="1">
      <c r="B6249" s="33"/>
      <c r="C6249" s="31"/>
      <c r="D6249" s="31"/>
      <c r="E6249" s="31"/>
      <c r="F6249" s="200"/>
      <c r="G6249" s="75"/>
      <c r="H6249" s="31"/>
    </row>
    <row r="6250" spans="2:8" hidden="1">
      <c r="B6250" s="33"/>
      <c r="C6250" s="31"/>
      <c r="D6250" s="31"/>
      <c r="E6250" s="31"/>
      <c r="F6250" s="200"/>
      <c r="G6250" s="75"/>
      <c r="H6250" s="31"/>
    </row>
    <row r="6251" spans="2:8" hidden="1">
      <c r="B6251" s="33"/>
      <c r="C6251" s="31"/>
      <c r="D6251" s="31"/>
      <c r="E6251" s="31"/>
      <c r="F6251" s="200"/>
      <c r="G6251" s="75"/>
      <c r="H6251" s="31"/>
    </row>
    <row r="6252" spans="2:8" hidden="1">
      <c r="B6252" s="33"/>
      <c r="C6252" s="31"/>
      <c r="D6252" s="31"/>
      <c r="E6252" s="200"/>
      <c r="F6252" s="200"/>
      <c r="G6252" s="75"/>
      <c r="H6252" s="31"/>
    </row>
    <row r="6253" spans="2:8" hidden="1">
      <c r="B6253" s="33"/>
      <c r="C6253" s="31"/>
      <c r="D6253" s="31"/>
      <c r="E6253" s="301"/>
      <c r="F6253" s="200"/>
      <c r="G6253" s="75"/>
      <c r="H6253" s="31"/>
    </row>
    <row r="6254" spans="2:8" hidden="1">
      <c r="B6254" s="33"/>
      <c r="C6254" s="31"/>
      <c r="D6254" s="31"/>
      <c r="E6254" s="767"/>
      <c r="F6254" s="200"/>
      <c r="G6254" s="75"/>
      <c r="H6254" s="31"/>
    </row>
    <row r="6255" spans="2:8" hidden="1">
      <c r="B6255" s="33"/>
      <c r="C6255" s="31"/>
      <c r="D6255" s="31"/>
      <c r="E6255" s="767"/>
      <c r="F6255" s="200"/>
      <c r="G6255" s="75"/>
      <c r="H6255" s="31"/>
    </row>
    <row r="6256" spans="2:8" hidden="1">
      <c r="B6256" s="33"/>
      <c r="C6256" s="31"/>
      <c r="D6256" s="31"/>
      <c r="E6256" s="767"/>
      <c r="F6256" s="200"/>
      <c r="G6256" s="75"/>
      <c r="H6256" s="31"/>
    </row>
    <row r="6257" spans="2:8" hidden="1">
      <c r="B6257" s="33"/>
      <c r="C6257" s="31"/>
      <c r="D6257" s="31"/>
      <c r="E6257" s="767"/>
      <c r="F6257" s="200"/>
      <c r="G6257" s="75"/>
      <c r="H6257" s="31"/>
    </row>
    <row r="6258" spans="2:8" hidden="1">
      <c r="B6258" s="33"/>
      <c r="C6258" s="31"/>
      <c r="D6258" s="75"/>
      <c r="E6258" s="767"/>
      <c r="F6258" s="200"/>
      <c r="G6258" s="75"/>
      <c r="H6258" s="31"/>
    </row>
    <row r="6259" spans="2:8" hidden="1">
      <c r="B6259" s="33"/>
      <c r="C6259" s="31"/>
      <c r="D6259" s="31"/>
      <c r="E6259" s="767"/>
      <c r="F6259" s="200"/>
      <c r="G6259" s="75"/>
      <c r="H6259" s="31"/>
    </row>
    <row r="6260" spans="2:8" hidden="1">
      <c r="B6260" s="33"/>
      <c r="C6260" s="31"/>
      <c r="D6260" s="31"/>
      <c r="E6260" s="200"/>
      <c r="F6260" s="200"/>
      <c r="G6260" s="75"/>
      <c r="H6260" s="31"/>
    </row>
    <row r="6261" spans="2:8" hidden="1">
      <c r="B6261" s="33"/>
      <c r="C6261" s="31"/>
      <c r="D6261" s="31"/>
      <c r="E6261" s="200"/>
      <c r="F6261" s="200"/>
      <c r="G6261" s="31"/>
      <c r="H6261" s="31"/>
    </row>
    <row r="6262" spans="2:8" hidden="1">
      <c r="B6262" s="33"/>
      <c r="C6262" s="31"/>
      <c r="D6262" s="75"/>
      <c r="E6262" s="76"/>
      <c r="F6262" s="200"/>
      <c r="G6262" s="75"/>
      <c r="H6262" s="31"/>
    </row>
    <row r="6263" spans="2:8" hidden="1">
      <c r="B6263" s="33"/>
      <c r="C6263" s="31"/>
      <c r="D6263" s="198"/>
      <c r="E6263" s="198"/>
      <c r="F6263" s="200"/>
      <c r="G6263" s="75"/>
      <c r="H6263" s="31"/>
    </row>
    <row r="6264" spans="2:8" hidden="1">
      <c r="B6264" s="33"/>
      <c r="C6264" s="31"/>
      <c r="D6264" s="768"/>
      <c r="E6264" s="31"/>
      <c r="F6264" s="200"/>
      <c r="G6264" s="75"/>
      <c r="H6264" s="31"/>
    </row>
    <row r="6265" spans="2:8" hidden="1">
      <c r="B6265" s="33"/>
      <c r="C6265" s="31"/>
      <c r="D6265" s="768"/>
      <c r="E6265" s="31"/>
      <c r="F6265" s="200"/>
      <c r="G6265" s="31"/>
      <c r="H6265" s="31"/>
    </row>
    <row r="6266" spans="2:8" hidden="1">
      <c r="B6266" s="33"/>
      <c r="C6266" s="31"/>
      <c r="D6266" s="200"/>
      <c r="E6266" s="31"/>
      <c r="F6266" s="200"/>
      <c r="G6266" s="75"/>
      <c r="H6266" s="31"/>
    </row>
    <row r="6267" spans="2:8" hidden="1">
      <c r="B6267" s="33"/>
      <c r="C6267" s="31"/>
      <c r="D6267" s="31"/>
      <c r="E6267" s="200"/>
      <c r="F6267" s="200"/>
      <c r="G6267" s="75"/>
      <c r="H6267" s="31"/>
    </row>
    <row r="6268" spans="2:8" hidden="1">
      <c r="B6268" s="33"/>
      <c r="C6268" s="31"/>
      <c r="D6268" s="31"/>
      <c r="E6268" s="31"/>
      <c r="F6268" s="31"/>
      <c r="G6268" s="31"/>
      <c r="H6268" s="31"/>
    </row>
    <row r="6269" spans="2:8" hidden="1">
      <c r="B6269" s="33"/>
      <c r="C6269" s="31"/>
      <c r="D6269" s="31"/>
      <c r="E6269" s="31"/>
      <c r="F6269" s="31"/>
      <c r="G6269" s="31"/>
      <c r="H6269" s="31"/>
    </row>
    <row r="6270" spans="2:8" hidden="1">
      <c r="B6270" s="33"/>
      <c r="C6270" s="31"/>
      <c r="D6270" s="33"/>
      <c r="E6270" s="31"/>
      <c r="F6270" s="200"/>
      <c r="G6270" s="76"/>
      <c r="H6270" s="31"/>
    </row>
    <row r="6271" spans="2:8" hidden="1">
      <c r="B6271" s="33"/>
      <c r="C6271" s="31"/>
      <c r="D6271" s="31"/>
      <c r="E6271" s="31"/>
      <c r="F6271" s="31"/>
      <c r="G6271" s="31"/>
      <c r="H6271" s="31"/>
    </row>
    <row r="6272" spans="2:8" hidden="1">
      <c r="B6272" s="33"/>
      <c r="C6272" s="31"/>
      <c r="D6272" s="31"/>
      <c r="E6272" s="31"/>
      <c r="F6272" s="31"/>
      <c r="G6272" s="31"/>
      <c r="H6272" s="31"/>
    </row>
    <row r="6273" spans="2:8" hidden="1">
      <c r="B6273" s="33"/>
      <c r="C6273" s="31"/>
      <c r="D6273" s="31"/>
      <c r="E6273" s="31"/>
      <c r="F6273" s="31"/>
      <c r="G6273" s="31"/>
      <c r="H6273" s="31"/>
    </row>
    <row r="6274" spans="2:8" hidden="1">
      <c r="B6274" s="33"/>
      <c r="C6274" s="31"/>
      <c r="D6274" s="31"/>
      <c r="E6274" s="31"/>
      <c r="F6274" s="31"/>
      <c r="G6274" s="31"/>
      <c r="H6274" s="31"/>
    </row>
    <row r="6275" spans="2:8" hidden="1">
      <c r="B6275" s="33"/>
      <c r="C6275" s="31"/>
      <c r="D6275" s="31"/>
      <c r="E6275" s="31"/>
      <c r="F6275" s="31"/>
      <c r="G6275" s="31"/>
      <c r="H6275" s="31"/>
    </row>
    <row r="6276" spans="2:8" hidden="1">
      <c r="B6276" s="33"/>
      <c r="C6276" s="31"/>
      <c r="D6276" s="31"/>
      <c r="E6276" s="31"/>
      <c r="F6276" s="31"/>
      <c r="G6276" s="31"/>
      <c r="H6276" s="31"/>
    </row>
    <row r="6277" spans="2:8" hidden="1">
      <c r="B6277" s="33"/>
      <c r="C6277" s="31"/>
      <c r="D6277" s="31"/>
      <c r="E6277" s="31"/>
      <c r="F6277" s="31"/>
      <c r="G6277" s="31"/>
      <c r="H6277" s="31"/>
    </row>
    <row r="6278" spans="2:8" hidden="1">
      <c r="B6278" s="33"/>
      <c r="C6278" s="31"/>
      <c r="D6278" s="31"/>
      <c r="E6278" s="31"/>
      <c r="F6278" s="31"/>
      <c r="G6278" s="31"/>
      <c r="H6278" s="31"/>
    </row>
    <row r="6279" spans="2:8" hidden="1">
      <c r="B6279" s="33"/>
      <c r="C6279" s="31"/>
      <c r="D6279" s="31"/>
      <c r="E6279" s="31"/>
      <c r="F6279" s="31"/>
      <c r="G6279" s="31"/>
      <c r="H6279" s="31"/>
    </row>
    <row r="6280" spans="2:8" hidden="1">
      <c r="B6280" s="33"/>
      <c r="C6280" s="31"/>
      <c r="D6280" s="31"/>
      <c r="E6280" s="31"/>
      <c r="F6280" s="31"/>
      <c r="G6280" s="31"/>
      <c r="H6280" s="31"/>
    </row>
    <row r="6281" spans="2:8" hidden="1">
      <c r="B6281" s="33"/>
      <c r="C6281" s="31"/>
      <c r="D6281" s="31"/>
      <c r="E6281" s="31"/>
      <c r="F6281" s="31"/>
      <c r="G6281" s="31"/>
      <c r="H6281" s="31"/>
    </row>
    <row r="6282" spans="2:8" hidden="1">
      <c r="B6282" s="33"/>
      <c r="C6282" s="31"/>
      <c r="D6282" s="31"/>
      <c r="E6282" s="31"/>
      <c r="F6282" s="31"/>
      <c r="G6282" s="31"/>
      <c r="H6282" s="31"/>
    </row>
    <row r="6283" spans="2:8" hidden="1">
      <c r="B6283" s="33"/>
      <c r="C6283" s="31"/>
      <c r="D6283" s="31"/>
      <c r="E6283" s="31"/>
      <c r="F6283" s="31"/>
      <c r="G6283" s="31"/>
      <c r="H6283" s="31"/>
    </row>
    <row r="6284" spans="2:8" hidden="1">
      <c r="B6284" s="33"/>
      <c r="C6284" s="31"/>
      <c r="D6284" s="31"/>
      <c r="E6284" s="31"/>
      <c r="F6284" s="31"/>
      <c r="G6284" s="31"/>
      <c r="H6284" s="31"/>
    </row>
    <row r="6285" spans="2:8" hidden="1">
      <c r="B6285" s="33"/>
      <c r="C6285" s="31"/>
      <c r="D6285" s="31"/>
      <c r="E6285" s="31"/>
      <c r="F6285" s="31"/>
      <c r="G6285" s="31"/>
      <c r="H6285" s="31"/>
    </row>
    <row r="6286" spans="2:8" hidden="1">
      <c r="B6286" s="33"/>
      <c r="C6286" s="31"/>
      <c r="D6286" s="31"/>
      <c r="E6286" s="31"/>
      <c r="F6286" s="691"/>
      <c r="G6286" s="771"/>
      <c r="H6286" s="31"/>
    </row>
    <row r="6287" spans="2:8" hidden="1">
      <c r="B6287" s="33"/>
      <c r="C6287" s="31"/>
      <c r="D6287" s="31"/>
      <c r="E6287" s="31"/>
      <c r="F6287" s="691"/>
      <c r="G6287" s="31"/>
      <c r="H6287" s="31"/>
    </row>
    <row r="6288" spans="2:8" hidden="1">
      <c r="B6288" s="33"/>
      <c r="C6288" s="31"/>
      <c r="D6288" s="31"/>
      <c r="E6288" s="31"/>
      <c r="F6288" s="691"/>
      <c r="G6288" s="31"/>
      <c r="H6288" s="31"/>
    </row>
    <row r="6289" spans="2:8" hidden="1">
      <c r="B6289" s="33"/>
      <c r="C6289" s="31"/>
      <c r="D6289" s="31"/>
      <c r="E6289" s="31"/>
      <c r="F6289" s="691"/>
      <c r="G6289" s="31"/>
      <c r="H6289" s="31"/>
    </row>
    <row r="6290" spans="2:8" hidden="1">
      <c r="B6290" s="33"/>
      <c r="C6290" s="200"/>
      <c r="D6290" s="31"/>
      <c r="E6290" s="31"/>
      <c r="F6290" s="691"/>
      <c r="G6290" s="31"/>
      <c r="H6290" s="31"/>
    </row>
    <row r="6291" spans="2:8" hidden="1">
      <c r="B6291" s="33"/>
      <c r="C6291" s="31"/>
      <c r="D6291" s="31"/>
      <c r="E6291" s="31"/>
      <c r="F6291" s="691"/>
      <c r="G6291" s="31"/>
      <c r="H6291" s="31"/>
    </row>
    <row r="6292" spans="2:8" hidden="1">
      <c r="B6292" s="33"/>
      <c r="C6292" s="31"/>
      <c r="D6292" s="31"/>
      <c r="E6292" s="31"/>
      <c r="F6292" s="691"/>
      <c r="G6292" s="31"/>
      <c r="H6292" s="31"/>
    </row>
    <row r="6293" spans="2:8" hidden="1">
      <c r="B6293" s="33"/>
      <c r="C6293" s="31"/>
      <c r="D6293" s="31"/>
      <c r="E6293" s="31"/>
      <c r="F6293" s="691"/>
      <c r="G6293" s="31"/>
      <c r="H6293" s="31"/>
    </row>
    <row r="6294" spans="2:8" hidden="1">
      <c r="B6294" s="33"/>
      <c r="C6294" s="31"/>
      <c r="D6294" s="31"/>
      <c r="E6294" s="31"/>
      <c r="F6294" s="691"/>
      <c r="G6294" s="31"/>
      <c r="H6294" s="31"/>
    </row>
    <row r="6295" spans="2:8" hidden="1">
      <c r="B6295" s="33"/>
      <c r="C6295" s="31"/>
      <c r="D6295" s="31"/>
      <c r="E6295" s="31"/>
      <c r="F6295" s="691"/>
      <c r="G6295" s="31"/>
      <c r="H6295" s="31"/>
    </row>
    <row r="6296" spans="2:8" hidden="1">
      <c r="B6296" s="33"/>
      <c r="C6296" s="31"/>
      <c r="D6296" s="31"/>
      <c r="E6296" s="31"/>
      <c r="F6296" s="691"/>
      <c r="G6296" s="31"/>
      <c r="H6296" s="31"/>
    </row>
    <row r="6297" spans="2:8" hidden="1">
      <c r="B6297" s="33"/>
      <c r="C6297" s="31"/>
      <c r="D6297" s="31"/>
      <c r="E6297" s="31"/>
      <c r="F6297" s="691"/>
      <c r="G6297" s="31"/>
      <c r="H6297" s="31"/>
    </row>
    <row r="6298" spans="2:8" hidden="1">
      <c r="B6298" s="33"/>
      <c r="C6298" s="31"/>
      <c r="D6298" s="31"/>
      <c r="E6298" s="31"/>
      <c r="F6298" s="691"/>
      <c r="G6298" s="31"/>
      <c r="H6298" s="31"/>
    </row>
    <row r="6299" spans="2:8" hidden="1">
      <c r="B6299" s="33"/>
      <c r="C6299" s="31"/>
      <c r="D6299" s="31"/>
      <c r="E6299" s="31"/>
      <c r="F6299" s="691"/>
      <c r="G6299" s="31"/>
      <c r="H6299" s="31"/>
    </row>
    <row r="6300" spans="2:8" hidden="1">
      <c r="B6300" s="33"/>
      <c r="C6300" s="31"/>
      <c r="D6300" s="31"/>
      <c r="E6300" s="31"/>
      <c r="F6300" s="691"/>
      <c r="G6300" s="31"/>
      <c r="H6300" s="31"/>
    </row>
    <row r="6301" spans="2:8" hidden="1">
      <c r="B6301" s="33"/>
      <c r="C6301" s="31"/>
      <c r="D6301" s="31"/>
      <c r="E6301" s="31"/>
      <c r="F6301" s="691"/>
      <c r="G6301" s="31"/>
      <c r="H6301" s="31"/>
    </row>
    <row r="6302" spans="2:8" hidden="1">
      <c r="B6302" s="33"/>
      <c r="C6302" s="31"/>
      <c r="D6302" s="31"/>
      <c r="E6302" s="31"/>
      <c r="F6302" s="691"/>
      <c r="G6302" s="31"/>
      <c r="H6302" s="31"/>
    </row>
    <row r="6303" spans="2:8" hidden="1">
      <c r="B6303" s="33"/>
      <c r="C6303" s="31"/>
      <c r="D6303" s="31"/>
      <c r="E6303" s="31"/>
      <c r="F6303" s="691"/>
      <c r="G6303" s="31"/>
      <c r="H6303" s="31"/>
    </row>
    <row r="6304" spans="2:8" hidden="1">
      <c r="B6304" s="33"/>
      <c r="C6304" s="31"/>
      <c r="D6304" s="31"/>
      <c r="E6304" s="31"/>
      <c r="F6304" s="691"/>
      <c r="G6304" s="31"/>
      <c r="H6304" s="31"/>
    </row>
    <row r="6305" spans="2:8" hidden="1">
      <c r="B6305" s="33"/>
      <c r="C6305" s="31"/>
      <c r="D6305" s="31"/>
      <c r="E6305" s="31"/>
      <c r="F6305" s="691"/>
      <c r="G6305" s="31"/>
      <c r="H6305" s="31"/>
    </row>
    <row r="6306" spans="2:8" hidden="1">
      <c r="B6306" s="33"/>
      <c r="C6306" s="31"/>
      <c r="D6306" s="31"/>
      <c r="E6306" s="31"/>
      <c r="F6306" s="691"/>
      <c r="G6306" s="31"/>
      <c r="H6306" s="31"/>
    </row>
    <row r="6307" spans="2:8" hidden="1">
      <c r="B6307" s="33"/>
      <c r="C6307" s="31"/>
      <c r="D6307" s="31"/>
      <c r="E6307" s="31"/>
      <c r="F6307" s="691"/>
      <c r="G6307" s="31"/>
      <c r="H6307" s="31"/>
    </row>
    <row r="6308" spans="2:8" hidden="1">
      <c r="B6308" s="33"/>
      <c r="C6308" s="31"/>
      <c r="D6308" s="31"/>
      <c r="E6308" s="31"/>
      <c r="F6308" s="691"/>
      <c r="G6308" s="31"/>
      <c r="H6308" s="31"/>
    </row>
    <row r="6309" spans="2:8" hidden="1">
      <c r="B6309" s="33"/>
      <c r="C6309" s="31"/>
      <c r="D6309" s="31"/>
      <c r="E6309" s="200"/>
      <c r="F6309" s="691"/>
      <c r="G6309" s="31"/>
      <c r="H6309" s="31"/>
    </row>
    <row r="6310" spans="2:8" hidden="1">
      <c r="B6310" s="33"/>
      <c r="C6310" s="31"/>
      <c r="D6310" s="31"/>
      <c r="E6310" s="31"/>
      <c r="F6310" s="691"/>
      <c r="G6310" s="31"/>
      <c r="H6310" s="31"/>
    </row>
    <row r="6311" spans="2:8" hidden="1">
      <c r="B6311" s="33"/>
      <c r="C6311" s="31"/>
      <c r="D6311" s="31"/>
      <c r="E6311" s="31"/>
      <c r="F6311" s="691"/>
      <c r="G6311" s="31"/>
      <c r="H6311" s="31"/>
    </row>
    <row r="6312" spans="2:8" hidden="1">
      <c r="B6312" s="33"/>
      <c r="C6312" s="31"/>
      <c r="D6312" s="31"/>
      <c r="E6312" s="31"/>
      <c r="F6312" s="691"/>
      <c r="G6312" s="31"/>
      <c r="H6312" s="31"/>
    </row>
    <row r="6313" spans="2:8" hidden="1">
      <c r="B6313" s="33"/>
      <c r="C6313" s="31"/>
      <c r="D6313" s="31"/>
      <c r="E6313" s="31"/>
      <c r="F6313" s="691"/>
      <c r="G6313" s="31"/>
      <c r="H6313" s="31"/>
    </row>
    <row r="6314" spans="2:8" hidden="1">
      <c r="B6314" s="33"/>
      <c r="C6314" s="31"/>
      <c r="D6314" s="31"/>
      <c r="E6314" s="31"/>
      <c r="F6314" s="691"/>
      <c r="G6314" s="31"/>
      <c r="H6314" s="31"/>
    </row>
    <row r="6315" spans="2:8" hidden="1">
      <c r="B6315" s="33"/>
      <c r="C6315" s="31"/>
      <c r="D6315" s="31"/>
      <c r="E6315" s="31"/>
      <c r="F6315" s="691"/>
      <c r="G6315" s="31"/>
      <c r="H6315" s="31"/>
    </row>
    <row r="6316" spans="2:8" hidden="1">
      <c r="B6316" s="33"/>
      <c r="C6316" s="31"/>
      <c r="D6316" s="31"/>
      <c r="E6316" s="31"/>
      <c r="F6316" s="691"/>
      <c r="G6316" s="31"/>
      <c r="H6316" s="31"/>
    </row>
    <row r="6317" spans="2:8" hidden="1">
      <c r="B6317" s="33"/>
      <c r="C6317" s="31"/>
      <c r="D6317" s="31"/>
      <c r="E6317" s="31"/>
      <c r="F6317" s="691"/>
      <c r="G6317" s="31"/>
      <c r="H6317" s="31"/>
    </row>
    <row r="6318" spans="2:8" hidden="1">
      <c r="B6318" s="33"/>
      <c r="C6318" s="31"/>
      <c r="D6318" s="31"/>
      <c r="E6318" s="31"/>
      <c r="F6318" s="691"/>
      <c r="G6318" s="31"/>
      <c r="H6318" s="31"/>
    </row>
    <row r="6319" spans="2:8" hidden="1">
      <c r="B6319" s="33"/>
      <c r="C6319" s="31"/>
      <c r="D6319" s="31"/>
      <c r="E6319" s="31"/>
      <c r="F6319" s="691"/>
      <c r="G6319" s="31"/>
      <c r="H6319" s="31"/>
    </row>
    <row r="6320" spans="2:8" hidden="1">
      <c r="B6320" s="33"/>
      <c r="C6320" s="31"/>
      <c r="D6320" s="31"/>
      <c r="E6320" s="31"/>
      <c r="F6320" s="691"/>
      <c r="G6320" s="31"/>
      <c r="H6320" s="31"/>
    </row>
    <row r="6321" spans="2:8" hidden="1">
      <c r="B6321" s="33"/>
      <c r="C6321" s="31"/>
      <c r="D6321" s="31"/>
      <c r="E6321" s="31"/>
      <c r="F6321" s="691"/>
      <c r="G6321" s="31"/>
      <c r="H6321" s="31"/>
    </row>
    <row r="6322" spans="2:8" hidden="1">
      <c r="B6322" s="33"/>
      <c r="C6322" s="31"/>
      <c r="D6322" s="31"/>
      <c r="E6322" s="31"/>
      <c r="F6322" s="691"/>
      <c r="G6322" s="31"/>
      <c r="H6322" s="31"/>
    </row>
    <row r="6323" spans="2:8" hidden="1">
      <c r="B6323" s="33"/>
      <c r="C6323" s="31"/>
      <c r="D6323" s="31"/>
      <c r="E6323" s="31"/>
      <c r="F6323" s="691"/>
      <c r="G6323" s="31"/>
      <c r="H6323" s="31"/>
    </row>
    <row r="6324" spans="2:8" hidden="1">
      <c r="B6324" s="33"/>
      <c r="C6324" s="31"/>
      <c r="D6324" s="31"/>
      <c r="E6324" s="31"/>
      <c r="F6324" s="691"/>
      <c r="G6324" s="31"/>
      <c r="H6324" s="31"/>
    </row>
    <row r="6325" spans="2:8" hidden="1">
      <c r="B6325" s="33"/>
      <c r="C6325" s="31"/>
      <c r="D6325" s="31"/>
      <c r="E6325" s="200"/>
      <c r="F6325" s="691"/>
      <c r="G6325" s="31"/>
      <c r="H6325" s="31"/>
    </row>
    <row r="6326" spans="2:8" hidden="1">
      <c r="B6326" s="33"/>
      <c r="C6326" s="31"/>
      <c r="D6326" s="31"/>
      <c r="E6326" s="31"/>
      <c r="F6326" s="691"/>
      <c r="G6326" s="31"/>
      <c r="H6326" s="31"/>
    </row>
    <row r="6327" spans="2:8" hidden="1">
      <c r="B6327" s="33"/>
      <c r="C6327" s="31"/>
      <c r="D6327" s="31"/>
      <c r="E6327" s="31"/>
      <c r="F6327" s="691"/>
      <c r="G6327" s="31"/>
      <c r="H6327" s="31"/>
    </row>
    <row r="6328" spans="2:8" hidden="1">
      <c r="B6328" s="33"/>
      <c r="C6328" s="31"/>
      <c r="D6328" s="31"/>
      <c r="E6328" s="31"/>
      <c r="F6328" s="691"/>
      <c r="G6328" s="31"/>
      <c r="H6328" s="31"/>
    </row>
    <row r="6329" spans="2:8" hidden="1">
      <c r="B6329" s="33"/>
      <c r="C6329" s="31"/>
      <c r="D6329" s="31"/>
      <c r="E6329" s="31"/>
      <c r="F6329" s="691"/>
      <c r="G6329" s="31"/>
      <c r="H6329" s="31"/>
    </row>
    <row r="6330" spans="2:8" hidden="1">
      <c r="B6330" s="33"/>
      <c r="C6330" s="31"/>
      <c r="D6330" s="31"/>
      <c r="E6330" s="31"/>
      <c r="F6330" s="691"/>
      <c r="G6330" s="31"/>
      <c r="H6330" s="31"/>
    </row>
    <row r="6331" spans="2:8" hidden="1">
      <c r="B6331" s="33"/>
      <c r="C6331" s="31"/>
      <c r="D6331" s="31"/>
      <c r="E6331" s="31"/>
      <c r="F6331" s="691"/>
      <c r="G6331" s="31"/>
      <c r="H6331" s="31"/>
    </row>
    <row r="6332" spans="2:8" hidden="1">
      <c r="B6332" s="33"/>
      <c r="C6332" s="31"/>
      <c r="D6332" s="31"/>
      <c r="E6332" s="31"/>
      <c r="F6332" s="691"/>
      <c r="G6332" s="31"/>
      <c r="H6332" s="31"/>
    </row>
    <row r="6333" spans="2:8" hidden="1">
      <c r="B6333" s="33"/>
      <c r="C6333" s="31"/>
      <c r="D6333" s="31"/>
      <c r="E6333" s="31"/>
      <c r="F6333" s="691"/>
      <c r="G6333" s="31"/>
      <c r="H6333" s="31"/>
    </row>
    <row r="6334" spans="2:8" hidden="1">
      <c r="B6334" s="33"/>
      <c r="C6334" s="31"/>
      <c r="D6334" s="31"/>
      <c r="E6334" s="31"/>
      <c r="F6334" s="691"/>
      <c r="G6334" s="31"/>
      <c r="H6334" s="31"/>
    </row>
    <row r="6335" spans="2:8" hidden="1">
      <c r="B6335" s="33"/>
      <c r="C6335" s="31"/>
      <c r="D6335" s="31"/>
      <c r="E6335" s="31"/>
      <c r="F6335" s="691"/>
      <c r="G6335" s="31"/>
      <c r="H6335" s="31"/>
    </row>
    <row r="6336" spans="2:8" hidden="1">
      <c r="B6336" s="33"/>
      <c r="C6336" s="31"/>
      <c r="D6336" s="31"/>
      <c r="E6336" s="31"/>
      <c r="F6336" s="691"/>
      <c r="G6336" s="31"/>
      <c r="H6336" s="31"/>
    </row>
    <row r="6337" spans="2:8" hidden="1">
      <c r="B6337" s="33"/>
      <c r="C6337" s="31"/>
      <c r="D6337" s="31"/>
      <c r="E6337" s="31"/>
      <c r="F6337" s="691"/>
      <c r="G6337" s="31"/>
      <c r="H6337" s="31"/>
    </row>
    <row r="6338" spans="2:8" hidden="1">
      <c r="B6338" s="33"/>
      <c r="C6338" s="31"/>
      <c r="D6338" s="31"/>
      <c r="E6338" s="31"/>
      <c r="F6338" s="691"/>
      <c r="G6338" s="31"/>
      <c r="H6338" s="31"/>
    </row>
    <row r="6339" spans="2:8" hidden="1">
      <c r="B6339" s="33"/>
      <c r="C6339" s="31"/>
      <c r="D6339" s="31"/>
      <c r="E6339" s="31"/>
      <c r="F6339" s="691"/>
      <c r="G6339" s="31"/>
      <c r="H6339" s="31"/>
    </row>
    <row r="6340" spans="2:8" hidden="1">
      <c r="B6340" s="33"/>
      <c r="C6340" s="31"/>
      <c r="D6340" s="31"/>
      <c r="E6340" s="31"/>
      <c r="F6340" s="691"/>
      <c r="G6340" s="31"/>
      <c r="H6340" s="31"/>
    </row>
    <row r="6341" spans="2:8" hidden="1">
      <c r="B6341" s="33"/>
      <c r="C6341" s="31"/>
      <c r="D6341" s="31"/>
      <c r="E6341" s="31"/>
      <c r="F6341" s="691"/>
      <c r="G6341" s="31"/>
      <c r="H6341" s="31"/>
    </row>
    <row r="6342" spans="2:8" hidden="1">
      <c r="B6342" s="33"/>
      <c r="C6342" s="31"/>
      <c r="D6342" s="31"/>
      <c r="E6342" s="31"/>
      <c r="F6342" s="691"/>
      <c r="G6342" s="31"/>
      <c r="H6342" s="31"/>
    </row>
    <row r="6343" spans="2:8" hidden="1">
      <c r="B6343" s="33"/>
      <c r="C6343" s="31"/>
      <c r="D6343" s="31"/>
      <c r="E6343" s="31"/>
      <c r="F6343" s="691"/>
      <c r="G6343" s="31"/>
      <c r="H6343" s="31"/>
    </row>
    <row r="6344" spans="2:8" hidden="1">
      <c r="B6344" s="33"/>
      <c r="C6344" s="31"/>
      <c r="D6344" s="31"/>
      <c r="E6344" s="31"/>
      <c r="F6344" s="691"/>
      <c r="G6344" s="31"/>
      <c r="H6344" s="31"/>
    </row>
    <row r="6345" spans="2:8" hidden="1">
      <c r="B6345" s="33"/>
      <c r="C6345" s="31"/>
      <c r="D6345" s="31"/>
      <c r="E6345" s="31"/>
      <c r="F6345" s="31"/>
      <c r="G6345" s="31"/>
      <c r="H6345" s="31"/>
    </row>
    <row r="6346" spans="2:8" hidden="1">
      <c r="B6346" s="33"/>
      <c r="C6346" s="31"/>
      <c r="D6346" s="31"/>
      <c r="E6346" s="31"/>
      <c r="F6346" s="31"/>
      <c r="G6346" s="31"/>
      <c r="H6346" s="31"/>
    </row>
    <row r="6347" spans="2:8" hidden="1">
      <c r="B6347" s="33"/>
      <c r="C6347" s="31"/>
      <c r="D6347" s="31"/>
      <c r="E6347" s="31"/>
      <c r="F6347" s="31"/>
      <c r="G6347" s="31"/>
      <c r="H6347" s="31"/>
    </row>
    <row r="6348" spans="2:8" hidden="1">
      <c r="B6348" s="33"/>
      <c r="C6348" s="31"/>
      <c r="D6348" s="31"/>
      <c r="E6348" s="31"/>
      <c r="F6348" s="31"/>
      <c r="G6348" s="31"/>
      <c r="H6348" s="31"/>
    </row>
    <row r="6349" spans="2:8" hidden="1">
      <c r="B6349" s="33"/>
      <c r="C6349" s="31"/>
      <c r="D6349" s="31"/>
      <c r="E6349" s="31"/>
      <c r="F6349" s="31"/>
      <c r="G6349" s="31"/>
      <c r="H6349" s="31"/>
    </row>
    <row r="6350" spans="2:8" hidden="1">
      <c r="B6350" s="33"/>
      <c r="C6350" s="31"/>
      <c r="D6350" s="31"/>
      <c r="E6350" s="31"/>
      <c r="F6350" s="31"/>
      <c r="G6350" s="31"/>
      <c r="H6350" s="31"/>
    </row>
    <row r="6351" spans="2:8" hidden="1">
      <c r="B6351" s="33"/>
      <c r="C6351" s="31"/>
      <c r="D6351" s="31"/>
      <c r="E6351" s="31"/>
      <c r="F6351" s="33"/>
      <c r="G6351" s="31"/>
      <c r="H6351" s="31"/>
    </row>
    <row r="6352" spans="2:8" hidden="1">
      <c r="B6352" s="33"/>
      <c r="C6352" s="31"/>
      <c r="D6352" s="33"/>
      <c r="E6352" s="33"/>
      <c r="F6352" s="33"/>
      <c r="G6352" s="33"/>
      <c r="H6352" s="31"/>
    </row>
    <row r="6353" spans="2:8" hidden="1">
      <c r="B6353" s="33"/>
      <c r="C6353" s="31"/>
      <c r="D6353" s="33"/>
      <c r="E6353" s="33"/>
      <c r="F6353" s="33"/>
      <c r="G6353" s="33"/>
      <c r="H6353" s="31"/>
    </row>
    <row r="6354" spans="2:8" hidden="1">
      <c r="B6354" s="33"/>
      <c r="C6354" s="31"/>
      <c r="D6354" s="33"/>
      <c r="E6354" s="33"/>
      <c r="F6354" s="33"/>
      <c r="G6354" s="33"/>
      <c r="H6354" s="31"/>
    </row>
    <row r="6355" spans="2:8" hidden="1">
      <c r="B6355" s="33"/>
      <c r="C6355" s="31"/>
      <c r="D6355" s="33"/>
      <c r="E6355" s="33"/>
      <c r="F6355" s="33"/>
      <c r="G6355" s="33"/>
      <c r="H6355" s="31"/>
    </row>
    <row r="6356" spans="2:8" hidden="1">
      <c r="B6356" s="33"/>
      <c r="C6356" s="31"/>
      <c r="D6356" s="33"/>
      <c r="E6356" s="33"/>
      <c r="F6356" s="33"/>
      <c r="G6356" s="33"/>
      <c r="H6356" s="31"/>
    </row>
    <row r="6357" spans="2:8" hidden="1">
      <c r="B6357" s="33"/>
      <c r="C6357" s="33"/>
      <c r="D6357" s="33"/>
      <c r="E6357" s="33"/>
      <c r="F6357" s="33"/>
      <c r="G6357" s="33"/>
      <c r="H6357" s="31"/>
    </row>
    <row r="6358" spans="2:8" hidden="1">
      <c r="B6358" s="33"/>
      <c r="C6358" s="31"/>
      <c r="D6358" s="31"/>
      <c r="E6358" s="31"/>
      <c r="F6358" s="31"/>
      <c r="G6358" s="31"/>
      <c r="H6358" s="31"/>
    </row>
    <row r="6359" spans="2:8" hidden="1">
      <c r="B6359" s="33"/>
      <c r="C6359" s="31"/>
      <c r="D6359" s="31"/>
      <c r="E6359" s="31"/>
      <c r="F6359" s="31"/>
      <c r="G6359" s="31"/>
      <c r="H6359" s="31"/>
    </row>
    <row r="6360" spans="2:8" hidden="1">
      <c r="B6360" s="33"/>
      <c r="C6360" s="31"/>
      <c r="D6360" s="31"/>
      <c r="E6360" s="31"/>
      <c r="F6360" s="31"/>
      <c r="G6360" s="31"/>
      <c r="H6360" s="31"/>
    </row>
    <row r="6361" spans="2:8" hidden="1">
      <c r="B6361" s="33"/>
      <c r="C6361" s="31"/>
      <c r="D6361" s="31"/>
      <c r="E6361" s="31"/>
      <c r="F6361" s="31"/>
      <c r="G6361" s="31"/>
      <c r="H6361" s="31"/>
    </row>
    <row r="6362" spans="2:8" hidden="1">
      <c r="B6362" s="33"/>
      <c r="C6362" s="31"/>
      <c r="D6362" s="31"/>
      <c r="E6362" s="31"/>
      <c r="F6362" s="31"/>
      <c r="G6362" s="31"/>
      <c r="H6362" s="31"/>
    </row>
    <row r="6363" spans="2:8" hidden="1">
      <c r="B6363" s="33"/>
      <c r="C6363" s="31"/>
      <c r="D6363" s="31"/>
      <c r="E6363" s="31"/>
      <c r="F6363" s="31"/>
      <c r="G6363" s="31"/>
      <c r="H6363" s="31"/>
    </row>
    <row r="6364" spans="2:8" hidden="1">
      <c r="B6364" s="33"/>
      <c r="C6364" s="31"/>
      <c r="D6364" s="31"/>
      <c r="E6364" s="31"/>
      <c r="F6364" s="31"/>
      <c r="G6364" s="31"/>
      <c r="H6364" s="31"/>
    </row>
    <row r="6365" spans="2:8" hidden="1">
      <c r="B6365" s="33"/>
      <c r="C6365" s="31"/>
      <c r="D6365" s="31"/>
      <c r="E6365" s="31"/>
      <c r="F6365" s="31"/>
      <c r="G6365" s="31"/>
      <c r="H6365" s="31"/>
    </row>
    <row r="6366" spans="2:8" hidden="1">
      <c r="B6366" s="33"/>
      <c r="C6366" s="31"/>
      <c r="D6366" s="31"/>
      <c r="E6366" s="31"/>
      <c r="F6366" s="31"/>
      <c r="G6366" s="31"/>
      <c r="H6366" s="31"/>
    </row>
    <row r="6367" spans="2:8" hidden="1">
      <c r="B6367" s="33"/>
      <c r="C6367" s="31"/>
      <c r="D6367" s="31"/>
      <c r="E6367" s="31"/>
      <c r="F6367" s="31"/>
      <c r="G6367" s="31"/>
      <c r="H6367" s="31"/>
    </row>
    <row r="6368" spans="2:8" hidden="1">
      <c r="B6368" s="33"/>
      <c r="C6368" s="31"/>
      <c r="D6368" s="31"/>
      <c r="E6368" s="31"/>
      <c r="F6368" s="31"/>
      <c r="G6368" s="31"/>
      <c r="H6368" s="31"/>
    </row>
    <row r="6369" spans="2:8" hidden="1">
      <c r="B6369" s="33"/>
      <c r="C6369" s="31"/>
      <c r="D6369" s="31"/>
      <c r="E6369" s="31"/>
      <c r="F6369" s="31"/>
      <c r="G6369" s="31"/>
      <c r="H6369" s="31"/>
    </row>
    <row r="6370" spans="2:8" hidden="1">
      <c r="B6370" s="33"/>
      <c r="C6370" s="31"/>
      <c r="D6370" s="75"/>
      <c r="E6370" s="31"/>
      <c r="F6370" s="405"/>
      <c r="G6370" s="75"/>
      <c r="H6370" s="31"/>
    </row>
    <row r="6371" spans="2:8" hidden="1">
      <c r="B6371" s="33"/>
      <c r="C6371" s="31"/>
      <c r="D6371" s="31"/>
      <c r="E6371" s="31"/>
      <c r="F6371" s="691"/>
      <c r="G6371" s="732"/>
      <c r="H6371" s="31"/>
    </row>
    <row r="6372" spans="2:8" hidden="1">
      <c r="B6372" s="33"/>
      <c r="C6372" s="31"/>
      <c r="D6372" s="31"/>
      <c r="E6372" s="31"/>
      <c r="F6372" s="405"/>
      <c r="G6372" s="75"/>
      <c r="H6372" s="31"/>
    </row>
    <row r="6373" spans="2:8" hidden="1">
      <c r="B6373" s="33"/>
      <c r="C6373" s="31"/>
      <c r="D6373" s="75"/>
      <c r="E6373" s="31"/>
      <c r="F6373" s="405"/>
      <c r="G6373" s="75"/>
      <c r="H6373" s="31"/>
    </row>
    <row r="6374" spans="2:8" hidden="1">
      <c r="B6374" s="33"/>
      <c r="C6374" s="31"/>
      <c r="D6374" s="31"/>
      <c r="E6374" s="31"/>
      <c r="F6374" s="691"/>
      <c r="G6374" s="732"/>
      <c r="H6374" s="31"/>
    </row>
    <row r="6375" spans="2:8" hidden="1">
      <c r="B6375" s="33"/>
      <c r="C6375" s="31"/>
      <c r="D6375" s="31"/>
      <c r="E6375" s="31"/>
      <c r="F6375" s="405"/>
      <c r="G6375" s="75"/>
      <c r="H6375" s="31"/>
    </row>
    <row r="6376" spans="2:8" hidden="1">
      <c r="B6376" s="33"/>
      <c r="C6376" s="31"/>
      <c r="D6376" s="31"/>
      <c r="E6376" s="31"/>
      <c r="F6376" s="31"/>
      <c r="G6376" s="31"/>
      <c r="H6376" s="31"/>
    </row>
    <row r="6377" spans="2:8" hidden="1">
      <c r="B6377" s="33"/>
      <c r="C6377" s="200"/>
      <c r="D6377" s="31"/>
      <c r="E6377" s="200"/>
      <c r="F6377" s="769"/>
      <c r="G6377" s="31"/>
      <c r="H6377" s="31"/>
    </row>
    <row r="6378" spans="2:8" hidden="1">
      <c r="B6378" s="76"/>
      <c r="C6378" s="31"/>
      <c r="D6378" s="31"/>
      <c r="E6378" s="31"/>
      <c r="F6378" s="75"/>
      <c r="G6378" s="31"/>
      <c r="H6378" s="31"/>
    </row>
    <row r="6379" spans="2:8" hidden="1">
      <c r="B6379" s="33"/>
      <c r="C6379" s="33"/>
      <c r="D6379" s="33"/>
      <c r="E6379" s="33"/>
      <c r="F6379" s="33"/>
      <c r="G6379" s="33"/>
      <c r="H6379" s="31"/>
    </row>
    <row r="6380" spans="2:8" hidden="1">
      <c r="B6380" s="33"/>
      <c r="C6380" s="31"/>
      <c r="D6380" s="33"/>
      <c r="E6380" s="33"/>
      <c r="F6380" s="33"/>
      <c r="G6380" s="33"/>
      <c r="H6380" s="31"/>
    </row>
    <row r="6381" spans="2:8" hidden="1">
      <c r="B6381" s="405"/>
      <c r="C6381" s="76"/>
      <c r="D6381" s="731"/>
      <c r="E6381" s="75"/>
      <c r="F6381" s="75"/>
      <c r="G6381" s="75"/>
      <c r="H6381" s="31"/>
    </row>
    <row r="6382" spans="2:8" hidden="1">
      <c r="B6382" s="405"/>
      <c r="C6382" s="76"/>
      <c r="D6382" s="731"/>
      <c r="E6382" s="75"/>
      <c r="F6382" s="75"/>
      <c r="G6382" s="75"/>
      <c r="H6382" s="31"/>
    </row>
    <row r="6383" spans="2:8" hidden="1">
      <c r="B6383" s="405"/>
      <c r="C6383" s="76"/>
      <c r="D6383" s="731"/>
      <c r="E6383" s="75"/>
      <c r="F6383" s="75"/>
      <c r="G6383" s="75"/>
      <c r="H6383" s="31"/>
    </row>
    <row r="6384" spans="2:8" hidden="1">
      <c r="B6384" s="405"/>
      <c r="C6384" s="76"/>
      <c r="D6384" s="731"/>
      <c r="E6384" s="75"/>
      <c r="F6384" s="75"/>
      <c r="G6384" s="75"/>
      <c r="H6384" s="31"/>
    </row>
    <row r="6385" spans="2:8" hidden="1">
      <c r="B6385" s="405"/>
      <c r="C6385" s="76"/>
      <c r="D6385" s="731"/>
      <c r="E6385" s="75"/>
      <c r="F6385" s="75"/>
      <c r="G6385" s="75"/>
      <c r="H6385" s="31"/>
    </row>
    <row r="6386" spans="2:8" hidden="1">
      <c r="B6386" s="405"/>
      <c r="C6386" s="76"/>
      <c r="D6386" s="731"/>
      <c r="E6386" s="75"/>
      <c r="F6386" s="75"/>
      <c r="G6386" s="75"/>
      <c r="H6386" s="31"/>
    </row>
    <row r="6387" spans="2:8" hidden="1">
      <c r="B6387" s="405"/>
      <c r="C6387" s="76"/>
      <c r="D6387" s="731"/>
      <c r="E6387" s="75"/>
      <c r="F6387" s="75"/>
      <c r="G6387" s="75"/>
      <c r="H6387" s="31"/>
    </row>
    <row r="6388" spans="2:8" hidden="1">
      <c r="B6388" s="405"/>
      <c r="C6388" s="76"/>
      <c r="D6388" s="731"/>
      <c r="E6388" s="75"/>
      <c r="F6388" s="75"/>
      <c r="G6388" s="75"/>
      <c r="H6388" s="31"/>
    </row>
    <row r="6389" spans="2:8" hidden="1">
      <c r="B6389" s="405"/>
      <c r="C6389" s="76"/>
      <c r="D6389" s="731"/>
      <c r="E6389" s="75"/>
      <c r="F6389" s="75"/>
      <c r="G6389" s="75"/>
      <c r="H6389" s="31"/>
    </row>
    <row r="6390" spans="2:8" hidden="1">
      <c r="B6390" s="30"/>
      <c r="C6390" s="76"/>
      <c r="D6390" s="731"/>
      <c r="E6390" s="75"/>
      <c r="F6390" s="75"/>
      <c r="G6390" s="75"/>
      <c r="H6390" s="31"/>
    </row>
    <row r="6391" spans="2:8" hidden="1">
      <c r="B6391" s="30"/>
      <c r="C6391" s="76"/>
      <c r="D6391" s="731"/>
      <c r="E6391" s="75"/>
      <c r="F6391" s="75"/>
      <c r="G6391" s="75"/>
      <c r="H6391" s="31"/>
    </row>
    <row r="6392" spans="2:8" hidden="1">
      <c r="B6392" s="30"/>
      <c r="C6392" s="76"/>
      <c r="D6392" s="731"/>
      <c r="E6392" s="75"/>
      <c r="F6392" s="75"/>
      <c r="G6392" s="75"/>
      <c r="H6392" s="31"/>
    </row>
    <row r="6393" spans="2:8" hidden="1">
      <c r="B6393" s="30"/>
      <c r="C6393" s="76"/>
      <c r="D6393" s="731"/>
      <c r="E6393" s="75"/>
      <c r="F6393" s="75"/>
      <c r="G6393" s="75"/>
      <c r="H6393" s="31"/>
    </row>
    <row r="6394" spans="2:8" hidden="1">
      <c r="B6394" s="30"/>
      <c r="C6394" s="76"/>
      <c r="D6394" s="731"/>
      <c r="E6394" s="75"/>
      <c r="F6394" s="75"/>
      <c r="G6394" s="75"/>
      <c r="H6394" s="31"/>
    </row>
    <row r="6395" spans="2:8" hidden="1">
      <c r="B6395" s="30"/>
      <c r="C6395" s="76"/>
      <c r="D6395" s="731"/>
      <c r="E6395" s="75"/>
      <c r="F6395" s="75"/>
      <c r="G6395" s="75"/>
      <c r="H6395" s="31"/>
    </row>
    <row r="6396" spans="2:8" hidden="1">
      <c r="B6396" s="30"/>
      <c r="C6396" s="76"/>
      <c r="D6396" s="731"/>
      <c r="E6396" s="75"/>
      <c r="F6396" s="75"/>
      <c r="G6396" s="75"/>
      <c r="H6396" s="31"/>
    </row>
    <row r="6397" spans="2:8" hidden="1">
      <c r="B6397" s="33"/>
      <c r="C6397" s="31"/>
      <c r="D6397" s="31"/>
      <c r="E6397" s="200"/>
      <c r="F6397" s="200"/>
      <c r="G6397" s="75"/>
      <c r="H6397" s="31"/>
    </row>
    <row r="6398" spans="2:8" hidden="1">
      <c r="B6398" s="33"/>
      <c r="C6398" s="31"/>
      <c r="D6398" s="31"/>
      <c r="E6398" s="198"/>
      <c r="F6398" s="200"/>
      <c r="G6398" s="75"/>
      <c r="H6398" s="31"/>
    </row>
    <row r="6399" spans="2:8" hidden="1">
      <c r="B6399" s="33"/>
      <c r="C6399" s="31"/>
      <c r="D6399" s="31"/>
      <c r="E6399" s="198"/>
      <c r="F6399" s="200"/>
      <c r="G6399" s="75"/>
      <c r="H6399" s="31"/>
    </row>
    <row r="6400" spans="2:8" hidden="1">
      <c r="B6400" s="33"/>
      <c r="C6400" s="31"/>
      <c r="D6400" s="31"/>
      <c r="E6400" s="198"/>
      <c r="F6400" s="200"/>
      <c r="G6400" s="75"/>
      <c r="H6400" s="31"/>
    </row>
    <row r="6401" spans="2:8" hidden="1">
      <c r="B6401" s="33"/>
      <c r="C6401" s="200"/>
      <c r="D6401" s="30"/>
      <c r="E6401" s="30"/>
      <c r="F6401" s="200"/>
      <c r="G6401" s="75"/>
      <c r="H6401" s="31"/>
    </row>
    <row r="6402" spans="2:8" hidden="1">
      <c r="B6402" s="33"/>
      <c r="C6402" s="31"/>
      <c r="D6402" s="31"/>
      <c r="E6402" s="31"/>
      <c r="F6402" s="31"/>
      <c r="G6402" s="31"/>
      <c r="H6402" s="31"/>
    </row>
    <row r="6403" spans="2:8" hidden="1">
      <c r="B6403" s="76"/>
      <c r="C6403" s="31"/>
      <c r="D6403" s="31"/>
      <c r="E6403" s="31"/>
      <c r="F6403" s="31"/>
      <c r="G6403" s="31"/>
      <c r="H6403" s="31"/>
    </row>
    <row r="6404" spans="2:8" hidden="1">
      <c r="B6404" s="33"/>
      <c r="C6404" s="33"/>
      <c r="D6404" s="33"/>
      <c r="E6404" s="33"/>
      <c r="F6404" s="33"/>
      <c r="G6404" s="33"/>
      <c r="H6404" s="31"/>
    </row>
    <row r="6405" spans="2:8" hidden="1">
      <c r="B6405" s="33"/>
      <c r="C6405" s="31"/>
      <c r="D6405" s="33"/>
      <c r="E6405" s="33"/>
      <c r="F6405" s="33"/>
      <c r="G6405" s="33"/>
      <c r="H6405" s="31"/>
    </row>
    <row r="6406" spans="2:8" hidden="1">
      <c r="B6406" s="405"/>
      <c r="C6406" s="76"/>
      <c r="D6406" s="731"/>
      <c r="E6406" s="75"/>
      <c r="F6406" s="75"/>
      <c r="G6406" s="75"/>
      <c r="H6406" s="31"/>
    </row>
    <row r="6407" spans="2:8" hidden="1">
      <c r="B6407" s="405"/>
      <c r="C6407" s="76"/>
      <c r="D6407" s="731"/>
      <c r="E6407" s="75"/>
      <c r="F6407" s="75"/>
      <c r="G6407" s="75"/>
      <c r="H6407" s="31"/>
    </row>
    <row r="6408" spans="2:8" hidden="1">
      <c r="B6408" s="405"/>
      <c r="C6408" s="76"/>
      <c r="D6408" s="731"/>
      <c r="E6408" s="75"/>
      <c r="F6408" s="75"/>
      <c r="G6408" s="75"/>
      <c r="H6408" s="31"/>
    </row>
    <row r="6409" spans="2:8" hidden="1">
      <c r="B6409" s="405"/>
      <c r="C6409" s="76"/>
      <c r="D6409" s="731"/>
      <c r="E6409" s="75"/>
      <c r="F6409" s="75"/>
      <c r="G6409" s="75"/>
      <c r="H6409" s="31"/>
    </row>
    <row r="6410" spans="2:8" hidden="1">
      <c r="B6410" s="405"/>
      <c r="C6410" s="76"/>
      <c r="D6410" s="731"/>
      <c r="E6410" s="75"/>
      <c r="F6410" s="75"/>
      <c r="G6410" s="75"/>
      <c r="H6410" s="31"/>
    </row>
    <row r="6411" spans="2:8" hidden="1">
      <c r="B6411" s="405"/>
      <c r="C6411" s="76"/>
      <c r="D6411" s="731"/>
      <c r="E6411" s="75"/>
      <c r="F6411" s="75"/>
      <c r="G6411" s="75"/>
      <c r="H6411" s="31"/>
    </row>
    <row r="6412" spans="2:8" hidden="1">
      <c r="B6412" s="405"/>
      <c r="C6412" s="76"/>
      <c r="D6412" s="731"/>
      <c r="E6412" s="75"/>
      <c r="F6412" s="75"/>
      <c r="G6412" s="75"/>
      <c r="H6412" s="31"/>
    </row>
    <row r="6413" spans="2:8" hidden="1">
      <c r="B6413" s="405"/>
      <c r="C6413" s="76"/>
      <c r="D6413" s="731"/>
      <c r="E6413" s="75"/>
      <c r="F6413" s="75"/>
      <c r="G6413" s="75"/>
      <c r="H6413" s="31"/>
    </row>
    <row r="6414" spans="2:8" hidden="1">
      <c r="B6414" s="405"/>
      <c r="C6414" s="76"/>
      <c r="D6414" s="731"/>
      <c r="E6414" s="75"/>
      <c r="F6414" s="75"/>
      <c r="G6414" s="75"/>
      <c r="H6414" s="31"/>
    </row>
    <row r="6415" spans="2:8" hidden="1">
      <c r="B6415" s="33"/>
      <c r="C6415" s="31"/>
      <c r="D6415" s="31"/>
      <c r="E6415" s="200"/>
      <c r="F6415" s="200"/>
      <c r="G6415" s="75"/>
      <c r="H6415" s="31"/>
    </row>
    <row r="6416" spans="2:8" hidden="1">
      <c r="B6416" s="33"/>
      <c r="C6416" s="31"/>
      <c r="D6416" s="31"/>
      <c r="E6416" s="198"/>
      <c r="F6416" s="200"/>
      <c r="G6416" s="75"/>
      <c r="H6416" s="31"/>
    </row>
    <row r="6417" spans="2:8" hidden="1">
      <c r="B6417" s="33"/>
      <c r="C6417" s="31"/>
      <c r="D6417" s="31"/>
      <c r="E6417" s="198"/>
      <c r="F6417" s="200"/>
      <c r="G6417" s="75"/>
      <c r="H6417" s="31"/>
    </row>
    <row r="6418" spans="2:8" hidden="1">
      <c r="B6418" s="33"/>
      <c r="C6418" s="31"/>
      <c r="D6418" s="31"/>
      <c r="E6418" s="198"/>
      <c r="F6418" s="200"/>
      <c r="G6418" s="75"/>
      <c r="H6418" s="31"/>
    </row>
    <row r="6419" spans="2:8" hidden="1">
      <c r="B6419" s="33"/>
      <c r="C6419" s="30"/>
      <c r="D6419" s="30"/>
      <c r="E6419" s="30"/>
      <c r="F6419" s="200"/>
      <c r="G6419" s="75"/>
      <c r="H6419" s="31"/>
    </row>
    <row r="6420" spans="2:8" hidden="1">
      <c r="B6420" s="33"/>
      <c r="C6420" s="31"/>
      <c r="D6420" s="31"/>
      <c r="E6420" s="31"/>
      <c r="F6420" s="31"/>
      <c r="G6420" s="31"/>
      <c r="H6420" s="31"/>
    </row>
    <row r="6421" spans="2:8" hidden="1">
      <c r="B6421" s="76"/>
      <c r="C6421" s="31"/>
      <c r="D6421" s="31"/>
      <c r="E6421" s="31"/>
      <c r="F6421" s="31"/>
      <c r="G6421" s="31"/>
      <c r="H6421" s="31"/>
    </row>
    <row r="6422" spans="2:8" hidden="1">
      <c r="B6422" s="33"/>
      <c r="C6422" s="33"/>
      <c r="D6422" s="33"/>
      <c r="E6422" s="33"/>
      <c r="F6422" s="33"/>
      <c r="G6422" s="33"/>
      <c r="H6422" s="31"/>
    </row>
    <row r="6423" spans="2:8" hidden="1">
      <c r="B6423" s="33"/>
      <c r="C6423" s="31"/>
      <c r="D6423" s="33"/>
      <c r="E6423" s="33"/>
      <c r="F6423" s="33"/>
      <c r="G6423" s="33"/>
      <c r="H6423" s="31"/>
    </row>
    <row r="6424" spans="2:8" hidden="1">
      <c r="B6424" s="405"/>
      <c r="C6424" s="76"/>
      <c r="D6424" s="731"/>
      <c r="E6424" s="75"/>
      <c r="F6424" s="75"/>
      <c r="G6424" s="75"/>
      <c r="H6424" s="31"/>
    </row>
    <row r="6425" spans="2:8" hidden="1">
      <c r="B6425" s="405"/>
      <c r="C6425" s="76"/>
      <c r="D6425" s="731"/>
      <c r="E6425" s="75"/>
      <c r="F6425" s="75"/>
      <c r="G6425" s="75"/>
      <c r="H6425" s="31"/>
    </row>
    <row r="6426" spans="2:8" hidden="1">
      <c r="B6426" s="405"/>
      <c r="C6426" s="76"/>
      <c r="D6426" s="731"/>
      <c r="E6426" s="75"/>
      <c r="F6426" s="75"/>
      <c r="G6426" s="75"/>
      <c r="H6426" s="31"/>
    </row>
    <row r="6427" spans="2:8" hidden="1">
      <c r="B6427" s="405"/>
      <c r="C6427" s="76"/>
      <c r="D6427" s="731"/>
      <c r="E6427" s="75"/>
      <c r="F6427" s="75"/>
      <c r="G6427" s="75"/>
      <c r="H6427" s="31"/>
    </row>
    <row r="6428" spans="2:8" hidden="1">
      <c r="B6428" s="405"/>
      <c r="C6428" s="76"/>
      <c r="D6428" s="731"/>
      <c r="E6428" s="75"/>
      <c r="F6428" s="75"/>
      <c r="G6428" s="75"/>
      <c r="H6428" s="31"/>
    </row>
    <row r="6429" spans="2:8" hidden="1">
      <c r="B6429" s="405"/>
      <c r="C6429" s="76"/>
      <c r="D6429" s="731"/>
      <c r="E6429" s="75"/>
      <c r="F6429" s="75"/>
      <c r="G6429" s="75"/>
      <c r="H6429" s="31"/>
    </row>
    <row r="6430" spans="2:8" hidden="1">
      <c r="B6430" s="405"/>
      <c r="C6430" s="76"/>
      <c r="D6430" s="731"/>
      <c r="E6430" s="75"/>
      <c r="F6430" s="75"/>
      <c r="G6430" s="75"/>
      <c r="H6430" s="31"/>
    </row>
    <row r="6431" spans="2:8" hidden="1">
      <c r="B6431" s="405"/>
      <c r="C6431" s="76"/>
      <c r="D6431" s="731"/>
      <c r="E6431" s="75"/>
      <c r="F6431" s="75"/>
      <c r="G6431" s="75"/>
      <c r="H6431" s="31"/>
    </row>
    <row r="6432" spans="2:8" hidden="1">
      <c r="B6432" s="405"/>
      <c r="C6432" s="76"/>
      <c r="D6432" s="731"/>
      <c r="E6432" s="75"/>
      <c r="F6432" s="75"/>
      <c r="G6432" s="75"/>
      <c r="H6432" s="31"/>
    </row>
    <row r="6433" spans="2:8" hidden="1">
      <c r="B6433" s="30"/>
      <c r="C6433" s="76"/>
      <c r="D6433" s="731"/>
      <c r="E6433" s="75"/>
      <c r="F6433" s="75"/>
      <c r="G6433" s="75"/>
      <c r="H6433" s="31"/>
    </row>
    <row r="6434" spans="2:8" hidden="1">
      <c r="B6434" s="30"/>
      <c r="C6434" s="76"/>
      <c r="D6434" s="731"/>
      <c r="E6434" s="75"/>
      <c r="F6434" s="75"/>
      <c r="G6434" s="75"/>
      <c r="H6434" s="31"/>
    </row>
    <row r="6435" spans="2:8" hidden="1">
      <c r="B6435" s="33"/>
      <c r="C6435" s="31"/>
      <c r="D6435" s="31"/>
      <c r="E6435" s="200"/>
      <c r="F6435" s="200"/>
      <c r="G6435" s="75"/>
      <c r="H6435" s="31"/>
    </row>
    <row r="6436" spans="2:8" hidden="1">
      <c r="B6436" s="33"/>
      <c r="C6436" s="31"/>
      <c r="D6436" s="31"/>
      <c r="E6436" s="198"/>
      <c r="F6436" s="200"/>
      <c r="G6436" s="75"/>
      <c r="H6436" s="31"/>
    </row>
    <row r="6437" spans="2:8" hidden="1">
      <c r="B6437" s="33"/>
      <c r="C6437" s="31"/>
      <c r="D6437" s="31"/>
      <c r="E6437" s="198"/>
      <c r="F6437" s="200"/>
      <c r="G6437" s="75"/>
      <c r="H6437" s="31"/>
    </row>
    <row r="6438" spans="2:8" hidden="1">
      <c r="B6438" s="33"/>
      <c r="C6438" s="31"/>
      <c r="D6438" s="31"/>
      <c r="E6438" s="198"/>
      <c r="F6438" s="200"/>
      <c r="G6438" s="75"/>
      <c r="H6438" s="31"/>
    </row>
    <row r="6439" spans="2:8" hidden="1">
      <c r="B6439" s="33"/>
      <c r="C6439" s="31"/>
      <c r="D6439" s="31"/>
      <c r="E6439" s="198"/>
      <c r="F6439" s="200"/>
      <c r="G6439" s="75"/>
      <c r="H6439" s="31"/>
    </row>
    <row r="6440" spans="2:8" hidden="1">
      <c r="B6440" s="33"/>
      <c r="C6440" s="31"/>
      <c r="D6440" s="31"/>
      <c r="E6440" s="198"/>
      <c r="F6440" s="200"/>
      <c r="G6440" s="75"/>
      <c r="H6440" s="31"/>
    </row>
    <row r="6441" spans="2:8" hidden="1">
      <c r="B6441" s="33"/>
      <c r="C6441" s="200"/>
      <c r="D6441" s="30"/>
      <c r="E6441" s="30"/>
      <c r="F6441" s="200"/>
      <c r="G6441" s="75"/>
      <c r="H6441" s="31"/>
    </row>
    <row r="6442" spans="2:8" hidden="1">
      <c r="B6442" s="33"/>
      <c r="C6442" s="31"/>
      <c r="D6442" s="31"/>
      <c r="E6442" s="31"/>
      <c r="F6442" s="31"/>
      <c r="G6442" s="31"/>
      <c r="H6442" s="31"/>
    </row>
    <row r="6443" spans="2:8" hidden="1">
      <c r="B6443" s="33"/>
      <c r="C6443" s="31"/>
      <c r="D6443" s="31"/>
      <c r="E6443" s="31"/>
      <c r="F6443" s="31"/>
      <c r="G6443" s="31"/>
      <c r="H6443" s="31"/>
    </row>
    <row r="6444" spans="2:8" hidden="1">
      <c r="B6444" s="33"/>
      <c r="C6444" s="31"/>
      <c r="D6444" s="31"/>
      <c r="E6444" s="31"/>
      <c r="F6444" s="200"/>
      <c r="G6444" s="75"/>
      <c r="H6444" s="31"/>
    </row>
    <row r="6445" spans="2:8" hidden="1">
      <c r="B6445" s="33"/>
      <c r="C6445" s="31"/>
      <c r="D6445" s="31"/>
      <c r="E6445" s="31"/>
      <c r="F6445" s="200"/>
      <c r="G6445" s="75"/>
      <c r="H6445" s="31"/>
    </row>
    <row r="6446" spans="2:8" hidden="1">
      <c r="B6446" s="33"/>
      <c r="C6446" s="31"/>
      <c r="D6446" s="31"/>
      <c r="E6446" s="31"/>
      <c r="F6446" s="200"/>
      <c r="G6446" s="75"/>
      <c r="H6446" s="31"/>
    </row>
    <row r="6447" spans="2:8" hidden="1">
      <c r="B6447" s="33"/>
      <c r="C6447" s="31"/>
      <c r="D6447" s="31"/>
      <c r="E6447" s="200"/>
      <c r="F6447" s="200"/>
      <c r="G6447" s="75"/>
      <c r="H6447" s="31"/>
    </row>
    <row r="6448" spans="2:8" hidden="1">
      <c r="B6448" s="33"/>
      <c r="C6448" s="31"/>
      <c r="D6448" s="31"/>
      <c r="E6448" s="301"/>
      <c r="F6448" s="200"/>
      <c r="G6448" s="75"/>
      <c r="H6448" s="31"/>
    </row>
    <row r="6449" spans="2:8" hidden="1">
      <c r="B6449" s="33"/>
      <c r="C6449" s="31"/>
      <c r="D6449" s="31"/>
      <c r="E6449" s="767"/>
      <c r="F6449" s="200"/>
      <c r="G6449" s="75"/>
      <c r="H6449" s="31"/>
    </row>
    <row r="6450" spans="2:8" hidden="1">
      <c r="B6450" s="33"/>
      <c r="C6450" s="31"/>
      <c r="D6450" s="31"/>
      <c r="E6450" s="767"/>
      <c r="F6450" s="200"/>
      <c r="G6450" s="75"/>
      <c r="H6450" s="31"/>
    </row>
    <row r="6451" spans="2:8" hidden="1">
      <c r="B6451" s="33"/>
      <c r="C6451" s="31"/>
      <c r="D6451" s="31"/>
      <c r="E6451" s="767"/>
      <c r="F6451" s="200"/>
      <c r="G6451" s="75"/>
      <c r="H6451" s="31"/>
    </row>
    <row r="6452" spans="2:8" hidden="1">
      <c r="B6452" s="33"/>
      <c r="C6452" s="31"/>
      <c r="D6452" s="31"/>
      <c r="E6452" s="767"/>
      <c r="F6452" s="200"/>
      <c r="G6452" s="75"/>
      <c r="H6452" s="31"/>
    </row>
    <row r="6453" spans="2:8" hidden="1">
      <c r="B6453" s="33"/>
      <c r="C6453" s="31"/>
      <c r="D6453" s="75"/>
      <c r="E6453" s="767"/>
      <c r="F6453" s="200"/>
      <c r="G6453" s="75"/>
      <c r="H6453" s="31"/>
    </row>
    <row r="6454" spans="2:8" hidden="1">
      <c r="B6454" s="33"/>
      <c r="C6454" s="31"/>
      <c r="D6454" s="31"/>
      <c r="E6454" s="767"/>
      <c r="F6454" s="200"/>
      <c r="G6454" s="75"/>
      <c r="H6454" s="31"/>
    </row>
    <row r="6455" spans="2:8" hidden="1">
      <c r="B6455" s="33"/>
      <c r="C6455" s="31"/>
      <c r="D6455" s="31"/>
      <c r="E6455" s="200"/>
      <c r="F6455" s="200"/>
      <c r="G6455" s="75"/>
      <c r="H6455" s="31"/>
    </row>
    <row r="6456" spans="2:8" hidden="1">
      <c r="B6456" s="33"/>
      <c r="C6456" s="31"/>
      <c r="D6456" s="31"/>
      <c r="E6456" s="200"/>
      <c r="F6456" s="200"/>
      <c r="G6456" s="31"/>
      <c r="H6456" s="31"/>
    </row>
    <row r="6457" spans="2:8" hidden="1">
      <c r="B6457" s="33"/>
      <c r="C6457" s="31"/>
      <c r="D6457" s="75"/>
      <c r="E6457" s="76"/>
      <c r="F6457" s="200"/>
      <c r="G6457" s="75"/>
      <c r="H6457" s="31"/>
    </row>
    <row r="6458" spans="2:8" hidden="1">
      <c r="B6458" s="33"/>
      <c r="C6458" s="31"/>
      <c r="D6458" s="198"/>
      <c r="E6458" s="198"/>
      <c r="F6458" s="200"/>
      <c r="G6458" s="75"/>
      <c r="H6458" s="31"/>
    </row>
    <row r="6459" spans="2:8" hidden="1">
      <c r="B6459" s="33"/>
      <c r="C6459" s="31"/>
      <c r="D6459" s="768"/>
      <c r="E6459" s="31"/>
      <c r="F6459" s="200"/>
      <c r="G6459" s="75"/>
      <c r="H6459" s="31"/>
    </row>
    <row r="6460" spans="2:8" hidden="1">
      <c r="B6460" s="33"/>
      <c r="C6460" s="31"/>
      <c r="D6460" s="200"/>
      <c r="E6460" s="31"/>
      <c r="F6460" s="200"/>
      <c r="G6460" s="75"/>
      <c r="H6460" s="31"/>
    </row>
    <row r="6461" spans="2:8" hidden="1">
      <c r="B6461" s="33"/>
      <c r="C6461" s="31"/>
      <c r="D6461" s="31"/>
      <c r="E6461" s="31"/>
      <c r="F6461" s="31"/>
      <c r="G6461" s="31"/>
      <c r="H6461" s="31"/>
    </row>
    <row r="6462" spans="2:8" hidden="1">
      <c r="B6462" s="33"/>
      <c r="C6462" s="31"/>
      <c r="D6462" s="31"/>
      <c r="E6462" s="31"/>
      <c r="F6462" s="31"/>
      <c r="G6462" s="31"/>
      <c r="H6462" s="31"/>
    </row>
    <row r="6463" spans="2:8" hidden="1">
      <c r="B6463" s="33"/>
      <c r="C6463" s="31"/>
      <c r="D6463" s="33"/>
      <c r="E6463" s="31"/>
      <c r="F6463" s="200"/>
      <c r="G6463" s="76"/>
      <c r="H6463" s="31"/>
    </row>
    <row r="6464" spans="2:8" hidden="1">
      <c r="B6464" s="33"/>
      <c r="C6464" s="31"/>
      <c r="D6464" s="31"/>
      <c r="E6464" s="31"/>
      <c r="F6464" s="31"/>
      <c r="G6464" s="31"/>
      <c r="H6464" s="31"/>
    </row>
    <row r="6465" spans="2:8" hidden="1">
      <c r="B6465" s="33"/>
      <c r="C6465" s="31"/>
      <c r="D6465" s="31"/>
      <c r="E6465" s="31"/>
      <c r="F6465" s="31"/>
      <c r="G6465" s="31"/>
      <c r="H6465" s="31"/>
    </row>
    <row r="6466" spans="2:8" hidden="1">
      <c r="B6466" s="33"/>
      <c r="C6466" s="31"/>
      <c r="D6466" s="31"/>
      <c r="E6466" s="31"/>
      <c r="F6466" s="31"/>
      <c r="G6466" s="31"/>
      <c r="H6466" s="31"/>
    </row>
    <row r="6467" spans="2:8" hidden="1">
      <c r="B6467" s="33"/>
      <c r="C6467" s="31"/>
      <c r="D6467" s="31"/>
      <c r="E6467" s="31"/>
      <c r="F6467" s="31"/>
      <c r="G6467" s="31"/>
      <c r="H6467" s="31"/>
    </row>
    <row r="6468" spans="2:8" hidden="1">
      <c r="B6468" s="33"/>
      <c r="C6468" s="31"/>
      <c r="D6468" s="31"/>
      <c r="E6468" s="31"/>
      <c r="F6468" s="31"/>
      <c r="G6468" s="31"/>
      <c r="H6468" s="31"/>
    </row>
    <row r="6469" spans="2:8" hidden="1">
      <c r="B6469" s="33"/>
      <c r="C6469" s="31"/>
      <c r="D6469" s="31"/>
      <c r="E6469" s="31"/>
      <c r="F6469" s="31"/>
      <c r="G6469" s="31"/>
      <c r="H6469" s="31"/>
    </row>
    <row r="6470" spans="2:8" hidden="1">
      <c r="B6470" s="33"/>
      <c r="C6470" s="31"/>
      <c r="D6470" s="31"/>
      <c r="E6470" s="31"/>
      <c r="F6470" s="31"/>
      <c r="G6470" s="31"/>
      <c r="H6470" s="31"/>
    </row>
    <row r="6471" spans="2:8" hidden="1">
      <c r="B6471" s="33"/>
      <c r="C6471" s="31"/>
      <c r="D6471" s="31"/>
      <c r="E6471" s="31"/>
      <c r="F6471" s="31"/>
      <c r="G6471" s="31"/>
      <c r="H6471" s="31"/>
    </row>
    <row r="6472" spans="2:8" hidden="1">
      <c r="B6472" s="33"/>
      <c r="C6472" s="31"/>
      <c r="D6472" s="31"/>
      <c r="E6472" s="31"/>
      <c r="F6472" s="31"/>
      <c r="G6472" s="31"/>
      <c r="H6472" s="31"/>
    </row>
    <row r="6473" spans="2:8" hidden="1">
      <c r="B6473" s="33"/>
      <c r="C6473" s="31"/>
      <c r="D6473" s="31"/>
      <c r="E6473" s="31"/>
      <c r="F6473" s="31"/>
      <c r="G6473" s="31"/>
      <c r="H6473" s="31"/>
    </row>
    <row r="6474" spans="2:8" hidden="1">
      <c r="B6474" s="33"/>
      <c r="C6474" s="31"/>
      <c r="D6474" s="31"/>
      <c r="E6474" s="31"/>
      <c r="F6474" s="31"/>
      <c r="G6474" s="31"/>
      <c r="H6474" s="31"/>
    </row>
    <row r="6475" spans="2:8" hidden="1">
      <c r="B6475" s="33"/>
      <c r="C6475" s="31"/>
      <c r="D6475" s="31"/>
      <c r="E6475" s="31"/>
      <c r="F6475" s="31"/>
      <c r="G6475" s="31"/>
      <c r="H6475" s="31"/>
    </row>
    <row r="6476" spans="2:8" hidden="1">
      <c r="B6476" s="33"/>
      <c r="C6476" s="31"/>
      <c r="D6476" s="31"/>
      <c r="E6476" s="31"/>
      <c r="F6476" s="31"/>
      <c r="G6476" s="31"/>
      <c r="H6476" s="31"/>
    </row>
    <row r="6477" spans="2:8" hidden="1">
      <c r="B6477" s="33"/>
      <c r="C6477" s="31"/>
      <c r="D6477" s="31"/>
      <c r="E6477" s="31"/>
      <c r="F6477" s="31"/>
      <c r="G6477" s="31"/>
      <c r="H6477" s="31"/>
    </row>
    <row r="6478" spans="2:8" hidden="1">
      <c r="B6478" s="33"/>
      <c r="C6478" s="31"/>
      <c r="D6478" s="31"/>
      <c r="E6478" s="31"/>
      <c r="F6478" s="31"/>
      <c r="G6478" s="31"/>
      <c r="H6478" s="31"/>
    </row>
    <row r="6479" spans="2:8" hidden="1">
      <c r="B6479" s="33"/>
      <c r="C6479" s="31"/>
      <c r="D6479" s="31"/>
      <c r="E6479" s="31"/>
      <c r="F6479" s="31"/>
      <c r="G6479" s="31"/>
      <c r="H6479" s="31"/>
    </row>
    <row r="6480" spans="2:8" hidden="1">
      <c r="B6480" s="33"/>
      <c r="C6480" s="31"/>
      <c r="D6480" s="31"/>
      <c r="E6480" s="31"/>
      <c r="F6480" s="31"/>
      <c r="G6480" s="31"/>
      <c r="H6480" s="31"/>
    </row>
    <row r="6481" spans="2:8" hidden="1">
      <c r="B6481" s="33"/>
      <c r="C6481" s="31"/>
      <c r="D6481" s="31"/>
      <c r="E6481" s="31"/>
      <c r="F6481" s="31"/>
      <c r="G6481" s="31"/>
      <c r="H6481" s="31"/>
    </row>
    <row r="6482" spans="2:8" hidden="1">
      <c r="B6482" s="33"/>
      <c r="C6482" s="31"/>
      <c r="D6482" s="31"/>
      <c r="E6482" s="31"/>
      <c r="F6482" s="691"/>
      <c r="G6482" s="31"/>
      <c r="H6482" s="31"/>
    </row>
    <row r="6483" spans="2:8" hidden="1">
      <c r="B6483" s="33"/>
      <c r="C6483" s="31"/>
      <c r="D6483" s="31"/>
      <c r="E6483" s="31"/>
      <c r="F6483" s="691"/>
      <c r="G6483" s="31"/>
      <c r="H6483" s="31"/>
    </row>
    <row r="6484" spans="2:8" hidden="1">
      <c r="B6484" s="33"/>
      <c r="C6484" s="31"/>
      <c r="D6484" s="31"/>
      <c r="E6484" s="31"/>
      <c r="F6484" s="691"/>
      <c r="G6484" s="31"/>
      <c r="H6484" s="31"/>
    </row>
    <row r="6485" spans="2:8" hidden="1">
      <c r="B6485" s="33"/>
      <c r="C6485" s="31"/>
      <c r="D6485" s="31"/>
      <c r="E6485" s="31"/>
      <c r="F6485" s="691"/>
      <c r="G6485" s="31"/>
      <c r="H6485" s="31"/>
    </row>
    <row r="6486" spans="2:8" hidden="1">
      <c r="B6486" s="200"/>
      <c r="C6486" s="31"/>
      <c r="D6486" s="31"/>
      <c r="E6486" s="31"/>
      <c r="F6486" s="691"/>
      <c r="G6486" s="31"/>
      <c r="H6486" s="31"/>
    </row>
    <row r="6487" spans="2:8" hidden="1">
      <c r="B6487" s="200"/>
      <c r="C6487" s="31"/>
      <c r="D6487" s="31"/>
      <c r="E6487" s="31"/>
      <c r="F6487" s="691"/>
      <c r="G6487" s="31"/>
      <c r="H6487" s="31"/>
    </row>
    <row r="6488" spans="2:8" hidden="1">
      <c r="B6488" s="200"/>
      <c r="C6488" s="31"/>
      <c r="D6488" s="31"/>
      <c r="E6488" s="31"/>
      <c r="F6488" s="691"/>
      <c r="G6488" s="31"/>
      <c r="H6488" s="31"/>
    </row>
    <row r="6489" spans="2:8" hidden="1">
      <c r="B6489" s="200"/>
      <c r="C6489" s="31"/>
      <c r="D6489" s="31"/>
      <c r="E6489" s="31"/>
      <c r="F6489" s="691"/>
      <c r="G6489" s="31"/>
      <c r="H6489" s="31"/>
    </row>
    <row r="6490" spans="2:8" hidden="1">
      <c r="B6490" s="200"/>
      <c r="C6490" s="31"/>
      <c r="D6490" s="31"/>
      <c r="E6490" s="31"/>
      <c r="F6490" s="691"/>
      <c r="G6490" s="31"/>
      <c r="H6490" s="31"/>
    </row>
    <row r="6491" spans="2:8" hidden="1">
      <c r="B6491" s="200"/>
      <c r="C6491" s="31"/>
      <c r="D6491" s="31"/>
      <c r="E6491" s="31"/>
      <c r="F6491" s="691"/>
      <c r="G6491" s="31"/>
      <c r="H6491" s="31"/>
    </row>
    <row r="6492" spans="2:8" hidden="1">
      <c r="B6492" s="200"/>
      <c r="C6492" s="31"/>
      <c r="D6492" s="31"/>
      <c r="E6492" s="31"/>
      <c r="F6492" s="691"/>
      <c r="G6492" s="31"/>
      <c r="H6492" s="31"/>
    </row>
    <row r="6493" spans="2:8" hidden="1">
      <c r="B6493" s="200"/>
      <c r="C6493" s="31"/>
      <c r="D6493" s="31"/>
      <c r="E6493" s="31"/>
      <c r="F6493" s="691"/>
      <c r="G6493" s="31"/>
      <c r="H6493" s="31"/>
    </row>
    <row r="6494" spans="2:8" hidden="1">
      <c r="B6494" s="200"/>
      <c r="C6494" s="31"/>
      <c r="D6494" s="31"/>
      <c r="E6494" s="31"/>
      <c r="F6494" s="691"/>
      <c r="G6494" s="31"/>
      <c r="H6494" s="31"/>
    </row>
    <row r="6495" spans="2:8" hidden="1">
      <c r="B6495" s="200"/>
      <c r="C6495" s="31"/>
      <c r="D6495" s="31"/>
      <c r="E6495" s="31"/>
      <c r="F6495" s="691"/>
      <c r="G6495" s="31"/>
      <c r="H6495" s="31"/>
    </row>
    <row r="6496" spans="2:8" hidden="1">
      <c r="B6496" s="200"/>
      <c r="C6496" s="31"/>
      <c r="D6496" s="31"/>
      <c r="E6496" s="31"/>
      <c r="F6496" s="691"/>
      <c r="G6496" s="31"/>
      <c r="H6496" s="31"/>
    </row>
    <row r="6497" spans="2:8" hidden="1">
      <c r="B6497" s="200"/>
      <c r="C6497" s="31"/>
      <c r="D6497" s="31"/>
      <c r="E6497" s="31"/>
      <c r="F6497" s="691"/>
      <c r="G6497" s="31"/>
      <c r="H6497" s="31"/>
    </row>
    <row r="6498" spans="2:8" hidden="1">
      <c r="B6498" s="33"/>
      <c r="C6498" s="31"/>
      <c r="D6498" s="31"/>
      <c r="E6498" s="31"/>
      <c r="F6498" s="691"/>
      <c r="G6498" s="31"/>
      <c r="H6498" s="31"/>
    </row>
    <row r="6499" spans="2:8" hidden="1">
      <c r="B6499" s="33"/>
      <c r="C6499" s="31"/>
      <c r="D6499" s="31"/>
      <c r="E6499" s="31"/>
      <c r="F6499" s="691"/>
      <c r="G6499" s="31"/>
      <c r="H6499" s="31"/>
    </row>
    <row r="6500" spans="2:8" hidden="1">
      <c r="B6500" s="33"/>
      <c r="C6500" s="31"/>
      <c r="D6500" s="31"/>
      <c r="E6500" s="31"/>
      <c r="F6500" s="691"/>
      <c r="G6500" s="31"/>
      <c r="H6500" s="31"/>
    </row>
    <row r="6501" spans="2:8" hidden="1">
      <c r="B6501" s="33"/>
      <c r="C6501" s="31"/>
      <c r="D6501" s="31"/>
      <c r="E6501" s="31"/>
      <c r="F6501" s="691"/>
      <c r="G6501" s="31"/>
      <c r="H6501" s="31"/>
    </row>
    <row r="6502" spans="2:8" hidden="1">
      <c r="B6502" s="33"/>
      <c r="C6502" s="31"/>
      <c r="D6502" s="31"/>
      <c r="E6502" s="31"/>
      <c r="F6502" s="691"/>
      <c r="G6502" s="31"/>
      <c r="H6502" s="31"/>
    </row>
    <row r="6503" spans="2:8" hidden="1">
      <c r="B6503" s="33"/>
      <c r="C6503" s="31"/>
      <c r="D6503" s="31"/>
      <c r="E6503" s="200"/>
      <c r="F6503" s="691"/>
      <c r="G6503" s="31"/>
      <c r="H6503" s="31"/>
    </row>
    <row r="6504" spans="2:8" hidden="1">
      <c r="B6504" s="33"/>
      <c r="C6504" s="31"/>
      <c r="D6504" s="31"/>
      <c r="E6504" s="31"/>
      <c r="F6504" s="691"/>
      <c r="G6504" s="31"/>
      <c r="H6504" s="31"/>
    </row>
    <row r="6505" spans="2:8" hidden="1">
      <c r="B6505" s="33"/>
      <c r="C6505" s="31"/>
      <c r="D6505" s="31"/>
      <c r="E6505" s="31"/>
      <c r="F6505" s="691"/>
      <c r="G6505" s="31"/>
      <c r="H6505" s="31"/>
    </row>
    <row r="6506" spans="2:8" hidden="1">
      <c r="B6506" s="33"/>
      <c r="C6506" s="31"/>
      <c r="D6506" s="31"/>
      <c r="E6506" s="31"/>
      <c r="F6506" s="691"/>
      <c r="G6506" s="31"/>
      <c r="H6506" s="31"/>
    </row>
    <row r="6507" spans="2:8" hidden="1">
      <c r="B6507" s="33"/>
      <c r="C6507" s="31"/>
      <c r="D6507" s="31"/>
      <c r="E6507" s="31"/>
      <c r="F6507" s="691"/>
      <c r="G6507" s="31"/>
      <c r="H6507" s="31"/>
    </row>
    <row r="6508" spans="2:8" hidden="1">
      <c r="B6508" s="33"/>
      <c r="C6508" s="31"/>
      <c r="D6508" s="31"/>
      <c r="E6508" s="31"/>
      <c r="F6508" s="691"/>
      <c r="G6508" s="31"/>
      <c r="H6508" s="31"/>
    </row>
    <row r="6509" spans="2:8" hidden="1">
      <c r="B6509" s="33"/>
      <c r="C6509" s="31"/>
      <c r="D6509" s="31"/>
      <c r="E6509" s="31"/>
      <c r="F6509" s="691"/>
      <c r="G6509" s="31"/>
      <c r="H6509" s="31"/>
    </row>
    <row r="6510" spans="2:8" hidden="1">
      <c r="B6510" s="33"/>
      <c r="C6510" s="31"/>
      <c r="D6510" s="31"/>
      <c r="E6510" s="31"/>
      <c r="F6510" s="691"/>
      <c r="G6510" s="31"/>
      <c r="H6510" s="31"/>
    </row>
    <row r="6511" spans="2:8" hidden="1">
      <c r="B6511" s="33"/>
      <c r="C6511" s="31"/>
      <c r="D6511" s="31"/>
      <c r="E6511" s="31"/>
      <c r="F6511" s="691"/>
      <c r="G6511" s="31"/>
      <c r="H6511" s="31"/>
    </row>
    <row r="6512" spans="2:8" hidden="1">
      <c r="B6512" s="33"/>
      <c r="C6512" s="31"/>
      <c r="D6512" s="31"/>
      <c r="E6512" s="31"/>
      <c r="F6512" s="691"/>
      <c r="G6512" s="31"/>
      <c r="H6512" s="31"/>
    </row>
    <row r="6513" spans="2:8" hidden="1">
      <c r="B6513" s="33"/>
      <c r="C6513" s="31"/>
      <c r="D6513" s="31"/>
      <c r="E6513" s="31"/>
      <c r="F6513" s="691"/>
      <c r="G6513" s="31"/>
      <c r="H6513" s="31"/>
    </row>
    <row r="6514" spans="2:8" hidden="1">
      <c r="B6514" s="33"/>
      <c r="C6514" s="31"/>
      <c r="D6514" s="31"/>
      <c r="E6514" s="31"/>
      <c r="F6514" s="691"/>
      <c r="G6514" s="31"/>
      <c r="H6514" s="31"/>
    </row>
    <row r="6515" spans="2:8" hidden="1">
      <c r="B6515" s="33"/>
      <c r="C6515" s="31"/>
      <c r="D6515" s="31"/>
      <c r="E6515" s="31"/>
      <c r="F6515" s="691"/>
      <c r="G6515" s="31"/>
      <c r="H6515" s="31"/>
    </row>
    <row r="6516" spans="2:8" hidden="1">
      <c r="B6516" s="33"/>
      <c r="C6516" s="31"/>
      <c r="D6516" s="31"/>
      <c r="E6516" s="31"/>
      <c r="F6516" s="691"/>
      <c r="G6516" s="31"/>
      <c r="H6516" s="31"/>
    </row>
    <row r="6517" spans="2:8" hidden="1">
      <c r="B6517" s="33"/>
      <c r="C6517" s="31"/>
      <c r="D6517" s="31"/>
      <c r="E6517" s="31"/>
      <c r="F6517" s="691"/>
      <c r="G6517" s="31"/>
      <c r="H6517" s="31"/>
    </row>
    <row r="6518" spans="2:8" hidden="1">
      <c r="B6518" s="33"/>
      <c r="C6518" s="31"/>
      <c r="D6518" s="31"/>
      <c r="E6518" s="31"/>
      <c r="F6518" s="691"/>
      <c r="G6518" s="31"/>
      <c r="H6518" s="31"/>
    </row>
    <row r="6519" spans="2:8" hidden="1">
      <c r="B6519" s="33"/>
      <c r="C6519" s="31"/>
      <c r="D6519" s="31"/>
      <c r="E6519" s="200"/>
      <c r="F6519" s="691"/>
      <c r="G6519" s="31"/>
      <c r="H6519" s="31"/>
    </row>
    <row r="6520" spans="2:8" hidden="1">
      <c r="B6520" s="33"/>
      <c r="C6520" s="31"/>
      <c r="D6520" s="31"/>
      <c r="E6520" s="31"/>
      <c r="F6520" s="691"/>
      <c r="G6520" s="31"/>
      <c r="H6520" s="31"/>
    </row>
    <row r="6521" spans="2:8" hidden="1">
      <c r="B6521" s="33"/>
      <c r="C6521" s="31"/>
      <c r="D6521" s="31"/>
      <c r="E6521" s="31"/>
      <c r="F6521" s="691"/>
      <c r="G6521" s="31"/>
      <c r="H6521" s="31"/>
    </row>
    <row r="6522" spans="2:8" hidden="1">
      <c r="B6522" s="33"/>
      <c r="C6522" s="31"/>
      <c r="D6522" s="31"/>
      <c r="E6522" s="31"/>
      <c r="F6522" s="691"/>
      <c r="G6522" s="31"/>
      <c r="H6522" s="31"/>
    </row>
    <row r="6523" spans="2:8" hidden="1">
      <c r="B6523" s="33"/>
      <c r="C6523" s="31"/>
      <c r="D6523" s="31"/>
      <c r="E6523" s="31"/>
      <c r="F6523" s="691"/>
      <c r="G6523" s="31"/>
      <c r="H6523" s="31"/>
    </row>
    <row r="6524" spans="2:8" hidden="1">
      <c r="B6524" s="33"/>
      <c r="C6524" s="31"/>
      <c r="D6524" s="31"/>
      <c r="E6524" s="31"/>
      <c r="F6524" s="691"/>
      <c r="G6524" s="31"/>
      <c r="H6524" s="31"/>
    </row>
    <row r="6525" spans="2:8" hidden="1">
      <c r="B6525" s="33"/>
      <c r="C6525" s="31"/>
      <c r="D6525" s="31"/>
      <c r="E6525" s="31"/>
      <c r="F6525" s="691"/>
      <c r="G6525" s="31"/>
      <c r="H6525" s="31"/>
    </row>
    <row r="6526" spans="2:8" hidden="1">
      <c r="B6526" s="33"/>
      <c r="C6526" s="31"/>
      <c r="D6526" s="31"/>
      <c r="E6526" s="31"/>
      <c r="F6526" s="691"/>
      <c r="G6526" s="31"/>
      <c r="H6526" s="31"/>
    </row>
    <row r="6527" spans="2:8" hidden="1">
      <c r="B6527" s="33"/>
      <c r="C6527" s="31"/>
      <c r="D6527" s="31"/>
      <c r="E6527" s="31"/>
      <c r="F6527" s="691"/>
      <c r="G6527" s="31"/>
      <c r="H6527" s="31"/>
    </row>
    <row r="6528" spans="2:8" hidden="1">
      <c r="B6528" s="33"/>
      <c r="C6528" s="31"/>
      <c r="D6528" s="31"/>
      <c r="E6528" s="31"/>
      <c r="F6528" s="691"/>
      <c r="G6528" s="31"/>
      <c r="H6528" s="31"/>
    </row>
    <row r="6529" spans="2:8" hidden="1">
      <c r="B6529" s="33"/>
      <c r="C6529" s="31"/>
      <c r="D6529" s="31"/>
      <c r="E6529" s="31"/>
      <c r="F6529" s="31"/>
      <c r="G6529" s="31"/>
      <c r="H6529" s="31"/>
    </row>
    <row r="6530" spans="2:8" hidden="1">
      <c r="B6530" s="33"/>
      <c r="C6530" s="31"/>
      <c r="D6530" s="31"/>
      <c r="E6530" s="31"/>
      <c r="F6530" s="31"/>
      <c r="G6530" s="31"/>
      <c r="H6530" s="31"/>
    </row>
    <row r="6531" spans="2:8" hidden="1">
      <c r="B6531" s="33"/>
      <c r="C6531" s="31"/>
      <c r="D6531" s="31"/>
      <c r="E6531" s="31"/>
      <c r="F6531" s="31"/>
      <c r="G6531" s="31"/>
      <c r="H6531" s="31"/>
    </row>
    <row r="6532" spans="2:8" hidden="1">
      <c r="B6532" s="33"/>
      <c r="C6532" s="31"/>
      <c r="D6532" s="31"/>
      <c r="E6532" s="31"/>
      <c r="F6532" s="691"/>
      <c r="G6532" s="31"/>
      <c r="H6532" s="31"/>
    </row>
    <row r="6533" spans="2:8" hidden="1">
      <c r="B6533" s="33"/>
      <c r="C6533" s="31"/>
      <c r="D6533" s="31"/>
      <c r="E6533" s="31"/>
      <c r="F6533" s="31"/>
      <c r="G6533" s="31"/>
      <c r="H6533" s="31"/>
    </row>
    <row r="6534" spans="2:8" hidden="1">
      <c r="B6534" s="33"/>
      <c r="C6534" s="31"/>
      <c r="D6534" s="31"/>
      <c r="E6534" s="31"/>
      <c r="F6534" s="31"/>
      <c r="G6534" s="31"/>
      <c r="H6534" s="31"/>
    </row>
    <row r="6535" spans="2:8" hidden="1">
      <c r="B6535" s="33"/>
      <c r="C6535" s="31"/>
      <c r="D6535" s="31"/>
      <c r="E6535" s="31"/>
      <c r="F6535" s="31"/>
      <c r="G6535" s="31"/>
      <c r="H6535" s="31"/>
    </row>
    <row r="6536" spans="2:8" hidden="1">
      <c r="B6536" s="33"/>
      <c r="C6536" s="31"/>
      <c r="D6536" s="31"/>
      <c r="E6536" s="31"/>
      <c r="F6536" s="31"/>
      <c r="G6536" s="31"/>
      <c r="H6536" s="31"/>
    </row>
    <row r="6537" spans="2:8" hidden="1">
      <c r="B6537" s="33"/>
      <c r="C6537" s="31"/>
      <c r="D6537" s="31"/>
      <c r="E6537" s="31"/>
      <c r="F6537" s="31"/>
      <c r="G6537" s="31"/>
      <c r="H6537" s="31"/>
    </row>
    <row r="6538" spans="2:8" hidden="1">
      <c r="B6538" s="33"/>
      <c r="C6538" s="31"/>
      <c r="D6538" s="31"/>
      <c r="E6538" s="31"/>
      <c r="F6538" s="31"/>
      <c r="G6538" s="31"/>
      <c r="H6538" s="31"/>
    </row>
    <row r="6539" spans="2:8" hidden="1">
      <c r="B6539" s="33"/>
      <c r="C6539" s="31"/>
      <c r="D6539" s="31"/>
      <c r="E6539" s="31"/>
      <c r="F6539" s="31"/>
      <c r="G6539" s="31"/>
      <c r="H6539" s="31"/>
    </row>
    <row r="6540" spans="2:8" hidden="1">
      <c r="B6540" s="33"/>
      <c r="C6540" s="31"/>
      <c r="D6540" s="31"/>
      <c r="E6540" s="31"/>
      <c r="F6540" s="31"/>
      <c r="G6540" s="31"/>
      <c r="H6540" s="31"/>
    </row>
    <row r="6541" spans="2:8" hidden="1">
      <c r="B6541" s="33"/>
      <c r="C6541" s="31"/>
      <c r="D6541" s="31"/>
      <c r="E6541" s="31"/>
      <c r="F6541" s="31"/>
      <c r="G6541" s="31"/>
      <c r="H6541" s="31"/>
    </row>
    <row r="6542" spans="2:8" hidden="1">
      <c r="B6542" s="33"/>
      <c r="C6542" s="31"/>
      <c r="D6542" s="31"/>
      <c r="E6542" s="31"/>
      <c r="F6542" s="31"/>
      <c r="G6542" s="31"/>
      <c r="H6542" s="31"/>
    </row>
    <row r="6543" spans="2:8" hidden="1">
      <c r="B6543" s="33"/>
      <c r="C6543" s="31"/>
      <c r="D6543" s="31"/>
      <c r="E6543" s="31"/>
      <c r="F6543" s="31"/>
      <c r="G6543" s="31"/>
      <c r="H6543" s="31"/>
    </row>
    <row r="6544" spans="2:8" hidden="1">
      <c r="B6544" s="33"/>
      <c r="C6544" s="31"/>
      <c r="D6544" s="31"/>
      <c r="E6544" s="31"/>
      <c r="F6544" s="33"/>
      <c r="G6544" s="31"/>
      <c r="H6544" s="31"/>
    </row>
    <row r="6545" spans="2:8" hidden="1">
      <c r="B6545" s="33"/>
      <c r="C6545" s="31"/>
      <c r="D6545" s="33"/>
      <c r="E6545" s="33"/>
      <c r="F6545" s="33"/>
      <c r="G6545" s="33"/>
      <c r="H6545" s="31"/>
    </row>
    <row r="6546" spans="2:8" hidden="1">
      <c r="B6546" s="33"/>
      <c r="C6546" s="31"/>
      <c r="D6546" s="33"/>
      <c r="E6546" s="33"/>
      <c r="F6546" s="33"/>
      <c r="G6546" s="33"/>
      <c r="H6546" s="31"/>
    </row>
    <row r="6547" spans="2:8" hidden="1">
      <c r="B6547" s="33"/>
      <c r="C6547" s="31"/>
      <c r="D6547" s="33"/>
      <c r="E6547" s="33"/>
      <c r="F6547" s="33"/>
      <c r="G6547" s="33"/>
      <c r="H6547" s="31"/>
    </row>
    <row r="6548" spans="2:8" hidden="1">
      <c r="B6548" s="33"/>
      <c r="C6548" s="31"/>
      <c r="D6548" s="33"/>
      <c r="E6548" s="33"/>
      <c r="F6548" s="33"/>
      <c r="G6548" s="33"/>
      <c r="H6548" s="31"/>
    </row>
    <row r="6549" spans="2:8" hidden="1">
      <c r="B6549" s="33"/>
      <c r="C6549" s="31"/>
      <c r="D6549" s="33"/>
      <c r="E6549" s="33"/>
      <c r="F6549" s="33"/>
      <c r="G6549" s="33"/>
      <c r="H6549" s="31"/>
    </row>
    <row r="6550" spans="2:8" hidden="1">
      <c r="B6550" s="33"/>
      <c r="C6550" s="31"/>
      <c r="D6550" s="33"/>
      <c r="E6550" s="33"/>
      <c r="F6550" s="33"/>
      <c r="G6550" s="33"/>
      <c r="H6550" s="31"/>
    </row>
    <row r="6551" spans="2:8" hidden="1">
      <c r="B6551" s="33"/>
      <c r="C6551" s="33"/>
      <c r="D6551" s="33"/>
      <c r="E6551" s="33"/>
      <c r="F6551" s="33"/>
      <c r="G6551" s="33"/>
      <c r="H6551" s="31"/>
    </row>
    <row r="6552" spans="2:8" hidden="1">
      <c r="B6552" s="33"/>
      <c r="C6552" s="31"/>
      <c r="D6552" s="31"/>
      <c r="E6552" s="31"/>
      <c r="F6552" s="31"/>
      <c r="G6552" s="31"/>
      <c r="H6552" s="31"/>
    </row>
    <row r="6553" spans="2:8" hidden="1">
      <c r="B6553" s="33"/>
      <c r="C6553" s="31"/>
      <c r="D6553" s="31"/>
      <c r="E6553" s="31"/>
      <c r="F6553" s="31"/>
      <c r="G6553" s="31"/>
      <c r="H6553" s="31"/>
    </row>
    <row r="6554" spans="2:8" hidden="1">
      <c r="B6554" s="33"/>
      <c r="C6554" s="31"/>
      <c r="D6554" s="31"/>
      <c r="E6554" s="31"/>
      <c r="F6554" s="31"/>
      <c r="G6554" s="31"/>
      <c r="H6554" s="31"/>
    </row>
    <row r="6555" spans="2:8" hidden="1">
      <c r="B6555" s="33"/>
      <c r="C6555" s="31"/>
      <c r="D6555" s="31"/>
      <c r="E6555" s="31"/>
      <c r="F6555" s="31"/>
      <c r="G6555" s="31"/>
      <c r="H6555" s="31"/>
    </row>
    <row r="6556" spans="2:8" hidden="1">
      <c r="B6556" s="33"/>
      <c r="C6556" s="31"/>
      <c r="D6556" s="31"/>
      <c r="E6556" s="31"/>
      <c r="F6556" s="31"/>
      <c r="G6556" s="31"/>
      <c r="H6556" s="31"/>
    </row>
    <row r="6557" spans="2:8" hidden="1">
      <c r="B6557" s="33"/>
      <c r="C6557" s="31"/>
      <c r="D6557" s="31"/>
      <c r="E6557" s="31"/>
      <c r="F6557" s="31"/>
      <c r="G6557" s="31"/>
      <c r="H6557" s="31"/>
    </row>
    <row r="6558" spans="2:8" hidden="1">
      <c r="B6558" s="33"/>
      <c r="C6558" s="31"/>
      <c r="D6558" s="31"/>
      <c r="E6558" s="31"/>
      <c r="F6558" s="31"/>
      <c r="G6558" s="31"/>
      <c r="H6558" s="31"/>
    </row>
    <row r="6559" spans="2:8" hidden="1">
      <c r="B6559" s="33"/>
      <c r="C6559" s="31"/>
      <c r="D6559" s="31"/>
      <c r="E6559" s="31"/>
      <c r="F6559" s="31"/>
      <c r="G6559" s="31"/>
      <c r="H6559" s="31"/>
    </row>
    <row r="6560" spans="2:8" hidden="1">
      <c r="B6560" s="33"/>
      <c r="C6560" s="31"/>
      <c r="D6560" s="31"/>
      <c r="E6560" s="31"/>
      <c r="F6560" s="31"/>
      <c r="G6560" s="31"/>
      <c r="H6560" s="31"/>
    </row>
    <row r="6561" spans="2:8" hidden="1">
      <c r="B6561" s="33"/>
      <c r="C6561" s="31"/>
      <c r="D6561" s="31"/>
      <c r="E6561" s="31"/>
      <c r="F6561" s="31"/>
      <c r="G6561" s="31"/>
      <c r="H6561" s="31"/>
    </row>
    <row r="6562" spans="2:8" hidden="1">
      <c r="B6562" s="33"/>
      <c r="C6562" s="31"/>
      <c r="D6562" s="31"/>
      <c r="E6562" s="31"/>
      <c r="F6562" s="31"/>
      <c r="G6562" s="31"/>
      <c r="H6562" s="31"/>
    </row>
    <row r="6563" spans="2:8" hidden="1">
      <c r="B6563" s="33"/>
      <c r="C6563" s="31"/>
      <c r="D6563" s="31"/>
      <c r="E6563" s="31"/>
      <c r="F6563" s="31"/>
      <c r="G6563" s="31"/>
      <c r="H6563" s="31"/>
    </row>
    <row r="6564" spans="2:8" hidden="1">
      <c r="B6564" s="33"/>
      <c r="C6564" s="31"/>
      <c r="D6564" s="75"/>
      <c r="E6564" s="31"/>
      <c r="F6564" s="405"/>
      <c r="G6564" s="75"/>
      <c r="H6564" s="31"/>
    </row>
    <row r="6565" spans="2:8" hidden="1">
      <c r="B6565" s="33"/>
      <c r="C6565" s="31"/>
      <c r="D6565" s="31"/>
      <c r="E6565" s="31"/>
      <c r="F6565" s="691"/>
      <c r="G6565" s="732"/>
      <c r="H6565" s="31"/>
    </row>
    <row r="6566" spans="2:8" hidden="1">
      <c r="B6566" s="33"/>
      <c r="C6566" s="31"/>
      <c r="D6566" s="31"/>
      <c r="E6566" s="31"/>
      <c r="F6566" s="405"/>
      <c r="G6566" s="75"/>
      <c r="H6566" s="31"/>
    </row>
    <row r="6567" spans="2:8" hidden="1">
      <c r="B6567" s="33"/>
      <c r="C6567" s="31"/>
      <c r="D6567" s="75"/>
      <c r="E6567" s="31"/>
      <c r="F6567" s="405"/>
      <c r="G6567" s="75"/>
      <c r="H6567" s="31"/>
    </row>
    <row r="6568" spans="2:8" hidden="1">
      <c r="B6568" s="33"/>
      <c r="C6568" s="31"/>
      <c r="D6568" s="31"/>
      <c r="E6568" s="31"/>
      <c r="F6568" s="691"/>
      <c r="G6568" s="732"/>
      <c r="H6568" s="31"/>
    </row>
    <row r="6569" spans="2:8" hidden="1">
      <c r="B6569" s="33"/>
      <c r="C6569" s="31"/>
      <c r="D6569" s="31"/>
      <c r="E6569" s="31"/>
      <c r="F6569" s="405"/>
      <c r="G6569" s="75"/>
      <c r="H6569" s="31"/>
    </row>
    <row r="6570" spans="2:8" hidden="1">
      <c r="B6570" s="33"/>
      <c r="C6570" s="31"/>
      <c r="D6570" s="31"/>
      <c r="E6570" s="31"/>
      <c r="F6570" s="31"/>
      <c r="G6570" s="31"/>
      <c r="H6570" s="31"/>
    </row>
    <row r="6571" spans="2:8" hidden="1">
      <c r="B6571" s="33"/>
      <c r="C6571" s="200"/>
      <c r="D6571" s="31"/>
      <c r="E6571" s="200"/>
      <c r="F6571" s="769"/>
      <c r="G6571" s="31"/>
      <c r="H6571" s="31"/>
    </row>
    <row r="6572" spans="2:8" hidden="1">
      <c r="B6572" s="76"/>
      <c r="C6572" s="31"/>
      <c r="D6572" s="31"/>
      <c r="E6572" s="31"/>
      <c r="F6572" s="75"/>
      <c r="G6572" s="31"/>
      <c r="H6572" s="31"/>
    </row>
    <row r="6573" spans="2:8" hidden="1">
      <c r="B6573" s="33"/>
      <c r="C6573" s="33"/>
      <c r="D6573" s="33"/>
      <c r="E6573" s="33"/>
      <c r="F6573" s="33"/>
      <c r="G6573" s="33"/>
      <c r="H6573" s="31"/>
    </row>
    <row r="6574" spans="2:8" hidden="1">
      <c r="B6574" s="33"/>
      <c r="C6574" s="31"/>
      <c r="D6574" s="33"/>
      <c r="E6574" s="33"/>
      <c r="F6574" s="33"/>
      <c r="G6574" s="33"/>
      <c r="H6574" s="31"/>
    </row>
    <row r="6575" spans="2:8" hidden="1">
      <c r="B6575" s="405"/>
      <c r="C6575" s="76"/>
      <c r="D6575" s="731"/>
      <c r="E6575" s="75"/>
      <c r="F6575" s="75"/>
      <c r="G6575" s="75"/>
      <c r="H6575" s="31"/>
    </row>
    <row r="6576" spans="2:8" hidden="1">
      <c r="B6576" s="405"/>
      <c r="C6576" s="76"/>
      <c r="D6576" s="731"/>
      <c r="E6576" s="75"/>
      <c r="F6576" s="75"/>
      <c r="G6576" s="75"/>
      <c r="H6576" s="31"/>
    </row>
    <row r="6577" spans="2:8" hidden="1">
      <c r="B6577" s="405"/>
      <c r="C6577" s="76"/>
      <c r="D6577" s="731"/>
      <c r="E6577" s="75"/>
      <c r="F6577" s="75"/>
      <c r="G6577" s="75"/>
      <c r="H6577" s="31"/>
    </row>
    <row r="6578" spans="2:8" hidden="1">
      <c r="B6578" s="405"/>
      <c r="C6578" s="76"/>
      <c r="D6578" s="731"/>
      <c r="E6578" s="75"/>
      <c r="F6578" s="75"/>
      <c r="G6578" s="75"/>
      <c r="H6578" s="31"/>
    </row>
    <row r="6579" spans="2:8" hidden="1">
      <c r="B6579" s="405"/>
      <c r="C6579" s="76"/>
      <c r="D6579" s="731"/>
      <c r="E6579" s="75"/>
      <c r="F6579" s="75"/>
      <c r="G6579" s="75"/>
      <c r="H6579" s="31"/>
    </row>
    <row r="6580" spans="2:8" hidden="1">
      <c r="B6580" s="405"/>
      <c r="C6580" s="76"/>
      <c r="D6580" s="731"/>
      <c r="E6580" s="75"/>
      <c r="F6580" s="75"/>
      <c r="G6580" s="75"/>
      <c r="H6580" s="31"/>
    </row>
    <row r="6581" spans="2:8" hidden="1">
      <c r="B6581" s="405"/>
      <c r="C6581" s="76"/>
      <c r="D6581" s="731"/>
      <c r="E6581" s="75"/>
      <c r="F6581" s="75"/>
      <c r="G6581" s="75"/>
      <c r="H6581" s="31"/>
    </row>
    <row r="6582" spans="2:8" hidden="1">
      <c r="B6582" s="405"/>
      <c r="C6582" s="76"/>
      <c r="D6582" s="731"/>
      <c r="E6582" s="75"/>
      <c r="F6582" s="75"/>
      <c r="G6582" s="75"/>
      <c r="H6582" s="31"/>
    </row>
    <row r="6583" spans="2:8" hidden="1">
      <c r="B6583" s="405"/>
      <c r="C6583" s="76"/>
      <c r="D6583" s="731"/>
      <c r="E6583" s="75"/>
      <c r="F6583" s="75"/>
      <c r="G6583" s="75"/>
      <c r="H6583" s="31"/>
    </row>
    <row r="6584" spans="2:8" hidden="1">
      <c r="B6584" s="405"/>
      <c r="C6584" s="76"/>
      <c r="D6584" s="731"/>
      <c r="E6584" s="75"/>
      <c r="F6584" s="75"/>
      <c r="G6584" s="75"/>
      <c r="H6584" s="31"/>
    </row>
    <row r="6585" spans="2:8" hidden="1">
      <c r="B6585" s="405"/>
      <c r="C6585" s="76"/>
      <c r="D6585" s="731"/>
      <c r="E6585" s="75"/>
      <c r="F6585" s="75"/>
      <c r="G6585" s="75"/>
      <c r="H6585" s="31"/>
    </row>
    <row r="6586" spans="2:8" hidden="1">
      <c r="B6586" s="405"/>
      <c r="C6586" s="76"/>
      <c r="D6586" s="731"/>
      <c r="E6586" s="75"/>
      <c r="F6586" s="75"/>
      <c r="G6586" s="75"/>
      <c r="H6586" s="31"/>
    </row>
    <row r="6587" spans="2:8" hidden="1">
      <c r="B6587" s="405"/>
      <c r="C6587" s="76"/>
      <c r="D6587" s="731"/>
      <c r="E6587" s="75"/>
      <c r="F6587" s="75"/>
      <c r="G6587" s="75"/>
      <c r="H6587" s="31"/>
    </row>
    <row r="6588" spans="2:8" hidden="1">
      <c r="B6588" s="405"/>
      <c r="C6588" s="76"/>
      <c r="D6588" s="731"/>
      <c r="E6588" s="75"/>
      <c r="F6588" s="75"/>
      <c r="G6588" s="75"/>
      <c r="H6588" s="31"/>
    </row>
    <row r="6589" spans="2:8" hidden="1">
      <c r="B6589" s="405"/>
      <c r="C6589" s="76"/>
      <c r="D6589" s="731"/>
      <c r="E6589" s="75"/>
      <c r="F6589" s="75"/>
      <c r="G6589" s="75"/>
      <c r="H6589" s="31"/>
    </row>
    <row r="6590" spans="2:8" hidden="1">
      <c r="B6590" s="405"/>
      <c r="C6590" s="76"/>
      <c r="D6590" s="731"/>
      <c r="E6590" s="75"/>
      <c r="F6590" s="75"/>
      <c r="G6590" s="75"/>
      <c r="H6590" s="31"/>
    </row>
    <row r="6591" spans="2:8" hidden="1">
      <c r="B6591" s="30"/>
      <c r="C6591" s="76"/>
      <c r="D6591" s="731"/>
      <c r="E6591" s="75"/>
      <c r="F6591" s="75"/>
      <c r="G6591" s="75"/>
      <c r="H6591" s="31"/>
    </row>
    <row r="6592" spans="2:8" hidden="1">
      <c r="B6592" s="30"/>
      <c r="C6592" s="76"/>
      <c r="D6592" s="731"/>
      <c r="E6592" s="75"/>
      <c r="F6592" s="75"/>
      <c r="G6592" s="75"/>
      <c r="H6592" s="31"/>
    </row>
    <row r="6593" spans="2:8" hidden="1">
      <c r="B6593" s="30"/>
      <c r="C6593" s="76"/>
      <c r="D6593" s="731"/>
      <c r="E6593" s="75"/>
      <c r="F6593" s="75"/>
      <c r="G6593" s="75"/>
      <c r="H6593" s="31"/>
    </row>
    <row r="6594" spans="2:8" hidden="1">
      <c r="B6594" s="30"/>
      <c r="C6594" s="76"/>
      <c r="D6594" s="731"/>
      <c r="E6594" s="75"/>
      <c r="F6594" s="75"/>
      <c r="G6594" s="75"/>
      <c r="H6594" s="31"/>
    </row>
    <row r="6595" spans="2:8" hidden="1">
      <c r="B6595" s="30"/>
      <c r="C6595" s="76"/>
      <c r="D6595" s="731"/>
      <c r="E6595" s="75"/>
      <c r="F6595" s="75"/>
      <c r="G6595" s="75"/>
      <c r="H6595" s="31"/>
    </row>
    <row r="6596" spans="2:8" hidden="1">
      <c r="B6596" s="30"/>
      <c r="C6596" s="76"/>
      <c r="D6596" s="731"/>
      <c r="E6596" s="75"/>
      <c r="F6596" s="75"/>
      <c r="G6596" s="75"/>
      <c r="H6596" s="31"/>
    </row>
    <row r="6597" spans="2:8" hidden="1">
      <c r="B6597" s="33"/>
      <c r="C6597" s="31"/>
      <c r="D6597" s="31"/>
      <c r="E6597" s="200"/>
      <c r="F6597" s="200"/>
      <c r="G6597" s="75"/>
      <c r="H6597" s="31"/>
    </row>
    <row r="6598" spans="2:8" hidden="1">
      <c r="B6598" s="33"/>
      <c r="C6598" s="31"/>
      <c r="D6598" s="31"/>
      <c r="E6598" s="198"/>
      <c r="F6598" s="200"/>
      <c r="G6598" s="75"/>
      <c r="H6598" s="31"/>
    </row>
    <row r="6599" spans="2:8" hidden="1">
      <c r="B6599" s="33"/>
      <c r="C6599" s="31"/>
      <c r="D6599" s="31"/>
      <c r="E6599" s="198"/>
      <c r="F6599" s="200"/>
      <c r="G6599" s="75"/>
      <c r="H6599" s="31"/>
    </row>
    <row r="6600" spans="2:8" hidden="1">
      <c r="B6600" s="33"/>
      <c r="C6600" s="31"/>
      <c r="D6600" s="31"/>
      <c r="E6600" s="198"/>
      <c r="F6600" s="200"/>
      <c r="G6600" s="75"/>
      <c r="H6600" s="31"/>
    </row>
    <row r="6601" spans="2:8" hidden="1">
      <c r="B6601" s="33"/>
      <c r="C6601" s="200"/>
      <c r="D6601" s="30"/>
      <c r="E6601" s="30"/>
      <c r="F6601" s="200"/>
      <c r="G6601" s="75"/>
      <c r="H6601" s="31"/>
    </row>
    <row r="6602" spans="2:8" hidden="1">
      <c r="B6602" s="33"/>
      <c r="C6602" s="31"/>
      <c r="D6602" s="31"/>
      <c r="E6602" s="31"/>
      <c r="F6602" s="31"/>
      <c r="G6602" s="31"/>
      <c r="H6602" s="31"/>
    </row>
    <row r="6603" spans="2:8" hidden="1">
      <c r="B6603" s="76"/>
      <c r="C6603" s="31"/>
      <c r="D6603" s="31"/>
      <c r="E6603" s="31"/>
      <c r="F6603" s="31"/>
      <c r="G6603" s="31"/>
      <c r="H6603" s="31"/>
    </row>
    <row r="6604" spans="2:8" hidden="1">
      <c r="B6604" s="33"/>
      <c r="C6604" s="33"/>
      <c r="D6604" s="33"/>
      <c r="E6604" s="33"/>
      <c r="F6604" s="33"/>
      <c r="G6604" s="33"/>
      <c r="H6604" s="31"/>
    </row>
    <row r="6605" spans="2:8" hidden="1">
      <c r="B6605" s="33"/>
      <c r="C6605" s="31"/>
      <c r="D6605" s="33"/>
      <c r="E6605" s="33"/>
      <c r="F6605" s="33"/>
      <c r="G6605" s="33"/>
      <c r="H6605" s="31"/>
    </row>
    <row r="6606" spans="2:8" hidden="1">
      <c r="B6606" s="405"/>
      <c r="C6606" s="76"/>
      <c r="D6606" s="731"/>
      <c r="E6606" s="75"/>
      <c r="F6606" s="75"/>
      <c r="G6606" s="75"/>
      <c r="H6606" s="31"/>
    </row>
    <row r="6607" spans="2:8" hidden="1">
      <c r="B6607" s="405"/>
      <c r="C6607" s="76"/>
      <c r="D6607" s="731"/>
      <c r="E6607" s="75"/>
      <c r="F6607" s="75"/>
      <c r="G6607" s="75"/>
      <c r="H6607" s="31"/>
    </row>
    <row r="6608" spans="2:8" hidden="1">
      <c r="B6608" s="405"/>
      <c r="C6608" s="76"/>
      <c r="D6608" s="731"/>
      <c r="E6608" s="75"/>
      <c r="F6608" s="75"/>
      <c r="G6608" s="75"/>
      <c r="H6608" s="31"/>
    </row>
    <row r="6609" spans="2:8" hidden="1">
      <c r="B6609" s="405"/>
      <c r="C6609" s="76"/>
      <c r="D6609" s="731"/>
      <c r="E6609" s="75"/>
      <c r="F6609" s="75"/>
      <c r="G6609" s="75"/>
      <c r="H6609" s="31"/>
    </row>
    <row r="6610" spans="2:8" hidden="1">
      <c r="B6610" s="405"/>
      <c r="C6610" s="76"/>
      <c r="D6610" s="731"/>
      <c r="E6610" s="75"/>
      <c r="F6610" s="75"/>
      <c r="G6610" s="75"/>
      <c r="H6610" s="31"/>
    </row>
    <row r="6611" spans="2:8" hidden="1">
      <c r="B6611" s="405"/>
      <c r="C6611" s="76"/>
      <c r="D6611" s="731"/>
      <c r="E6611" s="75"/>
      <c r="F6611" s="75"/>
      <c r="G6611" s="75"/>
      <c r="H6611" s="31"/>
    </row>
    <row r="6612" spans="2:8" hidden="1">
      <c r="B6612" s="405"/>
      <c r="C6612" s="76"/>
      <c r="D6612" s="731"/>
      <c r="E6612" s="75"/>
      <c r="F6612" s="75"/>
      <c r="G6612" s="75"/>
      <c r="H6612" s="31"/>
    </row>
    <row r="6613" spans="2:8" hidden="1">
      <c r="B6613" s="405"/>
      <c r="C6613" s="76"/>
      <c r="D6613" s="731"/>
      <c r="E6613" s="75"/>
      <c r="F6613" s="75"/>
      <c r="G6613" s="75"/>
      <c r="H6613" s="31"/>
    </row>
    <row r="6614" spans="2:8" hidden="1">
      <c r="B6614" s="405"/>
      <c r="C6614" s="76"/>
      <c r="D6614" s="731"/>
      <c r="E6614" s="75"/>
      <c r="F6614" s="75"/>
      <c r="G6614" s="75"/>
      <c r="H6614" s="31"/>
    </row>
    <row r="6615" spans="2:8" hidden="1">
      <c r="B6615" s="405"/>
      <c r="C6615" s="76"/>
      <c r="D6615" s="731"/>
      <c r="E6615" s="75"/>
      <c r="F6615" s="75"/>
      <c r="G6615" s="75"/>
      <c r="H6615" s="31"/>
    </row>
    <row r="6616" spans="2:8" hidden="1">
      <c r="B6616" s="405"/>
      <c r="C6616" s="76"/>
      <c r="D6616" s="731"/>
      <c r="E6616" s="75"/>
      <c r="F6616" s="75"/>
      <c r="G6616" s="75"/>
      <c r="H6616" s="31"/>
    </row>
    <row r="6617" spans="2:8" hidden="1">
      <c r="B6617" s="405"/>
      <c r="C6617" s="76"/>
      <c r="D6617" s="731"/>
      <c r="E6617" s="75"/>
      <c r="F6617" s="75"/>
      <c r="G6617" s="75"/>
      <c r="H6617" s="31"/>
    </row>
    <row r="6618" spans="2:8" hidden="1">
      <c r="B6618" s="405"/>
      <c r="C6618" s="76"/>
      <c r="D6618" s="731"/>
      <c r="E6618" s="75"/>
      <c r="F6618" s="75"/>
      <c r="G6618" s="75"/>
      <c r="H6618" s="31"/>
    </row>
    <row r="6619" spans="2:8" hidden="1">
      <c r="B6619" s="33"/>
      <c r="C6619" s="31"/>
      <c r="D6619" s="31"/>
      <c r="E6619" s="200"/>
      <c r="F6619" s="200"/>
      <c r="G6619" s="75"/>
      <c r="H6619" s="31"/>
    </row>
    <row r="6620" spans="2:8" hidden="1">
      <c r="B6620" s="33"/>
      <c r="C6620" s="31"/>
      <c r="D6620" s="31"/>
      <c r="E6620" s="198"/>
      <c r="F6620" s="200"/>
      <c r="G6620" s="75"/>
      <c r="H6620" s="31"/>
    </row>
    <row r="6621" spans="2:8" hidden="1">
      <c r="B6621" s="33"/>
      <c r="C6621" s="31"/>
      <c r="D6621" s="31"/>
      <c r="E6621" s="198"/>
      <c r="F6621" s="200"/>
      <c r="G6621" s="75"/>
      <c r="H6621" s="31"/>
    </row>
    <row r="6622" spans="2:8" hidden="1">
      <c r="B6622" s="33"/>
      <c r="C6622" s="31"/>
      <c r="D6622" s="31"/>
      <c r="E6622" s="198"/>
      <c r="F6622" s="200"/>
      <c r="G6622" s="75"/>
      <c r="H6622" s="31"/>
    </row>
    <row r="6623" spans="2:8" hidden="1">
      <c r="B6623" s="33"/>
      <c r="C6623" s="30"/>
      <c r="D6623" s="30"/>
      <c r="E6623" s="30"/>
      <c r="F6623" s="200"/>
      <c r="G6623" s="75"/>
      <c r="H6623" s="31"/>
    </row>
    <row r="6624" spans="2:8" hidden="1">
      <c r="B6624" s="33"/>
      <c r="C6624" s="31"/>
      <c r="D6624" s="31"/>
      <c r="E6624" s="31"/>
      <c r="F6624" s="31"/>
      <c r="G6624" s="31"/>
      <c r="H6624" s="31"/>
    </row>
    <row r="6625" spans="2:8" hidden="1">
      <c r="B6625" s="76"/>
      <c r="C6625" s="31"/>
      <c r="D6625" s="31"/>
      <c r="E6625" s="31"/>
      <c r="F6625" s="31"/>
      <c r="G6625" s="31"/>
      <c r="H6625" s="31"/>
    </row>
    <row r="6626" spans="2:8" hidden="1">
      <c r="B6626" s="33"/>
      <c r="C6626" s="33"/>
      <c r="D6626" s="33"/>
      <c r="E6626" s="33"/>
      <c r="F6626" s="33"/>
      <c r="G6626" s="33"/>
      <c r="H6626" s="31"/>
    </row>
    <row r="6627" spans="2:8" hidden="1">
      <c r="B6627" s="33"/>
      <c r="C6627" s="31"/>
      <c r="D6627" s="33"/>
      <c r="E6627" s="33"/>
      <c r="F6627" s="33"/>
      <c r="G6627" s="33"/>
      <c r="H6627" s="31"/>
    </row>
    <row r="6628" spans="2:8" hidden="1">
      <c r="B6628" s="405"/>
      <c r="C6628" s="76"/>
      <c r="D6628" s="731"/>
      <c r="E6628" s="75"/>
      <c r="F6628" s="75"/>
      <c r="G6628" s="75"/>
      <c r="H6628" s="31"/>
    </row>
    <row r="6629" spans="2:8" hidden="1">
      <c r="B6629" s="405"/>
      <c r="C6629" s="76"/>
      <c r="D6629" s="731"/>
      <c r="E6629" s="75"/>
      <c r="F6629" s="75"/>
      <c r="G6629" s="75"/>
      <c r="H6629" s="31"/>
    </row>
    <row r="6630" spans="2:8" hidden="1">
      <c r="B6630" s="405"/>
      <c r="C6630" s="76"/>
      <c r="D6630" s="731"/>
      <c r="E6630" s="75"/>
      <c r="F6630" s="75"/>
      <c r="G6630" s="75"/>
      <c r="H6630" s="31"/>
    </row>
    <row r="6631" spans="2:8" hidden="1">
      <c r="B6631" s="405"/>
      <c r="C6631" s="76"/>
      <c r="D6631" s="731"/>
      <c r="E6631" s="75"/>
      <c r="F6631" s="75"/>
      <c r="G6631" s="75"/>
      <c r="H6631" s="31"/>
    </row>
    <row r="6632" spans="2:8" hidden="1">
      <c r="B6632" s="405"/>
      <c r="C6632" s="76"/>
      <c r="D6632" s="731"/>
      <c r="E6632" s="75"/>
      <c r="F6632" s="75"/>
      <c r="G6632" s="75"/>
      <c r="H6632" s="31"/>
    </row>
    <row r="6633" spans="2:8" hidden="1">
      <c r="B6633" s="405"/>
      <c r="C6633" s="76"/>
      <c r="D6633" s="731"/>
      <c r="E6633" s="75"/>
      <c r="F6633" s="75"/>
      <c r="G6633" s="75"/>
      <c r="H6633" s="31"/>
    </row>
    <row r="6634" spans="2:8" hidden="1">
      <c r="B6634" s="405"/>
      <c r="C6634" s="76"/>
      <c r="D6634" s="731"/>
      <c r="E6634" s="75"/>
      <c r="F6634" s="75"/>
      <c r="G6634" s="75"/>
      <c r="H6634" s="31"/>
    </row>
    <row r="6635" spans="2:8" hidden="1">
      <c r="B6635" s="405"/>
      <c r="C6635" s="76"/>
      <c r="D6635" s="731"/>
      <c r="E6635" s="75"/>
      <c r="F6635" s="75"/>
      <c r="G6635" s="75"/>
      <c r="H6635" s="31"/>
    </row>
    <row r="6636" spans="2:8" hidden="1">
      <c r="B6636" s="405"/>
      <c r="C6636" s="76"/>
      <c r="D6636" s="731"/>
      <c r="E6636" s="75"/>
      <c r="F6636" s="75"/>
      <c r="G6636" s="75"/>
      <c r="H6636" s="31"/>
    </row>
    <row r="6637" spans="2:8" hidden="1">
      <c r="B6637" s="30"/>
      <c r="C6637" s="76"/>
      <c r="D6637" s="731"/>
      <c r="E6637" s="75"/>
      <c r="F6637" s="75"/>
      <c r="G6637" s="75"/>
      <c r="H6637" s="31"/>
    </row>
    <row r="6638" spans="2:8" hidden="1">
      <c r="B6638" s="30"/>
      <c r="C6638" s="76"/>
      <c r="D6638" s="731"/>
      <c r="E6638" s="75"/>
      <c r="F6638" s="75"/>
      <c r="G6638" s="75"/>
      <c r="H6638" s="31"/>
    </row>
    <row r="6639" spans="2:8" hidden="1">
      <c r="B6639" s="30"/>
      <c r="C6639" s="76"/>
      <c r="D6639" s="731"/>
      <c r="E6639" s="75"/>
      <c r="F6639" s="75"/>
      <c r="G6639" s="75"/>
      <c r="H6639" s="31"/>
    </row>
    <row r="6640" spans="2:8" hidden="1">
      <c r="B6640" s="33"/>
      <c r="C6640" s="31"/>
      <c r="D6640" s="31"/>
      <c r="E6640" s="200"/>
      <c r="F6640" s="200"/>
      <c r="G6640" s="75"/>
      <c r="H6640" s="31"/>
    </row>
    <row r="6641" spans="2:8" hidden="1">
      <c r="B6641" s="33"/>
      <c r="C6641" s="31"/>
      <c r="D6641" s="31"/>
      <c r="E6641" s="198"/>
      <c r="F6641" s="200"/>
      <c r="G6641" s="75"/>
      <c r="H6641" s="31"/>
    </row>
    <row r="6642" spans="2:8" hidden="1">
      <c r="B6642" s="33"/>
      <c r="C6642" s="31"/>
      <c r="D6642" s="31"/>
      <c r="E6642" s="198"/>
      <c r="F6642" s="200"/>
      <c r="G6642" s="75"/>
      <c r="H6642" s="31"/>
    </row>
    <row r="6643" spans="2:8" hidden="1">
      <c r="B6643" s="33"/>
      <c r="C6643" s="31"/>
      <c r="D6643" s="31"/>
      <c r="E6643" s="198"/>
      <c r="F6643" s="200"/>
      <c r="G6643" s="75"/>
      <c r="H6643" s="31"/>
    </row>
    <row r="6644" spans="2:8" hidden="1">
      <c r="B6644" s="33"/>
      <c r="C6644" s="31"/>
      <c r="D6644" s="31"/>
      <c r="E6644" s="198"/>
      <c r="F6644" s="200"/>
      <c r="G6644" s="75"/>
      <c r="H6644" s="31"/>
    </row>
    <row r="6645" spans="2:8" hidden="1">
      <c r="B6645" s="33"/>
      <c r="C6645" s="31"/>
      <c r="D6645" s="31"/>
      <c r="E6645" s="198"/>
      <c r="F6645" s="200"/>
      <c r="G6645" s="75"/>
      <c r="H6645" s="31"/>
    </row>
    <row r="6646" spans="2:8" hidden="1">
      <c r="B6646" s="33"/>
      <c r="C6646" s="200"/>
      <c r="D6646" s="30"/>
      <c r="E6646" s="30"/>
      <c r="F6646" s="200"/>
      <c r="G6646" s="75"/>
      <c r="H6646" s="31"/>
    </row>
    <row r="6647" spans="2:8" hidden="1">
      <c r="B6647" s="33"/>
      <c r="C6647" s="31"/>
      <c r="D6647" s="31"/>
      <c r="E6647" s="31"/>
      <c r="F6647" s="31"/>
      <c r="G6647" s="31"/>
      <c r="H6647" s="31"/>
    </row>
    <row r="6648" spans="2:8" hidden="1">
      <c r="B6648" s="33"/>
      <c r="C6648" s="31"/>
      <c r="D6648" s="31"/>
      <c r="E6648" s="31"/>
      <c r="F6648" s="31"/>
      <c r="G6648" s="31"/>
      <c r="H6648" s="31"/>
    </row>
    <row r="6649" spans="2:8" hidden="1">
      <c r="B6649" s="33"/>
      <c r="C6649" s="31"/>
      <c r="D6649" s="31"/>
      <c r="E6649" s="31"/>
      <c r="F6649" s="200"/>
      <c r="G6649" s="75"/>
      <c r="H6649" s="31"/>
    </row>
    <row r="6650" spans="2:8" hidden="1">
      <c r="B6650" s="33"/>
      <c r="C6650" s="31"/>
      <c r="D6650" s="31"/>
      <c r="E6650" s="31"/>
      <c r="F6650" s="200"/>
      <c r="G6650" s="75"/>
      <c r="H6650" s="31"/>
    </row>
    <row r="6651" spans="2:8" hidden="1">
      <c r="B6651" s="33"/>
      <c r="C6651" s="31"/>
      <c r="D6651" s="31"/>
      <c r="E6651" s="31"/>
      <c r="F6651" s="200"/>
      <c r="G6651" s="75"/>
      <c r="H6651" s="31"/>
    </row>
    <row r="6652" spans="2:8" hidden="1">
      <c r="B6652" s="33"/>
      <c r="C6652" s="31"/>
      <c r="D6652" s="31"/>
      <c r="E6652" s="200"/>
      <c r="F6652" s="200"/>
      <c r="G6652" s="75"/>
      <c r="H6652" s="31"/>
    </row>
    <row r="6653" spans="2:8" hidden="1">
      <c r="B6653" s="33"/>
      <c r="C6653" s="31"/>
      <c r="D6653" s="31"/>
      <c r="E6653" s="301"/>
      <c r="F6653" s="200"/>
      <c r="G6653" s="75"/>
      <c r="H6653" s="31"/>
    </row>
    <row r="6654" spans="2:8" hidden="1">
      <c r="B6654" s="33"/>
      <c r="C6654" s="31"/>
      <c r="D6654" s="31"/>
      <c r="E6654" s="767"/>
      <c r="F6654" s="200"/>
      <c r="G6654" s="75"/>
      <c r="H6654" s="31"/>
    </row>
    <row r="6655" spans="2:8" hidden="1">
      <c r="B6655" s="33"/>
      <c r="C6655" s="31"/>
      <c r="D6655" s="31"/>
      <c r="E6655" s="767"/>
      <c r="F6655" s="200"/>
      <c r="G6655" s="75"/>
      <c r="H6655" s="31"/>
    </row>
    <row r="6656" spans="2:8" hidden="1">
      <c r="B6656" s="33"/>
      <c r="C6656" s="31"/>
      <c r="D6656" s="31"/>
      <c r="E6656" s="767"/>
      <c r="F6656" s="200"/>
      <c r="G6656" s="75"/>
      <c r="H6656" s="31"/>
    </row>
    <row r="6657" spans="2:8" hidden="1">
      <c r="B6657" s="33"/>
      <c r="C6657" s="31"/>
      <c r="D6657" s="31"/>
      <c r="E6657" s="767"/>
      <c r="F6657" s="200"/>
      <c r="G6657" s="75"/>
      <c r="H6657" s="31"/>
    </row>
    <row r="6658" spans="2:8" hidden="1">
      <c r="B6658" s="33"/>
      <c r="C6658" s="31"/>
      <c r="D6658" s="75"/>
      <c r="E6658" s="767"/>
      <c r="F6658" s="200"/>
      <c r="G6658" s="75"/>
      <c r="H6658" s="31"/>
    </row>
    <row r="6659" spans="2:8" hidden="1">
      <c r="B6659" s="33"/>
      <c r="C6659" s="31"/>
      <c r="D6659" s="31"/>
      <c r="E6659" s="767"/>
      <c r="F6659" s="200"/>
      <c r="G6659" s="75"/>
      <c r="H6659" s="31"/>
    </row>
    <row r="6660" spans="2:8" hidden="1">
      <c r="B6660" s="33"/>
      <c r="C6660" s="31"/>
      <c r="D6660" s="31"/>
      <c r="E6660" s="200"/>
      <c r="F6660" s="200"/>
      <c r="G6660" s="75"/>
      <c r="H6660" s="31"/>
    </row>
    <row r="6661" spans="2:8" hidden="1">
      <c r="B6661" s="33"/>
      <c r="C6661" s="31"/>
      <c r="D6661" s="31"/>
      <c r="E6661" s="200"/>
      <c r="F6661" s="200"/>
      <c r="G6661" s="31"/>
      <c r="H6661" s="31"/>
    </row>
    <row r="6662" spans="2:8" hidden="1">
      <c r="B6662" s="33"/>
      <c r="C6662" s="31"/>
      <c r="D6662" s="75"/>
      <c r="E6662" s="76"/>
      <c r="F6662" s="200"/>
      <c r="G6662" s="75"/>
      <c r="H6662" s="31"/>
    </row>
    <row r="6663" spans="2:8" hidden="1">
      <c r="B6663" s="33"/>
      <c r="C6663" s="31"/>
      <c r="D6663" s="198"/>
      <c r="E6663" s="198"/>
      <c r="F6663" s="200"/>
      <c r="G6663" s="75"/>
      <c r="H6663" s="31"/>
    </row>
    <row r="6664" spans="2:8" hidden="1">
      <c r="B6664" s="33"/>
      <c r="C6664" s="31"/>
      <c r="D6664" s="768"/>
      <c r="E6664" s="31"/>
      <c r="F6664" s="200"/>
      <c r="G6664" s="75"/>
      <c r="H6664" s="31"/>
    </row>
    <row r="6665" spans="2:8" hidden="1">
      <c r="B6665" s="33"/>
      <c r="C6665" s="31"/>
      <c r="D6665" s="200"/>
      <c r="E6665" s="31"/>
      <c r="F6665" s="200"/>
      <c r="G6665" s="75"/>
      <c r="H6665" s="31"/>
    </row>
    <row r="6666" spans="2:8" hidden="1">
      <c r="B6666" s="33"/>
      <c r="C6666" s="31"/>
      <c r="D6666" s="31"/>
      <c r="E6666" s="31"/>
      <c r="F6666" s="31"/>
      <c r="G6666" s="31"/>
      <c r="H6666" s="31"/>
    </row>
    <row r="6667" spans="2:8" hidden="1">
      <c r="B6667" s="33"/>
      <c r="C6667" s="31"/>
      <c r="D6667" s="31"/>
      <c r="E6667" s="31"/>
      <c r="F6667" s="31"/>
      <c r="G6667" s="31"/>
      <c r="H6667" s="31"/>
    </row>
    <row r="6668" spans="2:8" hidden="1">
      <c r="B6668" s="33"/>
      <c r="C6668" s="31"/>
      <c r="D6668" s="31"/>
      <c r="E6668" s="31"/>
      <c r="F6668" s="31"/>
      <c r="G6668" s="31"/>
      <c r="H6668" s="31"/>
    </row>
    <row r="6669" spans="2:8" hidden="1">
      <c r="B6669" s="33"/>
      <c r="C6669" s="31"/>
      <c r="D6669" s="31"/>
      <c r="E6669" s="31"/>
      <c r="F6669" s="31"/>
      <c r="G6669" s="31"/>
      <c r="H6669" s="31"/>
    </row>
    <row r="6670" spans="2:8" hidden="1">
      <c r="B6670" s="33"/>
      <c r="C6670" s="31"/>
      <c r="D6670" s="31"/>
      <c r="E6670" s="31"/>
      <c r="F6670" s="31"/>
      <c r="G6670" s="31"/>
      <c r="H6670" s="31"/>
    </row>
    <row r="6671" spans="2:8" hidden="1">
      <c r="B6671" s="33"/>
      <c r="C6671" s="31"/>
      <c r="D6671" s="31"/>
      <c r="E6671" s="31"/>
      <c r="F6671" s="31"/>
      <c r="G6671" s="31"/>
      <c r="H6671" s="31"/>
    </row>
    <row r="6672" spans="2:8" hidden="1">
      <c r="B6672" s="33"/>
      <c r="C6672" s="31"/>
      <c r="D6672" s="31"/>
      <c r="E6672" s="31"/>
      <c r="F6672" s="31"/>
      <c r="G6672" s="31"/>
      <c r="H6672" s="31"/>
    </row>
    <row r="6673" spans="2:8" hidden="1">
      <c r="B6673" s="33"/>
      <c r="C6673" s="31"/>
      <c r="D6673" s="31"/>
      <c r="E6673" s="31"/>
      <c r="F6673" s="31"/>
      <c r="G6673" s="31"/>
      <c r="H6673" s="31"/>
    </row>
    <row r="6674" spans="2:8" hidden="1">
      <c r="B6674" s="33"/>
      <c r="C6674" s="31"/>
      <c r="D6674" s="31"/>
      <c r="E6674" s="31"/>
      <c r="F6674" s="31"/>
      <c r="G6674" s="31"/>
      <c r="H6674" s="31"/>
    </row>
    <row r="6675" spans="2:8" hidden="1">
      <c r="B6675" s="33"/>
      <c r="C6675" s="31"/>
      <c r="D6675" s="31"/>
      <c r="E6675" s="31"/>
      <c r="F6675" s="31"/>
      <c r="G6675" s="31"/>
      <c r="H6675" s="31"/>
    </row>
    <row r="6676" spans="2:8" hidden="1">
      <c r="B6676" s="33"/>
      <c r="C6676" s="31"/>
      <c r="D6676" s="31"/>
      <c r="E6676" s="31"/>
      <c r="F6676" s="31"/>
      <c r="G6676" s="31"/>
      <c r="H6676" s="31"/>
    </row>
    <row r="6677" spans="2:8" hidden="1">
      <c r="B6677" s="33"/>
      <c r="C6677" s="31"/>
      <c r="D6677" s="31"/>
      <c r="E6677" s="31"/>
      <c r="F6677" s="31"/>
      <c r="G6677" s="31"/>
      <c r="H6677" s="31"/>
    </row>
    <row r="6678" spans="2:8" hidden="1">
      <c r="B6678" s="33"/>
      <c r="C6678" s="31"/>
      <c r="D6678" s="31"/>
      <c r="E6678" s="31"/>
      <c r="F6678" s="31"/>
      <c r="G6678" s="31"/>
      <c r="H6678" s="31"/>
    </row>
    <row r="6679" spans="2:8" hidden="1">
      <c r="B6679" s="33"/>
      <c r="C6679" s="31"/>
      <c r="D6679" s="31"/>
      <c r="E6679" s="31"/>
      <c r="F6679" s="31"/>
      <c r="G6679" s="31"/>
      <c r="H6679" s="31"/>
    </row>
    <row r="6680" spans="2:8" hidden="1">
      <c r="B6680" s="33"/>
      <c r="C6680" s="31"/>
      <c r="D6680" s="31"/>
      <c r="E6680" s="31"/>
      <c r="F6680" s="31"/>
      <c r="G6680" s="31"/>
      <c r="H6680" s="31"/>
    </row>
    <row r="6681" spans="2:8" hidden="1">
      <c r="B6681" s="33"/>
      <c r="C6681" s="31"/>
      <c r="D6681" s="31"/>
      <c r="E6681" s="31"/>
      <c r="F6681" s="31"/>
      <c r="G6681" s="31"/>
      <c r="H6681" s="31"/>
    </row>
    <row r="6682" spans="2:8" hidden="1">
      <c r="B6682" s="33"/>
      <c r="C6682" s="31"/>
      <c r="D6682" s="31"/>
      <c r="E6682" s="31"/>
      <c r="F6682" s="31"/>
      <c r="G6682" s="31"/>
      <c r="H6682" s="31"/>
    </row>
    <row r="6683" spans="2:8" hidden="1">
      <c r="B6683" s="33"/>
      <c r="C6683" s="31"/>
      <c r="D6683" s="31"/>
      <c r="E6683" s="31"/>
      <c r="F6683" s="31"/>
      <c r="G6683" s="31"/>
      <c r="H6683" s="31"/>
    </row>
    <row r="6684" spans="2:8" hidden="1">
      <c r="B6684" s="33"/>
      <c r="C6684" s="31"/>
      <c r="D6684" s="31"/>
      <c r="E6684" s="31"/>
      <c r="F6684" s="31"/>
      <c r="G6684" s="31"/>
      <c r="H6684" s="31"/>
    </row>
    <row r="6685" spans="2:8" hidden="1">
      <c r="B6685" s="33"/>
      <c r="C6685" s="31"/>
      <c r="D6685" s="31"/>
      <c r="E6685" s="31"/>
      <c r="F6685" s="31"/>
      <c r="G6685" s="31"/>
      <c r="H6685" s="31"/>
    </row>
    <row r="6686" spans="2:8" hidden="1">
      <c r="B6686" s="33"/>
      <c r="C6686" s="31"/>
      <c r="D6686" s="31"/>
      <c r="E6686" s="31"/>
      <c r="F6686" s="31"/>
      <c r="G6686" s="31"/>
      <c r="H6686" s="31"/>
    </row>
    <row r="6687" spans="2:8" hidden="1">
      <c r="B6687" s="33"/>
      <c r="C6687" s="31"/>
      <c r="D6687" s="31"/>
      <c r="E6687" s="31"/>
      <c r="F6687" s="31"/>
      <c r="G6687" s="31"/>
      <c r="H6687" s="31"/>
    </row>
    <row r="6688" spans="2:8" hidden="1">
      <c r="B6688" s="33"/>
      <c r="C6688" s="31"/>
      <c r="D6688" s="31"/>
      <c r="E6688" s="31"/>
      <c r="F6688" s="31"/>
      <c r="G6688" s="31"/>
      <c r="H6688" s="31"/>
    </row>
    <row r="6689" spans="2:8" hidden="1">
      <c r="B6689" s="33"/>
      <c r="C6689" s="31"/>
      <c r="D6689" s="31"/>
      <c r="E6689" s="31"/>
      <c r="F6689" s="31"/>
      <c r="G6689" s="31"/>
      <c r="H6689" s="31"/>
    </row>
    <row r="6690" spans="2:8" hidden="1">
      <c r="B6690" s="33"/>
      <c r="C6690" s="31"/>
      <c r="D6690" s="31"/>
      <c r="E6690" s="31"/>
      <c r="F6690" s="31"/>
      <c r="G6690" s="31"/>
      <c r="H6690" s="31"/>
    </row>
    <row r="6691" spans="2:8" hidden="1">
      <c r="B6691" s="33"/>
      <c r="C6691" s="31"/>
      <c r="D6691" s="31"/>
      <c r="E6691" s="31"/>
      <c r="F6691" s="31"/>
      <c r="G6691" s="31"/>
      <c r="H6691" s="31"/>
    </row>
    <row r="6692" spans="2:8" hidden="1">
      <c r="B6692" s="33"/>
      <c r="C6692" s="31"/>
      <c r="D6692" s="33"/>
      <c r="E6692" s="31"/>
      <c r="F6692" s="31"/>
      <c r="G6692" s="31"/>
      <c r="H6692" s="31"/>
    </row>
    <row r="6693" spans="2:8" hidden="1">
      <c r="B6693" s="33"/>
      <c r="C6693" s="31"/>
      <c r="D6693" s="33"/>
      <c r="E6693" s="31"/>
      <c r="F6693" s="31"/>
      <c r="G6693" s="31"/>
      <c r="H6693" s="31"/>
    </row>
    <row r="6694" spans="2:8" hidden="1">
      <c r="B6694" s="33"/>
      <c r="C6694" s="31"/>
      <c r="D6694" s="33"/>
      <c r="E6694" s="31"/>
      <c r="F6694" s="31"/>
      <c r="G6694" s="31"/>
      <c r="H6694" s="31"/>
    </row>
    <row r="6695" spans="2:8" hidden="1">
      <c r="B6695" s="33"/>
      <c r="C6695" s="31"/>
      <c r="D6695" s="33"/>
      <c r="E6695" s="31"/>
      <c r="F6695" s="31"/>
      <c r="G6695" s="31"/>
      <c r="H6695" s="31"/>
    </row>
    <row r="6696" spans="2:8" hidden="1">
      <c r="B6696" s="33"/>
      <c r="C6696" s="31"/>
      <c r="D6696" s="33"/>
      <c r="E6696" s="31"/>
      <c r="F6696" s="31"/>
      <c r="G6696" s="31"/>
      <c r="H6696" s="31"/>
    </row>
    <row r="6697" spans="2:8" hidden="1">
      <c r="B6697" s="33"/>
      <c r="C6697" s="31"/>
      <c r="D6697" s="33"/>
      <c r="E6697" s="31"/>
      <c r="F6697" s="31"/>
      <c r="G6697" s="31"/>
      <c r="H6697" s="31"/>
    </row>
    <row r="6698" spans="2:8" hidden="1">
      <c r="B6698" s="33"/>
      <c r="C6698" s="31"/>
      <c r="D6698" s="33"/>
      <c r="E6698" s="31"/>
      <c r="F6698" s="31"/>
      <c r="G6698" s="31"/>
      <c r="H6698" s="31"/>
    </row>
    <row r="6699" spans="2:8" hidden="1">
      <c r="B6699" s="33"/>
      <c r="C6699" s="31"/>
      <c r="D6699" s="33"/>
      <c r="E6699" s="31"/>
      <c r="F6699" s="31"/>
      <c r="G6699" s="31"/>
      <c r="H6699" s="31"/>
    </row>
    <row r="6700" spans="2:8" hidden="1">
      <c r="B6700" s="33"/>
      <c r="C6700" s="31"/>
      <c r="D6700" s="33"/>
      <c r="E6700" s="31"/>
      <c r="F6700" s="31"/>
      <c r="G6700" s="31"/>
      <c r="H6700" s="31"/>
    </row>
    <row r="6701" spans="2:8" hidden="1">
      <c r="B6701" s="33"/>
      <c r="C6701" s="31"/>
      <c r="D6701" s="31"/>
      <c r="E6701" s="31"/>
      <c r="F6701" s="31"/>
      <c r="G6701" s="31"/>
      <c r="H6701" s="31"/>
    </row>
    <row r="6702" spans="2:8" hidden="1">
      <c r="B6702" s="33"/>
      <c r="C6702" s="31"/>
      <c r="D6702" s="31"/>
      <c r="E6702" s="31"/>
      <c r="F6702" s="31"/>
      <c r="G6702" s="31"/>
      <c r="H6702" s="31"/>
    </row>
    <row r="6703" spans="2:8" hidden="1">
      <c r="B6703" s="33"/>
      <c r="C6703" s="31"/>
      <c r="D6703" s="31"/>
      <c r="E6703" s="31"/>
      <c r="F6703" s="31"/>
      <c r="G6703" s="31"/>
      <c r="H6703" s="31"/>
    </row>
    <row r="6704" spans="2:8" hidden="1">
      <c r="B6704" s="33"/>
      <c r="C6704" s="31"/>
      <c r="D6704" s="31"/>
      <c r="E6704" s="31"/>
      <c r="F6704" s="31"/>
      <c r="G6704" s="31"/>
      <c r="H6704" s="31"/>
    </row>
    <row r="6705" spans="2:8" hidden="1">
      <c r="B6705" s="33"/>
      <c r="C6705" s="31"/>
      <c r="D6705" s="31"/>
      <c r="E6705" s="31"/>
      <c r="F6705" s="31"/>
      <c r="G6705" s="31"/>
      <c r="H6705" s="31"/>
    </row>
    <row r="6706" spans="2:8" hidden="1">
      <c r="B6706" s="33"/>
      <c r="C6706" s="31"/>
      <c r="D6706" s="31"/>
      <c r="E6706" s="31"/>
      <c r="F6706" s="31"/>
      <c r="G6706" s="31"/>
      <c r="H6706" s="31"/>
    </row>
    <row r="6707" spans="2:8" hidden="1">
      <c r="B6707" s="33"/>
      <c r="C6707" s="31"/>
      <c r="D6707" s="31"/>
      <c r="E6707" s="31"/>
      <c r="F6707" s="31"/>
      <c r="G6707" s="31"/>
      <c r="H6707" s="31"/>
    </row>
    <row r="6708" spans="2:8" hidden="1">
      <c r="B6708" s="33"/>
      <c r="C6708" s="31"/>
      <c r="D6708" s="31"/>
      <c r="E6708" s="31"/>
      <c r="F6708" s="31"/>
      <c r="G6708" s="31"/>
      <c r="H6708" s="31"/>
    </row>
    <row r="6709" spans="2:8" hidden="1">
      <c r="B6709" s="33"/>
      <c r="C6709" s="31"/>
      <c r="D6709" s="31"/>
      <c r="E6709" s="31"/>
      <c r="F6709" s="31"/>
      <c r="G6709" s="31"/>
      <c r="H6709" s="31"/>
    </row>
    <row r="6710" spans="2:8" hidden="1">
      <c r="B6710" s="33"/>
      <c r="C6710" s="31"/>
      <c r="D6710" s="31"/>
      <c r="E6710" s="31"/>
      <c r="F6710" s="31"/>
      <c r="G6710" s="31"/>
      <c r="H6710" s="31"/>
    </row>
    <row r="6711" spans="2:8" hidden="1">
      <c r="B6711" s="33"/>
      <c r="C6711" s="31"/>
      <c r="D6711" s="31"/>
      <c r="E6711" s="31"/>
      <c r="F6711" s="31"/>
      <c r="G6711" s="31"/>
      <c r="H6711" s="31"/>
    </row>
    <row r="6712" spans="2:8" hidden="1">
      <c r="B6712" s="33"/>
      <c r="C6712" s="31"/>
      <c r="D6712" s="31"/>
      <c r="E6712" s="31"/>
      <c r="F6712" s="31"/>
      <c r="G6712" s="31"/>
      <c r="H6712" s="31"/>
    </row>
    <row r="6713" spans="2:8" hidden="1">
      <c r="B6713" s="33"/>
      <c r="C6713" s="31"/>
      <c r="D6713" s="31"/>
      <c r="E6713" s="31"/>
      <c r="F6713" s="31"/>
      <c r="G6713" s="31"/>
      <c r="H6713" s="31"/>
    </row>
    <row r="6714" spans="2:8" hidden="1">
      <c r="B6714" s="33"/>
      <c r="C6714" s="31"/>
      <c r="D6714" s="31"/>
      <c r="E6714" s="31"/>
      <c r="F6714" s="31"/>
      <c r="G6714" s="31"/>
      <c r="H6714" s="31"/>
    </row>
    <row r="6715" spans="2:8" hidden="1">
      <c r="B6715" s="33"/>
      <c r="C6715" s="31"/>
      <c r="D6715" s="31"/>
      <c r="E6715" s="31"/>
      <c r="F6715" s="31"/>
      <c r="G6715" s="31"/>
      <c r="H6715" s="31"/>
    </row>
    <row r="6716" spans="2:8" hidden="1">
      <c r="B6716" s="30"/>
      <c r="C6716" s="30"/>
      <c r="D6716" s="30"/>
      <c r="E6716" s="30"/>
      <c r="F6716" s="30"/>
      <c r="G6716" s="30"/>
      <c r="H6716" s="31"/>
    </row>
    <row r="6717" spans="2:8" hidden="1">
      <c r="B6717" s="33"/>
      <c r="C6717" s="31"/>
      <c r="D6717" s="31"/>
      <c r="E6717" s="31"/>
      <c r="F6717" s="31"/>
      <c r="G6717" s="31"/>
      <c r="H6717" s="31"/>
    </row>
    <row r="6718" spans="2:8" hidden="1">
      <c r="B6718" s="33"/>
      <c r="C6718" s="31"/>
      <c r="D6718" s="31"/>
      <c r="E6718" s="31"/>
      <c r="F6718" s="31"/>
      <c r="G6718" s="31"/>
      <c r="H6718" s="31"/>
    </row>
    <row r="6719" spans="2:8" hidden="1">
      <c r="B6719" s="33"/>
      <c r="C6719" s="31"/>
      <c r="D6719" s="31"/>
      <c r="E6719" s="31"/>
      <c r="F6719" s="31"/>
      <c r="G6719" s="31"/>
      <c r="H6719" s="31"/>
    </row>
    <row r="6720" spans="2:8" hidden="1">
      <c r="B6720" s="33"/>
      <c r="C6720" s="31"/>
      <c r="D6720" s="31"/>
      <c r="E6720" s="31"/>
      <c r="F6720" s="31"/>
      <c r="G6720" s="31"/>
      <c r="H6720" s="31"/>
    </row>
    <row r="6721" spans="2:8" hidden="1">
      <c r="B6721" s="33"/>
      <c r="C6721" s="31"/>
      <c r="D6721" s="31"/>
      <c r="E6721" s="31"/>
      <c r="F6721" s="31"/>
      <c r="G6721" s="31"/>
      <c r="H6721" s="31"/>
    </row>
    <row r="6722" spans="2:8" hidden="1">
      <c r="B6722" s="33"/>
      <c r="C6722" s="31"/>
      <c r="D6722" s="31"/>
      <c r="E6722" s="31"/>
      <c r="F6722" s="31"/>
      <c r="G6722" s="31"/>
      <c r="H6722" s="31"/>
    </row>
    <row r="6723" spans="2:8" hidden="1">
      <c r="B6723" s="33"/>
      <c r="C6723" s="31"/>
      <c r="D6723" s="31"/>
      <c r="E6723" s="31"/>
      <c r="F6723" s="31"/>
      <c r="G6723" s="31"/>
      <c r="H6723" s="31"/>
    </row>
    <row r="6724" spans="2:8" hidden="1">
      <c r="B6724" s="33"/>
      <c r="C6724" s="31"/>
      <c r="D6724" s="31"/>
      <c r="E6724" s="31"/>
      <c r="F6724" s="31"/>
      <c r="G6724" s="31"/>
      <c r="H6724" s="31"/>
    </row>
    <row r="6725" spans="2:8" hidden="1">
      <c r="B6725" s="33"/>
      <c r="C6725" s="31"/>
      <c r="D6725" s="33"/>
      <c r="E6725" s="33"/>
      <c r="F6725" s="33"/>
      <c r="G6725" s="33"/>
      <c r="H6725" s="31"/>
    </row>
    <row r="6726" spans="2:8" hidden="1">
      <c r="B6726" s="33"/>
      <c r="C6726" s="31"/>
      <c r="D6726" s="33"/>
      <c r="E6726" s="33"/>
      <c r="F6726" s="33"/>
      <c r="G6726" s="33"/>
      <c r="H6726" s="31"/>
    </row>
    <row r="6727" spans="2:8" hidden="1">
      <c r="B6727" s="33"/>
      <c r="C6727" s="31"/>
      <c r="D6727" s="31"/>
      <c r="E6727" s="31"/>
      <c r="F6727" s="31"/>
      <c r="G6727" s="31"/>
      <c r="H6727" s="31"/>
    </row>
    <row r="6728" spans="2:8" hidden="1">
      <c r="B6728" s="405"/>
      <c r="C6728" s="31"/>
      <c r="D6728" s="75"/>
      <c r="E6728" s="31"/>
      <c r="F6728" s="31"/>
      <c r="G6728" s="31"/>
      <c r="H6728" s="31"/>
    </row>
    <row r="6729" spans="2:8" hidden="1">
      <c r="B6729" s="405"/>
      <c r="C6729" s="31"/>
      <c r="D6729" s="75"/>
      <c r="E6729" s="31"/>
      <c r="F6729" s="31"/>
      <c r="G6729" s="31"/>
      <c r="H6729" s="31"/>
    </row>
    <row r="6730" spans="2:8" hidden="1">
      <c r="B6730" s="405"/>
      <c r="C6730" s="31"/>
      <c r="D6730" s="75"/>
      <c r="E6730" s="31"/>
      <c r="F6730" s="31"/>
      <c r="G6730" s="31"/>
      <c r="H6730" s="31"/>
    </row>
    <row r="6731" spans="2:8" hidden="1">
      <c r="B6731" s="405"/>
      <c r="C6731" s="31"/>
      <c r="D6731" s="75"/>
      <c r="E6731" s="31"/>
      <c r="F6731" s="31"/>
      <c r="G6731" s="31"/>
      <c r="H6731" s="31"/>
    </row>
    <row r="6732" spans="2:8" hidden="1">
      <c r="B6732" s="405"/>
      <c r="C6732" s="31"/>
      <c r="D6732" s="75"/>
      <c r="E6732" s="31"/>
      <c r="F6732" s="31"/>
      <c r="G6732" s="31"/>
      <c r="H6732" s="31"/>
    </row>
    <row r="6733" spans="2:8" hidden="1">
      <c r="B6733" s="405"/>
      <c r="C6733" s="31"/>
      <c r="D6733" s="75"/>
      <c r="E6733" s="31"/>
      <c r="F6733" s="31"/>
      <c r="G6733" s="31"/>
      <c r="H6733" s="31"/>
    </row>
    <row r="6734" spans="2:8" hidden="1">
      <c r="B6734" s="405"/>
      <c r="C6734" s="31"/>
      <c r="D6734" s="75"/>
      <c r="E6734" s="31"/>
      <c r="F6734" s="31"/>
      <c r="G6734" s="31"/>
      <c r="H6734" s="31"/>
    </row>
    <row r="6735" spans="2:8" hidden="1">
      <c r="B6735" s="405"/>
      <c r="C6735" s="31"/>
      <c r="D6735" s="75"/>
      <c r="E6735" s="33"/>
      <c r="F6735" s="31"/>
      <c r="G6735" s="31"/>
      <c r="H6735" s="31"/>
    </row>
    <row r="6736" spans="2:8" hidden="1">
      <c r="B6736" s="405"/>
      <c r="C6736" s="31"/>
      <c r="D6736" s="75"/>
      <c r="E6736" s="31"/>
      <c r="F6736" s="31"/>
      <c r="G6736" s="31"/>
      <c r="H6736" s="31"/>
    </row>
    <row r="6737" spans="2:8" hidden="1">
      <c r="B6737" s="200"/>
      <c r="C6737" s="31"/>
      <c r="D6737" s="75"/>
      <c r="E6737" s="31"/>
      <c r="F6737" s="31"/>
      <c r="G6737" s="31"/>
      <c r="H6737" s="31"/>
    </row>
    <row r="6738" spans="2:8" hidden="1">
      <c r="B6738" s="200"/>
      <c r="C6738" s="31"/>
      <c r="D6738" s="75"/>
      <c r="E6738" s="31"/>
      <c r="F6738" s="31"/>
      <c r="G6738" s="31"/>
      <c r="H6738" s="31"/>
    </row>
    <row r="6739" spans="2:8" hidden="1">
      <c r="B6739" s="200"/>
      <c r="C6739" s="31"/>
      <c r="D6739" s="75"/>
      <c r="E6739" s="31"/>
      <c r="F6739" s="31"/>
      <c r="G6739" s="31"/>
      <c r="H6739" s="31"/>
    </row>
    <row r="6740" spans="2:8" hidden="1">
      <c r="B6740" s="200"/>
      <c r="C6740" s="31"/>
      <c r="D6740" s="75"/>
      <c r="E6740" s="33"/>
      <c r="F6740" s="31"/>
      <c r="G6740" s="31"/>
      <c r="H6740" s="31"/>
    </row>
    <row r="6741" spans="2:8" hidden="1">
      <c r="B6741" s="200"/>
      <c r="C6741" s="31"/>
      <c r="D6741" s="75"/>
      <c r="E6741" s="33"/>
      <c r="F6741" s="31"/>
      <c r="G6741" s="31"/>
      <c r="H6741" s="31"/>
    </row>
    <row r="6742" spans="2:8" hidden="1">
      <c r="B6742" s="200"/>
      <c r="C6742" s="31"/>
      <c r="D6742" s="75"/>
      <c r="E6742" s="31"/>
      <c r="F6742" s="31"/>
      <c r="G6742" s="31"/>
      <c r="H6742" s="31"/>
    </row>
    <row r="6743" spans="2:8" hidden="1">
      <c r="B6743" s="200"/>
      <c r="C6743" s="31"/>
      <c r="D6743" s="75"/>
      <c r="E6743" s="31"/>
      <c r="F6743" s="31"/>
      <c r="G6743" s="31"/>
      <c r="H6743" s="31"/>
    </row>
    <row r="6744" spans="2:8" hidden="1">
      <c r="B6744" s="200"/>
      <c r="C6744" s="31"/>
      <c r="D6744" s="75"/>
      <c r="E6744" s="31"/>
      <c r="F6744" s="31"/>
      <c r="G6744" s="31"/>
      <c r="H6744" s="31"/>
    </row>
    <row r="6745" spans="2:8" hidden="1">
      <c r="B6745" s="200"/>
      <c r="C6745" s="31"/>
      <c r="D6745" s="75"/>
      <c r="E6745" s="31"/>
      <c r="F6745" s="31"/>
      <c r="G6745" s="31"/>
      <c r="H6745" s="31"/>
    </row>
    <row r="6746" spans="2:8" hidden="1">
      <c r="B6746" s="200"/>
      <c r="C6746" s="31"/>
      <c r="D6746" s="75"/>
      <c r="E6746" s="31"/>
      <c r="F6746" s="31"/>
      <c r="G6746" s="31"/>
      <c r="H6746" s="31"/>
    </row>
    <row r="6747" spans="2:8" hidden="1">
      <c r="B6747" s="200"/>
      <c r="C6747" s="31"/>
      <c r="D6747" s="75"/>
      <c r="E6747" s="31"/>
      <c r="F6747" s="31"/>
      <c r="G6747" s="31"/>
      <c r="H6747" s="31"/>
    </row>
    <row r="6748" spans="2:8" hidden="1">
      <c r="B6748" s="200"/>
      <c r="C6748" s="31"/>
      <c r="D6748" s="75"/>
      <c r="E6748" s="31"/>
      <c r="F6748" s="31"/>
      <c r="G6748" s="31"/>
      <c r="H6748" s="31"/>
    </row>
    <row r="6749" spans="2:8" hidden="1">
      <c r="B6749" s="200"/>
      <c r="C6749" s="31"/>
      <c r="D6749" s="75"/>
      <c r="E6749" s="31"/>
      <c r="F6749" s="31"/>
      <c r="G6749" s="31"/>
      <c r="H6749" s="31"/>
    </row>
    <row r="6750" spans="2:8" hidden="1">
      <c r="B6750" s="200"/>
      <c r="C6750" s="31"/>
      <c r="D6750" s="75"/>
      <c r="E6750" s="31"/>
      <c r="F6750" s="31"/>
      <c r="G6750" s="31"/>
      <c r="H6750" s="31"/>
    </row>
    <row r="6751" spans="2:8" hidden="1">
      <c r="B6751" s="200"/>
      <c r="C6751" s="31"/>
      <c r="D6751" s="75"/>
      <c r="E6751" s="31"/>
      <c r="F6751" s="31"/>
      <c r="G6751" s="31"/>
      <c r="H6751" s="31"/>
    </row>
    <row r="6752" spans="2:8" hidden="1">
      <c r="B6752" s="200"/>
      <c r="C6752" s="31"/>
      <c r="D6752" s="75"/>
      <c r="E6752" s="31"/>
      <c r="F6752" s="31"/>
      <c r="G6752" s="31"/>
      <c r="H6752" s="31"/>
    </row>
    <row r="6753" spans="2:8" hidden="1">
      <c r="B6753" s="200"/>
      <c r="C6753" s="31"/>
      <c r="D6753" s="75"/>
      <c r="E6753" s="31"/>
      <c r="F6753" s="31"/>
      <c r="G6753" s="31"/>
      <c r="H6753" s="31"/>
    </row>
    <row r="6754" spans="2:8" hidden="1">
      <c r="B6754" s="200"/>
      <c r="C6754" s="31"/>
      <c r="D6754" s="75"/>
      <c r="E6754" s="31"/>
      <c r="F6754" s="31"/>
      <c r="G6754" s="31"/>
      <c r="H6754" s="31"/>
    </row>
    <row r="6755" spans="2:8" hidden="1">
      <c r="B6755" s="200"/>
      <c r="C6755" s="31"/>
      <c r="D6755" s="75"/>
      <c r="E6755" s="31"/>
      <c r="F6755" s="31"/>
      <c r="G6755" s="31"/>
      <c r="H6755" s="31"/>
    </row>
    <row r="6756" spans="2:8" hidden="1">
      <c r="B6756" s="200"/>
      <c r="C6756" s="31"/>
      <c r="D6756" s="75"/>
      <c r="E6756" s="31"/>
      <c r="F6756" s="31"/>
      <c r="G6756" s="31"/>
      <c r="H6756" s="31"/>
    </row>
    <row r="6757" spans="2:8" hidden="1">
      <c r="B6757" s="200"/>
      <c r="C6757" s="31"/>
      <c r="D6757" s="75"/>
      <c r="E6757" s="31"/>
      <c r="F6757" s="31"/>
      <c r="G6757" s="31"/>
      <c r="H6757" s="31"/>
    </row>
    <row r="6758" spans="2:8" hidden="1">
      <c r="B6758" s="200"/>
      <c r="C6758" s="31"/>
      <c r="D6758" s="75"/>
      <c r="E6758" s="31"/>
      <c r="F6758" s="31"/>
      <c r="G6758" s="31"/>
      <c r="H6758" s="31"/>
    </row>
    <row r="6759" spans="2:8" hidden="1">
      <c r="B6759" s="200"/>
      <c r="C6759" s="31"/>
      <c r="D6759" s="75"/>
      <c r="E6759" s="31"/>
      <c r="F6759" s="31"/>
      <c r="G6759" s="31"/>
      <c r="H6759" s="31"/>
    </row>
    <row r="6760" spans="2:8" hidden="1">
      <c r="B6760" s="200"/>
      <c r="C6760" s="31"/>
      <c r="D6760" s="75"/>
      <c r="E6760" s="31"/>
      <c r="F6760" s="31"/>
      <c r="G6760" s="31"/>
      <c r="H6760" s="31"/>
    </row>
    <row r="6761" spans="2:8" hidden="1">
      <c r="B6761" s="200"/>
      <c r="C6761" s="31"/>
      <c r="D6761" s="75"/>
      <c r="E6761" s="33"/>
      <c r="F6761" s="33"/>
      <c r="G6761" s="33"/>
      <c r="H6761" s="31"/>
    </row>
    <row r="6762" spans="2:8" hidden="1">
      <c r="B6762" s="200"/>
      <c r="C6762" s="31"/>
      <c r="D6762" s="75"/>
      <c r="E6762" s="33"/>
      <c r="F6762" s="33"/>
      <c r="G6762" s="33"/>
      <c r="H6762" s="31"/>
    </row>
    <row r="6763" spans="2:8" hidden="1">
      <c r="B6763" s="33"/>
      <c r="C6763" s="31"/>
      <c r="D6763" s="31"/>
      <c r="E6763" s="31"/>
      <c r="F6763" s="31"/>
      <c r="G6763" s="31"/>
      <c r="H6763" s="31"/>
    </row>
    <row r="6764" spans="2:8" hidden="1">
      <c r="B6764" s="200"/>
      <c r="C6764" s="31"/>
      <c r="D6764" s="75"/>
      <c r="E6764" s="31"/>
      <c r="F6764" s="31"/>
      <c r="G6764" s="31"/>
      <c r="H6764" s="31"/>
    </row>
    <row r="6765" spans="2:8" hidden="1">
      <c r="B6765" s="200"/>
      <c r="C6765" s="31"/>
      <c r="D6765" s="75"/>
      <c r="E6765" s="31"/>
      <c r="F6765" s="33"/>
      <c r="G6765" s="33"/>
      <c r="H6765" s="31"/>
    </row>
    <row r="6766" spans="2:8" hidden="1">
      <c r="B6766" s="200"/>
      <c r="C6766" s="31"/>
      <c r="D6766" s="75"/>
      <c r="E6766" s="31"/>
      <c r="F6766" s="31"/>
      <c r="G6766" s="31"/>
      <c r="H6766" s="31"/>
    </row>
    <row r="6767" spans="2:8" hidden="1">
      <c r="B6767" s="200"/>
      <c r="C6767" s="31"/>
      <c r="D6767" s="75"/>
      <c r="E6767" s="31"/>
      <c r="F6767" s="31"/>
      <c r="G6767" s="31"/>
      <c r="H6767" s="31"/>
    </row>
    <row r="6768" spans="2:8" hidden="1">
      <c r="B6768" s="200"/>
      <c r="C6768" s="31"/>
      <c r="D6768" s="75"/>
      <c r="E6768" s="31"/>
      <c r="F6768" s="33"/>
      <c r="G6768" s="33"/>
      <c r="H6768" s="31"/>
    </row>
    <row r="6769" spans="2:8" hidden="1">
      <c r="B6769" s="200"/>
      <c r="C6769" s="31"/>
      <c r="D6769" s="75"/>
      <c r="E6769" s="31"/>
      <c r="F6769" s="31"/>
      <c r="G6769" s="31"/>
      <c r="H6769" s="31"/>
    </row>
    <row r="6770" spans="2:8" hidden="1">
      <c r="B6770" s="200"/>
      <c r="C6770" s="31"/>
      <c r="D6770" s="75"/>
      <c r="E6770" s="31"/>
      <c r="F6770" s="31"/>
      <c r="G6770" s="31"/>
      <c r="H6770" s="31"/>
    </row>
    <row r="6771" spans="2:8" hidden="1">
      <c r="B6771" s="200"/>
      <c r="C6771" s="31"/>
      <c r="D6771" s="75"/>
      <c r="E6771" s="31"/>
      <c r="F6771" s="771"/>
      <c r="G6771" s="31"/>
      <c r="H6771" s="31"/>
    </row>
    <row r="6772" spans="2:8" hidden="1">
      <c r="B6772" s="200"/>
      <c r="C6772" s="31"/>
      <c r="D6772" s="75"/>
      <c r="E6772" s="31"/>
      <c r="F6772" s="31"/>
      <c r="G6772" s="31"/>
      <c r="H6772" s="31"/>
    </row>
    <row r="6773" spans="2:8" hidden="1">
      <c r="B6773" s="200"/>
      <c r="C6773" s="31"/>
      <c r="D6773" s="75"/>
      <c r="E6773" s="31"/>
      <c r="F6773" s="31"/>
      <c r="G6773" s="31"/>
      <c r="H6773" s="31"/>
    </row>
    <row r="6774" spans="2:8" hidden="1">
      <c r="B6774" s="200"/>
      <c r="C6774" s="31"/>
      <c r="D6774" s="75"/>
      <c r="E6774" s="31"/>
      <c r="F6774" s="31"/>
      <c r="G6774" s="31"/>
      <c r="H6774" s="31"/>
    </row>
    <row r="6775" spans="2:8" hidden="1">
      <c r="B6775" s="200"/>
      <c r="C6775" s="31"/>
      <c r="D6775" s="75"/>
      <c r="E6775" s="31"/>
      <c r="F6775" s="31"/>
      <c r="G6775" s="31"/>
      <c r="H6775" s="31"/>
    </row>
    <row r="6776" spans="2:8" hidden="1">
      <c r="B6776" s="200"/>
      <c r="C6776" s="31"/>
      <c r="D6776" s="75"/>
      <c r="E6776" s="31"/>
      <c r="F6776" s="31"/>
      <c r="G6776" s="31"/>
      <c r="H6776" s="31"/>
    </row>
    <row r="6777" spans="2:8" hidden="1">
      <c r="B6777" s="200"/>
      <c r="C6777" s="31"/>
      <c r="D6777" s="75"/>
      <c r="E6777" s="31"/>
      <c r="F6777" s="31"/>
      <c r="G6777" s="31"/>
      <c r="H6777" s="31"/>
    </row>
    <row r="6778" spans="2:8" hidden="1">
      <c r="B6778" s="200"/>
      <c r="C6778" s="31"/>
      <c r="D6778" s="75"/>
      <c r="E6778" s="31"/>
      <c r="F6778" s="31"/>
      <c r="G6778" s="31"/>
      <c r="H6778" s="31"/>
    </row>
    <row r="6779" spans="2:8" hidden="1">
      <c r="B6779" s="200"/>
      <c r="C6779" s="31"/>
      <c r="D6779" s="75"/>
      <c r="E6779" s="33"/>
      <c r="F6779" s="31"/>
      <c r="G6779" s="31"/>
      <c r="H6779" s="31"/>
    </row>
    <row r="6780" spans="2:8" hidden="1">
      <c r="B6780" s="33"/>
      <c r="C6780" s="31"/>
      <c r="D6780" s="31"/>
      <c r="E6780" s="31"/>
      <c r="F6780" s="31"/>
      <c r="G6780" s="31"/>
      <c r="H6780" s="31"/>
    </row>
    <row r="6781" spans="2:8" hidden="1">
      <c r="B6781" s="200"/>
      <c r="C6781" s="31"/>
      <c r="D6781" s="75"/>
      <c r="E6781" s="31"/>
      <c r="F6781" s="33"/>
      <c r="G6781" s="33"/>
      <c r="H6781" s="31"/>
    </row>
    <row r="6782" spans="2:8" hidden="1">
      <c r="B6782" s="200"/>
      <c r="C6782" s="31"/>
      <c r="D6782" s="75"/>
      <c r="E6782" s="31"/>
      <c r="F6782" s="31"/>
      <c r="G6782" s="31"/>
      <c r="H6782" s="31"/>
    </row>
    <row r="6783" spans="2:8" hidden="1">
      <c r="B6783" s="200"/>
      <c r="C6783" s="31"/>
      <c r="D6783" s="75"/>
      <c r="E6783" s="31"/>
      <c r="F6783" s="31"/>
      <c r="G6783" s="31"/>
      <c r="H6783" s="31"/>
    </row>
    <row r="6784" spans="2:8" hidden="1">
      <c r="B6784" s="200"/>
      <c r="C6784" s="31"/>
      <c r="D6784" s="75"/>
      <c r="E6784" s="31"/>
      <c r="F6784" s="31"/>
      <c r="G6784" s="31"/>
      <c r="H6784" s="31"/>
    </row>
    <row r="6785" spans="2:8" hidden="1">
      <c r="B6785" s="200"/>
      <c r="C6785" s="31"/>
      <c r="D6785" s="75"/>
      <c r="E6785" s="31"/>
      <c r="F6785" s="33"/>
      <c r="G6785" s="33"/>
      <c r="H6785" s="31"/>
    </row>
    <row r="6786" spans="2:8" hidden="1">
      <c r="B6786" s="200"/>
      <c r="C6786" s="31"/>
      <c r="D6786" s="75"/>
      <c r="E6786" s="31"/>
      <c r="F6786" s="31"/>
      <c r="G6786" s="31"/>
      <c r="H6786" s="31"/>
    </row>
    <row r="6787" spans="2:8" hidden="1">
      <c r="B6787" s="200"/>
      <c r="C6787" s="31"/>
      <c r="D6787" s="75"/>
      <c r="E6787" s="31"/>
      <c r="F6787" s="31"/>
      <c r="G6787" s="31"/>
      <c r="H6787" s="31"/>
    </row>
    <row r="6788" spans="2:8" hidden="1">
      <c r="B6788" s="200"/>
      <c r="C6788" s="31"/>
      <c r="D6788" s="75"/>
      <c r="E6788" s="31"/>
      <c r="F6788" s="31"/>
      <c r="G6788" s="31"/>
      <c r="H6788" s="31"/>
    </row>
    <row r="6789" spans="2:8" hidden="1">
      <c r="B6789" s="200"/>
      <c r="C6789" s="31"/>
      <c r="D6789" s="75"/>
      <c r="E6789" s="31"/>
      <c r="F6789" s="31"/>
      <c r="G6789" s="31"/>
      <c r="H6789" s="31"/>
    </row>
    <row r="6790" spans="2:8" hidden="1">
      <c r="B6790" s="200"/>
      <c r="C6790" s="31"/>
      <c r="D6790" s="75"/>
      <c r="E6790" s="31"/>
      <c r="F6790" s="31"/>
      <c r="G6790" s="31"/>
      <c r="H6790" s="31"/>
    </row>
    <row r="6791" spans="2:8" hidden="1">
      <c r="B6791" s="200"/>
      <c r="C6791" s="31"/>
      <c r="D6791" s="75"/>
      <c r="E6791" s="33"/>
      <c r="F6791" s="33"/>
      <c r="G6791" s="33"/>
      <c r="H6791" s="31"/>
    </row>
    <row r="6792" spans="2:8" hidden="1">
      <c r="B6792" s="200"/>
      <c r="C6792" s="31"/>
      <c r="D6792" s="75"/>
      <c r="E6792" s="31"/>
      <c r="F6792" s="33"/>
      <c r="G6792" s="33"/>
      <c r="H6792" s="31"/>
    </row>
    <row r="6793" spans="2:8" hidden="1">
      <c r="B6793" s="200"/>
      <c r="C6793" s="31"/>
      <c r="D6793" s="75"/>
      <c r="E6793" s="31"/>
      <c r="F6793" s="33"/>
      <c r="G6793" s="33"/>
      <c r="H6793" s="31"/>
    </row>
    <row r="6794" spans="2:8" hidden="1">
      <c r="B6794" s="200"/>
      <c r="C6794" s="31"/>
      <c r="D6794" s="75"/>
      <c r="E6794" s="33"/>
      <c r="F6794" s="33"/>
      <c r="G6794" s="33"/>
      <c r="H6794" s="31"/>
    </row>
    <row r="6795" spans="2:8" hidden="1">
      <c r="B6795" s="200"/>
      <c r="C6795" s="31"/>
      <c r="D6795" s="75"/>
      <c r="E6795" s="31"/>
      <c r="F6795" s="31"/>
      <c r="G6795" s="31"/>
      <c r="H6795" s="31"/>
    </row>
    <row r="6796" spans="2:8" hidden="1">
      <c r="B6796" s="33"/>
      <c r="C6796" s="200"/>
      <c r="D6796" s="75"/>
      <c r="E6796" s="31"/>
      <c r="F6796" s="771"/>
      <c r="G6796" s="31"/>
      <c r="H6796" s="31"/>
    </row>
    <row r="6797" spans="2:8" hidden="1">
      <c r="B6797" s="33"/>
      <c r="C6797" s="31"/>
      <c r="D6797" s="104"/>
      <c r="E6797" s="33"/>
      <c r="F6797" s="33"/>
      <c r="G6797" s="33"/>
      <c r="H6797" s="31"/>
    </row>
    <row r="6798" spans="2:8" hidden="1">
      <c r="B6798" s="33"/>
      <c r="C6798" s="31"/>
      <c r="D6798" s="31"/>
      <c r="E6798" s="31"/>
      <c r="F6798" s="31"/>
      <c r="G6798" s="31"/>
      <c r="H6798" s="31"/>
    </row>
    <row r="6799" spans="2:8" hidden="1">
      <c r="B6799" s="405"/>
      <c r="C6799" s="31"/>
      <c r="D6799" s="31"/>
      <c r="E6799" s="31"/>
      <c r="F6799" s="31"/>
      <c r="G6799" s="31"/>
      <c r="H6799" s="31"/>
    </row>
    <row r="6800" spans="2:8" hidden="1">
      <c r="B6800" s="405"/>
      <c r="C6800" s="31"/>
      <c r="D6800" s="31"/>
      <c r="E6800" s="31"/>
      <c r="F6800" s="691"/>
      <c r="G6800" s="75"/>
      <c r="H6800" s="31"/>
    </row>
    <row r="6801" spans="2:8" hidden="1">
      <c r="B6801" s="405"/>
      <c r="C6801" s="31"/>
      <c r="D6801" s="31"/>
      <c r="E6801" s="31"/>
      <c r="F6801" s="691"/>
      <c r="G6801" s="75"/>
      <c r="H6801" s="31"/>
    </row>
    <row r="6802" spans="2:8" hidden="1">
      <c r="B6802" s="405"/>
      <c r="C6802" s="31"/>
      <c r="D6802" s="31"/>
      <c r="E6802" s="31"/>
      <c r="F6802" s="691"/>
      <c r="G6802" s="75"/>
      <c r="H6802" s="31"/>
    </row>
    <row r="6803" spans="2:8" hidden="1">
      <c r="B6803" s="405"/>
      <c r="C6803" s="31"/>
      <c r="D6803" s="31"/>
      <c r="E6803" s="31"/>
      <c r="F6803" s="691"/>
      <c r="G6803" s="75"/>
      <c r="H6803" s="31"/>
    </row>
    <row r="6804" spans="2:8" hidden="1">
      <c r="B6804" s="405"/>
      <c r="C6804" s="31"/>
      <c r="D6804" s="31"/>
      <c r="E6804" s="31"/>
      <c r="F6804" s="691"/>
      <c r="G6804" s="75"/>
      <c r="H6804" s="31"/>
    </row>
    <row r="6805" spans="2:8" hidden="1">
      <c r="B6805" s="405"/>
      <c r="C6805" s="31"/>
      <c r="D6805" s="31"/>
      <c r="E6805" s="31"/>
      <c r="F6805" s="691"/>
      <c r="G6805" s="75"/>
      <c r="H6805" s="31"/>
    </row>
    <row r="6806" spans="2:8" hidden="1">
      <c r="B6806" s="405"/>
      <c r="C6806" s="31"/>
      <c r="D6806" s="31"/>
      <c r="E6806" s="31"/>
      <c r="F6806" s="691"/>
      <c r="G6806" s="75"/>
      <c r="H6806" s="31"/>
    </row>
    <row r="6807" spans="2:8" hidden="1">
      <c r="B6807" s="33"/>
      <c r="C6807" s="31"/>
      <c r="D6807" s="31"/>
      <c r="E6807" s="31"/>
      <c r="F6807" s="691"/>
      <c r="G6807" s="75"/>
      <c r="H6807" s="31"/>
    </row>
    <row r="6808" spans="2:8" hidden="1">
      <c r="B6808" s="33"/>
      <c r="C6808" s="31"/>
      <c r="D6808" s="31"/>
      <c r="E6808" s="31"/>
      <c r="F6808" s="691"/>
      <c r="G6808" s="75"/>
      <c r="H6808" s="31"/>
    </row>
    <row r="6809" spans="2:8" hidden="1">
      <c r="B6809" s="33"/>
      <c r="C6809" s="31"/>
      <c r="D6809" s="31"/>
      <c r="E6809" s="31"/>
      <c r="F6809" s="691"/>
      <c r="G6809" s="31"/>
      <c r="H6809" s="31"/>
    </row>
    <row r="6810" spans="2:8" hidden="1">
      <c r="B6810" s="33"/>
      <c r="C6810" s="31"/>
      <c r="D6810" s="31"/>
      <c r="E6810" s="31"/>
      <c r="F6810" s="691"/>
      <c r="G6810" s="31"/>
      <c r="H6810" s="31"/>
    </row>
    <row r="6811" spans="2:8" hidden="1">
      <c r="B6811" s="33"/>
      <c r="C6811" s="31"/>
      <c r="D6811" s="31"/>
      <c r="E6811" s="31"/>
      <c r="F6811" s="31"/>
      <c r="G6811" s="31"/>
      <c r="H6811" s="31"/>
    </row>
    <row r="6812" spans="2:8" hidden="1">
      <c r="B6812" s="33"/>
      <c r="C6812" s="31"/>
      <c r="D6812" s="31"/>
      <c r="E6812" s="31"/>
      <c r="F6812" s="31"/>
      <c r="G6812" s="31"/>
      <c r="H6812" s="31"/>
    </row>
    <row r="6813" spans="2:8" hidden="1">
      <c r="B6813" s="33"/>
      <c r="C6813" s="31"/>
      <c r="D6813" s="31"/>
      <c r="E6813" s="31"/>
      <c r="F6813" s="31"/>
      <c r="G6813" s="31"/>
      <c r="H6813" s="31"/>
    </row>
    <row r="6814" spans="2:8" hidden="1">
      <c r="B6814" s="33"/>
      <c r="C6814" s="31"/>
      <c r="D6814" s="31"/>
      <c r="E6814" s="31"/>
      <c r="F6814" s="31"/>
      <c r="G6814" s="31"/>
      <c r="H6814" s="31"/>
    </row>
    <row r="6815" spans="2:8" hidden="1">
      <c r="B6815" s="33"/>
      <c r="C6815" s="31"/>
      <c r="D6815" s="31"/>
      <c r="E6815" s="31"/>
      <c r="F6815" s="31"/>
      <c r="G6815" s="31"/>
      <c r="H6815" s="31"/>
    </row>
    <row r="6816" spans="2:8" hidden="1">
      <c r="B6816" s="33"/>
      <c r="C6816" s="31"/>
      <c r="D6816" s="31"/>
      <c r="E6816" s="31"/>
      <c r="F6816" s="31"/>
      <c r="G6816" s="31"/>
      <c r="H6816" s="31"/>
    </row>
    <row r="6817" spans="2:8" hidden="1">
      <c r="B6817" s="33"/>
      <c r="C6817" s="31"/>
      <c r="D6817" s="31"/>
      <c r="E6817" s="31"/>
      <c r="F6817" s="31"/>
      <c r="G6817" s="31"/>
      <c r="H6817" s="31"/>
    </row>
    <row r="6818" spans="2:8" hidden="1">
      <c r="B6818" s="33"/>
      <c r="C6818" s="31"/>
      <c r="D6818" s="31"/>
      <c r="E6818" s="31"/>
      <c r="F6818" s="31"/>
      <c r="G6818" s="31"/>
      <c r="H6818" s="31"/>
    </row>
    <row r="6819" spans="2:8" hidden="1">
      <c r="B6819" s="33"/>
      <c r="C6819" s="31"/>
      <c r="D6819" s="33"/>
      <c r="E6819" s="33"/>
      <c r="F6819" s="33"/>
      <c r="G6819" s="33"/>
      <c r="H6819" s="31"/>
    </row>
    <row r="6820" spans="2:8" hidden="1">
      <c r="B6820" s="33"/>
      <c r="C6820" s="31"/>
      <c r="D6820" s="33"/>
      <c r="E6820" s="33"/>
      <c r="F6820" s="33"/>
      <c r="G6820" s="33"/>
      <c r="H6820" s="31"/>
    </row>
    <row r="6821" spans="2:8" hidden="1">
      <c r="B6821" s="33"/>
      <c r="C6821" s="31"/>
      <c r="D6821" s="31"/>
      <c r="E6821" s="31"/>
      <c r="F6821" s="31"/>
      <c r="G6821" s="31"/>
      <c r="H6821" s="31"/>
    </row>
    <row r="6822" spans="2:8" hidden="1">
      <c r="B6822" s="405"/>
      <c r="C6822" s="31"/>
      <c r="D6822" s="75"/>
      <c r="E6822" s="31"/>
      <c r="F6822" s="31"/>
      <c r="G6822" s="31"/>
      <c r="H6822" s="31"/>
    </row>
    <row r="6823" spans="2:8" hidden="1">
      <c r="B6823" s="405"/>
      <c r="C6823" s="31"/>
      <c r="D6823" s="75"/>
      <c r="E6823" s="31"/>
      <c r="F6823" s="31"/>
      <c r="G6823" s="31"/>
      <c r="H6823" s="31"/>
    </row>
    <row r="6824" spans="2:8" hidden="1">
      <c r="B6824" s="405"/>
      <c r="C6824" s="31"/>
      <c r="D6824" s="75"/>
      <c r="E6824" s="771"/>
      <c r="F6824" s="31"/>
      <c r="G6824" s="31"/>
      <c r="H6824" s="31"/>
    </row>
    <row r="6825" spans="2:8" hidden="1">
      <c r="B6825" s="405"/>
      <c r="C6825" s="31"/>
      <c r="D6825" s="75"/>
      <c r="E6825" s="771"/>
      <c r="F6825" s="31"/>
      <c r="G6825" s="31"/>
      <c r="H6825" s="31"/>
    </row>
    <row r="6826" spans="2:8" hidden="1">
      <c r="B6826" s="405"/>
      <c r="C6826" s="31"/>
      <c r="D6826" s="75"/>
      <c r="E6826" s="772"/>
      <c r="F6826" s="33"/>
      <c r="G6826" s="33"/>
      <c r="H6826" s="31"/>
    </row>
    <row r="6827" spans="2:8" hidden="1">
      <c r="B6827" s="405"/>
      <c r="C6827" s="31"/>
      <c r="D6827" s="75"/>
      <c r="E6827" s="771"/>
      <c r="F6827" s="31"/>
      <c r="G6827" s="31"/>
      <c r="H6827" s="31"/>
    </row>
    <row r="6828" spans="2:8" hidden="1">
      <c r="B6828" s="405"/>
      <c r="C6828" s="31"/>
      <c r="D6828" s="75"/>
      <c r="E6828" s="771"/>
      <c r="F6828" s="33"/>
      <c r="G6828" s="33"/>
      <c r="H6828" s="31"/>
    </row>
    <row r="6829" spans="2:8" hidden="1">
      <c r="B6829" s="405"/>
      <c r="C6829" s="31"/>
      <c r="D6829" s="75"/>
      <c r="E6829" s="771"/>
      <c r="F6829" s="33"/>
      <c r="G6829" s="33"/>
      <c r="H6829" s="31"/>
    </row>
    <row r="6830" spans="2:8" hidden="1">
      <c r="B6830" s="405"/>
      <c r="C6830" s="31"/>
      <c r="D6830" s="75"/>
      <c r="E6830" s="771"/>
      <c r="F6830" s="31"/>
      <c r="G6830" s="31"/>
      <c r="H6830" s="31"/>
    </row>
    <row r="6831" spans="2:8" hidden="1">
      <c r="B6831" s="200"/>
      <c r="C6831" s="31"/>
      <c r="D6831" s="75"/>
      <c r="E6831" s="771"/>
      <c r="F6831" s="31"/>
      <c r="G6831" s="31"/>
      <c r="H6831" s="31"/>
    </row>
    <row r="6832" spans="2:8" hidden="1">
      <c r="B6832" s="200"/>
      <c r="C6832" s="31"/>
      <c r="D6832" s="75"/>
      <c r="E6832" s="771"/>
      <c r="F6832" s="31"/>
      <c r="G6832" s="31"/>
      <c r="H6832" s="31"/>
    </row>
    <row r="6833" spans="2:8" hidden="1">
      <c r="B6833" s="200"/>
      <c r="C6833" s="31"/>
      <c r="D6833" s="75"/>
      <c r="E6833" s="771"/>
      <c r="F6833" s="31"/>
      <c r="G6833" s="31"/>
      <c r="H6833" s="31"/>
    </row>
    <row r="6834" spans="2:8" hidden="1">
      <c r="B6834" s="200"/>
      <c r="C6834" s="31"/>
      <c r="D6834" s="75"/>
      <c r="E6834" s="771"/>
      <c r="F6834" s="31"/>
      <c r="G6834" s="31"/>
      <c r="H6834" s="31"/>
    </row>
    <row r="6835" spans="2:8" hidden="1">
      <c r="B6835" s="200"/>
      <c r="C6835" s="31"/>
      <c r="D6835" s="75"/>
      <c r="E6835" s="771"/>
      <c r="F6835" s="31"/>
      <c r="G6835" s="31"/>
      <c r="H6835" s="31"/>
    </row>
    <row r="6836" spans="2:8" hidden="1">
      <c r="B6836" s="200"/>
      <c r="C6836" s="31"/>
      <c r="D6836" s="75"/>
      <c r="E6836" s="771"/>
      <c r="F6836" s="31"/>
      <c r="G6836" s="31"/>
      <c r="H6836" s="31"/>
    </row>
    <row r="6837" spans="2:8" hidden="1">
      <c r="B6837" s="200"/>
      <c r="C6837" s="31"/>
      <c r="D6837" s="75"/>
      <c r="E6837" s="771"/>
      <c r="F6837" s="31"/>
      <c r="G6837" s="31"/>
      <c r="H6837" s="31"/>
    </row>
    <row r="6838" spans="2:8" hidden="1">
      <c r="B6838" s="200"/>
      <c r="C6838" s="31"/>
      <c r="D6838" s="75"/>
      <c r="E6838" s="771"/>
      <c r="F6838" s="33"/>
      <c r="G6838" s="33"/>
      <c r="H6838" s="31"/>
    </row>
    <row r="6839" spans="2:8" hidden="1">
      <c r="B6839" s="200"/>
      <c r="C6839" s="31"/>
      <c r="D6839" s="75"/>
      <c r="E6839" s="771"/>
      <c r="F6839" s="33"/>
      <c r="G6839" s="33"/>
      <c r="H6839" s="31"/>
    </row>
    <row r="6840" spans="2:8" hidden="1">
      <c r="B6840" s="200"/>
      <c r="C6840" s="31"/>
      <c r="D6840" s="75"/>
      <c r="E6840" s="771"/>
      <c r="F6840" s="31"/>
      <c r="G6840" s="31"/>
      <c r="H6840" s="31"/>
    </row>
    <row r="6841" spans="2:8" hidden="1">
      <c r="B6841" s="200"/>
      <c r="C6841" s="31"/>
      <c r="D6841" s="75"/>
      <c r="E6841" s="771"/>
      <c r="F6841" s="31"/>
      <c r="G6841" s="31"/>
      <c r="H6841" s="31"/>
    </row>
    <row r="6842" spans="2:8" hidden="1">
      <c r="B6842" s="200"/>
      <c r="C6842" s="31"/>
      <c r="D6842" s="75"/>
      <c r="E6842" s="771"/>
      <c r="F6842" s="31"/>
      <c r="G6842" s="31"/>
      <c r="H6842" s="31"/>
    </row>
    <row r="6843" spans="2:8" hidden="1">
      <c r="B6843" s="200"/>
      <c r="C6843" s="31"/>
      <c r="D6843" s="75"/>
      <c r="E6843" s="771"/>
      <c r="F6843" s="31"/>
      <c r="G6843" s="31"/>
      <c r="H6843" s="31"/>
    </row>
    <row r="6844" spans="2:8" hidden="1">
      <c r="B6844" s="200"/>
      <c r="C6844" s="31"/>
      <c r="D6844" s="75"/>
      <c r="E6844" s="771"/>
      <c r="F6844" s="31"/>
      <c r="G6844" s="31"/>
      <c r="H6844" s="31"/>
    </row>
    <row r="6845" spans="2:8" hidden="1">
      <c r="B6845" s="200"/>
      <c r="C6845" s="31"/>
      <c r="D6845" s="75"/>
      <c r="E6845" s="772"/>
      <c r="F6845" s="33"/>
      <c r="G6845" s="33"/>
      <c r="H6845" s="31"/>
    </row>
    <row r="6846" spans="2:8" hidden="1">
      <c r="B6846" s="200"/>
      <c r="C6846" s="31"/>
      <c r="D6846" s="75"/>
      <c r="E6846" s="772"/>
      <c r="F6846" s="33"/>
      <c r="G6846" s="33"/>
      <c r="H6846" s="31"/>
    </row>
    <row r="6847" spans="2:8" hidden="1">
      <c r="B6847" s="200"/>
      <c r="C6847" s="31"/>
      <c r="D6847" s="75"/>
      <c r="E6847" s="772"/>
      <c r="F6847" s="33"/>
      <c r="G6847" s="33"/>
      <c r="H6847" s="31"/>
    </row>
    <row r="6848" spans="2:8" hidden="1">
      <c r="B6848" s="200"/>
      <c r="C6848" s="31"/>
      <c r="D6848" s="75"/>
      <c r="E6848" s="771"/>
      <c r="F6848" s="33"/>
      <c r="G6848" s="33"/>
      <c r="H6848" s="31"/>
    </row>
    <row r="6849" spans="2:8" hidden="1">
      <c r="B6849" s="200"/>
      <c r="C6849" s="31"/>
      <c r="D6849" s="75"/>
      <c r="E6849" s="772"/>
      <c r="F6849" s="33"/>
      <c r="G6849" s="33"/>
      <c r="H6849" s="31"/>
    </row>
    <row r="6850" spans="2:8" hidden="1">
      <c r="B6850" s="200"/>
      <c r="C6850" s="31"/>
      <c r="D6850" s="75"/>
      <c r="E6850" s="771"/>
      <c r="F6850" s="33"/>
      <c r="G6850" s="33"/>
      <c r="H6850" s="31"/>
    </row>
    <row r="6851" spans="2:8" hidden="1">
      <c r="B6851" s="200"/>
      <c r="C6851" s="31"/>
      <c r="D6851" s="75"/>
      <c r="E6851" s="771"/>
      <c r="F6851" s="31"/>
      <c r="G6851" s="31"/>
      <c r="H6851" s="31"/>
    </row>
    <row r="6852" spans="2:8" hidden="1">
      <c r="B6852" s="200"/>
      <c r="C6852" s="31"/>
      <c r="D6852" s="75"/>
      <c r="E6852" s="771"/>
      <c r="F6852" s="31"/>
      <c r="G6852" s="31"/>
      <c r="H6852" s="31"/>
    </row>
    <row r="6853" spans="2:8" hidden="1">
      <c r="B6853" s="200"/>
      <c r="C6853" s="31"/>
      <c r="D6853" s="75"/>
      <c r="E6853" s="771"/>
      <c r="F6853" s="31"/>
      <c r="G6853" s="31"/>
      <c r="H6853" s="31"/>
    </row>
    <row r="6854" spans="2:8" hidden="1">
      <c r="B6854" s="200"/>
      <c r="C6854" s="31"/>
      <c r="D6854" s="75"/>
      <c r="E6854" s="771"/>
      <c r="F6854" s="31"/>
      <c r="G6854" s="31"/>
      <c r="H6854" s="31"/>
    </row>
    <row r="6855" spans="2:8" hidden="1">
      <c r="B6855" s="200"/>
      <c r="C6855" s="31"/>
      <c r="D6855" s="75"/>
      <c r="E6855" s="771"/>
      <c r="F6855" s="31"/>
      <c r="G6855" s="31"/>
      <c r="H6855" s="31"/>
    </row>
    <row r="6856" spans="2:8" hidden="1">
      <c r="B6856" s="200"/>
      <c r="C6856" s="31"/>
      <c r="D6856" s="31"/>
      <c r="E6856" s="31"/>
      <c r="F6856" s="31"/>
      <c r="G6856" s="31"/>
      <c r="H6856" s="31"/>
    </row>
    <row r="6857" spans="2:8" hidden="1">
      <c r="B6857" s="200"/>
      <c r="C6857" s="31"/>
      <c r="D6857" s="75"/>
      <c r="E6857" s="31"/>
      <c r="F6857" s="33"/>
      <c r="G6857" s="33"/>
      <c r="H6857" s="31"/>
    </row>
    <row r="6858" spans="2:8" hidden="1">
      <c r="B6858" s="200"/>
      <c r="C6858" s="31"/>
      <c r="D6858" s="75"/>
      <c r="E6858" s="31"/>
      <c r="F6858" s="31"/>
      <c r="G6858" s="31"/>
      <c r="H6858" s="31"/>
    </row>
    <row r="6859" spans="2:8" hidden="1">
      <c r="B6859" s="200"/>
      <c r="C6859" s="31"/>
      <c r="D6859" s="75"/>
      <c r="E6859" s="31"/>
      <c r="F6859" s="31"/>
      <c r="G6859" s="31"/>
      <c r="H6859" s="31"/>
    </row>
    <row r="6860" spans="2:8" hidden="1">
      <c r="B6860" s="200"/>
      <c r="C6860" s="31"/>
      <c r="D6860" s="75"/>
      <c r="E6860" s="31"/>
      <c r="F6860" s="31"/>
      <c r="G6860" s="31"/>
      <c r="H6860" s="31"/>
    </row>
    <row r="6861" spans="2:8" hidden="1">
      <c r="B6861" s="200"/>
      <c r="C6861" s="31"/>
      <c r="D6861" s="75"/>
      <c r="E6861" s="31"/>
      <c r="F6861" s="31"/>
      <c r="G6861" s="31"/>
      <c r="H6861" s="31"/>
    </row>
    <row r="6862" spans="2:8" hidden="1">
      <c r="B6862" s="200"/>
      <c r="C6862" s="31"/>
      <c r="D6862" s="75"/>
      <c r="E6862" s="31"/>
      <c r="F6862" s="31"/>
      <c r="G6862" s="31"/>
      <c r="H6862" s="31"/>
    </row>
    <row r="6863" spans="2:8" hidden="1">
      <c r="B6863" s="200"/>
      <c r="C6863" s="31"/>
      <c r="D6863" s="75"/>
      <c r="E6863" s="31"/>
      <c r="F6863" s="31"/>
      <c r="G6863" s="31"/>
      <c r="H6863" s="31"/>
    </row>
    <row r="6864" spans="2:8" hidden="1">
      <c r="B6864" s="200"/>
      <c r="C6864" s="31"/>
      <c r="D6864" s="75"/>
      <c r="E6864" s="31"/>
      <c r="F6864" s="31"/>
      <c r="G6864" s="31"/>
      <c r="H6864" s="31"/>
    </row>
    <row r="6865" spans="2:8" hidden="1">
      <c r="B6865" s="200"/>
      <c r="C6865" s="31"/>
      <c r="D6865" s="75"/>
      <c r="E6865" s="33"/>
      <c r="F6865" s="33"/>
      <c r="G6865" s="33"/>
      <c r="H6865" s="31"/>
    </row>
    <row r="6866" spans="2:8" hidden="1">
      <c r="B6866" s="200"/>
      <c r="C6866" s="31"/>
      <c r="D6866" s="31"/>
      <c r="E6866" s="31"/>
      <c r="F6866" s="31"/>
      <c r="G6866" s="31"/>
      <c r="H6866" s="31"/>
    </row>
    <row r="6867" spans="2:8" hidden="1">
      <c r="B6867" s="200"/>
      <c r="C6867" s="31"/>
      <c r="D6867" s="75"/>
      <c r="E6867" s="771"/>
      <c r="F6867" s="33"/>
      <c r="G6867" s="33"/>
      <c r="H6867" s="31"/>
    </row>
    <row r="6868" spans="2:8" hidden="1">
      <c r="B6868" s="200"/>
      <c r="C6868" s="31"/>
      <c r="D6868" s="75"/>
      <c r="E6868" s="771"/>
      <c r="F6868" s="33"/>
      <c r="G6868" s="33"/>
      <c r="H6868" s="31"/>
    </row>
    <row r="6869" spans="2:8" hidden="1">
      <c r="B6869" s="200"/>
      <c r="C6869" s="31"/>
      <c r="D6869" s="75"/>
      <c r="E6869" s="771"/>
      <c r="F6869" s="33"/>
      <c r="G6869" s="33"/>
      <c r="H6869" s="31"/>
    </row>
    <row r="6870" spans="2:8" hidden="1">
      <c r="B6870" s="200"/>
      <c r="C6870" s="31"/>
      <c r="D6870" s="75"/>
      <c r="E6870" s="771"/>
      <c r="F6870" s="31"/>
      <c r="G6870" s="31"/>
      <c r="H6870" s="31"/>
    </row>
    <row r="6871" spans="2:8" hidden="1">
      <c r="B6871" s="200"/>
      <c r="C6871" s="31"/>
      <c r="D6871" s="75"/>
      <c r="E6871" s="771"/>
      <c r="F6871" s="31"/>
      <c r="G6871" s="31"/>
      <c r="H6871" s="31"/>
    </row>
    <row r="6872" spans="2:8" hidden="1">
      <c r="B6872" s="200"/>
      <c r="C6872" s="31"/>
      <c r="D6872" s="75"/>
      <c r="E6872" s="771"/>
      <c r="F6872" s="31"/>
      <c r="G6872" s="31"/>
      <c r="H6872" s="31"/>
    </row>
    <row r="6873" spans="2:8" hidden="1">
      <c r="B6873" s="200"/>
      <c r="C6873" s="31"/>
      <c r="D6873" s="75"/>
      <c r="E6873" s="771"/>
      <c r="F6873" s="31"/>
      <c r="G6873" s="31"/>
      <c r="H6873" s="31"/>
    </row>
    <row r="6874" spans="2:8" hidden="1">
      <c r="B6874" s="200"/>
      <c r="C6874" s="31"/>
      <c r="D6874" s="75"/>
      <c r="E6874" s="771"/>
      <c r="F6874" s="31"/>
      <c r="G6874" s="31"/>
      <c r="H6874" s="31"/>
    </row>
    <row r="6875" spans="2:8" hidden="1">
      <c r="B6875" s="200"/>
      <c r="C6875" s="31"/>
      <c r="D6875" s="75"/>
      <c r="E6875" s="771"/>
      <c r="F6875" s="31"/>
      <c r="G6875" s="31"/>
      <c r="H6875" s="31"/>
    </row>
    <row r="6876" spans="2:8" hidden="1">
      <c r="B6876" s="200"/>
      <c r="C6876" s="31"/>
      <c r="D6876" s="75"/>
      <c r="E6876" s="771"/>
      <c r="F6876" s="31"/>
      <c r="G6876" s="31"/>
      <c r="H6876" s="31"/>
    </row>
    <row r="6877" spans="2:8" hidden="1">
      <c r="B6877" s="200"/>
      <c r="C6877" s="31"/>
      <c r="D6877" s="75"/>
      <c r="E6877" s="771"/>
      <c r="F6877" s="31"/>
      <c r="G6877" s="31"/>
      <c r="H6877" s="31"/>
    </row>
    <row r="6878" spans="2:8" hidden="1">
      <c r="B6878" s="200"/>
      <c r="C6878" s="31"/>
      <c r="D6878" s="75"/>
      <c r="E6878" s="771"/>
      <c r="F6878" s="31"/>
      <c r="G6878" s="31"/>
      <c r="H6878" s="31"/>
    </row>
    <row r="6879" spans="2:8" hidden="1">
      <c r="B6879" s="200"/>
      <c r="C6879" s="31"/>
      <c r="D6879" s="75"/>
      <c r="E6879" s="771"/>
      <c r="F6879" s="31"/>
      <c r="G6879" s="31"/>
      <c r="H6879" s="31"/>
    </row>
    <row r="6880" spans="2:8" hidden="1">
      <c r="B6880" s="200"/>
      <c r="C6880" s="31"/>
      <c r="D6880" s="75"/>
      <c r="E6880" s="771"/>
      <c r="F6880" s="31"/>
      <c r="G6880" s="31"/>
      <c r="H6880" s="31"/>
    </row>
    <row r="6881" spans="2:8" hidden="1">
      <c r="B6881" s="200"/>
      <c r="C6881" s="31"/>
      <c r="D6881" s="75"/>
      <c r="E6881" s="771"/>
      <c r="F6881" s="31"/>
      <c r="G6881" s="31"/>
      <c r="H6881" s="31"/>
    </row>
    <row r="6882" spans="2:8" hidden="1">
      <c r="B6882" s="200"/>
      <c r="C6882" s="31"/>
      <c r="D6882" s="75"/>
      <c r="E6882" s="771"/>
      <c r="F6882" s="31"/>
      <c r="G6882" s="31"/>
      <c r="H6882" s="31"/>
    </row>
    <row r="6883" spans="2:8" hidden="1">
      <c r="B6883" s="200"/>
      <c r="C6883" s="31"/>
      <c r="D6883" s="75"/>
      <c r="E6883" s="771"/>
      <c r="F6883" s="31"/>
      <c r="G6883" s="31"/>
      <c r="H6883" s="31"/>
    </row>
    <row r="6884" spans="2:8" hidden="1">
      <c r="B6884" s="200"/>
      <c r="C6884" s="31"/>
      <c r="D6884" s="75"/>
      <c r="E6884" s="771"/>
      <c r="F6884" s="31"/>
      <c r="G6884" s="31"/>
      <c r="H6884" s="31"/>
    </row>
    <row r="6885" spans="2:8" hidden="1">
      <c r="B6885" s="200"/>
      <c r="C6885" s="31"/>
      <c r="D6885" s="75"/>
      <c r="E6885" s="31"/>
      <c r="F6885" s="771"/>
      <c r="G6885" s="31"/>
      <c r="H6885" s="31"/>
    </row>
    <row r="6886" spans="2:8" hidden="1">
      <c r="B6886" s="200"/>
      <c r="C6886" s="31"/>
      <c r="D6886" s="75"/>
      <c r="E6886" s="31"/>
      <c r="F6886" s="771"/>
      <c r="G6886" s="31"/>
      <c r="H6886" s="31"/>
    </row>
    <row r="6887" spans="2:8" hidden="1">
      <c r="B6887" s="200"/>
      <c r="C6887" s="31"/>
      <c r="D6887" s="75"/>
      <c r="E6887" s="31"/>
      <c r="F6887" s="771"/>
      <c r="G6887" s="31"/>
      <c r="H6887" s="31"/>
    </row>
    <row r="6888" spans="2:8" hidden="1">
      <c r="B6888" s="200"/>
      <c r="C6888" s="31"/>
      <c r="D6888" s="75"/>
      <c r="E6888" s="31"/>
      <c r="F6888" s="771"/>
      <c r="G6888" s="31"/>
      <c r="H6888" s="31"/>
    </row>
    <row r="6889" spans="2:8" hidden="1">
      <c r="B6889" s="200"/>
      <c r="C6889" s="31"/>
      <c r="D6889" s="75"/>
      <c r="E6889" s="31"/>
      <c r="F6889" s="771"/>
      <c r="G6889" s="31"/>
      <c r="H6889" s="31"/>
    </row>
    <row r="6890" spans="2:8" hidden="1">
      <c r="B6890" s="200"/>
      <c r="C6890" s="31"/>
      <c r="D6890" s="75"/>
      <c r="E6890" s="31"/>
      <c r="F6890" s="771"/>
      <c r="G6890" s="31"/>
      <c r="H6890" s="31"/>
    </row>
    <row r="6891" spans="2:8" hidden="1">
      <c r="B6891" s="200"/>
      <c r="C6891" s="31"/>
      <c r="D6891" s="75"/>
      <c r="E6891" s="31"/>
      <c r="F6891" s="771"/>
      <c r="G6891" s="31"/>
      <c r="H6891" s="31"/>
    </row>
    <row r="6892" spans="2:8" hidden="1">
      <c r="B6892" s="200"/>
      <c r="C6892" s="31"/>
      <c r="D6892" s="75"/>
      <c r="E6892" s="31"/>
      <c r="F6892" s="771"/>
      <c r="G6892" s="31"/>
      <c r="H6892" s="31"/>
    </row>
    <row r="6893" spans="2:8" hidden="1">
      <c r="B6893" s="200"/>
      <c r="C6893" s="31"/>
      <c r="D6893" s="75"/>
      <c r="E6893" s="31"/>
      <c r="F6893" s="771"/>
      <c r="G6893" s="31"/>
      <c r="H6893" s="31"/>
    </row>
    <row r="6894" spans="2:8" hidden="1">
      <c r="B6894" s="200"/>
      <c r="C6894" s="31"/>
      <c r="D6894" s="75"/>
      <c r="E6894" s="31"/>
      <c r="F6894" s="771"/>
      <c r="G6894" s="31"/>
      <c r="H6894" s="31"/>
    </row>
    <row r="6895" spans="2:8" hidden="1">
      <c r="B6895" s="200"/>
      <c r="C6895" s="31"/>
      <c r="D6895" s="75"/>
      <c r="E6895" s="31"/>
      <c r="F6895" s="771"/>
      <c r="G6895" s="31"/>
      <c r="H6895" s="31"/>
    </row>
    <row r="6896" spans="2:8" hidden="1">
      <c r="B6896" s="200"/>
      <c r="C6896" s="31"/>
      <c r="D6896" s="75"/>
      <c r="E6896" s="31"/>
      <c r="F6896" s="771"/>
      <c r="G6896" s="31"/>
      <c r="H6896" s="31"/>
    </row>
    <row r="6897" spans="2:8" hidden="1">
      <c r="B6897" s="200"/>
      <c r="C6897" s="31"/>
      <c r="D6897" s="75"/>
      <c r="E6897" s="31"/>
      <c r="F6897" s="771"/>
      <c r="G6897" s="31"/>
      <c r="H6897" s="31"/>
    </row>
    <row r="6898" spans="2:8" hidden="1">
      <c r="B6898" s="200"/>
      <c r="C6898" s="31"/>
      <c r="D6898" s="75"/>
      <c r="E6898" s="31"/>
      <c r="F6898" s="771"/>
      <c r="G6898" s="31"/>
      <c r="H6898" s="31"/>
    </row>
    <row r="6899" spans="2:8" hidden="1">
      <c r="B6899" s="200"/>
      <c r="C6899" s="31"/>
      <c r="D6899" s="75"/>
      <c r="E6899" s="31"/>
      <c r="F6899" s="771"/>
      <c r="G6899" s="31"/>
      <c r="H6899" s="31"/>
    </row>
    <row r="6900" spans="2:8" hidden="1">
      <c r="B6900" s="200"/>
      <c r="C6900" s="31"/>
      <c r="D6900" s="75"/>
      <c r="E6900" s="31"/>
      <c r="F6900" s="771"/>
      <c r="G6900" s="31"/>
      <c r="H6900" s="31"/>
    </row>
    <row r="6901" spans="2:8" hidden="1">
      <c r="B6901" s="200"/>
      <c r="C6901" s="31"/>
      <c r="D6901" s="75"/>
      <c r="E6901" s="31"/>
      <c r="F6901" s="771"/>
      <c r="G6901" s="31"/>
      <c r="H6901" s="31"/>
    </row>
    <row r="6902" spans="2:8" hidden="1">
      <c r="B6902" s="200"/>
      <c r="C6902" s="31"/>
      <c r="D6902" s="75"/>
      <c r="E6902" s="31"/>
      <c r="F6902" s="771"/>
      <c r="G6902" s="31"/>
      <c r="H6902" s="31"/>
    </row>
    <row r="6903" spans="2:8" hidden="1">
      <c r="B6903" s="200"/>
      <c r="C6903" s="31"/>
      <c r="D6903" s="75"/>
      <c r="E6903" s="31"/>
      <c r="F6903" s="771"/>
      <c r="G6903" s="31"/>
      <c r="H6903" s="31"/>
    </row>
    <row r="6904" spans="2:8" hidden="1">
      <c r="B6904" s="200"/>
      <c r="C6904" s="31"/>
      <c r="D6904" s="75"/>
      <c r="E6904" s="31"/>
      <c r="F6904" s="771"/>
      <c r="G6904" s="31"/>
      <c r="H6904" s="31"/>
    </row>
    <row r="6905" spans="2:8" hidden="1">
      <c r="B6905" s="200"/>
      <c r="C6905" s="31"/>
      <c r="D6905" s="75"/>
      <c r="E6905" s="31"/>
      <c r="F6905" s="771"/>
      <c r="G6905" s="31"/>
      <c r="H6905" s="31"/>
    </row>
    <row r="6906" spans="2:8" hidden="1">
      <c r="B6906" s="200"/>
      <c r="C6906" s="31"/>
      <c r="D6906" s="75"/>
      <c r="E6906" s="31"/>
      <c r="F6906" s="771"/>
      <c r="G6906" s="31"/>
      <c r="H6906" s="31"/>
    </row>
    <row r="6907" spans="2:8" hidden="1">
      <c r="B6907" s="200"/>
      <c r="C6907" s="31"/>
      <c r="D6907" s="75"/>
      <c r="E6907" s="31"/>
      <c r="F6907" s="771"/>
      <c r="G6907" s="31"/>
      <c r="H6907" s="31"/>
    </row>
    <row r="6908" spans="2:8" hidden="1">
      <c r="B6908" s="200"/>
      <c r="C6908" s="31"/>
      <c r="D6908" s="75"/>
      <c r="E6908" s="31"/>
      <c r="F6908" s="771"/>
      <c r="G6908" s="31"/>
      <c r="H6908" s="31"/>
    </row>
    <row r="6909" spans="2:8" hidden="1">
      <c r="B6909" s="200"/>
      <c r="C6909" s="31"/>
      <c r="D6909" s="75"/>
      <c r="E6909" s="31"/>
      <c r="F6909" s="771"/>
      <c r="G6909" s="31"/>
      <c r="H6909" s="31"/>
    </row>
    <row r="6910" spans="2:8" hidden="1">
      <c r="B6910" s="200"/>
      <c r="C6910" s="31"/>
      <c r="D6910" s="75"/>
      <c r="E6910" s="31"/>
      <c r="F6910" s="771"/>
      <c r="G6910" s="31"/>
      <c r="H6910" s="31"/>
    </row>
    <row r="6911" spans="2:8" hidden="1">
      <c r="B6911" s="200"/>
      <c r="C6911" s="31"/>
      <c r="D6911" s="75"/>
      <c r="E6911" s="31"/>
      <c r="F6911" s="771"/>
      <c r="G6911" s="31"/>
      <c r="H6911" s="31"/>
    </row>
    <row r="6912" spans="2:8" hidden="1">
      <c r="B6912" s="200"/>
      <c r="C6912" s="31"/>
      <c r="D6912" s="75"/>
      <c r="E6912" s="31"/>
      <c r="F6912" s="771"/>
      <c r="G6912" s="31"/>
      <c r="H6912" s="31"/>
    </row>
    <row r="6913" spans="2:8" hidden="1">
      <c r="B6913" s="200"/>
      <c r="C6913" s="31"/>
      <c r="D6913" s="75"/>
      <c r="E6913" s="31"/>
      <c r="F6913" s="771"/>
      <c r="G6913" s="31"/>
      <c r="H6913" s="31"/>
    </row>
    <row r="6914" spans="2:8" hidden="1">
      <c r="B6914" s="200"/>
      <c r="C6914" s="31"/>
      <c r="D6914" s="75"/>
      <c r="E6914" s="31"/>
      <c r="F6914" s="771"/>
      <c r="G6914" s="31"/>
      <c r="H6914" s="31"/>
    </row>
    <row r="6915" spans="2:8" hidden="1">
      <c r="B6915" s="200"/>
      <c r="C6915" s="31"/>
      <c r="D6915" s="75"/>
      <c r="E6915" s="33"/>
      <c r="F6915" s="772"/>
      <c r="G6915" s="33"/>
      <c r="H6915" s="31"/>
    </row>
    <row r="6916" spans="2:8" hidden="1">
      <c r="B6916" s="200"/>
      <c r="C6916" s="31"/>
      <c r="D6916" s="75"/>
      <c r="E6916" s="33"/>
      <c r="F6916" s="772"/>
      <c r="G6916" s="33"/>
      <c r="H6916" s="31"/>
    </row>
    <row r="6917" spans="2:8" hidden="1">
      <c r="B6917" s="200"/>
      <c r="C6917" s="31"/>
      <c r="D6917" s="75"/>
      <c r="E6917" s="33"/>
      <c r="F6917" s="772"/>
      <c r="G6917" s="33"/>
      <c r="H6917" s="31"/>
    </row>
    <row r="6918" spans="2:8" hidden="1">
      <c r="B6918" s="200"/>
      <c r="C6918" s="31"/>
      <c r="D6918" s="75"/>
      <c r="E6918" s="33"/>
      <c r="F6918" s="772"/>
      <c r="G6918" s="33"/>
      <c r="H6918" s="31"/>
    </row>
    <row r="6919" spans="2:8" hidden="1">
      <c r="B6919" s="33"/>
      <c r="C6919" s="31"/>
      <c r="D6919" s="31"/>
      <c r="E6919" s="31"/>
      <c r="F6919" s="31"/>
      <c r="G6919" s="31"/>
      <c r="H6919" s="31"/>
    </row>
    <row r="6920" spans="2:8" hidden="1">
      <c r="B6920" s="200"/>
      <c r="C6920" s="31"/>
      <c r="D6920" s="75"/>
      <c r="E6920" s="771"/>
      <c r="F6920" s="33"/>
      <c r="G6920" s="33"/>
      <c r="H6920" s="31"/>
    </row>
    <row r="6921" spans="2:8" hidden="1">
      <c r="B6921" s="200"/>
      <c r="C6921" s="31"/>
      <c r="D6921" s="75"/>
      <c r="E6921" s="771"/>
      <c r="F6921" s="31"/>
      <c r="G6921" s="31"/>
      <c r="H6921" s="31"/>
    </row>
    <row r="6922" spans="2:8" hidden="1">
      <c r="B6922" s="200"/>
      <c r="C6922" s="31"/>
      <c r="D6922" s="75"/>
      <c r="E6922" s="771"/>
      <c r="F6922" s="31"/>
      <c r="G6922" s="31"/>
      <c r="H6922" s="31"/>
    </row>
    <row r="6923" spans="2:8" hidden="1">
      <c r="B6923" s="200"/>
      <c r="C6923" s="31"/>
      <c r="D6923" s="75"/>
      <c r="E6923" s="771"/>
      <c r="F6923" s="31"/>
      <c r="G6923" s="31"/>
      <c r="H6923" s="31"/>
    </row>
    <row r="6924" spans="2:8" hidden="1">
      <c r="B6924" s="200"/>
      <c r="C6924" s="31"/>
      <c r="D6924" s="75"/>
      <c r="E6924" s="771"/>
      <c r="F6924" s="31"/>
      <c r="G6924" s="31"/>
      <c r="H6924" s="31"/>
    </row>
    <row r="6925" spans="2:8" hidden="1">
      <c r="B6925" s="200"/>
      <c r="C6925" s="31"/>
      <c r="D6925" s="75"/>
      <c r="E6925" s="771"/>
      <c r="F6925" s="31"/>
      <c r="G6925" s="31"/>
      <c r="H6925" s="31"/>
    </row>
    <row r="6926" spans="2:8" hidden="1">
      <c r="B6926" s="200"/>
      <c r="C6926" s="31"/>
      <c r="D6926" s="75"/>
      <c r="E6926" s="771"/>
      <c r="F6926" s="31"/>
      <c r="G6926" s="31"/>
      <c r="H6926" s="31"/>
    </row>
    <row r="6927" spans="2:8" hidden="1">
      <c r="B6927" s="200"/>
      <c r="C6927" s="31"/>
      <c r="D6927" s="75"/>
      <c r="E6927" s="771"/>
      <c r="F6927" s="31"/>
      <c r="G6927" s="31"/>
      <c r="H6927" s="31"/>
    </row>
    <row r="6928" spans="2:8" hidden="1">
      <c r="B6928" s="200"/>
      <c r="C6928" s="31"/>
      <c r="D6928" s="75"/>
      <c r="E6928" s="771"/>
      <c r="F6928" s="31"/>
      <c r="G6928" s="31"/>
      <c r="H6928" s="31"/>
    </row>
    <row r="6929" spans="2:8" hidden="1">
      <c r="B6929" s="200"/>
      <c r="C6929" s="31"/>
      <c r="D6929" s="75"/>
      <c r="E6929" s="771"/>
      <c r="F6929" s="31"/>
      <c r="G6929" s="31"/>
      <c r="H6929" s="31"/>
    </row>
    <row r="6930" spans="2:8" hidden="1">
      <c r="B6930" s="200"/>
      <c r="C6930" s="31"/>
      <c r="D6930" s="75"/>
      <c r="E6930" s="771"/>
      <c r="F6930" s="31"/>
      <c r="G6930" s="31"/>
      <c r="H6930" s="31"/>
    </row>
    <row r="6931" spans="2:8" hidden="1">
      <c r="B6931" s="200"/>
      <c r="C6931" s="31"/>
      <c r="D6931" s="75"/>
      <c r="E6931" s="771"/>
      <c r="F6931" s="33"/>
      <c r="G6931" s="33"/>
      <c r="H6931" s="31"/>
    </row>
    <row r="6932" spans="2:8" hidden="1">
      <c r="B6932" s="200"/>
      <c r="C6932" s="31"/>
      <c r="D6932" s="75"/>
      <c r="E6932" s="771"/>
      <c r="F6932" s="31"/>
      <c r="G6932" s="31"/>
      <c r="H6932" s="31"/>
    </row>
    <row r="6933" spans="2:8" hidden="1">
      <c r="B6933" s="200"/>
      <c r="C6933" s="31"/>
      <c r="D6933" s="75"/>
      <c r="E6933" s="771"/>
      <c r="F6933" s="31"/>
      <c r="G6933" s="31"/>
      <c r="H6933" s="31"/>
    </row>
    <row r="6934" spans="2:8" hidden="1">
      <c r="B6934" s="200"/>
      <c r="C6934" s="31"/>
      <c r="D6934" s="75"/>
      <c r="E6934" s="771"/>
      <c r="F6934" s="31"/>
      <c r="G6934" s="31"/>
      <c r="H6934" s="31"/>
    </row>
    <row r="6935" spans="2:8" hidden="1">
      <c r="B6935" s="200"/>
      <c r="C6935" s="31"/>
      <c r="D6935" s="75"/>
      <c r="E6935" s="771"/>
      <c r="F6935" s="31"/>
      <c r="G6935" s="31"/>
      <c r="H6935" s="31"/>
    </row>
    <row r="6936" spans="2:8" hidden="1">
      <c r="B6936" s="200"/>
      <c r="C6936" s="31"/>
      <c r="D6936" s="75"/>
      <c r="E6936" s="771"/>
      <c r="F6936" s="31"/>
      <c r="G6936" s="31"/>
      <c r="H6936" s="31"/>
    </row>
    <row r="6937" spans="2:8" hidden="1">
      <c r="B6937" s="200"/>
      <c r="C6937" s="31"/>
      <c r="D6937" s="75"/>
      <c r="E6937" s="771"/>
      <c r="F6937" s="31"/>
      <c r="G6937" s="31"/>
      <c r="H6937" s="31"/>
    </row>
    <row r="6938" spans="2:8" hidden="1">
      <c r="B6938" s="200"/>
      <c r="C6938" s="31"/>
      <c r="D6938" s="75"/>
      <c r="E6938" s="771"/>
      <c r="F6938" s="31"/>
      <c r="G6938" s="31"/>
      <c r="H6938" s="31"/>
    </row>
    <row r="6939" spans="2:8" hidden="1">
      <c r="B6939" s="200"/>
      <c r="C6939" s="31"/>
      <c r="D6939" s="75"/>
      <c r="E6939" s="771"/>
      <c r="F6939" s="31"/>
      <c r="G6939" s="31"/>
      <c r="H6939" s="31"/>
    </row>
    <row r="6940" spans="2:8" hidden="1">
      <c r="B6940" s="200"/>
      <c r="C6940" s="31"/>
      <c r="D6940" s="75"/>
      <c r="E6940" s="771"/>
      <c r="F6940" s="33"/>
      <c r="G6940" s="33"/>
      <c r="H6940" s="31"/>
    </row>
    <row r="6941" spans="2:8" hidden="1">
      <c r="B6941" s="200"/>
      <c r="C6941" s="31"/>
      <c r="D6941" s="75"/>
      <c r="E6941" s="771"/>
      <c r="F6941" s="31"/>
      <c r="G6941" s="31"/>
      <c r="H6941" s="31"/>
    </row>
    <row r="6942" spans="2:8" hidden="1">
      <c r="B6942" s="200"/>
      <c r="C6942" s="31"/>
      <c r="D6942" s="75"/>
      <c r="E6942" s="771"/>
      <c r="F6942" s="31"/>
      <c r="G6942" s="31"/>
      <c r="H6942" s="31"/>
    </row>
    <row r="6943" spans="2:8" hidden="1">
      <c r="B6943" s="200"/>
      <c r="C6943" s="31"/>
      <c r="D6943" s="75"/>
      <c r="E6943" s="771"/>
      <c r="F6943" s="31"/>
      <c r="G6943" s="31"/>
      <c r="H6943" s="31"/>
    </row>
    <row r="6944" spans="2:8" hidden="1">
      <c r="B6944" s="200"/>
      <c r="C6944" s="31"/>
      <c r="D6944" s="75"/>
      <c r="E6944" s="771"/>
      <c r="F6944" s="771"/>
      <c r="G6944" s="31"/>
      <c r="H6944" s="31"/>
    </row>
    <row r="6945" spans="2:8" hidden="1">
      <c r="B6945" s="200"/>
      <c r="C6945" s="31"/>
      <c r="D6945" s="75"/>
      <c r="E6945" s="771"/>
      <c r="F6945" s="771"/>
      <c r="G6945" s="31"/>
      <c r="H6945" s="31"/>
    </row>
    <row r="6946" spans="2:8" hidden="1">
      <c r="B6946" s="200"/>
      <c r="C6946" s="31"/>
      <c r="D6946" s="75"/>
      <c r="E6946" s="771"/>
      <c r="F6946" s="771"/>
      <c r="G6946" s="31"/>
      <c r="H6946" s="31"/>
    </row>
    <row r="6947" spans="2:8" hidden="1">
      <c r="B6947" s="200"/>
      <c r="C6947" s="31"/>
      <c r="D6947" s="75"/>
      <c r="E6947" s="771"/>
      <c r="F6947" s="771"/>
      <c r="G6947" s="31"/>
      <c r="H6947" s="31"/>
    </row>
    <row r="6948" spans="2:8" hidden="1">
      <c r="B6948" s="200"/>
      <c r="C6948" s="31"/>
      <c r="D6948" s="75"/>
      <c r="E6948" s="771"/>
      <c r="F6948" s="771"/>
      <c r="G6948" s="31"/>
      <c r="H6948" s="31"/>
    </row>
    <row r="6949" spans="2:8" hidden="1">
      <c r="B6949" s="200"/>
      <c r="C6949" s="31"/>
      <c r="D6949" s="75"/>
      <c r="E6949" s="771"/>
      <c r="F6949" s="771"/>
      <c r="G6949" s="31"/>
      <c r="H6949" s="31"/>
    </row>
    <row r="6950" spans="2:8" hidden="1">
      <c r="B6950" s="200"/>
      <c r="C6950" s="31"/>
      <c r="D6950" s="75"/>
      <c r="E6950" s="771"/>
      <c r="F6950" s="771"/>
      <c r="G6950" s="31"/>
      <c r="H6950" s="31"/>
    </row>
    <row r="6951" spans="2:8" hidden="1">
      <c r="B6951" s="200"/>
      <c r="C6951" s="31"/>
      <c r="D6951" s="75"/>
      <c r="E6951" s="771"/>
      <c r="F6951" s="771"/>
      <c r="G6951" s="31"/>
      <c r="H6951" s="31"/>
    </row>
    <row r="6952" spans="2:8" hidden="1">
      <c r="B6952" s="200"/>
      <c r="C6952" s="31"/>
      <c r="D6952" s="75"/>
      <c r="E6952" s="771"/>
      <c r="F6952" s="771"/>
      <c r="G6952" s="31"/>
      <c r="H6952" s="31"/>
    </row>
    <row r="6953" spans="2:8" hidden="1">
      <c r="B6953" s="200"/>
      <c r="C6953" s="31"/>
      <c r="D6953" s="75"/>
      <c r="E6953" s="771"/>
      <c r="F6953" s="771"/>
      <c r="G6953" s="31"/>
      <c r="H6953" s="31"/>
    </row>
    <row r="6954" spans="2:8" hidden="1">
      <c r="B6954" s="200"/>
      <c r="C6954" s="31"/>
      <c r="D6954" s="75"/>
      <c r="E6954" s="771"/>
      <c r="F6954" s="771"/>
      <c r="G6954" s="31"/>
      <c r="H6954" s="31"/>
    </row>
    <row r="6955" spans="2:8" hidden="1">
      <c r="B6955" s="200"/>
      <c r="C6955" s="31"/>
      <c r="D6955" s="75"/>
      <c r="E6955" s="771"/>
      <c r="F6955" s="771"/>
      <c r="G6955" s="31"/>
      <c r="H6955" s="31"/>
    </row>
    <row r="6956" spans="2:8" hidden="1">
      <c r="B6956" s="200"/>
      <c r="C6956" s="31"/>
      <c r="D6956" s="75"/>
      <c r="E6956" s="771"/>
      <c r="F6956" s="771"/>
      <c r="G6956" s="31"/>
      <c r="H6956" s="31"/>
    </row>
    <row r="6957" spans="2:8" hidden="1">
      <c r="B6957" s="200"/>
      <c r="C6957" s="31"/>
      <c r="D6957" s="75"/>
      <c r="E6957" s="771"/>
      <c r="F6957" s="771"/>
      <c r="G6957" s="31"/>
      <c r="H6957" s="31"/>
    </row>
    <row r="6958" spans="2:8" hidden="1">
      <c r="B6958" s="200"/>
      <c r="C6958" s="31"/>
      <c r="D6958" s="75"/>
      <c r="E6958" s="771"/>
      <c r="F6958" s="771"/>
      <c r="G6958" s="31"/>
      <c r="H6958" s="31"/>
    </row>
    <row r="6959" spans="2:8" hidden="1">
      <c r="B6959" s="200"/>
      <c r="C6959" s="31"/>
      <c r="D6959" s="75"/>
      <c r="E6959" s="771"/>
      <c r="F6959" s="771"/>
      <c r="G6959" s="31"/>
      <c r="H6959" s="31"/>
    </row>
    <row r="6960" spans="2:8" hidden="1">
      <c r="B6960" s="200"/>
      <c r="C6960" s="31"/>
      <c r="D6960" s="75"/>
      <c r="E6960" s="771"/>
      <c r="F6960" s="771"/>
      <c r="G6960" s="31"/>
      <c r="H6960" s="31"/>
    </row>
    <row r="6961" spans="2:8" hidden="1">
      <c r="B6961" s="200"/>
      <c r="C6961" s="31"/>
      <c r="D6961" s="75"/>
      <c r="E6961" s="771"/>
      <c r="F6961" s="771"/>
      <c r="G6961" s="31"/>
      <c r="H6961" s="31"/>
    </row>
    <row r="6962" spans="2:8" hidden="1">
      <c r="B6962" s="200"/>
      <c r="C6962" s="31"/>
      <c r="D6962" s="75"/>
      <c r="E6962" s="771"/>
      <c r="F6962" s="771"/>
      <c r="G6962" s="31"/>
      <c r="H6962" s="31"/>
    </row>
    <row r="6963" spans="2:8" hidden="1">
      <c r="B6963" s="200"/>
      <c r="C6963" s="31"/>
      <c r="D6963" s="75"/>
      <c r="E6963" s="771"/>
      <c r="F6963" s="771"/>
      <c r="G6963" s="31"/>
      <c r="H6963" s="31"/>
    </row>
    <row r="6964" spans="2:8" hidden="1">
      <c r="B6964" s="200"/>
      <c r="C6964" s="31"/>
      <c r="D6964" s="75"/>
      <c r="E6964" s="771"/>
      <c r="F6964" s="771"/>
      <c r="G6964" s="31"/>
      <c r="H6964" s="31"/>
    </row>
    <row r="6965" spans="2:8" hidden="1">
      <c r="B6965" s="200"/>
      <c r="C6965" s="31"/>
      <c r="D6965" s="75"/>
      <c r="E6965" s="771"/>
      <c r="F6965" s="771"/>
      <c r="G6965" s="31"/>
      <c r="H6965" s="31"/>
    </row>
    <row r="6966" spans="2:8" hidden="1">
      <c r="B6966" s="200"/>
      <c r="C6966" s="31"/>
      <c r="D6966" s="75"/>
      <c r="E6966" s="771"/>
      <c r="F6966" s="771"/>
      <c r="G6966" s="31"/>
      <c r="H6966" s="31"/>
    </row>
    <row r="6967" spans="2:8" hidden="1">
      <c r="B6967" s="200"/>
      <c r="C6967" s="31"/>
      <c r="D6967" s="75"/>
      <c r="E6967" s="771"/>
      <c r="F6967" s="771"/>
      <c r="G6967" s="31"/>
      <c r="H6967" s="31"/>
    </row>
    <row r="6968" spans="2:8" hidden="1">
      <c r="B6968" s="200"/>
      <c r="C6968" s="31"/>
      <c r="D6968" s="75"/>
      <c r="E6968" s="771"/>
      <c r="F6968" s="771"/>
      <c r="G6968" s="31"/>
      <c r="H6968" s="31"/>
    </row>
    <row r="6969" spans="2:8" hidden="1">
      <c r="B6969" s="200"/>
      <c r="C6969" s="31"/>
      <c r="D6969" s="75"/>
      <c r="E6969" s="771"/>
      <c r="F6969" s="771"/>
      <c r="G6969" s="31"/>
      <c r="H6969" s="31"/>
    </row>
    <row r="6970" spans="2:8" hidden="1">
      <c r="B6970" s="200"/>
      <c r="C6970" s="31"/>
      <c r="D6970" s="75"/>
      <c r="E6970" s="771"/>
      <c r="F6970" s="771"/>
      <c r="G6970" s="31"/>
      <c r="H6970" s="31"/>
    </row>
    <row r="6971" spans="2:8" hidden="1">
      <c r="B6971" s="200"/>
      <c r="C6971" s="31"/>
      <c r="D6971" s="75"/>
      <c r="E6971" s="771"/>
      <c r="F6971" s="771"/>
      <c r="G6971" s="31"/>
      <c r="H6971" s="31"/>
    </row>
    <row r="6972" spans="2:8" hidden="1">
      <c r="B6972" s="200"/>
      <c r="C6972" s="31"/>
      <c r="D6972" s="75"/>
      <c r="E6972" s="771"/>
      <c r="F6972" s="771"/>
      <c r="G6972" s="31"/>
      <c r="H6972" s="31"/>
    </row>
    <row r="6973" spans="2:8" hidden="1">
      <c r="B6973" s="200"/>
      <c r="C6973" s="31"/>
      <c r="D6973" s="75"/>
      <c r="E6973" s="771"/>
      <c r="F6973" s="771"/>
      <c r="G6973" s="31"/>
      <c r="H6973" s="31"/>
    </row>
    <row r="6974" spans="2:8" hidden="1">
      <c r="B6974" s="200"/>
      <c r="C6974" s="31"/>
      <c r="D6974" s="75"/>
      <c r="E6974" s="771"/>
      <c r="F6974" s="771"/>
      <c r="G6974" s="31"/>
      <c r="H6974" s="31"/>
    </row>
    <row r="6975" spans="2:8" hidden="1">
      <c r="B6975" s="200"/>
      <c r="C6975" s="31"/>
      <c r="D6975" s="75"/>
      <c r="E6975" s="771"/>
      <c r="F6975" s="771"/>
      <c r="G6975" s="31"/>
      <c r="H6975" s="31"/>
    </row>
    <row r="6976" spans="2:8" hidden="1">
      <c r="B6976" s="200"/>
      <c r="C6976" s="31"/>
      <c r="D6976" s="75"/>
      <c r="E6976" s="771"/>
      <c r="F6976" s="771"/>
      <c r="G6976" s="31"/>
      <c r="H6976" s="31"/>
    </row>
    <row r="6977" spans="2:8" hidden="1">
      <c r="B6977" s="200"/>
      <c r="C6977" s="31"/>
      <c r="D6977" s="75"/>
      <c r="E6977" s="771"/>
      <c r="F6977" s="771"/>
      <c r="G6977" s="31"/>
      <c r="H6977" s="31"/>
    </row>
    <row r="6978" spans="2:8" hidden="1">
      <c r="B6978" s="200"/>
      <c r="C6978" s="31"/>
      <c r="D6978" s="75"/>
      <c r="E6978" s="771"/>
      <c r="F6978" s="771"/>
      <c r="G6978" s="31"/>
      <c r="H6978" s="31"/>
    </row>
    <row r="6979" spans="2:8" hidden="1">
      <c r="B6979" s="200"/>
      <c r="C6979" s="31"/>
      <c r="D6979" s="75"/>
      <c r="E6979" s="771"/>
      <c r="F6979" s="771"/>
      <c r="G6979" s="31"/>
      <c r="H6979" s="31"/>
    </row>
    <row r="6980" spans="2:8" hidden="1">
      <c r="B6980" s="200"/>
      <c r="C6980" s="31"/>
      <c r="D6980" s="75"/>
      <c r="E6980" s="771"/>
      <c r="F6980" s="771"/>
      <c r="G6980" s="31"/>
      <c r="H6980" s="31"/>
    </row>
    <row r="6981" spans="2:8" hidden="1">
      <c r="B6981" s="200"/>
      <c r="C6981" s="31"/>
      <c r="D6981" s="75"/>
      <c r="E6981" s="771"/>
      <c r="F6981" s="771"/>
      <c r="G6981" s="31"/>
      <c r="H6981" s="31"/>
    </row>
    <row r="6982" spans="2:8" hidden="1">
      <c r="B6982" s="33"/>
      <c r="C6982" s="31"/>
      <c r="D6982" s="31"/>
      <c r="E6982" s="31"/>
      <c r="F6982" s="31"/>
      <c r="G6982" s="31"/>
      <c r="H6982" s="31"/>
    </row>
    <row r="6983" spans="2:8" hidden="1">
      <c r="B6983" s="200"/>
      <c r="C6983" s="31"/>
      <c r="D6983" s="75"/>
      <c r="E6983" s="771"/>
      <c r="F6983" s="771"/>
      <c r="G6983" s="31"/>
      <c r="H6983" s="31"/>
    </row>
    <row r="6984" spans="2:8" hidden="1">
      <c r="B6984" s="200"/>
      <c r="C6984" s="31"/>
      <c r="D6984" s="75"/>
      <c r="E6984" s="771"/>
      <c r="F6984" s="771"/>
      <c r="G6984" s="31"/>
      <c r="H6984" s="31"/>
    </row>
    <row r="6985" spans="2:8" hidden="1">
      <c r="B6985" s="200"/>
      <c r="C6985" s="31"/>
      <c r="D6985" s="75"/>
      <c r="E6985" s="771"/>
      <c r="F6985" s="771"/>
      <c r="G6985" s="31"/>
      <c r="H6985" s="31"/>
    </row>
    <row r="6986" spans="2:8" hidden="1">
      <c r="B6986" s="200"/>
      <c r="C6986" s="31"/>
      <c r="D6986" s="75"/>
      <c r="E6986" s="771"/>
      <c r="F6986" s="771"/>
      <c r="G6986" s="31"/>
      <c r="H6986" s="31"/>
    </row>
    <row r="6987" spans="2:8" hidden="1">
      <c r="B6987" s="200"/>
      <c r="C6987" s="31"/>
      <c r="D6987" s="75"/>
      <c r="E6987" s="771"/>
      <c r="F6987" s="771"/>
      <c r="G6987" s="31"/>
      <c r="H6987" s="31"/>
    </row>
    <row r="6988" spans="2:8" hidden="1">
      <c r="B6988" s="200"/>
      <c r="C6988" s="31"/>
      <c r="D6988" s="75"/>
      <c r="E6988" s="771"/>
      <c r="F6988" s="771"/>
      <c r="G6988" s="31"/>
      <c r="H6988" s="31"/>
    </row>
    <row r="6989" spans="2:8" hidden="1">
      <c r="B6989" s="200"/>
      <c r="C6989" s="31"/>
      <c r="D6989" s="75"/>
      <c r="E6989" s="771"/>
      <c r="F6989" s="771"/>
      <c r="G6989" s="31"/>
      <c r="H6989" s="31"/>
    </row>
    <row r="6990" spans="2:8" hidden="1">
      <c r="B6990" s="200"/>
      <c r="C6990" s="31"/>
      <c r="D6990" s="75"/>
      <c r="E6990" s="771"/>
      <c r="F6990" s="771"/>
      <c r="G6990" s="31"/>
      <c r="H6990" s="31"/>
    </row>
    <row r="6991" spans="2:8" hidden="1">
      <c r="B6991" s="200"/>
      <c r="C6991" s="31"/>
      <c r="D6991" s="75"/>
      <c r="E6991" s="771"/>
      <c r="F6991" s="771"/>
      <c r="G6991" s="31"/>
      <c r="H6991" s="31"/>
    </row>
    <row r="6992" spans="2:8" hidden="1">
      <c r="B6992" s="200"/>
      <c r="C6992" s="31"/>
      <c r="D6992" s="75"/>
      <c r="E6992" s="771"/>
      <c r="F6992" s="771"/>
      <c r="G6992" s="31"/>
      <c r="H6992" s="31"/>
    </row>
    <row r="6993" spans="2:8" hidden="1">
      <c r="B6993" s="200"/>
      <c r="C6993" s="31"/>
      <c r="D6993" s="75"/>
      <c r="E6993" s="771"/>
      <c r="F6993" s="771"/>
      <c r="G6993" s="31"/>
      <c r="H6993" s="31"/>
    </row>
    <row r="6994" spans="2:8" hidden="1">
      <c r="B6994" s="200"/>
      <c r="C6994" s="31"/>
      <c r="D6994" s="75"/>
      <c r="E6994" s="771"/>
      <c r="F6994" s="771"/>
      <c r="G6994" s="31"/>
      <c r="H6994" s="31"/>
    </row>
    <row r="6995" spans="2:8" hidden="1">
      <c r="B6995" s="200"/>
      <c r="C6995" s="31"/>
      <c r="D6995" s="75"/>
      <c r="E6995" s="771"/>
      <c r="F6995" s="771"/>
      <c r="G6995" s="31"/>
      <c r="H6995" s="31"/>
    </row>
    <row r="6996" spans="2:8" hidden="1">
      <c r="B6996" s="200"/>
      <c r="C6996" s="31"/>
      <c r="D6996" s="75"/>
      <c r="E6996" s="771"/>
      <c r="F6996" s="771"/>
      <c r="G6996" s="31"/>
      <c r="H6996" s="31"/>
    </row>
    <row r="6997" spans="2:8" hidden="1">
      <c r="B6997" s="200"/>
      <c r="C6997" s="31"/>
      <c r="D6997" s="75"/>
      <c r="E6997" s="31"/>
      <c r="F6997" s="31"/>
      <c r="G6997" s="31"/>
      <c r="H6997" s="31"/>
    </row>
    <row r="6998" spans="2:8" hidden="1">
      <c r="B6998" s="200"/>
      <c r="C6998" s="31"/>
      <c r="D6998" s="75"/>
      <c r="E6998" s="31"/>
      <c r="F6998" s="31"/>
      <c r="G6998" s="31"/>
      <c r="H6998" s="31"/>
    </row>
    <row r="6999" spans="2:8" hidden="1">
      <c r="B6999" s="200"/>
      <c r="C6999" s="31"/>
      <c r="D6999" s="75"/>
      <c r="E6999" s="31"/>
      <c r="F6999" s="31"/>
      <c r="G6999" s="31"/>
      <c r="H6999" s="31"/>
    </row>
    <row r="7000" spans="2:8" hidden="1">
      <c r="B7000" s="33"/>
      <c r="C7000" s="31"/>
      <c r="D7000" s="31"/>
      <c r="E7000" s="31"/>
      <c r="F7000" s="31"/>
      <c r="G7000" s="31"/>
      <c r="H7000" s="31"/>
    </row>
    <row r="7001" spans="2:8" hidden="1">
      <c r="B7001" s="200"/>
      <c r="C7001" s="31"/>
      <c r="D7001" s="75"/>
      <c r="E7001" s="771"/>
      <c r="F7001" s="771"/>
      <c r="G7001" s="31"/>
      <c r="H7001" s="31"/>
    </row>
    <row r="7002" spans="2:8" hidden="1">
      <c r="B7002" s="200"/>
      <c r="C7002" s="31"/>
      <c r="D7002" s="75"/>
      <c r="E7002" s="771"/>
      <c r="F7002" s="771"/>
      <c r="G7002" s="31"/>
      <c r="H7002" s="31"/>
    </row>
    <row r="7003" spans="2:8" hidden="1">
      <c r="B7003" s="200"/>
      <c r="C7003" s="31"/>
      <c r="D7003" s="75"/>
      <c r="E7003" s="771"/>
      <c r="F7003" s="771"/>
      <c r="G7003" s="31"/>
      <c r="H7003" s="31"/>
    </row>
    <row r="7004" spans="2:8" hidden="1">
      <c r="B7004" s="200"/>
      <c r="C7004" s="31"/>
      <c r="D7004" s="75"/>
      <c r="E7004" s="771"/>
      <c r="F7004" s="771"/>
      <c r="G7004" s="31"/>
      <c r="H7004" s="31"/>
    </row>
    <row r="7005" spans="2:8" hidden="1">
      <c r="B7005" s="200"/>
      <c r="C7005" s="31"/>
      <c r="D7005" s="75"/>
      <c r="E7005" s="771"/>
      <c r="F7005" s="771"/>
      <c r="G7005" s="31"/>
      <c r="H7005" s="31"/>
    </row>
    <row r="7006" spans="2:8" hidden="1">
      <c r="B7006" s="33"/>
      <c r="C7006" s="31"/>
      <c r="D7006" s="31"/>
      <c r="E7006" s="31"/>
      <c r="F7006" s="31"/>
      <c r="G7006" s="31"/>
      <c r="H7006" s="31"/>
    </row>
    <row r="7007" spans="2:8" hidden="1">
      <c r="B7007" s="200"/>
      <c r="C7007" s="31"/>
      <c r="D7007" s="75"/>
      <c r="E7007" s="31"/>
      <c r="F7007" s="31"/>
      <c r="G7007" s="31"/>
      <c r="H7007" s="31"/>
    </row>
    <row r="7008" spans="2:8" hidden="1">
      <c r="B7008" s="200"/>
      <c r="C7008" s="31"/>
      <c r="D7008" s="75"/>
      <c r="E7008" s="33"/>
      <c r="F7008" s="33"/>
      <c r="G7008" s="33"/>
      <c r="H7008" s="31"/>
    </row>
    <row r="7009" spans="2:8" hidden="1">
      <c r="B7009" s="200"/>
      <c r="C7009" s="31"/>
      <c r="D7009" s="75"/>
      <c r="E7009" s="33"/>
      <c r="F7009" s="33"/>
      <c r="G7009" s="33"/>
      <c r="H7009" s="31"/>
    </row>
    <row r="7010" spans="2:8" hidden="1">
      <c r="B7010" s="200"/>
      <c r="C7010" s="31"/>
      <c r="D7010" s="75"/>
      <c r="E7010" s="33"/>
      <c r="F7010" s="33"/>
      <c r="G7010" s="33"/>
      <c r="H7010" s="31"/>
    </row>
    <row r="7011" spans="2:8" hidden="1">
      <c r="B7011" s="200"/>
      <c r="C7011" s="31"/>
      <c r="D7011" s="75"/>
      <c r="E7011" s="33"/>
      <c r="F7011" s="33"/>
      <c r="G7011" s="33"/>
      <c r="H7011" s="31"/>
    </row>
    <row r="7012" spans="2:8" hidden="1">
      <c r="B7012" s="33"/>
      <c r="C7012" s="31"/>
      <c r="D7012" s="31"/>
      <c r="E7012" s="31"/>
      <c r="F7012" s="31"/>
      <c r="G7012" s="31"/>
      <c r="H7012" s="31"/>
    </row>
    <row r="7013" spans="2:8" hidden="1">
      <c r="B7013" s="200"/>
      <c r="C7013" s="31"/>
      <c r="D7013" s="33"/>
      <c r="E7013" s="33"/>
      <c r="F7013" s="33"/>
      <c r="G7013" s="33"/>
      <c r="H7013" s="31"/>
    </row>
    <row r="7014" spans="2:8" hidden="1">
      <c r="B7014" s="200"/>
      <c r="C7014" s="31"/>
      <c r="D7014" s="33"/>
      <c r="E7014" s="33"/>
      <c r="F7014" s="33"/>
      <c r="G7014" s="33"/>
      <c r="H7014" s="31"/>
    </row>
    <row r="7015" spans="2:8" hidden="1">
      <c r="B7015" s="200"/>
      <c r="C7015" s="31"/>
      <c r="D7015" s="75"/>
      <c r="E7015" s="31"/>
      <c r="F7015" s="33"/>
      <c r="G7015" s="33"/>
      <c r="H7015" s="31"/>
    </row>
    <row r="7016" spans="2:8" hidden="1">
      <c r="B7016" s="200"/>
      <c r="C7016" s="31"/>
      <c r="D7016" s="75"/>
      <c r="E7016" s="31"/>
      <c r="F7016" s="33"/>
      <c r="G7016" s="33"/>
      <c r="H7016" s="31"/>
    </row>
    <row r="7017" spans="2:8" hidden="1">
      <c r="B7017" s="200"/>
      <c r="C7017" s="31"/>
      <c r="D7017" s="75"/>
      <c r="E7017" s="31"/>
      <c r="F7017" s="33"/>
      <c r="G7017" s="33"/>
      <c r="H7017" s="31"/>
    </row>
    <row r="7018" spans="2:8" hidden="1">
      <c r="B7018" s="200"/>
      <c r="C7018" s="31"/>
      <c r="D7018" s="75"/>
      <c r="E7018" s="31"/>
      <c r="F7018" s="33"/>
      <c r="G7018" s="33"/>
      <c r="H7018" s="31"/>
    </row>
    <row r="7019" spans="2:8" hidden="1">
      <c r="B7019" s="200"/>
      <c r="C7019" s="31"/>
      <c r="D7019" s="75"/>
      <c r="E7019" s="31"/>
      <c r="F7019" s="33"/>
      <c r="G7019" s="33"/>
      <c r="H7019" s="31"/>
    </row>
    <row r="7020" spans="2:8" hidden="1">
      <c r="B7020" s="200"/>
      <c r="C7020" s="31"/>
      <c r="D7020" s="75"/>
      <c r="E7020" s="31"/>
      <c r="F7020" s="33"/>
      <c r="G7020" s="33"/>
      <c r="H7020" s="31"/>
    </row>
    <row r="7021" spans="2:8" hidden="1">
      <c r="B7021" s="200"/>
      <c r="C7021" s="31"/>
      <c r="D7021" s="75"/>
      <c r="E7021" s="33"/>
      <c r="F7021" s="33"/>
      <c r="G7021" s="33"/>
      <c r="H7021" s="33"/>
    </row>
    <row r="7022" spans="2:8" hidden="1">
      <c r="B7022" s="200"/>
      <c r="C7022" s="31"/>
      <c r="D7022" s="75"/>
      <c r="E7022" s="33"/>
      <c r="F7022" s="33"/>
      <c r="G7022" s="33"/>
      <c r="H7022" s="31"/>
    </row>
    <row r="7023" spans="2:8" hidden="1">
      <c r="B7023" s="33"/>
      <c r="C7023" s="200"/>
      <c r="D7023" s="75"/>
      <c r="E7023" s="31"/>
      <c r="F7023" s="31"/>
      <c r="G7023" s="31"/>
      <c r="H7023" s="31"/>
    </row>
    <row r="7024" spans="2:8" hidden="1">
      <c r="B7024" s="33"/>
      <c r="C7024" s="31"/>
      <c r="D7024" s="104"/>
      <c r="E7024" s="33"/>
      <c r="F7024" s="33"/>
      <c r="G7024" s="33"/>
      <c r="H7024" s="31"/>
    </row>
    <row r="7025" spans="2:8" hidden="1">
      <c r="B7025" s="33"/>
      <c r="C7025" s="31"/>
      <c r="D7025" s="31"/>
      <c r="E7025" s="31"/>
      <c r="F7025" s="31"/>
      <c r="G7025" s="31"/>
      <c r="H7025" s="31"/>
    </row>
    <row r="7026" spans="2:8" hidden="1">
      <c r="B7026" s="33"/>
      <c r="C7026" s="31"/>
      <c r="D7026" s="31"/>
      <c r="E7026" s="31"/>
      <c r="F7026" s="31"/>
      <c r="G7026" s="31"/>
      <c r="H7026" s="31"/>
    </row>
    <row r="7027" spans="2:8" hidden="1">
      <c r="B7027" s="405"/>
      <c r="C7027" s="31"/>
      <c r="D7027" s="31"/>
      <c r="E7027" s="31"/>
      <c r="F7027" s="31"/>
      <c r="G7027" s="31"/>
      <c r="H7027" s="31"/>
    </row>
    <row r="7028" spans="2:8" hidden="1">
      <c r="B7028" s="405"/>
      <c r="C7028" s="31"/>
      <c r="D7028" s="31"/>
      <c r="E7028" s="31"/>
      <c r="F7028" s="691"/>
      <c r="G7028" s="75"/>
      <c r="H7028" s="31"/>
    </row>
    <row r="7029" spans="2:8" hidden="1">
      <c r="B7029" s="405"/>
      <c r="C7029" s="31"/>
      <c r="D7029" s="31"/>
      <c r="E7029" s="31"/>
      <c r="F7029" s="691"/>
      <c r="G7029" s="75"/>
      <c r="H7029" s="31"/>
    </row>
    <row r="7030" spans="2:8" hidden="1">
      <c r="B7030" s="405"/>
      <c r="C7030" s="31"/>
      <c r="D7030" s="31"/>
      <c r="E7030" s="31"/>
      <c r="F7030" s="691"/>
      <c r="G7030" s="75"/>
      <c r="H7030" s="31"/>
    </row>
    <row r="7031" spans="2:8" hidden="1">
      <c r="B7031" s="405"/>
      <c r="C7031" s="31"/>
      <c r="D7031" s="31"/>
      <c r="E7031" s="31"/>
      <c r="F7031" s="691"/>
      <c r="G7031" s="75"/>
      <c r="H7031" s="31"/>
    </row>
    <row r="7032" spans="2:8" hidden="1">
      <c r="B7032" s="405"/>
      <c r="C7032" s="31"/>
      <c r="D7032" s="31"/>
      <c r="E7032" s="31"/>
      <c r="F7032" s="691"/>
      <c r="G7032" s="75"/>
      <c r="H7032" s="31"/>
    </row>
    <row r="7033" spans="2:8" hidden="1">
      <c r="B7033" s="405"/>
      <c r="C7033" s="31"/>
      <c r="D7033" s="31"/>
      <c r="E7033" s="31"/>
      <c r="F7033" s="691"/>
      <c r="G7033" s="75"/>
      <c r="H7033" s="31"/>
    </row>
    <row r="7034" spans="2:8" hidden="1">
      <c r="B7034" s="405"/>
      <c r="C7034" s="31"/>
      <c r="D7034" s="31"/>
      <c r="E7034" s="31"/>
      <c r="F7034" s="691"/>
      <c r="G7034" s="75"/>
      <c r="H7034" s="31"/>
    </row>
    <row r="7035" spans="2:8" hidden="1">
      <c r="B7035" s="405"/>
      <c r="C7035" s="31"/>
      <c r="D7035" s="31"/>
      <c r="E7035" s="31"/>
      <c r="F7035" s="691"/>
      <c r="G7035" s="75"/>
      <c r="H7035" s="31"/>
    </row>
    <row r="7036" spans="2:8" hidden="1">
      <c r="B7036" s="405"/>
      <c r="C7036" s="31"/>
      <c r="D7036" s="31"/>
      <c r="E7036" s="31"/>
      <c r="F7036" s="691"/>
      <c r="G7036" s="75"/>
      <c r="H7036" s="31"/>
    </row>
    <row r="7037" spans="2:8" hidden="1">
      <c r="B7037" s="405"/>
      <c r="C7037" s="31"/>
      <c r="D7037" s="31"/>
      <c r="E7037" s="31"/>
      <c r="F7037" s="691"/>
      <c r="G7037" s="75"/>
      <c r="H7037" s="31"/>
    </row>
    <row r="7038" spans="2:8" hidden="1">
      <c r="B7038" s="405"/>
      <c r="C7038" s="31"/>
      <c r="D7038" s="31"/>
      <c r="E7038" s="31"/>
      <c r="F7038" s="691"/>
      <c r="G7038" s="75"/>
      <c r="H7038" s="31"/>
    </row>
    <row r="7039" spans="2:8" hidden="1">
      <c r="B7039" s="405"/>
      <c r="C7039" s="31"/>
      <c r="D7039" s="31"/>
      <c r="E7039" s="31"/>
      <c r="F7039" s="691"/>
      <c r="G7039" s="75"/>
      <c r="H7039" s="31"/>
    </row>
    <row r="7040" spans="2:8" hidden="1">
      <c r="B7040" s="405"/>
      <c r="C7040" s="31"/>
      <c r="D7040" s="31"/>
      <c r="E7040" s="31"/>
      <c r="F7040" s="691"/>
      <c r="G7040" s="31"/>
      <c r="H7040" s="31"/>
    </row>
    <row r="7041" spans="2:8" hidden="1">
      <c r="B7041" s="405"/>
      <c r="C7041" s="31"/>
      <c r="D7041" s="31"/>
      <c r="E7041" s="31"/>
      <c r="F7041" s="691"/>
      <c r="G7041" s="75"/>
      <c r="H7041" s="31"/>
    </row>
    <row r="7042" spans="2:8" hidden="1">
      <c r="B7042" s="405"/>
      <c r="C7042" s="31"/>
      <c r="D7042" s="31"/>
      <c r="E7042" s="31"/>
      <c r="F7042" s="691"/>
      <c r="G7042" s="75"/>
      <c r="H7042" s="31"/>
    </row>
    <row r="7043" spans="2:8" hidden="1">
      <c r="B7043" s="405"/>
      <c r="C7043" s="31"/>
      <c r="D7043" s="31"/>
      <c r="E7043" s="31"/>
      <c r="F7043" s="691"/>
      <c r="G7043" s="75"/>
      <c r="H7043" s="31"/>
    </row>
    <row r="7044" spans="2:8" hidden="1">
      <c r="B7044" s="200"/>
      <c r="C7044" s="31"/>
      <c r="D7044" s="31"/>
      <c r="E7044" s="31"/>
      <c r="F7044" s="691"/>
      <c r="G7044" s="75"/>
      <c r="H7044" s="31"/>
    </row>
    <row r="7045" spans="2:8" hidden="1">
      <c r="B7045" s="200"/>
      <c r="C7045" s="31"/>
      <c r="D7045" s="31"/>
      <c r="E7045" s="31"/>
      <c r="F7045" s="691"/>
      <c r="G7045" s="75"/>
      <c r="H7045" s="31"/>
    </row>
    <row r="7046" spans="2:8" hidden="1">
      <c r="B7046" s="200"/>
      <c r="C7046" s="31"/>
      <c r="D7046" s="31"/>
      <c r="E7046" s="31"/>
      <c r="F7046" s="691"/>
      <c r="G7046" s="31"/>
      <c r="H7046" s="31"/>
    </row>
    <row r="7047" spans="2:8" hidden="1">
      <c r="B7047" s="33"/>
      <c r="C7047" s="31"/>
      <c r="D7047" s="31"/>
      <c r="E7047" s="31"/>
      <c r="F7047" s="691"/>
      <c r="G7047" s="31"/>
      <c r="H7047" s="31"/>
    </row>
    <row r="7048" spans="2:8" hidden="1">
      <c r="B7048" s="33"/>
      <c r="C7048" s="31"/>
      <c r="D7048" s="31"/>
      <c r="E7048" s="31"/>
      <c r="F7048" s="691"/>
      <c r="G7048" s="31"/>
      <c r="H7048" s="31"/>
    </row>
    <row r="7049" spans="2:8" hidden="1">
      <c r="B7049" s="33"/>
      <c r="C7049" s="31"/>
      <c r="D7049" s="31"/>
      <c r="E7049" s="31"/>
      <c r="F7049" s="31"/>
      <c r="G7049" s="31"/>
      <c r="H7049" s="31"/>
    </row>
    <row r="7050" spans="2:8" hidden="1">
      <c r="B7050" s="33"/>
      <c r="C7050" s="31"/>
      <c r="D7050" s="31"/>
      <c r="E7050" s="31"/>
      <c r="F7050" s="31"/>
      <c r="G7050" s="31"/>
      <c r="H7050" s="31"/>
    </row>
    <row r="7051" spans="2:8" hidden="1">
      <c r="B7051" s="33"/>
      <c r="C7051" s="31"/>
      <c r="D7051" s="31"/>
      <c r="E7051" s="31"/>
      <c r="F7051" s="31"/>
      <c r="G7051" s="31"/>
      <c r="H7051" s="31"/>
    </row>
    <row r="7052" spans="2:8" hidden="1">
      <c r="B7052" s="33"/>
      <c r="C7052" s="31"/>
      <c r="D7052" s="31"/>
      <c r="E7052" s="31"/>
      <c r="F7052" s="31"/>
      <c r="G7052" s="31"/>
      <c r="H7052" s="31"/>
    </row>
    <row r="7053" spans="2:8" hidden="1">
      <c r="B7053" s="33"/>
      <c r="C7053" s="31"/>
      <c r="D7053" s="31"/>
      <c r="E7053" s="31"/>
      <c r="F7053" s="31"/>
      <c r="G7053" s="31"/>
      <c r="H7053" s="31"/>
    </row>
    <row r="7054" spans="2:8" hidden="1">
      <c r="B7054" s="33"/>
      <c r="C7054" s="31"/>
      <c r="D7054" s="31"/>
      <c r="E7054" s="31"/>
      <c r="F7054" s="31"/>
      <c r="G7054" s="31"/>
      <c r="H7054" s="31"/>
    </row>
    <row r="7055" spans="2:8" hidden="1">
      <c r="B7055" s="33"/>
      <c r="C7055" s="31"/>
      <c r="D7055" s="31"/>
      <c r="E7055" s="31"/>
      <c r="F7055" s="31"/>
      <c r="G7055" s="31"/>
      <c r="H7055" s="31"/>
    </row>
    <row r="7056" spans="2:8" hidden="1">
      <c r="B7056" s="33"/>
      <c r="C7056" s="31"/>
      <c r="D7056" s="33"/>
      <c r="E7056" s="33"/>
      <c r="F7056" s="33"/>
      <c r="G7056" s="33"/>
      <c r="H7056" s="31"/>
    </row>
    <row r="7057" spans="2:8" hidden="1">
      <c r="B7057" s="33"/>
      <c r="C7057" s="31"/>
      <c r="D7057" s="33"/>
      <c r="E7057" s="33"/>
      <c r="F7057" s="33"/>
      <c r="G7057" s="33"/>
      <c r="H7057" s="31"/>
    </row>
    <row r="7058" spans="2:8" hidden="1">
      <c r="B7058" s="33"/>
      <c r="C7058" s="31"/>
      <c r="D7058" s="31"/>
      <c r="E7058" s="31"/>
      <c r="F7058" s="31"/>
      <c r="G7058" s="31"/>
      <c r="H7058" s="31"/>
    </row>
    <row r="7059" spans="2:8" hidden="1">
      <c r="B7059" s="405"/>
      <c r="C7059" s="31"/>
      <c r="D7059" s="75"/>
      <c r="E7059" s="31"/>
      <c r="F7059" s="33"/>
      <c r="G7059" s="33"/>
      <c r="H7059" s="31"/>
    </row>
    <row r="7060" spans="2:8" hidden="1">
      <c r="B7060" s="405"/>
      <c r="C7060" s="31"/>
      <c r="D7060" s="75"/>
      <c r="E7060" s="31"/>
      <c r="F7060" s="33"/>
      <c r="G7060" s="33"/>
      <c r="H7060" s="31"/>
    </row>
    <row r="7061" spans="2:8" hidden="1">
      <c r="B7061" s="405"/>
      <c r="C7061" s="31"/>
      <c r="D7061" s="75"/>
      <c r="E7061" s="31"/>
      <c r="F7061" s="31"/>
      <c r="G7061" s="31"/>
      <c r="H7061" s="31"/>
    </row>
    <row r="7062" spans="2:8" hidden="1">
      <c r="B7062" s="405"/>
      <c r="C7062" s="31"/>
      <c r="D7062" s="75"/>
      <c r="E7062" s="31"/>
      <c r="F7062" s="31"/>
      <c r="G7062" s="31"/>
      <c r="H7062" s="31"/>
    </row>
    <row r="7063" spans="2:8" hidden="1">
      <c r="B7063" s="405"/>
      <c r="C7063" s="31"/>
      <c r="D7063" s="75"/>
      <c r="E7063" s="31"/>
      <c r="F7063" s="33"/>
      <c r="G7063" s="33"/>
      <c r="H7063" s="31"/>
    </row>
    <row r="7064" spans="2:8" hidden="1">
      <c r="B7064" s="405"/>
      <c r="C7064" s="31"/>
      <c r="D7064" s="75"/>
      <c r="E7064" s="33"/>
      <c r="F7064" s="33"/>
      <c r="G7064" s="33"/>
      <c r="H7064" s="31"/>
    </row>
    <row r="7065" spans="2:8" hidden="1">
      <c r="B7065" s="405"/>
      <c r="C7065" s="31"/>
      <c r="D7065" s="75"/>
      <c r="E7065" s="33"/>
      <c r="F7065" s="33"/>
      <c r="G7065" s="33"/>
      <c r="H7065" s="31"/>
    </row>
    <row r="7066" spans="2:8" hidden="1">
      <c r="B7066" s="405"/>
      <c r="C7066" s="31"/>
      <c r="D7066" s="75"/>
      <c r="E7066" s="33"/>
      <c r="F7066" s="33"/>
      <c r="G7066" s="33"/>
      <c r="H7066" s="31"/>
    </row>
    <row r="7067" spans="2:8" hidden="1">
      <c r="B7067" s="33"/>
      <c r="C7067" s="31"/>
      <c r="D7067" s="31"/>
      <c r="E7067" s="31"/>
      <c r="F7067" s="31"/>
      <c r="G7067" s="31"/>
      <c r="H7067" s="31"/>
    </row>
    <row r="7068" spans="2:8" hidden="1">
      <c r="B7068" s="405"/>
      <c r="C7068" s="31"/>
      <c r="D7068" s="75"/>
      <c r="E7068" s="771"/>
      <c r="F7068" s="33"/>
      <c r="G7068" s="33"/>
      <c r="H7068" s="31"/>
    </row>
    <row r="7069" spans="2:8" hidden="1">
      <c r="B7069" s="30"/>
      <c r="C7069" s="31"/>
      <c r="D7069" s="75"/>
      <c r="E7069" s="771"/>
      <c r="F7069" s="33"/>
      <c r="G7069" s="33"/>
      <c r="H7069" s="31"/>
    </row>
    <row r="7070" spans="2:8" hidden="1">
      <c r="B7070" s="30"/>
      <c r="C7070" s="31"/>
      <c r="D7070" s="75"/>
      <c r="E7070" s="771"/>
      <c r="F7070" s="33"/>
      <c r="G7070" s="33"/>
      <c r="H7070" s="31"/>
    </row>
    <row r="7071" spans="2:8" hidden="1">
      <c r="B7071" s="30"/>
      <c r="C7071" s="31"/>
      <c r="D7071" s="75"/>
      <c r="E7071" s="771"/>
      <c r="F7071" s="31"/>
      <c r="G7071" s="31"/>
      <c r="H7071" s="31"/>
    </row>
    <row r="7072" spans="2:8" hidden="1">
      <c r="B7072" s="30"/>
      <c r="C7072" s="31"/>
      <c r="D7072" s="75"/>
      <c r="E7072" s="771"/>
      <c r="F7072" s="31"/>
      <c r="G7072" s="31"/>
      <c r="H7072" s="31"/>
    </row>
    <row r="7073" spans="2:8" hidden="1">
      <c r="B7073" s="30"/>
      <c r="C7073" s="31"/>
      <c r="D7073" s="75"/>
      <c r="E7073" s="771"/>
      <c r="F7073" s="31"/>
      <c r="G7073" s="31"/>
      <c r="H7073" s="31"/>
    </row>
    <row r="7074" spans="2:8" hidden="1">
      <c r="B7074" s="30"/>
      <c r="C7074" s="31"/>
      <c r="D7074" s="75"/>
      <c r="E7074" s="771"/>
      <c r="F7074" s="31"/>
      <c r="G7074" s="31"/>
      <c r="H7074" s="31"/>
    </row>
    <row r="7075" spans="2:8" hidden="1">
      <c r="B7075" s="30"/>
      <c r="C7075" s="31"/>
      <c r="D7075" s="75"/>
      <c r="E7075" s="771"/>
      <c r="F7075" s="31"/>
      <c r="G7075" s="31"/>
      <c r="H7075" s="31"/>
    </row>
    <row r="7076" spans="2:8" hidden="1">
      <c r="B7076" s="30"/>
      <c r="C7076" s="31"/>
      <c r="D7076" s="75"/>
      <c r="E7076" s="771"/>
      <c r="F7076" s="31"/>
      <c r="G7076" s="31"/>
      <c r="H7076" s="31"/>
    </row>
    <row r="7077" spans="2:8" hidden="1">
      <c r="B7077" s="30"/>
      <c r="C7077" s="31"/>
      <c r="D7077" s="75"/>
      <c r="E7077" s="771"/>
      <c r="F7077" s="31"/>
      <c r="G7077" s="31"/>
      <c r="H7077" s="31"/>
    </row>
    <row r="7078" spans="2:8" hidden="1">
      <c r="B7078" s="30"/>
      <c r="C7078" s="31"/>
      <c r="D7078" s="75"/>
      <c r="E7078" s="771"/>
      <c r="F7078" s="31"/>
      <c r="G7078" s="31"/>
      <c r="H7078" s="31"/>
    </row>
    <row r="7079" spans="2:8" hidden="1">
      <c r="B7079" s="30"/>
      <c r="C7079" s="31"/>
      <c r="D7079" s="75"/>
      <c r="E7079" s="771"/>
      <c r="F7079" s="31"/>
      <c r="G7079" s="31"/>
      <c r="H7079" s="31"/>
    </row>
    <row r="7080" spans="2:8" hidden="1">
      <c r="B7080" s="30"/>
      <c r="C7080" s="31"/>
      <c r="D7080" s="75"/>
      <c r="E7080" s="771"/>
      <c r="F7080" s="31"/>
      <c r="G7080" s="31"/>
      <c r="H7080" s="31"/>
    </row>
    <row r="7081" spans="2:8" hidden="1">
      <c r="B7081" s="30"/>
      <c r="C7081" s="31"/>
      <c r="D7081" s="75"/>
      <c r="E7081" s="771"/>
      <c r="F7081" s="31"/>
      <c r="G7081" s="31"/>
      <c r="H7081" s="31"/>
    </row>
    <row r="7082" spans="2:8" hidden="1">
      <c r="B7082" s="30"/>
      <c r="C7082" s="31"/>
      <c r="D7082" s="75"/>
      <c r="E7082" s="771"/>
      <c r="F7082" s="771"/>
      <c r="G7082" s="31"/>
      <c r="H7082" s="31"/>
    </row>
    <row r="7083" spans="2:8" hidden="1">
      <c r="B7083" s="30"/>
      <c r="C7083" s="31"/>
      <c r="D7083" s="75"/>
      <c r="E7083" s="771"/>
      <c r="F7083" s="31"/>
      <c r="G7083" s="31"/>
      <c r="H7083" s="31"/>
    </row>
    <row r="7084" spans="2:8" hidden="1">
      <c r="B7084" s="33"/>
      <c r="C7084" s="31"/>
      <c r="D7084" s="31"/>
      <c r="E7084" s="31"/>
      <c r="F7084" s="31"/>
      <c r="G7084" s="31"/>
      <c r="H7084" s="31"/>
    </row>
    <row r="7085" spans="2:8" hidden="1">
      <c r="B7085" s="200"/>
      <c r="C7085" s="31"/>
      <c r="D7085" s="75"/>
      <c r="E7085" s="771"/>
      <c r="F7085" s="33"/>
      <c r="G7085" s="33"/>
      <c r="H7085" s="31"/>
    </row>
    <row r="7086" spans="2:8" hidden="1">
      <c r="B7086" s="200"/>
      <c r="C7086" s="31"/>
      <c r="D7086" s="75"/>
      <c r="E7086" s="771"/>
      <c r="F7086" s="31"/>
      <c r="G7086" s="31"/>
      <c r="H7086" s="31"/>
    </row>
    <row r="7087" spans="2:8" hidden="1">
      <c r="B7087" s="200"/>
      <c r="C7087" s="31"/>
      <c r="D7087" s="75"/>
      <c r="E7087" s="771"/>
      <c r="F7087" s="31"/>
      <c r="G7087" s="31"/>
      <c r="H7087" s="31"/>
    </row>
    <row r="7088" spans="2:8" hidden="1">
      <c r="B7088" s="200"/>
      <c r="C7088" s="31"/>
      <c r="D7088" s="75"/>
      <c r="E7088" s="771"/>
      <c r="F7088" s="771"/>
      <c r="G7088" s="31"/>
      <c r="H7088" s="31"/>
    </row>
    <row r="7089" spans="2:8" hidden="1">
      <c r="B7089" s="200"/>
      <c r="C7089" s="31"/>
      <c r="D7089" s="75"/>
      <c r="E7089" s="771"/>
      <c r="F7089" s="771"/>
      <c r="G7089" s="31"/>
      <c r="H7089" s="31"/>
    </row>
    <row r="7090" spans="2:8" hidden="1">
      <c r="B7090" s="200"/>
      <c r="C7090" s="31"/>
      <c r="D7090" s="75"/>
      <c r="E7090" s="771"/>
      <c r="F7090" s="31"/>
      <c r="G7090" s="31"/>
      <c r="H7090" s="31"/>
    </row>
    <row r="7091" spans="2:8" hidden="1">
      <c r="B7091" s="200"/>
      <c r="C7091" s="31"/>
      <c r="D7091" s="75"/>
      <c r="E7091" s="771"/>
      <c r="F7091" s="31"/>
      <c r="G7091" s="31"/>
      <c r="H7091" s="31"/>
    </row>
    <row r="7092" spans="2:8" hidden="1">
      <c r="B7092" s="200"/>
      <c r="C7092" s="31"/>
      <c r="D7092" s="75"/>
      <c r="E7092" s="771"/>
      <c r="F7092" s="31"/>
      <c r="G7092" s="31"/>
      <c r="H7092" s="31"/>
    </row>
    <row r="7093" spans="2:8" hidden="1">
      <c r="B7093" s="200"/>
      <c r="C7093" s="31"/>
      <c r="D7093" s="75"/>
      <c r="E7093" s="772"/>
      <c r="F7093" s="33"/>
      <c r="G7093" s="33"/>
      <c r="H7093" s="31"/>
    </row>
    <row r="7094" spans="2:8" hidden="1">
      <c r="B7094" s="200"/>
      <c r="C7094" s="31"/>
      <c r="D7094" s="75"/>
      <c r="E7094" s="772"/>
      <c r="F7094" s="33"/>
      <c r="G7094" s="33"/>
      <c r="H7094" s="31"/>
    </row>
    <row r="7095" spans="2:8" hidden="1">
      <c r="B7095" s="200"/>
      <c r="C7095" s="31"/>
      <c r="D7095" s="75"/>
      <c r="E7095" s="771"/>
      <c r="F7095" s="33"/>
      <c r="G7095" s="33"/>
      <c r="H7095" s="31"/>
    </row>
    <row r="7096" spans="2:8" hidden="1">
      <c r="B7096" s="200"/>
      <c r="C7096" s="31"/>
      <c r="D7096" s="75"/>
      <c r="E7096" s="771"/>
      <c r="F7096" s="33"/>
      <c r="G7096" s="33"/>
      <c r="H7096" s="31"/>
    </row>
    <row r="7097" spans="2:8" hidden="1">
      <c r="B7097" s="200"/>
      <c r="C7097" s="31"/>
      <c r="D7097" s="75"/>
      <c r="E7097" s="772"/>
      <c r="F7097" s="33"/>
      <c r="G7097" s="33"/>
      <c r="H7097" s="31"/>
    </row>
    <row r="7098" spans="2:8" hidden="1">
      <c r="B7098" s="200"/>
      <c r="C7098" s="31"/>
      <c r="D7098" s="75"/>
      <c r="E7098" s="771"/>
      <c r="F7098" s="33"/>
      <c r="G7098" s="33"/>
      <c r="H7098" s="31"/>
    </row>
    <row r="7099" spans="2:8" hidden="1">
      <c r="B7099" s="200"/>
      <c r="C7099" s="31"/>
      <c r="D7099" s="75"/>
      <c r="E7099" s="771"/>
      <c r="F7099" s="33"/>
      <c r="G7099" s="33"/>
      <c r="H7099" s="31"/>
    </row>
    <row r="7100" spans="2:8" hidden="1">
      <c r="B7100" s="200"/>
      <c r="C7100" s="31"/>
      <c r="D7100" s="75"/>
      <c r="E7100" s="771"/>
      <c r="F7100" s="33"/>
      <c r="G7100" s="33"/>
      <c r="H7100" s="31"/>
    </row>
    <row r="7101" spans="2:8" hidden="1">
      <c r="B7101" s="200"/>
      <c r="C7101" s="31"/>
      <c r="D7101" s="75"/>
      <c r="E7101" s="771"/>
      <c r="F7101" s="33"/>
      <c r="G7101" s="33"/>
      <c r="H7101" s="31"/>
    </row>
    <row r="7102" spans="2:8" hidden="1">
      <c r="B7102" s="200"/>
      <c r="C7102" s="31"/>
      <c r="D7102" s="75"/>
      <c r="E7102" s="771"/>
      <c r="F7102" s="31"/>
      <c r="G7102" s="31"/>
      <c r="H7102" s="31"/>
    </row>
    <row r="7103" spans="2:8" hidden="1">
      <c r="B7103" s="200"/>
      <c r="C7103" s="31"/>
      <c r="D7103" s="75"/>
      <c r="E7103" s="771"/>
      <c r="F7103" s="31"/>
      <c r="G7103" s="31"/>
      <c r="H7103" s="31"/>
    </row>
    <row r="7104" spans="2:8" hidden="1">
      <c r="B7104" s="200"/>
      <c r="C7104" s="31"/>
      <c r="D7104" s="75"/>
      <c r="E7104" s="771"/>
      <c r="F7104" s="31"/>
      <c r="G7104" s="31"/>
      <c r="H7104" s="31"/>
    </row>
    <row r="7105" spans="2:8" hidden="1">
      <c r="B7105" s="33"/>
      <c r="C7105" s="31"/>
      <c r="D7105" s="31"/>
      <c r="E7105" s="31"/>
      <c r="F7105" s="31"/>
      <c r="G7105" s="31"/>
      <c r="H7105" s="31"/>
    </row>
    <row r="7106" spans="2:8" hidden="1">
      <c r="B7106" s="200"/>
      <c r="C7106" s="31"/>
      <c r="D7106" s="75"/>
      <c r="E7106" s="771"/>
      <c r="F7106" s="31"/>
      <c r="G7106" s="31"/>
      <c r="H7106" s="31"/>
    </row>
    <row r="7107" spans="2:8" hidden="1">
      <c r="B7107" s="200"/>
      <c r="C7107" s="31"/>
      <c r="D7107" s="75"/>
      <c r="E7107" s="771"/>
      <c r="F7107" s="31"/>
      <c r="G7107" s="31"/>
      <c r="H7107" s="31"/>
    </row>
    <row r="7108" spans="2:8" hidden="1">
      <c r="B7108" s="200"/>
      <c r="C7108" s="31"/>
      <c r="D7108" s="75"/>
      <c r="E7108" s="771"/>
      <c r="F7108" s="31"/>
      <c r="G7108" s="31"/>
      <c r="H7108" s="31"/>
    </row>
    <row r="7109" spans="2:8" hidden="1">
      <c r="B7109" s="200"/>
      <c r="C7109" s="31"/>
      <c r="D7109" s="75"/>
      <c r="E7109" s="771"/>
      <c r="F7109" s="771"/>
      <c r="G7109" s="31"/>
      <c r="H7109" s="31"/>
    </row>
    <row r="7110" spans="2:8" hidden="1">
      <c r="B7110" s="200"/>
      <c r="C7110" s="31"/>
      <c r="D7110" s="75"/>
      <c r="E7110" s="771"/>
      <c r="F7110" s="33"/>
      <c r="G7110" s="33"/>
      <c r="H7110" s="31"/>
    </row>
    <row r="7111" spans="2:8" hidden="1">
      <c r="B7111" s="200"/>
      <c r="C7111" s="31"/>
      <c r="D7111" s="75"/>
      <c r="E7111" s="771"/>
      <c r="F7111" s="31"/>
      <c r="G7111" s="31"/>
      <c r="H7111" s="31"/>
    </row>
    <row r="7112" spans="2:8" hidden="1">
      <c r="B7112" s="200"/>
      <c r="C7112" s="31"/>
      <c r="D7112" s="75"/>
      <c r="E7112" s="771"/>
      <c r="F7112" s="31"/>
      <c r="G7112" s="31"/>
      <c r="H7112" s="31"/>
    </row>
    <row r="7113" spans="2:8" hidden="1">
      <c r="B7113" s="200"/>
      <c r="C7113" s="31"/>
      <c r="D7113" s="75"/>
      <c r="E7113" s="771"/>
      <c r="F7113" s="31"/>
      <c r="G7113" s="31"/>
      <c r="H7113" s="31"/>
    </row>
    <row r="7114" spans="2:8" hidden="1">
      <c r="B7114" s="200"/>
      <c r="C7114" s="31"/>
      <c r="D7114" s="75"/>
      <c r="E7114" s="771"/>
      <c r="F7114" s="31"/>
      <c r="G7114" s="31"/>
      <c r="H7114" s="31"/>
    </row>
    <row r="7115" spans="2:8" hidden="1">
      <c r="B7115" s="200"/>
      <c r="C7115" s="31"/>
      <c r="D7115" s="75"/>
      <c r="E7115" s="771"/>
      <c r="F7115" s="31"/>
      <c r="G7115" s="31"/>
      <c r="H7115" s="31"/>
    </row>
    <row r="7116" spans="2:8" hidden="1">
      <c r="B7116" s="200"/>
      <c r="C7116" s="31"/>
      <c r="D7116" s="75"/>
      <c r="E7116" s="771"/>
      <c r="F7116" s="31"/>
      <c r="G7116" s="31"/>
      <c r="H7116" s="31"/>
    </row>
    <row r="7117" spans="2:8" hidden="1">
      <c r="B7117" s="200"/>
      <c r="C7117" s="31"/>
      <c r="D7117" s="75"/>
      <c r="E7117" s="771"/>
      <c r="F7117" s="31"/>
      <c r="G7117" s="31"/>
      <c r="H7117" s="31"/>
    </row>
    <row r="7118" spans="2:8" hidden="1">
      <c r="B7118" s="200"/>
      <c r="C7118" s="31"/>
      <c r="D7118" s="75"/>
      <c r="E7118" s="771"/>
      <c r="F7118" s="31"/>
      <c r="G7118" s="31"/>
      <c r="H7118" s="31"/>
    </row>
    <row r="7119" spans="2:8" hidden="1">
      <c r="B7119" s="200"/>
      <c r="C7119" s="31"/>
      <c r="D7119" s="75"/>
      <c r="E7119" s="771"/>
      <c r="F7119" s="31"/>
      <c r="G7119" s="31"/>
      <c r="H7119" s="31"/>
    </row>
    <row r="7120" spans="2:8" hidden="1">
      <c r="B7120" s="200"/>
      <c r="C7120" s="31"/>
      <c r="D7120" s="75"/>
      <c r="E7120" s="772"/>
      <c r="F7120" s="33"/>
      <c r="G7120" s="33"/>
      <c r="H7120" s="31"/>
    </row>
    <row r="7121" spans="2:8" hidden="1">
      <c r="B7121" s="200"/>
      <c r="C7121" s="31"/>
      <c r="D7121" s="75"/>
      <c r="E7121" s="772"/>
      <c r="F7121" s="33"/>
      <c r="G7121" s="33"/>
      <c r="H7121" s="31"/>
    </row>
    <row r="7122" spans="2:8" hidden="1">
      <c r="B7122" s="200"/>
      <c r="C7122" s="31"/>
      <c r="D7122" s="75"/>
      <c r="E7122" s="772"/>
      <c r="F7122" s="33"/>
      <c r="G7122" s="33"/>
      <c r="H7122" s="31"/>
    </row>
    <row r="7123" spans="2:8" hidden="1">
      <c r="B7123" s="200"/>
      <c r="C7123" s="31"/>
      <c r="D7123" s="75"/>
      <c r="E7123" s="772"/>
      <c r="F7123" s="33"/>
      <c r="G7123" s="33"/>
      <c r="H7123" s="31"/>
    </row>
    <row r="7124" spans="2:8" hidden="1">
      <c r="B7124" s="33"/>
      <c r="C7124" s="31"/>
      <c r="D7124" s="31"/>
      <c r="E7124" s="31"/>
      <c r="F7124" s="31"/>
      <c r="G7124" s="31"/>
      <c r="H7124" s="31"/>
    </row>
    <row r="7125" spans="2:8" hidden="1">
      <c r="B7125" s="200"/>
      <c r="C7125" s="31"/>
      <c r="D7125" s="75"/>
      <c r="E7125" s="771"/>
      <c r="F7125" s="31"/>
      <c r="G7125" s="31"/>
      <c r="H7125" s="31"/>
    </row>
    <row r="7126" spans="2:8" hidden="1">
      <c r="B7126" s="200"/>
      <c r="C7126" s="31"/>
      <c r="D7126" s="75"/>
      <c r="E7126" s="771"/>
      <c r="F7126" s="31"/>
      <c r="G7126" s="31"/>
      <c r="H7126" s="31"/>
    </row>
    <row r="7127" spans="2:8" hidden="1">
      <c r="B7127" s="200"/>
      <c r="C7127" s="31"/>
      <c r="D7127" s="75"/>
      <c r="E7127" s="771"/>
      <c r="F7127" s="31"/>
      <c r="G7127" s="31"/>
      <c r="H7127" s="31"/>
    </row>
    <row r="7128" spans="2:8" hidden="1">
      <c r="B7128" s="200"/>
      <c r="C7128" s="31"/>
      <c r="D7128" s="75"/>
      <c r="E7128" s="771"/>
      <c r="F7128" s="31"/>
      <c r="G7128" s="31"/>
      <c r="H7128" s="31"/>
    </row>
    <row r="7129" spans="2:8" hidden="1">
      <c r="B7129" s="200"/>
      <c r="C7129" s="31"/>
      <c r="D7129" s="75"/>
      <c r="E7129" s="771"/>
      <c r="F7129" s="31"/>
      <c r="G7129" s="31"/>
      <c r="H7129" s="31"/>
    </row>
    <row r="7130" spans="2:8" hidden="1">
      <c r="B7130" s="200"/>
      <c r="C7130" s="31"/>
      <c r="D7130" s="75"/>
      <c r="E7130" s="771"/>
      <c r="F7130" s="31"/>
      <c r="G7130" s="31"/>
      <c r="H7130" s="31"/>
    </row>
    <row r="7131" spans="2:8" hidden="1">
      <c r="B7131" s="200"/>
      <c r="C7131" s="31"/>
      <c r="D7131" s="75"/>
      <c r="E7131" s="771"/>
      <c r="F7131" s="31"/>
      <c r="G7131" s="31"/>
      <c r="H7131" s="31"/>
    </row>
    <row r="7132" spans="2:8" hidden="1">
      <c r="B7132" s="200"/>
      <c r="C7132" s="31"/>
      <c r="D7132" s="75"/>
      <c r="E7132" s="771"/>
      <c r="F7132" s="31"/>
      <c r="G7132" s="31"/>
      <c r="H7132" s="31"/>
    </row>
    <row r="7133" spans="2:8" hidden="1">
      <c r="B7133" s="200"/>
      <c r="C7133" s="31"/>
      <c r="D7133" s="75"/>
      <c r="E7133" s="771"/>
      <c r="F7133" s="31"/>
      <c r="G7133" s="31"/>
      <c r="H7133" s="31"/>
    </row>
    <row r="7134" spans="2:8" hidden="1">
      <c r="B7134" s="200"/>
      <c r="C7134" s="31"/>
      <c r="D7134" s="75"/>
      <c r="E7134" s="771"/>
      <c r="F7134" s="31"/>
      <c r="G7134" s="31"/>
      <c r="H7134" s="31"/>
    </row>
    <row r="7135" spans="2:8" hidden="1">
      <c r="B7135" s="200"/>
      <c r="C7135" s="31"/>
      <c r="D7135" s="75"/>
      <c r="E7135" s="771"/>
      <c r="F7135" s="31"/>
      <c r="G7135" s="31"/>
      <c r="H7135" s="31"/>
    </row>
    <row r="7136" spans="2:8" hidden="1">
      <c r="B7136" s="200"/>
      <c r="C7136" s="31"/>
      <c r="D7136" s="75"/>
      <c r="E7136" s="771"/>
      <c r="F7136" s="31"/>
      <c r="G7136" s="31"/>
      <c r="H7136" s="31"/>
    </row>
    <row r="7137" spans="2:8" hidden="1">
      <c r="B7137" s="200"/>
      <c r="C7137" s="31"/>
      <c r="D7137" s="75"/>
      <c r="E7137" s="771"/>
      <c r="F7137" s="31"/>
      <c r="G7137" s="31"/>
      <c r="H7137" s="31"/>
    </row>
    <row r="7138" spans="2:8" hidden="1">
      <c r="B7138" s="200"/>
      <c r="C7138" s="31"/>
      <c r="D7138" s="75"/>
      <c r="E7138" s="771"/>
      <c r="F7138" s="31"/>
      <c r="G7138" s="31"/>
      <c r="H7138" s="31"/>
    </row>
    <row r="7139" spans="2:8" hidden="1">
      <c r="B7139" s="200"/>
      <c r="C7139" s="31"/>
      <c r="D7139" s="75"/>
      <c r="E7139" s="771"/>
      <c r="F7139" s="31"/>
      <c r="G7139" s="31"/>
      <c r="H7139" s="31"/>
    </row>
    <row r="7140" spans="2:8" hidden="1">
      <c r="B7140" s="200"/>
      <c r="C7140" s="31"/>
      <c r="D7140" s="75"/>
      <c r="E7140" s="771"/>
      <c r="F7140" s="31"/>
      <c r="G7140" s="31"/>
      <c r="H7140" s="31"/>
    </row>
    <row r="7141" spans="2:8" hidden="1">
      <c r="B7141" s="200"/>
      <c r="C7141" s="31"/>
      <c r="D7141" s="75"/>
      <c r="E7141" s="771"/>
      <c r="F7141" s="31"/>
      <c r="G7141" s="31"/>
      <c r="H7141" s="31"/>
    </row>
    <row r="7142" spans="2:8" hidden="1">
      <c r="B7142" s="200"/>
      <c r="C7142" s="31"/>
      <c r="D7142" s="75"/>
      <c r="E7142" s="771"/>
      <c r="F7142" s="31"/>
      <c r="G7142" s="31"/>
      <c r="H7142" s="31"/>
    </row>
    <row r="7143" spans="2:8" hidden="1">
      <c r="B7143" s="200"/>
      <c r="C7143" s="31"/>
      <c r="D7143" s="75"/>
      <c r="E7143" s="771"/>
      <c r="F7143" s="31"/>
      <c r="G7143" s="31"/>
      <c r="H7143" s="31"/>
    </row>
    <row r="7144" spans="2:8" hidden="1">
      <c r="B7144" s="200"/>
      <c r="C7144" s="31"/>
      <c r="D7144" s="75"/>
      <c r="E7144" s="771"/>
      <c r="F7144" s="31"/>
      <c r="G7144" s="31"/>
      <c r="H7144" s="31"/>
    </row>
    <row r="7145" spans="2:8" hidden="1">
      <c r="B7145" s="200"/>
      <c r="C7145" s="31"/>
      <c r="D7145" s="75"/>
      <c r="E7145" s="771"/>
      <c r="F7145" s="31"/>
      <c r="G7145" s="31"/>
      <c r="H7145" s="31"/>
    </row>
    <row r="7146" spans="2:8" hidden="1">
      <c r="B7146" s="200"/>
      <c r="C7146" s="31"/>
      <c r="D7146" s="75"/>
      <c r="E7146" s="771"/>
      <c r="F7146" s="771"/>
      <c r="G7146" s="31"/>
      <c r="H7146" s="31"/>
    </row>
    <row r="7147" spans="2:8" hidden="1">
      <c r="B7147" s="200"/>
      <c r="C7147" s="31"/>
      <c r="D7147" s="75"/>
      <c r="E7147" s="771"/>
      <c r="F7147" s="771"/>
      <c r="G7147" s="31"/>
      <c r="H7147" s="31"/>
    </row>
    <row r="7148" spans="2:8" hidden="1">
      <c r="B7148" s="200"/>
      <c r="C7148" s="31"/>
      <c r="D7148" s="75"/>
      <c r="E7148" s="771"/>
      <c r="F7148" s="771"/>
      <c r="G7148" s="31"/>
      <c r="H7148" s="31"/>
    </row>
    <row r="7149" spans="2:8" hidden="1">
      <c r="B7149" s="200"/>
      <c r="C7149" s="31"/>
      <c r="D7149" s="75"/>
      <c r="E7149" s="771"/>
      <c r="F7149" s="771"/>
      <c r="G7149" s="31"/>
      <c r="H7149" s="31"/>
    </row>
    <row r="7150" spans="2:8" hidden="1">
      <c r="B7150" s="200"/>
      <c r="C7150" s="31"/>
      <c r="D7150" s="75"/>
      <c r="E7150" s="771"/>
      <c r="F7150" s="771"/>
      <c r="G7150" s="31"/>
      <c r="H7150" s="31"/>
    </row>
    <row r="7151" spans="2:8" hidden="1">
      <c r="B7151" s="200"/>
      <c r="C7151" s="31"/>
      <c r="D7151" s="75"/>
      <c r="E7151" s="772"/>
      <c r="F7151" s="772"/>
      <c r="G7151" s="33"/>
      <c r="H7151" s="31"/>
    </row>
    <row r="7152" spans="2:8" hidden="1">
      <c r="B7152" s="33"/>
      <c r="C7152" s="31"/>
      <c r="D7152" s="31"/>
      <c r="E7152" s="31"/>
      <c r="F7152" s="771"/>
      <c r="G7152" s="31"/>
      <c r="H7152" s="31"/>
    </row>
    <row r="7153" spans="2:8" hidden="1">
      <c r="B7153" s="200"/>
      <c r="C7153" s="31"/>
      <c r="D7153" s="75"/>
      <c r="E7153" s="772"/>
      <c r="F7153" s="772"/>
      <c r="G7153" s="33"/>
      <c r="H7153" s="31"/>
    </row>
    <row r="7154" spans="2:8" hidden="1">
      <c r="B7154" s="200"/>
      <c r="C7154" s="31"/>
      <c r="D7154" s="75"/>
      <c r="E7154" s="771"/>
      <c r="F7154" s="771"/>
      <c r="G7154" s="31"/>
      <c r="H7154" s="31"/>
    </row>
    <row r="7155" spans="2:8" hidden="1">
      <c r="B7155" s="200"/>
      <c r="C7155" s="31"/>
      <c r="D7155" s="75"/>
      <c r="E7155" s="771"/>
      <c r="F7155" s="772"/>
      <c r="G7155" s="33"/>
      <c r="H7155" s="31"/>
    </row>
    <row r="7156" spans="2:8" hidden="1">
      <c r="B7156" s="200"/>
      <c r="C7156" s="31"/>
      <c r="D7156" s="75"/>
      <c r="E7156" s="771"/>
      <c r="F7156" s="771"/>
      <c r="G7156" s="31"/>
      <c r="H7156" s="31"/>
    </row>
    <row r="7157" spans="2:8" hidden="1">
      <c r="B7157" s="200"/>
      <c r="C7157" s="31"/>
      <c r="D7157" s="75"/>
      <c r="E7157" s="771"/>
      <c r="F7157" s="771"/>
      <c r="G7157" s="31"/>
      <c r="H7157" s="31"/>
    </row>
    <row r="7158" spans="2:8" hidden="1">
      <c r="B7158" s="200"/>
      <c r="C7158" s="31"/>
      <c r="D7158" s="75"/>
      <c r="E7158" s="772"/>
      <c r="F7158" s="772"/>
      <c r="G7158" s="33"/>
      <c r="H7158" s="31"/>
    </row>
    <row r="7159" spans="2:8" hidden="1">
      <c r="B7159" s="33"/>
      <c r="C7159" s="31"/>
      <c r="D7159" s="31"/>
      <c r="E7159" s="31"/>
      <c r="F7159" s="31"/>
      <c r="G7159" s="31"/>
      <c r="H7159" s="31"/>
    </row>
    <row r="7160" spans="2:8" hidden="1">
      <c r="B7160" s="200"/>
      <c r="C7160" s="31"/>
      <c r="D7160" s="75"/>
      <c r="E7160" s="31"/>
      <c r="F7160" s="31"/>
      <c r="G7160" s="31"/>
      <c r="H7160" s="31"/>
    </row>
    <row r="7161" spans="2:8" hidden="1">
      <c r="B7161" s="200"/>
      <c r="C7161" s="31"/>
      <c r="D7161" s="75"/>
      <c r="E7161" s="33"/>
      <c r="F7161" s="33"/>
      <c r="G7161" s="33"/>
      <c r="H7161" s="31"/>
    </row>
    <row r="7162" spans="2:8" hidden="1">
      <c r="B7162" s="200"/>
      <c r="C7162" s="31"/>
      <c r="D7162" s="75"/>
      <c r="E7162" s="31"/>
      <c r="F7162" s="31"/>
      <c r="G7162" s="31"/>
      <c r="H7162" s="31"/>
    </row>
    <row r="7163" spans="2:8" hidden="1">
      <c r="B7163" s="33"/>
      <c r="C7163" s="31"/>
      <c r="D7163" s="31"/>
      <c r="E7163" s="31"/>
      <c r="F7163" s="31"/>
      <c r="G7163" s="31"/>
      <c r="H7163" s="31"/>
    </row>
    <row r="7164" spans="2:8" hidden="1">
      <c r="B7164" s="200"/>
      <c r="C7164" s="31"/>
      <c r="D7164" s="75"/>
      <c r="E7164" s="33"/>
      <c r="F7164" s="33"/>
      <c r="G7164" s="33"/>
      <c r="H7164" s="31"/>
    </row>
    <row r="7165" spans="2:8" hidden="1">
      <c r="B7165" s="200"/>
      <c r="C7165" s="31"/>
      <c r="D7165" s="75"/>
      <c r="E7165" s="33"/>
      <c r="F7165" s="33"/>
      <c r="G7165" s="33"/>
      <c r="H7165" s="31"/>
    </row>
    <row r="7166" spans="2:8" hidden="1">
      <c r="B7166" s="200"/>
      <c r="C7166" s="31"/>
      <c r="D7166" s="75"/>
      <c r="E7166" s="33"/>
      <c r="F7166" s="33"/>
      <c r="G7166" s="33"/>
      <c r="H7166" s="31"/>
    </row>
    <row r="7167" spans="2:8" hidden="1">
      <c r="B7167" s="200"/>
      <c r="C7167" s="31"/>
      <c r="D7167" s="75"/>
      <c r="E7167" s="33"/>
      <c r="F7167" s="33"/>
      <c r="G7167" s="33"/>
      <c r="H7167" s="31"/>
    </row>
    <row r="7168" spans="2:8" hidden="1">
      <c r="B7168" s="200"/>
      <c r="C7168" s="31"/>
      <c r="D7168" s="75"/>
      <c r="E7168" s="33"/>
      <c r="F7168" s="33"/>
      <c r="G7168" s="33"/>
      <c r="H7168" s="31"/>
    </row>
    <row r="7169" spans="2:8" hidden="1">
      <c r="B7169" s="200"/>
      <c r="C7169" s="31"/>
      <c r="D7169" s="75"/>
      <c r="E7169" s="33"/>
      <c r="F7169" s="33"/>
      <c r="G7169" s="33"/>
      <c r="H7169" s="31"/>
    </row>
    <row r="7170" spans="2:8" hidden="1">
      <c r="B7170" s="200"/>
      <c r="C7170" s="31"/>
      <c r="D7170" s="75"/>
      <c r="E7170" s="33"/>
      <c r="F7170" s="33"/>
      <c r="G7170" s="33"/>
      <c r="H7170" s="31"/>
    </row>
    <row r="7171" spans="2:8" hidden="1">
      <c r="B7171" s="200"/>
      <c r="C7171" s="31"/>
      <c r="D7171" s="75"/>
      <c r="E7171" s="33"/>
      <c r="F7171" s="33"/>
      <c r="G7171" s="33"/>
      <c r="H7171" s="31"/>
    </row>
    <row r="7172" spans="2:8" hidden="1">
      <c r="B7172" s="200"/>
      <c r="C7172" s="31"/>
      <c r="D7172" s="75"/>
      <c r="E7172" s="33"/>
      <c r="F7172" s="33"/>
      <c r="G7172" s="33"/>
      <c r="H7172" s="31"/>
    </row>
    <row r="7173" spans="2:8" hidden="1">
      <c r="B7173" s="200"/>
      <c r="C7173" s="31"/>
      <c r="D7173" s="75"/>
      <c r="E7173" s="33"/>
      <c r="F7173" s="33"/>
      <c r="G7173" s="33"/>
      <c r="H7173" s="31"/>
    </row>
    <row r="7174" spans="2:8" hidden="1">
      <c r="B7174" s="200"/>
      <c r="C7174" s="31"/>
      <c r="D7174" s="75"/>
      <c r="E7174" s="33"/>
      <c r="F7174" s="33"/>
      <c r="G7174" s="33"/>
      <c r="H7174" s="31"/>
    </row>
    <row r="7175" spans="2:8" hidden="1">
      <c r="B7175" s="200"/>
      <c r="C7175" s="31"/>
      <c r="D7175" s="75"/>
      <c r="E7175" s="31"/>
      <c r="F7175" s="31"/>
      <c r="G7175" s="31"/>
      <c r="H7175" s="31"/>
    </row>
    <row r="7176" spans="2:8" hidden="1">
      <c r="B7176" s="33"/>
      <c r="C7176" s="31"/>
      <c r="D7176" s="31"/>
      <c r="E7176" s="31"/>
      <c r="F7176" s="31"/>
      <c r="G7176" s="31"/>
      <c r="H7176" s="31"/>
    </row>
    <row r="7177" spans="2:8" hidden="1">
      <c r="B7177" s="200"/>
      <c r="C7177" s="31"/>
      <c r="D7177" s="75"/>
      <c r="E7177" s="771"/>
      <c r="F7177" s="771"/>
      <c r="G7177" s="31"/>
      <c r="H7177" s="31"/>
    </row>
    <row r="7178" spans="2:8" hidden="1">
      <c r="B7178" s="200"/>
      <c r="C7178" s="31"/>
      <c r="D7178" s="75"/>
      <c r="E7178" s="771"/>
      <c r="F7178" s="771"/>
      <c r="G7178" s="31"/>
      <c r="H7178" s="31"/>
    </row>
    <row r="7179" spans="2:8" hidden="1">
      <c r="B7179" s="200"/>
      <c r="C7179" s="31"/>
      <c r="D7179" s="75"/>
      <c r="E7179" s="771"/>
      <c r="F7179" s="771"/>
      <c r="G7179" s="31"/>
      <c r="H7179" s="31"/>
    </row>
    <row r="7180" spans="2:8" hidden="1">
      <c r="B7180" s="200"/>
      <c r="C7180" s="31"/>
      <c r="D7180" s="75"/>
      <c r="E7180" s="772"/>
      <c r="F7180" s="772"/>
      <c r="G7180" s="33"/>
      <c r="H7180" s="31"/>
    </row>
    <row r="7181" spans="2:8" hidden="1">
      <c r="B7181" s="33"/>
      <c r="C7181" s="31"/>
      <c r="D7181" s="31"/>
      <c r="E7181" s="31"/>
      <c r="F7181" s="31"/>
      <c r="G7181" s="31"/>
      <c r="H7181" s="31"/>
    </row>
    <row r="7182" spans="2:8" hidden="1">
      <c r="B7182" s="200"/>
      <c r="C7182" s="31"/>
      <c r="D7182" s="75"/>
      <c r="E7182" s="771"/>
      <c r="F7182" s="771"/>
      <c r="G7182" s="31"/>
      <c r="H7182" s="31"/>
    </row>
    <row r="7183" spans="2:8" hidden="1">
      <c r="B7183" s="200"/>
      <c r="C7183" s="31"/>
      <c r="D7183" s="75"/>
      <c r="E7183" s="33"/>
      <c r="F7183" s="33"/>
      <c r="G7183" s="33"/>
      <c r="H7183" s="31"/>
    </row>
    <row r="7184" spans="2:8" hidden="1">
      <c r="B7184" s="200"/>
      <c r="C7184" s="31"/>
      <c r="D7184" s="75"/>
      <c r="E7184" s="33"/>
      <c r="F7184" s="33"/>
      <c r="G7184" s="33"/>
      <c r="H7184" s="31"/>
    </row>
    <row r="7185" spans="2:8" hidden="1">
      <c r="B7185" s="200"/>
      <c r="C7185" s="31"/>
      <c r="D7185" s="75"/>
      <c r="E7185" s="33"/>
      <c r="F7185" s="33"/>
      <c r="G7185" s="33"/>
      <c r="H7185" s="31"/>
    </row>
    <row r="7186" spans="2:8" hidden="1">
      <c r="B7186" s="200"/>
      <c r="C7186" s="31"/>
      <c r="D7186" s="75"/>
      <c r="E7186" s="33"/>
      <c r="F7186" s="33"/>
      <c r="G7186" s="33"/>
      <c r="H7186" s="31"/>
    </row>
    <row r="7187" spans="2:8" hidden="1">
      <c r="B7187" s="200"/>
      <c r="C7187" s="31"/>
      <c r="D7187" s="75"/>
      <c r="E7187" s="33"/>
      <c r="F7187" s="33"/>
      <c r="G7187" s="33"/>
      <c r="H7187" s="31"/>
    </row>
    <row r="7188" spans="2:8" hidden="1">
      <c r="B7188" s="200"/>
      <c r="C7188" s="31"/>
      <c r="D7188" s="75"/>
      <c r="E7188" s="33"/>
      <c r="F7188" s="33"/>
      <c r="G7188" s="33"/>
      <c r="H7188" s="31"/>
    </row>
    <row r="7189" spans="2:8" hidden="1">
      <c r="B7189" s="33"/>
      <c r="C7189" s="200"/>
      <c r="D7189" s="75"/>
      <c r="E7189" s="31"/>
      <c r="F7189" s="31"/>
      <c r="G7189" s="31"/>
      <c r="H7189" s="31"/>
    </row>
    <row r="7190" spans="2:8" hidden="1">
      <c r="B7190" s="33"/>
      <c r="C7190" s="31"/>
      <c r="D7190" s="31"/>
      <c r="E7190" s="33"/>
      <c r="F7190" s="33"/>
      <c r="G7190" s="33"/>
      <c r="H7190" s="31"/>
    </row>
    <row r="7191" spans="2:8" hidden="1">
      <c r="B7191" s="33"/>
      <c r="C7191" s="31"/>
      <c r="D7191" s="31"/>
      <c r="E7191" s="33"/>
      <c r="F7191" s="33"/>
      <c r="G7191" s="33"/>
      <c r="H7191" s="31"/>
    </row>
    <row r="7192" spans="2:8" hidden="1">
      <c r="B7192" s="405"/>
      <c r="C7192" s="31"/>
      <c r="D7192" s="31"/>
      <c r="E7192" s="31"/>
      <c r="F7192" s="31"/>
      <c r="G7192" s="31"/>
      <c r="H7192" s="31"/>
    </row>
    <row r="7193" spans="2:8" hidden="1">
      <c r="B7193" s="405"/>
      <c r="C7193" s="31"/>
      <c r="D7193" s="31"/>
      <c r="E7193" s="31"/>
      <c r="F7193" s="691"/>
      <c r="G7193" s="75"/>
      <c r="H7193" s="31"/>
    </row>
    <row r="7194" spans="2:8" hidden="1">
      <c r="B7194" s="405"/>
      <c r="C7194" s="31"/>
      <c r="D7194" s="31"/>
      <c r="E7194" s="31"/>
      <c r="F7194" s="691"/>
      <c r="G7194" s="75"/>
      <c r="H7194" s="31"/>
    </row>
    <row r="7195" spans="2:8" hidden="1">
      <c r="B7195" s="405"/>
      <c r="C7195" s="31"/>
      <c r="D7195" s="31"/>
      <c r="E7195" s="31"/>
      <c r="F7195" s="691"/>
      <c r="G7195" s="75"/>
      <c r="H7195" s="31"/>
    </row>
    <row r="7196" spans="2:8" hidden="1">
      <c r="B7196" s="405"/>
      <c r="C7196" s="31"/>
      <c r="D7196" s="31"/>
      <c r="E7196" s="31"/>
      <c r="F7196" s="691"/>
      <c r="G7196" s="75"/>
      <c r="H7196" s="31"/>
    </row>
    <row r="7197" spans="2:8" hidden="1">
      <c r="B7197" s="405"/>
      <c r="C7197" s="31"/>
      <c r="D7197" s="31"/>
      <c r="E7197" s="31"/>
      <c r="F7197" s="691"/>
      <c r="G7197" s="75"/>
      <c r="H7197" s="31"/>
    </row>
    <row r="7198" spans="2:8" hidden="1">
      <c r="B7198" s="405"/>
      <c r="C7198" s="31"/>
      <c r="D7198" s="31"/>
      <c r="E7198" s="31"/>
      <c r="F7198" s="691"/>
      <c r="G7198" s="75"/>
      <c r="H7198" s="31"/>
    </row>
    <row r="7199" spans="2:8" hidden="1">
      <c r="B7199" s="405"/>
      <c r="C7199" s="31"/>
      <c r="D7199" s="31"/>
      <c r="E7199" s="31"/>
      <c r="F7199" s="691"/>
      <c r="G7199" s="75"/>
      <c r="H7199" s="31"/>
    </row>
    <row r="7200" spans="2:8" hidden="1">
      <c r="B7200" s="405"/>
      <c r="C7200" s="31"/>
      <c r="D7200" s="31"/>
      <c r="E7200" s="31"/>
      <c r="F7200" s="691"/>
      <c r="G7200" s="75"/>
      <c r="H7200" s="31"/>
    </row>
    <row r="7201" spans="2:8" hidden="1">
      <c r="B7201" s="405"/>
      <c r="C7201" s="31"/>
      <c r="D7201" s="31"/>
      <c r="E7201" s="31"/>
      <c r="F7201" s="691"/>
      <c r="G7201" s="75"/>
      <c r="H7201" s="31"/>
    </row>
    <row r="7202" spans="2:8" hidden="1">
      <c r="B7202" s="405"/>
      <c r="C7202" s="31"/>
      <c r="D7202" s="31"/>
      <c r="E7202" s="31"/>
      <c r="F7202" s="691"/>
      <c r="G7202" s="75"/>
      <c r="H7202" s="31"/>
    </row>
    <row r="7203" spans="2:8" hidden="1">
      <c r="B7203" s="405"/>
      <c r="C7203" s="31"/>
      <c r="D7203" s="31"/>
      <c r="E7203" s="31"/>
      <c r="F7203" s="691"/>
      <c r="G7203" s="75"/>
      <c r="H7203" s="31"/>
    </row>
    <row r="7204" spans="2:8" hidden="1">
      <c r="B7204" s="405"/>
      <c r="C7204" s="31"/>
      <c r="D7204" s="31"/>
      <c r="E7204" s="31"/>
      <c r="F7204" s="691"/>
      <c r="G7204" s="75"/>
      <c r="H7204" s="31"/>
    </row>
    <row r="7205" spans="2:8" hidden="1">
      <c r="B7205" s="405"/>
      <c r="C7205" s="31"/>
      <c r="D7205" s="31"/>
      <c r="E7205" s="31"/>
      <c r="F7205" s="691"/>
      <c r="G7205" s="75"/>
      <c r="H7205" s="31"/>
    </row>
    <row r="7206" spans="2:8" hidden="1">
      <c r="B7206" s="405"/>
      <c r="C7206" s="31"/>
      <c r="D7206" s="31"/>
      <c r="E7206" s="31"/>
      <c r="F7206" s="691"/>
      <c r="G7206" s="75"/>
      <c r="H7206" s="31"/>
    </row>
    <row r="7207" spans="2:8" hidden="1">
      <c r="B7207" s="405"/>
      <c r="C7207" s="31"/>
      <c r="D7207" s="31"/>
      <c r="E7207" s="31"/>
      <c r="F7207" s="691"/>
      <c r="G7207" s="31"/>
      <c r="H7207" s="31"/>
    </row>
    <row r="7208" spans="2:8" hidden="1">
      <c r="B7208" s="405"/>
      <c r="C7208" s="31"/>
      <c r="D7208" s="31"/>
      <c r="E7208" s="31"/>
      <c r="F7208" s="691"/>
      <c r="G7208" s="31"/>
      <c r="H7208" s="31"/>
    </row>
    <row r="7209" spans="2:8" hidden="1">
      <c r="B7209" s="405"/>
      <c r="C7209" s="31"/>
      <c r="D7209" s="31"/>
      <c r="E7209" s="31"/>
      <c r="F7209" s="691"/>
      <c r="G7209" s="31"/>
      <c r="H7209" s="31"/>
    </row>
    <row r="7210" spans="2:8" hidden="1">
      <c r="B7210" s="405"/>
      <c r="C7210" s="31"/>
      <c r="D7210" s="31"/>
      <c r="E7210" s="31"/>
      <c r="F7210" s="691"/>
      <c r="G7210" s="31"/>
      <c r="H7210" s="31"/>
    </row>
    <row r="7211" spans="2:8" hidden="1">
      <c r="B7211" s="405"/>
      <c r="C7211" s="31"/>
      <c r="D7211" s="31"/>
      <c r="E7211" s="31"/>
      <c r="F7211" s="691"/>
      <c r="G7211" s="31"/>
      <c r="H7211" s="31"/>
    </row>
    <row r="7212" spans="2:8" hidden="1">
      <c r="B7212" s="405"/>
      <c r="C7212" s="31"/>
      <c r="D7212" s="31"/>
      <c r="E7212" s="31"/>
      <c r="F7212" s="691"/>
      <c r="G7212" s="31"/>
      <c r="H7212" s="31"/>
    </row>
    <row r="7213" spans="2:8" hidden="1">
      <c r="B7213" s="405"/>
      <c r="C7213" s="31"/>
      <c r="D7213" s="31"/>
      <c r="E7213" s="31"/>
      <c r="F7213" s="691"/>
      <c r="G7213" s="31"/>
      <c r="H7213" s="31"/>
    </row>
    <row r="7214" spans="2:8" hidden="1">
      <c r="B7214" s="405"/>
      <c r="C7214" s="31"/>
      <c r="D7214" s="31"/>
      <c r="E7214" s="31"/>
      <c r="F7214" s="691"/>
      <c r="G7214" s="31"/>
      <c r="H7214" s="31"/>
    </row>
    <row r="7215" spans="2:8" hidden="1">
      <c r="B7215" s="405"/>
      <c r="C7215" s="31"/>
      <c r="D7215" s="31"/>
      <c r="E7215" s="31"/>
      <c r="F7215" s="691"/>
      <c r="G7215" s="31"/>
      <c r="H7215" s="31"/>
    </row>
    <row r="7216" spans="2:8" hidden="1">
      <c r="B7216" s="405"/>
      <c r="C7216" s="31"/>
      <c r="D7216" s="31"/>
      <c r="E7216" s="31"/>
      <c r="F7216" s="691"/>
      <c r="G7216" s="31"/>
      <c r="H7216" s="31"/>
    </row>
    <row r="7217" spans="2:8" hidden="1">
      <c r="B7217" s="33"/>
      <c r="C7217" s="31"/>
      <c r="D7217" s="31"/>
      <c r="E7217" s="31"/>
      <c r="F7217" s="691"/>
      <c r="G7217" s="75"/>
      <c r="H7217" s="31"/>
    </row>
    <row r="7218" spans="2:8" hidden="1">
      <c r="B7218" s="33"/>
      <c r="C7218" s="31"/>
      <c r="D7218" s="31"/>
      <c r="E7218" s="31"/>
      <c r="F7218" s="691"/>
      <c r="G7218" s="75"/>
      <c r="H7218" s="31"/>
    </row>
    <row r="7219" spans="2:8" hidden="1">
      <c r="B7219" s="33"/>
      <c r="C7219" s="31"/>
      <c r="D7219" s="31"/>
      <c r="E7219" s="31"/>
      <c r="F7219" s="691"/>
      <c r="G7219" s="31"/>
      <c r="H7219" s="31"/>
    </row>
    <row r="7220" spans="2:8" hidden="1">
      <c r="B7220" s="33"/>
      <c r="C7220" s="31"/>
      <c r="D7220" s="31"/>
      <c r="E7220" s="31"/>
      <c r="F7220" s="31"/>
      <c r="G7220" s="31"/>
      <c r="H7220" s="31"/>
    </row>
    <row r="7221" spans="2:8" hidden="1">
      <c r="B7221" s="33"/>
      <c r="C7221" s="31"/>
      <c r="D7221" s="31"/>
      <c r="E7221" s="31"/>
      <c r="F7221" s="31"/>
      <c r="G7221" s="31"/>
      <c r="H7221" s="31"/>
    </row>
    <row r="7222" spans="2:8" hidden="1">
      <c r="B7222" s="33"/>
      <c r="C7222" s="31"/>
      <c r="D7222" s="31"/>
      <c r="E7222" s="31"/>
      <c r="F7222" s="31"/>
      <c r="G7222" s="31"/>
      <c r="H7222" s="31"/>
    </row>
    <row r="7223" spans="2:8" hidden="1">
      <c r="B7223" s="33"/>
      <c r="C7223" s="31"/>
      <c r="D7223" s="31"/>
      <c r="E7223" s="31"/>
      <c r="F7223" s="31"/>
      <c r="G7223" s="31"/>
      <c r="H7223" s="31"/>
    </row>
    <row r="7224" spans="2:8" hidden="1">
      <c r="B7224" s="33"/>
      <c r="C7224" s="31"/>
      <c r="D7224" s="31"/>
      <c r="E7224" s="31"/>
      <c r="F7224" s="31"/>
      <c r="G7224" s="31"/>
      <c r="H7224" s="31"/>
    </row>
    <row r="7225" spans="2:8" hidden="1">
      <c r="B7225" s="33"/>
      <c r="C7225" s="31"/>
      <c r="D7225" s="31"/>
      <c r="E7225" s="31"/>
      <c r="F7225" s="31"/>
      <c r="G7225" s="31"/>
      <c r="H7225" s="31"/>
    </row>
    <row r="7226" spans="2:8" hidden="1">
      <c r="B7226" s="33"/>
      <c r="C7226" s="31"/>
      <c r="D7226" s="31"/>
      <c r="E7226" s="31"/>
      <c r="F7226" s="31"/>
      <c r="G7226" s="31"/>
      <c r="H7226" s="31"/>
    </row>
    <row r="7227" spans="2:8" hidden="1">
      <c r="B7227" s="33"/>
      <c r="C7227" s="31"/>
      <c r="D7227" s="31"/>
      <c r="E7227" s="31"/>
      <c r="F7227" s="31"/>
      <c r="G7227" s="31"/>
      <c r="H7227" s="31"/>
    </row>
    <row r="7228" spans="2:8" hidden="1">
      <c r="B7228" s="33"/>
      <c r="C7228" s="31"/>
      <c r="D7228" s="33"/>
      <c r="E7228" s="33"/>
      <c r="F7228" s="33"/>
      <c r="G7228" s="33"/>
      <c r="H7228" s="31"/>
    </row>
    <row r="7229" spans="2:8" hidden="1">
      <c r="B7229" s="33"/>
      <c r="C7229" s="31"/>
      <c r="D7229" s="33"/>
      <c r="E7229" s="33"/>
      <c r="F7229" s="33"/>
      <c r="G7229" s="33"/>
      <c r="H7229" s="31"/>
    </row>
    <row r="7230" spans="2:8" hidden="1">
      <c r="B7230" s="200"/>
      <c r="C7230" s="31"/>
      <c r="D7230" s="75"/>
      <c r="E7230" s="771"/>
      <c r="F7230" s="771"/>
      <c r="G7230" s="31"/>
      <c r="H7230" s="31"/>
    </row>
    <row r="7231" spans="2:8" hidden="1">
      <c r="B7231" s="200"/>
      <c r="C7231" s="31"/>
      <c r="D7231" s="75"/>
      <c r="E7231" s="771"/>
      <c r="F7231" s="771"/>
      <c r="G7231" s="31"/>
      <c r="H7231" s="31"/>
    </row>
    <row r="7232" spans="2:8" hidden="1">
      <c r="B7232" s="200"/>
      <c r="C7232" s="31"/>
      <c r="D7232" s="75"/>
      <c r="E7232" s="771"/>
      <c r="F7232" s="771"/>
      <c r="G7232" s="31"/>
      <c r="H7232" s="31"/>
    </row>
    <row r="7233" spans="2:8" hidden="1">
      <c r="B7233" s="200"/>
      <c r="C7233" s="31"/>
      <c r="D7233" s="75"/>
      <c r="E7233" s="771"/>
      <c r="F7233" s="771"/>
      <c r="G7233" s="31"/>
      <c r="H7233" s="31"/>
    </row>
    <row r="7234" spans="2:8" hidden="1">
      <c r="B7234" s="200"/>
      <c r="C7234" s="31"/>
      <c r="D7234" s="75"/>
      <c r="E7234" s="771"/>
      <c r="F7234" s="771"/>
      <c r="G7234" s="31"/>
      <c r="H7234" s="31"/>
    </row>
    <row r="7235" spans="2:8" hidden="1">
      <c r="B7235" s="200"/>
      <c r="C7235" s="31"/>
      <c r="D7235" s="75"/>
      <c r="E7235" s="771"/>
      <c r="F7235" s="771"/>
      <c r="G7235" s="31"/>
      <c r="H7235" s="31"/>
    </row>
    <row r="7236" spans="2:8" hidden="1">
      <c r="B7236" s="200"/>
      <c r="C7236" s="31"/>
      <c r="D7236" s="75"/>
      <c r="E7236" s="772"/>
      <c r="F7236" s="772"/>
      <c r="G7236" s="33"/>
      <c r="H7236" s="31"/>
    </row>
    <row r="7237" spans="2:8" hidden="1">
      <c r="B7237" s="200"/>
      <c r="C7237" s="31"/>
      <c r="D7237" s="75"/>
      <c r="E7237" s="771"/>
      <c r="F7237" s="771"/>
      <c r="G7237" s="31"/>
      <c r="H7237" s="31"/>
    </row>
    <row r="7238" spans="2:8" hidden="1">
      <c r="B7238" s="200"/>
      <c r="C7238" s="31"/>
      <c r="D7238" s="75"/>
      <c r="E7238" s="771"/>
      <c r="F7238" s="771"/>
      <c r="G7238" s="31"/>
      <c r="H7238" s="31"/>
    </row>
    <row r="7239" spans="2:8" hidden="1">
      <c r="B7239" s="200"/>
      <c r="C7239" s="31"/>
      <c r="D7239" s="75"/>
      <c r="E7239" s="772"/>
      <c r="F7239" s="772"/>
      <c r="G7239" s="33"/>
      <c r="H7239" s="31"/>
    </row>
    <row r="7240" spans="2:8" hidden="1">
      <c r="B7240" s="33"/>
      <c r="C7240" s="200"/>
      <c r="D7240" s="75"/>
      <c r="E7240" s="771"/>
      <c r="F7240" s="771"/>
      <c r="G7240" s="31"/>
      <c r="H7240" s="31"/>
    </row>
    <row r="7241" spans="2:8" hidden="1">
      <c r="B7241" s="33"/>
      <c r="C7241" s="31"/>
      <c r="D7241" s="104"/>
      <c r="E7241" s="772"/>
      <c r="F7241" s="772"/>
      <c r="G7241" s="33"/>
      <c r="H7241" s="31"/>
    </row>
    <row r="7242" spans="2:8" hidden="1">
      <c r="B7242" s="33"/>
      <c r="C7242" s="31"/>
      <c r="D7242" s="31"/>
      <c r="E7242" s="31"/>
      <c r="F7242" s="31"/>
      <c r="G7242" s="31"/>
      <c r="H7242" s="31"/>
    </row>
    <row r="7243" spans="2:8" hidden="1">
      <c r="B7243" s="33"/>
      <c r="C7243" s="31"/>
      <c r="D7243" s="31"/>
      <c r="E7243" s="31"/>
      <c r="F7243" s="31"/>
      <c r="G7243" s="31"/>
      <c r="H7243" s="31"/>
    </row>
    <row r="7244" spans="2:8" hidden="1">
      <c r="B7244" s="33"/>
      <c r="C7244" s="31"/>
      <c r="D7244" s="31"/>
      <c r="E7244" s="31"/>
      <c r="F7244" s="691"/>
      <c r="G7244" s="75"/>
      <c r="H7244" s="31"/>
    </row>
    <row r="7245" spans="2:8" hidden="1">
      <c r="B7245" s="33"/>
      <c r="C7245" s="31"/>
      <c r="D7245" s="31"/>
      <c r="E7245" s="31"/>
      <c r="F7245" s="691"/>
      <c r="G7245" s="75"/>
      <c r="H7245" s="31"/>
    </row>
    <row r="7246" spans="2:8" hidden="1">
      <c r="B7246" s="33"/>
      <c r="C7246" s="31"/>
      <c r="D7246" s="31"/>
      <c r="E7246" s="31"/>
      <c r="F7246" s="691"/>
      <c r="G7246" s="75"/>
      <c r="H7246" s="31"/>
    </row>
    <row r="7247" spans="2:8" hidden="1">
      <c r="B7247" s="33"/>
      <c r="C7247" s="31"/>
      <c r="D7247" s="31"/>
      <c r="E7247" s="31"/>
      <c r="F7247" s="691"/>
      <c r="G7247" s="75"/>
      <c r="H7247" s="31"/>
    </row>
    <row r="7248" spans="2:8" hidden="1">
      <c r="B7248" s="33"/>
      <c r="C7248" s="31"/>
      <c r="D7248" s="31"/>
      <c r="E7248" s="31"/>
      <c r="F7248" s="691"/>
      <c r="G7248" s="75"/>
      <c r="H7248" s="31"/>
    </row>
    <row r="7249" spans="2:8" hidden="1">
      <c r="B7249" s="33"/>
      <c r="C7249" s="31"/>
      <c r="D7249" s="31"/>
      <c r="E7249" s="31"/>
      <c r="F7249" s="691"/>
      <c r="G7249" s="31"/>
      <c r="H7249" s="31"/>
    </row>
    <row r="7250" spans="2:8" hidden="1">
      <c r="B7250" s="33"/>
      <c r="C7250" s="31"/>
      <c r="D7250" s="31"/>
      <c r="E7250" s="31"/>
      <c r="F7250" s="691"/>
      <c r="G7250" s="75"/>
      <c r="H7250" s="31"/>
    </row>
    <row r="7251" spans="2:8" hidden="1">
      <c r="B7251" s="33"/>
      <c r="C7251" s="31"/>
      <c r="D7251" s="31"/>
      <c r="E7251" s="31"/>
      <c r="F7251" s="691"/>
      <c r="G7251" s="75"/>
      <c r="H7251" s="31"/>
    </row>
    <row r="7252" spans="2:8" hidden="1">
      <c r="B7252" s="33"/>
      <c r="C7252" s="31"/>
      <c r="D7252" s="31"/>
      <c r="E7252" s="31"/>
      <c r="F7252" s="691"/>
      <c r="G7252" s="75"/>
      <c r="H7252" s="31"/>
    </row>
    <row r="7253" spans="2:8" hidden="1">
      <c r="B7253" s="33"/>
      <c r="C7253" s="31"/>
      <c r="D7253" s="31"/>
      <c r="E7253" s="31"/>
      <c r="F7253" s="691"/>
      <c r="G7253" s="75"/>
      <c r="H7253" s="31"/>
    </row>
    <row r="7254" spans="2:8" hidden="1">
      <c r="B7254" s="33"/>
      <c r="C7254" s="31"/>
      <c r="D7254" s="31"/>
      <c r="E7254" s="31"/>
      <c r="F7254" s="691"/>
      <c r="G7254" s="31"/>
      <c r="H7254" s="31"/>
    </row>
    <row r="7255" spans="2:8" hidden="1">
      <c r="B7255" s="33"/>
      <c r="C7255" s="31"/>
      <c r="D7255" s="31"/>
      <c r="E7255" s="31"/>
      <c r="F7255" s="31"/>
      <c r="G7255" s="31"/>
      <c r="H7255" s="31"/>
    </row>
    <row r="7256" spans="2:8" hidden="1">
      <c r="B7256" s="33"/>
      <c r="C7256" s="31"/>
      <c r="D7256" s="31"/>
      <c r="E7256" s="31"/>
      <c r="F7256" s="31"/>
      <c r="G7256" s="31"/>
      <c r="H7256" s="31"/>
    </row>
    <row r="7257" spans="2:8" hidden="1">
      <c r="B7257" s="33"/>
      <c r="C7257" s="31"/>
      <c r="D7257" s="31"/>
      <c r="E7257" s="31"/>
      <c r="F7257" s="31"/>
      <c r="G7257" s="31"/>
      <c r="H7257" s="31"/>
    </row>
    <row r="7258" spans="2:8" hidden="1">
      <c r="B7258" s="33"/>
      <c r="C7258" s="31"/>
      <c r="D7258" s="31"/>
      <c r="E7258" s="31"/>
      <c r="F7258" s="31"/>
      <c r="G7258" s="31"/>
      <c r="H7258" s="31"/>
    </row>
    <row r="7259" spans="2:8" hidden="1">
      <c r="B7259" s="33"/>
      <c r="C7259" s="31"/>
      <c r="D7259" s="31"/>
      <c r="E7259" s="31"/>
      <c r="F7259" s="31"/>
      <c r="G7259" s="31"/>
      <c r="H7259" s="31"/>
    </row>
    <row r="7260" spans="2:8" hidden="1">
      <c r="B7260" s="33"/>
      <c r="C7260" s="31"/>
      <c r="D7260" s="31"/>
      <c r="E7260" s="31"/>
      <c r="F7260" s="31"/>
      <c r="G7260" s="31"/>
      <c r="H7260" s="31"/>
    </row>
    <row r="7261" spans="2:8" hidden="1">
      <c r="B7261" s="33"/>
      <c r="C7261" s="31"/>
      <c r="D7261" s="31"/>
      <c r="E7261" s="31"/>
      <c r="F7261" s="31"/>
      <c r="G7261" s="31"/>
      <c r="H7261" s="31"/>
    </row>
    <row r="7262" spans="2:8" hidden="1">
      <c r="B7262" s="33"/>
      <c r="C7262" s="31"/>
      <c r="D7262" s="31"/>
      <c r="E7262" s="31"/>
      <c r="F7262" s="31"/>
      <c r="G7262" s="31"/>
      <c r="H7262" s="31"/>
    </row>
    <row r="7263" spans="2:8" hidden="1">
      <c r="B7263" s="33"/>
      <c r="C7263" s="31"/>
      <c r="D7263" s="33"/>
      <c r="E7263" s="33"/>
      <c r="F7263" s="33"/>
      <c r="G7263" s="33"/>
      <c r="H7263" s="31"/>
    </row>
    <row r="7264" spans="2:8" hidden="1">
      <c r="B7264" s="33"/>
      <c r="C7264" s="31"/>
      <c r="D7264" s="33"/>
      <c r="E7264" s="33"/>
      <c r="F7264" s="33"/>
      <c r="G7264" s="33"/>
      <c r="H7264" s="31"/>
    </row>
    <row r="7265" spans="2:8" hidden="1">
      <c r="B7265" s="33"/>
      <c r="C7265" s="31"/>
      <c r="D7265" s="31"/>
      <c r="E7265" s="31"/>
      <c r="F7265" s="31"/>
      <c r="G7265" s="31"/>
      <c r="H7265" s="31"/>
    </row>
    <row r="7266" spans="2:8" hidden="1">
      <c r="B7266" s="200"/>
      <c r="C7266" s="31"/>
      <c r="D7266" s="75"/>
      <c r="E7266" s="31"/>
      <c r="F7266" s="33"/>
      <c r="G7266" s="33"/>
      <c r="H7266" s="31"/>
    </row>
    <row r="7267" spans="2:8" hidden="1">
      <c r="B7267" s="200"/>
      <c r="C7267" s="31"/>
      <c r="D7267" s="75"/>
      <c r="E7267" s="31"/>
      <c r="F7267" s="31"/>
      <c r="G7267" s="31"/>
      <c r="H7267" s="31"/>
    </row>
    <row r="7268" spans="2:8" hidden="1">
      <c r="B7268" s="200"/>
      <c r="C7268" s="31"/>
      <c r="D7268" s="75"/>
      <c r="E7268" s="31"/>
      <c r="F7268" s="33"/>
      <c r="G7268" s="33"/>
      <c r="H7268" s="31"/>
    </row>
    <row r="7269" spans="2:8" hidden="1">
      <c r="B7269" s="200"/>
      <c r="C7269" s="31"/>
      <c r="D7269" s="75"/>
      <c r="E7269" s="31"/>
      <c r="F7269" s="31"/>
      <c r="G7269" s="31"/>
      <c r="H7269" s="31"/>
    </row>
    <row r="7270" spans="2:8" hidden="1">
      <c r="B7270" s="200"/>
      <c r="C7270" s="31"/>
      <c r="D7270" s="75"/>
      <c r="E7270" s="31"/>
      <c r="F7270" s="33"/>
      <c r="G7270" s="33"/>
      <c r="H7270" s="31"/>
    </row>
    <row r="7271" spans="2:8" hidden="1">
      <c r="B7271" s="200"/>
      <c r="C7271" s="31"/>
      <c r="D7271" s="75"/>
      <c r="E7271" s="31"/>
      <c r="F7271" s="31"/>
      <c r="G7271" s="31"/>
      <c r="H7271" s="31"/>
    </row>
    <row r="7272" spans="2:8" hidden="1">
      <c r="B7272" s="33"/>
      <c r="C7272" s="31"/>
      <c r="D7272" s="31"/>
      <c r="E7272" s="31"/>
      <c r="F7272" s="31"/>
      <c r="G7272" s="31"/>
      <c r="H7272" s="31"/>
    </row>
    <row r="7273" spans="2:8" hidden="1">
      <c r="B7273" s="200"/>
      <c r="C7273" s="31"/>
      <c r="D7273" s="75"/>
      <c r="E7273" s="771"/>
      <c r="F7273" s="31"/>
      <c r="G7273" s="31"/>
      <c r="H7273" s="31"/>
    </row>
    <row r="7274" spans="2:8" hidden="1">
      <c r="B7274" s="200"/>
      <c r="C7274" s="31"/>
      <c r="D7274" s="75"/>
      <c r="E7274" s="771"/>
      <c r="F7274" s="31"/>
      <c r="G7274" s="31"/>
      <c r="H7274" s="31"/>
    </row>
    <row r="7275" spans="2:8" hidden="1">
      <c r="B7275" s="200"/>
      <c r="C7275" s="31"/>
      <c r="D7275" s="75"/>
      <c r="E7275" s="771"/>
      <c r="F7275" s="31"/>
      <c r="G7275" s="31"/>
      <c r="H7275" s="31"/>
    </row>
    <row r="7276" spans="2:8" hidden="1">
      <c r="B7276" s="200"/>
      <c r="C7276" s="31"/>
      <c r="D7276" s="75"/>
      <c r="E7276" s="771"/>
      <c r="F7276" s="31"/>
      <c r="G7276" s="31"/>
      <c r="H7276" s="31"/>
    </row>
    <row r="7277" spans="2:8" hidden="1">
      <c r="B7277" s="200"/>
      <c r="C7277" s="31"/>
      <c r="D7277" s="75"/>
      <c r="E7277" s="771"/>
      <c r="F7277" s="31"/>
      <c r="G7277" s="31"/>
      <c r="H7277" s="31"/>
    </row>
    <row r="7278" spans="2:8" hidden="1">
      <c r="B7278" s="200"/>
      <c r="C7278" s="31"/>
      <c r="D7278" s="75"/>
      <c r="E7278" s="771"/>
      <c r="F7278" s="31"/>
      <c r="G7278" s="31"/>
      <c r="H7278" s="31"/>
    </row>
    <row r="7279" spans="2:8" hidden="1">
      <c r="B7279" s="200"/>
      <c r="C7279" s="31"/>
      <c r="D7279" s="75"/>
      <c r="E7279" s="771"/>
      <c r="F7279" s="31"/>
      <c r="G7279" s="31"/>
      <c r="H7279" s="31"/>
    </row>
    <row r="7280" spans="2:8" hidden="1">
      <c r="B7280" s="200"/>
      <c r="C7280" s="31"/>
      <c r="D7280" s="75"/>
      <c r="E7280" s="771"/>
      <c r="F7280" s="31"/>
      <c r="G7280" s="31"/>
      <c r="H7280" s="31"/>
    </row>
    <row r="7281" spans="2:8" hidden="1">
      <c r="B7281" s="200"/>
      <c r="C7281" s="31"/>
      <c r="D7281" s="75"/>
      <c r="E7281" s="771"/>
      <c r="F7281" s="31"/>
      <c r="G7281" s="31"/>
      <c r="H7281" s="31"/>
    </row>
    <row r="7282" spans="2:8" hidden="1">
      <c r="B7282" s="200"/>
      <c r="C7282" s="31"/>
      <c r="D7282" s="75"/>
      <c r="E7282" s="771"/>
      <c r="F7282" s="31"/>
      <c r="G7282" s="31"/>
      <c r="H7282" s="31"/>
    </row>
    <row r="7283" spans="2:8" hidden="1">
      <c r="B7283" s="200"/>
      <c r="C7283" s="31"/>
      <c r="D7283" s="75"/>
      <c r="E7283" s="771"/>
      <c r="F7283" s="31"/>
      <c r="G7283" s="31"/>
      <c r="H7283" s="31"/>
    </row>
    <row r="7284" spans="2:8" hidden="1">
      <c r="B7284" s="200"/>
      <c r="C7284" s="31"/>
      <c r="D7284" s="75"/>
      <c r="E7284" s="771"/>
      <c r="F7284" s="771"/>
      <c r="G7284" s="31"/>
      <c r="H7284" s="31"/>
    </row>
    <row r="7285" spans="2:8" hidden="1">
      <c r="B7285" s="200"/>
      <c r="C7285" s="31"/>
      <c r="D7285" s="75"/>
      <c r="E7285" s="771"/>
      <c r="F7285" s="31"/>
      <c r="G7285" s="31"/>
      <c r="H7285" s="31"/>
    </row>
    <row r="7286" spans="2:8" hidden="1">
      <c r="B7286" s="200"/>
      <c r="C7286" s="31"/>
      <c r="D7286" s="75"/>
      <c r="E7286" s="771"/>
      <c r="F7286" s="31"/>
      <c r="G7286" s="31"/>
      <c r="H7286" s="31"/>
    </row>
    <row r="7287" spans="2:8" hidden="1">
      <c r="B7287" s="200"/>
      <c r="C7287" s="31"/>
      <c r="D7287" s="75"/>
      <c r="E7287" s="771"/>
      <c r="F7287" s="31"/>
      <c r="G7287" s="31"/>
      <c r="H7287" s="31"/>
    </row>
    <row r="7288" spans="2:8" hidden="1">
      <c r="B7288" s="200"/>
      <c r="C7288" s="31"/>
      <c r="D7288" s="75"/>
      <c r="E7288" s="771"/>
      <c r="F7288" s="31"/>
      <c r="G7288" s="31"/>
      <c r="H7288" s="31"/>
    </row>
    <row r="7289" spans="2:8" hidden="1">
      <c r="B7289" s="200"/>
      <c r="C7289" s="31"/>
      <c r="D7289" s="75"/>
      <c r="E7289" s="771"/>
      <c r="F7289" s="31"/>
      <c r="G7289" s="31"/>
      <c r="H7289" s="31"/>
    </row>
    <row r="7290" spans="2:8" hidden="1">
      <c r="B7290" s="200"/>
      <c r="C7290" s="31"/>
      <c r="D7290" s="75"/>
      <c r="E7290" s="771"/>
      <c r="F7290" s="31"/>
      <c r="G7290" s="31"/>
      <c r="H7290" s="31"/>
    </row>
    <row r="7291" spans="2:8" hidden="1">
      <c r="B7291" s="200"/>
      <c r="C7291" s="31"/>
      <c r="D7291" s="75"/>
      <c r="E7291" s="771"/>
      <c r="F7291" s="31"/>
      <c r="G7291" s="31"/>
      <c r="H7291" s="31"/>
    </row>
    <row r="7292" spans="2:8" hidden="1">
      <c r="B7292" s="200"/>
      <c r="C7292" s="31"/>
      <c r="D7292" s="75"/>
      <c r="E7292" s="771"/>
      <c r="F7292" s="771"/>
      <c r="G7292" s="31"/>
      <c r="H7292" s="31"/>
    </row>
    <row r="7293" spans="2:8" hidden="1">
      <c r="B7293" s="200"/>
      <c r="C7293" s="31"/>
      <c r="D7293" s="75"/>
      <c r="E7293" s="771"/>
      <c r="F7293" s="771"/>
      <c r="G7293" s="31"/>
      <c r="H7293" s="31"/>
    </row>
    <row r="7294" spans="2:8" hidden="1">
      <c r="B7294" s="200"/>
      <c r="C7294" s="31"/>
      <c r="D7294" s="75"/>
      <c r="E7294" s="771"/>
      <c r="F7294" s="771"/>
      <c r="G7294" s="31"/>
      <c r="H7294" s="31"/>
    </row>
    <row r="7295" spans="2:8" hidden="1">
      <c r="B7295" s="200"/>
      <c r="C7295" s="31"/>
      <c r="D7295" s="75"/>
      <c r="E7295" s="771"/>
      <c r="F7295" s="771"/>
      <c r="G7295" s="31"/>
      <c r="H7295" s="31"/>
    </row>
    <row r="7296" spans="2:8" hidden="1">
      <c r="B7296" s="200"/>
      <c r="C7296" s="31"/>
      <c r="D7296" s="75"/>
      <c r="E7296" s="771"/>
      <c r="F7296" s="771"/>
      <c r="G7296" s="31"/>
      <c r="H7296" s="31"/>
    </row>
    <row r="7297" spans="2:8" hidden="1">
      <c r="B7297" s="200"/>
      <c r="C7297" s="31"/>
      <c r="D7297" s="75"/>
      <c r="E7297" s="771"/>
      <c r="F7297" s="31"/>
      <c r="G7297" s="31"/>
      <c r="H7297" s="31"/>
    </row>
    <row r="7298" spans="2:8" hidden="1">
      <c r="B7298" s="200"/>
      <c r="C7298" s="31"/>
      <c r="D7298" s="75"/>
      <c r="E7298" s="771"/>
      <c r="F7298" s="31"/>
      <c r="G7298" s="31"/>
      <c r="H7298" s="31"/>
    </row>
    <row r="7299" spans="2:8" hidden="1">
      <c r="B7299" s="200"/>
      <c r="C7299" s="31"/>
      <c r="D7299" s="75"/>
      <c r="E7299" s="771"/>
      <c r="F7299" s="31"/>
      <c r="G7299" s="31"/>
      <c r="H7299" s="31"/>
    </row>
    <row r="7300" spans="2:8" hidden="1">
      <c r="B7300" s="200"/>
      <c r="C7300" s="31"/>
      <c r="D7300" s="75"/>
      <c r="E7300" s="771"/>
      <c r="F7300" s="31"/>
      <c r="G7300" s="31"/>
      <c r="H7300" s="31"/>
    </row>
    <row r="7301" spans="2:8" hidden="1">
      <c r="B7301" s="200"/>
      <c r="C7301" s="31"/>
      <c r="D7301" s="75"/>
      <c r="E7301" s="771"/>
      <c r="F7301" s="31"/>
      <c r="G7301" s="31"/>
      <c r="H7301" s="31"/>
    </row>
    <row r="7302" spans="2:8" hidden="1">
      <c r="B7302" s="200"/>
      <c r="C7302" s="31"/>
      <c r="D7302" s="75"/>
      <c r="E7302" s="771"/>
      <c r="F7302" s="31"/>
      <c r="G7302" s="31"/>
      <c r="H7302" s="31"/>
    </row>
    <row r="7303" spans="2:8" hidden="1">
      <c r="B7303" s="200"/>
      <c r="C7303" s="31"/>
      <c r="D7303" s="75"/>
      <c r="E7303" s="771"/>
      <c r="F7303" s="31"/>
      <c r="G7303" s="31"/>
      <c r="H7303" s="31"/>
    </row>
    <row r="7304" spans="2:8" hidden="1">
      <c r="B7304" s="200"/>
      <c r="C7304" s="31"/>
      <c r="D7304" s="75"/>
      <c r="E7304" s="771"/>
      <c r="F7304" s="31"/>
      <c r="G7304" s="31"/>
      <c r="H7304" s="31"/>
    </row>
    <row r="7305" spans="2:8" hidden="1">
      <c r="B7305" s="33"/>
      <c r="C7305" s="31"/>
      <c r="D7305" s="31"/>
      <c r="E7305" s="31"/>
      <c r="F7305" s="31"/>
      <c r="G7305" s="31"/>
      <c r="H7305" s="31"/>
    </row>
    <row r="7306" spans="2:8" hidden="1">
      <c r="B7306" s="200"/>
      <c r="C7306" s="31"/>
      <c r="D7306" s="75"/>
      <c r="E7306" s="771"/>
      <c r="F7306" s="31"/>
      <c r="G7306" s="31"/>
      <c r="H7306" s="31"/>
    </row>
    <row r="7307" spans="2:8" hidden="1">
      <c r="B7307" s="200"/>
      <c r="C7307" s="31"/>
      <c r="D7307" s="75"/>
      <c r="E7307" s="771"/>
      <c r="F7307" s="31"/>
      <c r="G7307" s="31"/>
      <c r="H7307" s="31"/>
    </row>
    <row r="7308" spans="2:8" hidden="1">
      <c r="B7308" s="200"/>
      <c r="C7308" s="31"/>
      <c r="D7308" s="75"/>
      <c r="E7308" s="771"/>
      <c r="F7308" s="31"/>
      <c r="G7308" s="31"/>
      <c r="H7308" s="31"/>
    </row>
    <row r="7309" spans="2:8" hidden="1">
      <c r="B7309" s="200"/>
      <c r="C7309" s="31"/>
      <c r="D7309" s="75"/>
      <c r="E7309" s="771"/>
      <c r="F7309" s="31"/>
      <c r="G7309" s="31"/>
      <c r="H7309" s="31"/>
    </row>
    <row r="7310" spans="2:8" hidden="1">
      <c r="B7310" s="200"/>
      <c r="C7310" s="31"/>
      <c r="D7310" s="75"/>
      <c r="E7310" s="771"/>
      <c r="F7310" s="771"/>
      <c r="G7310" s="31"/>
      <c r="H7310" s="31"/>
    </row>
    <row r="7311" spans="2:8" hidden="1">
      <c r="B7311" s="200"/>
      <c r="C7311" s="31"/>
      <c r="D7311" s="75"/>
      <c r="E7311" s="771"/>
      <c r="F7311" s="31"/>
      <c r="G7311" s="31"/>
      <c r="H7311" s="31"/>
    </row>
    <row r="7312" spans="2:8" hidden="1">
      <c r="B7312" s="200"/>
      <c r="C7312" s="31"/>
      <c r="D7312" s="75"/>
      <c r="E7312" s="771"/>
      <c r="F7312" s="31"/>
      <c r="G7312" s="31"/>
      <c r="H7312" s="31"/>
    </row>
    <row r="7313" spans="2:8" hidden="1">
      <c r="B7313" s="33"/>
      <c r="C7313" s="200"/>
      <c r="D7313" s="75"/>
      <c r="E7313" s="771"/>
      <c r="F7313" s="31"/>
      <c r="G7313" s="31"/>
      <c r="H7313" s="31"/>
    </row>
    <row r="7314" spans="2:8" hidden="1">
      <c r="B7314" s="33"/>
      <c r="C7314" s="31"/>
      <c r="D7314" s="104"/>
      <c r="E7314" s="771"/>
      <c r="F7314" s="31"/>
      <c r="G7314" s="31"/>
      <c r="H7314" s="31"/>
    </row>
    <row r="7315" spans="2:8" hidden="1">
      <c r="B7315" s="33"/>
      <c r="C7315" s="31"/>
      <c r="D7315" s="31"/>
      <c r="E7315" s="31"/>
      <c r="F7315" s="31"/>
      <c r="G7315" s="31"/>
      <c r="H7315" s="31"/>
    </row>
    <row r="7316" spans="2:8" hidden="1">
      <c r="B7316" s="405"/>
      <c r="C7316" s="31"/>
      <c r="D7316" s="31"/>
      <c r="E7316" s="31"/>
      <c r="F7316" s="31"/>
      <c r="G7316" s="31"/>
      <c r="H7316" s="31"/>
    </row>
    <row r="7317" spans="2:8" hidden="1">
      <c r="B7317" s="405"/>
      <c r="C7317" s="31"/>
      <c r="D7317" s="31"/>
      <c r="E7317" s="31"/>
      <c r="F7317" s="691"/>
      <c r="G7317" s="75"/>
      <c r="H7317" s="31"/>
    </row>
    <row r="7318" spans="2:8" hidden="1">
      <c r="B7318" s="405"/>
      <c r="C7318" s="31"/>
      <c r="D7318" s="31"/>
      <c r="E7318" s="31"/>
      <c r="F7318" s="691"/>
      <c r="G7318" s="75"/>
      <c r="H7318" s="31"/>
    </row>
    <row r="7319" spans="2:8" hidden="1">
      <c r="B7319" s="405"/>
      <c r="C7319" s="31"/>
      <c r="D7319" s="31"/>
      <c r="E7319" s="31"/>
      <c r="F7319" s="691"/>
      <c r="G7319" s="75"/>
      <c r="H7319" s="31"/>
    </row>
    <row r="7320" spans="2:8" hidden="1">
      <c r="B7320" s="405"/>
      <c r="C7320" s="31"/>
      <c r="D7320" s="31"/>
      <c r="E7320" s="31"/>
      <c r="F7320" s="691"/>
      <c r="G7320" s="75"/>
      <c r="H7320" s="31"/>
    </row>
    <row r="7321" spans="2:8" hidden="1">
      <c r="B7321" s="405"/>
      <c r="C7321" s="31"/>
      <c r="D7321" s="31"/>
      <c r="E7321" s="31"/>
      <c r="F7321" s="691"/>
      <c r="G7321" s="75"/>
      <c r="H7321" s="31"/>
    </row>
    <row r="7322" spans="2:8" hidden="1">
      <c r="B7322" s="405"/>
      <c r="C7322" s="31"/>
      <c r="D7322" s="31"/>
      <c r="E7322" s="31"/>
      <c r="F7322" s="691"/>
      <c r="G7322" s="75"/>
      <c r="H7322" s="31"/>
    </row>
    <row r="7323" spans="2:8" hidden="1">
      <c r="B7323" s="405"/>
      <c r="C7323" s="31"/>
      <c r="D7323" s="31"/>
      <c r="E7323" s="31"/>
      <c r="F7323" s="691"/>
      <c r="G7323" s="75"/>
      <c r="H7323" s="31"/>
    </row>
    <row r="7324" spans="2:8" hidden="1">
      <c r="B7324" s="405"/>
      <c r="C7324" s="31"/>
      <c r="D7324" s="31"/>
      <c r="E7324" s="31"/>
      <c r="F7324" s="691"/>
      <c r="G7324" s="31"/>
      <c r="H7324" s="31"/>
    </row>
    <row r="7325" spans="2:8" hidden="1">
      <c r="B7325" s="33"/>
      <c r="C7325" s="31"/>
      <c r="D7325" s="31"/>
      <c r="E7325" s="31"/>
      <c r="F7325" s="691"/>
      <c r="G7325" s="75"/>
      <c r="H7325" s="31"/>
    </row>
    <row r="7326" spans="2:8" hidden="1">
      <c r="B7326" s="33"/>
      <c r="C7326" s="31"/>
      <c r="D7326" s="31"/>
      <c r="E7326" s="31"/>
      <c r="F7326" s="691"/>
      <c r="G7326" s="75"/>
      <c r="H7326" s="31"/>
    </row>
    <row r="7327" spans="2:8" hidden="1">
      <c r="B7327" s="33"/>
      <c r="C7327" s="31"/>
      <c r="D7327" s="31"/>
      <c r="E7327" s="31"/>
      <c r="F7327" s="691"/>
      <c r="G7327" s="31"/>
      <c r="H7327" s="31"/>
    </row>
    <row r="7328" spans="2:8" hidden="1">
      <c r="B7328" s="33"/>
      <c r="C7328" s="31"/>
      <c r="D7328" s="31"/>
      <c r="E7328" s="31"/>
      <c r="F7328" s="691"/>
      <c r="G7328" s="31"/>
      <c r="H7328" s="31"/>
    </row>
    <row r="7329" spans="2:8" hidden="1">
      <c r="B7329" s="33"/>
      <c r="C7329" s="31"/>
      <c r="D7329" s="31"/>
      <c r="E7329" s="31"/>
      <c r="F7329" s="31"/>
      <c r="G7329" s="31"/>
      <c r="H7329" s="31"/>
    </row>
    <row r="7330" spans="2:8" hidden="1">
      <c r="B7330" s="33"/>
      <c r="C7330" s="31"/>
      <c r="D7330" s="31"/>
      <c r="E7330" s="31"/>
      <c r="F7330" s="31"/>
      <c r="G7330" s="31"/>
      <c r="H7330" s="31"/>
    </row>
    <row r="7331" spans="2:8" hidden="1">
      <c r="B7331" s="33"/>
      <c r="C7331" s="31"/>
      <c r="D7331" s="31"/>
      <c r="E7331" s="31"/>
      <c r="F7331" s="31"/>
      <c r="G7331" s="31"/>
      <c r="H7331" s="31"/>
    </row>
    <row r="7332" spans="2:8" hidden="1">
      <c r="B7332" s="33"/>
      <c r="C7332" s="31"/>
      <c r="D7332" s="31"/>
      <c r="E7332" s="31"/>
      <c r="F7332" s="31"/>
      <c r="G7332" s="31"/>
      <c r="H7332" s="31"/>
    </row>
    <row r="7333" spans="2:8" hidden="1">
      <c r="B7333" s="33"/>
      <c r="C7333" s="31"/>
      <c r="D7333" s="31"/>
      <c r="E7333" s="31"/>
      <c r="F7333" s="31"/>
      <c r="G7333" s="31"/>
      <c r="H7333" s="31"/>
    </row>
    <row r="7334" spans="2:8" hidden="1">
      <c r="B7334" s="33"/>
      <c r="C7334" s="31"/>
      <c r="D7334" s="31"/>
      <c r="E7334" s="31"/>
      <c r="F7334" s="31"/>
      <c r="G7334" s="31"/>
      <c r="H7334" s="31"/>
    </row>
    <row r="7335" spans="2:8" hidden="1">
      <c r="B7335" s="33"/>
      <c r="C7335" s="31"/>
      <c r="D7335" s="31"/>
      <c r="E7335" s="31"/>
      <c r="F7335" s="31"/>
      <c r="G7335" s="31"/>
      <c r="H7335" s="31"/>
    </row>
    <row r="7336" spans="2:8" hidden="1">
      <c r="B7336" s="33"/>
      <c r="C7336" s="31"/>
      <c r="D7336" s="31"/>
      <c r="E7336" s="31"/>
      <c r="F7336" s="31"/>
      <c r="G7336" s="31"/>
      <c r="H7336" s="31"/>
    </row>
    <row r="7337" spans="2:8" hidden="1">
      <c r="B7337" s="33"/>
      <c r="C7337" s="31"/>
      <c r="D7337" s="31"/>
      <c r="E7337" s="31"/>
      <c r="F7337" s="31"/>
      <c r="G7337" s="31"/>
      <c r="H7337" s="31"/>
    </row>
    <row r="7338" spans="2:8" hidden="1">
      <c r="B7338" s="33"/>
      <c r="C7338" s="31"/>
      <c r="D7338" s="33"/>
      <c r="E7338" s="33"/>
      <c r="F7338" s="33"/>
      <c r="G7338" s="33"/>
      <c r="H7338" s="31"/>
    </row>
    <row r="7339" spans="2:8" hidden="1">
      <c r="B7339" s="33"/>
      <c r="C7339" s="31"/>
      <c r="D7339" s="33"/>
      <c r="E7339" s="33"/>
      <c r="F7339" s="33"/>
      <c r="G7339" s="33"/>
      <c r="H7339" s="31"/>
    </row>
    <row r="7340" spans="2:8" hidden="1">
      <c r="B7340" s="33"/>
      <c r="C7340" s="31"/>
      <c r="D7340" s="31"/>
      <c r="E7340" s="31"/>
      <c r="F7340" s="31"/>
      <c r="G7340" s="31"/>
      <c r="H7340" s="31"/>
    </row>
    <row r="7341" spans="2:8" hidden="1">
      <c r="B7341" s="200"/>
      <c r="C7341" s="31"/>
      <c r="D7341" s="75"/>
      <c r="E7341" s="31"/>
      <c r="F7341" s="31"/>
      <c r="G7341" s="31"/>
      <c r="H7341" s="31"/>
    </row>
    <row r="7342" spans="2:8" hidden="1">
      <c r="B7342" s="200"/>
      <c r="C7342" s="31"/>
      <c r="D7342" s="75"/>
      <c r="E7342" s="31"/>
      <c r="F7342" s="31"/>
      <c r="G7342" s="31"/>
      <c r="H7342" s="31"/>
    </row>
    <row r="7343" spans="2:8" hidden="1">
      <c r="B7343" s="200"/>
      <c r="C7343" s="31"/>
      <c r="D7343" s="75"/>
      <c r="E7343" s="31"/>
      <c r="F7343" s="31"/>
      <c r="G7343" s="31"/>
      <c r="H7343" s="31"/>
    </row>
    <row r="7344" spans="2:8" hidden="1">
      <c r="B7344" s="200"/>
      <c r="C7344" s="31"/>
      <c r="D7344" s="75"/>
      <c r="E7344" s="31"/>
      <c r="F7344" s="31"/>
      <c r="G7344" s="31"/>
      <c r="H7344" s="31"/>
    </row>
    <row r="7345" spans="2:8" hidden="1">
      <c r="B7345" s="200"/>
      <c r="C7345" s="31"/>
      <c r="D7345" s="75"/>
      <c r="E7345" s="31"/>
      <c r="F7345" s="33"/>
      <c r="G7345" s="33"/>
      <c r="H7345" s="31"/>
    </row>
    <row r="7346" spans="2:8" hidden="1">
      <c r="B7346" s="200"/>
      <c r="C7346" s="31"/>
      <c r="D7346" s="75"/>
      <c r="E7346" s="31"/>
      <c r="F7346" s="771"/>
      <c r="G7346" s="31"/>
      <c r="H7346" s="31"/>
    </row>
    <row r="7347" spans="2:8" hidden="1">
      <c r="B7347" s="200"/>
      <c r="C7347" s="31"/>
      <c r="D7347" s="75"/>
      <c r="E7347" s="31"/>
      <c r="F7347" s="771"/>
      <c r="G7347" s="31"/>
      <c r="H7347" s="31"/>
    </row>
    <row r="7348" spans="2:8" hidden="1">
      <c r="B7348" s="200"/>
      <c r="C7348" s="31"/>
      <c r="D7348" s="75"/>
      <c r="E7348" s="31"/>
      <c r="F7348" s="771"/>
      <c r="G7348" s="31"/>
      <c r="H7348" s="31"/>
    </row>
    <row r="7349" spans="2:8" hidden="1">
      <c r="B7349" s="200"/>
      <c r="C7349" s="31"/>
      <c r="D7349" s="75"/>
      <c r="E7349" s="31"/>
      <c r="F7349" s="31"/>
      <c r="G7349" s="31"/>
      <c r="H7349" s="31"/>
    </row>
    <row r="7350" spans="2:8" hidden="1">
      <c r="B7350" s="200"/>
      <c r="C7350" s="31"/>
      <c r="D7350" s="75"/>
      <c r="E7350" s="31"/>
      <c r="F7350" s="33"/>
      <c r="G7350" s="33"/>
      <c r="H7350" s="31"/>
    </row>
    <row r="7351" spans="2:8" hidden="1">
      <c r="B7351" s="200"/>
      <c r="C7351" s="31"/>
      <c r="D7351" s="75"/>
      <c r="E7351" s="31"/>
      <c r="F7351" s="31"/>
      <c r="G7351" s="31"/>
      <c r="H7351" s="31"/>
    </row>
    <row r="7352" spans="2:8" hidden="1">
      <c r="B7352" s="200"/>
      <c r="C7352" s="31"/>
      <c r="D7352" s="75"/>
      <c r="E7352" s="31"/>
      <c r="F7352" s="771"/>
      <c r="G7352" s="31"/>
      <c r="H7352" s="31"/>
    </row>
    <row r="7353" spans="2:8" hidden="1">
      <c r="B7353" s="200"/>
      <c r="C7353" s="31"/>
      <c r="D7353" s="75"/>
      <c r="E7353" s="31"/>
      <c r="F7353" s="771"/>
      <c r="G7353" s="31"/>
      <c r="H7353" s="31"/>
    </row>
    <row r="7354" spans="2:8" hidden="1">
      <c r="B7354" s="200"/>
      <c r="C7354" s="31"/>
      <c r="D7354" s="75"/>
      <c r="E7354" s="31"/>
      <c r="F7354" s="771"/>
      <c r="G7354" s="31"/>
      <c r="H7354" s="31"/>
    </row>
    <row r="7355" spans="2:8" hidden="1">
      <c r="B7355" s="200"/>
      <c r="C7355" s="31"/>
      <c r="D7355" s="75"/>
      <c r="E7355" s="31"/>
      <c r="F7355" s="33"/>
      <c r="G7355" s="33"/>
      <c r="H7355" s="31"/>
    </row>
    <row r="7356" spans="2:8" hidden="1">
      <c r="B7356" s="200"/>
      <c r="C7356" s="31"/>
      <c r="D7356" s="75"/>
      <c r="E7356" s="31"/>
      <c r="F7356" s="31"/>
      <c r="G7356" s="31"/>
      <c r="H7356" s="31"/>
    </row>
    <row r="7357" spans="2:8" hidden="1">
      <c r="B7357" s="200"/>
      <c r="C7357" s="31"/>
      <c r="D7357" s="75"/>
      <c r="E7357" s="31"/>
      <c r="F7357" s="31"/>
      <c r="G7357" s="31"/>
      <c r="H7357" s="31"/>
    </row>
    <row r="7358" spans="2:8" hidden="1">
      <c r="B7358" s="200"/>
      <c r="C7358" s="31"/>
      <c r="D7358" s="75"/>
      <c r="E7358" s="31"/>
      <c r="F7358" s="31"/>
      <c r="G7358" s="31"/>
      <c r="H7358" s="31"/>
    </row>
    <row r="7359" spans="2:8" hidden="1">
      <c r="B7359" s="200"/>
      <c r="C7359" s="31"/>
      <c r="D7359" s="75"/>
      <c r="E7359" s="31"/>
      <c r="F7359" s="31"/>
      <c r="G7359" s="31"/>
      <c r="H7359" s="31"/>
    </row>
    <row r="7360" spans="2:8" hidden="1">
      <c r="B7360" s="200"/>
      <c r="C7360" s="31"/>
      <c r="D7360" s="75"/>
      <c r="E7360" s="31"/>
      <c r="F7360" s="31"/>
      <c r="G7360" s="31"/>
      <c r="H7360" s="31"/>
    </row>
    <row r="7361" spans="2:8" hidden="1">
      <c r="B7361" s="200"/>
      <c r="C7361" s="31"/>
      <c r="D7361" s="75"/>
      <c r="E7361" s="31"/>
      <c r="F7361" s="771"/>
      <c r="G7361" s="31"/>
      <c r="H7361" s="31"/>
    </row>
    <row r="7362" spans="2:8" hidden="1">
      <c r="B7362" s="200"/>
      <c r="C7362" s="31"/>
      <c r="D7362" s="75"/>
      <c r="E7362" s="31"/>
      <c r="F7362" s="31"/>
      <c r="G7362" s="31"/>
      <c r="H7362" s="31"/>
    </row>
    <row r="7363" spans="2:8" hidden="1">
      <c r="B7363" s="200"/>
      <c r="C7363" s="31"/>
      <c r="D7363" s="75"/>
      <c r="E7363" s="771"/>
      <c r="F7363" s="31"/>
      <c r="G7363" s="31"/>
      <c r="H7363" s="31"/>
    </row>
    <row r="7364" spans="2:8" hidden="1">
      <c r="B7364" s="33"/>
      <c r="C7364" s="31"/>
      <c r="D7364" s="31"/>
      <c r="E7364" s="31"/>
      <c r="F7364" s="31"/>
      <c r="G7364" s="31"/>
      <c r="H7364" s="31"/>
    </row>
    <row r="7365" spans="2:8" hidden="1">
      <c r="B7365" s="200"/>
      <c r="C7365" s="31"/>
      <c r="D7365" s="75"/>
      <c r="E7365" s="31"/>
      <c r="F7365" s="33"/>
      <c r="G7365" s="33"/>
      <c r="H7365" s="31"/>
    </row>
    <row r="7366" spans="2:8" hidden="1">
      <c r="B7366" s="200"/>
      <c r="C7366" s="31"/>
      <c r="D7366" s="75"/>
      <c r="E7366" s="31"/>
      <c r="F7366" s="31"/>
      <c r="G7366" s="31"/>
      <c r="H7366" s="31"/>
    </row>
    <row r="7367" spans="2:8" hidden="1">
      <c r="B7367" s="200"/>
      <c r="C7367" s="31"/>
      <c r="D7367" s="75"/>
      <c r="E7367" s="31"/>
      <c r="F7367" s="31"/>
      <c r="G7367" s="31"/>
      <c r="H7367" s="31"/>
    </row>
    <row r="7368" spans="2:8" hidden="1">
      <c r="B7368" s="200"/>
      <c r="C7368" s="31"/>
      <c r="D7368" s="75"/>
      <c r="E7368" s="33"/>
      <c r="F7368" s="31"/>
      <c r="G7368" s="31"/>
      <c r="H7368" s="31"/>
    </row>
    <row r="7369" spans="2:8" hidden="1">
      <c r="B7369" s="200"/>
      <c r="C7369" s="31"/>
      <c r="D7369" s="75"/>
      <c r="E7369" s="33"/>
      <c r="F7369" s="33"/>
      <c r="G7369" s="33"/>
      <c r="H7369" s="31"/>
    </row>
    <row r="7370" spans="2:8" hidden="1">
      <c r="B7370" s="200"/>
      <c r="C7370" s="31"/>
      <c r="D7370" s="75"/>
      <c r="E7370" s="33"/>
      <c r="F7370" s="33"/>
      <c r="G7370" s="33"/>
      <c r="H7370" s="31"/>
    </row>
    <row r="7371" spans="2:8" hidden="1">
      <c r="B7371" s="33"/>
      <c r="C7371" s="31"/>
      <c r="D7371" s="31"/>
      <c r="E7371" s="31"/>
      <c r="F7371" s="31"/>
      <c r="G7371" s="31"/>
      <c r="H7371" s="31"/>
    </row>
    <row r="7372" spans="2:8" hidden="1">
      <c r="B7372" s="200"/>
      <c r="C7372" s="31"/>
      <c r="D7372" s="104"/>
      <c r="E7372" s="33"/>
      <c r="F7372" s="33"/>
      <c r="G7372" s="33"/>
      <c r="H7372" s="31"/>
    </row>
    <row r="7373" spans="2:8" hidden="1">
      <c r="B7373" s="200"/>
      <c r="C7373" s="31"/>
      <c r="D7373" s="104"/>
      <c r="E7373" s="33"/>
      <c r="F7373" s="33"/>
      <c r="G7373" s="33"/>
      <c r="H7373" s="31"/>
    </row>
    <row r="7374" spans="2:8" hidden="1">
      <c r="B7374" s="200"/>
      <c r="C7374" s="31"/>
      <c r="D7374" s="75"/>
      <c r="E7374" s="33"/>
      <c r="F7374" s="33"/>
      <c r="G7374" s="33"/>
      <c r="H7374" s="31"/>
    </row>
    <row r="7375" spans="2:8" hidden="1">
      <c r="B7375" s="200"/>
      <c r="C7375" s="31"/>
      <c r="D7375" s="75"/>
      <c r="E7375" s="33"/>
      <c r="F7375" s="33"/>
      <c r="G7375" s="33"/>
      <c r="H7375" s="31"/>
    </row>
    <row r="7376" spans="2:8" hidden="1">
      <c r="B7376" s="200"/>
      <c r="C7376" s="31"/>
      <c r="D7376" s="75"/>
      <c r="E7376" s="33"/>
      <c r="F7376" s="33"/>
      <c r="G7376" s="33"/>
      <c r="H7376" s="31"/>
    </row>
    <row r="7377" spans="2:8" hidden="1">
      <c r="B7377" s="200"/>
      <c r="C7377" s="31"/>
      <c r="D7377" s="75"/>
      <c r="E7377" s="33"/>
      <c r="F7377" s="33"/>
      <c r="G7377" s="33"/>
      <c r="H7377" s="31"/>
    </row>
    <row r="7378" spans="2:8" hidden="1">
      <c r="B7378" s="200"/>
      <c r="C7378" s="31"/>
      <c r="D7378" s="75"/>
      <c r="E7378" s="33"/>
      <c r="F7378" s="33"/>
      <c r="G7378" s="33"/>
      <c r="H7378" s="31"/>
    </row>
    <row r="7379" spans="2:8" hidden="1">
      <c r="B7379" s="200"/>
      <c r="C7379" s="31"/>
      <c r="D7379" s="75"/>
      <c r="E7379" s="33"/>
      <c r="F7379" s="33"/>
      <c r="G7379" s="33"/>
      <c r="H7379" s="31"/>
    </row>
    <row r="7380" spans="2:8" hidden="1">
      <c r="B7380" s="200"/>
      <c r="C7380" s="31"/>
      <c r="D7380" s="75"/>
      <c r="E7380" s="33"/>
      <c r="F7380" s="33"/>
      <c r="G7380" s="33"/>
      <c r="H7380" s="31"/>
    </row>
    <row r="7381" spans="2:8" hidden="1">
      <c r="B7381" s="33"/>
      <c r="C7381" s="31"/>
      <c r="D7381" s="75"/>
      <c r="E7381" s="31"/>
      <c r="F7381" s="31"/>
      <c r="G7381" s="31"/>
      <c r="H7381" s="31"/>
    </row>
    <row r="7382" spans="2:8" hidden="1">
      <c r="B7382" s="33"/>
      <c r="C7382" s="31"/>
      <c r="D7382" s="75"/>
      <c r="E7382" s="31"/>
      <c r="F7382" s="31"/>
      <c r="G7382" s="31"/>
      <c r="H7382" s="31"/>
    </row>
    <row r="7383" spans="2:8" hidden="1">
      <c r="B7383" s="33"/>
      <c r="C7383" s="31"/>
      <c r="D7383" s="31"/>
      <c r="E7383" s="31"/>
      <c r="F7383" s="31"/>
      <c r="G7383" s="31"/>
      <c r="H7383" s="31"/>
    </row>
    <row r="7384" spans="2:8" hidden="1">
      <c r="B7384" s="200"/>
      <c r="C7384" s="31"/>
      <c r="D7384" s="75"/>
      <c r="E7384" s="31"/>
      <c r="F7384" s="771"/>
      <c r="G7384" s="31"/>
      <c r="H7384" s="31"/>
    </row>
    <row r="7385" spans="2:8" hidden="1">
      <c r="B7385" s="33"/>
      <c r="C7385" s="200"/>
      <c r="D7385" s="75"/>
      <c r="E7385" s="31"/>
      <c r="F7385" s="31"/>
      <c r="G7385" s="31"/>
      <c r="H7385" s="31"/>
    </row>
    <row r="7386" spans="2:8" hidden="1">
      <c r="B7386" s="33"/>
      <c r="C7386" s="200"/>
      <c r="D7386" s="104"/>
      <c r="E7386" s="33"/>
      <c r="F7386" s="33"/>
      <c r="G7386" s="33"/>
      <c r="H7386" s="31"/>
    </row>
    <row r="7387" spans="2:8" hidden="1">
      <c r="B7387" s="33"/>
      <c r="C7387" s="31"/>
      <c r="D7387" s="31"/>
      <c r="E7387" s="31"/>
      <c r="F7387" s="31"/>
      <c r="G7387" s="31"/>
      <c r="H7387" s="31"/>
    </row>
    <row r="7388" spans="2:8" hidden="1">
      <c r="B7388" s="405"/>
      <c r="C7388" s="31"/>
      <c r="D7388" s="31"/>
      <c r="E7388" s="31"/>
      <c r="F7388" s="31"/>
      <c r="G7388" s="31"/>
      <c r="H7388" s="31"/>
    </row>
    <row r="7389" spans="2:8" hidden="1">
      <c r="B7389" s="405"/>
      <c r="C7389" s="31"/>
      <c r="D7389" s="31"/>
      <c r="E7389" s="31"/>
      <c r="F7389" s="691"/>
      <c r="G7389" s="75"/>
      <c r="H7389" s="31"/>
    </row>
    <row r="7390" spans="2:8" hidden="1">
      <c r="B7390" s="405"/>
      <c r="C7390" s="31"/>
      <c r="D7390" s="31"/>
      <c r="E7390" s="31"/>
      <c r="F7390" s="691"/>
      <c r="G7390" s="75"/>
      <c r="H7390" s="31"/>
    </row>
    <row r="7391" spans="2:8" hidden="1">
      <c r="B7391" s="405"/>
      <c r="C7391" s="31"/>
      <c r="D7391" s="31"/>
      <c r="E7391" s="31"/>
      <c r="F7391" s="691"/>
      <c r="G7391" s="75"/>
      <c r="H7391" s="31"/>
    </row>
    <row r="7392" spans="2:8" hidden="1">
      <c r="B7392" s="405"/>
      <c r="C7392" s="31"/>
      <c r="D7392" s="31"/>
      <c r="E7392" s="31"/>
      <c r="F7392" s="691"/>
      <c r="G7392" s="75"/>
      <c r="H7392" s="31"/>
    </row>
    <row r="7393" spans="2:8" hidden="1">
      <c r="B7393" s="405"/>
      <c r="C7393" s="31"/>
      <c r="D7393" s="31"/>
      <c r="E7393" s="31"/>
      <c r="F7393" s="691"/>
      <c r="G7393" s="75"/>
      <c r="H7393" s="31"/>
    </row>
    <row r="7394" spans="2:8" hidden="1">
      <c r="B7394" s="405"/>
      <c r="C7394" s="31"/>
      <c r="D7394" s="31"/>
      <c r="E7394" s="31"/>
      <c r="F7394" s="691"/>
      <c r="G7394" s="75"/>
      <c r="H7394" s="31"/>
    </row>
    <row r="7395" spans="2:8" hidden="1">
      <c r="B7395" s="405"/>
      <c r="C7395" s="31"/>
      <c r="D7395" s="31"/>
      <c r="E7395" s="31"/>
      <c r="F7395" s="691"/>
      <c r="G7395" s="75"/>
      <c r="H7395" s="31"/>
    </row>
    <row r="7396" spans="2:8" hidden="1">
      <c r="B7396" s="405"/>
      <c r="C7396" s="31"/>
      <c r="D7396" s="31"/>
      <c r="E7396" s="31"/>
      <c r="F7396" s="691"/>
      <c r="G7396" s="75"/>
      <c r="H7396" s="31"/>
    </row>
    <row r="7397" spans="2:8" hidden="1">
      <c r="B7397" s="405"/>
      <c r="C7397" s="31"/>
      <c r="D7397" s="31"/>
      <c r="E7397" s="31"/>
      <c r="F7397" s="691"/>
      <c r="G7397" s="75"/>
      <c r="H7397" s="31"/>
    </row>
    <row r="7398" spans="2:8" hidden="1">
      <c r="B7398" s="405"/>
      <c r="C7398" s="31"/>
      <c r="D7398" s="31"/>
      <c r="E7398" s="31"/>
      <c r="F7398" s="691"/>
      <c r="G7398" s="31"/>
      <c r="H7398" s="31"/>
    </row>
    <row r="7399" spans="2:8" hidden="1">
      <c r="B7399" s="405"/>
      <c r="C7399" s="31"/>
      <c r="D7399" s="31"/>
      <c r="E7399" s="31"/>
      <c r="F7399" s="691"/>
      <c r="G7399" s="75"/>
      <c r="H7399" s="31"/>
    </row>
    <row r="7400" spans="2:8" hidden="1">
      <c r="B7400" s="405"/>
      <c r="C7400" s="31"/>
      <c r="D7400" s="31"/>
      <c r="E7400" s="31"/>
      <c r="F7400" s="691"/>
      <c r="G7400" s="75"/>
      <c r="H7400" s="31"/>
    </row>
    <row r="7401" spans="2:8" hidden="1">
      <c r="B7401" s="405"/>
      <c r="C7401" s="31"/>
      <c r="D7401" s="31"/>
      <c r="E7401" s="31"/>
      <c r="F7401" s="691"/>
      <c r="G7401" s="75"/>
      <c r="H7401" s="31"/>
    </row>
    <row r="7402" spans="2:8" hidden="1">
      <c r="B7402" s="405"/>
      <c r="C7402" s="31"/>
      <c r="D7402" s="31"/>
      <c r="E7402" s="31"/>
      <c r="F7402" s="691"/>
      <c r="G7402" s="75"/>
      <c r="H7402" s="31"/>
    </row>
    <row r="7403" spans="2:8" hidden="1">
      <c r="B7403" s="405"/>
      <c r="C7403" s="31"/>
      <c r="D7403" s="31"/>
      <c r="E7403" s="31"/>
      <c r="F7403" s="691"/>
      <c r="G7403" s="75"/>
      <c r="H7403" s="31"/>
    </row>
    <row r="7404" spans="2:8" hidden="1">
      <c r="B7404" s="33"/>
      <c r="C7404" s="31"/>
      <c r="D7404" s="31"/>
      <c r="E7404" s="31"/>
      <c r="F7404" s="691"/>
      <c r="G7404" s="31"/>
      <c r="H7404" s="31"/>
    </row>
    <row r="7405" spans="2:8" hidden="1">
      <c r="B7405" s="33"/>
      <c r="C7405" s="31"/>
      <c r="D7405" s="31"/>
      <c r="E7405" s="31"/>
      <c r="F7405" s="31"/>
      <c r="G7405" s="31"/>
      <c r="H7405" s="31"/>
    </row>
    <row r="7406" spans="2:8" hidden="1">
      <c r="B7406" s="33"/>
      <c r="C7406" s="31"/>
      <c r="D7406" s="31"/>
      <c r="E7406" s="31"/>
      <c r="F7406" s="31"/>
      <c r="G7406" s="31"/>
      <c r="H7406" s="31"/>
    </row>
    <row r="7407" spans="2:8" hidden="1">
      <c r="B7407" s="33"/>
      <c r="C7407" s="31"/>
      <c r="D7407" s="31"/>
      <c r="E7407" s="31"/>
      <c r="F7407" s="31"/>
      <c r="G7407" s="31"/>
      <c r="H7407" s="31"/>
    </row>
    <row r="7408" spans="2:8" hidden="1">
      <c r="B7408" s="33"/>
      <c r="C7408" s="31"/>
      <c r="D7408" s="31"/>
      <c r="E7408" s="31"/>
      <c r="F7408" s="31"/>
      <c r="G7408" s="31"/>
      <c r="H7408" s="31"/>
    </row>
    <row r="7409" spans="2:8" hidden="1">
      <c r="B7409" s="33"/>
      <c r="C7409" s="31"/>
      <c r="D7409" s="31"/>
      <c r="E7409" s="31"/>
      <c r="F7409" s="31"/>
      <c r="G7409" s="31"/>
      <c r="H7409" s="31"/>
    </row>
    <row r="7410" spans="2:8" hidden="1">
      <c r="B7410" s="33"/>
      <c r="C7410" s="31"/>
      <c r="D7410" s="31"/>
      <c r="E7410" s="31"/>
      <c r="F7410" s="31"/>
      <c r="G7410" s="31"/>
      <c r="H7410" s="31"/>
    </row>
    <row r="7411" spans="2:8" hidden="1">
      <c r="B7411" s="33"/>
      <c r="C7411" s="31"/>
      <c r="D7411" s="31"/>
      <c r="E7411" s="31"/>
      <c r="F7411" s="31"/>
      <c r="G7411" s="31"/>
      <c r="H7411" s="31"/>
    </row>
    <row r="7412" spans="2:8" hidden="1">
      <c r="B7412" s="33"/>
      <c r="C7412" s="31"/>
      <c r="D7412" s="31"/>
      <c r="E7412" s="31"/>
      <c r="F7412" s="31"/>
      <c r="G7412" s="31"/>
      <c r="H7412" s="31"/>
    </row>
    <row r="7413" spans="2:8" hidden="1">
      <c r="B7413" s="33"/>
      <c r="C7413" s="31"/>
      <c r="D7413" s="33"/>
      <c r="E7413" s="33"/>
      <c r="F7413" s="33"/>
      <c r="G7413" s="33"/>
      <c r="H7413" s="31"/>
    </row>
    <row r="7414" spans="2:8" hidden="1">
      <c r="B7414" s="33"/>
      <c r="C7414" s="31"/>
      <c r="D7414" s="33"/>
      <c r="E7414" s="33"/>
      <c r="F7414" s="33"/>
      <c r="G7414" s="33"/>
      <c r="H7414" s="31"/>
    </row>
    <row r="7415" spans="2:8" hidden="1">
      <c r="B7415" s="200"/>
      <c r="C7415" s="31"/>
      <c r="D7415" s="75"/>
      <c r="E7415" s="771"/>
      <c r="F7415" s="33"/>
      <c r="G7415" s="31"/>
      <c r="H7415" s="31"/>
    </row>
    <row r="7416" spans="2:8" hidden="1">
      <c r="B7416" s="200"/>
      <c r="C7416" s="31"/>
      <c r="D7416" s="75"/>
      <c r="E7416" s="771"/>
      <c r="F7416" s="31"/>
      <c r="G7416" s="31"/>
      <c r="H7416" s="31"/>
    </row>
    <row r="7417" spans="2:8" hidden="1">
      <c r="B7417" s="200"/>
      <c r="C7417" s="31"/>
      <c r="D7417" s="75"/>
      <c r="E7417" s="771"/>
      <c r="F7417" s="31"/>
      <c r="G7417" s="31"/>
      <c r="H7417" s="31"/>
    </row>
    <row r="7418" spans="2:8" hidden="1">
      <c r="B7418" s="200"/>
      <c r="C7418" s="31"/>
      <c r="D7418" s="75"/>
      <c r="E7418" s="771"/>
      <c r="F7418" s="31"/>
      <c r="G7418" s="31"/>
      <c r="H7418" s="31"/>
    </row>
    <row r="7419" spans="2:8" hidden="1">
      <c r="B7419" s="200"/>
      <c r="C7419" s="31"/>
      <c r="D7419" s="75"/>
      <c r="E7419" s="771"/>
      <c r="F7419" s="31"/>
      <c r="G7419" s="31"/>
      <c r="H7419" s="31"/>
    </row>
    <row r="7420" spans="2:8" hidden="1">
      <c r="B7420" s="200"/>
      <c r="C7420" s="31"/>
      <c r="D7420" s="75"/>
      <c r="E7420" s="771"/>
      <c r="F7420" s="31"/>
      <c r="G7420" s="31"/>
      <c r="H7420" s="31"/>
    </row>
    <row r="7421" spans="2:8" hidden="1">
      <c r="B7421" s="200"/>
      <c r="C7421" s="31"/>
      <c r="D7421" s="75"/>
      <c r="E7421" s="771"/>
      <c r="F7421" s="31"/>
      <c r="G7421" s="31"/>
      <c r="H7421" s="31"/>
    </row>
    <row r="7422" spans="2:8" hidden="1">
      <c r="B7422" s="200"/>
      <c r="C7422" s="31"/>
      <c r="D7422" s="75"/>
      <c r="E7422" s="771"/>
      <c r="F7422" s="31"/>
      <c r="G7422" s="31"/>
      <c r="H7422" s="31"/>
    </row>
    <row r="7423" spans="2:8" hidden="1">
      <c r="B7423" s="200"/>
      <c r="C7423" s="31"/>
      <c r="D7423" s="75"/>
      <c r="E7423" s="771"/>
      <c r="F7423" s="31"/>
      <c r="G7423" s="31"/>
      <c r="H7423" s="31"/>
    </row>
    <row r="7424" spans="2:8" hidden="1">
      <c r="B7424" s="200"/>
      <c r="C7424" s="31"/>
      <c r="D7424" s="75"/>
      <c r="E7424" s="771"/>
      <c r="F7424" s="33"/>
      <c r="G7424" s="33"/>
      <c r="H7424" s="31"/>
    </row>
    <row r="7425" spans="2:8" hidden="1">
      <c r="B7425" s="200"/>
      <c r="C7425" s="31"/>
      <c r="D7425" s="75"/>
      <c r="E7425" s="771"/>
      <c r="F7425" s="31"/>
      <c r="G7425" s="31"/>
      <c r="H7425" s="31"/>
    </row>
    <row r="7426" spans="2:8" hidden="1">
      <c r="B7426" s="200"/>
      <c r="C7426" s="31"/>
      <c r="D7426" s="75"/>
      <c r="E7426" s="771"/>
      <c r="F7426" s="31"/>
      <c r="G7426" s="31"/>
      <c r="H7426" s="31"/>
    </row>
    <row r="7427" spans="2:8" hidden="1">
      <c r="B7427" s="200"/>
      <c r="C7427" s="31"/>
      <c r="D7427" s="75"/>
      <c r="E7427" s="771"/>
      <c r="F7427" s="33"/>
      <c r="G7427" s="33"/>
      <c r="H7427" s="31"/>
    </row>
    <row r="7428" spans="2:8" hidden="1">
      <c r="B7428" s="200"/>
      <c r="C7428" s="31"/>
      <c r="D7428" s="75"/>
      <c r="E7428" s="771"/>
      <c r="F7428" s="33"/>
      <c r="G7428" s="33"/>
      <c r="H7428" s="31"/>
    </row>
    <row r="7429" spans="2:8" hidden="1">
      <c r="B7429" s="200"/>
      <c r="C7429" s="31"/>
      <c r="D7429" s="75"/>
      <c r="E7429" s="771"/>
      <c r="F7429" s="33"/>
      <c r="G7429" s="33"/>
      <c r="H7429" s="31"/>
    </row>
    <row r="7430" spans="2:8" hidden="1">
      <c r="B7430" s="200"/>
      <c r="C7430" s="31"/>
      <c r="D7430" s="75"/>
      <c r="E7430" s="772"/>
      <c r="F7430" s="33"/>
      <c r="G7430" s="33"/>
      <c r="H7430" s="31"/>
    </row>
    <row r="7431" spans="2:8" hidden="1">
      <c r="B7431" s="200"/>
      <c r="C7431" s="31"/>
      <c r="D7431" s="75"/>
      <c r="E7431" s="771"/>
      <c r="F7431" s="31"/>
      <c r="G7431" s="31"/>
      <c r="H7431" s="31"/>
    </row>
    <row r="7432" spans="2:8" hidden="1">
      <c r="B7432" s="200"/>
      <c r="C7432" s="31"/>
      <c r="D7432" s="75"/>
      <c r="E7432" s="772"/>
      <c r="F7432" s="33"/>
      <c r="G7432" s="33"/>
      <c r="H7432" s="31"/>
    </row>
    <row r="7433" spans="2:8" hidden="1">
      <c r="B7433" s="200"/>
      <c r="C7433" s="31"/>
      <c r="D7433" s="75"/>
      <c r="E7433" s="772"/>
      <c r="F7433" s="33"/>
      <c r="G7433" s="33"/>
      <c r="H7433" s="31"/>
    </row>
    <row r="7434" spans="2:8" hidden="1">
      <c r="B7434" s="200"/>
      <c r="C7434" s="31"/>
      <c r="D7434" s="75"/>
      <c r="E7434" s="772"/>
      <c r="F7434" s="33"/>
      <c r="G7434" s="33"/>
      <c r="H7434" s="31"/>
    </row>
    <row r="7435" spans="2:8" hidden="1">
      <c r="B7435" s="200"/>
      <c r="C7435" s="31"/>
      <c r="D7435" s="75"/>
      <c r="E7435" s="772"/>
      <c r="F7435" s="33"/>
      <c r="G7435" s="33"/>
      <c r="H7435" s="31"/>
    </row>
    <row r="7436" spans="2:8" hidden="1">
      <c r="B7436" s="200"/>
      <c r="C7436" s="31"/>
      <c r="D7436" s="75"/>
      <c r="E7436" s="772"/>
      <c r="F7436" s="33"/>
      <c r="G7436" s="33"/>
      <c r="H7436" s="31"/>
    </row>
    <row r="7437" spans="2:8" hidden="1">
      <c r="B7437" s="200"/>
      <c r="C7437" s="31"/>
      <c r="D7437" s="75"/>
      <c r="E7437" s="772"/>
      <c r="F7437" s="33"/>
      <c r="G7437" s="33"/>
      <c r="H7437" s="31"/>
    </row>
    <row r="7438" spans="2:8" hidden="1">
      <c r="B7438" s="200"/>
      <c r="C7438" s="31"/>
      <c r="D7438" s="75"/>
      <c r="E7438" s="771"/>
      <c r="F7438" s="33"/>
      <c r="G7438" s="33"/>
      <c r="H7438" s="31"/>
    </row>
    <row r="7439" spans="2:8" hidden="1">
      <c r="B7439" s="200"/>
      <c r="C7439" s="31"/>
      <c r="D7439" s="75"/>
      <c r="E7439" s="771"/>
      <c r="F7439" s="31"/>
      <c r="G7439" s="31"/>
      <c r="H7439" s="31"/>
    </row>
    <row r="7440" spans="2:8" hidden="1">
      <c r="B7440" s="200"/>
      <c r="C7440" s="31"/>
      <c r="D7440" s="75"/>
      <c r="E7440" s="771"/>
      <c r="F7440" s="31"/>
      <c r="G7440" s="31"/>
      <c r="H7440" s="31"/>
    </row>
    <row r="7441" spans="2:8" hidden="1">
      <c r="B7441" s="200"/>
      <c r="C7441" s="31"/>
      <c r="D7441" s="75"/>
      <c r="E7441" s="771"/>
      <c r="F7441" s="31"/>
      <c r="G7441" s="31"/>
      <c r="H7441" s="31"/>
    </row>
    <row r="7442" spans="2:8" hidden="1">
      <c r="B7442" s="200"/>
      <c r="C7442" s="31"/>
      <c r="D7442" s="75"/>
      <c r="E7442" s="771"/>
      <c r="F7442" s="31"/>
      <c r="G7442" s="31"/>
      <c r="H7442" s="31"/>
    </row>
    <row r="7443" spans="2:8" hidden="1">
      <c r="B7443" s="200"/>
      <c r="C7443" s="31"/>
      <c r="D7443" s="75"/>
      <c r="E7443" s="31"/>
      <c r="F7443" s="31"/>
      <c r="G7443" s="31"/>
      <c r="H7443" s="31"/>
    </row>
    <row r="7444" spans="2:8" hidden="1">
      <c r="B7444" s="200"/>
      <c r="C7444" s="31"/>
      <c r="D7444" s="75"/>
      <c r="E7444" s="31"/>
      <c r="F7444" s="31"/>
      <c r="G7444" s="31"/>
      <c r="H7444" s="31"/>
    </row>
    <row r="7445" spans="2:8" hidden="1">
      <c r="B7445" s="200"/>
      <c r="C7445" s="31"/>
      <c r="D7445" s="75"/>
      <c r="E7445" s="31"/>
      <c r="F7445" s="31"/>
      <c r="G7445" s="31"/>
      <c r="H7445" s="31"/>
    </row>
    <row r="7446" spans="2:8" hidden="1">
      <c r="B7446" s="200"/>
      <c r="C7446" s="31"/>
      <c r="D7446" s="75"/>
      <c r="E7446" s="33"/>
      <c r="F7446" s="33"/>
      <c r="G7446" s="33"/>
      <c r="H7446" s="31"/>
    </row>
    <row r="7447" spans="2:8" hidden="1">
      <c r="B7447" s="200"/>
      <c r="C7447" s="31"/>
      <c r="D7447" s="75"/>
      <c r="E7447" s="33"/>
      <c r="F7447" s="33"/>
      <c r="G7447" s="33"/>
      <c r="H7447" s="31"/>
    </row>
    <row r="7448" spans="2:8" hidden="1">
      <c r="B7448" s="200"/>
      <c r="C7448" s="31"/>
      <c r="D7448" s="75"/>
      <c r="E7448" s="33"/>
      <c r="F7448" s="33"/>
      <c r="G7448" s="33"/>
      <c r="H7448" s="31"/>
    </row>
    <row r="7449" spans="2:8" hidden="1">
      <c r="B7449" s="200"/>
      <c r="C7449" s="31"/>
      <c r="D7449" s="75"/>
      <c r="E7449" s="31"/>
      <c r="F7449" s="31"/>
      <c r="G7449" s="31"/>
      <c r="H7449" s="31"/>
    </row>
    <row r="7450" spans="2:8" hidden="1">
      <c r="B7450" s="33"/>
      <c r="C7450" s="200"/>
      <c r="D7450" s="75"/>
      <c r="E7450" s="31"/>
      <c r="F7450" s="31"/>
      <c r="G7450" s="31"/>
      <c r="H7450" s="31"/>
    </row>
    <row r="7451" spans="2:8" hidden="1">
      <c r="B7451" s="33"/>
      <c r="C7451" s="31"/>
      <c r="D7451" s="104"/>
      <c r="E7451" s="33"/>
      <c r="F7451" s="33"/>
      <c r="G7451" s="33"/>
      <c r="H7451" s="31"/>
    </row>
    <row r="7452" spans="2:8" hidden="1">
      <c r="B7452" s="33"/>
      <c r="C7452" s="31"/>
      <c r="D7452" s="31"/>
      <c r="E7452" s="31"/>
      <c r="F7452" s="31"/>
      <c r="G7452" s="31"/>
      <c r="H7452" s="31"/>
    </row>
    <row r="7453" spans="2:8" hidden="1">
      <c r="B7453" s="405"/>
      <c r="C7453" s="31"/>
      <c r="D7453" s="31"/>
      <c r="E7453" s="31"/>
      <c r="F7453" s="31"/>
      <c r="G7453" s="31"/>
      <c r="H7453" s="31"/>
    </row>
    <row r="7454" spans="2:8" hidden="1">
      <c r="B7454" s="405"/>
      <c r="C7454" s="31"/>
      <c r="D7454" s="31"/>
      <c r="E7454" s="31"/>
      <c r="F7454" s="691"/>
      <c r="G7454" s="75"/>
      <c r="H7454" s="31"/>
    </row>
    <row r="7455" spans="2:8" hidden="1">
      <c r="B7455" s="405"/>
      <c r="C7455" s="31"/>
      <c r="D7455" s="31"/>
      <c r="E7455" s="31"/>
      <c r="F7455" s="691"/>
      <c r="G7455" s="75"/>
      <c r="H7455" s="31"/>
    </row>
    <row r="7456" spans="2:8" hidden="1">
      <c r="B7456" s="405"/>
      <c r="C7456" s="31"/>
      <c r="D7456" s="31"/>
      <c r="E7456" s="31"/>
      <c r="F7456" s="691"/>
      <c r="G7456" s="75"/>
      <c r="H7456" s="31"/>
    </row>
    <row r="7457" spans="2:8" hidden="1">
      <c r="B7457" s="405"/>
      <c r="C7457" s="31"/>
      <c r="D7457" s="31"/>
      <c r="E7457" s="31"/>
      <c r="F7457" s="691"/>
      <c r="G7457" s="75"/>
      <c r="H7457" s="31"/>
    </row>
    <row r="7458" spans="2:8" hidden="1">
      <c r="B7458" s="405"/>
      <c r="C7458" s="31"/>
      <c r="D7458" s="31"/>
      <c r="E7458" s="31"/>
      <c r="F7458" s="691"/>
      <c r="G7458" s="75"/>
      <c r="H7458" s="31"/>
    </row>
    <row r="7459" spans="2:8" hidden="1">
      <c r="B7459" s="405"/>
      <c r="C7459" s="31"/>
      <c r="D7459" s="31"/>
      <c r="E7459" s="31"/>
      <c r="F7459" s="691"/>
      <c r="G7459" s="75"/>
      <c r="H7459" s="31"/>
    </row>
    <row r="7460" spans="2:8" hidden="1">
      <c r="B7460" s="405"/>
      <c r="C7460" s="31"/>
      <c r="D7460" s="31"/>
      <c r="E7460" s="31"/>
      <c r="F7460" s="691"/>
      <c r="G7460" s="75"/>
      <c r="H7460" s="31"/>
    </row>
    <row r="7461" spans="2:8" hidden="1">
      <c r="B7461" s="405"/>
      <c r="C7461" s="31"/>
      <c r="D7461" s="31"/>
      <c r="E7461" s="31"/>
      <c r="F7461" s="691"/>
      <c r="G7461" s="75"/>
      <c r="H7461" s="31"/>
    </row>
    <row r="7462" spans="2:8" hidden="1">
      <c r="B7462" s="405"/>
      <c r="C7462" s="31"/>
      <c r="D7462" s="31"/>
      <c r="E7462" s="31"/>
      <c r="F7462" s="691"/>
      <c r="G7462" s="75"/>
      <c r="H7462" s="31"/>
    </row>
    <row r="7463" spans="2:8" hidden="1">
      <c r="B7463" s="405"/>
      <c r="C7463" s="31"/>
      <c r="D7463" s="31"/>
      <c r="E7463" s="31"/>
      <c r="F7463" s="691"/>
      <c r="G7463" s="75"/>
      <c r="H7463" s="31"/>
    </row>
    <row r="7464" spans="2:8" hidden="1">
      <c r="B7464" s="405"/>
      <c r="C7464" s="31"/>
      <c r="D7464" s="31"/>
      <c r="E7464" s="31"/>
      <c r="F7464" s="691"/>
      <c r="G7464" s="31"/>
      <c r="H7464" s="31"/>
    </row>
    <row r="7465" spans="2:8" hidden="1">
      <c r="B7465" s="33"/>
      <c r="C7465" s="31"/>
      <c r="D7465" s="31"/>
      <c r="E7465" s="31"/>
      <c r="F7465" s="691"/>
      <c r="G7465" s="75"/>
      <c r="H7465" s="31"/>
    </row>
    <row r="7466" spans="2:8" hidden="1">
      <c r="B7466" s="33"/>
      <c r="C7466" s="31"/>
      <c r="D7466" s="31"/>
      <c r="E7466" s="31"/>
      <c r="F7466" s="691"/>
      <c r="G7466" s="75"/>
      <c r="H7466" s="31"/>
    </row>
    <row r="7467" spans="2:8" hidden="1">
      <c r="B7467" s="33"/>
      <c r="C7467" s="31"/>
      <c r="D7467" s="31"/>
      <c r="E7467" s="31"/>
      <c r="F7467" s="691"/>
      <c r="G7467" s="31"/>
      <c r="H7467" s="31"/>
    </row>
    <row r="7468" spans="2:8" hidden="1">
      <c r="B7468" s="33"/>
      <c r="C7468" s="31"/>
      <c r="D7468" s="31"/>
      <c r="E7468" s="31"/>
      <c r="F7468" s="31"/>
      <c r="G7468" s="31"/>
      <c r="H7468" s="31"/>
    </row>
    <row r="7469" spans="2:8" hidden="1">
      <c r="B7469" s="33"/>
      <c r="C7469" s="31"/>
      <c r="D7469" s="31"/>
      <c r="E7469" s="31"/>
      <c r="F7469" s="31"/>
      <c r="G7469" s="31"/>
      <c r="H7469" s="31"/>
    </row>
    <row r="7470" spans="2:8" hidden="1">
      <c r="B7470" s="33"/>
      <c r="C7470" s="31"/>
      <c r="D7470" s="31"/>
      <c r="E7470" s="31"/>
      <c r="F7470" s="31"/>
      <c r="G7470" s="31"/>
      <c r="H7470" s="31"/>
    </row>
    <row r="7471" spans="2:8" hidden="1">
      <c r="B7471" s="33"/>
      <c r="C7471" s="31"/>
      <c r="D7471" s="31"/>
      <c r="E7471" s="31"/>
      <c r="F7471" s="31"/>
      <c r="G7471" s="31"/>
      <c r="H7471" s="31"/>
    </row>
    <row r="7472" spans="2:8" hidden="1">
      <c r="B7472" s="33"/>
      <c r="C7472" s="31"/>
      <c r="D7472" s="31"/>
      <c r="E7472" s="31"/>
      <c r="F7472" s="31"/>
      <c r="G7472" s="31"/>
      <c r="H7472" s="31"/>
    </row>
    <row r="7473" spans="2:8" hidden="1">
      <c r="B7473" s="33"/>
      <c r="C7473" s="31"/>
      <c r="D7473" s="31"/>
      <c r="E7473" s="31"/>
      <c r="F7473" s="31"/>
      <c r="G7473" s="31"/>
      <c r="H7473" s="31"/>
    </row>
    <row r="7474" spans="2:8" hidden="1">
      <c r="B7474" s="33"/>
      <c r="C7474" s="31"/>
      <c r="D7474" s="31"/>
      <c r="E7474" s="31"/>
      <c r="F7474" s="31"/>
      <c r="G7474" s="31"/>
      <c r="H7474" s="31"/>
    </row>
    <row r="7475" spans="2:8" hidden="1">
      <c r="B7475" s="33"/>
      <c r="C7475" s="31"/>
      <c r="D7475" s="31"/>
      <c r="E7475" s="31"/>
      <c r="F7475" s="31"/>
      <c r="G7475" s="31"/>
      <c r="H7475" s="31"/>
    </row>
    <row r="7476" spans="2:8" hidden="1">
      <c r="B7476" s="33"/>
      <c r="C7476" s="31"/>
      <c r="D7476" s="33"/>
      <c r="E7476" s="33"/>
      <c r="F7476" s="33"/>
      <c r="G7476" s="33"/>
      <c r="H7476" s="31"/>
    </row>
    <row r="7477" spans="2:8" hidden="1">
      <c r="B7477" s="33"/>
      <c r="C7477" s="31"/>
      <c r="D7477" s="33"/>
      <c r="E7477" s="33"/>
      <c r="F7477" s="33"/>
      <c r="G7477" s="33"/>
      <c r="H7477" s="31"/>
    </row>
    <row r="7478" spans="2:8" hidden="1">
      <c r="B7478" s="33"/>
      <c r="C7478" s="31"/>
      <c r="D7478" s="31"/>
      <c r="E7478" s="31"/>
      <c r="F7478" s="31"/>
      <c r="G7478" s="31"/>
      <c r="H7478" s="31"/>
    </row>
    <row r="7479" spans="2:8" hidden="1">
      <c r="B7479" s="200"/>
      <c r="C7479" s="31"/>
      <c r="D7479" s="75"/>
      <c r="E7479" s="771"/>
      <c r="F7479" s="33"/>
      <c r="G7479" s="33"/>
      <c r="H7479" s="31"/>
    </row>
    <row r="7480" spans="2:8" hidden="1">
      <c r="B7480" s="200"/>
      <c r="C7480" s="31"/>
      <c r="D7480" s="75"/>
      <c r="E7480" s="771"/>
      <c r="F7480" s="31"/>
      <c r="G7480" s="31"/>
      <c r="H7480" s="31"/>
    </row>
    <row r="7481" spans="2:8" hidden="1">
      <c r="B7481" s="200"/>
      <c r="C7481" s="31"/>
      <c r="D7481" s="75"/>
      <c r="E7481" s="771"/>
      <c r="F7481" s="31"/>
      <c r="G7481" s="31"/>
      <c r="H7481" s="31"/>
    </row>
    <row r="7482" spans="2:8" hidden="1">
      <c r="B7482" s="200"/>
      <c r="C7482" s="31"/>
      <c r="D7482" s="75"/>
      <c r="E7482" s="771"/>
      <c r="F7482" s="33"/>
      <c r="G7482" s="33"/>
      <c r="H7482" s="31"/>
    </row>
    <row r="7483" spans="2:8" hidden="1">
      <c r="B7483" s="200"/>
      <c r="C7483" s="31"/>
      <c r="D7483" s="75"/>
      <c r="E7483" s="771"/>
      <c r="F7483" s="31"/>
      <c r="G7483" s="31"/>
      <c r="H7483" s="31"/>
    </row>
    <row r="7484" spans="2:8" hidden="1">
      <c r="B7484" s="200"/>
      <c r="C7484" s="31"/>
      <c r="D7484" s="75"/>
      <c r="E7484" s="771"/>
      <c r="F7484" s="31"/>
      <c r="G7484" s="31"/>
      <c r="H7484" s="31"/>
    </row>
    <row r="7485" spans="2:8" hidden="1">
      <c r="B7485" s="200"/>
      <c r="C7485" s="31"/>
      <c r="D7485" s="75"/>
      <c r="E7485" s="771"/>
      <c r="F7485" s="31"/>
      <c r="G7485" s="31"/>
      <c r="H7485" s="31"/>
    </row>
    <row r="7486" spans="2:8" hidden="1">
      <c r="B7486" s="200"/>
      <c r="C7486" s="31"/>
      <c r="D7486" s="75"/>
      <c r="E7486" s="771"/>
      <c r="F7486" s="31"/>
      <c r="G7486" s="31"/>
      <c r="H7486" s="31"/>
    </row>
    <row r="7487" spans="2:8" hidden="1">
      <c r="B7487" s="200"/>
      <c r="C7487" s="31"/>
      <c r="D7487" s="75"/>
      <c r="E7487" s="771"/>
      <c r="F7487" s="31"/>
      <c r="G7487" s="31"/>
      <c r="H7487" s="31"/>
    </row>
    <row r="7488" spans="2:8" hidden="1">
      <c r="B7488" s="200"/>
      <c r="C7488" s="31"/>
      <c r="D7488" s="75"/>
      <c r="E7488" s="771"/>
      <c r="F7488" s="31"/>
      <c r="G7488" s="31"/>
      <c r="H7488" s="31"/>
    </row>
    <row r="7489" spans="2:8" hidden="1">
      <c r="B7489" s="200"/>
      <c r="C7489" s="31"/>
      <c r="D7489" s="75"/>
      <c r="E7489" s="771"/>
      <c r="F7489" s="31"/>
      <c r="G7489" s="31"/>
      <c r="H7489" s="31"/>
    </row>
    <row r="7490" spans="2:8" hidden="1">
      <c r="B7490" s="200"/>
      <c r="C7490" s="31"/>
      <c r="D7490" s="75"/>
      <c r="E7490" s="771"/>
      <c r="F7490" s="31"/>
      <c r="G7490" s="31"/>
      <c r="H7490" s="31"/>
    </row>
    <row r="7491" spans="2:8" hidden="1">
      <c r="B7491" s="200"/>
      <c r="C7491" s="31"/>
      <c r="D7491" s="75"/>
      <c r="E7491" s="771"/>
      <c r="F7491" s="31"/>
      <c r="G7491" s="31"/>
      <c r="H7491" s="31"/>
    </row>
    <row r="7492" spans="2:8" hidden="1">
      <c r="B7492" s="200"/>
      <c r="C7492" s="31"/>
      <c r="D7492" s="75"/>
      <c r="E7492" s="771"/>
      <c r="F7492" s="31"/>
      <c r="G7492" s="31"/>
      <c r="H7492" s="31"/>
    </row>
    <row r="7493" spans="2:8" hidden="1">
      <c r="B7493" s="200"/>
      <c r="C7493" s="31"/>
      <c r="D7493" s="75"/>
      <c r="E7493" s="771"/>
      <c r="F7493" s="31"/>
      <c r="G7493" s="31"/>
      <c r="H7493" s="31"/>
    </row>
    <row r="7494" spans="2:8" hidden="1">
      <c r="B7494" s="200"/>
      <c r="C7494" s="31"/>
      <c r="D7494" s="75"/>
      <c r="E7494" s="771"/>
      <c r="F7494" s="31"/>
      <c r="G7494" s="31"/>
      <c r="H7494" s="31"/>
    </row>
    <row r="7495" spans="2:8" hidden="1">
      <c r="B7495" s="200"/>
      <c r="C7495" s="31"/>
      <c r="D7495" s="75"/>
      <c r="E7495" s="771"/>
      <c r="F7495" s="31"/>
      <c r="G7495" s="31"/>
      <c r="H7495" s="31"/>
    </row>
    <row r="7496" spans="2:8" hidden="1">
      <c r="B7496" s="200"/>
      <c r="C7496" s="31"/>
      <c r="D7496" s="75"/>
      <c r="E7496" s="771"/>
      <c r="F7496" s="31"/>
      <c r="G7496" s="31"/>
      <c r="H7496" s="31"/>
    </row>
    <row r="7497" spans="2:8" hidden="1">
      <c r="B7497" s="200"/>
      <c r="C7497" s="31"/>
      <c r="D7497" s="75"/>
      <c r="E7497" s="771"/>
      <c r="F7497" s="31"/>
      <c r="G7497" s="31"/>
      <c r="H7497" s="31"/>
    </row>
    <row r="7498" spans="2:8" hidden="1">
      <c r="B7498" s="200"/>
      <c r="C7498" s="31"/>
      <c r="D7498" s="75"/>
      <c r="E7498" s="771"/>
      <c r="F7498" s="31"/>
      <c r="G7498" s="31"/>
      <c r="H7498" s="31"/>
    </row>
    <row r="7499" spans="2:8" hidden="1">
      <c r="B7499" s="200"/>
      <c r="C7499" s="31"/>
      <c r="D7499" s="75"/>
      <c r="E7499" s="771"/>
      <c r="F7499" s="31"/>
      <c r="G7499" s="31"/>
      <c r="H7499" s="31"/>
    </row>
    <row r="7500" spans="2:8" hidden="1">
      <c r="B7500" s="200"/>
      <c r="C7500" s="31"/>
      <c r="D7500" s="75"/>
      <c r="E7500" s="771"/>
      <c r="F7500" s="771"/>
      <c r="G7500" s="31"/>
      <c r="H7500" s="31"/>
    </row>
    <row r="7501" spans="2:8" hidden="1">
      <c r="B7501" s="200"/>
      <c r="C7501" s="31"/>
      <c r="D7501" s="75"/>
      <c r="E7501" s="771"/>
      <c r="F7501" s="771"/>
      <c r="G7501" s="31"/>
      <c r="H7501" s="31"/>
    </row>
    <row r="7502" spans="2:8" hidden="1">
      <c r="B7502" s="200"/>
      <c r="C7502" s="31"/>
      <c r="D7502" s="75"/>
      <c r="E7502" s="771"/>
      <c r="F7502" s="771"/>
      <c r="G7502" s="31"/>
      <c r="H7502" s="31"/>
    </row>
    <row r="7503" spans="2:8" hidden="1">
      <c r="B7503" s="200"/>
      <c r="C7503" s="31"/>
      <c r="D7503" s="75"/>
      <c r="E7503" s="771"/>
      <c r="F7503" s="771"/>
      <c r="G7503" s="31"/>
      <c r="H7503" s="31"/>
    </row>
    <row r="7504" spans="2:8" hidden="1">
      <c r="B7504" s="200"/>
      <c r="C7504" s="31"/>
      <c r="D7504" s="75"/>
      <c r="E7504" s="771"/>
      <c r="F7504" s="772"/>
      <c r="G7504" s="33"/>
      <c r="H7504" s="31"/>
    </row>
    <row r="7505" spans="2:8" hidden="1">
      <c r="B7505" s="200"/>
      <c r="C7505" s="31"/>
      <c r="D7505" s="75"/>
      <c r="E7505" s="771"/>
      <c r="F7505" s="771"/>
      <c r="G7505" s="31"/>
      <c r="H7505" s="31"/>
    </row>
    <row r="7506" spans="2:8" hidden="1">
      <c r="B7506" s="200"/>
      <c r="C7506" s="31"/>
      <c r="D7506" s="75"/>
      <c r="E7506" s="771"/>
      <c r="F7506" s="771"/>
      <c r="G7506" s="31"/>
      <c r="H7506" s="31"/>
    </row>
    <row r="7507" spans="2:8" hidden="1">
      <c r="B7507" s="200"/>
      <c r="C7507" s="31"/>
      <c r="D7507" s="75"/>
      <c r="E7507" s="771"/>
      <c r="F7507" s="771"/>
      <c r="G7507" s="31"/>
      <c r="H7507" s="31"/>
    </row>
    <row r="7508" spans="2:8" hidden="1">
      <c r="B7508" s="200"/>
      <c r="C7508" s="31"/>
      <c r="D7508" s="75"/>
      <c r="E7508" s="771"/>
      <c r="F7508" s="771"/>
      <c r="G7508" s="31"/>
      <c r="H7508" s="31"/>
    </row>
    <row r="7509" spans="2:8" hidden="1">
      <c r="B7509" s="200"/>
      <c r="C7509" s="31"/>
      <c r="D7509" s="75"/>
      <c r="E7509" s="771"/>
      <c r="F7509" s="771"/>
      <c r="G7509" s="31"/>
      <c r="H7509" s="31"/>
    </row>
    <row r="7510" spans="2:8" hidden="1">
      <c r="B7510" s="200"/>
      <c r="C7510" s="31"/>
      <c r="D7510" s="75"/>
      <c r="E7510" s="771"/>
      <c r="F7510" s="771"/>
      <c r="G7510" s="31"/>
      <c r="H7510" s="31"/>
    </row>
    <row r="7511" spans="2:8" hidden="1">
      <c r="B7511" s="200"/>
      <c r="C7511" s="31"/>
      <c r="D7511" s="75"/>
      <c r="E7511" s="771"/>
      <c r="F7511" s="771"/>
      <c r="G7511" s="31"/>
      <c r="H7511" s="31"/>
    </row>
    <row r="7512" spans="2:8" hidden="1">
      <c r="B7512" s="200"/>
      <c r="C7512" s="31"/>
      <c r="D7512" s="75"/>
      <c r="E7512" s="771"/>
      <c r="F7512" s="771"/>
      <c r="G7512" s="31"/>
      <c r="H7512" s="31"/>
    </row>
    <row r="7513" spans="2:8" hidden="1">
      <c r="B7513" s="200"/>
      <c r="C7513" s="31"/>
      <c r="D7513" s="75"/>
      <c r="E7513" s="771"/>
      <c r="F7513" s="772"/>
      <c r="G7513" s="33"/>
      <c r="H7513" s="31"/>
    </row>
    <row r="7514" spans="2:8" hidden="1">
      <c r="B7514" s="200"/>
      <c r="C7514" s="31"/>
      <c r="D7514" s="75"/>
      <c r="E7514" s="771"/>
      <c r="F7514" s="771"/>
      <c r="G7514" s="31"/>
      <c r="H7514" s="31"/>
    </row>
    <row r="7515" spans="2:8" hidden="1">
      <c r="B7515" s="200"/>
      <c r="C7515" s="31"/>
      <c r="D7515" s="75"/>
      <c r="E7515" s="771"/>
      <c r="F7515" s="771"/>
      <c r="G7515" s="31"/>
      <c r="H7515" s="31"/>
    </row>
    <row r="7516" spans="2:8" hidden="1">
      <c r="B7516" s="200"/>
      <c r="C7516" s="31"/>
      <c r="D7516" s="75"/>
      <c r="E7516" s="771"/>
      <c r="F7516" s="772"/>
      <c r="G7516" s="33"/>
      <c r="H7516" s="31"/>
    </row>
    <row r="7517" spans="2:8" hidden="1">
      <c r="B7517" s="200"/>
      <c r="C7517" s="31"/>
      <c r="D7517" s="75"/>
      <c r="E7517" s="771"/>
      <c r="F7517" s="771"/>
      <c r="G7517" s="31"/>
      <c r="H7517" s="31"/>
    </row>
    <row r="7518" spans="2:8" hidden="1">
      <c r="B7518" s="200"/>
      <c r="C7518" s="31"/>
      <c r="D7518" s="75"/>
      <c r="E7518" s="771"/>
      <c r="F7518" s="771"/>
      <c r="G7518" s="31"/>
      <c r="H7518" s="31"/>
    </row>
    <row r="7519" spans="2:8" hidden="1">
      <c r="B7519" s="200"/>
      <c r="C7519" s="31"/>
      <c r="D7519" s="75"/>
      <c r="E7519" s="771"/>
      <c r="F7519" s="771"/>
      <c r="G7519" s="31"/>
      <c r="H7519" s="31"/>
    </row>
    <row r="7520" spans="2:8" hidden="1">
      <c r="B7520" s="200"/>
      <c r="C7520" s="31"/>
      <c r="D7520" s="75"/>
      <c r="E7520" s="771"/>
      <c r="F7520" s="771"/>
      <c r="G7520" s="31"/>
      <c r="H7520" s="31"/>
    </row>
    <row r="7521" spans="2:8" hidden="1">
      <c r="B7521" s="200"/>
      <c r="C7521" s="31"/>
      <c r="D7521" s="75"/>
      <c r="E7521" s="771"/>
      <c r="F7521" s="772"/>
      <c r="G7521" s="33"/>
      <c r="H7521" s="31"/>
    </row>
    <row r="7522" spans="2:8" hidden="1">
      <c r="B7522" s="200"/>
      <c r="C7522" s="31"/>
      <c r="D7522" s="75"/>
      <c r="E7522" s="771"/>
      <c r="F7522" s="771"/>
      <c r="G7522" s="31"/>
      <c r="H7522" s="31"/>
    </row>
    <row r="7523" spans="2:8" hidden="1">
      <c r="B7523" s="200"/>
      <c r="C7523" s="31"/>
      <c r="D7523" s="75"/>
      <c r="E7523" s="771"/>
      <c r="F7523" s="771"/>
      <c r="G7523" s="31"/>
      <c r="H7523" s="31"/>
    </row>
    <row r="7524" spans="2:8" hidden="1">
      <c r="B7524" s="200"/>
      <c r="C7524" s="31"/>
      <c r="D7524" s="75"/>
      <c r="E7524" s="771"/>
      <c r="F7524" s="772"/>
      <c r="G7524" s="33"/>
      <c r="H7524" s="31"/>
    </row>
    <row r="7525" spans="2:8" hidden="1">
      <c r="B7525" s="200"/>
      <c r="C7525" s="31"/>
      <c r="D7525" s="75"/>
      <c r="E7525" s="771"/>
      <c r="F7525" s="771"/>
      <c r="G7525" s="31"/>
      <c r="H7525" s="31"/>
    </row>
    <row r="7526" spans="2:8" hidden="1">
      <c r="B7526" s="200"/>
      <c r="C7526" s="31"/>
      <c r="D7526" s="75"/>
      <c r="E7526" s="771"/>
      <c r="F7526" s="771"/>
      <c r="G7526" s="31"/>
      <c r="H7526" s="31"/>
    </row>
    <row r="7527" spans="2:8" hidden="1">
      <c r="B7527" s="200"/>
      <c r="C7527" s="31"/>
      <c r="D7527" s="75"/>
      <c r="E7527" s="771"/>
      <c r="F7527" s="771"/>
      <c r="G7527" s="31"/>
      <c r="H7527" s="31"/>
    </row>
    <row r="7528" spans="2:8" hidden="1">
      <c r="B7528" s="200"/>
      <c r="C7528" s="31"/>
      <c r="D7528" s="75"/>
      <c r="E7528" s="772"/>
      <c r="F7528" s="772"/>
      <c r="G7528" s="33"/>
      <c r="H7528" s="31"/>
    </row>
    <row r="7529" spans="2:8" hidden="1">
      <c r="B7529" s="200"/>
      <c r="C7529" s="31"/>
      <c r="D7529" s="75"/>
      <c r="E7529" s="771"/>
      <c r="F7529" s="772"/>
      <c r="G7529" s="33"/>
      <c r="H7529" s="31"/>
    </row>
    <row r="7530" spans="2:8" hidden="1">
      <c r="B7530" s="200"/>
      <c r="C7530" s="31"/>
      <c r="D7530" s="75"/>
      <c r="E7530" s="772"/>
      <c r="F7530" s="772"/>
      <c r="G7530" s="33"/>
      <c r="H7530" s="31"/>
    </row>
    <row r="7531" spans="2:8" hidden="1">
      <c r="B7531" s="200"/>
      <c r="C7531" s="31"/>
      <c r="D7531" s="75"/>
      <c r="E7531" s="771"/>
      <c r="F7531" s="772"/>
      <c r="G7531" s="33"/>
      <c r="H7531" s="31"/>
    </row>
    <row r="7532" spans="2:8" hidden="1">
      <c r="B7532" s="200"/>
      <c r="C7532" s="31"/>
      <c r="D7532" s="75"/>
      <c r="E7532" s="771"/>
      <c r="F7532" s="772"/>
      <c r="G7532" s="33"/>
      <c r="H7532" s="31"/>
    </row>
    <row r="7533" spans="2:8" hidden="1">
      <c r="B7533" s="200"/>
      <c r="C7533" s="31"/>
      <c r="D7533" s="75"/>
      <c r="E7533" s="772"/>
      <c r="F7533" s="772"/>
      <c r="G7533" s="33"/>
      <c r="H7533" s="31"/>
    </row>
    <row r="7534" spans="2:8" hidden="1">
      <c r="B7534" s="200"/>
      <c r="C7534" s="31"/>
      <c r="D7534" s="75"/>
      <c r="E7534" s="772"/>
      <c r="F7534" s="772"/>
      <c r="G7534" s="33"/>
      <c r="H7534" s="31"/>
    </row>
    <row r="7535" spans="2:8" hidden="1">
      <c r="B7535" s="200"/>
      <c r="C7535" s="31"/>
      <c r="D7535" s="75"/>
      <c r="E7535" s="771"/>
      <c r="F7535" s="771"/>
      <c r="G7535" s="31"/>
      <c r="H7535" s="31"/>
    </row>
    <row r="7536" spans="2:8" hidden="1">
      <c r="B7536" s="200"/>
      <c r="C7536" s="31"/>
      <c r="D7536" s="75"/>
      <c r="E7536" s="771"/>
      <c r="F7536" s="771"/>
      <c r="G7536" s="31"/>
      <c r="H7536" s="31"/>
    </row>
    <row r="7537" spans="2:8" hidden="1">
      <c r="B7537" s="200"/>
      <c r="C7537" s="31"/>
      <c r="D7537" s="75"/>
      <c r="E7537" s="771"/>
      <c r="F7537" s="771"/>
      <c r="G7537" s="31"/>
      <c r="H7537" s="31"/>
    </row>
    <row r="7538" spans="2:8" hidden="1">
      <c r="B7538" s="33"/>
      <c r="C7538" s="31"/>
      <c r="D7538" s="31"/>
      <c r="E7538" s="31"/>
      <c r="F7538" s="31"/>
      <c r="G7538" s="31"/>
      <c r="H7538" s="31"/>
    </row>
    <row r="7539" spans="2:8" hidden="1">
      <c r="B7539" s="200"/>
      <c r="C7539" s="31"/>
      <c r="D7539" s="75"/>
      <c r="E7539" s="771"/>
      <c r="F7539" s="772"/>
      <c r="G7539" s="33"/>
      <c r="H7539" s="31"/>
    </row>
    <row r="7540" spans="2:8" hidden="1">
      <c r="B7540" s="200"/>
      <c r="C7540" s="31"/>
      <c r="D7540" s="75"/>
      <c r="E7540" s="771"/>
      <c r="F7540" s="772"/>
      <c r="G7540" s="33"/>
      <c r="H7540" s="31"/>
    </row>
    <row r="7541" spans="2:8" hidden="1">
      <c r="B7541" s="200"/>
      <c r="C7541" s="31"/>
      <c r="D7541" s="75"/>
      <c r="E7541" s="771"/>
      <c r="F7541" s="771"/>
      <c r="G7541" s="31"/>
      <c r="H7541" s="31"/>
    </row>
    <row r="7542" spans="2:8" hidden="1">
      <c r="B7542" s="200"/>
      <c r="C7542" s="31"/>
      <c r="D7542" s="75"/>
      <c r="E7542" s="771"/>
      <c r="F7542" s="771"/>
      <c r="G7542" s="31"/>
      <c r="H7542" s="31"/>
    </row>
    <row r="7543" spans="2:8" hidden="1">
      <c r="B7543" s="200"/>
      <c r="C7543" s="31"/>
      <c r="D7543" s="75"/>
      <c r="E7543" s="771"/>
      <c r="F7543" s="771"/>
      <c r="G7543" s="31"/>
      <c r="H7543" s="31"/>
    </row>
    <row r="7544" spans="2:8" hidden="1">
      <c r="B7544" s="200"/>
      <c r="C7544" s="31"/>
      <c r="D7544" s="75"/>
      <c r="E7544" s="771"/>
      <c r="F7544" s="771"/>
      <c r="G7544" s="31"/>
      <c r="H7544" s="31"/>
    </row>
    <row r="7545" spans="2:8" hidden="1">
      <c r="B7545" s="200"/>
      <c r="C7545" s="31"/>
      <c r="D7545" s="75"/>
      <c r="E7545" s="771"/>
      <c r="F7545" s="771"/>
      <c r="G7545" s="31"/>
      <c r="H7545" s="31"/>
    </row>
    <row r="7546" spans="2:8" hidden="1">
      <c r="B7546" s="200"/>
      <c r="C7546" s="31"/>
      <c r="D7546" s="75"/>
      <c r="E7546" s="771"/>
      <c r="F7546" s="771"/>
      <c r="G7546" s="31"/>
      <c r="H7546" s="31"/>
    </row>
    <row r="7547" spans="2:8" hidden="1">
      <c r="B7547" s="200"/>
      <c r="C7547" s="31"/>
      <c r="D7547" s="75"/>
      <c r="E7547" s="771"/>
      <c r="F7547" s="771"/>
      <c r="G7547" s="31"/>
      <c r="H7547" s="31"/>
    </row>
    <row r="7548" spans="2:8" hidden="1">
      <c r="B7548" s="200"/>
      <c r="C7548" s="31"/>
      <c r="D7548" s="75"/>
      <c r="E7548" s="771"/>
      <c r="F7548" s="771"/>
      <c r="G7548" s="31"/>
      <c r="H7548" s="31"/>
    </row>
    <row r="7549" spans="2:8" hidden="1">
      <c r="B7549" s="200"/>
      <c r="C7549" s="31"/>
      <c r="D7549" s="75"/>
      <c r="E7549" s="771"/>
      <c r="F7549" s="771"/>
      <c r="G7549" s="31"/>
      <c r="H7549" s="31"/>
    </row>
    <row r="7550" spans="2:8" hidden="1">
      <c r="B7550" s="200"/>
      <c r="C7550" s="31"/>
      <c r="D7550" s="75"/>
      <c r="E7550" s="771"/>
      <c r="F7550" s="771"/>
      <c r="G7550" s="31"/>
      <c r="H7550" s="31"/>
    </row>
    <row r="7551" spans="2:8" hidden="1">
      <c r="B7551" s="200"/>
      <c r="C7551" s="31"/>
      <c r="D7551" s="75"/>
      <c r="E7551" s="771"/>
      <c r="F7551" s="771"/>
      <c r="G7551" s="31"/>
      <c r="H7551" s="31"/>
    </row>
    <row r="7552" spans="2:8" hidden="1">
      <c r="B7552" s="200"/>
      <c r="C7552" s="31"/>
      <c r="D7552" s="75"/>
      <c r="E7552" s="771"/>
      <c r="F7552" s="771"/>
      <c r="G7552" s="31"/>
      <c r="H7552" s="31"/>
    </row>
    <row r="7553" spans="2:8" hidden="1">
      <c r="B7553" s="200"/>
      <c r="C7553" s="31"/>
      <c r="D7553" s="75"/>
      <c r="E7553" s="771"/>
      <c r="F7553" s="771"/>
      <c r="G7553" s="31"/>
      <c r="H7553" s="31"/>
    </row>
    <row r="7554" spans="2:8" hidden="1">
      <c r="B7554" s="200"/>
      <c r="C7554" s="31"/>
      <c r="D7554" s="75"/>
      <c r="E7554" s="771"/>
      <c r="F7554" s="771"/>
      <c r="G7554" s="31"/>
      <c r="H7554" s="31"/>
    </row>
    <row r="7555" spans="2:8" hidden="1">
      <c r="B7555" s="200"/>
      <c r="C7555" s="31"/>
      <c r="D7555" s="75"/>
      <c r="E7555" s="771"/>
      <c r="F7555" s="771"/>
      <c r="G7555" s="31"/>
      <c r="H7555" s="31"/>
    </row>
    <row r="7556" spans="2:8" hidden="1">
      <c r="B7556" s="200"/>
      <c r="C7556" s="31"/>
      <c r="D7556" s="75"/>
      <c r="E7556" s="771"/>
      <c r="F7556" s="771"/>
      <c r="G7556" s="31"/>
      <c r="H7556" s="31"/>
    </row>
    <row r="7557" spans="2:8" hidden="1">
      <c r="B7557" s="200"/>
      <c r="C7557" s="31"/>
      <c r="D7557" s="75"/>
      <c r="E7557" s="771"/>
      <c r="F7557" s="771"/>
      <c r="G7557" s="31"/>
      <c r="H7557" s="31"/>
    </row>
    <row r="7558" spans="2:8" hidden="1">
      <c r="B7558" s="200"/>
      <c r="C7558" s="31"/>
      <c r="D7558" s="75"/>
      <c r="E7558" s="771"/>
      <c r="F7558" s="771"/>
      <c r="G7558" s="31"/>
      <c r="H7558" s="31"/>
    </row>
    <row r="7559" spans="2:8" hidden="1">
      <c r="B7559" s="200"/>
      <c r="C7559" s="31"/>
      <c r="D7559" s="75"/>
      <c r="E7559" s="771"/>
      <c r="F7559" s="771"/>
      <c r="G7559" s="31"/>
      <c r="H7559" s="31"/>
    </row>
    <row r="7560" spans="2:8" hidden="1">
      <c r="B7560" s="200"/>
      <c r="C7560" s="31"/>
      <c r="D7560" s="75"/>
      <c r="E7560" s="771"/>
      <c r="F7560" s="771"/>
      <c r="G7560" s="31"/>
      <c r="H7560" s="31"/>
    </row>
    <row r="7561" spans="2:8" hidden="1">
      <c r="B7561" s="200"/>
      <c r="C7561" s="31"/>
      <c r="D7561" s="75"/>
      <c r="E7561" s="771"/>
      <c r="F7561" s="771"/>
      <c r="G7561" s="31"/>
      <c r="H7561" s="31"/>
    </row>
    <row r="7562" spans="2:8" hidden="1">
      <c r="B7562" s="200"/>
      <c r="C7562" s="31"/>
      <c r="D7562" s="75"/>
      <c r="E7562" s="771"/>
      <c r="F7562" s="772"/>
      <c r="G7562" s="33"/>
      <c r="H7562" s="31"/>
    </row>
    <row r="7563" spans="2:8" hidden="1">
      <c r="B7563" s="200"/>
      <c r="C7563" s="31"/>
      <c r="D7563" s="75"/>
      <c r="E7563" s="772"/>
      <c r="F7563" s="772"/>
      <c r="G7563" s="33"/>
      <c r="H7563" s="31"/>
    </row>
    <row r="7564" spans="2:8" hidden="1">
      <c r="B7564" s="33"/>
      <c r="C7564" s="31"/>
      <c r="D7564" s="31"/>
      <c r="E7564" s="33"/>
      <c r="F7564" s="772"/>
      <c r="G7564" s="31"/>
      <c r="H7564" s="31"/>
    </row>
    <row r="7565" spans="2:8" hidden="1">
      <c r="B7565" s="200"/>
      <c r="C7565" s="31"/>
      <c r="D7565" s="75"/>
      <c r="E7565" s="772"/>
      <c r="F7565" s="772"/>
      <c r="G7565" s="772"/>
      <c r="H7565" s="31"/>
    </row>
    <row r="7566" spans="2:8" hidden="1">
      <c r="B7566" s="200"/>
      <c r="C7566" s="31"/>
      <c r="D7566" s="75"/>
      <c r="E7566" s="772"/>
      <c r="F7566" s="772"/>
      <c r="G7566" s="772"/>
      <c r="H7566" s="31"/>
    </row>
    <row r="7567" spans="2:8" hidden="1">
      <c r="B7567" s="200"/>
      <c r="C7567" s="31"/>
      <c r="D7567" s="75"/>
      <c r="E7567" s="772"/>
      <c r="F7567" s="772"/>
      <c r="G7567" s="772"/>
      <c r="H7567" s="31"/>
    </row>
    <row r="7568" spans="2:8" hidden="1">
      <c r="B7568" s="200"/>
      <c r="C7568" s="31"/>
      <c r="D7568" s="75"/>
      <c r="E7568" s="772"/>
      <c r="F7568" s="772"/>
      <c r="G7568" s="772"/>
      <c r="H7568" s="31"/>
    </row>
    <row r="7569" spans="2:8" hidden="1">
      <c r="B7569" s="200"/>
      <c r="C7569" s="31"/>
      <c r="D7569" s="75"/>
      <c r="E7569" s="772"/>
      <c r="F7569" s="772"/>
      <c r="G7569" s="772"/>
      <c r="H7569" s="31"/>
    </row>
    <row r="7570" spans="2:8" hidden="1">
      <c r="B7570" s="200"/>
      <c r="C7570" s="31"/>
      <c r="D7570" s="75"/>
      <c r="E7570" s="772"/>
      <c r="F7570" s="772"/>
      <c r="G7570" s="772"/>
      <c r="H7570" s="31"/>
    </row>
    <row r="7571" spans="2:8" hidden="1">
      <c r="B7571" s="200"/>
      <c r="C7571" s="31"/>
      <c r="D7571" s="75"/>
      <c r="E7571" s="772"/>
      <c r="F7571" s="772"/>
      <c r="G7571" s="772"/>
      <c r="H7571" s="31"/>
    </row>
    <row r="7572" spans="2:8" hidden="1">
      <c r="B7572" s="200"/>
      <c r="C7572" s="31"/>
      <c r="D7572" s="75"/>
      <c r="E7572" s="772"/>
      <c r="F7572" s="772"/>
      <c r="G7572" s="772"/>
      <c r="H7572" s="31"/>
    </row>
    <row r="7573" spans="2:8" hidden="1">
      <c r="B7573" s="200"/>
      <c r="C7573" s="31"/>
      <c r="D7573" s="75"/>
      <c r="E7573" s="772"/>
      <c r="F7573" s="772"/>
      <c r="G7573" s="772"/>
      <c r="H7573" s="31"/>
    </row>
    <row r="7574" spans="2:8" hidden="1">
      <c r="B7574" s="200"/>
      <c r="C7574" s="31"/>
      <c r="D7574" s="75"/>
      <c r="E7574" s="772"/>
      <c r="F7574" s="772"/>
      <c r="G7574" s="772"/>
      <c r="H7574" s="31"/>
    </row>
    <row r="7575" spans="2:8" hidden="1">
      <c r="B7575" s="200"/>
      <c r="C7575" s="31"/>
      <c r="D7575" s="75"/>
      <c r="E7575" s="772"/>
      <c r="F7575" s="772"/>
      <c r="G7575" s="772"/>
      <c r="H7575" s="31"/>
    </row>
    <row r="7576" spans="2:8" hidden="1">
      <c r="B7576" s="200"/>
      <c r="C7576" s="31"/>
      <c r="D7576" s="75"/>
      <c r="E7576" s="772"/>
      <c r="F7576" s="772"/>
      <c r="G7576" s="772"/>
      <c r="H7576" s="31"/>
    </row>
    <row r="7577" spans="2:8" hidden="1">
      <c r="B7577" s="200"/>
      <c r="C7577" s="31"/>
      <c r="D7577" s="75"/>
      <c r="E7577" s="771"/>
      <c r="F7577" s="772"/>
      <c r="G7577" s="772"/>
      <c r="H7577" s="31"/>
    </row>
    <row r="7578" spans="2:8" hidden="1">
      <c r="B7578" s="200"/>
      <c r="C7578" s="31"/>
      <c r="D7578" s="75"/>
      <c r="E7578" s="771"/>
      <c r="F7578" s="772"/>
      <c r="G7578" s="772"/>
      <c r="H7578" s="31"/>
    </row>
    <row r="7579" spans="2:8" hidden="1">
      <c r="B7579" s="200"/>
      <c r="C7579" s="31"/>
      <c r="D7579" s="75"/>
      <c r="E7579" s="771"/>
      <c r="F7579" s="772"/>
      <c r="G7579" s="772"/>
      <c r="H7579" s="31"/>
    </row>
    <row r="7580" spans="2:8" hidden="1">
      <c r="B7580" s="200"/>
      <c r="C7580" s="31"/>
      <c r="D7580" s="75"/>
      <c r="E7580" s="772"/>
      <c r="F7580" s="772"/>
      <c r="G7580" s="772"/>
      <c r="H7580" s="31"/>
    </row>
    <row r="7581" spans="2:8" hidden="1">
      <c r="B7581" s="200"/>
      <c r="C7581" s="31"/>
      <c r="D7581" s="75"/>
      <c r="E7581" s="772"/>
      <c r="F7581" s="772"/>
      <c r="G7581" s="772"/>
      <c r="H7581" s="31"/>
    </row>
    <row r="7582" spans="2:8" hidden="1">
      <c r="B7582" s="200"/>
      <c r="C7582" s="31"/>
      <c r="D7582" s="75"/>
      <c r="E7582" s="772"/>
      <c r="F7582" s="772"/>
      <c r="G7582" s="772"/>
      <c r="H7582" s="31"/>
    </row>
    <row r="7583" spans="2:8" hidden="1">
      <c r="B7583" s="33"/>
      <c r="C7583" s="31"/>
      <c r="D7583" s="31"/>
      <c r="E7583" s="33"/>
      <c r="F7583" s="31"/>
      <c r="G7583" s="31"/>
      <c r="H7583" s="31"/>
    </row>
    <row r="7584" spans="2:8" hidden="1">
      <c r="B7584" s="200"/>
      <c r="C7584" s="31"/>
      <c r="D7584" s="75"/>
      <c r="E7584" s="772"/>
      <c r="F7584" s="772"/>
      <c r="G7584" s="772"/>
      <c r="H7584" s="31"/>
    </row>
    <row r="7585" spans="2:8" hidden="1">
      <c r="B7585" s="200"/>
      <c r="C7585" s="31"/>
      <c r="D7585" s="75"/>
      <c r="E7585" s="772"/>
      <c r="F7585" s="772"/>
      <c r="G7585" s="772"/>
      <c r="H7585" s="31"/>
    </row>
    <row r="7586" spans="2:8" hidden="1">
      <c r="B7586" s="200"/>
      <c r="C7586" s="31"/>
      <c r="D7586" s="75"/>
      <c r="E7586" s="772"/>
      <c r="F7586" s="772"/>
      <c r="G7586" s="772"/>
      <c r="H7586" s="31"/>
    </row>
    <row r="7587" spans="2:8" hidden="1">
      <c r="B7587" s="33"/>
      <c r="C7587" s="31"/>
      <c r="D7587" s="31"/>
      <c r="E7587" s="31"/>
      <c r="F7587" s="31"/>
      <c r="G7587" s="31"/>
      <c r="H7587" s="31"/>
    </row>
    <row r="7588" spans="2:8" hidden="1">
      <c r="B7588" s="200"/>
      <c r="C7588" s="31"/>
      <c r="D7588" s="75"/>
      <c r="E7588" s="771"/>
      <c r="F7588" s="771"/>
      <c r="G7588" s="31"/>
      <c r="H7588" s="31"/>
    </row>
    <row r="7589" spans="2:8" hidden="1">
      <c r="B7589" s="200"/>
      <c r="C7589" s="31"/>
      <c r="D7589" s="75"/>
      <c r="E7589" s="771"/>
      <c r="F7589" s="771"/>
      <c r="G7589" s="31"/>
      <c r="H7589" s="31"/>
    </row>
    <row r="7590" spans="2:8" hidden="1">
      <c r="B7590" s="200"/>
      <c r="C7590" s="31"/>
      <c r="D7590" s="75"/>
      <c r="E7590" s="771"/>
      <c r="F7590" s="771"/>
      <c r="G7590" s="31"/>
      <c r="H7590" s="31"/>
    </row>
    <row r="7591" spans="2:8" hidden="1">
      <c r="B7591" s="200"/>
      <c r="C7591" s="31"/>
      <c r="D7591" s="75"/>
      <c r="E7591" s="771"/>
      <c r="F7591" s="771"/>
      <c r="G7591" s="31"/>
      <c r="H7591" s="31"/>
    </row>
    <row r="7592" spans="2:8" hidden="1">
      <c r="B7592" s="200"/>
      <c r="C7592" s="31"/>
      <c r="D7592" s="75"/>
      <c r="E7592" s="771"/>
      <c r="F7592" s="771"/>
      <c r="G7592" s="31"/>
      <c r="H7592" s="31"/>
    </row>
    <row r="7593" spans="2:8" hidden="1">
      <c r="B7593" s="200"/>
      <c r="C7593" s="31"/>
      <c r="D7593" s="75"/>
      <c r="E7593" s="771"/>
      <c r="F7593" s="771"/>
      <c r="G7593" s="31"/>
      <c r="H7593" s="31"/>
    </row>
    <row r="7594" spans="2:8" hidden="1">
      <c r="B7594" s="200"/>
      <c r="C7594" s="31"/>
      <c r="D7594" s="75"/>
      <c r="E7594" s="771"/>
      <c r="F7594" s="771"/>
      <c r="G7594" s="31"/>
      <c r="H7594" s="31"/>
    </row>
    <row r="7595" spans="2:8" hidden="1">
      <c r="B7595" s="200"/>
      <c r="C7595" s="31"/>
      <c r="D7595" s="75"/>
      <c r="E7595" s="771"/>
      <c r="F7595" s="771"/>
      <c r="G7595" s="31"/>
      <c r="H7595" s="31"/>
    </row>
    <row r="7596" spans="2:8" hidden="1">
      <c r="B7596" s="200"/>
      <c r="C7596" s="31"/>
      <c r="D7596" s="75"/>
      <c r="E7596" s="771"/>
      <c r="F7596" s="771"/>
      <c r="G7596" s="31"/>
      <c r="H7596" s="31"/>
    </row>
    <row r="7597" spans="2:8" hidden="1">
      <c r="B7597" s="200"/>
      <c r="C7597" s="31"/>
      <c r="D7597" s="75"/>
      <c r="E7597" s="771"/>
      <c r="F7597" s="771"/>
      <c r="G7597" s="31"/>
      <c r="H7597" s="31"/>
    </row>
    <row r="7598" spans="2:8" hidden="1">
      <c r="B7598" s="200"/>
      <c r="C7598" s="31"/>
      <c r="D7598" s="75"/>
      <c r="E7598" s="771"/>
      <c r="F7598" s="771"/>
      <c r="G7598" s="31"/>
      <c r="H7598" s="31"/>
    </row>
    <row r="7599" spans="2:8" hidden="1">
      <c r="B7599" s="200"/>
      <c r="C7599" s="31"/>
      <c r="D7599" s="75"/>
      <c r="E7599" s="771"/>
      <c r="F7599" s="772"/>
      <c r="G7599" s="33"/>
      <c r="H7599" s="31"/>
    </row>
    <row r="7600" spans="2:8" hidden="1">
      <c r="B7600" s="200"/>
      <c r="C7600" s="31"/>
      <c r="D7600" s="75"/>
      <c r="E7600" s="771"/>
      <c r="F7600" s="771"/>
      <c r="G7600" s="31"/>
      <c r="H7600" s="31"/>
    </row>
    <row r="7601" spans="2:8" hidden="1">
      <c r="B7601" s="200"/>
      <c r="C7601" s="31"/>
      <c r="D7601" s="75"/>
      <c r="E7601" s="771"/>
      <c r="F7601" s="771"/>
      <c r="G7601" s="31"/>
      <c r="H7601" s="31"/>
    </row>
    <row r="7602" spans="2:8" hidden="1">
      <c r="B7602" s="200"/>
      <c r="C7602" s="31"/>
      <c r="D7602" s="75"/>
      <c r="E7602" s="771"/>
      <c r="F7602" s="771"/>
      <c r="G7602" s="31"/>
      <c r="H7602" s="31"/>
    </row>
    <row r="7603" spans="2:8" hidden="1">
      <c r="B7603" s="200"/>
      <c r="C7603" s="31"/>
      <c r="D7603" s="75"/>
      <c r="E7603" s="771"/>
      <c r="F7603" s="771"/>
      <c r="G7603" s="31"/>
      <c r="H7603" s="31"/>
    </row>
    <row r="7604" spans="2:8" hidden="1">
      <c r="B7604" s="200"/>
      <c r="C7604" s="31"/>
      <c r="D7604" s="75"/>
      <c r="E7604" s="771"/>
      <c r="F7604" s="771"/>
      <c r="G7604" s="31"/>
      <c r="H7604" s="31"/>
    </row>
    <row r="7605" spans="2:8" hidden="1">
      <c r="B7605" s="200"/>
      <c r="C7605" s="31"/>
      <c r="D7605" s="75"/>
      <c r="E7605" s="771"/>
      <c r="F7605" s="771"/>
      <c r="G7605" s="31"/>
      <c r="H7605" s="31"/>
    </row>
    <row r="7606" spans="2:8" hidden="1">
      <c r="B7606" s="200"/>
      <c r="C7606" s="31"/>
      <c r="D7606" s="75"/>
      <c r="E7606" s="771"/>
      <c r="F7606" s="771"/>
      <c r="G7606" s="31"/>
      <c r="H7606" s="31"/>
    </row>
    <row r="7607" spans="2:8" hidden="1">
      <c r="B7607" s="200"/>
      <c r="C7607" s="31"/>
      <c r="D7607" s="75"/>
      <c r="E7607" s="771"/>
      <c r="F7607" s="771"/>
      <c r="G7607" s="31"/>
      <c r="H7607" s="31"/>
    </row>
    <row r="7608" spans="2:8" hidden="1">
      <c r="B7608" s="200"/>
      <c r="C7608" s="31"/>
      <c r="D7608" s="75"/>
      <c r="E7608" s="771"/>
      <c r="F7608" s="772"/>
      <c r="G7608" s="33"/>
      <c r="H7608" s="31"/>
    </row>
    <row r="7609" spans="2:8" hidden="1">
      <c r="B7609" s="200"/>
      <c r="C7609" s="31"/>
      <c r="D7609" s="75"/>
      <c r="E7609" s="771"/>
      <c r="F7609" s="771"/>
      <c r="G7609" s="31"/>
      <c r="H7609" s="31"/>
    </row>
    <row r="7610" spans="2:8" hidden="1">
      <c r="B7610" s="200"/>
      <c r="C7610" s="31"/>
      <c r="D7610" s="75"/>
      <c r="E7610" s="771"/>
      <c r="F7610" s="771"/>
      <c r="G7610" s="31"/>
      <c r="H7610" s="31"/>
    </row>
    <row r="7611" spans="2:8" hidden="1">
      <c r="B7611" s="200"/>
      <c r="C7611" s="31"/>
      <c r="D7611" s="75"/>
      <c r="E7611" s="771"/>
      <c r="F7611" s="771"/>
      <c r="G7611" s="31"/>
      <c r="H7611" s="31"/>
    </row>
    <row r="7612" spans="2:8" hidden="1">
      <c r="B7612" s="200"/>
      <c r="C7612" s="31"/>
      <c r="D7612" s="75"/>
      <c r="E7612" s="771"/>
      <c r="F7612" s="771"/>
      <c r="G7612" s="31"/>
      <c r="H7612" s="31"/>
    </row>
    <row r="7613" spans="2:8" hidden="1">
      <c r="B7613" s="200"/>
      <c r="C7613" s="31"/>
      <c r="D7613" s="75"/>
      <c r="E7613" s="771"/>
      <c r="F7613" s="771"/>
      <c r="G7613" s="31"/>
      <c r="H7613" s="31"/>
    </row>
    <row r="7614" spans="2:8" hidden="1">
      <c r="B7614" s="200"/>
      <c r="C7614" s="31"/>
      <c r="D7614" s="75"/>
      <c r="E7614" s="771"/>
      <c r="F7614" s="771"/>
      <c r="G7614" s="31"/>
      <c r="H7614" s="31"/>
    </row>
    <row r="7615" spans="2:8" hidden="1">
      <c r="B7615" s="200"/>
      <c r="C7615" s="31"/>
      <c r="D7615" s="75"/>
      <c r="E7615" s="771"/>
      <c r="F7615" s="771"/>
      <c r="G7615" s="31"/>
      <c r="H7615" s="31"/>
    </row>
    <row r="7616" spans="2:8" hidden="1">
      <c r="B7616" s="200"/>
      <c r="C7616" s="31"/>
      <c r="D7616" s="75"/>
      <c r="E7616" s="771"/>
      <c r="F7616" s="771"/>
      <c r="G7616" s="31"/>
      <c r="H7616" s="31"/>
    </row>
    <row r="7617" spans="2:8" hidden="1">
      <c r="B7617" s="200"/>
      <c r="C7617" s="31"/>
      <c r="D7617" s="75"/>
      <c r="E7617" s="771"/>
      <c r="F7617" s="771"/>
      <c r="G7617" s="31"/>
      <c r="H7617" s="31"/>
    </row>
    <row r="7618" spans="2:8" hidden="1">
      <c r="B7618" s="200"/>
      <c r="C7618" s="31"/>
      <c r="D7618" s="75"/>
      <c r="E7618" s="771"/>
      <c r="F7618" s="771"/>
      <c r="G7618" s="31"/>
      <c r="H7618" s="31"/>
    </row>
    <row r="7619" spans="2:8" hidden="1">
      <c r="B7619" s="200"/>
      <c r="C7619" s="31"/>
      <c r="D7619" s="75"/>
      <c r="E7619" s="771"/>
      <c r="F7619" s="771"/>
      <c r="G7619" s="31"/>
      <c r="H7619" s="31"/>
    </row>
    <row r="7620" spans="2:8" hidden="1">
      <c r="B7620" s="200"/>
      <c r="C7620" s="31"/>
      <c r="D7620" s="75"/>
      <c r="E7620" s="771"/>
      <c r="F7620" s="771"/>
      <c r="G7620" s="31"/>
      <c r="H7620" s="31"/>
    </row>
    <row r="7621" spans="2:8" hidden="1">
      <c r="B7621" s="200"/>
      <c r="C7621" s="31"/>
      <c r="D7621" s="75"/>
      <c r="E7621" s="771"/>
      <c r="F7621" s="771"/>
      <c r="G7621" s="31"/>
      <c r="H7621" s="31"/>
    </row>
    <row r="7622" spans="2:8" hidden="1">
      <c r="B7622" s="200"/>
      <c r="C7622" s="31"/>
      <c r="D7622" s="75"/>
      <c r="E7622" s="771"/>
      <c r="F7622" s="771"/>
      <c r="G7622" s="31"/>
      <c r="H7622" s="31"/>
    </row>
    <row r="7623" spans="2:8" hidden="1">
      <c r="B7623" s="200"/>
      <c r="C7623" s="31"/>
      <c r="D7623" s="75"/>
      <c r="E7623" s="771"/>
      <c r="F7623" s="771"/>
      <c r="G7623" s="31"/>
      <c r="H7623" s="31"/>
    </row>
    <row r="7624" spans="2:8" hidden="1">
      <c r="B7624" s="200"/>
      <c r="C7624" s="31"/>
      <c r="D7624" s="75"/>
      <c r="E7624" s="771"/>
      <c r="F7624" s="771"/>
      <c r="G7624" s="31"/>
      <c r="H7624" s="31"/>
    </row>
    <row r="7625" spans="2:8" hidden="1">
      <c r="B7625" s="200"/>
      <c r="C7625" s="31"/>
      <c r="D7625" s="75"/>
      <c r="E7625" s="771"/>
      <c r="F7625" s="771"/>
      <c r="G7625" s="31"/>
      <c r="H7625" s="31"/>
    </row>
    <row r="7626" spans="2:8" hidden="1">
      <c r="B7626" s="200"/>
      <c r="C7626" s="31"/>
      <c r="D7626" s="75"/>
      <c r="E7626" s="771"/>
      <c r="F7626" s="771"/>
      <c r="G7626" s="31"/>
      <c r="H7626" s="31"/>
    </row>
    <row r="7627" spans="2:8" hidden="1">
      <c r="B7627" s="200"/>
      <c r="C7627" s="31"/>
      <c r="D7627" s="75"/>
      <c r="E7627" s="771"/>
      <c r="F7627" s="771"/>
      <c r="G7627" s="31"/>
      <c r="H7627" s="31"/>
    </row>
    <row r="7628" spans="2:8" hidden="1">
      <c r="B7628" s="33"/>
      <c r="C7628" s="31"/>
      <c r="D7628" s="31"/>
      <c r="E7628" s="31"/>
      <c r="F7628" s="31"/>
      <c r="G7628" s="31"/>
      <c r="H7628" s="31"/>
    </row>
    <row r="7629" spans="2:8" hidden="1">
      <c r="B7629" s="200"/>
      <c r="C7629" s="31"/>
      <c r="D7629" s="75"/>
      <c r="E7629" s="771"/>
      <c r="F7629" s="771"/>
      <c r="G7629" s="31"/>
      <c r="H7629" s="31"/>
    </row>
    <row r="7630" spans="2:8" hidden="1">
      <c r="B7630" s="200"/>
      <c r="C7630" s="31"/>
      <c r="D7630" s="75"/>
      <c r="E7630" s="771"/>
      <c r="F7630" s="772"/>
      <c r="G7630" s="33"/>
      <c r="H7630" s="31"/>
    </row>
    <row r="7631" spans="2:8" hidden="1">
      <c r="B7631" s="200"/>
      <c r="C7631" s="31"/>
      <c r="D7631" s="75"/>
      <c r="E7631" s="771"/>
      <c r="F7631" s="771"/>
      <c r="G7631" s="31"/>
      <c r="H7631" s="31"/>
    </row>
    <row r="7632" spans="2:8" hidden="1">
      <c r="B7632" s="200"/>
      <c r="C7632" s="31"/>
      <c r="D7632" s="75"/>
      <c r="E7632" s="771"/>
      <c r="F7632" s="771"/>
      <c r="G7632" s="31"/>
      <c r="H7632" s="31"/>
    </row>
    <row r="7633" spans="2:8" hidden="1">
      <c r="B7633" s="200"/>
      <c r="C7633" s="31"/>
      <c r="D7633" s="75"/>
      <c r="E7633" s="771"/>
      <c r="F7633" s="771"/>
      <c r="G7633" s="31"/>
      <c r="H7633" s="31"/>
    </row>
    <row r="7634" spans="2:8" hidden="1">
      <c r="B7634" s="200"/>
      <c r="C7634" s="31"/>
      <c r="D7634" s="75"/>
      <c r="E7634" s="771"/>
      <c r="F7634" s="771"/>
      <c r="G7634" s="31"/>
      <c r="H7634" s="31"/>
    </row>
    <row r="7635" spans="2:8" hidden="1">
      <c r="B7635" s="200"/>
      <c r="C7635" s="31"/>
      <c r="D7635" s="75"/>
      <c r="E7635" s="771"/>
      <c r="F7635" s="771"/>
      <c r="G7635" s="31"/>
      <c r="H7635" s="31"/>
    </row>
    <row r="7636" spans="2:8" hidden="1">
      <c r="B7636" s="200"/>
      <c r="C7636" s="31"/>
      <c r="D7636" s="75"/>
      <c r="E7636" s="771"/>
      <c r="F7636" s="771"/>
      <c r="G7636" s="31"/>
      <c r="H7636" s="31"/>
    </row>
    <row r="7637" spans="2:8" hidden="1">
      <c r="B7637" s="200"/>
      <c r="C7637" s="31"/>
      <c r="D7637" s="75"/>
      <c r="E7637" s="771"/>
      <c r="F7637" s="771"/>
      <c r="G7637" s="31"/>
      <c r="H7637" s="31"/>
    </row>
    <row r="7638" spans="2:8" hidden="1">
      <c r="B7638" s="200"/>
      <c r="C7638" s="31"/>
      <c r="D7638" s="75"/>
      <c r="E7638" s="771"/>
      <c r="F7638" s="771"/>
      <c r="G7638" s="31"/>
      <c r="H7638" s="31"/>
    </row>
    <row r="7639" spans="2:8" hidden="1">
      <c r="B7639" s="200"/>
      <c r="C7639" s="31"/>
      <c r="D7639" s="75"/>
      <c r="E7639" s="771"/>
      <c r="F7639" s="771"/>
      <c r="G7639" s="31"/>
      <c r="H7639" s="31"/>
    </row>
    <row r="7640" spans="2:8" hidden="1">
      <c r="B7640" s="200"/>
      <c r="C7640" s="31"/>
      <c r="D7640" s="75"/>
      <c r="E7640" s="771"/>
      <c r="F7640" s="771"/>
      <c r="G7640" s="31"/>
      <c r="H7640" s="31"/>
    </row>
    <row r="7641" spans="2:8" hidden="1">
      <c r="B7641" s="200"/>
      <c r="C7641" s="31"/>
      <c r="D7641" s="75"/>
      <c r="E7641" s="771"/>
      <c r="F7641" s="771"/>
      <c r="G7641" s="31"/>
      <c r="H7641" s="31"/>
    </row>
    <row r="7642" spans="2:8" hidden="1">
      <c r="B7642" s="200"/>
      <c r="C7642" s="31"/>
      <c r="D7642" s="75"/>
      <c r="E7642" s="771"/>
      <c r="F7642" s="771"/>
      <c r="G7642" s="31"/>
      <c r="H7642" s="31"/>
    </row>
    <row r="7643" spans="2:8" hidden="1">
      <c r="B7643" s="200"/>
      <c r="C7643" s="31"/>
      <c r="D7643" s="75"/>
      <c r="E7643" s="771"/>
      <c r="F7643" s="771"/>
      <c r="G7643" s="31"/>
      <c r="H7643" s="31"/>
    </row>
    <row r="7644" spans="2:8" hidden="1">
      <c r="B7644" s="200"/>
      <c r="C7644" s="31"/>
      <c r="D7644" s="75"/>
      <c r="E7644" s="771"/>
      <c r="F7644" s="771"/>
      <c r="G7644" s="31"/>
      <c r="H7644" s="31"/>
    </row>
    <row r="7645" spans="2:8" hidden="1">
      <c r="B7645" s="200"/>
      <c r="C7645" s="31"/>
      <c r="D7645" s="75"/>
      <c r="E7645" s="771"/>
      <c r="F7645" s="771"/>
      <c r="G7645" s="31"/>
      <c r="H7645" s="31"/>
    </row>
    <row r="7646" spans="2:8" hidden="1">
      <c r="B7646" s="200"/>
      <c r="C7646" s="31"/>
      <c r="D7646" s="75"/>
      <c r="E7646" s="771"/>
      <c r="F7646" s="771"/>
      <c r="G7646" s="31"/>
      <c r="H7646" s="31"/>
    </row>
    <row r="7647" spans="2:8" hidden="1">
      <c r="B7647" s="200"/>
      <c r="C7647" s="31"/>
      <c r="D7647" s="75"/>
      <c r="E7647" s="771"/>
      <c r="F7647" s="771"/>
      <c r="G7647" s="31"/>
      <c r="H7647" s="31"/>
    </row>
    <row r="7648" spans="2:8" hidden="1">
      <c r="B7648" s="33"/>
      <c r="C7648" s="31"/>
      <c r="D7648" s="31"/>
      <c r="E7648" s="31"/>
      <c r="F7648" s="31"/>
      <c r="G7648" s="31"/>
      <c r="H7648" s="31"/>
    </row>
    <row r="7649" spans="2:8" hidden="1">
      <c r="B7649" s="200"/>
      <c r="C7649" s="31"/>
      <c r="D7649" s="75"/>
      <c r="E7649" s="772"/>
      <c r="F7649" s="772"/>
      <c r="G7649" s="772"/>
      <c r="H7649" s="31"/>
    </row>
    <row r="7650" spans="2:8" hidden="1">
      <c r="B7650" s="200"/>
      <c r="C7650" s="31"/>
      <c r="D7650" s="75"/>
      <c r="E7650" s="772"/>
      <c r="F7650" s="772"/>
      <c r="G7650" s="772"/>
      <c r="H7650" s="31"/>
    </row>
    <row r="7651" spans="2:8" hidden="1">
      <c r="B7651" s="200"/>
      <c r="C7651" s="31"/>
      <c r="D7651" s="75"/>
      <c r="E7651" s="772"/>
      <c r="F7651" s="772"/>
      <c r="G7651" s="772"/>
      <c r="H7651" s="31"/>
    </row>
    <row r="7652" spans="2:8" hidden="1">
      <c r="B7652" s="200"/>
      <c r="C7652" s="31"/>
      <c r="D7652" s="75"/>
      <c r="E7652" s="772"/>
      <c r="F7652" s="772"/>
      <c r="G7652" s="772"/>
      <c r="H7652" s="31"/>
    </row>
    <row r="7653" spans="2:8" hidden="1">
      <c r="B7653" s="200"/>
      <c r="C7653" s="31"/>
      <c r="D7653" s="75"/>
      <c r="E7653" s="772"/>
      <c r="F7653" s="772"/>
      <c r="G7653" s="772"/>
      <c r="H7653" s="31"/>
    </row>
    <row r="7654" spans="2:8" hidden="1">
      <c r="B7654" s="200"/>
      <c r="C7654" s="31"/>
      <c r="D7654" s="75"/>
      <c r="E7654" s="772"/>
      <c r="F7654" s="772"/>
      <c r="G7654" s="772"/>
      <c r="H7654" s="31"/>
    </row>
    <row r="7655" spans="2:8" hidden="1">
      <c r="B7655" s="200"/>
      <c r="C7655" s="31"/>
      <c r="D7655" s="75"/>
      <c r="E7655" s="772"/>
      <c r="F7655" s="772"/>
      <c r="G7655" s="772"/>
      <c r="H7655" s="31"/>
    </row>
    <row r="7656" spans="2:8" hidden="1">
      <c r="B7656" s="200"/>
      <c r="C7656" s="31"/>
      <c r="D7656" s="75"/>
      <c r="E7656" s="772"/>
      <c r="F7656" s="772"/>
      <c r="G7656" s="772"/>
      <c r="H7656" s="31"/>
    </row>
    <row r="7657" spans="2:8" hidden="1">
      <c r="B7657" s="200"/>
      <c r="C7657" s="31"/>
      <c r="D7657" s="75"/>
      <c r="E7657" s="772"/>
      <c r="F7657" s="772"/>
      <c r="G7657" s="772"/>
      <c r="H7657" s="31"/>
    </row>
    <row r="7658" spans="2:8" hidden="1">
      <c r="B7658" s="200"/>
      <c r="C7658" s="31"/>
      <c r="D7658" s="75"/>
      <c r="E7658" s="772"/>
      <c r="F7658" s="772"/>
      <c r="G7658" s="772"/>
      <c r="H7658" s="31"/>
    </row>
    <row r="7659" spans="2:8" hidden="1">
      <c r="B7659" s="200"/>
      <c r="C7659" s="31"/>
      <c r="D7659" s="75"/>
      <c r="E7659" s="772"/>
      <c r="F7659" s="772"/>
      <c r="G7659" s="772"/>
      <c r="H7659" s="31"/>
    </row>
    <row r="7660" spans="2:8" hidden="1">
      <c r="B7660" s="200"/>
      <c r="C7660" s="31"/>
      <c r="D7660" s="75"/>
      <c r="E7660" s="772"/>
      <c r="F7660" s="772"/>
      <c r="G7660" s="772"/>
      <c r="H7660" s="31"/>
    </row>
    <row r="7661" spans="2:8" hidden="1">
      <c r="B7661" s="200"/>
      <c r="C7661" s="31"/>
      <c r="D7661" s="75"/>
      <c r="E7661" s="772"/>
      <c r="F7661" s="772"/>
      <c r="G7661" s="772"/>
      <c r="H7661" s="31"/>
    </row>
    <row r="7662" spans="2:8" hidden="1">
      <c r="B7662" s="200"/>
      <c r="C7662" s="31"/>
      <c r="D7662" s="75"/>
      <c r="E7662" s="772"/>
      <c r="F7662" s="772"/>
      <c r="G7662" s="772"/>
      <c r="H7662" s="31"/>
    </row>
    <row r="7663" spans="2:8" hidden="1">
      <c r="B7663" s="200"/>
      <c r="C7663" s="31"/>
      <c r="D7663" s="75"/>
      <c r="E7663" s="772"/>
      <c r="F7663" s="772"/>
      <c r="G7663" s="772"/>
      <c r="H7663" s="31"/>
    </row>
    <row r="7664" spans="2:8" hidden="1">
      <c r="B7664" s="33"/>
      <c r="C7664" s="31"/>
      <c r="D7664" s="31"/>
      <c r="E7664" s="31"/>
      <c r="F7664" s="31"/>
      <c r="G7664" s="31"/>
      <c r="H7664" s="31"/>
    </row>
    <row r="7665" spans="2:8" hidden="1">
      <c r="B7665" s="200"/>
      <c r="C7665" s="31"/>
      <c r="D7665" s="75"/>
      <c r="E7665" s="772"/>
      <c r="F7665" s="772"/>
      <c r="G7665" s="772"/>
      <c r="H7665" s="31"/>
    </row>
    <row r="7666" spans="2:8" hidden="1">
      <c r="B7666" s="200"/>
      <c r="C7666" s="31"/>
      <c r="D7666" s="75"/>
      <c r="E7666" s="772"/>
      <c r="F7666" s="772"/>
      <c r="G7666" s="772"/>
      <c r="H7666" s="31"/>
    </row>
    <row r="7667" spans="2:8" hidden="1">
      <c r="B7667" s="200"/>
      <c r="C7667" s="31"/>
      <c r="D7667" s="75"/>
      <c r="E7667" s="772"/>
      <c r="F7667" s="772"/>
      <c r="G7667" s="772"/>
      <c r="H7667" s="31"/>
    </row>
    <row r="7668" spans="2:8" hidden="1">
      <c r="B7668" s="200"/>
      <c r="C7668" s="31"/>
      <c r="D7668" s="75"/>
      <c r="E7668" s="33"/>
      <c r="F7668" s="33"/>
      <c r="G7668" s="33"/>
      <c r="H7668" s="31"/>
    </row>
    <row r="7669" spans="2:8" hidden="1">
      <c r="B7669" s="200"/>
      <c r="C7669" s="31"/>
      <c r="D7669" s="75"/>
      <c r="E7669" s="33"/>
      <c r="F7669" s="33"/>
      <c r="G7669" s="33"/>
      <c r="H7669" s="31"/>
    </row>
    <row r="7670" spans="2:8" hidden="1">
      <c r="B7670" s="200"/>
      <c r="C7670" s="31"/>
      <c r="D7670" s="75"/>
      <c r="E7670" s="33"/>
      <c r="F7670" s="33"/>
      <c r="G7670" s="33"/>
      <c r="H7670" s="31"/>
    </row>
    <row r="7671" spans="2:8" hidden="1">
      <c r="B7671" s="200"/>
      <c r="C7671" s="31"/>
      <c r="D7671" s="75"/>
      <c r="E7671" s="33"/>
      <c r="F7671" s="33"/>
      <c r="G7671" s="33"/>
      <c r="H7671" s="31"/>
    </row>
    <row r="7672" spans="2:8" hidden="1">
      <c r="B7672" s="200"/>
      <c r="C7672" s="31"/>
      <c r="D7672" s="75"/>
      <c r="E7672" s="33"/>
      <c r="F7672" s="33"/>
      <c r="G7672" s="33"/>
      <c r="H7672" s="31"/>
    </row>
    <row r="7673" spans="2:8" hidden="1">
      <c r="B7673" s="200"/>
      <c r="C7673" s="31"/>
      <c r="D7673" s="75"/>
      <c r="E7673" s="33"/>
      <c r="F7673" s="33"/>
      <c r="G7673" s="33"/>
      <c r="H7673" s="31"/>
    </row>
    <row r="7674" spans="2:8" hidden="1">
      <c r="B7674" s="200"/>
      <c r="C7674" s="31"/>
      <c r="D7674" s="75"/>
      <c r="E7674" s="33"/>
      <c r="F7674" s="33"/>
      <c r="G7674" s="33"/>
      <c r="H7674" s="31"/>
    </row>
    <row r="7675" spans="2:8" hidden="1">
      <c r="B7675" s="200"/>
      <c r="C7675" s="31"/>
      <c r="D7675" s="75"/>
      <c r="E7675" s="33"/>
      <c r="F7675" s="33"/>
      <c r="G7675" s="33"/>
      <c r="H7675" s="31"/>
    </row>
    <row r="7676" spans="2:8" hidden="1">
      <c r="B7676" s="200"/>
      <c r="C7676" s="31"/>
      <c r="D7676" s="75"/>
      <c r="E7676" s="33"/>
      <c r="F7676" s="33"/>
      <c r="G7676" s="33"/>
      <c r="H7676" s="31"/>
    </row>
    <row r="7677" spans="2:8" hidden="1">
      <c r="B7677" s="200"/>
      <c r="C7677" s="31"/>
      <c r="D7677" s="75"/>
      <c r="E7677" s="33"/>
      <c r="F7677" s="33"/>
      <c r="G7677" s="33"/>
      <c r="H7677" s="31"/>
    </row>
    <row r="7678" spans="2:8" hidden="1">
      <c r="B7678" s="200"/>
      <c r="C7678" s="31"/>
      <c r="D7678" s="75"/>
      <c r="E7678" s="31"/>
      <c r="F7678" s="33"/>
      <c r="G7678" s="33"/>
      <c r="H7678" s="31"/>
    </row>
    <row r="7679" spans="2:8" hidden="1">
      <c r="B7679" s="200"/>
      <c r="C7679" s="31"/>
      <c r="D7679" s="75"/>
      <c r="E7679" s="33"/>
      <c r="F7679" s="33"/>
      <c r="G7679" s="33"/>
      <c r="H7679" s="31"/>
    </row>
    <row r="7680" spans="2:8" hidden="1">
      <c r="B7680" s="200"/>
      <c r="C7680" s="31"/>
      <c r="D7680" s="75"/>
      <c r="E7680" s="33"/>
      <c r="F7680" s="33"/>
      <c r="G7680" s="33"/>
      <c r="H7680" s="31"/>
    </row>
    <row r="7681" spans="2:8" hidden="1">
      <c r="B7681" s="200"/>
      <c r="C7681" s="31"/>
      <c r="D7681" s="75"/>
      <c r="E7681" s="33"/>
      <c r="F7681" s="33"/>
      <c r="G7681" s="33"/>
      <c r="H7681" s="31"/>
    </row>
    <row r="7682" spans="2:8" hidden="1">
      <c r="B7682" s="200"/>
      <c r="C7682" s="31"/>
      <c r="D7682" s="75"/>
      <c r="E7682" s="31"/>
      <c r="F7682" s="33"/>
      <c r="G7682" s="33"/>
      <c r="H7682" s="31"/>
    </row>
    <row r="7683" spans="2:8" hidden="1">
      <c r="B7683" s="200"/>
      <c r="C7683" s="31"/>
      <c r="D7683" s="31"/>
      <c r="E7683" s="31"/>
      <c r="F7683" s="31"/>
      <c r="G7683" s="31"/>
      <c r="H7683" s="31"/>
    </row>
    <row r="7684" spans="2:8" hidden="1">
      <c r="B7684" s="200"/>
      <c r="C7684" s="31"/>
      <c r="D7684" s="75"/>
      <c r="E7684" s="771"/>
      <c r="F7684" s="33"/>
      <c r="G7684" s="33"/>
      <c r="H7684" s="31"/>
    </row>
    <row r="7685" spans="2:8" hidden="1">
      <c r="B7685" s="200"/>
      <c r="C7685" s="31"/>
      <c r="D7685" s="75"/>
      <c r="E7685" s="771"/>
      <c r="F7685" s="31"/>
      <c r="G7685" s="31"/>
      <c r="H7685" s="31"/>
    </row>
    <row r="7686" spans="2:8" hidden="1">
      <c r="B7686" s="200"/>
      <c r="C7686" s="31"/>
      <c r="D7686" s="75"/>
      <c r="E7686" s="772"/>
      <c r="F7686" s="33"/>
      <c r="G7686" s="33"/>
      <c r="H7686" s="31"/>
    </row>
    <row r="7687" spans="2:8" hidden="1">
      <c r="B7687" s="200"/>
      <c r="C7687" s="31"/>
      <c r="D7687" s="75"/>
      <c r="E7687" s="771"/>
      <c r="F7687" s="31"/>
      <c r="G7687" s="31"/>
      <c r="H7687" s="31"/>
    </row>
    <row r="7688" spans="2:8" hidden="1">
      <c r="B7688" s="200"/>
      <c r="C7688" s="31"/>
      <c r="D7688" s="75"/>
      <c r="E7688" s="771"/>
      <c r="F7688" s="31"/>
      <c r="G7688" s="31"/>
      <c r="H7688" s="31"/>
    </row>
    <row r="7689" spans="2:8" hidden="1">
      <c r="B7689" s="200"/>
      <c r="C7689" s="31"/>
      <c r="D7689" s="75"/>
      <c r="E7689" s="33"/>
      <c r="F7689" s="33"/>
      <c r="G7689" s="33"/>
      <c r="H7689" s="31"/>
    </row>
    <row r="7690" spans="2:8" hidden="1">
      <c r="B7690" s="200"/>
      <c r="C7690" s="31"/>
      <c r="D7690" s="75"/>
      <c r="E7690" s="33"/>
      <c r="F7690" s="33"/>
      <c r="G7690" s="33"/>
      <c r="H7690" s="31"/>
    </row>
    <row r="7691" spans="2:8" hidden="1">
      <c r="B7691" s="200"/>
      <c r="C7691" s="31"/>
      <c r="D7691" s="75"/>
      <c r="E7691" s="33"/>
      <c r="F7691" s="33"/>
      <c r="G7691" s="33"/>
      <c r="H7691" s="31"/>
    </row>
    <row r="7692" spans="2:8" hidden="1">
      <c r="B7692" s="200"/>
      <c r="C7692" s="31"/>
      <c r="D7692" s="75"/>
      <c r="E7692" s="33"/>
      <c r="F7692" s="33"/>
      <c r="G7692" s="33"/>
      <c r="H7692" s="31"/>
    </row>
    <row r="7693" spans="2:8" hidden="1">
      <c r="B7693" s="200"/>
      <c r="C7693" s="31"/>
      <c r="D7693" s="75"/>
      <c r="E7693" s="33"/>
      <c r="F7693" s="33"/>
      <c r="G7693" s="33"/>
      <c r="H7693" s="31"/>
    </row>
    <row r="7694" spans="2:8" hidden="1">
      <c r="B7694" s="200"/>
      <c r="C7694" s="31"/>
      <c r="D7694" s="75"/>
      <c r="E7694" s="33"/>
      <c r="F7694" s="33"/>
      <c r="G7694" s="33"/>
      <c r="H7694" s="31"/>
    </row>
    <row r="7695" spans="2:8" hidden="1">
      <c r="B7695" s="200"/>
      <c r="C7695" s="31"/>
      <c r="D7695" s="75"/>
      <c r="E7695" s="33"/>
      <c r="F7695" s="33"/>
      <c r="G7695" s="33"/>
      <c r="H7695" s="31"/>
    </row>
    <row r="7696" spans="2:8" hidden="1">
      <c r="B7696" s="200"/>
      <c r="C7696" s="31"/>
      <c r="D7696" s="75"/>
      <c r="E7696" s="33"/>
      <c r="F7696" s="33"/>
      <c r="G7696" s="33"/>
      <c r="H7696" s="31"/>
    </row>
    <row r="7697" spans="2:8" hidden="1">
      <c r="B7697" s="200"/>
      <c r="C7697" s="31"/>
      <c r="D7697" s="75"/>
      <c r="E7697" s="33"/>
      <c r="F7697" s="33"/>
      <c r="G7697" s="33"/>
      <c r="H7697" s="31"/>
    </row>
    <row r="7698" spans="2:8" hidden="1">
      <c r="B7698" s="200"/>
      <c r="C7698" s="31"/>
      <c r="D7698" s="75"/>
      <c r="E7698" s="31"/>
      <c r="F7698" s="33"/>
      <c r="G7698" s="33"/>
      <c r="H7698" s="31"/>
    </row>
    <row r="7699" spans="2:8" hidden="1">
      <c r="B7699" s="200"/>
      <c r="C7699" s="31"/>
      <c r="D7699" s="75"/>
      <c r="E7699" s="31"/>
      <c r="F7699" s="31"/>
      <c r="G7699" s="31"/>
      <c r="H7699" s="31"/>
    </row>
    <row r="7700" spans="2:8" hidden="1">
      <c r="B7700" s="200"/>
      <c r="C7700" s="31"/>
      <c r="D7700" s="75"/>
      <c r="E7700" s="33"/>
      <c r="F7700" s="33"/>
      <c r="G7700" s="33"/>
      <c r="H7700" s="31"/>
    </row>
    <row r="7701" spans="2:8" hidden="1">
      <c r="B7701" s="200"/>
      <c r="C7701" s="31"/>
      <c r="D7701" s="75"/>
      <c r="E7701" s="33"/>
      <c r="F7701" s="33"/>
      <c r="G7701" s="33"/>
      <c r="H7701" s="31"/>
    </row>
    <row r="7702" spans="2:8" hidden="1">
      <c r="B7702" s="33"/>
      <c r="C7702" s="31"/>
      <c r="D7702" s="31"/>
      <c r="E7702" s="33"/>
      <c r="F7702" s="31"/>
      <c r="G7702" s="31"/>
      <c r="H7702" s="31"/>
    </row>
    <row r="7703" spans="2:8" hidden="1">
      <c r="B7703" s="200"/>
      <c r="C7703" s="31"/>
      <c r="D7703" s="75"/>
      <c r="E7703" s="33"/>
      <c r="F7703" s="33"/>
      <c r="G7703" s="33"/>
      <c r="H7703" s="31"/>
    </row>
    <row r="7704" spans="2:8" hidden="1">
      <c r="B7704" s="200"/>
      <c r="C7704" s="31"/>
      <c r="D7704" s="75"/>
      <c r="E7704" s="33"/>
      <c r="F7704" s="33"/>
      <c r="G7704" s="33"/>
      <c r="H7704" s="31"/>
    </row>
    <row r="7705" spans="2:8" hidden="1">
      <c r="B7705" s="200"/>
      <c r="C7705" s="31"/>
      <c r="D7705" s="75"/>
      <c r="E7705" s="33"/>
      <c r="F7705" s="33"/>
      <c r="G7705" s="33"/>
      <c r="H7705" s="31"/>
    </row>
    <row r="7706" spans="2:8" hidden="1">
      <c r="B7706" s="200"/>
      <c r="C7706" s="31"/>
      <c r="D7706" s="75"/>
      <c r="E7706" s="33"/>
      <c r="F7706" s="33"/>
      <c r="G7706" s="33"/>
      <c r="H7706" s="31"/>
    </row>
    <row r="7707" spans="2:8" hidden="1">
      <c r="B7707" s="200"/>
      <c r="C7707" s="31"/>
      <c r="D7707" s="75"/>
      <c r="E7707" s="33"/>
      <c r="F7707" s="33"/>
      <c r="G7707" s="33"/>
      <c r="H7707" s="31"/>
    </row>
    <row r="7708" spans="2:8" hidden="1">
      <c r="B7708" s="200"/>
      <c r="C7708" s="31"/>
      <c r="D7708" s="75"/>
      <c r="E7708" s="33"/>
      <c r="F7708" s="33"/>
      <c r="G7708" s="33"/>
      <c r="H7708" s="31"/>
    </row>
    <row r="7709" spans="2:8" hidden="1">
      <c r="B7709" s="33"/>
      <c r="C7709" s="31"/>
      <c r="D7709" s="31"/>
      <c r="E7709" s="31"/>
      <c r="F7709" s="31"/>
      <c r="G7709" s="31"/>
      <c r="H7709" s="31"/>
    </row>
    <row r="7710" spans="2:8" hidden="1">
      <c r="B7710" s="200"/>
      <c r="C7710" s="31"/>
      <c r="D7710" s="75"/>
      <c r="E7710" s="771"/>
      <c r="F7710" s="771"/>
      <c r="G7710" s="31"/>
      <c r="H7710" s="31"/>
    </row>
    <row r="7711" spans="2:8" hidden="1">
      <c r="B7711" s="200"/>
      <c r="C7711" s="31"/>
      <c r="D7711" s="75"/>
      <c r="E7711" s="771"/>
      <c r="F7711" s="771"/>
      <c r="G7711" s="31"/>
      <c r="H7711" s="31"/>
    </row>
    <row r="7712" spans="2:8" hidden="1">
      <c r="B7712" s="200"/>
      <c r="C7712" s="31"/>
      <c r="D7712" s="75"/>
      <c r="E7712" s="772"/>
      <c r="F7712" s="772"/>
      <c r="G7712" s="33"/>
      <c r="H7712" s="31"/>
    </row>
    <row r="7713" spans="2:8" hidden="1">
      <c r="B7713" s="200"/>
      <c r="C7713" s="31"/>
      <c r="D7713" s="75"/>
      <c r="E7713" s="771"/>
      <c r="F7713" s="771"/>
      <c r="G7713" s="31"/>
      <c r="H7713" s="31"/>
    </row>
    <row r="7714" spans="2:8" hidden="1">
      <c r="B7714" s="200"/>
      <c r="C7714" s="31"/>
      <c r="D7714" s="75"/>
      <c r="E7714" s="31"/>
      <c r="F7714" s="31"/>
      <c r="G7714" s="31"/>
      <c r="H7714" s="31"/>
    </row>
    <row r="7715" spans="2:8" hidden="1">
      <c r="B7715" s="33"/>
      <c r="C7715" s="31"/>
      <c r="D7715" s="75"/>
      <c r="E7715" s="31"/>
      <c r="F7715" s="771"/>
      <c r="G7715" s="31"/>
      <c r="H7715" s="31"/>
    </row>
    <row r="7716" spans="2:8" hidden="1">
      <c r="B7716" s="33"/>
      <c r="C7716" s="31"/>
      <c r="D7716" s="104"/>
      <c r="E7716" s="33"/>
      <c r="F7716" s="33"/>
      <c r="G7716" s="33"/>
      <c r="H7716" s="31"/>
    </row>
    <row r="7717" spans="2:8" hidden="1">
      <c r="B7717" s="33"/>
      <c r="C7717" s="31"/>
      <c r="D7717" s="31"/>
      <c r="E7717" s="31"/>
      <c r="F7717" s="31"/>
      <c r="G7717" s="31"/>
      <c r="H7717" s="31"/>
    </row>
    <row r="7718" spans="2:8" hidden="1">
      <c r="B7718" s="405"/>
      <c r="C7718" s="31"/>
      <c r="D7718" s="31"/>
      <c r="E7718" s="31"/>
      <c r="F7718" s="31"/>
      <c r="G7718" s="31"/>
      <c r="H7718" s="31"/>
    </row>
    <row r="7719" spans="2:8" hidden="1">
      <c r="B7719" s="405"/>
      <c r="C7719" s="31"/>
      <c r="D7719" s="31"/>
      <c r="E7719" s="31"/>
      <c r="F7719" s="691"/>
      <c r="G7719" s="75"/>
      <c r="H7719" s="31"/>
    </row>
    <row r="7720" spans="2:8" hidden="1">
      <c r="B7720" s="405"/>
      <c r="C7720" s="31"/>
      <c r="D7720" s="31"/>
      <c r="E7720" s="31"/>
      <c r="F7720" s="691"/>
      <c r="G7720" s="75"/>
      <c r="H7720" s="31"/>
    </row>
    <row r="7721" spans="2:8" hidden="1">
      <c r="B7721" s="405"/>
      <c r="C7721" s="31"/>
      <c r="D7721" s="31"/>
      <c r="E7721" s="31"/>
      <c r="F7721" s="691"/>
      <c r="G7721" s="75"/>
      <c r="H7721" s="31"/>
    </row>
    <row r="7722" spans="2:8" hidden="1">
      <c r="B7722" s="405"/>
      <c r="C7722" s="31"/>
      <c r="D7722" s="31"/>
      <c r="E7722" s="31"/>
      <c r="F7722" s="691"/>
      <c r="G7722" s="75"/>
      <c r="H7722" s="31"/>
    </row>
    <row r="7723" spans="2:8" hidden="1">
      <c r="B7723" s="405"/>
      <c r="C7723" s="31"/>
      <c r="D7723" s="31"/>
      <c r="E7723" s="31"/>
      <c r="F7723" s="691"/>
      <c r="G7723" s="75"/>
      <c r="H7723" s="31"/>
    </row>
    <row r="7724" spans="2:8" hidden="1">
      <c r="B7724" s="405"/>
      <c r="C7724" s="31"/>
      <c r="D7724" s="31"/>
      <c r="E7724" s="31"/>
      <c r="F7724" s="691"/>
      <c r="G7724" s="75"/>
      <c r="H7724" s="31"/>
    </row>
    <row r="7725" spans="2:8" hidden="1">
      <c r="B7725" s="405"/>
      <c r="C7725" s="31"/>
      <c r="D7725" s="31"/>
      <c r="E7725" s="31"/>
      <c r="F7725" s="691"/>
      <c r="G7725" s="75"/>
      <c r="H7725" s="31"/>
    </row>
    <row r="7726" spans="2:8" hidden="1">
      <c r="B7726" s="405"/>
      <c r="C7726" s="31"/>
      <c r="D7726" s="31"/>
      <c r="E7726" s="31"/>
      <c r="F7726" s="691"/>
      <c r="G7726" s="75"/>
      <c r="H7726" s="31"/>
    </row>
    <row r="7727" spans="2:8" hidden="1">
      <c r="B7727" s="405"/>
      <c r="C7727" s="31"/>
      <c r="D7727" s="31"/>
      <c r="E7727" s="31"/>
      <c r="F7727" s="691"/>
      <c r="G7727" s="75"/>
      <c r="H7727" s="31"/>
    </row>
    <row r="7728" spans="2:8" hidden="1">
      <c r="B7728" s="405"/>
      <c r="C7728" s="31"/>
      <c r="D7728" s="31"/>
      <c r="E7728" s="31"/>
      <c r="F7728" s="691"/>
      <c r="G7728" s="75"/>
      <c r="H7728" s="31"/>
    </row>
    <row r="7729" spans="2:8" hidden="1">
      <c r="B7729" s="405"/>
      <c r="C7729" s="31"/>
      <c r="D7729" s="31"/>
      <c r="E7729" s="31"/>
      <c r="F7729" s="691"/>
      <c r="G7729" s="75"/>
      <c r="H7729" s="31"/>
    </row>
    <row r="7730" spans="2:8" hidden="1">
      <c r="B7730" s="405"/>
      <c r="C7730" s="31"/>
      <c r="D7730" s="31"/>
      <c r="E7730" s="31"/>
      <c r="F7730" s="691"/>
      <c r="G7730" s="75"/>
      <c r="H7730" s="31"/>
    </row>
    <row r="7731" spans="2:8" hidden="1">
      <c r="B7731" s="405"/>
      <c r="C7731" s="31"/>
      <c r="D7731" s="31"/>
      <c r="E7731" s="31"/>
      <c r="F7731" s="691"/>
      <c r="G7731" s="75"/>
      <c r="H7731" s="31"/>
    </row>
    <row r="7732" spans="2:8" hidden="1">
      <c r="B7732" s="405"/>
      <c r="C7732" s="31"/>
      <c r="D7732" s="31"/>
      <c r="E7732" s="31"/>
      <c r="F7732" s="691"/>
      <c r="G7732" s="75"/>
      <c r="H7732" s="31"/>
    </row>
    <row r="7733" spans="2:8" hidden="1">
      <c r="B7733" s="405"/>
      <c r="C7733" s="31"/>
      <c r="D7733" s="31"/>
      <c r="E7733" s="31"/>
      <c r="F7733" s="691"/>
      <c r="G7733" s="75"/>
      <c r="H7733" s="31"/>
    </row>
    <row r="7734" spans="2:8" hidden="1">
      <c r="B7734" s="405"/>
      <c r="C7734" s="31"/>
      <c r="D7734" s="31"/>
      <c r="E7734" s="31"/>
      <c r="F7734" s="691"/>
      <c r="G7734" s="75"/>
      <c r="H7734" s="31"/>
    </row>
    <row r="7735" spans="2:8" hidden="1">
      <c r="B7735" s="405"/>
      <c r="C7735" s="31"/>
      <c r="D7735" s="31"/>
      <c r="E7735" s="31"/>
      <c r="F7735" s="691"/>
      <c r="G7735" s="75"/>
      <c r="H7735" s="31"/>
    </row>
    <row r="7736" spans="2:8" hidden="1">
      <c r="B7736" s="405"/>
      <c r="C7736" s="31"/>
      <c r="D7736" s="31"/>
      <c r="E7736" s="31"/>
      <c r="F7736" s="691"/>
      <c r="G7736" s="75"/>
      <c r="H7736" s="31"/>
    </row>
    <row r="7737" spans="2:8" hidden="1">
      <c r="B7737" s="405"/>
      <c r="C7737" s="31"/>
      <c r="D7737" s="31"/>
      <c r="E7737" s="31"/>
      <c r="F7737" s="691"/>
      <c r="G7737" s="31"/>
      <c r="H7737" s="31"/>
    </row>
    <row r="7738" spans="2:8" hidden="1">
      <c r="B7738" s="405"/>
      <c r="C7738" s="31"/>
      <c r="D7738" s="31"/>
      <c r="E7738" s="31"/>
      <c r="F7738" s="691"/>
      <c r="G7738" s="75"/>
      <c r="H7738" s="31"/>
    </row>
    <row r="7739" spans="2:8" hidden="1">
      <c r="B7739" s="405"/>
      <c r="C7739" s="31"/>
      <c r="D7739" s="31"/>
      <c r="E7739" s="31"/>
      <c r="F7739" s="691"/>
      <c r="G7739" s="31"/>
      <c r="H7739" s="31"/>
    </row>
    <row r="7740" spans="2:8" hidden="1">
      <c r="B7740" s="405"/>
      <c r="C7740" s="31"/>
      <c r="D7740" s="31"/>
      <c r="E7740" s="31"/>
      <c r="F7740" s="691"/>
      <c r="G7740" s="75"/>
      <c r="H7740" s="31"/>
    </row>
    <row r="7741" spans="2:8" hidden="1">
      <c r="B7741" s="405"/>
      <c r="C7741" s="31"/>
      <c r="D7741" s="31"/>
      <c r="E7741" s="31"/>
      <c r="F7741" s="691"/>
      <c r="G7741" s="31"/>
      <c r="H7741" s="31"/>
    </row>
    <row r="7742" spans="2:8" hidden="1">
      <c r="B7742" s="405"/>
      <c r="C7742" s="31"/>
      <c r="D7742" s="31"/>
      <c r="E7742" s="31"/>
      <c r="F7742" s="691"/>
      <c r="G7742" s="31"/>
      <c r="H7742" s="31"/>
    </row>
    <row r="7743" spans="2:8" hidden="1">
      <c r="B7743" s="405"/>
      <c r="C7743" s="31"/>
      <c r="D7743" s="31"/>
      <c r="E7743" s="31"/>
      <c r="F7743" s="691"/>
      <c r="G7743" s="31"/>
      <c r="H7743" s="31"/>
    </row>
    <row r="7744" spans="2:8" hidden="1">
      <c r="B7744" s="405"/>
      <c r="C7744" s="31"/>
      <c r="D7744" s="31"/>
      <c r="E7744" s="31"/>
      <c r="F7744" s="691"/>
      <c r="G7744" s="31"/>
      <c r="H7744" s="31"/>
    </row>
    <row r="7745" spans="2:8" hidden="1">
      <c r="B7745" s="405"/>
      <c r="C7745" s="31"/>
      <c r="D7745" s="31"/>
      <c r="E7745" s="31"/>
      <c r="F7745" s="691"/>
      <c r="G7745" s="31"/>
      <c r="H7745" s="31"/>
    </row>
    <row r="7746" spans="2:8" hidden="1">
      <c r="B7746" s="405"/>
      <c r="C7746" s="31"/>
      <c r="D7746" s="31"/>
      <c r="E7746" s="31"/>
      <c r="F7746" s="691"/>
      <c r="G7746" s="31"/>
      <c r="H7746" s="31"/>
    </row>
    <row r="7747" spans="2:8" hidden="1">
      <c r="B7747" s="405"/>
      <c r="C7747" s="31"/>
      <c r="D7747" s="31"/>
      <c r="E7747" s="31"/>
      <c r="F7747" s="691"/>
      <c r="G7747" s="75"/>
      <c r="H7747" s="31"/>
    </row>
    <row r="7748" spans="2:8" hidden="1">
      <c r="B7748" s="405"/>
      <c r="C7748" s="31"/>
      <c r="D7748" s="31"/>
      <c r="E7748" s="31"/>
      <c r="F7748" s="691"/>
      <c r="G7748" s="31"/>
      <c r="H7748" s="31"/>
    </row>
    <row r="7749" spans="2:8" hidden="1">
      <c r="B7749" s="405"/>
      <c r="C7749" s="31"/>
      <c r="D7749" s="31"/>
      <c r="E7749" s="31"/>
      <c r="F7749" s="691"/>
      <c r="G7749" s="75"/>
      <c r="H7749" s="31"/>
    </row>
    <row r="7750" spans="2:8" hidden="1">
      <c r="B7750" s="405"/>
      <c r="C7750" s="31"/>
      <c r="D7750" s="31"/>
      <c r="E7750" s="31"/>
      <c r="F7750" s="691"/>
      <c r="G7750" s="75"/>
      <c r="H7750" s="31"/>
    </row>
    <row r="7751" spans="2:8" hidden="1">
      <c r="B7751" s="405"/>
      <c r="C7751" s="31"/>
      <c r="D7751" s="31"/>
      <c r="E7751" s="31"/>
      <c r="F7751" s="691"/>
      <c r="G7751" s="31"/>
      <c r="H7751" s="31"/>
    </row>
    <row r="7752" spans="2:8" hidden="1">
      <c r="B7752" s="33"/>
      <c r="C7752" s="31"/>
      <c r="D7752" s="31"/>
      <c r="E7752" s="31"/>
      <c r="F7752" s="31"/>
      <c r="G7752" s="31"/>
      <c r="H7752" s="31"/>
    </row>
    <row r="7753" spans="2:8" hidden="1">
      <c r="B7753" s="33"/>
      <c r="C7753" s="31"/>
      <c r="D7753" s="31"/>
      <c r="E7753" s="31"/>
      <c r="F7753" s="31"/>
      <c r="G7753" s="31"/>
      <c r="H7753" s="31"/>
    </row>
    <row r="7754" spans="2:8" hidden="1">
      <c r="B7754" s="33"/>
      <c r="C7754" s="31"/>
      <c r="D7754" s="31"/>
      <c r="E7754" s="31"/>
      <c r="F7754" s="31"/>
      <c r="G7754" s="31"/>
      <c r="H7754" s="31"/>
    </row>
    <row r="7755" spans="2:8" hidden="1">
      <c r="B7755" s="33"/>
      <c r="C7755" s="31"/>
      <c r="D7755" s="31"/>
      <c r="E7755" s="31"/>
      <c r="F7755" s="31"/>
      <c r="G7755" s="31"/>
      <c r="H7755" s="31"/>
    </row>
    <row r="7756" spans="2:8" hidden="1">
      <c r="B7756" s="33"/>
      <c r="C7756" s="31"/>
      <c r="D7756" s="31"/>
      <c r="E7756" s="31"/>
      <c r="F7756" s="31"/>
      <c r="G7756" s="31"/>
      <c r="H7756" s="31"/>
    </row>
    <row r="7757" spans="2:8" hidden="1">
      <c r="B7757" s="33"/>
      <c r="C7757" s="31"/>
      <c r="D7757" s="31"/>
      <c r="E7757" s="31"/>
      <c r="F7757" s="31"/>
      <c r="G7757" s="31"/>
      <c r="H7757" s="31"/>
    </row>
    <row r="7758" spans="2:8" hidden="1">
      <c r="B7758" s="33"/>
      <c r="C7758" s="31"/>
      <c r="D7758" s="31"/>
      <c r="E7758" s="31"/>
      <c r="F7758" s="31"/>
      <c r="G7758" s="31"/>
      <c r="H7758" s="31"/>
    </row>
    <row r="7759" spans="2:8" hidden="1">
      <c r="B7759" s="33"/>
      <c r="C7759" s="31"/>
      <c r="D7759" s="31"/>
      <c r="E7759" s="31"/>
      <c r="F7759" s="31"/>
      <c r="G7759" s="31"/>
      <c r="H7759" s="31"/>
    </row>
    <row r="7760" spans="2:8" hidden="1">
      <c r="B7760" s="33"/>
      <c r="C7760" s="31"/>
      <c r="D7760" s="33"/>
      <c r="E7760" s="31"/>
      <c r="F7760" s="33"/>
      <c r="G7760" s="33"/>
      <c r="H7760" s="31"/>
    </row>
    <row r="7761" spans="2:8" hidden="1">
      <c r="B7761" s="33"/>
      <c r="C7761" s="31"/>
      <c r="D7761" s="33"/>
      <c r="E7761" s="33"/>
      <c r="F7761" s="33"/>
      <c r="G7761" s="33"/>
      <c r="H7761" s="31"/>
    </row>
    <row r="7762" spans="2:8" hidden="1">
      <c r="B7762" s="200"/>
      <c r="C7762" s="31"/>
      <c r="D7762" s="75"/>
      <c r="E7762" s="33"/>
      <c r="F7762" s="33"/>
      <c r="G7762" s="33"/>
      <c r="H7762" s="31"/>
    </row>
    <row r="7763" spans="2:8" hidden="1">
      <c r="B7763" s="200"/>
      <c r="C7763" s="31"/>
      <c r="D7763" s="75"/>
      <c r="E7763" s="771"/>
      <c r="F7763" s="31"/>
      <c r="G7763" s="31"/>
      <c r="H7763" s="31"/>
    </row>
    <row r="7764" spans="2:8" hidden="1">
      <c r="B7764" s="200"/>
      <c r="C7764" s="31"/>
      <c r="D7764" s="75"/>
      <c r="E7764" s="771"/>
      <c r="F7764" s="33"/>
      <c r="G7764" s="31"/>
      <c r="H7764" s="31"/>
    </row>
    <row r="7765" spans="2:8" hidden="1">
      <c r="B7765" s="200"/>
      <c r="C7765" s="31"/>
      <c r="D7765" s="75"/>
      <c r="E7765" s="771"/>
      <c r="F7765" s="31"/>
      <c r="G7765" s="31"/>
      <c r="H7765" s="31"/>
    </row>
    <row r="7766" spans="2:8" hidden="1">
      <c r="B7766" s="200"/>
      <c r="C7766" s="31"/>
      <c r="D7766" s="75"/>
      <c r="E7766" s="771"/>
      <c r="F7766" s="31"/>
      <c r="G7766" s="31"/>
      <c r="H7766" s="31"/>
    </row>
    <row r="7767" spans="2:8" hidden="1">
      <c r="B7767" s="200"/>
      <c r="C7767" s="31"/>
      <c r="D7767" s="75"/>
      <c r="E7767" s="772"/>
      <c r="F7767" s="33"/>
      <c r="G7767" s="33"/>
      <c r="H7767" s="31"/>
    </row>
    <row r="7768" spans="2:8" hidden="1">
      <c r="B7768" s="200"/>
      <c r="C7768" s="31"/>
      <c r="D7768" s="75"/>
      <c r="E7768" s="771"/>
      <c r="F7768" s="31"/>
      <c r="G7768" s="31"/>
      <c r="H7768" s="31"/>
    </row>
    <row r="7769" spans="2:8" hidden="1">
      <c r="B7769" s="200"/>
      <c r="C7769" s="31"/>
      <c r="D7769" s="75"/>
      <c r="E7769" s="31"/>
      <c r="F7769" s="31"/>
      <c r="G7769" s="31"/>
      <c r="H7769" s="31"/>
    </row>
    <row r="7770" spans="2:8" hidden="1">
      <c r="B7770" s="33"/>
      <c r="C7770" s="200"/>
      <c r="D7770" s="75"/>
      <c r="E7770" s="31"/>
      <c r="F7770" s="31"/>
      <c r="G7770" s="31"/>
      <c r="H7770" s="31"/>
    </row>
    <row r="7771" spans="2:8" hidden="1">
      <c r="B7771" s="33"/>
      <c r="C7771" s="31"/>
      <c r="D7771" s="104"/>
      <c r="E7771" s="33"/>
      <c r="F7771" s="33"/>
      <c r="G7771" s="33"/>
      <c r="H7771" s="31"/>
    </row>
    <row r="7772" spans="2:8" hidden="1">
      <c r="B7772" s="33"/>
      <c r="C7772" s="31"/>
      <c r="D7772" s="31"/>
      <c r="E7772" s="31"/>
      <c r="F7772" s="31"/>
      <c r="G7772" s="31"/>
      <c r="H7772" s="31"/>
    </row>
    <row r="7773" spans="2:8" hidden="1">
      <c r="B7773" s="405"/>
      <c r="C7773" s="31"/>
      <c r="D7773" s="31"/>
      <c r="E7773" s="31"/>
      <c r="F7773" s="31"/>
      <c r="G7773" s="31"/>
      <c r="H7773" s="31"/>
    </row>
    <row r="7774" spans="2:8" hidden="1">
      <c r="B7774" s="405"/>
      <c r="C7774" s="31"/>
      <c r="D7774" s="31"/>
      <c r="E7774" s="31"/>
      <c r="F7774" s="691"/>
      <c r="G7774" s="75"/>
      <c r="H7774" s="31"/>
    </row>
    <row r="7775" spans="2:8" hidden="1">
      <c r="B7775" s="405"/>
      <c r="C7775" s="31"/>
      <c r="D7775" s="31"/>
      <c r="E7775" s="31"/>
      <c r="F7775" s="691"/>
      <c r="G7775" s="75"/>
      <c r="H7775" s="31"/>
    </row>
    <row r="7776" spans="2:8" hidden="1">
      <c r="B7776" s="405"/>
      <c r="C7776" s="31"/>
      <c r="D7776" s="31"/>
      <c r="E7776" s="31"/>
      <c r="F7776" s="691"/>
      <c r="G7776" s="75"/>
      <c r="H7776" s="31"/>
    </row>
    <row r="7777" spans="2:8" hidden="1">
      <c r="B7777" s="405"/>
      <c r="C7777" s="31"/>
      <c r="D7777" s="31"/>
      <c r="E7777" s="31"/>
      <c r="F7777" s="691"/>
      <c r="G7777" s="75"/>
      <c r="H7777" s="31"/>
    </row>
    <row r="7778" spans="2:8" hidden="1">
      <c r="B7778" s="405"/>
      <c r="C7778" s="31"/>
      <c r="D7778" s="31"/>
      <c r="E7778" s="31"/>
      <c r="F7778" s="691"/>
      <c r="G7778" s="75"/>
      <c r="H7778" s="31"/>
    </row>
    <row r="7779" spans="2:8" hidden="1">
      <c r="B7779" s="405"/>
      <c r="C7779" s="31"/>
      <c r="D7779" s="31"/>
      <c r="E7779" s="31"/>
      <c r="F7779" s="691"/>
      <c r="G7779" s="75"/>
      <c r="H7779" s="31"/>
    </row>
    <row r="7780" spans="2:8" hidden="1">
      <c r="B7780" s="405"/>
      <c r="C7780" s="31"/>
      <c r="D7780" s="31"/>
      <c r="E7780" s="31"/>
      <c r="F7780" s="691"/>
      <c r="G7780" s="31"/>
      <c r="H7780" s="31"/>
    </row>
    <row r="7781" spans="2:8" hidden="1">
      <c r="B7781" s="33"/>
      <c r="C7781" s="31"/>
      <c r="D7781" s="31"/>
      <c r="E7781" s="31"/>
      <c r="F7781" s="691"/>
      <c r="G7781" s="75"/>
      <c r="H7781" s="31"/>
    </row>
    <row r="7782" spans="2:8" hidden="1">
      <c r="B7782" s="33"/>
      <c r="C7782" s="31"/>
      <c r="D7782" s="31"/>
      <c r="E7782" s="31"/>
      <c r="F7782" s="691"/>
      <c r="G7782" s="75"/>
      <c r="H7782" s="31"/>
    </row>
    <row r="7783" spans="2:8" hidden="1">
      <c r="B7783" s="33"/>
      <c r="C7783" s="31"/>
      <c r="D7783" s="31"/>
      <c r="E7783" s="31"/>
      <c r="F7783" s="691"/>
      <c r="G7783" s="31"/>
      <c r="H7783" s="31"/>
    </row>
    <row r="7784" spans="2:8" hidden="1">
      <c r="B7784" s="33"/>
      <c r="C7784" s="31"/>
      <c r="D7784" s="31"/>
      <c r="E7784" s="31"/>
      <c r="F7784" s="31"/>
      <c r="G7784" s="31"/>
      <c r="H7784" s="31"/>
    </row>
    <row r="7785" spans="2:8" hidden="1">
      <c r="B7785" s="33"/>
      <c r="C7785" s="31"/>
      <c r="D7785" s="31"/>
      <c r="E7785" s="31"/>
      <c r="F7785" s="31"/>
      <c r="G7785" s="31"/>
      <c r="H7785" s="31"/>
    </row>
    <row r="7786" spans="2:8" hidden="1">
      <c r="B7786" s="33"/>
      <c r="C7786" s="31"/>
      <c r="D7786" s="31"/>
      <c r="E7786" s="31"/>
      <c r="F7786" s="31"/>
      <c r="G7786" s="31"/>
      <c r="H7786" s="31"/>
    </row>
    <row r="7787" spans="2:8" hidden="1">
      <c r="B7787" s="33"/>
      <c r="C7787" s="31"/>
      <c r="D7787" s="31"/>
      <c r="E7787" s="31"/>
      <c r="F7787" s="31"/>
      <c r="G7787" s="31"/>
      <c r="H7787" s="31"/>
    </row>
    <row r="7788" spans="2:8" hidden="1">
      <c r="B7788" s="33"/>
      <c r="C7788" s="31"/>
      <c r="D7788" s="31"/>
      <c r="E7788" s="31"/>
      <c r="F7788" s="31"/>
      <c r="G7788" s="31"/>
      <c r="H7788" s="31"/>
    </row>
    <row r="7789" spans="2:8" hidden="1">
      <c r="B7789" s="33"/>
      <c r="C7789" s="31"/>
      <c r="D7789" s="31"/>
      <c r="E7789" s="31"/>
      <c r="F7789" s="31"/>
      <c r="G7789" s="31"/>
      <c r="H7789" s="31"/>
    </row>
    <row r="7790" spans="2:8" hidden="1">
      <c r="B7790" s="33"/>
      <c r="C7790" s="31"/>
      <c r="D7790" s="31"/>
      <c r="E7790" s="31"/>
      <c r="F7790" s="31"/>
      <c r="G7790" s="31"/>
      <c r="H7790" s="31"/>
    </row>
    <row r="7791" spans="2:8" hidden="1">
      <c r="B7791" s="33"/>
      <c r="C7791" s="31"/>
      <c r="D7791" s="33"/>
      <c r="E7791" s="31"/>
      <c r="F7791" s="33"/>
      <c r="G7791" s="33"/>
      <c r="H7791" s="31"/>
    </row>
    <row r="7792" spans="2:8" hidden="1">
      <c r="B7792" s="33"/>
      <c r="C7792" s="31"/>
      <c r="D7792" s="33"/>
      <c r="E7792" s="33"/>
      <c r="F7792" s="33"/>
      <c r="G7792" s="33"/>
      <c r="H7792" s="31"/>
    </row>
    <row r="7793" spans="2:8" hidden="1">
      <c r="B7793" s="33"/>
      <c r="C7793" s="31"/>
      <c r="D7793" s="31"/>
      <c r="E7793" s="31"/>
      <c r="F7793" s="31"/>
      <c r="G7793" s="31"/>
      <c r="H7793" s="31"/>
    </row>
    <row r="7794" spans="2:8" hidden="1">
      <c r="B7794" s="200"/>
      <c r="C7794" s="31"/>
      <c r="D7794" s="75"/>
      <c r="E7794" s="771"/>
      <c r="F7794" s="771"/>
      <c r="G7794" s="31"/>
      <c r="H7794" s="31"/>
    </row>
    <row r="7795" spans="2:8" hidden="1">
      <c r="B7795" s="200"/>
      <c r="C7795" s="31"/>
      <c r="D7795" s="75"/>
      <c r="E7795" s="771"/>
      <c r="F7795" s="771"/>
      <c r="G7795" s="31"/>
      <c r="H7795" s="31"/>
    </row>
    <row r="7796" spans="2:8" hidden="1">
      <c r="B7796" s="200"/>
      <c r="C7796" s="31"/>
      <c r="D7796" s="75"/>
      <c r="E7796" s="771"/>
      <c r="F7796" s="771"/>
      <c r="G7796" s="31"/>
      <c r="H7796" s="31"/>
    </row>
    <row r="7797" spans="2:8" hidden="1">
      <c r="B7797" s="200"/>
      <c r="C7797" s="31"/>
      <c r="D7797" s="75"/>
      <c r="E7797" s="771"/>
      <c r="F7797" s="771"/>
      <c r="G7797" s="31"/>
      <c r="H7797" s="31"/>
    </row>
    <row r="7798" spans="2:8" hidden="1">
      <c r="B7798" s="200"/>
      <c r="C7798" s="31"/>
      <c r="D7798" s="75"/>
      <c r="E7798" s="771"/>
      <c r="F7798" s="771"/>
      <c r="G7798" s="31"/>
      <c r="H7798" s="31"/>
    </row>
    <row r="7799" spans="2:8" hidden="1">
      <c r="B7799" s="200"/>
      <c r="C7799" s="31"/>
      <c r="D7799" s="75"/>
      <c r="E7799" s="771"/>
      <c r="F7799" s="771"/>
      <c r="G7799" s="31"/>
      <c r="H7799" s="31"/>
    </row>
    <row r="7800" spans="2:8" hidden="1">
      <c r="B7800" s="200"/>
      <c r="C7800" s="31"/>
      <c r="D7800" s="75"/>
      <c r="E7800" s="771"/>
      <c r="F7800" s="772"/>
      <c r="G7800" s="33"/>
      <c r="H7800" s="31"/>
    </row>
    <row r="7801" spans="2:8" hidden="1">
      <c r="B7801" s="200"/>
      <c r="C7801" s="31"/>
      <c r="D7801" s="75"/>
      <c r="E7801" s="771"/>
      <c r="F7801" s="771"/>
      <c r="G7801" s="31"/>
      <c r="H7801" s="31"/>
    </row>
    <row r="7802" spans="2:8" hidden="1">
      <c r="B7802" s="200"/>
      <c r="C7802" s="31"/>
      <c r="D7802" s="75"/>
      <c r="E7802" s="771"/>
      <c r="F7802" s="772"/>
      <c r="G7802" s="33"/>
      <c r="H7802" s="31"/>
    </row>
    <row r="7803" spans="2:8" hidden="1">
      <c r="B7803" s="200"/>
      <c r="C7803" s="31"/>
      <c r="D7803" s="75"/>
      <c r="E7803" s="771"/>
      <c r="F7803" s="771"/>
      <c r="G7803" s="31"/>
      <c r="H7803" s="31"/>
    </row>
    <row r="7804" spans="2:8" hidden="1">
      <c r="B7804" s="200"/>
      <c r="C7804" s="31"/>
      <c r="D7804" s="75"/>
      <c r="E7804" s="771"/>
      <c r="F7804" s="772"/>
      <c r="G7804" s="33"/>
      <c r="H7804" s="31"/>
    </row>
    <row r="7805" spans="2:8" hidden="1">
      <c r="B7805" s="200"/>
      <c r="C7805" s="31"/>
      <c r="D7805" s="75"/>
      <c r="E7805" s="771"/>
      <c r="F7805" s="771"/>
      <c r="G7805" s="31"/>
      <c r="H7805" s="31"/>
    </row>
    <row r="7806" spans="2:8" hidden="1">
      <c r="B7806" s="33"/>
      <c r="C7806" s="31"/>
      <c r="D7806" s="31"/>
      <c r="E7806" s="31"/>
      <c r="F7806" s="31"/>
      <c r="G7806" s="31"/>
      <c r="H7806" s="31"/>
    </row>
    <row r="7807" spans="2:8" hidden="1">
      <c r="B7807" s="200"/>
      <c r="C7807" s="31"/>
      <c r="D7807" s="75"/>
      <c r="E7807" s="771"/>
      <c r="F7807" s="771"/>
      <c r="G7807" s="31"/>
      <c r="H7807" s="31"/>
    </row>
    <row r="7808" spans="2:8" hidden="1">
      <c r="B7808" s="200"/>
      <c r="C7808" s="31"/>
      <c r="D7808" s="75"/>
      <c r="E7808" s="771"/>
      <c r="F7808" s="771"/>
      <c r="G7808" s="31"/>
      <c r="H7808" s="31"/>
    </row>
    <row r="7809" spans="2:8" hidden="1">
      <c r="B7809" s="200"/>
      <c r="C7809" s="31"/>
      <c r="D7809" s="75"/>
      <c r="E7809" s="771"/>
      <c r="F7809" s="771"/>
      <c r="G7809" s="31"/>
      <c r="H7809" s="31"/>
    </row>
    <row r="7810" spans="2:8" hidden="1">
      <c r="B7810" s="200"/>
      <c r="C7810" s="31"/>
      <c r="D7810" s="75"/>
      <c r="E7810" s="771"/>
      <c r="F7810" s="771"/>
      <c r="G7810" s="31"/>
      <c r="H7810" s="31"/>
    </row>
    <row r="7811" spans="2:8" hidden="1">
      <c r="B7811" s="200"/>
      <c r="C7811" s="31"/>
      <c r="D7811" s="75"/>
      <c r="E7811" s="771"/>
      <c r="F7811" s="772"/>
      <c r="G7811" s="33"/>
      <c r="H7811" s="31"/>
    </row>
    <row r="7812" spans="2:8" hidden="1">
      <c r="B7812" s="200"/>
      <c r="C7812" s="31"/>
      <c r="D7812" s="75"/>
      <c r="E7812" s="771"/>
      <c r="F7812" s="772"/>
      <c r="G7812" s="33"/>
      <c r="H7812" s="31"/>
    </row>
    <row r="7813" spans="2:8" hidden="1">
      <c r="B7813" s="200"/>
      <c r="C7813" s="31"/>
      <c r="D7813" s="75"/>
      <c r="E7813" s="771"/>
      <c r="F7813" s="772"/>
      <c r="G7813" s="33"/>
      <c r="H7813" s="31"/>
    </row>
    <row r="7814" spans="2:8" hidden="1">
      <c r="B7814" s="200"/>
      <c r="C7814" s="31"/>
      <c r="D7814" s="75"/>
      <c r="E7814" s="771"/>
      <c r="F7814" s="771"/>
      <c r="G7814" s="31"/>
      <c r="H7814" s="31"/>
    </row>
    <row r="7815" spans="2:8" hidden="1">
      <c r="B7815" s="200"/>
      <c r="C7815" s="31"/>
      <c r="D7815" s="75"/>
      <c r="E7815" s="772"/>
      <c r="F7815" s="772"/>
      <c r="G7815" s="31"/>
      <c r="H7815" s="31"/>
    </row>
    <row r="7816" spans="2:8" hidden="1">
      <c r="B7816" s="200"/>
      <c r="C7816" s="31"/>
      <c r="D7816" s="75"/>
      <c r="E7816" s="771"/>
      <c r="F7816" s="771"/>
      <c r="G7816" s="31"/>
      <c r="H7816" s="31"/>
    </row>
    <row r="7817" spans="2:8" hidden="1">
      <c r="B7817" s="200"/>
      <c r="C7817" s="31"/>
      <c r="D7817" s="75"/>
      <c r="E7817" s="771"/>
      <c r="F7817" s="771"/>
      <c r="G7817" s="31"/>
      <c r="H7817" s="31"/>
    </row>
    <row r="7818" spans="2:8" hidden="1">
      <c r="B7818" s="200"/>
      <c r="C7818" s="31"/>
      <c r="D7818" s="75"/>
      <c r="E7818" s="771"/>
      <c r="F7818" s="772"/>
      <c r="G7818" s="33"/>
      <c r="H7818" s="31"/>
    </row>
    <row r="7819" spans="2:8" hidden="1">
      <c r="B7819" s="200"/>
      <c r="C7819" s="31"/>
      <c r="D7819" s="75"/>
      <c r="E7819" s="771"/>
      <c r="F7819" s="772"/>
      <c r="G7819" s="33"/>
      <c r="H7819" s="31"/>
    </row>
    <row r="7820" spans="2:8" hidden="1">
      <c r="B7820" s="200"/>
      <c r="C7820" s="31"/>
      <c r="D7820" s="75"/>
      <c r="E7820" s="771"/>
      <c r="F7820" s="771"/>
      <c r="G7820" s="31"/>
      <c r="H7820" s="31"/>
    </row>
    <row r="7821" spans="2:8" hidden="1">
      <c r="B7821" s="200"/>
      <c r="C7821" s="31"/>
      <c r="D7821" s="75"/>
      <c r="E7821" s="771"/>
      <c r="F7821" s="771"/>
      <c r="G7821" s="31"/>
      <c r="H7821" s="31"/>
    </row>
    <row r="7822" spans="2:8" hidden="1">
      <c r="B7822" s="200"/>
      <c r="C7822" s="31"/>
      <c r="D7822" s="75"/>
      <c r="E7822" s="771"/>
      <c r="F7822" s="772"/>
      <c r="G7822" s="33"/>
      <c r="H7822" s="31"/>
    </row>
    <row r="7823" spans="2:8" hidden="1">
      <c r="B7823" s="200"/>
      <c r="C7823" s="31"/>
      <c r="D7823" s="75"/>
      <c r="E7823" s="771"/>
      <c r="F7823" s="771"/>
      <c r="G7823" s="31"/>
      <c r="H7823" s="31"/>
    </row>
    <row r="7824" spans="2:8" hidden="1">
      <c r="B7824" s="200"/>
      <c r="C7824" s="31"/>
      <c r="D7824" s="75"/>
      <c r="E7824" s="771"/>
      <c r="F7824" s="771"/>
      <c r="G7824" s="31"/>
      <c r="H7824" s="31"/>
    </row>
    <row r="7825" spans="2:8" hidden="1">
      <c r="B7825" s="200"/>
      <c r="C7825" s="31"/>
      <c r="D7825" s="75"/>
      <c r="E7825" s="31"/>
      <c r="F7825" s="33"/>
      <c r="G7825" s="33"/>
      <c r="H7825" s="31"/>
    </row>
    <row r="7826" spans="2:8" hidden="1">
      <c r="B7826" s="200"/>
      <c r="C7826" s="31"/>
      <c r="D7826" s="75"/>
      <c r="E7826" s="31"/>
      <c r="F7826" s="33"/>
      <c r="G7826" s="33"/>
      <c r="H7826" s="31"/>
    </row>
    <row r="7827" spans="2:8" hidden="1">
      <c r="B7827" s="200"/>
      <c r="C7827" s="31"/>
      <c r="D7827" s="75"/>
      <c r="E7827" s="31"/>
      <c r="F7827" s="33"/>
      <c r="G7827" s="33"/>
      <c r="H7827" s="31"/>
    </row>
    <row r="7828" spans="2:8" hidden="1">
      <c r="B7828" s="200"/>
      <c r="C7828" s="31"/>
      <c r="D7828" s="75"/>
      <c r="E7828" s="31"/>
      <c r="F7828" s="31"/>
      <c r="G7828" s="31"/>
      <c r="H7828" s="31"/>
    </row>
    <row r="7829" spans="2:8" hidden="1">
      <c r="B7829" s="200"/>
      <c r="C7829" s="31"/>
      <c r="D7829" s="75"/>
      <c r="E7829" s="31"/>
      <c r="F7829" s="31"/>
      <c r="G7829" s="31"/>
      <c r="H7829" s="31"/>
    </row>
    <row r="7830" spans="2:8" hidden="1">
      <c r="B7830" s="200"/>
      <c r="C7830" s="31"/>
      <c r="D7830" s="75"/>
      <c r="E7830" s="31"/>
      <c r="F7830" s="31"/>
      <c r="G7830" s="31"/>
      <c r="H7830" s="31"/>
    </row>
    <row r="7831" spans="2:8" hidden="1">
      <c r="B7831" s="200"/>
      <c r="C7831" s="31"/>
      <c r="D7831" s="75"/>
      <c r="E7831" s="31"/>
      <c r="F7831" s="771"/>
      <c r="G7831" s="31"/>
      <c r="H7831" s="31"/>
    </row>
    <row r="7832" spans="2:8" hidden="1">
      <c r="B7832" s="200"/>
      <c r="C7832" s="31"/>
      <c r="D7832" s="75"/>
      <c r="E7832" s="31"/>
      <c r="F7832" s="31"/>
      <c r="G7832" s="31"/>
      <c r="H7832" s="31"/>
    </row>
    <row r="7833" spans="2:8" hidden="1">
      <c r="B7833" s="200"/>
      <c r="C7833" s="31"/>
      <c r="D7833" s="75"/>
      <c r="E7833" s="33"/>
      <c r="F7833" s="33"/>
      <c r="G7833" s="33"/>
      <c r="H7833" s="31"/>
    </row>
    <row r="7834" spans="2:8" hidden="1">
      <c r="B7834" s="200"/>
      <c r="C7834" s="31"/>
      <c r="D7834" s="75"/>
      <c r="E7834" s="33"/>
      <c r="F7834" s="33"/>
      <c r="G7834" s="33"/>
      <c r="H7834" s="31"/>
    </row>
    <row r="7835" spans="2:8" hidden="1">
      <c r="B7835" s="33"/>
      <c r="C7835" s="200"/>
      <c r="D7835" s="75"/>
      <c r="E7835" s="31"/>
      <c r="F7835" s="31"/>
      <c r="G7835" s="31"/>
      <c r="H7835" s="31"/>
    </row>
    <row r="7836" spans="2:8" hidden="1">
      <c r="B7836" s="33"/>
      <c r="C7836" s="31"/>
      <c r="D7836" s="104"/>
      <c r="E7836" s="33"/>
      <c r="F7836" s="33"/>
      <c r="G7836" s="33"/>
      <c r="H7836" s="31"/>
    </row>
    <row r="7837" spans="2:8" hidden="1">
      <c r="B7837" s="33"/>
      <c r="C7837" s="31"/>
      <c r="D7837" s="31"/>
      <c r="E7837" s="31"/>
      <c r="F7837" s="31"/>
      <c r="G7837" s="31"/>
      <c r="H7837" s="31"/>
    </row>
    <row r="7838" spans="2:8" hidden="1">
      <c r="B7838" s="405"/>
      <c r="C7838" s="31"/>
      <c r="D7838" s="31"/>
      <c r="E7838" s="31"/>
      <c r="F7838" s="31"/>
      <c r="G7838" s="31"/>
      <c r="H7838" s="31"/>
    </row>
    <row r="7839" spans="2:8" hidden="1">
      <c r="B7839" s="405"/>
      <c r="C7839" s="31"/>
      <c r="D7839" s="31"/>
      <c r="E7839" s="31"/>
      <c r="F7839" s="691"/>
      <c r="G7839" s="75"/>
      <c r="H7839" s="31"/>
    </row>
    <row r="7840" spans="2:8" hidden="1">
      <c r="B7840" s="405"/>
      <c r="C7840" s="31"/>
      <c r="D7840" s="31"/>
      <c r="E7840" s="31"/>
      <c r="F7840" s="691"/>
      <c r="G7840" s="75"/>
      <c r="H7840" s="31"/>
    </row>
    <row r="7841" spans="2:8" hidden="1">
      <c r="B7841" s="405"/>
      <c r="C7841" s="31"/>
      <c r="D7841" s="31"/>
      <c r="E7841" s="31"/>
      <c r="F7841" s="691"/>
      <c r="G7841" s="75"/>
      <c r="H7841" s="31"/>
    </row>
    <row r="7842" spans="2:8" hidden="1">
      <c r="B7842" s="405"/>
      <c r="C7842" s="31"/>
      <c r="D7842" s="31"/>
      <c r="E7842" s="31"/>
      <c r="F7842" s="691"/>
      <c r="G7842" s="75"/>
      <c r="H7842" s="31"/>
    </row>
    <row r="7843" spans="2:8" hidden="1">
      <c r="B7843" s="405"/>
      <c r="C7843" s="31"/>
      <c r="D7843" s="31"/>
      <c r="E7843" s="31"/>
      <c r="F7843" s="691"/>
      <c r="G7843" s="75"/>
      <c r="H7843" s="31"/>
    </row>
    <row r="7844" spans="2:8" hidden="1">
      <c r="B7844" s="405"/>
      <c r="C7844" s="31"/>
      <c r="D7844" s="31"/>
      <c r="E7844" s="31"/>
      <c r="F7844" s="691"/>
      <c r="G7844" s="75"/>
      <c r="H7844" s="31"/>
    </row>
    <row r="7845" spans="2:8" hidden="1">
      <c r="B7845" s="405"/>
      <c r="C7845" s="31"/>
      <c r="D7845" s="31"/>
      <c r="E7845" s="31"/>
      <c r="F7845" s="691"/>
      <c r="G7845" s="31"/>
      <c r="H7845" s="31"/>
    </row>
    <row r="7846" spans="2:8" hidden="1">
      <c r="B7846" s="33"/>
      <c r="C7846" s="31"/>
      <c r="D7846" s="31"/>
      <c r="E7846" s="31"/>
      <c r="F7846" s="691"/>
      <c r="G7846" s="31"/>
      <c r="H7846" s="31"/>
    </row>
    <row r="7847" spans="2:8" hidden="1">
      <c r="B7847" s="33"/>
      <c r="C7847" s="31"/>
      <c r="D7847" s="31"/>
      <c r="E7847" s="31"/>
      <c r="F7847" s="691"/>
      <c r="G7847" s="31"/>
      <c r="H7847" s="31"/>
    </row>
    <row r="7848" spans="2:8" hidden="1">
      <c r="B7848" s="33"/>
      <c r="C7848" s="31"/>
      <c r="D7848" s="31"/>
      <c r="E7848" s="31"/>
      <c r="F7848" s="691"/>
      <c r="G7848" s="31"/>
      <c r="H7848" s="31"/>
    </row>
    <row r="7849" spans="2:8" hidden="1">
      <c r="B7849" s="33"/>
      <c r="C7849" s="31"/>
      <c r="D7849" s="31"/>
      <c r="E7849" s="31"/>
      <c r="F7849" s="691"/>
      <c r="G7849" s="31"/>
      <c r="H7849" s="31"/>
    </row>
    <row r="7850" spans="2:8" hidden="1">
      <c r="B7850" s="33"/>
      <c r="C7850" s="31"/>
      <c r="D7850" s="31"/>
      <c r="E7850" s="31"/>
      <c r="F7850" s="31"/>
      <c r="G7850" s="31"/>
      <c r="H7850" s="31"/>
    </row>
    <row r="7851" spans="2:8" hidden="1">
      <c r="B7851" s="33"/>
      <c r="C7851" s="31"/>
      <c r="D7851" s="31"/>
      <c r="E7851" s="31"/>
      <c r="F7851" s="31"/>
      <c r="G7851" s="31"/>
      <c r="H7851" s="31"/>
    </row>
    <row r="7852" spans="2:8" hidden="1">
      <c r="B7852" s="33"/>
      <c r="C7852" s="31"/>
      <c r="D7852" s="31"/>
      <c r="E7852" s="31"/>
      <c r="F7852" s="31"/>
      <c r="G7852" s="31"/>
      <c r="H7852" s="31"/>
    </row>
    <row r="7853" spans="2:8" hidden="1">
      <c r="B7853" s="33"/>
      <c r="C7853" s="31"/>
      <c r="D7853" s="31"/>
      <c r="E7853" s="31"/>
      <c r="F7853" s="31"/>
      <c r="G7853" s="31"/>
      <c r="H7853" s="31"/>
    </row>
    <row r="7854" spans="2:8" hidden="1">
      <c r="B7854" s="33"/>
      <c r="C7854" s="31"/>
      <c r="D7854" s="31"/>
      <c r="E7854" s="31"/>
      <c r="F7854" s="31"/>
      <c r="G7854" s="31"/>
      <c r="H7854" s="31"/>
    </row>
    <row r="7855" spans="2:8" hidden="1">
      <c r="B7855" s="33"/>
      <c r="C7855" s="31"/>
      <c r="D7855" s="31"/>
      <c r="E7855" s="31"/>
      <c r="F7855" s="31"/>
      <c r="G7855" s="31"/>
      <c r="H7855" s="31"/>
    </row>
    <row r="7856" spans="2:8" hidden="1">
      <c r="B7856" s="33"/>
      <c r="C7856" s="31"/>
      <c r="D7856" s="31"/>
      <c r="E7856" s="31"/>
      <c r="F7856" s="31"/>
      <c r="G7856" s="31"/>
      <c r="H7856" s="31"/>
    </row>
    <row r="7857" spans="2:8" hidden="1">
      <c r="B7857" s="33"/>
      <c r="C7857" s="31"/>
      <c r="D7857" s="31"/>
      <c r="E7857" s="31"/>
      <c r="F7857" s="31"/>
      <c r="G7857" s="31"/>
      <c r="H7857" s="31"/>
    </row>
    <row r="7858" spans="2:8" hidden="1">
      <c r="B7858" s="33"/>
      <c r="C7858" s="31"/>
      <c r="D7858" s="33"/>
      <c r="E7858" s="31"/>
      <c r="F7858" s="33"/>
      <c r="G7858" s="33"/>
      <c r="H7858" s="31"/>
    </row>
    <row r="7859" spans="2:8" hidden="1">
      <c r="B7859" s="33"/>
      <c r="C7859" s="31"/>
      <c r="D7859" s="33"/>
      <c r="E7859" s="33"/>
      <c r="F7859" s="33"/>
      <c r="G7859" s="33"/>
      <c r="H7859" s="31"/>
    </row>
    <row r="7860" spans="2:8" hidden="1">
      <c r="B7860" s="33"/>
      <c r="C7860" s="31"/>
      <c r="D7860" s="31"/>
      <c r="E7860" s="31"/>
      <c r="F7860" s="31"/>
      <c r="G7860" s="31"/>
      <c r="H7860" s="31"/>
    </row>
    <row r="7861" spans="2:8" hidden="1">
      <c r="B7861" s="200"/>
      <c r="C7861" s="31"/>
      <c r="D7861" s="75"/>
      <c r="E7861" s="771"/>
      <c r="F7861" s="33"/>
      <c r="G7861" s="33"/>
      <c r="H7861" s="31"/>
    </row>
    <row r="7862" spans="2:8" hidden="1">
      <c r="B7862" s="200"/>
      <c r="C7862" s="31"/>
      <c r="D7862" s="75"/>
      <c r="E7862" s="771"/>
      <c r="F7862" s="31"/>
      <c r="G7862" s="31"/>
      <c r="H7862" s="31"/>
    </row>
    <row r="7863" spans="2:8" hidden="1">
      <c r="B7863" s="200"/>
      <c r="C7863" s="31"/>
      <c r="D7863" s="75"/>
      <c r="E7863" s="771"/>
      <c r="F7863" s="33"/>
      <c r="G7863" s="33"/>
      <c r="H7863" s="31"/>
    </row>
    <row r="7864" spans="2:8" hidden="1">
      <c r="B7864" s="200"/>
      <c r="C7864" s="31"/>
      <c r="D7864" s="75"/>
      <c r="E7864" s="771"/>
      <c r="F7864" s="31"/>
      <c r="G7864" s="31"/>
      <c r="H7864" s="31"/>
    </row>
    <row r="7865" spans="2:8" hidden="1">
      <c r="B7865" s="33"/>
      <c r="C7865" s="31"/>
      <c r="D7865" s="31"/>
      <c r="E7865" s="31"/>
      <c r="F7865" s="31"/>
      <c r="G7865" s="31"/>
      <c r="H7865" s="31"/>
    </row>
    <row r="7866" spans="2:8" hidden="1">
      <c r="B7866" s="200"/>
      <c r="C7866" s="31"/>
      <c r="D7866" s="75"/>
      <c r="E7866" s="771"/>
      <c r="F7866" s="31"/>
      <c r="G7866" s="31"/>
      <c r="H7866" s="31"/>
    </row>
    <row r="7867" spans="2:8" hidden="1">
      <c r="B7867" s="200"/>
      <c r="C7867" s="31"/>
      <c r="D7867" s="75"/>
      <c r="E7867" s="771"/>
      <c r="F7867" s="33"/>
      <c r="G7867" s="33"/>
      <c r="H7867" s="31"/>
    </row>
    <row r="7868" spans="2:8" hidden="1">
      <c r="B7868" s="200"/>
      <c r="C7868" s="31"/>
      <c r="D7868" s="75"/>
      <c r="E7868" s="771"/>
      <c r="F7868" s="771"/>
      <c r="G7868" s="31"/>
      <c r="H7868" s="31"/>
    </row>
    <row r="7869" spans="2:8" hidden="1">
      <c r="B7869" s="200"/>
      <c r="C7869" s="31"/>
      <c r="D7869" s="75"/>
      <c r="E7869" s="771"/>
      <c r="F7869" s="771"/>
      <c r="G7869" s="31"/>
      <c r="H7869" s="31"/>
    </row>
    <row r="7870" spans="2:8" hidden="1">
      <c r="B7870" s="200"/>
      <c r="C7870" s="31"/>
      <c r="D7870" s="75"/>
      <c r="E7870" s="771"/>
      <c r="F7870" s="771"/>
      <c r="G7870" s="31"/>
      <c r="H7870" s="31"/>
    </row>
    <row r="7871" spans="2:8" hidden="1">
      <c r="B7871" s="200"/>
      <c r="C7871" s="31"/>
      <c r="D7871" s="75"/>
      <c r="E7871" s="771"/>
      <c r="F7871" s="771"/>
      <c r="G7871" s="31"/>
      <c r="H7871" s="31"/>
    </row>
    <row r="7872" spans="2:8" hidden="1">
      <c r="B7872" s="200"/>
      <c r="C7872" s="31"/>
      <c r="D7872" s="75"/>
      <c r="E7872" s="771"/>
      <c r="F7872" s="771"/>
      <c r="G7872" s="31"/>
      <c r="H7872" s="31"/>
    </row>
    <row r="7873" spans="2:8" hidden="1">
      <c r="B7873" s="200"/>
      <c r="C7873" s="31"/>
      <c r="D7873" s="75"/>
      <c r="E7873" s="771"/>
      <c r="F7873" s="771"/>
      <c r="G7873" s="31"/>
      <c r="H7873" s="31"/>
    </row>
    <row r="7874" spans="2:8" hidden="1">
      <c r="B7874" s="200"/>
      <c r="C7874" s="31"/>
      <c r="D7874" s="75"/>
      <c r="E7874" s="771"/>
      <c r="F7874" s="771"/>
      <c r="G7874" s="31"/>
      <c r="H7874" s="31"/>
    </row>
    <row r="7875" spans="2:8" hidden="1">
      <c r="B7875" s="200"/>
      <c r="C7875" s="31"/>
      <c r="D7875" s="75"/>
      <c r="E7875" s="771"/>
      <c r="F7875" s="772"/>
      <c r="G7875" s="33"/>
      <c r="H7875" s="31"/>
    </row>
    <row r="7876" spans="2:8" hidden="1">
      <c r="B7876" s="200"/>
      <c r="C7876" s="31"/>
      <c r="D7876" s="75"/>
      <c r="E7876" s="771"/>
      <c r="F7876" s="771"/>
      <c r="G7876" s="31"/>
      <c r="H7876" s="31"/>
    </row>
    <row r="7877" spans="2:8" hidden="1">
      <c r="B7877" s="200"/>
      <c r="C7877" s="31"/>
      <c r="D7877" s="75"/>
      <c r="E7877" s="771"/>
      <c r="F7877" s="771"/>
      <c r="G7877" s="31"/>
      <c r="H7877" s="31"/>
    </row>
    <row r="7878" spans="2:8" hidden="1">
      <c r="B7878" s="200"/>
      <c r="C7878" s="31"/>
      <c r="D7878" s="75"/>
      <c r="E7878" s="771"/>
      <c r="F7878" s="771"/>
      <c r="G7878" s="31"/>
      <c r="H7878" s="31"/>
    </row>
    <row r="7879" spans="2:8" hidden="1">
      <c r="B7879" s="200"/>
      <c r="C7879" s="31"/>
      <c r="D7879" s="75"/>
      <c r="E7879" s="771"/>
      <c r="F7879" s="771"/>
      <c r="G7879" s="31"/>
      <c r="H7879" s="31"/>
    </row>
    <row r="7880" spans="2:8" hidden="1">
      <c r="B7880" s="200"/>
      <c r="C7880" s="31"/>
      <c r="D7880" s="75"/>
      <c r="E7880" s="771"/>
      <c r="F7880" s="771"/>
      <c r="G7880" s="31"/>
      <c r="H7880" s="31"/>
    </row>
    <row r="7881" spans="2:8" hidden="1">
      <c r="B7881" s="200"/>
      <c r="C7881" s="31"/>
      <c r="D7881" s="75"/>
      <c r="E7881" s="771"/>
      <c r="F7881" s="771"/>
      <c r="G7881" s="31"/>
      <c r="H7881" s="31"/>
    </row>
    <row r="7882" spans="2:8" hidden="1">
      <c r="B7882" s="200"/>
      <c r="C7882" s="31"/>
      <c r="D7882" s="75"/>
      <c r="E7882" s="771"/>
      <c r="F7882" s="771"/>
      <c r="G7882" s="31"/>
      <c r="H7882" s="31"/>
    </row>
    <row r="7883" spans="2:8" hidden="1">
      <c r="B7883" s="200"/>
      <c r="C7883" s="31"/>
      <c r="D7883" s="75"/>
      <c r="E7883" s="771"/>
      <c r="F7883" s="31"/>
      <c r="G7883" s="31"/>
      <c r="H7883" s="31"/>
    </row>
    <row r="7884" spans="2:8" hidden="1">
      <c r="B7884" s="200"/>
      <c r="C7884" s="31"/>
      <c r="D7884" s="75"/>
      <c r="E7884" s="771"/>
      <c r="F7884" s="31"/>
      <c r="G7884" s="31"/>
      <c r="H7884" s="31"/>
    </row>
    <row r="7885" spans="2:8" hidden="1">
      <c r="B7885" s="200"/>
      <c r="C7885" s="31"/>
      <c r="D7885" s="75"/>
      <c r="E7885" s="771"/>
      <c r="F7885" s="31"/>
      <c r="G7885" s="31"/>
      <c r="H7885" s="31"/>
    </row>
    <row r="7886" spans="2:8" hidden="1">
      <c r="B7886" s="200"/>
      <c r="C7886" s="31"/>
      <c r="D7886" s="75"/>
      <c r="E7886" s="771"/>
      <c r="F7886" s="31"/>
      <c r="G7886" s="31"/>
      <c r="H7886" s="31"/>
    </row>
    <row r="7887" spans="2:8" hidden="1">
      <c r="B7887" s="200"/>
      <c r="C7887" s="31"/>
      <c r="D7887" s="75"/>
      <c r="E7887" s="771"/>
      <c r="F7887" s="31"/>
      <c r="G7887" s="31"/>
      <c r="H7887" s="31"/>
    </row>
    <row r="7888" spans="2:8" hidden="1">
      <c r="B7888" s="200"/>
      <c r="C7888" s="31"/>
      <c r="D7888" s="75"/>
      <c r="E7888" s="771"/>
      <c r="F7888" s="31"/>
      <c r="G7888" s="31"/>
      <c r="H7888" s="31"/>
    </row>
    <row r="7889" spans="2:8" hidden="1">
      <c r="B7889" s="200"/>
      <c r="C7889" s="31"/>
      <c r="D7889" s="75"/>
      <c r="E7889" s="771"/>
      <c r="F7889" s="771"/>
      <c r="G7889" s="31"/>
      <c r="H7889" s="31"/>
    </row>
    <row r="7890" spans="2:8" hidden="1">
      <c r="B7890" s="200"/>
      <c r="C7890" s="31"/>
      <c r="D7890" s="75"/>
      <c r="E7890" s="771"/>
      <c r="F7890" s="771"/>
      <c r="G7890" s="31"/>
      <c r="H7890" s="31"/>
    </row>
    <row r="7891" spans="2:8" hidden="1">
      <c r="B7891" s="200"/>
      <c r="C7891" s="31"/>
      <c r="D7891" s="75"/>
      <c r="E7891" s="771"/>
      <c r="F7891" s="771"/>
      <c r="G7891" s="31"/>
      <c r="H7891" s="31"/>
    </row>
    <row r="7892" spans="2:8" hidden="1">
      <c r="B7892" s="200"/>
      <c r="C7892" s="31"/>
      <c r="D7892" s="75"/>
      <c r="E7892" s="772"/>
      <c r="F7892" s="772"/>
      <c r="G7892" s="33"/>
      <c r="H7892" s="31"/>
    </row>
    <row r="7893" spans="2:8" hidden="1">
      <c r="B7893" s="200"/>
      <c r="C7893" s="31"/>
      <c r="D7893" s="75"/>
      <c r="E7893" s="771"/>
      <c r="F7893" s="772"/>
      <c r="G7893" s="33"/>
      <c r="H7893" s="31"/>
    </row>
    <row r="7894" spans="2:8" hidden="1">
      <c r="B7894" s="200"/>
      <c r="C7894" s="31"/>
      <c r="D7894" s="75"/>
      <c r="E7894" s="771"/>
      <c r="F7894" s="771"/>
      <c r="G7894" s="31"/>
      <c r="H7894" s="31"/>
    </row>
    <row r="7895" spans="2:8" hidden="1">
      <c r="B7895" s="200"/>
      <c r="C7895" s="31"/>
      <c r="D7895" s="75"/>
      <c r="E7895" s="771"/>
      <c r="F7895" s="771"/>
      <c r="G7895" s="31"/>
      <c r="H7895" s="31"/>
    </row>
    <row r="7896" spans="2:8" hidden="1">
      <c r="B7896" s="200"/>
      <c r="C7896" s="31"/>
      <c r="D7896" s="75"/>
      <c r="E7896" s="772"/>
      <c r="F7896" s="772"/>
      <c r="G7896" s="33"/>
      <c r="H7896" s="31"/>
    </row>
    <row r="7897" spans="2:8" hidden="1">
      <c r="B7897" s="200"/>
      <c r="C7897" s="31"/>
      <c r="D7897" s="75"/>
      <c r="E7897" s="771"/>
      <c r="F7897" s="772"/>
      <c r="G7897" s="33"/>
      <c r="H7897" s="31"/>
    </row>
    <row r="7898" spans="2:8" hidden="1">
      <c r="B7898" s="200"/>
      <c r="C7898" s="31"/>
      <c r="D7898" s="75"/>
      <c r="E7898" s="771"/>
      <c r="F7898" s="771"/>
      <c r="G7898" s="31"/>
      <c r="H7898" s="31"/>
    </row>
    <row r="7899" spans="2:8" hidden="1">
      <c r="B7899" s="200"/>
      <c r="C7899" s="31"/>
      <c r="D7899" s="75"/>
      <c r="E7899" s="771"/>
      <c r="F7899" s="771"/>
      <c r="G7899" s="31"/>
      <c r="H7899" s="31"/>
    </row>
    <row r="7900" spans="2:8" hidden="1">
      <c r="B7900" s="200"/>
      <c r="C7900" s="31"/>
      <c r="D7900" s="75"/>
      <c r="E7900" s="771"/>
      <c r="F7900" s="771"/>
      <c r="G7900" s="31"/>
      <c r="H7900" s="31"/>
    </row>
    <row r="7901" spans="2:8" hidden="1">
      <c r="B7901" s="200"/>
      <c r="C7901" s="31"/>
      <c r="D7901" s="75"/>
      <c r="E7901" s="771"/>
      <c r="F7901" s="771"/>
      <c r="G7901" s="31"/>
      <c r="H7901" s="31"/>
    </row>
    <row r="7902" spans="2:8" hidden="1">
      <c r="B7902" s="200"/>
      <c r="C7902" s="31"/>
      <c r="D7902" s="75"/>
      <c r="E7902" s="771"/>
      <c r="F7902" s="771"/>
      <c r="G7902" s="31"/>
      <c r="H7902" s="31"/>
    </row>
    <row r="7903" spans="2:8" hidden="1">
      <c r="B7903" s="200"/>
      <c r="C7903" s="31"/>
      <c r="D7903" s="75"/>
      <c r="E7903" s="771"/>
      <c r="F7903" s="771"/>
      <c r="G7903" s="31"/>
      <c r="H7903" s="31"/>
    </row>
    <row r="7904" spans="2:8" hidden="1">
      <c r="B7904" s="200"/>
      <c r="C7904" s="31"/>
      <c r="D7904" s="75"/>
      <c r="E7904" s="771"/>
      <c r="F7904" s="771"/>
      <c r="G7904" s="31"/>
      <c r="H7904" s="31"/>
    </row>
    <row r="7905" spans="2:8" hidden="1">
      <c r="B7905" s="200"/>
      <c r="C7905" s="31"/>
      <c r="D7905" s="75"/>
      <c r="E7905" s="771"/>
      <c r="F7905" s="771"/>
      <c r="G7905" s="31"/>
      <c r="H7905" s="31"/>
    </row>
    <row r="7906" spans="2:8" hidden="1">
      <c r="B7906" s="200"/>
      <c r="C7906" s="31"/>
      <c r="D7906" s="75"/>
      <c r="E7906" s="771"/>
      <c r="F7906" s="771"/>
      <c r="G7906" s="31"/>
      <c r="H7906" s="31"/>
    </row>
    <row r="7907" spans="2:8" hidden="1">
      <c r="B7907" s="200"/>
      <c r="C7907" s="31"/>
      <c r="D7907" s="75"/>
      <c r="E7907" s="771"/>
      <c r="F7907" s="771"/>
      <c r="G7907" s="31"/>
      <c r="H7907" s="31"/>
    </row>
    <row r="7908" spans="2:8" hidden="1">
      <c r="B7908" s="200"/>
      <c r="C7908" s="31"/>
      <c r="D7908" s="75"/>
      <c r="E7908" s="771"/>
      <c r="F7908" s="771"/>
      <c r="G7908" s="31"/>
      <c r="H7908" s="31"/>
    </row>
    <row r="7909" spans="2:8" hidden="1">
      <c r="B7909" s="200"/>
      <c r="C7909" s="31"/>
      <c r="D7909" s="75"/>
      <c r="E7909" s="771"/>
      <c r="F7909" s="771"/>
      <c r="G7909" s="31"/>
      <c r="H7909" s="31"/>
    </row>
    <row r="7910" spans="2:8" hidden="1">
      <c r="B7910" s="200"/>
      <c r="C7910" s="31"/>
      <c r="D7910" s="75"/>
      <c r="E7910" s="771"/>
      <c r="F7910" s="771"/>
      <c r="G7910" s="31"/>
      <c r="H7910" s="31"/>
    </row>
    <row r="7911" spans="2:8" hidden="1">
      <c r="B7911" s="200"/>
      <c r="C7911" s="31"/>
      <c r="D7911" s="75"/>
      <c r="E7911" s="771"/>
      <c r="F7911" s="771"/>
      <c r="G7911" s="31"/>
      <c r="H7911" s="31"/>
    </row>
    <row r="7912" spans="2:8" hidden="1">
      <c r="B7912" s="200"/>
      <c r="C7912" s="31"/>
      <c r="D7912" s="75"/>
      <c r="E7912" s="771"/>
      <c r="F7912" s="771"/>
      <c r="G7912" s="31"/>
      <c r="H7912" s="31"/>
    </row>
    <row r="7913" spans="2:8" hidden="1">
      <c r="B7913" s="200"/>
      <c r="C7913" s="31"/>
      <c r="D7913" s="75"/>
      <c r="E7913" s="771"/>
      <c r="F7913" s="771"/>
      <c r="G7913" s="31"/>
      <c r="H7913" s="31"/>
    </row>
    <row r="7914" spans="2:8" hidden="1">
      <c r="B7914" s="200"/>
      <c r="C7914" s="31"/>
      <c r="D7914" s="75"/>
      <c r="E7914" s="771"/>
      <c r="F7914" s="771"/>
      <c r="G7914" s="31"/>
      <c r="H7914" s="31"/>
    </row>
    <row r="7915" spans="2:8" hidden="1">
      <c r="B7915" s="200"/>
      <c r="C7915" s="31"/>
      <c r="D7915" s="75"/>
      <c r="E7915" s="771"/>
      <c r="F7915" s="771"/>
      <c r="G7915" s="31"/>
      <c r="H7915" s="31"/>
    </row>
    <row r="7916" spans="2:8" hidden="1">
      <c r="B7916" s="200"/>
      <c r="C7916" s="31"/>
      <c r="D7916" s="75"/>
      <c r="E7916" s="771"/>
      <c r="F7916" s="771"/>
      <c r="G7916" s="31"/>
      <c r="H7916" s="31"/>
    </row>
    <row r="7917" spans="2:8" hidden="1">
      <c r="B7917" s="200"/>
      <c r="C7917" s="31"/>
      <c r="D7917" s="75"/>
      <c r="E7917" s="771"/>
      <c r="F7917" s="771"/>
      <c r="G7917" s="31"/>
      <c r="H7917" s="31"/>
    </row>
    <row r="7918" spans="2:8" hidden="1">
      <c r="B7918" s="200"/>
      <c r="C7918" s="31"/>
      <c r="D7918" s="75"/>
      <c r="E7918" s="771"/>
      <c r="F7918" s="771"/>
      <c r="G7918" s="31"/>
      <c r="H7918" s="31"/>
    </row>
    <row r="7919" spans="2:8" hidden="1">
      <c r="B7919" s="200"/>
      <c r="C7919" s="31"/>
      <c r="D7919" s="75"/>
      <c r="E7919" s="771"/>
      <c r="F7919" s="771"/>
      <c r="G7919" s="31"/>
      <c r="H7919" s="31"/>
    </row>
    <row r="7920" spans="2:8" hidden="1">
      <c r="B7920" s="200"/>
      <c r="C7920" s="31"/>
      <c r="D7920" s="75"/>
      <c r="E7920" s="771"/>
      <c r="F7920" s="771"/>
      <c r="G7920" s="31"/>
      <c r="H7920" s="31"/>
    </row>
    <row r="7921" spans="2:8" hidden="1">
      <c r="B7921" s="200"/>
      <c r="C7921" s="31"/>
      <c r="D7921" s="75"/>
      <c r="E7921" s="771"/>
      <c r="F7921" s="771"/>
      <c r="G7921" s="31"/>
      <c r="H7921" s="31"/>
    </row>
    <row r="7922" spans="2:8" hidden="1">
      <c r="B7922" s="200"/>
      <c r="C7922" s="31"/>
      <c r="D7922" s="75"/>
      <c r="E7922" s="771"/>
      <c r="F7922" s="771"/>
      <c r="G7922" s="31"/>
      <c r="H7922" s="31"/>
    </row>
    <row r="7923" spans="2:8" hidden="1">
      <c r="B7923" s="200"/>
      <c r="C7923" s="31"/>
      <c r="D7923" s="75"/>
      <c r="E7923" s="771"/>
      <c r="F7923" s="771"/>
      <c r="G7923" s="31"/>
      <c r="H7923" s="31"/>
    </row>
    <row r="7924" spans="2:8" hidden="1">
      <c r="B7924" s="200"/>
      <c r="C7924" s="31"/>
      <c r="D7924" s="75"/>
      <c r="E7924" s="771"/>
      <c r="F7924" s="771"/>
      <c r="G7924" s="31"/>
      <c r="H7924" s="31"/>
    </row>
    <row r="7925" spans="2:8" hidden="1">
      <c r="B7925" s="200"/>
      <c r="C7925" s="31"/>
      <c r="D7925" s="75"/>
      <c r="E7925" s="771"/>
      <c r="F7925" s="771"/>
      <c r="G7925" s="31"/>
      <c r="H7925" s="31"/>
    </row>
    <row r="7926" spans="2:8" hidden="1">
      <c r="B7926" s="200"/>
      <c r="C7926" s="31"/>
      <c r="D7926" s="75"/>
      <c r="E7926" s="771"/>
      <c r="F7926" s="771"/>
      <c r="G7926" s="31"/>
      <c r="H7926" s="31"/>
    </row>
    <row r="7927" spans="2:8" hidden="1">
      <c r="B7927" s="200"/>
      <c r="C7927" s="31"/>
      <c r="D7927" s="75"/>
      <c r="E7927" s="772"/>
      <c r="F7927" s="772"/>
      <c r="G7927" s="33"/>
      <c r="H7927" s="31"/>
    </row>
    <row r="7928" spans="2:8" hidden="1">
      <c r="B7928" s="200"/>
      <c r="C7928" s="31"/>
      <c r="D7928" s="75"/>
      <c r="E7928" s="771"/>
      <c r="F7928" s="771"/>
      <c r="G7928" s="31"/>
      <c r="H7928" s="31"/>
    </row>
    <row r="7929" spans="2:8" hidden="1">
      <c r="B7929" s="200"/>
      <c r="C7929" s="31"/>
      <c r="D7929" s="75"/>
      <c r="E7929" s="771"/>
      <c r="F7929" s="771"/>
      <c r="G7929" s="31"/>
      <c r="H7929" s="31"/>
    </row>
    <row r="7930" spans="2:8" hidden="1">
      <c r="B7930" s="200"/>
      <c r="C7930" s="31"/>
      <c r="D7930" s="75"/>
      <c r="E7930" s="771"/>
      <c r="F7930" s="771"/>
      <c r="G7930" s="31"/>
      <c r="H7930" s="31"/>
    </row>
    <row r="7931" spans="2:8" hidden="1">
      <c r="B7931" s="33"/>
      <c r="C7931" s="200"/>
      <c r="D7931" s="75"/>
      <c r="E7931" s="771"/>
      <c r="F7931" s="771"/>
      <c r="G7931" s="31"/>
      <c r="H7931" s="31"/>
    </row>
    <row r="7932" spans="2:8" hidden="1">
      <c r="B7932" s="33"/>
      <c r="C7932" s="31"/>
      <c r="D7932" s="104"/>
      <c r="E7932" s="772"/>
      <c r="F7932" s="772"/>
      <c r="G7932" s="33"/>
      <c r="H7932" s="31"/>
    </row>
    <row r="7933" spans="2:8" hidden="1">
      <c r="B7933" s="33"/>
      <c r="C7933" s="31"/>
      <c r="D7933" s="31"/>
      <c r="E7933" s="31"/>
      <c r="F7933" s="31"/>
      <c r="G7933" s="31"/>
      <c r="H7933" s="31"/>
    </row>
    <row r="7934" spans="2:8" hidden="1">
      <c r="B7934" s="405"/>
      <c r="C7934" s="31"/>
      <c r="D7934" s="31"/>
      <c r="E7934" s="31"/>
      <c r="F7934" s="31"/>
      <c r="G7934" s="31"/>
      <c r="H7934" s="31"/>
    </row>
    <row r="7935" spans="2:8" hidden="1">
      <c r="B7935" s="405"/>
      <c r="C7935" s="31"/>
      <c r="D7935" s="31"/>
      <c r="E7935" s="31"/>
      <c r="F7935" s="691"/>
      <c r="G7935" s="75"/>
      <c r="H7935" s="31"/>
    </row>
    <row r="7936" spans="2:8" hidden="1">
      <c r="B7936" s="405"/>
      <c r="C7936" s="31"/>
      <c r="D7936" s="31"/>
      <c r="E7936" s="31"/>
      <c r="F7936" s="691"/>
      <c r="G7936" s="75"/>
      <c r="H7936" s="31"/>
    </row>
    <row r="7937" spans="2:8" hidden="1">
      <c r="B7937" s="405"/>
      <c r="C7937" s="31"/>
      <c r="D7937" s="31"/>
      <c r="E7937" s="31"/>
      <c r="F7937" s="691"/>
      <c r="G7937" s="75"/>
      <c r="H7937" s="31"/>
    </row>
    <row r="7938" spans="2:8" hidden="1">
      <c r="B7938" s="405"/>
      <c r="C7938" s="31"/>
      <c r="D7938" s="31"/>
      <c r="E7938" s="31"/>
      <c r="F7938" s="691"/>
      <c r="G7938" s="75"/>
      <c r="H7938" s="31"/>
    </row>
    <row r="7939" spans="2:8" hidden="1">
      <c r="B7939" s="405"/>
      <c r="C7939" s="31"/>
      <c r="D7939" s="31"/>
      <c r="E7939" s="31"/>
      <c r="F7939" s="691"/>
      <c r="G7939" s="75"/>
      <c r="H7939" s="31"/>
    </row>
    <row r="7940" spans="2:8" hidden="1">
      <c r="B7940" s="405"/>
      <c r="C7940" s="31"/>
      <c r="D7940" s="31"/>
      <c r="E7940" s="31"/>
      <c r="F7940" s="691"/>
      <c r="G7940" s="75"/>
      <c r="H7940" s="31"/>
    </row>
    <row r="7941" spans="2:8" hidden="1">
      <c r="B7941" s="405"/>
      <c r="C7941" s="31"/>
      <c r="D7941" s="31"/>
      <c r="E7941" s="31"/>
      <c r="F7941" s="691"/>
      <c r="G7941" s="31"/>
      <c r="H7941" s="31"/>
    </row>
    <row r="7942" spans="2:8" hidden="1">
      <c r="B7942" s="33"/>
      <c r="C7942" s="31"/>
      <c r="D7942" s="31"/>
      <c r="E7942" s="31"/>
      <c r="F7942" s="691"/>
      <c r="G7942" s="75"/>
      <c r="H7942" s="31"/>
    </row>
    <row r="7943" spans="2:8" hidden="1">
      <c r="B7943" s="33"/>
      <c r="C7943" s="31"/>
      <c r="D7943" s="31"/>
      <c r="E7943" s="31"/>
      <c r="F7943" s="691"/>
      <c r="G7943" s="75"/>
      <c r="H7943" s="31"/>
    </row>
    <row r="7944" spans="2:8" hidden="1">
      <c r="B7944" s="33"/>
      <c r="C7944" s="31"/>
      <c r="D7944" s="31"/>
      <c r="E7944" s="31"/>
      <c r="F7944" s="691"/>
      <c r="G7944" s="31"/>
      <c r="H7944" s="31"/>
    </row>
    <row r="7945" spans="2:8" hidden="1">
      <c r="B7945" s="33"/>
      <c r="C7945" s="31"/>
      <c r="D7945" s="31"/>
      <c r="E7945" s="31"/>
      <c r="F7945" s="691"/>
      <c r="G7945" s="31"/>
      <c r="H7945" s="31"/>
    </row>
    <row r="7946" spans="2:8" hidden="1">
      <c r="B7946" s="33"/>
      <c r="C7946" s="31"/>
      <c r="D7946" s="31"/>
      <c r="E7946" s="31"/>
      <c r="F7946" s="31"/>
      <c r="G7946" s="31"/>
      <c r="H7946" s="31"/>
    </row>
    <row r="7947" spans="2:8" hidden="1">
      <c r="B7947" s="33"/>
      <c r="C7947" s="31"/>
      <c r="D7947" s="31"/>
      <c r="E7947" s="31"/>
      <c r="F7947" s="31"/>
      <c r="G7947" s="31"/>
      <c r="H7947" s="31"/>
    </row>
    <row r="7948" spans="2:8" hidden="1">
      <c r="B7948" s="33"/>
      <c r="C7948" s="31"/>
      <c r="D7948" s="31"/>
      <c r="E7948" s="31"/>
      <c r="F7948" s="31"/>
      <c r="G7948" s="31"/>
      <c r="H7948" s="31"/>
    </row>
    <row r="7949" spans="2:8" hidden="1">
      <c r="B7949" s="33"/>
      <c r="C7949" s="31"/>
      <c r="D7949" s="31"/>
      <c r="E7949" s="31"/>
      <c r="F7949" s="31"/>
      <c r="G7949" s="31"/>
      <c r="H7949" s="31"/>
    </row>
    <row r="7950" spans="2:8" hidden="1">
      <c r="B7950" s="33"/>
      <c r="C7950" s="31"/>
      <c r="D7950" s="31"/>
      <c r="E7950" s="31"/>
      <c r="F7950" s="31"/>
      <c r="G7950" s="31"/>
      <c r="H7950" s="31"/>
    </row>
    <row r="7951" spans="2:8" hidden="1">
      <c r="B7951" s="33"/>
      <c r="C7951" s="31"/>
      <c r="D7951" s="31"/>
      <c r="E7951" s="31"/>
      <c r="F7951" s="31"/>
      <c r="G7951" s="31"/>
      <c r="H7951" s="31"/>
    </row>
    <row r="7952" spans="2:8" hidden="1">
      <c r="B7952" s="33"/>
      <c r="C7952" s="31"/>
      <c r="D7952" s="31"/>
      <c r="E7952" s="31"/>
      <c r="F7952" s="31"/>
      <c r="G7952" s="31"/>
      <c r="H7952" s="31"/>
    </row>
    <row r="7953" spans="2:8" hidden="1">
      <c r="B7953" s="33"/>
      <c r="C7953" s="31"/>
      <c r="D7953" s="31"/>
      <c r="E7953" s="31"/>
      <c r="F7953" s="31"/>
      <c r="G7953" s="31"/>
      <c r="H7953" s="31"/>
    </row>
    <row r="7954" spans="2:8" hidden="1">
      <c r="B7954" s="33"/>
      <c r="C7954" s="31"/>
      <c r="D7954" s="31"/>
      <c r="E7954" s="31"/>
      <c r="F7954" s="31"/>
      <c r="G7954" s="31"/>
      <c r="H7954" s="31"/>
    </row>
    <row r="7955" spans="2:8" hidden="1">
      <c r="B7955" s="33"/>
      <c r="C7955" s="31"/>
      <c r="D7955" s="33"/>
      <c r="E7955" s="31"/>
      <c r="F7955" s="33"/>
      <c r="G7955" s="33"/>
      <c r="H7955" s="31"/>
    </row>
    <row r="7956" spans="2:8" hidden="1">
      <c r="B7956" s="33"/>
      <c r="C7956" s="31"/>
      <c r="D7956" s="33"/>
      <c r="E7956" s="33"/>
      <c r="F7956" s="33"/>
      <c r="G7956" s="33"/>
      <c r="H7956" s="31"/>
    </row>
    <row r="7957" spans="2:8" hidden="1">
      <c r="B7957" s="33"/>
      <c r="C7957" s="31"/>
      <c r="D7957" s="31"/>
      <c r="E7957" s="31"/>
      <c r="F7957" s="31"/>
      <c r="G7957" s="31"/>
      <c r="H7957" s="31"/>
    </row>
    <row r="7958" spans="2:8" hidden="1">
      <c r="B7958" s="200"/>
      <c r="C7958" s="31"/>
      <c r="D7958" s="75"/>
      <c r="E7958" s="771"/>
      <c r="F7958" s="771"/>
      <c r="G7958" s="31"/>
      <c r="H7958" s="31"/>
    </row>
    <row r="7959" spans="2:8" hidden="1">
      <c r="B7959" s="200"/>
      <c r="C7959" s="31"/>
      <c r="D7959" s="75"/>
      <c r="E7959" s="771"/>
      <c r="F7959" s="771"/>
      <c r="G7959" s="31"/>
      <c r="H7959" s="31"/>
    </row>
    <row r="7960" spans="2:8" hidden="1">
      <c r="B7960" s="200"/>
      <c r="C7960" s="31"/>
      <c r="D7960" s="75"/>
      <c r="E7960" s="771"/>
      <c r="F7960" s="771"/>
      <c r="G7960" s="31"/>
      <c r="H7960" s="31"/>
    </row>
    <row r="7961" spans="2:8" hidden="1">
      <c r="B7961" s="200"/>
      <c r="C7961" s="31"/>
      <c r="D7961" s="75"/>
      <c r="E7961" s="771"/>
      <c r="F7961" s="771"/>
      <c r="G7961" s="31"/>
      <c r="H7961" s="31"/>
    </row>
    <row r="7962" spans="2:8" hidden="1">
      <c r="B7962" s="200"/>
      <c r="C7962" s="31"/>
      <c r="D7962" s="75"/>
      <c r="E7962" s="771"/>
      <c r="F7962" s="771"/>
      <c r="G7962" s="31"/>
      <c r="H7962" s="31"/>
    </row>
    <row r="7963" spans="2:8" hidden="1">
      <c r="B7963" s="200"/>
      <c r="C7963" s="31"/>
      <c r="D7963" s="75"/>
      <c r="E7963" s="771"/>
      <c r="F7963" s="771"/>
      <c r="G7963" s="31"/>
      <c r="H7963" s="31"/>
    </row>
    <row r="7964" spans="2:8" hidden="1">
      <c r="B7964" s="200"/>
      <c r="C7964" s="31"/>
      <c r="D7964" s="75"/>
      <c r="E7964" s="771"/>
      <c r="F7964" s="771"/>
      <c r="G7964" s="31"/>
      <c r="H7964" s="31"/>
    </row>
    <row r="7965" spans="2:8" hidden="1">
      <c r="B7965" s="200"/>
      <c r="C7965" s="31"/>
      <c r="D7965" s="75"/>
      <c r="E7965" s="771"/>
      <c r="F7965" s="771"/>
      <c r="G7965" s="31"/>
      <c r="H7965" s="31"/>
    </row>
    <row r="7966" spans="2:8" hidden="1">
      <c r="B7966" s="200"/>
      <c r="C7966" s="31"/>
      <c r="D7966" s="75"/>
      <c r="E7966" s="771"/>
      <c r="F7966" s="771"/>
      <c r="G7966" s="31"/>
      <c r="H7966" s="31"/>
    </row>
    <row r="7967" spans="2:8" hidden="1">
      <c r="B7967" s="200"/>
      <c r="C7967" s="31"/>
      <c r="D7967" s="75"/>
      <c r="E7967" s="771"/>
      <c r="F7967" s="771"/>
      <c r="G7967" s="31"/>
      <c r="H7967" s="31"/>
    </row>
    <row r="7968" spans="2:8" hidden="1">
      <c r="B7968" s="200"/>
      <c r="C7968" s="31"/>
      <c r="D7968" s="75"/>
      <c r="E7968" s="771"/>
      <c r="F7968" s="771"/>
      <c r="G7968" s="31"/>
      <c r="H7968" s="31"/>
    </row>
    <row r="7969" spans="2:8" hidden="1">
      <c r="B7969" s="200"/>
      <c r="C7969" s="31"/>
      <c r="D7969" s="75"/>
      <c r="E7969" s="771"/>
      <c r="F7969" s="771"/>
      <c r="G7969" s="31"/>
      <c r="H7969" s="31"/>
    </row>
    <row r="7970" spans="2:8" hidden="1">
      <c r="B7970" s="200"/>
      <c r="C7970" s="31"/>
      <c r="D7970" s="75"/>
      <c r="E7970" s="771"/>
      <c r="F7970" s="771"/>
      <c r="G7970" s="31"/>
      <c r="H7970" s="31"/>
    </row>
    <row r="7971" spans="2:8" hidden="1">
      <c r="B7971" s="200"/>
      <c r="C7971" s="31"/>
      <c r="D7971" s="75"/>
      <c r="E7971" s="771"/>
      <c r="F7971" s="771"/>
      <c r="G7971" s="31"/>
      <c r="H7971" s="31"/>
    </row>
    <row r="7972" spans="2:8" hidden="1">
      <c r="B7972" s="200"/>
      <c r="C7972" s="31"/>
      <c r="D7972" s="75"/>
      <c r="E7972" s="771"/>
      <c r="F7972" s="771"/>
      <c r="G7972" s="31"/>
      <c r="H7972" s="31"/>
    </row>
    <row r="7973" spans="2:8" hidden="1">
      <c r="B7973" s="200"/>
      <c r="C7973" s="31"/>
      <c r="D7973" s="75"/>
      <c r="E7973" s="771"/>
      <c r="F7973" s="771"/>
      <c r="G7973" s="31"/>
      <c r="H7973" s="31"/>
    </row>
    <row r="7974" spans="2:8" hidden="1">
      <c r="B7974" s="33"/>
      <c r="C7974" s="200"/>
      <c r="D7974" s="75"/>
      <c r="E7974" s="771"/>
      <c r="F7974" s="771"/>
      <c r="G7974" s="31"/>
      <c r="H7974" s="31"/>
    </row>
    <row r="7975" spans="2:8" hidden="1">
      <c r="B7975" s="33"/>
      <c r="C7975" s="31"/>
      <c r="D7975" s="104"/>
      <c r="E7975" s="772"/>
      <c r="F7975" s="772"/>
      <c r="G7975" s="33"/>
      <c r="H7975" s="31"/>
    </row>
    <row r="7976" spans="2:8" hidden="1">
      <c r="B7976" s="33"/>
      <c r="C7976" s="31"/>
      <c r="D7976" s="31"/>
      <c r="E7976" s="31"/>
      <c r="F7976" s="31"/>
      <c r="G7976" s="31"/>
      <c r="H7976" s="31"/>
    </row>
    <row r="7977" spans="2:8" hidden="1">
      <c r="B7977" s="405"/>
      <c r="C7977" s="31"/>
      <c r="D7977" s="31"/>
      <c r="E7977" s="31"/>
      <c r="F7977" s="31"/>
      <c r="G7977" s="31"/>
      <c r="H7977" s="31"/>
    </row>
    <row r="7978" spans="2:8" hidden="1">
      <c r="B7978" s="405"/>
      <c r="C7978" s="31"/>
      <c r="D7978" s="31"/>
      <c r="E7978" s="31"/>
      <c r="F7978" s="691"/>
      <c r="G7978" s="75"/>
      <c r="H7978" s="31"/>
    </row>
    <row r="7979" spans="2:8" hidden="1">
      <c r="B7979" s="405"/>
      <c r="C7979" s="31"/>
      <c r="D7979" s="31"/>
      <c r="E7979" s="31"/>
      <c r="F7979" s="691"/>
      <c r="G7979" s="31"/>
      <c r="H7979" s="31"/>
    </row>
    <row r="7980" spans="2:8" hidden="1">
      <c r="B7980" s="33"/>
      <c r="C7980" s="31"/>
      <c r="D7980" s="31"/>
      <c r="E7980" s="31"/>
      <c r="F7980" s="691"/>
      <c r="G7980" s="75"/>
      <c r="H7980" s="31"/>
    </row>
    <row r="7981" spans="2:8" hidden="1">
      <c r="B7981" s="33"/>
      <c r="C7981" s="31"/>
      <c r="D7981" s="31"/>
      <c r="E7981" s="31"/>
      <c r="F7981" s="691"/>
      <c r="G7981" s="75"/>
      <c r="H7981" s="31"/>
    </row>
    <row r="7982" spans="2:8" hidden="1">
      <c r="B7982" s="33"/>
      <c r="C7982" s="31"/>
      <c r="D7982" s="31"/>
      <c r="E7982" s="31"/>
      <c r="F7982" s="691"/>
      <c r="G7982" s="31"/>
      <c r="H7982" s="31"/>
    </row>
    <row r="7983" spans="2:8" hidden="1">
      <c r="B7983" s="33"/>
      <c r="C7983" s="31"/>
      <c r="D7983" s="31"/>
      <c r="E7983" s="31"/>
      <c r="F7983" s="31"/>
      <c r="G7983" s="31"/>
      <c r="H7983" s="31"/>
    </row>
    <row r="7984" spans="2:8" hidden="1">
      <c r="B7984" s="33"/>
      <c r="C7984" s="31"/>
      <c r="D7984" s="31"/>
      <c r="E7984" s="31"/>
      <c r="F7984" s="31"/>
      <c r="G7984" s="31"/>
      <c r="H7984" s="31"/>
    </row>
    <row r="7985" spans="2:8" hidden="1">
      <c r="B7985" s="33"/>
      <c r="C7985" s="31"/>
      <c r="D7985" s="31"/>
      <c r="E7985" s="31"/>
      <c r="F7985" s="31"/>
      <c r="G7985" s="31"/>
      <c r="H7985" s="31"/>
    </row>
    <row r="7986" spans="2:8" hidden="1">
      <c r="B7986" s="33"/>
      <c r="C7986" s="31"/>
      <c r="D7986" s="31"/>
      <c r="E7986" s="31"/>
      <c r="F7986" s="31"/>
      <c r="G7986" s="31"/>
      <c r="H7986" s="31"/>
    </row>
    <row r="7987" spans="2:8" hidden="1">
      <c r="B7987" s="33"/>
      <c r="C7987" s="31"/>
      <c r="D7987" s="31"/>
      <c r="E7987" s="31"/>
      <c r="F7987" s="31"/>
      <c r="G7987" s="31"/>
      <c r="H7987" s="31"/>
    </row>
    <row r="7988" spans="2:8" hidden="1">
      <c r="B7988" s="33"/>
      <c r="C7988" s="31"/>
      <c r="D7988" s="31"/>
      <c r="E7988" s="31"/>
      <c r="F7988" s="31"/>
      <c r="G7988" s="31"/>
      <c r="H7988" s="31"/>
    </row>
    <row r="7989" spans="2:8" hidden="1">
      <c r="B7989" s="33"/>
      <c r="C7989" s="31"/>
      <c r="D7989" s="31"/>
      <c r="E7989" s="31"/>
      <c r="F7989" s="31"/>
      <c r="G7989" s="31"/>
      <c r="H7989" s="31"/>
    </row>
    <row r="7990" spans="2:8" hidden="1">
      <c r="B7990" s="33"/>
      <c r="C7990" s="31"/>
      <c r="D7990" s="31"/>
      <c r="E7990" s="31"/>
      <c r="F7990" s="31"/>
      <c r="G7990" s="31"/>
      <c r="H7990" s="31"/>
    </row>
    <row r="7991" spans="2:8" hidden="1">
      <c r="B7991" s="33"/>
      <c r="C7991" s="31"/>
      <c r="D7991" s="33"/>
      <c r="E7991" s="31"/>
      <c r="F7991" s="33"/>
      <c r="G7991" s="33"/>
      <c r="H7991" s="31"/>
    </row>
    <row r="7992" spans="2:8" hidden="1">
      <c r="B7992" s="33"/>
      <c r="C7992" s="31"/>
      <c r="D7992" s="33"/>
      <c r="E7992" s="33"/>
      <c r="F7992" s="33"/>
      <c r="G7992" s="33"/>
      <c r="H7992" s="31"/>
    </row>
    <row r="7993" spans="2:8" hidden="1">
      <c r="B7993" s="33"/>
      <c r="C7993" s="31"/>
      <c r="D7993" s="31"/>
      <c r="E7993" s="31"/>
      <c r="F7993" s="31"/>
      <c r="G7993" s="31"/>
      <c r="H7993" s="31"/>
    </row>
    <row r="7994" spans="2:8" hidden="1">
      <c r="B7994" s="200"/>
      <c r="C7994" s="31"/>
      <c r="D7994" s="75"/>
      <c r="E7994" s="771"/>
      <c r="F7994" s="33"/>
      <c r="G7994" s="33"/>
      <c r="H7994" s="31"/>
    </row>
    <row r="7995" spans="2:8" hidden="1">
      <c r="B7995" s="200"/>
      <c r="C7995" s="31"/>
      <c r="D7995" s="75"/>
      <c r="E7995" s="771"/>
      <c r="F7995" s="771"/>
      <c r="G7995" s="31"/>
      <c r="H7995" s="31"/>
    </row>
    <row r="7996" spans="2:8" hidden="1">
      <c r="B7996" s="200"/>
      <c r="C7996" s="31"/>
      <c r="D7996" s="75"/>
      <c r="E7996" s="771"/>
      <c r="F7996" s="771"/>
      <c r="G7996" s="31"/>
      <c r="H7996" s="31"/>
    </row>
    <row r="7997" spans="2:8" hidden="1">
      <c r="B7997" s="200"/>
      <c r="C7997" s="31"/>
      <c r="D7997" s="75"/>
      <c r="E7997" s="771"/>
      <c r="F7997" s="771"/>
      <c r="G7997" s="31"/>
      <c r="H7997" s="31"/>
    </row>
    <row r="7998" spans="2:8" hidden="1">
      <c r="B7998" s="200"/>
      <c r="C7998" s="31"/>
      <c r="D7998" s="75"/>
      <c r="E7998" s="771"/>
      <c r="F7998" s="771"/>
      <c r="G7998" s="31"/>
      <c r="H7998" s="31"/>
    </row>
    <row r="7999" spans="2:8" hidden="1">
      <c r="B7999" s="200"/>
      <c r="C7999" s="31"/>
      <c r="D7999" s="75"/>
      <c r="E7999" s="771"/>
      <c r="F7999" s="771"/>
      <c r="G7999" s="31"/>
      <c r="H7999" s="31"/>
    </row>
    <row r="8000" spans="2:8" hidden="1">
      <c r="B8000" s="200"/>
      <c r="C8000" s="31"/>
      <c r="D8000" s="75"/>
      <c r="E8000" s="771"/>
      <c r="F8000" s="771"/>
      <c r="G8000" s="31"/>
      <c r="H8000" s="31"/>
    </row>
    <row r="8001" spans="2:8" hidden="1">
      <c r="B8001" s="200"/>
      <c r="C8001" s="31"/>
      <c r="D8001" s="75"/>
      <c r="E8001" s="771"/>
      <c r="F8001" s="771"/>
      <c r="G8001" s="31"/>
      <c r="H8001" s="31"/>
    </row>
    <row r="8002" spans="2:8" hidden="1">
      <c r="B8002" s="200"/>
      <c r="C8002" s="31"/>
      <c r="D8002" s="75"/>
      <c r="E8002" s="771"/>
      <c r="F8002" s="771"/>
      <c r="G8002" s="31"/>
      <c r="H8002" s="31"/>
    </row>
    <row r="8003" spans="2:8" hidden="1">
      <c r="B8003" s="200"/>
      <c r="C8003" s="31"/>
      <c r="D8003" s="75"/>
      <c r="E8003" s="771"/>
      <c r="F8003" s="771"/>
      <c r="G8003" s="31"/>
      <c r="H8003" s="31"/>
    </row>
    <row r="8004" spans="2:8" hidden="1">
      <c r="B8004" s="200"/>
      <c r="C8004" s="31"/>
      <c r="D8004" s="75"/>
      <c r="E8004" s="771"/>
      <c r="F8004" s="771"/>
      <c r="G8004" s="31"/>
      <c r="H8004" s="31"/>
    </row>
    <row r="8005" spans="2:8" hidden="1">
      <c r="B8005" s="200"/>
      <c r="C8005" s="31"/>
      <c r="D8005" s="75"/>
      <c r="E8005" s="771"/>
      <c r="F8005" s="771"/>
      <c r="G8005" s="31"/>
      <c r="H8005" s="31"/>
    </row>
    <row r="8006" spans="2:8" hidden="1">
      <c r="B8006" s="200"/>
      <c r="C8006" s="31"/>
      <c r="D8006" s="75"/>
      <c r="E8006" s="771"/>
      <c r="F8006" s="771"/>
      <c r="G8006" s="31"/>
      <c r="H8006" s="31"/>
    </row>
    <row r="8007" spans="2:8" hidden="1">
      <c r="B8007" s="200"/>
      <c r="C8007" s="31"/>
      <c r="D8007" s="75"/>
      <c r="E8007" s="771"/>
      <c r="F8007" s="771"/>
      <c r="G8007" s="31"/>
      <c r="H8007" s="31"/>
    </row>
    <row r="8008" spans="2:8" hidden="1">
      <c r="B8008" s="200"/>
      <c r="C8008" s="31"/>
      <c r="D8008" s="75"/>
      <c r="E8008" s="771"/>
      <c r="F8008" s="771"/>
      <c r="G8008" s="31"/>
      <c r="H8008" s="31"/>
    </row>
    <row r="8009" spans="2:8" hidden="1">
      <c r="B8009" s="200"/>
      <c r="C8009" s="31"/>
      <c r="D8009" s="75"/>
      <c r="E8009" s="771"/>
      <c r="F8009" s="771"/>
      <c r="G8009" s="31"/>
      <c r="H8009" s="31"/>
    </row>
    <row r="8010" spans="2:8" hidden="1">
      <c r="B8010" s="200"/>
      <c r="C8010" s="31"/>
      <c r="D8010" s="75"/>
      <c r="E8010" s="771"/>
      <c r="F8010" s="771"/>
      <c r="G8010" s="31"/>
      <c r="H8010" s="31"/>
    </row>
    <row r="8011" spans="2:8" hidden="1">
      <c r="B8011" s="200"/>
      <c r="C8011" s="31"/>
      <c r="D8011" s="75"/>
      <c r="E8011" s="771"/>
      <c r="F8011" s="771"/>
      <c r="G8011" s="31"/>
      <c r="H8011" s="31"/>
    </row>
    <row r="8012" spans="2:8" hidden="1">
      <c r="B8012" s="200"/>
      <c r="C8012" s="31"/>
      <c r="D8012" s="75"/>
      <c r="E8012" s="771"/>
      <c r="F8012" s="771"/>
      <c r="G8012" s="31"/>
      <c r="H8012" s="31"/>
    </row>
    <row r="8013" spans="2:8" hidden="1">
      <c r="B8013" s="200"/>
      <c r="C8013" s="31"/>
      <c r="D8013" s="75"/>
      <c r="E8013" s="771"/>
      <c r="F8013" s="772"/>
      <c r="G8013" s="33"/>
      <c r="H8013" s="31"/>
    </row>
    <row r="8014" spans="2:8" hidden="1">
      <c r="B8014" s="200"/>
      <c r="C8014" s="31"/>
      <c r="D8014" s="75"/>
      <c r="E8014" s="771"/>
      <c r="F8014" s="771"/>
      <c r="G8014" s="31"/>
      <c r="H8014" s="31"/>
    </row>
    <row r="8015" spans="2:8" hidden="1">
      <c r="B8015" s="200"/>
      <c r="C8015" s="31"/>
      <c r="D8015" s="75"/>
      <c r="E8015" s="771"/>
      <c r="F8015" s="772"/>
      <c r="G8015" s="33"/>
      <c r="H8015" s="31"/>
    </row>
    <row r="8016" spans="2:8" hidden="1">
      <c r="B8016" s="200"/>
      <c r="C8016" s="31"/>
      <c r="D8016" s="75"/>
      <c r="E8016" s="771"/>
      <c r="F8016" s="771"/>
      <c r="G8016" s="31"/>
      <c r="H8016" s="31"/>
    </row>
    <row r="8017" spans="2:8" hidden="1">
      <c r="B8017" s="200"/>
      <c r="C8017" s="31"/>
      <c r="D8017" s="75"/>
      <c r="E8017" s="771"/>
      <c r="F8017" s="772"/>
      <c r="G8017" s="33"/>
      <c r="H8017" s="31"/>
    </row>
    <row r="8018" spans="2:8" hidden="1">
      <c r="B8018" s="200"/>
      <c r="C8018" s="31"/>
      <c r="D8018" s="75"/>
      <c r="E8018" s="771"/>
      <c r="F8018" s="772"/>
      <c r="G8018" s="33"/>
      <c r="H8018" s="31"/>
    </row>
    <row r="8019" spans="2:8" hidden="1">
      <c r="B8019" s="200"/>
      <c r="C8019" s="31"/>
      <c r="D8019" s="75"/>
      <c r="E8019" s="771"/>
      <c r="F8019" s="771"/>
      <c r="G8019" s="31"/>
      <c r="H8019" s="31"/>
    </row>
    <row r="8020" spans="2:8" hidden="1">
      <c r="B8020" s="200"/>
      <c r="C8020" s="31"/>
      <c r="D8020" s="75"/>
      <c r="E8020" s="771"/>
      <c r="F8020" s="771"/>
      <c r="G8020" s="31"/>
      <c r="H8020" s="31"/>
    </row>
    <row r="8021" spans="2:8" hidden="1">
      <c r="B8021" s="200"/>
      <c r="C8021" s="31"/>
      <c r="D8021" s="75"/>
      <c r="E8021" s="771"/>
      <c r="F8021" s="771"/>
      <c r="G8021" s="31"/>
      <c r="H8021" s="31"/>
    </row>
    <row r="8022" spans="2:8" hidden="1">
      <c r="B8022" s="200"/>
      <c r="C8022" s="31"/>
      <c r="D8022" s="75"/>
      <c r="E8022" s="771"/>
      <c r="F8022" s="771"/>
      <c r="G8022" s="31"/>
      <c r="H8022" s="31"/>
    </row>
    <row r="8023" spans="2:8" hidden="1">
      <c r="B8023" s="200"/>
      <c r="C8023" s="31"/>
      <c r="D8023" s="75"/>
      <c r="E8023" s="771"/>
      <c r="F8023" s="771"/>
      <c r="G8023" s="31"/>
      <c r="H8023" s="31"/>
    </row>
    <row r="8024" spans="2:8" hidden="1">
      <c r="B8024" s="200"/>
      <c r="C8024" s="31"/>
      <c r="D8024" s="75"/>
      <c r="E8024" s="771"/>
      <c r="F8024" s="771"/>
      <c r="G8024" s="31"/>
      <c r="H8024" s="31"/>
    </row>
    <row r="8025" spans="2:8" hidden="1">
      <c r="B8025" s="200"/>
      <c r="C8025" s="31"/>
      <c r="D8025" s="75"/>
      <c r="E8025" s="772"/>
      <c r="F8025" s="772"/>
      <c r="G8025" s="33"/>
      <c r="H8025" s="31"/>
    </row>
    <row r="8026" spans="2:8" hidden="1">
      <c r="B8026" s="200"/>
      <c r="C8026" s="31"/>
      <c r="D8026" s="75"/>
      <c r="E8026" s="772"/>
      <c r="F8026" s="772"/>
      <c r="G8026" s="33"/>
      <c r="H8026" s="31"/>
    </row>
    <row r="8027" spans="2:8" hidden="1">
      <c r="B8027" s="200"/>
      <c r="C8027" s="31"/>
      <c r="D8027" s="75"/>
      <c r="E8027" s="771"/>
      <c r="F8027" s="771"/>
      <c r="G8027" s="31"/>
      <c r="H8027" s="31"/>
    </row>
    <row r="8028" spans="2:8" hidden="1">
      <c r="B8028" s="200"/>
      <c r="C8028" s="31"/>
      <c r="D8028" s="75"/>
      <c r="E8028" s="772"/>
      <c r="F8028" s="772"/>
      <c r="G8028" s="33"/>
      <c r="H8028" s="31"/>
    </row>
    <row r="8029" spans="2:8" hidden="1">
      <c r="B8029" s="33"/>
      <c r="C8029" s="31"/>
      <c r="D8029" s="31"/>
      <c r="E8029" s="31"/>
      <c r="F8029" s="33"/>
      <c r="G8029" s="33"/>
      <c r="H8029" s="31"/>
    </row>
    <row r="8030" spans="2:8" hidden="1">
      <c r="B8030" s="200"/>
      <c r="C8030" s="31"/>
      <c r="D8030" s="75"/>
      <c r="E8030" s="772"/>
      <c r="F8030" s="772"/>
      <c r="G8030" s="33"/>
      <c r="H8030" s="31"/>
    </row>
    <row r="8031" spans="2:8" hidden="1">
      <c r="B8031" s="200"/>
      <c r="C8031" s="31"/>
      <c r="D8031" s="75"/>
      <c r="E8031" s="772"/>
      <c r="F8031" s="772"/>
      <c r="G8031" s="33"/>
      <c r="H8031" s="31"/>
    </row>
    <row r="8032" spans="2:8" hidden="1">
      <c r="B8032" s="200"/>
      <c r="C8032" s="31"/>
      <c r="D8032" s="75"/>
      <c r="E8032" s="772"/>
      <c r="F8032" s="772"/>
      <c r="G8032" s="33"/>
      <c r="H8032" s="31"/>
    </row>
    <row r="8033" spans="2:8" hidden="1">
      <c r="B8033" s="200"/>
      <c r="C8033" s="31"/>
      <c r="D8033" s="75"/>
      <c r="E8033" s="772"/>
      <c r="F8033" s="772"/>
      <c r="G8033" s="33"/>
      <c r="H8033" s="31"/>
    </row>
    <row r="8034" spans="2:8" hidden="1">
      <c r="B8034" s="200"/>
      <c r="C8034" s="31"/>
      <c r="D8034" s="75"/>
      <c r="E8034" s="772"/>
      <c r="F8034" s="772"/>
      <c r="G8034" s="33"/>
      <c r="H8034" s="31"/>
    </row>
    <row r="8035" spans="2:8" hidden="1">
      <c r="B8035" s="200"/>
      <c r="C8035" s="31"/>
      <c r="D8035" s="75"/>
      <c r="E8035" s="772"/>
      <c r="F8035" s="772"/>
      <c r="G8035" s="33"/>
      <c r="H8035" s="31"/>
    </row>
    <row r="8036" spans="2:8" hidden="1">
      <c r="B8036" s="200"/>
      <c r="C8036" s="31"/>
      <c r="D8036" s="75"/>
      <c r="E8036" s="771"/>
      <c r="F8036" s="772"/>
      <c r="G8036" s="33"/>
      <c r="H8036" s="31"/>
    </row>
    <row r="8037" spans="2:8" hidden="1">
      <c r="B8037" s="200"/>
      <c r="C8037" s="31"/>
      <c r="D8037" s="75"/>
      <c r="E8037" s="772"/>
      <c r="F8037" s="772"/>
      <c r="G8037" s="33"/>
      <c r="H8037" s="31"/>
    </row>
    <row r="8038" spans="2:8" hidden="1">
      <c r="B8038" s="200"/>
      <c r="C8038" s="31"/>
      <c r="D8038" s="75"/>
      <c r="E8038" s="772"/>
      <c r="F8038" s="772"/>
      <c r="G8038" s="33"/>
      <c r="H8038" s="31"/>
    </row>
    <row r="8039" spans="2:8" hidden="1">
      <c r="B8039" s="33"/>
      <c r="C8039" s="31"/>
      <c r="D8039" s="31"/>
      <c r="E8039" s="31"/>
      <c r="F8039" s="33"/>
      <c r="G8039" s="33"/>
      <c r="H8039" s="31"/>
    </row>
    <row r="8040" spans="2:8" hidden="1">
      <c r="B8040" s="200"/>
      <c r="C8040" s="31"/>
      <c r="D8040" s="104"/>
      <c r="E8040" s="772"/>
      <c r="F8040" s="772"/>
      <c r="G8040" s="33"/>
      <c r="H8040" s="31"/>
    </row>
    <row r="8041" spans="2:8" hidden="1">
      <c r="B8041" s="200"/>
      <c r="C8041" s="31"/>
      <c r="D8041" s="104"/>
      <c r="E8041" s="772"/>
      <c r="F8041" s="772"/>
      <c r="G8041" s="33"/>
      <c r="H8041" s="31"/>
    </row>
    <row r="8042" spans="2:8" hidden="1">
      <c r="B8042" s="200"/>
      <c r="C8042" s="31"/>
      <c r="D8042" s="104"/>
      <c r="E8042" s="772"/>
      <c r="F8042" s="772"/>
      <c r="G8042" s="33"/>
      <c r="H8042" s="31"/>
    </row>
    <row r="8043" spans="2:8" hidden="1">
      <c r="B8043" s="200"/>
      <c r="C8043" s="31"/>
      <c r="D8043" s="104"/>
      <c r="E8043" s="772"/>
      <c r="F8043" s="772"/>
      <c r="G8043" s="33"/>
      <c r="H8043" s="31"/>
    </row>
    <row r="8044" spans="2:8" hidden="1">
      <c r="B8044" s="200"/>
      <c r="C8044" s="31"/>
      <c r="D8044" s="75"/>
      <c r="E8044" s="771"/>
      <c r="F8044" s="772"/>
      <c r="G8044" s="33"/>
      <c r="H8044" s="31"/>
    </row>
    <row r="8045" spans="2:8" hidden="1">
      <c r="B8045" s="200"/>
      <c r="C8045" s="31"/>
      <c r="D8045" s="75"/>
      <c r="E8045" s="771"/>
      <c r="F8045" s="772"/>
      <c r="G8045" s="33"/>
      <c r="H8045" s="31"/>
    </row>
    <row r="8046" spans="2:8" hidden="1">
      <c r="B8046" s="200"/>
      <c r="C8046" s="31"/>
      <c r="D8046" s="75"/>
      <c r="E8046" s="771"/>
      <c r="F8046" s="772"/>
      <c r="G8046" s="33"/>
      <c r="H8046" s="31"/>
    </row>
    <row r="8047" spans="2:8" hidden="1">
      <c r="B8047" s="33"/>
      <c r="C8047" s="31"/>
      <c r="D8047" s="75"/>
      <c r="E8047" s="33"/>
      <c r="F8047" s="772"/>
      <c r="G8047" s="33"/>
      <c r="H8047" s="31"/>
    </row>
    <row r="8048" spans="2:8" hidden="1">
      <c r="B8048" s="33"/>
      <c r="C8048" s="31"/>
      <c r="D8048" s="75"/>
      <c r="E8048" s="31"/>
      <c r="F8048" s="33"/>
      <c r="G8048" s="33"/>
      <c r="H8048" s="31"/>
    </row>
    <row r="8049" spans="2:8" hidden="1">
      <c r="B8049" s="33"/>
      <c r="C8049" s="31"/>
      <c r="D8049" s="75"/>
      <c r="E8049" s="33"/>
      <c r="F8049" s="33"/>
      <c r="G8049" s="33"/>
      <c r="H8049" s="31"/>
    </row>
    <row r="8050" spans="2:8" hidden="1">
      <c r="B8050" s="33"/>
      <c r="C8050" s="31"/>
      <c r="D8050" s="75"/>
      <c r="E8050" s="33"/>
      <c r="F8050" s="33"/>
      <c r="G8050" s="33"/>
      <c r="H8050" s="31"/>
    </row>
    <row r="8051" spans="2:8" hidden="1">
      <c r="B8051" s="33"/>
      <c r="C8051" s="200"/>
      <c r="D8051" s="75"/>
      <c r="E8051" s="31"/>
      <c r="F8051" s="31"/>
      <c r="G8051" s="31"/>
      <c r="H8051" s="31"/>
    </row>
    <row r="8052" spans="2:8" hidden="1">
      <c r="B8052" s="33"/>
      <c r="C8052" s="31"/>
      <c r="D8052" s="104"/>
      <c r="E8052" s="33"/>
      <c r="F8052" s="33"/>
      <c r="G8052" s="33"/>
      <c r="H8052" s="31"/>
    </row>
    <row r="8053" spans="2:8" hidden="1">
      <c r="B8053" s="33"/>
      <c r="C8053" s="31"/>
      <c r="D8053" s="31"/>
      <c r="E8053" s="31"/>
      <c r="F8053" s="31"/>
      <c r="G8053" s="31"/>
      <c r="H8053" s="31"/>
    </row>
    <row r="8054" spans="2:8" hidden="1">
      <c r="B8054" s="405"/>
      <c r="C8054" s="31"/>
      <c r="D8054" s="31"/>
      <c r="E8054" s="31"/>
      <c r="F8054" s="31"/>
      <c r="G8054" s="31"/>
      <c r="H8054" s="31"/>
    </row>
    <row r="8055" spans="2:8" hidden="1">
      <c r="B8055" s="405"/>
      <c r="C8055" s="31"/>
      <c r="D8055" s="31"/>
      <c r="E8055" s="31"/>
      <c r="F8055" s="691"/>
      <c r="G8055" s="75"/>
      <c r="H8055" s="31"/>
    </row>
    <row r="8056" spans="2:8" hidden="1">
      <c r="B8056" s="405"/>
      <c r="C8056" s="31"/>
      <c r="D8056" s="31"/>
      <c r="E8056" s="31"/>
      <c r="F8056" s="691"/>
      <c r="G8056" s="75"/>
      <c r="H8056" s="31"/>
    </row>
    <row r="8057" spans="2:8" hidden="1">
      <c r="B8057" s="405"/>
      <c r="C8057" s="31"/>
      <c r="D8057" s="31"/>
      <c r="E8057" s="31"/>
      <c r="F8057" s="691"/>
      <c r="G8057" s="75"/>
      <c r="H8057" s="31"/>
    </row>
    <row r="8058" spans="2:8" hidden="1">
      <c r="B8058" s="405"/>
      <c r="C8058" s="31"/>
      <c r="D8058" s="31"/>
      <c r="E8058" s="31"/>
      <c r="F8058" s="691"/>
      <c r="G8058" s="75"/>
      <c r="H8058" s="31"/>
    </row>
    <row r="8059" spans="2:8" hidden="1">
      <c r="B8059" s="405"/>
      <c r="C8059" s="31"/>
      <c r="D8059" s="31"/>
      <c r="E8059" s="31"/>
      <c r="F8059" s="691"/>
      <c r="G8059" s="75"/>
      <c r="H8059" s="31"/>
    </row>
    <row r="8060" spans="2:8" hidden="1">
      <c r="B8060" s="405"/>
      <c r="C8060" s="31"/>
      <c r="D8060" s="31"/>
      <c r="E8060" s="31"/>
      <c r="F8060" s="691"/>
      <c r="G8060" s="75"/>
      <c r="H8060" s="31"/>
    </row>
    <row r="8061" spans="2:8" hidden="1">
      <c r="B8061" s="405"/>
      <c r="C8061" s="31"/>
      <c r="D8061" s="31"/>
      <c r="E8061" s="31"/>
      <c r="F8061" s="691"/>
      <c r="G8061" s="75"/>
      <c r="H8061" s="31"/>
    </row>
    <row r="8062" spans="2:8" hidden="1">
      <c r="B8062" s="405"/>
      <c r="C8062" s="31"/>
      <c r="D8062" s="31"/>
      <c r="E8062" s="31"/>
      <c r="F8062" s="691"/>
      <c r="G8062" s="75"/>
      <c r="H8062" s="31"/>
    </row>
    <row r="8063" spans="2:8" hidden="1">
      <c r="B8063" s="405"/>
      <c r="C8063" s="31"/>
      <c r="D8063" s="31"/>
      <c r="E8063" s="31"/>
      <c r="F8063" s="691"/>
      <c r="G8063" s="75"/>
      <c r="H8063" s="31"/>
    </row>
    <row r="8064" spans="2:8" hidden="1">
      <c r="B8064" s="405"/>
      <c r="C8064" s="31"/>
      <c r="D8064" s="31"/>
      <c r="E8064" s="31"/>
      <c r="F8064" s="691"/>
      <c r="G8064" s="75"/>
      <c r="H8064" s="31"/>
    </row>
    <row r="8065" spans="2:8" hidden="1">
      <c r="B8065" s="405"/>
      <c r="C8065" s="31"/>
      <c r="D8065" s="31"/>
      <c r="E8065" s="31"/>
      <c r="F8065" s="691"/>
      <c r="G8065" s="75"/>
      <c r="H8065" s="31"/>
    </row>
    <row r="8066" spans="2:8" hidden="1">
      <c r="B8066" s="405"/>
      <c r="C8066" s="31"/>
      <c r="D8066" s="31"/>
      <c r="E8066" s="31"/>
      <c r="F8066" s="691"/>
      <c r="G8066" s="31"/>
      <c r="H8066" s="31"/>
    </row>
    <row r="8067" spans="2:8" hidden="1">
      <c r="B8067" s="405"/>
      <c r="C8067" s="31"/>
      <c r="D8067" s="31"/>
      <c r="E8067" s="31"/>
      <c r="F8067" s="691"/>
      <c r="G8067" s="31"/>
      <c r="H8067" s="31"/>
    </row>
    <row r="8068" spans="2:8" hidden="1">
      <c r="B8068" s="405"/>
      <c r="C8068" s="31"/>
      <c r="D8068" s="31"/>
      <c r="E8068" s="31"/>
      <c r="F8068" s="691"/>
      <c r="G8068" s="75"/>
      <c r="H8068" s="31"/>
    </row>
    <row r="8069" spans="2:8" hidden="1">
      <c r="B8069" s="405"/>
      <c r="C8069" s="31"/>
      <c r="D8069" s="31"/>
      <c r="E8069" s="31"/>
      <c r="F8069" s="691"/>
      <c r="G8069" s="75"/>
      <c r="H8069" s="31"/>
    </row>
    <row r="8070" spans="2:8" hidden="1">
      <c r="B8070" s="405"/>
      <c r="C8070" s="31"/>
      <c r="D8070" s="31"/>
      <c r="E8070" s="31"/>
      <c r="F8070" s="691"/>
      <c r="G8070" s="75"/>
      <c r="H8070" s="31"/>
    </row>
    <row r="8071" spans="2:8" hidden="1">
      <c r="B8071" s="405"/>
      <c r="C8071" s="31"/>
      <c r="D8071" s="31"/>
      <c r="E8071" s="31"/>
      <c r="F8071" s="691"/>
      <c r="G8071" s="75"/>
      <c r="H8071" s="31"/>
    </row>
    <row r="8072" spans="2:8" hidden="1">
      <c r="B8072" s="405"/>
      <c r="C8072" s="31"/>
      <c r="D8072" s="31"/>
      <c r="E8072" s="31"/>
      <c r="F8072" s="691"/>
      <c r="G8072" s="75"/>
      <c r="H8072" s="31"/>
    </row>
    <row r="8073" spans="2:8" hidden="1">
      <c r="B8073" s="405"/>
      <c r="C8073" s="31"/>
      <c r="D8073" s="31"/>
      <c r="E8073" s="31"/>
      <c r="F8073" s="691"/>
      <c r="G8073" s="75"/>
      <c r="H8073" s="31"/>
    </row>
    <row r="8074" spans="2:8" hidden="1">
      <c r="B8074" s="33"/>
      <c r="C8074" s="31"/>
      <c r="D8074" s="31"/>
      <c r="E8074" s="31"/>
      <c r="F8074" s="691"/>
      <c r="G8074" s="75"/>
      <c r="H8074" s="31"/>
    </row>
    <row r="8075" spans="2:8" hidden="1">
      <c r="B8075" s="33"/>
      <c r="C8075" s="31"/>
      <c r="D8075" s="31"/>
      <c r="E8075" s="31"/>
      <c r="F8075" s="691"/>
      <c r="G8075" s="31"/>
      <c r="H8075" s="31"/>
    </row>
    <row r="8076" spans="2:8" hidden="1">
      <c r="B8076" s="33"/>
      <c r="C8076" s="31"/>
      <c r="D8076" s="31"/>
      <c r="E8076" s="31"/>
      <c r="F8076" s="31"/>
      <c r="G8076" s="31"/>
      <c r="H8076" s="31"/>
    </row>
    <row r="8077" spans="2:8" hidden="1">
      <c r="B8077" s="33"/>
      <c r="C8077" s="31"/>
      <c r="D8077" s="31"/>
      <c r="E8077" s="31"/>
      <c r="F8077" s="31"/>
      <c r="G8077" s="31"/>
      <c r="H8077" s="31"/>
    </row>
    <row r="8078" spans="2:8" hidden="1">
      <c r="B8078" s="33"/>
      <c r="C8078" s="31"/>
      <c r="D8078" s="31"/>
      <c r="E8078" s="31"/>
      <c r="F8078" s="31"/>
      <c r="G8078" s="31"/>
      <c r="H8078" s="31"/>
    </row>
    <row r="8079" spans="2:8" hidden="1">
      <c r="B8079" s="33"/>
      <c r="C8079" s="31"/>
      <c r="D8079" s="31"/>
      <c r="E8079" s="31"/>
      <c r="F8079" s="31"/>
      <c r="G8079" s="31"/>
      <c r="H8079" s="31"/>
    </row>
    <row r="8080" spans="2:8" hidden="1">
      <c r="B8080" s="33"/>
      <c r="C8080" s="31"/>
      <c r="D8080" s="31"/>
      <c r="E8080" s="31"/>
      <c r="F8080" s="31"/>
      <c r="G8080" s="31"/>
      <c r="H8080" s="31"/>
    </row>
    <row r="8081" spans="2:8" hidden="1">
      <c r="B8081" s="33"/>
      <c r="C8081" s="31"/>
      <c r="D8081" s="31"/>
      <c r="E8081" s="31"/>
      <c r="F8081" s="31"/>
      <c r="G8081" s="31"/>
      <c r="H8081" s="31"/>
    </row>
    <row r="8082" spans="2:8" hidden="1">
      <c r="B8082" s="33"/>
      <c r="C8082" s="31"/>
      <c r="D8082" s="31"/>
      <c r="E8082" s="31"/>
      <c r="F8082" s="31"/>
      <c r="G8082" s="31"/>
      <c r="H8082" s="31"/>
    </row>
    <row r="8083" spans="2:8" hidden="1">
      <c r="B8083" s="33"/>
      <c r="C8083" s="31"/>
      <c r="D8083" s="31"/>
      <c r="E8083" s="31"/>
      <c r="F8083" s="31"/>
      <c r="G8083" s="31"/>
      <c r="H8083" s="31"/>
    </row>
    <row r="8084" spans="2:8" hidden="1">
      <c r="B8084" s="33"/>
      <c r="C8084" s="31"/>
      <c r="D8084" s="33"/>
      <c r="E8084" s="31"/>
      <c r="F8084" s="33"/>
      <c r="G8084" s="33"/>
      <c r="H8084" s="31"/>
    </row>
    <row r="8085" spans="2:8" hidden="1">
      <c r="B8085" s="33"/>
      <c r="C8085" s="31"/>
      <c r="D8085" s="33"/>
      <c r="E8085" s="33"/>
      <c r="F8085" s="33"/>
      <c r="G8085" s="33"/>
      <c r="H8085" s="31"/>
    </row>
    <row r="8086" spans="2:8" hidden="1">
      <c r="B8086" s="33"/>
      <c r="C8086" s="31"/>
      <c r="D8086" s="31"/>
      <c r="E8086" s="31"/>
      <c r="F8086" s="31"/>
      <c r="G8086" s="31"/>
      <c r="H8086" s="31"/>
    </row>
    <row r="8087" spans="2:8" hidden="1">
      <c r="B8087" s="200"/>
      <c r="C8087" s="31"/>
      <c r="D8087" s="75"/>
      <c r="E8087" s="771"/>
      <c r="F8087" s="33"/>
      <c r="G8087" s="33"/>
      <c r="H8087" s="31"/>
    </row>
    <row r="8088" spans="2:8" hidden="1">
      <c r="B8088" s="200"/>
      <c r="C8088" s="31"/>
      <c r="D8088" s="75"/>
      <c r="E8088" s="771"/>
      <c r="F8088" s="33"/>
      <c r="G8088" s="33"/>
      <c r="H8088" s="31"/>
    </row>
    <row r="8089" spans="2:8" hidden="1">
      <c r="B8089" s="200"/>
      <c r="C8089" s="31"/>
      <c r="D8089" s="75"/>
      <c r="E8089" s="771"/>
      <c r="F8089" s="33"/>
      <c r="G8089" s="33"/>
      <c r="H8089" s="31"/>
    </row>
    <row r="8090" spans="2:8" hidden="1">
      <c r="B8090" s="200"/>
      <c r="C8090" s="31"/>
      <c r="D8090" s="75"/>
      <c r="E8090" s="771"/>
      <c r="F8090" s="33"/>
      <c r="G8090" s="33"/>
      <c r="H8090" s="31"/>
    </row>
    <row r="8091" spans="2:8" hidden="1">
      <c r="B8091" s="200"/>
      <c r="C8091" s="31"/>
      <c r="D8091" s="75"/>
      <c r="E8091" s="771"/>
      <c r="F8091" s="33"/>
      <c r="G8091" s="33"/>
      <c r="H8091" s="31"/>
    </row>
    <row r="8092" spans="2:8" hidden="1">
      <c r="B8092" s="200"/>
      <c r="C8092" s="31"/>
      <c r="D8092" s="75"/>
      <c r="E8092" s="771"/>
      <c r="F8092" s="33"/>
      <c r="G8092" s="33"/>
      <c r="H8092" s="31"/>
    </row>
    <row r="8093" spans="2:8" hidden="1">
      <c r="B8093" s="200"/>
      <c r="C8093" s="31"/>
      <c r="D8093" s="75"/>
      <c r="E8093" s="771"/>
      <c r="F8093" s="771"/>
      <c r="G8093" s="31"/>
      <c r="H8093" s="31"/>
    </row>
    <row r="8094" spans="2:8" hidden="1">
      <c r="B8094" s="200"/>
      <c r="C8094" s="31"/>
      <c r="D8094" s="75"/>
      <c r="E8094" s="771"/>
      <c r="F8094" s="771"/>
      <c r="G8094" s="31"/>
      <c r="H8094" s="31"/>
    </row>
    <row r="8095" spans="2:8" hidden="1">
      <c r="B8095" s="200"/>
      <c r="C8095" s="31"/>
      <c r="D8095" s="75"/>
      <c r="E8095" s="771"/>
      <c r="F8095" s="771"/>
      <c r="G8095" s="31"/>
      <c r="H8095" s="31"/>
    </row>
    <row r="8096" spans="2:8" hidden="1">
      <c r="B8096" s="200"/>
      <c r="C8096" s="31"/>
      <c r="D8096" s="75"/>
      <c r="E8096" s="771"/>
      <c r="F8096" s="771"/>
      <c r="G8096" s="31"/>
      <c r="H8096" s="31"/>
    </row>
    <row r="8097" spans="2:8" hidden="1">
      <c r="B8097" s="200"/>
      <c r="C8097" s="31"/>
      <c r="D8097" s="75"/>
      <c r="E8097" s="771"/>
      <c r="F8097" s="771"/>
      <c r="G8097" s="31"/>
      <c r="H8097" s="31"/>
    </row>
    <row r="8098" spans="2:8" hidden="1">
      <c r="B8098" s="200"/>
      <c r="C8098" s="31"/>
      <c r="D8098" s="75"/>
      <c r="E8098" s="771"/>
      <c r="F8098" s="771"/>
      <c r="G8098" s="31"/>
      <c r="H8098" s="31"/>
    </row>
    <row r="8099" spans="2:8" hidden="1">
      <c r="B8099" s="200"/>
      <c r="C8099" s="31"/>
      <c r="D8099" s="75"/>
      <c r="E8099" s="771"/>
      <c r="F8099" s="771"/>
      <c r="G8099" s="31"/>
      <c r="H8099" s="31"/>
    </row>
    <row r="8100" spans="2:8" hidden="1">
      <c r="B8100" s="200"/>
      <c r="C8100" s="31"/>
      <c r="D8100" s="75"/>
      <c r="E8100" s="771"/>
      <c r="F8100" s="771"/>
      <c r="G8100" s="31"/>
      <c r="H8100" s="31"/>
    </row>
    <row r="8101" spans="2:8" hidden="1">
      <c r="B8101" s="200"/>
      <c r="C8101" s="31"/>
      <c r="D8101" s="75"/>
      <c r="E8101" s="771"/>
      <c r="F8101" s="771"/>
      <c r="G8101" s="31"/>
      <c r="H8101" s="31"/>
    </row>
    <row r="8102" spans="2:8" hidden="1">
      <c r="B8102" s="200"/>
      <c r="C8102" s="31"/>
      <c r="D8102" s="75"/>
      <c r="E8102" s="771"/>
      <c r="F8102" s="771"/>
      <c r="G8102" s="31"/>
      <c r="H8102" s="31"/>
    </row>
    <row r="8103" spans="2:8" hidden="1">
      <c r="B8103" s="200"/>
      <c r="C8103" s="31"/>
      <c r="D8103" s="75"/>
      <c r="E8103" s="771"/>
      <c r="F8103" s="771"/>
      <c r="G8103" s="31"/>
      <c r="H8103" s="31"/>
    </row>
    <row r="8104" spans="2:8" hidden="1">
      <c r="B8104" s="200"/>
      <c r="C8104" s="31"/>
      <c r="D8104" s="75"/>
      <c r="E8104" s="31"/>
      <c r="F8104" s="31"/>
      <c r="G8104" s="31"/>
      <c r="H8104" s="31"/>
    </row>
    <row r="8105" spans="2:8" hidden="1">
      <c r="B8105" s="200"/>
      <c r="C8105" s="31"/>
      <c r="D8105" s="75"/>
      <c r="E8105" s="31"/>
      <c r="F8105" s="31"/>
      <c r="G8105" s="31"/>
      <c r="H8105" s="31"/>
    </row>
    <row r="8106" spans="2:8" hidden="1">
      <c r="B8106" s="200"/>
      <c r="C8106" s="31"/>
      <c r="D8106" s="75"/>
      <c r="E8106" s="31"/>
      <c r="F8106" s="31"/>
      <c r="G8106" s="31"/>
      <c r="H8106" s="31"/>
    </row>
    <row r="8107" spans="2:8" hidden="1">
      <c r="B8107" s="200"/>
      <c r="C8107" s="31"/>
      <c r="D8107" s="75"/>
      <c r="E8107" s="31"/>
      <c r="F8107" s="31"/>
      <c r="G8107" s="31"/>
      <c r="H8107" s="31"/>
    </row>
    <row r="8108" spans="2:8" hidden="1">
      <c r="B8108" s="200"/>
      <c r="C8108" s="31"/>
      <c r="D8108" s="75"/>
      <c r="E8108" s="31"/>
      <c r="F8108" s="33"/>
      <c r="G8108" s="33"/>
      <c r="H8108" s="31"/>
    </row>
    <row r="8109" spans="2:8" hidden="1">
      <c r="B8109" s="200"/>
      <c r="C8109" s="31"/>
      <c r="D8109" s="75"/>
      <c r="E8109" s="31"/>
      <c r="F8109" s="31"/>
      <c r="G8109" s="31"/>
      <c r="H8109" s="31"/>
    </row>
    <row r="8110" spans="2:8" hidden="1">
      <c r="B8110" s="200"/>
      <c r="C8110" s="31"/>
      <c r="D8110" s="75"/>
      <c r="E8110" s="31"/>
      <c r="F8110" s="31"/>
      <c r="G8110" s="31"/>
      <c r="H8110" s="31"/>
    </row>
    <row r="8111" spans="2:8" hidden="1">
      <c r="B8111" s="200"/>
      <c r="C8111" s="31"/>
      <c r="D8111" s="75"/>
      <c r="E8111" s="31"/>
      <c r="F8111" s="771"/>
      <c r="G8111" s="31"/>
      <c r="H8111" s="31"/>
    </row>
    <row r="8112" spans="2:8" hidden="1">
      <c r="B8112" s="200"/>
      <c r="C8112" s="31"/>
      <c r="D8112" s="75"/>
      <c r="E8112" s="33"/>
      <c r="F8112" s="772"/>
      <c r="G8112" s="33"/>
      <c r="H8112" s="31"/>
    </row>
    <row r="8113" spans="2:8" hidden="1">
      <c r="B8113" s="200"/>
      <c r="C8113" s="31"/>
      <c r="D8113" s="75"/>
      <c r="E8113" s="771"/>
      <c r="F8113" s="772"/>
      <c r="G8113" s="33"/>
      <c r="H8113" s="31"/>
    </row>
    <row r="8114" spans="2:8" hidden="1">
      <c r="B8114" s="200"/>
      <c r="C8114" s="31"/>
      <c r="D8114" s="75"/>
      <c r="E8114" s="772"/>
      <c r="F8114" s="772"/>
      <c r="G8114" s="33"/>
      <c r="H8114" s="31"/>
    </row>
    <row r="8115" spans="2:8" hidden="1">
      <c r="B8115" s="200"/>
      <c r="C8115" s="31"/>
      <c r="D8115" s="75"/>
      <c r="E8115" s="772"/>
      <c r="F8115" s="772"/>
      <c r="G8115" s="33"/>
      <c r="H8115" s="31"/>
    </row>
    <row r="8116" spans="2:8" hidden="1">
      <c r="B8116" s="200"/>
      <c r="C8116" s="31"/>
      <c r="D8116" s="75"/>
      <c r="E8116" s="772"/>
      <c r="F8116" s="772"/>
      <c r="G8116" s="33"/>
      <c r="H8116" s="31"/>
    </row>
    <row r="8117" spans="2:8" hidden="1">
      <c r="B8117" s="200"/>
      <c r="C8117" s="31"/>
      <c r="D8117" s="75"/>
      <c r="E8117" s="772"/>
      <c r="F8117" s="772"/>
      <c r="G8117" s="33"/>
      <c r="H8117" s="31"/>
    </row>
    <row r="8118" spans="2:8" hidden="1">
      <c r="B8118" s="200"/>
      <c r="C8118" s="31"/>
      <c r="D8118" s="75"/>
      <c r="E8118" s="772"/>
      <c r="F8118" s="772"/>
      <c r="G8118" s="33"/>
      <c r="H8118" s="31"/>
    </row>
    <row r="8119" spans="2:8" hidden="1">
      <c r="B8119" s="200"/>
      <c r="C8119" s="31"/>
      <c r="D8119" s="75"/>
      <c r="E8119" s="771"/>
      <c r="F8119" s="772"/>
      <c r="G8119" s="33"/>
      <c r="H8119" s="31"/>
    </row>
    <row r="8120" spans="2:8" hidden="1">
      <c r="B8120" s="200"/>
      <c r="C8120" s="31"/>
      <c r="D8120" s="75"/>
      <c r="E8120" s="771"/>
      <c r="F8120" s="772"/>
      <c r="G8120" s="33"/>
      <c r="H8120" s="31"/>
    </row>
    <row r="8121" spans="2:8" hidden="1">
      <c r="B8121" s="200"/>
      <c r="C8121" s="31"/>
      <c r="D8121" s="75"/>
      <c r="E8121" s="771"/>
      <c r="F8121" s="771"/>
      <c r="G8121" s="31"/>
      <c r="H8121" s="31"/>
    </row>
    <row r="8122" spans="2:8" hidden="1">
      <c r="B8122" s="200"/>
      <c r="C8122" s="31"/>
      <c r="D8122" s="75"/>
      <c r="E8122" s="771"/>
      <c r="F8122" s="33"/>
      <c r="G8122" s="33"/>
      <c r="H8122" s="31"/>
    </row>
    <row r="8123" spans="2:8" hidden="1">
      <c r="B8123" s="33"/>
      <c r="C8123" s="31"/>
      <c r="D8123" s="31"/>
      <c r="E8123" s="31"/>
      <c r="F8123" s="31"/>
      <c r="G8123" s="31"/>
      <c r="H8123" s="31"/>
    </row>
    <row r="8124" spans="2:8" hidden="1">
      <c r="B8124" s="200"/>
      <c r="C8124" s="31"/>
      <c r="D8124" s="75"/>
      <c r="E8124" s="33"/>
      <c r="F8124" s="33"/>
      <c r="G8124" s="33"/>
      <c r="H8124" s="31"/>
    </row>
    <row r="8125" spans="2:8" hidden="1">
      <c r="B8125" s="200"/>
      <c r="C8125" s="31"/>
      <c r="D8125" s="75"/>
      <c r="E8125" s="33"/>
      <c r="F8125" s="33"/>
      <c r="G8125" s="33"/>
      <c r="H8125" s="31"/>
    </row>
    <row r="8126" spans="2:8" hidden="1">
      <c r="B8126" s="200"/>
      <c r="C8126" s="31"/>
      <c r="D8126" s="75"/>
      <c r="E8126" s="33"/>
      <c r="F8126" s="33"/>
      <c r="G8126" s="33"/>
      <c r="H8126" s="31"/>
    </row>
    <row r="8127" spans="2:8" hidden="1">
      <c r="B8127" s="200"/>
      <c r="C8127" s="31"/>
      <c r="D8127" s="75"/>
      <c r="E8127" s="33"/>
      <c r="F8127" s="33"/>
      <c r="G8127" s="33"/>
      <c r="H8127" s="31"/>
    </row>
    <row r="8128" spans="2:8" hidden="1">
      <c r="B8128" s="200"/>
      <c r="C8128" s="31"/>
      <c r="D8128" s="31"/>
      <c r="E8128" s="31"/>
      <c r="F8128" s="31"/>
      <c r="G8128" s="31"/>
      <c r="H8128" s="31"/>
    </row>
    <row r="8129" spans="2:8" hidden="1">
      <c r="B8129" s="200"/>
      <c r="C8129" s="31"/>
      <c r="D8129" s="75"/>
      <c r="E8129" s="33"/>
      <c r="F8129" s="33"/>
      <c r="G8129" s="33"/>
      <c r="H8129" s="31"/>
    </row>
    <row r="8130" spans="2:8" hidden="1">
      <c r="B8130" s="200"/>
      <c r="C8130" s="31"/>
      <c r="D8130" s="75"/>
      <c r="E8130" s="33"/>
      <c r="F8130" s="33"/>
      <c r="G8130" s="33"/>
      <c r="H8130" s="31"/>
    </row>
    <row r="8131" spans="2:8" hidden="1">
      <c r="B8131" s="200"/>
      <c r="C8131" s="31"/>
      <c r="D8131" s="75"/>
      <c r="E8131" s="33"/>
      <c r="F8131" s="33"/>
      <c r="G8131" s="33"/>
      <c r="H8131" s="31"/>
    </row>
    <row r="8132" spans="2:8" hidden="1">
      <c r="B8132" s="200"/>
      <c r="C8132" s="31"/>
      <c r="D8132" s="31"/>
      <c r="E8132" s="31"/>
      <c r="F8132" s="31"/>
      <c r="G8132" s="31"/>
      <c r="H8132" s="31"/>
    </row>
    <row r="8133" spans="2:8" hidden="1">
      <c r="B8133" s="200"/>
      <c r="C8133" s="31"/>
      <c r="D8133" s="75"/>
      <c r="E8133" s="33"/>
      <c r="F8133" s="33"/>
      <c r="G8133" s="33"/>
      <c r="H8133" s="31"/>
    </row>
    <row r="8134" spans="2:8" hidden="1">
      <c r="B8134" s="200"/>
      <c r="C8134" s="31"/>
      <c r="D8134" s="75"/>
      <c r="E8134" s="33"/>
      <c r="F8134" s="33"/>
      <c r="G8134" s="33"/>
      <c r="H8134" s="31"/>
    </row>
    <row r="8135" spans="2:8" hidden="1">
      <c r="B8135" s="200"/>
      <c r="C8135" s="31"/>
      <c r="D8135" s="75"/>
      <c r="E8135" s="33"/>
      <c r="F8135" s="33"/>
      <c r="G8135" s="33"/>
      <c r="H8135" s="31"/>
    </row>
    <row r="8136" spans="2:8" hidden="1">
      <c r="B8136" s="200"/>
      <c r="C8136" s="31"/>
      <c r="D8136" s="75"/>
      <c r="E8136" s="33"/>
      <c r="F8136" s="33"/>
      <c r="G8136" s="33"/>
      <c r="H8136" s="31"/>
    </row>
    <row r="8137" spans="2:8" hidden="1">
      <c r="B8137" s="200"/>
      <c r="C8137" s="31"/>
      <c r="D8137" s="75"/>
      <c r="E8137" s="33"/>
      <c r="F8137" s="33"/>
      <c r="G8137" s="33"/>
      <c r="H8137" s="31"/>
    </row>
    <row r="8138" spans="2:8" hidden="1">
      <c r="B8138" s="200"/>
      <c r="C8138" s="31"/>
      <c r="D8138" s="75"/>
      <c r="E8138" s="31"/>
      <c r="F8138" s="33"/>
      <c r="G8138" s="33"/>
      <c r="H8138" s="31"/>
    </row>
    <row r="8139" spans="2:8" hidden="1">
      <c r="B8139" s="200"/>
      <c r="C8139" s="31"/>
      <c r="D8139" s="75"/>
      <c r="E8139" s="31"/>
      <c r="F8139" s="33"/>
      <c r="G8139" s="33"/>
      <c r="H8139" s="31"/>
    </row>
    <row r="8140" spans="2:8" hidden="1">
      <c r="B8140" s="200"/>
      <c r="C8140" s="31"/>
      <c r="D8140" s="75"/>
      <c r="E8140" s="33"/>
      <c r="F8140" s="33"/>
      <c r="G8140" s="33"/>
      <c r="H8140" s="31"/>
    </row>
    <row r="8141" spans="2:8" hidden="1">
      <c r="B8141" s="200"/>
      <c r="C8141" s="31"/>
      <c r="D8141" s="31"/>
      <c r="E8141" s="31"/>
      <c r="F8141" s="31"/>
      <c r="G8141" s="31"/>
      <c r="H8141" s="31"/>
    </row>
    <row r="8142" spans="2:8" hidden="1">
      <c r="B8142" s="200"/>
      <c r="C8142" s="31"/>
      <c r="D8142" s="75"/>
      <c r="E8142" s="33"/>
      <c r="F8142" s="33"/>
      <c r="G8142" s="33"/>
      <c r="H8142" s="31"/>
    </row>
    <row r="8143" spans="2:8" hidden="1">
      <c r="B8143" s="200"/>
      <c r="C8143" s="31"/>
      <c r="D8143" s="75"/>
      <c r="E8143" s="33"/>
      <c r="F8143" s="33"/>
      <c r="G8143" s="33"/>
      <c r="H8143" s="31"/>
    </row>
    <row r="8144" spans="2:8" hidden="1">
      <c r="B8144" s="200"/>
      <c r="C8144" s="31"/>
      <c r="D8144" s="75"/>
      <c r="E8144" s="33"/>
      <c r="F8144" s="33"/>
      <c r="G8144" s="33"/>
      <c r="H8144" s="31"/>
    </row>
    <row r="8145" spans="2:8" hidden="1">
      <c r="B8145" s="200"/>
      <c r="C8145" s="31"/>
      <c r="D8145" s="75"/>
      <c r="E8145" s="33"/>
      <c r="F8145" s="33"/>
      <c r="G8145" s="33"/>
      <c r="H8145" s="31"/>
    </row>
    <row r="8146" spans="2:8" hidden="1">
      <c r="B8146" s="200"/>
      <c r="C8146" s="31"/>
      <c r="D8146" s="31"/>
      <c r="E8146" s="31"/>
      <c r="F8146" s="31"/>
      <c r="G8146" s="31"/>
      <c r="H8146" s="31"/>
    </row>
    <row r="8147" spans="2:8" hidden="1">
      <c r="B8147" s="200"/>
      <c r="C8147" s="31"/>
      <c r="D8147" s="75"/>
      <c r="E8147" s="33"/>
      <c r="F8147" s="33"/>
      <c r="G8147" s="33"/>
      <c r="H8147" s="31"/>
    </row>
    <row r="8148" spans="2:8" hidden="1">
      <c r="B8148" s="200"/>
      <c r="C8148" s="31"/>
      <c r="D8148" s="75"/>
      <c r="E8148" s="33"/>
      <c r="F8148" s="33"/>
      <c r="G8148" s="33"/>
      <c r="H8148" s="31"/>
    </row>
    <row r="8149" spans="2:8" hidden="1">
      <c r="B8149" s="200"/>
      <c r="C8149" s="31"/>
      <c r="D8149" s="75"/>
      <c r="E8149" s="33"/>
      <c r="F8149" s="33"/>
      <c r="G8149" s="33"/>
      <c r="H8149" s="31"/>
    </row>
    <row r="8150" spans="2:8" hidden="1">
      <c r="B8150" s="200"/>
      <c r="C8150" s="31"/>
      <c r="D8150" s="75"/>
      <c r="E8150" s="33"/>
      <c r="F8150" s="33"/>
      <c r="G8150" s="33"/>
      <c r="H8150" s="31"/>
    </row>
    <row r="8151" spans="2:8" hidden="1">
      <c r="B8151" s="200"/>
      <c r="C8151" s="31"/>
      <c r="D8151" s="75"/>
      <c r="E8151" s="31"/>
      <c r="F8151" s="33"/>
      <c r="G8151" s="33"/>
      <c r="H8151" s="31"/>
    </row>
    <row r="8152" spans="2:8" hidden="1">
      <c r="B8152" s="200"/>
      <c r="C8152" s="31"/>
      <c r="D8152" s="75"/>
      <c r="E8152" s="33"/>
      <c r="F8152" s="33"/>
      <c r="G8152" s="33"/>
      <c r="H8152" s="31"/>
    </row>
    <row r="8153" spans="2:8" hidden="1">
      <c r="B8153" s="200"/>
      <c r="C8153" s="31"/>
      <c r="D8153" s="75"/>
      <c r="E8153" s="33"/>
      <c r="F8153" s="33"/>
      <c r="G8153" s="33"/>
      <c r="H8153" s="31"/>
    </row>
    <row r="8154" spans="2:8" hidden="1">
      <c r="B8154" s="200"/>
      <c r="C8154" s="31"/>
      <c r="D8154" s="75"/>
      <c r="E8154" s="33"/>
      <c r="F8154" s="33"/>
      <c r="G8154" s="33"/>
      <c r="H8154" s="31"/>
    </row>
    <row r="8155" spans="2:8" hidden="1">
      <c r="B8155" s="200"/>
      <c r="C8155" s="31"/>
      <c r="D8155" s="75"/>
      <c r="E8155" s="33"/>
      <c r="F8155" s="33"/>
      <c r="G8155" s="33"/>
      <c r="H8155" s="31"/>
    </row>
    <row r="8156" spans="2:8" hidden="1">
      <c r="B8156" s="200"/>
      <c r="C8156" s="31"/>
      <c r="D8156" s="75"/>
      <c r="E8156" s="31"/>
      <c r="F8156" s="33"/>
      <c r="G8156" s="33"/>
      <c r="H8156" s="31"/>
    </row>
    <row r="8157" spans="2:8" hidden="1">
      <c r="B8157" s="200"/>
      <c r="C8157" s="31"/>
      <c r="D8157" s="31"/>
      <c r="E8157" s="31"/>
      <c r="F8157" s="31"/>
      <c r="G8157" s="31"/>
      <c r="H8157" s="31"/>
    </row>
    <row r="8158" spans="2:8" hidden="1">
      <c r="B8158" s="200"/>
      <c r="C8158" s="31"/>
      <c r="D8158" s="75"/>
      <c r="E8158" s="33"/>
      <c r="F8158" s="33"/>
      <c r="G8158" s="33"/>
      <c r="H8158" s="31"/>
    </row>
    <row r="8159" spans="2:8" hidden="1">
      <c r="B8159" s="200"/>
      <c r="C8159" s="31"/>
      <c r="D8159" s="75"/>
      <c r="E8159" s="33"/>
      <c r="F8159" s="33"/>
      <c r="G8159" s="33"/>
      <c r="H8159" s="31"/>
    </row>
    <row r="8160" spans="2:8" hidden="1">
      <c r="B8160" s="200"/>
      <c r="C8160" s="31"/>
      <c r="D8160" s="75"/>
      <c r="E8160" s="33"/>
      <c r="F8160" s="33"/>
      <c r="G8160" s="33"/>
      <c r="H8160" s="31"/>
    </row>
    <row r="8161" spans="2:8" hidden="1">
      <c r="B8161" s="200"/>
      <c r="C8161" s="31"/>
      <c r="D8161" s="75"/>
      <c r="E8161" s="33"/>
      <c r="F8161" s="33"/>
      <c r="G8161" s="33"/>
      <c r="H8161" s="31"/>
    </row>
    <row r="8162" spans="2:8" hidden="1">
      <c r="B8162" s="200"/>
      <c r="C8162" s="31"/>
      <c r="D8162" s="75"/>
      <c r="E8162" s="33"/>
      <c r="F8162" s="33"/>
      <c r="G8162" s="33"/>
      <c r="H8162" s="31"/>
    </row>
    <row r="8163" spans="2:8" hidden="1">
      <c r="B8163" s="200"/>
      <c r="C8163" s="31"/>
      <c r="D8163" s="75"/>
      <c r="E8163" s="33"/>
      <c r="F8163" s="33"/>
      <c r="G8163" s="33"/>
      <c r="H8163" s="31"/>
    </row>
    <row r="8164" spans="2:8" hidden="1">
      <c r="B8164" s="200"/>
      <c r="C8164" s="31"/>
      <c r="D8164" s="75"/>
      <c r="E8164" s="33"/>
      <c r="F8164" s="33"/>
      <c r="G8164" s="33"/>
      <c r="H8164" s="31"/>
    </row>
    <row r="8165" spans="2:8" hidden="1">
      <c r="B8165" s="33"/>
      <c r="C8165" s="200"/>
      <c r="D8165" s="75"/>
      <c r="E8165" s="31"/>
      <c r="F8165" s="31"/>
      <c r="G8165" s="31"/>
      <c r="H8165" s="31"/>
    </row>
    <row r="8166" spans="2:8" hidden="1">
      <c r="B8166" s="33"/>
      <c r="C8166" s="31"/>
      <c r="D8166" s="104"/>
      <c r="E8166" s="33"/>
      <c r="F8166" s="33"/>
      <c r="G8166" s="33"/>
      <c r="H8166" s="31"/>
    </row>
    <row r="8167" spans="2:8" hidden="1">
      <c r="B8167" s="33"/>
      <c r="C8167" s="31"/>
      <c r="D8167" s="31"/>
      <c r="E8167" s="31"/>
      <c r="F8167" s="31"/>
      <c r="G8167" s="31"/>
      <c r="H8167" s="31"/>
    </row>
    <row r="8168" spans="2:8" hidden="1">
      <c r="B8168" s="405"/>
      <c r="C8168" s="31"/>
      <c r="D8168" s="31"/>
      <c r="E8168" s="31"/>
      <c r="F8168" s="31"/>
      <c r="G8168" s="31"/>
      <c r="H8168" s="31"/>
    </row>
    <row r="8169" spans="2:8" hidden="1">
      <c r="B8169" s="405"/>
      <c r="C8169" s="31"/>
      <c r="D8169" s="31"/>
      <c r="E8169" s="31"/>
      <c r="F8169" s="691"/>
      <c r="G8169" s="75"/>
      <c r="H8169" s="31"/>
    </row>
    <row r="8170" spans="2:8" hidden="1">
      <c r="B8170" s="405"/>
      <c r="C8170" s="31"/>
      <c r="D8170" s="31"/>
      <c r="E8170" s="31"/>
      <c r="F8170" s="691"/>
      <c r="G8170" s="75"/>
      <c r="H8170" s="31"/>
    </row>
    <row r="8171" spans="2:8" hidden="1">
      <c r="B8171" s="405"/>
      <c r="C8171" s="31"/>
      <c r="D8171" s="31"/>
      <c r="E8171" s="31"/>
      <c r="F8171" s="691"/>
      <c r="G8171" s="75"/>
      <c r="H8171" s="31"/>
    </row>
    <row r="8172" spans="2:8" hidden="1">
      <c r="B8172" s="405"/>
      <c r="C8172" s="31"/>
      <c r="D8172" s="31"/>
      <c r="E8172" s="31"/>
      <c r="F8172" s="31"/>
      <c r="G8172" s="75"/>
      <c r="H8172" s="31"/>
    </row>
    <row r="8173" spans="2:8" hidden="1">
      <c r="B8173" s="405"/>
      <c r="C8173" s="31"/>
      <c r="D8173" s="31"/>
      <c r="E8173" s="31"/>
      <c r="F8173" s="691"/>
      <c r="G8173" s="75"/>
      <c r="H8173" s="31"/>
    </row>
    <row r="8174" spans="2:8" hidden="1">
      <c r="B8174" s="405"/>
      <c r="C8174" s="31"/>
      <c r="D8174" s="31"/>
      <c r="E8174" s="31"/>
      <c r="F8174" s="691"/>
      <c r="G8174" s="75"/>
      <c r="H8174" s="31"/>
    </row>
    <row r="8175" spans="2:8" hidden="1">
      <c r="B8175" s="405"/>
      <c r="C8175" s="31"/>
      <c r="D8175" s="31"/>
      <c r="E8175" s="31"/>
      <c r="F8175" s="691"/>
      <c r="G8175" s="75"/>
      <c r="H8175" s="31"/>
    </row>
    <row r="8176" spans="2:8" hidden="1">
      <c r="B8176" s="405"/>
      <c r="C8176" s="31"/>
      <c r="D8176" s="31"/>
      <c r="E8176" s="31"/>
      <c r="F8176" s="691"/>
      <c r="G8176" s="75"/>
      <c r="H8176" s="31"/>
    </row>
    <row r="8177" spans="2:8" hidden="1">
      <c r="B8177" s="405"/>
      <c r="C8177" s="31"/>
      <c r="D8177" s="31"/>
      <c r="E8177" s="31"/>
      <c r="F8177" s="691"/>
      <c r="G8177" s="75"/>
      <c r="H8177" s="31"/>
    </row>
    <row r="8178" spans="2:8" hidden="1">
      <c r="B8178" s="405"/>
      <c r="C8178" s="31"/>
      <c r="D8178" s="31"/>
      <c r="E8178" s="31"/>
      <c r="F8178" s="691"/>
      <c r="G8178" s="75"/>
      <c r="H8178" s="31"/>
    </row>
    <row r="8179" spans="2:8" hidden="1">
      <c r="B8179" s="405"/>
      <c r="C8179" s="31"/>
      <c r="D8179" s="31"/>
      <c r="E8179" s="31"/>
      <c r="F8179" s="691"/>
      <c r="G8179" s="75"/>
      <c r="H8179" s="31"/>
    </row>
    <row r="8180" spans="2:8" hidden="1">
      <c r="B8180" s="405"/>
      <c r="C8180" s="31"/>
      <c r="D8180" s="31"/>
      <c r="E8180" s="31"/>
      <c r="F8180" s="691"/>
      <c r="G8180" s="75"/>
      <c r="H8180" s="31"/>
    </row>
    <row r="8181" spans="2:8" hidden="1">
      <c r="B8181" s="405"/>
      <c r="C8181" s="31"/>
      <c r="D8181" s="31"/>
      <c r="E8181" s="31"/>
      <c r="F8181" s="691"/>
      <c r="G8181" s="75"/>
      <c r="H8181" s="31"/>
    </row>
    <row r="8182" spans="2:8" hidden="1">
      <c r="B8182" s="405"/>
      <c r="C8182" s="31"/>
      <c r="D8182" s="31"/>
      <c r="E8182" s="31"/>
      <c r="F8182" s="691"/>
      <c r="G8182" s="75"/>
      <c r="H8182" s="31"/>
    </row>
    <row r="8183" spans="2:8" hidden="1">
      <c r="B8183" s="405"/>
      <c r="C8183" s="31"/>
      <c r="D8183" s="31"/>
      <c r="E8183" s="31"/>
      <c r="F8183" s="691"/>
      <c r="G8183" s="31"/>
      <c r="H8183" s="31"/>
    </row>
    <row r="8184" spans="2:8" hidden="1">
      <c r="B8184" s="405"/>
      <c r="C8184" s="31"/>
      <c r="D8184" s="31"/>
      <c r="E8184" s="31"/>
      <c r="F8184" s="691"/>
      <c r="G8184" s="75"/>
      <c r="H8184" s="31"/>
    </row>
    <row r="8185" spans="2:8" hidden="1">
      <c r="B8185" s="405"/>
      <c r="C8185" s="31"/>
      <c r="D8185" s="31"/>
      <c r="E8185" s="31"/>
      <c r="F8185" s="691"/>
      <c r="G8185" s="31"/>
      <c r="H8185" s="31"/>
    </row>
    <row r="8186" spans="2:8" hidden="1">
      <c r="B8186" s="405"/>
      <c r="C8186" s="31"/>
      <c r="D8186" s="31"/>
      <c r="E8186" s="31"/>
      <c r="F8186" s="691"/>
      <c r="G8186" s="75"/>
      <c r="H8186" s="31"/>
    </row>
    <row r="8187" spans="2:8" hidden="1">
      <c r="B8187" s="405"/>
      <c r="C8187" s="31"/>
      <c r="D8187" s="31"/>
      <c r="E8187" s="31"/>
      <c r="F8187" s="691"/>
      <c r="G8187" s="31"/>
      <c r="H8187" s="31"/>
    </row>
    <row r="8188" spans="2:8" hidden="1">
      <c r="B8188" s="405"/>
      <c r="C8188" s="31"/>
      <c r="D8188" s="31"/>
      <c r="E8188" s="31"/>
      <c r="F8188" s="691"/>
      <c r="G8188" s="31"/>
      <c r="H8188" s="31"/>
    </row>
    <row r="8189" spans="2:8" hidden="1">
      <c r="B8189" s="405"/>
      <c r="C8189" s="31"/>
      <c r="D8189" s="31"/>
      <c r="E8189" s="31"/>
      <c r="F8189" s="691"/>
      <c r="G8189" s="31"/>
      <c r="H8189" s="31"/>
    </row>
    <row r="8190" spans="2:8" hidden="1">
      <c r="B8190" s="405"/>
      <c r="C8190" s="31"/>
      <c r="D8190" s="31"/>
      <c r="E8190" s="31"/>
      <c r="F8190" s="691"/>
      <c r="G8190" s="31"/>
      <c r="H8190" s="31"/>
    </row>
    <row r="8191" spans="2:8" hidden="1">
      <c r="B8191" s="405"/>
      <c r="C8191" s="31"/>
      <c r="D8191" s="31"/>
      <c r="E8191" s="31"/>
      <c r="F8191" s="691"/>
      <c r="G8191" s="31"/>
      <c r="H8191" s="31"/>
    </row>
    <row r="8192" spans="2:8" hidden="1">
      <c r="B8192" s="405"/>
      <c r="C8192" s="31"/>
      <c r="D8192" s="31"/>
      <c r="E8192" s="31"/>
      <c r="F8192" s="691"/>
      <c r="G8192" s="31"/>
      <c r="H8192" s="31"/>
    </row>
    <row r="8193" spans="2:8" hidden="1">
      <c r="B8193" s="405"/>
      <c r="C8193" s="31"/>
      <c r="D8193" s="31"/>
      <c r="E8193" s="31"/>
      <c r="F8193" s="691"/>
      <c r="G8193" s="31"/>
      <c r="H8193" s="31"/>
    </row>
    <row r="8194" spans="2:8" hidden="1">
      <c r="B8194" s="405"/>
      <c r="C8194" s="31"/>
      <c r="D8194" s="31"/>
      <c r="E8194" s="31"/>
      <c r="F8194" s="691"/>
      <c r="G8194" s="75"/>
      <c r="H8194" s="31"/>
    </row>
    <row r="8195" spans="2:8" hidden="1">
      <c r="B8195" s="405"/>
      <c r="C8195" s="31"/>
      <c r="D8195" s="31"/>
      <c r="E8195" s="31"/>
      <c r="F8195" s="691"/>
      <c r="G8195" s="75"/>
      <c r="H8195" s="31"/>
    </row>
    <row r="8196" spans="2:8" hidden="1">
      <c r="B8196" s="405"/>
      <c r="C8196" s="31"/>
      <c r="D8196" s="31"/>
      <c r="E8196" s="31"/>
      <c r="F8196" s="691"/>
      <c r="G8196" s="31"/>
      <c r="H8196" s="31"/>
    </row>
    <row r="8197" spans="2:8" hidden="1">
      <c r="B8197" s="33"/>
      <c r="C8197" s="31"/>
      <c r="D8197" s="31"/>
      <c r="E8197" s="31"/>
      <c r="F8197" s="31"/>
      <c r="G8197" s="31"/>
      <c r="H8197" s="31"/>
    </row>
    <row r="8198" spans="2:8" hidden="1">
      <c r="B8198" s="33"/>
      <c r="C8198" s="31"/>
      <c r="D8198" s="31"/>
      <c r="E8198" s="31"/>
      <c r="F8198" s="31"/>
      <c r="G8198" s="31"/>
      <c r="H8198" s="31"/>
    </row>
    <row r="8199" spans="2:8" hidden="1">
      <c r="B8199" s="33"/>
      <c r="C8199" s="31"/>
      <c r="D8199" s="31"/>
      <c r="E8199" s="31"/>
      <c r="F8199" s="31"/>
      <c r="G8199" s="31"/>
      <c r="H8199" s="31"/>
    </row>
    <row r="8200" spans="2:8" hidden="1">
      <c r="B8200" s="33"/>
      <c r="C8200" s="31"/>
      <c r="D8200" s="31"/>
      <c r="E8200" s="31"/>
      <c r="F8200" s="31"/>
      <c r="G8200" s="31"/>
      <c r="H8200" s="31"/>
    </row>
    <row r="8201" spans="2:8" hidden="1">
      <c r="B8201" s="33"/>
      <c r="C8201" s="31"/>
      <c r="D8201" s="31"/>
      <c r="E8201" s="31"/>
      <c r="F8201" s="31"/>
      <c r="G8201" s="31"/>
      <c r="H8201" s="31"/>
    </row>
    <row r="8202" spans="2:8" hidden="1">
      <c r="B8202" s="33"/>
      <c r="C8202" s="31"/>
      <c r="D8202" s="31"/>
      <c r="E8202" s="31"/>
      <c r="F8202" s="31"/>
      <c r="G8202" s="31"/>
      <c r="H8202" s="31"/>
    </row>
    <row r="8203" spans="2:8" hidden="1">
      <c r="B8203" s="33"/>
      <c r="C8203" s="31"/>
      <c r="D8203" s="31"/>
      <c r="E8203" s="31"/>
      <c r="F8203" s="31"/>
      <c r="G8203" s="31"/>
      <c r="H8203" s="31"/>
    </row>
    <row r="8204" spans="2:8" hidden="1">
      <c r="B8204" s="33"/>
      <c r="C8204" s="31"/>
      <c r="D8204" s="31"/>
      <c r="E8204" s="31"/>
      <c r="F8204" s="31"/>
      <c r="G8204" s="31"/>
      <c r="H8204" s="31"/>
    </row>
    <row r="8205" spans="2:8" hidden="1">
      <c r="B8205" s="33"/>
      <c r="C8205" s="31"/>
      <c r="D8205" s="33"/>
      <c r="E8205" s="31"/>
      <c r="F8205" s="33"/>
      <c r="G8205" s="33"/>
      <c r="H8205" s="31"/>
    </row>
    <row r="8206" spans="2:8" hidden="1">
      <c r="B8206" s="33"/>
      <c r="C8206" s="31"/>
      <c r="D8206" s="33"/>
      <c r="E8206" s="33"/>
      <c r="F8206" s="33"/>
      <c r="G8206" s="33"/>
      <c r="H8206" s="31"/>
    </row>
    <row r="8207" spans="2:8" hidden="1">
      <c r="B8207" s="33"/>
      <c r="C8207" s="31"/>
      <c r="D8207" s="31"/>
      <c r="E8207" s="31"/>
      <c r="F8207" s="31"/>
      <c r="G8207" s="31"/>
      <c r="H8207" s="31"/>
    </row>
    <row r="8208" spans="2:8" hidden="1">
      <c r="B8208" s="200"/>
      <c r="C8208" s="31"/>
      <c r="D8208" s="75"/>
      <c r="E8208" s="771"/>
      <c r="F8208" s="771"/>
      <c r="G8208" s="31"/>
      <c r="H8208" s="31"/>
    </row>
    <row r="8209" spans="2:8" hidden="1">
      <c r="B8209" s="200"/>
      <c r="C8209" s="31"/>
      <c r="D8209" s="75"/>
      <c r="E8209" s="771"/>
      <c r="F8209" s="771"/>
      <c r="G8209" s="31"/>
      <c r="H8209" s="31"/>
    </row>
    <row r="8210" spans="2:8" hidden="1">
      <c r="B8210" s="200"/>
      <c r="C8210" s="31"/>
      <c r="D8210" s="75"/>
      <c r="E8210" s="771"/>
      <c r="F8210" s="771"/>
      <c r="G8210" s="31"/>
      <c r="H8210" s="31"/>
    </row>
    <row r="8211" spans="2:8" hidden="1">
      <c r="B8211" s="200"/>
      <c r="C8211" s="31"/>
      <c r="D8211" s="75"/>
      <c r="E8211" s="771"/>
      <c r="F8211" s="771"/>
      <c r="G8211" s="31"/>
      <c r="H8211" s="31"/>
    </row>
    <row r="8212" spans="2:8" hidden="1">
      <c r="B8212" s="200"/>
      <c r="C8212" s="31"/>
      <c r="D8212" s="75"/>
      <c r="E8212" s="771"/>
      <c r="F8212" s="771"/>
      <c r="G8212" s="31"/>
      <c r="H8212" s="31"/>
    </row>
    <row r="8213" spans="2:8" hidden="1">
      <c r="B8213" s="200"/>
      <c r="C8213" s="31"/>
      <c r="D8213" s="75"/>
      <c r="E8213" s="771"/>
      <c r="F8213" s="771"/>
      <c r="G8213" s="31"/>
      <c r="H8213" s="31"/>
    </row>
    <row r="8214" spans="2:8" hidden="1">
      <c r="B8214" s="200"/>
      <c r="C8214" s="31"/>
      <c r="D8214" s="75"/>
      <c r="E8214" s="771"/>
      <c r="F8214" s="772"/>
      <c r="G8214" s="33"/>
      <c r="H8214" s="31"/>
    </row>
    <row r="8215" spans="2:8" hidden="1">
      <c r="B8215" s="200"/>
      <c r="C8215" s="31"/>
      <c r="D8215" s="75"/>
      <c r="E8215" s="771"/>
      <c r="F8215" s="771"/>
      <c r="G8215" s="31"/>
      <c r="H8215" s="31"/>
    </row>
    <row r="8216" spans="2:8" hidden="1">
      <c r="B8216" s="200"/>
      <c r="C8216" s="31"/>
      <c r="D8216" s="75"/>
      <c r="E8216" s="771"/>
      <c r="F8216" s="772"/>
      <c r="G8216" s="33"/>
      <c r="H8216" s="31"/>
    </row>
    <row r="8217" spans="2:8" hidden="1">
      <c r="B8217" s="200"/>
      <c r="C8217" s="31"/>
      <c r="D8217" s="75"/>
      <c r="E8217" s="771"/>
      <c r="F8217" s="31"/>
      <c r="G8217" s="31"/>
      <c r="H8217" s="31"/>
    </row>
    <row r="8218" spans="2:8" hidden="1">
      <c r="B8218" s="200"/>
      <c r="C8218" s="31"/>
      <c r="D8218" s="75"/>
      <c r="E8218" s="771"/>
      <c r="F8218" s="33"/>
      <c r="G8218" s="33"/>
      <c r="H8218" s="31"/>
    </row>
    <row r="8219" spans="2:8" hidden="1">
      <c r="B8219" s="200"/>
      <c r="C8219" s="31"/>
      <c r="D8219" s="75"/>
      <c r="E8219" s="771"/>
      <c r="F8219" s="31"/>
      <c r="G8219" s="31"/>
      <c r="H8219" s="31"/>
    </row>
    <row r="8220" spans="2:8" hidden="1">
      <c r="B8220" s="33"/>
      <c r="C8220" s="31"/>
      <c r="D8220" s="31"/>
      <c r="E8220" s="31"/>
      <c r="F8220" s="31"/>
      <c r="G8220" s="31"/>
      <c r="H8220" s="31"/>
    </row>
    <row r="8221" spans="2:8" hidden="1">
      <c r="B8221" s="200"/>
      <c r="C8221" s="31"/>
      <c r="D8221" s="75"/>
      <c r="E8221" s="771"/>
      <c r="F8221" s="771"/>
      <c r="G8221" s="31"/>
      <c r="H8221" s="31"/>
    </row>
    <row r="8222" spans="2:8" hidden="1">
      <c r="B8222" s="200"/>
      <c r="C8222" s="31"/>
      <c r="D8222" s="75"/>
      <c r="E8222" s="771"/>
      <c r="F8222" s="771"/>
      <c r="G8222" s="31"/>
      <c r="H8222" s="31"/>
    </row>
    <row r="8223" spans="2:8" hidden="1">
      <c r="B8223" s="200"/>
      <c r="C8223" s="31"/>
      <c r="D8223" s="75"/>
      <c r="E8223" s="771"/>
      <c r="F8223" s="771"/>
      <c r="G8223" s="31"/>
      <c r="H8223" s="31"/>
    </row>
    <row r="8224" spans="2:8" hidden="1">
      <c r="B8224" s="200"/>
      <c r="C8224" s="31"/>
      <c r="D8224" s="75"/>
      <c r="E8224" s="771"/>
      <c r="F8224" s="771"/>
      <c r="G8224" s="31"/>
      <c r="H8224" s="31"/>
    </row>
    <row r="8225" spans="2:8" hidden="1">
      <c r="B8225" s="200"/>
      <c r="C8225" s="31"/>
      <c r="D8225" s="75"/>
      <c r="E8225" s="771"/>
      <c r="F8225" s="772"/>
      <c r="G8225" s="33"/>
      <c r="H8225" s="31"/>
    </row>
    <row r="8226" spans="2:8" hidden="1">
      <c r="B8226" s="200"/>
      <c r="C8226" s="31"/>
      <c r="D8226" s="75"/>
      <c r="E8226" s="771"/>
      <c r="F8226" s="772"/>
      <c r="G8226" s="33"/>
      <c r="H8226" s="31"/>
    </row>
    <row r="8227" spans="2:8" hidden="1">
      <c r="B8227" s="200"/>
      <c r="C8227" s="31"/>
      <c r="D8227" s="75"/>
      <c r="E8227" s="771"/>
      <c r="F8227" s="772"/>
      <c r="G8227" s="33"/>
      <c r="H8227" s="31"/>
    </row>
    <row r="8228" spans="2:8" hidden="1">
      <c r="B8228" s="200"/>
      <c r="C8228" s="31"/>
      <c r="D8228" s="75"/>
      <c r="E8228" s="771"/>
      <c r="F8228" s="771"/>
      <c r="G8228" s="31"/>
      <c r="H8228" s="31"/>
    </row>
    <row r="8229" spans="2:8" hidden="1">
      <c r="B8229" s="200"/>
      <c r="C8229" s="31"/>
      <c r="D8229" s="75"/>
      <c r="E8229" s="772"/>
      <c r="F8229" s="772"/>
      <c r="G8229" s="33"/>
      <c r="H8229" s="31"/>
    </row>
    <row r="8230" spans="2:8" hidden="1">
      <c r="B8230" s="200"/>
      <c r="C8230" s="31"/>
      <c r="D8230" s="75"/>
      <c r="E8230" s="771"/>
      <c r="F8230" s="771"/>
      <c r="G8230" s="31"/>
      <c r="H8230" s="31"/>
    </row>
    <row r="8231" spans="2:8" hidden="1">
      <c r="B8231" s="200"/>
      <c r="C8231" s="31"/>
      <c r="D8231" s="75"/>
      <c r="E8231" s="771"/>
      <c r="F8231" s="771"/>
      <c r="G8231" s="31"/>
      <c r="H8231" s="31"/>
    </row>
    <row r="8232" spans="2:8" hidden="1">
      <c r="B8232" s="200"/>
      <c r="C8232" s="31"/>
      <c r="D8232" s="75"/>
      <c r="E8232" s="771"/>
      <c r="F8232" s="772"/>
      <c r="G8232" s="33"/>
      <c r="H8232" s="31"/>
    </row>
    <row r="8233" spans="2:8" hidden="1">
      <c r="B8233" s="200"/>
      <c r="C8233" s="31"/>
      <c r="D8233" s="75"/>
      <c r="E8233" s="771"/>
      <c r="F8233" s="772"/>
      <c r="G8233" s="33"/>
      <c r="H8233" s="31"/>
    </row>
    <row r="8234" spans="2:8" hidden="1">
      <c r="B8234" s="200"/>
      <c r="C8234" s="31"/>
      <c r="D8234" s="75"/>
      <c r="E8234" s="771"/>
      <c r="F8234" s="771"/>
      <c r="G8234" s="31"/>
      <c r="H8234" s="31"/>
    </row>
    <row r="8235" spans="2:8" hidden="1">
      <c r="B8235" s="200"/>
      <c r="C8235" s="31"/>
      <c r="D8235" s="75"/>
      <c r="E8235" s="771"/>
      <c r="F8235" s="771"/>
      <c r="G8235" s="31"/>
      <c r="H8235" s="31"/>
    </row>
    <row r="8236" spans="2:8" hidden="1">
      <c r="B8236" s="200"/>
      <c r="C8236" s="31"/>
      <c r="D8236" s="75"/>
      <c r="E8236" s="771"/>
      <c r="F8236" s="771"/>
      <c r="G8236" s="31"/>
      <c r="H8236" s="31"/>
    </row>
    <row r="8237" spans="2:8" hidden="1">
      <c r="B8237" s="200"/>
      <c r="C8237" s="31"/>
      <c r="D8237" s="75"/>
      <c r="E8237" s="771"/>
      <c r="F8237" s="771"/>
      <c r="G8237" s="31"/>
      <c r="H8237" s="31"/>
    </row>
    <row r="8238" spans="2:8" hidden="1">
      <c r="B8238" s="200"/>
      <c r="C8238" s="31"/>
      <c r="D8238" s="75"/>
      <c r="E8238" s="771"/>
      <c r="F8238" s="772"/>
      <c r="G8238" s="33"/>
      <c r="H8238" s="31"/>
    </row>
    <row r="8239" spans="2:8" hidden="1">
      <c r="B8239" s="200"/>
      <c r="C8239" s="31"/>
      <c r="D8239" s="75"/>
      <c r="E8239" s="771"/>
      <c r="F8239" s="772"/>
      <c r="G8239" s="33"/>
      <c r="H8239" s="31"/>
    </row>
    <row r="8240" spans="2:8" hidden="1">
      <c r="B8240" s="200"/>
      <c r="C8240" s="31"/>
      <c r="D8240" s="75"/>
      <c r="E8240" s="771"/>
      <c r="F8240" s="772"/>
      <c r="G8240" s="33"/>
      <c r="H8240" s="31"/>
    </row>
    <row r="8241" spans="2:8" hidden="1">
      <c r="B8241" s="200"/>
      <c r="C8241" s="31"/>
      <c r="D8241" s="75"/>
      <c r="E8241" s="771"/>
      <c r="F8241" s="771"/>
      <c r="G8241" s="31"/>
      <c r="H8241" s="31"/>
    </row>
    <row r="8242" spans="2:8" hidden="1">
      <c r="B8242" s="200"/>
      <c r="C8242" s="31"/>
      <c r="D8242" s="75"/>
      <c r="E8242" s="771"/>
      <c r="F8242" s="771"/>
      <c r="G8242" s="31"/>
      <c r="H8242" s="31"/>
    </row>
    <row r="8243" spans="2:8" hidden="1">
      <c r="B8243" s="200"/>
      <c r="C8243" s="31"/>
      <c r="D8243" s="75"/>
      <c r="E8243" s="771"/>
      <c r="F8243" s="771"/>
      <c r="G8243" s="31"/>
      <c r="H8243" s="31"/>
    </row>
    <row r="8244" spans="2:8" hidden="1">
      <c r="B8244" s="200"/>
      <c r="C8244" s="31"/>
      <c r="D8244" s="75"/>
      <c r="E8244" s="771"/>
      <c r="F8244" s="771"/>
      <c r="G8244" s="31"/>
      <c r="H8244" s="31"/>
    </row>
    <row r="8245" spans="2:8" hidden="1">
      <c r="B8245" s="200"/>
      <c r="C8245" s="31"/>
      <c r="D8245" s="75"/>
      <c r="E8245" s="772"/>
      <c r="F8245" s="772"/>
      <c r="G8245" s="33"/>
      <c r="H8245" s="31"/>
    </row>
    <row r="8246" spans="2:8" hidden="1">
      <c r="B8246" s="33"/>
      <c r="C8246" s="200"/>
      <c r="D8246" s="75"/>
      <c r="E8246" s="771"/>
      <c r="F8246" s="771"/>
      <c r="G8246" s="31"/>
      <c r="H8246" s="31"/>
    </row>
    <row r="8247" spans="2:8" hidden="1">
      <c r="B8247" s="33"/>
      <c r="C8247" s="31"/>
      <c r="D8247" s="104"/>
      <c r="E8247" s="772"/>
      <c r="F8247" s="772"/>
      <c r="G8247" s="33"/>
      <c r="H8247" s="31"/>
    </row>
    <row r="8248" spans="2:8" hidden="1">
      <c r="B8248" s="33"/>
      <c r="C8248" s="31"/>
      <c r="D8248" s="31"/>
      <c r="E8248" s="31"/>
      <c r="F8248" s="31"/>
      <c r="G8248" s="31"/>
      <c r="H8248" s="31"/>
    </row>
    <row r="8249" spans="2:8" hidden="1">
      <c r="B8249" s="33"/>
      <c r="C8249" s="31"/>
      <c r="D8249" s="31"/>
      <c r="E8249" s="31"/>
      <c r="F8249" s="31"/>
      <c r="G8249" s="31"/>
      <c r="H8249" s="31"/>
    </row>
    <row r="8250" spans="2:8" hidden="1">
      <c r="B8250" s="33"/>
      <c r="C8250" s="31"/>
      <c r="D8250" s="31"/>
      <c r="E8250" s="31"/>
      <c r="F8250" s="691"/>
      <c r="G8250" s="75"/>
      <c r="H8250" s="31"/>
    </row>
    <row r="8251" spans="2:8" hidden="1">
      <c r="B8251" s="33"/>
      <c r="C8251" s="31"/>
      <c r="D8251" s="31"/>
      <c r="E8251" s="31"/>
      <c r="F8251" s="691"/>
      <c r="G8251" s="75"/>
      <c r="H8251" s="31"/>
    </row>
    <row r="8252" spans="2:8" hidden="1">
      <c r="B8252" s="33"/>
      <c r="C8252" s="31"/>
      <c r="D8252" s="31"/>
      <c r="E8252" s="31"/>
      <c r="F8252" s="691"/>
      <c r="G8252" s="75"/>
      <c r="H8252" s="31"/>
    </row>
    <row r="8253" spans="2:8" hidden="1">
      <c r="B8253" s="33"/>
      <c r="C8253" s="31"/>
      <c r="D8253" s="31"/>
      <c r="E8253" s="31"/>
      <c r="F8253" s="691"/>
      <c r="G8253" s="75"/>
      <c r="H8253" s="31"/>
    </row>
    <row r="8254" spans="2:8" hidden="1">
      <c r="B8254" s="33"/>
      <c r="C8254" s="31"/>
      <c r="D8254" s="31"/>
      <c r="E8254" s="31"/>
      <c r="F8254" s="691"/>
      <c r="G8254" s="75"/>
      <c r="H8254" s="31"/>
    </row>
    <row r="8255" spans="2:8" hidden="1">
      <c r="B8255" s="33"/>
      <c r="C8255" s="31"/>
      <c r="D8255" s="31"/>
      <c r="E8255" s="31"/>
      <c r="F8255" s="691"/>
      <c r="G8255" s="75"/>
      <c r="H8255" s="31"/>
    </row>
    <row r="8256" spans="2:8" hidden="1">
      <c r="B8256" s="33"/>
      <c r="C8256" s="31"/>
      <c r="D8256" s="31"/>
      <c r="E8256" s="31"/>
      <c r="F8256" s="691"/>
      <c r="G8256" s="31"/>
      <c r="H8256" s="31"/>
    </row>
    <row r="8257" spans="2:8" hidden="1">
      <c r="B8257" s="33"/>
      <c r="C8257" s="31"/>
      <c r="D8257" s="31"/>
      <c r="E8257" s="31"/>
      <c r="F8257" s="691"/>
      <c r="G8257" s="75"/>
      <c r="H8257" s="31"/>
    </row>
    <row r="8258" spans="2:8" hidden="1">
      <c r="B8258" s="33"/>
      <c r="C8258" s="31"/>
      <c r="D8258" s="31"/>
      <c r="E8258" s="31"/>
      <c r="F8258" s="691"/>
      <c r="G8258" s="75"/>
      <c r="H8258" s="31"/>
    </row>
    <row r="8259" spans="2:8" hidden="1">
      <c r="B8259" s="33"/>
      <c r="C8259" s="31"/>
      <c r="D8259" s="31"/>
      <c r="E8259" s="31"/>
      <c r="F8259" s="691"/>
      <c r="G8259" s="31"/>
      <c r="H8259" s="31"/>
    </row>
    <row r="8260" spans="2:8" hidden="1">
      <c r="B8260" s="33"/>
      <c r="C8260" s="31"/>
      <c r="D8260" s="31"/>
      <c r="E8260" s="31"/>
      <c r="F8260" s="691"/>
      <c r="G8260" s="31"/>
      <c r="H8260" s="31"/>
    </row>
    <row r="8261" spans="2:8" hidden="1">
      <c r="B8261" s="33"/>
      <c r="C8261" s="31"/>
      <c r="D8261" s="31"/>
      <c r="E8261" s="31"/>
      <c r="F8261" s="31"/>
      <c r="G8261" s="31"/>
      <c r="H8261" s="31"/>
    </row>
    <row r="8262" spans="2:8" hidden="1">
      <c r="B8262" s="33"/>
      <c r="C8262" s="31"/>
      <c r="D8262" s="31"/>
      <c r="E8262" s="31"/>
      <c r="F8262" s="31"/>
      <c r="G8262" s="31"/>
      <c r="H8262" s="31"/>
    </row>
    <row r="8263" spans="2:8" hidden="1">
      <c r="B8263" s="33"/>
      <c r="C8263" s="31"/>
      <c r="D8263" s="31"/>
      <c r="E8263" s="31"/>
      <c r="F8263" s="31"/>
      <c r="G8263" s="31"/>
      <c r="H8263" s="31"/>
    </row>
    <row r="8264" spans="2:8" hidden="1">
      <c r="B8264" s="33"/>
      <c r="C8264" s="31"/>
      <c r="D8264" s="31"/>
      <c r="E8264" s="31"/>
      <c r="F8264" s="31"/>
      <c r="G8264" s="31"/>
      <c r="H8264" s="31"/>
    </row>
    <row r="8265" spans="2:8" hidden="1">
      <c r="B8265" s="33"/>
      <c r="C8265" s="31"/>
      <c r="D8265" s="31"/>
      <c r="E8265" s="31"/>
      <c r="F8265" s="31"/>
      <c r="G8265" s="31"/>
      <c r="H8265" s="31"/>
    </row>
    <row r="8266" spans="2:8" hidden="1">
      <c r="B8266" s="33"/>
      <c r="C8266" s="31"/>
      <c r="D8266" s="31"/>
      <c r="E8266" s="31"/>
      <c r="F8266" s="31"/>
      <c r="G8266" s="31"/>
      <c r="H8266" s="31"/>
    </row>
    <row r="8267" spans="2:8" hidden="1">
      <c r="B8267" s="33"/>
      <c r="C8267" s="31"/>
      <c r="D8267" s="31"/>
      <c r="E8267" s="31"/>
      <c r="F8267" s="31"/>
      <c r="G8267" s="31"/>
      <c r="H8267" s="31"/>
    </row>
    <row r="8268" spans="2:8" hidden="1">
      <c r="B8268" s="33"/>
      <c r="C8268" s="31"/>
      <c r="D8268" s="33"/>
      <c r="E8268" s="31"/>
      <c r="F8268" s="33"/>
      <c r="G8268" s="33"/>
      <c r="H8268" s="31"/>
    </row>
    <row r="8269" spans="2:8" hidden="1">
      <c r="B8269" s="33"/>
      <c r="C8269" s="31"/>
      <c r="D8269" s="33"/>
      <c r="E8269" s="33"/>
      <c r="F8269" s="33"/>
      <c r="G8269" s="33"/>
      <c r="H8269" s="31"/>
    </row>
    <row r="8270" spans="2:8" hidden="1">
      <c r="B8270" s="33"/>
      <c r="C8270" s="31"/>
      <c r="D8270" s="31"/>
      <c r="E8270" s="31"/>
      <c r="F8270" s="31"/>
      <c r="G8270" s="31"/>
      <c r="H8270" s="31"/>
    </row>
    <row r="8271" spans="2:8" hidden="1">
      <c r="B8271" s="200"/>
      <c r="C8271" s="31"/>
      <c r="D8271" s="75"/>
      <c r="E8271" s="31"/>
      <c r="F8271" s="33"/>
      <c r="G8271" s="33"/>
      <c r="H8271" s="31"/>
    </row>
    <row r="8272" spans="2:8" hidden="1">
      <c r="B8272" s="200"/>
      <c r="C8272" s="31"/>
      <c r="D8272" s="75"/>
      <c r="E8272" s="31"/>
      <c r="F8272" s="31"/>
      <c r="G8272" s="31"/>
      <c r="H8272" s="31"/>
    </row>
    <row r="8273" spans="2:8" hidden="1">
      <c r="B8273" s="200"/>
      <c r="C8273" s="31"/>
      <c r="D8273" s="75"/>
      <c r="E8273" s="31"/>
      <c r="F8273" s="33"/>
      <c r="G8273" s="33"/>
      <c r="H8273" s="31"/>
    </row>
    <row r="8274" spans="2:8" hidden="1">
      <c r="B8274" s="200"/>
      <c r="C8274" s="31"/>
      <c r="D8274" s="75"/>
      <c r="E8274" s="31"/>
      <c r="F8274" s="31"/>
      <c r="G8274" s="31"/>
      <c r="H8274" s="31"/>
    </row>
    <row r="8275" spans="2:8" hidden="1">
      <c r="B8275" s="33"/>
      <c r="C8275" s="31"/>
      <c r="D8275" s="31"/>
      <c r="E8275" s="31"/>
      <c r="F8275" s="31"/>
      <c r="G8275" s="31"/>
      <c r="H8275" s="31"/>
    </row>
    <row r="8276" spans="2:8" hidden="1">
      <c r="B8276" s="200"/>
      <c r="C8276" s="31"/>
      <c r="D8276" s="75"/>
      <c r="E8276" s="771"/>
      <c r="F8276" s="31"/>
      <c r="G8276" s="31"/>
      <c r="H8276" s="31"/>
    </row>
    <row r="8277" spans="2:8" hidden="1">
      <c r="B8277" s="200"/>
      <c r="C8277" s="31"/>
      <c r="D8277" s="75"/>
      <c r="E8277" s="771"/>
      <c r="F8277" s="33"/>
      <c r="G8277" s="33"/>
      <c r="H8277" s="31"/>
    </row>
    <row r="8278" spans="2:8" hidden="1">
      <c r="B8278" s="200"/>
      <c r="C8278" s="31"/>
      <c r="D8278" s="75"/>
      <c r="E8278" s="771"/>
      <c r="F8278" s="771"/>
      <c r="G8278" s="31"/>
      <c r="H8278" s="31"/>
    </row>
    <row r="8279" spans="2:8" hidden="1">
      <c r="B8279" s="200"/>
      <c r="C8279" s="31"/>
      <c r="D8279" s="75"/>
      <c r="E8279" s="771"/>
      <c r="F8279" s="771"/>
      <c r="G8279" s="31"/>
      <c r="H8279" s="31"/>
    </row>
    <row r="8280" spans="2:8" hidden="1">
      <c r="B8280" s="200"/>
      <c r="C8280" s="31"/>
      <c r="D8280" s="75"/>
      <c r="E8280" s="771"/>
      <c r="F8280" s="771"/>
      <c r="G8280" s="31"/>
      <c r="H8280" s="31"/>
    </row>
    <row r="8281" spans="2:8" hidden="1">
      <c r="B8281" s="200"/>
      <c r="C8281" s="31"/>
      <c r="D8281" s="75"/>
      <c r="E8281" s="771"/>
      <c r="F8281" s="771"/>
      <c r="G8281" s="31"/>
      <c r="H8281" s="31"/>
    </row>
    <row r="8282" spans="2:8" hidden="1">
      <c r="B8282" s="200"/>
      <c r="C8282" s="31"/>
      <c r="D8282" s="75"/>
      <c r="E8282" s="771"/>
      <c r="F8282" s="771"/>
      <c r="G8282" s="31"/>
      <c r="H8282" s="31"/>
    </row>
    <row r="8283" spans="2:8" hidden="1">
      <c r="B8283" s="200"/>
      <c r="C8283" s="31"/>
      <c r="D8283" s="75"/>
      <c r="E8283" s="771"/>
      <c r="F8283" s="772"/>
      <c r="G8283" s="33"/>
      <c r="H8283" s="31"/>
    </row>
    <row r="8284" spans="2:8" hidden="1">
      <c r="B8284" s="200"/>
      <c r="C8284" s="31"/>
      <c r="D8284" s="75"/>
      <c r="E8284" s="771"/>
      <c r="F8284" s="771"/>
      <c r="G8284" s="31"/>
      <c r="H8284" s="31"/>
    </row>
    <row r="8285" spans="2:8" hidden="1">
      <c r="B8285" s="200"/>
      <c r="C8285" s="31"/>
      <c r="D8285" s="75"/>
      <c r="E8285" s="771"/>
      <c r="F8285" s="771"/>
      <c r="G8285" s="31"/>
      <c r="H8285" s="31"/>
    </row>
    <row r="8286" spans="2:8" hidden="1">
      <c r="B8286" s="200"/>
      <c r="C8286" s="31"/>
      <c r="D8286" s="75"/>
      <c r="E8286" s="771"/>
      <c r="F8286" s="771"/>
      <c r="G8286" s="31"/>
      <c r="H8286" s="31"/>
    </row>
    <row r="8287" spans="2:8" hidden="1">
      <c r="B8287" s="200"/>
      <c r="C8287" s="31"/>
      <c r="D8287" s="75"/>
      <c r="E8287" s="771"/>
      <c r="F8287" s="772"/>
      <c r="G8287" s="33"/>
      <c r="H8287" s="31"/>
    </row>
    <row r="8288" spans="2:8" hidden="1">
      <c r="B8288" s="200"/>
      <c r="C8288" s="31"/>
      <c r="D8288" s="75"/>
      <c r="E8288" s="771"/>
      <c r="F8288" s="771"/>
      <c r="G8288" s="31"/>
      <c r="H8288" s="31"/>
    </row>
    <row r="8289" spans="2:8" hidden="1">
      <c r="B8289" s="200"/>
      <c r="C8289" s="31"/>
      <c r="D8289" s="75"/>
      <c r="E8289" s="771"/>
      <c r="F8289" s="771"/>
      <c r="G8289" s="31"/>
      <c r="H8289" s="31"/>
    </row>
    <row r="8290" spans="2:8" hidden="1">
      <c r="B8290" s="200"/>
      <c r="C8290" s="31"/>
      <c r="D8290" s="75"/>
      <c r="E8290" s="771"/>
      <c r="F8290" s="771"/>
      <c r="G8290" s="31"/>
      <c r="H8290" s="31"/>
    </row>
    <row r="8291" spans="2:8" hidden="1">
      <c r="B8291" s="200"/>
      <c r="C8291" s="31"/>
      <c r="D8291" s="75"/>
      <c r="E8291" s="771"/>
      <c r="F8291" s="771"/>
      <c r="G8291" s="31"/>
      <c r="H8291" s="31"/>
    </row>
    <row r="8292" spans="2:8" hidden="1">
      <c r="B8292" s="200"/>
      <c r="C8292" s="31"/>
      <c r="D8292" s="75"/>
      <c r="E8292" s="771"/>
      <c r="F8292" s="771"/>
      <c r="G8292" s="31"/>
      <c r="H8292" s="31"/>
    </row>
    <row r="8293" spans="2:8" hidden="1">
      <c r="B8293" s="200"/>
      <c r="C8293" s="31"/>
      <c r="D8293" s="75"/>
      <c r="E8293" s="771"/>
      <c r="F8293" s="772"/>
      <c r="G8293" s="33"/>
      <c r="H8293" s="31"/>
    </row>
    <row r="8294" spans="2:8" hidden="1">
      <c r="B8294" s="200"/>
      <c r="C8294" s="31"/>
      <c r="D8294" s="75"/>
      <c r="E8294" s="771"/>
      <c r="F8294" s="771"/>
      <c r="G8294" s="31"/>
      <c r="H8294" s="31"/>
    </row>
    <row r="8295" spans="2:8" hidden="1">
      <c r="B8295" s="200"/>
      <c r="C8295" s="31"/>
      <c r="D8295" s="75"/>
      <c r="E8295" s="771"/>
      <c r="F8295" s="771"/>
      <c r="G8295" s="31"/>
      <c r="H8295" s="31"/>
    </row>
    <row r="8296" spans="2:8" hidden="1">
      <c r="B8296" s="200"/>
      <c r="C8296" s="31"/>
      <c r="D8296" s="75"/>
      <c r="E8296" s="771"/>
      <c r="F8296" s="771"/>
      <c r="G8296" s="31"/>
      <c r="H8296" s="31"/>
    </row>
    <row r="8297" spans="2:8" hidden="1">
      <c r="B8297" s="200"/>
      <c r="C8297" s="31"/>
      <c r="D8297" s="75"/>
      <c r="E8297" s="772"/>
      <c r="F8297" s="772"/>
      <c r="G8297" s="33"/>
      <c r="H8297" s="31"/>
    </row>
    <row r="8298" spans="2:8" hidden="1">
      <c r="B8298" s="200"/>
      <c r="C8298" s="31"/>
      <c r="D8298" s="75"/>
      <c r="E8298" s="771"/>
      <c r="F8298" s="771"/>
      <c r="G8298" s="31"/>
      <c r="H8298" s="31"/>
    </row>
    <row r="8299" spans="2:8" hidden="1">
      <c r="B8299" s="200"/>
      <c r="C8299" s="31"/>
      <c r="D8299" s="75"/>
      <c r="E8299" s="771"/>
      <c r="F8299" s="771"/>
      <c r="G8299" s="31"/>
      <c r="H8299" s="31"/>
    </row>
    <row r="8300" spans="2:8" hidden="1">
      <c r="B8300" s="200"/>
      <c r="C8300" s="31"/>
      <c r="D8300" s="75"/>
      <c r="E8300" s="771"/>
      <c r="F8300" s="772"/>
      <c r="G8300" s="33"/>
      <c r="H8300" s="31"/>
    </row>
    <row r="8301" spans="2:8" hidden="1">
      <c r="B8301" s="200"/>
      <c r="C8301" s="31"/>
      <c r="D8301" s="75"/>
      <c r="E8301" s="771"/>
      <c r="F8301" s="771"/>
      <c r="G8301" s="31"/>
      <c r="H8301" s="31"/>
    </row>
    <row r="8302" spans="2:8" hidden="1">
      <c r="B8302" s="200"/>
      <c r="C8302" s="31"/>
      <c r="D8302" s="75"/>
      <c r="E8302" s="772"/>
      <c r="F8302" s="772"/>
      <c r="G8302" s="33"/>
      <c r="H8302" s="31"/>
    </row>
    <row r="8303" spans="2:8" hidden="1">
      <c r="B8303" s="200"/>
      <c r="C8303" s="31"/>
      <c r="D8303" s="75"/>
      <c r="E8303" s="771"/>
      <c r="F8303" s="772"/>
      <c r="G8303" s="33"/>
      <c r="H8303" s="31"/>
    </row>
    <row r="8304" spans="2:8" hidden="1">
      <c r="B8304" s="200"/>
      <c r="C8304" s="31"/>
      <c r="D8304" s="75"/>
      <c r="E8304" s="771"/>
      <c r="F8304" s="771"/>
      <c r="G8304" s="31"/>
      <c r="H8304" s="31"/>
    </row>
    <row r="8305" spans="2:8" hidden="1">
      <c r="B8305" s="200"/>
      <c r="C8305" s="31"/>
      <c r="D8305" s="75"/>
      <c r="E8305" s="771"/>
      <c r="F8305" s="771"/>
      <c r="G8305" s="31"/>
      <c r="H8305" s="31"/>
    </row>
    <row r="8306" spans="2:8" hidden="1">
      <c r="B8306" s="200"/>
      <c r="C8306" s="31"/>
      <c r="D8306" s="75"/>
      <c r="E8306" s="771"/>
      <c r="F8306" s="771"/>
      <c r="G8306" s="31"/>
      <c r="H8306" s="31"/>
    </row>
    <row r="8307" spans="2:8" hidden="1">
      <c r="B8307" s="200"/>
      <c r="C8307" s="31"/>
      <c r="D8307" s="75"/>
      <c r="E8307" s="771"/>
      <c r="F8307" s="771"/>
      <c r="G8307" s="31"/>
      <c r="H8307" s="31"/>
    </row>
    <row r="8308" spans="2:8" hidden="1">
      <c r="B8308" s="200"/>
      <c r="C8308" s="31"/>
      <c r="D8308" s="75"/>
      <c r="E8308" s="771"/>
      <c r="F8308" s="771"/>
      <c r="G8308" s="31"/>
      <c r="H8308" s="31"/>
    </row>
    <row r="8309" spans="2:8" hidden="1">
      <c r="B8309" s="200"/>
      <c r="C8309" s="31"/>
      <c r="D8309" s="75"/>
      <c r="E8309" s="771"/>
      <c r="F8309" s="771"/>
      <c r="G8309" s="31"/>
      <c r="H8309" s="31"/>
    </row>
    <row r="8310" spans="2:8" hidden="1">
      <c r="B8310" s="200"/>
      <c r="C8310" s="31"/>
      <c r="D8310" s="75"/>
      <c r="E8310" s="771"/>
      <c r="F8310" s="771"/>
      <c r="G8310" s="31"/>
      <c r="H8310" s="31"/>
    </row>
    <row r="8311" spans="2:8" hidden="1">
      <c r="B8311" s="200"/>
      <c r="C8311" s="31"/>
      <c r="D8311" s="75"/>
      <c r="E8311" s="771"/>
      <c r="F8311" s="771"/>
      <c r="G8311" s="31"/>
      <c r="H8311" s="31"/>
    </row>
    <row r="8312" spans="2:8" hidden="1">
      <c r="B8312" s="200"/>
      <c r="C8312" s="31"/>
      <c r="D8312" s="75"/>
      <c r="E8312" s="771"/>
      <c r="F8312" s="772"/>
      <c r="G8312" s="33"/>
      <c r="H8312" s="31"/>
    </row>
    <row r="8313" spans="2:8" hidden="1">
      <c r="B8313" s="200"/>
      <c r="C8313" s="31"/>
      <c r="D8313" s="75"/>
      <c r="E8313" s="771"/>
      <c r="F8313" s="771"/>
      <c r="G8313" s="31"/>
      <c r="H8313" s="31"/>
    </row>
    <row r="8314" spans="2:8" hidden="1">
      <c r="B8314" s="200"/>
      <c r="C8314" s="31"/>
      <c r="D8314" s="75"/>
      <c r="E8314" s="771"/>
      <c r="F8314" s="771"/>
      <c r="G8314" s="31"/>
      <c r="H8314" s="31"/>
    </row>
    <row r="8315" spans="2:8" hidden="1">
      <c r="B8315" s="200"/>
      <c r="C8315" s="31"/>
      <c r="D8315" s="75"/>
      <c r="E8315" s="771"/>
      <c r="F8315" s="771"/>
      <c r="G8315" s="31"/>
      <c r="H8315" s="31"/>
    </row>
    <row r="8316" spans="2:8" hidden="1">
      <c r="B8316" s="200"/>
      <c r="C8316" s="31"/>
      <c r="D8316" s="75"/>
      <c r="E8316" s="771"/>
      <c r="F8316" s="771"/>
      <c r="G8316" s="31"/>
      <c r="H8316" s="31"/>
    </row>
    <row r="8317" spans="2:8" hidden="1">
      <c r="B8317" s="200"/>
      <c r="C8317" s="31"/>
      <c r="D8317" s="75"/>
      <c r="E8317" s="771"/>
      <c r="F8317" s="771"/>
      <c r="G8317" s="31"/>
      <c r="H8317" s="31"/>
    </row>
    <row r="8318" spans="2:8" hidden="1">
      <c r="B8318" s="200"/>
      <c r="C8318" s="31"/>
      <c r="D8318" s="75"/>
      <c r="E8318" s="771"/>
      <c r="F8318" s="771"/>
      <c r="G8318" s="31"/>
      <c r="H8318" s="31"/>
    </row>
    <row r="8319" spans="2:8" hidden="1">
      <c r="B8319" s="200"/>
      <c r="C8319" s="31"/>
      <c r="D8319" s="75"/>
      <c r="E8319" s="771"/>
      <c r="F8319" s="771"/>
      <c r="G8319" s="31"/>
      <c r="H8319" s="31"/>
    </row>
    <row r="8320" spans="2:8" hidden="1">
      <c r="B8320" s="200"/>
      <c r="C8320" s="31"/>
      <c r="D8320" s="75"/>
      <c r="E8320" s="771"/>
      <c r="F8320" s="772"/>
      <c r="G8320" s="33"/>
      <c r="H8320" s="31"/>
    </row>
    <row r="8321" spans="2:8" hidden="1">
      <c r="B8321" s="200"/>
      <c r="C8321" s="31"/>
      <c r="D8321" s="75"/>
      <c r="E8321" s="771"/>
      <c r="F8321" s="771"/>
      <c r="G8321" s="31"/>
      <c r="H8321" s="31"/>
    </row>
    <row r="8322" spans="2:8" hidden="1">
      <c r="B8322" s="200"/>
      <c r="C8322" s="31"/>
      <c r="D8322" s="75"/>
      <c r="E8322" s="771"/>
      <c r="F8322" s="771"/>
      <c r="G8322" s="31"/>
      <c r="H8322" s="31"/>
    </row>
    <row r="8323" spans="2:8" hidden="1">
      <c r="B8323" s="200"/>
      <c r="C8323" s="31"/>
      <c r="D8323" s="75"/>
      <c r="E8323" s="771"/>
      <c r="F8323" s="771"/>
      <c r="G8323" s="31"/>
      <c r="H8323" s="31"/>
    </row>
    <row r="8324" spans="2:8" hidden="1">
      <c r="B8324" s="200"/>
      <c r="C8324" s="31"/>
      <c r="D8324" s="75"/>
      <c r="E8324" s="771"/>
      <c r="F8324" s="771"/>
      <c r="G8324" s="31"/>
      <c r="H8324" s="31"/>
    </row>
    <row r="8325" spans="2:8" hidden="1">
      <c r="B8325" s="200"/>
      <c r="C8325" s="31"/>
      <c r="D8325" s="75"/>
      <c r="E8325" s="771"/>
      <c r="F8325" s="771"/>
      <c r="G8325" s="31"/>
      <c r="H8325" s="31"/>
    </row>
    <row r="8326" spans="2:8" hidden="1">
      <c r="B8326" s="200"/>
      <c r="C8326" s="31"/>
      <c r="D8326" s="75"/>
      <c r="E8326" s="771"/>
      <c r="F8326" s="771"/>
      <c r="G8326" s="31"/>
      <c r="H8326" s="31"/>
    </row>
    <row r="8327" spans="2:8" hidden="1">
      <c r="B8327" s="200"/>
      <c r="C8327" s="31"/>
      <c r="D8327" s="75"/>
      <c r="E8327" s="771"/>
      <c r="F8327" s="771"/>
      <c r="G8327" s="31"/>
      <c r="H8327" s="31"/>
    </row>
    <row r="8328" spans="2:8" hidden="1">
      <c r="B8328" s="200"/>
      <c r="C8328" s="31"/>
      <c r="D8328" s="75"/>
      <c r="E8328" s="771"/>
      <c r="F8328" s="771"/>
      <c r="G8328" s="31"/>
      <c r="H8328" s="31"/>
    </row>
    <row r="8329" spans="2:8" hidden="1">
      <c r="B8329" s="200"/>
      <c r="C8329" s="31"/>
      <c r="D8329" s="75"/>
      <c r="E8329" s="31"/>
      <c r="F8329" s="771"/>
      <c r="G8329" s="31"/>
      <c r="H8329" s="31"/>
    </row>
    <row r="8330" spans="2:8" hidden="1">
      <c r="B8330" s="200"/>
      <c r="C8330" s="31"/>
      <c r="D8330" s="75"/>
      <c r="E8330" s="31"/>
      <c r="F8330" s="771"/>
      <c r="G8330" s="31"/>
      <c r="H8330" s="31"/>
    </row>
    <row r="8331" spans="2:8" hidden="1">
      <c r="B8331" s="200"/>
      <c r="C8331" s="31"/>
      <c r="D8331" s="75"/>
      <c r="E8331" s="31"/>
      <c r="F8331" s="771"/>
      <c r="G8331" s="31"/>
      <c r="H8331" s="31"/>
    </row>
    <row r="8332" spans="2:8" hidden="1">
      <c r="B8332" s="200"/>
      <c r="C8332" s="31"/>
      <c r="D8332" s="75"/>
      <c r="E8332" s="31"/>
      <c r="F8332" s="771"/>
      <c r="G8332" s="31"/>
      <c r="H8332" s="31"/>
    </row>
    <row r="8333" spans="2:8" hidden="1">
      <c r="B8333" s="200"/>
      <c r="C8333" s="31"/>
      <c r="D8333" s="75"/>
      <c r="E8333" s="33"/>
      <c r="F8333" s="772"/>
      <c r="G8333" s="33"/>
      <c r="H8333" s="31"/>
    </row>
    <row r="8334" spans="2:8" hidden="1">
      <c r="B8334" s="200"/>
      <c r="C8334" s="31"/>
      <c r="D8334" s="75"/>
      <c r="E8334" s="31"/>
      <c r="F8334" s="771"/>
      <c r="G8334" s="31"/>
      <c r="H8334" s="31"/>
    </row>
    <row r="8335" spans="2:8" hidden="1">
      <c r="B8335" s="200"/>
      <c r="C8335" s="31"/>
      <c r="D8335" s="75"/>
      <c r="E8335" s="31"/>
      <c r="F8335" s="771"/>
      <c r="G8335" s="31"/>
      <c r="H8335" s="31"/>
    </row>
    <row r="8336" spans="2:8" hidden="1">
      <c r="B8336" s="200"/>
      <c r="C8336" s="31"/>
      <c r="D8336" s="75"/>
      <c r="E8336" s="33"/>
      <c r="F8336" s="772"/>
      <c r="G8336" s="33"/>
      <c r="H8336" s="31"/>
    </row>
    <row r="8337" spans="2:8" hidden="1">
      <c r="B8337" s="200"/>
      <c r="C8337" s="31"/>
      <c r="D8337" s="75"/>
      <c r="E8337" s="31"/>
      <c r="F8337" s="771"/>
      <c r="G8337" s="31"/>
      <c r="H8337" s="31"/>
    </row>
    <row r="8338" spans="2:8" hidden="1">
      <c r="B8338" s="33"/>
      <c r="C8338" s="200"/>
      <c r="D8338" s="75"/>
      <c r="E8338" s="31"/>
      <c r="F8338" s="771"/>
      <c r="G8338" s="31"/>
      <c r="H8338" s="31"/>
    </row>
    <row r="8339" spans="2:8" hidden="1">
      <c r="B8339" s="33"/>
      <c r="C8339" s="31"/>
      <c r="D8339" s="104"/>
      <c r="E8339" s="33"/>
      <c r="F8339" s="772"/>
      <c r="G8339" s="33"/>
      <c r="H8339" s="31"/>
    </row>
    <row r="8340" spans="2:8" hidden="1">
      <c r="B8340" s="33"/>
      <c r="C8340" s="31"/>
      <c r="D8340" s="33"/>
      <c r="E8340" s="33"/>
      <c r="F8340" s="33"/>
      <c r="G8340" s="33"/>
      <c r="H8340" s="31"/>
    </row>
    <row r="8341" spans="2:8" hidden="1">
      <c r="B8341" s="405"/>
      <c r="C8341" s="31"/>
      <c r="D8341" s="31"/>
      <c r="E8341" s="31"/>
      <c r="F8341" s="31"/>
      <c r="G8341" s="31"/>
      <c r="H8341" s="31"/>
    </row>
    <row r="8342" spans="2:8" hidden="1">
      <c r="B8342" s="405"/>
      <c r="C8342" s="31"/>
      <c r="D8342" s="31"/>
      <c r="E8342" s="31"/>
      <c r="F8342" s="691"/>
      <c r="G8342" s="75"/>
      <c r="H8342" s="31"/>
    </row>
    <row r="8343" spans="2:8" hidden="1">
      <c r="B8343" s="405"/>
      <c r="C8343" s="31"/>
      <c r="D8343" s="31"/>
      <c r="E8343" s="31"/>
      <c r="F8343" s="691"/>
      <c r="G8343" s="75"/>
      <c r="H8343" s="31"/>
    </row>
    <row r="8344" spans="2:8" hidden="1">
      <c r="B8344" s="405"/>
      <c r="C8344" s="31"/>
      <c r="D8344" s="31"/>
      <c r="E8344" s="31"/>
      <c r="F8344" s="691"/>
      <c r="G8344" s="75"/>
      <c r="H8344" s="31"/>
    </row>
    <row r="8345" spans="2:8" hidden="1">
      <c r="B8345" s="405"/>
      <c r="C8345" s="31"/>
      <c r="D8345" s="31"/>
      <c r="E8345" s="31"/>
      <c r="F8345" s="691"/>
      <c r="G8345" s="75"/>
      <c r="H8345" s="31"/>
    </row>
    <row r="8346" spans="2:8" hidden="1">
      <c r="B8346" s="405"/>
      <c r="C8346" s="31"/>
      <c r="D8346" s="31"/>
      <c r="E8346" s="31"/>
      <c r="F8346" s="691"/>
      <c r="G8346" s="75"/>
      <c r="H8346" s="31"/>
    </row>
    <row r="8347" spans="2:8" hidden="1">
      <c r="B8347" s="405"/>
      <c r="C8347" s="31"/>
      <c r="D8347" s="31"/>
      <c r="E8347" s="31"/>
      <c r="F8347" s="691"/>
      <c r="G8347" s="75"/>
      <c r="H8347" s="31"/>
    </row>
    <row r="8348" spans="2:8" hidden="1">
      <c r="B8348" s="405"/>
      <c r="C8348" s="31"/>
      <c r="D8348" s="31"/>
      <c r="E8348" s="31"/>
      <c r="F8348" s="691"/>
      <c r="G8348" s="31"/>
      <c r="H8348" s="31"/>
    </row>
    <row r="8349" spans="2:8" hidden="1">
      <c r="B8349" s="33"/>
      <c r="C8349" s="31"/>
      <c r="D8349" s="31"/>
      <c r="E8349" s="31"/>
      <c r="F8349" s="691"/>
      <c r="G8349" s="75"/>
      <c r="H8349" s="31"/>
    </row>
    <row r="8350" spans="2:8" hidden="1">
      <c r="B8350" s="33"/>
      <c r="C8350" s="31"/>
      <c r="D8350" s="31"/>
      <c r="E8350" s="31"/>
      <c r="F8350" s="691"/>
      <c r="G8350" s="75"/>
      <c r="H8350" s="31"/>
    </row>
    <row r="8351" spans="2:8" hidden="1">
      <c r="B8351" s="33"/>
      <c r="C8351" s="31"/>
      <c r="D8351" s="31"/>
      <c r="E8351" s="31"/>
      <c r="F8351" s="691"/>
      <c r="G8351" s="31"/>
      <c r="H8351" s="31"/>
    </row>
    <row r="8352" spans="2:8" hidden="1">
      <c r="B8352" s="33"/>
      <c r="C8352" s="31"/>
      <c r="D8352" s="31"/>
      <c r="E8352" s="31"/>
      <c r="F8352" s="691"/>
      <c r="G8352" s="31"/>
      <c r="H8352" s="31"/>
    </row>
    <row r="8353" spans="2:8" hidden="1">
      <c r="B8353" s="33"/>
      <c r="C8353" s="31"/>
      <c r="D8353" s="31"/>
      <c r="E8353" s="31"/>
      <c r="F8353" s="31"/>
      <c r="G8353" s="31"/>
      <c r="H8353" s="31"/>
    </row>
    <row r="8354" spans="2:8" hidden="1">
      <c r="B8354" s="33"/>
      <c r="C8354" s="31"/>
      <c r="D8354" s="31"/>
      <c r="E8354" s="31"/>
      <c r="F8354" s="31"/>
      <c r="G8354" s="31"/>
      <c r="H8354" s="31"/>
    </row>
    <row r="8355" spans="2:8" hidden="1">
      <c r="B8355" s="33"/>
      <c r="C8355" s="31"/>
      <c r="D8355" s="31"/>
      <c r="E8355" s="31"/>
      <c r="F8355" s="31"/>
      <c r="G8355" s="31"/>
      <c r="H8355" s="31"/>
    </row>
    <row r="8356" spans="2:8" hidden="1">
      <c r="B8356" s="33"/>
      <c r="C8356" s="31"/>
      <c r="D8356" s="31"/>
      <c r="E8356" s="31"/>
      <c r="F8356" s="31"/>
      <c r="G8356" s="31"/>
      <c r="H8356" s="31"/>
    </row>
    <row r="8357" spans="2:8" hidden="1">
      <c r="B8357" s="33"/>
      <c r="C8357" s="31"/>
      <c r="D8357" s="31"/>
      <c r="E8357" s="31"/>
      <c r="F8357" s="31"/>
      <c r="G8357" s="31"/>
      <c r="H8357" s="31"/>
    </row>
    <row r="8358" spans="2:8" hidden="1">
      <c r="B8358" s="33"/>
      <c r="C8358" s="31"/>
      <c r="D8358" s="31"/>
      <c r="E8358" s="31"/>
      <c r="F8358" s="31"/>
      <c r="G8358" s="31"/>
      <c r="H8358" s="31"/>
    </row>
    <row r="8359" spans="2:8" hidden="1">
      <c r="B8359" s="33"/>
      <c r="C8359" s="31"/>
      <c r="D8359" s="31"/>
      <c r="E8359" s="31"/>
      <c r="F8359" s="31"/>
      <c r="G8359" s="31"/>
      <c r="H8359" s="31"/>
    </row>
    <row r="8360" spans="2:8" hidden="1">
      <c r="B8360" s="33"/>
      <c r="C8360" s="31"/>
      <c r="D8360" s="31"/>
      <c r="E8360" s="31"/>
      <c r="F8360" s="31"/>
      <c r="G8360" s="31"/>
      <c r="H8360" s="31"/>
    </row>
    <row r="8361" spans="2:8" hidden="1">
      <c r="B8361" s="33"/>
      <c r="C8361" s="31"/>
      <c r="D8361" s="33"/>
      <c r="E8361" s="31"/>
      <c r="F8361" s="33"/>
      <c r="G8361" s="33"/>
      <c r="H8361" s="31"/>
    </row>
    <row r="8362" spans="2:8" hidden="1">
      <c r="B8362" s="33"/>
      <c r="C8362" s="31"/>
      <c r="D8362" s="33"/>
      <c r="E8362" s="33"/>
      <c r="F8362" s="33"/>
      <c r="G8362" s="33"/>
      <c r="H8362" s="31"/>
    </row>
    <row r="8363" spans="2:8" hidden="1">
      <c r="B8363" s="33"/>
      <c r="C8363" s="31"/>
      <c r="D8363" s="31"/>
      <c r="E8363" s="31"/>
      <c r="F8363" s="31"/>
      <c r="G8363" s="31"/>
      <c r="H8363" s="31"/>
    </row>
    <row r="8364" spans="2:8" hidden="1">
      <c r="B8364" s="30"/>
      <c r="C8364" s="31"/>
      <c r="D8364" s="75"/>
      <c r="E8364" s="771"/>
      <c r="F8364" s="33"/>
      <c r="G8364" s="33"/>
      <c r="H8364" s="31"/>
    </row>
    <row r="8365" spans="2:8" hidden="1">
      <c r="B8365" s="30"/>
      <c r="C8365" s="31"/>
      <c r="D8365" s="75"/>
      <c r="E8365" s="771"/>
      <c r="F8365" s="771"/>
      <c r="G8365" s="31"/>
      <c r="H8365" s="31"/>
    </row>
    <row r="8366" spans="2:8" hidden="1">
      <c r="B8366" s="30"/>
      <c r="C8366" s="31"/>
      <c r="D8366" s="75"/>
      <c r="E8366" s="771"/>
      <c r="F8366" s="771"/>
      <c r="G8366" s="31"/>
      <c r="H8366" s="31"/>
    </row>
    <row r="8367" spans="2:8" hidden="1">
      <c r="B8367" s="30"/>
      <c r="C8367" s="31"/>
      <c r="D8367" s="75"/>
      <c r="E8367" s="771"/>
      <c r="F8367" s="771"/>
      <c r="G8367" s="31"/>
      <c r="H8367" s="31"/>
    </row>
    <row r="8368" spans="2:8" hidden="1">
      <c r="B8368" s="30"/>
      <c r="C8368" s="31"/>
      <c r="D8368" s="75"/>
      <c r="E8368" s="771"/>
      <c r="F8368" s="771"/>
      <c r="G8368" s="31"/>
      <c r="H8368" s="31"/>
    </row>
    <row r="8369" spans="2:8" hidden="1">
      <c r="B8369" s="30"/>
      <c r="C8369" s="31"/>
      <c r="D8369" s="75"/>
      <c r="E8369" s="771"/>
      <c r="F8369" s="771"/>
      <c r="G8369" s="31"/>
      <c r="H8369" s="31"/>
    </row>
    <row r="8370" spans="2:8" hidden="1">
      <c r="B8370" s="30"/>
      <c r="C8370" s="31"/>
      <c r="D8370" s="75"/>
      <c r="E8370" s="771"/>
      <c r="F8370" s="771"/>
      <c r="G8370" s="31"/>
      <c r="H8370" s="31"/>
    </row>
    <row r="8371" spans="2:8" hidden="1">
      <c r="B8371" s="30"/>
      <c r="C8371" s="31"/>
      <c r="D8371" s="75"/>
      <c r="E8371" s="771"/>
      <c r="F8371" s="771"/>
      <c r="G8371" s="31"/>
      <c r="H8371" s="31"/>
    </row>
    <row r="8372" spans="2:8" hidden="1">
      <c r="B8372" s="30"/>
      <c r="C8372" s="31"/>
      <c r="D8372" s="75"/>
      <c r="E8372" s="771"/>
      <c r="F8372" s="771"/>
      <c r="G8372" s="31"/>
      <c r="H8372" s="31"/>
    </row>
    <row r="8373" spans="2:8" hidden="1">
      <c r="B8373" s="30"/>
      <c r="C8373" s="31"/>
      <c r="D8373" s="75"/>
      <c r="E8373" s="771"/>
      <c r="F8373" s="771"/>
      <c r="G8373" s="31"/>
      <c r="H8373" s="31"/>
    </row>
    <row r="8374" spans="2:8" hidden="1">
      <c r="B8374" s="30"/>
      <c r="C8374" s="31"/>
      <c r="D8374" s="75"/>
      <c r="E8374" s="771"/>
      <c r="F8374" s="771"/>
      <c r="G8374" s="31"/>
      <c r="H8374" s="31"/>
    </row>
    <row r="8375" spans="2:8" hidden="1">
      <c r="B8375" s="30"/>
      <c r="C8375" s="31"/>
      <c r="D8375" s="75"/>
      <c r="E8375" s="771"/>
      <c r="F8375" s="771"/>
      <c r="G8375" s="31"/>
      <c r="H8375" s="31"/>
    </row>
    <row r="8376" spans="2:8" hidden="1">
      <c r="B8376" s="30"/>
      <c r="C8376" s="31"/>
      <c r="D8376" s="75"/>
      <c r="E8376" s="771"/>
      <c r="F8376" s="771"/>
      <c r="G8376" s="31"/>
      <c r="H8376" s="31"/>
    </row>
    <row r="8377" spans="2:8" hidden="1">
      <c r="B8377" s="30"/>
      <c r="C8377" s="31"/>
      <c r="D8377" s="75"/>
      <c r="E8377" s="771"/>
      <c r="F8377" s="771"/>
      <c r="G8377" s="31"/>
      <c r="H8377" s="31"/>
    </row>
    <row r="8378" spans="2:8" hidden="1">
      <c r="B8378" s="30"/>
      <c r="C8378" s="31"/>
      <c r="D8378" s="75"/>
      <c r="E8378" s="771"/>
      <c r="F8378" s="771"/>
      <c r="G8378" s="31"/>
      <c r="H8378" s="31"/>
    </row>
    <row r="8379" spans="2:8" hidden="1">
      <c r="B8379" s="30"/>
      <c r="C8379" s="31"/>
      <c r="D8379" s="75"/>
      <c r="E8379" s="771"/>
      <c r="F8379" s="771"/>
      <c r="G8379" s="31"/>
      <c r="H8379" s="31"/>
    </row>
    <row r="8380" spans="2:8" hidden="1">
      <c r="B8380" s="30"/>
      <c r="C8380" s="31"/>
      <c r="D8380" s="75"/>
      <c r="E8380" s="771"/>
      <c r="F8380" s="771"/>
      <c r="G8380" s="31"/>
      <c r="H8380" s="31"/>
    </row>
    <row r="8381" spans="2:8" hidden="1">
      <c r="B8381" s="30"/>
      <c r="C8381" s="31"/>
      <c r="D8381" s="75"/>
      <c r="E8381" s="771"/>
      <c r="F8381" s="771"/>
      <c r="G8381" s="31"/>
      <c r="H8381" s="31"/>
    </row>
    <row r="8382" spans="2:8" hidden="1">
      <c r="B8382" s="30"/>
      <c r="C8382" s="31"/>
      <c r="D8382" s="75"/>
      <c r="E8382" s="771"/>
      <c r="F8382" s="771"/>
      <c r="G8382" s="31"/>
      <c r="H8382" s="31"/>
    </row>
    <row r="8383" spans="2:8" hidden="1">
      <c r="B8383" s="30"/>
      <c r="C8383" s="31"/>
      <c r="D8383" s="75"/>
      <c r="E8383" s="771"/>
      <c r="F8383" s="772"/>
      <c r="G8383" s="33"/>
      <c r="H8383" s="31"/>
    </row>
    <row r="8384" spans="2:8" hidden="1">
      <c r="B8384" s="30"/>
      <c r="C8384" s="31"/>
      <c r="D8384" s="75"/>
      <c r="E8384" s="771"/>
      <c r="F8384" s="771"/>
      <c r="G8384" s="31"/>
      <c r="H8384" s="31"/>
    </row>
    <row r="8385" spans="2:8" hidden="1">
      <c r="B8385" s="30"/>
      <c r="C8385" s="31"/>
      <c r="D8385" s="75"/>
      <c r="E8385" s="771"/>
      <c r="F8385" s="772"/>
      <c r="G8385" s="33"/>
      <c r="H8385" s="31"/>
    </row>
    <row r="8386" spans="2:8" hidden="1">
      <c r="B8386" s="30"/>
      <c r="C8386" s="31"/>
      <c r="D8386" s="75"/>
      <c r="E8386" s="771"/>
      <c r="F8386" s="31"/>
      <c r="G8386" s="31"/>
      <c r="H8386" s="31"/>
    </row>
    <row r="8387" spans="2:8" hidden="1">
      <c r="B8387" s="30"/>
      <c r="C8387" s="31"/>
      <c r="D8387" s="75"/>
      <c r="E8387" s="771"/>
      <c r="F8387" s="33"/>
      <c r="G8387" s="33"/>
      <c r="H8387" s="31"/>
    </row>
    <row r="8388" spans="2:8" hidden="1">
      <c r="B8388" s="30"/>
      <c r="C8388" s="31"/>
      <c r="D8388" s="75"/>
      <c r="E8388" s="771"/>
      <c r="F8388" s="33"/>
      <c r="G8388" s="33"/>
      <c r="H8388" s="31"/>
    </row>
    <row r="8389" spans="2:8" hidden="1">
      <c r="B8389" s="30"/>
      <c r="C8389" s="31"/>
      <c r="D8389" s="75"/>
      <c r="E8389" s="771"/>
      <c r="F8389" s="31"/>
      <c r="G8389" s="31"/>
      <c r="H8389" s="31"/>
    </row>
    <row r="8390" spans="2:8" hidden="1">
      <c r="B8390" s="30"/>
      <c r="C8390" s="31"/>
      <c r="D8390" s="75"/>
      <c r="E8390" s="771"/>
      <c r="F8390" s="31"/>
      <c r="G8390" s="31"/>
      <c r="H8390" s="31"/>
    </row>
    <row r="8391" spans="2:8" hidden="1">
      <c r="B8391" s="30"/>
      <c r="C8391" s="31"/>
      <c r="D8391" s="75"/>
      <c r="E8391" s="771"/>
      <c r="F8391" s="31"/>
      <c r="G8391" s="31"/>
      <c r="H8391" s="31"/>
    </row>
    <row r="8392" spans="2:8" hidden="1">
      <c r="B8392" s="30"/>
      <c r="C8392" s="31"/>
      <c r="D8392" s="75"/>
      <c r="E8392" s="772"/>
      <c r="F8392" s="33"/>
      <c r="G8392" s="33"/>
      <c r="H8392" s="31"/>
    </row>
    <row r="8393" spans="2:8" hidden="1">
      <c r="B8393" s="30"/>
      <c r="C8393" s="31"/>
      <c r="D8393" s="75"/>
      <c r="E8393" s="771"/>
      <c r="F8393" s="31"/>
      <c r="G8393" s="31"/>
      <c r="H8393" s="31"/>
    </row>
    <row r="8394" spans="2:8" hidden="1">
      <c r="B8394" s="30"/>
      <c r="C8394" s="31"/>
      <c r="D8394" s="75"/>
      <c r="E8394" s="771"/>
      <c r="F8394" s="31"/>
      <c r="G8394" s="31"/>
      <c r="H8394" s="31"/>
    </row>
    <row r="8395" spans="2:8" hidden="1">
      <c r="B8395" s="30"/>
      <c r="C8395" s="31"/>
      <c r="D8395" s="75"/>
      <c r="E8395" s="772"/>
      <c r="F8395" s="33"/>
      <c r="G8395" s="33"/>
      <c r="H8395" s="31"/>
    </row>
    <row r="8396" spans="2:8" hidden="1">
      <c r="B8396" s="30"/>
      <c r="C8396" s="31"/>
      <c r="D8396" s="75"/>
      <c r="E8396" s="772"/>
      <c r="F8396" s="33"/>
      <c r="G8396" s="33"/>
      <c r="H8396" s="31"/>
    </row>
    <row r="8397" spans="2:8" hidden="1">
      <c r="B8397" s="30"/>
      <c r="C8397" s="31"/>
      <c r="D8397" s="75"/>
      <c r="E8397" s="771"/>
      <c r="F8397" s="31"/>
      <c r="G8397" s="31"/>
      <c r="H8397" s="31"/>
    </row>
    <row r="8398" spans="2:8" hidden="1">
      <c r="B8398" s="30"/>
      <c r="C8398" s="31"/>
      <c r="D8398" s="75"/>
      <c r="E8398" s="772"/>
      <c r="F8398" s="772"/>
      <c r="G8398" s="772"/>
      <c r="H8398" s="31"/>
    </row>
    <row r="8399" spans="2:8" hidden="1">
      <c r="B8399" s="33"/>
      <c r="C8399" s="31"/>
      <c r="D8399" s="31"/>
      <c r="E8399" s="31"/>
      <c r="F8399" s="31"/>
      <c r="G8399" s="31"/>
      <c r="H8399" s="31"/>
    </row>
    <row r="8400" spans="2:8" hidden="1">
      <c r="B8400" s="30"/>
      <c r="C8400" s="31"/>
      <c r="D8400" s="75"/>
      <c r="E8400" s="772"/>
      <c r="F8400" s="772"/>
      <c r="G8400" s="772"/>
      <c r="H8400" s="31"/>
    </row>
    <row r="8401" spans="2:8" hidden="1">
      <c r="B8401" s="30"/>
      <c r="C8401" s="31"/>
      <c r="D8401" s="75"/>
      <c r="E8401" s="772"/>
      <c r="F8401" s="772"/>
      <c r="G8401" s="772"/>
      <c r="H8401" s="31"/>
    </row>
    <row r="8402" spans="2:8" hidden="1">
      <c r="B8402" s="30"/>
      <c r="C8402" s="31"/>
      <c r="D8402" s="75"/>
      <c r="E8402" s="772"/>
      <c r="F8402" s="772"/>
      <c r="G8402" s="772"/>
      <c r="H8402" s="31"/>
    </row>
    <row r="8403" spans="2:8" hidden="1">
      <c r="B8403" s="30"/>
      <c r="C8403" s="31"/>
      <c r="D8403" s="75"/>
      <c r="E8403" s="772"/>
      <c r="F8403" s="772"/>
      <c r="G8403" s="772"/>
      <c r="H8403" s="31"/>
    </row>
    <row r="8404" spans="2:8" hidden="1">
      <c r="B8404" s="30"/>
      <c r="C8404" s="31"/>
      <c r="D8404" s="75"/>
      <c r="E8404" s="772"/>
      <c r="F8404" s="772"/>
      <c r="G8404" s="772"/>
      <c r="H8404" s="31"/>
    </row>
    <row r="8405" spans="2:8" hidden="1">
      <c r="B8405" s="30"/>
      <c r="C8405" s="31"/>
      <c r="D8405" s="75"/>
      <c r="E8405" s="772"/>
      <c r="F8405" s="772"/>
      <c r="G8405" s="772"/>
      <c r="H8405" s="31"/>
    </row>
    <row r="8406" spans="2:8" hidden="1">
      <c r="B8406" s="30"/>
      <c r="C8406" s="31"/>
      <c r="D8406" s="75"/>
      <c r="E8406" s="31"/>
      <c r="F8406" s="772"/>
      <c r="G8406" s="772"/>
      <c r="H8406" s="31"/>
    </row>
    <row r="8407" spans="2:8" hidden="1">
      <c r="B8407" s="30"/>
      <c r="C8407" s="31"/>
      <c r="D8407" s="75"/>
      <c r="E8407" s="772"/>
      <c r="F8407" s="772"/>
      <c r="G8407" s="772"/>
      <c r="H8407" s="31"/>
    </row>
    <row r="8408" spans="2:8" hidden="1">
      <c r="B8408" s="30"/>
      <c r="C8408" s="31"/>
      <c r="D8408" s="75"/>
      <c r="E8408" s="772"/>
      <c r="F8408" s="772"/>
      <c r="G8408" s="772"/>
      <c r="H8408" s="31"/>
    </row>
    <row r="8409" spans="2:8" hidden="1">
      <c r="B8409" s="33"/>
      <c r="C8409" s="31"/>
      <c r="D8409" s="31"/>
      <c r="E8409" s="31"/>
      <c r="F8409" s="31"/>
      <c r="G8409" s="31"/>
      <c r="H8409" s="31"/>
    </row>
    <row r="8410" spans="2:8" hidden="1">
      <c r="B8410" s="30"/>
      <c r="C8410" s="31"/>
      <c r="D8410" s="33"/>
      <c r="E8410" s="33"/>
      <c r="F8410" s="33"/>
      <c r="G8410" s="33"/>
      <c r="H8410" s="31"/>
    </row>
    <row r="8411" spans="2:8" hidden="1">
      <c r="B8411" s="30"/>
      <c r="C8411" s="31"/>
      <c r="D8411" s="33"/>
      <c r="E8411" s="33"/>
      <c r="F8411" s="33"/>
      <c r="G8411" s="33"/>
      <c r="H8411" s="31"/>
    </row>
    <row r="8412" spans="2:8" hidden="1">
      <c r="B8412" s="30"/>
      <c r="C8412" s="31"/>
      <c r="D8412" s="33"/>
      <c r="E8412" s="33"/>
      <c r="F8412" s="33"/>
      <c r="G8412" s="33"/>
      <c r="H8412" s="31"/>
    </row>
    <row r="8413" spans="2:8" hidden="1">
      <c r="B8413" s="30"/>
      <c r="C8413" s="31"/>
      <c r="D8413" s="33"/>
      <c r="E8413" s="33"/>
      <c r="F8413" s="33"/>
      <c r="G8413" s="33"/>
      <c r="H8413" s="31"/>
    </row>
    <row r="8414" spans="2:8" hidden="1">
      <c r="B8414" s="30"/>
      <c r="C8414" s="31"/>
      <c r="D8414" s="75"/>
      <c r="E8414" s="31"/>
      <c r="F8414" s="33"/>
      <c r="G8414" s="33"/>
      <c r="H8414" s="31"/>
    </row>
    <row r="8415" spans="2:8" hidden="1">
      <c r="B8415" s="30"/>
      <c r="C8415" s="31"/>
      <c r="D8415" s="75"/>
      <c r="E8415" s="31"/>
      <c r="F8415" s="33"/>
      <c r="G8415" s="33"/>
      <c r="H8415" s="31"/>
    </row>
    <row r="8416" spans="2:8" hidden="1">
      <c r="B8416" s="30"/>
      <c r="C8416" s="31"/>
      <c r="D8416" s="75"/>
      <c r="E8416" s="31"/>
      <c r="F8416" s="33"/>
      <c r="G8416" s="33"/>
      <c r="H8416" s="31"/>
    </row>
    <row r="8417" spans="2:8" hidden="1">
      <c r="B8417" s="30"/>
      <c r="C8417" s="31"/>
      <c r="D8417" s="75"/>
      <c r="E8417" s="33"/>
      <c r="F8417" s="33"/>
      <c r="G8417" s="33"/>
      <c r="H8417" s="31"/>
    </row>
    <row r="8418" spans="2:8" hidden="1">
      <c r="B8418" s="30"/>
      <c r="C8418" s="31"/>
      <c r="D8418" s="75"/>
      <c r="E8418" s="31"/>
      <c r="F8418" s="33"/>
      <c r="G8418" s="33"/>
      <c r="H8418" s="31"/>
    </row>
    <row r="8419" spans="2:8" hidden="1">
      <c r="B8419" s="30"/>
      <c r="C8419" s="31"/>
      <c r="D8419" s="75"/>
      <c r="E8419" s="33"/>
      <c r="F8419" s="33"/>
      <c r="G8419" s="33"/>
      <c r="H8419" s="31"/>
    </row>
    <row r="8420" spans="2:8" hidden="1">
      <c r="B8420" s="30"/>
      <c r="C8420" s="31"/>
      <c r="D8420" s="75"/>
      <c r="E8420" s="33"/>
      <c r="F8420" s="33"/>
      <c r="G8420" s="33"/>
      <c r="H8420" s="31"/>
    </row>
    <row r="8421" spans="2:8" hidden="1">
      <c r="B8421" s="33"/>
      <c r="C8421" s="200"/>
      <c r="D8421" s="75"/>
      <c r="E8421" s="31"/>
      <c r="F8421" s="31"/>
      <c r="G8421" s="31"/>
      <c r="H8421" s="31"/>
    </row>
    <row r="8422" spans="2:8" hidden="1">
      <c r="B8422" s="33"/>
      <c r="C8422" s="31"/>
      <c r="D8422" s="75"/>
      <c r="E8422" s="31"/>
      <c r="F8422" s="31"/>
      <c r="G8422" s="31"/>
      <c r="H8422" s="31"/>
    </row>
    <row r="8423" spans="2:8" hidden="1">
      <c r="B8423" s="33"/>
      <c r="C8423" s="31"/>
      <c r="D8423" s="31"/>
      <c r="E8423" s="31"/>
      <c r="F8423" s="31"/>
      <c r="G8423" s="31"/>
      <c r="H8423" s="31"/>
    </row>
    <row r="8424" spans="2:8" hidden="1">
      <c r="B8424" s="405"/>
      <c r="C8424" s="31"/>
      <c r="D8424" s="31"/>
      <c r="E8424" s="31"/>
      <c r="F8424" s="31"/>
      <c r="G8424" s="31"/>
      <c r="H8424" s="31"/>
    </row>
    <row r="8425" spans="2:8" hidden="1">
      <c r="B8425" s="405"/>
      <c r="C8425" s="31"/>
      <c r="D8425" s="31"/>
      <c r="E8425" s="31"/>
      <c r="F8425" s="691"/>
      <c r="G8425" s="75"/>
      <c r="H8425" s="31"/>
    </row>
    <row r="8426" spans="2:8" hidden="1">
      <c r="B8426" s="405"/>
      <c r="C8426" s="31"/>
      <c r="D8426" s="31"/>
      <c r="E8426" s="31"/>
      <c r="F8426" s="691"/>
      <c r="G8426" s="75"/>
      <c r="H8426" s="31"/>
    </row>
    <row r="8427" spans="2:8" hidden="1">
      <c r="B8427" s="405"/>
      <c r="C8427" s="31"/>
      <c r="D8427" s="31"/>
      <c r="E8427" s="31"/>
      <c r="F8427" s="691"/>
      <c r="G8427" s="75"/>
      <c r="H8427" s="31"/>
    </row>
    <row r="8428" spans="2:8" hidden="1">
      <c r="B8428" s="405"/>
      <c r="C8428" s="31"/>
      <c r="D8428" s="31"/>
      <c r="E8428" s="31"/>
      <c r="F8428" s="691"/>
      <c r="G8428" s="75"/>
      <c r="H8428" s="31"/>
    </row>
    <row r="8429" spans="2:8" hidden="1">
      <c r="B8429" s="405"/>
      <c r="C8429" s="31"/>
      <c r="D8429" s="31"/>
      <c r="E8429" s="31"/>
      <c r="F8429" s="691"/>
      <c r="G8429" s="75"/>
      <c r="H8429" s="31"/>
    </row>
    <row r="8430" spans="2:8" hidden="1">
      <c r="B8430" s="405"/>
      <c r="C8430" s="31"/>
      <c r="D8430" s="31"/>
      <c r="E8430" s="31"/>
      <c r="F8430" s="691"/>
      <c r="G8430" s="75"/>
      <c r="H8430" s="31"/>
    </row>
    <row r="8431" spans="2:8" hidden="1">
      <c r="B8431" s="33"/>
      <c r="C8431" s="31"/>
      <c r="D8431" s="31"/>
      <c r="E8431" s="31"/>
      <c r="F8431" s="691"/>
      <c r="G8431" s="75"/>
      <c r="H8431" s="31"/>
    </row>
    <row r="8432" spans="2:8" hidden="1">
      <c r="B8432" s="405"/>
      <c r="C8432" s="31"/>
      <c r="D8432" s="31"/>
      <c r="E8432" s="31"/>
      <c r="F8432" s="31"/>
      <c r="G8432" s="75"/>
      <c r="H8432" s="31"/>
    </row>
    <row r="8433" spans="2:8" hidden="1">
      <c r="B8433" s="405"/>
      <c r="C8433" s="31"/>
      <c r="D8433" s="31"/>
      <c r="E8433" s="31"/>
      <c r="F8433" s="691"/>
      <c r="G8433" s="75"/>
      <c r="H8433" s="31"/>
    </row>
    <row r="8434" spans="2:8" hidden="1">
      <c r="B8434" s="405"/>
      <c r="C8434" s="31"/>
      <c r="D8434" s="31"/>
      <c r="E8434" s="31"/>
      <c r="F8434" s="691"/>
      <c r="G8434" s="75"/>
      <c r="H8434" s="31"/>
    </row>
    <row r="8435" spans="2:8" hidden="1">
      <c r="B8435" s="405"/>
      <c r="C8435" s="31"/>
      <c r="D8435" s="31"/>
      <c r="E8435" s="31"/>
      <c r="F8435" s="691"/>
      <c r="G8435" s="75"/>
      <c r="H8435" s="31"/>
    </row>
    <row r="8436" spans="2:8" hidden="1">
      <c r="B8436" s="405"/>
      <c r="C8436" s="31"/>
      <c r="D8436" s="31"/>
      <c r="E8436" s="31"/>
      <c r="F8436" s="691"/>
      <c r="G8436" s="31"/>
      <c r="H8436" s="31"/>
    </row>
    <row r="8437" spans="2:8" hidden="1">
      <c r="B8437" s="405"/>
      <c r="C8437" s="31"/>
      <c r="D8437" s="31"/>
      <c r="E8437" s="31"/>
      <c r="F8437" s="691"/>
      <c r="G8437" s="31"/>
      <c r="H8437" s="31"/>
    </row>
    <row r="8438" spans="2:8" hidden="1">
      <c r="B8438" s="405"/>
      <c r="C8438" s="31"/>
      <c r="D8438" s="31"/>
      <c r="E8438" s="31"/>
      <c r="F8438" s="691"/>
      <c r="G8438" s="75"/>
      <c r="H8438" s="31"/>
    </row>
    <row r="8439" spans="2:8" hidden="1">
      <c r="B8439" s="405"/>
      <c r="C8439" s="31"/>
      <c r="D8439" s="31"/>
      <c r="E8439" s="31"/>
      <c r="F8439" s="691"/>
      <c r="G8439" s="75"/>
      <c r="H8439" s="31"/>
    </row>
    <row r="8440" spans="2:8" hidden="1">
      <c r="B8440" s="405"/>
      <c r="C8440" s="31"/>
      <c r="D8440" s="31"/>
      <c r="E8440" s="31"/>
      <c r="F8440" s="691"/>
      <c r="G8440" s="75"/>
      <c r="H8440" s="31"/>
    </row>
    <row r="8441" spans="2:8" hidden="1">
      <c r="B8441" s="405"/>
      <c r="C8441" s="31"/>
      <c r="D8441" s="31"/>
      <c r="E8441" s="31"/>
      <c r="F8441" s="691"/>
      <c r="G8441" s="75"/>
      <c r="H8441" s="31"/>
    </row>
    <row r="8442" spans="2:8" hidden="1">
      <c r="B8442" s="405"/>
      <c r="C8442" s="31"/>
      <c r="D8442" s="31"/>
      <c r="E8442" s="31"/>
      <c r="F8442" s="691"/>
      <c r="G8442" s="75"/>
      <c r="H8442" s="31"/>
    </row>
    <row r="8443" spans="2:8" hidden="1">
      <c r="B8443" s="405"/>
      <c r="C8443" s="31"/>
      <c r="D8443" s="31"/>
      <c r="E8443" s="31"/>
      <c r="F8443" s="691"/>
      <c r="G8443" s="75"/>
      <c r="H8443" s="31"/>
    </row>
    <row r="8444" spans="2:8" hidden="1">
      <c r="B8444" s="33"/>
      <c r="C8444" s="31"/>
      <c r="D8444" s="31"/>
      <c r="E8444" s="31"/>
      <c r="F8444" s="691"/>
      <c r="G8444" s="75"/>
      <c r="H8444" s="31"/>
    </row>
    <row r="8445" spans="2:8" hidden="1">
      <c r="B8445" s="33"/>
      <c r="C8445" s="31"/>
      <c r="D8445" s="31"/>
      <c r="E8445" s="31"/>
      <c r="F8445" s="691"/>
      <c r="G8445" s="75"/>
      <c r="H8445" s="31"/>
    </row>
    <row r="8446" spans="2:8" hidden="1">
      <c r="B8446" s="33"/>
      <c r="C8446" s="31"/>
      <c r="D8446" s="31"/>
      <c r="E8446" s="31"/>
      <c r="F8446" s="691"/>
      <c r="G8446" s="31"/>
      <c r="H8446" s="31"/>
    </row>
    <row r="8447" spans="2:8" hidden="1">
      <c r="B8447" s="33"/>
      <c r="C8447" s="31"/>
      <c r="D8447" s="31"/>
      <c r="E8447" s="31"/>
      <c r="F8447" s="31"/>
      <c r="G8447" s="31"/>
      <c r="H8447" s="31"/>
    </row>
    <row r="8448" spans="2:8" hidden="1">
      <c r="B8448" s="33"/>
      <c r="C8448" s="31"/>
      <c r="D8448" s="31"/>
      <c r="E8448" s="31"/>
      <c r="F8448" s="31"/>
      <c r="G8448" s="31"/>
      <c r="H8448" s="31"/>
    </row>
    <row r="8449" spans="2:8" hidden="1">
      <c r="B8449" s="33"/>
      <c r="C8449" s="31"/>
      <c r="D8449" s="31"/>
      <c r="E8449" s="31"/>
      <c r="F8449" s="31"/>
      <c r="G8449" s="31"/>
      <c r="H8449" s="31"/>
    </row>
    <row r="8450" spans="2:8" hidden="1">
      <c r="B8450" s="33"/>
      <c r="C8450" s="31"/>
      <c r="D8450" s="31"/>
      <c r="E8450" s="31"/>
      <c r="F8450" s="31"/>
      <c r="G8450" s="31"/>
      <c r="H8450" s="31"/>
    </row>
    <row r="8451" spans="2:8" hidden="1">
      <c r="B8451" s="33"/>
      <c r="C8451" s="31"/>
      <c r="D8451" s="31"/>
      <c r="E8451" s="31"/>
      <c r="F8451" s="31"/>
      <c r="G8451" s="31"/>
      <c r="H8451" s="31"/>
    </row>
    <row r="8452" spans="2:8" hidden="1">
      <c r="B8452" s="33"/>
      <c r="C8452" s="31"/>
      <c r="D8452" s="31"/>
      <c r="E8452" s="31"/>
      <c r="F8452" s="31"/>
      <c r="G8452" s="31"/>
      <c r="H8452" s="31"/>
    </row>
    <row r="8453" spans="2:8" hidden="1">
      <c r="B8453" s="33"/>
      <c r="C8453" s="31"/>
      <c r="D8453" s="31"/>
      <c r="E8453" s="31"/>
      <c r="F8453" s="31"/>
      <c r="G8453" s="31"/>
      <c r="H8453" s="31"/>
    </row>
    <row r="8454" spans="2:8" hidden="1">
      <c r="B8454" s="33"/>
      <c r="C8454" s="31"/>
      <c r="D8454" s="31"/>
      <c r="E8454" s="31"/>
      <c r="F8454" s="31"/>
      <c r="G8454" s="31"/>
      <c r="H8454" s="31"/>
    </row>
    <row r="8455" spans="2:8" hidden="1">
      <c r="B8455" s="33"/>
      <c r="C8455" s="31"/>
      <c r="D8455" s="33"/>
      <c r="E8455" s="31"/>
      <c r="F8455" s="33"/>
      <c r="G8455" s="33"/>
      <c r="H8455" s="31"/>
    </row>
    <row r="8456" spans="2:8" hidden="1">
      <c r="B8456" s="33"/>
      <c r="C8456" s="31"/>
      <c r="D8456" s="33"/>
      <c r="E8456" s="33"/>
      <c r="F8456" s="33"/>
      <c r="G8456" s="33"/>
      <c r="H8456" s="31"/>
    </row>
    <row r="8457" spans="2:8" hidden="1">
      <c r="B8457" s="200"/>
      <c r="C8457" s="31"/>
      <c r="D8457" s="75"/>
      <c r="E8457" s="771"/>
      <c r="F8457" s="771"/>
      <c r="G8457" s="31"/>
      <c r="H8457" s="31"/>
    </row>
    <row r="8458" spans="2:8" hidden="1">
      <c r="B8458" s="200"/>
      <c r="C8458" s="31"/>
      <c r="D8458" s="75"/>
      <c r="E8458" s="771"/>
      <c r="F8458" s="771"/>
      <c r="G8458" s="31"/>
      <c r="H8458" s="31"/>
    </row>
    <row r="8459" spans="2:8" hidden="1">
      <c r="B8459" s="200"/>
      <c r="C8459" s="31"/>
      <c r="D8459" s="75"/>
      <c r="E8459" s="771"/>
      <c r="F8459" s="771"/>
      <c r="G8459" s="31"/>
      <c r="H8459" s="31"/>
    </row>
    <row r="8460" spans="2:8" hidden="1">
      <c r="B8460" s="200"/>
      <c r="C8460" s="31"/>
      <c r="D8460" s="75"/>
      <c r="E8460" s="771"/>
      <c r="F8460" s="771"/>
      <c r="G8460" s="31"/>
      <c r="H8460" s="31"/>
    </row>
    <row r="8461" spans="2:8" hidden="1">
      <c r="B8461" s="200"/>
      <c r="C8461" s="31"/>
      <c r="D8461" s="75"/>
      <c r="E8461" s="771"/>
      <c r="F8461" s="771"/>
      <c r="G8461" s="31"/>
      <c r="H8461" s="31"/>
    </row>
    <row r="8462" spans="2:8" hidden="1">
      <c r="B8462" s="200"/>
      <c r="C8462" s="31"/>
      <c r="D8462" s="75"/>
      <c r="E8462" s="771"/>
      <c r="F8462" s="771"/>
      <c r="G8462" s="31"/>
      <c r="H8462" s="31"/>
    </row>
    <row r="8463" spans="2:8" hidden="1">
      <c r="B8463" s="200"/>
      <c r="C8463" s="31"/>
      <c r="D8463" s="75"/>
      <c r="E8463" s="771"/>
      <c r="F8463" s="771"/>
      <c r="G8463" s="31"/>
      <c r="H8463" s="31"/>
    </row>
    <row r="8464" spans="2:8" hidden="1">
      <c r="B8464" s="200"/>
      <c r="C8464" s="31"/>
      <c r="D8464" s="75"/>
      <c r="E8464" s="772"/>
      <c r="F8464" s="771"/>
      <c r="G8464" s="31"/>
      <c r="H8464" s="31"/>
    </row>
    <row r="8465" spans="2:8" hidden="1">
      <c r="B8465" s="200"/>
      <c r="C8465" s="31"/>
      <c r="D8465" s="75"/>
      <c r="E8465" s="771"/>
      <c r="F8465" s="772"/>
      <c r="G8465" s="33"/>
      <c r="H8465" s="31"/>
    </row>
    <row r="8466" spans="2:8" hidden="1">
      <c r="B8466" s="200"/>
      <c r="C8466" s="31"/>
      <c r="D8466" s="75"/>
      <c r="E8466" s="771"/>
      <c r="F8466" s="771"/>
      <c r="G8466" s="31"/>
      <c r="H8466" s="31"/>
    </row>
    <row r="8467" spans="2:8" hidden="1">
      <c r="B8467" s="200"/>
      <c r="C8467" s="31"/>
      <c r="D8467" s="75"/>
      <c r="E8467" s="771"/>
      <c r="F8467" s="771"/>
      <c r="G8467" s="31"/>
      <c r="H8467" s="31"/>
    </row>
    <row r="8468" spans="2:8" hidden="1">
      <c r="B8468" s="200"/>
      <c r="C8468" s="31"/>
      <c r="D8468" s="75"/>
      <c r="E8468" s="772"/>
      <c r="F8468" s="772"/>
      <c r="G8468" s="33"/>
      <c r="H8468" s="31"/>
    </row>
    <row r="8469" spans="2:8" hidden="1">
      <c r="B8469" s="200"/>
      <c r="C8469" s="31"/>
      <c r="D8469" s="75"/>
      <c r="E8469" s="771"/>
      <c r="F8469" s="771"/>
      <c r="G8469" s="31"/>
      <c r="H8469" s="31"/>
    </row>
    <row r="8470" spans="2:8" hidden="1">
      <c r="B8470" s="200"/>
      <c r="C8470" s="31"/>
      <c r="D8470" s="75"/>
      <c r="E8470" s="772"/>
      <c r="F8470" s="772"/>
      <c r="G8470" s="33"/>
      <c r="H8470" s="31"/>
    </row>
    <row r="8471" spans="2:8" hidden="1">
      <c r="B8471" s="200"/>
      <c r="C8471" s="31"/>
      <c r="D8471" s="75"/>
      <c r="E8471" s="772"/>
      <c r="F8471" s="772"/>
      <c r="G8471" s="33"/>
      <c r="H8471" s="31"/>
    </row>
    <row r="8472" spans="2:8" hidden="1">
      <c r="B8472" s="200"/>
      <c r="C8472" s="31"/>
      <c r="D8472" s="75"/>
      <c r="E8472" s="771"/>
      <c r="F8472" s="772"/>
      <c r="G8472" s="33"/>
      <c r="H8472" s="31"/>
    </row>
    <row r="8473" spans="2:8" hidden="1">
      <c r="B8473" s="200"/>
      <c r="C8473" s="31"/>
      <c r="D8473" s="75"/>
      <c r="E8473" s="771"/>
      <c r="F8473" s="771"/>
      <c r="G8473" s="31"/>
      <c r="H8473" s="31"/>
    </row>
    <row r="8474" spans="2:8" hidden="1">
      <c r="B8474" s="200"/>
      <c r="C8474" s="31"/>
      <c r="D8474" s="75"/>
      <c r="E8474" s="771"/>
      <c r="F8474" s="772"/>
      <c r="G8474" s="33"/>
      <c r="H8474" s="31"/>
    </row>
    <row r="8475" spans="2:8" hidden="1">
      <c r="B8475" s="200"/>
      <c r="C8475" s="31"/>
      <c r="D8475" s="75"/>
      <c r="E8475" s="771"/>
      <c r="F8475" s="772"/>
      <c r="G8475" s="33"/>
      <c r="H8475" s="31"/>
    </row>
    <row r="8476" spans="2:8" hidden="1">
      <c r="B8476" s="200"/>
      <c r="C8476" s="31"/>
      <c r="D8476" s="75"/>
      <c r="E8476" s="771"/>
      <c r="F8476" s="772"/>
      <c r="G8476" s="33"/>
      <c r="H8476" s="31"/>
    </row>
    <row r="8477" spans="2:8" hidden="1">
      <c r="B8477" s="200"/>
      <c r="C8477" s="31"/>
      <c r="D8477" s="75"/>
      <c r="E8477" s="772"/>
      <c r="F8477" s="772"/>
      <c r="G8477" s="33"/>
      <c r="H8477" s="31"/>
    </row>
    <row r="8478" spans="2:8" hidden="1">
      <c r="B8478" s="200"/>
      <c r="C8478" s="31"/>
      <c r="D8478" s="75"/>
      <c r="E8478" s="772"/>
      <c r="F8478" s="772"/>
      <c r="G8478" s="33"/>
      <c r="H8478" s="31"/>
    </row>
    <row r="8479" spans="2:8" hidden="1">
      <c r="B8479" s="200"/>
      <c r="C8479" s="31"/>
      <c r="D8479" s="75"/>
      <c r="E8479" s="772"/>
      <c r="F8479" s="772"/>
      <c r="G8479" s="33"/>
      <c r="H8479" s="31"/>
    </row>
    <row r="8480" spans="2:8" hidden="1">
      <c r="B8480" s="200"/>
      <c r="C8480" s="31"/>
      <c r="D8480" s="75"/>
      <c r="E8480" s="771"/>
      <c r="F8480" s="772"/>
      <c r="G8480" s="33"/>
      <c r="H8480" s="31"/>
    </row>
    <row r="8481" spans="2:8" hidden="1">
      <c r="B8481" s="200"/>
      <c r="C8481" s="31"/>
      <c r="D8481" s="75"/>
      <c r="E8481" s="771"/>
      <c r="F8481" s="771"/>
      <c r="G8481" s="31"/>
      <c r="H8481" s="31"/>
    </row>
    <row r="8482" spans="2:8" hidden="1">
      <c r="B8482" s="200"/>
      <c r="C8482" s="31"/>
      <c r="D8482" s="75"/>
      <c r="E8482" s="771"/>
      <c r="F8482" s="771"/>
      <c r="G8482" s="31"/>
      <c r="H8482" s="31"/>
    </row>
    <row r="8483" spans="2:8" hidden="1">
      <c r="B8483" s="200"/>
      <c r="C8483" s="31"/>
      <c r="D8483" s="75"/>
      <c r="E8483" s="771"/>
      <c r="F8483" s="771"/>
      <c r="G8483" s="31"/>
      <c r="H8483" s="31"/>
    </row>
    <row r="8484" spans="2:8" hidden="1">
      <c r="B8484" s="200"/>
      <c r="C8484" s="31"/>
      <c r="D8484" s="75"/>
      <c r="E8484" s="772"/>
      <c r="F8484" s="772"/>
      <c r="G8484" s="33"/>
      <c r="H8484" s="31"/>
    </row>
    <row r="8485" spans="2:8" hidden="1">
      <c r="B8485" s="200"/>
      <c r="C8485" s="31"/>
      <c r="D8485" s="75"/>
      <c r="E8485" s="772"/>
      <c r="F8485" s="772"/>
      <c r="G8485" s="33"/>
      <c r="H8485" s="31"/>
    </row>
    <row r="8486" spans="2:8" hidden="1">
      <c r="B8486" s="200"/>
      <c r="C8486" s="31"/>
      <c r="D8486" s="75"/>
      <c r="E8486" s="771"/>
      <c r="F8486" s="772"/>
      <c r="G8486" s="33"/>
      <c r="H8486" s="31"/>
    </row>
    <row r="8487" spans="2:8" hidden="1">
      <c r="B8487" s="200"/>
      <c r="C8487" s="31"/>
      <c r="D8487" s="75"/>
      <c r="E8487" s="771"/>
      <c r="F8487" s="771"/>
      <c r="G8487" s="31"/>
      <c r="H8487" s="31"/>
    </row>
    <row r="8488" spans="2:8" hidden="1">
      <c r="B8488" s="200"/>
      <c r="C8488" s="31"/>
      <c r="D8488" s="75"/>
      <c r="E8488" s="772"/>
      <c r="F8488" s="772"/>
      <c r="G8488" s="33"/>
      <c r="H8488" s="31"/>
    </row>
    <row r="8489" spans="2:8" hidden="1">
      <c r="B8489" s="200"/>
      <c r="C8489" s="31"/>
      <c r="D8489" s="75"/>
      <c r="E8489" s="31"/>
      <c r="F8489" s="31"/>
      <c r="G8489" s="31"/>
      <c r="H8489" s="31"/>
    </row>
    <row r="8490" spans="2:8" hidden="1">
      <c r="B8490" s="33"/>
      <c r="C8490" s="200"/>
      <c r="D8490" s="75"/>
      <c r="E8490" s="31"/>
      <c r="F8490" s="31"/>
      <c r="G8490" s="31"/>
      <c r="H8490" s="31"/>
    </row>
    <row r="8491" spans="2:8" hidden="1">
      <c r="B8491" s="33"/>
      <c r="C8491" s="31"/>
      <c r="D8491" s="104"/>
      <c r="E8491" s="33"/>
      <c r="F8491" s="33"/>
      <c r="G8491" s="33"/>
      <c r="H8491" s="31"/>
    </row>
    <row r="8492" spans="2:8" hidden="1">
      <c r="B8492" s="33"/>
      <c r="C8492" s="31"/>
      <c r="D8492" s="31"/>
      <c r="E8492" s="31"/>
      <c r="F8492" s="31"/>
      <c r="G8492" s="31"/>
      <c r="H8492" s="31"/>
    </row>
    <row r="8493" spans="2:8" hidden="1">
      <c r="B8493" s="405"/>
      <c r="C8493" s="31"/>
      <c r="D8493" s="31"/>
      <c r="E8493" s="31"/>
      <c r="F8493" s="31"/>
      <c r="G8493" s="31"/>
      <c r="H8493" s="31"/>
    </row>
    <row r="8494" spans="2:8" hidden="1">
      <c r="B8494" s="405"/>
      <c r="C8494" s="31"/>
      <c r="D8494" s="31"/>
      <c r="E8494" s="31"/>
      <c r="F8494" s="691"/>
      <c r="G8494" s="75"/>
      <c r="H8494" s="31"/>
    </row>
    <row r="8495" spans="2:8" hidden="1">
      <c r="B8495" s="405"/>
      <c r="C8495" s="31"/>
      <c r="D8495" s="31"/>
      <c r="E8495" s="31"/>
      <c r="F8495" s="691"/>
      <c r="G8495" s="75"/>
      <c r="H8495" s="31"/>
    </row>
    <row r="8496" spans="2:8" hidden="1">
      <c r="B8496" s="405"/>
      <c r="C8496" s="31"/>
      <c r="D8496" s="31"/>
      <c r="E8496" s="31"/>
      <c r="F8496" s="691"/>
      <c r="G8496" s="75"/>
      <c r="H8496" s="31"/>
    </row>
    <row r="8497" spans="2:8" hidden="1">
      <c r="B8497" s="405"/>
      <c r="C8497" s="31"/>
      <c r="D8497" s="31"/>
      <c r="E8497" s="31"/>
      <c r="F8497" s="691"/>
      <c r="G8497" s="75"/>
      <c r="H8497" s="31"/>
    </row>
    <row r="8498" spans="2:8" hidden="1">
      <c r="B8498" s="405"/>
      <c r="C8498" s="31"/>
      <c r="D8498" s="31"/>
      <c r="E8498" s="31"/>
      <c r="F8498" s="691"/>
      <c r="G8498" s="75"/>
      <c r="H8498" s="31"/>
    </row>
    <row r="8499" spans="2:8" hidden="1">
      <c r="B8499" s="405"/>
      <c r="C8499" s="31"/>
      <c r="D8499" s="31"/>
      <c r="E8499" s="31"/>
      <c r="F8499" s="691"/>
      <c r="G8499" s="75"/>
      <c r="H8499" s="31"/>
    </row>
    <row r="8500" spans="2:8" hidden="1">
      <c r="B8500" s="405"/>
      <c r="C8500" s="31"/>
      <c r="D8500" s="31"/>
      <c r="E8500" s="31"/>
      <c r="F8500" s="691"/>
      <c r="G8500" s="75"/>
      <c r="H8500" s="31"/>
    </row>
    <row r="8501" spans="2:8" hidden="1">
      <c r="B8501" s="405"/>
      <c r="C8501" s="31"/>
      <c r="D8501" s="31"/>
      <c r="E8501" s="31"/>
      <c r="F8501" s="691"/>
      <c r="G8501" s="75"/>
      <c r="H8501" s="31"/>
    </row>
    <row r="8502" spans="2:8" hidden="1">
      <c r="B8502" s="405"/>
      <c r="C8502" s="31"/>
      <c r="D8502" s="31"/>
      <c r="E8502" s="31"/>
      <c r="F8502" s="691"/>
      <c r="G8502" s="75"/>
      <c r="H8502" s="31"/>
    </row>
    <row r="8503" spans="2:8" hidden="1">
      <c r="B8503" s="405"/>
      <c r="C8503" s="31"/>
      <c r="D8503" s="31"/>
      <c r="E8503" s="31"/>
      <c r="F8503" s="691"/>
      <c r="G8503" s="75"/>
      <c r="H8503" s="31"/>
    </row>
    <row r="8504" spans="2:8" hidden="1">
      <c r="B8504" s="405"/>
      <c r="C8504" s="31"/>
      <c r="D8504" s="31"/>
      <c r="E8504" s="31"/>
      <c r="F8504" s="691"/>
      <c r="G8504" s="75"/>
      <c r="H8504" s="31"/>
    </row>
    <row r="8505" spans="2:8" hidden="1">
      <c r="B8505" s="405"/>
      <c r="C8505" s="31"/>
      <c r="D8505" s="31"/>
      <c r="E8505" s="31"/>
      <c r="F8505" s="691"/>
      <c r="G8505" s="75"/>
      <c r="H8505" s="31"/>
    </row>
    <row r="8506" spans="2:8" hidden="1">
      <c r="B8506" s="405"/>
      <c r="C8506" s="31"/>
      <c r="D8506" s="31"/>
      <c r="E8506" s="31"/>
      <c r="F8506" s="691"/>
      <c r="G8506" s="75"/>
      <c r="H8506" s="31"/>
    </row>
    <row r="8507" spans="2:8" hidden="1">
      <c r="B8507" s="33"/>
      <c r="C8507" s="31"/>
      <c r="D8507" s="31"/>
      <c r="E8507" s="31"/>
      <c r="F8507" s="691"/>
      <c r="G8507" s="75"/>
      <c r="H8507" s="31"/>
    </row>
    <row r="8508" spans="2:8" hidden="1">
      <c r="B8508" s="33"/>
      <c r="C8508" s="31"/>
      <c r="D8508" s="31"/>
      <c r="E8508" s="31"/>
      <c r="F8508" s="691"/>
      <c r="G8508" s="75"/>
      <c r="H8508" s="31"/>
    </row>
    <row r="8509" spans="2:8" hidden="1">
      <c r="B8509" s="33"/>
      <c r="C8509" s="31"/>
      <c r="D8509" s="31"/>
      <c r="E8509" s="31"/>
      <c r="F8509" s="691"/>
      <c r="G8509" s="31"/>
      <c r="H8509" s="31"/>
    </row>
    <row r="8510" spans="2:8" hidden="1">
      <c r="B8510" s="33"/>
      <c r="C8510" s="31"/>
      <c r="D8510" s="31"/>
      <c r="E8510" s="31"/>
      <c r="F8510" s="31"/>
      <c r="G8510" s="31"/>
      <c r="H8510" s="31"/>
    </row>
    <row r="8511" spans="2:8" hidden="1">
      <c r="B8511" s="33"/>
      <c r="C8511" s="31"/>
      <c r="D8511" s="31"/>
      <c r="E8511" s="31"/>
      <c r="F8511" s="31"/>
      <c r="G8511" s="31"/>
      <c r="H8511" s="31"/>
    </row>
    <row r="8512" spans="2:8" hidden="1">
      <c r="B8512" s="33"/>
      <c r="C8512" s="31"/>
      <c r="D8512" s="31"/>
      <c r="E8512" s="31"/>
      <c r="F8512" s="31"/>
      <c r="G8512" s="31"/>
      <c r="H8512" s="31"/>
    </row>
    <row r="8513" spans="2:8" hidden="1">
      <c r="B8513" s="33"/>
      <c r="C8513" s="31"/>
      <c r="D8513" s="31"/>
      <c r="E8513" s="31"/>
      <c r="F8513" s="31"/>
      <c r="G8513" s="31"/>
      <c r="H8513" s="31"/>
    </row>
    <row r="8514" spans="2:8" hidden="1">
      <c r="B8514" s="33"/>
      <c r="C8514" s="31"/>
      <c r="D8514" s="31"/>
      <c r="E8514" s="31"/>
      <c r="F8514" s="31"/>
      <c r="G8514" s="31"/>
      <c r="H8514" s="31"/>
    </row>
    <row r="8515" spans="2:8" hidden="1">
      <c r="B8515" s="33"/>
      <c r="C8515" s="31"/>
      <c r="D8515" s="31"/>
      <c r="E8515" s="31"/>
      <c r="F8515" s="31"/>
      <c r="G8515" s="31"/>
      <c r="H8515" s="31"/>
    </row>
    <row r="8516" spans="2:8" hidden="1">
      <c r="B8516" s="33"/>
      <c r="C8516" s="31"/>
      <c r="D8516" s="31"/>
      <c r="E8516" s="31"/>
      <c r="F8516" s="31"/>
      <c r="G8516" s="31"/>
      <c r="H8516" s="31"/>
    </row>
    <row r="8517" spans="2:8" hidden="1">
      <c r="B8517" s="33"/>
      <c r="C8517" s="31"/>
      <c r="D8517" s="31"/>
      <c r="E8517" s="31"/>
      <c r="F8517" s="31"/>
      <c r="G8517" s="31"/>
      <c r="H8517" s="31"/>
    </row>
    <row r="8518" spans="2:8" hidden="1">
      <c r="B8518" s="33"/>
      <c r="C8518" s="31"/>
      <c r="D8518" s="33"/>
      <c r="E8518" s="31"/>
      <c r="F8518" s="33"/>
      <c r="G8518" s="33"/>
      <c r="H8518" s="31"/>
    </row>
    <row r="8519" spans="2:8" hidden="1">
      <c r="B8519" s="33"/>
      <c r="C8519" s="31"/>
      <c r="D8519" s="33"/>
      <c r="E8519" s="33"/>
      <c r="F8519" s="33"/>
      <c r="G8519" s="33"/>
      <c r="H8519" s="31"/>
    </row>
    <row r="8520" spans="2:8" hidden="1">
      <c r="B8520" s="200"/>
      <c r="C8520" s="31"/>
      <c r="D8520" s="75"/>
      <c r="E8520" s="771"/>
      <c r="F8520" s="771"/>
      <c r="G8520" s="31"/>
      <c r="H8520" s="31"/>
    </row>
    <row r="8521" spans="2:8" hidden="1">
      <c r="B8521" s="200"/>
      <c r="C8521" s="31"/>
      <c r="D8521" s="75"/>
      <c r="E8521" s="771"/>
      <c r="F8521" s="771"/>
      <c r="G8521" s="31"/>
      <c r="H8521" s="31"/>
    </row>
    <row r="8522" spans="2:8" hidden="1">
      <c r="B8522" s="200"/>
      <c r="C8522" s="31"/>
      <c r="D8522" s="75"/>
      <c r="E8522" s="771"/>
      <c r="F8522" s="772"/>
      <c r="G8522" s="33"/>
      <c r="H8522" s="31"/>
    </row>
    <row r="8523" spans="2:8" hidden="1">
      <c r="B8523" s="200"/>
      <c r="C8523" s="31"/>
      <c r="D8523" s="75"/>
      <c r="E8523" s="771"/>
      <c r="F8523" s="772"/>
      <c r="G8523" s="33"/>
      <c r="H8523" s="31"/>
    </row>
    <row r="8524" spans="2:8" hidden="1">
      <c r="B8524" s="200"/>
      <c r="C8524" s="31"/>
      <c r="D8524" s="75"/>
      <c r="E8524" s="771"/>
      <c r="F8524" s="771"/>
      <c r="G8524" s="31"/>
      <c r="H8524" s="31"/>
    </row>
    <row r="8525" spans="2:8" hidden="1">
      <c r="B8525" s="200"/>
      <c r="C8525" s="31"/>
      <c r="D8525" s="75"/>
      <c r="E8525" s="771"/>
      <c r="F8525" s="771"/>
      <c r="G8525" s="31"/>
      <c r="H8525" s="31"/>
    </row>
    <row r="8526" spans="2:8" hidden="1">
      <c r="B8526" s="200"/>
      <c r="C8526" s="31"/>
      <c r="D8526" s="75"/>
      <c r="E8526" s="771"/>
      <c r="F8526" s="772"/>
      <c r="G8526" s="33"/>
      <c r="H8526" s="31"/>
    </row>
    <row r="8527" spans="2:8" hidden="1">
      <c r="B8527" s="200"/>
      <c r="C8527" s="31"/>
      <c r="D8527" s="75"/>
      <c r="E8527" s="771"/>
      <c r="F8527" s="772"/>
      <c r="G8527" s="33"/>
      <c r="H8527" s="31"/>
    </row>
    <row r="8528" spans="2:8" hidden="1">
      <c r="B8528" s="200"/>
      <c r="C8528" s="31"/>
      <c r="D8528" s="75"/>
      <c r="E8528" s="771"/>
      <c r="F8528" s="771"/>
      <c r="G8528" s="31"/>
      <c r="H8528" s="31"/>
    </row>
    <row r="8529" spans="2:8" hidden="1">
      <c r="B8529" s="200"/>
      <c r="C8529" s="31"/>
      <c r="D8529" s="75"/>
      <c r="E8529" s="771"/>
      <c r="F8529" s="771"/>
      <c r="G8529" s="31"/>
      <c r="H8529" s="31"/>
    </row>
    <row r="8530" spans="2:8" hidden="1">
      <c r="B8530" s="200"/>
      <c r="C8530" s="31"/>
      <c r="D8530" s="75"/>
      <c r="E8530" s="771"/>
      <c r="F8530" s="771"/>
      <c r="G8530" s="31"/>
      <c r="H8530" s="31"/>
    </row>
    <row r="8531" spans="2:8" hidden="1">
      <c r="B8531" s="200"/>
      <c r="C8531" s="31"/>
      <c r="D8531" s="75"/>
      <c r="E8531" s="771"/>
      <c r="F8531" s="771"/>
      <c r="G8531" s="31"/>
      <c r="H8531" s="31"/>
    </row>
    <row r="8532" spans="2:8" hidden="1">
      <c r="B8532" s="200"/>
      <c r="C8532" s="31"/>
      <c r="D8532" s="75"/>
      <c r="E8532" s="771"/>
      <c r="F8532" s="771"/>
      <c r="G8532" s="31"/>
      <c r="H8532" s="31"/>
    </row>
    <row r="8533" spans="2:8" hidden="1">
      <c r="B8533" s="200"/>
      <c r="C8533" s="31"/>
      <c r="D8533" s="75"/>
      <c r="E8533" s="771"/>
      <c r="F8533" s="772"/>
      <c r="G8533" s="33"/>
      <c r="H8533" s="31"/>
    </row>
    <row r="8534" spans="2:8" hidden="1">
      <c r="B8534" s="200"/>
      <c r="C8534" s="31"/>
      <c r="D8534" s="75"/>
      <c r="E8534" s="771"/>
      <c r="F8534" s="772"/>
      <c r="G8534" s="33"/>
      <c r="H8534" s="31"/>
    </row>
    <row r="8535" spans="2:8" hidden="1">
      <c r="B8535" s="200"/>
      <c r="C8535" s="31"/>
      <c r="D8535" s="75"/>
      <c r="E8535" s="771"/>
      <c r="F8535" s="771"/>
      <c r="G8535" s="31"/>
      <c r="H8535" s="31"/>
    </row>
    <row r="8536" spans="2:8" hidden="1">
      <c r="B8536" s="200"/>
      <c r="C8536" s="31"/>
      <c r="D8536" s="75"/>
      <c r="E8536" s="771"/>
      <c r="F8536" s="772"/>
      <c r="G8536" s="33"/>
      <c r="H8536" s="31"/>
    </row>
    <row r="8537" spans="2:8" hidden="1">
      <c r="B8537" s="200"/>
      <c r="C8537" s="31"/>
      <c r="D8537" s="75"/>
      <c r="E8537" s="771"/>
      <c r="F8537" s="772"/>
      <c r="G8537" s="33"/>
      <c r="H8537" s="31"/>
    </row>
    <row r="8538" spans="2:8" hidden="1">
      <c r="B8538" s="200"/>
      <c r="C8538" s="31"/>
      <c r="D8538" s="75"/>
      <c r="E8538" s="771"/>
      <c r="F8538" s="771"/>
      <c r="G8538" s="31"/>
      <c r="H8538" s="31"/>
    </row>
    <row r="8539" spans="2:8" hidden="1">
      <c r="B8539" s="200"/>
      <c r="C8539" s="31"/>
      <c r="D8539" s="75"/>
      <c r="E8539" s="771"/>
      <c r="F8539" s="771"/>
      <c r="G8539" s="31"/>
      <c r="H8539" s="31"/>
    </row>
    <row r="8540" spans="2:8" hidden="1">
      <c r="B8540" s="200"/>
      <c r="C8540" s="31"/>
      <c r="D8540" s="75"/>
      <c r="E8540" s="771"/>
      <c r="F8540" s="771"/>
      <c r="G8540" s="31"/>
      <c r="H8540" s="31"/>
    </row>
    <row r="8541" spans="2:8" hidden="1">
      <c r="B8541" s="200"/>
      <c r="C8541" s="31"/>
      <c r="D8541" s="75"/>
      <c r="E8541" s="771"/>
      <c r="F8541" s="771"/>
      <c r="G8541" s="31"/>
      <c r="H8541" s="31"/>
    </row>
    <row r="8542" spans="2:8" hidden="1">
      <c r="B8542" s="200"/>
      <c r="C8542" s="31"/>
      <c r="D8542" s="75"/>
      <c r="E8542" s="771"/>
      <c r="F8542" s="771"/>
      <c r="G8542" s="31"/>
      <c r="H8542" s="31"/>
    </row>
    <row r="8543" spans="2:8" hidden="1">
      <c r="B8543" s="200"/>
      <c r="C8543" s="31"/>
      <c r="D8543" s="75"/>
      <c r="E8543" s="771"/>
      <c r="F8543" s="771"/>
      <c r="G8543" s="31"/>
      <c r="H8543" s="31"/>
    </row>
    <row r="8544" spans="2:8" hidden="1">
      <c r="B8544" s="200"/>
      <c r="C8544" s="31"/>
      <c r="D8544" s="75"/>
      <c r="E8544" s="772"/>
      <c r="F8544" s="772"/>
      <c r="G8544" s="33"/>
      <c r="H8544" s="31"/>
    </row>
    <row r="8545" spans="2:8" hidden="1">
      <c r="B8545" s="200"/>
      <c r="C8545" s="31"/>
      <c r="D8545" s="75"/>
      <c r="E8545" s="771"/>
      <c r="F8545" s="771"/>
      <c r="G8545" s="31"/>
      <c r="H8545" s="31"/>
    </row>
    <row r="8546" spans="2:8" hidden="1">
      <c r="B8546" s="200"/>
      <c r="C8546" s="31"/>
      <c r="D8546" s="75"/>
      <c r="E8546" s="771"/>
      <c r="F8546" s="33"/>
      <c r="G8546" s="33"/>
      <c r="H8546" s="31"/>
    </row>
    <row r="8547" spans="2:8" hidden="1">
      <c r="B8547" s="200"/>
      <c r="C8547" s="31"/>
      <c r="D8547" s="75"/>
      <c r="E8547" s="771"/>
      <c r="F8547" s="33"/>
      <c r="G8547" s="33"/>
      <c r="H8547" s="31"/>
    </row>
    <row r="8548" spans="2:8" hidden="1">
      <c r="B8548" s="200"/>
      <c r="C8548" s="31"/>
      <c r="D8548" s="75"/>
      <c r="E8548" s="772"/>
      <c r="F8548" s="33"/>
      <c r="G8548" s="33"/>
      <c r="H8548" s="31"/>
    </row>
    <row r="8549" spans="2:8" hidden="1">
      <c r="B8549" s="200"/>
      <c r="C8549" s="31"/>
      <c r="D8549" s="75"/>
      <c r="E8549" s="772"/>
      <c r="F8549" s="33"/>
      <c r="G8549" s="33"/>
      <c r="H8549" s="31"/>
    </row>
    <row r="8550" spans="2:8" hidden="1">
      <c r="B8550" s="33"/>
      <c r="C8550" s="200"/>
      <c r="D8550" s="75"/>
      <c r="E8550" s="771"/>
      <c r="F8550" s="31"/>
      <c r="G8550" s="31"/>
      <c r="H8550" s="31"/>
    </row>
    <row r="8551" spans="2:8" hidden="1">
      <c r="B8551" s="33"/>
      <c r="C8551" s="31"/>
      <c r="D8551" s="104"/>
      <c r="E8551" s="772"/>
      <c r="F8551" s="33"/>
      <c r="G8551" s="33"/>
      <c r="H8551" s="31"/>
    </row>
    <row r="8552" spans="2:8" hidden="1">
      <c r="B8552" s="33"/>
      <c r="C8552" s="31"/>
      <c r="D8552" s="31"/>
      <c r="E8552" s="31"/>
      <c r="F8552" s="31"/>
      <c r="G8552" s="31"/>
      <c r="H8552" s="31"/>
    </row>
    <row r="8553" spans="2:8" hidden="1">
      <c r="B8553" s="405"/>
      <c r="C8553" s="31"/>
      <c r="D8553" s="31"/>
      <c r="E8553" s="31"/>
      <c r="F8553" s="31"/>
      <c r="G8553" s="31"/>
      <c r="H8553" s="31"/>
    </row>
    <row r="8554" spans="2:8" hidden="1">
      <c r="B8554" s="405"/>
      <c r="C8554" s="31"/>
      <c r="D8554" s="31"/>
      <c r="E8554" s="31"/>
      <c r="F8554" s="691"/>
      <c r="G8554" s="75"/>
      <c r="H8554" s="31"/>
    </row>
    <row r="8555" spans="2:8" hidden="1">
      <c r="B8555" s="405"/>
      <c r="C8555" s="31"/>
      <c r="D8555" s="31"/>
      <c r="E8555" s="31"/>
      <c r="F8555" s="691"/>
      <c r="G8555" s="75"/>
      <c r="H8555" s="31"/>
    </row>
    <row r="8556" spans="2:8" hidden="1">
      <c r="B8556" s="405"/>
      <c r="C8556" s="31"/>
      <c r="D8556" s="31"/>
      <c r="E8556" s="31"/>
      <c r="F8556" s="691"/>
      <c r="G8556" s="75"/>
      <c r="H8556" s="31"/>
    </row>
    <row r="8557" spans="2:8" hidden="1">
      <c r="B8557" s="405"/>
      <c r="C8557" s="31"/>
      <c r="D8557" s="31"/>
      <c r="E8557" s="31"/>
      <c r="F8557" s="691"/>
      <c r="G8557" s="75"/>
      <c r="H8557" s="31"/>
    </row>
    <row r="8558" spans="2:8" hidden="1">
      <c r="B8558" s="405"/>
      <c r="C8558" s="31"/>
      <c r="D8558" s="31"/>
      <c r="E8558" s="31"/>
      <c r="F8558" s="691"/>
      <c r="G8558" s="75"/>
      <c r="H8558" s="31"/>
    </row>
    <row r="8559" spans="2:8" hidden="1">
      <c r="B8559" s="405"/>
      <c r="C8559" s="31"/>
      <c r="D8559" s="31"/>
      <c r="E8559" s="31"/>
      <c r="F8559" s="691"/>
      <c r="G8559" s="75"/>
      <c r="H8559" s="31"/>
    </row>
    <row r="8560" spans="2:8" hidden="1">
      <c r="B8560" s="405"/>
      <c r="C8560" s="31"/>
      <c r="D8560" s="31"/>
      <c r="E8560" s="31"/>
      <c r="F8560" s="691"/>
      <c r="G8560" s="75"/>
      <c r="H8560" s="31"/>
    </row>
    <row r="8561" spans="2:8" hidden="1">
      <c r="B8561" s="405"/>
      <c r="C8561" s="31"/>
      <c r="D8561" s="31"/>
      <c r="E8561" s="31"/>
      <c r="F8561" s="691"/>
      <c r="G8561" s="75"/>
      <c r="H8561" s="31"/>
    </row>
    <row r="8562" spans="2:8" hidden="1">
      <c r="B8562" s="33"/>
      <c r="C8562" s="31"/>
      <c r="D8562" s="31"/>
      <c r="E8562" s="31"/>
      <c r="F8562" s="691"/>
      <c r="G8562" s="75"/>
      <c r="H8562" s="31"/>
    </row>
    <row r="8563" spans="2:8" hidden="1">
      <c r="B8563" s="33"/>
      <c r="C8563" s="31"/>
      <c r="D8563" s="31"/>
      <c r="E8563" s="31"/>
      <c r="F8563" s="691"/>
      <c r="G8563" s="75"/>
      <c r="H8563" s="31"/>
    </row>
    <row r="8564" spans="2:8" hidden="1">
      <c r="B8564" s="33"/>
      <c r="C8564" s="31"/>
      <c r="D8564" s="31"/>
      <c r="E8564" s="31"/>
      <c r="F8564" s="691"/>
      <c r="G8564" s="31"/>
      <c r="H8564" s="31"/>
    </row>
    <row r="8565" spans="2:8" hidden="1">
      <c r="B8565" s="33"/>
      <c r="C8565" s="31"/>
      <c r="D8565" s="31"/>
      <c r="E8565" s="31"/>
      <c r="F8565" s="691"/>
      <c r="G8565" s="31"/>
      <c r="H8565" s="31"/>
    </row>
    <row r="8566" spans="2:8" hidden="1">
      <c r="B8566" s="33"/>
      <c r="C8566" s="31"/>
      <c r="D8566" s="31"/>
      <c r="E8566" s="31"/>
      <c r="F8566" s="691"/>
      <c r="G8566" s="31"/>
      <c r="H8566" s="31"/>
    </row>
    <row r="8567" spans="2:8" hidden="1">
      <c r="B8567" s="33"/>
      <c r="C8567" s="31"/>
      <c r="D8567" s="31"/>
      <c r="E8567" s="31"/>
      <c r="F8567" s="31"/>
      <c r="G8567" s="31"/>
      <c r="H8567" s="31"/>
    </row>
    <row r="8568" spans="2:8" hidden="1">
      <c r="B8568" s="33"/>
      <c r="C8568" s="31"/>
      <c r="D8568" s="31"/>
      <c r="E8568" s="31"/>
      <c r="F8568" s="31"/>
      <c r="G8568" s="31"/>
      <c r="H8568" s="31"/>
    </row>
    <row r="8569" spans="2:8" hidden="1">
      <c r="B8569" s="33"/>
      <c r="C8569" s="31"/>
      <c r="D8569" s="31"/>
      <c r="E8569" s="31"/>
      <c r="F8569" s="31"/>
      <c r="G8569" s="31"/>
      <c r="H8569" s="31"/>
    </row>
    <row r="8570" spans="2:8" hidden="1">
      <c r="B8570" s="33"/>
      <c r="C8570" s="31"/>
      <c r="D8570" s="31"/>
      <c r="E8570" s="31"/>
      <c r="F8570" s="31"/>
      <c r="G8570" s="31"/>
      <c r="H8570" s="31"/>
    </row>
    <row r="8571" spans="2:8" hidden="1">
      <c r="B8571" s="33"/>
      <c r="C8571" s="31"/>
      <c r="D8571" s="31"/>
      <c r="E8571" s="31"/>
      <c r="F8571" s="31"/>
      <c r="G8571" s="31"/>
      <c r="H8571" s="31"/>
    </row>
    <row r="8572" spans="2:8" hidden="1">
      <c r="B8572" s="33"/>
      <c r="C8572" s="31"/>
      <c r="D8572" s="31"/>
      <c r="E8572" s="31"/>
      <c r="F8572" s="31"/>
      <c r="G8572" s="31"/>
      <c r="H8572" s="31"/>
    </row>
    <row r="8573" spans="2:8" hidden="1">
      <c r="B8573" s="33"/>
      <c r="C8573" s="31"/>
      <c r="D8573" s="31"/>
      <c r="E8573" s="31"/>
      <c r="F8573" s="31"/>
      <c r="G8573" s="31"/>
      <c r="H8573" s="31"/>
    </row>
    <row r="8574" spans="2:8" hidden="1">
      <c r="B8574" s="33"/>
      <c r="C8574" s="31"/>
      <c r="D8574" s="31"/>
      <c r="E8574" s="31"/>
      <c r="F8574" s="31"/>
      <c r="G8574" s="31"/>
      <c r="H8574" s="31"/>
    </row>
    <row r="8575" spans="2:8" hidden="1">
      <c r="B8575" s="33"/>
      <c r="C8575" s="31"/>
      <c r="D8575" s="33"/>
      <c r="E8575" s="31"/>
      <c r="F8575" s="33"/>
      <c r="G8575" s="33"/>
      <c r="H8575" s="31"/>
    </row>
    <row r="8576" spans="2:8" hidden="1">
      <c r="B8576" s="33"/>
      <c r="C8576" s="31"/>
      <c r="D8576" s="33"/>
      <c r="E8576" s="33"/>
      <c r="F8576" s="33"/>
      <c r="G8576" s="33"/>
      <c r="H8576" s="31"/>
    </row>
    <row r="8577" spans="2:8" hidden="1">
      <c r="B8577" s="33"/>
      <c r="C8577" s="31"/>
      <c r="D8577" s="31"/>
      <c r="E8577" s="31"/>
      <c r="F8577" s="31"/>
      <c r="G8577" s="31"/>
      <c r="H8577" s="31"/>
    </row>
    <row r="8578" spans="2:8" hidden="1">
      <c r="B8578" s="200"/>
      <c r="C8578" s="31"/>
      <c r="D8578" s="75"/>
      <c r="E8578" s="771"/>
      <c r="F8578" s="771"/>
      <c r="G8578" s="31"/>
      <c r="H8578" s="31"/>
    </row>
    <row r="8579" spans="2:8" hidden="1">
      <c r="B8579" s="200"/>
      <c r="C8579" s="31"/>
      <c r="D8579" s="75"/>
      <c r="E8579" s="771"/>
      <c r="F8579" s="771"/>
      <c r="G8579" s="31"/>
      <c r="H8579" s="31"/>
    </row>
    <row r="8580" spans="2:8" hidden="1">
      <c r="B8580" s="200"/>
      <c r="C8580" s="31"/>
      <c r="D8580" s="75"/>
      <c r="E8580" s="771"/>
      <c r="F8580" s="771"/>
      <c r="G8580" s="31"/>
      <c r="H8580" s="31"/>
    </row>
    <row r="8581" spans="2:8" hidden="1">
      <c r="B8581" s="200"/>
      <c r="C8581" s="31"/>
      <c r="D8581" s="75"/>
      <c r="E8581" s="771"/>
      <c r="F8581" s="771"/>
      <c r="G8581" s="31"/>
      <c r="H8581" s="31"/>
    </row>
    <row r="8582" spans="2:8" hidden="1">
      <c r="B8582" s="200"/>
      <c r="C8582" s="31"/>
      <c r="D8582" s="75"/>
      <c r="E8582" s="771"/>
      <c r="F8582" s="771"/>
      <c r="G8582" s="31"/>
      <c r="H8582" s="31"/>
    </row>
    <row r="8583" spans="2:8" hidden="1">
      <c r="B8583" s="200"/>
      <c r="C8583" s="31"/>
      <c r="D8583" s="75"/>
      <c r="E8583" s="771"/>
      <c r="F8583" s="771"/>
      <c r="G8583" s="31"/>
      <c r="H8583" s="31"/>
    </row>
    <row r="8584" spans="2:8" hidden="1">
      <c r="B8584" s="200"/>
      <c r="C8584" s="31"/>
      <c r="D8584" s="75"/>
      <c r="E8584" s="771"/>
      <c r="F8584" s="771"/>
      <c r="G8584" s="31"/>
      <c r="H8584" s="31"/>
    </row>
    <row r="8585" spans="2:8" hidden="1">
      <c r="B8585" s="200"/>
      <c r="C8585" s="31"/>
      <c r="D8585" s="75"/>
      <c r="E8585" s="771"/>
      <c r="F8585" s="772"/>
      <c r="G8585" s="33"/>
      <c r="H8585" s="31"/>
    </row>
    <row r="8586" spans="2:8" hidden="1">
      <c r="B8586" s="200"/>
      <c r="C8586" s="31"/>
      <c r="D8586" s="75"/>
      <c r="E8586" s="771"/>
      <c r="F8586" s="771"/>
      <c r="G8586" s="31"/>
      <c r="H8586" s="31"/>
    </row>
    <row r="8587" spans="2:8" hidden="1">
      <c r="B8587" s="200"/>
      <c r="C8587" s="31"/>
      <c r="D8587" s="75"/>
      <c r="E8587" s="771"/>
      <c r="F8587" s="771"/>
      <c r="G8587" s="31"/>
      <c r="H8587" s="31"/>
    </row>
    <row r="8588" spans="2:8" hidden="1">
      <c r="B8588" s="200"/>
      <c r="C8588" s="31"/>
      <c r="D8588" s="75"/>
      <c r="E8588" s="771"/>
      <c r="F8588" s="771"/>
      <c r="G8588" s="31"/>
      <c r="H8588" s="31"/>
    </row>
    <row r="8589" spans="2:8" hidden="1">
      <c r="B8589" s="200"/>
      <c r="C8589" s="31"/>
      <c r="D8589" s="75"/>
      <c r="E8589" s="771"/>
      <c r="F8589" s="771"/>
      <c r="G8589" s="31"/>
      <c r="H8589" s="31"/>
    </row>
    <row r="8590" spans="2:8" hidden="1">
      <c r="B8590" s="200"/>
      <c r="C8590" s="31"/>
      <c r="D8590" s="75"/>
      <c r="E8590" s="771"/>
      <c r="F8590" s="771"/>
      <c r="G8590" s="31"/>
      <c r="H8590" s="31"/>
    </row>
    <row r="8591" spans="2:8" hidden="1">
      <c r="B8591" s="200"/>
      <c r="C8591" s="31"/>
      <c r="D8591" s="75"/>
      <c r="E8591" s="771"/>
      <c r="F8591" s="771"/>
      <c r="G8591" s="31"/>
      <c r="H8591" s="31"/>
    </row>
    <row r="8592" spans="2:8" hidden="1">
      <c r="B8592" s="200"/>
      <c r="C8592" s="31"/>
      <c r="D8592" s="75"/>
      <c r="E8592" s="771"/>
      <c r="F8592" s="771"/>
      <c r="G8592" s="31"/>
      <c r="H8592" s="31"/>
    </row>
    <row r="8593" spans="2:8" hidden="1">
      <c r="B8593" s="200"/>
      <c r="C8593" s="31"/>
      <c r="D8593" s="75"/>
      <c r="E8593" s="771"/>
      <c r="F8593" s="771"/>
      <c r="G8593" s="31"/>
      <c r="H8593" s="31"/>
    </row>
    <row r="8594" spans="2:8" hidden="1">
      <c r="B8594" s="200"/>
      <c r="C8594" s="31"/>
      <c r="D8594" s="75"/>
      <c r="E8594" s="771"/>
      <c r="F8594" s="771"/>
      <c r="G8594" s="31"/>
      <c r="H8594" s="31"/>
    </row>
    <row r="8595" spans="2:8" hidden="1">
      <c r="B8595" s="200"/>
      <c r="C8595" s="31"/>
      <c r="D8595" s="75"/>
      <c r="E8595" s="771"/>
      <c r="F8595" s="771"/>
      <c r="G8595" s="31"/>
      <c r="H8595" s="31"/>
    </row>
    <row r="8596" spans="2:8" hidden="1">
      <c r="B8596" s="200"/>
      <c r="C8596" s="31"/>
      <c r="D8596" s="75"/>
      <c r="E8596" s="771"/>
      <c r="F8596" s="771"/>
      <c r="G8596" s="31"/>
      <c r="H8596" s="31"/>
    </row>
    <row r="8597" spans="2:8" hidden="1">
      <c r="B8597" s="200"/>
      <c r="C8597" s="31"/>
      <c r="D8597" s="75"/>
      <c r="E8597" s="771"/>
      <c r="F8597" s="771"/>
      <c r="G8597" s="31"/>
      <c r="H8597" s="31"/>
    </row>
    <row r="8598" spans="2:8" hidden="1">
      <c r="B8598" s="200"/>
      <c r="C8598" s="31"/>
      <c r="D8598" s="75"/>
      <c r="E8598" s="771"/>
      <c r="F8598" s="771"/>
      <c r="G8598" s="31"/>
      <c r="H8598" s="31"/>
    </row>
    <row r="8599" spans="2:8" hidden="1">
      <c r="B8599" s="200"/>
      <c r="C8599" s="31"/>
      <c r="D8599" s="75"/>
      <c r="E8599" s="771"/>
      <c r="F8599" s="771"/>
      <c r="G8599" s="31"/>
      <c r="H8599" s="31"/>
    </row>
    <row r="8600" spans="2:8" hidden="1">
      <c r="B8600" s="200"/>
      <c r="C8600" s="31"/>
      <c r="D8600" s="75"/>
      <c r="E8600" s="771"/>
      <c r="F8600" s="771"/>
      <c r="G8600" s="31"/>
      <c r="H8600" s="31"/>
    </row>
    <row r="8601" spans="2:8" hidden="1">
      <c r="B8601" s="200"/>
      <c r="C8601" s="31"/>
      <c r="D8601" s="75"/>
      <c r="E8601" s="771"/>
      <c r="F8601" s="771"/>
      <c r="G8601" s="31"/>
      <c r="H8601" s="31"/>
    </row>
    <row r="8602" spans="2:8" hidden="1">
      <c r="B8602" s="200"/>
      <c r="C8602" s="31"/>
      <c r="D8602" s="75"/>
      <c r="E8602" s="771"/>
      <c r="F8602" s="31"/>
      <c r="G8602" s="31"/>
      <c r="H8602" s="31"/>
    </row>
    <row r="8603" spans="2:8" hidden="1">
      <c r="B8603" s="200"/>
      <c r="C8603" s="31"/>
      <c r="D8603" s="75"/>
      <c r="E8603" s="771"/>
      <c r="F8603" s="31"/>
      <c r="G8603" s="31"/>
      <c r="H8603" s="31"/>
    </row>
    <row r="8604" spans="2:8" hidden="1">
      <c r="B8604" s="200"/>
      <c r="C8604" s="31"/>
      <c r="D8604" s="75"/>
      <c r="E8604" s="771"/>
      <c r="F8604" s="31"/>
      <c r="G8604" s="31"/>
      <c r="H8604" s="31"/>
    </row>
    <row r="8605" spans="2:8" hidden="1">
      <c r="B8605" s="200"/>
      <c r="C8605" s="31"/>
      <c r="D8605" s="75"/>
      <c r="E8605" s="771"/>
      <c r="F8605" s="31"/>
      <c r="G8605" s="31"/>
      <c r="H8605" s="31"/>
    </row>
    <row r="8606" spans="2:8" hidden="1">
      <c r="B8606" s="200"/>
      <c r="C8606" s="31"/>
      <c r="D8606" s="75"/>
      <c r="E8606" s="771"/>
      <c r="F8606" s="31"/>
      <c r="G8606" s="31"/>
      <c r="H8606" s="31"/>
    </row>
    <row r="8607" spans="2:8" hidden="1">
      <c r="B8607" s="200"/>
      <c r="C8607" s="31"/>
      <c r="D8607" s="75"/>
      <c r="E8607" s="771"/>
      <c r="F8607" s="31"/>
      <c r="G8607" s="31"/>
      <c r="H8607" s="31"/>
    </row>
    <row r="8608" spans="2:8" hidden="1">
      <c r="B8608" s="200"/>
      <c r="C8608" s="31"/>
      <c r="D8608" s="75"/>
      <c r="E8608" s="771"/>
      <c r="F8608" s="31"/>
      <c r="G8608" s="31"/>
      <c r="H8608" s="31"/>
    </row>
    <row r="8609" spans="2:8" hidden="1">
      <c r="B8609" s="200"/>
      <c r="C8609" s="31"/>
      <c r="D8609" s="75"/>
      <c r="E8609" s="771"/>
      <c r="F8609" s="31"/>
      <c r="G8609" s="31"/>
      <c r="H8609" s="31"/>
    </row>
    <row r="8610" spans="2:8" hidden="1">
      <c r="B8610" s="200"/>
      <c r="C8610" s="31"/>
      <c r="D8610" s="75"/>
      <c r="E8610" s="771"/>
      <c r="F8610" s="31"/>
      <c r="G8610" s="31"/>
      <c r="H8610" s="31"/>
    </row>
    <row r="8611" spans="2:8" hidden="1">
      <c r="B8611" s="200"/>
      <c r="C8611" s="31"/>
      <c r="D8611" s="75"/>
      <c r="E8611" s="771"/>
      <c r="F8611" s="31"/>
      <c r="G8611" s="31"/>
      <c r="H8611" s="31"/>
    </row>
    <row r="8612" spans="2:8" hidden="1">
      <c r="B8612" s="200"/>
      <c r="C8612" s="31"/>
      <c r="D8612" s="75"/>
      <c r="E8612" s="771"/>
      <c r="F8612" s="31"/>
      <c r="G8612" s="31"/>
      <c r="H8612" s="31"/>
    </row>
    <row r="8613" spans="2:8" hidden="1">
      <c r="B8613" s="200"/>
      <c r="C8613" s="31"/>
      <c r="D8613" s="75"/>
      <c r="E8613" s="771"/>
      <c r="F8613" s="33"/>
      <c r="G8613" s="33"/>
      <c r="H8613" s="31"/>
    </row>
    <row r="8614" spans="2:8" hidden="1">
      <c r="B8614" s="33"/>
      <c r="C8614" s="31"/>
      <c r="D8614" s="31"/>
      <c r="E8614" s="31"/>
      <c r="F8614" s="33"/>
      <c r="G8614" s="33"/>
      <c r="H8614" s="31"/>
    </row>
    <row r="8615" spans="2:8" hidden="1">
      <c r="B8615" s="200"/>
      <c r="C8615" s="31"/>
      <c r="D8615" s="75"/>
      <c r="E8615" s="771"/>
      <c r="F8615" s="33"/>
      <c r="G8615" s="33"/>
      <c r="H8615" s="31"/>
    </row>
    <row r="8616" spans="2:8" hidden="1">
      <c r="B8616" s="200"/>
      <c r="C8616" s="31"/>
      <c r="D8616" s="75"/>
      <c r="E8616" s="771"/>
      <c r="F8616" s="771"/>
      <c r="G8616" s="31"/>
      <c r="H8616" s="31"/>
    </row>
    <row r="8617" spans="2:8" hidden="1">
      <c r="B8617" s="200"/>
      <c r="C8617" s="31"/>
      <c r="D8617" s="75"/>
      <c r="E8617" s="771"/>
      <c r="F8617" s="771"/>
      <c r="G8617" s="31"/>
      <c r="H8617" s="31"/>
    </row>
    <row r="8618" spans="2:8" hidden="1">
      <c r="B8618" s="200"/>
      <c r="C8618" s="31"/>
      <c r="D8618" s="75"/>
      <c r="E8618" s="771"/>
      <c r="F8618" s="771"/>
      <c r="G8618" s="31"/>
      <c r="H8618" s="31"/>
    </row>
    <row r="8619" spans="2:8" hidden="1">
      <c r="B8619" s="200"/>
      <c r="C8619" s="31"/>
      <c r="D8619" s="75"/>
      <c r="E8619" s="771"/>
      <c r="F8619" s="771"/>
      <c r="G8619" s="31"/>
      <c r="H8619" s="31"/>
    </row>
    <row r="8620" spans="2:8" hidden="1">
      <c r="B8620" s="200"/>
      <c r="C8620" s="31"/>
      <c r="D8620" s="75"/>
      <c r="E8620" s="771"/>
      <c r="F8620" s="771"/>
      <c r="G8620" s="31"/>
      <c r="H8620" s="31"/>
    </row>
    <row r="8621" spans="2:8" hidden="1">
      <c r="B8621" s="200"/>
      <c r="C8621" s="31"/>
      <c r="D8621" s="75"/>
      <c r="E8621" s="771"/>
      <c r="F8621" s="771"/>
      <c r="G8621" s="31"/>
      <c r="H8621" s="31"/>
    </row>
    <row r="8622" spans="2:8" hidden="1">
      <c r="B8622" s="200"/>
      <c r="C8622" s="31"/>
      <c r="D8622" s="75"/>
      <c r="E8622" s="771"/>
      <c r="F8622" s="771"/>
      <c r="G8622" s="31"/>
      <c r="H8622" s="31"/>
    </row>
    <row r="8623" spans="2:8" hidden="1">
      <c r="B8623" s="200"/>
      <c r="C8623" s="31"/>
      <c r="D8623" s="75"/>
      <c r="E8623" s="771"/>
      <c r="F8623" s="771"/>
      <c r="G8623" s="31"/>
      <c r="H8623" s="31"/>
    </row>
    <row r="8624" spans="2:8" hidden="1">
      <c r="B8624" s="200"/>
      <c r="C8624" s="31"/>
      <c r="D8624" s="75"/>
      <c r="E8624" s="771"/>
      <c r="F8624" s="771"/>
      <c r="G8624" s="31"/>
      <c r="H8624" s="31"/>
    </row>
    <row r="8625" spans="2:8" hidden="1">
      <c r="B8625" s="200"/>
      <c r="C8625" s="31"/>
      <c r="D8625" s="75"/>
      <c r="E8625" s="771"/>
      <c r="F8625" s="771"/>
      <c r="G8625" s="31"/>
      <c r="H8625" s="31"/>
    </row>
    <row r="8626" spans="2:8" hidden="1">
      <c r="B8626" s="200"/>
      <c r="C8626" s="31"/>
      <c r="D8626" s="75"/>
      <c r="E8626" s="771"/>
      <c r="F8626" s="771"/>
      <c r="G8626" s="31"/>
      <c r="H8626" s="31"/>
    </row>
    <row r="8627" spans="2:8" hidden="1">
      <c r="B8627" s="200"/>
      <c r="C8627" s="31"/>
      <c r="D8627" s="75"/>
      <c r="E8627" s="771"/>
      <c r="F8627" s="771"/>
      <c r="G8627" s="31"/>
      <c r="H8627" s="31"/>
    </row>
    <row r="8628" spans="2:8" hidden="1">
      <c r="B8628" s="200"/>
      <c r="C8628" s="31"/>
      <c r="D8628" s="75"/>
      <c r="E8628" s="771"/>
      <c r="F8628" s="771"/>
      <c r="G8628" s="31"/>
      <c r="H8628" s="31"/>
    </row>
    <row r="8629" spans="2:8" hidden="1">
      <c r="B8629" s="200"/>
      <c r="C8629" s="31"/>
      <c r="D8629" s="75"/>
      <c r="E8629" s="771"/>
      <c r="F8629" s="771"/>
      <c r="G8629" s="31"/>
      <c r="H8629" s="31"/>
    </row>
    <row r="8630" spans="2:8" hidden="1">
      <c r="B8630" s="200"/>
      <c r="C8630" s="31"/>
      <c r="D8630" s="75"/>
      <c r="E8630" s="771"/>
      <c r="F8630" s="771"/>
      <c r="G8630" s="31"/>
      <c r="H8630" s="31"/>
    </row>
    <row r="8631" spans="2:8" hidden="1">
      <c r="B8631" s="200"/>
      <c r="C8631" s="31"/>
      <c r="D8631" s="75"/>
      <c r="E8631" s="771"/>
      <c r="F8631" s="771"/>
      <c r="G8631" s="31"/>
      <c r="H8631" s="31"/>
    </row>
    <row r="8632" spans="2:8" hidden="1">
      <c r="B8632" s="200"/>
      <c r="C8632" s="31"/>
      <c r="D8632" s="75"/>
      <c r="E8632" s="771"/>
      <c r="F8632" s="771"/>
      <c r="G8632" s="31"/>
      <c r="H8632" s="31"/>
    </row>
    <row r="8633" spans="2:8" hidden="1">
      <c r="B8633" s="200"/>
      <c r="C8633" s="31"/>
      <c r="D8633" s="75"/>
      <c r="E8633" s="771"/>
      <c r="F8633" s="771"/>
      <c r="G8633" s="31"/>
      <c r="H8633" s="31"/>
    </row>
    <row r="8634" spans="2:8" hidden="1">
      <c r="B8634" s="200"/>
      <c r="C8634" s="31"/>
      <c r="D8634" s="75"/>
      <c r="E8634" s="771"/>
      <c r="F8634" s="771"/>
      <c r="G8634" s="31"/>
      <c r="H8634" s="31"/>
    </row>
    <row r="8635" spans="2:8" hidden="1">
      <c r="B8635" s="200"/>
      <c r="C8635" s="31"/>
      <c r="D8635" s="75"/>
      <c r="E8635" s="771"/>
      <c r="F8635" s="771"/>
      <c r="G8635" s="31"/>
      <c r="H8635" s="31"/>
    </row>
    <row r="8636" spans="2:8" hidden="1">
      <c r="B8636" s="200"/>
      <c r="C8636" s="31"/>
      <c r="D8636" s="75"/>
      <c r="E8636" s="771"/>
      <c r="F8636" s="771"/>
      <c r="G8636" s="31"/>
      <c r="H8636" s="31"/>
    </row>
    <row r="8637" spans="2:8" hidden="1">
      <c r="B8637" s="200"/>
      <c r="C8637" s="31"/>
      <c r="D8637" s="75"/>
      <c r="E8637" s="771"/>
      <c r="F8637" s="771"/>
      <c r="G8637" s="31"/>
      <c r="H8637" s="31"/>
    </row>
    <row r="8638" spans="2:8" hidden="1">
      <c r="B8638" s="200"/>
      <c r="C8638" s="31"/>
      <c r="D8638" s="75"/>
      <c r="E8638" s="771"/>
      <c r="F8638" s="771"/>
      <c r="G8638" s="31"/>
      <c r="H8638" s="31"/>
    </row>
    <row r="8639" spans="2:8" hidden="1">
      <c r="B8639" s="200"/>
      <c r="C8639" s="31"/>
      <c r="D8639" s="75"/>
      <c r="E8639" s="771"/>
      <c r="F8639" s="771"/>
      <c r="G8639" s="31"/>
      <c r="H8639" s="31"/>
    </row>
    <row r="8640" spans="2:8" hidden="1">
      <c r="B8640" s="200"/>
      <c r="C8640" s="31"/>
      <c r="D8640" s="75"/>
      <c r="E8640" s="771"/>
      <c r="F8640" s="772"/>
      <c r="G8640" s="33"/>
      <c r="H8640" s="31"/>
    </row>
    <row r="8641" spans="2:8" hidden="1">
      <c r="B8641" s="200"/>
      <c r="C8641" s="31"/>
      <c r="D8641" s="75"/>
      <c r="E8641" s="771"/>
      <c r="F8641" s="771"/>
      <c r="G8641" s="31"/>
      <c r="H8641" s="31"/>
    </row>
    <row r="8642" spans="2:8" hidden="1">
      <c r="B8642" s="200"/>
      <c r="C8642" s="31"/>
      <c r="D8642" s="75"/>
      <c r="E8642" s="771"/>
      <c r="F8642" s="771"/>
      <c r="G8642" s="31"/>
      <c r="H8642" s="31"/>
    </row>
    <row r="8643" spans="2:8" hidden="1">
      <c r="B8643" s="200"/>
      <c r="C8643" s="31"/>
      <c r="D8643" s="75"/>
      <c r="E8643" s="771"/>
      <c r="F8643" s="771"/>
      <c r="G8643" s="31"/>
      <c r="H8643" s="31"/>
    </row>
    <row r="8644" spans="2:8" hidden="1">
      <c r="B8644" s="200"/>
      <c r="C8644" s="31"/>
      <c r="D8644" s="75"/>
      <c r="E8644" s="771"/>
      <c r="F8644" s="771"/>
      <c r="G8644" s="31"/>
      <c r="H8644" s="31"/>
    </row>
    <row r="8645" spans="2:8" hidden="1">
      <c r="B8645" s="200"/>
      <c r="C8645" s="31"/>
      <c r="D8645" s="75"/>
      <c r="E8645" s="771"/>
      <c r="F8645" s="771"/>
      <c r="G8645" s="31"/>
      <c r="H8645" s="31"/>
    </row>
    <row r="8646" spans="2:8" hidden="1">
      <c r="B8646" s="200"/>
      <c r="C8646" s="31"/>
      <c r="D8646" s="75"/>
      <c r="E8646" s="771"/>
      <c r="F8646" s="771"/>
      <c r="G8646" s="31"/>
      <c r="H8646" s="31"/>
    </row>
    <row r="8647" spans="2:8" hidden="1">
      <c r="B8647" s="200"/>
      <c r="C8647" s="31"/>
      <c r="D8647" s="75"/>
      <c r="E8647" s="771"/>
      <c r="F8647" s="771"/>
      <c r="G8647" s="31"/>
      <c r="H8647" s="31"/>
    </row>
    <row r="8648" spans="2:8" hidden="1">
      <c r="B8648" s="200"/>
      <c r="C8648" s="31"/>
      <c r="D8648" s="75"/>
      <c r="E8648" s="771"/>
      <c r="F8648" s="771"/>
      <c r="G8648" s="31"/>
      <c r="H8648" s="31"/>
    </row>
    <row r="8649" spans="2:8" hidden="1">
      <c r="B8649" s="200"/>
      <c r="C8649" s="31"/>
      <c r="D8649" s="75"/>
      <c r="E8649" s="771"/>
      <c r="F8649" s="771"/>
      <c r="G8649" s="31"/>
      <c r="H8649" s="31"/>
    </row>
    <row r="8650" spans="2:8" hidden="1">
      <c r="B8650" s="200"/>
      <c r="C8650" s="31"/>
      <c r="D8650" s="75"/>
      <c r="E8650" s="771"/>
      <c r="F8650" s="771"/>
      <c r="G8650" s="31"/>
      <c r="H8650" s="31"/>
    </row>
    <row r="8651" spans="2:8" hidden="1">
      <c r="B8651" s="200"/>
      <c r="C8651" s="31"/>
      <c r="D8651" s="75"/>
      <c r="E8651" s="771"/>
      <c r="F8651" s="771"/>
      <c r="G8651" s="31"/>
      <c r="H8651" s="31"/>
    </row>
    <row r="8652" spans="2:8" hidden="1">
      <c r="B8652" s="200"/>
      <c r="C8652" s="31"/>
      <c r="D8652" s="75"/>
      <c r="E8652" s="771"/>
      <c r="F8652" s="771"/>
      <c r="G8652" s="31"/>
      <c r="H8652" s="31"/>
    </row>
    <row r="8653" spans="2:8" hidden="1">
      <c r="B8653" s="200"/>
      <c r="C8653" s="31"/>
      <c r="D8653" s="75"/>
      <c r="E8653" s="771"/>
      <c r="F8653" s="771"/>
      <c r="G8653" s="31"/>
      <c r="H8653" s="31"/>
    </row>
    <row r="8654" spans="2:8" hidden="1">
      <c r="B8654" s="200"/>
      <c r="C8654" s="31"/>
      <c r="D8654" s="75"/>
      <c r="E8654" s="771"/>
      <c r="F8654" s="771"/>
      <c r="G8654" s="31"/>
      <c r="H8654" s="31"/>
    </row>
    <row r="8655" spans="2:8" hidden="1">
      <c r="B8655" s="200"/>
      <c r="C8655" s="31"/>
      <c r="D8655" s="75"/>
      <c r="E8655" s="771"/>
      <c r="F8655" s="771"/>
      <c r="G8655" s="31"/>
      <c r="H8655" s="31"/>
    </row>
    <row r="8656" spans="2:8" hidden="1">
      <c r="B8656" s="200"/>
      <c r="C8656" s="31"/>
      <c r="D8656" s="75"/>
      <c r="E8656" s="771"/>
      <c r="F8656" s="771"/>
      <c r="G8656" s="31"/>
      <c r="H8656" s="31"/>
    </row>
    <row r="8657" spans="2:8" hidden="1">
      <c r="B8657" s="200"/>
      <c r="C8657" s="31"/>
      <c r="D8657" s="75"/>
      <c r="E8657" s="771"/>
      <c r="F8657" s="771"/>
      <c r="G8657" s="31"/>
      <c r="H8657" s="31"/>
    </row>
    <row r="8658" spans="2:8" hidden="1">
      <c r="B8658" s="200"/>
      <c r="C8658" s="31"/>
      <c r="D8658" s="75"/>
      <c r="E8658" s="771"/>
      <c r="F8658" s="771"/>
      <c r="G8658" s="31"/>
      <c r="H8658" s="31"/>
    </row>
    <row r="8659" spans="2:8" hidden="1">
      <c r="B8659" s="200"/>
      <c r="C8659" s="31"/>
      <c r="D8659" s="75"/>
      <c r="E8659" s="771"/>
      <c r="F8659" s="771"/>
      <c r="G8659" s="31"/>
      <c r="H8659" s="31"/>
    </row>
    <row r="8660" spans="2:8" hidden="1">
      <c r="B8660" s="200"/>
      <c r="C8660" s="31"/>
      <c r="D8660" s="75"/>
      <c r="E8660" s="771"/>
      <c r="F8660" s="771"/>
      <c r="G8660" s="31"/>
      <c r="H8660" s="31"/>
    </row>
    <row r="8661" spans="2:8" hidden="1">
      <c r="B8661" s="200"/>
      <c r="C8661" s="31"/>
      <c r="D8661" s="75"/>
      <c r="E8661" s="771"/>
      <c r="F8661" s="771"/>
      <c r="G8661" s="31"/>
      <c r="H8661" s="31"/>
    </row>
    <row r="8662" spans="2:8" hidden="1">
      <c r="B8662" s="200"/>
      <c r="C8662" s="31"/>
      <c r="D8662" s="75"/>
      <c r="E8662" s="771"/>
      <c r="F8662" s="771"/>
      <c r="G8662" s="31"/>
      <c r="H8662" s="31"/>
    </row>
    <row r="8663" spans="2:8" hidden="1">
      <c r="B8663" s="200"/>
      <c r="C8663" s="31"/>
      <c r="D8663" s="75"/>
      <c r="E8663" s="771"/>
      <c r="F8663" s="771"/>
      <c r="G8663" s="31"/>
      <c r="H8663" s="31"/>
    </row>
    <row r="8664" spans="2:8" hidden="1">
      <c r="B8664" s="200"/>
      <c r="C8664" s="31"/>
      <c r="D8664" s="75"/>
      <c r="E8664" s="771"/>
      <c r="F8664" s="771"/>
      <c r="G8664" s="31"/>
      <c r="H8664" s="31"/>
    </row>
    <row r="8665" spans="2:8" hidden="1">
      <c r="B8665" s="200"/>
      <c r="C8665" s="31"/>
      <c r="D8665" s="75"/>
      <c r="E8665" s="771"/>
      <c r="F8665" s="771"/>
      <c r="G8665" s="31"/>
      <c r="H8665" s="31"/>
    </row>
    <row r="8666" spans="2:8" hidden="1">
      <c r="B8666" s="200"/>
      <c r="C8666" s="31"/>
      <c r="D8666" s="75"/>
      <c r="E8666" s="771"/>
      <c r="F8666" s="771"/>
      <c r="G8666" s="31"/>
      <c r="H8666" s="31"/>
    </row>
    <row r="8667" spans="2:8" hidden="1">
      <c r="B8667" s="200"/>
      <c r="C8667" s="31"/>
      <c r="D8667" s="75"/>
      <c r="E8667" s="771"/>
      <c r="F8667" s="771"/>
      <c r="G8667" s="31"/>
      <c r="H8667" s="31"/>
    </row>
    <row r="8668" spans="2:8" hidden="1">
      <c r="B8668" s="200"/>
      <c r="C8668" s="31"/>
      <c r="D8668" s="75"/>
      <c r="E8668" s="771"/>
      <c r="F8668" s="771"/>
      <c r="G8668" s="31"/>
      <c r="H8668" s="31"/>
    </row>
    <row r="8669" spans="2:8" hidden="1">
      <c r="B8669" s="200"/>
      <c r="C8669" s="31"/>
      <c r="D8669" s="75"/>
      <c r="E8669" s="771"/>
      <c r="F8669" s="771"/>
      <c r="G8669" s="31"/>
      <c r="H8669" s="31"/>
    </row>
    <row r="8670" spans="2:8" hidden="1">
      <c r="B8670" s="200"/>
      <c r="C8670" s="31"/>
      <c r="D8670" s="75"/>
      <c r="E8670" s="771"/>
      <c r="F8670" s="771"/>
      <c r="G8670" s="31"/>
      <c r="H8670" s="31"/>
    </row>
    <row r="8671" spans="2:8" hidden="1">
      <c r="B8671" s="200"/>
      <c r="C8671" s="31"/>
      <c r="D8671" s="75"/>
      <c r="E8671" s="771"/>
      <c r="F8671" s="771"/>
      <c r="G8671" s="31"/>
      <c r="H8671" s="31"/>
    </row>
    <row r="8672" spans="2:8" hidden="1">
      <c r="B8672" s="200"/>
      <c r="C8672" s="31"/>
      <c r="D8672" s="75"/>
      <c r="E8672" s="771"/>
      <c r="F8672" s="772"/>
      <c r="G8672" s="33"/>
      <c r="H8672" s="31"/>
    </row>
    <row r="8673" spans="2:8" hidden="1">
      <c r="B8673" s="200"/>
      <c r="C8673" s="31"/>
      <c r="D8673" s="75"/>
      <c r="E8673" s="771"/>
      <c r="F8673" s="771"/>
      <c r="G8673" s="31"/>
      <c r="H8673" s="31"/>
    </row>
    <row r="8674" spans="2:8" hidden="1">
      <c r="B8674" s="200"/>
      <c r="C8674" s="31"/>
      <c r="D8674" s="75"/>
      <c r="E8674" s="771"/>
      <c r="F8674" s="771"/>
      <c r="G8674" s="31"/>
      <c r="H8674" s="31"/>
    </row>
    <row r="8675" spans="2:8" hidden="1">
      <c r="B8675" s="200"/>
      <c r="C8675" s="31"/>
      <c r="D8675" s="75"/>
      <c r="E8675" s="771"/>
      <c r="F8675" s="772"/>
      <c r="G8675" s="33"/>
      <c r="H8675" s="31"/>
    </row>
    <row r="8676" spans="2:8" hidden="1">
      <c r="B8676" s="200"/>
      <c r="C8676" s="31"/>
      <c r="D8676" s="75"/>
      <c r="E8676" s="771"/>
      <c r="F8676" s="771"/>
      <c r="G8676" s="31"/>
      <c r="H8676" s="31"/>
    </row>
    <row r="8677" spans="2:8" hidden="1">
      <c r="B8677" s="200"/>
      <c r="C8677" s="31"/>
      <c r="D8677" s="75"/>
      <c r="E8677" s="771"/>
      <c r="F8677" s="771"/>
      <c r="G8677" s="31"/>
      <c r="H8677" s="31"/>
    </row>
    <row r="8678" spans="2:8" hidden="1">
      <c r="B8678" s="200"/>
      <c r="C8678" s="31"/>
      <c r="D8678" s="75"/>
      <c r="E8678" s="771"/>
      <c r="F8678" s="771"/>
      <c r="G8678" s="31"/>
      <c r="H8678" s="31"/>
    </row>
    <row r="8679" spans="2:8" hidden="1">
      <c r="B8679" s="200"/>
      <c r="C8679" s="31"/>
      <c r="D8679" s="75"/>
      <c r="E8679" s="771"/>
      <c r="F8679" s="771"/>
      <c r="G8679" s="31"/>
      <c r="H8679" s="31"/>
    </row>
    <row r="8680" spans="2:8" hidden="1">
      <c r="B8680" s="200"/>
      <c r="C8680" s="31"/>
      <c r="D8680" s="75"/>
      <c r="E8680" s="771"/>
      <c r="F8680" s="771"/>
      <c r="G8680" s="31"/>
      <c r="H8680" s="31"/>
    </row>
    <row r="8681" spans="2:8" hidden="1">
      <c r="B8681" s="200"/>
      <c r="C8681" s="31"/>
      <c r="D8681" s="75"/>
      <c r="E8681" s="771"/>
      <c r="F8681" s="771"/>
      <c r="G8681" s="31"/>
      <c r="H8681" s="31"/>
    </row>
    <row r="8682" spans="2:8" hidden="1">
      <c r="B8682" s="200"/>
      <c r="C8682" s="31"/>
      <c r="D8682" s="75"/>
      <c r="E8682" s="771"/>
      <c r="F8682" s="771"/>
      <c r="G8682" s="31"/>
      <c r="H8682" s="31"/>
    </row>
    <row r="8683" spans="2:8" hidden="1">
      <c r="B8683" s="200"/>
      <c r="C8683" s="31"/>
      <c r="D8683" s="75"/>
      <c r="E8683" s="772"/>
      <c r="F8683" s="772"/>
      <c r="G8683" s="33"/>
      <c r="H8683" s="31"/>
    </row>
    <row r="8684" spans="2:8" hidden="1">
      <c r="B8684" s="200"/>
      <c r="C8684" s="31"/>
      <c r="D8684" s="75"/>
      <c r="E8684" s="772"/>
      <c r="F8684" s="772"/>
      <c r="G8684" s="33"/>
      <c r="H8684" s="31"/>
    </row>
    <row r="8685" spans="2:8" hidden="1">
      <c r="B8685" s="200"/>
      <c r="C8685" s="31"/>
      <c r="D8685" s="75"/>
      <c r="E8685" s="772"/>
      <c r="F8685" s="772"/>
      <c r="G8685" s="33"/>
      <c r="H8685" s="31"/>
    </row>
    <row r="8686" spans="2:8" hidden="1">
      <c r="B8686" s="200"/>
      <c r="C8686" s="31"/>
      <c r="D8686" s="75"/>
      <c r="E8686" s="772"/>
      <c r="F8686" s="772"/>
      <c r="G8686" s="33"/>
      <c r="H8686" s="31"/>
    </row>
    <row r="8687" spans="2:8" hidden="1">
      <c r="B8687" s="200"/>
      <c r="C8687" s="31"/>
      <c r="D8687" s="75"/>
      <c r="E8687" s="771"/>
      <c r="F8687" s="771"/>
      <c r="G8687" s="31"/>
      <c r="H8687" s="31"/>
    </row>
    <row r="8688" spans="2:8" hidden="1">
      <c r="B8688" s="200"/>
      <c r="C8688" s="31"/>
      <c r="D8688" s="75"/>
      <c r="E8688" s="771"/>
      <c r="F8688" s="771"/>
      <c r="G8688" s="31"/>
      <c r="H8688" s="31"/>
    </row>
    <row r="8689" spans="2:8" hidden="1">
      <c r="B8689" s="200"/>
      <c r="C8689" s="31"/>
      <c r="D8689" s="75"/>
      <c r="E8689" s="771"/>
      <c r="F8689" s="771"/>
      <c r="G8689" s="31"/>
      <c r="H8689" s="31"/>
    </row>
    <row r="8690" spans="2:8" hidden="1">
      <c r="B8690" s="33"/>
      <c r="C8690" s="31"/>
      <c r="D8690" s="31"/>
      <c r="E8690" s="31"/>
      <c r="F8690" s="31"/>
      <c r="G8690" s="31"/>
      <c r="H8690" s="31"/>
    </row>
    <row r="8691" spans="2:8" hidden="1">
      <c r="B8691" s="200"/>
      <c r="C8691" s="31"/>
      <c r="D8691" s="104"/>
      <c r="E8691" s="772"/>
      <c r="F8691" s="33"/>
      <c r="G8691" s="33"/>
      <c r="H8691" s="31"/>
    </row>
    <row r="8692" spans="2:8" hidden="1">
      <c r="B8692" s="200"/>
      <c r="C8692" s="31"/>
      <c r="D8692" s="104"/>
      <c r="E8692" s="772"/>
      <c r="F8692" s="33"/>
      <c r="G8692" s="33"/>
      <c r="H8692" s="31"/>
    </row>
    <row r="8693" spans="2:8" hidden="1">
      <c r="B8693" s="200"/>
      <c r="C8693" s="31"/>
      <c r="D8693" s="75"/>
      <c r="E8693" s="771"/>
      <c r="F8693" s="33"/>
      <c r="G8693" s="33"/>
      <c r="H8693" s="31"/>
    </row>
    <row r="8694" spans="2:8" hidden="1">
      <c r="B8694" s="200"/>
      <c r="C8694" s="31"/>
      <c r="D8694" s="75"/>
      <c r="E8694" s="771"/>
      <c r="F8694" s="33"/>
      <c r="G8694" s="33"/>
      <c r="H8694" s="31"/>
    </row>
    <row r="8695" spans="2:8" hidden="1">
      <c r="B8695" s="200"/>
      <c r="C8695" s="31"/>
      <c r="D8695" s="75"/>
      <c r="E8695" s="771"/>
      <c r="F8695" s="33"/>
      <c r="G8695" s="33"/>
      <c r="H8695" s="31"/>
    </row>
    <row r="8696" spans="2:8" hidden="1">
      <c r="B8696" s="200"/>
      <c r="C8696" s="31"/>
      <c r="D8696" s="75"/>
      <c r="E8696" s="771"/>
      <c r="F8696" s="33"/>
      <c r="G8696" s="33"/>
      <c r="H8696" s="31"/>
    </row>
    <row r="8697" spans="2:8" hidden="1">
      <c r="B8697" s="200"/>
      <c r="C8697" s="31"/>
      <c r="D8697" s="75"/>
      <c r="E8697" s="772"/>
      <c r="F8697" s="33"/>
      <c r="G8697" s="33"/>
      <c r="H8697" s="31"/>
    </row>
    <row r="8698" spans="2:8" hidden="1">
      <c r="B8698" s="33"/>
      <c r="C8698" s="31"/>
      <c r="D8698" s="31"/>
      <c r="E8698" s="31"/>
      <c r="F8698" s="31"/>
      <c r="G8698" s="31"/>
      <c r="H8698" s="31"/>
    </row>
    <row r="8699" spans="2:8" hidden="1">
      <c r="B8699" s="200"/>
      <c r="C8699" s="31"/>
      <c r="D8699" s="75"/>
      <c r="E8699" s="772"/>
      <c r="F8699" s="33"/>
      <c r="G8699" s="33"/>
      <c r="H8699" s="31"/>
    </row>
    <row r="8700" spans="2:8" hidden="1">
      <c r="B8700" s="200"/>
      <c r="C8700" s="31"/>
      <c r="D8700" s="75"/>
      <c r="E8700" s="772"/>
      <c r="F8700" s="33"/>
      <c r="G8700" s="33"/>
      <c r="H8700" s="31"/>
    </row>
    <row r="8701" spans="2:8" hidden="1">
      <c r="B8701" s="200"/>
      <c r="C8701" s="31"/>
      <c r="D8701" s="75"/>
      <c r="E8701" s="772"/>
      <c r="F8701" s="33"/>
      <c r="G8701" s="33"/>
      <c r="H8701" s="31"/>
    </row>
    <row r="8702" spans="2:8" hidden="1">
      <c r="B8702" s="200"/>
      <c r="C8702" s="31"/>
      <c r="D8702" s="75"/>
      <c r="E8702" s="772"/>
      <c r="F8702" s="33"/>
      <c r="G8702" s="33"/>
      <c r="H8702" s="31"/>
    </row>
    <row r="8703" spans="2:8" hidden="1">
      <c r="B8703" s="200"/>
      <c r="C8703" s="31"/>
      <c r="D8703" s="75"/>
      <c r="E8703" s="771"/>
      <c r="F8703" s="33"/>
      <c r="G8703" s="33"/>
      <c r="H8703" s="31"/>
    </row>
    <row r="8704" spans="2:8" hidden="1">
      <c r="B8704" s="200"/>
      <c r="C8704" s="31"/>
      <c r="D8704" s="75"/>
      <c r="E8704" s="771"/>
      <c r="F8704" s="33"/>
      <c r="G8704" s="33"/>
      <c r="H8704" s="31"/>
    </row>
    <row r="8705" spans="2:8" hidden="1">
      <c r="B8705" s="200"/>
      <c r="C8705" s="31"/>
      <c r="D8705" s="75"/>
      <c r="E8705" s="771"/>
      <c r="F8705" s="33"/>
      <c r="G8705" s="33"/>
      <c r="H8705" s="31"/>
    </row>
    <row r="8706" spans="2:8" hidden="1">
      <c r="B8706" s="200"/>
      <c r="C8706" s="31"/>
      <c r="D8706" s="75"/>
      <c r="E8706" s="772"/>
      <c r="F8706" s="33"/>
      <c r="G8706" s="33"/>
      <c r="H8706" s="31"/>
    </row>
    <row r="8707" spans="2:8" hidden="1">
      <c r="B8707" s="200"/>
      <c r="C8707" s="31"/>
      <c r="D8707" s="75"/>
      <c r="E8707" s="771"/>
      <c r="F8707" s="33"/>
      <c r="G8707" s="33"/>
      <c r="H8707" s="31"/>
    </row>
    <row r="8708" spans="2:8" hidden="1">
      <c r="B8708" s="200"/>
      <c r="C8708" s="31"/>
      <c r="D8708" s="75"/>
      <c r="E8708" s="772"/>
      <c r="F8708" s="33"/>
      <c r="G8708" s="33"/>
      <c r="H8708" s="31"/>
    </row>
    <row r="8709" spans="2:8" hidden="1">
      <c r="B8709" s="200"/>
      <c r="C8709" s="31"/>
      <c r="D8709" s="75"/>
      <c r="E8709" s="772"/>
      <c r="F8709" s="33"/>
      <c r="G8709" s="33"/>
      <c r="H8709" s="31"/>
    </row>
    <row r="8710" spans="2:8" hidden="1">
      <c r="B8710" s="33"/>
      <c r="C8710" s="31"/>
      <c r="D8710" s="31"/>
      <c r="E8710" s="31"/>
      <c r="F8710" s="31"/>
      <c r="G8710" s="31"/>
      <c r="H8710" s="31"/>
    </row>
    <row r="8711" spans="2:8" hidden="1">
      <c r="B8711" s="200"/>
      <c r="C8711" s="31"/>
      <c r="D8711" s="75"/>
      <c r="E8711" s="771"/>
      <c r="F8711" s="33"/>
      <c r="G8711" s="33"/>
      <c r="H8711" s="31"/>
    </row>
    <row r="8712" spans="2:8" hidden="1">
      <c r="B8712" s="200"/>
      <c r="C8712" s="31"/>
      <c r="D8712" s="75"/>
      <c r="E8712" s="771"/>
      <c r="F8712" s="31"/>
      <c r="G8712" s="31"/>
      <c r="H8712" s="31"/>
    </row>
    <row r="8713" spans="2:8" hidden="1">
      <c r="B8713" s="200"/>
      <c r="C8713" s="31"/>
      <c r="D8713" s="75"/>
      <c r="E8713" s="771"/>
      <c r="F8713" s="31"/>
      <c r="G8713" s="31"/>
      <c r="H8713" s="31"/>
    </row>
    <row r="8714" spans="2:8" hidden="1">
      <c r="B8714" s="200"/>
      <c r="C8714" s="31"/>
      <c r="D8714" s="75"/>
      <c r="E8714" s="31"/>
      <c r="F8714" s="31"/>
      <c r="G8714" s="31"/>
      <c r="H8714" s="31"/>
    </row>
    <row r="8715" spans="2:8" hidden="1">
      <c r="B8715" s="200"/>
      <c r="C8715" s="31"/>
      <c r="D8715" s="75"/>
      <c r="E8715" s="33"/>
      <c r="F8715" s="33"/>
      <c r="G8715" s="33"/>
      <c r="H8715" s="31"/>
    </row>
    <row r="8716" spans="2:8" hidden="1">
      <c r="B8716" s="200"/>
      <c r="C8716" s="31"/>
      <c r="D8716" s="75"/>
      <c r="E8716" s="33"/>
      <c r="F8716" s="33"/>
      <c r="G8716" s="33"/>
      <c r="H8716" s="31"/>
    </row>
    <row r="8717" spans="2:8" hidden="1">
      <c r="B8717" s="33"/>
      <c r="C8717" s="200"/>
      <c r="D8717" s="75"/>
      <c r="E8717" s="31"/>
      <c r="F8717" s="31"/>
      <c r="G8717" s="31"/>
      <c r="H8717" s="31"/>
    </row>
    <row r="8718" spans="2:8" hidden="1">
      <c r="B8718" s="33"/>
      <c r="C8718" s="31"/>
      <c r="D8718" s="104"/>
      <c r="E8718" s="33"/>
      <c r="F8718" s="33"/>
      <c r="G8718" s="33"/>
      <c r="H8718" s="31"/>
    </row>
    <row r="8719" spans="2:8" hidden="1">
      <c r="B8719" s="33"/>
      <c r="C8719" s="31"/>
      <c r="D8719" s="31"/>
      <c r="E8719" s="31"/>
      <c r="F8719" s="31"/>
      <c r="G8719" s="31"/>
      <c r="H8719" s="31"/>
    </row>
    <row r="8720" spans="2:8" hidden="1">
      <c r="B8720" s="405"/>
      <c r="C8720" s="31"/>
      <c r="D8720" s="31"/>
      <c r="E8720" s="31"/>
      <c r="F8720" s="31"/>
      <c r="G8720" s="31"/>
      <c r="H8720" s="31"/>
    </row>
    <row r="8721" spans="2:8" hidden="1">
      <c r="B8721" s="405"/>
      <c r="C8721" s="31"/>
      <c r="D8721" s="31"/>
      <c r="E8721" s="31"/>
      <c r="F8721" s="691"/>
      <c r="G8721" s="75"/>
      <c r="H8721" s="31"/>
    </row>
    <row r="8722" spans="2:8" hidden="1">
      <c r="B8722" s="405"/>
      <c r="C8722" s="31"/>
      <c r="D8722" s="31"/>
      <c r="E8722" s="31"/>
      <c r="F8722" s="691"/>
      <c r="G8722" s="75"/>
      <c r="H8722" s="31"/>
    </row>
    <row r="8723" spans="2:8" hidden="1">
      <c r="B8723" s="405"/>
      <c r="C8723" s="31"/>
      <c r="D8723" s="31"/>
      <c r="E8723" s="31"/>
      <c r="F8723" s="691"/>
      <c r="G8723" s="75"/>
      <c r="H8723" s="31"/>
    </row>
    <row r="8724" spans="2:8" hidden="1">
      <c r="B8724" s="405"/>
      <c r="C8724" s="31"/>
      <c r="D8724" s="31"/>
      <c r="E8724" s="31"/>
      <c r="F8724" s="691"/>
      <c r="G8724" s="75"/>
      <c r="H8724" s="31"/>
    </row>
    <row r="8725" spans="2:8" hidden="1">
      <c r="B8725" s="405"/>
      <c r="C8725" s="31"/>
      <c r="D8725" s="31"/>
      <c r="E8725" s="31"/>
      <c r="F8725" s="691"/>
      <c r="G8725" s="75"/>
      <c r="H8725" s="31"/>
    </row>
    <row r="8726" spans="2:8" hidden="1">
      <c r="B8726" s="405"/>
      <c r="C8726" s="31"/>
      <c r="D8726" s="31"/>
      <c r="E8726" s="31"/>
      <c r="F8726" s="691"/>
      <c r="G8726" s="75"/>
      <c r="H8726" s="31"/>
    </row>
    <row r="8727" spans="2:8" hidden="1">
      <c r="B8727" s="405"/>
      <c r="C8727" s="31"/>
      <c r="D8727" s="31"/>
      <c r="E8727" s="31"/>
      <c r="F8727" s="691"/>
      <c r="G8727" s="75"/>
      <c r="H8727" s="31"/>
    </row>
    <row r="8728" spans="2:8" hidden="1">
      <c r="B8728" s="405"/>
      <c r="C8728" s="31"/>
      <c r="D8728" s="31"/>
      <c r="E8728" s="31"/>
      <c r="F8728" s="691"/>
      <c r="G8728" s="75"/>
      <c r="H8728" s="31"/>
    </row>
    <row r="8729" spans="2:8" hidden="1">
      <c r="B8729" s="405"/>
      <c r="C8729" s="31"/>
      <c r="D8729" s="31"/>
      <c r="E8729" s="31"/>
      <c r="F8729" s="691"/>
      <c r="G8729" s="75"/>
      <c r="H8729" s="31"/>
    </row>
    <row r="8730" spans="2:8" hidden="1">
      <c r="B8730" s="405"/>
      <c r="C8730" s="31"/>
      <c r="D8730" s="31"/>
      <c r="E8730" s="31"/>
      <c r="F8730" s="691"/>
      <c r="G8730" s="75"/>
      <c r="H8730" s="31"/>
    </row>
    <row r="8731" spans="2:8" hidden="1">
      <c r="B8731" s="405"/>
      <c r="C8731" s="31"/>
      <c r="D8731" s="31"/>
      <c r="E8731" s="31"/>
      <c r="F8731" s="691"/>
      <c r="G8731" s="75"/>
      <c r="H8731" s="31"/>
    </row>
    <row r="8732" spans="2:8" hidden="1">
      <c r="B8732" s="405"/>
      <c r="C8732" s="31"/>
      <c r="D8732" s="31"/>
      <c r="E8732" s="31"/>
      <c r="F8732" s="691"/>
      <c r="G8732" s="75"/>
      <c r="H8732" s="31"/>
    </row>
    <row r="8733" spans="2:8" hidden="1">
      <c r="B8733" s="405"/>
      <c r="C8733" s="31"/>
      <c r="D8733" s="31"/>
      <c r="E8733" s="31"/>
      <c r="F8733" s="691"/>
      <c r="G8733" s="75"/>
      <c r="H8733" s="31"/>
    </row>
    <row r="8734" spans="2:8" hidden="1">
      <c r="B8734" s="405"/>
      <c r="C8734" s="31"/>
      <c r="D8734" s="31"/>
      <c r="E8734" s="31"/>
      <c r="F8734" s="691"/>
      <c r="G8734" s="75"/>
      <c r="H8734" s="31"/>
    </row>
    <row r="8735" spans="2:8" hidden="1">
      <c r="B8735" s="405"/>
      <c r="C8735" s="31"/>
      <c r="D8735" s="31"/>
      <c r="E8735" s="31"/>
      <c r="F8735" s="691"/>
      <c r="G8735" s="75"/>
      <c r="H8735" s="31"/>
    </row>
    <row r="8736" spans="2:8" hidden="1">
      <c r="B8736" s="33"/>
      <c r="C8736" s="31"/>
      <c r="D8736" s="31"/>
      <c r="E8736" s="31"/>
      <c r="F8736" s="691"/>
      <c r="G8736" s="75"/>
      <c r="H8736" s="31"/>
    </row>
    <row r="8737" spans="2:8" hidden="1">
      <c r="B8737" s="33"/>
      <c r="C8737" s="31"/>
      <c r="D8737" s="31"/>
      <c r="E8737" s="31"/>
      <c r="F8737" s="691"/>
      <c r="G8737" s="75"/>
      <c r="H8737" s="31"/>
    </row>
    <row r="8738" spans="2:8" hidden="1">
      <c r="B8738" s="33"/>
      <c r="C8738" s="31"/>
      <c r="D8738" s="31"/>
      <c r="E8738" s="31"/>
      <c r="F8738" s="691"/>
      <c r="G8738" s="31"/>
      <c r="H8738" s="31"/>
    </row>
    <row r="8739" spans="2:8" hidden="1">
      <c r="B8739" s="33"/>
      <c r="C8739" s="31"/>
      <c r="D8739" s="31"/>
      <c r="E8739" s="31"/>
      <c r="F8739" s="31"/>
      <c r="G8739" s="31"/>
      <c r="H8739" s="31"/>
    </row>
    <row r="8740" spans="2:8" hidden="1">
      <c r="B8740" s="33"/>
      <c r="C8740" s="31"/>
      <c r="D8740" s="31"/>
      <c r="E8740" s="31"/>
      <c r="F8740" s="31"/>
      <c r="G8740" s="31"/>
      <c r="H8740" s="31"/>
    </row>
    <row r="8741" spans="2:8" hidden="1">
      <c r="B8741" s="33"/>
      <c r="C8741" s="31"/>
      <c r="D8741" s="31"/>
      <c r="E8741" s="31"/>
      <c r="F8741" s="31"/>
      <c r="G8741" s="31"/>
      <c r="H8741" s="31"/>
    </row>
    <row r="8742" spans="2:8" hidden="1">
      <c r="B8742" s="33"/>
      <c r="C8742" s="31"/>
      <c r="D8742" s="31"/>
      <c r="E8742" s="31"/>
      <c r="F8742" s="31"/>
      <c r="G8742" s="31"/>
      <c r="H8742" s="31"/>
    </row>
    <row r="8743" spans="2:8" hidden="1">
      <c r="B8743" s="33"/>
      <c r="C8743" s="31"/>
      <c r="D8743" s="31"/>
      <c r="E8743" s="31"/>
      <c r="F8743" s="31"/>
      <c r="G8743" s="31"/>
      <c r="H8743" s="31"/>
    </row>
    <row r="8744" spans="2:8" hidden="1">
      <c r="B8744" s="33"/>
      <c r="C8744" s="31"/>
      <c r="D8744" s="31"/>
      <c r="E8744" s="31"/>
      <c r="F8744" s="31"/>
      <c r="G8744" s="31"/>
      <c r="H8744" s="31"/>
    </row>
    <row r="8745" spans="2:8" hidden="1">
      <c r="B8745" s="33"/>
      <c r="C8745" s="31"/>
      <c r="D8745" s="31"/>
      <c r="E8745" s="31"/>
      <c r="F8745" s="31"/>
      <c r="G8745" s="31"/>
      <c r="H8745" s="31"/>
    </row>
    <row r="8746" spans="2:8" hidden="1">
      <c r="B8746" s="33"/>
      <c r="C8746" s="31"/>
      <c r="D8746" s="31"/>
      <c r="E8746" s="31"/>
      <c r="F8746" s="31"/>
      <c r="G8746" s="31"/>
      <c r="H8746" s="31"/>
    </row>
    <row r="8747" spans="2:8" hidden="1">
      <c r="B8747" s="33"/>
      <c r="C8747" s="31"/>
      <c r="D8747" s="33"/>
      <c r="E8747" s="31"/>
      <c r="F8747" s="33"/>
      <c r="G8747" s="33"/>
      <c r="H8747" s="31"/>
    </row>
    <row r="8748" spans="2:8" hidden="1">
      <c r="B8748" s="33"/>
      <c r="C8748" s="31"/>
      <c r="D8748" s="33"/>
      <c r="E8748" s="33"/>
      <c r="F8748" s="33"/>
      <c r="G8748" s="33"/>
      <c r="H8748" s="31"/>
    </row>
    <row r="8749" spans="2:8" hidden="1">
      <c r="B8749" s="33"/>
      <c r="C8749" s="31"/>
      <c r="D8749" s="31"/>
      <c r="E8749" s="31"/>
      <c r="F8749" s="31"/>
      <c r="G8749" s="31"/>
      <c r="H8749" s="31"/>
    </row>
    <row r="8750" spans="2:8" hidden="1">
      <c r="B8750" s="200"/>
      <c r="C8750" s="31"/>
      <c r="D8750" s="75"/>
      <c r="E8750" s="771"/>
      <c r="F8750" s="773"/>
      <c r="G8750" s="200"/>
      <c r="H8750" s="31"/>
    </row>
    <row r="8751" spans="2:8" hidden="1">
      <c r="B8751" s="200"/>
      <c r="C8751" s="31"/>
      <c r="D8751" s="75"/>
      <c r="E8751" s="771"/>
      <c r="F8751" s="773"/>
      <c r="G8751" s="200"/>
      <c r="H8751" s="31"/>
    </row>
    <row r="8752" spans="2:8" hidden="1">
      <c r="B8752" s="200"/>
      <c r="C8752" s="31"/>
      <c r="D8752" s="75"/>
      <c r="E8752" s="771"/>
      <c r="F8752" s="773"/>
      <c r="G8752" s="200"/>
      <c r="H8752" s="31"/>
    </row>
    <row r="8753" spans="2:8" hidden="1">
      <c r="B8753" s="200"/>
      <c r="C8753" s="31"/>
      <c r="D8753" s="75"/>
      <c r="E8753" s="771"/>
      <c r="F8753" s="773"/>
      <c r="G8753" s="200"/>
      <c r="H8753" s="31"/>
    </row>
    <row r="8754" spans="2:8" hidden="1">
      <c r="B8754" s="200"/>
      <c r="C8754" s="31"/>
      <c r="D8754" s="75"/>
      <c r="E8754" s="771"/>
      <c r="F8754" s="773"/>
      <c r="G8754" s="200"/>
      <c r="H8754" s="31"/>
    </row>
    <row r="8755" spans="2:8" hidden="1">
      <c r="B8755" s="200"/>
      <c r="C8755" s="31"/>
      <c r="D8755" s="75"/>
      <c r="E8755" s="771"/>
      <c r="F8755" s="773"/>
      <c r="G8755" s="200"/>
      <c r="H8755" s="31"/>
    </row>
    <row r="8756" spans="2:8" hidden="1">
      <c r="B8756" s="200"/>
      <c r="C8756" s="31"/>
      <c r="D8756" s="75"/>
      <c r="E8756" s="771"/>
      <c r="F8756" s="773"/>
      <c r="G8756" s="200"/>
      <c r="H8756" s="31"/>
    </row>
    <row r="8757" spans="2:8" hidden="1">
      <c r="B8757" s="200"/>
      <c r="C8757" s="31"/>
      <c r="D8757" s="75"/>
      <c r="E8757" s="771"/>
      <c r="F8757" s="773"/>
      <c r="G8757" s="200"/>
      <c r="H8757" s="31"/>
    </row>
    <row r="8758" spans="2:8" hidden="1">
      <c r="B8758" s="200"/>
      <c r="C8758" s="31"/>
      <c r="D8758" s="75"/>
      <c r="E8758" s="771"/>
      <c r="F8758" s="773"/>
      <c r="G8758" s="200"/>
      <c r="H8758" s="31"/>
    </row>
    <row r="8759" spans="2:8" hidden="1">
      <c r="B8759" s="200"/>
      <c r="C8759" s="31"/>
      <c r="D8759" s="75"/>
      <c r="E8759" s="771"/>
      <c r="F8759" s="773"/>
      <c r="G8759" s="200"/>
      <c r="H8759" s="31"/>
    </row>
    <row r="8760" spans="2:8" hidden="1">
      <c r="B8760" s="200"/>
      <c r="C8760" s="31"/>
      <c r="D8760" s="75"/>
      <c r="E8760" s="771"/>
      <c r="F8760" s="773"/>
      <c r="G8760" s="200"/>
      <c r="H8760" s="31"/>
    </row>
    <row r="8761" spans="2:8" hidden="1">
      <c r="B8761" s="200"/>
      <c r="C8761" s="31"/>
      <c r="D8761" s="75"/>
      <c r="E8761" s="771"/>
      <c r="F8761" s="773"/>
      <c r="G8761" s="200"/>
      <c r="H8761" s="31"/>
    </row>
    <row r="8762" spans="2:8" hidden="1">
      <c r="B8762" s="200"/>
      <c r="C8762" s="31"/>
      <c r="D8762" s="75"/>
      <c r="E8762" s="771"/>
      <c r="F8762" s="773"/>
      <c r="G8762" s="200"/>
      <c r="H8762" s="31"/>
    </row>
    <row r="8763" spans="2:8" hidden="1">
      <c r="B8763" s="200"/>
      <c r="C8763" s="31"/>
      <c r="D8763" s="75"/>
      <c r="E8763" s="771"/>
      <c r="F8763" s="772"/>
      <c r="G8763" s="33"/>
      <c r="H8763" s="31"/>
    </row>
    <row r="8764" spans="2:8" hidden="1">
      <c r="B8764" s="200"/>
      <c r="C8764" s="31"/>
      <c r="D8764" s="75"/>
      <c r="E8764" s="771"/>
      <c r="F8764" s="773"/>
      <c r="G8764" s="200"/>
      <c r="H8764" s="31"/>
    </row>
    <row r="8765" spans="2:8" hidden="1">
      <c r="B8765" s="200"/>
      <c r="C8765" s="31"/>
      <c r="D8765" s="75"/>
      <c r="E8765" s="771"/>
      <c r="F8765" s="773"/>
      <c r="G8765" s="200"/>
      <c r="H8765" s="31"/>
    </row>
    <row r="8766" spans="2:8" hidden="1">
      <c r="B8766" s="200"/>
      <c r="C8766" s="31"/>
      <c r="D8766" s="75"/>
      <c r="E8766" s="771"/>
      <c r="F8766" s="773"/>
      <c r="G8766" s="200"/>
      <c r="H8766" s="31"/>
    </row>
    <row r="8767" spans="2:8" hidden="1">
      <c r="B8767" s="200"/>
      <c r="C8767" s="31"/>
      <c r="D8767" s="75"/>
      <c r="E8767" s="771"/>
      <c r="F8767" s="773"/>
      <c r="G8767" s="200"/>
      <c r="H8767" s="31"/>
    </row>
    <row r="8768" spans="2:8" hidden="1">
      <c r="B8768" s="200"/>
      <c r="C8768" s="31"/>
      <c r="D8768" s="75"/>
      <c r="E8768" s="771"/>
      <c r="F8768" s="772"/>
      <c r="G8768" s="33"/>
      <c r="H8768" s="31"/>
    </row>
    <row r="8769" spans="2:8" hidden="1">
      <c r="B8769" s="200"/>
      <c r="C8769" s="31"/>
      <c r="D8769" s="75"/>
      <c r="E8769" s="772"/>
      <c r="F8769" s="772"/>
      <c r="G8769" s="33"/>
      <c r="H8769" s="31"/>
    </row>
    <row r="8770" spans="2:8" hidden="1">
      <c r="B8770" s="200"/>
      <c r="C8770" s="31"/>
      <c r="D8770" s="75"/>
      <c r="E8770" s="771"/>
      <c r="F8770" s="772"/>
      <c r="G8770" s="33"/>
      <c r="H8770" s="31"/>
    </row>
    <row r="8771" spans="2:8" hidden="1">
      <c r="B8771" s="200"/>
      <c r="C8771" s="31"/>
      <c r="D8771" s="75"/>
      <c r="E8771" s="33"/>
      <c r="F8771" s="33"/>
      <c r="G8771" s="33"/>
      <c r="H8771" s="31"/>
    </row>
    <row r="8772" spans="2:8" hidden="1">
      <c r="B8772" s="200"/>
      <c r="C8772" s="31"/>
      <c r="D8772" s="75"/>
      <c r="E8772" s="33"/>
      <c r="F8772" s="33"/>
      <c r="G8772" s="33"/>
      <c r="H8772" s="31"/>
    </row>
    <row r="8773" spans="2:8" hidden="1">
      <c r="B8773" s="200"/>
      <c r="C8773" s="31"/>
      <c r="D8773" s="75"/>
      <c r="E8773" s="31"/>
      <c r="F8773" s="31"/>
      <c r="G8773" s="31"/>
      <c r="H8773" s="31"/>
    </row>
    <row r="8774" spans="2:8" hidden="1">
      <c r="B8774" s="200"/>
      <c r="C8774" s="31"/>
      <c r="D8774" s="75"/>
      <c r="E8774" s="31"/>
      <c r="F8774" s="31"/>
      <c r="G8774" s="31"/>
      <c r="H8774" s="31"/>
    </row>
    <row r="8775" spans="2:8" hidden="1">
      <c r="B8775" s="200"/>
      <c r="C8775" s="31"/>
      <c r="D8775" s="75"/>
      <c r="E8775" s="31"/>
      <c r="F8775" s="31"/>
      <c r="G8775" s="31"/>
      <c r="H8775" s="31"/>
    </row>
    <row r="8776" spans="2:8" hidden="1">
      <c r="B8776" s="33"/>
      <c r="C8776" s="31"/>
      <c r="D8776" s="31"/>
      <c r="E8776" s="31"/>
      <c r="F8776" s="31"/>
      <c r="G8776" s="31"/>
      <c r="H8776" s="31"/>
    </row>
    <row r="8777" spans="2:8" hidden="1">
      <c r="B8777" s="200"/>
      <c r="C8777" s="31"/>
      <c r="D8777" s="75"/>
      <c r="E8777" s="771"/>
      <c r="F8777" s="33"/>
      <c r="G8777" s="33"/>
      <c r="H8777" s="31"/>
    </row>
    <row r="8778" spans="2:8" hidden="1">
      <c r="B8778" s="200"/>
      <c r="C8778" s="31"/>
      <c r="D8778" s="75"/>
      <c r="E8778" s="771"/>
      <c r="F8778" s="33"/>
      <c r="G8778" s="33"/>
      <c r="H8778" s="31"/>
    </row>
    <row r="8779" spans="2:8" hidden="1">
      <c r="B8779" s="200"/>
      <c r="C8779" s="31"/>
      <c r="D8779" s="75"/>
      <c r="E8779" s="771"/>
      <c r="F8779" s="31"/>
      <c r="G8779" s="31"/>
      <c r="H8779" s="31"/>
    </row>
    <row r="8780" spans="2:8" hidden="1">
      <c r="B8780" s="200"/>
      <c r="C8780" s="31"/>
      <c r="D8780" s="75"/>
      <c r="E8780" s="771"/>
      <c r="F8780" s="31"/>
      <c r="G8780" s="31"/>
      <c r="H8780" s="31"/>
    </row>
    <row r="8781" spans="2:8" hidden="1">
      <c r="B8781" s="200"/>
      <c r="C8781" s="31"/>
      <c r="D8781" s="75"/>
      <c r="E8781" s="771"/>
      <c r="F8781" s="31"/>
      <c r="G8781" s="31"/>
      <c r="H8781" s="31"/>
    </row>
    <row r="8782" spans="2:8" hidden="1">
      <c r="B8782" s="200"/>
      <c r="C8782" s="31"/>
      <c r="D8782" s="75"/>
      <c r="E8782" s="771"/>
      <c r="F8782" s="31"/>
      <c r="G8782" s="31"/>
      <c r="H8782" s="31"/>
    </row>
    <row r="8783" spans="2:8" hidden="1">
      <c r="B8783" s="200"/>
      <c r="C8783" s="31"/>
      <c r="D8783" s="75"/>
      <c r="E8783" s="771"/>
      <c r="F8783" s="31"/>
      <c r="G8783" s="31"/>
      <c r="H8783" s="31"/>
    </row>
    <row r="8784" spans="2:8" hidden="1">
      <c r="B8784" s="200"/>
      <c r="C8784" s="31"/>
      <c r="D8784" s="75"/>
      <c r="E8784" s="771"/>
      <c r="F8784" s="31"/>
      <c r="G8784" s="31"/>
      <c r="H8784" s="31"/>
    </row>
    <row r="8785" spans="2:8" hidden="1">
      <c r="B8785" s="200"/>
      <c r="C8785" s="31"/>
      <c r="D8785" s="75"/>
      <c r="E8785" s="771"/>
      <c r="F8785" s="31"/>
      <c r="G8785" s="31"/>
      <c r="H8785" s="31"/>
    </row>
    <row r="8786" spans="2:8" hidden="1">
      <c r="B8786" s="200"/>
      <c r="C8786" s="31"/>
      <c r="D8786" s="75"/>
      <c r="E8786" s="771"/>
      <c r="F8786" s="31"/>
      <c r="G8786" s="31"/>
      <c r="H8786" s="31"/>
    </row>
    <row r="8787" spans="2:8" hidden="1">
      <c r="B8787" s="200"/>
      <c r="C8787" s="31"/>
      <c r="D8787" s="75"/>
      <c r="E8787" s="771"/>
      <c r="F8787" s="31"/>
      <c r="G8787" s="31"/>
      <c r="H8787" s="31"/>
    </row>
    <row r="8788" spans="2:8" hidden="1">
      <c r="B8788" s="200"/>
      <c r="C8788" s="31"/>
      <c r="D8788" s="75"/>
      <c r="E8788" s="771"/>
      <c r="F8788" s="31"/>
      <c r="G8788" s="31"/>
      <c r="H8788" s="31"/>
    </row>
    <row r="8789" spans="2:8" hidden="1">
      <c r="B8789" s="200"/>
      <c r="C8789" s="31"/>
      <c r="D8789" s="75"/>
      <c r="E8789" s="771"/>
      <c r="F8789" s="31"/>
      <c r="G8789" s="31"/>
      <c r="H8789" s="31"/>
    </row>
    <row r="8790" spans="2:8" hidden="1">
      <c r="B8790" s="200"/>
      <c r="C8790" s="31"/>
      <c r="D8790" s="75"/>
      <c r="E8790" s="771"/>
      <c r="F8790" s="31"/>
      <c r="G8790" s="31"/>
      <c r="H8790" s="31"/>
    </row>
    <row r="8791" spans="2:8" hidden="1">
      <c r="B8791" s="200"/>
      <c r="C8791" s="31"/>
      <c r="D8791" s="75"/>
      <c r="E8791" s="771"/>
      <c r="F8791" s="31"/>
      <c r="G8791" s="31"/>
      <c r="H8791" s="31"/>
    </row>
    <row r="8792" spans="2:8" hidden="1">
      <c r="B8792" s="200"/>
      <c r="C8792" s="31"/>
      <c r="D8792" s="75"/>
      <c r="E8792" s="771"/>
      <c r="F8792" s="31"/>
      <c r="G8792" s="31"/>
      <c r="H8792" s="31"/>
    </row>
    <row r="8793" spans="2:8" hidden="1">
      <c r="B8793" s="200"/>
      <c r="C8793" s="31"/>
      <c r="D8793" s="75"/>
      <c r="E8793" s="771"/>
      <c r="F8793" s="31"/>
      <c r="G8793" s="31"/>
      <c r="H8793" s="31"/>
    </row>
    <row r="8794" spans="2:8" hidden="1">
      <c r="B8794" s="200"/>
      <c r="C8794" s="31"/>
      <c r="D8794" s="75"/>
      <c r="E8794" s="771"/>
      <c r="F8794" s="31"/>
      <c r="G8794" s="31"/>
      <c r="H8794" s="31"/>
    </row>
    <row r="8795" spans="2:8" hidden="1">
      <c r="B8795" s="200"/>
      <c r="C8795" s="31"/>
      <c r="D8795" s="75"/>
      <c r="E8795" s="771"/>
      <c r="F8795" s="31"/>
      <c r="G8795" s="31"/>
      <c r="H8795" s="31"/>
    </row>
    <row r="8796" spans="2:8" hidden="1">
      <c r="B8796" s="200"/>
      <c r="C8796" s="31"/>
      <c r="D8796" s="75"/>
      <c r="E8796" s="771"/>
      <c r="F8796" s="31"/>
      <c r="G8796" s="31"/>
      <c r="H8796" s="31"/>
    </row>
    <row r="8797" spans="2:8" hidden="1">
      <c r="B8797" s="200"/>
      <c r="C8797" s="31"/>
      <c r="D8797" s="75"/>
      <c r="E8797" s="771"/>
      <c r="F8797" s="31"/>
      <c r="G8797" s="31"/>
      <c r="H8797" s="31"/>
    </row>
    <row r="8798" spans="2:8" hidden="1">
      <c r="B8798" s="200"/>
      <c r="C8798" s="31"/>
      <c r="D8798" s="75"/>
      <c r="E8798" s="771"/>
      <c r="F8798" s="31"/>
      <c r="G8798" s="31"/>
      <c r="H8798" s="31"/>
    </row>
    <row r="8799" spans="2:8" hidden="1">
      <c r="B8799" s="200"/>
      <c r="C8799" s="31"/>
      <c r="D8799" s="75"/>
      <c r="E8799" s="771"/>
      <c r="F8799" s="31"/>
      <c r="G8799" s="31"/>
      <c r="H8799" s="31"/>
    </row>
    <row r="8800" spans="2:8" hidden="1">
      <c r="B8800" s="200"/>
      <c r="C8800" s="31"/>
      <c r="D8800" s="75"/>
      <c r="E8800" s="771"/>
      <c r="F8800" s="31"/>
      <c r="G8800" s="31"/>
      <c r="H8800" s="31"/>
    </row>
    <row r="8801" spans="2:8" hidden="1">
      <c r="B8801" s="200"/>
      <c r="C8801" s="31"/>
      <c r="D8801" s="75"/>
      <c r="E8801" s="771"/>
      <c r="F8801" s="31"/>
      <c r="G8801" s="31"/>
      <c r="H8801" s="31"/>
    </row>
    <row r="8802" spans="2:8" hidden="1">
      <c r="B8802" s="200"/>
      <c r="C8802" s="31"/>
      <c r="D8802" s="75"/>
      <c r="E8802" s="772"/>
      <c r="F8802" s="31"/>
      <c r="G8802" s="31"/>
      <c r="H8802" s="31"/>
    </row>
    <row r="8803" spans="2:8" hidden="1">
      <c r="B8803" s="200"/>
      <c r="C8803" s="31"/>
      <c r="D8803" s="75"/>
      <c r="E8803" s="772"/>
      <c r="F8803" s="33"/>
      <c r="G8803" s="33"/>
      <c r="H8803" s="31"/>
    </row>
    <row r="8804" spans="2:8" hidden="1">
      <c r="B8804" s="200"/>
      <c r="C8804" s="31"/>
      <c r="D8804" s="75"/>
      <c r="E8804" s="771"/>
      <c r="F8804" s="31"/>
      <c r="G8804" s="31"/>
      <c r="H8804" s="31"/>
    </row>
    <row r="8805" spans="2:8" hidden="1">
      <c r="B8805" s="200"/>
      <c r="C8805" s="31"/>
      <c r="D8805" s="75"/>
      <c r="E8805" s="771"/>
      <c r="F8805" s="31"/>
      <c r="G8805" s="31"/>
      <c r="H8805" s="31"/>
    </row>
    <row r="8806" spans="2:8" hidden="1">
      <c r="B8806" s="200"/>
      <c r="C8806" s="31"/>
      <c r="D8806" s="75"/>
      <c r="E8806" s="771"/>
      <c r="F8806" s="31"/>
      <c r="G8806" s="31"/>
      <c r="H8806" s="31"/>
    </row>
    <row r="8807" spans="2:8" hidden="1">
      <c r="B8807" s="200"/>
      <c r="C8807" s="31"/>
      <c r="D8807" s="75"/>
      <c r="E8807" s="771"/>
      <c r="F8807" s="31"/>
      <c r="G8807" s="31"/>
      <c r="H8807" s="31"/>
    </row>
    <row r="8808" spans="2:8" hidden="1">
      <c r="B8808" s="200"/>
      <c r="C8808" s="31"/>
      <c r="D8808" s="75"/>
      <c r="E8808" s="771"/>
      <c r="F8808" s="31"/>
      <c r="G8808" s="31"/>
      <c r="H8808" s="31"/>
    </row>
    <row r="8809" spans="2:8" hidden="1">
      <c r="B8809" s="200"/>
      <c r="C8809" s="31"/>
      <c r="D8809" s="75"/>
      <c r="E8809" s="771"/>
      <c r="F8809" s="31"/>
      <c r="G8809" s="31"/>
      <c r="H8809" s="31"/>
    </row>
    <row r="8810" spans="2:8" hidden="1">
      <c r="B8810" s="200"/>
      <c r="C8810" s="31"/>
      <c r="D8810" s="75"/>
      <c r="E8810" s="771"/>
      <c r="F8810" s="31"/>
      <c r="G8810" s="31"/>
      <c r="H8810" s="31"/>
    </row>
    <row r="8811" spans="2:8" hidden="1">
      <c r="B8811" s="200"/>
      <c r="C8811" s="31"/>
      <c r="D8811" s="75"/>
      <c r="E8811" s="771"/>
      <c r="F8811" s="31"/>
      <c r="G8811" s="31"/>
      <c r="H8811" s="31"/>
    </row>
    <row r="8812" spans="2:8" hidden="1">
      <c r="B8812" s="200"/>
      <c r="C8812" s="31"/>
      <c r="D8812" s="75"/>
      <c r="E8812" s="771"/>
      <c r="F8812" s="31"/>
      <c r="G8812" s="31"/>
      <c r="H8812" s="31"/>
    </row>
    <row r="8813" spans="2:8" hidden="1">
      <c r="B8813" s="200"/>
      <c r="C8813" s="31"/>
      <c r="D8813" s="75"/>
      <c r="E8813" s="771"/>
      <c r="F8813" s="31"/>
      <c r="G8813" s="31"/>
      <c r="H8813" s="31"/>
    </row>
    <row r="8814" spans="2:8" hidden="1">
      <c r="B8814" s="200"/>
      <c r="C8814" s="31"/>
      <c r="D8814" s="75"/>
      <c r="E8814" s="771"/>
      <c r="F8814" s="31"/>
      <c r="G8814" s="31"/>
      <c r="H8814" s="31"/>
    </row>
    <row r="8815" spans="2:8" hidden="1">
      <c r="B8815" s="200"/>
      <c r="C8815" s="31"/>
      <c r="D8815" s="75"/>
      <c r="E8815" s="771"/>
      <c r="F8815" s="31"/>
      <c r="G8815" s="31"/>
      <c r="H8815" s="31"/>
    </row>
    <row r="8816" spans="2:8" hidden="1">
      <c r="B8816" s="200"/>
      <c r="C8816" s="31"/>
      <c r="D8816" s="75"/>
      <c r="E8816" s="771"/>
      <c r="F8816" s="31"/>
      <c r="G8816" s="31"/>
      <c r="H8816" s="31"/>
    </row>
    <row r="8817" spans="2:8" hidden="1">
      <c r="B8817" s="200"/>
      <c r="C8817" s="31"/>
      <c r="D8817" s="75"/>
      <c r="E8817" s="772"/>
      <c r="F8817" s="33"/>
      <c r="G8817" s="33"/>
      <c r="H8817" s="31"/>
    </row>
    <row r="8818" spans="2:8" hidden="1">
      <c r="B8818" s="33"/>
      <c r="C8818" s="200"/>
      <c r="D8818" s="75"/>
      <c r="E8818" s="771"/>
      <c r="F8818" s="31"/>
      <c r="G8818" s="31"/>
      <c r="H8818" s="31"/>
    </row>
    <row r="8819" spans="2:8" hidden="1">
      <c r="B8819" s="33"/>
      <c r="C8819" s="31"/>
      <c r="D8819" s="104"/>
      <c r="E8819" s="772"/>
      <c r="F8819" s="33"/>
      <c r="G8819" s="33"/>
      <c r="H8819" s="31"/>
    </row>
    <row r="8820" spans="2:8" hidden="1">
      <c r="B8820" s="33"/>
      <c r="C8820" s="31"/>
      <c r="D8820" s="31"/>
      <c r="E8820" s="31"/>
      <c r="F8820" s="31"/>
      <c r="G8820" s="31"/>
      <c r="H8820" s="31"/>
    </row>
    <row r="8821" spans="2:8" hidden="1">
      <c r="B8821" s="33"/>
      <c r="C8821" s="31"/>
      <c r="D8821" s="31"/>
      <c r="E8821" s="31"/>
      <c r="F8821" s="31"/>
      <c r="G8821" s="31"/>
      <c r="H8821" s="31"/>
    </row>
    <row r="8822" spans="2:8" hidden="1">
      <c r="B8822" s="33"/>
      <c r="C8822" s="31"/>
      <c r="D8822" s="31"/>
      <c r="E8822" s="31"/>
      <c r="F8822" s="31"/>
      <c r="G8822" s="31"/>
      <c r="H8822" s="31"/>
    </row>
    <row r="8823" spans="2:8" hidden="1">
      <c r="B8823" s="33"/>
      <c r="C8823" s="31"/>
      <c r="D8823" s="31"/>
      <c r="E8823" s="31"/>
      <c r="F8823" s="691"/>
      <c r="G8823" s="75"/>
      <c r="H8823" s="31"/>
    </row>
    <row r="8824" spans="2:8" hidden="1">
      <c r="B8824" s="33"/>
      <c r="C8824" s="31"/>
      <c r="D8824" s="31"/>
      <c r="E8824" s="31"/>
      <c r="F8824" s="691"/>
      <c r="G8824" s="75"/>
      <c r="H8824" s="31"/>
    </row>
    <row r="8825" spans="2:8" hidden="1">
      <c r="B8825" s="33"/>
      <c r="C8825" s="31"/>
      <c r="D8825" s="31"/>
      <c r="E8825" s="31"/>
      <c r="F8825" s="691"/>
      <c r="G8825" s="75"/>
      <c r="H8825" s="31"/>
    </row>
    <row r="8826" spans="2:8" hidden="1">
      <c r="B8826" s="33"/>
      <c r="C8826" s="31"/>
      <c r="D8826" s="31"/>
      <c r="E8826" s="31"/>
      <c r="F8826" s="691"/>
      <c r="G8826" s="75"/>
      <c r="H8826" s="31"/>
    </row>
    <row r="8827" spans="2:8" hidden="1">
      <c r="B8827" s="33"/>
      <c r="C8827" s="31"/>
      <c r="D8827" s="31"/>
      <c r="E8827" s="31"/>
      <c r="F8827" s="691"/>
      <c r="G8827" s="75"/>
      <c r="H8827" s="31"/>
    </row>
    <row r="8828" spans="2:8" hidden="1">
      <c r="B8828" s="33"/>
      <c r="C8828" s="31"/>
      <c r="D8828" s="31"/>
      <c r="E8828" s="31"/>
      <c r="F8828" s="691"/>
      <c r="G8828" s="75"/>
      <c r="H8828" s="31"/>
    </row>
    <row r="8829" spans="2:8" hidden="1">
      <c r="B8829" s="33"/>
      <c r="C8829" s="31"/>
      <c r="D8829" s="31"/>
      <c r="E8829" s="31"/>
      <c r="F8829" s="691"/>
      <c r="G8829" s="75"/>
      <c r="H8829" s="31"/>
    </row>
    <row r="8830" spans="2:8" hidden="1">
      <c r="B8830" s="33"/>
      <c r="C8830" s="31"/>
      <c r="D8830" s="31"/>
      <c r="E8830" s="31"/>
      <c r="F8830" s="691"/>
      <c r="G8830" s="75"/>
      <c r="H8830" s="31"/>
    </row>
    <row r="8831" spans="2:8" hidden="1">
      <c r="B8831" s="33"/>
      <c r="C8831" s="31"/>
      <c r="D8831" s="31"/>
      <c r="E8831" s="31"/>
      <c r="F8831" s="691"/>
      <c r="G8831" s="75"/>
      <c r="H8831" s="31"/>
    </row>
    <row r="8832" spans="2:8" hidden="1">
      <c r="B8832" s="33"/>
      <c r="C8832" s="31"/>
      <c r="D8832" s="31"/>
      <c r="E8832" s="31"/>
      <c r="F8832" s="691"/>
      <c r="G8832" s="75"/>
      <c r="H8832" s="31"/>
    </row>
    <row r="8833" spans="2:8" hidden="1">
      <c r="B8833" s="33"/>
      <c r="C8833" s="31"/>
      <c r="D8833" s="31"/>
      <c r="E8833" s="31"/>
      <c r="F8833" s="691"/>
      <c r="G8833" s="75"/>
      <c r="H8833" s="31"/>
    </row>
    <row r="8834" spans="2:8" hidden="1">
      <c r="B8834" s="33"/>
      <c r="C8834" s="31"/>
      <c r="D8834" s="31"/>
      <c r="E8834" s="31"/>
      <c r="F8834" s="691"/>
      <c r="G8834" s="31"/>
      <c r="H8834" s="31"/>
    </row>
    <row r="8835" spans="2:8" hidden="1">
      <c r="B8835" s="33"/>
      <c r="C8835" s="31"/>
      <c r="D8835" s="31"/>
      <c r="E8835" s="31"/>
      <c r="F8835" s="31"/>
      <c r="G8835" s="31"/>
      <c r="H8835" s="31"/>
    </row>
    <row r="8836" spans="2:8" hidden="1">
      <c r="B8836" s="33"/>
      <c r="C8836" s="31"/>
      <c r="D8836" s="31"/>
      <c r="E8836" s="31"/>
      <c r="F8836" s="31"/>
      <c r="G8836" s="31"/>
      <c r="H8836" s="31"/>
    </row>
    <row r="8837" spans="2:8" hidden="1">
      <c r="B8837" s="33"/>
      <c r="C8837" s="31"/>
      <c r="D8837" s="31"/>
      <c r="E8837" s="31"/>
      <c r="F8837" s="31"/>
      <c r="G8837" s="31"/>
      <c r="H8837" s="31"/>
    </row>
    <row r="8838" spans="2:8" hidden="1">
      <c r="B8838" s="33"/>
      <c r="C8838" s="31"/>
      <c r="D8838" s="31"/>
      <c r="E8838" s="31"/>
      <c r="F8838" s="31"/>
      <c r="G8838" s="31"/>
      <c r="H8838" s="31"/>
    </row>
    <row r="8839" spans="2:8" hidden="1">
      <c r="B8839" s="33"/>
      <c r="C8839" s="31"/>
      <c r="D8839" s="31"/>
      <c r="E8839" s="31"/>
      <c r="F8839" s="31"/>
      <c r="G8839" s="31"/>
      <c r="H8839" s="31"/>
    </row>
    <row r="8840" spans="2:8" hidden="1">
      <c r="B8840" s="33"/>
      <c r="C8840" s="31"/>
      <c r="D8840" s="31"/>
      <c r="E8840" s="31"/>
      <c r="F8840" s="31"/>
      <c r="G8840" s="31"/>
      <c r="H8840" s="31"/>
    </row>
    <row r="8841" spans="2:8" hidden="1">
      <c r="B8841" s="33"/>
      <c r="C8841" s="31"/>
      <c r="D8841" s="31"/>
      <c r="E8841" s="31"/>
      <c r="F8841" s="31"/>
      <c r="G8841" s="31"/>
      <c r="H8841" s="31"/>
    </row>
    <row r="8842" spans="2:8" hidden="1">
      <c r="B8842" s="33"/>
      <c r="C8842" s="31"/>
      <c r="D8842" s="31"/>
      <c r="E8842" s="31"/>
      <c r="F8842" s="31"/>
      <c r="G8842" s="31"/>
      <c r="H8842" s="31"/>
    </row>
    <row r="8843" spans="2:8" hidden="1">
      <c r="B8843" s="33"/>
      <c r="C8843" s="31"/>
      <c r="D8843" s="33"/>
      <c r="E8843" s="31"/>
      <c r="F8843" s="33"/>
      <c r="G8843" s="33"/>
      <c r="H8843" s="31"/>
    </row>
    <row r="8844" spans="2:8" hidden="1">
      <c r="B8844" s="33"/>
      <c r="C8844" s="31"/>
      <c r="D8844" s="33"/>
      <c r="E8844" s="33"/>
      <c r="F8844" s="33"/>
      <c r="G8844" s="33"/>
      <c r="H8844" s="31"/>
    </row>
    <row r="8845" spans="2:8" hidden="1">
      <c r="B8845" s="33"/>
      <c r="C8845" s="31"/>
      <c r="D8845" s="31"/>
      <c r="E8845" s="31"/>
      <c r="F8845" s="31"/>
      <c r="G8845" s="31"/>
      <c r="H8845" s="31"/>
    </row>
    <row r="8846" spans="2:8" hidden="1">
      <c r="B8846" s="200"/>
      <c r="C8846" s="31"/>
      <c r="D8846" s="75"/>
      <c r="E8846" s="771"/>
      <c r="F8846" s="33"/>
      <c r="G8846" s="33"/>
      <c r="H8846" s="31"/>
    </row>
    <row r="8847" spans="2:8" hidden="1">
      <c r="B8847" s="200"/>
      <c r="C8847" s="31"/>
      <c r="D8847" s="75"/>
      <c r="E8847" s="771"/>
      <c r="F8847" s="33"/>
      <c r="G8847" s="33"/>
      <c r="H8847" s="31"/>
    </row>
    <row r="8848" spans="2:8" hidden="1">
      <c r="B8848" s="200"/>
      <c r="C8848" s="31"/>
      <c r="D8848" s="75"/>
      <c r="E8848" s="771"/>
      <c r="F8848" s="771"/>
      <c r="G8848" s="31"/>
      <c r="H8848" s="31"/>
    </row>
    <row r="8849" spans="2:8" hidden="1">
      <c r="B8849" s="200"/>
      <c r="C8849" s="31"/>
      <c r="D8849" s="75"/>
      <c r="E8849" s="771"/>
      <c r="F8849" s="771"/>
      <c r="G8849" s="31"/>
      <c r="H8849" s="31"/>
    </row>
    <row r="8850" spans="2:8" hidden="1">
      <c r="B8850" s="200"/>
      <c r="C8850" s="31"/>
      <c r="D8850" s="75"/>
      <c r="E8850" s="771"/>
      <c r="F8850" s="771"/>
      <c r="G8850" s="31"/>
      <c r="H8850" s="31"/>
    </row>
    <row r="8851" spans="2:8" hidden="1">
      <c r="B8851" s="200"/>
      <c r="C8851" s="31"/>
      <c r="D8851" s="75"/>
      <c r="E8851" s="771"/>
      <c r="F8851" s="771"/>
      <c r="G8851" s="31"/>
      <c r="H8851" s="31"/>
    </row>
    <row r="8852" spans="2:8" hidden="1">
      <c r="B8852" s="200"/>
      <c r="C8852" s="31"/>
      <c r="D8852" s="75"/>
      <c r="E8852" s="771"/>
      <c r="F8852" s="771"/>
      <c r="G8852" s="31"/>
      <c r="H8852" s="31"/>
    </row>
    <row r="8853" spans="2:8" hidden="1">
      <c r="B8853" s="200"/>
      <c r="C8853" s="31"/>
      <c r="D8853" s="75"/>
      <c r="E8853" s="771"/>
      <c r="F8853" s="771"/>
      <c r="G8853" s="31"/>
      <c r="H8853" s="31"/>
    </row>
    <row r="8854" spans="2:8" hidden="1">
      <c r="B8854" s="200"/>
      <c r="C8854" s="31"/>
      <c r="D8854" s="75"/>
      <c r="E8854" s="771"/>
      <c r="F8854" s="771"/>
      <c r="G8854" s="31"/>
      <c r="H8854" s="31"/>
    </row>
    <row r="8855" spans="2:8" hidden="1">
      <c r="B8855" s="200"/>
      <c r="C8855" s="31"/>
      <c r="D8855" s="75"/>
      <c r="E8855" s="771"/>
      <c r="F8855" s="771"/>
      <c r="G8855" s="31"/>
      <c r="H8855" s="31"/>
    </row>
    <row r="8856" spans="2:8" hidden="1">
      <c r="B8856" s="200"/>
      <c r="C8856" s="31"/>
      <c r="D8856" s="75"/>
      <c r="E8856" s="33"/>
      <c r="F8856" s="33"/>
      <c r="G8856" s="33"/>
      <c r="H8856" s="31"/>
    </row>
    <row r="8857" spans="2:8" hidden="1">
      <c r="B8857" s="200"/>
      <c r="C8857" s="31"/>
      <c r="D8857" s="31"/>
      <c r="E8857" s="31"/>
      <c r="F8857" s="31"/>
      <c r="G8857" s="31"/>
      <c r="H8857" s="31"/>
    </row>
    <row r="8858" spans="2:8" hidden="1">
      <c r="B8858" s="200"/>
      <c r="C8858" s="31"/>
      <c r="D8858" s="75"/>
      <c r="E8858" s="33"/>
      <c r="F8858" s="33"/>
      <c r="G8858" s="33"/>
      <c r="H8858" s="31"/>
    </row>
    <row r="8859" spans="2:8" hidden="1">
      <c r="B8859" s="200"/>
      <c r="C8859" s="31"/>
      <c r="D8859" s="75"/>
      <c r="E8859" s="33"/>
      <c r="F8859" s="33"/>
      <c r="G8859" s="33"/>
      <c r="H8859" s="31"/>
    </row>
    <row r="8860" spans="2:8" hidden="1">
      <c r="B8860" s="200"/>
      <c r="C8860" s="31"/>
      <c r="D8860" s="75"/>
      <c r="E8860" s="33"/>
      <c r="F8860" s="33"/>
      <c r="G8860" s="33"/>
      <c r="H8860" s="31"/>
    </row>
    <row r="8861" spans="2:8" hidden="1">
      <c r="B8861" s="200"/>
      <c r="C8861" s="31"/>
      <c r="D8861" s="75"/>
      <c r="E8861" s="33"/>
      <c r="F8861" s="33"/>
      <c r="G8861" s="33"/>
      <c r="H8861" s="31"/>
    </row>
    <row r="8862" spans="2:8" hidden="1">
      <c r="B8862" s="200"/>
      <c r="C8862" s="31"/>
      <c r="D8862" s="75"/>
      <c r="E8862" s="33"/>
      <c r="F8862" s="33"/>
      <c r="G8862" s="33"/>
      <c r="H8862" s="31"/>
    </row>
    <row r="8863" spans="2:8" hidden="1">
      <c r="B8863" s="200"/>
      <c r="C8863" s="31"/>
      <c r="D8863" s="75"/>
      <c r="E8863" s="33"/>
      <c r="F8863" s="33"/>
      <c r="G8863" s="33"/>
      <c r="H8863" s="31"/>
    </row>
    <row r="8864" spans="2:8" hidden="1">
      <c r="B8864" s="200"/>
      <c r="C8864" s="31"/>
      <c r="D8864" s="75"/>
      <c r="E8864" s="33"/>
      <c r="F8864" s="33"/>
      <c r="G8864" s="33"/>
      <c r="H8864" s="31"/>
    </row>
    <row r="8865" spans="2:8" hidden="1">
      <c r="B8865" s="33"/>
      <c r="C8865" s="31"/>
      <c r="D8865" s="31"/>
      <c r="E8865" s="31"/>
      <c r="F8865" s="31"/>
      <c r="G8865" s="31"/>
      <c r="H8865" s="31"/>
    </row>
    <row r="8866" spans="2:8" hidden="1">
      <c r="B8866" s="33"/>
      <c r="C8866" s="31"/>
      <c r="D8866" s="75"/>
      <c r="E8866" s="33"/>
      <c r="F8866" s="33"/>
      <c r="G8866" s="33"/>
      <c r="H8866" s="31"/>
    </row>
    <row r="8867" spans="2:8" hidden="1">
      <c r="B8867" s="33"/>
      <c r="C8867" s="31"/>
      <c r="D8867" s="75"/>
      <c r="E8867" s="33"/>
      <c r="F8867" s="33"/>
      <c r="G8867" s="33"/>
      <c r="H8867" s="31"/>
    </row>
    <row r="8868" spans="2:8" hidden="1">
      <c r="B8868" s="33"/>
      <c r="C8868" s="31"/>
      <c r="D8868" s="75"/>
      <c r="E8868" s="33"/>
      <c r="F8868" s="33"/>
      <c r="G8868" s="33"/>
      <c r="H8868" s="31"/>
    </row>
    <row r="8869" spans="2:8" hidden="1">
      <c r="B8869" s="33"/>
      <c r="C8869" s="31"/>
      <c r="D8869" s="75"/>
      <c r="E8869" s="33"/>
      <c r="F8869" s="33"/>
      <c r="G8869" s="33"/>
      <c r="H8869" s="31"/>
    </row>
    <row r="8870" spans="2:8" hidden="1">
      <c r="B8870" s="33"/>
      <c r="C8870" s="31"/>
      <c r="D8870" s="31"/>
      <c r="E8870" s="31"/>
      <c r="F8870" s="31"/>
      <c r="G8870" s="31"/>
      <c r="H8870" s="31"/>
    </row>
    <row r="8871" spans="2:8" hidden="1">
      <c r="B8871" s="33"/>
      <c r="C8871" s="31"/>
      <c r="D8871" s="75"/>
      <c r="E8871" s="33"/>
      <c r="F8871" s="33"/>
      <c r="G8871" s="33"/>
      <c r="H8871" s="31"/>
    </row>
    <row r="8872" spans="2:8" hidden="1">
      <c r="B8872" s="33"/>
      <c r="C8872" s="31"/>
      <c r="D8872" s="75"/>
      <c r="E8872" s="33"/>
      <c r="F8872" s="33"/>
      <c r="G8872" s="33"/>
      <c r="H8872" s="31"/>
    </row>
    <row r="8873" spans="2:8" hidden="1">
      <c r="B8873" s="33"/>
      <c r="C8873" s="31"/>
      <c r="D8873" s="75"/>
      <c r="E8873" s="33"/>
      <c r="F8873" s="33"/>
      <c r="G8873" s="33"/>
      <c r="H8873" s="31"/>
    </row>
    <row r="8874" spans="2:8" hidden="1">
      <c r="B8874" s="33"/>
      <c r="C8874" s="31"/>
      <c r="D8874" s="75"/>
      <c r="E8874" s="33"/>
      <c r="F8874" s="33"/>
      <c r="G8874" s="33"/>
      <c r="H8874" s="31"/>
    </row>
    <row r="8875" spans="2:8" hidden="1">
      <c r="B8875" s="33"/>
      <c r="C8875" s="31"/>
      <c r="D8875" s="75"/>
      <c r="E8875" s="33"/>
      <c r="F8875" s="33"/>
      <c r="G8875" s="33"/>
      <c r="H8875" s="31"/>
    </row>
    <row r="8876" spans="2:8" hidden="1">
      <c r="B8876" s="33"/>
      <c r="C8876" s="31"/>
      <c r="D8876" s="75"/>
      <c r="E8876" s="33"/>
      <c r="F8876" s="33"/>
      <c r="G8876" s="33"/>
      <c r="H8876" s="31"/>
    </row>
    <row r="8877" spans="2:8" hidden="1">
      <c r="B8877" s="33"/>
      <c r="C8877" s="31"/>
      <c r="D8877" s="75"/>
      <c r="E8877" s="33"/>
      <c r="F8877" s="33"/>
      <c r="G8877" s="33"/>
      <c r="H8877" s="31"/>
    </row>
    <row r="8878" spans="2:8" hidden="1">
      <c r="B8878" s="33"/>
      <c r="C8878" s="31"/>
      <c r="D8878" s="31"/>
      <c r="E8878" s="31"/>
      <c r="F8878" s="31"/>
      <c r="G8878" s="31"/>
      <c r="H8878" s="31"/>
    </row>
    <row r="8879" spans="2:8" hidden="1">
      <c r="B8879" s="33"/>
      <c r="C8879" s="31"/>
      <c r="D8879" s="75"/>
      <c r="E8879" s="33"/>
      <c r="F8879" s="33"/>
      <c r="G8879" s="33"/>
      <c r="H8879" s="31"/>
    </row>
    <row r="8880" spans="2:8" hidden="1">
      <c r="B8880" s="33"/>
      <c r="C8880" s="31"/>
      <c r="D8880" s="75"/>
      <c r="E8880" s="771"/>
      <c r="F8880" s="31"/>
      <c r="G8880" s="31"/>
      <c r="H8880" s="31"/>
    </row>
    <row r="8881" spans="2:8" hidden="1">
      <c r="B8881" s="33"/>
      <c r="C8881" s="31"/>
      <c r="D8881" s="75"/>
      <c r="E8881" s="771"/>
      <c r="F8881" s="31"/>
      <c r="G8881" s="31"/>
      <c r="H8881" s="31"/>
    </row>
    <row r="8882" spans="2:8" hidden="1">
      <c r="B8882" s="33"/>
      <c r="C8882" s="31"/>
      <c r="D8882" s="75"/>
      <c r="E8882" s="772"/>
      <c r="F8882" s="31"/>
      <c r="G8882" s="31"/>
      <c r="H8882" s="31"/>
    </row>
    <row r="8883" spans="2:8" hidden="1">
      <c r="B8883" s="33"/>
      <c r="C8883" s="31"/>
      <c r="D8883" s="75"/>
      <c r="E8883" s="771"/>
      <c r="F8883" s="771"/>
      <c r="G8883" s="31"/>
      <c r="H8883" s="31"/>
    </row>
    <row r="8884" spans="2:8" hidden="1">
      <c r="B8884" s="33"/>
      <c r="C8884" s="31"/>
      <c r="D8884" s="75"/>
      <c r="E8884" s="31"/>
      <c r="F8884" s="31"/>
      <c r="G8884" s="31"/>
      <c r="H8884" s="31"/>
    </row>
    <row r="8885" spans="2:8" hidden="1">
      <c r="B8885" s="33"/>
      <c r="C8885" s="31"/>
      <c r="D8885" s="75"/>
      <c r="E8885" s="31"/>
      <c r="F8885" s="31"/>
      <c r="G8885" s="31"/>
      <c r="H8885" s="31"/>
    </row>
    <row r="8886" spans="2:8" hidden="1">
      <c r="B8886" s="33"/>
      <c r="C8886" s="31"/>
      <c r="D8886" s="31"/>
      <c r="E8886" s="31"/>
      <c r="F8886" s="31"/>
      <c r="G8886" s="31"/>
      <c r="H8886" s="31"/>
    </row>
    <row r="8887" spans="2:8" hidden="1">
      <c r="B8887" s="33"/>
      <c r="C8887" s="31"/>
      <c r="D8887" s="75"/>
      <c r="E8887" s="33"/>
      <c r="F8887" s="33"/>
      <c r="G8887" s="33"/>
      <c r="H8887" s="31"/>
    </row>
    <row r="8888" spans="2:8" hidden="1">
      <c r="B8888" s="33"/>
      <c r="C8888" s="31"/>
      <c r="D8888" s="75"/>
      <c r="E8888" s="33"/>
      <c r="F8888" s="33"/>
      <c r="G8888" s="33"/>
      <c r="H8888" s="31"/>
    </row>
    <row r="8889" spans="2:8" hidden="1">
      <c r="B8889" s="33"/>
      <c r="C8889" s="31"/>
      <c r="D8889" s="75"/>
      <c r="E8889" s="33"/>
      <c r="F8889" s="33"/>
      <c r="G8889" s="33"/>
      <c r="H8889" s="31"/>
    </row>
    <row r="8890" spans="2:8" hidden="1">
      <c r="B8890" s="33"/>
      <c r="C8890" s="31"/>
      <c r="D8890" s="75"/>
      <c r="E8890" s="33"/>
      <c r="F8890" s="33"/>
      <c r="G8890" s="33"/>
      <c r="H8890" s="31"/>
    </row>
    <row r="8891" spans="2:8" hidden="1">
      <c r="B8891" s="33"/>
      <c r="C8891" s="31"/>
      <c r="D8891" s="75"/>
      <c r="E8891" s="33"/>
      <c r="F8891" s="33"/>
      <c r="G8891" s="33"/>
      <c r="H8891" s="31"/>
    </row>
    <row r="8892" spans="2:8" hidden="1">
      <c r="B8892" s="33"/>
      <c r="C8892" s="31"/>
      <c r="D8892" s="75"/>
      <c r="E8892" s="33"/>
      <c r="F8892" s="33"/>
      <c r="G8892" s="33"/>
      <c r="H8892" s="31"/>
    </row>
    <row r="8893" spans="2:8" hidden="1">
      <c r="B8893" s="33"/>
      <c r="C8893" s="31"/>
      <c r="D8893" s="75"/>
      <c r="E8893" s="33"/>
      <c r="F8893" s="33"/>
      <c r="G8893" s="33"/>
      <c r="H8893" s="31"/>
    </row>
    <row r="8894" spans="2:8" hidden="1">
      <c r="B8894" s="33"/>
      <c r="C8894" s="31"/>
      <c r="D8894" s="75"/>
      <c r="E8894" s="33"/>
      <c r="F8894" s="33"/>
      <c r="G8894" s="33"/>
      <c r="H8894" s="31"/>
    </row>
    <row r="8895" spans="2:8" hidden="1">
      <c r="B8895" s="33"/>
      <c r="C8895" s="31"/>
      <c r="D8895" s="75"/>
      <c r="E8895" s="33"/>
      <c r="F8895" s="33"/>
      <c r="G8895" s="33"/>
      <c r="H8895" s="31"/>
    </row>
    <row r="8896" spans="2:8" hidden="1">
      <c r="B8896" s="33"/>
      <c r="C8896" s="31"/>
      <c r="D8896" s="31"/>
      <c r="E8896" s="31"/>
      <c r="F8896" s="31"/>
      <c r="G8896" s="31"/>
      <c r="H8896" s="31"/>
    </row>
    <row r="8897" spans="2:8" hidden="1">
      <c r="B8897" s="33"/>
      <c r="C8897" s="31"/>
      <c r="D8897" s="75"/>
      <c r="E8897" s="33"/>
      <c r="F8897" s="33"/>
      <c r="G8897" s="33"/>
      <c r="H8897" s="31"/>
    </row>
    <row r="8898" spans="2:8" hidden="1">
      <c r="B8898" s="33"/>
      <c r="C8898" s="31"/>
      <c r="D8898" s="75"/>
      <c r="E8898" s="33"/>
      <c r="F8898" s="33"/>
      <c r="G8898" s="33"/>
      <c r="H8898" s="31"/>
    </row>
    <row r="8899" spans="2:8" hidden="1">
      <c r="B8899" s="33"/>
      <c r="C8899" s="31"/>
      <c r="D8899" s="75"/>
      <c r="E8899" s="33"/>
      <c r="F8899" s="33"/>
      <c r="G8899" s="33"/>
      <c r="H8899" s="31"/>
    </row>
    <row r="8900" spans="2:8" hidden="1">
      <c r="B8900" s="33"/>
      <c r="C8900" s="31"/>
      <c r="D8900" s="75"/>
      <c r="E8900" s="33"/>
      <c r="F8900" s="33"/>
      <c r="G8900" s="33"/>
      <c r="H8900" s="31"/>
    </row>
    <row r="8901" spans="2:8" hidden="1">
      <c r="B8901" s="33"/>
      <c r="C8901" s="31"/>
      <c r="D8901" s="75"/>
      <c r="E8901" s="33"/>
      <c r="F8901" s="33"/>
      <c r="G8901" s="33"/>
      <c r="H8901" s="31"/>
    </row>
    <row r="8902" spans="2:8" hidden="1">
      <c r="B8902" s="33"/>
      <c r="C8902" s="31"/>
      <c r="D8902" s="75"/>
      <c r="E8902" s="33"/>
      <c r="F8902" s="33"/>
      <c r="G8902" s="33"/>
      <c r="H8902" s="31"/>
    </row>
    <row r="8903" spans="2:8" hidden="1">
      <c r="B8903" s="33"/>
      <c r="C8903" s="31"/>
      <c r="D8903" s="75"/>
      <c r="E8903" s="33"/>
      <c r="F8903" s="33"/>
      <c r="G8903" s="33"/>
      <c r="H8903" s="31"/>
    </row>
    <row r="8904" spans="2:8" hidden="1">
      <c r="B8904" s="33"/>
      <c r="C8904" s="31"/>
      <c r="D8904" s="75"/>
      <c r="E8904" s="33"/>
      <c r="F8904" s="33"/>
      <c r="G8904" s="33"/>
      <c r="H8904" s="31"/>
    </row>
    <row r="8905" spans="2:8" hidden="1">
      <c r="B8905" s="33"/>
      <c r="C8905" s="31"/>
      <c r="D8905" s="75"/>
      <c r="E8905" s="33"/>
      <c r="F8905" s="33"/>
      <c r="G8905" s="33"/>
      <c r="H8905" s="31"/>
    </row>
    <row r="8906" spans="2:8" hidden="1">
      <c r="B8906" s="33"/>
      <c r="C8906" s="200"/>
      <c r="D8906" s="75"/>
      <c r="E8906" s="31"/>
      <c r="F8906" s="31"/>
      <c r="G8906" s="31"/>
      <c r="H8906" s="31"/>
    </row>
    <row r="8907" spans="2:8" hidden="1">
      <c r="B8907" s="33"/>
      <c r="C8907" s="31"/>
      <c r="D8907" s="104"/>
      <c r="E8907" s="33"/>
      <c r="F8907" s="33"/>
      <c r="G8907" s="33"/>
      <c r="H8907" s="31"/>
    </row>
    <row r="8908" spans="2:8" hidden="1">
      <c r="B8908" s="33"/>
      <c r="C8908" s="31"/>
      <c r="D8908" s="31"/>
      <c r="E8908" s="31"/>
      <c r="F8908" s="31"/>
      <c r="G8908" s="31"/>
      <c r="H8908" s="31"/>
    </row>
    <row r="8909" spans="2:8" hidden="1">
      <c r="B8909" s="405"/>
      <c r="C8909" s="31"/>
      <c r="D8909" s="31"/>
      <c r="E8909" s="31"/>
      <c r="F8909" s="31"/>
      <c r="G8909" s="31"/>
      <c r="H8909" s="31"/>
    </row>
    <row r="8910" spans="2:8" hidden="1">
      <c r="B8910" s="405"/>
      <c r="C8910" s="31"/>
      <c r="D8910" s="31"/>
      <c r="E8910" s="31"/>
      <c r="F8910" s="691"/>
      <c r="G8910" s="75"/>
      <c r="H8910" s="31"/>
    </row>
    <row r="8911" spans="2:8" hidden="1">
      <c r="B8911" s="405"/>
      <c r="C8911" s="31"/>
      <c r="D8911" s="31"/>
      <c r="E8911" s="31"/>
      <c r="F8911" s="691"/>
      <c r="G8911" s="75"/>
      <c r="H8911" s="31"/>
    </row>
    <row r="8912" spans="2:8" hidden="1">
      <c r="B8912" s="405"/>
      <c r="C8912" s="31"/>
      <c r="D8912" s="31"/>
      <c r="E8912" s="31"/>
      <c r="F8912" s="691"/>
      <c r="G8912" s="75"/>
      <c r="H8912" s="31"/>
    </row>
    <row r="8913" spans="2:8" hidden="1">
      <c r="B8913" s="405"/>
      <c r="C8913" s="31"/>
      <c r="D8913" s="31"/>
      <c r="E8913" s="31"/>
      <c r="F8913" s="691"/>
      <c r="G8913" s="75"/>
      <c r="H8913" s="31"/>
    </row>
    <row r="8914" spans="2:8" hidden="1">
      <c r="B8914" s="405"/>
      <c r="C8914" s="31"/>
      <c r="D8914" s="31"/>
      <c r="E8914" s="31"/>
      <c r="F8914" s="691"/>
      <c r="G8914" s="75"/>
      <c r="H8914" s="31"/>
    </row>
    <row r="8915" spans="2:8" hidden="1">
      <c r="B8915" s="405"/>
      <c r="C8915" s="31"/>
      <c r="D8915" s="31"/>
      <c r="E8915" s="31"/>
      <c r="F8915" s="691"/>
      <c r="G8915" s="75"/>
      <c r="H8915" s="31"/>
    </row>
    <row r="8916" spans="2:8" hidden="1">
      <c r="B8916" s="405"/>
      <c r="C8916" s="31"/>
      <c r="D8916" s="31"/>
      <c r="E8916" s="31"/>
      <c r="F8916" s="691"/>
      <c r="G8916" s="75"/>
      <c r="H8916" s="31"/>
    </row>
    <row r="8917" spans="2:8" hidden="1">
      <c r="B8917" s="405"/>
      <c r="C8917" s="31"/>
      <c r="D8917" s="31"/>
      <c r="E8917" s="31"/>
      <c r="F8917" s="691"/>
      <c r="G8917" s="75"/>
      <c r="H8917" s="31"/>
    </row>
    <row r="8918" spans="2:8" hidden="1">
      <c r="B8918" s="405"/>
      <c r="C8918" s="31"/>
      <c r="D8918" s="31"/>
      <c r="E8918" s="31"/>
      <c r="F8918" s="691"/>
      <c r="G8918" s="75"/>
      <c r="H8918" s="31"/>
    </row>
    <row r="8919" spans="2:8" hidden="1">
      <c r="B8919" s="405"/>
      <c r="C8919" s="31"/>
      <c r="D8919" s="31"/>
      <c r="E8919" s="31"/>
      <c r="F8919" s="691"/>
      <c r="G8919" s="75"/>
      <c r="H8919" s="31"/>
    </row>
    <row r="8920" spans="2:8" hidden="1">
      <c r="B8920" s="405"/>
      <c r="C8920" s="31"/>
      <c r="D8920" s="31"/>
      <c r="E8920" s="31"/>
      <c r="F8920" s="691"/>
      <c r="G8920" s="75"/>
      <c r="H8920" s="31"/>
    </row>
    <row r="8921" spans="2:8" hidden="1">
      <c r="B8921" s="405"/>
      <c r="C8921" s="31"/>
      <c r="D8921" s="31"/>
      <c r="E8921" s="31"/>
      <c r="F8921" s="691"/>
      <c r="G8921" s="75"/>
      <c r="H8921" s="31"/>
    </row>
    <row r="8922" spans="2:8" hidden="1">
      <c r="B8922" s="405"/>
      <c r="C8922" s="31"/>
      <c r="D8922" s="31"/>
      <c r="E8922" s="31"/>
      <c r="F8922" s="691"/>
      <c r="G8922" s="75"/>
      <c r="H8922" s="31"/>
    </row>
    <row r="8923" spans="2:8" hidden="1">
      <c r="B8923" s="405"/>
      <c r="C8923" s="31"/>
      <c r="D8923" s="31"/>
      <c r="E8923" s="31"/>
      <c r="F8923" s="691"/>
      <c r="G8923" s="75"/>
      <c r="H8923" s="31"/>
    </row>
    <row r="8924" spans="2:8" hidden="1">
      <c r="B8924" s="405"/>
      <c r="C8924" s="31"/>
      <c r="D8924" s="31"/>
      <c r="E8924" s="31"/>
      <c r="F8924" s="691"/>
      <c r="G8924" s="75"/>
      <c r="H8924" s="31"/>
    </row>
    <row r="8925" spans="2:8" hidden="1">
      <c r="B8925" s="405"/>
      <c r="C8925" s="31"/>
      <c r="D8925" s="31"/>
      <c r="E8925" s="31"/>
      <c r="F8925" s="691"/>
      <c r="G8925" s="75"/>
      <c r="H8925" s="31"/>
    </row>
    <row r="8926" spans="2:8" hidden="1">
      <c r="B8926" s="405"/>
      <c r="C8926" s="31"/>
      <c r="D8926" s="31"/>
      <c r="E8926" s="31"/>
      <c r="F8926" s="691"/>
      <c r="G8926" s="31"/>
      <c r="H8926" s="31"/>
    </row>
    <row r="8927" spans="2:8" hidden="1">
      <c r="B8927" s="405"/>
      <c r="C8927" s="31"/>
      <c r="D8927" s="31"/>
      <c r="E8927" s="31"/>
      <c r="F8927" s="691"/>
      <c r="G8927" s="31"/>
      <c r="H8927" s="31"/>
    </row>
    <row r="8928" spans="2:8" hidden="1">
      <c r="B8928" s="405"/>
      <c r="C8928" s="31"/>
      <c r="D8928" s="31"/>
      <c r="E8928" s="31"/>
      <c r="F8928" s="691"/>
      <c r="G8928" s="31"/>
      <c r="H8928" s="31"/>
    </row>
    <row r="8929" spans="2:8" hidden="1">
      <c r="B8929" s="405"/>
      <c r="C8929" s="31"/>
      <c r="D8929" s="31"/>
      <c r="E8929" s="31"/>
      <c r="F8929" s="691"/>
      <c r="G8929" s="31"/>
      <c r="H8929" s="31"/>
    </row>
    <row r="8930" spans="2:8" hidden="1">
      <c r="B8930" s="405"/>
      <c r="C8930" s="31"/>
      <c r="D8930" s="31"/>
      <c r="E8930" s="31"/>
      <c r="F8930" s="691"/>
      <c r="G8930" s="31"/>
      <c r="H8930" s="31"/>
    </row>
    <row r="8931" spans="2:8" hidden="1">
      <c r="B8931" s="405"/>
      <c r="C8931" s="31"/>
      <c r="D8931" s="31"/>
      <c r="E8931" s="31"/>
      <c r="F8931" s="691"/>
      <c r="G8931" s="31"/>
      <c r="H8931" s="31"/>
    </row>
    <row r="8932" spans="2:8" hidden="1">
      <c r="B8932" s="405"/>
      <c r="C8932" s="31"/>
      <c r="D8932" s="31"/>
      <c r="E8932" s="31"/>
      <c r="F8932" s="691"/>
      <c r="G8932" s="31"/>
      <c r="H8932" s="31"/>
    </row>
    <row r="8933" spans="2:8" hidden="1">
      <c r="B8933" s="405"/>
      <c r="C8933" s="31"/>
      <c r="D8933" s="31"/>
      <c r="E8933" s="31"/>
      <c r="F8933" s="691"/>
      <c r="G8933" s="768"/>
      <c r="H8933" s="31"/>
    </row>
    <row r="8934" spans="2:8" hidden="1">
      <c r="B8934" s="33"/>
      <c r="C8934" s="31"/>
      <c r="D8934" s="31"/>
      <c r="E8934" s="31"/>
      <c r="F8934" s="691"/>
      <c r="G8934" s="768"/>
      <c r="H8934" s="31"/>
    </row>
    <row r="8935" spans="2:8" hidden="1">
      <c r="B8935" s="33"/>
      <c r="C8935" s="31"/>
      <c r="D8935" s="31"/>
      <c r="E8935" s="31"/>
      <c r="F8935" s="691"/>
      <c r="G8935" s="31"/>
      <c r="H8935" s="31"/>
    </row>
    <row r="8936" spans="2:8" hidden="1">
      <c r="B8936" s="33"/>
      <c r="C8936" s="31"/>
      <c r="D8936" s="31"/>
      <c r="E8936" s="31"/>
      <c r="F8936" s="31"/>
      <c r="G8936" s="31"/>
      <c r="H8936" s="31"/>
    </row>
    <row r="8937" spans="2:8" hidden="1">
      <c r="B8937" s="33"/>
      <c r="C8937" s="31"/>
      <c r="D8937" s="31"/>
      <c r="E8937" s="31"/>
      <c r="F8937" s="31"/>
      <c r="G8937" s="31"/>
      <c r="H8937" s="31"/>
    </row>
    <row r="8938" spans="2:8" hidden="1">
      <c r="B8938" s="33"/>
      <c r="C8938" s="31"/>
      <c r="D8938" s="31"/>
      <c r="E8938" s="31"/>
      <c r="F8938" s="31"/>
      <c r="G8938" s="31"/>
      <c r="H8938" s="31"/>
    </row>
    <row r="8939" spans="2:8" hidden="1">
      <c r="B8939" s="33"/>
      <c r="C8939" s="31"/>
      <c r="D8939" s="31"/>
      <c r="E8939" s="31"/>
      <c r="F8939" s="31"/>
      <c r="G8939" s="31"/>
      <c r="H8939" s="31"/>
    </row>
    <row r="8940" spans="2:8" hidden="1">
      <c r="B8940" s="33"/>
      <c r="C8940" s="31"/>
      <c r="D8940" s="31"/>
      <c r="E8940" s="31"/>
      <c r="F8940" s="31"/>
      <c r="G8940" s="31"/>
      <c r="H8940" s="31"/>
    </row>
    <row r="8941" spans="2:8" hidden="1">
      <c r="B8941" s="33"/>
      <c r="C8941" s="31"/>
      <c r="D8941" s="31"/>
      <c r="E8941" s="31"/>
      <c r="F8941" s="31"/>
      <c r="G8941" s="31"/>
      <c r="H8941" s="31"/>
    </row>
    <row r="8942" spans="2:8" hidden="1">
      <c r="B8942" s="33"/>
      <c r="C8942" s="31"/>
      <c r="D8942" s="31"/>
      <c r="E8942" s="31"/>
      <c r="F8942" s="31"/>
      <c r="G8942" s="31"/>
      <c r="H8942" s="31"/>
    </row>
    <row r="8943" spans="2:8" hidden="1">
      <c r="B8943" s="33"/>
      <c r="C8943" s="31"/>
      <c r="D8943" s="31"/>
      <c r="E8943" s="31"/>
      <c r="F8943" s="31"/>
      <c r="G8943" s="31"/>
      <c r="H8943" s="31"/>
    </row>
    <row r="8944" spans="2:8" hidden="1">
      <c r="B8944" s="33"/>
      <c r="C8944" s="31"/>
      <c r="D8944" s="33"/>
      <c r="E8944" s="31"/>
      <c r="F8944" s="33"/>
      <c r="G8944" s="33"/>
      <c r="H8944" s="31"/>
    </row>
    <row r="8945" spans="2:8" hidden="1">
      <c r="B8945" s="33"/>
      <c r="C8945" s="31"/>
      <c r="D8945" s="33"/>
      <c r="E8945" s="33"/>
      <c r="F8945" s="33"/>
      <c r="G8945" s="33"/>
      <c r="H8945" s="31"/>
    </row>
    <row r="8946" spans="2:8" hidden="1">
      <c r="B8946" s="33"/>
      <c r="C8946" s="31"/>
      <c r="D8946" s="31"/>
      <c r="E8946" s="31"/>
      <c r="F8946" s="31"/>
      <c r="G8946" s="31"/>
      <c r="H8946" s="31"/>
    </row>
    <row r="8947" spans="2:8" hidden="1">
      <c r="B8947" s="200"/>
      <c r="C8947" s="31"/>
      <c r="D8947" s="75"/>
      <c r="E8947" s="31"/>
      <c r="F8947" s="33"/>
      <c r="G8947" s="33"/>
      <c r="H8947" s="31"/>
    </row>
    <row r="8948" spans="2:8" hidden="1">
      <c r="B8948" s="200"/>
      <c r="C8948" s="31"/>
      <c r="D8948" s="75"/>
      <c r="E8948" s="31"/>
      <c r="F8948" s="31"/>
      <c r="G8948" s="31"/>
      <c r="H8948" s="31"/>
    </row>
    <row r="8949" spans="2:8" hidden="1">
      <c r="B8949" s="200"/>
      <c r="C8949" s="31"/>
      <c r="D8949" s="75"/>
      <c r="E8949" s="31"/>
      <c r="F8949" s="33"/>
      <c r="G8949" s="33"/>
      <c r="H8949" s="31"/>
    </row>
    <row r="8950" spans="2:8" hidden="1">
      <c r="B8950" s="200"/>
      <c r="C8950" s="31"/>
      <c r="D8950" s="75"/>
      <c r="E8950" s="31"/>
      <c r="F8950" s="31"/>
      <c r="G8950" s="31"/>
      <c r="H8950" s="31"/>
    </row>
    <row r="8951" spans="2:8" hidden="1">
      <c r="B8951" s="33"/>
      <c r="C8951" s="31"/>
      <c r="D8951" s="31"/>
      <c r="E8951" s="31"/>
      <c r="F8951" s="31"/>
      <c r="G8951" s="31"/>
      <c r="H8951" s="31"/>
    </row>
    <row r="8952" spans="2:8" hidden="1">
      <c r="B8952" s="200"/>
      <c r="C8952" s="31"/>
      <c r="D8952" s="75"/>
      <c r="E8952" s="31"/>
      <c r="F8952" s="33"/>
      <c r="G8952" s="33"/>
      <c r="H8952" s="31"/>
    </row>
    <row r="8953" spans="2:8" hidden="1">
      <c r="B8953" s="200"/>
      <c r="C8953" s="31"/>
      <c r="D8953" s="75"/>
      <c r="E8953" s="31"/>
      <c r="F8953" s="31"/>
      <c r="G8953" s="31"/>
      <c r="H8953" s="31"/>
    </row>
    <row r="8954" spans="2:8" hidden="1">
      <c r="B8954" s="200"/>
      <c r="C8954" s="31"/>
      <c r="D8954" s="75"/>
      <c r="E8954" s="31"/>
      <c r="F8954" s="31"/>
      <c r="G8954" s="31"/>
      <c r="H8954" s="31"/>
    </row>
    <row r="8955" spans="2:8" hidden="1">
      <c r="B8955" s="200"/>
      <c r="C8955" s="31"/>
      <c r="D8955" s="75"/>
      <c r="E8955" s="31"/>
      <c r="F8955" s="31"/>
      <c r="G8955" s="31"/>
      <c r="H8955" s="31"/>
    </row>
    <row r="8956" spans="2:8" hidden="1">
      <c r="B8956" s="200"/>
      <c r="C8956" s="31"/>
      <c r="D8956" s="75"/>
      <c r="E8956" s="31"/>
      <c r="F8956" s="31"/>
      <c r="G8956" s="31"/>
      <c r="H8956" s="31"/>
    </row>
    <row r="8957" spans="2:8" hidden="1">
      <c r="B8957" s="200"/>
      <c r="C8957" s="31"/>
      <c r="D8957" s="75"/>
      <c r="E8957" s="33"/>
      <c r="F8957" s="31"/>
      <c r="G8957" s="31"/>
      <c r="H8957" s="31"/>
    </row>
    <row r="8958" spans="2:8" hidden="1">
      <c r="B8958" s="200"/>
      <c r="C8958" s="31"/>
      <c r="D8958" s="75"/>
      <c r="E8958" s="31"/>
      <c r="F8958" s="31"/>
      <c r="G8958" s="31"/>
      <c r="H8958" s="31"/>
    </row>
    <row r="8959" spans="2:8" hidden="1">
      <c r="B8959" s="33"/>
      <c r="C8959" s="31"/>
      <c r="D8959" s="31"/>
      <c r="E8959" s="31"/>
      <c r="F8959" s="31"/>
      <c r="G8959" s="31"/>
      <c r="H8959" s="31"/>
    </row>
    <row r="8960" spans="2:8" hidden="1">
      <c r="B8960" s="200"/>
      <c r="C8960" s="31"/>
      <c r="D8960" s="75"/>
      <c r="E8960" s="31"/>
      <c r="F8960" s="31"/>
      <c r="G8960" s="31"/>
      <c r="H8960" s="31"/>
    </row>
    <row r="8961" spans="2:8" hidden="1">
      <c r="B8961" s="200"/>
      <c r="C8961" s="31"/>
      <c r="D8961" s="75"/>
      <c r="E8961" s="31"/>
      <c r="F8961" s="31"/>
      <c r="G8961" s="31"/>
      <c r="H8961" s="31"/>
    </row>
    <row r="8962" spans="2:8" hidden="1">
      <c r="B8962" s="200"/>
      <c r="C8962" s="31"/>
      <c r="D8962" s="75"/>
      <c r="E8962" s="31"/>
      <c r="F8962" s="31"/>
      <c r="G8962" s="31"/>
      <c r="H8962" s="31"/>
    </row>
    <row r="8963" spans="2:8" hidden="1">
      <c r="B8963" s="200"/>
      <c r="C8963" s="31"/>
      <c r="D8963" s="75"/>
      <c r="E8963" s="31"/>
      <c r="F8963" s="771"/>
      <c r="G8963" s="31"/>
      <c r="H8963" s="31"/>
    </row>
    <row r="8964" spans="2:8" hidden="1">
      <c r="B8964" s="200"/>
      <c r="C8964" s="31"/>
      <c r="D8964" s="75"/>
      <c r="E8964" s="31"/>
      <c r="F8964" s="31"/>
      <c r="G8964" s="31"/>
      <c r="H8964" s="31"/>
    </row>
    <row r="8965" spans="2:8" hidden="1">
      <c r="B8965" s="200"/>
      <c r="C8965" s="31"/>
      <c r="D8965" s="75"/>
      <c r="E8965" s="33"/>
      <c r="F8965" s="31"/>
      <c r="G8965" s="31"/>
      <c r="H8965" s="31"/>
    </row>
    <row r="8966" spans="2:8" hidden="1">
      <c r="B8966" s="33"/>
      <c r="C8966" s="31"/>
      <c r="D8966" s="31"/>
      <c r="E8966" s="31"/>
      <c r="F8966" s="31"/>
      <c r="G8966" s="31"/>
      <c r="H8966" s="31"/>
    </row>
    <row r="8967" spans="2:8" hidden="1">
      <c r="B8967" s="200"/>
      <c r="C8967" s="31"/>
      <c r="D8967" s="75"/>
      <c r="E8967" s="771"/>
      <c r="F8967" s="33"/>
      <c r="G8967" s="33"/>
      <c r="H8967" s="31"/>
    </row>
    <row r="8968" spans="2:8" hidden="1">
      <c r="B8968" s="200"/>
      <c r="C8968" s="31"/>
      <c r="D8968" s="75"/>
      <c r="E8968" s="771"/>
      <c r="F8968" s="771"/>
      <c r="G8968" s="31"/>
      <c r="H8968" s="31"/>
    </row>
    <row r="8969" spans="2:8" hidden="1">
      <c r="B8969" s="200"/>
      <c r="C8969" s="31"/>
      <c r="D8969" s="75"/>
      <c r="E8969" s="771"/>
      <c r="F8969" s="771"/>
      <c r="G8969" s="31"/>
      <c r="H8969" s="31"/>
    </row>
    <row r="8970" spans="2:8" hidden="1">
      <c r="B8970" s="200"/>
      <c r="C8970" s="31"/>
      <c r="D8970" s="75"/>
      <c r="E8970" s="771"/>
      <c r="F8970" s="771"/>
      <c r="G8970" s="31"/>
      <c r="H8970" s="31"/>
    </row>
    <row r="8971" spans="2:8" hidden="1">
      <c r="B8971" s="200"/>
      <c r="C8971" s="31"/>
      <c r="D8971" s="75"/>
      <c r="E8971" s="771"/>
      <c r="F8971" s="771"/>
      <c r="G8971" s="31"/>
      <c r="H8971" s="31"/>
    </row>
    <row r="8972" spans="2:8" hidden="1">
      <c r="B8972" s="200"/>
      <c r="C8972" s="31"/>
      <c r="D8972" s="75"/>
      <c r="E8972" s="771"/>
      <c r="F8972" s="771"/>
      <c r="G8972" s="31"/>
      <c r="H8972" s="31"/>
    </row>
    <row r="8973" spans="2:8" hidden="1">
      <c r="B8973" s="200"/>
      <c r="C8973" s="31"/>
      <c r="D8973" s="75"/>
      <c r="E8973" s="771"/>
      <c r="F8973" s="771"/>
      <c r="G8973" s="31"/>
      <c r="H8973" s="31"/>
    </row>
    <row r="8974" spans="2:8" hidden="1">
      <c r="B8974" s="200"/>
      <c r="C8974" s="31"/>
      <c r="D8974" s="75"/>
      <c r="E8974" s="772"/>
      <c r="F8974" s="33"/>
      <c r="G8974" s="33"/>
      <c r="H8974" s="31"/>
    </row>
    <row r="8975" spans="2:8" hidden="1">
      <c r="B8975" s="200"/>
      <c r="C8975" s="31"/>
      <c r="D8975" s="31"/>
      <c r="E8975" s="33"/>
      <c r="F8975" s="33"/>
      <c r="G8975" s="33"/>
      <c r="H8975" s="31"/>
    </row>
    <row r="8976" spans="2:8" hidden="1">
      <c r="B8976" s="200"/>
      <c r="C8976" s="31"/>
      <c r="D8976" s="75"/>
      <c r="E8976" s="771"/>
      <c r="F8976" s="33"/>
      <c r="G8976" s="33"/>
      <c r="H8976" s="31"/>
    </row>
    <row r="8977" spans="2:8" hidden="1">
      <c r="B8977" s="200"/>
      <c r="C8977" s="31"/>
      <c r="D8977" s="75"/>
      <c r="E8977" s="771"/>
      <c r="F8977" s="771"/>
      <c r="G8977" s="31"/>
      <c r="H8977" s="31"/>
    </row>
    <row r="8978" spans="2:8" hidden="1">
      <c r="B8978" s="200"/>
      <c r="C8978" s="31"/>
      <c r="D8978" s="75"/>
      <c r="E8978" s="771"/>
      <c r="F8978" s="772"/>
      <c r="G8978" s="33"/>
      <c r="H8978" s="31"/>
    </row>
    <row r="8979" spans="2:8" hidden="1">
      <c r="B8979" s="200"/>
      <c r="C8979" s="31"/>
      <c r="D8979" s="75"/>
      <c r="E8979" s="771"/>
      <c r="F8979" s="771"/>
      <c r="G8979" s="31"/>
      <c r="H8979" s="31"/>
    </row>
    <row r="8980" spans="2:8" hidden="1">
      <c r="B8980" s="200"/>
      <c r="C8980" s="31"/>
      <c r="D8980" s="75"/>
      <c r="E8980" s="771"/>
      <c r="F8980" s="772"/>
      <c r="G8980" s="33"/>
      <c r="H8980" s="31"/>
    </row>
    <row r="8981" spans="2:8" hidden="1">
      <c r="B8981" s="200"/>
      <c r="C8981" s="31"/>
      <c r="D8981" s="75"/>
      <c r="E8981" s="771"/>
      <c r="F8981" s="771"/>
      <c r="G8981" s="31"/>
      <c r="H8981" s="31"/>
    </row>
    <row r="8982" spans="2:8" hidden="1">
      <c r="B8982" s="200"/>
      <c r="C8982" s="31"/>
      <c r="D8982" s="75"/>
      <c r="E8982" s="771"/>
      <c r="F8982" s="771"/>
      <c r="G8982" s="31"/>
      <c r="H8982" s="31"/>
    </row>
    <row r="8983" spans="2:8" hidden="1">
      <c r="B8983" s="200"/>
      <c r="C8983" s="31"/>
      <c r="D8983" s="75"/>
      <c r="E8983" s="771"/>
      <c r="F8983" s="771"/>
      <c r="G8983" s="31"/>
      <c r="H8983" s="31"/>
    </row>
    <row r="8984" spans="2:8" hidden="1">
      <c r="B8984" s="200"/>
      <c r="C8984" s="31"/>
      <c r="D8984" s="75"/>
      <c r="E8984" s="771"/>
      <c r="F8984" s="771"/>
      <c r="G8984" s="31"/>
      <c r="H8984" s="31"/>
    </row>
    <row r="8985" spans="2:8" hidden="1">
      <c r="B8985" s="200"/>
      <c r="C8985" s="31"/>
      <c r="D8985" s="75"/>
      <c r="E8985" s="771"/>
      <c r="F8985" s="771"/>
      <c r="G8985" s="31"/>
      <c r="H8985" s="31"/>
    </row>
    <row r="8986" spans="2:8" hidden="1">
      <c r="B8986" s="200"/>
      <c r="C8986" s="31"/>
      <c r="D8986" s="75"/>
      <c r="E8986" s="31"/>
      <c r="F8986" s="31"/>
      <c r="G8986" s="31"/>
      <c r="H8986" s="31"/>
    </row>
    <row r="8987" spans="2:8" hidden="1">
      <c r="B8987" s="33"/>
      <c r="C8987" s="200"/>
      <c r="D8987" s="75"/>
      <c r="E8987" s="31"/>
      <c r="F8987" s="31"/>
      <c r="G8987" s="31"/>
      <c r="H8987" s="31"/>
    </row>
    <row r="8988" spans="2:8" hidden="1">
      <c r="B8988" s="33"/>
      <c r="C8988" s="31"/>
      <c r="D8988" s="33"/>
      <c r="E8988" s="33"/>
      <c r="F8988" s="33"/>
      <c r="G8988" s="33"/>
      <c r="H8988" s="31"/>
    </row>
    <row r="8989" spans="2:8" hidden="1">
      <c r="B8989" s="33"/>
      <c r="C8989" s="31"/>
      <c r="D8989" s="31"/>
      <c r="E8989" s="31"/>
      <c r="F8989" s="31"/>
      <c r="G8989" s="31"/>
      <c r="H8989" s="31"/>
    </row>
    <row r="8990" spans="2:8" hidden="1">
      <c r="B8990" s="405"/>
      <c r="C8990" s="31"/>
      <c r="D8990" s="31"/>
      <c r="E8990" s="31"/>
      <c r="F8990" s="31"/>
      <c r="G8990" s="31"/>
      <c r="H8990" s="31"/>
    </row>
    <row r="8991" spans="2:8" hidden="1">
      <c r="B8991" s="405"/>
      <c r="C8991" s="31"/>
      <c r="D8991" s="31"/>
      <c r="E8991" s="31"/>
      <c r="F8991" s="691"/>
      <c r="G8991" s="75"/>
      <c r="H8991" s="31"/>
    </row>
    <row r="8992" spans="2:8" hidden="1">
      <c r="B8992" s="405"/>
      <c r="C8992" s="31"/>
      <c r="D8992" s="31"/>
      <c r="E8992" s="31"/>
      <c r="F8992" s="691"/>
      <c r="G8992" s="75"/>
      <c r="H8992" s="31"/>
    </row>
    <row r="8993" spans="2:8" hidden="1">
      <c r="B8993" s="405"/>
      <c r="C8993" s="31"/>
      <c r="D8993" s="31"/>
      <c r="E8993" s="31"/>
      <c r="F8993" s="691"/>
      <c r="G8993" s="75"/>
      <c r="H8993" s="31"/>
    </row>
    <row r="8994" spans="2:8" hidden="1">
      <c r="B8994" s="405"/>
      <c r="C8994" s="31"/>
      <c r="D8994" s="31"/>
      <c r="E8994" s="31"/>
      <c r="F8994" s="691"/>
      <c r="G8994" s="75"/>
      <c r="H8994" s="31"/>
    </row>
    <row r="8995" spans="2:8" hidden="1">
      <c r="B8995" s="405"/>
      <c r="C8995" s="31"/>
      <c r="D8995" s="31"/>
      <c r="E8995" s="31"/>
      <c r="F8995" s="691"/>
      <c r="G8995" s="75"/>
      <c r="H8995" s="31"/>
    </row>
    <row r="8996" spans="2:8" hidden="1">
      <c r="B8996" s="405"/>
      <c r="C8996" s="31"/>
      <c r="D8996" s="31"/>
      <c r="E8996" s="31"/>
      <c r="F8996" s="691"/>
      <c r="G8996" s="75"/>
      <c r="H8996" s="31"/>
    </row>
    <row r="8997" spans="2:8" hidden="1">
      <c r="B8997" s="405"/>
      <c r="C8997" s="31"/>
      <c r="D8997" s="31"/>
      <c r="E8997" s="31"/>
      <c r="F8997" s="691"/>
      <c r="G8997" s="75"/>
      <c r="H8997" s="31"/>
    </row>
    <row r="8998" spans="2:8" hidden="1">
      <c r="B8998" s="33"/>
      <c r="C8998" s="31"/>
      <c r="D8998" s="31"/>
      <c r="E8998" s="31"/>
      <c r="F8998" s="691"/>
      <c r="G8998" s="75"/>
      <c r="H8998" s="31"/>
    </row>
    <row r="8999" spans="2:8" hidden="1">
      <c r="B8999" s="33"/>
      <c r="C8999" s="31"/>
      <c r="D8999" s="31"/>
      <c r="E8999" s="31"/>
      <c r="F8999" s="691"/>
      <c r="G8999" s="75"/>
      <c r="H8999" s="31"/>
    </row>
    <row r="9000" spans="2:8" hidden="1">
      <c r="B9000" s="33"/>
      <c r="C9000" s="31"/>
      <c r="D9000" s="31"/>
      <c r="E9000" s="31"/>
      <c r="F9000" s="691"/>
      <c r="G9000" s="31"/>
      <c r="H9000" s="31"/>
    </row>
    <row r="9001" spans="2:8" hidden="1">
      <c r="B9001" s="33"/>
      <c r="C9001" s="31"/>
      <c r="D9001" s="31"/>
      <c r="E9001" s="31"/>
      <c r="F9001" s="31"/>
      <c r="G9001" s="31"/>
      <c r="H9001" s="31"/>
    </row>
    <row r="9002" spans="2:8" hidden="1">
      <c r="B9002" s="33"/>
      <c r="C9002" s="31"/>
      <c r="D9002" s="31"/>
      <c r="E9002" s="31"/>
      <c r="F9002" s="31"/>
      <c r="G9002" s="31"/>
      <c r="H9002" s="31"/>
    </row>
    <row r="9003" spans="2:8" hidden="1">
      <c r="B9003" s="33"/>
      <c r="C9003" s="31"/>
      <c r="D9003" s="31"/>
      <c r="E9003" s="31"/>
      <c r="F9003" s="31"/>
      <c r="G9003" s="31"/>
      <c r="H9003" s="31"/>
    </row>
    <row r="9004" spans="2:8" hidden="1">
      <c r="B9004" s="33"/>
      <c r="C9004" s="31"/>
      <c r="D9004" s="31"/>
      <c r="E9004" s="31"/>
      <c r="F9004" s="31"/>
      <c r="G9004" s="31"/>
      <c r="H9004" s="31"/>
    </row>
    <row r="9005" spans="2:8" hidden="1">
      <c r="B9005" s="33"/>
      <c r="C9005" s="31"/>
      <c r="D9005" s="31"/>
      <c r="E9005" s="31"/>
      <c r="F9005" s="31"/>
      <c r="G9005" s="31"/>
      <c r="H9005" s="31"/>
    </row>
    <row r="9006" spans="2:8" hidden="1">
      <c r="B9006" s="33"/>
      <c r="C9006" s="31"/>
      <c r="D9006" s="31"/>
      <c r="E9006" s="31"/>
      <c r="F9006" s="31"/>
      <c r="G9006" s="31"/>
      <c r="H9006" s="31"/>
    </row>
    <row r="9007" spans="2:8" hidden="1">
      <c r="B9007" s="33"/>
      <c r="C9007" s="31"/>
      <c r="D9007" s="31"/>
      <c r="E9007" s="31"/>
      <c r="F9007" s="31"/>
      <c r="G9007" s="31"/>
      <c r="H9007" s="31"/>
    </row>
    <row r="9008" spans="2:8" hidden="1">
      <c r="B9008" s="33"/>
      <c r="C9008" s="31"/>
      <c r="D9008" s="31"/>
      <c r="E9008" s="31"/>
      <c r="F9008" s="31"/>
      <c r="G9008" s="31"/>
      <c r="H9008" s="31"/>
    </row>
    <row r="9009" spans="2:8" hidden="1">
      <c r="B9009" s="33"/>
      <c r="C9009" s="31"/>
      <c r="D9009" s="33"/>
      <c r="E9009" s="31"/>
      <c r="F9009" s="33"/>
      <c r="G9009" s="33"/>
      <c r="H9009" s="31"/>
    </row>
    <row r="9010" spans="2:8" hidden="1">
      <c r="B9010" s="33"/>
      <c r="C9010" s="31"/>
      <c r="D9010" s="33"/>
      <c r="E9010" s="33"/>
      <c r="F9010" s="33"/>
      <c r="G9010" s="33"/>
      <c r="H9010" s="31"/>
    </row>
    <row r="9011" spans="2:8" hidden="1">
      <c r="B9011" s="33"/>
      <c r="C9011" s="31"/>
      <c r="D9011" s="31"/>
      <c r="E9011" s="31"/>
      <c r="F9011" s="31"/>
      <c r="G9011" s="31"/>
      <c r="H9011" s="31"/>
    </row>
    <row r="9012" spans="2:8" hidden="1">
      <c r="B9012" s="200"/>
      <c r="C9012" s="31"/>
      <c r="D9012" s="75"/>
      <c r="E9012" s="31"/>
      <c r="F9012" s="31"/>
      <c r="G9012" s="31"/>
      <c r="H9012" s="31"/>
    </row>
    <row r="9013" spans="2:8" hidden="1">
      <c r="B9013" s="200"/>
      <c r="C9013" s="31"/>
      <c r="D9013" s="75"/>
      <c r="E9013" s="31"/>
      <c r="F9013" s="31"/>
      <c r="G9013" s="31"/>
      <c r="H9013" s="31"/>
    </row>
    <row r="9014" spans="2:8" hidden="1">
      <c r="B9014" s="200"/>
      <c r="C9014" s="31"/>
      <c r="D9014" s="75"/>
      <c r="E9014" s="33"/>
      <c r="F9014" s="33"/>
      <c r="G9014" s="33"/>
      <c r="H9014" s="31"/>
    </row>
    <row r="9015" spans="2:8" hidden="1">
      <c r="B9015" s="200"/>
      <c r="C9015" s="31"/>
      <c r="D9015" s="75"/>
      <c r="E9015" s="33"/>
      <c r="F9015" s="33"/>
      <c r="G9015" s="33"/>
      <c r="H9015" s="31"/>
    </row>
    <row r="9016" spans="2:8" hidden="1">
      <c r="B9016" s="200"/>
      <c r="C9016" s="31"/>
      <c r="D9016" s="75"/>
      <c r="E9016" s="33"/>
      <c r="F9016" s="33"/>
      <c r="G9016" s="33"/>
      <c r="H9016" s="31"/>
    </row>
    <row r="9017" spans="2:8" hidden="1">
      <c r="B9017" s="200"/>
      <c r="C9017" s="31"/>
      <c r="D9017" s="75"/>
      <c r="E9017" s="31"/>
      <c r="F9017" s="31"/>
      <c r="G9017" s="31"/>
      <c r="H9017" s="31"/>
    </row>
    <row r="9018" spans="2:8" hidden="1">
      <c r="B9018" s="200"/>
      <c r="C9018" s="31"/>
      <c r="D9018" s="75"/>
      <c r="E9018" s="31"/>
      <c r="F9018" s="771"/>
      <c r="G9018" s="31"/>
      <c r="H9018" s="31"/>
    </row>
    <row r="9019" spans="2:8" hidden="1">
      <c r="B9019" s="200"/>
      <c r="C9019" s="31"/>
      <c r="D9019" s="75"/>
      <c r="E9019" s="31"/>
      <c r="F9019" s="31"/>
      <c r="G9019" s="31"/>
      <c r="H9019" s="31"/>
    </row>
    <row r="9020" spans="2:8" hidden="1">
      <c r="B9020" s="200"/>
      <c r="C9020" s="31"/>
      <c r="D9020" s="75"/>
      <c r="E9020" s="33"/>
      <c r="F9020" s="33"/>
      <c r="G9020" s="33"/>
      <c r="H9020" s="31"/>
    </row>
    <row r="9021" spans="2:8" hidden="1">
      <c r="B9021" s="200"/>
      <c r="C9021" s="31"/>
      <c r="D9021" s="75"/>
      <c r="E9021" s="31"/>
      <c r="F9021" s="33"/>
      <c r="G9021" s="33"/>
      <c r="H9021" s="31"/>
    </row>
    <row r="9022" spans="2:8" hidden="1">
      <c r="B9022" s="200"/>
      <c r="C9022" s="31"/>
      <c r="D9022" s="75"/>
      <c r="E9022" s="31"/>
      <c r="F9022" s="31"/>
      <c r="G9022" s="31"/>
      <c r="H9022" s="31"/>
    </row>
    <row r="9023" spans="2:8" hidden="1">
      <c r="B9023" s="200"/>
      <c r="C9023" s="31"/>
      <c r="D9023" s="75"/>
      <c r="E9023" s="31"/>
      <c r="F9023" s="31"/>
      <c r="G9023" s="31"/>
      <c r="H9023" s="31"/>
    </row>
    <row r="9024" spans="2:8" hidden="1">
      <c r="B9024" s="200"/>
      <c r="C9024" s="31"/>
      <c r="D9024" s="75"/>
      <c r="E9024" s="31"/>
      <c r="F9024" s="31"/>
      <c r="G9024" s="31"/>
      <c r="H9024" s="31"/>
    </row>
    <row r="9025" spans="2:8" hidden="1">
      <c r="B9025" s="200"/>
      <c r="C9025" s="31"/>
      <c r="D9025" s="75"/>
      <c r="E9025" s="31"/>
      <c r="F9025" s="33"/>
      <c r="G9025" s="33"/>
      <c r="H9025" s="31"/>
    </row>
    <row r="9026" spans="2:8" hidden="1">
      <c r="B9026" s="200"/>
      <c r="C9026" s="31"/>
      <c r="D9026" s="75"/>
      <c r="E9026" s="33"/>
      <c r="F9026" s="33"/>
      <c r="G9026" s="33"/>
      <c r="H9026" s="31"/>
    </row>
    <row r="9027" spans="2:8" hidden="1">
      <c r="B9027" s="200"/>
      <c r="C9027" s="31"/>
      <c r="D9027" s="75"/>
      <c r="E9027" s="33"/>
      <c r="F9027" s="33"/>
      <c r="G9027" s="33"/>
      <c r="H9027" s="31"/>
    </row>
    <row r="9028" spans="2:8" hidden="1">
      <c r="B9028" s="33"/>
      <c r="C9028" s="31"/>
      <c r="D9028" s="31"/>
      <c r="E9028" s="31"/>
      <c r="F9028" s="33"/>
      <c r="G9028" s="33"/>
      <c r="H9028" s="31"/>
    </row>
    <row r="9029" spans="2:8" hidden="1">
      <c r="B9029" s="200"/>
      <c r="C9029" s="31"/>
      <c r="D9029" s="75"/>
      <c r="E9029" s="771"/>
      <c r="F9029" s="33"/>
      <c r="G9029" s="33"/>
      <c r="H9029" s="31"/>
    </row>
    <row r="9030" spans="2:8" hidden="1">
      <c r="B9030" s="200"/>
      <c r="C9030" s="31"/>
      <c r="D9030" s="75"/>
      <c r="E9030" s="771"/>
      <c r="F9030" s="771"/>
      <c r="G9030" s="31"/>
      <c r="H9030" s="31"/>
    </row>
    <row r="9031" spans="2:8" hidden="1">
      <c r="B9031" s="200"/>
      <c r="C9031" s="31"/>
      <c r="D9031" s="75"/>
      <c r="E9031" s="771"/>
      <c r="F9031" s="771"/>
      <c r="G9031" s="31"/>
      <c r="H9031" s="31"/>
    </row>
    <row r="9032" spans="2:8" hidden="1">
      <c r="B9032" s="200"/>
      <c r="C9032" s="31"/>
      <c r="D9032" s="75"/>
      <c r="E9032" s="771"/>
      <c r="F9032" s="771"/>
      <c r="G9032" s="31"/>
      <c r="H9032" s="31"/>
    </row>
    <row r="9033" spans="2:8" hidden="1">
      <c r="B9033" s="200"/>
      <c r="C9033" s="31"/>
      <c r="D9033" s="75"/>
      <c r="E9033" s="771"/>
      <c r="F9033" s="771"/>
      <c r="G9033" s="31"/>
      <c r="H9033" s="31"/>
    </row>
    <row r="9034" spans="2:8" hidden="1">
      <c r="B9034" s="200"/>
      <c r="C9034" s="31"/>
      <c r="D9034" s="75"/>
      <c r="E9034" s="771"/>
      <c r="F9034" s="771"/>
      <c r="G9034" s="31"/>
      <c r="H9034" s="31"/>
    </row>
    <row r="9035" spans="2:8" hidden="1">
      <c r="B9035" s="200"/>
      <c r="C9035" s="31"/>
      <c r="D9035" s="75"/>
      <c r="E9035" s="771"/>
      <c r="F9035" s="771"/>
      <c r="G9035" s="31"/>
      <c r="H9035" s="31"/>
    </row>
    <row r="9036" spans="2:8" hidden="1">
      <c r="B9036" s="200"/>
      <c r="C9036" s="31"/>
      <c r="D9036" s="75"/>
      <c r="E9036" s="771"/>
      <c r="F9036" s="771"/>
      <c r="G9036" s="31"/>
      <c r="H9036" s="31"/>
    </row>
    <row r="9037" spans="2:8" hidden="1">
      <c r="B9037" s="200"/>
      <c r="C9037" s="31"/>
      <c r="D9037" s="75"/>
      <c r="E9037" s="771"/>
      <c r="F9037" s="771"/>
      <c r="G9037" s="31"/>
      <c r="H9037" s="31"/>
    </row>
    <row r="9038" spans="2:8" hidden="1">
      <c r="B9038" s="200"/>
      <c r="C9038" s="31"/>
      <c r="D9038" s="75"/>
      <c r="E9038" s="771"/>
      <c r="F9038" s="771"/>
      <c r="G9038" s="31"/>
      <c r="H9038" s="31"/>
    </row>
    <row r="9039" spans="2:8" hidden="1">
      <c r="B9039" s="200"/>
      <c r="C9039" s="31"/>
      <c r="D9039" s="75"/>
      <c r="E9039" s="771"/>
      <c r="F9039" s="771"/>
      <c r="G9039" s="31"/>
      <c r="H9039" s="31"/>
    </row>
    <row r="9040" spans="2:8" hidden="1">
      <c r="B9040" s="200"/>
      <c r="C9040" s="31"/>
      <c r="D9040" s="75"/>
      <c r="E9040" s="771"/>
      <c r="F9040" s="771"/>
      <c r="G9040" s="31"/>
      <c r="H9040" s="31"/>
    </row>
    <row r="9041" spans="2:8" hidden="1">
      <c r="B9041" s="200"/>
      <c r="C9041" s="31"/>
      <c r="D9041" s="75"/>
      <c r="E9041" s="771"/>
      <c r="F9041" s="771"/>
      <c r="G9041" s="31"/>
      <c r="H9041" s="31"/>
    </row>
    <row r="9042" spans="2:8" hidden="1">
      <c r="B9042" s="200"/>
      <c r="C9042" s="31"/>
      <c r="D9042" s="75"/>
      <c r="E9042" s="772"/>
      <c r="F9042" s="772"/>
      <c r="G9042" s="33"/>
      <c r="H9042" s="31"/>
    </row>
    <row r="9043" spans="2:8" hidden="1">
      <c r="B9043" s="200"/>
      <c r="C9043" s="31"/>
      <c r="D9043" s="75"/>
      <c r="E9043" s="31"/>
      <c r="F9043" s="33"/>
      <c r="G9043" s="33"/>
      <c r="H9043" s="31"/>
    </row>
    <row r="9044" spans="2:8" hidden="1">
      <c r="B9044" s="200"/>
      <c r="C9044" s="31"/>
      <c r="D9044" s="75"/>
      <c r="E9044" s="31"/>
      <c r="F9044" s="31"/>
      <c r="G9044" s="31"/>
      <c r="H9044" s="31"/>
    </row>
    <row r="9045" spans="2:8" hidden="1">
      <c r="B9045" s="200"/>
      <c r="C9045" s="31"/>
      <c r="D9045" s="75"/>
      <c r="E9045" s="31"/>
      <c r="F9045" s="31"/>
      <c r="G9045" s="31"/>
      <c r="H9045" s="31"/>
    </row>
    <row r="9046" spans="2:8" hidden="1">
      <c r="B9046" s="200"/>
      <c r="C9046" s="31"/>
      <c r="D9046" s="75"/>
      <c r="E9046" s="33"/>
      <c r="F9046" s="33"/>
      <c r="G9046" s="33"/>
      <c r="H9046" s="31"/>
    </row>
    <row r="9047" spans="2:8" hidden="1">
      <c r="B9047" s="200"/>
      <c r="C9047" s="31"/>
      <c r="D9047" s="75"/>
      <c r="E9047" s="31"/>
      <c r="F9047" s="31"/>
      <c r="G9047" s="31"/>
      <c r="H9047" s="31"/>
    </row>
    <row r="9048" spans="2:8" hidden="1">
      <c r="B9048" s="200"/>
      <c r="C9048" s="31"/>
      <c r="D9048" s="75"/>
      <c r="E9048" s="31"/>
      <c r="F9048" s="31"/>
      <c r="G9048" s="31"/>
      <c r="H9048" s="31"/>
    </row>
    <row r="9049" spans="2:8" hidden="1">
      <c r="B9049" s="200"/>
      <c r="C9049" s="31"/>
      <c r="D9049" s="75"/>
      <c r="E9049" s="31"/>
      <c r="F9049" s="31"/>
      <c r="G9049" s="31"/>
      <c r="H9049" s="31"/>
    </row>
    <row r="9050" spans="2:8" hidden="1">
      <c r="B9050" s="200"/>
      <c r="C9050" s="31"/>
      <c r="D9050" s="75"/>
      <c r="E9050" s="31"/>
      <c r="F9050" s="31"/>
      <c r="G9050" s="31"/>
      <c r="H9050" s="31"/>
    </row>
    <row r="9051" spans="2:8" hidden="1">
      <c r="B9051" s="200"/>
      <c r="C9051" s="31"/>
      <c r="D9051" s="75"/>
      <c r="E9051" s="31"/>
      <c r="F9051" s="31"/>
      <c r="G9051" s="31"/>
      <c r="H9051" s="31"/>
    </row>
    <row r="9052" spans="2:8" hidden="1">
      <c r="B9052" s="33"/>
      <c r="C9052" s="31"/>
      <c r="D9052" s="31"/>
      <c r="E9052" s="31"/>
      <c r="F9052" s="31"/>
      <c r="G9052" s="31"/>
      <c r="H9052" s="31"/>
    </row>
    <row r="9053" spans="2:8" hidden="1">
      <c r="B9053" s="200"/>
      <c r="C9053" s="31"/>
      <c r="D9053" s="75"/>
      <c r="E9053" s="771"/>
      <c r="F9053" s="771"/>
      <c r="G9053" s="31"/>
      <c r="H9053" s="31"/>
    </row>
    <row r="9054" spans="2:8" hidden="1">
      <c r="B9054" s="200"/>
      <c r="C9054" s="31"/>
      <c r="D9054" s="75"/>
      <c r="E9054" s="771"/>
      <c r="F9054" s="771"/>
      <c r="G9054" s="31"/>
      <c r="H9054" s="31"/>
    </row>
    <row r="9055" spans="2:8" hidden="1">
      <c r="B9055" s="200"/>
      <c r="C9055" s="31"/>
      <c r="D9055" s="75"/>
      <c r="E9055" s="771"/>
      <c r="F9055" s="771"/>
      <c r="G9055" s="31"/>
      <c r="H9055" s="31"/>
    </row>
    <row r="9056" spans="2:8" hidden="1">
      <c r="B9056" s="200"/>
      <c r="C9056" s="31"/>
      <c r="D9056" s="75"/>
      <c r="E9056" s="771"/>
      <c r="F9056" s="771"/>
      <c r="G9056" s="31"/>
      <c r="H9056" s="31"/>
    </row>
    <row r="9057" spans="2:8" hidden="1">
      <c r="B9057" s="200"/>
      <c r="C9057" s="31"/>
      <c r="D9057" s="75"/>
      <c r="E9057" s="771"/>
      <c r="F9057" s="771"/>
      <c r="G9057" s="31"/>
      <c r="H9057" s="31"/>
    </row>
    <row r="9058" spans="2:8" hidden="1">
      <c r="B9058" s="200"/>
      <c r="C9058" s="31"/>
      <c r="D9058" s="75"/>
      <c r="E9058" s="772"/>
      <c r="F9058" s="771"/>
      <c r="G9058" s="31"/>
      <c r="H9058" s="31"/>
    </row>
    <row r="9059" spans="2:8" hidden="1">
      <c r="B9059" s="200"/>
      <c r="C9059" s="31"/>
      <c r="D9059" s="75"/>
      <c r="E9059" s="771"/>
      <c r="F9059" s="772"/>
      <c r="G9059" s="33"/>
      <c r="H9059" s="31"/>
    </row>
    <row r="9060" spans="2:8" hidden="1">
      <c r="B9060" s="200"/>
      <c r="C9060" s="31"/>
      <c r="D9060" s="75"/>
      <c r="E9060" s="771"/>
      <c r="F9060" s="772"/>
      <c r="G9060" s="33"/>
      <c r="H9060" s="31"/>
    </row>
    <row r="9061" spans="2:8" hidden="1">
      <c r="B9061" s="200"/>
      <c r="C9061" s="31"/>
      <c r="D9061" s="104"/>
      <c r="E9061" s="772"/>
      <c r="F9061" s="772"/>
      <c r="G9061" s="33"/>
      <c r="H9061" s="31"/>
    </row>
    <row r="9062" spans="2:8" hidden="1">
      <c r="B9062" s="200"/>
      <c r="C9062" s="31"/>
      <c r="D9062" s="104"/>
      <c r="E9062" s="772"/>
      <c r="F9062" s="772"/>
      <c r="G9062" s="33"/>
      <c r="H9062" s="31"/>
    </row>
    <row r="9063" spans="2:8" hidden="1">
      <c r="B9063" s="200"/>
      <c r="C9063" s="31"/>
      <c r="D9063" s="75"/>
      <c r="E9063" s="772"/>
      <c r="F9063" s="771"/>
      <c r="G9063" s="31"/>
      <c r="H9063" s="31"/>
    </row>
    <row r="9064" spans="2:8" hidden="1">
      <c r="B9064" s="200"/>
      <c r="C9064" s="31"/>
      <c r="D9064" s="75"/>
      <c r="E9064" s="772"/>
      <c r="F9064" s="772"/>
      <c r="G9064" s="33"/>
      <c r="H9064" s="31"/>
    </row>
    <row r="9065" spans="2:8" hidden="1">
      <c r="B9065" s="33"/>
      <c r="C9065" s="31"/>
      <c r="D9065" s="31"/>
      <c r="E9065" s="31"/>
      <c r="F9065" s="31"/>
      <c r="G9065" s="31"/>
      <c r="H9065" s="31"/>
    </row>
    <row r="9066" spans="2:8" hidden="1">
      <c r="B9066" s="200"/>
      <c r="C9066" s="31"/>
      <c r="D9066" s="75"/>
      <c r="E9066" s="31"/>
      <c r="F9066" s="31"/>
      <c r="G9066" s="31"/>
      <c r="H9066" s="31"/>
    </row>
    <row r="9067" spans="2:8" hidden="1">
      <c r="B9067" s="200"/>
      <c r="C9067" s="31"/>
      <c r="D9067" s="75"/>
      <c r="E9067" s="33"/>
      <c r="F9067" s="33"/>
      <c r="G9067" s="33"/>
      <c r="H9067" s="31"/>
    </row>
    <row r="9068" spans="2:8" hidden="1">
      <c r="B9068" s="200"/>
      <c r="C9068" s="31"/>
      <c r="D9068" s="75"/>
      <c r="E9068" s="33"/>
      <c r="F9068" s="33"/>
      <c r="G9068" s="33"/>
      <c r="H9068" s="31"/>
    </row>
    <row r="9069" spans="2:8" hidden="1">
      <c r="B9069" s="200"/>
      <c r="C9069" s="31"/>
      <c r="D9069" s="75"/>
      <c r="E9069" s="33"/>
      <c r="F9069" s="33"/>
      <c r="G9069" s="33"/>
      <c r="H9069" s="31"/>
    </row>
    <row r="9070" spans="2:8" hidden="1">
      <c r="B9070" s="200"/>
      <c r="C9070" s="31"/>
      <c r="D9070" s="75"/>
      <c r="E9070" s="33"/>
      <c r="F9070" s="33"/>
      <c r="G9070" s="33"/>
      <c r="H9070" s="31"/>
    </row>
    <row r="9071" spans="2:8" hidden="1">
      <c r="B9071" s="33"/>
      <c r="C9071" s="31"/>
      <c r="D9071" s="31"/>
      <c r="E9071" s="31"/>
      <c r="F9071" s="31"/>
      <c r="G9071" s="31"/>
      <c r="H9071" s="31"/>
    </row>
    <row r="9072" spans="2:8" hidden="1">
      <c r="B9072" s="200"/>
      <c r="C9072" s="31"/>
      <c r="D9072" s="75"/>
      <c r="E9072" s="771"/>
      <c r="F9072" s="31"/>
      <c r="G9072" s="31"/>
      <c r="H9072" s="31"/>
    </row>
    <row r="9073" spans="2:8" hidden="1">
      <c r="B9073" s="200"/>
      <c r="C9073" s="31"/>
      <c r="D9073" s="75"/>
      <c r="E9073" s="771"/>
      <c r="F9073" s="31"/>
      <c r="G9073" s="31"/>
      <c r="H9073" s="31"/>
    </row>
    <row r="9074" spans="2:8" hidden="1">
      <c r="B9074" s="200"/>
      <c r="C9074" s="31"/>
      <c r="D9074" s="75"/>
      <c r="E9074" s="771"/>
      <c r="F9074" s="31"/>
      <c r="G9074" s="31"/>
      <c r="H9074" s="31"/>
    </row>
    <row r="9075" spans="2:8" hidden="1">
      <c r="B9075" s="200"/>
      <c r="C9075" s="31"/>
      <c r="D9075" s="75"/>
      <c r="E9075" s="771"/>
      <c r="F9075" s="31"/>
      <c r="G9075" s="31"/>
      <c r="H9075" s="31"/>
    </row>
    <row r="9076" spans="2:8" hidden="1">
      <c r="B9076" s="200"/>
      <c r="C9076" s="31"/>
      <c r="D9076" s="75"/>
      <c r="E9076" s="771"/>
      <c r="F9076" s="31"/>
      <c r="G9076" s="31"/>
      <c r="H9076" s="31"/>
    </row>
    <row r="9077" spans="2:8" hidden="1">
      <c r="B9077" s="200"/>
      <c r="C9077" s="200"/>
      <c r="D9077" s="75"/>
      <c r="E9077" s="771"/>
      <c r="F9077" s="31"/>
      <c r="G9077" s="31"/>
      <c r="H9077" s="31"/>
    </row>
    <row r="9078" spans="2:8" hidden="1">
      <c r="B9078" s="33"/>
      <c r="C9078" s="31"/>
      <c r="D9078" s="104"/>
      <c r="E9078" s="772"/>
      <c r="F9078" s="33"/>
      <c r="G9078" s="33"/>
      <c r="H9078" s="31"/>
    </row>
    <row r="9079" spans="2:8" hidden="1">
      <c r="B9079" s="33"/>
      <c r="C9079" s="31"/>
      <c r="D9079" s="31"/>
      <c r="E9079" s="31"/>
      <c r="F9079" s="31"/>
      <c r="G9079" s="31"/>
      <c r="H9079" s="31"/>
    </row>
    <row r="9080" spans="2:8" hidden="1">
      <c r="B9080" s="33"/>
      <c r="C9080" s="31"/>
      <c r="D9080" s="31"/>
      <c r="E9080" s="31"/>
      <c r="F9080" s="31"/>
      <c r="G9080" s="31"/>
      <c r="H9080" s="31"/>
    </row>
    <row r="9081" spans="2:8" hidden="1">
      <c r="B9081" s="33"/>
      <c r="C9081" s="31"/>
      <c r="D9081" s="31"/>
      <c r="E9081" s="31"/>
      <c r="F9081" s="691"/>
      <c r="G9081" s="75"/>
      <c r="H9081" s="31"/>
    </row>
    <row r="9082" spans="2:8" hidden="1">
      <c r="B9082" s="33"/>
      <c r="C9082" s="31"/>
      <c r="D9082" s="31"/>
      <c r="E9082" s="31"/>
      <c r="F9082" s="691"/>
      <c r="G9082" s="75"/>
      <c r="H9082" s="31"/>
    </row>
    <row r="9083" spans="2:8" hidden="1">
      <c r="B9083" s="33"/>
      <c r="C9083" s="31"/>
      <c r="D9083" s="31"/>
      <c r="E9083" s="31"/>
      <c r="F9083" s="691"/>
      <c r="G9083" s="75"/>
      <c r="H9083" s="31"/>
    </row>
    <row r="9084" spans="2:8" hidden="1">
      <c r="B9084" s="33"/>
      <c r="C9084" s="31"/>
      <c r="D9084" s="31"/>
      <c r="E9084" s="31"/>
      <c r="F9084" s="691"/>
      <c r="G9084" s="75"/>
      <c r="H9084" s="31"/>
    </row>
    <row r="9085" spans="2:8" hidden="1">
      <c r="B9085" s="33"/>
      <c r="C9085" s="31"/>
      <c r="D9085" s="31"/>
      <c r="E9085" s="31"/>
      <c r="F9085" s="691"/>
      <c r="G9085" s="75"/>
      <c r="H9085" s="31"/>
    </row>
    <row r="9086" spans="2:8" hidden="1">
      <c r="B9086" s="33"/>
      <c r="C9086" s="31"/>
      <c r="D9086" s="31"/>
      <c r="E9086" s="31"/>
      <c r="F9086" s="691"/>
      <c r="G9086" s="75"/>
      <c r="H9086" s="31"/>
    </row>
    <row r="9087" spans="2:8" hidden="1">
      <c r="B9087" s="33"/>
      <c r="C9087" s="31"/>
      <c r="D9087" s="31"/>
      <c r="E9087" s="31"/>
      <c r="F9087" s="691"/>
      <c r="G9087" s="75"/>
      <c r="H9087" s="31"/>
    </row>
    <row r="9088" spans="2:8" hidden="1">
      <c r="B9088" s="33"/>
      <c r="C9088" s="31"/>
      <c r="D9088" s="31"/>
      <c r="E9088" s="31"/>
      <c r="F9088" s="691"/>
      <c r="G9088" s="75"/>
      <c r="H9088" s="31"/>
    </row>
    <row r="9089" spans="2:8" hidden="1">
      <c r="B9089" s="33"/>
      <c r="C9089" s="31"/>
      <c r="D9089" s="31"/>
      <c r="E9089" s="31"/>
      <c r="F9089" s="691"/>
      <c r="G9089" s="75"/>
      <c r="H9089" s="31"/>
    </row>
    <row r="9090" spans="2:8" hidden="1">
      <c r="B9090" s="33"/>
      <c r="C9090" s="31"/>
      <c r="D9090" s="31"/>
      <c r="E9090" s="31"/>
      <c r="F9090" s="691"/>
      <c r="G9090" s="75"/>
      <c r="H9090" s="31"/>
    </row>
    <row r="9091" spans="2:8" hidden="1">
      <c r="B9091" s="33"/>
      <c r="C9091" s="31"/>
      <c r="D9091" s="31"/>
      <c r="E9091" s="31"/>
      <c r="F9091" s="691"/>
      <c r="G9091" s="75"/>
      <c r="H9091" s="31"/>
    </row>
    <row r="9092" spans="2:8" hidden="1">
      <c r="B9092" s="33"/>
      <c r="C9092" s="31"/>
      <c r="D9092" s="31"/>
      <c r="E9092" s="31"/>
      <c r="F9092" s="691"/>
      <c r="G9092" s="75"/>
      <c r="H9092" s="31"/>
    </row>
    <row r="9093" spans="2:8" hidden="1">
      <c r="B9093" s="33"/>
      <c r="C9093" s="31"/>
      <c r="D9093" s="31"/>
      <c r="E9093" s="31"/>
      <c r="F9093" s="691"/>
      <c r="G9093" s="75"/>
      <c r="H9093" s="31"/>
    </row>
    <row r="9094" spans="2:8" hidden="1">
      <c r="B9094" s="33"/>
      <c r="C9094" s="31"/>
      <c r="D9094" s="31"/>
      <c r="E9094" s="31"/>
      <c r="F9094" s="691"/>
      <c r="G9094" s="75"/>
      <c r="H9094" s="31"/>
    </row>
    <row r="9095" spans="2:8" hidden="1">
      <c r="B9095" s="33"/>
      <c r="C9095" s="31"/>
      <c r="D9095" s="31"/>
      <c r="E9095" s="31"/>
      <c r="F9095" s="691"/>
      <c r="G9095" s="75"/>
      <c r="H9095" s="31"/>
    </row>
    <row r="9096" spans="2:8" hidden="1">
      <c r="B9096" s="33"/>
      <c r="C9096" s="31"/>
      <c r="D9096" s="31"/>
      <c r="E9096" s="31"/>
      <c r="F9096" s="691"/>
      <c r="G9096" s="75"/>
      <c r="H9096" s="31"/>
    </row>
    <row r="9097" spans="2:8" hidden="1">
      <c r="B9097" s="33"/>
      <c r="C9097" s="31"/>
      <c r="D9097" s="31"/>
      <c r="E9097" s="31"/>
      <c r="F9097" s="691"/>
      <c r="G9097" s="75"/>
      <c r="H9097" s="31"/>
    </row>
    <row r="9098" spans="2:8" hidden="1">
      <c r="B9098" s="33"/>
      <c r="C9098" s="31"/>
      <c r="D9098" s="31"/>
      <c r="E9098" s="31"/>
      <c r="F9098" s="691"/>
      <c r="G9098" s="31"/>
      <c r="H9098" s="31"/>
    </row>
    <row r="9099" spans="2:8" hidden="1">
      <c r="B9099" s="33"/>
      <c r="C9099" s="31"/>
      <c r="D9099" s="31"/>
      <c r="E9099" s="31"/>
      <c r="F9099" s="31"/>
      <c r="G9099" s="31"/>
      <c r="H9099" s="31"/>
    </row>
    <row r="9100" spans="2:8" hidden="1">
      <c r="B9100" s="33"/>
      <c r="C9100" s="31"/>
      <c r="D9100" s="31"/>
      <c r="E9100" s="31"/>
      <c r="F9100" s="31"/>
      <c r="G9100" s="31"/>
      <c r="H9100" s="31"/>
    </row>
    <row r="9101" spans="2:8" hidden="1">
      <c r="B9101" s="33"/>
      <c r="C9101" s="31"/>
      <c r="D9101" s="31"/>
      <c r="E9101" s="31"/>
      <c r="F9101" s="31"/>
      <c r="G9101" s="31"/>
      <c r="H9101" s="31"/>
    </row>
    <row r="9102" spans="2:8" hidden="1">
      <c r="B9102" s="33"/>
      <c r="C9102" s="31"/>
      <c r="D9102" s="31"/>
      <c r="E9102" s="31"/>
      <c r="F9102" s="31"/>
      <c r="G9102" s="31"/>
      <c r="H9102" s="31"/>
    </row>
    <row r="9103" spans="2:8" hidden="1">
      <c r="B9103" s="33"/>
      <c r="C9103" s="31"/>
      <c r="D9103" s="31"/>
      <c r="E9103" s="31"/>
      <c r="F9103" s="31"/>
      <c r="G9103" s="31"/>
      <c r="H9103" s="31"/>
    </row>
    <row r="9104" spans="2:8" hidden="1">
      <c r="B9104" s="33"/>
      <c r="C9104" s="31"/>
      <c r="D9104" s="31"/>
      <c r="E9104" s="31"/>
      <c r="F9104" s="31"/>
      <c r="G9104" s="31"/>
      <c r="H9104" s="31"/>
    </row>
    <row r="9105" spans="2:8" hidden="1">
      <c r="B9105" s="33"/>
      <c r="C9105" s="31"/>
      <c r="D9105" s="31"/>
      <c r="E9105" s="31"/>
      <c r="F9105" s="31"/>
      <c r="G9105" s="31"/>
      <c r="H9105" s="31"/>
    </row>
    <row r="9106" spans="2:8" hidden="1">
      <c r="B9106" s="33"/>
      <c r="C9106" s="31"/>
      <c r="D9106" s="31"/>
      <c r="E9106" s="31"/>
      <c r="F9106" s="31"/>
      <c r="G9106" s="31"/>
      <c r="H9106" s="31"/>
    </row>
    <row r="9107" spans="2:8" hidden="1">
      <c r="B9107" s="33"/>
      <c r="C9107" s="31"/>
      <c r="D9107" s="33"/>
      <c r="E9107" s="31"/>
      <c r="F9107" s="33"/>
      <c r="G9107" s="33"/>
      <c r="H9107" s="31"/>
    </row>
    <row r="9108" spans="2:8" hidden="1">
      <c r="B9108" s="33"/>
      <c r="C9108" s="31"/>
      <c r="D9108" s="33"/>
      <c r="E9108" s="33"/>
      <c r="F9108" s="33"/>
      <c r="G9108" s="33"/>
      <c r="H9108" s="31"/>
    </row>
    <row r="9109" spans="2:8" hidden="1">
      <c r="B9109" s="33"/>
      <c r="C9109" s="31"/>
      <c r="D9109" s="31"/>
      <c r="E9109" s="31"/>
      <c r="F9109" s="31"/>
      <c r="G9109" s="31"/>
      <c r="H9109" s="31"/>
    </row>
    <row r="9110" spans="2:8" hidden="1">
      <c r="B9110" s="200"/>
      <c r="C9110" s="31"/>
      <c r="D9110" s="75"/>
      <c r="E9110" s="771"/>
      <c r="F9110" s="771"/>
      <c r="G9110" s="31"/>
      <c r="H9110" s="31"/>
    </row>
    <row r="9111" spans="2:8" hidden="1">
      <c r="B9111" s="200"/>
      <c r="C9111" s="31"/>
      <c r="D9111" s="75"/>
      <c r="E9111" s="772"/>
      <c r="F9111" s="772"/>
      <c r="G9111" s="33"/>
      <c r="H9111" s="31"/>
    </row>
    <row r="9112" spans="2:8" hidden="1">
      <c r="B9112" s="200"/>
      <c r="C9112" s="31"/>
      <c r="D9112" s="75"/>
      <c r="E9112" s="771"/>
      <c r="F9112" s="772"/>
      <c r="G9112" s="33"/>
      <c r="H9112" s="31"/>
    </row>
    <row r="9113" spans="2:8" hidden="1">
      <c r="B9113" s="33"/>
      <c r="C9113" s="31"/>
      <c r="D9113" s="31"/>
      <c r="E9113" s="31"/>
      <c r="F9113" s="31"/>
      <c r="G9113" s="31"/>
      <c r="H9113" s="31"/>
    </row>
    <row r="9114" spans="2:8" hidden="1">
      <c r="B9114" s="200"/>
      <c r="C9114" s="31"/>
      <c r="D9114" s="75"/>
      <c r="E9114" s="771"/>
      <c r="F9114" s="33"/>
      <c r="G9114" s="33"/>
      <c r="H9114" s="31"/>
    </row>
    <row r="9115" spans="2:8" hidden="1">
      <c r="B9115" s="200"/>
      <c r="C9115" s="31"/>
      <c r="D9115" s="75"/>
      <c r="E9115" s="771"/>
      <c r="F9115" s="771"/>
      <c r="G9115" s="31"/>
      <c r="H9115" s="31"/>
    </row>
    <row r="9116" spans="2:8" hidden="1">
      <c r="B9116" s="200"/>
      <c r="C9116" s="31"/>
      <c r="D9116" s="75"/>
      <c r="E9116" s="771"/>
      <c r="F9116" s="771"/>
      <c r="G9116" s="31"/>
      <c r="H9116" s="31"/>
    </row>
    <row r="9117" spans="2:8" hidden="1">
      <c r="B9117" s="200"/>
      <c r="C9117" s="31"/>
      <c r="D9117" s="75"/>
      <c r="E9117" s="771"/>
      <c r="F9117" s="771"/>
      <c r="G9117" s="31"/>
      <c r="H9117" s="31"/>
    </row>
    <row r="9118" spans="2:8" hidden="1">
      <c r="B9118" s="200"/>
      <c r="C9118" s="31"/>
      <c r="D9118" s="75"/>
      <c r="E9118" s="771"/>
      <c r="F9118" s="771"/>
      <c r="G9118" s="31"/>
      <c r="H9118" s="31"/>
    </row>
    <row r="9119" spans="2:8" hidden="1">
      <c r="B9119" s="200"/>
      <c r="C9119" s="31"/>
      <c r="D9119" s="75"/>
      <c r="E9119" s="771"/>
      <c r="F9119" s="771"/>
      <c r="G9119" s="31"/>
      <c r="H9119" s="31"/>
    </row>
    <row r="9120" spans="2:8" hidden="1">
      <c r="B9120" s="200"/>
      <c r="C9120" s="31"/>
      <c r="D9120" s="75"/>
      <c r="E9120" s="771"/>
      <c r="F9120" s="771"/>
      <c r="G9120" s="31"/>
      <c r="H9120" s="31"/>
    </row>
    <row r="9121" spans="2:8" hidden="1">
      <c r="B9121" s="200"/>
      <c r="C9121" s="31"/>
      <c r="D9121" s="75"/>
      <c r="E9121" s="772"/>
      <c r="F9121" s="771"/>
      <c r="G9121" s="31"/>
      <c r="H9121" s="31"/>
    </row>
    <row r="9122" spans="2:8" hidden="1">
      <c r="B9122" s="200"/>
      <c r="C9122" s="31"/>
      <c r="D9122" s="75"/>
      <c r="E9122" s="771"/>
      <c r="F9122" s="771"/>
      <c r="G9122" s="31"/>
      <c r="H9122" s="31"/>
    </row>
    <row r="9123" spans="2:8" hidden="1">
      <c r="B9123" s="200"/>
      <c r="C9123" s="31"/>
      <c r="D9123" s="75"/>
      <c r="E9123" s="771"/>
      <c r="F9123" s="772"/>
      <c r="G9123" s="33"/>
      <c r="H9123" s="31"/>
    </row>
    <row r="9124" spans="2:8" hidden="1">
      <c r="B9124" s="200"/>
      <c r="C9124" s="31"/>
      <c r="D9124" s="75"/>
      <c r="E9124" s="771"/>
      <c r="F9124" s="771"/>
      <c r="G9124" s="31"/>
      <c r="H9124" s="31"/>
    </row>
    <row r="9125" spans="2:8" hidden="1">
      <c r="B9125" s="200"/>
      <c r="C9125" s="31"/>
      <c r="D9125" s="75"/>
      <c r="E9125" s="772"/>
      <c r="F9125" s="772"/>
      <c r="G9125" s="33"/>
      <c r="H9125" s="31"/>
    </row>
    <row r="9126" spans="2:8" hidden="1">
      <c r="B9126" s="200"/>
      <c r="C9126" s="31"/>
      <c r="D9126" s="75"/>
      <c r="E9126" s="771"/>
      <c r="F9126" s="771"/>
      <c r="G9126" s="31"/>
      <c r="H9126" s="31"/>
    </row>
    <row r="9127" spans="2:8" hidden="1">
      <c r="B9127" s="200"/>
      <c r="C9127" s="31"/>
      <c r="D9127" s="75"/>
      <c r="E9127" s="771"/>
      <c r="F9127" s="771"/>
      <c r="G9127" s="31"/>
      <c r="H9127" s="31"/>
    </row>
    <row r="9128" spans="2:8" hidden="1">
      <c r="B9128" s="200"/>
      <c r="C9128" s="31"/>
      <c r="D9128" s="75"/>
      <c r="E9128" s="771"/>
      <c r="F9128" s="771"/>
      <c r="G9128" s="31"/>
      <c r="H9128" s="31"/>
    </row>
    <row r="9129" spans="2:8" hidden="1">
      <c r="B9129" s="200"/>
      <c r="C9129" s="31"/>
      <c r="D9129" s="75"/>
      <c r="E9129" s="771"/>
      <c r="F9129" s="771"/>
      <c r="G9129" s="31"/>
      <c r="H9129" s="31"/>
    </row>
    <row r="9130" spans="2:8" hidden="1">
      <c r="B9130" s="200"/>
      <c r="C9130" s="31"/>
      <c r="D9130" s="75"/>
      <c r="E9130" s="771"/>
      <c r="F9130" s="771"/>
      <c r="G9130" s="31"/>
      <c r="H9130" s="31"/>
    </row>
    <row r="9131" spans="2:8" hidden="1">
      <c r="B9131" s="200"/>
      <c r="C9131" s="31"/>
      <c r="D9131" s="75"/>
      <c r="E9131" s="771"/>
      <c r="F9131" s="771"/>
      <c r="G9131" s="31"/>
      <c r="H9131" s="31"/>
    </row>
    <row r="9132" spans="2:8" hidden="1">
      <c r="B9132" s="200"/>
      <c r="C9132" s="31"/>
      <c r="D9132" s="75"/>
      <c r="E9132" s="771"/>
      <c r="F9132" s="771"/>
      <c r="G9132" s="31"/>
      <c r="H9132" s="31"/>
    </row>
    <row r="9133" spans="2:8" hidden="1">
      <c r="B9133" s="200"/>
      <c r="C9133" s="31"/>
      <c r="D9133" s="75"/>
      <c r="E9133" s="771"/>
      <c r="F9133" s="771"/>
      <c r="G9133" s="31"/>
      <c r="H9133" s="31"/>
    </row>
    <row r="9134" spans="2:8" hidden="1">
      <c r="B9134" s="200"/>
      <c r="C9134" s="31"/>
      <c r="D9134" s="75"/>
      <c r="E9134" s="771"/>
      <c r="F9134" s="771"/>
      <c r="G9134" s="31"/>
      <c r="H9134" s="31"/>
    </row>
    <row r="9135" spans="2:8" hidden="1">
      <c r="B9135" s="200"/>
      <c r="C9135" s="31"/>
      <c r="D9135" s="75"/>
      <c r="E9135" s="771"/>
      <c r="F9135" s="771"/>
      <c r="G9135" s="31"/>
      <c r="H9135" s="31"/>
    </row>
    <row r="9136" spans="2:8" hidden="1">
      <c r="B9136" s="33"/>
      <c r="C9136" s="31"/>
      <c r="D9136" s="31"/>
      <c r="E9136" s="31"/>
      <c r="F9136" s="31"/>
      <c r="G9136" s="31"/>
      <c r="H9136" s="31"/>
    </row>
    <row r="9137" spans="2:8" hidden="1">
      <c r="B9137" s="200"/>
      <c r="C9137" s="31"/>
      <c r="D9137" s="75"/>
      <c r="E9137" s="33"/>
      <c r="F9137" s="33"/>
      <c r="G9137" s="33"/>
      <c r="H9137" s="31"/>
    </row>
    <row r="9138" spans="2:8" hidden="1">
      <c r="B9138" s="200"/>
      <c r="C9138" s="31"/>
      <c r="D9138" s="75"/>
      <c r="E9138" s="33"/>
      <c r="F9138" s="33"/>
      <c r="G9138" s="33"/>
      <c r="H9138" s="31"/>
    </row>
    <row r="9139" spans="2:8" hidden="1">
      <c r="B9139" s="200"/>
      <c r="C9139" s="31"/>
      <c r="D9139" s="75"/>
      <c r="E9139" s="33"/>
      <c r="F9139" s="33"/>
      <c r="G9139" s="33"/>
      <c r="H9139" s="31"/>
    </row>
    <row r="9140" spans="2:8" hidden="1">
      <c r="B9140" s="200"/>
      <c r="C9140" s="31"/>
      <c r="D9140" s="75"/>
      <c r="E9140" s="31"/>
      <c r="F9140" s="33"/>
      <c r="G9140" s="33"/>
      <c r="H9140" s="31"/>
    </row>
    <row r="9141" spans="2:8" hidden="1">
      <c r="B9141" s="200"/>
      <c r="C9141" s="31"/>
      <c r="D9141" s="75"/>
      <c r="E9141" s="33"/>
      <c r="F9141" s="33"/>
      <c r="G9141" s="33"/>
      <c r="H9141" s="31"/>
    </row>
    <row r="9142" spans="2:8" hidden="1">
      <c r="B9142" s="200"/>
      <c r="C9142" s="31"/>
      <c r="D9142" s="75"/>
      <c r="E9142" s="33"/>
      <c r="F9142" s="33"/>
      <c r="G9142" s="33"/>
      <c r="H9142" s="31"/>
    </row>
    <row r="9143" spans="2:8" hidden="1">
      <c r="B9143" s="200"/>
      <c r="C9143" s="31"/>
      <c r="D9143" s="75"/>
      <c r="E9143" s="33"/>
      <c r="F9143" s="33"/>
      <c r="G9143" s="33"/>
      <c r="H9143" s="31"/>
    </row>
    <row r="9144" spans="2:8" hidden="1">
      <c r="B9144" s="200"/>
      <c r="C9144" s="31"/>
      <c r="D9144" s="75"/>
      <c r="E9144" s="33"/>
      <c r="F9144" s="33"/>
      <c r="G9144" s="33"/>
      <c r="H9144" s="31"/>
    </row>
    <row r="9145" spans="2:8" hidden="1">
      <c r="B9145" s="200"/>
      <c r="C9145" s="31"/>
      <c r="D9145" s="75"/>
      <c r="E9145" s="33"/>
      <c r="F9145" s="33"/>
      <c r="G9145" s="33"/>
      <c r="H9145" s="31"/>
    </row>
    <row r="9146" spans="2:8" hidden="1">
      <c r="B9146" s="200"/>
      <c r="C9146" s="31"/>
      <c r="D9146" s="75"/>
      <c r="E9146" s="33"/>
      <c r="F9146" s="33"/>
      <c r="G9146" s="33"/>
      <c r="H9146" s="31"/>
    </row>
    <row r="9147" spans="2:8" hidden="1">
      <c r="B9147" s="200"/>
      <c r="C9147" s="31"/>
      <c r="D9147" s="75"/>
      <c r="E9147" s="33"/>
      <c r="F9147" s="33"/>
      <c r="G9147" s="33"/>
      <c r="H9147" s="31"/>
    </row>
    <row r="9148" spans="2:8" hidden="1">
      <c r="B9148" s="33"/>
      <c r="C9148" s="31"/>
      <c r="D9148" s="31"/>
      <c r="E9148" s="31"/>
      <c r="F9148" s="31"/>
      <c r="G9148" s="31"/>
      <c r="H9148" s="31"/>
    </row>
    <row r="9149" spans="2:8" hidden="1">
      <c r="B9149" s="200"/>
      <c r="C9149" s="31"/>
      <c r="D9149" s="75"/>
      <c r="E9149" s="771"/>
      <c r="F9149" s="33"/>
      <c r="G9149" s="33"/>
      <c r="H9149" s="31"/>
    </row>
    <row r="9150" spans="2:8" hidden="1">
      <c r="B9150" s="200"/>
      <c r="C9150" s="31"/>
      <c r="D9150" s="75"/>
      <c r="E9150" s="771"/>
      <c r="F9150" s="31"/>
      <c r="G9150" s="31"/>
      <c r="H9150" s="31"/>
    </row>
    <row r="9151" spans="2:8" hidden="1">
      <c r="B9151" s="200"/>
      <c r="C9151" s="31"/>
      <c r="D9151" s="75"/>
      <c r="E9151" s="771"/>
      <c r="F9151" s="31"/>
      <c r="G9151" s="31"/>
      <c r="H9151" s="31"/>
    </row>
    <row r="9152" spans="2:8" hidden="1">
      <c r="B9152" s="200"/>
      <c r="C9152" s="31"/>
      <c r="D9152" s="75"/>
      <c r="E9152" s="771"/>
      <c r="F9152" s="31"/>
      <c r="G9152" s="31"/>
      <c r="H9152" s="31"/>
    </row>
    <row r="9153" spans="2:8" hidden="1">
      <c r="B9153" s="200"/>
      <c r="C9153" s="31"/>
      <c r="D9153" s="75"/>
      <c r="E9153" s="771"/>
      <c r="F9153" s="31"/>
      <c r="G9153" s="31"/>
      <c r="H9153" s="31"/>
    </row>
    <row r="9154" spans="2:8" hidden="1">
      <c r="B9154" s="200"/>
      <c r="C9154" s="31"/>
      <c r="D9154" s="75"/>
      <c r="E9154" s="771"/>
      <c r="F9154" s="771"/>
      <c r="G9154" s="31"/>
      <c r="H9154" s="31"/>
    </row>
    <row r="9155" spans="2:8" hidden="1">
      <c r="B9155" s="200"/>
      <c r="C9155" s="31"/>
      <c r="D9155" s="75"/>
      <c r="E9155" s="771"/>
      <c r="F9155" s="771"/>
      <c r="G9155" s="31"/>
      <c r="H9155" s="31"/>
    </row>
    <row r="9156" spans="2:8" hidden="1">
      <c r="B9156" s="200"/>
      <c r="C9156" s="31"/>
      <c r="D9156" s="75"/>
      <c r="E9156" s="771"/>
      <c r="F9156" s="771"/>
      <c r="G9156" s="31"/>
      <c r="H9156" s="31"/>
    </row>
    <row r="9157" spans="2:8" hidden="1">
      <c r="B9157" s="200"/>
      <c r="C9157" s="31"/>
      <c r="D9157" s="75"/>
      <c r="E9157" s="771"/>
      <c r="F9157" s="771"/>
      <c r="G9157" s="31"/>
      <c r="H9157" s="31"/>
    </row>
    <row r="9158" spans="2:8" hidden="1">
      <c r="B9158" s="200"/>
      <c r="C9158" s="31"/>
      <c r="D9158" s="75"/>
      <c r="E9158" s="771"/>
      <c r="F9158" s="771"/>
      <c r="G9158" s="31"/>
      <c r="H9158" s="31"/>
    </row>
    <row r="9159" spans="2:8" hidden="1">
      <c r="B9159" s="200"/>
      <c r="C9159" s="31"/>
      <c r="D9159" s="75"/>
      <c r="E9159" s="771"/>
      <c r="F9159" s="771"/>
      <c r="G9159" s="31"/>
      <c r="H9159" s="31"/>
    </row>
    <row r="9160" spans="2:8" hidden="1">
      <c r="B9160" s="200"/>
      <c r="C9160" s="31"/>
      <c r="D9160" s="75"/>
      <c r="E9160" s="771"/>
      <c r="F9160" s="771"/>
      <c r="G9160" s="31"/>
      <c r="H9160" s="31"/>
    </row>
    <row r="9161" spans="2:8" hidden="1">
      <c r="B9161" s="200"/>
      <c r="C9161" s="31"/>
      <c r="D9161" s="75"/>
      <c r="E9161" s="771"/>
      <c r="F9161" s="771"/>
      <c r="G9161" s="31"/>
      <c r="H9161" s="31"/>
    </row>
    <row r="9162" spans="2:8" hidden="1">
      <c r="B9162" s="33"/>
      <c r="C9162" s="31"/>
      <c r="D9162" s="31"/>
      <c r="E9162" s="31"/>
      <c r="F9162" s="31"/>
      <c r="G9162" s="31"/>
      <c r="H9162" s="31"/>
    </row>
    <row r="9163" spans="2:8" hidden="1">
      <c r="B9163" s="200"/>
      <c r="C9163" s="31"/>
      <c r="D9163" s="75"/>
      <c r="E9163" s="31"/>
      <c r="F9163" s="33"/>
      <c r="G9163" s="33"/>
      <c r="H9163" s="31"/>
    </row>
    <row r="9164" spans="2:8" hidden="1">
      <c r="B9164" s="200"/>
      <c r="C9164" s="31"/>
      <c r="D9164" s="75"/>
      <c r="E9164" s="31"/>
      <c r="F9164" s="771"/>
      <c r="G9164" s="31"/>
      <c r="H9164" s="31"/>
    </row>
    <row r="9165" spans="2:8" hidden="1">
      <c r="B9165" s="200"/>
      <c r="C9165" s="31"/>
      <c r="D9165" s="75"/>
      <c r="E9165" s="31"/>
      <c r="F9165" s="771"/>
      <c r="G9165" s="31"/>
      <c r="H9165" s="31"/>
    </row>
    <row r="9166" spans="2:8" hidden="1">
      <c r="B9166" s="200"/>
      <c r="C9166" s="31"/>
      <c r="D9166" s="75"/>
      <c r="E9166" s="31"/>
      <c r="F9166" s="771"/>
      <c r="G9166" s="31"/>
      <c r="H9166" s="31"/>
    </row>
    <row r="9167" spans="2:8" hidden="1">
      <c r="B9167" s="200"/>
      <c r="C9167" s="31"/>
      <c r="D9167" s="75"/>
      <c r="E9167" s="31"/>
      <c r="F9167" s="771"/>
      <c r="G9167" s="31"/>
      <c r="H9167" s="31"/>
    </row>
    <row r="9168" spans="2:8" hidden="1">
      <c r="B9168" s="200"/>
      <c r="C9168" s="31"/>
      <c r="D9168" s="75"/>
      <c r="E9168" s="31"/>
      <c r="F9168" s="771"/>
      <c r="G9168" s="31"/>
      <c r="H9168" s="31"/>
    </row>
    <row r="9169" spans="2:8" hidden="1">
      <c r="B9169" s="200"/>
      <c r="C9169" s="31"/>
      <c r="D9169" s="75"/>
      <c r="E9169" s="33"/>
      <c r="F9169" s="33"/>
      <c r="G9169" s="33"/>
      <c r="H9169" s="31"/>
    </row>
    <row r="9170" spans="2:8" hidden="1">
      <c r="B9170" s="200"/>
      <c r="C9170" s="31"/>
      <c r="D9170" s="75"/>
      <c r="E9170" s="33"/>
      <c r="F9170" s="33"/>
      <c r="G9170" s="33"/>
      <c r="H9170" s="31"/>
    </row>
    <row r="9171" spans="2:8" hidden="1">
      <c r="B9171" s="200"/>
      <c r="C9171" s="31"/>
      <c r="D9171" s="75"/>
      <c r="E9171" s="33"/>
      <c r="F9171" s="33"/>
      <c r="G9171" s="33"/>
      <c r="H9171" s="31"/>
    </row>
    <row r="9172" spans="2:8" hidden="1">
      <c r="B9172" s="200"/>
      <c r="C9172" s="31"/>
      <c r="D9172" s="75"/>
      <c r="E9172" s="33"/>
      <c r="F9172" s="33"/>
      <c r="G9172" s="33"/>
      <c r="H9172" s="31"/>
    </row>
    <row r="9173" spans="2:8" hidden="1">
      <c r="B9173" s="200"/>
      <c r="C9173" s="31"/>
      <c r="D9173" s="75"/>
      <c r="E9173" s="33"/>
      <c r="F9173" s="33"/>
      <c r="G9173" s="33"/>
      <c r="H9173" s="31"/>
    </row>
    <row r="9174" spans="2:8" hidden="1">
      <c r="B9174" s="200"/>
      <c r="C9174" s="31"/>
      <c r="D9174" s="75"/>
      <c r="E9174" s="33"/>
      <c r="F9174" s="33"/>
      <c r="G9174" s="33"/>
      <c r="H9174" s="31"/>
    </row>
    <row r="9175" spans="2:8" hidden="1">
      <c r="B9175" s="33"/>
      <c r="C9175" s="31"/>
      <c r="D9175" s="31"/>
      <c r="E9175" s="31"/>
      <c r="F9175" s="31"/>
      <c r="G9175" s="31"/>
      <c r="H9175" s="31"/>
    </row>
    <row r="9176" spans="2:8" hidden="1">
      <c r="B9176" s="33"/>
      <c r="C9176" s="31"/>
      <c r="D9176" s="31"/>
      <c r="E9176" s="31"/>
      <c r="F9176" s="31"/>
      <c r="G9176" s="31"/>
      <c r="H9176" s="31"/>
    </row>
    <row r="9177" spans="2:8" hidden="1">
      <c r="B9177" s="200"/>
      <c r="C9177" s="31"/>
      <c r="D9177" s="75"/>
      <c r="E9177" s="33"/>
      <c r="F9177" s="33"/>
      <c r="G9177" s="33"/>
      <c r="H9177" s="31"/>
    </row>
    <row r="9178" spans="2:8" hidden="1">
      <c r="B9178" s="200"/>
      <c r="C9178" s="31"/>
      <c r="D9178" s="75"/>
      <c r="E9178" s="33"/>
      <c r="F9178" s="33"/>
      <c r="G9178" s="33"/>
      <c r="H9178" s="31"/>
    </row>
    <row r="9179" spans="2:8" hidden="1">
      <c r="B9179" s="200"/>
      <c r="C9179" s="31"/>
      <c r="D9179" s="75"/>
      <c r="E9179" s="33"/>
      <c r="F9179" s="33"/>
      <c r="G9179" s="33"/>
      <c r="H9179" s="31"/>
    </row>
    <row r="9180" spans="2:8" hidden="1">
      <c r="B9180" s="200"/>
      <c r="C9180" s="31"/>
      <c r="D9180" s="75"/>
      <c r="E9180" s="33"/>
      <c r="F9180" s="33"/>
      <c r="G9180" s="33"/>
      <c r="H9180" s="31"/>
    </row>
    <row r="9181" spans="2:8" hidden="1">
      <c r="B9181" s="200"/>
      <c r="C9181" s="31"/>
      <c r="D9181" s="75"/>
      <c r="E9181" s="33"/>
      <c r="F9181" s="33"/>
      <c r="G9181" s="33"/>
      <c r="H9181" s="31"/>
    </row>
    <row r="9182" spans="2:8" hidden="1">
      <c r="B9182" s="200"/>
      <c r="C9182" s="31"/>
      <c r="D9182" s="75"/>
      <c r="E9182" s="33"/>
      <c r="F9182" s="33"/>
      <c r="G9182" s="33"/>
      <c r="H9182" s="31"/>
    </row>
    <row r="9183" spans="2:8" hidden="1">
      <c r="B9183" s="200"/>
      <c r="C9183" s="31"/>
      <c r="D9183" s="75"/>
      <c r="E9183" s="33"/>
      <c r="F9183" s="33"/>
      <c r="G9183" s="33"/>
      <c r="H9183" s="31"/>
    </row>
    <row r="9184" spans="2:8" hidden="1">
      <c r="B9184" s="200"/>
      <c r="C9184" s="31"/>
      <c r="D9184" s="75"/>
      <c r="E9184" s="33"/>
      <c r="F9184" s="33"/>
      <c r="G9184" s="33"/>
      <c r="H9184" s="31"/>
    </row>
    <row r="9185" spans="2:8" hidden="1">
      <c r="B9185" s="200"/>
      <c r="C9185" s="31"/>
      <c r="D9185" s="75"/>
      <c r="E9185" s="33"/>
      <c r="F9185" s="33"/>
      <c r="G9185" s="33"/>
      <c r="H9185" s="31"/>
    </row>
    <row r="9186" spans="2:8" hidden="1">
      <c r="B9186" s="200"/>
      <c r="C9186" s="31"/>
      <c r="D9186" s="75"/>
      <c r="E9186" s="200"/>
      <c r="F9186" s="33"/>
      <c r="G9186" s="33"/>
      <c r="H9186" s="31"/>
    </row>
    <row r="9187" spans="2:8" hidden="1">
      <c r="B9187" s="200"/>
      <c r="C9187" s="31"/>
      <c r="D9187" s="75"/>
      <c r="E9187" s="33"/>
      <c r="F9187" s="33"/>
      <c r="G9187" s="33"/>
      <c r="H9187" s="31"/>
    </row>
    <row r="9188" spans="2:8" hidden="1">
      <c r="B9188" s="200"/>
      <c r="C9188" s="31"/>
      <c r="D9188" s="75"/>
      <c r="E9188" s="33"/>
      <c r="F9188" s="33"/>
      <c r="G9188" s="33"/>
      <c r="H9188" s="31"/>
    </row>
    <row r="9189" spans="2:8" hidden="1">
      <c r="B9189" s="200"/>
      <c r="C9189" s="31"/>
      <c r="D9189" s="75"/>
      <c r="E9189" s="33"/>
      <c r="F9189" s="33"/>
      <c r="G9189" s="33"/>
      <c r="H9189" s="31"/>
    </row>
    <row r="9190" spans="2:8" hidden="1">
      <c r="B9190" s="200"/>
      <c r="C9190" s="31"/>
      <c r="D9190" s="75"/>
      <c r="E9190" s="33"/>
      <c r="F9190" s="33"/>
      <c r="G9190" s="33"/>
      <c r="H9190" s="31"/>
    </row>
    <row r="9191" spans="2:8" hidden="1">
      <c r="B9191" s="200"/>
      <c r="C9191" s="31"/>
      <c r="D9191" s="75"/>
      <c r="E9191" s="31"/>
      <c r="F9191" s="31"/>
      <c r="G9191" s="31"/>
      <c r="H9191" s="31"/>
    </row>
    <row r="9192" spans="2:8" hidden="1">
      <c r="B9192" s="33"/>
      <c r="C9192" s="31"/>
      <c r="D9192" s="31"/>
      <c r="E9192" s="31"/>
      <c r="F9192" s="31"/>
      <c r="G9192" s="31"/>
      <c r="H9192" s="31"/>
    </row>
    <row r="9193" spans="2:8" hidden="1">
      <c r="B9193" s="200"/>
      <c r="C9193" s="31"/>
      <c r="D9193" s="75"/>
      <c r="E9193" s="771"/>
      <c r="F9193" s="771"/>
      <c r="G9193" s="31"/>
      <c r="H9193" s="31"/>
    </row>
    <row r="9194" spans="2:8" hidden="1">
      <c r="B9194" s="200"/>
      <c r="C9194" s="31"/>
      <c r="D9194" s="75"/>
      <c r="E9194" s="771"/>
      <c r="F9194" s="771"/>
      <c r="G9194" s="31"/>
      <c r="H9194" s="31"/>
    </row>
    <row r="9195" spans="2:8" hidden="1">
      <c r="B9195" s="200"/>
      <c r="C9195" s="31"/>
      <c r="D9195" s="75"/>
      <c r="E9195" s="771"/>
      <c r="F9195" s="771"/>
      <c r="G9195" s="31"/>
      <c r="H9195" s="31"/>
    </row>
    <row r="9196" spans="2:8" hidden="1">
      <c r="B9196" s="200"/>
      <c r="C9196" s="31"/>
      <c r="D9196" s="75"/>
      <c r="E9196" s="771"/>
      <c r="F9196" s="771"/>
      <c r="G9196" s="31"/>
      <c r="H9196" s="31"/>
    </row>
    <row r="9197" spans="2:8" hidden="1">
      <c r="B9197" s="200"/>
      <c r="C9197" s="31"/>
      <c r="D9197" s="75"/>
      <c r="E9197" s="771"/>
      <c r="F9197" s="771"/>
      <c r="G9197" s="31"/>
      <c r="H9197" s="31"/>
    </row>
    <row r="9198" spans="2:8" hidden="1">
      <c r="B9198" s="200"/>
      <c r="C9198" s="31"/>
      <c r="D9198" s="75"/>
      <c r="E9198" s="771"/>
      <c r="F9198" s="771"/>
      <c r="G9198" s="31"/>
      <c r="H9198" s="31"/>
    </row>
    <row r="9199" spans="2:8" hidden="1">
      <c r="B9199" s="200"/>
      <c r="C9199" s="31"/>
      <c r="D9199" s="75"/>
      <c r="E9199" s="771"/>
      <c r="F9199" s="771"/>
      <c r="G9199" s="31"/>
      <c r="H9199" s="31"/>
    </row>
    <row r="9200" spans="2:8" hidden="1">
      <c r="B9200" s="200"/>
      <c r="C9200" s="31"/>
      <c r="D9200" s="75"/>
      <c r="E9200" s="771"/>
      <c r="F9200" s="771"/>
      <c r="G9200" s="31"/>
      <c r="H9200" s="31"/>
    </row>
    <row r="9201" spans="2:8" hidden="1">
      <c r="B9201" s="200"/>
      <c r="C9201" s="31"/>
      <c r="D9201" s="75"/>
      <c r="E9201" s="771"/>
      <c r="F9201" s="771"/>
      <c r="G9201" s="31"/>
      <c r="H9201" s="31"/>
    </row>
    <row r="9202" spans="2:8" hidden="1">
      <c r="B9202" s="200"/>
      <c r="C9202" s="31"/>
      <c r="D9202" s="75"/>
      <c r="E9202" s="771"/>
      <c r="F9202" s="772"/>
      <c r="G9202" s="33"/>
      <c r="H9202" s="31"/>
    </row>
    <row r="9203" spans="2:8" hidden="1">
      <c r="B9203" s="200"/>
      <c r="C9203" s="31"/>
      <c r="D9203" s="75"/>
      <c r="E9203" s="771"/>
      <c r="F9203" s="771"/>
      <c r="G9203" s="31"/>
      <c r="H9203" s="31"/>
    </row>
    <row r="9204" spans="2:8" hidden="1">
      <c r="B9204" s="33"/>
      <c r="C9204" s="31"/>
      <c r="D9204" s="31"/>
      <c r="E9204" s="31"/>
      <c r="F9204" s="31"/>
      <c r="G9204" s="31"/>
      <c r="H9204" s="31"/>
    </row>
    <row r="9205" spans="2:8" hidden="1">
      <c r="B9205" s="200"/>
      <c r="C9205" s="31"/>
      <c r="D9205" s="774"/>
      <c r="E9205" s="31"/>
      <c r="F9205" s="31"/>
      <c r="G9205" s="31"/>
      <c r="H9205" s="31"/>
    </row>
    <row r="9206" spans="2:8" hidden="1">
      <c r="B9206" s="200"/>
      <c r="C9206" s="31"/>
      <c r="D9206" s="774"/>
      <c r="E9206" s="31"/>
      <c r="F9206" s="31"/>
      <c r="G9206" s="31"/>
      <c r="H9206" s="31"/>
    </row>
    <row r="9207" spans="2:8" hidden="1">
      <c r="B9207" s="200"/>
      <c r="C9207" s="31"/>
      <c r="D9207" s="774"/>
      <c r="E9207" s="31"/>
      <c r="F9207" s="31"/>
      <c r="G9207" s="31"/>
      <c r="H9207" s="31"/>
    </row>
    <row r="9208" spans="2:8" hidden="1">
      <c r="B9208" s="200"/>
      <c r="C9208" s="31"/>
      <c r="D9208" s="774"/>
      <c r="E9208" s="31"/>
      <c r="F9208" s="31"/>
      <c r="G9208" s="31"/>
      <c r="H9208" s="31"/>
    </row>
    <row r="9209" spans="2:8" hidden="1">
      <c r="B9209" s="200"/>
      <c r="C9209" s="31"/>
      <c r="D9209" s="774"/>
      <c r="E9209" s="31"/>
      <c r="F9209" s="31"/>
      <c r="G9209" s="31"/>
      <c r="H9209" s="31"/>
    </row>
    <row r="9210" spans="2:8" hidden="1">
      <c r="B9210" s="200"/>
      <c r="C9210" s="31"/>
      <c r="D9210" s="75"/>
      <c r="E9210" s="31"/>
      <c r="F9210" s="771"/>
      <c r="G9210" s="31"/>
      <c r="H9210" s="31"/>
    </row>
    <row r="9211" spans="2:8" hidden="1">
      <c r="B9211" s="200"/>
      <c r="C9211" s="31"/>
      <c r="D9211" s="75"/>
      <c r="E9211" s="31"/>
      <c r="F9211" s="771"/>
      <c r="G9211" s="31"/>
      <c r="H9211" s="31"/>
    </row>
    <row r="9212" spans="2:8" hidden="1">
      <c r="B9212" s="200"/>
      <c r="C9212" s="31"/>
      <c r="D9212" s="75"/>
      <c r="E9212" s="31"/>
      <c r="F9212" s="771"/>
      <c r="G9212" s="31"/>
      <c r="H9212" s="31"/>
    </row>
    <row r="9213" spans="2:8" hidden="1">
      <c r="B9213" s="200"/>
      <c r="C9213" s="31"/>
      <c r="D9213" s="75"/>
      <c r="E9213" s="31"/>
      <c r="F9213" s="771"/>
      <c r="G9213" s="31"/>
      <c r="H9213" s="31"/>
    </row>
    <row r="9214" spans="2:8" hidden="1">
      <c r="B9214" s="200"/>
      <c r="C9214" s="31"/>
      <c r="D9214" s="75"/>
      <c r="E9214" s="31"/>
      <c r="F9214" s="771"/>
      <c r="G9214" s="31"/>
      <c r="H9214" s="31"/>
    </row>
    <row r="9215" spans="2:8" hidden="1">
      <c r="B9215" s="200"/>
      <c r="C9215" s="31"/>
      <c r="D9215" s="75"/>
      <c r="E9215" s="31"/>
      <c r="F9215" s="771"/>
      <c r="G9215" s="31"/>
      <c r="H9215" s="31"/>
    </row>
    <row r="9216" spans="2:8" hidden="1">
      <c r="B9216" s="200"/>
      <c r="C9216" s="31"/>
      <c r="D9216" s="75"/>
      <c r="E9216" s="31"/>
      <c r="F9216" s="772"/>
      <c r="G9216" s="33"/>
      <c r="H9216" s="31"/>
    </row>
    <row r="9217" spans="2:8" hidden="1">
      <c r="B9217" s="200"/>
      <c r="C9217" s="31"/>
      <c r="D9217" s="75"/>
      <c r="E9217" s="31"/>
      <c r="F9217" s="771"/>
      <c r="G9217" s="31"/>
      <c r="H9217" s="31"/>
    </row>
    <row r="9218" spans="2:8" hidden="1">
      <c r="B9218" s="200"/>
      <c r="C9218" s="31"/>
      <c r="D9218" s="75"/>
      <c r="E9218" s="31"/>
      <c r="F9218" s="771"/>
      <c r="G9218" s="31"/>
      <c r="H9218" s="31"/>
    </row>
    <row r="9219" spans="2:8" hidden="1">
      <c r="B9219" s="200"/>
      <c r="C9219" s="31"/>
      <c r="D9219" s="75"/>
      <c r="E9219" s="31"/>
      <c r="F9219" s="771"/>
      <c r="G9219" s="31"/>
      <c r="H9219" s="31"/>
    </row>
    <row r="9220" spans="2:8" hidden="1">
      <c r="B9220" s="200"/>
      <c r="C9220" s="31"/>
      <c r="D9220" s="75"/>
      <c r="E9220" s="31"/>
      <c r="F9220" s="771"/>
      <c r="G9220" s="31"/>
      <c r="H9220" s="31"/>
    </row>
    <row r="9221" spans="2:8" hidden="1">
      <c r="B9221" s="200"/>
      <c r="C9221" s="31"/>
      <c r="D9221" s="75"/>
      <c r="E9221" s="31"/>
      <c r="F9221" s="771"/>
      <c r="G9221" s="31"/>
      <c r="H9221" s="31"/>
    </row>
    <row r="9222" spans="2:8" hidden="1">
      <c r="B9222" s="200"/>
      <c r="C9222" s="31"/>
      <c r="D9222" s="75"/>
      <c r="E9222" s="31"/>
      <c r="F9222" s="771"/>
      <c r="G9222" s="31"/>
      <c r="H9222" s="31"/>
    </row>
    <row r="9223" spans="2:8" hidden="1">
      <c r="B9223" s="200"/>
      <c r="C9223" s="31"/>
      <c r="D9223" s="75"/>
      <c r="E9223" s="33"/>
      <c r="F9223" s="771"/>
      <c r="G9223" s="31"/>
      <c r="H9223" s="31"/>
    </row>
    <row r="9224" spans="2:8" hidden="1">
      <c r="B9224" s="200"/>
      <c r="C9224" s="31"/>
      <c r="D9224" s="75"/>
      <c r="E9224" s="33"/>
      <c r="F9224" s="772"/>
      <c r="G9224" s="33"/>
      <c r="H9224" s="31"/>
    </row>
    <row r="9225" spans="2:8" hidden="1">
      <c r="B9225" s="200"/>
      <c r="C9225" s="31"/>
      <c r="D9225" s="75"/>
      <c r="E9225" s="33"/>
      <c r="F9225" s="772"/>
      <c r="G9225" s="33"/>
      <c r="H9225" s="31"/>
    </row>
    <row r="9226" spans="2:8" hidden="1">
      <c r="B9226" s="33"/>
      <c r="C9226" s="31"/>
      <c r="D9226" s="31"/>
      <c r="E9226" s="31"/>
      <c r="F9226" s="31"/>
      <c r="G9226" s="31"/>
      <c r="H9226" s="31"/>
    </row>
    <row r="9227" spans="2:8" hidden="1">
      <c r="B9227" s="200"/>
      <c r="C9227" s="31"/>
      <c r="D9227" s="75"/>
      <c r="E9227" s="33"/>
      <c r="F9227" s="33"/>
      <c r="G9227" s="33"/>
      <c r="H9227" s="31"/>
    </row>
    <row r="9228" spans="2:8" hidden="1">
      <c r="B9228" s="200"/>
      <c r="C9228" s="31"/>
      <c r="D9228" s="75"/>
      <c r="E9228" s="33"/>
      <c r="F9228" s="33"/>
      <c r="G9228" s="33"/>
      <c r="H9228" s="31"/>
    </row>
    <row r="9229" spans="2:8" hidden="1">
      <c r="B9229" s="200"/>
      <c r="C9229" s="31"/>
      <c r="D9229" s="75"/>
      <c r="E9229" s="33"/>
      <c r="F9229" s="33"/>
      <c r="G9229" s="33"/>
      <c r="H9229" s="31"/>
    </row>
    <row r="9230" spans="2:8" hidden="1">
      <c r="B9230" s="200"/>
      <c r="C9230" s="31"/>
      <c r="D9230" s="75"/>
      <c r="E9230" s="33"/>
      <c r="F9230" s="33"/>
      <c r="G9230" s="33"/>
      <c r="H9230" s="31"/>
    </row>
    <row r="9231" spans="2:8" hidden="1">
      <c r="B9231" s="200"/>
      <c r="C9231" s="31"/>
      <c r="D9231" s="75"/>
      <c r="E9231" s="33"/>
      <c r="F9231" s="33"/>
      <c r="G9231" s="33"/>
      <c r="H9231" s="31"/>
    </row>
    <row r="9232" spans="2:8" hidden="1">
      <c r="B9232" s="200"/>
      <c r="C9232" s="31"/>
      <c r="D9232" s="75"/>
      <c r="E9232" s="33"/>
      <c r="F9232" s="33"/>
      <c r="G9232" s="33"/>
      <c r="H9232" s="31"/>
    </row>
    <row r="9233" spans="2:8" hidden="1">
      <c r="B9233" s="33"/>
      <c r="C9233" s="200"/>
      <c r="D9233" s="75"/>
      <c r="E9233" s="31"/>
      <c r="F9233" s="31"/>
      <c r="G9233" s="31"/>
      <c r="H9233" s="31"/>
    </row>
    <row r="9234" spans="2:8" hidden="1">
      <c r="B9234" s="33"/>
      <c r="C9234" s="31"/>
      <c r="D9234" s="104"/>
      <c r="E9234" s="33"/>
      <c r="F9234" s="33"/>
      <c r="G9234" s="33"/>
      <c r="H9234" s="31"/>
    </row>
    <row r="9235" spans="2:8" hidden="1">
      <c r="B9235" s="33"/>
      <c r="C9235" s="31"/>
      <c r="D9235" s="33"/>
      <c r="E9235" s="33"/>
      <c r="F9235" s="33"/>
      <c r="G9235" s="33"/>
      <c r="H9235" s="31"/>
    </row>
    <row r="9236" spans="2:8" hidden="1">
      <c r="B9236" s="33"/>
      <c r="C9236" s="31"/>
      <c r="D9236" s="31"/>
      <c r="E9236" s="31"/>
      <c r="F9236" s="31"/>
      <c r="G9236" s="31"/>
      <c r="H9236" s="31"/>
    </row>
    <row r="9237" spans="2:8" hidden="1">
      <c r="B9237" s="200"/>
      <c r="C9237" s="31"/>
      <c r="D9237" s="75"/>
      <c r="E9237" s="31"/>
      <c r="F9237" s="31"/>
      <c r="G9237" s="31"/>
      <c r="H9237" s="31"/>
    </row>
    <row r="9238" spans="2:8" hidden="1">
      <c r="B9238" s="200"/>
      <c r="C9238" s="31"/>
      <c r="D9238" s="75"/>
      <c r="E9238" s="33"/>
      <c r="F9238" s="33"/>
      <c r="G9238" s="33"/>
      <c r="H9238" s="31"/>
    </row>
    <row r="9239" spans="2:8" hidden="1">
      <c r="B9239" s="200"/>
      <c r="C9239" s="31"/>
      <c r="D9239" s="75"/>
      <c r="E9239" s="33"/>
      <c r="F9239" s="33"/>
      <c r="G9239" s="33"/>
      <c r="H9239" s="31"/>
    </row>
    <row r="9240" spans="2:8" hidden="1">
      <c r="B9240" s="200"/>
      <c r="C9240" s="31"/>
      <c r="D9240" s="75"/>
      <c r="E9240" s="33"/>
      <c r="F9240" s="33"/>
      <c r="G9240" s="33"/>
      <c r="H9240" s="31"/>
    </row>
    <row r="9241" spans="2:8" hidden="1">
      <c r="B9241" s="200"/>
      <c r="C9241" s="31"/>
      <c r="D9241" s="75"/>
      <c r="E9241" s="31"/>
      <c r="F9241" s="31"/>
      <c r="G9241" s="31"/>
      <c r="H9241" s="31"/>
    </row>
    <row r="9242" spans="2:8" hidden="1">
      <c r="B9242" s="200"/>
      <c r="C9242" s="31"/>
      <c r="D9242" s="75"/>
      <c r="E9242" s="31"/>
      <c r="F9242" s="31"/>
      <c r="G9242" s="31"/>
      <c r="H9242" s="31"/>
    </row>
    <row r="9243" spans="2:8" hidden="1">
      <c r="B9243" s="200"/>
      <c r="C9243" s="31"/>
      <c r="D9243" s="75"/>
      <c r="E9243" s="33"/>
      <c r="F9243" s="33"/>
      <c r="G9243" s="33"/>
      <c r="H9243" s="31"/>
    </row>
    <row r="9244" spans="2:8" hidden="1">
      <c r="B9244" s="200"/>
      <c r="C9244" s="31"/>
      <c r="D9244" s="75"/>
      <c r="E9244" s="33"/>
      <c r="F9244" s="33"/>
      <c r="G9244" s="33"/>
      <c r="H9244" s="31"/>
    </row>
    <row r="9245" spans="2:8" hidden="1">
      <c r="B9245" s="200"/>
      <c r="C9245" s="31"/>
      <c r="D9245" s="75"/>
      <c r="E9245" s="33"/>
      <c r="F9245" s="33"/>
      <c r="G9245" s="33"/>
      <c r="H9245" s="31"/>
    </row>
    <row r="9246" spans="2:8" hidden="1">
      <c r="B9246" s="200"/>
      <c r="C9246" s="31"/>
      <c r="D9246" s="75"/>
      <c r="E9246" s="33"/>
      <c r="F9246" s="33"/>
      <c r="G9246" s="33"/>
      <c r="H9246" s="31"/>
    </row>
    <row r="9247" spans="2:8" hidden="1">
      <c r="B9247" s="200"/>
      <c r="C9247" s="31"/>
      <c r="D9247" s="75"/>
      <c r="E9247" s="33"/>
      <c r="F9247" s="33"/>
      <c r="G9247" s="33"/>
      <c r="H9247" s="31"/>
    </row>
    <row r="9248" spans="2:8" hidden="1">
      <c r="B9248" s="200"/>
      <c r="C9248" s="31"/>
      <c r="D9248" s="75"/>
      <c r="E9248" s="33"/>
      <c r="F9248" s="33"/>
      <c r="G9248" s="33"/>
      <c r="H9248" s="31"/>
    </row>
    <row r="9249" spans="2:8" hidden="1">
      <c r="B9249" s="33"/>
      <c r="C9249" s="31"/>
      <c r="D9249" s="75"/>
      <c r="E9249" s="31"/>
      <c r="F9249" s="31"/>
      <c r="G9249" s="31"/>
      <c r="H9249" s="31"/>
    </row>
    <row r="9250" spans="2:8" hidden="1">
      <c r="B9250" s="33"/>
      <c r="C9250" s="31"/>
      <c r="D9250" s="31"/>
      <c r="E9250" s="31"/>
      <c r="F9250" s="31"/>
      <c r="G9250" s="31"/>
      <c r="H9250" s="31"/>
    </row>
    <row r="9251" spans="2:8" hidden="1">
      <c r="B9251" s="405"/>
      <c r="C9251" s="31"/>
      <c r="D9251" s="31"/>
      <c r="E9251" s="31"/>
      <c r="F9251" s="31"/>
      <c r="G9251" s="31"/>
      <c r="H9251" s="31"/>
    </row>
    <row r="9252" spans="2:8" hidden="1">
      <c r="B9252" s="405"/>
      <c r="C9252" s="31"/>
      <c r="D9252" s="31"/>
      <c r="E9252" s="31"/>
      <c r="F9252" s="691"/>
      <c r="G9252" s="75"/>
      <c r="H9252" s="31"/>
    </row>
    <row r="9253" spans="2:8" hidden="1">
      <c r="B9253" s="405"/>
      <c r="C9253" s="31"/>
      <c r="D9253" s="31"/>
      <c r="E9253" s="31"/>
      <c r="F9253" s="691"/>
      <c r="G9253" s="75"/>
      <c r="H9253" s="31"/>
    </row>
    <row r="9254" spans="2:8" hidden="1">
      <c r="B9254" s="405"/>
      <c r="C9254" s="31"/>
      <c r="D9254" s="31"/>
      <c r="E9254" s="31"/>
      <c r="F9254" s="691"/>
      <c r="G9254" s="75"/>
      <c r="H9254" s="31"/>
    </row>
    <row r="9255" spans="2:8" hidden="1">
      <c r="B9255" s="405"/>
      <c r="C9255" s="31"/>
      <c r="D9255" s="31"/>
      <c r="E9255" s="31"/>
      <c r="F9255" s="691"/>
      <c r="G9255" s="75"/>
      <c r="H9255" s="31"/>
    </row>
    <row r="9256" spans="2:8" hidden="1">
      <c r="B9256" s="405"/>
      <c r="C9256" s="31"/>
      <c r="D9256" s="31"/>
      <c r="E9256" s="31"/>
      <c r="F9256" s="691"/>
      <c r="G9256" s="75"/>
      <c r="H9256" s="31"/>
    </row>
    <row r="9257" spans="2:8" hidden="1">
      <c r="B9257" s="405"/>
      <c r="C9257" s="31"/>
      <c r="D9257" s="31"/>
      <c r="E9257" s="31"/>
      <c r="F9257" s="691"/>
      <c r="G9257" s="75"/>
      <c r="H9257" s="31"/>
    </row>
    <row r="9258" spans="2:8" hidden="1">
      <c r="B9258" s="405"/>
      <c r="C9258" s="31"/>
      <c r="D9258" s="31"/>
      <c r="E9258" s="31"/>
      <c r="F9258" s="691"/>
      <c r="G9258" s="75"/>
      <c r="H9258" s="31"/>
    </row>
    <row r="9259" spans="2:8" hidden="1">
      <c r="B9259" s="405"/>
      <c r="C9259" s="31"/>
      <c r="D9259" s="31"/>
      <c r="E9259" s="31"/>
      <c r="F9259" s="691"/>
      <c r="G9259" s="75"/>
      <c r="H9259" s="31"/>
    </row>
    <row r="9260" spans="2:8" hidden="1">
      <c r="B9260" s="405"/>
      <c r="C9260" s="31"/>
      <c r="D9260" s="31"/>
      <c r="E9260" s="31"/>
      <c r="F9260" s="691"/>
      <c r="G9260" s="75"/>
      <c r="H9260" s="31"/>
    </row>
    <row r="9261" spans="2:8" hidden="1">
      <c r="B9261" s="33"/>
      <c r="C9261" s="31"/>
      <c r="D9261" s="31"/>
      <c r="E9261" s="31"/>
      <c r="F9261" s="691"/>
      <c r="G9261" s="75"/>
      <c r="H9261" s="31"/>
    </row>
    <row r="9262" spans="2:8" hidden="1">
      <c r="B9262" s="33"/>
      <c r="C9262" s="31"/>
      <c r="D9262" s="31"/>
      <c r="E9262" s="31"/>
      <c r="F9262" s="691"/>
      <c r="G9262" s="75"/>
      <c r="H9262" s="31"/>
    </row>
    <row r="9263" spans="2:8" hidden="1">
      <c r="B9263" s="405"/>
      <c r="C9263" s="31"/>
      <c r="D9263" s="31"/>
      <c r="E9263" s="31"/>
      <c r="F9263" s="691"/>
      <c r="G9263" s="75"/>
      <c r="H9263" s="31"/>
    </row>
    <row r="9264" spans="2:8" hidden="1">
      <c r="B9264" s="405"/>
      <c r="C9264" s="31"/>
      <c r="D9264" s="31"/>
      <c r="E9264" s="31"/>
      <c r="F9264" s="691"/>
      <c r="G9264" s="75"/>
      <c r="H9264" s="31"/>
    </row>
    <row r="9265" spans="2:8" hidden="1">
      <c r="B9265" s="405"/>
      <c r="C9265" s="31"/>
      <c r="D9265" s="31"/>
      <c r="E9265" s="31"/>
      <c r="F9265" s="691"/>
      <c r="G9265" s="75"/>
      <c r="H9265" s="31"/>
    </row>
    <row r="9266" spans="2:8" hidden="1">
      <c r="B9266" s="405"/>
      <c r="C9266" s="31"/>
      <c r="D9266" s="31"/>
      <c r="E9266" s="31"/>
      <c r="F9266" s="691"/>
      <c r="G9266" s="75"/>
      <c r="H9266" s="31"/>
    </row>
    <row r="9267" spans="2:8" hidden="1">
      <c r="B9267" s="405"/>
      <c r="C9267" s="31"/>
      <c r="D9267" s="31"/>
      <c r="E9267" s="31"/>
      <c r="F9267" s="691"/>
      <c r="G9267" s="75"/>
      <c r="H9267" s="31"/>
    </row>
    <row r="9268" spans="2:8" hidden="1">
      <c r="B9268" s="405"/>
      <c r="C9268" s="31"/>
      <c r="D9268" s="31"/>
      <c r="E9268" s="31"/>
      <c r="F9268" s="691"/>
      <c r="G9268" s="75"/>
      <c r="H9268" s="31"/>
    </row>
    <row r="9269" spans="2:8" hidden="1">
      <c r="B9269" s="405"/>
      <c r="C9269" s="31"/>
      <c r="D9269" s="31"/>
      <c r="E9269" s="31"/>
      <c r="F9269" s="691"/>
      <c r="G9269" s="31"/>
      <c r="H9269" s="31"/>
    </row>
    <row r="9270" spans="2:8" hidden="1">
      <c r="B9270" s="405"/>
      <c r="C9270" s="31"/>
      <c r="D9270" s="31"/>
      <c r="E9270" s="31"/>
      <c r="F9270" s="691"/>
      <c r="G9270" s="31"/>
      <c r="H9270" s="31"/>
    </row>
    <row r="9271" spans="2:8" hidden="1">
      <c r="B9271" s="405"/>
      <c r="C9271" s="31"/>
      <c r="D9271" s="31"/>
      <c r="E9271" s="31"/>
      <c r="F9271" s="691"/>
      <c r="G9271" s="31"/>
      <c r="H9271" s="31"/>
    </row>
    <row r="9272" spans="2:8" hidden="1">
      <c r="B9272" s="405"/>
      <c r="C9272" s="31"/>
      <c r="D9272" s="31"/>
      <c r="E9272" s="31"/>
      <c r="F9272" s="691"/>
      <c r="G9272" s="31"/>
      <c r="H9272" s="31"/>
    </row>
    <row r="9273" spans="2:8" hidden="1">
      <c r="B9273" s="405"/>
      <c r="C9273" s="31"/>
      <c r="D9273" s="31"/>
      <c r="E9273" s="31"/>
      <c r="F9273" s="691"/>
      <c r="G9273" s="31"/>
      <c r="H9273" s="31"/>
    </row>
    <row r="9274" spans="2:8" hidden="1">
      <c r="B9274" s="405"/>
      <c r="C9274" s="31"/>
      <c r="D9274" s="31"/>
      <c r="E9274" s="31"/>
      <c r="F9274" s="691"/>
      <c r="G9274" s="31"/>
      <c r="H9274" s="31"/>
    </row>
    <row r="9275" spans="2:8" hidden="1">
      <c r="B9275" s="405"/>
      <c r="C9275" s="31"/>
      <c r="D9275" s="31"/>
      <c r="E9275" s="31"/>
      <c r="F9275" s="691"/>
      <c r="G9275" s="75"/>
      <c r="H9275" s="31"/>
    </row>
    <row r="9276" spans="2:8" hidden="1">
      <c r="B9276" s="405"/>
      <c r="C9276" s="31"/>
      <c r="D9276" s="31"/>
      <c r="E9276" s="31"/>
      <c r="F9276" s="691"/>
      <c r="G9276" s="75"/>
      <c r="H9276" s="31"/>
    </row>
    <row r="9277" spans="2:8" hidden="1">
      <c r="B9277" s="405"/>
      <c r="C9277" s="31"/>
      <c r="D9277" s="31"/>
      <c r="E9277" s="31"/>
      <c r="F9277" s="691"/>
      <c r="G9277" s="75"/>
      <c r="H9277" s="31"/>
    </row>
    <row r="9278" spans="2:8" hidden="1">
      <c r="B9278" s="405"/>
      <c r="C9278" s="31"/>
      <c r="D9278" s="31"/>
      <c r="E9278" s="31"/>
      <c r="F9278" s="691"/>
      <c r="G9278" s="75"/>
      <c r="H9278" s="31"/>
    </row>
    <row r="9279" spans="2:8" hidden="1">
      <c r="B9279" s="405"/>
      <c r="C9279" s="31"/>
      <c r="D9279" s="31"/>
      <c r="E9279" s="31"/>
      <c r="F9279" s="691"/>
      <c r="G9279" s="31"/>
      <c r="H9279" s="31"/>
    </row>
    <row r="9280" spans="2:8" hidden="1">
      <c r="B9280" s="33"/>
      <c r="C9280" s="31"/>
      <c r="D9280" s="31"/>
      <c r="E9280" s="31"/>
      <c r="F9280" s="31"/>
      <c r="G9280" s="31"/>
      <c r="H9280" s="31"/>
    </row>
    <row r="9281" spans="2:8" hidden="1">
      <c r="B9281" s="33"/>
      <c r="C9281" s="31"/>
      <c r="D9281" s="31"/>
      <c r="E9281" s="31"/>
      <c r="F9281" s="31"/>
      <c r="G9281" s="31"/>
      <c r="H9281" s="31"/>
    </row>
    <row r="9282" spans="2:8" hidden="1">
      <c r="B9282" s="33"/>
      <c r="C9282" s="31"/>
      <c r="D9282" s="31"/>
      <c r="E9282" s="31"/>
      <c r="F9282" s="31"/>
      <c r="G9282" s="31"/>
      <c r="H9282" s="31"/>
    </row>
    <row r="9283" spans="2:8" hidden="1">
      <c r="B9283" s="33"/>
      <c r="C9283" s="31"/>
      <c r="D9283" s="31"/>
      <c r="E9283" s="31"/>
      <c r="F9283" s="31"/>
      <c r="G9283" s="31"/>
      <c r="H9283" s="31"/>
    </row>
    <row r="9284" spans="2:8" hidden="1">
      <c r="B9284" s="33"/>
      <c r="C9284" s="31"/>
      <c r="D9284" s="31"/>
      <c r="E9284" s="31"/>
      <c r="F9284" s="31"/>
      <c r="G9284" s="31"/>
      <c r="H9284" s="31"/>
    </row>
    <row r="9285" spans="2:8" hidden="1">
      <c r="B9285" s="33"/>
      <c r="C9285" s="31"/>
      <c r="D9285" s="31"/>
      <c r="E9285" s="31"/>
      <c r="F9285" s="31"/>
      <c r="G9285" s="31"/>
      <c r="H9285" s="31"/>
    </row>
    <row r="9286" spans="2:8" hidden="1">
      <c r="B9286" s="33"/>
      <c r="C9286" s="31"/>
      <c r="D9286" s="31"/>
      <c r="E9286" s="31"/>
      <c r="F9286" s="31"/>
      <c r="G9286" s="31"/>
      <c r="H9286" s="31"/>
    </row>
    <row r="9287" spans="2:8" hidden="1">
      <c r="B9287" s="33"/>
      <c r="C9287" s="31"/>
      <c r="D9287" s="31"/>
      <c r="E9287" s="31"/>
      <c r="F9287" s="31"/>
      <c r="G9287" s="31"/>
      <c r="H9287" s="31"/>
    </row>
    <row r="9288" spans="2:8" hidden="1">
      <c r="B9288" s="33"/>
      <c r="C9288" s="31"/>
      <c r="D9288" s="31"/>
      <c r="E9288" s="31"/>
      <c r="F9288" s="31"/>
      <c r="G9288" s="31"/>
      <c r="H9288" s="31"/>
    </row>
    <row r="9289" spans="2:8" hidden="1">
      <c r="B9289" s="33"/>
      <c r="C9289" s="31"/>
      <c r="D9289" s="33"/>
      <c r="E9289" s="31"/>
      <c r="F9289" s="33"/>
      <c r="G9289" s="33"/>
      <c r="H9289" s="31"/>
    </row>
    <row r="9290" spans="2:8" hidden="1">
      <c r="B9290" s="33"/>
      <c r="C9290" s="31"/>
      <c r="D9290" s="33"/>
      <c r="E9290" s="33"/>
      <c r="F9290" s="33"/>
      <c r="G9290" s="33"/>
      <c r="H9290" s="31"/>
    </row>
    <row r="9291" spans="2:8" hidden="1">
      <c r="B9291" s="33"/>
      <c r="C9291" s="31"/>
      <c r="D9291" s="31"/>
      <c r="E9291" s="31"/>
      <c r="F9291" s="31"/>
      <c r="G9291" s="31"/>
      <c r="H9291" s="31"/>
    </row>
    <row r="9292" spans="2:8" hidden="1">
      <c r="B9292" s="200"/>
      <c r="C9292" s="31"/>
      <c r="D9292" s="75"/>
      <c r="E9292" s="771"/>
      <c r="F9292" s="771"/>
      <c r="G9292" s="31"/>
      <c r="H9292" s="31"/>
    </row>
    <row r="9293" spans="2:8" hidden="1">
      <c r="B9293" s="200"/>
      <c r="C9293" s="31"/>
      <c r="D9293" s="75"/>
      <c r="E9293" s="772"/>
      <c r="F9293" s="772"/>
      <c r="G9293" s="33"/>
      <c r="H9293" s="31"/>
    </row>
    <row r="9294" spans="2:8" hidden="1">
      <c r="B9294" s="200"/>
      <c r="C9294" s="31"/>
      <c r="D9294" s="75"/>
      <c r="E9294" s="771"/>
      <c r="F9294" s="772"/>
      <c r="G9294" s="33"/>
      <c r="H9294" s="31"/>
    </row>
    <row r="9295" spans="2:8" hidden="1">
      <c r="B9295" s="200"/>
      <c r="C9295" s="31"/>
      <c r="D9295" s="31"/>
      <c r="E9295" s="31"/>
      <c r="F9295" s="31"/>
      <c r="G9295" s="31"/>
      <c r="H9295" s="31"/>
    </row>
    <row r="9296" spans="2:8" hidden="1">
      <c r="B9296" s="200"/>
      <c r="C9296" s="31"/>
      <c r="D9296" s="75"/>
      <c r="E9296" s="771"/>
      <c r="F9296" s="33"/>
      <c r="G9296" s="33"/>
      <c r="H9296" s="31"/>
    </row>
    <row r="9297" spans="2:8" hidden="1">
      <c r="B9297" s="200"/>
      <c r="C9297" s="31"/>
      <c r="D9297" s="75"/>
      <c r="E9297" s="771"/>
      <c r="F9297" s="771"/>
      <c r="G9297" s="31"/>
      <c r="H9297" s="31"/>
    </row>
    <row r="9298" spans="2:8" hidden="1">
      <c r="B9298" s="200"/>
      <c r="C9298" s="31"/>
      <c r="D9298" s="75"/>
      <c r="E9298" s="771"/>
      <c r="F9298" s="771"/>
      <c r="G9298" s="31"/>
      <c r="H9298" s="31"/>
    </row>
    <row r="9299" spans="2:8" hidden="1">
      <c r="B9299" s="200"/>
      <c r="C9299" s="31"/>
      <c r="D9299" s="75"/>
      <c r="E9299" s="771"/>
      <c r="F9299" s="771"/>
      <c r="G9299" s="31"/>
      <c r="H9299" s="31"/>
    </row>
    <row r="9300" spans="2:8" hidden="1">
      <c r="B9300" s="200"/>
      <c r="C9300" s="31"/>
      <c r="D9300" s="75"/>
      <c r="E9300" s="771"/>
      <c r="F9300" s="771"/>
      <c r="G9300" s="31"/>
      <c r="H9300" s="31"/>
    </row>
    <row r="9301" spans="2:8" hidden="1">
      <c r="B9301" s="200"/>
      <c r="C9301" s="31"/>
      <c r="D9301" s="75"/>
      <c r="E9301" s="771"/>
      <c r="F9301" s="771"/>
      <c r="G9301" s="31"/>
      <c r="H9301" s="31"/>
    </row>
    <row r="9302" spans="2:8" hidden="1">
      <c r="B9302" s="200"/>
      <c r="C9302" s="31"/>
      <c r="D9302" s="75"/>
      <c r="E9302" s="771"/>
      <c r="F9302" s="771"/>
      <c r="G9302" s="31"/>
      <c r="H9302" s="31"/>
    </row>
    <row r="9303" spans="2:8" hidden="1">
      <c r="B9303" s="200"/>
      <c r="C9303" s="31"/>
      <c r="D9303" s="75"/>
      <c r="E9303" s="33"/>
      <c r="F9303" s="771"/>
      <c r="G9303" s="31"/>
      <c r="H9303" s="31"/>
    </row>
    <row r="9304" spans="2:8" hidden="1">
      <c r="B9304" s="200"/>
      <c r="C9304" s="31"/>
      <c r="D9304" s="75"/>
      <c r="E9304" s="771"/>
      <c r="F9304" s="771"/>
      <c r="G9304" s="31"/>
      <c r="H9304" s="31"/>
    </row>
    <row r="9305" spans="2:8" hidden="1">
      <c r="B9305" s="200"/>
      <c r="C9305" s="31"/>
      <c r="D9305" s="75"/>
      <c r="E9305" s="771"/>
      <c r="F9305" s="33"/>
      <c r="G9305" s="33"/>
      <c r="H9305" s="31"/>
    </row>
    <row r="9306" spans="2:8" hidden="1">
      <c r="B9306" s="200"/>
      <c r="C9306" s="31"/>
      <c r="D9306" s="75"/>
      <c r="E9306" s="771"/>
      <c r="F9306" s="771"/>
      <c r="G9306" s="31"/>
      <c r="H9306" s="31"/>
    </row>
    <row r="9307" spans="2:8" hidden="1">
      <c r="B9307" s="200"/>
      <c r="C9307" s="31"/>
      <c r="D9307" s="75"/>
      <c r="E9307" s="33"/>
      <c r="F9307" s="33"/>
      <c r="G9307" s="33"/>
      <c r="H9307" s="31"/>
    </row>
    <row r="9308" spans="2:8" hidden="1">
      <c r="B9308" s="200"/>
      <c r="C9308" s="31"/>
      <c r="D9308" s="75"/>
      <c r="E9308" s="771"/>
      <c r="F9308" s="771"/>
      <c r="G9308" s="31"/>
      <c r="H9308" s="31"/>
    </row>
    <row r="9309" spans="2:8" hidden="1">
      <c r="B9309" s="200"/>
      <c r="C9309" s="31"/>
      <c r="D9309" s="75"/>
      <c r="E9309" s="771"/>
      <c r="F9309" s="771"/>
      <c r="G9309" s="31"/>
      <c r="H9309" s="31"/>
    </row>
    <row r="9310" spans="2:8" hidden="1">
      <c r="B9310" s="200"/>
      <c r="C9310" s="31"/>
      <c r="D9310" s="75"/>
      <c r="E9310" s="771"/>
      <c r="F9310" s="771"/>
      <c r="G9310" s="31"/>
      <c r="H9310" s="31"/>
    </row>
    <row r="9311" spans="2:8" hidden="1">
      <c r="B9311" s="200"/>
      <c r="C9311" s="31"/>
      <c r="D9311" s="75"/>
      <c r="E9311" s="771"/>
      <c r="F9311" s="771"/>
      <c r="G9311" s="31"/>
      <c r="H9311" s="31"/>
    </row>
    <row r="9312" spans="2:8" hidden="1">
      <c r="B9312" s="200"/>
      <c r="C9312" s="31"/>
      <c r="D9312" s="75"/>
      <c r="E9312" s="771"/>
      <c r="F9312" s="771"/>
      <c r="G9312" s="31"/>
      <c r="H9312" s="31"/>
    </row>
    <row r="9313" spans="2:8" hidden="1">
      <c r="B9313" s="200"/>
      <c r="C9313" s="31"/>
      <c r="D9313" s="75"/>
      <c r="E9313" s="771"/>
      <c r="F9313" s="771"/>
      <c r="G9313" s="31"/>
      <c r="H9313" s="31"/>
    </row>
    <row r="9314" spans="2:8" hidden="1">
      <c r="B9314" s="200"/>
      <c r="C9314" s="31"/>
      <c r="D9314" s="75"/>
      <c r="E9314" s="771"/>
      <c r="F9314" s="771"/>
      <c r="G9314" s="31"/>
      <c r="H9314" s="31"/>
    </row>
    <row r="9315" spans="2:8" hidden="1">
      <c r="B9315" s="200"/>
      <c r="C9315" s="31"/>
      <c r="D9315" s="75"/>
      <c r="E9315" s="771"/>
      <c r="F9315" s="771"/>
      <c r="G9315" s="31"/>
      <c r="H9315" s="31"/>
    </row>
    <row r="9316" spans="2:8" hidden="1">
      <c r="B9316" s="200"/>
      <c r="C9316" s="31"/>
      <c r="D9316" s="75"/>
      <c r="E9316" s="771"/>
      <c r="F9316" s="771"/>
      <c r="G9316" s="31"/>
      <c r="H9316" s="31"/>
    </row>
    <row r="9317" spans="2:8" hidden="1">
      <c r="B9317" s="200"/>
      <c r="C9317" s="31"/>
      <c r="D9317" s="75"/>
      <c r="E9317" s="771"/>
      <c r="F9317" s="771"/>
      <c r="G9317" s="31"/>
      <c r="H9317" s="31"/>
    </row>
    <row r="9318" spans="2:8" hidden="1">
      <c r="B9318" s="33"/>
      <c r="C9318" s="31"/>
      <c r="D9318" s="31"/>
      <c r="E9318" s="31"/>
      <c r="F9318" s="31"/>
      <c r="G9318" s="31"/>
      <c r="H9318" s="31"/>
    </row>
    <row r="9319" spans="2:8" hidden="1">
      <c r="B9319" s="200"/>
      <c r="C9319" s="31"/>
      <c r="D9319" s="75"/>
      <c r="E9319" s="33"/>
      <c r="F9319" s="33"/>
      <c r="G9319" s="33"/>
      <c r="H9319" s="31"/>
    </row>
    <row r="9320" spans="2:8" hidden="1">
      <c r="B9320" s="200"/>
      <c r="C9320" s="31"/>
      <c r="D9320" s="75"/>
      <c r="E9320" s="33"/>
      <c r="F9320" s="33"/>
      <c r="G9320" s="33"/>
      <c r="H9320" s="31"/>
    </row>
    <row r="9321" spans="2:8" hidden="1">
      <c r="B9321" s="200"/>
      <c r="C9321" s="31"/>
      <c r="D9321" s="75"/>
      <c r="E9321" s="33"/>
      <c r="F9321" s="33"/>
      <c r="G9321" s="33"/>
      <c r="H9321" s="31"/>
    </row>
    <row r="9322" spans="2:8" hidden="1">
      <c r="B9322" s="200"/>
      <c r="C9322" s="31"/>
      <c r="D9322" s="75"/>
      <c r="E9322" s="31"/>
      <c r="F9322" s="33"/>
      <c r="G9322" s="33"/>
      <c r="H9322" s="31"/>
    </row>
    <row r="9323" spans="2:8" hidden="1">
      <c r="B9323" s="200"/>
      <c r="C9323" s="31"/>
      <c r="D9323" s="75"/>
      <c r="E9323" s="33"/>
      <c r="F9323" s="33"/>
      <c r="G9323" s="33"/>
      <c r="H9323" s="31"/>
    </row>
    <row r="9324" spans="2:8" hidden="1">
      <c r="B9324" s="200"/>
      <c r="C9324" s="31"/>
      <c r="D9324" s="75"/>
      <c r="E9324" s="33"/>
      <c r="F9324" s="33"/>
      <c r="G9324" s="33"/>
      <c r="H9324" s="31"/>
    </row>
    <row r="9325" spans="2:8" hidden="1">
      <c r="B9325" s="200"/>
      <c r="C9325" s="31"/>
      <c r="D9325" s="75"/>
      <c r="E9325" s="33"/>
      <c r="F9325" s="33"/>
      <c r="G9325" s="33"/>
      <c r="H9325" s="31"/>
    </row>
    <row r="9326" spans="2:8" hidden="1">
      <c r="B9326" s="200"/>
      <c r="C9326" s="31"/>
      <c r="D9326" s="75"/>
      <c r="E9326" s="33"/>
      <c r="F9326" s="33"/>
      <c r="G9326" s="33"/>
      <c r="H9326" s="31"/>
    </row>
    <row r="9327" spans="2:8" hidden="1">
      <c r="B9327" s="200"/>
      <c r="C9327" s="31"/>
      <c r="D9327" s="75"/>
      <c r="E9327" s="33"/>
      <c r="F9327" s="33"/>
      <c r="G9327" s="33"/>
      <c r="H9327" s="31"/>
    </row>
    <row r="9328" spans="2:8" hidden="1">
      <c r="B9328" s="200"/>
      <c r="C9328" s="31"/>
      <c r="D9328" s="75"/>
      <c r="E9328" s="33"/>
      <c r="F9328" s="33"/>
      <c r="G9328" s="33"/>
      <c r="H9328" s="31"/>
    </row>
    <row r="9329" spans="2:8" hidden="1">
      <c r="B9329" s="200"/>
      <c r="C9329" s="31"/>
      <c r="D9329" s="75"/>
      <c r="E9329" s="33"/>
      <c r="F9329" s="33"/>
      <c r="G9329" s="33"/>
      <c r="H9329" s="31"/>
    </row>
    <row r="9330" spans="2:8" hidden="1">
      <c r="B9330" s="33"/>
      <c r="C9330" s="31"/>
      <c r="D9330" s="31"/>
      <c r="E9330" s="31"/>
      <c r="F9330" s="31"/>
      <c r="G9330" s="31"/>
      <c r="H9330" s="31"/>
    </row>
    <row r="9331" spans="2:8" hidden="1">
      <c r="B9331" s="200"/>
      <c r="C9331" s="31"/>
      <c r="D9331" s="75"/>
      <c r="E9331" s="771"/>
      <c r="F9331" s="33"/>
      <c r="G9331" s="33"/>
      <c r="H9331" s="31"/>
    </row>
    <row r="9332" spans="2:8" hidden="1">
      <c r="B9332" s="200"/>
      <c r="C9332" s="31"/>
      <c r="D9332" s="75"/>
      <c r="E9332" s="771"/>
      <c r="F9332" s="31"/>
      <c r="G9332" s="31"/>
      <c r="H9332" s="31"/>
    </row>
    <row r="9333" spans="2:8" hidden="1">
      <c r="B9333" s="200"/>
      <c r="C9333" s="31"/>
      <c r="D9333" s="75"/>
      <c r="E9333" s="771"/>
      <c r="F9333" s="31"/>
      <c r="G9333" s="31"/>
      <c r="H9333" s="31"/>
    </row>
    <row r="9334" spans="2:8" hidden="1">
      <c r="B9334" s="200"/>
      <c r="C9334" s="31"/>
      <c r="D9334" s="75"/>
      <c r="E9334" s="771"/>
      <c r="F9334" s="31"/>
      <c r="G9334" s="31"/>
      <c r="H9334" s="31"/>
    </row>
    <row r="9335" spans="2:8" hidden="1">
      <c r="B9335" s="200"/>
      <c r="C9335" s="31"/>
      <c r="D9335" s="75"/>
      <c r="E9335" s="771"/>
      <c r="F9335" s="31"/>
      <c r="G9335" s="31"/>
      <c r="H9335" s="31"/>
    </row>
    <row r="9336" spans="2:8" hidden="1">
      <c r="B9336" s="200"/>
      <c r="C9336" s="31"/>
      <c r="D9336" s="75"/>
      <c r="E9336" s="771"/>
      <c r="F9336" s="31"/>
      <c r="G9336" s="31"/>
      <c r="H9336" s="31"/>
    </row>
    <row r="9337" spans="2:8" hidden="1">
      <c r="B9337" s="200"/>
      <c r="C9337" s="31"/>
      <c r="D9337" s="75"/>
      <c r="E9337" s="771"/>
      <c r="F9337" s="31"/>
      <c r="G9337" s="31"/>
      <c r="H9337" s="31"/>
    </row>
    <row r="9338" spans="2:8" hidden="1">
      <c r="B9338" s="200"/>
      <c r="C9338" s="31"/>
      <c r="D9338" s="75"/>
      <c r="E9338" s="771"/>
      <c r="F9338" s="31"/>
      <c r="G9338" s="31"/>
      <c r="H9338" s="31"/>
    </row>
    <row r="9339" spans="2:8" hidden="1">
      <c r="B9339" s="200"/>
      <c r="C9339" s="31"/>
      <c r="D9339" s="75"/>
      <c r="E9339" s="771"/>
      <c r="F9339" s="31"/>
      <c r="G9339" s="31"/>
      <c r="H9339" s="31"/>
    </row>
    <row r="9340" spans="2:8" hidden="1">
      <c r="B9340" s="200"/>
      <c r="C9340" s="31"/>
      <c r="D9340" s="75"/>
      <c r="E9340" s="771"/>
      <c r="F9340" s="771"/>
      <c r="G9340" s="31"/>
      <c r="H9340" s="31"/>
    </row>
    <row r="9341" spans="2:8" hidden="1">
      <c r="B9341" s="200"/>
      <c r="C9341" s="31"/>
      <c r="D9341" s="75"/>
      <c r="E9341" s="771"/>
      <c r="F9341" s="771"/>
      <c r="G9341" s="31"/>
      <c r="H9341" s="31"/>
    </row>
    <row r="9342" spans="2:8" hidden="1">
      <c r="B9342" s="200"/>
      <c r="C9342" s="31"/>
      <c r="D9342" s="75"/>
      <c r="E9342" s="771"/>
      <c r="F9342" s="771"/>
      <c r="G9342" s="31"/>
      <c r="H9342" s="31"/>
    </row>
    <row r="9343" spans="2:8" hidden="1">
      <c r="B9343" s="200"/>
      <c r="C9343" s="31"/>
      <c r="D9343" s="75"/>
      <c r="E9343" s="771"/>
      <c r="F9343" s="771"/>
      <c r="G9343" s="31"/>
      <c r="H9343" s="31"/>
    </row>
    <row r="9344" spans="2:8" hidden="1">
      <c r="B9344" s="33"/>
      <c r="C9344" s="31"/>
      <c r="D9344" s="31"/>
      <c r="E9344" s="31"/>
      <c r="F9344" s="31"/>
      <c r="G9344" s="31"/>
      <c r="H9344" s="31"/>
    </row>
    <row r="9345" spans="2:8" hidden="1">
      <c r="B9345" s="200"/>
      <c r="C9345" s="31"/>
      <c r="D9345" s="75"/>
      <c r="E9345" s="31"/>
      <c r="F9345" s="33"/>
      <c r="G9345" s="33"/>
      <c r="H9345" s="31"/>
    </row>
    <row r="9346" spans="2:8" hidden="1">
      <c r="B9346" s="200"/>
      <c r="C9346" s="31"/>
      <c r="D9346" s="75"/>
      <c r="E9346" s="31"/>
      <c r="F9346" s="771"/>
      <c r="G9346" s="31"/>
      <c r="H9346" s="31"/>
    </row>
    <row r="9347" spans="2:8" hidden="1">
      <c r="B9347" s="200"/>
      <c r="C9347" s="31"/>
      <c r="D9347" s="75"/>
      <c r="E9347" s="31"/>
      <c r="F9347" s="31"/>
      <c r="G9347" s="31"/>
      <c r="H9347" s="31"/>
    </row>
    <row r="9348" spans="2:8" hidden="1">
      <c r="B9348" s="200"/>
      <c r="C9348" s="31"/>
      <c r="D9348" s="75"/>
      <c r="E9348" s="31"/>
      <c r="F9348" s="31"/>
      <c r="G9348" s="31"/>
      <c r="H9348" s="31"/>
    </row>
    <row r="9349" spans="2:8" hidden="1">
      <c r="B9349" s="200"/>
      <c r="C9349" s="31"/>
      <c r="D9349" s="75"/>
      <c r="E9349" s="31"/>
      <c r="F9349" s="31"/>
      <c r="G9349" s="31"/>
      <c r="H9349" s="31"/>
    </row>
    <row r="9350" spans="2:8" hidden="1">
      <c r="B9350" s="200"/>
      <c r="C9350" s="31"/>
      <c r="D9350" s="75"/>
      <c r="E9350" s="31"/>
      <c r="F9350" s="31"/>
      <c r="G9350" s="31"/>
      <c r="H9350" s="31"/>
    </row>
    <row r="9351" spans="2:8" hidden="1">
      <c r="B9351" s="200"/>
      <c r="C9351" s="31"/>
      <c r="D9351" s="75"/>
      <c r="E9351" s="33"/>
      <c r="F9351" s="33"/>
      <c r="G9351" s="33"/>
      <c r="H9351" s="31"/>
    </row>
    <row r="9352" spans="2:8" hidden="1">
      <c r="B9352" s="200"/>
      <c r="C9352" s="31"/>
      <c r="D9352" s="75"/>
      <c r="E9352" s="33"/>
      <c r="F9352" s="33"/>
      <c r="G9352" s="33"/>
      <c r="H9352" s="31"/>
    </row>
    <row r="9353" spans="2:8" hidden="1">
      <c r="B9353" s="200"/>
      <c r="C9353" s="31"/>
      <c r="D9353" s="75"/>
      <c r="E9353" s="33"/>
      <c r="F9353" s="33"/>
      <c r="G9353" s="33"/>
      <c r="H9353" s="31"/>
    </row>
    <row r="9354" spans="2:8" hidden="1">
      <c r="B9354" s="200"/>
      <c r="C9354" s="31"/>
      <c r="D9354" s="75"/>
      <c r="E9354" s="33"/>
      <c r="F9354" s="33"/>
      <c r="G9354" s="33"/>
      <c r="H9354" s="31"/>
    </row>
    <row r="9355" spans="2:8" hidden="1">
      <c r="B9355" s="200"/>
      <c r="C9355" s="31"/>
      <c r="D9355" s="75"/>
      <c r="E9355" s="33"/>
      <c r="F9355" s="33"/>
      <c r="G9355" s="33"/>
      <c r="H9355" s="31"/>
    </row>
    <row r="9356" spans="2:8" hidden="1">
      <c r="B9356" s="200"/>
      <c r="C9356" s="31"/>
      <c r="D9356" s="75"/>
      <c r="E9356" s="33"/>
      <c r="F9356" s="33"/>
      <c r="G9356" s="33"/>
      <c r="H9356" s="31"/>
    </row>
    <row r="9357" spans="2:8" hidden="1">
      <c r="B9357" s="200"/>
      <c r="C9357" s="31"/>
      <c r="D9357" s="31"/>
      <c r="E9357" s="31"/>
      <c r="F9357" s="31"/>
      <c r="G9357" s="31"/>
      <c r="H9357" s="31"/>
    </row>
    <row r="9358" spans="2:8" hidden="1">
      <c r="B9358" s="33"/>
      <c r="C9358" s="31"/>
      <c r="D9358" s="31"/>
      <c r="E9358" s="31"/>
      <c r="F9358" s="31"/>
      <c r="G9358" s="31"/>
      <c r="H9358" s="31"/>
    </row>
    <row r="9359" spans="2:8" hidden="1">
      <c r="B9359" s="200"/>
      <c r="C9359" s="31"/>
      <c r="D9359" s="75"/>
      <c r="E9359" s="33"/>
      <c r="F9359" s="33"/>
      <c r="G9359" s="33"/>
      <c r="H9359" s="31"/>
    </row>
    <row r="9360" spans="2:8" hidden="1">
      <c r="B9360" s="200"/>
      <c r="C9360" s="31"/>
      <c r="D9360" s="75"/>
      <c r="E9360" s="33"/>
      <c r="F9360" s="33"/>
      <c r="G9360" s="33"/>
      <c r="H9360" s="31"/>
    </row>
    <row r="9361" spans="2:8" hidden="1">
      <c r="B9361" s="200"/>
      <c r="C9361" s="31"/>
      <c r="D9361" s="75"/>
      <c r="E9361" s="33"/>
      <c r="F9361" s="33"/>
      <c r="G9361" s="33"/>
      <c r="H9361" s="31"/>
    </row>
    <row r="9362" spans="2:8" hidden="1">
      <c r="B9362" s="200"/>
      <c r="C9362" s="31"/>
      <c r="D9362" s="75"/>
      <c r="E9362" s="33"/>
      <c r="F9362" s="33"/>
      <c r="G9362" s="33"/>
      <c r="H9362" s="31"/>
    </row>
    <row r="9363" spans="2:8" hidden="1">
      <c r="B9363" s="200"/>
      <c r="C9363" s="31"/>
      <c r="D9363" s="75"/>
      <c r="E9363" s="33"/>
      <c r="F9363" s="33"/>
      <c r="G9363" s="33"/>
      <c r="H9363" s="31"/>
    </row>
    <row r="9364" spans="2:8" hidden="1">
      <c r="B9364" s="200"/>
      <c r="C9364" s="31"/>
      <c r="D9364" s="75"/>
      <c r="E9364" s="33"/>
      <c r="F9364" s="33"/>
      <c r="G9364" s="33"/>
      <c r="H9364" s="31"/>
    </row>
    <row r="9365" spans="2:8" hidden="1">
      <c r="B9365" s="200"/>
      <c r="C9365" s="31"/>
      <c r="D9365" s="75"/>
      <c r="E9365" s="33"/>
      <c r="F9365" s="33"/>
      <c r="G9365" s="33"/>
      <c r="H9365" s="31"/>
    </row>
    <row r="9366" spans="2:8" hidden="1">
      <c r="B9366" s="200"/>
      <c r="C9366" s="31"/>
      <c r="D9366" s="75"/>
      <c r="E9366" s="33"/>
      <c r="F9366" s="33"/>
      <c r="G9366" s="33"/>
      <c r="H9366" s="31"/>
    </row>
    <row r="9367" spans="2:8" hidden="1">
      <c r="B9367" s="200"/>
      <c r="C9367" s="31"/>
      <c r="D9367" s="75"/>
      <c r="E9367" s="33"/>
      <c r="F9367" s="33"/>
      <c r="G9367" s="33"/>
      <c r="H9367" s="31"/>
    </row>
    <row r="9368" spans="2:8" hidden="1">
      <c r="B9368" s="200"/>
      <c r="C9368" s="31"/>
      <c r="D9368" s="75"/>
      <c r="E9368" s="31"/>
      <c r="F9368" s="33"/>
      <c r="G9368" s="33"/>
      <c r="H9368" s="31"/>
    </row>
    <row r="9369" spans="2:8" hidden="1">
      <c r="B9369" s="200"/>
      <c r="C9369" s="31"/>
      <c r="D9369" s="75"/>
      <c r="E9369" s="33"/>
      <c r="F9369" s="33"/>
      <c r="G9369" s="33"/>
      <c r="H9369" s="31"/>
    </row>
    <row r="9370" spans="2:8" hidden="1">
      <c r="B9370" s="200"/>
      <c r="C9370" s="31"/>
      <c r="D9370" s="75"/>
      <c r="E9370" s="33"/>
      <c r="F9370" s="33"/>
      <c r="G9370" s="33"/>
      <c r="H9370" s="31"/>
    </row>
    <row r="9371" spans="2:8" hidden="1">
      <c r="B9371" s="200"/>
      <c r="C9371" s="31"/>
      <c r="D9371" s="75"/>
      <c r="E9371" s="33"/>
      <c r="F9371" s="33"/>
      <c r="G9371" s="33"/>
      <c r="H9371" s="31"/>
    </row>
    <row r="9372" spans="2:8" hidden="1">
      <c r="B9372" s="200"/>
      <c r="C9372" s="31"/>
      <c r="D9372" s="75"/>
      <c r="E9372" s="33"/>
      <c r="F9372" s="33"/>
      <c r="G9372" s="33"/>
      <c r="H9372" s="31"/>
    </row>
    <row r="9373" spans="2:8" hidden="1">
      <c r="B9373" s="200"/>
      <c r="C9373" s="31"/>
      <c r="D9373" s="75"/>
      <c r="E9373" s="31"/>
      <c r="F9373" s="31"/>
      <c r="G9373" s="31"/>
      <c r="H9373" s="31"/>
    </row>
    <row r="9374" spans="2:8" hidden="1">
      <c r="B9374" s="33"/>
      <c r="C9374" s="31"/>
      <c r="D9374" s="75"/>
      <c r="E9374" s="31"/>
      <c r="F9374" s="31"/>
      <c r="G9374" s="31"/>
      <c r="H9374" s="31"/>
    </row>
    <row r="9375" spans="2:8" hidden="1">
      <c r="B9375" s="200"/>
      <c r="C9375" s="31"/>
      <c r="D9375" s="75"/>
      <c r="E9375" s="31"/>
      <c r="F9375" s="31"/>
      <c r="G9375" s="31"/>
      <c r="H9375" s="31"/>
    </row>
    <row r="9376" spans="2:8" hidden="1">
      <c r="B9376" s="200"/>
      <c r="C9376" s="31"/>
      <c r="D9376" s="75"/>
      <c r="E9376" s="771"/>
      <c r="F9376" s="771"/>
      <c r="G9376" s="31"/>
      <c r="H9376" s="31"/>
    </row>
    <row r="9377" spans="2:8" hidden="1">
      <c r="B9377" s="200"/>
      <c r="C9377" s="31"/>
      <c r="D9377" s="75"/>
      <c r="E9377" s="771"/>
      <c r="F9377" s="771"/>
      <c r="G9377" s="31"/>
      <c r="H9377" s="31"/>
    </row>
    <row r="9378" spans="2:8" hidden="1">
      <c r="B9378" s="200"/>
      <c r="C9378" s="31"/>
      <c r="D9378" s="75"/>
      <c r="E9378" s="771"/>
      <c r="F9378" s="771"/>
      <c r="G9378" s="31"/>
      <c r="H9378" s="31"/>
    </row>
    <row r="9379" spans="2:8" hidden="1">
      <c r="B9379" s="200"/>
      <c r="C9379" s="31"/>
      <c r="D9379" s="75"/>
      <c r="E9379" s="771"/>
      <c r="F9379" s="771"/>
      <c r="G9379" s="31"/>
      <c r="H9379" s="31"/>
    </row>
    <row r="9380" spans="2:8" hidden="1">
      <c r="B9380" s="200"/>
      <c r="C9380" s="31"/>
      <c r="D9380" s="75"/>
      <c r="E9380" s="771"/>
      <c r="F9380" s="771"/>
      <c r="G9380" s="31"/>
      <c r="H9380" s="31"/>
    </row>
    <row r="9381" spans="2:8" hidden="1">
      <c r="B9381" s="200"/>
      <c r="C9381" s="31"/>
      <c r="D9381" s="75"/>
      <c r="E9381" s="771"/>
      <c r="F9381" s="771"/>
      <c r="G9381" s="31"/>
      <c r="H9381" s="31"/>
    </row>
    <row r="9382" spans="2:8" hidden="1">
      <c r="B9382" s="200"/>
      <c r="C9382" s="31"/>
      <c r="D9382" s="75"/>
      <c r="E9382" s="771"/>
      <c r="F9382" s="771"/>
      <c r="G9382" s="31"/>
      <c r="H9382" s="31"/>
    </row>
    <row r="9383" spans="2:8" hidden="1">
      <c r="B9383" s="200"/>
      <c r="C9383" s="31"/>
      <c r="D9383" s="75"/>
      <c r="E9383" s="771"/>
      <c r="F9383" s="771"/>
      <c r="G9383" s="31"/>
      <c r="H9383" s="31"/>
    </row>
    <row r="9384" spans="2:8" hidden="1">
      <c r="B9384" s="200"/>
      <c r="C9384" s="31"/>
      <c r="D9384" s="75"/>
      <c r="E9384" s="771"/>
      <c r="F9384" s="772"/>
      <c r="G9384" s="33"/>
      <c r="H9384" s="31"/>
    </row>
    <row r="9385" spans="2:8" hidden="1">
      <c r="B9385" s="200"/>
      <c r="C9385" s="31"/>
      <c r="D9385" s="75"/>
      <c r="E9385" s="771"/>
      <c r="F9385" s="771"/>
      <c r="G9385" s="31"/>
      <c r="H9385" s="31"/>
    </row>
    <row r="9386" spans="2:8" hidden="1">
      <c r="B9386" s="33"/>
      <c r="C9386" s="31"/>
      <c r="D9386" s="31"/>
      <c r="E9386" s="31"/>
      <c r="F9386" s="31"/>
      <c r="G9386" s="31"/>
      <c r="H9386" s="31"/>
    </row>
    <row r="9387" spans="2:8" hidden="1">
      <c r="B9387" s="200"/>
      <c r="C9387" s="31"/>
      <c r="D9387" s="75"/>
      <c r="E9387" s="33"/>
      <c r="F9387" s="33"/>
      <c r="G9387" s="33"/>
      <c r="H9387" s="31"/>
    </row>
    <row r="9388" spans="2:8" hidden="1">
      <c r="B9388" s="200"/>
      <c r="C9388" s="31"/>
      <c r="D9388" s="75"/>
      <c r="E9388" s="33"/>
      <c r="F9388" s="33"/>
      <c r="G9388" s="33"/>
      <c r="H9388" s="31"/>
    </row>
    <row r="9389" spans="2:8" hidden="1">
      <c r="B9389" s="200"/>
      <c r="C9389" s="31"/>
      <c r="D9389" s="75"/>
      <c r="E9389" s="33"/>
      <c r="F9389" s="33"/>
      <c r="G9389" s="33"/>
      <c r="H9389" s="31"/>
    </row>
    <row r="9390" spans="2:8" hidden="1">
      <c r="B9390" s="33"/>
      <c r="C9390" s="200"/>
      <c r="D9390" s="75"/>
      <c r="E9390" s="31"/>
      <c r="F9390" s="31"/>
      <c r="G9390" s="31"/>
      <c r="H9390" s="31"/>
    </row>
    <row r="9391" spans="2:8" hidden="1">
      <c r="B9391" s="33"/>
      <c r="C9391" s="31"/>
      <c r="D9391" s="104"/>
      <c r="E9391" s="33"/>
      <c r="F9391" s="33"/>
      <c r="G9391" s="33"/>
      <c r="H9391" s="31"/>
    </row>
    <row r="9392" spans="2:8" hidden="1">
      <c r="B9392" s="33"/>
      <c r="C9392" s="31"/>
      <c r="D9392" s="31"/>
      <c r="E9392" s="31"/>
      <c r="F9392" s="31"/>
      <c r="G9392" s="31"/>
      <c r="H9392" s="31"/>
    </row>
    <row r="9393" spans="2:8" hidden="1">
      <c r="B9393" s="200"/>
      <c r="C9393" s="31"/>
      <c r="D9393" s="75"/>
      <c r="E9393" s="31"/>
      <c r="F9393" s="31"/>
      <c r="G9393" s="31"/>
      <c r="H9393" s="31"/>
    </row>
    <row r="9394" spans="2:8" hidden="1">
      <c r="B9394" s="200"/>
      <c r="C9394" s="31"/>
      <c r="D9394" s="75"/>
      <c r="E9394" s="33"/>
      <c r="F9394" s="33"/>
      <c r="G9394" s="33"/>
      <c r="H9394" s="31"/>
    </row>
    <row r="9395" spans="2:8" hidden="1">
      <c r="B9395" s="200"/>
      <c r="C9395" s="31"/>
      <c r="D9395" s="75"/>
      <c r="E9395" s="33"/>
      <c r="F9395" s="33"/>
      <c r="G9395" s="33"/>
      <c r="H9395" s="31"/>
    </row>
    <row r="9396" spans="2:8" hidden="1">
      <c r="B9396" s="200"/>
      <c r="C9396" s="31"/>
      <c r="D9396" s="75"/>
      <c r="E9396" s="33"/>
      <c r="F9396" s="33"/>
      <c r="G9396" s="33"/>
      <c r="H9396" s="31"/>
    </row>
    <row r="9397" spans="2:8" hidden="1">
      <c r="B9397" s="200"/>
      <c r="C9397" s="31"/>
      <c r="D9397" s="75"/>
      <c r="E9397" s="31"/>
      <c r="F9397" s="31"/>
      <c r="G9397" s="31"/>
      <c r="H9397" s="31"/>
    </row>
    <row r="9398" spans="2:8" hidden="1">
      <c r="B9398" s="200"/>
      <c r="C9398" s="31"/>
      <c r="D9398" s="75"/>
      <c r="E9398" s="31"/>
      <c r="F9398" s="31"/>
      <c r="G9398" s="31"/>
      <c r="H9398" s="31"/>
    </row>
    <row r="9399" spans="2:8" hidden="1">
      <c r="B9399" s="200"/>
      <c r="C9399" s="31"/>
      <c r="D9399" s="75"/>
      <c r="E9399" s="33"/>
      <c r="F9399" s="33"/>
      <c r="G9399" s="33"/>
      <c r="H9399" s="31"/>
    </row>
    <row r="9400" spans="2:8" hidden="1">
      <c r="B9400" s="200"/>
      <c r="C9400" s="31"/>
      <c r="D9400" s="75"/>
      <c r="E9400" s="33"/>
      <c r="F9400" s="33"/>
      <c r="G9400" s="33"/>
      <c r="H9400" s="31"/>
    </row>
    <row r="9401" spans="2:8" hidden="1">
      <c r="B9401" s="200"/>
      <c r="C9401" s="31"/>
      <c r="D9401" s="75"/>
      <c r="E9401" s="33"/>
      <c r="F9401" s="33"/>
      <c r="G9401" s="33"/>
      <c r="H9401" s="31"/>
    </row>
    <row r="9402" spans="2:8" hidden="1">
      <c r="B9402" s="200"/>
      <c r="C9402" s="31"/>
      <c r="D9402" s="75"/>
      <c r="E9402" s="33"/>
      <c r="F9402" s="33"/>
      <c r="G9402" s="33"/>
      <c r="H9402" s="31"/>
    </row>
    <row r="9403" spans="2:8" hidden="1">
      <c r="B9403" s="200"/>
      <c r="C9403" s="31"/>
      <c r="D9403" s="75"/>
      <c r="E9403" s="33"/>
      <c r="F9403" s="33"/>
      <c r="G9403" s="33"/>
      <c r="H9403" s="31"/>
    </row>
    <row r="9404" spans="2:8" hidden="1">
      <c r="B9404" s="200"/>
      <c r="C9404" s="31"/>
      <c r="D9404" s="75"/>
      <c r="E9404" s="33"/>
      <c r="F9404" s="33"/>
      <c r="G9404" s="33"/>
      <c r="H9404" s="31"/>
    </row>
    <row r="9405" spans="2:8" hidden="1">
      <c r="B9405" s="33"/>
      <c r="C9405" s="31"/>
      <c r="D9405" s="75"/>
      <c r="E9405" s="31"/>
      <c r="F9405" s="31"/>
      <c r="G9405" s="31"/>
      <c r="H9405" s="31"/>
    </row>
    <row r="9406" spans="2:8" hidden="1">
      <c r="B9406" s="33"/>
      <c r="C9406" s="31"/>
      <c r="D9406" s="31"/>
      <c r="E9406" s="31"/>
      <c r="F9406" s="31"/>
      <c r="G9406" s="31"/>
      <c r="H9406" s="31"/>
    </row>
    <row r="9407" spans="2:8" hidden="1">
      <c r="B9407" s="405"/>
      <c r="C9407" s="31"/>
      <c r="D9407" s="31"/>
      <c r="E9407" s="31"/>
      <c r="F9407" s="31"/>
      <c r="G9407" s="31"/>
      <c r="H9407" s="31"/>
    </row>
    <row r="9408" spans="2:8" hidden="1">
      <c r="B9408" s="405"/>
      <c r="C9408" s="31"/>
      <c r="D9408" s="31"/>
      <c r="E9408" s="31"/>
      <c r="F9408" s="691"/>
      <c r="G9408" s="75"/>
      <c r="H9408" s="31"/>
    </row>
    <row r="9409" spans="2:8" hidden="1">
      <c r="B9409" s="405"/>
      <c r="C9409" s="31"/>
      <c r="D9409" s="31"/>
      <c r="E9409" s="31"/>
      <c r="F9409" s="691"/>
      <c r="G9409" s="75"/>
      <c r="H9409" s="31"/>
    </row>
    <row r="9410" spans="2:8" hidden="1">
      <c r="B9410" s="405"/>
      <c r="C9410" s="31"/>
      <c r="D9410" s="31"/>
      <c r="E9410" s="31"/>
      <c r="F9410" s="691"/>
      <c r="G9410" s="75"/>
      <c r="H9410" s="31"/>
    </row>
    <row r="9411" spans="2:8" hidden="1">
      <c r="B9411" s="405"/>
      <c r="C9411" s="31"/>
      <c r="D9411" s="31"/>
      <c r="E9411" s="31"/>
      <c r="F9411" s="691"/>
      <c r="G9411" s="75"/>
      <c r="H9411" s="31"/>
    </row>
    <row r="9412" spans="2:8" hidden="1">
      <c r="B9412" s="405"/>
      <c r="C9412" s="31"/>
      <c r="D9412" s="31"/>
      <c r="E9412" s="31"/>
      <c r="F9412" s="691"/>
      <c r="G9412" s="75"/>
      <c r="H9412" s="31"/>
    </row>
    <row r="9413" spans="2:8" hidden="1">
      <c r="B9413" s="405"/>
      <c r="C9413" s="31"/>
      <c r="D9413" s="31"/>
      <c r="E9413" s="31"/>
      <c r="F9413" s="691"/>
      <c r="G9413" s="75"/>
      <c r="H9413" s="31"/>
    </row>
    <row r="9414" spans="2:8" hidden="1">
      <c r="B9414" s="405"/>
      <c r="C9414" s="31"/>
      <c r="D9414" s="31"/>
      <c r="E9414" s="31"/>
      <c r="F9414" s="691"/>
      <c r="G9414" s="75"/>
      <c r="H9414" s="31"/>
    </row>
    <row r="9415" spans="2:8" hidden="1">
      <c r="B9415" s="405"/>
      <c r="C9415" s="31"/>
      <c r="D9415" s="31"/>
      <c r="E9415" s="31"/>
      <c r="F9415" s="691"/>
      <c r="G9415" s="75"/>
      <c r="H9415" s="31"/>
    </row>
    <row r="9416" spans="2:8" hidden="1">
      <c r="B9416" s="405"/>
      <c r="C9416" s="31"/>
      <c r="D9416" s="31"/>
      <c r="E9416" s="31"/>
      <c r="F9416" s="691"/>
      <c r="G9416" s="75"/>
      <c r="H9416" s="31"/>
    </row>
    <row r="9417" spans="2:8" hidden="1">
      <c r="B9417" s="405"/>
      <c r="C9417" s="31"/>
      <c r="D9417" s="31"/>
      <c r="E9417" s="31"/>
      <c r="F9417" s="691"/>
      <c r="G9417" s="75"/>
      <c r="H9417" s="31"/>
    </row>
    <row r="9418" spans="2:8" hidden="1">
      <c r="B9418" s="405"/>
      <c r="C9418" s="31"/>
      <c r="D9418" s="31"/>
      <c r="E9418" s="31"/>
      <c r="F9418" s="691"/>
      <c r="G9418" s="75"/>
      <c r="H9418" s="31"/>
    </row>
    <row r="9419" spans="2:8" hidden="1">
      <c r="B9419" s="405"/>
      <c r="C9419" s="31"/>
      <c r="D9419" s="31"/>
      <c r="E9419" s="31"/>
      <c r="F9419" s="691"/>
      <c r="G9419" s="75"/>
      <c r="H9419" s="31"/>
    </row>
    <row r="9420" spans="2:8" hidden="1">
      <c r="B9420" s="405"/>
      <c r="C9420" s="31"/>
      <c r="D9420" s="31"/>
      <c r="E9420" s="31"/>
      <c r="F9420" s="691"/>
      <c r="G9420" s="75"/>
      <c r="H9420" s="31"/>
    </row>
    <row r="9421" spans="2:8" hidden="1">
      <c r="B9421" s="405"/>
      <c r="C9421" s="31"/>
      <c r="D9421" s="31"/>
      <c r="E9421" s="31"/>
      <c r="F9421" s="691"/>
      <c r="G9421" s="75"/>
      <c r="H9421" s="31"/>
    </row>
    <row r="9422" spans="2:8" hidden="1">
      <c r="B9422" s="405"/>
      <c r="C9422" s="31"/>
      <c r="D9422" s="31"/>
      <c r="E9422" s="31"/>
      <c r="F9422" s="691"/>
      <c r="G9422" s="75"/>
      <c r="H9422" s="31"/>
    </row>
    <row r="9423" spans="2:8" hidden="1">
      <c r="B9423" s="405"/>
      <c r="C9423" s="31"/>
      <c r="D9423" s="31"/>
      <c r="E9423" s="31"/>
      <c r="F9423" s="691"/>
      <c r="G9423" s="75"/>
      <c r="H9423" s="31"/>
    </row>
    <row r="9424" spans="2:8" hidden="1">
      <c r="B9424" s="405"/>
      <c r="C9424" s="31"/>
      <c r="D9424" s="31"/>
      <c r="E9424" s="31"/>
      <c r="F9424" s="691"/>
      <c r="G9424" s="75"/>
      <c r="H9424" s="31"/>
    </row>
    <row r="9425" spans="2:8" hidden="1">
      <c r="B9425" s="405"/>
      <c r="C9425" s="31"/>
      <c r="D9425" s="31"/>
      <c r="E9425" s="31"/>
      <c r="F9425" s="691"/>
      <c r="G9425" s="31"/>
      <c r="H9425" s="31"/>
    </row>
    <row r="9426" spans="2:8" hidden="1">
      <c r="B9426" s="405"/>
      <c r="C9426" s="31"/>
      <c r="D9426" s="31"/>
      <c r="E9426" s="31"/>
      <c r="F9426" s="691"/>
      <c r="G9426" s="31"/>
      <c r="H9426" s="31"/>
    </row>
    <row r="9427" spans="2:8" hidden="1">
      <c r="B9427" s="405"/>
      <c r="C9427" s="31"/>
      <c r="D9427" s="31"/>
      <c r="E9427" s="31"/>
      <c r="F9427" s="691"/>
      <c r="G9427" s="31"/>
      <c r="H9427" s="31"/>
    </row>
    <row r="9428" spans="2:8" hidden="1">
      <c r="B9428" s="405"/>
      <c r="C9428" s="31"/>
      <c r="D9428" s="31"/>
      <c r="E9428" s="31"/>
      <c r="F9428" s="691"/>
      <c r="G9428" s="31"/>
      <c r="H9428" s="31"/>
    </row>
    <row r="9429" spans="2:8" hidden="1">
      <c r="B9429" s="405"/>
      <c r="C9429" s="31"/>
      <c r="D9429" s="31"/>
      <c r="E9429" s="31"/>
      <c r="F9429" s="691"/>
      <c r="G9429" s="75"/>
      <c r="H9429" s="31"/>
    </row>
    <row r="9430" spans="2:8" hidden="1">
      <c r="B9430" s="405"/>
      <c r="C9430" s="31"/>
      <c r="D9430" s="31"/>
      <c r="E9430" s="31"/>
      <c r="F9430" s="691"/>
      <c r="G9430" s="75"/>
      <c r="H9430" s="31"/>
    </row>
    <row r="9431" spans="2:8" hidden="1">
      <c r="B9431" s="33"/>
      <c r="C9431" s="31"/>
      <c r="D9431" s="31"/>
      <c r="E9431" s="31"/>
      <c r="F9431" s="691"/>
      <c r="G9431" s="75"/>
      <c r="H9431" s="31"/>
    </row>
    <row r="9432" spans="2:8" hidden="1">
      <c r="B9432" s="33"/>
      <c r="C9432" s="31"/>
      <c r="D9432" s="31"/>
      <c r="E9432" s="31"/>
      <c r="F9432" s="691"/>
      <c r="G9432" s="75"/>
      <c r="H9432" s="31"/>
    </row>
    <row r="9433" spans="2:8" hidden="1">
      <c r="B9433" s="33"/>
      <c r="C9433" s="31"/>
      <c r="D9433" s="31"/>
      <c r="E9433" s="31"/>
      <c r="F9433" s="691"/>
      <c r="G9433" s="31"/>
      <c r="H9433" s="31"/>
    </row>
    <row r="9434" spans="2:8" hidden="1">
      <c r="B9434" s="33"/>
      <c r="C9434" s="31"/>
      <c r="D9434" s="31"/>
      <c r="E9434" s="31"/>
      <c r="F9434" s="31"/>
      <c r="G9434" s="31"/>
      <c r="H9434" s="31"/>
    </row>
    <row r="9435" spans="2:8" hidden="1">
      <c r="B9435" s="33"/>
      <c r="C9435" s="31"/>
      <c r="D9435" s="31"/>
      <c r="E9435" s="31"/>
      <c r="F9435" s="31"/>
      <c r="G9435" s="31"/>
      <c r="H9435" s="31"/>
    </row>
    <row r="9436" spans="2:8" hidden="1">
      <c r="B9436" s="33"/>
      <c r="C9436" s="31"/>
      <c r="D9436" s="31"/>
      <c r="E9436" s="31"/>
      <c r="F9436" s="31"/>
      <c r="G9436" s="31"/>
      <c r="H9436" s="31"/>
    </row>
    <row r="9437" spans="2:8" hidden="1">
      <c r="B9437" s="33"/>
      <c r="C9437" s="31"/>
      <c r="D9437" s="31"/>
      <c r="E9437" s="31"/>
      <c r="F9437" s="31"/>
      <c r="G9437" s="31"/>
      <c r="H9437" s="31"/>
    </row>
    <row r="9438" spans="2:8" hidden="1">
      <c r="B9438" s="33"/>
      <c r="C9438" s="31"/>
      <c r="D9438" s="31"/>
      <c r="E9438" s="31"/>
      <c r="F9438" s="31"/>
      <c r="G9438" s="31"/>
      <c r="H9438" s="31"/>
    </row>
    <row r="9439" spans="2:8" hidden="1">
      <c r="B9439" s="33"/>
      <c r="C9439" s="31"/>
      <c r="D9439" s="31"/>
      <c r="E9439" s="31"/>
      <c r="F9439" s="31"/>
      <c r="G9439" s="31"/>
      <c r="H9439" s="31"/>
    </row>
    <row r="9440" spans="2:8" hidden="1">
      <c r="B9440" s="33"/>
      <c r="C9440" s="31"/>
      <c r="D9440" s="31"/>
      <c r="E9440" s="31"/>
      <c r="F9440" s="31"/>
      <c r="G9440" s="31"/>
      <c r="H9440" s="31"/>
    </row>
    <row r="9441" spans="2:8" hidden="1">
      <c r="B9441" s="33"/>
      <c r="C9441" s="31"/>
      <c r="D9441" s="31"/>
      <c r="E9441" s="31"/>
      <c r="F9441" s="31"/>
      <c r="G9441" s="31"/>
      <c r="H9441" s="31"/>
    </row>
    <row r="9442" spans="2:8" hidden="1">
      <c r="B9442" s="33"/>
      <c r="C9442" s="31"/>
      <c r="D9442" s="31"/>
      <c r="E9442" s="31"/>
      <c r="F9442" s="31"/>
      <c r="G9442" s="31"/>
      <c r="H9442" s="31"/>
    </row>
    <row r="9443" spans="2:8" hidden="1">
      <c r="B9443" s="33"/>
      <c r="C9443" s="31"/>
      <c r="D9443" s="33"/>
      <c r="E9443" s="31"/>
      <c r="F9443" s="33"/>
      <c r="G9443" s="33"/>
      <c r="H9443" s="31"/>
    </row>
    <row r="9444" spans="2:8" hidden="1">
      <c r="B9444" s="33"/>
      <c r="C9444" s="31"/>
      <c r="D9444" s="33"/>
      <c r="E9444" s="33"/>
      <c r="F9444" s="33"/>
      <c r="G9444" s="33"/>
      <c r="H9444" s="31"/>
    </row>
    <row r="9445" spans="2:8" hidden="1">
      <c r="B9445" s="33"/>
      <c r="C9445" s="31"/>
      <c r="D9445" s="31"/>
      <c r="E9445" s="31"/>
      <c r="F9445" s="31"/>
      <c r="G9445" s="31"/>
      <c r="H9445" s="31"/>
    </row>
    <row r="9446" spans="2:8" hidden="1">
      <c r="B9446" s="200"/>
      <c r="C9446" s="31"/>
      <c r="D9446" s="294"/>
      <c r="E9446" s="771"/>
      <c r="F9446" s="200"/>
      <c r="G9446" s="31"/>
      <c r="H9446" s="31"/>
    </row>
    <row r="9447" spans="2:8" hidden="1">
      <c r="B9447" s="200"/>
      <c r="C9447" s="31"/>
      <c r="D9447" s="294"/>
      <c r="E9447" s="771"/>
      <c r="F9447" s="33"/>
      <c r="G9447" s="33"/>
      <c r="H9447" s="31"/>
    </row>
    <row r="9448" spans="2:8" hidden="1">
      <c r="B9448" s="200"/>
      <c r="C9448" s="31"/>
      <c r="D9448" s="294"/>
      <c r="E9448" s="771"/>
      <c r="F9448" s="31"/>
      <c r="G9448" s="31"/>
      <c r="H9448" s="31"/>
    </row>
    <row r="9449" spans="2:8" hidden="1">
      <c r="B9449" s="200"/>
      <c r="C9449" s="31"/>
      <c r="D9449" s="294"/>
      <c r="E9449" s="771"/>
      <c r="F9449" s="31"/>
      <c r="G9449" s="31"/>
      <c r="H9449" s="31"/>
    </row>
    <row r="9450" spans="2:8" hidden="1">
      <c r="B9450" s="33"/>
      <c r="C9450" s="31"/>
      <c r="D9450" s="31"/>
      <c r="E9450" s="31"/>
      <c r="F9450" s="31"/>
      <c r="G9450" s="31"/>
      <c r="H9450" s="31"/>
    </row>
    <row r="9451" spans="2:8" hidden="1">
      <c r="B9451" s="200"/>
      <c r="C9451" s="31"/>
      <c r="D9451" s="294"/>
      <c r="E9451" s="771"/>
      <c r="F9451" s="200"/>
      <c r="G9451" s="31"/>
      <c r="H9451" s="31"/>
    </row>
    <row r="9452" spans="2:8" hidden="1">
      <c r="B9452" s="200"/>
      <c r="C9452" s="31"/>
      <c r="D9452" s="294"/>
      <c r="E9452" s="771"/>
      <c r="F9452" s="31"/>
      <c r="G9452" s="31"/>
      <c r="H9452" s="31"/>
    </row>
    <row r="9453" spans="2:8" hidden="1">
      <c r="B9453" s="200"/>
      <c r="C9453" s="31"/>
      <c r="D9453" s="294"/>
      <c r="E9453" s="771"/>
      <c r="F9453" s="31"/>
      <c r="G9453" s="31"/>
      <c r="H9453" s="31"/>
    </row>
    <row r="9454" spans="2:8" hidden="1">
      <c r="B9454" s="200"/>
      <c r="C9454" s="31"/>
      <c r="D9454" s="294"/>
      <c r="E9454" s="771"/>
      <c r="F9454" s="31"/>
      <c r="G9454" s="31"/>
      <c r="H9454" s="31"/>
    </row>
    <row r="9455" spans="2:8" hidden="1">
      <c r="B9455" s="200"/>
      <c r="C9455" s="31"/>
      <c r="D9455" s="294"/>
      <c r="E9455" s="771"/>
      <c r="F9455" s="31"/>
      <c r="G9455" s="31"/>
      <c r="H9455" s="31"/>
    </row>
    <row r="9456" spans="2:8" hidden="1">
      <c r="B9456" s="200"/>
      <c r="C9456" s="31"/>
      <c r="D9456" s="294"/>
      <c r="E9456" s="771"/>
      <c r="F9456" s="771"/>
      <c r="G9456" s="31"/>
      <c r="H9456" s="31"/>
    </row>
    <row r="9457" spans="2:8" hidden="1">
      <c r="B9457" s="33"/>
      <c r="C9457" s="31"/>
      <c r="D9457" s="31"/>
      <c r="E9457" s="31"/>
      <c r="F9457" s="31"/>
      <c r="G9457" s="31"/>
      <c r="H9457" s="31"/>
    </row>
    <row r="9458" spans="2:8" hidden="1">
      <c r="B9458" s="200"/>
      <c r="C9458" s="31"/>
      <c r="D9458" s="294"/>
      <c r="E9458" s="771"/>
      <c r="F9458" s="773"/>
      <c r="G9458" s="31"/>
      <c r="H9458" s="31"/>
    </row>
    <row r="9459" spans="2:8" hidden="1">
      <c r="B9459" s="200"/>
      <c r="C9459" s="31"/>
      <c r="D9459" s="294"/>
      <c r="E9459" s="771"/>
      <c r="F9459" s="771"/>
      <c r="G9459" s="31"/>
      <c r="H9459" s="31"/>
    </row>
    <row r="9460" spans="2:8" hidden="1">
      <c r="B9460" s="200"/>
      <c r="C9460" s="31"/>
      <c r="D9460" s="294"/>
      <c r="E9460" s="771"/>
      <c r="F9460" s="771"/>
      <c r="G9460" s="31"/>
      <c r="H9460" s="31"/>
    </row>
    <row r="9461" spans="2:8" hidden="1">
      <c r="B9461" s="200"/>
      <c r="C9461" s="31"/>
      <c r="D9461" s="294"/>
      <c r="E9461" s="771"/>
      <c r="F9461" s="771"/>
      <c r="G9461" s="31"/>
      <c r="H9461" s="31"/>
    </row>
    <row r="9462" spans="2:8" hidden="1">
      <c r="B9462" s="33"/>
      <c r="C9462" s="31"/>
      <c r="D9462" s="31"/>
      <c r="E9462" s="31"/>
      <c r="F9462" s="31"/>
      <c r="G9462" s="31"/>
      <c r="H9462" s="31"/>
    </row>
    <row r="9463" spans="2:8" hidden="1">
      <c r="B9463" s="200"/>
      <c r="C9463" s="31"/>
      <c r="D9463" s="294"/>
      <c r="E9463" s="771"/>
      <c r="F9463" s="771"/>
      <c r="G9463" s="31"/>
      <c r="H9463" s="31"/>
    </row>
    <row r="9464" spans="2:8" hidden="1">
      <c r="B9464" s="200"/>
      <c r="C9464" s="31"/>
      <c r="D9464" s="294"/>
      <c r="E9464" s="771"/>
      <c r="F9464" s="771"/>
      <c r="G9464" s="31"/>
      <c r="H9464" s="31"/>
    </row>
    <row r="9465" spans="2:8" hidden="1">
      <c r="B9465" s="200"/>
      <c r="C9465" s="31"/>
      <c r="D9465" s="294"/>
      <c r="E9465" s="771"/>
      <c r="F9465" s="771"/>
      <c r="G9465" s="31"/>
      <c r="H9465" s="31"/>
    </row>
    <row r="9466" spans="2:8" hidden="1">
      <c r="B9466" s="33"/>
      <c r="C9466" s="31"/>
      <c r="D9466" s="31"/>
      <c r="E9466" s="31"/>
      <c r="F9466" s="31"/>
      <c r="G9466" s="31"/>
      <c r="H9466" s="31"/>
    </row>
    <row r="9467" spans="2:8" hidden="1">
      <c r="B9467" s="200"/>
      <c r="C9467" s="31"/>
      <c r="D9467" s="294"/>
      <c r="E9467" s="771"/>
      <c r="F9467" s="773"/>
      <c r="G9467" s="31"/>
      <c r="H9467" s="31"/>
    </row>
    <row r="9468" spans="2:8" hidden="1">
      <c r="B9468" s="200"/>
      <c r="C9468" s="31"/>
      <c r="D9468" s="294"/>
      <c r="E9468" s="771"/>
      <c r="F9468" s="771"/>
      <c r="G9468" s="31"/>
      <c r="H9468" s="31"/>
    </row>
    <row r="9469" spans="2:8" hidden="1">
      <c r="B9469" s="200"/>
      <c r="C9469" s="31"/>
      <c r="D9469" s="294"/>
      <c r="E9469" s="771"/>
      <c r="F9469" s="771"/>
      <c r="G9469" s="31"/>
      <c r="H9469" s="31"/>
    </row>
    <row r="9470" spans="2:8" hidden="1">
      <c r="B9470" s="200"/>
      <c r="C9470" s="31"/>
      <c r="D9470" s="294"/>
      <c r="E9470" s="771"/>
      <c r="F9470" s="771"/>
      <c r="G9470" s="31"/>
      <c r="H9470" s="31"/>
    </row>
    <row r="9471" spans="2:8" hidden="1">
      <c r="B9471" s="200"/>
      <c r="C9471" s="31"/>
      <c r="D9471" s="294"/>
      <c r="E9471" s="771"/>
      <c r="F9471" s="771"/>
      <c r="G9471" s="31"/>
      <c r="H9471" s="31"/>
    </row>
    <row r="9472" spans="2:8" hidden="1">
      <c r="B9472" s="200"/>
      <c r="C9472" s="31"/>
      <c r="D9472" s="294"/>
      <c r="E9472" s="772"/>
      <c r="F9472" s="772"/>
      <c r="G9472" s="31"/>
      <c r="H9472" s="31"/>
    </row>
    <row r="9473" spans="2:8" hidden="1">
      <c r="B9473" s="33"/>
      <c r="C9473" s="200"/>
      <c r="D9473" s="294"/>
      <c r="E9473" s="771"/>
      <c r="F9473" s="771"/>
      <c r="G9473" s="31"/>
      <c r="H9473" s="31"/>
    </row>
    <row r="9474" spans="2:8" hidden="1">
      <c r="B9474" s="33"/>
      <c r="C9474" s="31"/>
      <c r="D9474" s="104"/>
      <c r="E9474" s="772"/>
      <c r="F9474" s="772"/>
      <c r="G9474" s="33"/>
      <c r="H9474" s="31"/>
    </row>
    <row r="9475" spans="2:8" hidden="1">
      <c r="B9475" s="33"/>
      <c r="C9475" s="31"/>
      <c r="D9475" s="31"/>
      <c r="E9475" s="31"/>
      <c r="F9475" s="31"/>
      <c r="G9475" s="31"/>
      <c r="H9475" s="31"/>
    </row>
    <row r="9476" spans="2:8" hidden="1">
      <c r="B9476" s="33"/>
      <c r="C9476" s="31"/>
      <c r="D9476" s="31"/>
      <c r="E9476" s="31"/>
      <c r="F9476" s="31"/>
      <c r="G9476" s="31"/>
      <c r="H9476" s="31"/>
    </row>
    <row r="9477" spans="2:8" hidden="1">
      <c r="B9477" s="405"/>
      <c r="C9477" s="31"/>
      <c r="D9477" s="31"/>
      <c r="E9477" s="31"/>
      <c r="F9477" s="31"/>
      <c r="G9477" s="31"/>
      <c r="H9477" s="31"/>
    </row>
    <row r="9478" spans="2:8" hidden="1">
      <c r="B9478" s="405"/>
      <c r="C9478" s="31"/>
      <c r="D9478" s="31"/>
      <c r="E9478" s="31"/>
      <c r="F9478" s="691"/>
      <c r="G9478" s="75"/>
      <c r="H9478" s="31"/>
    </row>
    <row r="9479" spans="2:8" hidden="1">
      <c r="B9479" s="405"/>
      <c r="C9479" s="31"/>
      <c r="D9479" s="31"/>
      <c r="E9479" s="31"/>
      <c r="F9479" s="691"/>
      <c r="G9479" s="75"/>
      <c r="H9479" s="31"/>
    </row>
    <row r="9480" spans="2:8" hidden="1">
      <c r="B9480" s="405"/>
      <c r="C9480" s="31"/>
      <c r="D9480" s="31"/>
      <c r="E9480" s="31"/>
      <c r="F9480" s="691"/>
      <c r="G9480" s="75"/>
      <c r="H9480" s="31"/>
    </row>
    <row r="9481" spans="2:8" hidden="1">
      <c r="B9481" s="405"/>
      <c r="C9481" s="31"/>
      <c r="D9481" s="31"/>
      <c r="E9481" s="31"/>
      <c r="F9481" s="691"/>
      <c r="G9481" s="75"/>
      <c r="H9481" s="31"/>
    </row>
    <row r="9482" spans="2:8" hidden="1">
      <c r="B9482" s="405"/>
      <c r="C9482" s="31"/>
      <c r="D9482" s="31"/>
      <c r="E9482" s="31"/>
      <c r="F9482" s="691"/>
      <c r="G9482" s="75"/>
      <c r="H9482" s="31"/>
    </row>
    <row r="9483" spans="2:8" hidden="1">
      <c r="B9483" s="33"/>
      <c r="C9483" s="31"/>
      <c r="D9483" s="31"/>
      <c r="E9483" s="31"/>
      <c r="F9483" s="691"/>
      <c r="G9483" s="75"/>
      <c r="H9483" s="31"/>
    </row>
    <row r="9484" spans="2:8" hidden="1">
      <c r="B9484" s="405"/>
      <c r="C9484" s="31"/>
      <c r="D9484" s="31"/>
      <c r="E9484" s="31"/>
      <c r="F9484" s="691"/>
      <c r="G9484" s="75"/>
      <c r="H9484" s="31"/>
    </row>
    <row r="9485" spans="2:8" hidden="1">
      <c r="B9485" s="33"/>
      <c r="C9485" s="31"/>
      <c r="D9485" s="31"/>
      <c r="E9485" s="31"/>
      <c r="F9485" s="691"/>
      <c r="G9485" s="75"/>
      <c r="H9485" s="31"/>
    </row>
    <row r="9486" spans="2:8" hidden="1">
      <c r="B9486" s="33"/>
      <c r="C9486" s="31"/>
      <c r="D9486" s="31"/>
      <c r="E9486" s="31"/>
      <c r="F9486" s="691"/>
      <c r="G9486" s="75"/>
      <c r="H9486" s="31"/>
    </row>
    <row r="9487" spans="2:8" hidden="1">
      <c r="B9487" s="33"/>
      <c r="C9487" s="31"/>
      <c r="D9487" s="31"/>
      <c r="E9487" s="31"/>
      <c r="F9487" s="691"/>
      <c r="G9487" s="31"/>
      <c r="H9487" s="31"/>
    </row>
    <row r="9488" spans="2:8" hidden="1">
      <c r="B9488" s="33"/>
      <c r="C9488" s="31"/>
      <c r="D9488" s="31"/>
      <c r="E9488" s="31"/>
      <c r="F9488" s="691"/>
      <c r="G9488" s="31"/>
      <c r="H9488" s="31"/>
    </row>
    <row r="9489" spans="2:8" hidden="1">
      <c r="B9489" s="33"/>
      <c r="C9489" s="31"/>
      <c r="D9489" s="31"/>
      <c r="E9489" s="31"/>
      <c r="F9489" s="31"/>
      <c r="G9489" s="31"/>
      <c r="H9489" s="31"/>
    </row>
    <row r="9490" spans="2:8" hidden="1">
      <c r="B9490" s="33"/>
      <c r="C9490" s="31"/>
      <c r="D9490" s="31"/>
      <c r="E9490" s="31"/>
      <c r="F9490" s="31"/>
      <c r="G9490" s="31"/>
      <c r="H9490" s="31"/>
    </row>
    <row r="9491" spans="2:8" hidden="1">
      <c r="B9491" s="33"/>
      <c r="C9491" s="31"/>
      <c r="D9491" s="31"/>
      <c r="E9491" s="31"/>
      <c r="F9491" s="31"/>
      <c r="G9491" s="31"/>
      <c r="H9491" s="31"/>
    </row>
    <row r="9492" spans="2:8" hidden="1">
      <c r="B9492" s="33"/>
      <c r="C9492" s="31"/>
      <c r="D9492" s="31"/>
      <c r="E9492" s="31"/>
      <c r="F9492" s="31"/>
      <c r="G9492" s="31"/>
      <c r="H9492" s="31"/>
    </row>
    <row r="9493" spans="2:8" hidden="1">
      <c r="B9493" s="33"/>
      <c r="C9493" s="31"/>
      <c r="D9493" s="31"/>
      <c r="E9493" s="31"/>
      <c r="F9493" s="31"/>
      <c r="G9493" s="31"/>
      <c r="H9493" s="31"/>
    </row>
    <row r="9494" spans="2:8" hidden="1">
      <c r="B9494" s="33"/>
      <c r="C9494" s="31"/>
      <c r="D9494" s="31"/>
      <c r="E9494" s="31"/>
      <c r="F9494" s="31"/>
      <c r="G9494" s="31"/>
      <c r="H9494" s="31"/>
    </row>
    <row r="9495" spans="2:8" hidden="1">
      <c r="B9495" s="33"/>
      <c r="C9495" s="31"/>
      <c r="D9495" s="31"/>
      <c r="E9495" s="31"/>
      <c r="F9495" s="31"/>
      <c r="G9495" s="31"/>
      <c r="H9495" s="31"/>
    </row>
    <row r="9496" spans="2:8" hidden="1">
      <c r="B9496" s="33"/>
      <c r="C9496" s="31"/>
      <c r="D9496" s="31"/>
      <c r="E9496" s="31"/>
      <c r="F9496" s="31"/>
      <c r="G9496" s="31"/>
      <c r="H9496" s="31"/>
    </row>
    <row r="9497" spans="2:8" hidden="1">
      <c r="B9497" s="33"/>
      <c r="C9497" s="31"/>
      <c r="D9497" s="31"/>
      <c r="E9497" s="31"/>
      <c r="F9497" s="31"/>
      <c r="G9497" s="31"/>
      <c r="H9497" s="31"/>
    </row>
    <row r="9498" spans="2:8" hidden="1">
      <c r="B9498" s="33"/>
      <c r="C9498" s="31"/>
      <c r="D9498" s="33"/>
      <c r="E9498" s="31"/>
      <c r="F9498" s="33"/>
      <c r="G9498" s="33"/>
      <c r="H9498" s="31"/>
    </row>
    <row r="9499" spans="2:8" hidden="1">
      <c r="B9499" s="33"/>
      <c r="C9499" s="31"/>
      <c r="D9499" s="33"/>
      <c r="E9499" s="33"/>
      <c r="F9499" s="33"/>
      <c r="G9499" s="33"/>
      <c r="H9499" s="31"/>
    </row>
    <row r="9500" spans="2:8" hidden="1">
      <c r="B9500" s="200"/>
      <c r="C9500" s="31"/>
      <c r="D9500" s="75"/>
      <c r="E9500" s="771"/>
      <c r="F9500" s="33"/>
      <c r="G9500" s="33"/>
      <c r="H9500" s="31"/>
    </row>
    <row r="9501" spans="2:8" hidden="1">
      <c r="B9501" s="200"/>
      <c r="C9501" s="31"/>
      <c r="D9501" s="75"/>
      <c r="E9501" s="771"/>
      <c r="F9501" s="31"/>
      <c r="G9501" s="31"/>
      <c r="H9501" s="31"/>
    </row>
    <row r="9502" spans="2:8" hidden="1">
      <c r="B9502" s="200"/>
      <c r="C9502" s="31"/>
      <c r="D9502" s="75"/>
      <c r="E9502" s="771"/>
      <c r="F9502" s="31"/>
      <c r="G9502" s="31"/>
      <c r="H9502" s="31"/>
    </row>
    <row r="9503" spans="2:8" hidden="1">
      <c r="B9503" s="200"/>
      <c r="C9503" s="31"/>
      <c r="D9503" s="75"/>
      <c r="E9503" s="771"/>
      <c r="F9503" s="31"/>
      <c r="G9503" s="31"/>
      <c r="H9503" s="31"/>
    </row>
    <row r="9504" spans="2:8" hidden="1">
      <c r="B9504" s="200"/>
      <c r="C9504" s="31"/>
      <c r="D9504" s="75"/>
      <c r="E9504" s="771"/>
      <c r="F9504" s="31"/>
      <c r="G9504" s="31"/>
      <c r="H9504" s="31"/>
    </row>
    <row r="9505" spans="2:8" hidden="1">
      <c r="B9505" s="200"/>
      <c r="C9505" s="31"/>
      <c r="D9505" s="75"/>
      <c r="E9505" s="771"/>
      <c r="F9505" s="771"/>
      <c r="G9505" s="31"/>
      <c r="H9505" s="31"/>
    </row>
    <row r="9506" spans="2:8" hidden="1">
      <c r="B9506" s="200"/>
      <c r="C9506" s="31"/>
      <c r="D9506" s="75"/>
      <c r="E9506" s="771"/>
      <c r="F9506" s="31"/>
      <c r="G9506" s="31"/>
      <c r="H9506" s="31"/>
    </row>
    <row r="9507" spans="2:8" hidden="1">
      <c r="B9507" s="200"/>
      <c r="C9507" s="31"/>
      <c r="D9507" s="75"/>
      <c r="E9507" s="771"/>
      <c r="F9507" s="31"/>
      <c r="G9507" s="31"/>
      <c r="H9507" s="31"/>
    </row>
    <row r="9508" spans="2:8" hidden="1">
      <c r="B9508" s="200"/>
      <c r="C9508" s="31"/>
      <c r="D9508" s="75"/>
      <c r="E9508" s="771"/>
      <c r="F9508" s="31"/>
      <c r="G9508" s="31"/>
      <c r="H9508" s="31"/>
    </row>
    <row r="9509" spans="2:8" hidden="1">
      <c r="B9509" s="200"/>
      <c r="C9509" s="31"/>
      <c r="D9509" s="75"/>
      <c r="E9509" s="771"/>
      <c r="F9509" s="31"/>
      <c r="G9509" s="31"/>
      <c r="H9509" s="31"/>
    </row>
    <row r="9510" spans="2:8" hidden="1">
      <c r="B9510" s="200"/>
      <c r="C9510" s="31"/>
      <c r="D9510" s="75"/>
      <c r="E9510" s="771"/>
      <c r="F9510" s="31"/>
      <c r="G9510" s="31"/>
      <c r="H9510" s="31"/>
    </row>
    <row r="9511" spans="2:8" hidden="1">
      <c r="B9511" s="200"/>
      <c r="C9511" s="31"/>
      <c r="D9511" s="75"/>
      <c r="E9511" s="771"/>
      <c r="F9511" s="31"/>
      <c r="G9511" s="31"/>
      <c r="H9511" s="31"/>
    </row>
    <row r="9512" spans="2:8" hidden="1">
      <c r="B9512" s="200"/>
      <c r="C9512" s="31"/>
      <c r="D9512" s="75"/>
      <c r="E9512" s="771"/>
      <c r="F9512" s="31"/>
      <c r="G9512" s="31"/>
      <c r="H9512" s="31"/>
    </row>
    <row r="9513" spans="2:8" hidden="1">
      <c r="B9513" s="200"/>
      <c r="C9513" s="31"/>
      <c r="D9513" s="75"/>
      <c r="E9513" s="771"/>
      <c r="F9513" s="33"/>
      <c r="G9513" s="33"/>
      <c r="H9513" s="31"/>
    </row>
    <row r="9514" spans="2:8" hidden="1">
      <c r="B9514" s="200"/>
      <c r="C9514" s="31"/>
      <c r="D9514" s="75"/>
      <c r="E9514" s="771"/>
      <c r="F9514" s="33"/>
      <c r="G9514" s="33"/>
      <c r="H9514" s="31"/>
    </row>
    <row r="9515" spans="2:8" hidden="1">
      <c r="B9515" s="200"/>
      <c r="C9515" s="31"/>
      <c r="D9515" s="75"/>
      <c r="E9515" s="771"/>
      <c r="F9515" s="33"/>
      <c r="G9515" s="33"/>
      <c r="H9515" s="31"/>
    </row>
    <row r="9516" spans="2:8" hidden="1">
      <c r="B9516" s="200"/>
      <c r="C9516" s="31"/>
      <c r="D9516" s="75"/>
      <c r="E9516" s="771"/>
      <c r="F9516" s="31"/>
      <c r="G9516" s="31"/>
      <c r="H9516" s="31"/>
    </row>
    <row r="9517" spans="2:8" hidden="1">
      <c r="B9517" s="200"/>
      <c r="C9517" s="31"/>
      <c r="D9517" s="75"/>
      <c r="E9517" s="771"/>
      <c r="F9517" s="33"/>
      <c r="G9517" s="33"/>
      <c r="H9517" s="31"/>
    </row>
    <row r="9518" spans="2:8" hidden="1">
      <c r="B9518" s="200"/>
      <c r="C9518" s="31"/>
      <c r="D9518" s="31"/>
      <c r="E9518" s="772"/>
      <c r="F9518" s="33"/>
      <c r="G9518" s="33"/>
      <c r="H9518" s="31"/>
    </row>
    <row r="9519" spans="2:8" hidden="1">
      <c r="B9519" s="200"/>
      <c r="C9519" s="31"/>
      <c r="D9519" s="75"/>
      <c r="E9519" s="771"/>
      <c r="F9519" s="33"/>
      <c r="G9519" s="33"/>
      <c r="H9519" s="31"/>
    </row>
    <row r="9520" spans="2:8" hidden="1">
      <c r="B9520" s="200"/>
      <c r="C9520" s="31"/>
      <c r="D9520" s="75"/>
      <c r="E9520" s="771"/>
      <c r="F9520" s="31"/>
      <c r="G9520" s="31"/>
      <c r="H9520" s="31"/>
    </row>
    <row r="9521" spans="2:8" hidden="1">
      <c r="B9521" s="200"/>
      <c r="C9521" s="31"/>
      <c r="D9521" s="31"/>
      <c r="E9521" s="772"/>
      <c r="F9521" s="33"/>
      <c r="G9521" s="33"/>
      <c r="H9521" s="31"/>
    </row>
    <row r="9522" spans="2:8" hidden="1">
      <c r="B9522" s="200"/>
      <c r="C9522" s="31"/>
      <c r="D9522" s="31"/>
      <c r="E9522" s="772"/>
      <c r="F9522" s="33"/>
      <c r="G9522" s="33"/>
      <c r="H9522" s="31"/>
    </row>
    <row r="9523" spans="2:8" hidden="1">
      <c r="B9523" s="200"/>
      <c r="C9523" s="31"/>
      <c r="D9523" s="75"/>
      <c r="E9523" s="772"/>
      <c r="F9523" s="33"/>
      <c r="G9523" s="33"/>
      <c r="H9523" s="31"/>
    </row>
    <row r="9524" spans="2:8" hidden="1">
      <c r="B9524" s="200"/>
      <c r="C9524" s="31"/>
      <c r="D9524" s="75"/>
      <c r="E9524" s="772"/>
      <c r="F9524" s="31"/>
      <c r="G9524" s="31"/>
      <c r="H9524" s="31"/>
    </row>
    <row r="9525" spans="2:8" hidden="1">
      <c r="B9525" s="200"/>
      <c r="C9525" s="31"/>
      <c r="D9525" s="75"/>
      <c r="E9525" s="771"/>
      <c r="F9525" s="31"/>
      <c r="G9525" s="31"/>
      <c r="H9525" s="31"/>
    </row>
    <row r="9526" spans="2:8" hidden="1">
      <c r="B9526" s="200"/>
      <c r="C9526" s="31"/>
      <c r="D9526" s="75"/>
      <c r="E9526" s="31"/>
      <c r="F9526" s="31"/>
      <c r="G9526" s="31"/>
      <c r="H9526" s="31"/>
    </row>
    <row r="9527" spans="2:8" hidden="1">
      <c r="B9527" s="200"/>
      <c r="C9527" s="31"/>
      <c r="D9527" s="75"/>
      <c r="E9527" s="33"/>
      <c r="F9527" s="33"/>
      <c r="G9527" s="33"/>
      <c r="H9527" s="31"/>
    </row>
    <row r="9528" spans="2:8" hidden="1">
      <c r="B9528" s="200"/>
      <c r="C9528" s="31"/>
      <c r="D9528" s="75"/>
      <c r="E9528" s="33"/>
      <c r="F9528" s="33"/>
      <c r="G9528" s="33"/>
      <c r="H9528" s="31"/>
    </row>
    <row r="9529" spans="2:8" hidden="1">
      <c r="B9529" s="200"/>
      <c r="C9529" s="31"/>
      <c r="D9529" s="75"/>
      <c r="E9529" s="33"/>
      <c r="F9529" s="33"/>
      <c r="G9529" s="33"/>
      <c r="H9529" s="31"/>
    </row>
    <row r="9530" spans="2:8" hidden="1">
      <c r="B9530" s="200"/>
      <c r="C9530" s="31"/>
      <c r="D9530" s="75"/>
      <c r="E9530" s="33"/>
      <c r="F9530" s="33"/>
      <c r="G9530" s="33"/>
      <c r="H9530" s="31"/>
    </row>
    <row r="9531" spans="2:8" hidden="1">
      <c r="B9531" s="200"/>
      <c r="C9531" s="31"/>
      <c r="D9531" s="31"/>
      <c r="E9531" s="33"/>
      <c r="F9531" s="33"/>
      <c r="G9531" s="33"/>
      <c r="H9531" s="31"/>
    </row>
    <row r="9532" spans="2:8" hidden="1">
      <c r="B9532" s="200"/>
      <c r="C9532" s="31"/>
      <c r="D9532" s="75"/>
      <c r="E9532" s="33"/>
      <c r="F9532" s="33"/>
      <c r="G9532" s="33"/>
      <c r="H9532" s="31"/>
    </row>
    <row r="9533" spans="2:8" hidden="1">
      <c r="B9533" s="200"/>
      <c r="C9533" s="31"/>
      <c r="D9533" s="75"/>
      <c r="E9533" s="33"/>
      <c r="F9533" s="33"/>
      <c r="G9533" s="33"/>
      <c r="H9533" s="31"/>
    </row>
    <row r="9534" spans="2:8" hidden="1">
      <c r="B9534" s="200"/>
      <c r="C9534" s="31"/>
      <c r="D9534" s="75"/>
      <c r="E9534" s="33"/>
      <c r="F9534" s="33"/>
      <c r="G9534" s="33"/>
      <c r="H9534" s="31"/>
    </row>
    <row r="9535" spans="2:8" hidden="1">
      <c r="B9535" s="200"/>
      <c r="C9535" s="31"/>
      <c r="D9535" s="75"/>
      <c r="E9535" s="33"/>
      <c r="F9535" s="33"/>
      <c r="G9535" s="33"/>
      <c r="H9535" s="31"/>
    </row>
    <row r="9536" spans="2:8" hidden="1">
      <c r="B9536" s="200"/>
      <c r="C9536" s="31"/>
      <c r="D9536" s="75"/>
      <c r="E9536" s="33"/>
      <c r="F9536" s="33"/>
      <c r="G9536" s="33"/>
      <c r="H9536" s="31"/>
    </row>
    <row r="9537" spans="2:8" hidden="1">
      <c r="B9537" s="33"/>
      <c r="C9537" s="200"/>
      <c r="D9537" s="75"/>
      <c r="E9537" s="31"/>
      <c r="F9537" s="31"/>
      <c r="G9537" s="31"/>
      <c r="H9537" s="31"/>
    </row>
    <row r="9538" spans="2:8" hidden="1">
      <c r="B9538" s="33"/>
      <c r="C9538" s="31"/>
      <c r="D9538" s="104"/>
      <c r="E9538" s="33"/>
      <c r="F9538" s="33"/>
      <c r="G9538" s="33"/>
      <c r="H9538" s="31"/>
    </row>
    <row r="9539" spans="2:8" hidden="1">
      <c r="B9539" s="33"/>
      <c r="C9539" s="31"/>
      <c r="D9539" s="31"/>
      <c r="E9539" s="31"/>
      <c r="F9539" s="31"/>
      <c r="G9539" s="31"/>
      <c r="H9539" s="31"/>
    </row>
    <row r="9540" spans="2:8" hidden="1">
      <c r="B9540" s="405"/>
      <c r="C9540" s="31"/>
      <c r="D9540" s="31"/>
      <c r="E9540" s="31"/>
      <c r="F9540" s="31"/>
      <c r="G9540" s="31"/>
      <c r="H9540" s="31"/>
    </row>
    <row r="9541" spans="2:8" hidden="1">
      <c r="B9541" s="405"/>
      <c r="C9541" s="31"/>
      <c r="D9541" s="31"/>
      <c r="E9541" s="31"/>
      <c r="F9541" s="691"/>
      <c r="G9541" s="75"/>
      <c r="H9541" s="31"/>
    </row>
    <row r="9542" spans="2:8" hidden="1">
      <c r="B9542" s="405"/>
      <c r="C9542" s="31"/>
      <c r="D9542" s="31"/>
      <c r="E9542" s="31"/>
      <c r="F9542" s="691"/>
      <c r="G9542" s="75"/>
      <c r="H9542" s="31"/>
    </row>
    <row r="9543" spans="2:8" hidden="1">
      <c r="B9543" s="405"/>
      <c r="C9543" s="31"/>
      <c r="D9543" s="31"/>
      <c r="E9543" s="31"/>
      <c r="F9543" s="691"/>
      <c r="G9543" s="75"/>
      <c r="H9543" s="31"/>
    </row>
    <row r="9544" spans="2:8" hidden="1">
      <c r="B9544" s="405"/>
      <c r="C9544" s="31"/>
      <c r="D9544" s="31"/>
      <c r="E9544" s="31"/>
      <c r="F9544" s="691"/>
      <c r="G9544" s="75"/>
      <c r="H9544" s="31"/>
    </row>
    <row r="9545" spans="2:8" hidden="1">
      <c r="B9545" s="405"/>
      <c r="C9545" s="31"/>
      <c r="D9545" s="31"/>
      <c r="E9545" s="31"/>
      <c r="F9545" s="691"/>
      <c r="G9545" s="75"/>
      <c r="H9545" s="31"/>
    </row>
    <row r="9546" spans="2:8" hidden="1">
      <c r="B9546" s="405"/>
      <c r="C9546" s="31"/>
      <c r="D9546" s="31"/>
      <c r="E9546" s="31"/>
      <c r="F9546" s="691"/>
      <c r="G9546" s="75"/>
      <c r="H9546" s="31"/>
    </row>
    <row r="9547" spans="2:8" hidden="1">
      <c r="B9547" s="405"/>
      <c r="C9547" s="31"/>
      <c r="D9547" s="31"/>
      <c r="E9547" s="31"/>
      <c r="F9547" s="691"/>
      <c r="G9547" s="75"/>
      <c r="H9547" s="31"/>
    </row>
    <row r="9548" spans="2:8" hidden="1">
      <c r="B9548" s="405"/>
      <c r="C9548" s="31"/>
      <c r="D9548" s="31"/>
      <c r="E9548" s="31"/>
      <c r="F9548" s="691"/>
      <c r="G9548" s="75"/>
      <c r="H9548" s="31"/>
    </row>
    <row r="9549" spans="2:8" hidden="1">
      <c r="B9549" s="405"/>
      <c r="C9549" s="31"/>
      <c r="D9549" s="31"/>
      <c r="E9549" s="31"/>
      <c r="F9549" s="691"/>
      <c r="G9549" s="75"/>
      <c r="H9549" s="31"/>
    </row>
    <row r="9550" spans="2:8" hidden="1">
      <c r="B9550" s="405"/>
      <c r="C9550" s="31"/>
      <c r="D9550" s="31"/>
      <c r="E9550" s="31"/>
      <c r="F9550" s="691"/>
      <c r="G9550" s="75"/>
      <c r="H9550" s="31"/>
    </row>
    <row r="9551" spans="2:8" hidden="1">
      <c r="B9551" s="405"/>
      <c r="C9551" s="31"/>
      <c r="D9551" s="31"/>
      <c r="E9551" s="31"/>
      <c r="F9551" s="691"/>
      <c r="G9551" s="75"/>
      <c r="H9551" s="31"/>
    </row>
    <row r="9552" spans="2:8" hidden="1">
      <c r="B9552" s="405"/>
      <c r="C9552" s="31"/>
      <c r="D9552" s="31"/>
      <c r="E9552" s="31"/>
      <c r="F9552" s="691"/>
      <c r="G9552" s="75"/>
      <c r="H9552" s="31"/>
    </row>
    <row r="9553" spans="2:8" hidden="1">
      <c r="B9553" s="405"/>
      <c r="C9553" s="31"/>
      <c r="D9553" s="31"/>
      <c r="E9553" s="31"/>
      <c r="F9553" s="691"/>
      <c r="G9553" s="75"/>
      <c r="H9553" s="31"/>
    </row>
    <row r="9554" spans="2:8" hidden="1">
      <c r="B9554" s="405"/>
      <c r="C9554" s="31"/>
      <c r="D9554" s="31"/>
      <c r="E9554" s="31"/>
      <c r="F9554" s="691"/>
      <c r="G9554" s="75"/>
      <c r="H9554" s="31"/>
    </row>
    <row r="9555" spans="2:8" hidden="1">
      <c r="B9555" s="405"/>
      <c r="C9555" s="31"/>
      <c r="D9555" s="31"/>
      <c r="E9555" s="31"/>
      <c r="F9555" s="691"/>
      <c r="G9555" s="75"/>
      <c r="H9555" s="31"/>
    </row>
    <row r="9556" spans="2:8" hidden="1">
      <c r="B9556" s="405"/>
      <c r="C9556" s="31"/>
      <c r="D9556" s="31"/>
      <c r="E9556" s="31"/>
      <c r="F9556" s="691"/>
      <c r="G9556" s="75"/>
      <c r="H9556" s="31"/>
    </row>
    <row r="9557" spans="2:8" hidden="1">
      <c r="B9557" s="33"/>
      <c r="C9557" s="31"/>
      <c r="D9557" s="31"/>
      <c r="E9557" s="31"/>
      <c r="F9557" s="691"/>
      <c r="G9557" s="75"/>
      <c r="H9557" s="31"/>
    </row>
    <row r="9558" spans="2:8" hidden="1">
      <c r="B9558" s="33"/>
      <c r="C9558" s="31"/>
      <c r="D9558" s="31"/>
      <c r="E9558" s="31"/>
      <c r="F9558" s="691"/>
      <c r="G9558" s="75"/>
      <c r="H9558" s="31"/>
    </row>
    <row r="9559" spans="2:8" hidden="1">
      <c r="B9559" s="33"/>
      <c r="C9559" s="31"/>
      <c r="D9559" s="31"/>
      <c r="E9559" s="31"/>
      <c r="F9559" s="691"/>
      <c r="G9559" s="31"/>
      <c r="H9559" s="31"/>
    </row>
    <row r="9560" spans="2:8" hidden="1">
      <c r="B9560" s="33"/>
      <c r="C9560" s="31"/>
      <c r="D9560" s="31"/>
      <c r="E9560" s="31"/>
      <c r="F9560" s="31"/>
      <c r="G9560" s="31"/>
      <c r="H9560" s="31"/>
    </row>
    <row r="9561" spans="2:8" hidden="1">
      <c r="B9561" s="33"/>
      <c r="C9561" s="31"/>
      <c r="D9561" s="31"/>
      <c r="E9561" s="31"/>
      <c r="F9561" s="31"/>
      <c r="G9561" s="31"/>
      <c r="H9561" s="31"/>
    </row>
    <row r="9562" spans="2:8" hidden="1">
      <c r="B9562" s="33"/>
      <c r="C9562" s="31"/>
      <c r="D9562" s="31"/>
      <c r="E9562" s="31"/>
      <c r="F9562" s="31"/>
      <c r="G9562" s="31"/>
      <c r="H9562" s="31"/>
    </row>
    <row r="9563" spans="2:8" hidden="1">
      <c r="B9563" s="33"/>
      <c r="C9563" s="31"/>
      <c r="D9563" s="31"/>
      <c r="E9563" s="31"/>
      <c r="F9563" s="31"/>
      <c r="G9563" s="31"/>
      <c r="H9563" s="31"/>
    </row>
    <row r="9564" spans="2:8" hidden="1">
      <c r="B9564" s="33"/>
      <c r="C9564" s="31"/>
      <c r="D9564" s="31"/>
      <c r="E9564" s="31"/>
      <c r="F9564" s="31"/>
      <c r="G9564" s="31"/>
      <c r="H9564" s="31"/>
    </row>
    <row r="9565" spans="2:8" hidden="1">
      <c r="B9565" s="33"/>
      <c r="C9565" s="31"/>
      <c r="D9565" s="31"/>
      <c r="E9565" s="31"/>
      <c r="F9565" s="31"/>
      <c r="G9565" s="31"/>
      <c r="H9565" s="31"/>
    </row>
    <row r="9566" spans="2:8" hidden="1">
      <c r="B9566" s="33"/>
      <c r="C9566" s="31"/>
      <c r="D9566" s="31"/>
      <c r="E9566" s="31"/>
      <c r="F9566" s="31"/>
      <c r="G9566" s="31"/>
      <c r="H9566" s="31"/>
    </row>
    <row r="9567" spans="2:8" hidden="1">
      <c r="B9567" s="33"/>
      <c r="C9567" s="31"/>
      <c r="D9567" s="31"/>
      <c r="E9567" s="31"/>
      <c r="F9567" s="31"/>
      <c r="G9567" s="31"/>
      <c r="H9567" s="31"/>
    </row>
    <row r="9568" spans="2:8" hidden="1">
      <c r="B9568" s="33"/>
      <c r="C9568" s="31"/>
      <c r="D9568" s="33"/>
      <c r="E9568" s="31"/>
      <c r="F9568" s="33"/>
      <c r="G9568" s="33"/>
      <c r="H9568" s="31"/>
    </row>
    <row r="9569" spans="2:8" hidden="1">
      <c r="B9569" s="33"/>
      <c r="C9569" s="31"/>
      <c r="D9569" s="33"/>
      <c r="E9569" s="33"/>
      <c r="F9569" s="33"/>
      <c r="G9569" s="33"/>
      <c r="H9569" s="31"/>
    </row>
    <row r="9570" spans="2:8" hidden="1">
      <c r="B9570" s="33"/>
      <c r="C9570" s="31"/>
      <c r="D9570" s="31"/>
      <c r="E9570" s="31"/>
      <c r="F9570" s="31"/>
      <c r="G9570" s="31"/>
      <c r="H9570" s="31"/>
    </row>
    <row r="9571" spans="2:8" hidden="1">
      <c r="B9571" s="200"/>
      <c r="C9571" s="31"/>
      <c r="D9571" s="75"/>
      <c r="E9571" s="771"/>
      <c r="F9571" s="33"/>
      <c r="G9571" s="33"/>
      <c r="H9571" s="31"/>
    </row>
    <row r="9572" spans="2:8" hidden="1">
      <c r="B9572" s="200"/>
      <c r="C9572" s="31"/>
      <c r="D9572" s="75"/>
      <c r="E9572" s="771"/>
      <c r="F9572" s="33"/>
      <c r="G9572" s="33"/>
      <c r="H9572" s="31"/>
    </row>
    <row r="9573" spans="2:8" hidden="1">
      <c r="B9573" s="200"/>
      <c r="C9573" s="31"/>
      <c r="D9573" s="75"/>
      <c r="E9573" s="771"/>
      <c r="F9573" s="33"/>
      <c r="G9573" s="33"/>
      <c r="H9573" s="31"/>
    </row>
    <row r="9574" spans="2:8" hidden="1">
      <c r="B9574" s="200"/>
      <c r="C9574" s="31"/>
      <c r="D9574" s="75"/>
      <c r="E9574" s="771"/>
      <c r="F9574" s="31"/>
      <c r="G9574" s="31"/>
      <c r="H9574" s="31"/>
    </row>
    <row r="9575" spans="2:8" hidden="1">
      <c r="B9575" s="200"/>
      <c r="C9575" s="31"/>
      <c r="D9575" s="75"/>
      <c r="E9575" s="771"/>
      <c r="F9575" s="31"/>
      <c r="G9575" s="31"/>
      <c r="H9575" s="31"/>
    </row>
    <row r="9576" spans="2:8" hidden="1">
      <c r="B9576" s="200"/>
      <c r="C9576" s="31"/>
      <c r="D9576" s="75"/>
      <c r="E9576" s="771"/>
      <c r="F9576" s="33"/>
      <c r="G9576" s="33"/>
      <c r="H9576" s="31"/>
    </row>
    <row r="9577" spans="2:8" hidden="1">
      <c r="B9577" s="200"/>
      <c r="C9577" s="31"/>
      <c r="D9577" s="75"/>
      <c r="E9577" s="771"/>
      <c r="F9577" s="31"/>
      <c r="G9577" s="31"/>
      <c r="H9577" s="31"/>
    </row>
    <row r="9578" spans="2:8" hidden="1">
      <c r="B9578" s="200"/>
      <c r="C9578" s="31"/>
      <c r="D9578" s="75"/>
      <c r="E9578" s="771"/>
      <c r="F9578" s="771"/>
      <c r="G9578" s="31"/>
      <c r="H9578" s="31"/>
    </row>
    <row r="9579" spans="2:8" hidden="1">
      <c r="B9579" s="200"/>
      <c r="C9579" s="31"/>
      <c r="D9579" s="75"/>
      <c r="E9579" s="771"/>
      <c r="F9579" s="772"/>
      <c r="G9579" s="33"/>
      <c r="H9579" s="31"/>
    </row>
    <row r="9580" spans="2:8" hidden="1">
      <c r="B9580" s="200"/>
      <c r="C9580" s="31"/>
      <c r="D9580" s="75"/>
      <c r="E9580" s="771"/>
      <c r="F9580" s="771"/>
      <c r="G9580" s="31"/>
      <c r="H9580" s="31"/>
    </row>
    <row r="9581" spans="2:8" hidden="1">
      <c r="B9581" s="200"/>
      <c r="C9581" s="31"/>
      <c r="D9581" s="75"/>
      <c r="E9581" s="772"/>
      <c r="F9581" s="33"/>
      <c r="G9581" s="33"/>
      <c r="H9581" s="31"/>
    </row>
    <row r="9582" spans="2:8" hidden="1">
      <c r="B9582" s="200"/>
      <c r="C9582" s="31"/>
      <c r="D9582" s="75"/>
      <c r="E9582" s="771"/>
      <c r="F9582" s="33"/>
      <c r="G9582" s="33"/>
      <c r="H9582" s="31"/>
    </row>
    <row r="9583" spans="2:8" hidden="1">
      <c r="B9583" s="200"/>
      <c r="C9583" s="31"/>
      <c r="D9583" s="75"/>
      <c r="E9583" s="772"/>
      <c r="F9583" s="33"/>
      <c r="G9583" s="33"/>
      <c r="H9583" s="31"/>
    </row>
    <row r="9584" spans="2:8" hidden="1">
      <c r="B9584" s="33"/>
      <c r="C9584" s="31"/>
      <c r="D9584" s="31"/>
      <c r="E9584" s="31"/>
      <c r="F9584" s="31"/>
      <c r="G9584" s="31"/>
      <c r="H9584" s="31"/>
    </row>
    <row r="9585" spans="2:8" hidden="1">
      <c r="B9585" s="200"/>
      <c r="C9585" s="31"/>
      <c r="D9585" s="75"/>
      <c r="E9585" s="772"/>
      <c r="F9585" s="772"/>
      <c r="G9585" s="772"/>
      <c r="H9585" s="31"/>
    </row>
    <row r="9586" spans="2:8" hidden="1">
      <c r="B9586" s="200"/>
      <c r="C9586" s="31"/>
      <c r="D9586" s="75"/>
      <c r="E9586" s="772"/>
      <c r="F9586" s="772"/>
      <c r="G9586" s="772"/>
      <c r="H9586" s="31"/>
    </row>
    <row r="9587" spans="2:8" hidden="1">
      <c r="B9587" s="200"/>
      <c r="C9587" s="31"/>
      <c r="D9587" s="75"/>
      <c r="E9587" s="772"/>
      <c r="F9587" s="772"/>
      <c r="G9587" s="772"/>
      <c r="H9587" s="31"/>
    </row>
    <row r="9588" spans="2:8" hidden="1">
      <c r="B9588" s="200"/>
      <c r="C9588" s="31"/>
      <c r="D9588" s="75"/>
      <c r="E9588" s="772"/>
      <c r="F9588" s="772"/>
      <c r="G9588" s="772"/>
      <c r="H9588" s="31"/>
    </row>
    <row r="9589" spans="2:8" hidden="1">
      <c r="B9589" s="200"/>
      <c r="C9589" s="31"/>
      <c r="D9589" s="75"/>
      <c r="E9589" s="772"/>
      <c r="F9589" s="772"/>
      <c r="G9589" s="772"/>
      <c r="H9589" s="31"/>
    </row>
    <row r="9590" spans="2:8" hidden="1">
      <c r="B9590" s="200"/>
      <c r="C9590" s="31"/>
      <c r="D9590" s="75"/>
      <c r="E9590" s="771"/>
      <c r="F9590" s="772"/>
      <c r="G9590" s="772"/>
      <c r="H9590" s="31"/>
    </row>
    <row r="9591" spans="2:8" hidden="1">
      <c r="B9591" s="200"/>
      <c r="C9591" s="31"/>
      <c r="D9591" s="75"/>
      <c r="E9591" s="771"/>
      <c r="F9591" s="31"/>
      <c r="G9591" s="31"/>
      <c r="H9591" s="31"/>
    </row>
    <row r="9592" spans="2:8" hidden="1">
      <c r="B9592" s="33"/>
      <c r="C9592" s="200"/>
      <c r="D9592" s="75"/>
      <c r="E9592" s="771"/>
      <c r="F9592" s="771"/>
      <c r="G9592" s="31"/>
      <c r="H9592" s="31"/>
    </row>
    <row r="9593" spans="2:8" hidden="1">
      <c r="B9593" s="33"/>
      <c r="C9593" s="31"/>
      <c r="D9593" s="104"/>
      <c r="E9593" s="772"/>
      <c r="F9593" s="33"/>
      <c r="G9593" s="33"/>
      <c r="H9593" s="31"/>
    </row>
    <row r="9594" spans="2:8" hidden="1">
      <c r="B9594" s="33"/>
      <c r="C9594" s="31"/>
      <c r="D9594" s="31"/>
      <c r="E9594" s="31"/>
      <c r="F9594" s="31"/>
      <c r="G9594" s="31"/>
      <c r="H9594" s="31"/>
    </row>
    <row r="9595" spans="2:8" hidden="1">
      <c r="B9595" s="405"/>
      <c r="C9595" s="31"/>
      <c r="D9595" s="31"/>
      <c r="E9595" s="31"/>
      <c r="F9595" s="31"/>
      <c r="G9595" s="31"/>
      <c r="H9595" s="31"/>
    </row>
    <row r="9596" spans="2:8" hidden="1">
      <c r="B9596" s="405"/>
      <c r="C9596" s="31"/>
      <c r="D9596" s="31"/>
      <c r="E9596" s="31"/>
      <c r="F9596" s="691"/>
      <c r="G9596" s="75"/>
      <c r="H9596" s="31"/>
    </row>
    <row r="9597" spans="2:8" hidden="1">
      <c r="B9597" s="405"/>
      <c r="C9597" s="31"/>
      <c r="D9597" s="31"/>
      <c r="E9597" s="31"/>
      <c r="F9597" s="691"/>
      <c r="G9597" s="75"/>
      <c r="H9597" s="31"/>
    </row>
    <row r="9598" spans="2:8" hidden="1">
      <c r="B9598" s="405"/>
      <c r="C9598" s="31"/>
      <c r="D9598" s="31"/>
      <c r="E9598" s="31"/>
      <c r="F9598" s="691"/>
      <c r="G9598" s="75"/>
      <c r="H9598" s="31"/>
    </row>
    <row r="9599" spans="2:8" hidden="1">
      <c r="B9599" s="405"/>
      <c r="C9599" s="31"/>
      <c r="D9599" s="31"/>
      <c r="E9599" s="31"/>
      <c r="F9599" s="691"/>
      <c r="G9599" s="75"/>
      <c r="H9599" s="31"/>
    </row>
    <row r="9600" spans="2:8" hidden="1">
      <c r="B9600" s="405"/>
      <c r="C9600" s="31"/>
      <c r="D9600" s="31"/>
      <c r="E9600" s="31"/>
      <c r="F9600" s="691"/>
      <c r="G9600" s="75"/>
      <c r="H9600" s="31"/>
    </row>
    <row r="9601" spans="2:8" hidden="1">
      <c r="B9601" s="405"/>
      <c r="C9601" s="31"/>
      <c r="D9601" s="31"/>
      <c r="E9601" s="31"/>
      <c r="F9601" s="691"/>
      <c r="G9601" s="75"/>
      <c r="H9601" s="31"/>
    </row>
    <row r="9602" spans="2:8" hidden="1">
      <c r="B9602" s="405"/>
      <c r="C9602" s="31"/>
      <c r="D9602" s="31"/>
      <c r="E9602" s="31"/>
      <c r="F9602" s="691"/>
      <c r="G9602" s="75"/>
      <c r="H9602" s="31"/>
    </row>
    <row r="9603" spans="2:8" hidden="1">
      <c r="B9603" s="405"/>
      <c r="C9603" s="31"/>
      <c r="D9603" s="31"/>
      <c r="E9603" s="31"/>
      <c r="F9603" s="691"/>
      <c r="G9603" s="75"/>
      <c r="H9603" s="31"/>
    </row>
    <row r="9604" spans="2:8" hidden="1">
      <c r="B9604" s="405"/>
      <c r="C9604" s="31"/>
      <c r="D9604" s="31"/>
      <c r="E9604" s="31"/>
      <c r="F9604" s="691"/>
      <c r="G9604" s="75"/>
      <c r="H9604" s="31"/>
    </row>
    <row r="9605" spans="2:8" hidden="1">
      <c r="B9605" s="405"/>
      <c r="C9605" s="31"/>
      <c r="D9605" s="31"/>
      <c r="E9605" s="31"/>
      <c r="F9605" s="691"/>
      <c r="G9605" s="75"/>
      <c r="H9605" s="31"/>
    </row>
    <row r="9606" spans="2:8" hidden="1">
      <c r="B9606" s="405"/>
      <c r="C9606" s="31"/>
      <c r="D9606" s="31"/>
      <c r="E9606" s="31"/>
      <c r="F9606" s="691"/>
      <c r="G9606" s="75"/>
      <c r="H9606" s="31"/>
    </row>
    <row r="9607" spans="2:8" hidden="1">
      <c r="B9607" s="405"/>
      <c r="C9607" s="31"/>
      <c r="D9607" s="31"/>
      <c r="E9607" s="31"/>
      <c r="F9607" s="691"/>
      <c r="G9607" s="75"/>
      <c r="H9607" s="31"/>
    </row>
    <row r="9608" spans="2:8" hidden="1">
      <c r="B9608" s="405"/>
      <c r="C9608" s="31"/>
      <c r="D9608" s="31"/>
      <c r="E9608" s="31"/>
      <c r="F9608" s="691"/>
      <c r="G9608" s="75"/>
      <c r="H9608" s="31"/>
    </row>
    <row r="9609" spans="2:8" hidden="1">
      <c r="B9609" s="405"/>
      <c r="C9609" s="31"/>
      <c r="D9609" s="31"/>
      <c r="E9609" s="31"/>
      <c r="F9609" s="691"/>
      <c r="G9609" s="75"/>
      <c r="H9609" s="31"/>
    </row>
    <row r="9610" spans="2:8" hidden="1">
      <c r="B9610" s="405"/>
      <c r="C9610" s="31"/>
      <c r="D9610" s="31"/>
      <c r="E9610" s="31"/>
      <c r="F9610" s="691"/>
      <c r="G9610" s="75"/>
      <c r="H9610" s="31"/>
    </row>
    <row r="9611" spans="2:8" hidden="1">
      <c r="B9611" s="405"/>
      <c r="C9611" s="31"/>
      <c r="D9611" s="31"/>
      <c r="E9611" s="31"/>
      <c r="F9611" s="691"/>
      <c r="G9611" s="75"/>
      <c r="H9611" s="31"/>
    </row>
    <row r="9612" spans="2:8" hidden="1">
      <c r="B9612" s="33"/>
      <c r="C9612" s="31"/>
      <c r="D9612" s="31"/>
      <c r="E9612" s="31"/>
      <c r="F9612" s="691"/>
      <c r="G9612" s="31"/>
      <c r="H9612" s="31"/>
    </row>
    <row r="9613" spans="2:8" hidden="1">
      <c r="B9613" s="33"/>
      <c r="C9613" s="31"/>
      <c r="D9613" s="31"/>
      <c r="E9613" s="31"/>
      <c r="F9613" s="31"/>
      <c r="G9613" s="31"/>
      <c r="H9613" s="31"/>
    </row>
    <row r="9614" spans="2:8" hidden="1">
      <c r="B9614" s="33"/>
      <c r="C9614" s="31"/>
      <c r="D9614" s="31"/>
      <c r="E9614" s="31"/>
      <c r="F9614" s="31"/>
      <c r="G9614" s="31"/>
      <c r="H9614" s="31"/>
    </row>
    <row r="9615" spans="2:8" hidden="1">
      <c r="B9615" s="33"/>
      <c r="C9615" s="31"/>
      <c r="D9615" s="31"/>
      <c r="E9615" s="31"/>
      <c r="F9615" s="31"/>
      <c r="G9615" s="31"/>
      <c r="H9615" s="31"/>
    </row>
    <row r="9616" spans="2:8" hidden="1">
      <c r="B9616" s="33"/>
      <c r="C9616" s="31"/>
      <c r="D9616" s="31"/>
      <c r="E9616" s="31"/>
      <c r="F9616" s="31"/>
      <c r="G9616" s="31"/>
      <c r="H9616" s="31"/>
    </row>
    <row r="9617" spans="2:8" hidden="1">
      <c r="B9617" s="33"/>
      <c r="C9617" s="31"/>
      <c r="D9617" s="31"/>
      <c r="E9617" s="31"/>
      <c r="F9617" s="31"/>
      <c r="G9617" s="31"/>
      <c r="H9617" s="31"/>
    </row>
    <row r="9618" spans="2:8" hidden="1">
      <c r="B9618" s="33"/>
      <c r="C9618" s="31"/>
      <c r="D9618" s="31"/>
      <c r="E9618" s="31"/>
      <c r="F9618" s="31"/>
      <c r="G9618" s="31"/>
      <c r="H9618" s="31"/>
    </row>
    <row r="9619" spans="2:8" hidden="1">
      <c r="B9619" s="33"/>
      <c r="C9619" s="31"/>
      <c r="D9619" s="31"/>
      <c r="E9619" s="31"/>
      <c r="F9619" s="31"/>
      <c r="G9619" s="31"/>
      <c r="H9619" s="31"/>
    </row>
    <row r="9620" spans="2:8" hidden="1">
      <c r="B9620" s="33"/>
      <c r="C9620" s="31"/>
      <c r="D9620" s="31"/>
      <c r="E9620" s="31"/>
      <c r="F9620" s="31"/>
      <c r="G9620" s="31"/>
      <c r="H9620" s="31"/>
    </row>
    <row r="9621" spans="2:8" hidden="1">
      <c r="B9621" s="33"/>
      <c r="C9621" s="31"/>
      <c r="D9621" s="33"/>
      <c r="E9621" s="31"/>
      <c r="F9621" s="33"/>
      <c r="G9621" s="33"/>
      <c r="H9621" s="31"/>
    </row>
    <row r="9622" spans="2:8" hidden="1">
      <c r="B9622" s="33"/>
      <c r="C9622" s="31"/>
      <c r="D9622" s="33"/>
      <c r="E9622" s="33"/>
      <c r="F9622" s="33"/>
      <c r="G9622" s="33"/>
      <c r="H9622" s="31"/>
    </row>
    <row r="9623" spans="2:8" hidden="1">
      <c r="B9623" s="33"/>
      <c r="C9623" s="31"/>
      <c r="D9623" s="31"/>
      <c r="E9623" s="31"/>
      <c r="F9623" s="31"/>
      <c r="G9623" s="31"/>
      <c r="H9623" s="31"/>
    </row>
    <row r="9624" spans="2:8" hidden="1">
      <c r="B9624" s="200"/>
      <c r="C9624" s="31"/>
      <c r="D9624" s="75"/>
      <c r="E9624" s="771"/>
      <c r="F9624" s="200"/>
      <c r="G9624" s="31"/>
      <c r="H9624" s="31"/>
    </row>
    <row r="9625" spans="2:8" hidden="1">
      <c r="B9625" s="200"/>
      <c r="C9625" s="31"/>
      <c r="D9625" s="75"/>
      <c r="E9625" s="771"/>
      <c r="F9625" s="33"/>
      <c r="G9625" s="31"/>
      <c r="H9625" s="31"/>
    </row>
    <row r="9626" spans="2:8" hidden="1">
      <c r="B9626" s="200"/>
      <c r="C9626" s="31"/>
      <c r="D9626" s="75"/>
      <c r="E9626" s="771"/>
      <c r="F9626" s="31"/>
      <c r="G9626" s="31"/>
      <c r="H9626" s="31"/>
    </row>
    <row r="9627" spans="2:8" hidden="1">
      <c r="B9627" s="200"/>
      <c r="C9627" s="31"/>
      <c r="D9627" s="75"/>
      <c r="E9627" s="771"/>
      <c r="F9627" s="31"/>
      <c r="G9627" s="31"/>
      <c r="H9627" s="31"/>
    </row>
    <row r="9628" spans="2:8" hidden="1">
      <c r="B9628" s="33"/>
      <c r="C9628" s="31"/>
      <c r="D9628" s="31"/>
      <c r="E9628" s="31"/>
      <c r="F9628" s="31"/>
      <c r="G9628" s="31"/>
      <c r="H9628" s="31"/>
    </row>
    <row r="9629" spans="2:8" hidden="1">
      <c r="B9629" s="200"/>
      <c r="C9629" s="31"/>
      <c r="D9629" s="75"/>
      <c r="E9629" s="771"/>
      <c r="F9629" s="200"/>
      <c r="G9629" s="31"/>
      <c r="H9629" s="31"/>
    </row>
    <row r="9630" spans="2:8" hidden="1">
      <c r="B9630" s="200"/>
      <c r="C9630" s="31"/>
      <c r="D9630" s="75"/>
      <c r="E9630" s="771"/>
      <c r="F9630" s="31"/>
      <c r="G9630" s="31"/>
      <c r="H9630" s="31"/>
    </row>
    <row r="9631" spans="2:8" hidden="1">
      <c r="B9631" s="200"/>
      <c r="C9631" s="31"/>
      <c r="D9631" s="75"/>
      <c r="E9631" s="771"/>
      <c r="F9631" s="31"/>
      <c r="G9631" s="31"/>
      <c r="H9631" s="31"/>
    </row>
    <row r="9632" spans="2:8" hidden="1">
      <c r="B9632" s="200"/>
      <c r="C9632" s="31"/>
      <c r="D9632" s="75"/>
      <c r="E9632" s="771"/>
      <c r="F9632" s="31"/>
      <c r="G9632" s="31"/>
      <c r="H9632" s="31"/>
    </row>
    <row r="9633" spans="2:8" hidden="1">
      <c r="B9633" s="200"/>
      <c r="C9633" s="31"/>
      <c r="D9633" s="75"/>
      <c r="E9633" s="771"/>
      <c r="F9633" s="31"/>
      <c r="G9633" s="31"/>
      <c r="H9633" s="31"/>
    </row>
    <row r="9634" spans="2:8" hidden="1">
      <c r="B9634" s="200"/>
      <c r="C9634" s="31"/>
      <c r="D9634" s="75"/>
      <c r="E9634" s="771"/>
      <c r="F9634" s="31"/>
      <c r="G9634" s="31"/>
      <c r="H9634" s="31"/>
    </row>
    <row r="9635" spans="2:8" hidden="1">
      <c r="B9635" s="33"/>
      <c r="C9635" s="31"/>
      <c r="D9635" s="31"/>
      <c r="E9635" s="31"/>
      <c r="F9635" s="31"/>
      <c r="G9635" s="31"/>
      <c r="H9635" s="31"/>
    </row>
    <row r="9636" spans="2:8" hidden="1">
      <c r="B9636" s="200"/>
      <c r="C9636" s="31"/>
      <c r="D9636" s="75"/>
      <c r="E9636" s="771"/>
      <c r="F9636" s="200"/>
      <c r="G9636" s="31"/>
      <c r="H9636" s="31"/>
    </row>
    <row r="9637" spans="2:8" hidden="1">
      <c r="B9637" s="200"/>
      <c r="C9637" s="31"/>
      <c r="D9637" s="75"/>
      <c r="E9637" s="771"/>
      <c r="F9637" s="31"/>
      <c r="G9637" s="31"/>
      <c r="H9637" s="31"/>
    </row>
    <row r="9638" spans="2:8" hidden="1">
      <c r="B9638" s="200"/>
      <c r="C9638" s="31"/>
      <c r="D9638" s="75"/>
      <c r="E9638" s="771"/>
      <c r="F9638" s="31"/>
      <c r="G9638" s="31"/>
      <c r="H9638" s="31"/>
    </row>
    <row r="9639" spans="2:8" hidden="1">
      <c r="B9639" s="200"/>
      <c r="C9639" s="31"/>
      <c r="D9639" s="75"/>
      <c r="E9639" s="771"/>
      <c r="F9639" s="31"/>
      <c r="G9639" s="31"/>
      <c r="H9639" s="31"/>
    </row>
    <row r="9640" spans="2:8" hidden="1">
      <c r="B9640" s="33"/>
      <c r="C9640" s="31"/>
      <c r="D9640" s="31"/>
      <c r="E9640" s="31"/>
      <c r="F9640" s="31"/>
      <c r="G9640" s="31"/>
      <c r="H9640" s="31"/>
    </row>
    <row r="9641" spans="2:8" hidden="1">
      <c r="B9641" s="200"/>
      <c r="C9641" s="31"/>
      <c r="D9641" s="75"/>
      <c r="E9641" s="771"/>
      <c r="F9641" s="31"/>
      <c r="G9641" s="31"/>
      <c r="H9641" s="31"/>
    </row>
    <row r="9642" spans="2:8" hidden="1">
      <c r="B9642" s="200"/>
      <c r="C9642" s="31"/>
      <c r="D9642" s="75"/>
      <c r="E9642" s="771"/>
      <c r="F9642" s="31"/>
      <c r="G9642" s="31"/>
      <c r="H9642" s="31"/>
    </row>
    <row r="9643" spans="2:8" hidden="1">
      <c r="B9643" s="200"/>
      <c r="C9643" s="31"/>
      <c r="D9643" s="75"/>
      <c r="E9643" s="771"/>
      <c r="F9643" s="31"/>
      <c r="G9643" s="31"/>
      <c r="H9643" s="31"/>
    </row>
    <row r="9644" spans="2:8" hidden="1">
      <c r="B9644" s="33"/>
      <c r="C9644" s="200"/>
      <c r="D9644" s="75"/>
      <c r="E9644" s="771"/>
      <c r="F9644" s="31"/>
      <c r="G9644" s="31"/>
      <c r="H9644" s="31"/>
    </row>
    <row r="9645" spans="2:8" hidden="1">
      <c r="B9645" s="33"/>
      <c r="C9645" s="31"/>
      <c r="D9645" s="104"/>
      <c r="E9645" s="772"/>
      <c r="F9645" s="33"/>
      <c r="G9645" s="33"/>
      <c r="H9645" s="31"/>
    </row>
    <row r="9646" spans="2:8" hidden="1">
      <c r="B9646" s="33"/>
      <c r="C9646" s="31"/>
      <c r="D9646" s="31"/>
      <c r="E9646" s="31"/>
      <c r="F9646" s="31"/>
      <c r="G9646" s="31"/>
      <c r="H9646" s="31"/>
    </row>
    <row r="9647" spans="2:8" hidden="1">
      <c r="B9647" s="33"/>
      <c r="C9647" s="31"/>
      <c r="D9647" s="31"/>
      <c r="E9647" s="31"/>
      <c r="F9647" s="31"/>
      <c r="G9647" s="31"/>
      <c r="H9647" s="31"/>
    </row>
    <row r="9648" spans="2:8" hidden="1">
      <c r="B9648" s="33"/>
      <c r="C9648" s="31"/>
      <c r="D9648" s="31"/>
      <c r="E9648" s="31"/>
      <c r="F9648" s="691"/>
      <c r="G9648" s="75"/>
      <c r="H9648" s="31"/>
    </row>
    <row r="9649" spans="2:8" hidden="1">
      <c r="B9649" s="33"/>
      <c r="C9649" s="31"/>
      <c r="D9649" s="31"/>
      <c r="E9649" s="31"/>
      <c r="F9649" s="691"/>
      <c r="G9649" s="75"/>
      <c r="H9649" s="31"/>
    </row>
    <row r="9650" spans="2:8" hidden="1">
      <c r="B9650" s="33"/>
      <c r="C9650" s="31"/>
      <c r="D9650" s="31"/>
      <c r="E9650" s="31"/>
      <c r="F9650" s="691"/>
      <c r="G9650" s="75"/>
      <c r="H9650" s="31"/>
    </row>
    <row r="9651" spans="2:8" hidden="1">
      <c r="B9651" s="33"/>
      <c r="C9651" s="31"/>
      <c r="D9651" s="31"/>
      <c r="E9651" s="31"/>
      <c r="F9651" s="691"/>
      <c r="G9651" s="75"/>
      <c r="H9651" s="31"/>
    </row>
    <row r="9652" spans="2:8" hidden="1">
      <c r="B9652" s="33"/>
      <c r="C9652" s="31"/>
      <c r="D9652" s="31"/>
      <c r="E9652" s="31"/>
      <c r="F9652" s="691"/>
      <c r="G9652" s="75"/>
      <c r="H9652" s="31"/>
    </row>
    <row r="9653" spans="2:8" hidden="1">
      <c r="B9653" s="33"/>
      <c r="C9653" s="31"/>
      <c r="D9653" s="31"/>
      <c r="E9653" s="31"/>
      <c r="F9653" s="691"/>
      <c r="G9653" s="75"/>
      <c r="H9653" s="31"/>
    </row>
    <row r="9654" spans="2:8" hidden="1">
      <c r="B9654" s="33"/>
      <c r="C9654" s="31"/>
      <c r="D9654" s="31"/>
      <c r="E9654" s="31"/>
      <c r="F9654" s="691"/>
      <c r="G9654" s="75"/>
      <c r="H9654" s="31"/>
    </row>
    <row r="9655" spans="2:8" hidden="1">
      <c r="B9655" s="33"/>
      <c r="C9655" s="31"/>
      <c r="D9655" s="31"/>
      <c r="E9655" s="31"/>
      <c r="F9655" s="691"/>
      <c r="G9655" s="31"/>
      <c r="H9655" s="31"/>
    </row>
    <row r="9656" spans="2:8" hidden="1">
      <c r="B9656" s="33"/>
      <c r="C9656" s="31"/>
      <c r="D9656" s="31"/>
      <c r="E9656" s="31"/>
      <c r="F9656" s="691"/>
      <c r="G9656" s="31"/>
      <c r="H9656" s="31"/>
    </row>
    <row r="9657" spans="2:8" hidden="1">
      <c r="B9657" s="33"/>
      <c r="C9657" s="31"/>
      <c r="D9657" s="31"/>
      <c r="E9657" s="31"/>
      <c r="F9657" s="31"/>
      <c r="G9657" s="31"/>
      <c r="H9657" s="31"/>
    </row>
    <row r="9658" spans="2:8" hidden="1">
      <c r="B9658" s="33"/>
      <c r="C9658" s="31"/>
      <c r="D9658" s="31"/>
      <c r="E9658" s="31"/>
      <c r="F9658" s="31"/>
      <c r="G9658" s="31"/>
      <c r="H9658" s="31"/>
    </row>
    <row r="9659" spans="2:8" hidden="1">
      <c r="B9659" s="33"/>
      <c r="C9659" s="31"/>
      <c r="D9659" s="31"/>
      <c r="E9659" s="31"/>
      <c r="F9659" s="31"/>
      <c r="G9659" s="31"/>
      <c r="H9659" s="31"/>
    </row>
    <row r="9660" spans="2:8" hidden="1">
      <c r="B9660" s="33"/>
      <c r="C9660" s="31"/>
      <c r="D9660" s="31"/>
      <c r="E9660" s="31"/>
      <c r="F9660" s="31"/>
      <c r="G9660" s="31"/>
      <c r="H9660" s="31"/>
    </row>
    <row r="9661" spans="2:8" hidden="1">
      <c r="B9661" s="33"/>
      <c r="C9661" s="31"/>
      <c r="D9661" s="31"/>
      <c r="E9661" s="31"/>
      <c r="F9661" s="31"/>
      <c r="G9661" s="31"/>
      <c r="H9661" s="31"/>
    </row>
    <row r="9662" spans="2:8" hidden="1">
      <c r="B9662" s="33"/>
      <c r="C9662" s="31"/>
      <c r="D9662" s="31"/>
      <c r="E9662" s="31"/>
      <c r="F9662" s="31"/>
      <c r="G9662" s="31"/>
      <c r="H9662" s="31"/>
    </row>
    <row r="9663" spans="2:8" hidden="1">
      <c r="B9663" s="33"/>
      <c r="C9663" s="31"/>
      <c r="D9663" s="31"/>
      <c r="E9663" s="31"/>
      <c r="F9663" s="31"/>
      <c r="G9663" s="31"/>
      <c r="H9663" s="31"/>
    </row>
    <row r="9664" spans="2:8" hidden="1">
      <c r="B9664" s="33"/>
      <c r="C9664" s="31"/>
      <c r="D9664" s="31"/>
      <c r="E9664" s="31"/>
      <c r="F9664" s="31"/>
      <c r="G9664" s="31"/>
      <c r="H9664" s="31"/>
    </row>
    <row r="9665" spans="2:8" hidden="1">
      <c r="B9665" s="33"/>
      <c r="C9665" s="31"/>
      <c r="D9665" s="31"/>
      <c r="E9665" s="31"/>
      <c r="F9665" s="31"/>
      <c r="G9665" s="31"/>
      <c r="H9665" s="31"/>
    </row>
    <row r="9666" spans="2:8" hidden="1">
      <c r="B9666" s="33"/>
      <c r="C9666" s="31"/>
      <c r="D9666" s="33"/>
      <c r="E9666" s="31"/>
      <c r="F9666" s="33"/>
      <c r="G9666" s="33"/>
      <c r="H9666" s="31"/>
    </row>
    <row r="9667" spans="2:8" hidden="1">
      <c r="B9667" s="33"/>
      <c r="C9667" s="31"/>
      <c r="D9667" s="33"/>
      <c r="E9667" s="33"/>
      <c r="F9667" s="33"/>
      <c r="G9667" s="33"/>
      <c r="H9667" s="31"/>
    </row>
    <row r="9668" spans="2:8" hidden="1">
      <c r="B9668" s="200"/>
      <c r="C9668" s="31"/>
      <c r="D9668" s="75"/>
      <c r="E9668" s="771"/>
      <c r="F9668" s="33"/>
      <c r="G9668" s="33"/>
      <c r="H9668" s="31"/>
    </row>
    <row r="9669" spans="2:8" hidden="1">
      <c r="B9669" s="200"/>
      <c r="C9669" s="31"/>
      <c r="D9669" s="75"/>
      <c r="E9669" s="771"/>
      <c r="F9669" s="771"/>
      <c r="G9669" s="31"/>
      <c r="H9669" s="31"/>
    </row>
    <row r="9670" spans="2:8" hidden="1">
      <c r="B9670" s="200"/>
      <c r="C9670" s="31"/>
      <c r="D9670" s="75"/>
      <c r="E9670" s="771"/>
      <c r="F9670" s="771"/>
      <c r="G9670" s="31"/>
      <c r="H9670" s="31"/>
    </row>
    <row r="9671" spans="2:8" hidden="1">
      <c r="B9671" s="200"/>
      <c r="C9671" s="31"/>
      <c r="D9671" s="75"/>
      <c r="E9671" s="771"/>
      <c r="F9671" s="771"/>
      <c r="G9671" s="31"/>
      <c r="H9671" s="31"/>
    </row>
    <row r="9672" spans="2:8" hidden="1">
      <c r="B9672" s="200"/>
      <c r="C9672" s="31"/>
      <c r="D9672" s="75"/>
      <c r="E9672" s="771"/>
      <c r="F9672" s="771"/>
      <c r="G9672" s="31"/>
      <c r="H9672" s="31"/>
    </row>
    <row r="9673" spans="2:8" hidden="1">
      <c r="B9673" s="200"/>
      <c r="C9673" s="31"/>
      <c r="D9673" s="75"/>
      <c r="E9673" s="771"/>
      <c r="F9673" s="771"/>
      <c r="G9673" s="31"/>
      <c r="H9673" s="31"/>
    </row>
    <row r="9674" spans="2:8" hidden="1">
      <c r="B9674" s="200"/>
      <c r="C9674" s="31"/>
      <c r="D9674" s="75"/>
      <c r="E9674" s="771"/>
      <c r="F9674" s="771"/>
      <c r="G9674" s="31"/>
      <c r="H9674" s="31"/>
    </row>
    <row r="9675" spans="2:8" hidden="1">
      <c r="B9675" s="200"/>
      <c r="C9675" s="31"/>
      <c r="D9675" s="75"/>
      <c r="E9675" s="771"/>
      <c r="F9675" s="771"/>
      <c r="G9675" s="31"/>
      <c r="H9675" s="31"/>
    </row>
    <row r="9676" spans="2:8" hidden="1">
      <c r="B9676" s="200"/>
      <c r="C9676" s="31"/>
      <c r="D9676" s="75"/>
      <c r="E9676" s="771"/>
      <c r="F9676" s="771"/>
      <c r="G9676" s="31"/>
      <c r="H9676" s="31"/>
    </row>
    <row r="9677" spans="2:8" hidden="1">
      <c r="B9677" s="200"/>
      <c r="C9677" s="31"/>
      <c r="D9677" s="75"/>
      <c r="E9677" s="771"/>
      <c r="F9677" s="771"/>
      <c r="G9677" s="31"/>
      <c r="H9677" s="31"/>
    </row>
    <row r="9678" spans="2:8" hidden="1">
      <c r="B9678" s="200"/>
      <c r="C9678" s="31"/>
      <c r="D9678" s="75"/>
      <c r="E9678" s="771"/>
      <c r="F9678" s="772"/>
      <c r="G9678" s="33"/>
      <c r="H9678" s="31"/>
    </row>
    <row r="9679" spans="2:8" hidden="1">
      <c r="B9679" s="200"/>
      <c r="C9679" s="31"/>
      <c r="D9679" s="75"/>
      <c r="E9679" s="771"/>
      <c r="F9679" s="771"/>
      <c r="G9679" s="31"/>
      <c r="H9679" s="31"/>
    </row>
    <row r="9680" spans="2:8" hidden="1">
      <c r="B9680" s="200"/>
      <c r="C9680" s="31"/>
      <c r="D9680" s="75"/>
      <c r="E9680" s="771"/>
      <c r="F9680" s="771"/>
      <c r="G9680" s="31"/>
      <c r="H9680" s="31"/>
    </row>
    <row r="9681" spans="2:8" hidden="1">
      <c r="B9681" s="200"/>
      <c r="C9681" s="31"/>
      <c r="D9681" s="75"/>
      <c r="E9681" s="772"/>
      <c r="F9681" s="771"/>
      <c r="G9681" s="31"/>
      <c r="H9681" s="31"/>
    </row>
    <row r="9682" spans="2:8" hidden="1">
      <c r="B9682" s="200"/>
      <c r="C9682" s="31"/>
      <c r="D9682" s="75"/>
      <c r="E9682" s="771"/>
      <c r="F9682" s="771"/>
      <c r="G9682" s="31"/>
      <c r="H9682" s="31"/>
    </row>
    <row r="9683" spans="2:8" hidden="1">
      <c r="B9683" s="200"/>
      <c r="C9683" s="31"/>
      <c r="D9683" s="75"/>
      <c r="E9683" s="771"/>
      <c r="F9683" s="771"/>
      <c r="G9683" s="31"/>
      <c r="H9683" s="31"/>
    </row>
    <row r="9684" spans="2:8" hidden="1">
      <c r="B9684" s="200"/>
      <c r="C9684" s="31"/>
      <c r="D9684" s="75"/>
      <c r="E9684" s="771"/>
      <c r="F9684" s="771"/>
      <c r="G9684" s="31"/>
      <c r="H9684" s="31"/>
    </row>
    <row r="9685" spans="2:8" hidden="1">
      <c r="B9685" s="200"/>
      <c r="C9685" s="31"/>
      <c r="D9685" s="75"/>
      <c r="E9685" s="772"/>
      <c r="F9685" s="772"/>
      <c r="G9685" s="33"/>
      <c r="H9685" s="31"/>
    </row>
    <row r="9686" spans="2:8" hidden="1">
      <c r="B9686" s="200"/>
      <c r="C9686" s="31"/>
      <c r="D9686" s="75"/>
      <c r="E9686" s="771"/>
      <c r="F9686" s="771"/>
      <c r="G9686" s="31"/>
      <c r="H9686" s="31"/>
    </row>
    <row r="9687" spans="2:8" hidden="1">
      <c r="B9687" s="200"/>
      <c r="C9687" s="31"/>
      <c r="D9687" s="75"/>
      <c r="E9687" s="771"/>
      <c r="F9687" s="772"/>
      <c r="G9687" s="33"/>
      <c r="H9687" s="31"/>
    </row>
    <row r="9688" spans="2:8" hidden="1">
      <c r="B9688" s="200"/>
      <c r="C9688" s="31"/>
      <c r="D9688" s="31"/>
      <c r="E9688" s="772"/>
      <c r="F9688" s="772"/>
      <c r="G9688" s="33"/>
      <c r="H9688" s="31"/>
    </row>
    <row r="9689" spans="2:8" hidden="1">
      <c r="B9689" s="200"/>
      <c r="C9689" s="31"/>
      <c r="D9689" s="75"/>
      <c r="E9689" s="772"/>
      <c r="F9689" s="771"/>
      <c r="G9689" s="31"/>
      <c r="H9689" s="31"/>
    </row>
    <row r="9690" spans="2:8" hidden="1">
      <c r="B9690" s="200"/>
      <c r="C9690" s="31"/>
      <c r="D9690" s="75"/>
      <c r="E9690" s="771"/>
      <c r="F9690" s="772"/>
      <c r="G9690" s="33"/>
      <c r="H9690" s="31"/>
    </row>
    <row r="9691" spans="2:8" hidden="1">
      <c r="B9691" s="200"/>
      <c r="C9691" s="31"/>
      <c r="D9691" s="31"/>
      <c r="E9691" s="772"/>
      <c r="F9691" s="772"/>
      <c r="G9691" s="33"/>
      <c r="H9691" s="31"/>
    </row>
    <row r="9692" spans="2:8" hidden="1">
      <c r="B9692" s="200"/>
      <c r="C9692" s="31"/>
      <c r="D9692" s="75"/>
      <c r="E9692" s="771"/>
      <c r="F9692" s="771"/>
      <c r="G9692" s="31"/>
      <c r="H9692" s="31"/>
    </row>
    <row r="9693" spans="2:8" hidden="1">
      <c r="B9693" s="200"/>
      <c r="C9693" s="31"/>
      <c r="D9693" s="75"/>
      <c r="E9693" s="772"/>
      <c r="F9693" s="772"/>
      <c r="G9693" s="33"/>
      <c r="H9693" s="31"/>
    </row>
    <row r="9694" spans="2:8" hidden="1">
      <c r="B9694" s="200"/>
      <c r="C9694" s="31"/>
      <c r="D9694" s="75"/>
      <c r="E9694" s="772"/>
      <c r="F9694" s="772"/>
      <c r="G9694" s="33"/>
      <c r="H9694" s="31"/>
    </row>
    <row r="9695" spans="2:8" hidden="1">
      <c r="B9695" s="200"/>
      <c r="C9695" s="31"/>
      <c r="D9695" s="75"/>
      <c r="E9695" s="772"/>
      <c r="F9695" s="772"/>
      <c r="G9695" s="33"/>
      <c r="H9695" s="31"/>
    </row>
    <row r="9696" spans="2:8" hidden="1">
      <c r="B9696" s="33"/>
      <c r="C9696" s="200"/>
      <c r="D9696" s="75"/>
      <c r="E9696" s="771"/>
      <c r="F9696" s="771"/>
      <c r="G9696" s="31"/>
      <c r="H9696" s="31"/>
    </row>
    <row r="9697" spans="2:8" hidden="1">
      <c r="B9697" s="33"/>
      <c r="C9697" s="200"/>
      <c r="D9697" s="75"/>
      <c r="E9697" s="771"/>
      <c r="F9697" s="771"/>
      <c r="G9697" s="31"/>
      <c r="H9697" s="31"/>
    </row>
    <row r="9698" spans="2:8" hidden="1">
      <c r="B9698" s="33"/>
      <c r="C9698" s="31"/>
      <c r="D9698" s="33"/>
      <c r="E9698" s="772"/>
      <c r="F9698" s="772"/>
      <c r="G9698" s="33"/>
      <c r="H9698" s="31"/>
    </row>
    <row r="9699" spans="2:8" hidden="1">
      <c r="B9699" s="33"/>
      <c r="C9699" s="31"/>
      <c r="D9699" s="31"/>
      <c r="E9699" s="31"/>
      <c r="F9699" s="31"/>
      <c r="G9699" s="31"/>
      <c r="H9699" s="31"/>
    </row>
    <row r="9700" spans="2:8" hidden="1">
      <c r="B9700" s="405"/>
      <c r="C9700" s="31"/>
      <c r="D9700" s="31"/>
      <c r="E9700" s="31"/>
      <c r="F9700" s="31"/>
      <c r="G9700" s="31"/>
      <c r="H9700" s="31"/>
    </row>
    <row r="9701" spans="2:8" hidden="1">
      <c r="B9701" s="405"/>
      <c r="C9701" s="31"/>
      <c r="D9701" s="31"/>
      <c r="E9701" s="31"/>
      <c r="F9701" s="691"/>
      <c r="G9701" s="75"/>
      <c r="H9701" s="31"/>
    </row>
    <row r="9702" spans="2:8" hidden="1">
      <c r="B9702" s="405"/>
      <c r="C9702" s="31"/>
      <c r="D9702" s="31"/>
      <c r="E9702" s="31"/>
      <c r="F9702" s="691"/>
      <c r="G9702" s="75"/>
      <c r="H9702" s="31"/>
    </row>
    <row r="9703" spans="2:8" hidden="1">
      <c r="B9703" s="405"/>
      <c r="C9703" s="31"/>
      <c r="D9703" s="31"/>
      <c r="E9703" s="31"/>
      <c r="F9703" s="691"/>
      <c r="G9703" s="75"/>
      <c r="H9703" s="31"/>
    </row>
    <row r="9704" spans="2:8" hidden="1">
      <c r="B9704" s="405"/>
      <c r="C9704" s="31"/>
      <c r="D9704" s="31"/>
      <c r="E9704" s="31"/>
      <c r="F9704" s="691"/>
      <c r="G9704" s="75"/>
      <c r="H9704" s="31"/>
    </row>
    <row r="9705" spans="2:8" hidden="1">
      <c r="B9705" s="405"/>
      <c r="C9705" s="31"/>
      <c r="D9705" s="31"/>
      <c r="E9705" s="31"/>
      <c r="F9705" s="691"/>
      <c r="G9705" s="75"/>
      <c r="H9705" s="31"/>
    </row>
    <row r="9706" spans="2:8" hidden="1">
      <c r="B9706" s="405"/>
      <c r="C9706" s="31"/>
      <c r="D9706" s="31"/>
      <c r="E9706" s="31"/>
      <c r="F9706" s="691"/>
      <c r="G9706" s="75"/>
      <c r="H9706" s="31"/>
    </row>
    <row r="9707" spans="2:8" hidden="1">
      <c r="B9707" s="405"/>
      <c r="C9707" s="31"/>
      <c r="D9707" s="31"/>
      <c r="E9707" s="31"/>
      <c r="F9707" s="691"/>
      <c r="G9707" s="75"/>
      <c r="H9707" s="31"/>
    </row>
    <row r="9708" spans="2:8" hidden="1">
      <c r="B9708" s="405"/>
      <c r="C9708" s="31"/>
      <c r="D9708" s="31"/>
      <c r="E9708" s="31"/>
      <c r="F9708" s="691"/>
      <c r="G9708" s="75"/>
      <c r="H9708" s="31"/>
    </row>
    <row r="9709" spans="2:8" hidden="1">
      <c r="B9709" s="405"/>
      <c r="C9709" s="31"/>
      <c r="D9709" s="31"/>
      <c r="E9709" s="31"/>
      <c r="F9709" s="691"/>
      <c r="G9709" s="75"/>
      <c r="H9709" s="31"/>
    </row>
    <row r="9710" spans="2:8" hidden="1">
      <c r="B9710" s="405"/>
      <c r="C9710" s="31"/>
      <c r="D9710" s="31"/>
      <c r="E9710" s="31"/>
      <c r="F9710" s="691"/>
      <c r="G9710" s="75"/>
      <c r="H9710" s="31"/>
    </row>
    <row r="9711" spans="2:8" hidden="1">
      <c r="B9711" s="405"/>
      <c r="C9711" s="31"/>
      <c r="D9711" s="31"/>
      <c r="E9711" s="31"/>
      <c r="F9711" s="691"/>
      <c r="G9711" s="75"/>
      <c r="H9711" s="31"/>
    </row>
    <row r="9712" spans="2:8" hidden="1">
      <c r="B9712" s="405"/>
      <c r="C9712" s="31"/>
      <c r="D9712" s="31"/>
      <c r="E9712" s="31"/>
      <c r="F9712" s="691"/>
      <c r="G9712" s="75"/>
      <c r="H9712" s="31"/>
    </row>
    <row r="9713" spans="2:8" hidden="1">
      <c r="B9713" s="33"/>
      <c r="C9713" s="31"/>
      <c r="D9713" s="31"/>
      <c r="E9713" s="31"/>
      <c r="F9713" s="691"/>
      <c r="G9713" s="75"/>
      <c r="H9713" s="31"/>
    </row>
    <row r="9714" spans="2:8" hidden="1">
      <c r="B9714" s="33"/>
      <c r="C9714" s="31"/>
      <c r="D9714" s="31"/>
      <c r="E9714" s="31"/>
      <c r="F9714" s="691"/>
      <c r="G9714" s="31"/>
      <c r="H9714" s="31"/>
    </row>
    <row r="9715" spans="2:8" hidden="1">
      <c r="B9715" s="33"/>
      <c r="C9715" s="31"/>
      <c r="D9715" s="31"/>
      <c r="E9715" s="31"/>
      <c r="F9715" s="31"/>
      <c r="G9715" s="31"/>
      <c r="H9715" s="31"/>
    </row>
    <row r="9716" spans="2:8" hidden="1">
      <c r="B9716" s="33"/>
      <c r="C9716" s="31"/>
      <c r="D9716" s="31"/>
      <c r="E9716" s="31"/>
      <c r="F9716" s="31"/>
      <c r="G9716" s="31"/>
      <c r="H9716" s="31"/>
    </row>
    <row r="9717" spans="2:8" hidden="1">
      <c r="B9717" s="33"/>
      <c r="C9717" s="31"/>
      <c r="D9717" s="31"/>
      <c r="E9717" s="31"/>
      <c r="F9717" s="31"/>
      <c r="G9717" s="31"/>
      <c r="H9717" s="31"/>
    </row>
    <row r="9718" spans="2:8" hidden="1">
      <c r="B9718" s="33"/>
      <c r="C9718" s="31"/>
      <c r="D9718" s="31"/>
      <c r="E9718" s="31"/>
      <c r="F9718" s="31"/>
      <c r="G9718" s="31"/>
      <c r="H9718" s="31"/>
    </row>
    <row r="9719" spans="2:8" hidden="1">
      <c r="B9719" s="33"/>
      <c r="C9719" s="31"/>
      <c r="D9719" s="31"/>
      <c r="E9719" s="31"/>
      <c r="F9719" s="31"/>
      <c r="G9719" s="31"/>
      <c r="H9719" s="31"/>
    </row>
    <row r="9720" spans="2:8" hidden="1">
      <c r="B9720" s="33"/>
      <c r="C9720" s="31"/>
      <c r="D9720" s="31"/>
      <c r="E9720" s="31"/>
      <c r="F9720" s="31"/>
      <c r="G9720" s="31"/>
      <c r="H9720" s="31"/>
    </row>
    <row r="9721" spans="2:8" hidden="1">
      <c r="B9721" s="33"/>
      <c r="C9721" s="31"/>
      <c r="D9721" s="31"/>
      <c r="E9721" s="31"/>
      <c r="F9721" s="31"/>
      <c r="G9721" s="31"/>
      <c r="H9721" s="31"/>
    </row>
    <row r="9722" spans="2:8" hidden="1">
      <c r="B9722" s="33"/>
      <c r="C9722" s="31"/>
      <c r="D9722" s="31"/>
      <c r="E9722" s="31"/>
      <c r="F9722" s="31"/>
      <c r="G9722" s="31"/>
      <c r="H9722" s="31"/>
    </row>
    <row r="9723" spans="2:8" hidden="1">
      <c r="B9723" s="33"/>
      <c r="C9723" s="31"/>
      <c r="D9723" s="31"/>
      <c r="E9723" s="31"/>
      <c r="F9723" s="31"/>
      <c r="G9723" s="31"/>
      <c r="H9723" s="31"/>
    </row>
    <row r="9724" spans="2:8" hidden="1">
      <c r="B9724" s="33"/>
      <c r="C9724" s="31"/>
      <c r="D9724" s="31"/>
      <c r="E9724" s="31"/>
      <c r="F9724" s="31"/>
      <c r="G9724" s="31"/>
      <c r="H9724" s="31"/>
    </row>
    <row r="9725" spans="2:8" hidden="1">
      <c r="B9725" s="33"/>
      <c r="C9725" s="31"/>
      <c r="D9725" s="31"/>
      <c r="E9725" s="31"/>
      <c r="F9725" s="31"/>
      <c r="G9725" s="31"/>
      <c r="H9725" s="31"/>
    </row>
    <row r="9726" spans="2:8" hidden="1">
      <c r="B9726" s="33"/>
      <c r="C9726" s="31"/>
      <c r="D9726" s="31"/>
      <c r="E9726" s="31"/>
      <c r="F9726" s="31"/>
      <c r="G9726" s="31"/>
      <c r="H9726" s="31"/>
    </row>
    <row r="9727" spans="2:8" hidden="1">
      <c r="B9727" s="33"/>
      <c r="C9727" s="31"/>
      <c r="D9727" s="31"/>
      <c r="E9727" s="31"/>
      <c r="F9727" s="31"/>
      <c r="G9727" s="31"/>
      <c r="H9727" s="31"/>
    </row>
    <row r="9728" spans="2:8" hidden="1">
      <c r="B9728" s="33"/>
      <c r="C9728" s="31"/>
      <c r="D9728" s="31"/>
      <c r="E9728" s="31"/>
      <c r="F9728" s="31"/>
      <c r="G9728" s="31"/>
      <c r="H9728" s="31"/>
    </row>
    <row r="9729" spans="2:8" hidden="1">
      <c r="B9729" s="33"/>
      <c r="C9729" s="31"/>
      <c r="D9729" s="31"/>
      <c r="E9729" s="31"/>
      <c r="F9729" s="31"/>
      <c r="G9729" s="31"/>
      <c r="H9729" s="31"/>
    </row>
    <row r="9730" spans="2:8" hidden="1">
      <c r="B9730" s="33"/>
      <c r="C9730" s="31"/>
      <c r="D9730" s="31"/>
      <c r="E9730" s="31"/>
      <c r="F9730" s="31"/>
      <c r="G9730" s="31"/>
      <c r="H9730" s="31"/>
    </row>
    <row r="9731" spans="2:8" hidden="1">
      <c r="B9731" s="33"/>
      <c r="C9731" s="31"/>
      <c r="D9731" s="31"/>
      <c r="E9731" s="31"/>
      <c r="F9731" s="31"/>
      <c r="G9731" s="31"/>
      <c r="H9731" s="31"/>
    </row>
    <row r="9732" spans="2:8" hidden="1">
      <c r="B9732" s="33"/>
      <c r="C9732" s="31"/>
      <c r="D9732" s="31"/>
      <c r="E9732" s="31"/>
      <c r="F9732" s="31"/>
      <c r="G9732" s="31"/>
      <c r="H9732" s="31"/>
    </row>
    <row r="9733" spans="2:8" hidden="1">
      <c r="B9733" s="33"/>
      <c r="C9733" s="31"/>
      <c r="D9733" s="31"/>
      <c r="E9733" s="31"/>
      <c r="F9733" s="31"/>
      <c r="G9733" s="31"/>
      <c r="H9733" s="31"/>
    </row>
    <row r="9734" spans="2:8" hidden="1">
      <c r="B9734" s="33"/>
      <c r="C9734" s="31"/>
      <c r="D9734" s="31"/>
      <c r="E9734" s="31"/>
      <c r="F9734" s="31"/>
      <c r="G9734" s="31"/>
      <c r="H9734" s="31"/>
    </row>
    <row r="9735" spans="2:8" hidden="1">
      <c r="B9735" s="33"/>
      <c r="C9735" s="31"/>
      <c r="D9735" s="31"/>
      <c r="E9735" s="31"/>
      <c r="F9735" s="31"/>
      <c r="G9735" s="31"/>
      <c r="H9735" s="31"/>
    </row>
    <row r="9736" spans="2:8" hidden="1">
      <c r="B9736" s="33"/>
      <c r="C9736" s="31"/>
      <c r="D9736" s="31"/>
      <c r="E9736" s="31"/>
      <c r="F9736" s="31"/>
      <c r="G9736" s="31"/>
      <c r="H9736" s="31"/>
    </row>
    <row r="9737" spans="2:8" hidden="1">
      <c r="B9737" s="33"/>
      <c r="C9737" s="31"/>
      <c r="D9737" s="31"/>
      <c r="E9737" s="31"/>
      <c r="F9737" s="31"/>
      <c r="G9737" s="31"/>
      <c r="H9737" s="31"/>
    </row>
    <row r="9738" spans="2:8" hidden="1">
      <c r="B9738" s="33"/>
      <c r="C9738" s="31"/>
      <c r="D9738" s="31"/>
      <c r="E9738" s="31"/>
      <c r="F9738" s="31"/>
      <c r="G9738" s="31"/>
      <c r="H9738" s="31"/>
    </row>
    <row r="9739" spans="2:8" hidden="1">
      <c r="B9739" s="33"/>
      <c r="C9739" s="31"/>
      <c r="D9739" s="31"/>
      <c r="E9739" s="31"/>
      <c r="F9739" s="31"/>
      <c r="G9739" s="31"/>
      <c r="H9739" s="31"/>
    </row>
    <row r="9740" spans="2:8" hidden="1">
      <c r="B9740" s="33"/>
      <c r="C9740" s="31"/>
      <c r="D9740" s="31"/>
      <c r="E9740" s="31"/>
      <c r="F9740" s="31"/>
      <c r="G9740" s="31"/>
      <c r="H9740" s="31"/>
    </row>
    <row r="9741" spans="2:8" hidden="1">
      <c r="B9741" s="33"/>
      <c r="C9741" s="31"/>
      <c r="D9741" s="31"/>
      <c r="E9741" s="31"/>
      <c r="F9741" s="31"/>
      <c r="G9741" s="31"/>
      <c r="H9741" s="31"/>
    </row>
    <row r="9742" spans="2:8" hidden="1">
      <c r="B9742" s="33"/>
      <c r="C9742" s="31"/>
      <c r="D9742" s="31"/>
      <c r="E9742" s="31"/>
      <c r="F9742" s="31"/>
      <c r="G9742" s="31"/>
      <c r="H9742" s="31"/>
    </row>
    <row r="9743" spans="2:8" hidden="1">
      <c r="B9743" s="33"/>
      <c r="C9743" s="31"/>
      <c r="D9743" s="31"/>
      <c r="E9743" s="31"/>
      <c r="F9743" s="31"/>
      <c r="G9743" s="31"/>
      <c r="H9743" s="31"/>
    </row>
    <row r="9744" spans="2:8" hidden="1">
      <c r="B9744" s="33"/>
      <c r="C9744" s="31"/>
      <c r="D9744" s="31"/>
      <c r="E9744" s="31"/>
      <c r="F9744" s="31"/>
      <c r="G9744" s="31"/>
      <c r="H9744" s="31"/>
    </row>
    <row r="9745" spans="2:8" hidden="1">
      <c r="B9745" s="33"/>
      <c r="C9745" s="31"/>
      <c r="D9745" s="31"/>
      <c r="E9745" s="31"/>
      <c r="F9745" s="31"/>
      <c r="G9745" s="31"/>
      <c r="H9745" s="31"/>
    </row>
    <row r="9746" spans="2:8" hidden="1">
      <c r="B9746" s="33"/>
      <c r="C9746" s="31"/>
      <c r="D9746" s="31"/>
      <c r="E9746" s="31"/>
      <c r="F9746" s="31"/>
      <c r="G9746" s="31"/>
      <c r="H9746" s="31"/>
    </row>
    <row r="9747" spans="2:8" hidden="1">
      <c r="B9747" s="33"/>
      <c r="C9747" s="31"/>
      <c r="D9747" s="31"/>
      <c r="E9747" s="31"/>
      <c r="F9747" s="31"/>
      <c r="G9747" s="31"/>
      <c r="H9747" s="31"/>
    </row>
    <row r="9748" spans="2:8" hidden="1">
      <c r="B9748" s="33"/>
      <c r="C9748" s="31"/>
      <c r="D9748" s="31"/>
      <c r="E9748" s="31"/>
      <c r="F9748" s="31"/>
      <c r="G9748" s="31"/>
      <c r="H9748" s="31"/>
    </row>
    <row r="9749" spans="2:8" hidden="1">
      <c r="B9749" s="33"/>
      <c r="C9749" s="31"/>
      <c r="D9749" s="31"/>
      <c r="E9749" s="31"/>
      <c r="F9749" s="31"/>
      <c r="G9749" s="31"/>
      <c r="H9749" s="31"/>
    </row>
    <row r="9750" spans="2:8" hidden="1">
      <c r="B9750" s="33"/>
      <c r="C9750" s="31"/>
      <c r="D9750" s="31"/>
      <c r="E9750" s="31"/>
      <c r="F9750" s="31"/>
      <c r="G9750" s="31"/>
      <c r="H9750" s="31"/>
    </row>
    <row r="9751" spans="2:8" hidden="1">
      <c r="B9751" s="33"/>
      <c r="C9751" s="31"/>
      <c r="D9751" s="31"/>
      <c r="E9751" s="31"/>
      <c r="F9751" s="31"/>
      <c r="G9751" s="31"/>
      <c r="H9751" s="31"/>
    </row>
    <row r="9752" spans="2:8" hidden="1">
      <c r="B9752" s="33"/>
      <c r="C9752" s="31"/>
      <c r="D9752" s="31"/>
      <c r="E9752" s="31"/>
      <c r="F9752" s="31"/>
      <c r="G9752" s="31"/>
      <c r="H9752" s="31"/>
    </row>
    <row r="9753" spans="2:8" hidden="1">
      <c r="B9753" s="33"/>
      <c r="C9753" s="31"/>
      <c r="D9753" s="31"/>
      <c r="E9753" s="31"/>
      <c r="F9753" s="31"/>
      <c r="G9753" s="31"/>
      <c r="H9753" s="31"/>
    </row>
    <row r="9754" spans="2:8" hidden="1">
      <c r="B9754" s="33"/>
      <c r="C9754" s="31"/>
      <c r="D9754" s="31"/>
      <c r="E9754" s="31"/>
      <c r="F9754" s="31"/>
      <c r="G9754" s="31"/>
      <c r="H9754" s="31"/>
    </row>
    <row r="9755" spans="2:8" hidden="1">
      <c r="B9755" s="33"/>
      <c r="C9755" s="31"/>
      <c r="D9755" s="31"/>
      <c r="E9755" s="31"/>
      <c r="F9755" s="31"/>
      <c r="G9755" s="31"/>
      <c r="H9755" s="31"/>
    </row>
    <row r="9756" spans="2:8" hidden="1">
      <c r="B9756" s="33"/>
      <c r="C9756" s="31"/>
      <c r="D9756" s="31"/>
      <c r="E9756" s="31"/>
      <c r="F9756" s="31"/>
      <c r="G9756" s="31"/>
      <c r="H9756" s="31"/>
    </row>
    <row r="9757" spans="2:8" hidden="1">
      <c r="B9757" s="33"/>
      <c r="C9757" s="31"/>
      <c r="D9757" s="31"/>
      <c r="E9757" s="31"/>
      <c r="F9757" s="31"/>
      <c r="G9757" s="31"/>
      <c r="H9757" s="31"/>
    </row>
    <row r="9758" spans="2:8" hidden="1">
      <c r="B9758" s="33"/>
      <c r="C9758" s="31"/>
      <c r="D9758" s="31"/>
      <c r="E9758" s="31"/>
      <c r="F9758" s="31"/>
      <c r="G9758" s="31"/>
      <c r="H9758" s="31"/>
    </row>
    <row r="9759" spans="2:8" hidden="1">
      <c r="B9759" s="33"/>
      <c r="C9759" s="31"/>
      <c r="D9759" s="31"/>
      <c r="E9759" s="31"/>
      <c r="F9759" s="31"/>
      <c r="G9759" s="31"/>
      <c r="H9759" s="31"/>
    </row>
    <row r="9760" spans="2:8" hidden="1">
      <c r="B9760" s="33"/>
      <c r="C9760" s="31"/>
      <c r="D9760" s="31"/>
      <c r="E9760" s="31"/>
      <c r="F9760" s="31"/>
      <c r="G9760" s="31"/>
      <c r="H9760" s="31"/>
    </row>
    <row r="9761" spans="2:8" hidden="1">
      <c r="B9761" s="33"/>
      <c r="C9761" s="31"/>
      <c r="D9761" s="31"/>
      <c r="E9761" s="31"/>
      <c r="F9761" s="31"/>
      <c r="G9761" s="31"/>
      <c r="H9761" s="31"/>
    </row>
    <row r="9762" spans="2:8" hidden="1">
      <c r="B9762" s="33"/>
      <c r="C9762" s="31"/>
      <c r="D9762" s="31"/>
      <c r="E9762" s="31"/>
      <c r="F9762" s="31"/>
      <c r="G9762" s="31"/>
      <c r="H9762" s="31"/>
    </row>
    <row r="9763" spans="2:8" hidden="1">
      <c r="B9763" s="33"/>
      <c r="C9763" s="31"/>
      <c r="D9763" s="31"/>
      <c r="E9763" s="31"/>
      <c r="F9763" s="31"/>
      <c r="G9763" s="31"/>
      <c r="H9763" s="31"/>
    </row>
    <row r="9764" spans="2:8" hidden="1">
      <c r="B9764" s="33"/>
      <c r="C9764" s="31"/>
      <c r="D9764" s="31"/>
      <c r="E9764" s="31"/>
      <c r="F9764" s="31"/>
      <c r="G9764" s="31"/>
      <c r="H9764" s="31"/>
    </row>
    <row r="9765" spans="2:8" hidden="1">
      <c r="B9765" s="33"/>
      <c r="C9765" s="31"/>
      <c r="D9765" s="31"/>
      <c r="E9765" s="31"/>
      <c r="F9765" s="31"/>
      <c r="G9765" s="31"/>
      <c r="H9765" s="31"/>
    </row>
    <row r="9766" spans="2:8" hidden="1">
      <c r="B9766" s="33"/>
      <c r="C9766" s="31"/>
      <c r="D9766" s="31"/>
      <c r="E9766" s="31"/>
      <c r="F9766" s="31"/>
      <c r="G9766" s="31"/>
      <c r="H9766" s="31"/>
    </row>
    <row r="9767" spans="2:8" hidden="1">
      <c r="B9767" s="33"/>
      <c r="C9767" s="31"/>
      <c r="D9767" s="31"/>
      <c r="E9767" s="31"/>
      <c r="F9767" s="31"/>
      <c r="G9767" s="31"/>
      <c r="H9767" s="31"/>
    </row>
    <row r="9768" spans="2:8" hidden="1">
      <c r="B9768" s="33"/>
      <c r="C9768" s="31"/>
      <c r="D9768" s="31"/>
      <c r="E9768" s="31"/>
      <c r="F9768" s="31"/>
      <c r="G9768" s="31"/>
      <c r="H9768" s="31"/>
    </row>
    <row r="9769" spans="2:8" hidden="1">
      <c r="B9769" s="33"/>
      <c r="C9769" s="31"/>
      <c r="D9769" s="31"/>
      <c r="E9769" s="31"/>
      <c r="F9769" s="31"/>
      <c r="G9769" s="31"/>
      <c r="H9769" s="31"/>
    </row>
    <row r="9770" spans="2:8" hidden="1">
      <c r="B9770" s="33"/>
      <c r="C9770" s="31"/>
      <c r="D9770" s="31"/>
      <c r="E9770" s="31"/>
      <c r="F9770" s="31"/>
      <c r="G9770" s="31"/>
      <c r="H9770" s="31"/>
    </row>
    <row r="9771" spans="2:8" hidden="1">
      <c r="B9771" s="33"/>
      <c r="C9771" s="31"/>
      <c r="D9771" s="31"/>
      <c r="E9771" s="31"/>
      <c r="F9771" s="31"/>
      <c r="G9771" s="31"/>
      <c r="H9771" s="31"/>
    </row>
    <row r="9772" spans="2:8" hidden="1">
      <c r="B9772" s="33"/>
      <c r="C9772" s="31"/>
      <c r="D9772" s="31"/>
      <c r="E9772" s="31"/>
      <c r="F9772" s="31"/>
      <c r="G9772" s="31"/>
      <c r="H9772" s="31"/>
    </row>
    <row r="9773" spans="2:8" hidden="1">
      <c r="B9773" s="33"/>
      <c r="C9773" s="31"/>
      <c r="D9773" s="31"/>
      <c r="E9773" s="31"/>
      <c r="F9773" s="31"/>
      <c r="G9773" s="31"/>
      <c r="H9773" s="31"/>
    </row>
    <row r="9774" spans="2:8" hidden="1">
      <c r="B9774" s="33"/>
      <c r="C9774" s="31"/>
      <c r="D9774" s="31"/>
      <c r="E9774" s="31"/>
      <c r="F9774" s="31"/>
      <c r="G9774" s="31"/>
      <c r="H9774" s="31"/>
    </row>
    <row r="9775" spans="2:8" hidden="1">
      <c r="B9775" s="33"/>
      <c r="C9775" s="31"/>
      <c r="D9775" s="31"/>
      <c r="E9775" s="31"/>
      <c r="F9775" s="31"/>
      <c r="G9775" s="31"/>
      <c r="H9775" s="31"/>
    </row>
    <row r="9776" spans="2:8" hidden="1">
      <c r="B9776" s="33"/>
      <c r="C9776" s="31"/>
      <c r="D9776" s="31"/>
      <c r="E9776" s="31"/>
      <c r="F9776" s="31"/>
      <c r="G9776" s="31"/>
      <c r="H9776" s="31"/>
    </row>
    <row r="9777" spans="2:8" hidden="1">
      <c r="B9777" s="33"/>
      <c r="C9777" s="31"/>
      <c r="D9777" s="31"/>
      <c r="E9777" s="31"/>
      <c r="F9777" s="31"/>
      <c r="G9777" s="31"/>
      <c r="H9777" s="31"/>
    </row>
    <row r="9778" spans="2:8" hidden="1">
      <c r="B9778" s="33"/>
      <c r="C9778" s="31"/>
      <c r="D9778" s="31"/>
      <c r="E9778" s="31"/>
      <c r="F9778" s="31"/>
      <c r="G9778" s="31"/>
      <c r="H9778" s="31"/>
    </row>
    <row r="9779" spans="2:8" hidden="1">
      <c r="B9779" s="33"/>
      <c r="C9779" s="31"/>
      <c r="D9779" s="31"/>
      <c r="E9779" s="31"/>
      <c r="F9779" s="31"/>
      <c r="G9779" s="31"/>
      <c r="H9779" s="31"/>
    </row>
    <row r="9780" spans="2:8" hidden="1">
      <c r="B9780" s="33"/>
      <c r="C9780" s="31"/>
      <c r="D9780" s="31"/>
      <c r="E9780" s="31"/>
      <c r="F9780" s="31"/>
      <c r="G9780" s="31"/>
      <c r="H9780" s="31"/>
    </row>
    <row r="9781" spans="2:8" hidden="1">
      <c r="B9781" s="33"/>
      <c r="C9781" s="31"/>
      <c r="D9781" s="31"/>
      <c r="E9781" s="31"/>
      <c r="F9781" s="31"/>
      <c r="G9781" s="31"/>
      <c r="H9781" s="31"/>
    </row>
    <row r="9782" spans="2:8" hidden="1">
      <c r="B9782" s="33"/>
      <c r="C9782" s="31"/>
      <c r="D9782" s="31"/>
      <c r="E9782" s="31"/>
      <c r="F9782" s="31"/>
      <c r="G9782" s="31"/>
      <c r="H9782" s="31"/>
    </row>
    <row r="9783" spans="2:8" hidden="1">
      <c r="B9783" s="33"/>
      <c r="C9783" s="31"/>
      <c r="D9783" s="31"/>
      <c r="E9783" s="31"/>
      <c r="F9783" s="31"/>
      <c r="G9783" s="31"/>
      <c r="H9783" s="31"/>
    </row>
    <row r="9784" spans="2:8" hidden="1">
      <c r="B9784" s="33"/>
      <c r="C9784" s="31"/>
      <c r="D9784" s="31"/>
      <c r="E9784" s="31"/>
      <c r="F9784" s="31"/>
      <c r="G9784" s="31"/>
      <c r="H9784" s="31"/>
    </row>
    <row r="9785" spans="2:8" hidden="1">
      <c r="B9785" s="33"/>
      <c r="C9785" s="31"/>
      <c r="D9785" s="31"/>
      <c r="E9785" s="31"/>
      <c r="F9785" s="31"/>
      <c r="G9785" s="31"/>
      <c r="H9785" s="31"/>
    </row>
    <row r="9786" spans="2:8" hidden="1">
      <c r="B9786" s="33"/>
      <c r="C9786" s="31"/>
      <c r="D9786" s="31"/>
      <c r="E9786" s="31"/>
      <c r="F9786" s="31"/>
      <c r="G9786" s="31"/>
      <c r="H9786" s="31"/>
    </row>
    <row r="9787" spans="2:8" hidden="1">
      <c r="B9787" s="33"/>
      <c r="C9787" s="31"/>
      <c r="D9787" s="31"/>
      <c r="E9787" s="31"/>
      <c r="F9787" s="31"/>
      <c r="G9787" s="31"/>
      <c r="H9787" s="31"/>
    </row>
    <row r="9788" spans="2:8" hidden="1">
      <c r="B9788" s="33"/>
      <c r="C9788" s="31"/>
      <c r="D9788" s="31"/>
      <c r="E9788" s="31"/>
      <c r="F9788" s="31"/>
      <c r="G9788" s="31"/>
      <c r="H9788" s="31"/>
    </row>
    <row r="9789" spans="2:8" hidden="1">
      <c r="B9789" s="33"/>
      <c r="C9789" s="31"/>
      <c r="D9789" s="31"/>
      <c r="E9789" s="31"/>
      <c r="F9789" s="31"/>
      <c r="G9789" s="31"/>
      <c r="H9789" s="31"/>
    </row>
    <row r="9790" spans="2:8" hidden="1">
      <c r="B9790" s="33"/>
      <c r="C9790" s="31"/>
      <c r="D9790" s="31"/>
      <c r="E9790" s="31"/>
      <c r="F9790" s="31"/>
      <c r="G9790" s="31"/>
      <c r="H9790" s="31"/>
    </row>
    <row r="9791" spans="2:8" hidden="1">
      <c r="B9791" s="33"/>
      <c r="C9791" s="31"/>
      <c r="D9791" s="31"/>
      <c r="E9791" s="31"/>
      <c r="F9791" s="31"/>
      <c r="G9791" s="31"/>
      <c r="H9791" s="31"/>
    </row>
    <row r="9792" spans="2:8" hidden="1">
      <c r="B9792" s="33"/>
      <c r="C9792" s="31"/>
      <c r="D9792" s="31"/>
      <c r="E9792" s="31"/>
      <c r="F9792" s="31"/>
      <c r="G9792" s="31"/>
      <c r="H9792" s="31"/>
    </row>
    <row r="9793" spans="2:8" hidden="1">
      <c r="B9793" s="33"/>
      <c r="C9793" s="31"/>
      <c r="D9793" s="31"/>
      <c r="E9793" s="31"/>
      <c r="F9793" s="31"/>
      <c r="G9793" s="31"/>
      <c r="H9793" s="31"/>
    </row>
    <row r="9794" spans="2:8" hidden="1">
      <c r="B9794" s="33"/>
      <c r="C9794" s="31"/>
      <c r="D9794" s="31"/>
      <c r="E9794" s="31"/>
      <c r="F9794" s="31"/>
      <c r="G9794" s="31"/>
      <c r="H9794" s="31"/>
    </row>
    <row r="9795" spans="2:8" hidden="1">
      <c r="B9795" s="33"/>
      <c r="C9795" s="31"/>
      <c r="D9795" s="31"/>
      <c r="E9795" s="31"/>
      <c r="F9795" s="31"/>
      <c r="G9795" s="31"/>
      <c r="H9795" s="31"/>
    </row>
    <row r="9796" spans="2:8" hidden="1">
      <c r="B9796" s="33"/>
      <c r="C9796" s="31"/>
      <c r="D9796" s="31"/>
      <c r="E9796" s="31"/>
      <c r="F9796" s="31"/>
      <c r="G9796" s="31"/>
      <c r="H9796" s="31"/>
    </row>
    <row r="9797" spans="2:8" hidden="1">
      <c r="B9797" s="33"/>
      <c r="C9797" s="31"/>
      <c r="D9797" s="31"/>
      <c r="E9797" s="31"/>
      <c r="F9797" s="31"/>
      <c r="G9797" s="31"/>
      <c r="H9797" s="31"/>
    </row>
    <row r="9798" spans="2:8" hidden="1">
      <c r="B9798" s="33"/>
      <c r="C9798" s="31"/>
      <c r="D9798" s="31"/>
      <c r="E9798" s="31"/>
      <c r="F9798" s="31"/>
      <c r="G9798" s="31"/>
      <c r="H9798" s="31"/>
    </row>
    <row r="9799" spans="2:8" hidden="1">
      <c r="B9799" s="33"/>
      <c r="C9799" s="31"/>
      <c r="D9799" s="31"/>
      <c r="E9799" s="31"/>
      <c r="F9799" s="31"/>
      <c r="G9799" s="31"/>
      <c r="H9799" s="31"/>
    </row>
    <row r="9800" spans="2:8" hidden="1">
      <c r="B9800" s="33"/>
      <c r="C9800" s="31"/>
      <c r="D9800" s="31"/>
      <c r="E9800" s="31"/>
      <c r="F9800" s="31"/>
      <c r="G9800" s="31"/>
      <c r="H9800" s="31"/>
    </row>
    <row r="9801" spans="2:8" hidden="1">
      <c r="B9801" s="33"/>
      <c r="C9801" s="31"/>
      <c r="D9801" s="31"/>
      <c r="E9801" s="31"/>
      <c r="F9801" s="31"/>
      <c r="G9801" s="31"/>
      <c r="H9801" s="31"/>
    </row>
    <row r="9802" spans="2:8" hidden="1">
      <c r="B9802" s="33"/>
      <c r="C9802" s="31"/>
      <c r="D9802" s="31"/>
      <c r="E9802" s="31"/>
      <c r="F9802" s="31"/>
      <c r="G9802" s="31"/>
      <c r="H9802" s="31"/>
    </row>
    <row r="9803" spans="2:8" hidden="1">
      <c r="B9803" s="33"/>
      <c r="C9803" s="31"/>
      <c r="D9803" s="31"/>
      <c r="E9803" s="31"/>
      <c r="F9803" s="31"/>
      <c r="G9803" s="31"/>
      <c r="H9803" s="31"/>
    </row>
    <row r="9804" spans="2:8" hidden="1">
      <c r="B9804" s="33"/>
      <c r="C9804" s="31"/>
      <c r="D9804" s="31"/>
      <c r="E9804" s="31"/>
      <c r="F9804" s="31"/>
      <c r="G9804" s="31"/>
      <c r="H9804" s="31"/>
    </row>
    <row r="9805" spans="2:8" hidden="1">
      <c r="B9805" s="33"/>
      <c r="C9805" s="31"/>
      <c r="D9805" s="31"/>
      <c r="E9805" s="31"/>
      <c r="F9805" s="31"/>
      <c r="G9805" s="31"/>
      <c r="H9805" s="31"/>
    </row>
    <row r="9806" spans="2:8" hidden="1">
      <c r="B9806" s="33"/>
      <c r="C9806" s="31"/>
      <c r="D9806" s="31"/>
      <c r="E9806" s="31"/>
      <c r="F9806" s="31"/>
      <c r="G9806" s="31"/>
      <c r="H9806" s="31"/>
    </row>
    <row r="9807" spans="2:8" hidden="1">
      <c r="B9807" s="33"/>
      <c r="C9807" s="31"/>
      <c r="D9807" s="31"/>
      <c r="E9807" s="31"/>
      <c r="F9807" s="31"/>
      <c r="G9807" s="31"/>
      <c r="H9807" s="31"/>
    </row>
    <row r="9808" spans="2:8" hidden="1">
      <c r="B9808" s="33"/>
      <c r="C9808" s="31"/>
      <c r="D9808" s="31"/>
      <c r="E9808" s="31"/>
      <c r="F9808" s="31"/>
      <c r="G9808" s="31"/>
      <c r="H9808" s="31"/>
    </row>
    <row r="9809" spans="2:8" hidden="1">
      <c r="B9809" s="33"/>
      <c r="C9809" s="31"/>
      <c r="D9809" s="31"/>
      <c r="E9809" s="31"/>
      <c r="F9809" s="31"/>
      <c r="G9809" s="31"/>
      <c r="H9809" s="31"/>
    </row>
    <row r="9810" spans="2:8" hidden="1">
      <c r="B9810" s="33"/>
      <c r="C9810" s="31"/>
      <c r="D9810" s="31"/>
      <c r="E9810" s="31"/>
      <c r="F9810" s="31"/>
      <c r="G9810" s="31"/>
      <c r="H9810" s="31"/>
    </row>
    <row r="9811" spans="2:8" hidden="1">
      <c r="B9811" s="33"/>
      <c r="C9811" s="31"/>
      <c r="D9811" s="31"/>
      <c r="E9811" s="31"/>
      <c r="F9811" s="31"/>
      <c r="G9811" s="31"/>
      <c r="H9811" s="31"/>
    </row>
    <row r="9812" spans="2:8" hidden="1">
      <c r="B9812" s="33"/>
      <c r="C9812" s="31"/>
      <c r="D9812" s="31"/>
      <c r="E9812" s="31"/>
      <c r="F9812" s="31"/>
      <c r="G9812" s="31"/>
      <c r="H9812" s="31"/>
    </row>
    <row r="9813" spans="2:8" hidden="1">
      <c r="B9813" s="33"/>
      <c r="C9813" s="31"/>
      <c r="D9813" s="31"/>
      <c r="E9813" s="31"/>
      <c r="F9813" s="31"/>
      <c r="G9813" s="31"/>
      <c r="H9813" s="31"/>
    </row>
    <row r="9814" spans="2:8" hidden="1">
      <c r="B9814" s="33"/>
      <c r="C9814" s="31"/>
      <c r="D9814" s="31"/>
      <c r="E9814" s="31"/>
      <c r="F9814" s="31"/>
      <c r="G9814" s="31"/>
      <c r="H9814" s="31"/>
    </row>
    <row r="9815" spans="2:8" hidden="1">
      <c r="B9815" s="33"/>
      <c r="C9815" s="31"/>
      <c r="D9815" s="31"/>
      <c r="E9815" s="31"/>
      <c r="F9815" s="31"/>
      <c r="G9815" s="31"/>
      <c r="H9815" s="31"/>
    </row>
    <row r="9816" spans="2:8" hidden="1">
      <c r="B9816" s="33"/>
      <c r="C9816" s="31"/>
      <c r="D9816" s="31"/>
      <c r="E9816" s="31"/>
      <c r="F9816" s="31"/>
      <c r="G9816" s="31"/>
      <c r="H9816" s="31"/>
    </row>
    <row r="9817" spans="2:8" hidden="1">
      <c r="B9817" s="33"/>
      <c r="C9817" s="31"/>
      <c r="D9817" s="31"/>
      <c r="E9817" s="31"/>
      <c r="F9817" s="31"/>
      <c r="G9817" s="31"/>
      <c r="H9817" s="31"/>
    </row>
    <row r="9818" spans="2:8" hidden="1">
      <c r="B9818" s="33"/>
      <c r="C9818" s="31"/>
      <c r="D9818" s="31"/>
      <c r="E9818" s="31"/>
      <c r="F9818" s="31"/>
      <c r="G9818" s="31"/>
      <c r="H9818" s="31"/>
    </row>
    <row r="9819" spans="2:8" hidden="1">
      <c r="B9819" s="33"/>
      <c r="C9819" s="31"/>
      <c r="D9819" s="31"/>
      <c r="E9819" s="31"/>
      <c r="F9819" s="31"/>
      <c r="G9819" s="31"/>
      <c r="H9819" s="31"/>
    </row>
    <row r="9820" spans="2:8" hidden="1">
      <c r="B9820" s="33"/>
      <c r="C9820" s="31"/>
      <c r="D9820" s="31"/>
      <c r="E9820" s="31"/>
      <c r="F9820" s="31"/>
      <c r="G9820" s="31"/>
      <c r="H9820" s="31"/>
    </row>
    <row r="9821" spans="2:8" hidden="1">
      <c r="B9821" s="33"/>
      <c r="C9821" s="31"/>
      <c r="D9821" s="31"/>
      <c r="E9821" s="31"/>
      <c r="F9821" s="31"/>
      <c r="G9821" s="31"/>
      <c r="H9821" s="31"/>
    </row>
    <row r="9822" spans="2:8" hidden="1">
      <c r="B9822" s="33"/>
      <c r="C9822" s="31"/>
      <c r="D9822" s="31"/>
      <c r="E9822" s="31"/>
      <c r="F9822" s="31"/>
      <c r="G9822" s="31"/>
      <c r="H9822" s="31"/>
    </row>
    <row r="9823" spans="2:8" hidden="1">
      <c r="B9823" s="33"/>
      <c r="C9823" s="31"/>
      <c r="D9823" s="31"/>
      <c r="E9823" s="31"/>
      <c r="F9823" s="31"/>
      <c r="G9823" s="31"/>
      <c r="H9823" s="31"/>
    </row>
    <row r="9824" spans="2:8" hidden="1">
      <c r="B9824" s="33"/>
      <c r="C9824" s="31"/>
      <c r="D9824" s="31"/>
      <c r="E9824" s="31"/>
      <c r="F9824" s="31"/>
      <c r="G9824" s="31"/>
      <c r="H9824" s="31"/>
    </row>
    <row r="9825" spans="2:8" hidden="1">
      <c r="B9825" s="33"/>
      <c r="C9825" s="31"/>
      <c r="D9825" s="31"/>
      <c r="E9825" s="31"/>
      <c r="F9825" s="31"/>
      <c r="G9825" s="31"/>
      <c r="H9825" s="31"/>
    </row>
    <row r="9826" spans="2:8" hidden="1">
      <c r="B9826" s="33"/>
      <c r="C9826" s="31"/>
      <c r="D9826" s="31"/>
      <c r="E9826" s="31"/>
      <c r="F9826" s="31"/>
      <c r="G9826" s="31"/>
      <c r="H9826" s="31"/>
    </row>
    <row r="9827" spans="2:8" hidden="1">
      <c r="B9827" s="33"/>
      <c r="C9827" s="31"/>
      <c r="D9827" s="31"/>
      <c r="E9827" s="31"/>
      <c r="F9827" s="31"/>
      <c r="G9827" s="31"/>
      <c r="H9827" s="31"/>
    </row>
    <row r="9828" spans="2:8" hidden="1">
      <c r="B9828" s="33"/>
      <c r="C9828" s="31"/>
      <c r="D9828" s="31"/>
      <c r="E9828" s="31"/>
      <c r="F9828" s="31"/>
      <c r="G9828" s="31"/>
      <c r="H9828" s="31"/>
    </row>
    <row r="9829" spans="2:8" hidden="1">
      <c r="B9829" s="33"/>
      <c r="C9829" s="31"/>
      <c r="D9829" s="31"/>
      <c r="E9829" s="31"/>
      <c r="F9829" s="31"/>
      <c r="G9829" s="31"/>
      <c r="H9829" s="31"/>
    </row>
    <row r="9830" spans="2:8" hidden="1">
      <c r="B9830" s="33"/>
      <c r="C9830" s="31"/>
      <c r="D9830" s="31"/>
      <c r="E9830" s="31"/>
      <c r="F9830" s="31"/>
      <c r="G9830" s="31"/>
      <c r="H9830" s="31"/>
    </row>
    <row r="9831" spans="2:8" hidden="1">
      <c r="B9831" s="33"/>
      <c r="C9831" s="31"/>
      <c r="D9831" s="31"/>
      <c r="E9831" s="31"/>
      <c r="F9831" s="31"/>
      <c r="G9831" s="31"/>
      <c r="H9831" s="31"/>
    </row>
    <row r="9832" spans="2:8" hidden="1">
      <c r="B9832" s="33"/>
      <c r="C9832" s="31"/>
      <c r="D9832" s="31"/>
      <c r="E9832" s="31"/>
      <c r="F9832" s="31"/>
      <c r="G9832" s="31"/>
      <c r="H9832" s="31"/>
    </row>
    <row r="9833" spans="2:8" hidden="1">
      <c r="B9833" s="33"/>
      <c r="C9833" s="31"/>
      <c r="D9833" s="31"/>
      <c r="E9833" s="31"/>
      <c r="F9833" s="31"/>
      <c r="G9833" s="31"/>
      <c r="H9833" s="31"/>
    </row>
    <row r="9834" spans="2:8" hidden="1">
      <c r="B9834" s="33"/>
      <c r="C9834" s="31"/>
      <c r="D9834" s="31"/>
      <c r="E9834" s="31"/>
      <c r="F9834" s="31"/>
      <c r="G9834" s="31"/>
      <c r="H9834" s="31"/>
    </row>
    <row r="9835" spans="2:8" hidden="1">
      <c r="B9835" s="33"/>
      <c r="C9835" s="31"/>
      <c r="D9835" s="31"/>
      <c r="E9835" s="31"/>
      <c r="F9835" s="31"/>
      <c r="G9835" s="31"/>
      <c r="H9835" s="31"/>
    </row>
    <row r="9836" spans="2:8" hidden="1">
      <c r="B9836" s="33"/>
      <c r="C9836" s="31"/>
      <c r="D9836" s="31"/>
      <c r="E9836" s="31"/>
      <c r="F9836" s="31"/>
      <c r="G9836" s="31"/>
      <c r="H9836" s="31"/>
    </row>
    <row r="9837" spans="2:8" hidden="1">
      <c r="B9837" s="33"/>
      <c r="C9837" s="31"/>
      <c r="D9837" s="31"/>
      <c r="E9837" s="31"/>
      <c r="F9837" s="31"/>
      <c r="G9837" s="31"/>
      <c r="H9837" s="31"/>
    </row>
    <row r="9838" spans="2:8" hidden="1">
      <c r="B9838" s="33"/>
      <c r="C9838" s="31"/>
      <c r="D9838" s="31"/>
      <c r="E9838" s="31"/>
      <c r="F9838" s="31"/>
      <c r="G9838" s="31"/>
      <c r="H9838" s="31"/>
    </row>
    <row r="9839" spans="2:8" hidden="1">
      <c r="B9839" s="33"/>
      <c r="C9839" s="31"/>
      <c r="D9839" s="31"/>
      <c r="E9839" s="31"/>
      <c r="F9839" s="31"/>
      <c r="G9839" s="31"/>
      <c r="H9839" s="31"/>
    </row>
    <row r="9840" spans="2:8" hidden="1">
      <c r="B9840" s="33"/>
      <c r="C9840" s="31"/>
      <c r="D9840" s="31"/>
      <c r="E9840" s="31"/>
      <c r="F9840" s="31"/>
      <c r="G9840" s="31"/>
      <c r="H9840" s="31"/>
    </row>
    <row r="9841" spans="2:8" hidden="1">
      <c r="B9841" s="33"/>
      <c r="C9841" s="31"/>
      <c r="D9841" s="31"/>
      <c r="E9841" s="31"/>
      <c r="F9841" s="31"/>
      <c r="G9841" s="31"/>
      <c r="H9841" s="31"/>
    </row>
    <row r="9842" spans="2:8" hidden="1">
      <c r="B9842" s="33"/>
      <c r="C9842" s="31"/>
      <c r="D9842" s="31"/>
      <c r="E9842" s="31"/>
      <c r="F9842" s="31"/>
      <c r="G9842" s="31"/>
      <c r="H9842" s="31"/>
    </row>
    <row r="9843" spans="2:8" hidden="1">
      <c r="B9843" s="33"/>
      <c r="C9843" s="31"/>
      <c r="D9843" s="31"/>
      <c r="E9843" s="31"/>
      <c r="F9843" s="31"/>
      <c r="G9843" s="31"/>
      <c r="H9843" s="31"/>
    </row>
    <row r="9844" spans="2:8" hidden="1">
      <c r="B9844" s="33"/>
      <c r="C9844" s="31"/>
      <c r="D9844" s="31"/>
      <c r="E9844" s="31"/>
      <c r="F9844" s="31"/>
      <c r="G9844" s="31"/>
      <c r="H9844" s="31"/>
    </row>
    <row r="9845" spans="2:8" hidden="1">
      <c r="B9845" s="33"/>
      <c r="C9845" s="31"/>
      <c r="D9845" s="31"/>
      <c r="E9845" s="31"/>
      <c r="F9845" s="31"/>
      <c r="G9845" s="31"/>
      <c r="H9845" s="31"/>
    </row>
    <row r="9846" spans="2:8" hidden="1">
      <c r="B9846" s="33"/>
      <c r="C9846" s="31"/>
      <c r="D9846" s="31"/>
      <c r="E9846" s="31"/>
      <c r="F9846" s="31"/>
      <c r="G9846" s="31"/>
      <c r="H9846" s="31"/>
    </row>
    <row r="9847" spans="2:8" hidden="1">
      <c r="B9847" s="33"/>
      <c r="C9847" s="31"/>
      <c r="D9847" s="31"/>
      <c r="E9847" s="31"/>
      <c r="F9847" s="31"/>
      <c r="G9847" s="31"/>
      <c r="H9847" s="31"/>
    </row>
    <row r="9848" spans="2:8" hidden="1">
      <c r="B9848" s="33"/>
      <c r="C9848" s="31"/>
      <c r="D9848" s="31"/>
      <c r="E9848" s="31"/>
      <c r="F9848" s="31"/>
      <c r="G9848" s="31"/>
      <c r="H9848" s="31"/>
    </row>
    <row r="9849" spans="2:8" hidden="1">
      <c r="B9849" s="33"/>
      <c r="C9849" s="31"/>
      <c r="D9849" s="31"/>
      <c r="E9849" s="31"/>
      <c r="F9849" s="31"/>
      <c r="G9849" s="31"/>
      <c r="H9849" s="31"/>
    </row>
    <row r="9850" spans="2:8" hidden="1">
      <c r="B9850" s="33"/>
      <c r="C9850" s="31"/>
      <c r="D9850" s="31"/>
      <c r="E9850" s="31"/>
      <c r="F9850" s="31"/>
      <c r="G9850" s="31"/>
      <c r="H9850" s="31"/>
    </row>
    <row r="9851" spans="2:8" hidden="1">
      <c r="B9851" s="33"/>
      <c r="C9851" s="31"/>
      <c r="D9851" s="31"/>
      <c r="E9851" s="31"/>
      <c r="F9851" s="31"/>
      <c r="G9851" s="31"/>
      <c r="H9851" s="31"/>
    </row>
    <row r="9852" spans="2:8" hidden="1">
      <c r="B9852" s="33"/>
      <c r="C9852" s="31"/>
      <c r="D9852" s="31"/>
      <c r="E9852" s="31"/>
      <c r="F9852" s="31"/>
      <c r="G9852" s="31"/>
      <c r="H9852" s="31"/>
    </row>
    <row r="9853" spans="2:8" hidden="1">
      <c r="B9853" s="33"/>
      <c r="C9853" s="31"/>
      <c r="D9853" s="31"/>
      <c r="E9853" s="31"/>
      <c r="F9853" s="31"/>
      <c r="G9853" s="31"/>
      <c r="H9853" s="31"/>
    </row>
    <row r="9854" spans="2:8" hidden="1">
      <c r="B9854" s="33"/>
      <c r="C9854" s="31"/>
      <c r="D9854" s="31"/>
      <c r="E9854" s="31"/>
      <c r="F9854" s="31"/>
      <c r="G9854" s="31"/>
      <c r="H9854" s="31"/>
    </row>
    <row r="9855" spans="2:8" hidden="1">
      <c r="B9855" s="33"/>
      <c r="C9855" s="31"/>
      <c r="D9855" s="31"/>
      <c r="E9855" s="31"/>
      <c r="F9855" s="31"/>
      <c r="G9855" s="31"/>
      <c r="H9855" s="31"/>
    </row>
    <row r="9856" spans="2:8" hidden="1">
      <c r="B9856" s="33"/>
      <c r="C9856" s="31"/>
      <c r="D9856" s="31"/>
      <c r="E9856" s="31"/>
      <c r="F9856" s="31"/>
      <c r="G9856" s="31"/>
      <c r="H9856" s="31"/>
    </row>
    <row r="9857" spans="2:8" hidden="1">
      <c r="B9857" s="33"/>
      <c r="C9857" s="31"/>
      <c r="D9857" s="31"/>
      <c r="E9857" s="31"/>
      <c r="F9857" s="31"/>
      <c r="G9857" s="31"/>
      <c r="H9857" s="31"/>
    </row>
    <row r="9858" spans="2:8" hidden="1">
      <c r="B9858" s="33"/>
      <c r="C9858" s="31"/>
      <c r="D9858" s="31"/>
      <c r="E9858" s="31"/>
      <c r="F9858" s="31"/>
      <c r="G9858" s="31"/>
      <c r="H9858" s="31"/>
    </row>
    <row r="9859" spans="2:8" hidden="1">
      <c r="B9859" s="33"/>
      <c r="C9859" s="31"/>
      <c r="D9859" s="31"/>
      <c r="E9859" s="31"/>
      <c r="F9859" s="31"/>
      <c r="G9859" s="31"/>
      <c r="H9859" s="31"/>
    </row>
    <row r="9860" spans="2:8" hidden="1">
      <c r="B9860" s="33"/>
      <c r="C9860" s="31"/>
      <c r="D9860" s="31"/>
      <c r="E9860" s="31"/>
      <c r="F9860" s="31"/>
      <c r="G9860" s="31"/>
      <c r="H9860" s="31"/>
    </row>
    <row r="9861" spans="2:8" hidden="1">
      <c r="B9861" s="33"/>
      <c r="C9861" s="31"/>
      <c r="D9861" s="31"/>
      <c r="E9861" s="31"/>
      <c r="F9861" s="31"/>
      <c r="G9861" s="31"/>
      <c r="H9861" s="31"/>
    </row>
    <row r="9862" spans="2:8" hidden="1">
      <c r="B9862" s="33"/>
      <c r="C9862" s="31"/>
      <c r="D9862" s="31"/>
      <c r="E9862" s="31"/>
      <c r="F9862" s="31"/>
      <c r="G9862" s="31"/>
      <c r="H9862" s="31"/>
    </row>
    <row r="9863" spans="2:8" hidden="1">
      <c r="B9863" s="33"/>
      <c r="C9863" s="31"/>
      <c r="D9863" s="31"/>
      <c r="E9863" s="31"/>
      <c r="F9863" s="31"/>
      <c r="G9863" s="31"/>
      <c r="H9863" s="31"/>
    </row>
    <row r="9864" spans="2:8" hidden="1">
      <c r="B9864" s="33"/>
      <c r="C9864" s="31"/>
      <c r="D9864" s="31"/>
      <c r="E9864" s="31"/>
      <c r="F9864" s="31"/>
      <c r="G9864" s="31"/>
      <c r="H9864" s="31"/>
    </row>
    <row r="9865" spans="2:8" hidden="1">
      <c r="B9865" s="33"/>
      <c r="C9865" s="31"/>
      <c r="D9865" s="31"/>
      <c r="E9865" s="31"/>
      <c r="F9865" s="31"/>
      <c r="G9865" s="31"/>
      <c r="H9865" s="31"/>
    </row>
    <row r="9866" spans="2:8" hidden="1">
      <c r="B9866" s="33"/>
      <c r="C9866" s="31"/>
      <c r="D9866" s="31"/>
      <c r="E9866" s="31"/>
      <c r="F9866" s="31"/>
      <c r="G9866" s="31"/>
      <c r="H9866" s="31"/>
    </row>
    <row r="9867" spans="2:8" hidden="1">
      <c r="B9867" s="33"/>
      <c r="C9867" s="31"/>
      <c r="D9867" s="31"/>
      <c r="E9867" s="31"/>
      <c r="F9867" s="31"/>
      <c r="G9867" s="31"/>
      <c r="H9867" s="31"/>
    </row>
    <row r="9868" spans="2:8" hidden="1">
      <c r="B9868" s="33"/>
      <c r="C9868" s="31"/>
      <c r="D9868" s="31"/>
      <c r="E9868" s="31"/>
      <c r="F9868" s="31"/>
      <c r="G9868" s="31"/>
      <c r="H9868" s="31"/>
    </row>
    <row r="9869" spans="2:8" hidden="1">
      <c r="B9869" s="33"/>
      <c r="C9869" s="31"/>
      <c r="D9869" s="31"/>
      <c r="E9869" s="31"/>
      <c r="F9869" s="31"/>
      <c r="G9869" s="31"/>
      <c r="H9869" s="31"/>
    </row>
    <row r="9870" spans="2:8" hidden="1">
      <c r="B9870" s="33"/>
      <c r="C9870" s="31"/>
      <c r="D9870" s="31"/>
      <c r="E9870" s="31"/>
      <c r="F9870" s="31"/>
      <c r="G9870" s="31"/>
      <c r="H9870" s="31"/>
    </row>
    <row r="9871" spans="2:8" hidden="1">
      <c r="B9871" s="33"/>
      <c r="C9871" s="31"/>
      <c r="D9871" s="31"/>
      <c r="E9871" s="31"/>
      <c r="F9871" s="31"/>
      <c r="G9871" s="31"/>
      <c r="H9871" s="31"/>
    </row>
    <row r="9872" spans="2:8" hidden="1">
      <c r="B9872" s="33"/>
      <c r="C9872" s="31"/>
      <c r="D9872" s="31"/>
      <c r="E9872" s="31"/>
      <c r="F9872" s="31"/>
      <c r="G9872" s="31"/>
      <c r="H9872" s="31"/>
    </row>
    <row r="9873" spans="2:8" hidden="1">
      <c r="B9873" s="33"/>
      <c r="C9873" s="31"/>
      <c r="D9873" s="31"/>
      <c r="E9873" s="31"/>
      <c r="F9873" s="31"/>
      <c r="G9873" s="31"/>
      <c r="H9873" s="31"/>
    </row>
    <row r="9874" spans="2:8" hidden="1">
      <c r="B9874" s="33"/>
      <c r="C9874" s="31"/>
      <c r="D9874" s="31"/>
      <c r="E9874" s="31"/>
      <c r="F9874" s="31"/>
      <c r="G9874" s="31"/>
      <c r="H9874" s="31"/>
    </row>
    <row r="9875" spans="2:8" hidden="1">
      <c r="B9875" s="33"/>
      <c r="C9875" s="31"/>
      <c r="D9875" s="31"/>
      <c r="E9875" s="31"/>
      <c r="F9875" s="31"/>
      <c r="G9875" s="31"/>
      <c r="H9875" s="31"/>
    </row>
    <row r="9876" spans="2:8" hidden="1">
      <c r="B9876" s="33"/>
      <c r="C9876" s="31"/>
      <c r="D9876" s="31"/>
      <c r="E9876" s="31"/>
      <c r="F9876" s="31"/>
      <c r="G9876" s="31"/>
      <c r="H9876" s="31"/>
    </row>
    <row r="9877" spans="2:8" hidden="1">
      <c r="B9877" s="33"/>
      <c r="C9877" s="31"/>
      <c r="D9877" s="31"/>
      <c r="E9877" s="31"/>
      <c r="F9877" s="31"/>
      <c r="G9877" s="31"/>
      <c r="H9877" s="31"/>
    </row>
    <row r="9878" spans="2:8" hidden="1">
      <c r="B9878" s="33"/>
      <c r="C9878" s="31"/>
      <c r="D9878" s="31"/>
      <c r="E9878" s="31"/>
      <c r="F9878" s="31"/>
      <c r="G9878" s="31"/>
      <c r="H9878" s="31"/>
    </row>
    <row r="9879" spans="2:8" hidden="1">
      <c r="B9879" s="33"/>
      <c r="C9879" s="31"/>
      <c r="D9879" s="31"/>
      <c r="E9879" s="31"/>
      <c r="F9879" s="31"/>
      <c r="G9879" s="31"/>
      <c r="H9879" s="31"/>
    </row>
    <row r="9880" spans="2:8" hidden="1">
      <c r="B9880" s="33"/>
      <c r="C9880" s="31"/>
      <c r="D9880" s="31"/>
      <c r="E9880" s="31"/>
      <c r="F9880" s="31"/>
      <c r="G9880" s="31"/>
      <c r="H9880" s="31"/>
    </row>
    <row r="9881" spans="2:8" hidden="1">
      <c r="B9881" s="33"/>
      <c r="C9881" s="31"/>
      <c r="D9881" s="31"/>
      <c r="E9881" s="31"/>
      <c r="F9881" s="31"/>
      <c r="G9881" s="31"/>
      <c r="H9881" s="31"/>
    </row>
    <row r="9882" spans="2:8" hidden="1">
      <c r="B9882" s="33"/>
      <c r="C9882" s="31"/>
      <c r="D9882" s="31"/>
      <c r="E9882" s="31"/>
      <c r="F9882" s="31"/>
      <c r="G9882" s="31"/>
      <c r="H9882" s="31"/>
    </row>
    <row r="9883" spans="2:8" hidden="1">
      <c r="B9883" s="33"/>
      <c r="C9883" s="31"/>
      <c r="D9883" s="31"/>
      <c r="E9883" s="31"/>
      <c r="F9883" s="31"/>
      <c r="G9883" s="31"/>
      <c r="H9883" s="31"/>
    </row>
    <row r="9884" spans="2:8" hidden="1">
      <c r="B9884" s="33"/>
      <c r="C9884" s="31"/>
      <c r="D9884" s="31"/>
      <c r="E9884" s="31"/>
      <c r="F9884" s="31"/>
      <c r="G9884" s="31"/>
      <c r="H9884" s="31"/>
    </row>
    <row r="9885" spans="2:8" hidden="1">
      <c r="B9885" s="33"/>
      <c r="C9885" s="31"/>
      <c r="D9885" s="31"/>
      <c r="E9885" s="31"/>
      <c r="F9885" s="31"/>
      <c r="G9885" s="31"/>
      <c r="H9885" s="31"/>
    </row>
    <row r="9886" spans="2:8" hidden="1">
      <c r="B9886" s="33"/>
      <c r="C9886" s="31"/>
      <c r="D9886" s="31"/>
      <c r="E9886" s="31"/>
      <c r="F9886" s="31"/>
      <c r="G9886" s="31"/>
      <c r="H9886" s="31"/>
    </row>
    <row r="9887" spans="2:8" hidden="1">
      <c r="B9887" s="33"/>
      <c r="C9887" s="31"/>
      <c r="D9887" s="31"/>
      <c r="E9887" s="31"/>
      <c r="F9887" s="31"/>
      <c r="G9887" s="31"/>
      <c r="H9887" s="31"/>
    </row>
    <row r="9888" spans="2:8" hidden="1">
      <c r="B9888" s="33"/>
      <c r="C9888" s="31"/>
      <c r="D9888" s="31"/>
      <c r="E9888" s="31"/>
      <c r="F9888" s="31"/>
      <c r="G9888" s="31"/>
      <c r="H9888" s="31"/>
    </row>
    <row r="9889" spans="2:8" hidden="1">
      <c r="B9889" s="33"/>
      <c r="C9889" s="31"/>
      <c r="D9889" s="31"/>
      <c r="E9889" s="31"/>
      <c r="F9889" s="31"/>
      <c r="G9889" s="31"/>
      <c r="H9889" s="31"/>
    </row>
    <row r="9890" spans="2:8" hidden="1">
      <c r="B9890" s="33"/>
      <c r="C9890" s="31"/>
      <c r="D9890" s="31"/>
      <c r="E9890" s="31"/>
      <c r="F9890" s="31"/>
      <c r="G9890" s="31"/>
      <c r="H9890" s="31"/>
    </row>
    <row r="9891" spans="2:8" hidden="1">
      <c r="B9891" s="33"/>
      <c r="C9891" s="31"/>
      <c r="D9891" s="31"/>
      <c r="E9891" s="31"/>
      <c r="F9891" s="31"/>
      <c r="G9891" s="31"/>
      <c r="H9891" s="31"/>
    </row>
    <row r="9892" spans="2:8" hidden="1">
      <c r="B9892" s="33"/>
      <c r="C9892" s="31"/>
      <c r="D9892" s="31"/>
      <c r="E9892" s="31"/>
      <c r="F9892" s="31"/>
      <c r="G9892" s="31"/>
      <c r="H9892" s="31"/>
    </row>
    <row r="9893" spans="2:8" hidden="1">
      <c r="B9893" s="33"/>
      <c r="C9893" s="31"/>
      <c r="D9893" s="31"/>
      <c r="E9893" s="31"/>
      <c r="F9893" s="31"/>
      <c r="G9893" s="31"/>
      <c r="H9893" s="31"/>
    </row>
    <row r="9894" spans="2:8" hidden="1">
      <c r="B9894" s="33"/>
      <c r="C9894" s="31"/>
      <c r="D9894" s="31"/>
      <c r="E9894" s="31"/>
      <c r="F9894" s="31"/>
      <c r="G9894" s="31"/>
      <c r="H9894" s="31"/>
    </row>
    <row r="9895" spans="2:8" hidden="1">
      <c r="B9895" s="33"/>
      <c r="C9895" s="31"/>
      <c r="D9895" s="31"/>
      <c r="E9895" s="31"/>
      <c r="F9895" s="31"/>
      <c r="G9895" s="31"/>
      <c r="H9895" s="31"/>
    </row>
    <row r="9896" spans="2:8" hidden="1">
      <c r="B9896" s="33"/>
      <c r="C9896" s="31"/>
      <c r="D9896" s="31"/>
      <c r="E9896" s="31"/>
      <c r="F9896" s="31"/>
      <c r="G9896" s="31"/>
      <c r="H9896" s="31"/>
    </row>
    <row r="9897" spans="2:8" hidden="1">
      <c r="B9897" s="33"/>
      <c r="C9897" s="31"/>
      <c r="D9897" s="31"/>
      <c r="E9897" s="31"/>
      <c r="F9897" s="31"/>
      <c r="G9897" s="31"/>
      <c r="H9897" s="31"/>
    </row>
    <row r="9898" spans="2:8" hidden="1">
      <c r="B9898" s="33"/>
      <c r="C9898" s="31"/>
      <c r="D9898" s="31"/>
      <c r="E9898" s="31"/>
      <c r="F9898" s="31"/>
      <c r="G9898" s="31"/>
      <c r="H9898" s="31"/>
    </row>
    <row r="9899" spans="2:8" hidden="1">
      <c r="B9899" s="33"/>
      <c r="C9899" s="31"/>
      <c r="D9899" s="31"/>
      <c r="E9899" s="31"/>
      <c r="F9899" s="31"/>
      <c r="G9899" s="31"/>
      <c r="H9899" s="31"/>
    </row>
    <row r="9900" spans="2:8" hidden="1">
      <c r="B9900" s="33"/>
      <c r="C9900" s="31"/>
      <c r="D9900" s="31"/>
      <c r="E9900" s="31"/>
      <c r="F9900" s="31"/>
      <c r="G9900" s="31"/>
      <c r="H9900" s="31"/>
    </row>
    <row r="9901" spans="2:8" hidden="1">
      <c r="B9901" s="33"/>
      <c r="C9901" s="31"/>
      <c r="D9901" s="31"/>
      <c r="E9901" s="31"/>
      <c r="F9901" s="31"/>
      <c r="G9901" s="31"/>
      <c r="H9901" s="31"/>
    </row>
    <row r="9902" spans="2:8" hidden="1">
      <c r="B9902" s="33"/>
      <c r="C9902" s="31"/>
      <c r="D9902" s="31"/>
      <c r="E9902" s="31"/>
      <c r="F9902" s="31"/>
      <c r="G9902" s="31"/>
      <c r="H9902" s="31"/>
    </row>
    <row r="9903" spans="2:8" hidden="1">
      <c r="B9903" s="33"/>
      <c r="C9903" s="31"/>
      <c r="D9903" s="31"/>
      <c r="E9903" s="31"/>
      <c r="F9903" s="31"/>
      <c r="G9903" s="31"/>
      <c r="H9903" s="31"/>
    </row>
    <row r="9904" spans="2:8" hidden="1">
      <c r="B9904" s="33"/>
      <c r="C9904" s="31"/>
      <c r="D9904" s="31"/>
      <c r="E9904" s="31"/>
      <c r="F9904" s="31"/>
      <c r="G9904" s="31"/>
      <c r="H9904" s="31"/>
    </row>
    <row r="9905" spans="2:8" hidden="1">
      <c r="B9905" s="33"/>
      <c r="C9905" s="31"/>
      <c r="D9905" s="31"/>
      <c r="E9905" s="31"/>
      <c r="F9905" s="31"/>
      <c r="G9905" s="31"/>
      <c r="H9905" s="31"/>
    </row>
    <row r="9906" spans="2:8" hidden="1">
      <c r="B9906" s="33"/>
      <c r="C9906" s="31"/>
      <c r="D9906" s="31"/>
      <c r="E9906" s="31"/>
      <c r="F9906" s="31"/>
      <c r="G9906" s="31"/>
      <c r="H9906" s="31"/>
    </row>
    <row r="9907" spans="2:8" hidden="1">
      <c r="B9907" s="33"/>
      <c r="C9907" s="31"/>
      <c r="D9907" s="31"/>
      <c r="E9907" s="31"/>
      <c r="F9907" s="31"/>
      <c r="G9907" s="31"/>
      <c r="H9907" s="31"/>
    </row>
    <row r="9908" spans="2:8" hidden="1">
      <c r="B9908" s="33"/>
      <c r="C9908" s="31"/>
      <c r="D9908" s="31"/>
      <c r="E9908" s="31"/>
      <c r="F9908" s="31"/>
      <c r="G9908" s="31"/>
      <c r="H9908" s="31"/>
    </row>
    <row r="9909" spans="2:8" hidden="1">
      <c r="B9909" s="33"/>
      <c r="C9909" s="31"/>
      <c r="D9909" s="31"/>
      <c r="E9909" s="31"/>
      <c r="F9909" s="31"/>
      <c r="G9909" s="31"/>
      <c r="H9909" s="31"/>
    </row>
    <row r="9910" spans="2:8" hidden="1">
      <c r="B9910" s="33"/>
      <c r="C9910" s="31"/>
      <c r="D9910" s="31"/>
      <c r="E9910" s="31"/>
      <c r="F9910" s="31"/>
      <c r="G9910" s="31"/>
      <c r="H9910" s="31"/>
    </row>
    <row r="9911" spans="2:8" hidden="1">
      <c r="B9911" s="33"/>
      <c r="C9911" s="31"/>
      <c r="D9911" s="31"/>
      <c r="E9911" s="31"/>
      <c r="F9911" s="31"/>
      <c r="G9911" s="31"/>
      <c r="H9911" s="31"/>
    </row>
    <row r="9912" spans="2:8" hidden="1">
      <c r="B9912" s="33"/>
      <c r="C9912" s="31"/>
      <c r="D9912" s="31"/>
      <c r="E9912" s="31"/>
      <c r="F9912" s="31"/>
      <c r="G9912" s="31"/>
      <c r="H9912" s="31"/>
    </row>
    <row r="9913" spans="2:8" hidden="1">
      <c r="B9913" s="33"/>
      <c r="C9913" s="31"/>
      <c r="D9913" s="31"/>
      <c r="E9913" s="31"/>
      <c r="F9913" s="31"/>
      <c r="G9913" s="31"/>
      <c r="H9913" s="31"/>
    </row>
    <row r="9914" spans="2:8" hidden="1">
      <c r="B9914" s="33"/>
      <c r="C9914" s="31"/>
      <c r="D9914" s="31"/>
      <c r="E9914" s="31"/>
      <c r="F9914" s="31"/>
      <c r="G9914" s="31"/>
      <c r="H9914" s="31"/>
    </row>
    <row r="9915" spans="2:8" hidden="1">
      <c r="B9915" s="33"/>
      <c r="C9915" s="31"/>
      <c r="D9915" s="31"/>
      <c r="E9915" s="31"/>
      <c r="F9915" s="31"/>
      <c r="G9915" s="31"/>
      <c r="H9915" s="31"/>
    </row>
    <row r="9916" spans="2:8" hidden="1">
      <c r="B9916" s="33"/>
      <c r="C9916" s="31"/>
      <c r="D9916" s="31"/>
      <c r="E9916" s="31"/>
      <c r="F9916" s="31"/>
      <c r="G9916" s="31"/>
      <c r="H9916" s="31"/>
    </row>
    <row r="9917" spans="2:8" hidden="1">
      <c r="B9917" s="33"/>
      <c r="C9917" s="31"/>
      <c r="D9917" s="31"/>
      <c r="E9917" s="31"/>
      <c r="F9917" s="31"/>
      <c r="G9917" s="31"/>
      <c r="H9917" s="31"/>
    </row>
    <row r="9918" spans="2:8" hidden="1">
      <c r="B9918" s="33"/>
      <c r="C9918" s="31"/>
      <c r="D9918" s="31"/>
      <c r="E9918" s="31"/>
      <c r="F9918" s="31"/>
      <c r="G9918" s="31"/>
      <c r="H9918" s="31"/>
    </row>
    <row r="9919" spans="2:8" hidden="1">
      <c r="B9919" s="33"/>
      <c r="C9919" s="31"/>
      <c r="D9919" s="31"/>
      <c r="E9919" s="31"/>
      <c r="F9919" s="31"/>
      <c r="G9919" s="31"/>
      <c r="H9919" s="31"/>
    </row>
    <row r="9920" spans="2:8" hidden="1">
      <c r="B9920" s="33"/>
      <c r="C9920" s="31"/>
      <c r="D9920" s="31"/>
      <c r="E9920" s="31"/>
      <c r="F9920" s="31"/>
      <c r="G9920" s="31"/>
      <c r="H9920" s="31"/>
    </row>
    <row r="9921" spans="2:8" hidden="1">
      <c r="B9921" s="33"/>
      <c r="C9921" s="31"/>
      <c r="D9921" s="31"/>
      <c r="E9921" s="31"/>
      <c r="F9921" s="31"/>
      <c r="G9921" s="31"/>
      <c r="H9921" s="31"/>
    </row>
    <row r="9922" spans="2:8" hidden="1">
      <c r="B9922" s="33"/>
      <c r="C9922" s="31"/>
      <c r="D9922" s="31"/>
      <c r="E9922" s="31"/>
      <c r="F9922" s="31"/>
      <c r="G9922" s="31"/>
      <c r="H9922" s="31"/>
    </row>
    <row r="9923" spans="2:8" hidden="1">
      <c r="B9923" s="33"/>
      <c r="C9923" s="31"/>
      <c r="D9923" s="31"/>
      <c r="E9923" s="31"/>
      <c r="F9923" s="31"/>
      <c r="G9923" s="31"/>
      <c r="H9923" s="31"/>
    </row>
    <row r="9924" spans="2:8" hidden="1">
      <c r="B9924" s="33"/>
      <c r="C9924" s="31"/>
      <c r="D9924" s="31"/>
      <c r="E9924" s="31"/>
      <c r="F9924" s="31"/>
      <c r="G9924" s="31"/>
      <c r="H9924" s="31"/>
    </row>
    <row r="9925" spans="2:8" hidden="1">
      <c r="B9925" s="33"/>
      <c r="C9925" s="31"/>
      <c r="D9925" s="31"/>
      <c r="E9925" s="31"/>
      <c r="F9925" s="31"/>
      <c r="G9925" s="31"/>
      <c r="H9925" s="31"/>
    </row>
    <row r="9926" spans="2:8" hidden="1">
      <c r="B9926" s="33"/>
      <c r="C9926" s="31"/>
      <c r="D9926" s="31"/>
      <c r="E9926" s="31"/>
      <c r="F9926" s="31"/>
      <c r="G9926" s="31"/>
      <c r="H9926" s="31"/>
    </row>
    <row r="9927" spans="2:8" hidden="1">
      <c r="B9927" s="33"/>
      <c r="C9927" s="31"/>
      <c r="D9927" s="31"/>
      <c r="E9927" s="31"/>
      <c r="F9927" s="31"/>
      <c r="G9927" s="31"/>
      <c r="H9927" s="31"/>
    </row>
    <row r="9928" spans="2:8" hidden="1">
      <c r="B9928" s="33"/>
      <c r="C9928" s="31"/>
      <c r="D9928" s="31"/>
      <c r="E9928" s="31"/>
      <c r="F9928" s="31"/>
      <c r="G9928" s="31"/>
      <c r="H9928" s="31"/>
    </row>
    <row r="9929" spans="2:8" hidden="1">
      <c r="B9929" s="33"/>
      <c r="C9929" s="31"/>
      <c r="D9929" s="31"/>
      <c r="E9929" s="31"/>
      <c r="F9929" s="31"/>
      <c r="G9929" s="31"/>
      <c r="H9929" s="31"/>
    </row>
    <row r="9930" spans="2:8" hidden="1">
      <c r="B9930" s="33"/>
      <c r="C9930" s="31"/>
      <c r="D9930" s="31"/>
      <c r="E9930" s="31"/>
      <c r="F9930" s="31"/>
      <c r="G9930" s="31"/>
      <c r="H9930" s="31"/>
    </row>
    <row r="9931" spans="2:8" hidden="1">
      <c r="B9931" s="33"/>
      <c r="C9931" s="31"/>
      <c r="D9931" s="31"/>
      <c r="E9931" s="31"/>
      <c r="F9931" s="31"/>
      <c r="G9931" s="31"/>
      <c r="H9931" s="31"/>
    </row>
    <row r="9932" spans="2:8" hidden="1">
      <c r="B9932" s="33"/>
      <c r="C9932" s="31"/>
      <c r="D9932" s="31"/>
      <c r="E9932" s="31"/>
      <c r="F9932" s="31"/>
      <c r="G9932" s="31"/>
      <c r="H9932" s="31"/>
    </row>
    <row r="9933" spans="2:8" hidden="1">
      <c r="B9933" s="33"/>
      <c r="C9933" s="31"/>
      <c r="D9933" s="31"/>
      <c r="E9933" s="31"/>
      <c r="F9933" s="31"/>
      <c r="G9933" s="31"/>
      <c r="H9933" s="31"/>
    </row>
    <row r="9934" spans="2:8" hidden="1">
      <c r="B9934" s="33"/>
      <c r="C9934" s="31"/>
      <c r="D9934" s="31"/>
      <c r="E9934" s="31"/>
      <c r="F9934" s="31"/>
      <c r="G9934" s="31"/>
      <c r="H9934" s="31"/>
    </row>
    <row r="9935" spans="2:8" hidden="1">
      <c r="B9935" s="33"/>
      <c r="C9935" s="31"/>
      <c r="D9935" s="31"/>
      <c r="E9935" s="31"/>
      <c r="F9935" s="31"/>
      <c r="G9935" s="31"/>
      <c r="H9935" s="31"/>
    </row>
    <row r="9936" spans="2:8" hidden="1">
      <c r="B9936" s="33"/>
      <c r="C9936" s="31"/>
      <c r="D9936" s="31"/>
      <c r="E9936" s="31"/>
      <c r="F9936" s="31"/>
      <c r="G9936" s="31"/>
      <c r="H9936" s="31"/>
    </row>
    <row r="9937" spans="2:8" hidden="1">
      <c r="B9937" s="33"/>
      <c r="C9937" s="31"/>
      <c r="D9937" s="31"/>
      <c r="E9937" s="31"/>
      <c r="F9937" s="31"/>
      <c r="G9937" s="31"/>
      <c r="H9937" s="31"/>
    </row>
    <row r="9938" spans="2:8" hidden="1">
      <c r="B9938" s="33"/>
      <c r="C9938" s="31"/>
      <c r="D9938" s="31"/>
      <c r="E9938" s="31"/>
      <c r="F9938" s="31"/>
      <c r="G9938" s="31"/>
      <c r="H9938" s="31"/>
    </row>
    <row r="9939" spans="2:8" hidden="1">
      <c r="B9939" s="33"/>
      <c r="C9939" s="31"/>
      <c r="D9939" s="31"/>
      <c r="E9939" s="31"/>
      <c r="F9939" s="31"/>
      <c r="G9939" s="31"/>
      <c r="H9939" s="31"/>
    </row>
    <row r="9940" spans="2:8" hidden="1">
      <c r="B9940" s="33"/>
      <c r="C9940" s="31"/>
      <c r="D9940" s="31"/>
      <c r="E9940" s="31"/>
      <c r="F9940" s="31"/>
      <c r="G9940" s="31"/>
      <c r="H9940" s="31"/>
    </row>
    <row r="9941" spans="2:8" hidden="1">
      <c r="B9941" s="33"/>
      <c r="C9941" s="31"/>
      <c r="D9941" s="31"/>
      <c r="E9941" s="31"/>
      <c r="F9941" s="31"/>
      <c r="G9941" s="31"/>
      <c r="H9941" s="31"/>
    </row>
    <row r="9942" spans="2:8" hidden="1">
      <c r="B9942" s="33"/>
      <c r="C9942" s="31"/>
      <c r="D9942" s="31"/>
      <c r="E9942" s="31"/>
      <c r="F9942" s="31"/>
      <c r="G9942" s="31"/>
      <c r="H9942" s="31"/>
    </row>
    <row r="9943" spans="2:8" hidden="1">
      <c r="B9943" s="33"/>
      <c r="C9943" s="31"/>
      <c r="D9943" s="31"/>
      <c r="E9943" s="31"/>
      <c r="F9943" s="31"/>
      <c r="G9943" s="31"/>
      <c r="H9943" s="31"/>
    </row>
    <row r="9944" spans="2:8" hidden="1">
      <c r="B9944" s="33"/>
      <c r="C9944" s="31"/>
      <c r="D9944" s="31"/>
      <c r="E9944" s="31"/>
      <c r="F9944" s="31"/>
      <c r="G9944" s="31"/>
      <c r="H9944" s="31"/>
    </row>
    <row r="9945" spans="2:8" hidden="1">
      <c r="B9945" s="33"/>
      <c r="C9945" s="31"/>
      <c r="D9945" s="31"/>
      <c r="E9945" s="31"/>
      <c r="F9945" s="31"/>
      <c r="G9945" s="31"/>
      <c r="H9945" s="31"/>
    </row>
    <row r="9946" spans="2:8" hidden="1">
      <c r="B9946" s="33"/>
      <c r="C9946" s="31"/>
      <c r="D9946" s="31"/>
      <c r="E9946" s="31"/>
      <c r="F9946" s="31"/>
      <c r="G9946" s="31"/>
      <c r="H9946" s="31"/>
    </row>
    <row r="9947" spans="2:8" hidden="1">
      <c r="B9947" s="33"/>
      <c r="C9947" s="31"/>
      <c r="D9947" s="31"/>
      <c r="E9947" s="31"/>
      <c r="F9947" s="31"/>
      <c r="G9947" s="31"/>
      <c r="H9947" s="31"/>
    </row>
    <row r="9948" spans="2:8" hidden="1">
      <c r="B9948" s="33"/>
      <c r="C9948" s="31"/>
      <c r="D9948" s="31"/>
      <c r="E9948" s="31"/>
      <c r="F9948" s="31"/>
      <c r="G9948" s="31"/>
      <c r="H9948" s="31"/>
    </row>
    <row r="9949" spans="2:8" hidden="1">
      <c r="B9949" s="33"/>
      <c r="C9949" s="31"/>
      <c r="D9949" s="31"/>
      <c r="E9949" s="31"/>
      <c r="F9949" s="31"/>
      <c r="G9949" s="31"/>
      <c r="H9949" s="31"/>
    </row>
    <row r="9950" spans="2:8" hidden="1">
      <c r="B9950" s="33"/>
      <c r="C9950" s="31"/>
      <c r="D9950" s="31"/>
      <c r="E9950" s="31"/>
      <c r="F9950" s="31"/>
      <c r="G9950" s="31"/>
      <c r="H9950" s="31"/>
    </row>
    <row r="9951" spans="2:8" hidden="1">
      <c r="B9951" s="33"/>
      <c r="C9951" s="31"/>
      <c r="D9951" s="31"/>
      <c r="E9951" s="31"/>
      <c r="F9951" s="31"/>
      <c r="G9951" s="31"/>
      <c r="H9951" s="31"/>
    </row>
    <row r="9952" spans="2:8" hidden="1">
      <c r="B9952" s="33"/>
      <c r="C9952" s="31"/>
      <c r="D9952" s="31"/>
      <c r="E9952" s="31"/>
      <c r="F9952" s="31"/>
      <c r="G9952" s="31"/>
      <c r="H9952" s="31"/>
    </row>
    <row r="9953" spans="2:8" hidden="1">
      <c r="B9953" s="33"/>
      <c r="C9953" s="31"/>
      <c r="D9953" s="31"/>
      <c r="E9953" s="31"/>
      <c r="F9953" s="31"/>
      <c r="G9953" s="31"/>
      <c r="H9953" s="31"/>
    </row>
    <row r="9954" spans="2:8" hidden="1">
      <c r="B9954" s="33"/>
      <c r="C9954" s="31"/>
      <c r="D9954" s="31"/>
      <c r="E9954" s="31"/>
      <c r="F9954" s="31"/>
      <c r="G9954" s="31"/>
      <c r="H9954" s="31"/>
    </row>
    <row r="9955" spans="2:8" hidden="1">
      <c r="B9955" s="33"/>
      <c r="C9955" s="31"/>
      <c r="D9955" s="31"/>
      <c r="E9955" s="31"/>
      <c r="F9955" s="31"/>
      <c r="G9955" s="31"/>
      <c r="H9955" s="31"/>
    </row>
    <row r="9956" spans="2:8" hidden="1">
      <c r="B9956" s="33"/>
      <c r="C9956" s="31"/>
      <c r="D9956" s="31"/>
      <c r="E9956" s="31"/>
      <c r="F9956" s="31"/>
      <c r="G9956" s="31"/>
      <c r="H9956" s="31"/>
    </row>
    <row r="9957" spans="2:8" hidden="1">
      <c r="B9957" s="33"/>
      <c r="C9957" s="31"/>
      <c r="D9957" s="31"/>
      <c r="E9957" s="31"/>
      <c r="F9957" s="31"/>
      <c r="G9957" s="31"/>
      <c r="H9957" s="31"/>
    </row>
    <row r="9958" spans="2:8" hidden="1">
      <c r="B9958" s="33"/>
      <c r="C9958" s="31"/>
      <c r="D9958" s="31"/>
      <c r="E9958" s="31"/>
      <c r="F9958" s="31"/>
      <c r="G9958" s="31"/>
      <c r="H9958" s="31"/>
    </row>
    <row r="9959" spans="2:8" hidden="1">
      <c r="B9959" s="33"/>
      <c r="C9959" s="31"/>
      <c r="D9959" s="31"/>
      <c r="E9959" s="31"/>
      <c r="F9959" s="31"/>
      <c r="G9959" s="31"/>
      <c r="H9959" s="31"/>
    </row>
    <row r="9960" spans="2:8" hidden="1">
      <c r="B9960" s="33"/>
      <c r="C9960" s="31"/>
      <c r="D9960" s="31"/>
      <c r="E9960" s="31"/>
      <c r="F9960" s="31"/>
      <c r="G9960" s="31"/>
      <c r="H9960" s="31"/>
    </row>
    <row r="9961" spans="2:8" hidden="1">
      <c r="B9961" s="33"/>
      <c r="C9961" s="31"/>
      <c r="D9961" s="31"/>
      <c r="E9961" s="31"/>
      <c r="F9961" s="31"/>
      <c r="G9961" s="31"/>
      <c r="H9961" s="31"/>
    </row>
    <row r="9962" spans="2:8" hidden="1">
      <c r="B9962" s="33"/>
      <c r="C9962" s="31"/>
      <c r="D9962" s="31"/>
      <c r="E9962" s="31"/>
      <c r="F9962" s="31"/>
      <c r="G9962" s="31"/>
      <c r="H9962" s="31"/>
    </row>
    <row r="9963" spans="2:8" hidden="1">
      <c r="B9963" s="33"/>
      <c r="C9963" s="31"/>
      <c r="D9963" s="31"/>
      <c r="E9963" s="31"/>
      <c r="F9963" s="31"/>
      <c r="G9963" s="31"/>
      <c r="H9963" s="31"/>
    </row>
    <row r="9964" spans="2:8" hidden="1">
      <c r="B9964" s="33"/>
      <c r="C9964" s="31"/>
      <c r="D9964" s="31"/>
      <c r="E9964" s="31"/>
      <c r="F9964" s="31"/>
      <c r="G9964" s="31"/>
      <c r="H9964" s="31"/>
    </row>
    <row r="9965" spans="2:8" hidden="1">
      <c r="B9965" s="33"/>
      <c r="C9965" s="31"/>
      <c r="D9965" s="31"/>
      <c r="E9965" s="31"/>
      <c r="F9965" s="31"/>
      <c r="G9965" s="31"/>
      <c r="H9965" s="31"/>
    </row>
  </sheetData>
  <sheetProtection password="83C7" sheet="1" selectLockedCells="1" selectUnlockedCells="1"/>
  <mergeCells count="53">
    <mergeCell ref="B2405:C2405"/>
    <mergeCell ref="B1851:C1851"/>
    <mergeCell ref="B3272:C3272"/>
    <mergeCell ref="B3345:C3345"/>
    <mergeCell ref="B2889:C2889"/>
    <mergeCell ref="B2943:C2943"/>
    <mergeCell ref="B3001:C3001"/>
    <mergeCell ref="B3055:C3055"/>
    <mergeCell ref="B3130:C3130"/>
    <mergeCell ref="B3202:C3202"/>
    <mergeCell ref="B2749:C2749"/>
    <mergeCell ref="B2833:C2833"/>
    <mergeCell ref="B2643:C2643"/>
    <mergeCell ref="B2554:C2554"/>
    <mergeCell ref="B2295:C2297"/>
    <mergeCell ref="B2210:C2210"/>
    <mergeCell ref="B745:C747"/>
    <mergeCell ref="B1938:C1940"/>
    <mergeCell ref="B2124:C2126"/>
    <mergeCell ref="B997:C997"/>
    <mergeCell ref="B1173:C1173"/>
    <mergeCell ref="B2472:C2474"/>
    <mergeCell ref="B2050:C2050"/>
    <mergeCell ref="B1747:C1749"/>
    <mergeCell ref="B1668:C1668"/>
    <mergeCell ref="B168:C168"/>
    <mergeCell ref="B1071:C1073"/>
    <mergeCell ref="B1238:C1240"/>
    <mergeCell ref="B1416:C1418"/>
    <mergeCell ref="B1590:C1592"/>
    <mergeCell ref="B174:C174"/>
    <mergeCell ref="B176:C176"/>
    <mergeCell ref="B568:C570"/>
    <mergeCell ref="B1328:C1328"/>
    <mergeCell ref="B1535:C1535"/>
    <mergeCell ref="B175:C175"/>
    <mergeCell ref="B355:C357"/>
    <mergeCell ref="C2:E2"/>
    <mergeCell ref="C7:E7"/>
    <mergeCell ref="C9:F9"/>
    <mergeCell ref="B906:C908"/>
    <mergeCell ref="B170:C170"/>
    <mergeCell ref="B164:C164"/>
    <mergeCell ref="B177:C177"/>
    <mergeCell ref="B263:C263"/>
    <mergeCell ref="B471:C471"/>
    <mergeCell ref="B681:C681"/>
    <mergeCell ref="B165:C167"/>
    <mergeCell ref="B171:C171"/>
    <mergeCell ref="B169:C169"/>
    <mergeCell ref="B832:C832"/>
    <mergeCell ref="B172:C172"/>
    <mergeCell ref="B173:C173"/>
  </mergeCells>
  <phoneticPr fontId="5" type="noConversion"/>
  <printOptions horizontalCentered="1"/>
  <pageMargins left="0.5" right="0.5" top="0.66" bottom="0.48" header="0.57999999999999996" footer="0.44"/>
  <pageSetup paperSize="9" scale="61" firstPageNumber="290" orientation="portrait" useFirstPageNumber="1" r:id="rId1"/>
  <headerFooter alignWithMargins="0">
    <oddHeader>&amp;R&amp;9Gates and Allied Works - Item Unit Rates 2012-13</oddHeader>
    <oddFooter>&amp;R&amp;P</oddFooter>
  </headerFooter>
</worksheet>
</file>

<file path=xl/worksheets/sheet18.xml><?xml version="1.0" encoding="utf-8"?>
<worksheet xmlns="http://schemas.openxmlformats.org/spreadsheetml/2006/main" xmlns:r="http://schemas.openxmlformats.org/officeDocument/2006/relationships">
  <sheetPr codeName="Sheet8"/>
  <dimension ref="A1:L4607"/>
  <sheetViews>
    <sheetView showGridLines="0" topLeftCell="A2508" zoomScale="75" workbookViewId="0">
      <selection activeCell="H2527" sqref="H2527"/>
    </sheetView>
  </sheetViews>
  <sheetFormatPr defaultColWidth="0" defaultRowHeight="18" zeroHeight="1"/>
  <cols>
    <col min="1" max="1" width="22.85546875" style="78" customWidth="1"/>
    <col min="2" max="2" width="13.7109375" style="78" customWidth="1"/>
    <col min="3" max="3" width="39.85546875" style="26" customWidth="1"/>
    <col min="4" max="4" width="15.28515625" style="26" customWidth="1"/>
    <col min="5" max="5" width="12" style="26" customWidth="1"/>
    <col min="6" max="6" width="14.85546875" style="26" customWidth="1"/>
    <col min="7" max="7" width="17.7109375" style="26" customWidth="1"/>
    <col min="8" max="8" width="14.5703125" style="26" customWidth="1"/>
    <col min="9" max="9" width="8.5703125" style="26" customWidth="1"/>
    <col min="10" max="16384" width="0" style="26" hidden="1"/>
  </cols>
  <sheetData>
    <row r="1" spans="1:8">
      <c r="A1" s="109"/>
      <c r="B1" s="109"/>
      <c r="C1" s="108" t="s">
        <v>6602</v>
      </c>
      <c r="D1" s="165"/>
      <c r="E1" s="109"/>
      <c r="F1" s="109"/>
      <c r="G1" s="109"/>
      <c r="H1" s="109"/>
    </row>
    <row r="2" spans="1:8">
      <c r="A2" s="165"/>
      <c r="B2" s="109"/>
      <c r="C2" s="109"/>
      <c r="D2" s="109"/>
      <c r="E2" s="109"/>
      <c r="F2" s="109"/>
      <c r="G2" s="109"/>
      <c r="H2" s="109"/>
    </row>
    <row r="3" spans="1:8">
      <c r="A3" s="165"/>
      <c r="B3" s="109"/>
      <c r="C3" s="347" t="s">
        <v>8030</v>
      </c>
      <c r="D3" s="347"/>
      <c r="E3" s="109"/>
      <c r="F3" s="109"/>
      <c r="G3" s="109"/>
      <c r="H3" s="109"/>
    </row>
    <row r="4" spans="1:8">
      <c r="A4" s="26"/>
      <c r="C4" s="78"/>
      <c r="D4" s="78"/>
      <c r="E4" s="78"/>
      <c r="F4" s="78"/>
      <c r="G4" s="78"/>
      <c r="H4" s="78"/>
    </row>
    <row r="5" spans="1:8">
      <c r="A5" s="26"/>
      <c r="C5" s="26" t="s">
        <v>75</v>
      </c>
    </row>
    <row r="6" spans="1:8">
      <c r="A6" s="26"/>
    </row>
    <row r="7" spans="1:8" ht="18.75" thickBot="1">
      <c r="A7" s="26"/>
      <c r="C7" s="78" t="s">
        <v>7932</v>
      </c>
    </row>
    <row r="8" spans="1:8" ht="18.75" thickBot="1">
      <c r="A8" s="775" t="s">
        <v>7038</v>
      </c>
    </row>
    <row r="9" spans="1:8">
      <c r="A9" s="26" t="s">
        <v>7188</v>
      </c>
      <c r="C9" s="162" t="s">
        <v>3881</v>
      </c>
      <c r="D9" s="47"/>
      <c r="E9" s="47"/>
      <c r="F9" s="47"/>
      <c r="G9" s="47"/>
      <c r="H9" s="47"/>
    </row>
    <row r="10" spans="1:8">
      <c r="B10" s="26"/>
    </row>
    <row r="11" spans="1:8">
      <c r="A11" s="78" t="s">
        <v>7189</v>
      </c>
      <c r="B11" s="170" t="s">
        <v>1225</v>
      </c>
    </row>
    <row r="12" spans="1:8"/>
    <row r="13" spans="1:8">
      <c r="A13" s="78" t="s">
        <v>7190</v>
      </c>
      <c r="B13" s="170" t="s">
        <v>9139</v>
      </c>
    </row>
    <row r="14" spans="1:8">
      <c r="B14" s="26" t="s">
        <v>9140</v>
      </c>
    </row>
    <row r="15" spans="1:8">
      <c r="B15" s="26" t="s">
        <v>9141</v>
      </c>
    </row>
    <row r="16" spans="1:8">
      <c r="B16" s="26"/>
    </row>
    <row r="17" spans="1:8" hidden="1">
      <c r="A17" s="78" t="s">
        <v>3984</v>
      </c>
      <c r="B17" s="26" t="s">
        <v>1718</v>
      </c>
      <c r="E17" s="26" t="s">
        <v>2223</v>
      </c>
      <c r="F17" s="26">
        <v>1000</v>
      </c>
      <c r="G17" s="26" t="s">
        <v>3479</v>
      </c>
    </row>
    <row r="18" spans="1:8">
      <c r="A18" s="26"/>
    </row>
    <row r="19" spans="1:8">
      <c r="A19" s="26" t="s">
        <v>3984</v>
      </c>
      <c r="C19" s="203" t="s">
        <v>2367</v>
      </c>
      <c r="D19" s="171"/>
      <c r="F19" s="171" t="s">
        <v>297</v>
      </c>
      <c r="G19" s="162">
        <v>1000</v>
      </c>
      <c r="H19" s="26" t="s">
        <v>3883</v>
      </c>
    </row>
    <row r="20" spans="1:8">
      <c r="A20" s="26"/>
      <c r="B20" s="79" t="s">
        <v>2368</v>
      </c>
    </row>
    <row r="21" spans="1:8">
      <c r="A21" s="26"/>
      <c r="B21" s="95" t="s">
        <v>2369</v>
      </c>
      <c r="C21" s="157" t="s">
        <v>6374</v>
      </c>
      <c r="D21" s="195"/>
      <c r="E21" s="95" t="s">
        <v>2370</v>
      </c>
      <c r="F21" s="95" t="s">
        <v>1166</v>
      </c>
      <c r="G21" s="95" t="s">
        <v>2371</v>
      </c>
      <c r="H21" s="95" t="s">
        <v>2372</v>
      </c>
    </row>
    <row r="22" spans="1:8">
      <c r="A22" s="26"/>
      <c r="B22" s="114"/>
      <c r="C22" s="154"/>
      <c r="D22" s="192"/>
      <c r="E22" s="114"/>
      <c r="F22" s="114"/>
      <c r="G22" s="114" t="s">
        <v>3485</v>
      </c>
      <c r="H22" s="114" t="s">
        <v>3485</v>
      </c>
    </row>
    <row r="23" spans="1:8">
      <c r="A23" s="26"/>
      <c r="B23" s="95">
        <v>1</v>
      </c>
      <c r="C23" s="157" t="s">
        <v>6976</v>
      </c>
      <c r="D23" s="195"/>
      <c r="E23" s="107"/>
      <c r="F23" s="179">
        <v>0</v>
      </c>
      <c r="G23" s="179">
        <v>0</v>
      </c>
      <c r="H23" s="179">
        <f>F23*G23</f>
        <v>0</v>
      </c>
    </row>
    <row r="24" spans="1:8">
      <c r="A24" s="26"/>
      <c r="B24" s="114"/>
      <c r="C24" s="154"/>
      <c r="D24" s="192"/>
      <c r="E24" s="191"/>
      <c r="F24" s="182">
        <v>0</v>
      </c>
      <c r="G24" s="182">
        <v>0</v>
      </c>
      <c r="H24" s="182">
        <f>F24*G24</f>
        <v>0</v>
      </c>
    </row>
    <row r="25" spans="1:8">
      <c r="A25" s="26"/>
      <c r="B25" s="176"/>
      <c r="C25" s="174"/>
      <c r="D25" s="174" t="s">
        <v>2376</v>
      </c>
      <c r="E25" s="174"/>
      <c r="F25" s="192"/>
      <c r="G25" s="275" t="s">
        <v>1698</v>
      </c>
      <c r="H25" s="318">
        <f>SUM(H23:H24)</f>
        <v>0</v>
      </c>
    </row>
    <row r="26" spans="1:8">
      <c r="A26" s="26"/>
    </row>
    <row r="27" spans="1:8">
      <c r="A27" s="26"/>
      <c r="B27" s="79" t="s">
        <v>2377</v>
      </c>
    </row>
    <row r="28" spans="1:8">
      <c r="A28" s="26"/>
      <c r="B28" s="95" t="s">
        <v>2369</v>
      </c>
      <c r="C28" s="157" t="s">
        <v>2378</v>
      </c>
      <c r="D28" s="195"/>
      <c r="E28" s="95" t="s">
        <v>2370</v>
      </c>
      <c r="F28" s="95" t="s">
        <v>1166</v>
      </c>
      <c r="G28" s="95" t="s">
        <v>2371</v>
      </c>
      <c r="H28" s="95" t="s">
        <v>2372</v>
      </c>
    </row>
    <row r="29" spans="1:8">
      <c r="A29" s="26"/>
      <c r="B29" s="114"/>
      <c r="C29" s="154"/>
      <c r="D29" s="192"/>
      <c r="E29" s="114"/>
      <c r="F29" s="114"/>
      <c r="G29" s="114" t="s">
        <v>3485</v>
      </c>
      <c r="H29" s="114" t="s">
        <v>3485</v>
      </c>
    </row>
    <row r="30" spans="1:8">
      <c r="A30" s="26"/>
      <c r="B30" s="95">
        <v>1</v>
      </c>
      <c r="C30" s="157" t="s">
        <v>6976</v>
      </c>
      <c r="D30" s="195"/>
      <c r="E30" s="107"/>
      <c r="F30" s="179">
        <v>0</v>
      </c>
      <c r="G30" s="179">
        <v>0</v>
      </c>
      <c r="H30" s="179">
        <f>F30*G30</f>
        <v>0</v>
      </c>
    </row>
    <row r="31" spans="1:8">
      <c r="A31" s="26"/>
      <c r="B31" s="114"/>
      <c r="C31" s="154"/>
      <c r="D31" s="192"/>
      <c r="E31" s="191"/>
      <c r="F31" s="182">
        <v>0</v>
      </c>
      <c r="G31" s="182">
        <v>0</v>
      </c>
      <c r="H31" s="182">
        <f>F31*G31</f>
        <v>0</v>
      </c>
    </row>
    <row r="32" spans="1:8">
      <c r="A32" s="26"/>
      <c r="B32" s="176"/>
      <c r="C32" s="174"/>
      <c r="D32" s="174" t="s">
        <v>2380</v>
      </c>
      <c r="E32" s="174"/>
      <c r="F32" s="192"/>
      <c r="G32" s="236" t="s">
        <v>1698</v>
      </c>
      <c r="H32" s="318">
        <f>SUM(H30:H31)</f>
        <v>0</v>
      </c>
    </row>
    <row r="33" spans="1:8">
      <c r="A33" s="26"/>
    </row>
    <row r="34" spans="1:8">
      <c r="A34" s="26"/>
      <c r="B34" s="79" t="s">
        <v>2381</v>
      </c>
    </row>
    <row r="35" spans="1:8">
      <c r="A35" s="26"/>
      <c r="B35" s="95" t="s">
        <v>2369</v>
      </c>
      <c r="C35" s="157" t="s">
        <v>2378</v>
      </c>
      <c r="D35" s="195"/>
      <c r="E35" s="95" t="s">
        <v>2370</v>
      </c>
      <c r="F35" s="95" t="s">
        <v>1166</v>
      </c>
      <c r="G35" s="95" t="s">
        <v>2371</v>
      </c>
      <c r="H35" s="95" t="s">
        <v>2372</v>
      </c>
    </row>
    <row r="36" spans="1:8">
      <c r="A36" s="26"/>
      <c r="B36" s="114"/>
      <c r="C36" s="154"/>
      <c r="D36" s="192"/>
      <c r="E36" s="114"/>
      <c r="F36" s="114"/>
      <c r="G36" s="114" t="s">
        <v>3485</v>
      </c>
      <c r="H36" s="114" t="s">
        <v>3485</v>
      </c>
    </row>
    <row r="37" spans="1:8">
      <c r="A37" s="26"/>
      <c r="B37" s="95">
        <v>1</v>
      </c>
      <c r="C37" s="148" t="s">
        <v>4206</v>
      </c>
      <c r="D37" s="195"/>
      <c r="E37" s="107" t="s">
        <v>1172</v>
      </c>
      <c r="F37" s="179">
        <v>0.5</v>
      </c>
      <c r="G37" s="179">
        <f>'BASIC DATA'!C473</f>
        <v>450</v>
      </c>
      <c r="H37" s="179">
        <f>F37*G37</f>
        <v>225</v>
      </c>
    </row>
    <row r="38" spans="1:8">
      <c r="A38" s="26"/>
      <c r="B38" s="114">
        <v>2</v>
      </c>
      <c r="C38" s="89" t="s">
        <v>2697</v>
      </c>
      <c r="D38" s="192"/>
      <c r="E38" s="191" t="s">
        <v>1172</v>
      </c>
      <c r="F38" s="182">
        <v>3</v>
      </c>
      <c r="G38" s="190">
        <f>'BASIC DATA'!C552</f>
        <v>350</v>
      </c>
      <c r="H38" s="190">
        <f>F38*G38</f>
        <v>1050</v>
      </c>
    </row>
    <row r="39" spans="1:8">
      <c r="A39" s="26"/>
      <c r="B39" s="176"/>
      <c r="C39" s="174"/>
      <c r="D39" s="174" t="s">
        <v>1174</v>
      </c>
      <c r="E39" s="174"/>
      <c r="F39" s="192"/>
      <c r="G39" s="236" t="s">
        <v>1698</v>
      </c>
      <c r="H39" s="318">
        <f>SUM(H37:H38)</f>
        <v>1275</v>
      </c>
    </row>
    <row r="40" spans="1:8">
      <c r="A40" s="26"/>
      <c r="B40" s="60" t="s">
        <v>5948</v>
      </c>
      <c r="C40" s="31"/>
      <c r="D40" s="31"/>
      <c r="E40" s="85">
        <f>ROUND(H39/G19,1)</f>
        <v>1.3</v>
      </c>
    </row>
    <row r="41" spans="1:8">
      <c r="A41" s="26"/>
      <c r="B41" s="60" t="s">
        <v>3163</v>
      </c>
      <c r="C41" s="31"/>
      <c r="D41" s="31">
        <f>'BASIC DATA'!$C$577</f>
        <v>0.13614999999999999</v>
      </c>
      <c r="E41" s="85">
        <f>ROUND(E40*D41,1)</f>
        <v>0.2</v>
      </c>
    </row>
    <row r="42" spans="1:8">
      <c r="A42" s="26"/>
      <c r="B42" s="60" t="s">
        <v>5949</v>
      </c>
      <c r="C42" s="31"/>
      <c r="D42" s="31"/>
      <c r="E42" s="739">
        <f>E41+E40</f>
        <v>1.5</v>
      </c>
    </row>
    <row r="43" spans="1:8">
      <c r="A43" s="26"/>
      <c r="B43" s="26"/>
    </row>
    <row r="44" spans="1:8">
      <c r="A44" s="26"/>
      <c r="B44" s="170" t="s">
        <v>1175</v>
      </c>
    </row>
    <row r="45" spans="1:8">
      <c r="A45" s="26"/>
      <c r="B45" s="26" t="s">
        <v>1176</v>
      </c>
      <c r="F45" s="171" t="s">
        <v>1698</v>
      </c>
      <c r="G45" s="68">
        <f>H25</f>
        <v>0</v>
      </c>
    </row>
    <row r="46" spans="1:8">
      <c r="A46" s="26"/>
      <c r="B46" s="26" t="s">
        <v>1186</v>
      </c>
      <c r="F46" s="171" t="s">
        <v>1698</v>
      </c>
      <c r="G46" s="68">
        <f>H32</f>
        <v>0</v>
      </c>
    </row>
    <row r="47" spans="1:8">
      <c r="A47" s="26"/>
      <c r="B47" s="26" t="s">
        <v>2660</v>
      </c>
      <c r="F47" s="171" t="s">
        <v>1698</v>
      </c>
      <c r="G47" s="75">
        <f>H39</f>
        <v>1275</v>
      </c>
    </row>
    <row r="48" spans="1:8">
      <c r="A48" s="26"/>
      <c r="E48" s="26" t="s">
        <v>1518</v>
      </c>
      <c r="F48" s="171" t="s">
        <v>1698</v>
      </c>
      <c r="G48" s="205">
        <f>SUM(G45:G47)</f>
        <v>1275</v>
      </c>
    </row>
    <row r="49" spans="1:8" ht="38.25" customHeight="1">
      <c r="A49" s="26"/>
      <c r="B49" s="1207" t="s">
        <v>1379</v>
      </c>
      <c r="C49" s="1207"/>
      <c r="E49" s="249">
        <f>'BASIC DATA'!$C$577</f>
        <v>0.13614999999999999</v>
      </c>
      <c r="F49" s="26" t="s">
        <v>1698</v>
      </c>
      <c r="G49" s="26">
        <f>G48*E49</f>
        <v>173.59125</v>
      </c>
      <c r="H49" s="75"/>
    </row>
    <row r="50" spans="1:8">
      <c r="A50" s="26"/>
      <c r="B50" s="26" t="s">
        <v>1191</v>
      </c>
      <c r="D50" s="68">
        <f>G19</f>
        <v>1000</v>
      </c>
      <c r="E50" s="68" t="str">
        <f>H19</f>
        <v xml:space="preserve"> sqm</v>
      </c>
      <c r="F50" s="26" t="s">
        <v>1698</v>
      </c>
      <c r="G50" s="211">
        <f>G49+G48</f>
        <v>1448.5912499999999</v>
      </c>
      <c r="H50" s="68"/>
    </row>
    <row r="51" spans="1:8">
      <c r="A51" s="26"/>
      <c r="B51" s="170" t="s">
        <v>1584</v>
      </c>
      <c r="C51" s="211" t="str">
        <f>E50</f>
        <v xml:space="preserve"> sqm</v>
      </c>
      <c r="D51" s="26" t="s">
        <v>5886</v>
      </c>
      <c r="F51" s="26" t="s">
        <v>4108</v>
      </c>
      <c r="G51" s="211">
        <f>ROUND(G50/D50,1)</f>
        <v>1.4</v>
      </c>
      <c r="H51" s="68"/>
    </row>
    <row r="52" spans="1:8">
      <c r="A52" s="26"/>
    </row>
    <row r="53" spans="1:8">
      <c r="A53" s="26"/>
    </row>
    <row r="54" spans="1:8">
      <c r="A54" s="78" t="s">
        <v>7191</v>
      </c>
      <c r="B54" s="170" t="s">
        <v>7657</v>
      </c>
    </row>
    <row r="55" spans="1:8">
      <c r="B55" s="26" t="s">
        <v>9084</v>
      </c>
    </row>
    <row r="56" spans="1:8">
      <c r="B56" s="26" t="s">
        <v>1851</v>
      </c>
    </row>
    <row r="57" spans="1:8">
      <c r="B57" s="26"/>
    </row>
    <row r="58" spans="1:8" hidden="1">
      <c r="A58" s="78" t="s">
        <v>3984</v>
      </c>
      <c r="B58" s="26" t="s">
        <v>4799</v>
      </c>
      <c r="E58" s="26" t="s">
        <v>2223</v>
      </c>
      <c r="F58" s="26">
        <v>1000</v>
      </c>
      <c r="G58" s="26" t="s">
        <v>3479</v>
      </c>
    </row>
    <row r="59" spans="1:8">
      <c r="A59" s="26"/>
    </row>
    <row r="60" spans="1:8">
      <c r="A60" s="26"/>
    </row>
    <row r="61" spans="1:8">
      <c r="A61" s="26" t="s">
        <v>3984</v>
      </c>
      <c r="C61" s="203" t="s">
        <v>2367</v>
      </c>
      <c r="D61" s="171"/>
      <c r="F61" s="171" t="s">
        <v>297</v>
      </c>
      <c r="G61" s="162">
        <v>1000</v>
      </c>
      <c r="H61" s="26" t="s">
        <v>3883</v>
      </c>
    </row>
    <row r="62" spans="1:8">
      <c r="A62" s="26"/>
      <c r="B62" s="79" t="s">
        <v>2368</v>
      </c>
    </row>
    <row r="63" spans="1:8">
      <c r="A63" s="26"/>
      <c r="B63" s="95" t="s">
        <v>2369</v>
      </c>
      <c r="C63" s="157" t="s">
        <v>6374</v>
      </c>
      <c r="D63" s="195"/>
      <c r="E63" s="95" t="s">
        <v>2370</v>
      </c>
      <c r="F63" s="95" t="s">
        <v>1166</v>
      </c>
      <c r="G63" s="95" t="s">
        <v>2371</v>
      </c>
      <c r="H63" s="95" t="s">
        <v>2372</v>
      </c>
    </row>
    <row r="64" spans="1:8">
      <c r="A64" s="26"/>
      <c r="B64" s="114"/>
      <c r="C64" s="154"/>
      <c r="D64" s="192"/>
      <c r="E64" s="114"/>
      <c r="F64" s="114"/>
      <c r="G64" s="114" t="s">
        <v>3485</v>
      </c>
      <c r="H64" s="114" t="s">
        <v>3485</v>
      </c>
    </row>
    <row r="65" spans="1:8">
      <c r="A65" s="26"/>
      <c r="B65" s="95">
        <v>1</v>
      </c>
      <c r="C65" s="157" t="s">
        <v>6976</v>
      </c>
      <c r="D65" s="195"/>
      <c r="E65" s="107"/>
      <c r="F65" s="179">
        <v>0</v>
      </c>
      <c r="G65" s="179">
        <v>0</v>
      </c>
      <c r="H65" s="179">
        <f>F65*G65</f>
        <v>0</v>
      </c>
    </row>
    <row r="66" spans="1:8">
      <c r="A66" s="26"/>
      <c r="B66" s="114"/>
      <c r="C66" s="154"/>
      <c r="D66" s="192"/>
      <c r="E66" s="191"/>
      <c r="F66" s="182">
        <v>0</v>
      </c>
      <c r="G66" s="182">
        <v>0</v>
      </c>
      <c r="H66" s="182">
        <f>F66*G66</f>
        <v>0</v>
      </c>
    </row>
    <row r="67" spans="1:8">
      <c r="A67" s="26"/>
      <c r="B67" s="176"/>
      <c r="C67" s="174"/>
      <c r="D67" s="174" t="s">
        <v>2376</v>
      </c>
      <c r="E67" s="174"/>
      <c r="F67" s="192"/>
      <c r="G67" s="275" t="s">
        <v>1698</v>
      </c>
      <c r="H67" s="318">
        <f>SUM(H65:H66)</f>
        <v>0</v>
      </c>
    </row>
    <row r="68" spans="1:8">
      <c r="A68" s="26"/>
    </row>
    <row r="69" spans="1:8">
      <c r="A69" s="26"/>
    </row>
    <row r="70" spans="1:8">
      <c r="A70" s="26"/>
      <c r="B70" s="79" t="s">
        <v>2377</v>
      </c>
    </row>
    <row r="71" spans="1:8">
      <c r="A71" s="26"/>
      <c r="B71" s="95" t="s">
        <v>2369</v>
      </c>
      <c r="C71" s="157" t="s">
        <v>2378</v>
      </c>
      <c r="D71" s="195"/>
      <c r="E71" s="95" t="s">
        <v>2370</v>
      </c>
      <c r="F71" s="95" t="s">
        <v>1166</v>
      </c>
      <c r="G71" s="95" t="s">
        <v>2371</v>
      </c>
      <c r="H71" s="95" t="s">
        <v>2372</v>
      </c>
    </row>
    <row r="72" spans="1:8">
      <c r="A72" s="26"/>
      <c r="B72" s="114"/>
      <c r="C72" s="154"/>
      <c r="D72" s="192"/>
      <c r="E72" s="114"/>
      <c r="F72" s="114"/>
      <c r="G72" s="114" t="s">
        <v>3485</v>
      </c>
      <c r="H72" s="114" t="s">
        <v>3485</v>
      </c>
    </row>
    <row r="73" spans="1:8">
      <c r="A73" s="26"/>
      <c r="B73" s="95">
        <v>1</v>
      </c>
      <c r="C73" s="157" t="s">
        <v>6976</v>
      </c>
      <c r="D73" s="195"/>
      <c r="E73" s="107"/>
      <c r="F73" s="179">
        <v>0</v>
      </c>
      <c r="G73" s="179">
        <v>0</v>
      </c>
      <c r="H73" s="179">
        <f>F73*G73</f>
        <v>0</v>
      </c>
    </row>
    <row r="74" spans="1:8">
      <c r="A74" s="26"/>
      <c r="B74" s="114"/>
      <c r="C74" s="154"/>
      <c r="D74" s="192"/>
      <c r="E74" s="191"/>
      <c r="F74" s="182">
        <v>0</v>
      </c>
      <c r="G74" s="182">
        <v>0</v>
      </c>
      <c r="H74" s="182">
        <f>F74*G74</f>
        <v>0</v>
      </c>
    </row>
    <row r="75" spans="1:8">
      <c r="A75" s="26"/>
      <c r="B75" s="176"/>
      <c r="C75" s="174"/>
      <c r="D75" s="174" t="s">
        <v>2380</v>
      </c>
      <c r="E75" s="174"/>
      <c r="F75" s="192"/>
      <c r="G75" s="275" t="s">
        <v>1698</v>
      </c>
      <c r="H75" s="318">
        <f>SUM(H73:H74)</f>
        <v>0</v>
      </c>
    </row>
    <row r="76" spans="1:8">
      <c r="A76" s="26"/>
    </row>
    <row r="77" spans="1:8">
      <c r="A77" s="26"/>
    </row>
    <row r="78" spans="1:8">
      <c r="A78" s="26"/>
      <c r="B78" s="79" t="s">
        <v>2381</v>
      </c>
    </row>
    <row r="79" spans="1:8">
      <c r="A79" s="26"/>
      <c r="B79" s="95" t="s">
        <v>2369</v>
      </c>
      <c r="C79" s="157" t="s">
        <v>2378</v>
      </c>
      <c r="D79" s="195"/>
      <c r="E79" s="95" t="s">
        <v>2370</v>
      </c>
      <c r="F79" s="95" t="s">
        <v>1166</v>
      </c>
      <c r="G79" s="95" t="s">
        <v>2371</v>
      </c>
      <c r="H79" s="95" t="s">
        <v>2372</v>
      </c>
    </row>
    <row r="80" spans="1:8">
      <c r="A80" s="26"/>
      <c r="B80" s="114"/>
      <c r="C80" s="154"/>
      <c r="D80" s="192"/>
      <c r="E80" s="114"/>
      <c r="F80" s="114"/>
      <c r="G80" s="114" t="s">
        <v>3485</v>
      </c>
      <c r="H80" s="114" t="s">
        <v>3485</v>
      </c>
    </row>
    <row r="81" spans="1:8">
      <c r="A81" s="26"/>
      <c r="B81" s="95">
        <v>1</v>
      </c>
      <c r="C81" s="131" t="s">
        <v>4206</v>
      </c>
      <c r="D81" s="195"/>
      <c r="E81" s="107" t="s">
        <v>1172</v>
      </c>
      <c r="F81" s="179">
        <v>0.5</v>
      </c>
      <c r="G81" s="179">
        <f>'BASIC DATA'!C473</f>
        <v>450</v>
      </c>
      <c r="H81" s="179">
        <f>F81*G81</f>
        <v>225</v>
      </c>
    </row>
    <row r="82" spans="1:8">
      <c r="A82" s="26"/>
      <c r="B82" s="176">
        <v>2</v>
      </c>
      <c r="C82" s="89" t="s">
        <v>2697</v>
      </c>
      <c r="D82" s="192"/>
      <c r="E82" s="191" t="s">
        <v>1172</v>
      </c>
      <c r="F82" s="182">
        <v>5</v>
      </c>
      <c r="G82" s="190">
        <f>'BASIC DATA'!C552</f>
        <v>350</v>
      </c>
      <c r="H82" s="190">
        <f>F82*G82</f>
        <v>1750</v>
      </c>
    </row>
    <row r="83" spans="1:8">
      <c r="A83" s="26"/>
      <c r="B83" s="176"/>
      <c r="C83" s="174"/>
      <c r="D83" s="174" t="s">
        <v>1174</v>
      </c>
      <c r="E83" s="174"/>
      <c r="F83" s="192"/>
      <c r="G83" s="236" t="s">
        <v>1698</v>
      </c>
      <c r="H83" s="318">
        <f>SUM(H81:H82)</f>
        <v>1975</v>
      </c>
    </row>
    <row r="84" spans="1:8">
      <c r="A84" s="26"/>
      <c r="B84" s="60" t="s">
        <v>5948</v>
      </c>
      <c r="C84" s="31"/>
      <c r="D84" s="31"/>
      <c r="E84" s="85">
        <f>ROUND(H83/G61,1)</f>
        <v>2</v>
      </c>
      <c r="F84" s="85"/>
    </row>
    <row r="85" spans="1:8">
      <c r="A85" s="26"/>
      <c r="B85" s="60" t="s">
        <v>3163</v>
      </c>
      <c r="C85" s="31"/>
      <c r="D85" s="31">
        <f>'BASIC DATA'!$C$577</f>
        <v>0.13614999999999999</v>
      </c>
      <c r="E85" s="85">
        <f>ROUND(E84*D85,1)</f>
        <v>0.3</v>
      </c>
      <c r="F85" s="85"/>
    </row>
    <row r="86" spans="1:8">
      <c r="A86" s="26"/>
      <c r="B86" s="60" t="s">
        <v>5949</v>
      </c>
      <c r="C86" s="31"/>
      <c r="D86" s="31"/>
      <c r="E86" s="199">
        <f>E85+E84</f>
        <v>2.2999999999999998</v>
      </c>
      <c r="F86" s="85"/>
    </row>
    <row r="87" spans="1:8">
      <c r="A87" s="26"/>
      <c r="B87" s="26"/>
    </row>
    <row r="88" spans="1:8">
      <c r="A88" s="26"/>
      <c r="B88" s="170" t="s">
        <v>1175</v>
      </c>
    </row>
    <row r="89" spans="1:8">
      <c r="A89" s="26"/>
      <c r="B89" s="26" t="s">
        <v>1176</v>
      </c>
      <c r="F89" s="171" t="s">
        <v>1698</v>
      </c>
      <c r="G89" s="68">
        <f>H67</f>
        <v>0</v>
      </c>
    </row>
    <row r="90" spans="1:8">
      <c r="A90" s="26"/>
      <c r="B90" s="26" t="s">
        <v>1186</v>
      </c>
      <c r="F90" s="171" t="s">
        <v>1698</v>
      </c>
      <c r="G90" s="68">
        <f>H75</f>
        <v>0</v>
      </c>
    </row>
    <row r="91" spans="1:8">
      <c r="A91" s="26"/>
      <c r="B91" s="26" t="s">
        <v>2660</v>
      </c>
      <c r="F91" s="171" t="s">
        <v>1698</v>
      </c>
      <c r="G91" s="75">
        <f>H83</f>
        <v>1975</v>
      </c>
    </row>
    <row r="92" spans="1:8">
      <c r="A92" s="26"/>
      <c r="E92" s="26" t="s">
        <v>1518</v>
      </c>
      <c r="F92" s="171" t="s">
        <v>1698</v>
      </c>
      <c r="G92" s="205">
        <f>SUM(G89:G91)</f>
        <v>1975</v>
      </c>
    </row>
    <row r="93" spans="1:8" ht="33.75" customHeight="1">
      <c r="A93" s="26"/>
      <c r="B93" s="1207" t="s">
        <v>1379</v>
      </c>
      <c r="C93" s="1207"/>
      <c r="E93" s="249">
        <f>'BASIC DATA'!$C$577</f>
        <v>0.13614999999999999</v>
      </c>
      <c r="F93" s="26" t="s">
        <v>1698</v>
      </c>
      <c r="G93" s="26">
        <f>G92*E93</f>
        <v>268.89625000000001</v>
      </c>
    </row>
    <row r="94" spans="1:8">
      <c r="A94" s="26"/>
      <c r="B94" s="26" t="s">
        <v>1191</v>
      </c>
      <c r="D94" s="68">
        <f>G61</f>
        <v>1000</v>
      </c>
      <c r="E94" s="68" t="str">
        <f>H61</f>
        <v xml:space="preserve"> sqm</v>
      </c>
      <c r="F94" s="26" t="s">
        <v>1698</v>
      </c>
      <c r="G94" s="211">
        <f>G93+G92</f>
        <v>2243.8962499999998</v>
      </c>
    </row>
    <row r="95" spans="1:8">
      <c r="A95" s="26"/>
      <c r="B95" s="170" t="s">
        <v>1584</v>
      </c>
      <c r="C95" s="211" t="str">
        <f>E94</f>
        <v xml:space="preserve"> sqm</v>
      </c>
      <c r="D95" s="26" t="s">
        <v>5886</v>
      </c>
      <c r="F95" s="26" t="s">
        <v>4108</v>
      </c>
      <c r="G95" s="211">
        <f>ROUND(G94/D94,1)</f>
        <v>2.2000000000000002</v>
      </c>
    </row>
    <row r="96" spans="1:8">
      <c r="A96" s="26"/>
    </row>
    <row r="97" spans="1:8">
      <c r="A97" s="26"/>
    </row>
    <row r="98" spans="1:8">
      <c r="A98" s="78" t="s">
        <v>7192</v>
      </c>
      <c r="B98" s="170" t="s">
        <v>9142</v>
      </c>
    </row>
    <row r="99" spans="1:8">
      <c r="B99" s="26" t="s">
        <v>9143</v>
      </c>
    </row>
    <row r="100" spans="1:8">
      <c r="B100" s="170" t="s">
        <v>3639</v>
      </c>
    </row>
    <row r="101" spans="1:8">
      <c r="A101" s="78" t="s">
        <v>3984</v>
      </c>
      <c r="B101" s="26"/>
    </row>
    <row r="102" spans="1:8" hidden="1">
      <c r="A102" s="78" t="s">
        <v>3984</v>
      </c>
      <c r="B102" s="26" t="s">
        <v>6877</v>
      </c>
      <c r="E102" s="78" t="s">
        <v>1697</v>
      </c>
      <c r="F102" s="26">
        <v>0.3</v>
      </c>
      <c r="G102" s="26" t="s">
        <v>2602</v>
      </c>
    </row>
    <row r="103" spans="1:8" hidden="1">
      <c r="B103" s="26" t="s">
        <v>5852</v>
      </c>
    </row>
    <row r="104" spans="1:8" hidden="1">
      <c r="B104" s="26" t="s">
        <v>1719</v>
      </c>
      <c r="E104" s="78" t="s">
        <v>1697</v>
      </c>
      <c r="F104" s="26">
        <v>18</v>
      </c>
      <c r="G104" s="26" t="s">
        <v>4041</v>
      </c>
    </row>
    <row r="105" spans="1:8" hidden="1">
      <c r="B105" s="26" t="s">
        <v>4800</v>
      </c>
    </row>
    <row r="106" spans="1:8">
      <c r="A106" s="26"/>
    </row>
    <row r="107" spans="1:8">
      <c r="A107" s="26"/>
      <c r="C107" s="203" t="s">
        <v>2367</v>
      </c>
      <c r="D107" s="171"/>
      <c r="F107" s="171" t="s">
        <v>297</v>
      </c>
      <c r="G107" s="162">
        <v>18</v>
      </c>
      <c r="H107" s="26" t="s">
        <v>4041</v>
      </c>
    </row>
    <row r="108" spans="1:8">
      <c r="A108" s="26"/>
    </row>
    <row r="109" spans="1:8">
      <c r="A109" s="26"/>
      <c r="B109" s="79" t="s">
        <v>2368</v>
      </c>
    </row>
    <row r="110" spans="1:8">
      <c r="A110" s="26"/>
      <c r="B110" s="95" t="s">
        <v>2369</v>
      </c>
      <c r="C110" s="157" t="s">
        <v>6374</v>
      </c>
      <c r="D110" s="195"/>
      <c r="E110" s="95" t="s">
        <v>2370</v>
      </c>
      <c r="F110" s="95" t="s">
        <v>1166</v>
      </c>
      <c r="G110" s="95" t="s">
        <v>2371</v>
      </c>
      <c r="H110" s="95" t="s">
        <v>2372</v>
      </c>
    </row>
    <row r="111" spans="1:8">
      <c r="A111" s="26"/>
      <c r="B111" s="114"/>
      <c r="C111" s="154"/>
      <c r="D111" s="192"/>
      <c r="E111" s="114"/>
      <c r="F111" s="114"/>
      <c r="G111" s="114" t="s">
        <v>3485</v>
      </c>
      <c r="H111" s="114" t="s">
        <v>3485</v>
      </c>
    </row>
    <row r="112" spans="1:8">
      <c r="A112" s="26"/>
      <c r="B112" s="95">
        <v>1</v>
      </c>
      <c r="C112" s="157" t="s">
        <v>6976</v>
      </c>
      <c r="D112" s="195"/>
      <c r="E112" s="107"/>
      <c r="F112" s="179">
        <v>0</v>
      </c>
      <c r="G112" s="179">
        <v>0</v>
      </c>
      <c r="H112" s="179">
        <f>F112*G112</f>
        <v>0</v>
      </c>
    </row>
    <row r="113" spans="1:8">
      <c r="A113" s="26"/>
      <c r="B113" s="114"/>
      <c r="C113" s="154"/>
      <c r="D113" s="192"/>
      <c r="E113" s="191"/>
      <c r="F113" s="182">
        <v>0</v>
      </c>
      <c r="G113" s="182">
        <v>0</v>
      </c>
      <c r="H113" s="182">
        <f>F113*G113</f>
        <v>0</v>
      </c>
    </row>
    <row r="114" spans="1:8">
      <c r="A114" s="26"/>
      <c r="B114" s="176"/>
      <c r="C114" s="174"/>
      <c r="D114" s="174" t="s">
        <v>2376</v>
      </c>
      <c r="E114" s="174"/>
      <c r="F114" s="192"/>
      <c r="G114" s="236" t="s">
        <v>1698</v>
      </c>
      <c r="H114" s="318">
        <f>SUM(H112:H113)</f>
        <v>0</v>
      </c>
    </row>
    <row r="115" spans="1:8">
      <c r="A115" s="26"/>
    </row>
    <row r="116" spans="1:8">
      <c r="A116" s="26"/>
      <c r="B116" s="79" t="s">
        <v>2377</v>
      </c>
    </row>
    <row r="117" spans="1:8">
      <c r="A117" s="26"/>
      <c r="B117" s="95" t="s">
        <v>2369</v>
      </c>
      <c r="C117" s="157" t="s">
        <v>2378</v>
      </c>
      <c r="D117" s="195"/>
      <c r="E117" s="95" t="s">
        <v>2370</v>
      </c>
      <c r="F117" s="95" t="s">
        <v>1166</v>
      </c>
      <c r="G117" s="95" t="s">
        <v>2371</v>
      </c>
      <c r="H117" s="95" t="s">
        <v>2372</v>
      </c>
    </row>
    <row r="118" spans="1:8">
      <c r="A118" s="26"/>
      <c r="B118" s="114"/>
      <c r="C118" s="154"/>
      <c r="D118" s="192"/>
      <c r="E118" s="114"/>
      <c r="F118" s="114"/>
      <c r="G118" s="114" t="s">
        <v>3485</v>
      </c>
      <c r="H118" s="114" t="s">
        <v>3485</v>
      </c>
    </row>
    <row r="119" spans="1:8">
      <c r="A119" s="26"/>
      <c r="B119" s="95">
        <v>1</v>
      </c>
      <c r="C119" s="157" t="s">
        <v>6976</v>
      </c>
      <c r="D119" s="195"/>
      <c r="E119" s="107"/>
      <c r="F119" s="179">
        <v>0</v>
      </c>
      <c r="G119" s="179">
        <v>0</v>
      </c>
      <c r="H119" s="179">
        <f>F119*G119</f>
        <v>0</v>
      </c>
    </row>
    <row r="120" spans="1:8">
      <c r="A120" s="26"/>
      <c r="B120" s="114"/>
      <c r="C120" s="154"/>
      <c r="D120" s="192"/>
      <c r="E120" s="191"/>
      <c r="F120" s="182">
        <v>0</v>
      </c>
      <c r="G120" s="182">
        <v>0</v>
      </c>
      <c r="H120" s="182">
        <f>F120*G120</f>
        <v>0</v>
      </c>
    </row>
    <row r="121" spans="1:8">
      <c r="A121" s="26"/>
      <c r="B121" s="176"/>
      <c r="C121" s="174"/>
      <c r="D121" s="174" t="s">
        <v>2380</v>
      </c>
      <c r="E121" s="174"/>
      <c r="F121" s="192"/>
      <c r="G121" s="275" t="s">
        <v>1698</v>
      </c>
      <c r="H121" s="318">
        <f>SUM(H119:H120)</f>
        <v>0</v>
      </c>
    </row>
    <row r="122" spans="1:8">
      <c r="A122" s="26"/>
    </row>
    <row r="123" spans="1:8">
      <c r="A123" s="26"/>
      <c r="B123" s="79" t="s">
        <v>2381</v>
      </c>
    </row>
    <row r="124" spans="1:8">
      <c r="A124" s="26"/>
      <c r="B124" s="95" t="s">
        <v>2369</v>
      </c>
      <c r="C124" s="157" t="s">
        <v>2378</v>
      </c>
      <c r="D124" s="195"/>
      <c r="E124" s="95" t="s">
        <v>2370</v>
      </c>
      <c r="F124" s="95" t="s">
        <v>1166</v>
      </c>
      <c r="G124" s="95" t="s">
        <v>2371</v>
      </c>
      <c r="H124" s="95" t="s">
        <v>2372</v>
      </c>
    </row>
    <row r="125" spans="1:8">
      <c r="A125" s="26"/>
      <c r="B125" s="114"/>
      <c r="C125" s="154"/>
      <c r="D125" s="192"/>
      <c r="E125" s="114"/>
      <c r="F125" s="114"/>
      <c r="G125" s="114" t="s">
        <v>3485</v>
      </c>
      <c r="H125" s="114" t="s">
        <v>3485</v>
      </c>
    </row>
    <row r="126" spans="1:8">
      <c r="A126" s="26"/>
      <c r="B126" s="95">
        <v>1</v>
      </c>
      <c r="C126" s="148" t="s">
        <v>4206</v>
      </c>
      <c r="D126" s="195"/>
      <c r="E126" s="107" t="s">
        <v>1172</v>
      </c>
      <c r="F126" s="179">
        <v>0.25</v>
      </c>
      <c r="G126" s="179">
        <f>'BASIC DATA'!C473</f>
        <v>450</v>
      </c>
      <c r="H126" s="179">
        <f>F126*G126</f>
        <v>112.5</v>
      </c>
    </row>
    <row r="127" spans="1:8">
      <c r="A127" s="26"/>
      <c r="B127" s="114">
        <v>2</v>
      </c>
      <c r="C127" s="89" t="s">
        <v>2697</v>
      </c>
      <c r="D127" s="192"/>
      <c r="E127" s="191" t="s">
        <v>1172</v>
      </c>
      <c r="F127" s="182">
        <v>2</v>
      </c>
      <c r="G127" s="190">
        <f>'BASIC DATA'!C552</f>
        <v>350</v>
      </c>
      <c r="H127" s="190">
        <f>F127*G127</f>
        <v>700</v>
      </c>
    </row>
    <row r="128" spans="1:8">
      <c r="A128" s="26"/>
      <c r="B128" s="176"/>
      <c r="C128" s="174"/>
      <c r="D128" s="174" t="s">
        <v>1174</v>
      </c>
      <c r="E128" s="174"/>
      <c r="F128" s="192"/>
      <c r="G128" s="236" t="s">
        <v>1698</v>
      </c>
      <c r="H128" s="318">
        <f>SUM(H126:H127)</f>
        <v>812.5</v>
      </c>
    </row>
    <row r="129" spans="1:7">
      <c r="A129" s="26"/>
      <c r="B129" s="60" t="s">
        <v>5948</v>
      </c>
      <c r="C129" s="31"/>
      <c r="D129" s="31"/>
      <c r="E129" s="85">
        <f>ROUND(H128/G107,1)</f>
        <v>45.1</v>
      </c>
      <c r="G129" s="31"/>
    </row>
    <row r="130" spans="1:7">
      <c r="A130" s="26"/>
      <c r="B130" s="60" t="s">
        <v>3163</v>
      </c>
      <c r="C130" s="31"/>
      <c r="D130" s="31">
        <f>'BASIC DATA'!$C$577</f>
        <v>0.13614999999999999</v>
      </c>
      <c r="E130" s="85">
        <f>ROUND(E129*D130,1)</f>
        <v>6.1</v>
      </c>
      <c r="G130" s="31"/>
    </row>
    <row r="131" spans="1:7">
      <c r="A131" s="26"/>
      <c r="B131" s="60" t="s">
        <v>5949</v>
      </c>
      <c r="C131" s="31"/>
      <c r="D131" s="31"/>
      <c r="E131" s="739">
        <f>E130+E129</f>
        <v>51.2</v>
      </c>
      <c r="G131" s="31"/>
    </row>
    <row r="132" spans="1:7">
      <c r="A132" s="26"/>
    </row>
    <row r="133" spans="1:7">
      <c r="A133" s="26"/>
      <c r="B133" s="170" t="s">
        <v>1175</v>
      </c>
    </row>
    <row r="134" spans="1:7">
      <c r="A134" s="26"/>
      <c r="B134" s="26" t="s">
        <v>1176</v>
      </c>
      <c r="F134" s="171" t="s">
        <v>1698</v>
      </c>
      <c r="G134" s="68">
        <f>H114</f>
        <v>0</v>
      </c>
    </row>
    <row r="135" spans="1:7">
      <c r="A135" s="26"/>
      <c r="B135" s="26" t="s">
        <v>1186</v>
      </c>
      <c r="F135" s="171" t="s">
        <v>1698</v>
      </c>
      <c r="G135" s="68">
        <f>H121</f>
        <v>0</v>
      </c>
    </row>
    <row r="136" spans="1:7">
      <c r="A136" s="26"/>
      <c r="B136" s="26" t="s">
        <v>2660</v>
      </c>
      <c r="F136" s="171" t="s">
        <v>1698</v>
      </c>
      <c r="G136" s="75">
        <f>H128</f>
        <v>812.5</v>
      </c>
    </row>
    <row r="137" spans="1:7">
      <c r="A137" s="26"/>
      <c r="E137" s="26" t="s">
        <v>1518</v>
      </c>
      <c r="F137" s="171" t="s">
        <v>1698</v>
      </c>
      <c r="G137" s="205">
        <f>SUM(G134:G136)</f>
        <v>812.5</v>
      </c>
    </row>
    <row r="138" spans="1:7" ht="36.75" customHeight="1">
      <c r="A138" s="26"/>
      <c r="B138" s="1207" t="s">
        <v>1379</v>
      </c>
      <c r="C138" s="1207"/>
      <c r="E138" s="249">
        <f>'BASIC DATA'!$C$577</f>
        <v>0.13614999999999999</v>
      </c>
      <c r="F138" s="26" t="s">
        <v>1698</v>
      </c>
      <c r="G138" s="26">
        <f>G137*E138</f>
        <v>110.62187499999999</v>
      </c>
    </row>
    <row r="139" spans="1:7">
      <c r="A139" s="26"/>
      <c r="B139" s="26" t="s">
        <v>1191</v>
      </c>
      <c r="D139" s="68">
        <f>G107</f>
        <v>18</v>
      </c>
      <c r="E139" s="68" t="str">
        <f>H107</f>
        <v>Nos.</v>
      </c>
      <c r="F139" s="26" t="s">
        <v>1698</v>
      </c>
      <c r="G139" s="211">
        <f>G138+G137</f>
        <v>923.12187500000005</v>
      </c>
    </row>
    <row r="140" spans="1:7">
      <c r="A140" s="26"/>
      <c r="B140" s="170" t="s">
        <v>1584</v>
      </c>
      <c r="C140" s="211" t="s">
        <v>4935</v>
      </c>
      <c r="D140" s="26" t="s">
        <v>6785</v>
      </c>
      <c r="F140" s="26" t="s">
        <v>4108</v>
      </c>
      <c r="G140" s="211">
        <f>ROUND(G139/D139,1)</f>
        <v>51.3</v>
      </c>
    </row>
    <row r="141" spans="1:7">
      <c r="A141" s="26"/>
    </row>
    <row r="142" spans="1:7">
      <c r="A142" s="26"/>
    </row>
    <row r="143" spans="1:7">
      <c r="A143" s="78" t="s">
        <v>7193</v>
      </c>
      <c r="B143" s="26" t="s">
        <v>9144</v>
      </c>
    </row>
    <row r="144" spans="1:7">
      <c r="B144" s="26" t="s">
        <v>9145</v>
      </c>
    </row>
    <row r="145" spans="1:8">
      <c r="B145" s="170" t="s">
        <v>3978</v>
      </c>
    </row>
    <row r="146" spans="1:8">
      <c r="A146" s="78" t="s">
        <v>3984</v>
      </c>
      <c r="B146" s="26"/>
    </row>
    <row r="147" spans="1:8" hidden="1">
      <c r="A147" s="78" t="s">
        <v>3984</v>
      </c>
      <c r="B147" s="26" t="s">
        <v>6878</v>
      </c>
      <c r="E147" s="78" t="s">
        <v>1697</v>
      </c>
      <c r="F147" s="26">
        <v>0.72</v>
      </c>
      <c r="G147" s="26" t="s">
        <v>2602</v>
      </c>
    </row>
    <row r="148" spans="1:8" hidden="1">
      <c r="B148" s="26" t="s">
        <v>5852</v>
      </c>
    </row>
    <row r="149" spans="1:8" hidden="1">
      <c r="B149" s="26" t="s">
        <v>1720</v>
      </c>
      <c r="E149" s="78" t="s">
        <v>1697</v>
      </c>
      <c r="F149" s="26">
        <v>8</v>
      </c>
      <c r="G149" s="26" t="s">
        <v>2059</v>
      </c>
    </row>
    <row r="150" spans="1:8" hidden="1">
      <c r="B150" s="26" t="s">
        <v>4800</v>
      </c>
    </row>
    <row r="151" spans="1:8">
      <c r="A151" s="26"/>
    </row>
    <row r="152" spans="1:8">
      <c r="A152" s="26"/>
      <c r="C152" s="203" t="s">
        <v>2367</v>
      </c>
      <c r="D152" s="171"/>
      <c r="F152" s="171" t="s">
        <v>297</v>
      </c>
      <c r="G152" s="162">
        <v>8</v>
      </c>
      <c r="H152" s="26" t="s">
        <v>4041</v>
      </c>
    </row>
    <row r="153" spans="1:8">
      <c r="A153" s="26"/>
    </row>
    <row r="154" spans="1:8">
      <c r="A154" s="26"/>
      <c r="B154" s="79" t="s">
        <v>2368</v>
      </c>
    </row>
    <row r="155" spans="1:8">
      <c r="A155" s="26"/>
      <c r="B155" s="95" t="s">
        <v>2369</v>
      </c>
      <c r="C155" s="157" t="s">
        <v>6374</v>
      </c>
      <c r="D155" s="195"/>
      <c r="E155" s="95" t="s">
        <v>2370</v>
      </c>
      <c r="F155" s="95" t="s">
        <v>1166</v>
      </c>
      <c r="G155" s="95" t="s">
        <v>2371</v>
      </c>
      <c r="H155" s="95" t="s">
        <v>2372</v>
      </c>
    </row>
    <row r="156" spans="1:8">
      <c r="A156" s="26"/>
      <c r="B156" s="114"/>
      <c r="C156" s="154"/>
      <c r="D156" s="192"/>
      <c r="E156" s="114"/>
      <c r="F156" s="114"/>
      <c r="G156" s="114" t="s">
        <v>3485</v>
      </c>
      <c r="H156" s="114" t="s">
        <v>3485</v>
      </c>
    </row>
    <row r="157" spans="1:8">
      <c r="A157" s="26"/>
      <c r="B157" s="95">
        <v>1</v>
      </c>
      <c r="C157" s="157" t="s">
        <v>6976</v>
      </c>
      <c r="D157" s="195"/>
      <c r="E157" s="107"/>
      <c r="F157" s="179">
        <v>0</v>
      </c>
      <c r="G157" s="179">
        <v>0</v>
      </c>
      <c r="H157" s="179">
        <f>F157*G157</f>
        <v>0</v>
      </c>
    </row>
    <row r="158" spans="1:8">
      <c r="A158" s="26"/>
      <c r="B158" s="114"/>
      <c r="C158" s="154"/>
      <c r="D158" s="192"/>
      <c r="E158" s="191"/>
      <c r="F158" s="182">
        <v>0</v>
      </c>
      <c r="G158" s="182">
        <v>0</v>
      </c>
      <c r="H158" s="182">
        <f>F158*G158</f>
        <v>0</v>
      </c>
    </row>
    <row r="159" spans="1:8">
      <c r="A159" s="26"/>
      <c r="B159" s="176"/>
      <c r="C159" s="174"/>
      <c r="D159" s="174" t="s">
        <v>2376</v>
      </c>
      <c r="E159" s="174"/>
      <c r="F159" s="192"/>
      <c r="G159" s="275" t="s">
        <v>1698</v>
      </c>
      <c r="H159" s="318">
        <f>SUM(H157:H158)</f>
        <v>0</v>
      </c>
    </row>
    <row r="160" spans="1:8">
      <c r="A160" s="26"/>
    </row>
    <row r="161" spans="1:8">
      <c r="A161" s="26"/>
      <c r="B161" s="79" t="s">
        <v>2377</v>
      </c>
    </row>
    <row r="162" spans="1:8">
      <c r="A162" s="26"/>
      <c r="B162" s="95" t="s">
        <v>2369</v>
      </c>
      <c r="C162" s="157" t="s">
        <v>2378</v>
      </c>
      <c r="D162" s="195"/>
      <c r="E162" s="95" t="s">
        <v>2370</v>
      </c>
      <c r="F162" s="95" t="s">
        <v>1166</v>
      </c>
      <c r="G162" s="95" t="s">
        <v>2371</v>
      </c>
      <c r="H162" s="95" t="s">
        <v>2372</v>
      </c>
    </row>
    <row r="163" spans="1:8">
      <c r="A163" s="26"/>
      <c r="B163" s="114"/>
      <c r="C163" s="154"/>
      <c r="D163" s="192"/>
      <c r="E163" s="114"/>
      <c r="F163" s="114"/>
      <c r="G163" s="114" t="s">
        <v>3485</v>
      </c>
      <c r="H163" s="114" t="s">
        <v>3485</v>
      </c>
    </row>
    <row r="164" spans="1:8">
      <c r="A164" s="26"/>
      <c r="B164" s="95">
        <v>1</v>
      </c>
      <c r="C164" s="157" t="s">
        <v>6976</v>
      </c>
      <c r="D164" s="195"/>
      <c r="E164" s="107"/>
      <c r="F164" s="179">
        <v>0</v>
      </c>
      <c r="G164" s="179">
        <v>0</v>
      </c>
      <c r="H164" s="179">
        <f>F164*G164</f>
        <v>0</v>
      </c>
    </row>
    <row r="165" spans="1:8">
      <c r="A165" s="26"/>
      <c r="B165" s="114"/>
      <c r="C165" s="154"/>
      <c r="D165" s="192"/>
      <c r="E165" s="191"/>
      <c r="F165" s="182">
        <v>0</v>
      </c>
      <c r="G165" s="182">
        <v>0</v>
      </c>
      <c r="H165" s="182">
        <f>F165*G165</f>
        <v>0</v>
      </c>
    </row>
    <row r="166" spans="1:8">
      <c r="A166" s="26"/>
      <c r="B166" s="176"/>
      <c r="C166" s="174"/>
      <c r="D166" s="174" t="s">
        <v>2380</v>
      </c>
      <c r="E166" s="174"/>
      <c r="F166" s="192"/>
      <c r="G166" s="275" t="s">
        <v>1698</v>
      </c>
      <c r="H166" s="318">
        <f>SUM(H164:H165)</f>
        <v>0</v>
      </c>
    </row>
    <row r="167" spans="1:8">
      <c r="A167" s="26"/>
    </row>
    <row r="168" spans="1:8">
      <c r="A168" s="26"/>
      <c r="B168" s="79" t="s">
        <v>2381</v>
      </c>
    </row>
    <row r="169" spans="1:8">
      <c r="A169" s="26"/>
      <c r="B169" s="95" t="s">
        <v>2369</v>
      </c>
      <c r="C169" s="157" t="s">
        <v>2378</v>
      </c>
      <c r="D169" s="195"/>
      <c r="E169" s="95" t="s">
        <v>2370</v>
      </c>
      <c r="F169" s="95" t="s">
        <v>1166</v>
      </c>
      <c r="G169" s="95" t="s">
        <v>2371</v>
      </c>
      <c r="H169" s="95" t="s">
        <v>2372</v>
      </c>
    </row>
    <row r="170" spans="1:8">
      <c r="A170" s="26"/>
      <c r="B170" s="114"/>
      <c r="C170" s="154"/>
      <c r="D170" s="192"/>
      <c r="E170" s="114"/>
      <c r="F170" s="114"/>
      <c r="G170" s="114" t="s">
        <v>3485</v>
      </c>
      <c r="H170" s="114" t="s">
        <v>3485</v>
      </c>
    </row>
    <row r="171" spans="1:8">
      <c r="A171" s="26"/>
      <c r="B171" s="95">
        <v>1</v>
      </c>
      <c r="C171" s="148" t="s">
        <v>4206</v>
      </c>
      <c r="D171" s="195"/>
      <c r="E171" s="107" t="s">
        <v>1172</v>
      </c>
      <c r="F171" s="179">
        <v>0.25</v>
      </c>
      <c r="G171" s="179">
        <f>'BASIC DATA'!C473</f>
        <v>450</v>
      </c>
      <c r="H171" s="179">
        <f>F171*G171</f>
        <v>112.5</v>
      </c>
    </row>
    <row r="172" spans="1:8">
      <c r="A172" s="26"/>
      <c r="B172" s="114">
        <v>2</v>
      </c>
      <c r="C172" s="89" t="s">
        <v>2697</v>
      </c>
      <c r="D172" s="192"/>
      <c r="E172" s="191" t="s">
        <v>1172</v>
      </c>
      <c r="F172" s="182">
        <v>2</v>
      </c>
      <c r="G172" s="190">
        <f>'BASIC DATA'!C552</f>
        <v>350</v>
      </c>
      <c r="H172" s="190">
        <f>F172*G172</f>
        <v>700</v>
      </c>
    </row>
    <row r="173" spans="1:8">
      <c r="A173" s="26"/>
      <c r="B173" s="176"/>
      <c r="C173" s="174"/>
      <c r="D173" s="174" t="s">
        <v>1174</v>
      </c>
      <c r="E173" s="174"/>
      <c r="F173" s="192"/>
      <c r="G173" s="236" t="s">
        <v>1698</v>
      </c>
      <c r="H173" s="318">
        <f>SUM(H171:H172)</f>
        <v>812.5</v>
      </c>
    </row>
    <row r="174" spans="1:8">
      <c r="A174" s="26"/>
      <c r="B174" s="60" t="s">
        <v>5948</v>
      </c>
      <c r="D174" s="31"/>
      <c r="E174" s="85">
        <f>H173/G152</f>
        <v>101.5625</v>
      </c>
      <c r="G174" s="31"/>
    </row>
    <row r="175" spans="1:8">
      <c r="A175" s="26"/>
      <c r="B175" s="60" t="s">
        <v>3163</v>
      </c>
      <c r="D175" s="31">
        <f>'BASIC DATA'!$C$577</f>
        <v>0.13614999999999999</v>
      </c>
      <c r="E175" s="85">
        <f>E174*D175</f>
        <v>13.827734374999999</v>
      </c>
      <c r="G175" s="31"/>
    </row>
    <row r="176" spans="1:8">
      <c r="A176" s="26"/>
      <c r="B176" s="60" t="s">
        <v>5949</v>
      </c>
      <c r="D176" s="31"/>
      <c r="E176" s="739">
        <f>ROUND(E175+E174,1)</f>
        <v>115.4</v>
      </c>
      <c r="G176" s="31"/>
    </row>
    <row r="177" spans="1:7">
      <c r="A177" s="26"/>
      <c r="B177" s="26"/>
    </row>
    <row r="178" spans="1:7">
      <c r="A178" s="26"/>
      <c r="B178" s="170" t="s">
        <v>1175</v>
      </c>
    </row>
    <row r="179" spans="1:7">
      <c r="A179" s="26"/>
      <c r="B179" s="26" t="s">
        <v>1176</v>
      </c>
      <c r="F179" s="171" t="s">
        <v>1698</v>
      </c>
      <c r="G179" s="68">
        <f>H159</f>
        <v>0</v>
      </c>
    </row>
    <row r="180" spans="1:7">
      <c r="A180" s="26"/>
      <c r="B180" s="26" t="s">
        <v>1186</v>
      </c>
      <c r="F180" s="171" t="s">
        <v>1698</v>
      </c>
      <c r="G180" s="68">
        <f>H166</f>
        <v>0</v>
      </c>
    </row>
    <row r="181" spans="1:7">
      <c r="A181" s="26"/>
      <c r="B181" s="26" t="s">
        <v>2660</v>
      </c>
      <c r="F181" s="171" t="s">
        <v>1698</v>
      </c>
      <c r="G181" s="75">
        <f>H173</f>
        <v>812.5</v>
      </c>
    </row>
    <row r="182" spans="1:7">
      <c r="A182" s="26"/>
      <c r="E182" s="26" t="s">
        <v>1518</v>
      </c>
      <c r="F182" s="171" t="s">
        <v>1698</v>
      </c>
      <c r="G182" s="205">
        <f>SUM(G179:G181)</f>
        <v>812.5</v>
      </c>
    </row>
    <row r="183" spans="1:7" ht="39" customHeight="1">
      <c r="A183" s="26"/>
      <c r="B183" s="1207" t="s">
        <v>1379</v>
      </c>
      <c r="C183" s="1207"/>
      <c r="E183" s="249">
        <f>'BASIC DATA'!$C$577</f>
        <v>0.13614999999999999</v>
      </c>
      <c r="F183" s="26" t="s">
        <v>1698</v>
      </c>
      <c r="G183" s="26">
        <f>G182*E183</f>
        <v>110.62187499999999</v>
      </c>
    </row>
    <row r="184" spans="1:7">
      <c r="A184" s="26"/>
      <c r="B184" s="26" t="s">
        <v>1191</v>
      </c>
      <c r="D184" s="68">
        <f>G152</f>
        <v>8</v>
      </c>
      <c r="E184" s="68" t="str">
        <f>H152</f>
        <v>Nos.</v>
      </c>
      <c r="F184" s="26" t="s">
        <v>1698</v>
      </c>
      <c r="G184" s="211">
        <f>ROUND(G183+G182,1)</f>
        <v>923.1</v>
      </c>
    </row>
    <row r="185" spans="1:7">
      <c r="A185" s="26"/>
      <c r="B185" s="170" t="s">
        <v>1584</v>
      </c>
      <c r="C185" s="211" t="s">
        <v>4935</v>
      </c>
      <c r="D185" s="26" t="s">
        <v>4718</v>
      </c>
      <c r="F185" s="26" t="s">
        <v>4108</v>
      </c>
      <c r="G185" s="211">
        <f>ROUND(G184/D184,1)</f>
        <v>115.4</v>
      </c>
    </row>
    <row r="186" spans="1:7">
      <c r="A186" s="26"/>
    </row>
    <row r="187" spans="1:7">
      <c r="A187" s="26"/>
    </row>
    <row r="188" spans="1:7">
      <c r="A188" s="78" t="s">
        <v>7194</v>
      </c>
      <c r="B188" s="170" t="s">
        <v>9138</v>
      </c>
    </row>
    <row r="189" spans="1:7">
      <c r="B189" s="26" t="s">
        <v>9146</v>
      </c>
    </row>
    <row r="190" spans="1:7">
      <c r="B190" s="170" t="s">
        <v>9147</v>
      </c>
    </row>
    <row r="191" spans="1:7">
      <c r="A191" s="26"/>
      <c r="B191" s="26"/>
    </row>
    <row r="192" spans="1:7" hidden="1">
      <c r="A192" s="78" t="s">
        <v>3984</v>
      </c>
      <c r="B192" s="26" t="s">
        <v>6879</v>
      </c>
      <c r="E192" s="78" t="s">
        <v>1697</v>
      </c>
      <c r="F192" s="26">
        <v>1.3</v>
      </c>
      <c r="G192" s="26" t="s">
        <v>2602</v>
      </c>
    </row>
    <row r="193" spans="1:8" hidden="1">
      <c r="B193" s="26" t="s">
        <v>5852</v>
      </c>
    </row>
    <row r="194" spans="1:8" hidden="1">
      <c r="B194" s="26" t="s">
        <v>1721</v>
      </c>
      <c r="E194" s="78" t="s">
        <v>1697</v>
      </c>
      <c r="F194" s="26">
        <v>5</v>
      </c>
      <c r="G194" s="26" t="s">
        <v>2059</v>
      </c>
    </row>
    <row r="195" spans="1:8" hidden="1">
      <c r="B195" s="26" t="s">
        <v>4801</v>
      </c>
    </row>
    <row r="196" spans="1:8">
      <c r="A196" s="26"/>
    </row>
    <row r="197" spans="1:8">
      <c r="A197" s="78" t="s">
        <v>3984</v>
      </c>
      <c r="C197" s="203" t="s">
        <v>2367</v>
      </c>
      <c r="D197" s="171"/>
      <c r="F197" s="171" t="s">
        <v>297</v>
      </c>
      <c r="G197" s="162">
        <v>5</v>
      </c>
      <c r="H197" s="26" t="s">
        <v>4041</v>
      </c>
    </row>
    <row r="198" spans="1:8">
      <c r="A198" s="26"/>
    </row>
    <row r="199" spans="1:8">
      <c r="A199" s="26"/>
      <c r="B199" s="79" t="s">
        <v>2368</v>
      </c>
    </row>
    <row r="200" spans="1:8">
      <c r="A200" s="26"/>
      <c r="B200" s="95" t="s">
        <v>2369</v>
      </c>
      <c r="C200" s="157" t="s">
        <v>6374</v>
      </c>
      <c r="D200" s="195"/>
      <c r="E200" s="95" t="s">
        <v>2370</v>
      </c>
      <c r="F200" s="95" t="s">
        <v>1166</v>
      </c>
      <c r="G200" s="95" t="s">
        <v>2371</v>
      </c>
      <c r="H200" s="95" t="s">
        <v>2372</v>
      </c>
    </row>
    <row r="201" spans="1:8">
      <c r="A201" s="26"/>
      <c r="B201" s="114"/>
      <c r="C201" s="154"/>
      <c r="D201" s="192"/>
      <c r="E201" s="114"/>
      <c r="F201" s="114"/>
      <c r="G201" s="114" t="s">
        <v>3485</v>
      </c>
      <c r="H201" s="114" t="s">
        <v>3485</v>
      </c>
    </row>
    <row r="202" spans="1:8">
      <c r="A202" s="26"/>
      <c r="B202" s="95">
        <v>1</v>
      </c>
      <c r="C202" s="157" t="s">
        <v>6976</v>
      </c>
      <c r="D202" s="195"/>
      <c r="E202" s="107"/>
      <c r="F202" s="179">
        <v>0</v>
      </c>
      <c r="G202" s="179">
        <v>0</v>
      </c>
      <c r="H202" s="179">
        <f>F202*G202</f>
        <v>0</v>
      </c>
    </row>
    <row r="203" spans="1:8">
      <c r="A203" s="26"/>
      <c r="B203" s="114"/>
      <c r="C203" s="154"/>
      <c r="D203" s="192"/>
      <c r="E203" s="191"/>
      <c r="F203" s="182">
        <v>0</v>
      </c>
      <c r="G203" s="182">
        <v>0</v>
      </c>
      <c r="H203" s="182">
        <f>F203*G203</f>
        <v>0</v>
      </c>
    </row>
    <row r="204" spans="1:8">
      <c r="A204" s="26"/>
      <c r="B204" s="176"/>
      <c r="C204" s="174"/>
      <c r="D204" s="174" t="s">
        <v>2376</v>
      </c>
      <c r="E204" s="174"/>
      <c r="F204" s="192"/>
      <c r="G204" s="275" t="s">
        <v>1698</v>
      </c>
      <c r="H204" s="318">
        <f>SUM(H202:H203)</f>
        <v>0</v>
      </c>
    </row>
    <row r="205" spans="1:8">
      <c r="A205" s="26"/>
    </row>
    <row r="206" spans="1:8">
      <c r="A206" s="26"/>
      <c r="B206" s="79" t="s">
        <v>2377</v>
      </c>
    </row>
    <row r="207" spans="1:8">
      <c r="A207" s="26"/>
      <c r="B207" s="95" t="s">
        <v>2369</v>
      </c>
      <c r="C207" s="157" t="s">
        <v>2378</v>
      </c>
      <c r="D207" s="195"/>
      <c r="E207" s="95" t="s">
        <v>2370</v>
      </c>
      <c r="F207" s="95" t="s">
        <v>1166</v>
      </c>
      <c r="G207" s="95" t="s">
        <v>2371</v>
      </c>
      <c r="H207" s="95" t="s">
        <v>2372</v>
      </c>
    </row>
    <row r="208" spans="1:8">
      <c r="A208" s="26"/>
      <c r="B208" s="114"/>
      <c r="C208" s="154"/>
      <c r="D208" s="192"/>
      <c r="E208" s="114"/>
      <c r="F208" s="114"/>
      <c r="G208" s="114" t="s">
        <v>3485</v>
      </c>
      <c r="H208" s="114" t="s">
        <v>3485</v>
      </c>
    </row>
    <row r="209" spans="1:8">
      <c r="A209" s="26"/>
      <c r="B209" s="95">
        <v>1</v>
      </c>
      <c r="C209" s="157" t="s">
        <v>6976</v>
      </c>
      <c r="D209" s="195"/>
      <c r="E209" s="107"/>
      <c r="F209" s="179">
        <v>0</v>
      </c>
      <c r="G209" s="179">
        <v>0</v>
      </c>
      <c r="H209" s="179">
        <f>F209*G209</f>
        <v>0</v>
      </c>
    </row>
    <row r="210" spans="1:8">
      <c r="A210" s="26"/>
      <c r="B210" s="114"/>
      <c r="C210" s="154"/>
      <c r="D210" s="192"/>
      <c r="E210" s="191"/>
      <c r="F210" s="182">
        <v>0</v>
      </c>
      <c r="G210" s="182">
        <v>0</v>
      </c>
      <c r="H210" s="182">
        <f>F210*G210</f>
        <v>0</v>
      </c>
    </row>
    <row r="211" spans="1:8">
      <c r="A211" s="26"/>
      <c r="B211" s="176"/>
      <c r="C211" s="174"/>
      <c r="D211" s="174" t="s">
        <v>2380</v>
      </c>
      <c r="E211" s="174"/>
      <c r="F211" s="192"/>
      <c r="G211" s="236" t="s">
        <v>1698</v>
      </c>
      <c r="H211" s="318">
        <f>SUM(H209:H210)</f>
        <v>0</v>
      </c>
    </row>
    <row r="212" spans="1:8">
      <c r="A212" s="26"/>
    </row>
    <row r="213" spans="1:8">
      <c r="A213" s="26"/>
      <c r="B213" s="79" t="s">
        <v>2381</v>
      </c>
    </row>
    <row r="214" spans="1:8">
      <c r="A214" s="26"/>
      <c r="B214" s="95" t="s">
        <v>2369</v>
      </c>
      <c r="C214" s="157" t="s">
        <v>2378</v>
      </c>
      <c r="D214" s="195"/>
      <c r="E214" s="95" t="s">
        <v>2370</v>
      </c>
      <c r="F214" s="95" t="s">
        <v>1166</v>
      </c>
      <c r="G214" s="95" t="s">
        <v>2371</v>
      </c>
      <c r="H214" s="95" t="s">
        <v>2372</v>
      </c>
    </row>
    <row r="215" spans="1:8">
      <c r="A215" s="26"/>
      <c r="B215" s="114"/>
      <c r="C215" s="154"/>
      <c r="D215" s="192"/>
      <c r="E215" s="114"/>
      <c r="F215" s="114"/>
      <c r="G215" s="114" t="s">
        <v>3485</v>
      </c>
      <c r="H215" s="114" t="s">
        <v>3485</v>
      </c>
    </row>
    <row r="216" spans="1:8">
      <c r="A216" s="26"/>
      <c r="B216" s="95">
        <v>1</v>
      </c>
      <c r="C216" s="148" t="s">
        <v>4206</v>
      </c>
      <c r="D216" s="195"/>
      <c r="E216" s="107" t="s">
        <v>1172</v>
      </c>
      <c r="F216" s="179">
        <v>0.5</v>
      </c>
      <c r="G216" s="179">
        <f>'BASIC DATA'!C473</f>
        <v>450</v>
      </c>
      <c r="H216" s="179">
        <f>F216*G216</f>
        <v>225</v>
      </c>
    </row>
    <row r="217" spans="1:8">
      <c r="A217" s="26"/>
      <c r="B217" s="114">
        <v>2</v>
      </c>
      <c r="C217" s="89" t="s">
        <v>2697</v>
      </c>
      <c r="D217" s="192"/>
      <c r="E217" s="191" t="s">
        <v>1172</v>
      </c>
      <c r="F217" s="182">
        <v>4</v>
      </c>
      <c r="G217" s="182">
        <f>'BASIC DATA'!C552</f>
        <v>350</v>
      </c>
      <c r="H217" s="190">
        <f>F217*G217</f>
        <v>1400</v>
      </c>
    </row>
    <row r="218" spans="1:8">
      <c r="A218" s="26"/>
      <c r="B218" s="176"/>
      <c r="C218" s="174"/>
      <c r="D218" s="174" t="s">
        <v>1174</v>
      </c>
      <c r="E218" s="174"/>
      <c r="F218" s="192"/>
      <c r="G218" s="275" t="s">
        <v>1698</v>
      </c>
      <c r="H218" s="318">
        <f>SUM(H216:H217)</f>
        <v>1625</v>
      </c>
    </row>
    <row r="219" spans="1:8">
      <c r="A219" s="26"/>
      <c r="B219" s="60" t="s">
        <v>5948</v>
      </c>
      <c r="C219" s="31"/>
      <c r="D219" s="31"/>
      <c r="E219" s="85">
        <f>ROUND(H218/G197,1)</f>
        <v>325</v>
      </c>
      <c r="G219" s="31"/>
    </row>
    <row r="220" spans="1:8">
      <c r="A220" s="26"/>
      <c r="B220" s="60" t="s">
        <v>3163</v>
      </c>
      <c r="C220" s="31"/>
      <c r="D220" s="31">
        <f>'BASIC DATA'!$C$577</f>
        <v>0.13614999999999999</v>
      </c>
      <c r="E220" s="85">
        <f>ROUND(E219*D220,1)</f>
        <v>44.2</v>
      </c>
      <c r="G220" s="31"/>
    </row>
    <row r="221" spans="1:8">
      <c r="A221" s="26"/>
      <c r="B221" s="60" t="s">
        <v>5949</v>
      </c>
      <c r="C221" s="31"/>
      <c r="D221" s="31"/>
      <c r="E221" s="739">
        <f>E220+E219</f>
        <v>369.2</v>
      </c>
      <c r="G221" s="31"/>
    </row>
    <row r="222" spans="1:8">
      <c r="A222" s="26"/>
      <c r="B222" s="26"/>
    </row>
    <row r="223" spans="1:8">
      <c r="A223" s="26"/>
      <c r="B223" s="170" t="s">
        <v>1175</v>
      </c>
    </row>
    <row r="224" spans="1:8">
      <c r="A224" s="26"/>
      <c r="B224" s="26" t="s">
        <v>1176</v>
      </c>
      <c r="F224" s="171" t="s">
        <v>1698</v>
      </c>
      <c r="G224" s="68">
        <f>H204</f>
        <v>0</v>
      </c>
    </row>
    <row r="225" spans="1:8">
      <c r="A225" s="26"/>
      <c r="B225" s="26" t="s">
        <v>1186</v>
      </c>
      <c r="F225" s="171" t="s">
        <v>1698</v>
      </c>
      <c r="G225" s="68">
        <f>H211</f>
        <v>0</v>
      </c>
    </row>
    <row r="226" spans="1:8">
      <c r="A226" s="26"/>
      <c r="B226" s="26" t="s">
        <v>2660</v>
      </c>
      <c r="F226" s="171" t="s">
        <v>1698</v>
      </c>
      <c r="G226" s="68">
        <f>H218</f>
        <v>1625</v>
      </c>
    </row>
    <row r="227" spans="1:8">
      <c r="A227" s="26"/>
      <c r="E227" s="26" t="s">
        <v>1518</v>
      </c>
      <c r="F227" s="171" t="s">
        <v>1698</v>
      </c>
      <c r="G227" s="205">
        <f>SUM(G224:G226)</f>
        <v>1625</v>
      </c>
    </row>
    <row r="228" spans="1:8" ht="36" customHeight="1">
      <c r="A228" s="26"/>
      <c r="B228" s="1207" t="s">
        <v>1379</v>
      </c>
      <c r="C228" s="1207"/>
      <c r="E228" s="249">
        <f>'BASIC DATA'!$C$577</f>
        <v>0.13614999999999999</v>
      </c>
      <c r="F228" s="26" t="s">
        <v>1698</v>
      </c>
      <c r="G228" s="26">
        <f>G227*E228</f>
        <v>221.24374999999998</v>
      </c>
    </row>
    <row r="229" spans="1:8">
      <c r="A229" s="26"/>
      <c r="B229" s="26" t="s">
        <v>1191</v>
      </c>
      <c r="D229" s="68">
        <f>G197</f>
        <v>5</v>
      </c>
      <c r="E229" s="68" t="str">
        <f>H197</f>
        <v>Nos.</v>
      </c>
      <c r="F229" s="26" t="s">
        <v>1698</v>
      </c>
      <c r="G229" s="211">
        <f>G228+G227</f>
        <v>1846.2437500000001</v>
      </c>
    </row>
    <row r="230" spans="1:8">
      <c r="A230" s="26"/>
      <c r="B230" s="170" t="s">
        <v>1584</v>
      </c>
      <c r="C230" s="211" t="s">
        <v>4935</v>
      </c>
      <c r="D230" s="26" t="s">
        <v>4719</v>
      </c>
      <c r="F230" s="26" t="s">
        <v>4108</v>
      </c>
      <c r="G230" s="211">
        <f>ROUND(G229/D229,1)</f>
        <v>369.2</v>
      </c>
    </row>
    <row r="231" spans="1:8">
      <c r="A231" s="26"/>
    </row>
    <row r="232" spans="1:8">
      <c r="A232" s="26"/>
    </row>
    <row r="233" spans="1:8">
      <c r="A233" s="78" t="s">
        <v>7195</v>
      </c>
      <c r="B233" s="26" t="s">
        <v>9085</v>
      </c>
    </row>
    <row r="234" spans="1:8">
      <c r="B234" s="26" t="s">
        <v>5031</v>
      </c>
    </row>
    <row r="235" spans="1:8">
      <c r="A235" s="26"/>
      <c r="B235" s="26"/>
    </row>
    <row r="236" spans="1:8" hidden="1">
      <c r="A236" s="78" t="s">
        <v>3984</v>
      </c>
      <c r="B236" s="26" t="s">
        <v>5032</v>
      </c>
      <c r="F236" s="78" t="s">
        <v>1697</v>
      </c>
      <c r="G236" s="26">
        <v>1.59</v>
      </c>
      <c r="H236" s="26" t="s">
        <v>2602</v>
      </c>
    </row>
    <row r="237" spans="1:8" hidden="1">
      <c r="B237" s="26" t="s">
        <v>5033</v>
      </c>
      <c r="F237" s="78" t="s">
        <v>1697</v>
      </c>
      <c r="G237" s="26">
        <v>1.75</v>
      </c>
      <c r="H237" s="26" t="s">
        <v>2602</v>
      </c>
    </row>
    <row r="238" spans="1:8" hidden="1">
      <c r="B238" s="26" t="s">
        <v>5852</v>
      </c>
    </row>
    <row r="239" spans="1:8" hidden="1">
      <c r="B239" s="26" t="s">
        <v>3638</v>
      </c>
      <c r="F239" s="78" t="s">
        <v>1697</v>
      </c>
      <c r="G239" s="26">
        <v>1.75</v>
      </c>
      <c r="H239" s="26" t="s">
        <v>3477</v>
      </c>
    </row>
    <row r="240" spans="1:8" hidden="1">
      <c r="B240" s="26" t="s">
        <v>1722</v>
      </c>
      <c r="C240" s="26" t="s">
        <v>4802</v>
      </c>
      <c r="F240" s="78" t="s">
        <v>1697</v>
      </c>
      <c r="G240" s="26">
        <f>1.75*2/4</f>
        <v>0.875</v>
      </c>
      <c r="H240" s="26" t="s">
        <v>4089</v>
      </c>
    </row>
    <row r="241" spans="1:8">
      <c r="A241" s="26"/>
    </row>
    <row r="242" spans="1:8">
      <c r="A242" s="26"/>
    </row>
    <row r="243" spans="1:8">
      <c r="A243" s="78" t="s">
        <v>3984</v>
      </c>
      <c r="C243" s="203" t="s">
        <v>2367</v>
      </c>
      <c r="D243" s="171"/>
      <c r="F243" s="171" t="s">
        <v>297</v>
      </c>
      <c r="G243" s="203">
        <v>7</v>
      </c>
      <c r="H243" s="26" t="s">
        <v>4041</v>
      </c>
    </row>
    <row r="244" spans="1:8">
      <c r="A244" s="26"/>
    </row>
    <row r="245" spans="1:8">
      <c r="A245" s="26"/>
      <c r="B245" s="79" t="s">
        <v>2368</v>
      </c>
    </row>
    <row r="246" spans="1:8">
      <c r="A246" s="26"/>
      <c r="B246" s="95" t="s">
        <v>2369</v>
      </c>
      <c r="C246" s="157" t="s">
        <v>6374</v>
      </c>
      <c r="D246" s="195"/>
      <c r="E246" s="95" t="s">
        <v>2370</v>
      </c>
      <c r="F246" s="95" t="s">
        <v>1166</v>
      </c>
      <c r="G246" s="95" t="s">
        <v>2371</v>
      </c>
      <c r="H246" s="95" t="s">
        <v>2372</v>
      </c>
    </row>
    <row r="247" spans="1:8">
      <c r="A247" s="26"/>
      <c r="B247" s="114"/>
      <c r="C247" s="154"/>
      <c r="D247" s="192"/>
      <c r="E247" s="114"/>
      <c r="F247" s="114"/>
      <c r="G247" s="114" t="s">
        <v>3485</v>
      </c>
      <c r="H247" s="114" t="s">
        <v>3485</v>
      </c>
    </row>
    <row r="248" spans="1:8">
      <c r="A248" s="26"/>
      <c r="B248" s="95">
        <v>1</v>
      </c>
      <c r="C248" s="157" t="s">
        <v>6976</v>
      </c>
      <c r="D248" s="195"/>
      <c r="E248" s="107"/>
      <c r="F248" s="179">
        <v>0</v>
      </c>
      <c r="G248" s="179">
        <v>0</v>
      </c>
      <c r="H248" s="179">
        <f>F248*G248</f>
        <v>0</v>
      </c>
    </row>
    <row r="249" spans="1:8">
      <c r="A249" s="26"/>
      <c r="B249" s="114"/>
      <c r="C249" s="154"/>
      <c r="D249" s="192"/>
      <c r="E249" s="191"/>
      <c r="F249" s="182">
        <v>0</v>
      </c>
      <c r="G249" s="182">
        <v>0</v>
      </c>
      <c r="H249" s="182">
        <f>F249*G249</f>
        <v>0</v>
      </c>
    </row>
    <row r="250" spans="1:8">
      <c r="A250" s="26"/>
      <c r="B250" s="176"/>
      <c r="C250" s="174"/>
      <c r="D250" s="174" t="s">
        <v>2376</v>
      </c>
      <c r="E250" s="174"/>
      <c r="F250" s="192"/>
      <c r="G250" s="275" t="s">
        <v>1698</v>
      </c>
      <c r="H250" s="318">
        <f>SUM(H248:H249)</f>
        <v>0</v>
      </c>
    </row>
    <row r="251" spans="1:8">
      <c r="A251" s="26"/>
    </row>
    <row r="252" spans="1:8">
      <c r="A252" s="26"/>
      <c r="B252" s="79" t="s">
        <v>2377</v>
      </c>
    </row>
    <row r="253" spans="1:8">
      <c r="A253" s="26"/>
      <c r="B253" s="95" t="s">
        <v>2369</v>
      </c>
      <c r="C253" s="157" t="s">
        <v>2378</v>
      </c>
      <c r="D253" s="195"/>
      <c r="E253" s="95" t="s">
        <v>2370</v>
      </c>
      <c r="F253" s="95" t="s">
        <v>1166</v>
      </c>
      <c r="G253" s="95" t="s">
        <v>2371</v>
      </c>
      <c r="H253" s="95" t="s">
        <v>2372</v>
      </c>
    </row>
    <row r="254" spans="1:8">
      <c r="A254" s="26"/>
      <c r="B254" s="114"/>
      <c r="C254" s="154"/>
      <c r="D254" s="192"/>
      <c r="E254" s="114"/>
      <c r="F254" s="114"/>
      <c r="G254" s="114" t="s">
        <v>3485</v>
      </c>
      <c r="H254" s="114" t="s">
        <v>3485</v>
      </c>
    </row>
    <row r="255" spans="1:8">
      <c r="A255" s="26"/>
      <c r="B255" s="95">
        <v>1</v>
      </c>
      <c r="C255" s="157" t="s">
        <v>6976</v>
      </c>
      <c r="D255" s="195"/>
      <c r="E255" s="107"/>
      <c r="F255" s="179">
        <v>0</v>
      </c>
      <c r="G255" s="179">
        <v>0</v>
      </c>
      <c r="H255" s="179">
        <f>F255*G255</f>
        <v>0</v>
      </c>
    </row>
    <row r="256" spans="1:8">
      <c r="A256" s="26"/>
      <c r="B256" s="114"/>
      <c r="C256" s="154"/>
      <c r="D256" s="192"/>
      <c r="E256" s="191"/>
      <c r="F256" s="182">
        <v>0</v>
      </c>
      <c r="G256" s="182">
        <v>0</v>
      </c>
      <c r="H256" s="182">
        <f>F256*G256</f>
        <v>0</v>
      </c>
    </row>
    <row r="257" spans="1:8">
      <c r="A257" s="26"/>
      <c r="B257" s="176"/>
      <c r="C257" s="174"/>
      <c r="D257" s="174" t="s">
        <v>2380</v>
      </c>
      <c r="E257" s="174"/>
      <c r="F257" s="192"/>
      <c r="G257" s="275" t="s">
        <v>1698</v>
      </c>
      <c r="H257" s="318">
        <f>SUM(H255:H256)</f>
        <v>0</v>
      </c>
    </row>
    <row r="258" spans="1:8">
      <c r="A258" s="26"/>
    </row>
    <row r="259" spans="1:8">
      <c r="A259" s="26"/>
      <c r="B259" s="79" t="s">
        <v>2381</v>
      </c>
    </row>
    <row r="260" spans="1:8">
      <c r="A260" s="26"/>
      <c r="B260" s="95" t="s">
        <v>2369</v>
      </c>
      <c r="C260" s="157" t="s">
        <v>2378</v>
      </c>
      <c r="D260" s="195"/>
      <c r="E260" s="95" t="s">
        <v>2370</v>
      </c>
      <c r="F260" s="95" t="s">
        <v>1166</v>
      </c>
      <c r="G260" s="95" t="s">
        <v>2371</v>
      </c>
      <c r="H260" s="95" t="s">
        <v>2372</v>
      </c>
    </row>
    <row r="261" spans="1:8">
      <c r="A261" s="26"/>
      <c r="B261" s="114"/>
      <c r="C261" s="154"/>
      <c r="D261" s="192"/>
      <c r="E261" s="114"/>
      <c r="F261" s="114"/>
      <c r="G261" s="114" t="s">
        <v>3485</v>
      </c>
      <c r="H261" s="114" t="s">
        <v>3485</v>
      </c>
    </row>
    <row r="262" spans="1:8">
      <c r="A262" s="26"/>
      <c r="B262" s="95">
        <v>1</v>
      </c>
      <c r="C262" s="148" t="s">
        <v>4206</v>
      </c>
      <c r="D262" s="195"/>
      <c r="E262" s="107" t="s">
        <v>1172</v>
      </c>
      <c r="F262" s="179">
        <v>0.22</v>
      </c>
      <c r="G262" s="179">
        <f>'BASIC DATA'!C473</f>
        <v>450</v>
      </c>
      <c r="H262" s="179">
        <f>F262*G262</f>
        <v>99</v>
      </c>
    </row>
    <row r="263" spans="1:8">
      <c r="A263" s="26"/>
      <c r="B263" s="114">
        <v>2</v>
      </c>
      <c r="C263" s="89" t="s">
        <v>2697</v>
      </c>
      <c r="D263" s="192"/>
      <c r="E263" s="191" t="s">
        <v>1172</v>
      </c>
      <c r="F263" s="182">
        <f>G240</f>
        <v>0.875</v>
      </c>
      <c r="G263" s="182">
        <f>'BASIC DATA'!C552</f>
        <v>350</v>
      </c>
      <c r="H263" s="190">
        <f>F263*G263</f>
        <v>306.25</v>
      </c>
    </row>
    <row r="264" spans="1:8">
      <c r="A264" s="26"/>
      <c r="B264" s="176"/>
      <c r="C264" s="174"/>
      <c r="D264" s="174" t="s">
        <v>1174</v>
      </c>
      <c r="E264" s="174"/>
      <c r="F264" s="192"/>
      <c r="G264" s="275" t="s">
        <v>1698</v>
      </c>
      <c r="H264" s="318">
        <f>SUM(H262:H263)</f>
        <v>405.25</v>
      </c>
    </row>
    <row r="265" spans="1:8">
      <c r="A265" s="26"/>
      <c r="B265" s="60" t="s">
        <v>5948</v>
      </c>
      <c r="C265" s="31"/>
      <c r="D265" s="31"/>
      <c r="E265" s="85">
        <f>ROUND(H264/G243,1)</f>
        <v>57.9</v>
      </c>
      <c r="G265" s="31"/>
    </row>
    <row r="266" spans="1:8">
      <c r="A266" s="26"/>
      <c r="B266" s="60" t="s">
        <v>3163</v>
      </c>
      <c r="C266" s="31"/>
      <c r="D266" s="31">
        <f>'BASIC DATA'!$C$577</f>
        <v>0.13614999999999999</v>
      </c>
      <c r="E266" s="85">
        <f>ROUND(E265*D266,1)</f>
        <v>7.9</v>
      </c>
      <c r="G266" s="31"/>
    </row>
    <row r="267" spans="1:8">
      <c r="A267" s="26"/>
      <c r="B267" s="60" t="s">
        <v>5949</v>
      </c>
      <c r="C267" s="31"/>
      <c r="D267" s="31"/>
      <c r="E267" s="739">
        <f>E266+E265</f>
        <v>65.8</v>
      </c>
      <c r="G267" s="31"/>
    </row>
    <row r="268" spans="1:8">
      <c r="A268" s="26"/>
      <c r="B268" s="26"/>
    </row>
    <row r="269" spans="1:8">
      <c r="A269" s="26"/>
      <c r="B269" s="170" t="s">
        <v>1175</v>
      </c>
    </row>
    <row r="270" spans="1:8">
      <c r="A270" s="26"/>
      <c r="B270" s="26" t="s">
        <v>1176</v>
      </c>
      <c r="F270" s="171" t="s">
        <v>1698</v>
      </c>
      <c r="G270" s="68">
        <f>H250</f>
        <v>0</v>
      </c>
    </row>
    <row r="271" spans="1:8">
      <c r="A271" s="26"/>
      <c r="B271" s="26" t="s">
        <v>1186</v>
      </c>
      <c r="F271" s="171" t="s">
        <v>1698</v>
      </c>
      <c r="G271" s="68">
        <f>H257</f>
        <v>0</v>
      </c>
    </row>
    <row r="272" spans="1:8">
      <c r="A272" s="26"/>
      <c r="B272" s="26" t="s">
        <v>2660</v>
      </c>
      <c r="F272" s="171" t="s">
        <v>1698</v>
      </c>
      <c r="G272" s="75">
        <f>H264</f>
        <v>405.25</v>
      </c>
    </row>
    <row r="273" spans="1:8">
      <c r="A273" s="26"/>
      <c r="E273" s="26" t="s">
        <v>1518</v>
      </c>
      <c r="F273" s="171" t="s">
        <v>1698</v>
      </c>
      <c r="G273" s="205">
        <f>SUM(G270:G272)</f>
        <v>405.25</v>
      </c>
    </row>
    <row r="274" spans="1:8" ht="39.75" customHeight="1">
      <c r="A274" s="26"/>
      <c r="B274" s="1207" t="s">
        <v>1379</v>
      </c>
      <c r="C274" s="1207"/>
      <c r="E274" s="249">
        <f>'BASIC DATA'!$C$577</f>
        <v>0.13614999999999999</v>
      </c>
      <c r="F274" s="26" t="s">
        <v>1698</v>
      </c>
      <c r="G274" s="26">
        <f>G273*E274</f>
        <v>55.174787500000001</v>
      </c>
    </row>
    <row r="275" spans="1:8">
      <c r="A275" s="26"/>
      <c r="B275" s="26" t="s">
        <v>1191</v>
      </c>
      <c r="D275" s="68">
        <f>G243</f>
        <v>7</v>
      </c>
      <c r="E275" s="68" t="str">
        <f>H243</f>
        <v>Nos.</v>
      </c>
      <c r="F275" s="26" t="s">
        <v>1698</v>
      </c>
      <c r="G275" s="211">
        <f>G274+G273</f>
        <v>460.42478749999998</v>
      </c>
    </row>
    <row r="276" spans="1:8">
      <c r="A276" s="26"/>
      <c r="B276" s="170" t="s">
        <v>1584</v>
      </c>
      <c r="C276" s="211" t="s">
        <v>4935</v>
      </c>
      <c r="D276" s="26" t="s">
        <v>4720</v>
      </c>
      <c r="F276" s="26" t="s">
        <v>4108</v>
      </c>
      <c r="G276" s="211">
        <f>ROUND(G275/D275,1)</f>
        <v>65.8</v>
      </c>
    </row>
    <row r="277" spans="1:8">
      <c r="A277" s="26"/>
    </row>
    <row r="278" spans="1:8">
      <c r="A278" s="26"/>
    </row>
    <row r="279" spans="1:8">
      <c r="A279" s="78" t="s">
        <v>7196</v>
      </c>
      <c r="B279" s="26" t="s">
        <v>9086</v>
      </c>
    </row>
    <row r="280" spans="1:8">
      <c r="B280" s="170" t="s">
        <v>3639</v>
      </c>
    </row>
    <row r="281" spans="1:8">
      <c r="B281" s="26"/>
    </row>
    <row r="282" spans="1:8" hidden="1">
      <c r="A282" s="78" t="s">
        <v>3984</v>
      </c>
      <c r="B282" s="26" t="s">
        <v>4745</v>
      </c>
      <c r="F282" s="78" t="s">
        <v>1697</v>
      </c>
      <c r="G282" s="26">
        <v>150</v>
      </c>
      <c r="H282" s="26" t="s">
        <v>2059</v>
      </c>
    </row>
    <row r="283" spans="1:8">
      <c r="A283" s="26"/>
    </row>
    <row r="284" spans="1:8">
      <c r="A284" s="26" t="s">
        <v>3984</v>
      </c>
      <c r="C284" s="203" t="s">
        <v>2367</v>
      </c>
      <c r="D284" s="171"/>
      <c r="F284" s="171" t="s">
        <v>297</v>
      </c>
      <c r="G284" s="162">
        <v>150</v>
      </c>
      <c r="H284" s="26" t="s">
        <v>4041</v>
      </c>
    </row>
    <row r="285" spans="1:8">
      <c r="A285" s="26"/>
    </row>
    <row r="286" spans="1:8">
      <c r="A286" s="26"/>
      <c r="B286" s="79" t="s">
        <v>2368</v>
      </c>
    </row>
    <row r="287" spans="1:8">
      <c r="A287" s="26"/>
      <c r="B287" s="95" t="s">
        <v>2369</v>
      </c>
      <c r="C287" s="157" t="s">
        <v>6374</v>
      </c>
      <c r="D287" s="195"/>
      <c r="E287" s="95" t="s">
        <v>2370</v>
      </c>
      <c r="F287" s="95" t="s">
        <v>1166</v>
      </c>
      <c r="G287" s="95" t="s">
        <v>2371</v>
      </c>
      <c r="H287" s="95" t="s">
        <v>2372</v>
      </c>
    </row>
    <row r="288" spans="1:8">
      <c r="A288" s="26"/>
      <c r="B288" s="114"/>
      <c r="C288" s="154"/>
      <c r="D288" s="192"/>
      <c r="E288" s="114"/>
      <c r="F288" s="114"/>
      <c r="G288" s="114" t="s">
        <v>3485</v>
      </c>
      <c r="H288" s="114" t="s">
        <v>3485</v>
      </c>
    </row>
    <row r="289" spans="1:8">
      <c r="A289" s="26"/>
      <c r="B289" s="95">
        <v>1</v>
      </c>
      <c r="C289" s="157" t="s">
        <v>6976</v>
      </c>
      <c r="D289" s="195"/>
      <c r="E289" s="107"/>
      <c r="F289" s="179">
        <v>0</v>
      </c>
      <c r="G289" s="179">
        <v>0</v>
      </c>
      <c r="H289" s="179">
        <f>F289*G289</f>
        <v>0</v>
      </c>
    </row>
    <row r="290" spans="1:8">
      <c r="A290" s="26"/>
      <c r="B290" s="114"/>
      <c r="C290" s="154"/>
      <c r="D290" s="192"/>
      <c r="E290" s="191"/>
      <c r="F290" s="182">
        <v>0</v>
      </c>
      <c r="G290" s="182">
        <v>0</v>
      </c>
      <c r="H290" s="182">
        <f>F290*G290</f>
        <v>0</v>
      </c>
    </row>
    <row r="291" spans="1:8">
      <c r="A291" s="26"/>
      <c r="B291" s="176"/>
      <c r="C291" s="174"/>
      <c r="D291" s="174" t="s">
        <v>2376</v>
      </c>
      <c r="E291" s="174"/>
      <c r="F291" s="192"/>
      <c r="G291" s="275" t="s">
        <v>1698</v>
      </c>
      <c r="H291" s="318">
        <f>SUM(H289:H290)</f>
        <v>0</v>
      </c>
    </row>
    <row r="292" spans="1:8">
      <c r="A292" s="26"/>
    </row>
    <row r="293" spans="1:8">
      <c r="A293" s="26"/>
    </row>
    <row r="294" spans="1:8">
      <c r="A294" s="26"/>
      <c r="B294" s="79" t="s">
        <v>2377</v>
      </c>
    </row>
    <row r="295" spans="1:8">
      <c r="A295" s="26"/>
      <c r="B295" s="95" t="s">
        <v>2369</v>
      </c>
      <c r="C295" s="157" t="s">
        <v>2378</v>
      </c>
      <c r="D295" s="195"/>
      <c r="E295" s="95" t="s">
        <v>2370</v>
      </c>
      <c r="F295" s="95" t="s">
        <v>1166</v>
      </c>
      <c r="G295" s="95" t="s">
        <v>2371</v>
      </c>
      <c r="H295" s="95" t="s">
        <v>2372</v>
      </c>
    </row>
    <row r="296" spans="1:8">
      <c r="A296" s="26"/>
      <c r="B296" s="114"/>
      <c r="C296" s="154"/>
      <c r="D296" s="192"/>
      <c r="E296" s="114"/>
      <c r="F296" s="114"/>
      <c r="G296" s="114" t="s">
        <v>3485</v>
      </c>
      <c r="H296" s="114" t="s">
        <v>3485</v>
      </c>
    </row>
    <row r="297" spans="1:8">
      <c r="A297" s="26"/>
      <c r="B297" s="95">
        <v>1</v>
      </c>
      <c r="C297" s="157" t="s">
        <v>6976</v>
      </c>
      <c r="D297" s="195"/>
      <c r="E297" s="107"/>
      <c r="F297" s="179">
        <v>0</v>
      </c>
      <c r="G297" s="179">
        <v>0</v>
      </c>
      <c r="H297" s="179">
        <f>F297*G297</f>
        <v>0</v>
      </c>
    </row>
    <row r="298" spans="1:8">
      <c r="A298" s="26"/>
      <c r="B298" s="114"/>
      <c r="C298" s="154"/>
      <c r="D298" s="192"/>
      <c r="E298" s="191"/>
      <c r="F298" s="182">
        <v>0</v>
      </c>
      <c r="G298" s="182">
        <v>0</v>
      </c>
      <c r="H298" s="182">
        <f>F298*G298</f>
        <v>0</v>
      </c>
    </row>
    <row r="299" spans="1:8">
      <c r="A299" s="26"/>
      <c r="B299" s="176"/>
      <c r="C299" s="174"/>
      <c r="D299" s="174" t="s">
        <v>2380</v>
      </c>
      <c r="E299" s="174"/>
      <c r="F299" s="192"/>
      <c r="G299" s="275" t="s">
        <v>1698</v>
      </c>
      <c r="H299" s="318">
        <f>SUM(H297:H298)</f>
        <v>0</v>
      </c>
    </row>
    <row r="300" spans="1:8">
      <c r="A300" s="26"/>
    </row>
    <row r="301" spans="1:8">
      <c r="A301" s="26"/>
    </row>
    <row r="302" spans="1:8">
      <c r="A302" s="26"/>
      <c r="B302" s="79" t="s">
        <v>2381</v>
      </c>
    </row>
    <row r="303" spans="1:8">
      <c r="A303" s="26"/>
      <c r="B303" s="95" t="s">
        <v>2369</v>
      </c>
      <c r="C303" s="157" t="s">
        <v>2378</v>
      </c>
      <c r="D303" s="195"/>
      <c r="E303" s="95" t="s">
        <v>2370</v>
      </c>
      <c r="F303" s="95" t="s">
        <v>1166</v>
      </c>
      <c r="G303" s="95" t="s">
        <v>2371</v>
      </c>
      <c r="H303" s="95" t="s">
        <v>2372</v>
      </c>
    </row>
    <row r="304" spans="1:8">
      <c r="A304" s="26"/>
      <c r="B304" s="114"/>
      <c r="C304" s="154"/>
      <c r="D304" s="192"/>
      <c r="E304" s="114"/>
      <c r="F304" s="114"/>
      <c r="G304" s="114" t="s">
        <v>3485</v>
      </c>
      <c r="H304" s="114" t="s">
        <v>3485</v>
      </c>
    </row>
    <row r="305" spans="1:8">
      <c r="A305" s="26"/>
      <c r="B305" s="95">
        <v>1</v>
      </c>
      <c r="C305" s="148" t="s">
        <v>4206</v>
      </c>
      <c r="D305" s="195"/>
      <c r="E305" s="107" t="s">
        <v>1172</v>
      </c>
      <c r="F305" s="179">
        <v>0.5</v>
      </c>
      <c r="G305" s="179">
        <f>'BASIC DATA'!C473</f>
        <v>450</v>
      </c>
      <c r="H305" s="179">
        <f>F305*G305</f>
        <v>225</v>
      </c>
    </row>
    <row r="306" spans="1:8">
      <c r="A306" s="26"/>
      <c r="B306" s="114">
        <v>2</v>
      </c>
      <c r="C306" s="89" t="s">
        <v>2697</v>
      </c>
      <c r="D306" s="192"/>
      <c r="E306" s="191" t="s">
        <v>1172</v>
      </c>
      <c r="F306" s="182">
        <v>5</v>
      </c>
      <c r="G306" s="182">
        <f>'BASIC DATA'!C552</f>
        <v>350</v>
      </c>
      <c r="H306" s="182">
        <f>F306*G306</f>
        <v>1750</v>
      </c>
    </row>
    <row r="307" spans="1:8">
      <c r="A307" s="26"/>
      <c r="B307" s="176"/>
      <c r="C307" s="174"/>
      <c r="D307" s="174" t="s">
        <v>1174</v>
      </c>
      <c r="E307" s="174"/>
      <c r="F307" s="192"/>
      <c r="G307" s="275" t="s">
        <v>1698</v>
      </c>
      <c r="H307" s="318">
        <f>SUM(H305:H306)</f>
        <v>1975</v>
      </c>
    </row>
    <row r="308" spans="1:8">
      <c r="A308" s="26"/>
      <c r="B308" s="60" t="s">
        <v>5948</v>
      </c>
      <c r="C308" s="31"/>
      <c r="D308" s="31"/>
      <c r="E308" s="85">
        <f>ROUND(H307/G284,1)</f>
        <v>13.2</v>
      </c>
      <c r="G308" s="31"/>
    </row>
    <row r="309" spans="1:8">
      <c r="A309" s="26"/>
      <c r="B309" s="60" t="s">
        <v>3163</v>
      </c>
      <c r="C309" s="31"/>
      <c r="D309" s="31">
        <f>'BASIC DATA'!$C$577</f>
        <v>0.13614999999999999</v>
      </c>
      <c r="E309" s="85">
        <f>ROUND(E308*D309,1)</f>
        <v>1.8</v>
      </c>
      <c r="G309" s="31"/>
    </row>
    <row r="310" spans="1:8">
      <c r="A310" s="26"/>
      <c r="B310" s="60" t="s">
        <v>5949</v>
      </c>
      <c r="C310" s="31"/>
      <c r="D310" s="31"/>
      <c r="E310" s="739">
        <f>E309+E308</f>
        <v>15</v>
      </c>
      <c r="G310" s="31"/>
    </row>
    <row r="311" spans="1:8">
      <c r="A311" s="26"/>
      <c r="B311" s="26"/>
    </row>
    <row r="312" spans="1:8">
      <c r="A312" s="26"/>
      <c r="B312" s="170" t="s">
        <v>1175</v>
      </c>
    </row>
    <row r="313" spans="1:8">
      <c r="A313" s="26"/>
      <c r="B313" s="26" t="s">
        <v>1176</v>
      </c>
      <c r="F313" s="171" t="s">
        <v>1698</v>
      </c>
      <c r="G313" s="68">
        <f>H291</f>
        <v>0</v>
      </c>
    </row>
    <row r="314" spans="1:8">
      <c r="A314" s="26"/>
      <c r="B314" s="26" t="s">
        <v>1186</v>
      </c>
      <c r="F314" s="171" t="s">
        <v>1698</v>
      </c>
      <c r="G314" s="68">
        <f>H299</f>
        <v>0</v>
      </c>
    </row>
    <row r="315" spans="1:8">
      <c r="A315" s="26"/>
      <c r="B315" s="26" t="s">
        <v>2660</v>
      </c>
      <c r="F315" s="171" t="s">
        <v>1698</v>
      </c>
      <c r="G315" s="75">
        <f>H307</f>
        <v>1975</v>
      </c>
    </row>
    <row r="316" spans="1:8">
      <c r="A316" s="26"/>
      <c r="E316" s="26" t="s">
        <v>1518</v>
      </c>
      <c r="F316" s="171" t="s">
        <v>1698</v>
      </c>
      <c r="G316" s="205">
        <f>SUM(G313:G315)</f>
        <v>1975</v>
      </c>
    </row>
    <row r="317" spans="1:8" ht="33.75" customHeight="1">
      <c r="A317" s="26"/>
      <c r="B317" s="1207" t="s">
        <v>1379</v>
      </c>
      <c r="C317" s="1207"/>
      <c r="E317" s="249">
        <f>'BASIC DATA'!$C$577</f>
        <v>0.13614999999999999</v>
      </c>
      <c r="F317" s="26" t="s">
        <v>1698</v>
      </c>
      <c r="G317" s="26">
        <f>G316*E317</f>
        <v>268.89625000000001</v>
      </c>
    </row>
    <row r="318" spans="1:8">
      <c r="A318" s="26"/>
      <c r="B318" s="26" t="s">
        <v>1191</v>
      </c>
      <c r="D318" s="68">
        <f>G284</f>
        <v>150</v>
      </c>
      <c r="E318" s="68" t="str">
        <f>H284</f>
        <v>Nos.</v>
      </c>
      <c r="F318" s="26" t="s">
        <v>1698</v>
      </c>
      <c r="G318" s="211">
        <f>G317+G316</f>
        <v>2243.8962499999998</v>
      </c>
    </row>
    <row r="319" spans="1:8">
      <c r="A319" s="26"/>
      <c r="B319" s="170" t="s">
        <v>1584</v>
      </c>
      <c r="C319" s="211" t="s">
        <v>4935</v>
      </c>
      <c r="D319" s="26" t="s">
        <v>4721</v>
      </c>
      <c r="F319" s="26" t="s">
        <v>4108</v>
      </c>
      <c r="G319" s="211">
        <f>ROUND(G318/D318,1)</f>
        <v>15</v>
      </c>
    </row>
    <row r="320" spans="1:8">
      <c r="A320" s="26"/>
    </row>
    <row r="321" spans="1:8">
      <c r="A321" s="26"/>
    </row>
    <row r="322" spans="1:8">
      <c r="A322" s="78" t="s">
        <v>7197</v>
      </c>
      <c r="B322" s="26" t="s">
        <v>9087</v>
      </c>
    </row>
    <row r="323" spans="1:8">
      <c r="B323" s="26" t="s">
        <v>9088</v>
      </c>
    </row>
    <row r="324" spans="1:8">
      <c r="B324" s="170" t="s">
        <v>3441</v>
      </c>
    </row>
    <row r="325" spans="1:8" hidden="1">
      <c r="A325" s="78" t="s">
        <v>3984</v>
      </c>
      <c r="B325" s="26" t="s">
        <v>4803</v>
      </c>
      <c r="F325" s="78" t="s">
        <v>1697</v>
      </c>
      <c r="G325" s="26">
        <v>100</v>
      </c>
      <c r="H325" s="26" t="s">
        <v>2059</v>
      </c>
    </row>
    <row r="326" spans="1:8">
      <c r="A326" s="26"/>
    </row>
    <row r="327" spans="1:8">
      <c r="A327" s="26" t="s">
        <v>3984</v>
      </c>
      <c r="C327" s="203" t="s">
        <v>2367</v>
      </c>
      <c r="D327" s="171"/>
      <c r="F327" s="171" t="s">
        <v>297</v>
      </c>
      <c r="G327" s="162">
        <v>100</v>
      </c>
      <c r="H327" s="26" t="s">
        <v>4041</v>
      </c>
    </row>
    <row r="328" spans="1:8">
      <c r="A328" s="26"/>
    </row>
    <row r="329" spans="1:8">
      <c r="A329" s="26"/>
      <c r="B329" s="79" t="s">
        <v>2368</v>
      </c>
    </row>
    <row r="330" spans="1:8">
      <c r="A330" s="26"/>
      <c r="B330" s="95" t="s">
        <v>2369</v>
      </c>
      <c r="C330" s="157" t="s">
        <v>6374</v>
      </c>
      <c r="D330" s="195"/>
      <c r="E330" s="95" t="s">
        <v>2370</v>
      </c>
      <c r="F330" s="95" t="s">
        <v>1166</v>
      </c>
      <c r="G330" s="95" t="s">
        <v>2371</v>
      </c>
      <c r="H330" s="95" t="s">
        <v>2372</v>
      </c>
    </row>
    <row r="331" spans="1:8">
      <c r="A331" s="26"/>
      <c r="B331" s="114"/>
      <c r="C331" s="154"/>
      <c r="D331" s="192"/>
      <c r="E331" s="114"/>
      <c r="F331" s="114"/>
      <c r="G331" s="114" t="s">
        <v>3485</v>
      </c>
      <c r="H331" s="114" t="s">
        <v>3485</v>
      </c>
    </row>
    <row r="332" spans="1:8">
      <c r="A332" s="26"/>
      <c r="B332" s="95">
        <v>1</v>
      </c>
      <c r="C332" s="157" t="s">
        <v>6976</v>
      </c>
      <c r="D332" s="195"/>
      <c r="E332" s="107"/>
      <c r="F332" s="179">
        <v>0</v>
      </c>
      <c r="G332" s="179">
        <v>0</v>
      </c>
      <c r="H332" s="179">
        <f>F332*G332</f>
        <v>0</v>
      </c>
    </row>
    <row r="333" spans="1:8">
      <c r="A333" s="26"/>
      <c r="B333" s="114"/>
      <c r="C333" s="154"/>
      <c r="D333" s="192"/>
      <c r="E333" s="191"/>
      <c r="F333" s="182">
        <v>0</v>
      </c>
      <c r="G333" s="182">
        <v>0</v>
      </c>
      <c r="H333" s="182">
        <f>F333*G333</f>
        <v>0</v>
      </c>
    </row>
    <row r="334" spans="1:8">
      <c r="A334" s="26"/>
      <c r="B334" s="176"/>
      <c r="C334" s="174"/>
      <c r="D334" s="174" t="s">
        <v>2376</v>
      </c>
      <c r="E334" s="174"/>
      <c r="F334" s="192"/>
      <c r="G334" s="275" t="s">
        <v>1698</v>
      </c>
      <c r="H334" s="318">
        <f>SUM(H332:H333)</f>
        <v>0</v>
      </c>
    </row>
    <row r="335" spans="1:8">
      <c r="A335" s="26"/>
    </row>
    <row r="336" spans="1:8">
      <c r="A336" s="26"/>
      <c r="B336" s="79" t="s">
        <v>2377</v>
      </c>
    </row>
    <row r="337" spans="1:8">
      <c r="A337" s="26"/>
      <c r="B337" s="95" t="s">
        <v>2369</v>
      </c>
      <c r="C337" s="157" t="s">
        <v>2378</v>
      </c>
      <c r="D337" s="195"/>
      <c r="E337" s="95" t="s">
        <v>2370</v>
      </c>
      <c r="F337" s="95" t="s">
        <v>1166</v>
      </c>
      <c r="G337" s="95" t="s">
        <v>2371</v>
      </c>
      <c r="H337" s="95" t="s">
        <v>2372</v>
      </c>
    </row>
    <row r="338" spans="1:8">
      <c r="A338" s="26"/>
      <c r="B338" s="114"/>
      <c r="C338" s="154"/>
      <c r="D338" s="192"/>
      <c r="E338" s="114"/>
      <c r="F338" s="114"/>
      <c r="G338" s="114" t="s">
        <v>3485</v>
      </c>
      <c r="H338" s="114" t="s">
        <v>3485</v>
      </c>
    </row>
    <row r="339" spans="1:8">
      <c r="A339" s="26"/>
      <c r="B339" s="95">
        <v>1</v>
      </c>
      <c r="C339" s="157" t="s">
        <v>6976</v>
      </c>
      <c r="D339" s="195"/>
      <c r="E339" s="107"/>
      <c r="F339" s="179">
        <v>0</v>
      </c>
      <c r="G339" s="179">
        <v>0</v>
      </c>
      <c r="H339" s="179">
        <f>F339*G339</f>
        <v>0</v>
      </c>
    </row>
    <row r="340" spans="1:8">
      <c r="A340" s="26"/>
      <c r="B340" s="114"/>
      <c r="C340" s="154"/>
      <c r="D340" s="192"/>
      <c r="E340" s="191"/>
      <c r="F340" s="182">
        <v>0</v>
      </c>
      <c r="G340" s="182">
        <v>0</v>
      </c>
      <c r="H340" s="182">
        <f>F340*G340</f>
        <v>0</v>
      </c>
    </row>
    <row r="341" spans="1:8">
      <c r="A341" s="26"/>
      <c r="B341" s="176"/>
      <c r="C341" s="174"/>
      <c r="D341" s="174" t="s">
        <v>2380</v>
      </c>
      <c r="E341" s="174"/>
      <c r="F341" s="192"/>
      <c r="G341" s="275" t="s">
        <v>1698</v>
      </c>
      <c r="H341" s="318">
        <f>SUM(H339:H340)</f>
        <v>0</v>
      </c>
    </row>
    <row r="342" spans="1:8">
      <c r="A342" s="26"/>
    </row>
    <row r="343" spans="1:8">
      <c r="A343" s="26"/>
      <c r="B343" s="79" t="s">
        <v>2381</v>
      </c>
    </row>
    <row r="344" spans="1:8">
      <c r="A344" s="26"/>
      <c r="B344" s="95" t="s">
        <v>2369</v>
      </c>
      <c r="C344" s="157" t="s">
        <v>2378</v>
      </c>
      <c r="D344" s="195"/>
      <c r="E344" s="95" t="s">
        <v>2370</v>
      </c>
      <c r="F344" s="95" t="s">
        <v>1166</v>
      </c>
      <c r="G344" s="95" t="s">
        <v>2371</v>
      </c>
      <c r="H344" s="95" t="s">
        <v>2372</v>
      </c>
    </row>
    <row r="345" spans="1:8">
      <c r="A345" s="26"/>
      <c r="B345" s="114"/>
      <c r="C345" s="154"/>
      <c r="D345" s="192"/>
      <c r="E345" s="105"/>
      <c r="F345" s="114"/>
      <c r="G345" s="114" t="s">
        <v>3485</v>
      </c>
      <c r="H345" s="114" t="s">
        <v>3485</v>
      </c>
    </row>
    <row r="346" spans="1:8">
      <c r="A346" s="26"/>
      <c r="B346" s="95">
        <v>1</v>
      </c>
      <c r="C346" s="148" t="s">
        <v>4206</v>
      </c>
      <c r="D346" s="187"/>
      <c r="E346" s="107" t="s">
        <v>1172</v>
      </c>
      <c r="F346" s="178">
        <v>0.5</v>
      </c>
      <c r="G346" s="179">
        <f>'BASIC DATA'!C473</f>
        <v>450</v>
      </c>
      <c r="H346" s="179">
        <f>F346*G346</f>
        <v>225</v>
      </c>
    </row>
    <row r="347" spans="1:8">
      <c r="A347" s="26"/>
      <c r="B347" s="114">
        <v>2</v>
      </c>
      <c r="C347" s="89" t="s">
        <v>2697</v>
      </c>
      <c r="D347" s="174"/>
      <c r="E347" s="191" t="s">
        <v>1172</v>
      </c>
      <c r="F347" s="181">
        <v>3</v>
      </c>
      <c r="G347" s="182">
        <f>'BASIC DATA'!C552</f>
        <v>350</v>
      </c>
      <c r="H347" s="190">
        <f>F347*G347</f>
        <v>1050</v>
      </c>
    </row>
    <row r="348" spans="1:8">
      <c r="A348" s="26"/>
      <c r="B348" s="176"/>
      <c r="C348" s="174"/>
      <c r="D348" s="174" t="s">
        <v>1174</v>
      </c>
      <c r="E348" s="174"/>
      <c r="F348" s="192"/>
      <c r="G348" s="275" t="s">
        <v>1698</v>
      </c>
      <c r="H348" s="318">
        <f>SUM(H346:H347)</f>
        <v>1275</v>
      </c>
    </row>
    <row r="349" spans="1:8">
      <c r="A349" s="26"/>
      <c r="B349" s="60" t="s">
        <v>5948</v>
      </c>
      <c r="C349" s="31"/>
      <c r="D349" s="31"/>
      <c r="E349" s="85">
        <f>ROUND(H348/G327,1)</f>
        <v>12.8</v>
      </c>
      <c r="G349" s="31"/>
    </row>
    <row r="350" spans="1:8">
      <c r="A350" s="26"/>
      <c r="B350" s="60" t="s">
        <v>3163</v>
      </c>
      <c r="C350" s="31"/>
      <c r="D350" s="31">
        <f>'BASIC DATA'!$C$577</f>
        <v>0.13614999999999999</v>
      </c>
      <c r="E350" s="85">
        <f>ROUND(E349*D350,1)</f>
        <v>1.7</v>
      </c>
      <c r="G350" s="31"/>
    </row>
    <row r="351" spans="1:8">
      <c r="A351" s="26"/>
      <c r="B351" s="60" t="s">
        <v>5949</v>
      </c>
      <c r="C351" s="31"/>
      <c r="D351" s="31"/>
      <c r="E351" s="739">
        <f>E350+E349</f>
        <v>14.5</v>
      </c>
      <c r="G351" s="31"/>
    </row>
    <row r="352" spans="1:8">
      <c r="A352" s="26"/>
      <c r="B352" s="26"/>
    </row>
    <row r="353" spans="1:8">
      <c r="A353" s="26"/>
      <c r="B353" s="170" t="s">
        <v>1175</v>
      </c>
    </row>
    <row r="354" spans="1:8">
      <c r="A354" s="26"/>
      <c r="B354" s="26" t="s">
        <v>1176</v>
      </c>
      <c r="F354" s="171" t="s">
        <v>1698</v>
      </c>
      <c r="G354" s="68">
        <f>H334</f>
        <v>0</v>
      </c>
    </row>
    <row r="355" spans="1:8">
      <c r="A355" s="26"/>
      <c r="B355" s="26" t="s">
        <v>1186</v>
      </c>
      <c r="F355" s="171" t="s">
        <v>1698</v>
      </c>
      <c r="G355" s="68">
        <f>H341</f>
        <v>0</v>
      </c>
    </row>
    <row r="356" spans="1:8">
      <c r="A356" s="26"/>
      <c r="B356" s="26" t="s">
        <v>2660</v>
      </c>
      <c r="F356" s="171" t="s">
        <v>1698</v>
      </c>
      <c r="G356" s="75">
        <f>H348</f>
        <v>1275</v>
      </c>
    </row>
    <row r="357" spans="1:8">
      <c r="A357" s="26"/>
      <c r="E357" s="26" t="s">
        <v>1518</v>
      </c>
      <c r="F357" s="171" t="s">
        <v>1698</v>
      </c>
      <c r="G357" s="205">
        <f>SUM(G354:G356)</f>
        <v>1275</v>
      </c>
    </row>
    <row r="358" spans="1:8" ht="41.25" customHeight="1">
      <c r="A358" s="26"/>
      <c r="B358" s="1207" t="s">
        <v>1379</v>
      </c>
      <c r="C358" s="1207"/>
      <c r="E358" s="249">
        <f>'BASIC DATA'!$C$577</f>
        <v>0.13614999999999999</v>
      </c>
      <c r="F358" s="26" t="s">
        <v>1698</v>
      </c>
      <c r="G358" s="26">
        <f>G357*E358</f>
        <v>173.59125</v>
      </c>
    </row>
    <row r="359" spans="1:8">
      <c r="A359" s="26"/>
      <c r="B359" s="26" t="s">
        <v>1191</v>
      </c>
      <c r="D359" s="68">
        <f>G325</f>
        <v>100</v>
      </c>
      <c r="E359" s="68" t="str">
        <f>H325</f>
        <v>Nos</v>
      </c>
      <c r="F359" s="26" t="s">
        <v>1698</v>
      </c>
      <c r="G359" s="211">
        <f>G358+G357</f>
        <v>1448.5912499999999</v>
      </c>
    </row>
    <row r="360" spans="1:8">
      <c r="A360" s="26"/>
      <c r="B360" s="170" t="s">
        <v>1584</v>
      </c>
      <c r="C360" s="211" t="s">
        <v>4935</v>
      </c>
      <c r="D360" s="26" t="s">
        <v>5882</v>
      </c>
      <c r="F360" s="26" t="s">
        <v>4108</v>
      </c>
      <c r="G360" s="211">
        <f>ROUND(G359/D359,1)</f>
        <v>14.5</v>
      </c>
    </row>
    <row r="361" spans="1:8">
      <c r="A361" s="26"/>
    </row>
    <row r="362" spans="1:8">
      <c r="A362" s="26"/>
    </row>
    <row r="363" spans="1:8">
      <c r="A363" s="78" t="s">
        <v>7198</v>
      </c>
      <c r="B363" s="26" t="s">
        <v>9148</v>
      </c>
    </row>
    <row r="364" spans="1:8">
      <c r="B364" s="26" t="s">
        <v>9149</v>
      </c>
    </row>
    <row r="365" spans="1:8">
      <c r="B365" s="170" t="s">
        <v>890</v>
      </c>
    </row>
    <row r="366" spans="1:8">
      <c r="B366" s="26"/>
    </row>
    <row r="367" spans="1:8" hidden="1">
      <c r="A367" s="78" t="s">
        <v>3984</v>
      </c>
      <c r="B367" s="26" t="s">
        <v>4803</v>
      </c>
      <c r="F367" s="78" t="s">
        <v>1697</v>
      </c>
      <c r="G367" s="26">
        <v>50</v>
      </c>
      <c r="H367" s="26" t="s">
        <v>2059</v>
      </c>
    </row>
    <row r="368" spans="1:8">
      <c r="A368" s="26"/>
    </row>
    <row r="369" spans="1:8">
      <c r="A369" s="26" t="s">
        <v>3984</v>
      </c>
      <c r="C369" s="203" t="s">
        <v>2367</v>
      </c>
      <c r="D369" s="171"/>
      <c r="F369" s="171" t="s">
        <v>297</v>
      </c>
      <c r="G369" s="162">
        <v>50</v>
      </c>
      <c r="H369" s="26" t="s">
        <v>2059</v>
      </c>
    </row>
    <row r="370" spans="1:8">
      <c r="A370" s="26"/>
    </row>
    <row r="371" spans="1:8">
      <c r="A371" s="26"/>
      <c r="B371" s="79" t="s">
        <v>2368</v>
      </c>
    </row>
    <row r="372" spans="1:8">
      <c r="A372" s="26"/>
      <c r="B372" s="95" t="s">
        <v>2369</v>
      </c>
      <c r="C372" s="157" t="s">
        <v>6374</v>
      </c>
      <c r="D372" s="195"/>
      <c r="E372" s="95" t="s">
        <v>2370</v>
      </c>
      <c r="F372" s="95" t="s">
        <v>1166</v>
      </c>
      <c r="G372" s="95" t="s">
        <v>2371</v>
      </c>
      <c r="H372" s="95" t="s">
        <v>2372</v>
      </c>
    </row>
    <row r="373" spans="1:8">
      <c r="A373" s="26"/>
      <c r="B373" s="114"/>
      <c r="C373" s="154"/>
      <c r="D373" s="192"/>
      <c r="E373" s="114"/>
      <c r="F373" s="114"/>
      <c r="G373" s="114" t="s">
        <v>3485</v>
      </c>
      <c r="H373" s="114" t="s">
        <v>3485</v>
      </c>
    </row>
    <row r="374" spans="1:8">
      <c r="A374" s="26"/>
      <c r="B374" s="95">
        <v>1</v>
      </c>
      <c r="C374" s="157" t="s">
        <v>6976</v>
      </c>
      <c r="D374" s="195"/>
      <c r="E374" s="107"/>
      <c r="F374" s="179">
        <v>0</v>
      </c>
      <c r="G374" s="179">
        <v>0</v>
      </c>
      <c r="H374" s="179">
        <f>F374*G374</f>
        <v>0</v>
      </c>
    </row>
    <row r="375" spans="1:8">
      <c r="A375" s="26"/>
      <c r="B375" s="114"/>
      <c r="C375" s="154"/>
      <c r="D375" s="192"/>
      <c r="E375" s="191"/>
      <c r="F375" s="182">
        <v>0</v>
      </c>
      <c r="G375" s="182">
        <v>0</v>
      </c>
      <c r="H375" s="182">
        <f>F375*G375</f>
        <v>0</v>
      </c>
    </row>
    <row r="376" spans="1:8">
      <c r="A376" s="26"/>
      <c r="B376" s="176"/>
      <c r="C376" s="174"/>
      <c r="D376" s="174" t="s">
        <v>2376</v>
      </c>
      <c r="E376" s="174"/>
      <c r="F376" s="192"/>
      <c r="G376" s="275" t="s">
        <v>1698</v>
      </c>
      <c r="H376" s="318">
        <f>SUM(H374:H375)</f>
        <v>0</v>
      </c>
    </row>
    <row r="377" spans="1:8">
      <c r="A377" s="26"/>
    </row>
    <row r="378" spans="1:8">
      <c r="A378" s="26"/>
      <c r="B378" s="79" t="s">
        <v>2377</v>
      </c>
    </row>
    <row r="379" spans="1:8">
      <c r="A379" s="26"/>
      <c r="B379" s="95" t="s">
        <v>2369</v>
      </c>
      <c r="C379" s="157" t="s">
        <v>2378</v>
      </c>
      <c r="D379" s="195"/>
      <c r="E379" s="95" t="s">
        <v>2370</v>
      </c>
      <c r="F379" s="95" t="s">
        <v>1166</v>
      </c>
      <c r="G379" s="95" t="s">
        <v>2371</v>
      </c>
      <c r="H379" s="95" t="s">
        <v>2372</v>
      </c>
    </row>
    <row r="380" spans="1:8">
      <c r="A380" s="26"/>
      <c r="B380" s="114"/>
      <c r="C380" s="154"/>
      <c r="D380" s="192"/>
      <c r="E380" s="114"/>
      <c r="F380" s="114"/>
      <c r="G380" s="114" t="s">
        <v>3485</v>
      </c>
      <c r="H380" s="114" t="s">
        <v>3485</v>
      </c>
    </row>
    <row r="381" spans="1:8">
      <c r="A381" s="26"/>
      <c r="B381" s="95">
        <v>1</v>
      </c>
      <c r="C381" s="157" t="s">
        <v>6976</v>
      </c>
      <c r="D381" s="195"/>
      <c r="E381" s="107"/>
      <c r="F381" s="179">
        <v>0</v>
      </c>
      <c r="G381" s="179">
        <v>0</v>
      </c>
      <c r="H381" s="179">
        <f>F381*G381</f>
        <v>0</v>
      </c>
    </row>
    <row r="382" spans="1:8">
      <c r="A382" s="26"/>
      <c r="B382" s="114"/>
      <c r="C382" s="154"/>
      <c r="D382" s="192"/>
      <c r="E382" s="191"/>
      <c r="F382" s="182">
        <v>0</v>
      </c>
      <c r="G382" s="182">
        <v>0</v>
      </c>
      <c r="H382" s="182">
        <f>F382*G382</f>
        <v>0</v>
      </c>
    </row>
    <row r="383" spans="1:8">
      <c r="A383" s="26"/>
      <c r="B383" s="176"/>
      <c r="C383" s="174"/>
      <c r="D383" s="174" t="s">
        <v>2380</v>
      </c>
      <c r="E383" s="174"/>
      <c r="F383" s="192"/>
      <c r="G383" s="275" t="s">
        <v>1698</v>
      </c>
      <c r="H383" s="318">
        <f>SUM(H381:H382)</f>
        <v>0</v>
      </c>
    </row>
    <row r="384" spans="1:8">
      <c r="A384" s="26"/>
    </row>
    <row r="385" spans="1:8">
      <c r="A385" s="26"/>
      <c r="B385" s="79" t="s">
        <v>2381</v>
      </c>
    </row>
    <row r="386" spans="1:8">
      <c r="A386" s="26"/>
      <c r="B386" s="95" t="s">
        <v>2369</v>
      </c>
      <c r="C386" s="157" t="s">
        <v>2378</v>
      </c>
      <c r="D386" s="195"/>
      <c r="E386" s="95" t="s">
        <v>2370</v>
      </c>
      <c r="F386" s="95" t="s">
        <v>1166</v>
      </c>
      <c r="G386" s="95" t="s">
        <v>2371</v>
      </c>
      <c r="H386" s="95" t="s">
        <v>2372</v>
      </c>
    </row>
    <row r="387" spans="1:8">
      <c r="A387" s="26"/>
      <c r="B387" s="114"/>
      <c r="C387" s="154"/>
      <c r="D387" s="192"/>
      <c r="E387" s="105"/>
      <c r="F387" s="114"/>
      <c r="G387" s="114" t="s">
        <v>3485</v>
      </c>
      <c r="H387" s="114" t="s">
        <v>3485</v>
      </c>
    </row>
    <row r="388" spans="1:8">
      <c r="A388" s="26"/>
      <c r="B388" s="95">
        <v>1</v>
      </c>
      <c r="C388" s="148" t="s">
        <v>4206</v>
      </c>
      <c r="D388" s="187"/>
      <c r="E388" s="107" t="s">
        <v>1172</v>
      </c>
      <c r="F388" s="178">
        <v>0.5</v>
      </c>
      <c r="G388" s="179">
        <f>'BASIC DATA'!C473</f>
        <v>450</v>
      </c>
      <c r="H388" s="179">
        <f>F388*G388</f>
        <v>225</v>
      </c>
    </row>
    <row r="389" spans="1:8">
      <c r="A389" s="26"/>
      <c r="B389" s="114">
        <v>2</v>
      </c>
      <c r="C389" s="89" t="s">
        <v>2697</v>
      </c>
      <c r="D389" s="174"/>
      <c r="E389" s="191" t="s">
        <v>1172</v>
      </c>
      <c r="F389" s="181">
        <v>3</v>
      </c>
      <c r="G389" s="182">
        <f>'BASIC DATA'!C552</f>
        <v>350</v>
      </c>
      <c r="H389" s="190">
        <f>F389*G389</f>
        <v>1050</v>
      </c>
    </row>
    <row r="390" spans="1:8">
      <c r="A390" s="26"/>
      <c r="B390" s="176"/>
      <c r="C390" s="174"/>
      <c r="D390" s="174" t="s">
        <v>1174</v>
      </c>
      <c r="E390" s="174"/>
      <c r="F390" s="192"/>
      <c r="G390" s="275" t="s">
        <v>1698</v>
      </c>
      <c r="H390" s="318">
        <f>SUM(H388:H389)</f>
        <v>1275</v>
      </c>
    </row>
    <row r="391" spans="1:8">
      <c r="A391" s="26"/>
      <c r="B391" s="60" t="s">
        <v>5948</v>
      </c>
      <c r="C391" s="31"/>
      <c r="D391" s="31"/>
      <c r="E391" s="85">
        <f>ROUND(H390/G369,1)</f>
        <v>25.5</v>
      </c>
      <c r="G391" s="31"/>
    </row>
    <row r="392" spans="1:8">
      <c r="A392" s="26"/>
      <c r="B392" s="60" t="s">
        <v>3163</v>
      </c>
      <c r="C392" s="31"/>
      <c r="D392" s="31">
        <f>'BASIC DATA'!$C$577</f>
        <v>0.13614999999999999</v>
      </c>
      <c r="E392" s="85">
        <f>ROUND(E391*D392,1)</f>
        <v>3.5</v>
      </c>
      <c r="G392" s="31"/>
    </row>
    <row r="393" spans="1:8">
      <c r="A393" s="26"/>
      <c r="B393" s="60" t="s">
        <v>5949</v>
      </c>
      <c r="C393" s="31"/>
      <c r="D393" s="31"/>
      <c r="E393" s="739">
        <f>E392+E391</f>
        <v>29</v>
      </c>
      <c r="G393" s="31"/>
    </row>
    <row r="394" spans="1:8">
      <c r="A394" s="26"/>
      <c r="B394" s="26"/>
    </row>
    <row r="395" spans="1:8">
      <c r="A395" s="26"/>
      <c r="B395" s="170" t="s">
        <v>1175</v>
      </c>
    </row>
    <row r="396" spans="1:8">
      <c r="A396" s="26"/>
      <c r="B396" s="26" t="s">
        <v>1176</v>
      </c>
      <c r="F396" s="171" t="s">
        <v>1698</v>
      </c>
      <c r="G396" s="68">
        <f>H376</f>
        <v>0</v>
      </c>
    </row>
    <row r="397" spans="1:8">
      <c r="A397" s="26"/>
      <c r="B397" s="26" t="s">
        <v>1186</v>
      </c>
      <c r="F397" s="171" t="s">
        <v>1698</v>
      </c>
      <c r="G397" s="68">
        <f>H383</f>
        <v>0</v>
      </c>
    </row>
    <row r="398" spans="1:8">
      <c r="A398" s="26"/>
      <c r="B398" s="26" t="s">
        <v>2660</v>
      </c>
      <c r="F398" s="171" t="s">
        <v>1698</v>
      </c>
      <c r="G398" s="75">
        <f>H390</f>
        <v>1275</v>
      </c>
    </row>
    <row r="399" spans="1:8">
      <c r="A399" s="26"/>
      <c r="E399" s="26" t="s">
        <v>1518</v>
      </c>
      <c r="F399" s="171" t="s">
        <v>1698</v>
      </c>
      <c r="G399" s="205">
        <f>SUM(G396:G398)</f>
        <v>1275</v>
      </c>
    </row>
    <row r="400" spans="1:8" ht="42.75" customHeight="1">
      <c r="A400" s="26"/>
      <c r="B400" s="1207" t="s">
        <v>1379</v>
      </c>
      <c r="C400" s="1207"/>
      <c r="E400" s="249">
        <f>'BASIC DATA'!$C$577</f>
        <v>0.13614999999999999</v>
      </c>
      <c r="F400" s="26" t="s">
        <v>1698</v>
      </c>
      <c r="G400" s="26">
        <f>G399*E400</f>
        <v>173.59125</v>
      </c>
    </row>
    <row r="401" spans="1:8">
      <c r="A401" s="26"/>
      <c r="B401" s="26" t="s">
        <v>1191</v>
      </c>
      <c r="D401" s="68">
        <f>G369</f>
        <v>50</v>
      </c>
      <c r="E401" s="68" t="str">
        <f>H369</f>
        <v>Nos</v>
      </c>
      <c r="F401" s="26" t="s">
        <v>1698</v>
      </c>
      <c r="G401" s="211">
        <f>G400+G399</f>
        <v>1448.5912499999999</v>
      </c>
    </row>
    <row r="402" spans="1:8">
      <c r="A402" s="26"/>
      <c r="B402" s="170" t="s">
        <v>1584</v>
      </c>
      <c r="C402" s="211" t="s">
        <v>4935</v>
      </c>
      <c r="D402" s="26" t="s">
        <v>4722</v>
      </c>
      <c r="F402" s="26" t="s">
        <v>4108</v>
      </c>
      <c r="G402" s="211">
        <f>ROUND(G401/D401,1)</f>
        <v>29</v>
      </c>
    </row>
    <row r="403" spans="1:8">
      <c r="A403" s="26"/>
    </row>
    <row r="404" spans="1:8">
      <c r="A404" s="26"/>
    </row>
    <row r="405" spans="1:8">
      <c r="A405" s="78" t="s">
        <v>7199</v>
      </c>
      <c r="B405" s="26" t="s">
        <v>9089</v>
      </c>
    </row>
    <row r="406" spans="1:8">
      <c r="B406" s="26" t="s">
        <v>9090</v>
      </c>
    </row>
    <row r="407" spans="1:8">
      <c r="B407" s="26"/>
    </row>
    <row r="408" spans="1:8" hidden="1">
      <c r="A408" s="78" t="s">
        <v>3984</v>
      </c>
      <c r="B408" s="26" t="s">
        <v>3369</v>
      </c>
      <c r="F408" s="78" t="s">
        <v>1697</v>
      </c>
      <c r="G408" s="26">
        <v>0.15</v>
      </c>
      <c r="H408" s="26" t="s">
        <v>2602</v>
      </c>
    </row>
    <row r="409" spans="1:8" hidden="1">
      <c r="B409" s="26" t="s">
        <v>3885</v>
      </c>
      <c r="F409" s="78" t="s">
        <v>1697</v>
      </c>
      <c r="G409" s="26">
        <v>14</v>
      </c>
      <c r="H409" s="26" t="s">
        <v>2059</v>
      </c>
    </row>
    <row r="410" spans="1:8" hidden="1">
      <c r="B410" s="26" t="s">
        <v>3886</v>
      </c>
    </row>
    <row r="411" spans="1:8">
      <c r="A411" s="26"/>
    </row>
    <row r="412" spans="1:8">
      <c r="A412" s="26" t="s">
        <v>3984</v>
      </c>
      <c r="C412" s="203" t="s">
        <v>2367</v>
      </c>
      <c r="D412" s="171"/>
      <c r="F412" s="171" t="s">
        <v>297</v>
      </c>
      <c r="G412" s="162">
        <v>14</v>
      </c>
      <c r="H412" s="26" t="s">
        <v>4041</v>
      </c>
    </row>
    <row r="413" spans="1:8">
      <c r="A413" s="26"/>
    </row>
    <row r="414" spans="1:8">
      <c r="A414" s="26"/>
      <c r="B414" s="79" t="s">
        <v>2368</v>
      </c>
    </row>
    <row r="415" spans="1:8">
      <c r="A415" s="26"/>
      <c r="B415" s="95" t="s">
        <v>2369</v>
      </c>
      <c r="C415" s="157" t="s">
        <v>6374</v>
      </c>
      <c r="D415" s="195"/>
      <c r="E415" s="95" t="s">
        <v>2370</v>
      </c>
      <c r="F415" s="95" t="s">
        <v>1166</v>
      </c>
      <c r="G415" s="95" t="s">
        <v>2371</v>
      </c>
      <c r="H415" s="95" t="s">
        <v>2372</v>
      </c>
    </row>
    <row r="416" spans="1:8">
      <c r="A416" s="26"/>
      <c r="B416" s="114"/>
      <c r="C416" s="154"/>
      <c r="D416" s="192"/>
      <c r="E416" s="114"/>
      <c r="F416" s="114"/>
      <c r="G416" s="114" t="s">
        <v>3485</v>
      </c>
      <c r="H416" s="114" t="s">
        <v>3485</v>
      </c>
    </row>
    <row r="417" spans="1:8">
      <c r="A417" s="26"/>
      <c r="B417" s="95">
        <v>1</v>
      </c>
      <c r="C417" s="131" t="s">
        <v>3053</v>
      </c>
      <c r="D417" s="195"/>
      <c r="E417" s="107" t="s">
        <v>2173</v>
      </c>
      <c r="F417" s="179">
        <v>0.25</v>
      </c>
      <c r="G417" s="179">
        <f>'BASIC DATA'!D374</f>
        <v>150</v>
      </c>
      <c r="H417" s="179">
        <f>F417*G417</f>
        <v>37.5</v>
      </c>
    </row>
    <row r="418" spans="1:8">
      <c r="A418" s="26"/>
      <c r="B418" s="114"/>
      <c r="C418" s="154"/>
      <c r="D418" s="192"/>
      <c r="E418" s="191"/>
      <c r="F418" s="182">
        <v>0</v>
      </c>
      <c r="G418" s="182">
        <v>0</v>
      </c>
      <c r="H418" s="182">
        <f>F418*G418</f>
        <v>0</v>
      </c>
    </row>
    <row r="419" spans="1:8">
      <c r="A419" s="26"/>
      <c r="B419" s="176"/>
      <c r="C419" s="174"/>
      <c r="D419" s="174" t="s">
        <v>2376</v>
      </c>
      <c r="E419" s="174"/>
      <c r="F419" s="192"/>
      <c r="G419" s="275" t="s">
        <v>1698</v>
      </c>
      <c r="H419" s="318">
        <f>SUM(H417:H418)</f>
        <v>37.5</v>
      </c>
    </row>
    <row r="420" spans="1:8">
      <c r="A420" s="26"/>
    </row>
    <row r="421" spans="1:8">
      <c r="A421" s="26"/>
      <c r="B421" s="79" t="s">
        <v>2377</v>
      </c>
    </row>
    <row r="422" spans="1:8">
      <c r="A422" s="26"/>
      <c r="B422" s="95" t="s">
        <v>2369</v>
      </c>
      <c r="C422" s="157" t="s">
        <v>2378</v>
      </c>
      <c r="D422" s="195"/>
      <c r="E422" s="95" t="s">
        <v>2370</v>
      </c>
      <c r="F422" s="95" t="s">
        <v>1166</v>
      </c>
      <c r="G422" s="95" t="s">
        <v>2371</v>
      </c>
      <c r="H422" s="95" t="s">
        <v>2372</v>
      </c>
    </row>
    <row r="423" spans="1:8">
      <c r="A423" s="26"/>
      <c r="B423" s="114"/>
      <c r="C423" s="154"/>
      <c r="D423" s="192"/>
      <c r="E423" s="114"/>
      <c r="F423" s="114"/>
      <c r="G423" s="114" t="s">
        <v>3485</v>
      </c>
      <c r="H423" s="114" t="s">
        <v>3485</v>
      </c>
    </row>
    <row r="424" spans="1:8">
      <c r="A424" s="26"/>
      <c r="B424" s="95">
        <v>1</v>
      </c>
      <c r="C424" s="157" t="s">
        <v>6976</v>
      </c>
      <c r="D424" s="195"/>
      <c r="E424" s="107"/>
      <c r="F424" s="179">
        <v>0</v>
      </c>
      <c r="G424" s="179">
        <v>0</v>
      </c>
      <c r="H424" s="179">
        <f>F424*G424</f>
        <v>0</v>
      </c>
    </row>
    <row r="425" spans="1:8">
      <c r="A425" s="26"/>
      <c r="B425" s="114"/>
      <c r="C425" s="154"/>
      <c r="D425" s="192"/>
      <c r="E425" s="191"/>
      <c r="F425" s="182">
        <v>0</v>
      </c>
      <c r="G425" s="182">
        <v>0</v>
      </c>
      <c r="H425" s="182">
        <f>F425*G425</f>
        <v>0</v>
      </c>
    </row>
    <row r="426" spans="1:8">
      <c r="A426" s="26"/>
      <c r="B426" s="176"/>
      <c r="C426" s="174"/>
      <c r="D426" s="174" t="s">
        <v>2380</v>
      </c>
      <c r="E426" s="174"/>
      <c r="F426" s="192"/>
      <c r="G426" s="275" t="s">
        <v>1698</v>
      </c>
      <c r="H426" s="318">
        <f>SUM(H424:H425)</f>
        <v>0</v>
      </c>
    </row>
    <row r="427" spans="1:8">
      <c r="A427" s="26"/>
    </row>
    <row r="428" spans="1:8">
      <c r="A428" s="26"/>
      <c r="B428" s="79" t="s">
        <v>2381</v>
      </c>
    </row>
    <row r="429" spans="1:8">
      <c r="A429" s="26"/>
      <c r="B429" s="95" t="s">
        <v>2369</v>
      </c>
      <c r="C429" s="157" t="s">
        <v>2378</v>
      </c>
      <c r="D429" s="195"/>
      <c r="E429" s="95" t="s">
        <v>2370</v>
      </c>
      <c r="F429" s="95" t="s">
        <v>1166</v>
      </c>
      <c r="G429" s="95" t="s">
        <v>2371</v>
      </c>
      <c r="H429" s="95" t="s">
        <v>2372</v>
      </c>
    </row>
    <row r="430" spans="1:8">
      <c r="A430" s="26"/>
      <c r="B430" s="114"/>
      <c r="C430" s="154"/>
      <c r="D430" s="192"/>
      <c r="E430" s="105"/>
      <c r="F430" s="114"/>
      <c r="G430" s="114" t="s">
        <v>3485</v>
      </c>
      <c r="H430" s="114" t="s">
        <v>3485</v>
      </c>
    </row>
    <row r="431" spans="1:8">
      <c r="A431" s="26"/>
      <c r="B431" s="95">
        <v>1</v>
      </c>
      <c r="C431" s="148" t="s">
        <v>4206</v>
      </c>
      <c r="D431" s="187"/>
      <c r="E431" s="107" t="s">
        <v>1172</v>
      </c>
      <c r="F431" s="178">
        <v>0.25</v>
      </c>
      <c r="G431" s="179">
        <f>'BASIC DATA'!C473</f>
        <v>450</v>
      </c>
      <c r="H431" s="179">
        <f>F431*G431</f>
        <v>112.5</v>
      </c>
    </row>
    <row r="432" spans="1:8">
      <c r="A432" s="26"/>
      <c r="B432" s="114">
        <v>2</v>
      </c>
      <c r="C432" s="89" t="s">
        <v>2697</v>
      </c>
      <c r="D432" s="174"/>
      <c r="E432" s="191" t="s">
        <v>1172</v>
      </c>
      <c r="F432" s="181">
        <v>3</v>
      </c>
      <c r="G432" s="182">
        <f>'BASIC DATA'!C552</f>
        <v>350</v>
      </c>
      <c r="H432" s="190">
        <f>F432*G432</f>
        <v>1050</v>
      </c>
    </row>
    <row r="433" spans="1:8">
      <c r="A433" s="26"/>
      <c r="B433" s="176"/>
      <c r="C433" s="174"/>
      <c r="D433" s="174" t="s">
        <v>1174</v>
      </c>
      <c r="E433" s="174"/>
      <c r="F433" s="192"/>
      <c r="G433" s="275" t="s">
        <v>1698</v>
      </c>
      <c r="H433" s="318">
        <f>SUM(H431:H432)</f>
        <v>1162.5</v>
      </c>
    </row>
    <row r="434" spans="1:8">
      <c r="A434" s="26"/>
      <c r="B434" s="60" t="s">
        <v>5948</v>
      </c>
      <c r="C434" s="31"/>
      <c r="D434" s="31"/>
      <c r="E434" s="85">
        <f>ROUND(H433/G412,1)</f>
        <v>83</v>
      </c>
      <c r="G434" s="31"/>
    </row>
    <row r="435" spans="1:8">
      <c r="A435" s="26"/>
      <c r="B435" s="60" t="s">
        <v>3163</v>
      </c>
      <c r="C435" s="31"/>
      <c r="D435" s="31">
        <f>'BASIC DATA'!$C$577</f>
        <v>0.13614999999999999</v>
      </c>
      <c r="E435" s="85">
        <f>ROUND(E434*D435,1)</f>
        <v>11.3</v>
      </c>
      <c r="G435" s="31"/>
    </row>
    <row r="436" spans="1:8">
      <c r="A436" s="26"/>
      <c r="B436" s="60" t="s">
        <v>5949</v>
      </c>
      <c r="C436" s="31"/>
      <c r="D436" s="31"/>
      <c r="E436" s="739">
        <f>E435+E434</f>
        <v>94.3</v>
      </c>
      <c r="G436" s="31"/>
    </row>
    <row r="437" spans="1:8">
      <c r="A437" s="26"/>
      <c r="B437" s="26"/>
    </row>
    <row r="438" spans="1:8">
      <c r="A438" s="26"/>
      <c r="B438" s="170" t="s">
        <v>1175</v>
      </c>
    </row>
    <row r="439" spans="1:8">
      <c r="A439" s="26"/>
      <c r="B439" s="26" t="s">
        <v>1176</v>
      </c>
      <c r="F439" s="171" t="s">
        <v>1698</v>
      </c>
      <c r="G439" s="68">
        <f>H419</f>
        <v>37.5</v>
      </c>
    </row>
    <row r="440" spans="1:8">
      <c r="A440" s="26"/>
      <c r="B440" s="26" t="s">
        <v>1186</v>
      </c>
      <c r="F440" s="171" t="s">
        <v>1698</v>
      </c>
      <c r="G440" s="68">
        <f>H426</f>
        <v>0</v>
      </c>
    </row>
    <row r="441" spans="1:8">
      <c r="A441" s="26"/>
      <c r="B441" s="26" t="s">
        <v>2660</v>
      </c>
      <c r="F441" s="171" t="s">
        <v>1698</v>
      </c>
      <c r="G441" s="75">
        <f>H433</f>
        <v>1162.5</v>
      </c>
    </row>
    <row r="442" spans="1:8">
      <c r="A442" s="26"/>
      <c r="E442" s="26" t="s">
        <v>1518</v>
      </c>
      <c r="F442" s="171" t="s">
        <v>1698</v>
      </c>
      <c r="G442" s="205">
        <f>SUM(G439:G441)</f>
        <v>1200</v>
      </c>
    </row>
    <row r="443" spans="1:8" ht="36" customHeight="1">
      <c r="A443" s="26"/>
      <c r="B443" s="1207" t="s">
        <v>1379</v>
      </c>
      <c r="C443" s="1207"/>
      <c r="E443" s="249">
        <f>'BASIC DATA'!$C$577</f>
        <v>0.13614999999999999</v>
      </c>
      <c r="F443" s="26" t="s">
        <v>1698</v>
      </c>
      <c r="G443" s="26">
        <f>G442*E443</f>
        <v>163.38</v>
      </c>
    </row>
    <row r="444" spans="1:8">
      <c r="A444" s="26"/>
      <c r="B444" s="26" t="s">
        <v>1191</v>
      </c>
      <c r="D444" s="68">
        <f>G412</f>
        <v>14</v>
      </c>
      <c r="E444" s="68" t="str">
        <f>H412</f>
        <v>Nos.</v>
      </c>
      <c r="F444" s="26" t="s">
        <v>1698</v>
      </c>
      <c r="G444" s="211">
        <f>G443+G442</f>
        <v>1363.38</v>
      </c>
    </row>
    <row r="445" spans="1:8">
      <c r="A445" s="26"/>
      <c r="B445" s="170" t="s">
        <v>1584</v>
      </c>
      <c r="C445" s="211" t="s">
        <v>4935</v>
      </c>
      <c r="D445" s="26" t="s">
        <v>4710</v>
      </c>
      <c r="F445" s="26" t="s">
        <v>4108</v>
      </c>
      <c r="G445" s="211">
        <f>ROUND(G444/D444,1)</f>
        <v>97.4</v>
      </c>
    </row>
    <row r="446" spans="1:8">
      <c r="A446" s="26"/>
    </row>
    <row r="447" spans="1:8">
      <c r="A447" s="26"/>
    </row>
    <row r="448" spans="1:8">
      <c r="A448" s="78" t="s">
        <v>7200</v>
      </c>
      <c r="B448" s="26" t="s">
        <v>9091</v>
      </c>
    </row>
    <row r="449" spans="1:8">
      <c r="B449" s="26" t="s">
        <v>9090</v>
      </c>
    </row>
    <row r="450" spans="1:8">
      <c r="B450" s="26"/>
    </row>
    <row r="451" spans="1:8" hidden="1">
      <c r="A451" s="78" t="s">
        <v>3984</v>
      </c>
      <c r="B451" s="26" t="s">
        <v>2935</v>
      </c>
      <c r="F451" s="78" t="s">
        <v>1697</v>
      </c>
      <c r="G451" s="26">
        <v>0.3</v>
      </c>
      <c r="H451" s="26" t="s">
        <v>2602</v>
      </c>
    </row>
    <row r="452" spans="1:8" hidden="1">
      <c r="B452" s="26" t="s">
        <v>3885</v>
      </c>
      <c r="F452" s="78" t="s">
        <v>1697</v>
      </c>
      <c r="G452" s="26">
        <v>4</v>
      </c>
      <c r="H452" s="26" t="s">
        <v>2059</v>
      </c>
    </row>
    <row r="453" spans="1:8" hidden="1">
      <c r="B453" s="26" t="s">
        <v>3886</v>
      </c>
    </row>
    <row r="454" spans="1:8">
      <c r="A454" s="26"/>
    </row>
    <row r="455" spans="1:8">
      <c r="A455" s="26" t="s">
        <v>3984</v>
      </c>
      <c r="C455" s="203" t="s">
        <v>2367</v>
      </c>
      <c r="D455" s="171"/>
      <c r="F455" s="171" t="s">
        <v>297</v>
      </c>
      <c r="G455" s="162">
        <v>4</v>
      </c>
      <c r="H455" s="26" t="s">
        <v>4041</v>
      </c>
    </row>
    <row r="456" spans="1:8">
      <c r="A456" s="26"/>
    </row>
    <row r="457" spans="1:8">
      <c r="A457" s="26"/>
      <c r="B457" s="79" t="s">
        <v>2368</v>
      </c>
    </row>
    <row r="458" spans="1:8">
      <c r="A458" s="26"/>
      <c r="B458" s="95" t="s">
        <v>2369</v>
      </c>
      <c r="C458" s="157" t="s">
        <v>6374</v>
      </c>
      <c r="D458" s="195"/>
      <c r="E458" s="95" t="s">
        <v>2370</v>
      </c>
      <c r="F458" s="95" t="s">
        <v>1166</v>
      </c>
      <c r="G458" s="95" t="s">
        <v>2371</v>
      </c>
      <c r="H458" s="95" t="s">
        <v>2372</v>
      </c>
    </row>
    <row r="459" spans="1:8">
      <c r="A459" s="26"/>
      <c r="B459" s="114"/>
      <c r="C459" s="154"/>
      <c r="D459" s="192"/>
      <c r="E459" s="114"/>
      <c r="F459" s="114"/>
      <c r="G459" s="114" t="s">
        <v>3485</v>
      </c>
      <c r="H459" s="114" t="s">
        <v>3485</v>
      </c>
    </row>
    <row r="460" spans="1:8">
      <c r="A460" s="26"/>
      <c r="B460" s="95">
        <v>1</v>
      </c>
      <c r="C460" s="131" t="s">
        <v>3053</v>
      </c>
      <c r="D460" s="195"/>
      <c r="E460" s="107" t="s">
        <v>2173</v>
      </c>
      <c r="F460" s="179">
        <v>0.25</v>
      </c>
      <c r="G460" s="212">
        <f>'BASIC DATA'!D374</f>
        <v>150</v>
      </c>
      <c r="H460" s="179">
        <f>F460*G460</f>
        <v>37.5</v>
      </c>
    </row>
    <row r="461" spans="1:8">
      <c r="A461" s="26"/>
      <c r="B461" s="114"/>
      <c r="C461" s="154"/>
      <c r="D461" s="192"/>
      <c r="E461" s="191"/>
      <c r="F461" s="182">
        <v>0</v>
      </c>
      <c r="G461" s="215">
        <v>0</v>
      </c>
      <c r="H461" s="182">
        <f>F461*G461</f>
        <v>0</v>
      </c>
    </row>
    <row r="462" spans="1:8">
      <c r="A462" s="26"/>
      <c r="B462" s="176"/>
      <c r="C462" s="174"/>
      <c r="D462" s="174" t="s">
        <v>2376</v>
      </c>
      <c r="E462" s="174"/>
      <c r="F462" s="192"/>
      <c r="G462" s="275" t="s">
        <v>1698</v>
      </c>
      <c r="H462" s="318">
        <f>SUM(H460:H461)</f>
        <v>37.5</v>
      </c>
    </row>
    <row r="463" spans="1:8">
      <c r="A463" s="26"/>
    </row>
    <row r="464" spans="1:8">
      <c r="A464" s="26"/>
      <c r="B464" s="79" t="s">
        <v>2377</v>
      </c>
    </row>
    <row r="465" spans="1:8">
      <c r="A465" s="26"/>
      <c r="B465" s="95" t="s">
        <v>2369</v>
      </c>
      <c r="C465" s="157" t="s">
        <v>2378</v>
      </c>
      <c r="D465" s="195"/>
      <c r="E465" s="95" t="s">
        <v>2370</v>
      </c>
      <c r="F465" s="95" t="s">
        <v>1166</v>
      </c>
      <c r="G465" s="95" t="s">
        <v>2371</v>
      </c>
      <c r="H465" s="95" t="s">
        <v>2372</v>
      </c>
    </row>
    <row r="466" spans="1:8">
      <c r="A466" s="26"/>
      <c r="B466" s="114"/>
      <c r="C466" s="154"/>
      <c r="D466" s="192"/>
      <c r="E466" s="114"/>
      <c r="F466" s="114"/>
      <c r="G466" s="114" t="s">
        <v>3485</v>
      </c>
      <c r="H466" s="114" t="s">
        <v>3485</v>
      </c>
    </row>
    <row r="467" spans="1:8">
      <c r="A467" s="26"/>
      <c r="B467" s="95">
        <v>1</v>
      </c>
      <c r="C467" s="157" t="s">
        <v>6976</v>
      </c>
      <c r="D467" s="195"/>
      <c r="E467" s="107"/>
      <c r="F467" s="179">
        <v>0</v>
      </c>
      <c r="G467" s="179">
        <v>0</v>
      </c>
      <c r="H467" s="179">
        <f>F467*G467</f>
        <v>0</v>
      </c>
    </row>
    <row r="468" spans="1:8">
      <c r="A468" s="26"/>
      <c r="B468" s="114"/>
      <c r="C468" s="154"/>
      <c r="D468" s="192"/>
      <c r="E468" s="191"/>
      <c r="F468" s="182">
        <v>0</v>
      </c>
      <c r="G468" s="182">
        <v>0</v>
      </c>
      <c r="H468" s="182">
        <f>F468*G468</f>
        <v>0</v>
      </c>
    </row>
    <row r="469" spans="1:8">
      <c r="A469" s="26"/>
      <c r="B469" s="176"/>
      <c r="C469" s="174"/>
      <c r="D469" s="174" t="s">
        <v>2380</v>
      </c>
      <c r="E469" s="174"/>
      <c r="F469" s="192"/>
      <c r="G469" s="275" t="s">
        <v>1698</v>
      </c>
      <c r="H469" s="318">
        <f>SUM(H467:H468)</f>
        <v>0</v>
      </c>
    </row>
    <row r="470" spans="1:8">
      <c r="A470" s="26"/>
    </row>
    <row r="471" spans="1:8">
      <c r="A471" s="26"/>
      <c r="B471" s="79" t="s">
        <v>2381</v>
      </c>
    </row>
    <row r="472" spans="1:8">
      <c r="A472" s="26"/>
      <c r="B472" s="95" t="s">
        <v>2369</v>
      </c>
      <c r="C472" s="157" t="s">
        <v>2378</v>
      </c>
      <c r="D472" s="195"/>
      <c r="E472" s="95" t="s">
        <v>2370</v>
      </c>
      <c r="F472" s="95" t="s">
        <v>1166</v>
      </c>
      <c r="G472" s="95" t="s">
        <v>2371</v>
      </c>
      <c r="H472" s="95" t="s">
        <v>2372</v>
      </c>
    </row>
    <row r="473" spans="1:8">
      <c r="A473" s="26"/>
      <c r="B473" s="114"/>
      <c r="C473" s="154"/>
      <c r="D473" s="192"/>
      <c r="E473" s="105"/>
      <c r="F473" s="114"/>
      <c r="G473" s="114" t="s">
        <v>3485</v>
      </c>
      <c r="H473" s="114" t="s">
        <v>3485</v>
      </c>
    </row>
    <row r="474" spans="1:8">
      <c r="A474" s="26"/>
      <c r="B474" s="95">
        <v>1</v>
      </c>
      <c r="C474" s="148" t="s">
        <v>4206</v>
      </c>
      <c r="D474" s="187"/>
      <c r="E474" s="107" t="s">
        <v>1172</v>
      </c>
      <c r="F474" s="178">
        <v>0.25</v>
      </c>
      <c r="G474" s="179">
        <f>'BASIC DATA'!C473</f>
        <v>450</v>
      </c>
      <c r="H474" s="179">
        <f>F474*G474</f>
        <v>112.5</v>
      </c>
    </row>
    <row r="475" spans="1:8">
      <c r="A475" s="26"/>
      <c r="B475" s="114">
        <v>2</v>
      </c>
      <c r="C475" s="89" t="s">
        <v>2697</v>
      </c>
      <c r="D475" s="174"/>
      <c r="E475" s="191" t="s">
        <v>1172</v>
      </c>
      <c r="F475" s="181">
        <v>3</v>
      </c>
      <c r="G475" s="182">
        <f>'BASIC DATA'!C552</f>
        <v>350</v>
      </c>
      <c r="H475" s="190">
        <f>F475*G475</f>
        <v>1050</v>
      </c>
    </row>
    <row r="476" spans="1:8">
      <c r="A476" s="26"/>
      <c r="B476" s="176"/>
      <c r="C476" s="174"/>
      <c r="D476" s="174" t="s">
        <v>1174</v>
      </c>
      <c r="E476" s="174"/>
      <c r="F476" s="192"/>
      <c r="G476" s="275" t="s">
        <v>1698</v>
      </c>
      <c r="H476" s="318">
        <f>SUM(H474:H475)</f>
        <v>1162.5</v>
      </c>
    </row>
    <row r="477" spans="1:8">
      <c r="A477" s="26"/>
      <c r="B477" s="60" t="s">
        <v>5948</v>
      </c>
      <c r="C477" s="31"/>
      <c r="D477" s="31"/>
      <c r="E477" s="85">
        <f>ROUND(H476/G455,1)</f>
        <v>290.60000000000002</v>
      </c>
      <c r="G477" s="31"/>
    </row>
    <row r="478" spans="1:8">
      <c r="A478" s="26"/>
      <c r="B478" s="60" t="s">
        <v>3163</v>
      </c>
      <c r="C478" s="31"/>
      <c r="D478" s="31">
        <f>'BASIC DATA'!$C$577</f>
        <v>0.13614999999999999</v>
      </c>
      <c r="E478" s="85">
        <f>ROUND(E477*D478,1)</f>
        <v>39.6</v>
      </c>
      <c r="G478" s="31"/>
    </row>
    <row r="479" spans="1:8">
      <c r="A479" s="26"/>
      <c r="B479" s="60" t="s">
        <v>5949</v>
      </c>
      <c r="C479" s="31"/>
      <c r="D479" s="31"/>
      <c r="E479" s="739">
        <f>E478+E477</f>
        <v>330.20000000000005</v>
      </c>
      <c r="G479" s="31"/>
    </row>
    <row r="480" spans="1:8">
      <c r="A480" s="26"/>
    </row>
    <row r="481" spans="1:8">
      <c r="A481" s="26"/>
      <c r="B481" s="170" t="s">
        <v>1175</v>
      </c>
    </row>
    <row r="482" spans="1:8">
      <c r="A482" s="26"/>
      <c r="B482" s="26" t="s">
        <v>1176</v>
      </c>
      <c r="F482" s="171" t="s">
        <v>1698</v>
      </c>
      <c r="G482" s="68">
        <f>H462</f>
        <v>37.5</v>
      </c>
    </row>
    <row r="483" spans="1:8">
      <c r="A483" s="26"/>
      <c r="B483" s="26" t="s">
        <v>1186</v>
      </c>
      <c r="F483" s="171" t="s">
        <v>1698</v>
      </c>
      <c r="G483" s="68">
        <f>H469</f>
        <v>0</v>
      </c>
    </row>
    <row r="484" spans="1:8">
      <c r="A484" s="26"/>
      <c r="B484" s="26" t="s">
        <v>2660</v>
      </c>
      <c r="F484" s="171" t="s">
        <v>1698</v>
      </c>
      <c r="G484" s="68">
        <f>H476</f>
        <v>1162.5</v>
      </c>
    </row>
    <row r="485" spans="1:8">
      <c r="A485" s="26"/>
      <c r="E485" s="26" t="s">
        <v>1518</v>
      </c>
      <c r="F485" s="171" t="s">
        <v>1698</v>
      </c>
      <c r="G485" s="205">
        <f>SUM(G482:G484)</f>
        <v>1200</v>
      </c>
    </row>
    <row r="486" spans="1:8" ht="38.25" customHeight="1">
      <c r="A486" s="26"/>
      <c r="B486" s="1207" t="s">
        <v>1379</v>
      </c>
      <c r="C486" s="1207"/>
      <c r="E486" s="249">
        <f>'BASIC DATA'!$C$577</f>
        <v>0.13614999999999999</v>
      </c>
      <c r="F486" s="26" t="s">
        <v>1698</v>
      </c>
      <c r="G486" s="26">
        <f>G485*E486</f>
        <v>163.38</v>
      </c>
    </row>
    <row r="487" spans="1:8">
      <c r="A487" s="26"/>
      <c r="B487" s="26" t="s">
        <v>1191</v>
      </c>
      <c r="D487" s="68">
        <f>G455</f>
        <v>4</v>
      </c>
      <c r="E487" s="68" t="str">
        <f>H455</f>
        <v>Nos.</v>
      </c>
      <c r="F487" s="26" t="s">
        <v>1698</v>
      </c>
      <c r="G487" s="211">
        <f>G486+G485</f>
        <v>1363.38</v>
      </c>
    </row>
    <row r="488" spans="1:8">
      <c r="A488" s="26"/>
      <c r="B488" s="170" t="s">
        <v>1584</v>
      </c>
      <c r="C488" s="211" t="s">
        <v>4935</v>
      </c>
      <c r="D488" s="26" t="s">
        <v>4715</v>
      </c>
      <c r="F488" s="26" t="s">
        <v>4108</v>
      </c>
      <c r="G488" s="211">
        <f>ROUND(G487/D487,1)</f>
        <v>340.8</v>
      </c>
    </row>
    <row r="489" spans="1:8">
      <c r="A489" s="26"/>
    </row>
    <row r="490" spans="1:8">
      <c r="A490" s="26"/>
    </row>
    <row r="491" spans="1:8">
      <c r="A491" s="78" t="s">
        <v>7201</v>
      </c>
      <c r="B491" s="26" t="s">
        <v>9092</v>
      </c>
    </row>
    <row r="492" spans="1:8">
      <c r="B492" s="26" t="s">
        <v>9090</v>
      </c>
    </row>
    <row r="493" spans="1:8">
      <c r="A493" s="26"/>
    </row>
    <row r="494" spans="1:8" hidden="1">
      <c r="A494" s="78" t="s">
        <v>3984</v>
      </c>
      <c r="C494" s="26" t="s">
        <v>2936</v>
      </c>
      <c r="F494" s="78" t="s">
        <v>1697</v>
      </c>
      <c r="G494" s="26">
        <v>0.5</v>
      </c>
      <c r="H494" s="26" t="s">
        <v>2602</v>
      </c>
    </row>
    <row r="495" spans="1:8" hidden="1">
      <c r="A495" s="26"/>
      <c r="C495" s="26" t="s">
        <v>3885</v>
      </c>
      <c r="F495" s="78" t="s">
        <v>1697</v>
      </c>
      <c r="G495" s="26">
        <v>2</v>
      </c>
      <c r="H495" s="26" t="s">
        <v>2059</v>
      </c>
    </row>
    <row r="496" spans="1:8" hidden="1">
      <c r="A496" s="26"/>
      <c r="C496" s="26" t="s">
        <v>3887</v>
      </c>
    </row>
    <row r="497" spans="1:8">
      <c r="A497" s="26"/>
    </row>
    <row r="498" spans="1:8">
      <c r="A498" s="26" t="s">
        <v>3984</v>
      </c>
      <c r="C498" s="203" t="s">
        <v>2367</v>
      </c>
      <c r="D498" s="171"/>
      <c r="F498" s="171" t="s">
        <v>297</v>
      </c>
      <c r="G498" s="162">
        <v>2</v>
      </c>
      <c r="H498" s="26" t="s">
        <v>4041</v>
      </c>
    </row>
    <row r="499" spans="1:8">
      <c r="A499" s="26"/>
    </row>
    <row r="500" spans="1:8">
      <c r="A500" s="26"/>
      <c r="B500" s="79" t="s">
        <v>2368</v>
      </c>
    </row>
    <row r="501" spans="1:8">
      <c r="A501" s="26"/>
      <c r="B501" s="95" t="s">
        <v>2369</v>
      </c>
      <c r="C501" s="157" t="s">
        <v>6374</v>
      </c>
      <c r="D501" s="195"/>
      <c r="E501" s="95" t="s">
        <v>2370</v>
      </c>
      <c r="F501" s="95" t="s">
        <v>1166</v>
      </c>
      <c r="G501" s="95" t="s">
        <v>2371</v>
      </c>
      <c r="H501" s="95" t="s">
        <v>2372</v>
      </c>
    </row>
    <row r="502" spans="1:8">
      <c r="A502" s="26"/>
      <c r="B502" s="114"/>
      <c r="C502" s="154"/>
      <c r="D502" s="192"/>
      <c r="E502" s="114"/>
      <c r="F502" s="114"/>
      <c r="G502" s="114" t="s">
        <v>3485</v>
      </c>
      <c r="H502" s="114" t="s">
        <v>3485</v>
      </c>
    </row>
    <row r="503" spans="1:8">
      <c r="A503" s="26"/>
      <c r="B503" s="95">
        <v>1</v>
      </c>
      <c r="C503" s="131" t="s">
        <v>3053</v>
      </c>
      <c r="D503" s="195"/>
      <c r="E503" s="107" t="s">
        <v>2173</v>
      </c>
      <c r="F503" s="179">
        <v>0.25</v>
      </c>
      <c r="G503" s="212">
        <f>'BASIC DATA'!D374</f>
        <v>150</v>
      </c>
      <c r="H503" s="179">
        <f>F503*G503</f>
        <v>37.5</v>
      </c>
    </row>
    <row r="504" spans="1:8">
      <c r="A504" s="26"/>
      <c r="B504" s="114"/>
      <c r="C504" s="154"/>
      <c r="D504" s="192"/>
      <c r="E504" s="191"/>
      <c r="F504" s="182">
        <v>0</v>
      </c>
      <c r="G504" s="215">
        <v>0</v>
      </c>
      <c r="H504" s="182">
        <f>F504*G504</f>
        <v>0</v>
      </c>
    </row>
    <row r="505" spans="1:8">
      <c r="A505" s="26"/>
      <c r="B505" s="176"/>
      <c r="C505" s="174"/>
      <c r="D505" s="174" t="s">
        <v>2376</v>
      </c>
      <c r="E505" s="174"/>
      <c r="F505" s="192"/>
      <c r="G505" s="275" t="s">
        <v>1698</v>
      </c>
      <c r="H505" s="318">
        <f>SUM(H503:H504)</f>
        <v>37.5</v>
      </c>
    </row>
    <row r="506" spans="1:8">
      <c r="A506" s="26"/>
    </row>
    <row r="507" spans="1:8">
      <c r="A507" s="26"/>
      <c r="B507" s="79" t="s">
        <v>2377</v>
      </c>
    </row>
    <row r="508" spans="1:8">
      <c r="A508" s="26"/>
      <c r="B508" s="95" t="s">
        <v>2369</v>
      </c>
      <c r="C508" s="157" t="s">
        <v>2378</v>
      </c>
      <c r="D508" s="195"/>
      <c r="E508" s="95" t="s">
        <v>2370</v>
      </c>
      <c r="F508" s="95" t="s">
        <v>1166</v>
      </c>
      <c r="G508" s="95" t="s">
        <v>2371</v>
      </c>
      <c r="H508" s="95" t="s">
        <v>2372</v>
      </c>
    </row>
    <row r="509" spans="1:8">
      <c r="A509" s="26"/>
      <c r="B509" s="114"/>
      <c r="C509" s="154"/>
      <c r="D509" s="192"/>
      <c r="E509" s="114"/>
      <c r="F509" s="114"/>
      <c r="G509" s="114" t="s">
        <v>3485</v>
      </c>
      <c r="H509" s="114" t="s">
        <v>3485</v>
      </c>
    </row>
    <row r="510" spans="1:8">
      <c r="A510" s="26"/>
      <c r="B510" s="95">
        <v>1</v>
      </c>
      <c r="C510" s="157" t="s">
        <v>6976</v>
      </c>
      <c r="D510" s="195"/>
      <c r="E510" s="107"/>
      <c r="F510" s="179">
        <v>0</v>
      </c>
      <c r="G510" s="179">
        <v>0</v>
      </c>
      <c r="H510" s="179">
        <f>F510*G510</f>
        <v>0</v>
      </c>
    </row>
    <row r="511" spans="1:8">
      <c r="A511" s="26"/>
      <c r="B511" s="114"/>
      <c r="C511" s="154"/>
      <c r="D511" s="192"/>
      <c r="E511" s="191"/>
      <c r="F511" s="182">
        <v>0</v>
      </c>
      <c r="G511" s="182">
        <v>0</v>
      </c>
      <c r="H511" s="182">
        <f>F511*G511</f>
        <v>0</v>
      </c>
    </row>
    <row r="512" spans="1:8">
      <c r="A512" s="26"/>
      <c r="B512" s="176"/>
      <c r="C512" s="174"/>
      <c r="D512" s="174" t="s">
        <v>2380</v>
      </c>
      <c r="E512" s="174"/>
      <c r="F512" s="192"/>
      <c r="G512" s="275" t="s">
        <v>1698</v>
      </c>
      <c r="H512" s="318">
        <f>SUM(H510:H511)</f>
        <v>0</v>
      </c>
    </row>
    <row r="513" spans="1:8">
      <c r="A513" s="26"/>
    </row>
    <row r="514" spans="1:8">
      <c r="A514" s="26"/>
      <c r="B514" s="79" t="s">
        <v>2381</v>
      </c>
    </row>
    <row r="515" spans="1:8">
      <c r="A515" s="26"/>
      <c r="B515" s="95" t="s">
        <v>2369</v>
      </c>
      <c r="C515" s="157" t="s">
        <v>2378</v>
      </c>
      <c r="D515" s="195"/>
      <c r="E515" s="95" t="s">
        <v>2370</v>
      </c>
      <c r="F515" s="95" t="s">
        <v>1166</v>
      </c>
      <c r="G515" s="95" t="s">
        <v>2371</v>
      </c>
      <c r="H515" s="95" t="s">
        <v>2372</v>
      </c>
    </row>
    <row r="516" spans="1:8">
      <c r="A516" s="26"/>
      <c r="B516" s="114"/>
      <c r="C516" s="154"/>
      <c r="D516" s="192"/>
      <c r="E516" s="105"/>
      <c r="F516" s="114"/>
      <c r="G516" s="114" t="s">
        <v>3485</v>
      </c>
      <c r="H516" s="114" t="s">
        <v>3485</v>
      </c>
    </row>
    <row r="517" spans="1:8">
      <c r="A517" s="26"/>
      <c r="B517" s="95">
        <v>1</v>
      </c>
      <c r="C517" s="148" t="s">
        <v>4206</v>
      </c>
      <c r="D517" s="187"/>
      <c r="E517" s="107" t="s">
        <v>1172</v>
      </c>
      <c r="F517" s="178">
        <v>0.25</v>
      </c>
      <c r="G517" s="179">
        <f>'BASIC DATA'!C473</f>
        <v>450</v>
      </c>
      <c r="H517" s="179">
        <f>F517*G517</f>
        <v>112.5</v>
      </c>
    </row>
    <row r="518" spans="1:8">
      <c r="A518" s="26"/>
      <c r="B518" s="114">
        <v>2</v>
      </c>
      <c r="C518" s="89" t="s">
        <v>2697</v>
      </c>
      <c r="D518" s="174"/>
      <c r="E518" s="191" t="s">
        <v>1172</v>
      </c>
      <c r="F518" s="181">
        <v>3</v>
      </c>
      <c r="G518" s="182">
        <f>'BASIC DATA'!C552</f>
        <v>350</v>
      </c>
      <c r="H518" s="190">
        <f>F518*G518</f>
        <v>1050</v>
      </c>
    </row>
    <row r="519" spans="1:8">
      <c r="A519" s="26"/>
      <c r="B519" s="176"/>
      <c r="C519" s="174"/>
      <c r="D519" s="174" t="s">
        <v>1174</v>
      </c>
      <c r="E519" s="174"/>
      <c r="F519" s="192"/>
      <c r="G519" s="275" t="s">
        <v>1698</v>
      </c>
      <c r="H519" s="318">
        <f>SUM(H517:H518)</f>
        <v>1162.5</v>
      </c>
    </row>
    <row r="520" spans="1:8">
      <c r="A520" s="26"/>
      <c r="B520" s="60" t="s">
        <v>5948</v>
      </c>
      <c r="C520" s="31"/>
      <c r="D520" s="31"/>
      <c r="E520" s="85">
        <f>ROUND(H519/G498,1)</f>
        <v>581.29999999999995</v>
      </c>
      <c r="G520" s="31"/>
    </row>
    <row r="521" spans="1:8">
      <c r="A521" s="26"/>
      <c r="B521" s="60" t="s">
        <v>3163</v>
      </c>
      <c r="C521" s="31"/>
      <c r="D521" s="31">
        <f>'BASIC DATA'!$C$577</f>
        <v>0.13614999999999999</v>
      </c>
      <c r="E521" s="85">
        <f>ROUND(E520*D521,1)</f>
        <v>79.099999999999994</v>
      </c>
      <c r="G521" s="31"/>
    </row>
    <row r="522" spans="1:8">
      <c r="A522" s="26"/>
      <c r="B522" s="60" t="s">
        <v>5949</v>
      </c>
      <c r="C522" s="31"/>
      <c r="D522" s="31"/>
      <c r="E522" s="739">
        <f>E521+E520</f>
        <v>660.4</v>
      </c>
      <c r="G522" s="31"/>
    </row>
    <row r="523" spans="1:8">
      <c r="A523" s="26"/>
    </row>
    <row r="524" spans="1:8">
      <c r="A524" s="26"/>
      <c r="B524" s="170" t="s">
        <v>1175</v>
      </c>
    </row>
    <row r="525" spans="1:8">
      <c r="A525" s="26"/>
      <c r="B525" s="26" t="s">
        <v>1176</v>
      </c>
      <c r="F525" s="171" t="s">
        <v>1698</v>
      </c>
      <c r="G525" s="68">
        <f>H505</f>
        <v>37.5</v>
      </c>
    </row>
    <row r="526" spans="1:8">
      <c r="A526" s="26"/>
      <c r="B526" s="26" t="s">
        <v>1186</v>
      </c>
      <c r="F526" s="171" t="s">
        <v>1698</v>
      </c>
      <c r="G526" s="68">
        <f>H512</f>
        <v>0</v>
      </c>
    </row>
    <row r="527" spans="1:8">
      <c r="A527" s="26"/>
      <c r="B527" s="26" t="s">
        <v>2660</v>
      </c>
      <c r="F527" s="171" t="s">
        <v>1698</v>
      </c>
      <c r="G527" s="75">
        <f>H519</f>
        <v>1162.5</v>
      </c>
    </row>
    <row r="528" spans="1:8">
      <c r="A528" s="26"/>
      <c r="E528" s="26" t="s">
        <v>1518</v>
      </c>
      <c r="F528" s="171" t="s">
        <v>1698</v>
      </c>
      <c r="G528" s="205">
        <f>SUM(G525:G527)</f>
        <v>1200</v>
      </c>
    </row>
    <row r="529" spans="1:8" ht="43.5" customHeight="1">
      <c r="A529" s="26"/>
      <c r="B529" s="1207" t="s">
        <v>1379</v>
      </c>
      <c r="C529" s="1207"/>
      <c r="E529" s="249">
        <f>'BASIC DATA'!$C$577</f>
        <v>0.13614999999999999</v>
      </c>
      <c r="F529" s="26" t="s">
        <v>1698</v>
      </c>
      <c r="G529" s="26">
        <f>G528*E529</f>
        <v>163.38</v>
      </c>
    </row>
    <row r="530" spans="1:8">
      <c r="A530" s="26"/>
      <c r="B530" s="26" t="s">
        <v>1191</v>
      </c>
      <c r="D530" s="68">
        <f>G498</f>
        <v>2</v>
      </c>
      <c r="E530" s="68" t="str">
        <f>H498</f>
        <v>Nos.</v>
      </c>
      <c r="F530" s="26" t="s">
        <v>1698</v>
      </c>
      <c r="G530" s="211">
        <f>G529+G528</f>
        <v>1363.38</v>
      </c>
    </row>
    <row r="531" spans="1:8">
      <c r="A531" s="26"/>
      <c r="B531" s="170" t="s">
        <v>1584</v>
      </c>
      <c r="C531" s="211" t="s">
        <v>4935</v>
      </c>
      <c r="D531" s="26" t="s">
        <v>4723</v>
      </c>
      <c r="F531" s="26" t="s">
        <v>4108</v>
      </c>
      <c r="G531" s="211">
        <f>ROUND(G530/D530,1)</f>
        <v>681.7</v>
      </c>
    </row>
    <row r="532" spans="1:8">
      <c r="A532" s="26"/>
    </row>
    <row r="533" spans="1:8">
      <c r="A533" s="26"/>
    </row>
    <row r="534" spans="1:8">
      <c r="A534" s="78" t="s">
        <v>7202</v>
      </c>
      <c r="B534" s="26" t="s">
        <v>9093</v>
      </c>
    </row>
    <row r="535" spans="1:8">
      <c r="B535" s="26" t="s">
        <v>9090</v>
      </c>
    </row>
    <row r="536" spans="1:8">
      <c r="B536" s="26"/>
    </row>
    <row r="537" spans="1:8" hidden="1">
      <c r="A537" s="78" t="s">
        <v>3984</v>
      </c>
      <c r="B537" s="26" t="s">
        <v>2937</v>
      </c>
      <c r="F537" s="78" t="s">
        <v>1697</v>
      </c>
      <c r="G537" s="26">
        <v>0.7</v>
      </c>
      <c r="H537" s="26" t="s">
        <v>2602</v>
      </c>
    </row>
    <row r="538" spans="1:8" hidden="1">
      <c r="B538" s="26" t="s">
        <v>3888</v>
      </c>
      <c r="F538" s="78" t="s">
        <v>1697</v>
      </c>
      <c r="G538" s="26">
        <v>1</v>
      </c>
      <c r="H538" s="26" t="s">
        <v>3518</v>
      </c>
    </row>
    <row r="539" spans="1:8" hidden="1">
      <c r="B539" s="26" t="s">
        <v>3886</v>
      </c>
    </row>
    <row r="540" spans="1:8">
      <c r="A540" s="26"/>
    </row>
    <row r="541" spans="1:8">
      <c r="A541" s="26" t="s">
        <v>3984</v>
      </c>
      <c r="C541" s="203" t="s">
        <v>2367</v>
      </c>
      <c r="D541" s="171"/>
      <c r="F541" s="171" t="s">
        <v>297</v>
      </c>
      <c r="G541" s="162">
        <v>1</v>
      </c>
      <c r="H541" s="26" t="s">
        <v>4089</v>
      </c>
    </row>
    <row r="542" spans="1:8">
      <c r="A542" s="26"/>
    </row>
    <row r="543" spans="1:8">
      <c r="A543" s="26"/>
      <c r="B543" s="79" t="s">
        <v>2368</v>
      </c>
    </row>
    <row r="544" spans="1:8">
      <c r="A544" s="26"/>
      <c r="B544" s="95" t="s">
        <v>2369</v>
      </c>
      <c r="C544" s="157" t="s">
        <v>6374</v>
      </c>
      <c r="D544" s="195"/>
      <c r="E544" s="95" t="s">
        <v>2370</v>
      </c>
      <c r="F544" s="95" t="s">
        <v>1166</v>
      </c>
      <c r="G544" s="95" t="s">
        <v>2371</v>
      </c>
      <c r="H544" s="95" t="s">
        <v>2372</v>
      </c>
    </row>
    <row r="545" spans="1:8">
      <c r="A545" s="26"/>
      <c r="B545" s="114"/>
      <c r="C545" s="154"/>
      <c r="D545" s="192"/>
      <c r="E545" s="114"/>
      <c r="F545" s="114"/>
      <c r="G545" s="114" t="s">
        <v>3485</v>
      </c>
      <c r="H545" s="114" t="s">
        <v>3485</v>
      </c>
    </row>
    <row r="546" spans="1:8">
      <c r="A546" s="26"/>
      <c r="B546" s="95">
        <v>1</v>
      </c>
      <c r="C546" s="131" t="s">
        <v>3053</v>
      </c>
      <c r="D546" s="195"/>
      <c r="E546" s="107" t="s">
        <v>2173</v>
      </c>
      <c r="F546" s="179">
        <v>0.25</v>
      </c>
      <c r="G546" s="212">
        <f>'BASIC DATA'!D374</f>
        <v>150</v>
      </c>
      <c r="H546" s="179">
        <f>F546*G546</f>
        <v>37.5</v>
      </c>
    </row>
    <row r="547" spans="1:8">
      <c r="A547" s="26"/>
      <c r="B547" s="114"/>
      <c r="C547" s="154"/>
      <c r="D547" s="192"/>
      <c r="E547" s="191"/>
      <c r="F547" s="182">
        <v>0</v>
      </c>
      <c r="G547" s="215">
        <v>0</v>
      </c>
      <c r="H547" s="182">
        <f>F547*G547</f>
        <v>0</v>
      </c>
    </row>
    <row r="548" spans="1:8">
      <c r="A548" s="26"/>
      <c r="B548" s="176"/>
      <c r="C548" s="174"/>
      <c r="D548" s="174" t="s">
        <v>2376</v>
      </c>
      <c r="E548" s="174"/>
      <c r="F548" s="192"/>
      <c r="G548" s="275" t="s">
        <v>1698</v>
      </c>
      <c r="H548" s="318">
        <f>SUM(H546:H547)</f>
        <v>37.5</v>
      </c>
    </row>
    <row r="549" spans="1:8">
      <c r="A549" s="26"/>
    </row>
    <row r="550" spans="1:8">
      <c r="A550" s="26"/>
      <c r="B550" s="79" t="s">
        <v>2377</v>
      </c>
    </row>
    <row r="551" spans="1:8">
      <c r="A551" s="26"/>
      <c r="B551" s="95" t="s">
        <v>2369</v>
      </c>
      <c r="C551" s="157" t="s">
        <v>2378</v>
      </c>
      <c r="D551" s="195"/>
      <c r="E551" s="95" t="s">
        <v>2370</v>
      </c>
      <c r="F551" s="95" t="s">
        <v>1166</v>
      </c>
      <c r="G551" s="95" t="s">
        <v>2371</v>
      </c>
      <c r="H551" s="95" t="s">
        <v>2372</v>
      </c>
    </row>
    <row r="552" spans="1:8">
      <c r="A552" s="26"/>
      <c r="B552" s="114"/>
      <c r="C552" s="154"/>
      <c r="D552" s="192"/>
      <c r="E552" s="114"/>
      <c r="F552" s="114"/>
      <c r="G552" s="114" t="s">
        <v>3485</v>
      </c>
      <c r="H552" s="114" t="s">
        <v>3485</v>
      </c>
    </row>
    <row r="553" spans="1:8">
      <c r="A553" s="26"/>
      <c r="B553" s="95">
        <v>1</v>
      </c>
      <c r="C553" s="157" t="s">
        <v>6976</v>
      </c>
      <c r="D553" s="195"/>
      <c r="E553" s="107"/>
      <c r="F553" s="179">
        <v>0</v>
      </c>
      <c r="G553" s="179">
        <v>0</v>
      </c>
      <c r="H553" s="179">
        <f>F553*G553</f>
        <v>0</v>
      </c>
    </row>
    <row r="554" spans="1:8">
      <c r="A554" s="26"/>
      <c r="B554" s="114"/>
      <c r="C554" s="154"/>
      <c r="D554" s="192"/>
      <c r="E554" s="191"/>
      <c r="F554" s="182">
        <v>0</v>
      </c>
      <c r="G554" s="182">
        <v>0</v>
      </c>
      <c r="H554" s="182">
        <f>F554*G554</f>
        <v>0</v>
      </c>
    </row>
    <row r="555" spans="1:8">
      <c r="A555" s="26"/>
      <c r="B555" s="176"/>
      <c r="C555" s="174"/>
      <c r="D555" s="174" t="s">
        <v>2380</v>
      </c>
      <c r="E555" s="174"/>
      <c r="F555" s="192"/>
      <c r="G555" s="236" t="s">
        <v>1698</v>
      </c>
      <c r="H555" s="318">
        <f>SUM(H553:H554)</f>
        <v>0</v>
      </c>
    </row>
    <row r="556" spans="1:8">
      <c r="A556" s="26"/>
    </row>
    <row r="557" spans="1:8">
      <c r="A557" s="26"/>
      <c r="B557" s="79" t="s">
        <v>2381</v>
      </c>
    </row>
    <row r="558" spans="1:8">
      <c r="A558" s="26"/>
      <c r="B558" s="95" t="s">
        <v>2369</v>
      </c>
      <c r="C558" s="157" t="s">
        <v>2378</v>
      </c>
      <c r="D558" s="195"/>
      <c r="E558" s="95" t="s">
        <v>2370</v>
      </c>
      <c r="F558" s="95" t="s">
        <v>1166</v>
      </c>
      <c r="G558" s="95" t="s">
        <v>2371</v>
      </c>
      <c r="H558" s="95" t="s">
        <v>2372</v>
      </c>
    </row>
    <row r="559" spans="1:8">
      <c r="A559" s="26"/>
      <c r="B559" s="114"/>
      <c r="C559" s="154"/>
      <c r="D559" s="192"/>
      <c r="E559" s="105"/>
      <c r="F559" s="114"/>
      <c r="G559" s="114" t="s">
        <v>3485</v>
      </c>
      <c r="H559" s="114" t="s">
        <v>3485</v>
      </c>
    </row>
    <row r="560" spans="1:8">
      <c r="A560" s="26"/>
      <c r="B560" s="95">
        <v>1</v>
      </c>
      <c r="C560" s="148" t="s">
        <v>4206</v>
      </c>
      <c r="D560" s="187"/>
      <c r="E560" s="107" t="s">
        <v>1172</v>
      </c>
      <c r="F560" s="178">
        <v>0.25</v>
      </c>
      <c r="G560" s="179">
        <f>'BASIC DATA'!C473</f>
        <v>450</v>
      </c>
      <c r="H560" s="179">
        <f>F560*G560</f>
        <v>112.5</v>
      </c>
    </row>
    <row r="561" spans="1:8">
      <c r="A561" s="26"/>
      <c r="B561" s="114">
        <v>2</v>
      </c>
      <c r="C561" s="89" t="s">
        <v>2697</v>
      </c>
      <c r="D561" s="174"/>
      <c r="E561" s="191" t="s">
        <v>1172</v>
      </c>
      <c r="F561" s="181">
        <v>3</v>
      </c>
      <c r="G561" s="182">
        <f>'BASIC DATA'!C552</f>
        <v>350</v>
      </c>
      <c r="H561" s="190">
        <f>F561*G561</f>
        <v>1050</v>
      </c>
    </row>
    <row r="562" spans="1:8">
      <c r="A562" s="26"/>
      <c r="B562" s="176"/>
      <c r="C562" s="174"/>
      <c r="D562" s="174" t="s">
        <v>1174</v>
      </c>
      <c r="E562" s="174"/>
      <c r="F562" s="192"/>
      <c r="G562" s="275" t="s">
        <v>1698</v>
      </c>
      <c r="H562" s="318">
        <f>SUM(H560:H561)</f>
        <v>1162.5</v>
      </c>
    </row>
    <row r="563" spans="1:8">
      <c r="A563" s="26"/>
      <c r="B563" s="60" t="s">
        <v>5948</v>
      </c>
      <c r="C563" s="31"/>
      <c r="D563" s="31"/>
      <c r="E563" s="85">
        <f>ROUND(H562/G541,1)</f>
        <v>1162.5</v>
      </c>
      <c r="G563" s="31"/>
    </row>
    <row r="564" spans="1:8">
      <c r="A564" s="26"/>
      <c r="B564" s="60" t="s">
        <v>3163</v>
      </c>
      <c r="C564" s="31"/>
      <c r="D564" s="31">
        <f>'BASIC DATA'!$C$577</f>
        <v>0.13614999999999999</v>
      </c>
      <c r="E564" s="85">
        <f>ROUND(E563*D564,1)</f>
        <v>158.30000000000001</v>
      </c>
      <c r="G564" s="31"/>
    </row>
    <row r="565" spans="1:8">
      <c r="A565" s="26"/>
      <c r="B565" s="60" t="s">
        <v>5949</v>
      </c>
      <c r="C565" s="31"/>
      <c r="D565" s="31"/>
      <c r="E565" s="739">
        <f>E564+E563</f>
        <v>1320.8</v>
      </c>
      <c r="G565" s="31"/>
    </row>
    <row r="566" spans="1:8">
      <c r="A566" s="26"/>
      <c r="B566" s="26"/>
    </row>
    <row r="567" spans="1:8">
      <c r="A567" s="26"/>
      <c r="B567" s="170" t="s">
        <v>1175</v>
      </c>
    </row>
    <row r="568" spans="1:8">
      <c r="A568" s="26"/>
      <c r="B568" s="26" t="s">
        <v>1176</v>
      </c>
      <c r="F568" s="171" t="s">
        <v>1698</v>
      </c>
      <c r="G568" s="68">
        <f>H548</f>
        <v>37.5</v>
      </c>
    </row>
    <row r="569" spans="1:8">
      <c r="A569" s="26"/>
      <c r="B569" s="26" t="s">
        <v>1186</v>
      </c>
      <c r="F569" s="171" t="s">
        <v>1698</v>
      </c>
      <c r="G569" s="68">
        <f>H555</f>
        <v>0</v>
      </c>
    </row>
    <row r="570" spans="1:8">
      <c r="A570" s="26"/>
      <c r="B570" s="26" t="s">
        <v>2660</v>
      </c>
      <c r="F570" s="171" t="s">
        <v>1698</v>
      </c>
      <c r="G570" s="75">
        <f>H562</f>
        <v>1162.5</v>
      </c>
    </row>
    <row r="571" spans="1:8">
      <c r="A571" s="26"/>
      <c r="E571" s="26" t="s">
        <v>1518</v>
      </c>
      <c r="F571" s="171" t="s">
        <v>1698</v>
      </c>
      <c r="G571" s="205">
        <f>SUM(G568:G570)</f>
        <v>1200</v>
      </c>
    </row>
    <row r="572" spans="1:8" ht="41.25" customHeight="1">
      <c r="A572" s="26"/>
      <c r="B572" s="1207" t="s">
        <v>1379</v>
      </c>
      <c r="C572" s="1207"/>
      <c r="E572" s="249">
        <f>'BASIC DATA'!$C$577</f>
        <v>0.13614999999999999</v>
      </c>
      <c r="F572" s="26" t="s">
        <v>1698</v>
      </c>
      <c r="G572" s="26">
        <f>G571*E572</f>
        <v>163.38</v>
      </c>
    </row>
    <row r="573" spans="1:8">
      <c r="A573" s="26"/>
      <c r="B573" s="26" t="s">
        <v>1191</v>
      </c>
      <c r="D573" s="68">
        <f>G541</f>
        <v>1</v>
      </c>
      <c r="E573" s="68" t="str">
        <f>H541</f>
        <v>No.</v>
      </c>
      <c r="F573" s="26" t="s">
        <v>1698</v>
      </c>
      <c r="G573" s="211">
        <f>G572+G571</f>
        <v>1363.38</v>
      </c>
    </row>
    <row r="574" spans="1:8">
      <c r="A574" s="26"/>
      <c r="B574" s="170" t="s">
        <v>1584</v>
      </c>
      <c r="C574" s="211" t="s">
        <v>4935</v>
      </c>
      <c r="D574" s="26" t="s">
        <v>1324</v>
      </c>
      <c r="F574" s="26" t="s">
        <v>4108</v>
      </c>
      <c r="G574" s="211">
        <f>ROUND(G573/D573,1)</f>
        <v>1363.4</v>
      </c>
    </row>
    <row r="575" spans="1:8">
      <c r="A575" s="26"/>
    </row>
    <row r="576" spans="1:8">
      <c r="A576" s="26"/>
    </row>
    <row r="577" spans="1:8">
      <c r="A577" s="78" t="s">
        <v>7203</v>
      </c>
      <c r="B577" s="26" t="s">
        <v>9094</v>
      </c>
    </row>
    <row r="578" spans="1:8">
      <c r="B578" s="26" t="s">
        <v>9095</v>
      </c>
    </row>
    <row r="579" spans="1:8">
      <c r="B579" s="26"/>
    </row>
    <row r="580" spans="1:8" hidden="1">
      <c r="A580" s="78" t="s">
        <v>3984</v>
      </c>
      <c r="B580" s="26" t="s">
        <v>3771</v>
      </c>
      <c r="F580" s="78" t="s">
        <v>1697</v>
      </c>
      <c r="G580" s="26">
        <v>0.9</v>
      </c>
      <c r="H580" s="26" t="s">
        <v>2602</v>
      </c>
    </row>
    <row r="581" spans="1:8" hidden="1">
      <c r="B581" s="26" t="s">
        <v>2098</v>
      </c>
      <c r="F581" s="78" t="s">
        <v>1697</v>
      </c>
      <c r="G581" s="26">
        <v>1</v>
      </c>
      <c r="H581" s="26" t="s">
        <v>3518</v>
      </c>
    </row>
    <row r="582" spans="1:8" hidden="1">
      <c r="B582" s="26" t="s">
        <v>2099</v>
      </c>
    </row>
    <row r="583" spans="1:8">
      <c r="A583" s="26"/>
    </row>
    <row r="584" spans="1:8">
      <c r="A584" s="26" t="s">
        <v>3984</v>
      </c>
      <c r="C584" s="203" t="s">
        <v>2367</v>
      </c>
      <c r="D584" s="171"/>
      <c r="F584" s="171" t="s">
        <v>297</v>
      </c>
      <c r="G584" s="162">
        <v>1</v>
      </c>
      <c r="H584" s="26" t="s">
        <v>4041</v>
      </c>
    </row>
    <row r="585" spans="1:8">
      <c r="A585" s="26"/>
    </row>
    <row r="586" spans="1:8">
      <c r="A586" s="26"/>
      <c r="B586" s="79" t="s">
        <v>2368</v>
      </c>
    </row>
    <row r="587" spans="1:8">
      <c r="A587" s="26"/>
      <c r="B587" s="95" t="s">
        <v>2369</v>
      </c>
      <c r="C587" s="157" t="s">
        <v>6374</v>
      </c>
      <c r="D587" s="195"/>
      <c r="E587" s="95" t="s">
        <v>2370</v>
      </c>
      <c r="F587" s="95" t="s">
        <v>1166</v>
      </c>
      <c r="G587" s="95" t="s">
        <v>2371</v>
      </c>
      <c r="H587" s="95" t="s">
        <v>2372</v>
      </c>
    </row>
    <row r="588" spans="1:8">
      <c r="A588" s="26"/>
      <c r="B588" s="114"/>
      <c r="C588" s="154"/>
      <c r="D588" s="192"/>
      <c r="E588" s="114"/>
      <c r="F588" s="114"/>
      <c r="G588" s="114" t="s">
        <v>3485</v>
      </c>
      <c r="H588" s="114" t="s">
        <v>3485</v>
      </c>
    </row>
    <row r="589" spans="1:8">
      <c r="A589" s="26"/>
      <c r="B589" s="95">
        <v>1</v>
      </c>
      <c r="C589" s="131" t="s">
        <v>3053</v>
      </c>
      <c r="D589" s="195"/>
      <c r="E589" s="107" t="s">
        <v>2173</v>
      </c>
      <c r="F589" s="179">
        <v>0.5</v>
      </c>
      <c r="G589" s="212">
        <f>'BASIC DATA'!D374</f>
        <v>150</v>
      </c>
      <c r="H589" s="179">
        <f>F589*G589</f>
        <v>75</v>
      </c>
    </row>
    <row r="590" spans="1:8">
      <c r="A590" s="26"/>
      <c r="B590" s="114"/>
      <c r="C590" s="154"/>
      <c r="D590" s="192"/>
      <c r="E590" s="191"/>
      <c r="F590" s="182">
        <v>0</v>
      </c>
      <c r="G590" s="215">
        <v>0</v>
      </c>
      <c r="H590" s="182">
        <f>F590*G590</f>
        <v>0</v>
      </c>
    </row>
    <row r="591" spans="1:8">
      <c r="A591" s="26"/>
      <c r="B591" s="176"/>
      <c r="C591" s="174"/>
      <c r="D591" s="174" t="s">
        <v>2376</v>
      </c>
      <c r="E591" s="174"/>
      <c r="F591" s="192"/>
      <c r="G591" s="275" t="s">
        <v>1698</v>
      </c>
      <c r="H591" s="318">
        <f>SUM(H589:H590)</f>
        <v>75</v>
      </c>
    </row>
    <row r="592" spans="1:8">
      <c r="A592" s="26"/>
    </row>
    <row r="593" spans="1:8">
      <c r="A593" s="26"/>
    </row>
    <row r="594" spans="1:8">
      <c r="A594" s="26"/>
      <c r="B594" s="79" t="s">
        <v>2377</v>
      </c>
    </row>
    <row r="595" spans="1:8">
      <c r="A595" s="26"/>
      <c r="B595" s="95" t="s">
        <v>2369</v>
      </c>
      <c r="C595" s="157" t="s">
        <v>2378</v>
      </c>
      <c r="D595" s="195"/>
      <c r="E595" s="95" t="s">
        <v>2370</v>
      </c>
      <c r="F595" s="95" t="s">
        <v>1166</v>
      </c>
      <c r="G595" s="95" t="s">
        <v>2371</v>
      </c>
      <c r="H595" s="95" t="s">
        <v>2372</v>
      </c>
    </row>
    <row r="596" spans="1:8">
      <c r="A596" s="26"/>
      <c r="B596" s="114"/>
      <c r="C596" s="154"/>
      <c r="D596" s="192"/>
      <c r="E596" s="114"/>
      <c r="F596" s="114"/>
      <c r="G596" s="114" t="s">
        <v>3485</v>
      </c>
      <c r="H596" s="114" t="s">
        <v>3485</v>
      </c>
    </row>
    <row r="597" spans="1:8">
      <c r="A597" s="26"/>
      <c r="B597" s="95">
        <v>1</v>
      </c>
      <c r="C597" s="157" t="s">
        <v>6976</v>
      </c>
      <c r="D597" s="195"/>
      <c r="E597" s="107"/>
      <c r="F597" s="179">
        <v>0</v>
      </c>
      <c r="G597" s="179">
        <v>0</v>
      </c>
      <c r="H597" s="179">
        <f>F597*G597</f>
        <v>0</v>
      </c>
    </row>
    <row r="598" spans="1:8">
      <c r="A598" s="26"/>
      <c r="B598" s="114"/>
      <c r="C598" s="154"/>
      <c r="D598" s="192"/>
      <c r="E598" s="191"/>
      <c r="F598" s="182">
        <v>0</v>
      </c>
      <c r="G598" s="182">
        <v>0</v>
      </c>
      <c r="H598" s="182">
        <f>F598*G598</f>
        <v>0</v>
      </c>
    </row>
    <row r="599" spans="1:8">
      <c r="A599" s="26"/>
      <c r="B599" s="176"/>
      <c r="C599" s="174"/>
      <c r="D599" s="174" t="s">
        <v>2380</v>
      </c>
      <c r="E599" s="174"/>
      <c r="F599" s="192"/>
      <c r="G599" s="275" t="s">
        <v>1698</v>
      </c>
      <c r="H599" s="318">
        <f>SUM(H597:H598)</f>
        <v>0</v>
      </c>
    </row>
    <row r="600" spans="1:8">
      <c r="A600" s="26"/>
    </row>
    <row r="601" spans="1:8">
      <c r="A601" s="26"/>
    </row>
    <row r="602" spans="1:8">
      <c r="A602" s="26"/>
      <c r="B602" s="79" t="s">
        <v>2381</v>
      </c>
    </row>
    <row r="603" spans="1:8">
      <c r="A603" s="26"/>
      <c r="B603" s="95" t="s">
        <v>2369</v>
      </c>
      <c r="C603" s="157" t="s">
        <v>2378</v>
      </c>
      <c r="D603" s="195"/>
      <c r="E603" s="95" t="s">
        <v>2370</v>
      </c>
      <c r="F603" s="95" t="s">
        <v>1166</v>
      </c>
      <c r="G603" s="95" t="s">
        <v>2371</v>
      </c>
      <c r="H603" s="95" t="s">
        <v>2372</v>
      </c>
    </row>
    <row r="604" spans="1:8">
      <c r="A604" s="26"/>
      <c r="B604" s="114"/>
      <c r="C604" s="154"/>
      <c r="D604" s="192"/>
      <c r="E604" s="105"/>
      <c r="F604" s="114"/>
      <c r="G604" s="114" t="s">
        <v>3485</v>
      </c>
      <c r="H604" s="114" t="s">
        <v>3485</v>
      </c>
    </row>
    <row r="605" spans="1:8">
      <c r="A605" s="26"/>
      <c r="B605" s="95">
        <v>1</v>
      </c>
      <c r="C605" s="148" t="s">
        <v>4206</v>
      </c>
      <c r="D605" s="187"/>
      <c r="E605" s="107" t="s">
        <v>1172</v>
      </c>
      <c r="F605" s="178">
        <v>0.25</v>
      </c>
      <c r="G605" s="179">
        <f>'BASIC DATA'!C473</f>
        <v>450</v>
      </c>
      <c r="H605" s="179">
        <f>F605*G605</f>
        <v>112.5</v>
      </c>
    </row>
    <row r="606" spans="1:8">
      <c r="A606" s="26"/>
      <c r="B606" s="114">
        <v>2</v>
      </c>
      <c r="C606" s="89" t="s">
        <v>2697</v>
      </c>
      <c r="D606" s="174"/>
      <c r="E606" s="191" t="s">
        <v>1172</v>
      </c>
      <c r="F606" s="181">
        <v>5</v>
      </c>
      <c r="G606" s="182">
        <f>'BASIC DATA'!C552</f>
        <v>350</v>
      </c>
      <c r="H606" s="190">
        <f>F606*G606</f>
        <v>1750</v>
      </c>
    </row>
    <row r="607" spans="1:8">
      <c r="A607" s="26"/>
      <c r="B607" s="176"/>
      <c r="C607" s="174"/>
      <c r="D607" s="174" t="s">
        <v>1174</v>
      </c>
      <c r="E607" s="174"/>
      <c r="F607" s="192"/>
      <c r="G607" s="275" t="s">
        <v>1698</v>
      </c>
      <c r="H607" s="318">
        <f>SUM(H605:H606)</f>
        <v>1862.5</v>
      </c>
    </row>
    <row r="608" spans="1:8">
      <c r="A608" s="26"/>
      <c r="B608" s="60" t="s">
        <v>5948</v>
      </c>
      <c r="C608" s="31"/>
      <c r="D608" s="31"/>
      <c r="E608" s="85">
        <f>ROUND(H607/G584,1)</f>
        <v>1862.5</v>
      </c>
      <c r="G608" s="31"/>
    </row>
    <row r="609" spans="1:8">
      <c r="A609" s="26"/>
      <c r="B609" s="60" t="s">
        <v>3163</v>
      </c>
      <c r="C609" s="31"/>
      <c r="D609" s="31">
        <f>'BASIC DATA'!$C$577</f>
        <v>0.13614999999999999</v>
      </c>
      <c r="E609" s="85">
        <f>ROUND(E608*D609,1)</f>
        <v>253.6</v>
      </c>
      <c r="G609" s="31"/>
    </row>
    <row r="610" spans="1:8">
      <c r="A610" s="26"/>
      <c r="B610" s="60" t="s">
        <v>5949</v>
      </c>
      <c r="C610" s="31"/>
      <c r="D610" s="31"/>
      <c r="E610" s="739">
        <f>E609+E608</f>
        <v>2116.1</v>
      </c>
      <c r="G610" s="31"/>
    </row>
    <row r="611" spans="1:8">
      <c r="A611" s="26"/>
    </row>
    <row r="612" spans="1:8">
      <c r="A612" s="26"/>
      <c r="B612" s="170" t="s">
        <v>1175</v>
      </c>
    </row>
    <row r="613" spans="1:8">
      <c r="A613" s="26"/>
      <c r="B613" s="26" t="s">
        <v>1176</v>
      </c>
      <c r="F613" s="171" t="s">
        <v>1698</v>
      </c>
      <c r="G613" s="68">
        <f>H591</f>
        <v>75</v>
      </c>
    </row>
    <row r="614" spans="1:8">
      <c r="A614" s="26"/>
      <c r="B614" s="26" t="s">
        <v>1186</v>
      </c>
      <c r="F614" s="171" t="s">
        <v>1698</v>
      </c>
      <c r="G614" s="68">
        <f>H599</f>
        <v>0</v>
      </c>
    </row>
    <row r="615" spans="1:8">
      <c r="A615" s="26"/>
      <c r="B615" s="26" t="s">
        <v>2660</v>
      </c>
      <c r="F615" s="171" t="s">
        <v>1698</v>
      </c>
      <c r="G615" s="75">
        <f>H607</f>
        <v>1862.5</v>
      </c>
    </row>
    <row r="616" spans="1:8">
      <c r="A616" s="26"/>
      <c r="E616" s="26" t="s">
        <v>1518</v>
      </c>
      <c r="F616" s="171" t="s">
        <v>1698</v>
      </c>
      <c r="G616" s="205">
        <f>SUM(G613:G615)</f>
        <v>1937.5</v>
      </c>
    </row>
    <row r="617" spans="1:8" ht="33.75" customHeight="1">
      <c r="A617" s="26"/>
      <c r="B617" s="1207" t="s">
        <v>1379</v>
      </c>
      <c r="C617" s="1207"/>
      <c r="E617" s="249">
        <f>'BASIC DATA'!$C$577</f>
        <v>0.13614999999999999</v>
      </c>
      <c r="F617" s="26" t="s">
        <v>1698</v>
      </c>
      <c r="G617" s="26">
        <f>G616*E617</f>
        <v>263.79062499999998</v>
      </c>
    </row>
    <row r="618" spans="1:8">
      <c r="A618" s="26"/>
      <c r="B618" s="26" t="s">
        <v>1191</v>
      </c>
      <c r="D618" s="68">
        <f>G584</f>
        <v>1</v>
      </c>
      <c r="E618" s="68" t="str">
        <f>H584</f>
        <v>Nos.</v>
      </c>
      <c r="F618" s="26" t="s">
        <v>1698</v>
      </c>
      <c r="G618" s="211">
        <f>G617+G616</f>
        <v>2201.2906250000001</v>
      </c>
    </row>
    <row r="619" spans="1:8">
      <c r="A619" s="26"/>
      <c r="B619" s="170" t="s">
        <v>1584</v>
      </c>
      <c r="C619" s="211" t="s">
        <v>4935</v>
      </c>
      <c r="D619" s="26" t="s">
        <v>1324</v>
      </c>
      <c r="F619" s="26" t="s">
        <v>4108</v>
      </c>
      <c r="G619" s="211">
        <f>ROUND(G618/D618,1)</f>
        <v>2201.3000000000002</v>
      </c>
    </row>
    <row r="620" spans="1:8">
      <c r="A620" s="26"/>
    </row>
    <row r="621" spans="1:8">
      <c r="A621" s="26"/>
    </row>
    <row r="622" spans="1:8">
      <c r="A622" s="78" t="s">
        <v>7204</v>
      </c>
      <c r="B622" s="26" t="s">
        <v>9096</v>
      </c>
    </row>
    <row r="623" spans="1:8">
      <c r="B623" s="26"/>
    </row>
    <row r="624" spans="1:8" hidden="1">
      <c r="A624" s="78" t="s">
        <v>3984</v>
      </c>
      <c r="B624" s="26" t="s">
        <v>3772</v>
      </c>
      <c r="F624" s="78" t="s">
        <v>1697</v>
      </c>
      <c r="G624" s="26">
        <v>0.95499999999999996</v>
      </c>
      <c r="H624" s="26" t="s">
        <v>2602</v>
      </c>
    </row>
    <row r="625" spans="1:8" hidden="1">
      <c r="B625" s="26" t="s">
        <v>3773</v>
      </c>
      <c r="F625" s="78" t="s">
        <v>1697</v>
      </c>
      <c r="G625" s="26">
        <v>1.115</v>
      </c>
      <c r="H625" s="26" t="s">
        <v>2602</v>
      </c>
    </row>
    <row r="626" spans="1:8" hidden="1">
      <c r="B626" s="26" t="s">
        <v>4927</v>
      </c>
      <c r="F626" s="78" t="s">
        <v>1697</v>
      </c>
      <c r="G626" s="201">
        <v>0.35</v>
      </c>
    </row>
    <row r="627" spans="1:8" hidden="1">
      <c r="B627" s="26" t="s">
        <v>2100</v>
      </c>
      <c r="F627" s="78" t="s">
        <v>1697</v>
      </c>
      <c r="G627" s="26">
        <v>1.75</v>
      </c>
      <c r="H627" s="26" t="s">
        <v>2059</v>
      </c>
    </row>
    <row r="628" spans="1:8">
      <c r="A628" s="26"/>
    </row>
    <row r="629" spans="1:8">
      <c r="A629" s="26" t="s">
        <v>3984</v>
      </c>
      <c r="C629" s="203" t="s">
        <v>2367</v>
      </c>
      <c r="D629" s="171"/>
      <c r="F629" s="171" t="s">
        <v>297</v>
      </c>
      <c r="G629" s="162">
        <v>1</v>
      </c>
      <c r="H629" s="26" t="s">
        <v>3518</v>
      </c>
    </row>
    <row r="630" spans="1:8">
      <c r="A630" s="26"/>
    </row>
    <row r="631" spans="1:8">
      <c r="A631" s="26"/>
      <c r="B631" s="79" t="s">
        <v>2368</v>
      </c>
    </row>
    <row r="632" spans="1:8">
      <c r="A632" s="26"/>
      <c r="B632" s="95" t="s">
        <v>2369</v>
      </c>
      <c r="C632" s="157" t="s">
        <v>6374</v>
      </c>
      <c r="D632" s="195"/>
      <c r="E632" s="95" t="s">
        <v>2370</v>
      </c>
      <c r="F632" s="95" t="s">
        <v>1166</v>
      </c>
      <c r="G632" s="95" t="s">
        <v>2371</v>
      </c>
      <c r="H632" s="95" t="s">
        <v>2372</v>
      </c>
    </row>
    <row r="633" spans="1:8">
      <c r="A633" s="26"/>
      <c r="B633" s="114"/>
      <c r="C633" s="154"/>
      <c r="D633" s="192"/>
      <c r="E633" s="114"/>
      <c r="F633" s="114"/>
      <c r="G633" s="114" t="s">
        <v>3485</v>
      </c>
      <c r="H633" s="114" t="s">
        <v>3485</v>
      </c>
    </row>
    <row r="634" spans="1:8">
      <c r="A634" s="26"/>
      <c r="B634" s="95">
        <v>1</v>
      </c>
      <c r="C634" s="131" t="s">
        <v>3053</v>
      </c>
      <c r="D634" s="195"/>
      <c r="E634" s="107" t="s">
        <v>2173</v>
      </c>
      <c r="F634" s="179">
        <v>0.15</v>
      </c>
      <c r="G634" s="212">
        <f>'BASIC DATA'!D374</f>
        <v>150</v>
      </c>
      <c r="H634" s="179">
        <f>F634*G634</f>
        <v>22.5</v>
      </c>
    </row>
    <row r="635" spans="1:8">
      <c r="A635" s="26"/>
      <c r="B635" s="114"/>
      <c r="C635" s="154"/>
      <c r="D635" s="192"/>
      <c r="E635" s="191"/>
      <c r="F635" s="182">
        <v>0</v>
      </c>
      <c r="G635" s="215">
        <v>0</v>
      </c>
      <c r="H635" s="182">
        <f>F635*G635</f>
        <v>0</v>
      </c>
    </row>
    <row r="636" spans="1:8">
      <c r="A636" s="26"/>
      <c r="B636" s="176"/>
      <c r="C636" s="174"/>
      <c r="D636" s="174" t="s">
        <v>2376</v>
      </c>
      <c r="E636" s="174"/>
      <c r="F636" s="192"/>
      <c r="G636" s="275" t="s">
        <v>1698</v>
      </c>
      <c r="H636" s="318">
        <f>SUM(H634:H635)</f>
        <v>22.5</v>
      </c>
    </row>
    <row r="637" spans="1:8">
      <c r="A637" s="26"/>
    </row>
    <row r="638" spans="1:8">
      <c r="A638" s="26"/>
    </row>
    <row r="639" spans="1:8">
      <c r="A639" s="26"/>
      <c r="B639" s="79" t="s">
        <v>2377</v>
      </c>
    </row>
    <row r="640" spans="1:8">
      <c r="A640" s="26"/>
      <c r="B640" s="95" t="s">
        <v>2369</v>
      </c>
      <c r="C640" s="157" t="s">
        <v>2378</v>
      </c>
      <c r="D640" s="195"/>
      <c r="E640" s="95" t="s">
        <v>2370</v>
      </c>
      <c r="F640" s="95" t="s">
        <v>1166</v>
      </c>
      <c r="G640" s="95" t="s">
        <v>2371</v>
      </c>
      <c r="H640" s="95" t="s">
        <v>2372</v>
      </c>
    </row>
    <row r="641" spans="1:8">
      <c r="A641" s="26"/>
      <c r="B641" s="114"/>
      <c r="C641" s="154"/>
      <c r="D641" s="192"/>
      <c r="E641" s="114"/>
      <c r="F641" s="114"/>
      <c r="G641" s="114" t="s">
        <v>3485</v>
      </c>
      <c r="H641" s="114" t="s">
        <v>3485</v>
      </c>
    </row>
    <row r="642" spans="1:8">
      <c r="A642" s="26"/>
      <c r="B642" s="95">
        <v>1</v>
      </c>
      <c r="C642" s="157" t="s">
        <v>6976</v>
      </c>
      <c r="D642" s="195"/>
      <c r="E642" s="107"/>
      <c r="F642" s="179">
        <v>0</v>
      </c>
      <c r="G642" s="179">
        <v>0</v>
      </c>
      <c r="H642" s="179">
        <f>F642*G642</f>
        <v>0</v>
      </c>
    </row>
    <row r="643" spans="1:8">
      <c r="A643" s="26"/>
      <c r="B643" s="114"/>
      <c r="C643" s="154"/>
      <c r="D643" s="192"/>
      <c r="E643" s="191"/>
      <c r="F643" s="182">
        <v>0</v>
      </c>
      <c r="G643" s="182">
        <v>0</v>
      </c>
      <c r="H643" s="182">
        <f>F643*G643</f>
        <v>0</v>
      </c>
    </row>
    <row r="644" spans="1:8">
      <c r="A644" s="26"/>
      <c r="B644" s="176"/>
      <c r="C644" s="174"/>
      <c r="D644" s="174" t="s">
        <v>2380</v>
      </c>
      <c r="E644" s="174"/>
      <c r="F644" s="192"/>
      <c r="G644" s="236" t="s">
        <v>1698</v>
      </c>
      <c r="H644" s="318">
        <f>SUM(H642:H643)</f>
        <v>0</v>
      </c>
    </row>
    <row r="645" spans="1:8">
      <c r="A645" s="26"/>
    </row>
    <row r="646" spans="1:8">
      <c r="A646" s="26"/>
    </row>
    <row r="647" spans="1:8">
      <c r="A647" s="26"/>
      <c r="B647" s="79" t="s">
        <v>2381</v>
      </c>
    </row>
    <row r="648" spans="1:8">
      <c r="A648" s="26"/>
      <c r="B648" s="95" t="s">
        <v>2369</v>
      </c>
      <c r="C648" s="157" t="s">
        <v>2378</v>
      </c>
      <c r="D648" s="195"/>
      <c r="E648" s="95" t="s">
        <v>2370</v>
      </c>
      <c r="F648" s="95" t="s">
        <v>1166</v>
      </c>
      <c r="G648" s="95" t="s">
        <v>2371</v>
      </c>
      <c r="H648" s="95" t="s">
        <v>2372</v>
      </c>
    </row>
    <row r="649" spans="1:8">
      <c r="A649" s="26"/>
      <c r="B649" s="114"/>
      <c r="C649" s="154"/>
      <c r="D649" s="192"/>
      <c r="E649" s="105"/>
      <c r="F649" s="114"/>
      <c r="G649" s="114" t="s">
        <v>3485</v>
      </c>
      <c r="H649" s="114" t="s">
        <v>3485</v>
      </c>
    </row>
    <row r="650" spans="1:8">
      <c r="A650" s="26"/>
      <c r="B650" s="95">
        <v>1</v>
      </c>
      <c r="C650" s="148" t="s">
        <v>4206</v>
      </c>
      <c r="D650" s="187"/>
      <c r="E650" s="107" t="s">
        <v>1172</v>
      </c>
      <c r="F650" s="178">
        <v>0.1</v>
      </c>
      <c r="G650" s="179">
        <f>'BASIC DATA'!C473</f>
        <v>450</v>
      </c>
      <c r="H650" s="179">
        <f>F650*G650</f>
        <v>45</v>
      </c>
    </row>
    <row r="651" spans="1:8">
      <c r="A651" s="26"/>
      <c r="B651" s="114">
        <v>2</v>
      </c>
      <c r="C651" s="89" t="s">
        <v>2697</v>
      </c>
      <c r="D651" s="174"/>
      <c r="E651" s="191" t="s">
        <v>1172</v>
      </c>
      <c r="F651" s="181">
        <v>1.75</v>
      </c>
      <c r="G651" s="182">
        <f>'BASIC DATA'!C552</f>
        <v>350</v>
      </c>
      <c r="H651" s="190">
        <f>F651*G651</f>
        <v>612.5</v>
      </c>
    </row>
    <row r="652" spans="1:8">
      <c r="A652" s="26"/>
      <c r="B652" s="176"/>
      <c r="C652" s="174"/>
      <c r="D652" s="174" t="s">
        <v>1174</v>
      </c>
      <c r="E652" s="174"/>
      <c r="F652" s="192"/>
      <c r="G652" s="275" t="s">
        <v>1698</v>
      </c>
      <c r="H652" s="318">
        <f>SUM(H650:H651)</f>
        <v>657.5</v>
      </c>
    </row>
    <row r="653" spans="1:8">
      <c r="A653" s="26"/>
      <c r="B653" s="60" t="s">
        <v>5948</v>
      </c>
      <c r="C653" s="31"/>
      <c r="D653" s="31"/>
      <c r="E653" s="85">
        <f>ROUND(H652/G629,1)</f>
        <v>657.5</v>
      </c>
      <c r="G653" s="31"/>
    </row>
    <row r="654" spans="1:8">
      <c r="A654" s="26"/>
      <c r="B654" s="60" t="s">
        <v>3163</v>
      </c>
      <c r="C654" s="31"/>
      <c r="D654" s="31">
        <f>'BASIC DATA'!$C$577</f>
        <v>0.13614999999999999</v>
      </c>
      <c r="E654" s="85">
        <f>ROUND(E653*D654,1)</f>
        <v>89.5</v>
      </c>
      <c r="G654" s="31"/>
    </row>
    <row r="655" spans="1:8">
      <c r="A655" s="26"/>
      <c r="B655" s="60" t="s">
        <v>5949</v>
      </c>
      <c r="C655" s="31"/>
      <c r="D655" s="31"/>
      <c r="E655" s="739">
        <f>E654+E653</f>
        <v>747</v>
      </c>
      <c r="G655" s="31"/>
    </row>
    <row r="656" spans="1:8">
      <c r="A656" s="26"/>
      <c r="B656" s="26"/>
    </row>
    <row r="657" spans="1:8">
      <c r="A657" s="26"/>
      <c r="B657" s="170" t="s">
        <v>1175</v>
      </c>
    </row>
    <row r="658" spans="1:8">
      <c r="A658" s="26"/>
      <c r="B658" s="26" t="s">
        <v>1176</v>
      </c>
      <c r="F658" s="171" t="s">
        <v>1698</v>
      </c>
      <c r="G658" s="68">
        <f>H636</f>
        <v>22.5</v>
      </c>
    </row>
    <row r="659" spans="1:8">
      <c r="A659" s="26"/>
      <c r="B659" s="26" t="s">
        <v>1186</v>
      </c>
      <c r="F659" s="171" t="s">
        <v>1698</v>
      </c>
      <c r="G659" s="68">
        <f>H644</f>
        <v>0</v>
      </c>
    </row>
    <row r="660" spans="1:8">
      <c r="A660" s="26"/>
      <c r="B660" s="26" t="s">
        <v>2660</v>
      </c>
      <c r="F660" s="171" t="s">
        <v>1698</v>
      </c>
      <c r="G660" s="75">
        <f>H652</f>
        <v>657.5</v>
      </c>
    </row>
    <row r="661" spans="1:8">
      <c r="A661" s="26"/>
      <c r="E661" s="26" t="s">
        <v>1518</v>
      </c>
      <c r="F661" s="171" t="s">
        <v>1698</v>
      </c>
      <c r="G661" s="205">
        <f>SUM(G658:G660)</f>
        <v>680</v>
      </c>
    </row>
    <row r="662" spans="1:8" ht="36.75" customHeight="1">
      <c r="A662" s="26"/>
      <c r="B662" s="1207" t="s">
        <v>1379</v>
      </c>
      <c r="C662" s="1207"/>
      <c r="E662" s="249">
        <f>'BASIC DATA'!$C$577</f>
        <v>0.13614999999999999</v>
      </c>
      <c r="F662" s="26" t="s">
        <v>1698</v>
      </c>
      <c r="G662" s="26">
        <f>G661*E662</f>
        <v>92.581999999999994</v>
      </c>
    </row>
    <row r="663" spans="1:8">
      <c r="A663" s="26"/>
      <c r="B663" s="26" t="s">
        <v>1191</v>
      </c>
      <c r="D663" s="68">
        <f>G629</f>
        <v>1</v>
      </c>
      <c r="E663" s="68" t="str">
        <f>H629</f>
        <v>No</v>
      </c>
      <c r="F663" s="26" t="s">
        <v>1698</v>
      </c>
      <c r="G663" s="211">
        <f>G662+G661</f>
        <v>772.58199999999999</v>
      </c>
    </row>
    <row r="664" spans="1:8">
      <c r="A664" s="26"/>
      <c r="B664" s="170" t="s">
        <v>1584</v>
      </c>
      <c r="C664" s="211" t="s">
        <v>4935</v>
      </c>
      <c r="D664" s="26" t="s">
        <v>1324</v>
      </c>
      <c r="F664" s="26" t="s">
        <v>4108</v>
      </c>
      <c r="G664" s="211">
        <f>ROUND(G663/D663,1)</f>
        <v>772.6</v>
      </c>
    </row>
    <row r="665" spans="1:8">
      <c r="A665" s="26"/>
    </row>
    <row r="666" spans="1:8">
      <c r="A666" s="26"/>
    </row>
    <row r="667" spans="1:8">
      <c r="A667" s="78" t="s">
        <v>7205</v>
      </c>
      <c r="B667" s="26" t="s">
        <v>9097</v>
      </c>
    </row>
    <row r="668" spans="1:8" ht="18.75">
      <c r="B668" s="26" t="s">
        <v>9098</v>
      </c>
    </row>
    <row r="669" spans="1:8" hidden="1">
      <c r="A669" s="78" t="s">
        <v>3984</v>
      </c>
      <c r="B669" s="26" t="s">
        <v>4803</v>
      </c>
      <c r="F669" s="78" t="s">
        <v>1697</v>
      </c>
      <c r="G669" s="26">
        <v>250</v>
      </c>
      <c r="H669" s="26" t="s">
        <v>3479</v>
      </c>
    </row>
    <row r="670" spans="1:8">
      <c r="A670" s="26"/>
    </row>
    <row r="671" spans="1:8">
      <c r="A671" s="26" t="s">
        <v>3984</v>
      </c>
      <c r="C671" s="203" t="s">
        <v>2367</v>
      </c>
      <c r="D671" s="171"/>
      <c r="F671" s="171" t="s">
        <v>297</v>
      </c>
      <c r="G671" s="162">
        <v>1000</v>
      </c>
      <c r="H671" s="47" t="s">
        <v>3479</v>
      </c>
    </row>
    <row r="672" spans="1:8">
      <c r="A672" s="26"/>
    </row>
    <row r="673" spans="1:8">
      <c r="A673" s="26"/>
      <c r="B673" s="79" t="s">
        <v>2368</v>
      </c>
    </row>
    <row r="674" spans="1:8">
      <c r="A674" s="26"/>
      <c r="B674" s="95" t="s">
        <v>2369</v>
      </c>
      <c r="C674" s="157" t="s">
        <v>6374</v>
      </c>
      <c r="D674" s="195"/>
      <c r="E674" s="95" t="s">
        <v>2370</v>
      </c>
      <c r="F674" s="95" t="s">
        <v>1166</v>
      </c>
      <c r="G674" s="95" t="s">
        <v>2371</v>
      </c>
      <c r="H674" s="95" t="s">
        <v>2372</v>
      </c>
    </row>
    <row r="675" spans="1:8">
      <c r="A675" s="26"/>
      <c r="B675" s="114"/>
      <c r="C675" s="154"/>
      <c r="D675" s="192"/>
      <c r="E675" s="114"/>
      <c r="F675" s="114"/>
      <c r="G675" s="114" t="s">
        <v>3485</v>
      </c>
      <c r="H675" s="114" t="s">
        <v>3485</v>
      </c>
    </row>
    <row r="676" spans="1:8">
      <c r="A676" s="26"/>
      <c r="B676" s="95">
        <v>1</v>
      </c>
      <c r="C676" s="157" t="s">
        <v>6976</v>
      </c>
      <c r="D676" s="195"/>
      <c r="E676" s="107"/>
      <c r="F676" s="190">
        <v>0</v>
      </c>
      <c r="G676" s="190">
        <v>0</v>
      </c>
      <c r="H676" s="179">
        <f>F676*G676</f>
        <v>0</v>
      </c>
    </row>
    <row r="677" spans="1:8">
      <c r="A677" s="26"/>
      <c r="B677" s="114"/>
      <c r="C677" s="154"/>
      <c r="D677" s="192"/>
      <c r="E677" s="191"/>
      <c r="F677" s="182">
        <v>0</v>
      </c>
      <c r="G677" s="190">
        <v>0</v>
      </c>
      <c r="H677" s="182">
        <f>F677*G677</f>
        <v>0</v>
      </c>
    </row>
    <row r="678" spans="1:8">
      <c r="A678" s="26"/>
      <c r="B678" s="176"/>
      <c r="C678" s="174"/>
      <c r="D678" s="174" t="s">
        <v>2376</v>
      </c>
      <c r="E678" s="174"/>
      <c r="F678" s="192"/>
      <c r="G678" s="236" t="s">
        <v>1698</v>
      </c>
      <c r="H678" s="318">
        <f>SUM(H676:H677)</f>
        <v>0</v>
      </c>
    </row>
    <row r="679" spans="1:8">
      <c r="A679" s="26"/>
    </row>
    <row r="680" spans="1:8">
      <c r="A680" s="26"/>
      <c r="B680" s="79" t="s">
        <v>2377</v>
      </c>
    </row>
    <row r="681" spans="1:8">
      <c r="A681" s="26"/>
      <c r="B681" s="95" t="s">
        <v>2369</v>
      </c>
      <c r="C681" s="157" t="s">
        <v>2378</v>
      </c>
      <c r="D681" s="195"/>
      <c r="E681" s="95" t="s">
        <v>2370</v>
      </c>
      <c r="F681" s="95" t="s">
        <v>1166</v>
      </c>
      <c r="G681" s="95" t="s">
        <v>2371</v>
      </c>
      <c r="H681" s="95" t="s">
        <v>2372</v>
      </c>
    </row>
    <row r="682" spans="1:8">
      <c r="A682" s="26"/>
      <c r="B682" s="114"/>
      <c r="C682" s="154"/>
      <c r="D682" s="192"/>
      <c r="E682" s="114"/>
      <c r="F682" s="114"/>
      <c r="G682" s="114" t="s">
        <v>3485</v>
      </c>
      <c r="H682" s="114" t="s">
        <v>3485</v>
      </c>
    </row>
    <row r="683" spans="1:8">
      <c r="A683" s="26"/>
      <c r="B683" s="95">
        <v>1</v>
      </c>
      <c r="C683" s="157" t="s">
        <v>6976</v>
      </c>
      <c r="D683" s="195"/>
      <c r="E683" s="107"/>
      <c r="F683" s="179">
        <v>0</v>
      </c>
      <c r="G683" s="179">
        <v>0</v>
      </c>
      <c r="H683" s="179">
        <f>F683*G683</f>
        <v>0</v>
      </c>
    </row>
    <row r="684" spans="1:8">
      <c r="A684" s="26"/>
      <c r="B684" s="114"/>
      <c r="C684" s="154"/>
      <c r="D684" s="192"/>
      <c r="E684" s="191"/>
      <c r="F684" s="182">
        <v>0</v>
      </c>
      <c r="G684" s="182">
        <v>0</v>
      </c>
      <c r="H684" s="182">
        <f>F684*G684</f>
        <v>0</v>
      </c>
    </row>
    <row r="685" spans="1:8">
      <c r="A685" s="26"/>
      <c r="B685" s="176"/>
      <c r="C685" s="174"/>
      <c r="D685" s="174" t="s">
        <v>2380</v>
      </c>
      <c r="E685" s="174"/>
      <c r="F685" s="192"/>
      <c r="G685" s="236" t="s">
        <v>1698</v>
      </c>
      <c r="H685" s="318">
        <f>SUM(H683:H684)</f>
        <v>0</v>
      </c>
    </row>
    <row r="686" spans="1:8">
      <c r="A686" s="26"/>
    </row>
    <row r="687" spans="1:8">
      <c r="A687" s="26"/>
    </row>
    <row r="688" spans="1:8">
      <c r="A688" s="26"/>
      <c r="B688" s="79" t="s">
        <v>2381</v>
      </c>
    </row>
    <row r="689" spans="1:8">
      <c r="A689" s="26"/>
      <c r="B689" s="95" t="s">
        <v>2369</v>
      </c>
      <c r="C689" s="157" t="s">
        <v>2378</v>
      </c>
      <c r="D689" s="195"/>
      <c r="E689" s="95" t="s">
        <v>2370</v>
      </c>
      <c r="F689" s="95" t="s">
        <v>1166</v>
      </c>
      <c r="G689" s="95" t="s">
        <v>2371</v>
      </c>
      <c r="H689" s="95" t="s">
        <v>2372</v>
      </c>
    </row>
    <row r="690" spans="1:8">
      <c r="A690" s="26"/>
      <c r="B690" s="114"/>
      <c r="C690" s="154"/>
      <c r="D690" s="192"/>
      <c r="E690" s="105"/>
      <c r="F690" s="114"/>
      <c r="G690" s="114" t="s">
        <v>3485</v>
      </c>
      <c r="H690" s="114" t="s">
        <v>3485</v>
      </c>
    </row>
    <row r="691" spans="1:8">
      <c r="A691" s="26"/>
      <c r="B691" s="95">
        <v>1</v>
      </c>
      <c r="C691" s="148" t="s">
        <v>4206</v>
      </c>
      <c r="D691" s="187"/>
      <c r="E691" s="107" t="s">
        <v>1172</v>
      </c>
      <c r="F691" s="178">
        <v>1</v>
      </c>
      <c r="G691" s="179">
        <f>'BASIC DATA'!C473</f>
        <v>450</v>
      </c>
      <c r="H691" s="179">
        <f>F691*G691</f>
        <v>450</v>
      </c>
    </row>
    <row r="692" spans="1:8">
      <c r="A692" s="26"/>
      <c r="B692" s="114">
        <v>2</v>
      </c>
      <c r="C692" s="89" t="s">
        <v>2697</v>
      </c>
      <c r="D692" s="174"/>
      <c r="E692" s="191" t="s">
        <v>1172</v>
      </c>
      <c r="F692" s="181">
        <v>12</v>
      </c>
      <c r="G692" s="182">
        <f>'BASIC DATA'!C552</f>
        <v>350</v>
      </c>
      <c r="H692" s="190">
        <f>F692*G692</f>
        <v>4200</v>
      </c>
    </row>
    <row r="693" spans="1:8">
      <c r="A693" s="26"/>
      <c r="B693" s="176"/>
      <c r="C693" s="174"/>
      <c r="D693" s="174" t="s">
        <v>1174</v>
      </c>
      <c r="E693" s="174"/>
      <c r="F693" s="192"/>
      <c r="G693" s="275" t="s">
        <v>1698</v>
      </c>
      <c r="H693" s="318">
        <f>SUM(H691:H692)</f>
        <v>4650</v>
      </c>
    </row>
    <row r="694" spans="1:8">
      <c r="A694" s="26"/>
      <c r="B694" s="60" t="s">
        <v>5948</v>
      </c>
      <c r="C694" s="31"/>
      <c r="D694" s="31"/>
      <c r="E694" s="85">
        <f>ROUND(H693/G671,1)</f>
        <v>4.7</v>
      </c>
      <c r="G694" s="31"/>
    </row>
    <row r="695" spans="1:8">
      <c r="A695" s="26"/>
      <c r="B695" s="60" t="s">
        <v>3163</v>
      </c>
      <c r="C695" s="31"/>
      <c r="D695" s="31">
        <f>'BASIC DATA'!$C$577</f>
        <v>0.13614999999999999</v>
      </c>
      <c r="E695" s="85">
        <f>ROUND(E694*D695,1)</f>
        <v>0.6</v>
      </c>
      <c r="G695" s="31"/>
    </row>
    <row r="696" spans="1:8">
      <c r="A696" s="26"/>
      <c r="B696" s="60" t="s">
        <v>5949</v>
      </c>
      <c r="C696" s="31"/>
      <c r="D696" s="31"/>
      <c r="E696" s="739">
        <f>E695+E694</f>
        <v>5.3</v>
      </c>
      <c r="G696" s="31"/>
    </row>
    <row r="697" spans="1:8">
      <c r="A697" s="26"/>
      <c r="B697" s="26"/>
    </row>
    <row r="698" spans="1:8">
      <c r="A698" s="26"/>
      <c r="B698" s="170" t="s">
        <v>1175</v>
      </c>
    </row>
    <row r="699" spans="1:8">
      <c r="A699" s="26"/>
      <c r="B699" s="26" t="s">
        <v>1176</v>
      </c>
      <c r="F699" s="171" t="s">
        <v>1698</v>
      </c>
      <c r="G699" s="68">
        <f>H678</f>
        <v>0</v>
      </c>
    </row>
    <row r="700" spans="1:8">
      <c r="A700" s="26"/>
      <c r="B700" s="26" t="s">
        <v>1186</v>
      </c>
      <c r="F700" s="171" t="s">
        <v>1698</v>
      </c>
      <c r="G700" s="68">
        <f>H685</f>
        <v>0</v>
      </c>
    </row>
    <row r="701" spans="1:8">
      <c r="A701" s="26"/>
      <c r="B701" s="26" t="s">
        <v>2660</v>
      </c>
      <c r="F701" s="171" t="s">
        <v>1698</v>
      </c>
      <c r="G701" s="75">
        <f>H693</f>
        <v>4650</v>
      </c>
    </row>
    <row r="702" spans="1:8">
      <c r="A702" s="26"/>
      <c r="E702" s="26" t="s">
        <v>1518</v>
      </c>
      <c r="F702" s="171" t="s">
        <v>1698</v>
      </c>
      <c r="G702" s="205">
        <f>SUM(G699:G701)</f>
        <v>4650</v>
      </c>
    </row>
    <row r="703" spans="1:8" ht="33" customHeight="1">
      <c r="A703" s="26"/>
      <c r="B703" s="1207" t="s">
        <v>1379</v>
      </c>
      <c r="C703" s="1207"/>
      <c r="E703" s="249">
        <f>'BASIC DATA'!$C$577</f>
        <v>0.13614999999999999</v>
      </c>
      <c r="F703" s="26" t="s">
        <v>1698</v>
      </c>
      <c r="G703" s="26">
        <f>G702*E703</f>
        <v>633.09749999999997</v>
      </c>
    </row>
    <row r="704" spans="1:8">
      <c r="A704" s="26"/>
      <c r="B704" s="26" t="s">
        <v>1191</v>
      </c>
      <c r="D704" s="68">
        <f>G671</f>
        <v>1000</v>
      </c>
      <c r="E704" s="68" t="str">
        <f>H671</f>
        <v>sqm</v>
      </c>
      <c r="F704" s="26" t="s">
        <v>1698</v>
      </c>
      <c r="G704" s="211">
        <f>G703+G702</f>
        <v>5283.0974999999999</v>
      </c>
    </row>
    <row r="705" spans="1:8">
      <c r="A705" s="26"/>
      <c r="B705" s="170" t="s">
        <v>1584</v>
      </c>
      <c r="C705" s="211" t="str">
        <f>E704</f>
        <v>sqm</v>
      </c>
      <c r="D705" s="26" t="s">
        <v>5886</v>
      </c>
      <c r="F705" s="26" t="s">
        <v>4108</v>
      </c>
      <c r="G705" s="211">
        <f>ROUND(G704/D704,1)</f>
        <v>5.3</v>
      </c>
    </row>
    <row r="706" spans="1:8">
      <c r="A706" s="26"/>
      <c r="B706" s="26"/>
      <c r="C706" s="68"/>
    </row>
    <row r="707" spans="1:8">
      <c r="A707" s="26"/>
    </row>
    <row r="708" spans="1:8">
      <c r="A708" s="78" t="s">
        <v>7206</v>
      </c>
      <c r="B708" s="170" t="s">
        <v>2176</v>
      </c>
    </row>
    <row r="709" spans="1:8">
      <c r="B709" s="26"/>
    </row>
    <row r="710" spans="1:8">
      <c r="A710" s="78" t="s">
        <v>7207</v>
      </c>
      <c r="B710" s="26" t="s">
        <v>9099</v>
      </c>
    </row>
    <row r="711" spans="1:8">
      <c r="B711" s="26" t="s">
        <v>9100</v>
      </c>
    </row>
    <row r="712" spans="1:8" ht="18.75">
      <c r="B712" s="170" t="s">
        <v>9101</v>
      </c>
    </row>
    <row r="713" spans="1:8">
      <c r="B713" s="26"/>
    </row>
    <row r="714" spans="1:8" hidden="1">
      <c r="A714" s="78" t="s">
        <v>3984</v>
      </c>
      <c r="B714" s="26" t="s">
        <v>2714</v>
      </c>
      <c r="F714" s="78" t="s">
        <v>1697</v>
      </c>
      <c r="G714" s="26">
        <v>4</v>
      </c>
      <c r="H714" s="26" t="s">
        <v>3477</v>
      </c>
    </row>
    <row r="715" spans="1:8">
      <c r="A715" s="26"/>
    </row>
    <row r="716" spans="1:8">
      <c r="A716" s="26" t="s">
        <v>3984</v>
      </c>
      <c r="C716" s="203" t="s">
        <v>2367</v>
      </c>
      <c r="D716" s="171"/>
      <c r="F716" s="171" t="s">
        <v>297</v>
      </c>
      <c r="G716" s="162">
        <v>10</v>
      </c>
      <c r="H716" s="26" t="s">
        <v>3477</v>
      </c>
    </row>
    <row r="717" spans="1:8">
      <c r="A717" s="26"/>
    </row>
    <row r="718" spans="1:8">
      <c r="A718" s="26"/>
      <c r="B718" s="79" t="s">
        <v>2368</v>
      </c>
    </row>
    <row r="719" spans="1:8">
      <c r="A719" s="26"/>
      <c r="B719" s="95" t="s">
        <v>2369</v>
      </c>
      <c r="C719" s="157" t="s">
        <v>6374</v>
      </c>
      <c r="D719" s="195"/>
      <c r="E719" s="95" t="s">
        <v>2370</v>
      </c>
      <c r="F719" s="95" t="s">
        <v>1166</v>
      </c>
      <c r="G719" s="95" t="s">
        <v>2371</v>
      </c>
      <c r="H719" s="95" t="s">
        <v>2372</v>
      </c>
    </row>
    <row r="720" spans="1:8">
      <c r="A720" s="26"/>
      <c r="B720" s="114"/>
      <c r="C720" s="154"/>
      <c r="D720" s="192"/>
      <c r="E720" s="114"/>
      <c r="F720" s="114"/>
      <c r="G720" s="114" t="s">
        <v>3485</v>
      </c>
      <c r="H720" s="114" t="s">
        <v>3485</v>
      </c>
    </row>
    <row r="721" spans="1:8">
      <c r="A721" s="26"/>
      <c r="B721" s="95">
        <v>1</v>
      </c>
      <c r="C721" s="157" t="s">
        <v>6976</v>
      </c>
      <c r="D721" s="195"/>
      <c r="E721" s="107"/>
      <c r="F721" s="190">
        <v>0</v>
      </c>
      <c r="G721" s="190">
        <v>0</v>
      </c>
      <c r="H721" s="179">
        <f>F721*G721</f>
        <v>0</v>
      </c>
    </row>
    <row r="722" spans="1:8">
      <c r="A722" s="26"/>
      <c r="B722" s="114"/>
      <c r="C722" s="154"/>
      <c r="D722" s="192"/>
      <c r="E722" s="191"/>
      <c r="F722" s="182">
        <v>0</v>
      </c>
      <c r="G722" s="190">
        <v>0</v>
      </c>
      <c r="H722" s="182">
        <f>F722*G722</f>
        <v>0</v>
      </c>
    </row>
    <row r="723" spans="1:8">
      <c r="A723" s="26"/>
      <c r="B723" s="176"/>
      <c r="C723" s="174"/>
      <c r="D723" s="174" t="s">
        <v>2376</v>
      </c>
      <c r="E723" s="174"/>
      <c r="F723" s="192"/>
      <c r="G723" s="236" t="s">
        <v>1698</v>
      </c>
      <c r="H723" s="318">
        <f>SUM(H721:H722)</f>
        <v>0</v>
      </c>
    </row>
    <row r="724" spans="1:8">
      <c r="A724" s="26"/>
    </row>
    <row r="725" spans="1:8">
      <c r="A725" s="26"/>
      <c r="B725" s="79" t="s">
        <v>2377</v>
      </c>
    </row>
    <row r="726" spans="1:8">
      <c r="A726" s="26"/>
      <c r="B726" s="95" t="s">
        <v>2369</v>
      </c>
      <c r="C726" s="157" t="s">
        <v>2378</v>
      </c>
      <c r="D726" s="195"/>
      <c r="E726" s="95" t="s">
        <v>2370</v>
      </c>
      <c r="F726" s="95" t="s">
        <v>1166</v>
      </c>
      <c r="G726" s="95" t="s">
        <v>2371</v>
      </c>
      <c r="H726" s="95" t="s">
        <v>2372</v>
      </c>
    </row>
    <row r="727" spans="1:8">
      <c r="A727" s="26"/>
      <c r="B727" s="114"/>
      <c r="C727" s="154"/>
      <c r="D727" s="192"/>
      <c r="E727" s="114"/>
      <c r="F727" s="114"/>
      <c r="G727" s="114" t="s">
        <v>3485</v>
      </c>
      <c r="H727" s="114" t="s">
        <v>3485</v>
      </c>
    </row>
    <row r="728" spans="1:8">
      <c r="A728" s="26"/>
      <c r="B728" s="95">
        <v>1</v>
      </c>
      <c r="C728" s="157" t="s">
        <v>6976</v>
      </c>
      <c r="D728" s="195"/>
      <c r="E728" s="107"/>
      <c r="F728" s="179">
        <v>0</v>
      </c>
      <c r="G728" s="179">
        <v>0</v>
      </c>
      <c r="H728" s="179">
        <f>F728*G728</f>
        <v>0</v>
      </c>
    </row>
    <row r="729" spans="1:8">
      <c r="A729" s="26"/>
      <c r="B729" s="114"/>
      <c r="C729" s="154"/>
      <c r="D729" s="192"/>
      <c r="E729" s="191"/>
      <c r="F729" s="182">
        <v>0</v>
      </c>
      <c r="G729" s="182">
        <v>0</v>
      </c>
      <c r="H729" s="182">
        <f>F729*G729</f>
        <v>0</v>
      </c>
    </row>
    <row r="730" spans="1:8">
      <c r="A730" s="26"/>
      <c r="B730" s="176"/>
      <c r="C730" s="174"/>
      <c r="D730" s="174" t="s">
        <v>2380</v>
      </c>
      <c r="E730" s="174"/>
      <c r="F730" s="192"/>
      <c r="G730" s="236" t="s">
        <v>1698</v>
      </c>
      <c r="H730" s="318">
        <f>SUM(H728:H729)</f>
        <v>0</v>
      </c>
    </row>
    <row r="731" spans="1:8">
      <c r="A731" s="26"/>
    </row>
    <row r="732" spans="1:8">
      <c r="A732" s="26"/>
      <c r="B732" s="79" t="s">
        <v>2381</v>
      </c>
    </row>
    <row r="733" spans="1:8">
      <c r="A733" s="26"/>
      <c r="B733" s="95" t="s">
        <v>2369</v>
      </c>
      <c r="C733" s="157" t="s">
        <v>2378</v>
      </c>
      <c r="D733" s="195"/>
      <c r="E733" s="95" t="s">
        <v>2370</v>
      </c>
      <c r="F733" s="95" t="s">
        <v>1166</v>
      </c>
      <c r="G733" s="95" t="s">
        <v>2371</v>
      </c>
      <c r="H733" s="95" t="s">
        <v>2372</v>
      </c>
    </row>
    <row r="734" spans="1:8">
      <c r="A734" s="26"/>
      <c r="B734" s="114"/>
      <c r="C734" s="154"/>
      <c r="D734" s="192"/>
      <c r="E734" s="105"/>
      <c r="F734" s="114"/>
      <c r="G734" s="114" t="s">
        <v>3485</v>
      </c>
      <c r="H734" s="114" t="s">
        <v>3485</v>
      </c>
    </row>
    <row r="735" spans="1:8">
      <c r="A735" s="26"/>
      <c r="B735" s="95">
        <v>1</v>
      </c>
      <c r="C735" s="148" t="s">
        <v>4206</v>
      </c>
      <c r="D735" s="187"/>
      <c r="E735" s="107" t="s">
        <v>1172</v>
      </c>
      <c r="F735" s="178">
        <v>0.5</v>
      </c>
      <c r="G735" s="179">
        <f>'BASIC DATA'!C473</f>
        <v>450</v>
      </c>
      <c r="H735" s="179">
        <f>F735*G735</f>
        <v>225</v>
      </c>
    </row>
    <row r="736" spans="1:8">
      <c r="A736" s="26"/>
      <c r="B736" s="114">
        <v>2</v>
      </c>
      <c r="C736" s="89" t="s">
        <v>2697</v>
      </c>
      <c r="D736" s="174"/>
      <c r="E736" s="191" t="s">
        <v>1172</v>
      </c>
      <c r="F736" s="181">
        <v>6</v>
      </c>
      <c r="G736" s="190">
        <f>'BASIC DATA'!C552</f>
        <v>350</v>
      </c>
      <c r="H736" s="190">
        <f>F736*G736</f>
        <v>2100</v>
      </c>
    </row>
    <row r="737" spans="1:8">
      <c r="A737" s="26"/>
      <c r="B737" s="176"/>
      <c r="C737" s="174"/>
      <c r="D737" s="174" t="s">
        <v>1174</v>
      </c>
      <c r="E737" s="174"/>
      <c r="F737" s="192"/>
      <c r="G737" s="236" t="s">
        <v>1698</v>
      </c>
      <c r="H737" s="318">
        <f>SUM(H735:H736)</f>
        <v>2325</v>
      </c>
    </row>
    <row r="738" spans="1:8">
      <c r="A738" s="26"/>
      <c r="B738" s="60" t="s">
        <v>5948</v>
      </c>
      <c r="C738" s="31"/>
      <c r="D738" s="31"/>
      <c r="E738" s="85">
        <f>ROUND(H737/G716,1)</f>
        <v>232.5</v>
      </c>
      <c r="G738" s="31"/>
    </row>
    <row r="739" spans="1:8">
      <c r="A739" s="26"/>
      <c r="B739" s="60" t="s">
        <v>3163</v>
      </c>
      <c r="C739" s="31"/>
      <c r="D739" s="31">
        <f>'BASIC DATA'!$C$577</f>
        <v>0.13614999999999999</v>
      </c>
      <c r="E739" s="85">
        <f>ROUND(E738*D739,1)</f>
        <v>31.7</v>
      </c>
      <c r="G739" s="31"/>
    </row>
    <row r="740" spans="1:8">
      <c r="A740" s="26"/>
      <c r="B740" s="60" t="s">
        <v>5949</v>
      </c>
      <c r="C740" s="31"/>
      <c r="D740" s="31"/>
      <c r="E740" s="739">
        <f>ROUND(E739+E738,1)</f>
        <v>264.2</v>
      </c>
      <c r="G740" s="31"/>
    </row>
    <row r="741" spans="1:8">
      <c r="A741" s="26"/>
      <c r="B741" s="26"/>
    </row>
    <row r="742" spans="1:8">
      <c r="A742" s="26"/>
      <c r="B742" s="170" t="s">
        <v>1175</v>
      </c>
    </row>
    <row r="743" spans="1:8">
      <c r="A743" s="26"/>
      <c r="B743" s="26" t="s">
        <v>1176</v>
      </c>
      <c r="F743" s="171" t="s">
        <v>1698</v>
      </c>
      <c r="G743" s="68">
        <f>H723</f>
        <v>0</v>
      </c>
    </row>
    <row r="744" spans="1:8">
      <c r="A744" s="26"/>
      <c r="B744" s="26" t="s">
        <v>1186</v>
      </c>
      <c r="F744" s="171" t="s">
        <v>1698</v>
      </c>
      <c r="G744" s="68">
        <f>H730</f>
        <v>0</v>
      </c>
    </row>
    <row r="745" spans="1:8">
      <c r="A745" s="26"/>
      <c r="B745" s="26" t="s">
        <v>2660</v>
      </c>
      <c r="F745" s="171" t="s">
        <v>1698</v>
      </c>
      <c r="G745" s="75">
        <f>H737</f>
        <v>2325</v>
      </c>
    </row>
    <row r="746" spans="1:8">
      <c r="A746" s="26"/>
      <c r="E746" s="26" t="s">
        <v>1518</v>
      </c>
      <c r="F746" s="171" t="s">
        <v>1698</v>
      </c>
      <c r="G746" s="205">
        <f>SUM(G743:G745)</f>
        <v>2325</v>
      </c>
    </row>
    <row r="747" spans="1:8" ht="33.75" customHeight="1">
      <c r="A747" s="26"/>
      <c r="B747" s="1207" t="s">
        <v>1379</v>
      </c>
      <c r="C747" s="1207"/>
      <c r="E747" s="249">
        <f>'BASIC DATA'!$C$577</f>
        <v>0.13614999999999999</v>
      </c>
      <c r="F747" s="26" t="s">
        <v>1698</v>
      </c>
      <c r="G747" s="26">
        <f>G746*E747</f>
        <v>316.54874999999998</v>
      </c>
    </row>
    <row r="748" spans="1:8">
      <c r="A748" s="26"/>
      <c r="B748" s="26" t="s">
        <v>1191</v>
      </c>
      <c r="D748" s="68">
        <f>G716</f>
        <v>10</v>
      </c>
      <c r="E748" s="68" t="str">
        <f>H716</f>
        <v>cum</v>
      </c>
      <c r="F748" s="26" t="s">
        <v>1698</v>
      </c>
      <c r="G748" s="211">
        <f>G747+G746</f>
        <v>2641.5487499999999</v>
      </c>
    </row>
    <row r="749" spans="1:8">
      <c r="A749" s="26"/>
      <c r="B749" s="170" t="s">
        <v>1584</v>
      </c>
      <c r="C749" s="211" t="str">
        <f>E748</f>
        <v>cum</v>
      </c>
      <c r="D749" s="26" t="s">
        <v>5882</v>
      </c>
      <c r="F749" s="26" t="s">
        <v>4108</v>
      </c>
      <c r="G749" s="211">
        <f>ROUND(G748/D748,1)</f>
        <v>264.2</v>
      </c>
    </row>
    <row r="750" spans="1:8">
      <c r="A750" s="26"/>
      <c r="H750" s="68"/>
    </row>
    <row r="751" spans="1:8">
      <c r="A751" s="78" t="s">
        <v>7208</v>
      </c>
      <c r="B751" s="26" t="s">
        <v>9102</v>
      </c>
    </row>
    <row r="752" spans="1:8" ht="18.75">
      <c r="B752" s="26" t="s">
        <v>9103</v>
      </c>
    </row>
    <row r="753" spans="1:8">
      <c r="B753" s="170" t="s">
        <v>4440</v>
      </c>
    </row>
    <row r="754" spans="1:8">
      <c r="B754" s="26"/>
    </row>
    <row r="755" spans="1:8" hidden="1">
      <c r="A755" s="78" t="s">
        <v>3984</v>
      </c>
      <c r="B755" s="26" t="s">
        <v>6373</v>
      </c>
      <c r="F755" s="78" t="s">
        <v>1697</v>
      </c>
      <c r="G755" s="68">
        <v>2.5</v>
      </c>
      <c r="H755" s="26" t="s">
        <v>3477</v>
      </c>
    </row>
    <row r="756" spans="1:8">
      <c r="A756" s="26"/>
    </row>
    <row r="757" spans="1:8">
      <c r="A757" s="26" t="s">
        <v>3984</v>
      </c>
      <c r="C757" s="203" t="s">
        <v>2367</v>
      </c>
      <c r="D757" s="171"/>
      <c r="F757" s="171" t="s">
        <v>297</v>
      </c>
      <c r="G757" s="162">
        <v>10</v>
      </c>
      <c r="H757" s="26" t="s">
        <v>3477</v>
      </c>
    </row>
    <row r="758" spans="1:8">
      <c r="A758" s="26"/>
    </row>
    <row r="759" spans="1:8">
      <c r="A759" s="26"/>
      <c r="B759" s="79" t="s">
        <v>2368</v>
      </c>
    </row>
    <row r="760" spans="1:8">
      <c r="A760" s="26"/>
      <c r="B760" s="95" t="s">
        <v>2369</v>
      </c>
      <c r="C760" s="157" t="s">
        <v>6374</v>
      </c>
      <c r="D760" s="195"/>
      <c r="E760" s="95" t="s">
        <v>2370</v>
      </c>
      <c r="F760" s="95" t="s">
        <v>1166</v>
      </c>
      <c r="G760" s="95" t="s">
        <v>2371</v>
      </c>
      <c r="H760" s="95" t="s">
        <v>2372</v>
      </c>
    </row>
    <row r="761" spans="1:8">
      <c r="A761" s="26"/>
      <c r="B761" s="114"/>
      <c r="C761" s="154"/>
      <c r="D761" s="192"/>
      <c r="E761" s="114"/>
      <c r="F761" s="114"/>
      <c r="G761" s="114" t="s">
        <v>3485</v>
      </c>
      <c r="H761" s="114" t="s">
        <v>3485</v>
      </c>
    </row>
    <row r="762" spans="1:8">
      <c r="A762" s="26"/>
      <c r="B762" s="95">
        <v>1</v>
      </c>
      <c r="C762" s="157" t="s">
        <v>6976</v>
      </c>
      <c r="D762" s="195"/>
      <c r="E762" s="107"/>
      <c r="F762" s="190">
        <v>0</v>
      </c>
      <c r="G762" s="190">
        <v>0</v>
      </c>
      <c r="H762" s="179">
        <f>F762*G762</f>
        <v>0</v>
      </c>
    </row>
    <row r="763" spans="1:8">
      <c r="A763" s="26"/>
      <c r="B763" s="114"/>
      <c r="C763" s="154"/>
      <c r="D763" s="192"/>
      <c r="E763" s="191"/>
      <c r="F763" s="182">
        <v>0</v>
      </c>
      <c r="G763" s="182">
        <v>0</v>
      </c>
      <c r="H763" s="182">
        <f>F763*G763</f>
        <v>0</v>
      </c>
    </row>
    <row r="764" spans="1:8">
      <c r="A764" s="26"/>
      <c r="B764" s="176"/>
      <c r="C764" s="174"/>
      <c r="D764" s="174" t="s">
        <v>2376</v>
      </c>
      <c r="E764" s="174"/>
      <c r="F764" s="192"/>
      <c r="G764" s="275" t="s">
        <v>1698</v>
      </c>
      <c r="H764" s="318">
        <f>SUM(H762:H763)</f>
        <v>0</v>
      </c>
    </row>
    <row r="765" spans="1:8">
      <c r="A765" s="26"/>
    </row>
    <row r="766" spans="1:8">
      <c r="A766" s="26"/>
      <c r="B766" s="79" t="s">
        <v>2377</v>
      </c>
    </row>
    <row r="767" spans="1:8">
      <c r="A767" s="26"/>
      <c r="B767" s="95" t="s">
        <v>2369</v>
      </c>
      <c r="C767" s="157" t="s">
        <v>2378</v>
      </c>
      <c r="D767" s="195"/>
      <c r="E767" s="95" t="s">
        <v>2370</v>
      </c>
      <c r="F767" s="95" t="s">
        <v>1166</v>
      </c>
      <c r="G767" s="95" t="s">
        <v>2371</v>
      </c>
      <c r="H767" s="95" t="s">
        <v>2372</v>
      </c>
    </row>
    <row r="768" spans="1:8">
      <c r="A768" s="26"/>
      <c r="B768" s="114"/>
      <c r="C768" s="154"/>
      <c r="D768" s="192"/>
      <c r="E768" s="114"/>
      <c r="F768" s="114"/>
      <c r="G768" s="114" t="s">
        <v>3485</v>
      </c>
      <c r="H768" s="114" t="s">
        <v>3485</v>
      </c>
    </row>
    <row r="769" spans="1:8">
      <c r="A769" s="26"/>
      <c r="B769" s="95">
        <v>1</v>
      </c>
      <c r="C769" s="157" t="s">
        <v>6976</v>
      </c>
      <c r="D769" s="195"/>
      <c r="E769" s="107"/>
      <c r="F769" s="179">
        <v>0</v>
      </c>
      <c r="G769" s="179">
        <v>0</v>
      </c>
      <c r="H769" s="179">
        <f>F769*G769</f>
        <v>0</v>
      </c>
    </row>
    <row r="770" spans="1:8">
      <c r="A770" s="26"/>
      <c r="B770" s="114"/>
      <c r="C770" s="154"/>
      <c r="D770" s="192"/>
      <c r="E770" s="191"/>
      <c r="F770" s="182">
        <v>0</v>
      </c>
      <c r="G770" s="182">
        <v>0</v>
      </c>
      <c r="H770" s="182">
        <f>F770*G770</f>
        <v>0</v>
      </c>
    </row>
    <row r="771" spans="1:8">
      <c r="A771" s="26"/>
      <c r="B771" s="176"/>
      <c r="C771" s="174"/>
      <c r="D771" s="174" t="s">
        <v>2380</v>
      </c>
      <c r="E771" s="174"/>
      <c r="F771" s="192"/>
      <c r="G771" s="236" t="s">
        <v>1698</v>
      </c>
      <c r="H771" s="318">
        <f>SUM(H769:H770)</f>
        <v>0</v>
      </c>
    </row>
    <row r="772" spans="1:8">
      <c r="A772" s="26"/>
    </row>
    <row r="773" spans="1:8">
      <c r="A773" s="26"/>
      <c r="B773" s="79" t="s">
        <v>2381</v>
      </c>
    </row>
    <row r="774" spans="1:8">
      <c r="A774" s="26"/>
      <c r="B774" s="95" t="s">
        <v>2369</v>
      </c>
      <c r="C774" s="157" t="s">
        <v>2378</v>
      </c>
      <c r="D774" s="195"/>
      <c r="E774" s="95" t="s">
        <v>2370</v>
      </c>
      <c r="F774" s="95" t="s">
        <v>1166</v>
      </c>
      <c r="G774" s="95" t="s">
        <v>2371</v>
      </c>
      <c r="H774" s="95" t="s">
        <v>2372</v>
      </c>
    </row>
    <row r="775" spans="1:8">
      <c r="A775" s="26"/>
      <c r="B775" s="114"/>
      <c r="C775" s="154"/>
      <c r="D775" s="192"/>
      <c r="E775" s="105"/>
      <c r="F775" s="114"/>
      <c r="G775" s="114" t="s">
        <v>3485</v>
      </c>
      <c r="H775" s="114" t="s">
        <v>3485</v>
      </c>
    </row>
    <row r="776" spans="1:8">
      <c r="A776" s="26"/>
      <c r="B776" s="95">
        <v>1</v>
      </c>
      <c r="C776" s="148" t="s">
        <v>4206</v>
      </c>
      <c r="D776" s="187"/>
      <c r="E776" s="107" t="s">
        <v>1172</v>
      </c>
      <c r="F776" s="178">
        <v>0.5</v>
      </c>
      <c r="G776" s="179">
        <f>'BASIC DATA'!C473</f>
        <v>450</v>
      </c>
      <c r="H776" s="179">
        <f>F776*G776</f>
        <v>225</v>
      </c>
    </row>
    <row r="777" spans="1:8">
      <c r="A777" s="26"/>
      <c r="B777" s="105">
        <v>2</v>
      </c>
      <c r="C777" s="76" t="s">
        <v>5603</v>
      </c>
      <c r="D777" s="31"/>
      <c r="E777" s="210" t="s">
        <v>1172</v>
      </c>
      <c r="F777" s="207">
        <v>1</v>
      </c>
      <c r="G777" s="190">
        <f>'BASIC DATA'!C514</f>
        <v>400</v>
      </c>
      <c r="H777" s="190">
        <f>F777*G777</f>
        <v>400</v>
      </c>
    </row>
    <row r="778" spans="1:8">
      <c r="A778" s="26"/>
      <c r="B778" s="114">
        <v>3</v>
      </c>
      <c r="C778" s="89" t="s">
        <v>2697</v>
      </c>
      <c r="D778" s="174"/>
      <c r="E778" s="191" t="s">
        <v>1172</v>
      </c>
      <c r="F778" s="181">
        <v>7.5</v>
      </c>
      <c r="G778" s="182">
        <f>'BASIC DATA'!C552</f>
        <v>350</v>
      </c>
      <c r="H778" s="190">
        <f>F778*G778</f>
        <v>2625</v>
      </c>
    </row>
    <row r="779" spans="1:8">
      <c r="A779" s="26"/>
      <c r="B779" s="176"/>
      <c r="C779" s="174"/>
      <c r="D779" s="174" t="s">
        <v>1174</v>
      </c>
      <c r="E779" s="174"/>
      <c r="F779" s="192"/>
      <c r="G779" s="275" t="s">
        <v>1698</v>
      </c>
      <c r="H779" s="318">
        <f>SUM(H776:H778)</f>
        <v>3250</v>
      </c>
    </row>
    <row r="780" spans="1:8">
      <c r="A780" s="26"/>
      <c r="B780" s="60" t="s">
        <v>5948</v>
      </c>
      <c r="C780" s="31"/>
      <c r="D780" s="31"/>
      <c r="E780" s="85">
        <f>ROUND(H779/G757,1)</f>
        <v>325</v>
      </c>
      <c r="G780" s="31"/>
    </row>
    <row r="781" spans="1:8">
      <c r="A781" s="26"/>
      <c r="B781" s="60" t="s">
        <v>3163</v>
      </c>
      <c r="C781" s="31"/>
      <c r="D781" s="31">
        <f>'BASIC DATA'!$C$577</f>
        <v>0.13614999999999999</v>
      </c>
      <c r="E781" s="85">
        <f>ROUND(E780*D781,1)</f>
        <v>44.2</v>
      </c>
      <c r="G781" s="31"/>
    </row>
    <row r="782" spans="1:8">
      <c r="A782" s="26"/>
      <c r="B782" s="60" t="s">
        <v>5949</v>
      </c>
      <c r="C782" s="31"/>
      <c r="D782" s="31"/>
      <c r="E782" s="739">
        <f>E781+E780</f>
        <v>369.2</v>
      </c>
      <c r="G782" s="31"/>
    </row>
    <row r="783" spans="1:8">
      <c r="A783" s="26"/>
      <c r="B783" s="26"/>
    </row>
    <row r="784" spans="1:8">
      <c r="A784" s="26"/>
      <c r="B784" s="170" t="s">
        <v>1175</v>
      </c>
    </row>
    <row r="785" spans="1:8">
      <c r="A785" s="26"/>
      <c r="B785" s="26" t="s">
        <v>1176</v>
      </c>
      <c r="F785" s="171" t="s">
        <v>1698</v>
      </c>
      <c r="G785" s="68">
        <f>H764</f>
        <v>0</v>
      </c>
    </row>
    <row r="786" spans="1:8">
      <c r="A786" s="26"/>
      <c r="B786" s="26" t="s">
        <v>1186</v>
      </c>
      <c r="F786" s="171" t="s">
        <v>1698</v>
      </c>
      <c r="G786" s="68">
        <f>H771</f>
        <v>0</v>
      </c>
    </row>
    <row r="787" spans="1:8">
      <c r="A787" s="26"/>
      <c r="B787" s="26" t="s">
        <v>2660</v>
      </c>
      <c r="F787" s="171" t="s">
        <v>1698</v>
      </c>
      <c r="G787" s="75">
        <f>H779</f>
        <v>3250</v>
      </c>
    </row>
    <row r="788" spans="1:8">
      <c r="A788" s="26"/>
      <c r="E788" s="26" t="s">
        <v>1518</v>
      </c>
      <c r="F788" s="171" t="s">
        <v>1698</v>
      </c>
      <c r="G788" s="205">
        <f>SUM(G785:G787)</f>
        <v>3250</v>
      </c>
    </row>
    <row r="789" spans="1:8" ht="35.25" customHeight="1">
      <c r="A789" s="26"/>
      <c r="B789" s="1207" t="s">
        <v>1379</v>
      </c>
      <c r="C789" s="1207"/>
      <c r="E789" s="249">
        <f>'BASIC DATA'!$C$577</f>
        <v>0.13614999999999999</v>
      </c>
      <c r="F789" s="26" t="s">
        <v>1698</v>
      </c>
      <c r="G789" s="26">
        <f>G788*E789</f>
        <v>442.48749999999995</v>
      </c>
    </row>
    <row r="790" spans="1:8">
      <c r="A790" s="26"/>
      <c r="B790" s="26" t="s">
        <v>1191</v>
      </c>
      <c r="D790" s="68">
        <f>G757</f>
        <v>10</v>
      </c>
      <c r="E790" s="68" t="str">
        <f>H757</f>
        <v>cum</v>
      </c>
      <c r="F790" s="26" t="s">
        <v>1698</v>
      </c>
      <c r="G790" s="211">
        <f>G789+G788</f>
        <v>3692.4875000000002</v>
      </c>
    </row>
    <row r="791" spans="1:8">
      <c r="A791" s="26"/>
      <c r="B791" s="170" t="s">
        <v>1584</v>
      </c>
      <c r="C791" s="211" t="str">
        <f>E790</f>
        <v>cum</v>
      </c>
      <c r="D791" s="26" t="s">
        <v>5891</v>
      </c>
      <c r="F791" s="26" t="s">
        <v>4108</v>
      </c>
      <c r="G791" s="211">
        <f>ROUND(G790/D790,1)</f>
        <v>369.2</v>
      </c>
    </row>
    <row r="792" spans="1:8">
      <c r="A792" s="26"/>
    </row>
    <row r="793" spans="1:8">
      <c r="A793" s="78" t="s">
        <v>5490</v>
      </c>
      <c r="B793" s="26" t="s">
        <v>9150</v>
      </c>
    </row>
    <row r="794" spans="1:8">
      <c r="B794" s="26" t="s">
        <v>9151</v>
      </c>
    </row>
    <row r="795" spans="1:8">
      <c r="B795" s="26" t="s">
        <v>9152</v>
      </c>
    </row>
    <row r="796" spans="1:8">
      <c r="B796" s="26" t="s">
        <v>9153</v>
      </c>
    </row>
    <row r="797" spans="1:8">
      <c r="B797" s="26" t="s">
        <v>9154</v>
      </c>
    </row>
    <row r="798" spans="1:8">
      <c r="A798" s="26"/>
      <c r="B798" s="26"/>
    </row>
    <row r="799" spans="1:8" hidden="1">
      <c r="A799" s="78" t="s">
        <v>3984</v>
      </c>
      <c r="B799" s="26" t="s">
        <v>2910</v>
      </c>
      <c r="F799" s="78" t="s">
        <v>1697</v>
      </c>
      <c r="G799" s="68">
        <v>25</v>
      </c>
      <c r="H799" s="26" t="s">
        <v>2602</v>
      </c>
    </row>
    <row r="800" spans="1:8" hidden="1">
      <c r="B800" s="26" t="s">
        <v>2911</v>
      </c>
      <c r="F800" s="78" t="s">
        <v>1697</v>
      </c>
      <c r="G800" s="68">
        <v>5</v>
      </c>
      <c r="H800" s="26" t="s">
        <v>2602</v>
      </c>
    </row>
    <row r="801" spans="1:8" hidden="1">
      <c r="B801" s="26" t="s">
        <v>2912</v>
      </c>
      <c r="F801" s="78" t="s">
        <v>1697</v>
      </c>
      <c r="G801" s="26">
        <v>5</v>
      </c>
      <c r="H801" s="26" t="s">
        <v>4928</v>
      </c>
    </row>
    <row r="802" spans="1:8" hidden="1">
      <c r="B802" s="26" t="s">
        <v>2913</v>
      </c>
      <c r="F802" s="78" t="s">
        <v>1697</v>
      </c>
      <c r="G802" s="26">
        <v>4</v>
      </c>
      <c r="H802" s="26" t="s">
        <v>4929</v>
      </c>
    </row>
    <row r="803" spans="1:8" hidden="1">
      <c r="B803" s="26" t="s">
        <v>2914</v>
      </c>
      <c r="F803" s="78"/>
    </row>
    <row r="804" spans="1:8" hidden="1">
      <c r="B804" s="26" t="s">
        <v>2915</v>
      </c>
      <c r="F804" s="78" t="s">
        <v>1697</v>
      </c>
      <c r="G804" s="26">
        <v>2</v>
      </c>
      <c r="H804" s="26" t="s">
        <v>4041</v>
      </c>
    </row>
    <row r="805" spans="1:8" hidden="1">
      <c r="B805" s="26" t="s">
        <v>1134</v>
      </c>
      <c r="F805" s="78" t="s">
        <v>1697</v>
      </c>
      <c r="G805" s="26">
        <v>1</v>
      </c>
      <c r="H805" s="26" t="s">
        <v>4089</v>
      </c>
    </row>
    <row r="806" spans="1:8" hidden="1">
      <c r="B806" s="26" t="s">
        <v>1135</v>
      </c>
      <c r="F806" s="78" t="s">
        <v>1697</v>
      </c>
      <c r="G806" s="26">
        <v>1</v>
      </c>
      <c r="H806" s="26" t="s">
        <v>4089</v>
      </c>
    </row>
    <row r="807" spans="1:8" hidden="1">
      <c r="B807" s="26" t="s">
        <v>5430</v>
      </c>
      <c r="F807" s="78" t="s">
        <v>1697</v>
      </c>
      <c r="G807" s="26">
        <v>4</v>
      </c>
      <c r="H807" s="26" t="s">
        <v>4041</v>
      </c>
    </row>
    <row r="808" spans="1:8">
      <c r="A808" s="26"/>
    </row>
    <row r="809" spans="1:8">
      <c r="A809" s="78" t="s">
        <v>3984</v>
      </c>
      <c r="C809" s="203" t="s">
        <v>2367</v>
      </c>
      <c r="D809" s="171"/>
      <c r="F809" s="171" t="s">
        <v>297</v>
      </c>
      <c r="G809" s="162">
        <v>20</v>
      </c>
      <c r="H809" s="26" t="s">
        <v>4724</v>
      </c>
    </row>
    <row r="810" spans="1:8">
      <c r="A810" s="26"/>
      <c r="B810" s="79" t="s">
        <v>2368</v>
      </c>
    </row>
    <row r="811" spans="1:8">
      <c r="A811" s="26"/>
      <c r="B811" s="95" t="s">
        <v>2369</v>
      </c>
      <c r="C811" s="157" t="s">
        <v>6374</v>
      </c>
      <c r="D811" s="195"/>
      <c r="E811" s="95" t="s">
        <v>2370</v>
      </c>
      <c r="F811" s="95" t="s">
        <v>1166</v>
      </c>
      <c r="G811" s="95" t="s">
        <v>2371</v>
      </c>
      <c r="H811" s="95" t="s">
        <v>2372</v>
      </c>
    </row>
    <row r="812" spans="1:8">
      <c r="A812" s="26"/>
      <c r="B812" s="114"/>
      <c r="C812" s="154"/>
      <c r="D812" s="192"/>
      <c r="E812" s="114"/>
      <c r="F812" s="114"/>
      <c r="G812" s="114" t="s">
        <v>3485</v>
      </c>
      <c r="H812" s="114" t="s">
        <v>3485</v>
      </c>
    </row>
    <row r="813" spans="1:8">
      <c r="A813" s="26"/>
      <c r="B813" s="95">
        <v>1</v>
      </c>
      <c r="C813" s="131" t="s">
        <v>2916</v>
      </c>
      <c r="D813" s="195"/>
      <c r="E813" s="107"/>
      <c r="F813" s="190">
        <v>5</v>
      </c>
      <c r="G813" s="214">
        <f>'BASIC DATA'!D359</f>
        <v>30</v>
      </c>
      <c r="H813" s="179">
        <f>F813*G813</f>
        <v>150</v>
      </c>
    </row>
    <row r="814" spans="1:8">
      <c r="A814" s="26"/>
      <c r="B814" s="114"/>
      <c r="C814" s="154"/>
      <c r="D814" s="192"/>
      <c r="E814" s="191"/>
      <c r="F814" s="182">
        <v>0</v>
      </c>
      <c r="G814" s="182">
        <v>0</v>
      </c>
      <c r="H814" s="182">
        <f>F814*G814</f>
        <v>0</v>
      </c>
    </row>
    <row r="815" spans="1:8">
      <c r="A815" s="26"/>
      <c r="B815" s="176"/>
      <c r="C815" s="174"/>
      <c r="D815" s="174" t="s">
        <v>2376</v>
      </c>
      <c r="E815" s="174"/>
      <c r="F815" s="192"/>
      <c r="G815" s="275" t="s">
        <v>1698</v>
      </c>
      <c r="H815" s="318">
        <f>SUM(H813:H814)</f>
        <v>150</v>
      </c>
    </row>
    <row r="816" spans="1:8">
      <c r="A816" s="26"/>
    </row>
    <row r="817" spans="1:8">
      <c r="A817" s="26"/>
      <c r="B817" s="79" t="s">
        <v>2377</v>
      </c>
    </row>
    <row r="818" spans="1:8">
      <c r="A818" s="26"/>
      <c r="B818" s="95" t="s">
        <v>2369</v>
      </c>
      <c r="C818" s="157" t="s">
        <v>2378</v>
      </c>
      <c r="D818" s="195"/>
      <c r="E818" s="95" t="s">
        <v>2370</v>
      </c>
      <c r="F818" s="95" t="s">
        <v>1166</v>
      </c>
      <c r="G818" s="95" t="s">
        <v>2371</v>
      </c>
      <c r="H818" s="95" t="s">
        <v>2372</v>
      </c>
    </row>
    <row r="819" spans="1:8">
      <c r="A819" s="26"/>
      <c r="B819" s="114"/>
      <c r="C819" s="154"/>
      <c r="D819" s="192"/>
      <c r="E819" s="114"/>
      <c r="F819" s="114"/>
      <c r="G819" s="114" t="s">
        <v>3485</v>
      </c>
      <c r="H819" s="114" t="s">
        <v>3485</v>
      </c>
    </row>
    <row r="820" spans="1:8">
      <c r="A820" s="26"/>
      <c r="B820" s="95">
        <v>1</v>
      </c>
      <c r="C820" s="131" t="s">
        <v>2917</v>
      </c>
      <c r="E820" s="195" t="s">
        <v>2374</v>
      </c>
      <c r="F820" s="179">
        <v>8</v>
      </c>
      <c r="G820" s="179">
        <f>'HIRE CHARGES'!G526</f>
        <v>99</v>
      </c>
      <c r="H820" s="179">
        <f>F820*G820</f>
        <v>792</v>
      </c>
    </row>
    <row r="821" spans="1:8">
      <c r="A821" s="26"/>
      <c r="B821" s="114"/>
      <c r="C821" s="139" t="s">
        <v>2300</v>
      </c>
      <c r="D821" s="192"/>
      <c r="E821" s="268">
        <v>0.2</v>
      </c>
      <c r="F821" s="182"/>
      <c r="G821" s="182"/>
      <c r="H821" s="182">
        <f>H820*E821</f>
        <v>158.4</v>
      </c>
    </row>
    <row r="822" spans="1:8">
      <c r="A822" s="26"/>
      <c r="B822" s="176"/>
      <c r="C822" s="174"/>
      <c r="D822" s="174" t="s">
        <v>2380</v>
      </c>
      <c r="E822" s="174"/>
      <c r="F822" s="192"/>
      <c r="G822" s="275" t="s">
        <v>1698</v>
      </c>
      <c r="H822" s="318">
        <f>SUM(H820:H821)</f>
        <v>950.4</v>
      </c>
    </row>
    <row r="823" spans="1:8">
      <c r="A823" s="26"/>
    </row>
    <row r="824" spans="1:8">
      <c r="A824" s="26"/>
      <c r="B824" s="79" t="s">
        <v>2381</v>
      </c>
    </row>
    <row r="825" spans="1:8">
      <c r="A825" s="26"/>
      <c r="B825" s="95" t="s">
        <v>2369</v>
      </c>
      <c r="C825" s="157" t="s">
        <v>2378</v>
      </c>
      <c r="D825" s="195"/>
      <c r="E825" s="95" t="s">
        <v>2370</v>
      </c>
      <c r="F825" s="95" t="s">
        <v>1166</v>
      </c>
      <c r="G825" s="95" t="s">
        <v>2371</v>
      </c>
      <c r="H825" s="95" t="s">
        <v>2372</v>
      </c>
    </row>
    <row r="826" spans="1:8">
      <c r="A826" s="26"/>
      <c r="B826" s="114"/>
      <c r="C826" s="154"/>
      <c r="D826" s="192"/>
      <c r="E826" s="105"/>
      <c r="F826" s="114"/>
      <c r="G826" s="114" t="s">
        <v>3485</v>
      </c>
      <c r="H826" s="114" t="s">
        <v>3485</v>
      </c>
    </row>
    <row r="827" spans="1:8">
      <c r="A827" s="26"/>
      <c r="B827" s="95">
        <v>1</v>
      </c>
      <c r="C827" s="148" t="s">
        <v>2915</v>
      </c>
      <c r="D827" s="187"/>
      <c r="E827" s="107" t="s">
        <v>1172</v>
      </c>
      <c r="F827" s="178">
        <v>2</v>
      </c>
      <c r="G827" s="179">
        <f>'BASIC DATA'!C561</f>
        <v>860</v>
      </c>
      <c r="H827" s="179">
        <f>F827*G827</f>
        <v>1720</v>
      </c>
    </row>
    <row r="828" spans="1:8">
      <c r="A828" s="26"/>
      <c r="B828" s="105">
        <v>2</v>
      </c>
      <c r="C828" s="76" t="s">
        <v>1134</v>
      </c>
      <c r="D828" s="31"/>
      <c r="E828" s="210" t="s">
        <v>1172</v>
      </c>
      <c r="F828" s="207">
        <v>1</v>
      </c>
      <c r="G828" s="190">
        <f>'BASIC DATA'!C561</f>
        <v>860</v>
      </c>
      <c r="H828" s="190">
        <f>F828*G828</f>
        <v>860</v>
      </c>
    </row>
    <row r="829" spans="1:8">
      <c r="A829" s="26"/>
      <c r="B829" s="105">
        <v>3</v>
      </c>
      <c r="C829" s="76" t="s">
        <v>1135</v>
      </c>
      <c r="D829" s="31"/>
      <c r="E829" s="210" t="s">
        <v>1172</v>
      </c>
      <c r="F829" s="207">
        <v>1</v>
      </c>
      <c r="G829" s="190">
        <f>'BASIC DATA'!C560</f>
        <v>520</v>
      </c>
      <c r="H829" s="190">
        <f>F829*G829</f>
        <v>520</v>
      </c>
    </row>
    <row r="830" spans="1:8">
      <c r="A830" s="26"/>
      <c r="B830" s="114">
        <v>4</v>
      </c>
      <c r="C830" s="89" t="s">
        <v>2697</v>
      </c>
      <c r="D830" s="174"/>
      <c r="E830" s="191" t="s">
        <v>1172</v>
      </c>
      <c r="F830" s="181">
        <v>4</v>
      </c>
      <c r="G830" s="182">
        <f>'BASIC DATA'!C552</f>
        <v>350</v>
      </c>
      <c r="H830" s="182">
        <f>F830*G830</f>
        <v>1400</v>
      </c>
    </row>
    <row r="831" spans="1:8">
      <c r="A831" s="26"/>
      <c r="B831" s="176"/>
      <c r="C831" s="174"/>
      <c r="D831" s="174" t="s">
        <v>1174</v>
      </c>
      <c r="E831" s="174"/>
      <c r="F831" s="192"/>
      <c r="G831" s="275" t="s">
        <v>1698</v>
      </c>
      <c r="H831" s="318">
        <f>SUM(H827:H830)</f>
        <v>4500</v>
      </c>
    </row>
    <row r="832" spans="1:8">
      <c r="A832" s="26"/>
      <c r="B832" s="60" t="s">
        <v>5948</v>
      </c>
      <c r="C832" s="31"/>
      <c r="D832" s="31"/>
      <c r="E832" s="85">
        <f>ROUND(H831/G809,1)</f>
        <v>225</v>
      </c>
      <c r="G832" s="31"/>
    </row>
    <row r="833" spans="1:8">
      <c r="A833" s="26"/>
      <c r="B833" s="60" t="s">
        <v>3163</v>
      </c>
      <c r="C833" s="31"/>
      <c r="D833" s="31">
        <f>'BASIC DATA'!$C$577</f>
        <v>0.13614999999999999</v>
      </c>
      <c r="E833" s="85">
        <f>ROUND(E832*D833,1)</f>
        <v>30.6</v>
      </c>
      <c r="G833" s="31"/>
    </row>
    <row r="834" spans="1:8">
      <c r="A834" s="26"/>
      <c r="B834" s="60" t="s">
        <v>5949</v>
      </c>
      <c r="C834" s="31"/>
      <c r="D834" s="31"/>
      <c r="E834" s="739">
        <f>E833+E832</f>
        <v>255.6</v>
      </c>
      <c r="G834" s="31"/>
    </row>
    <row r="835" spans="1:8">
      <c r="A835" s="26"/>
      <c r="B835" s="33"/>
      <c r="C835" s="31"/>
      <c r="D835" s="31"/>
      <c r="E835" s="31"/>
      <c r="F835" s="31"/>
      <c r="G835" s="200"/>
      <c r="H835" s="75"/>
    </row>
    <row r="836" spans="1:8">
      <c r="A836" s="26"/>
      <c r="B836" s="170" t="s">
        <v>1175</v>
      </c>
    </row>
    <row r="837" spans="1:8">
      <c r="A837" s="26"/>
      <c r="B837" s="26" t="s">
        <v>1176</v>
      </c>
      <c r="F837" s="171" t="s">
        <v>1698</v>
      </c>
      <c r="G837" s="68">
        <f>H815</f>
        <v>150</v>
      </c>
    </row>
    <row r="838" spans="1:8">
      <c r="A838" s="26"/>
      <c r="B838" s="26" t="s">
        <v>1186</v>
      </c>
      <c r="F838" s="171" t="s">
        <v>1698</v>
      </c>
      <c r="G838" s="68">
        <f>H822</f>
        <v>950.4</v>
      </c>
    </row>
    <row r="839" spans="1:8">
      <c r="A839" s="26"/>
      <c r="B839" s="26" t="s">
        <v>2660</v>
      </c>
      <c r="F839" s="171" t="s">
        <v>1698</v>
      </c>
      <c r="G839" s="68">
        <f>H831</f>
        <v>4500</v>
      </c>
    </row>
    <row r="840" spans="1:8">
      <c r="A840" s="26"/>
      <c r="E840" s="26" t="s">
        <v>1518</v>
      </c>
      <c r="F840" s="171" t="s">
        <v>1698</v>
      </c>
      <c r="G840" s="205">
        <f>SUM(G837:G839)</f>
        <v>5600.4</v>
      </c>
    </row>
    <row r="841" spans="1:8" ht="36.75" customHeight="1">
      <c r="A841" s="26"/>
      <c r="B841" s="1207" t="s">
        <v>1379</v>
      </c>
      <c r="C841" s="1207"/>
      <c r="E841" s="249">
        <f>'BASIC DATA'!$C$577</f>
        <v>0.13614999999999999</v>
      </c>
      <c r="F841" s="26" t="s">
        <v>1698</v>
      </c>
      <c r="G841" s="26">
        <f>G840*E841</f>
        <v>762.49445999999989</v>
      </c>
    </row>
    <row r="842" spans="1:8">
      <c r="A842" s="26"/>
      <c r="B842" s="26" t="s">
        <v>1191</v>
      </c>
      <c r="D842" s="68">
        <f>G809</f>
        <v>20</v>
      </c>
      <c r="E842" s="68" t="str">
        <f>H809</f>
        <v>Stages</v>
      </c>
      <c r="F842" s="26" t="s">
        <v>1698</v>
      </c>
      <c r="G842" s="211">
        <f>G841+G840</f>
        <v>6362.8944599999995</v>
      </c>
    </row>
    <row r="843" spans="1:8">
      <c r="A843" s="26"/>
      <c r="B843" s="170" t="s">
        <v>1584</v>
      </c>
      <c r="C843" s="211" t="s">
        <v>817</v>
      </c>
      <c r="D843" s="26" t="s">
        <v>5890</v>
      </c>
      <c r="F843" s="26" t="s">
        <v>4108</v>
      </c>
      <c r="G843" s="211">
        <f>ROUND(G842/D842,1)</f>
        <v>318.10000000000002</v>
      </c>
    </row>
    <row r="844" spans="1:8">
      <c r="A844" s="26"/>
    </row>
    <row r="845" spans="1:8">
      <c r="A845" s="26"/>
    </row>
    <row r="846" spans="1:8">
      <c r="A846" s="78" t="s">
        <v>5491</v>
      </c>
      <c r="B846" s="26" t="s">
        <v>9155</v>
      </c>
    </row>
    <row r="847" spans="1:8">
      <c r="B847" s="26" t="s">
        <v>9156</v>
      </c>
    </row>
    <row r="848" spans="1:8">
      <c r="B848" s="26" t="s">
        <v>3620</v>
      </c>
    </row>
    <row r="849" spans="1:2">
      <c r="B849" s="26" t="s">
        <v>3621</v>
      </c>
    </row>
    <row r="850" spans="1:2" ht="18.75">
      <c r="B850" s="170" t="s">
        <v>9104</v>
      </c>
    </row>
    <row r="851" spans="1:2">
      <c r="B851" s="47" t="s">
        <v>2587</v>
      </c>
    </row>
    <row r="852" spans="1:2">
      <c r="B852" s="26" t="s">
        <v>2588</v>
      </c>
    </row>
    <row r="853" spans="1:2" hidden="1">
      <c r="A853" s="78" t="s">
        <v>3984</v>
      </c>
      <c r="B853" s="26" t="s">
        <v>6384</v>
      </c>
    </row>
    <row r="854" spans="1:2" hidden="1">
      <c r="B854" s="26" t="s">
        <v>5134</v>
      </c>
    </row>
    <row r="855" spans="1:2" hidden="1">
      <c r="B855" s="26" t="s">
        <v>63</v>
      </c>
    </row>
    <row r="856" spans="1:2" hidden="1">
      <c r="B856" s="26" t="s">
        <v>64</v>
      </c>
    </row>
    <row r="857" spans="1:2" hidden="1">
      <c r="B857" s="26" t="s">
        <v>1423</v>
      </c>
    </row>
    <row r="858" spans="1:2" hidden="1">
      <c r="B858" s="26" t="s">
        <v>1424</v>
      </c>
    </row>
    <row r="859" spans="1:2" hidden="1">
      <c r="B859" s="26" t="s">
        <v>5570</v>
      </c>
    </row>
    <row r="860" spans="1:2" hidden="1">
      <c r="B860" s="26" t="s">
        <v>5571</v>
      </c>
    </row>
    <row r="861" spans="1:2" hidden="1">
      <c r="B861" s="26" t="s">
        <v>3344</v>
      </c>
    </row>
    <row r="862" spans="1:2" hidden="1">
      <c r="B862" s="26" t="s">
        <v>3317</v>
      </c>
    </row>
    <row r="863" spans="1:2" hidden="1">
      <c r="B863" s="26" t="s">
        <v>3318</v>
      </c>
    </row>
    <row r="864" spans="1:2" hidden="1">
      <c r="B864" s="26"/>
    </row>
    <row r="865" spans="2:8" hidden="1">
      <c r="B865" s="26" t="s">
        <v>2366</v>
      </c>
    </row>
    <row r="866" spans="2:8" hidden="1">
      <c r="B866" s="26" t="s">
        <v>3319</v>
      </c>
      <c r="D866" s="68">
        <f>'BASIC DATA'!D302</f>
        <v>10500</v>
      </c>
      <c r="E866" s="26" t="s">
        <v>2290</v>
      </c>
      <c r="G866" s="171" t="s">
        <v>1698</v>
      </c>
      <c r="H866" s="117">
        <f>D866</f>
        <v>10500</v>
      </c>
    </row>
    <row r="867" spans="2:8" hidden="1">
      <c r="B867" s="26" t="s">
        <v>3320</v>
      </c>
      <c r="F867" s="78" t="s">
        <v>1697</v>
      </c>
      <c r="G867" s="26">
        <v>90</v>
      </c>
      <c r="H867" s="26" t="s">
        <v>2602</v>
      </c>
    </row>
    <row r="868" spans="2:8" hidden="1">
      <c r="B868" s="26" t="s">
        <v>4778</v>
      </c>
      <c r="E868" s="26" t="s">
        <v>7593</v>
      </c>
      <c r="F868" s="78"/>
      <c r="G868" s="171" t="s">
        <v>1698</v>
      </c>
      <c r="H868" s="117">
        <f>H866/G867</f>
        <v>116.66666666666667</v>
      </c>
    </row>
    <row r="869" spans="2:8" hidden="1">
      <c r="B869" s="26" t="s">
        <v>4779</v>
      </c>
      <c r="D869" s="68">
        <f>'BASIC DATA'!D312</f>
        <v>5150</v>
      </c>
      <c r="E869" s="26" t="s">
        <v>2290</v>
      </c>
      <c r="F869" s="78"/>
      <c r="G869" s="171" t="s">
        <v>1698</v>
      </c>
      <c r="H869" s="117">
        <f>D869</f>
        <v>5150</v>
      </c>
    </row>
    <row r="870" spans="2:8" hidden="1">
      <c r="B870" s="26" t="s">
        <v>4780</v>
      </c>
      <c r="F870" s="78" t="s">
        <v>1697</v>
      </c>
      <c r="G870" s="26">
        <v>180</v>
      </c>
      <c r="H870" s="26" t="s">
        <v>2602</v>
      </c>
    </row>
    <row r="871" spans="2:8" hidden="1">
      <c r="B871" s="26" t="s">
        <v>174</v>
      </c>
      <c r="E871" s="26" t="s">
        <v>7593</v>
      </c>
      <c r="F871" s="78"/>
      <c r="G871" s="171" t="s">
        <v>1698</v>
      </c>
      <c r="H871" s="117">
        <f>H869/G870</f>
        <v>28.611111111111111</v>
      </c>
    </row>
    <row r="872" spans="2:8" hidden="1">
      <c r="B872" s="26" t="s">
        <v>175</v>
      </c>
      <c r="D872" s="68">
        <f>'BASIC DATA'!D306</f>
        <v>2120</v>
      </c>
      <c r="E872" s="26" t="s">
        <v>2618</v>
      </c>
      <c r="F872" s="78"/>
      <c r="G872" s="171" t="s">
        <v>1698</v>
      </c>
      <c r="H872" s="117">
        <f>D872*16.5</f>
        <v>34980</v>
      </c>
    </row>
    <row r="873" spans="2:8" hidden="1">
      <c r="B873" s="26" t="s">
        <v>176</v>
      </c>
      <c r="F873" s="78" t="s">
        <v>1697</v>
      </c>
      <c r="G873" s="26">
        <v>20000</v>
      </c>
      <c r="H873" s="68" t="s">
        <v>2602</v>
      </c>
    </row>
    <row r="874" spans="2:8" hidden="1">
      <c r="B874" s="26" t="s">
        <v>177</v>
      </c>
      <c r="E874" s="26" t="s">
        <v>7593</v>
      </c>
      <c r="G874" s="171" t="s">
        <v>1698</v>
      </c>
      <c r="H874" s="117">
        <f>H872/G873</f>
        <v>1.7490000000000001</v>
      </c>
    </row>
    <row r="875" spans="2:8" hidden="1">
      <c r="B875" s="26" t="s">
        <v>178</v>
      </c>
    </row>
    <row r="876" spans="2:8" hidden="1">
      <c r="B876" s="26" t="s">
        <v>179</v>
      </c>
      <c r="D876" s="68">
        <f>'BASIC DATA'!D72</f>
        <v>54000</v>
      </c>
      <c r="E876" s="26" t="s">
        <v>3691</v>
      </c>
      <c r="G876" s="171" t="s">
        <v>1698</v>
      </c>
      <c r="H876" s="202">
        <f>D876*0.033</f>
        <v>1782</v>
      </c>
    </row>
    <row r="877" spans="2:8" hidden="1">
      <c r="B877" s="26" t="s">
        <v>1805</v>
      </c>
      <c r="D877" s="201">
        <v>0.1</v>
      </c>
      <c r="G877" s="171" t="s">
        <v>1698</v>
      </c>
      <c r="H877" s="202">
        <f>H876*D877</f>
        <v>178.20000000000002</v>
      </c>
    </row>
    <row r="878" spans="2:8" hidden="1">
      <c r="B878" s="26" t="s">
        <v>1806</v>
      </c>
      <c r="D878" s="201">
        <v>0.15</v>
      </c>
      <c r="G878" s="171" t="s">
        <v>1698</v>
      </c>
      <c r="H878" s="366">
        <f>H876*D878</f>
        <v>267.3</v>
      </c>
    </row>
    <row r="879" spans="2:8" hidden="1">
      <c r="B879" s="26" t="s">
        <v>2064</v>
      </c>
      <c r="D879" s="26">
        <v>9</v>
      </c>
      <c r="E879" s="26" t="s">
        <v>6839</v>
      </c>
      <c r="G879" s="171" t="s">
        <v>1698</v>
      </c>
      <c r="H879" s="202">
        <f>SUM(H876:H878)</f>
        <v>2227.5</v>
      </c>
    </row>
    <row r="880" spans="2:8" hidden="1">
      <c r="B880" s="26" t="s">
        <v>180</v>
      </c>
      <c r="G880" s="171" t="s">
        <v>1698</v>
      </c>
      <c r="H880" s="202">
        <f>H879/D879</f>
        <v>247.5</v>
      </c>
    </row>
    <row r="881" spans="1:8">
      <c r="A881" s="26"/>
    </row>
    <row r="882" spans="1:8">
      <c r="A882" s="26" t="s">
        <v>9215</v>
      </c>
      <c r="C882" s="203" t="s">
        <v>2367</v>
      </c>
      <c r="D882" s="171"/>
      <c r="F882" s="171" t="s">
        <v>297</v>
      </c>
      <c r="G882" s="776">
        <v>3</v>
      </c>
      <c r="H882" s="26" t="s">
        <v>3483</v>
      </c>
    </row>
    <row r="883" spans="1:8">
      <c r="A883" s="26"/>
      <c r="B883" s="79" t="s">
        <v>2368</v>
      </c>
    </row>
    <row r="884" spans="1:8">
      <c r="A884" s="26"/>
      <c r="B884" s="95" t="s">
        <v>2369</v>
      </c>
      <c r="C884" s="157" t="s">
        <v>6374</v>
      </c>
      <c r="D884" s="195"/>
      <c r="E884" s="95" t="s">
        <v>2370</v>
      </c>
      <c r="F884" s="95" t="s">
        <v>1166</v>
      </c>
      <c r="G884" s="95" t="s">
        <v>2371</v>
      </c>
      <c r="H884" s="95" t="s">
        <v>2372</v>
      </c>
    </row>
    <row r="885" spans="1:8">
      <c r="A885" s="26"/>
      <c r="B885" s="105"/>
      <c r="C885" s="154"/>
      <c r="D885" s="192"/>
      <c r="E885" s="114"/>
      <c r="F885" s="114"/>
      <c r="G885" s="114" t="s">
        <v>3485</v>
      </c>
      <c r="H885" s="114" t="s">
        <v>3485</v>
      </c>
    </row>
    <row r="886" spans="1:8">
      <c r="A886" s="26"/>
      <c r="B886" s="95">
        <v>1</v>
      </c>
      <c r="C886" s="148" t="s">
        <v>181</v>
      </c>
      <c r="D886" s="195"/>
      <c r="E886" s="344" t="s">
        <v>3483</v>
      </c>
      <c r="F886" s="190">
        <v>3</v>
      </c>
      <c r="G886" s="190">
        <f>H868</f>
        <v>116.66666666666667</v>
      </c>
      <c r="H886" s="179">
        <f>F886*G886</f>
        <v>350</v>
      </c>
    </row>
    <row r="887" spans="1:8">
      <c r="A887" s="26"/>
      <c r="B887" s="105">
        <v>2</v>
      </c>
      <c r="C887" s="76" t="s">
        <v>182</v>
      </c>
      <c r="D887" s="189"/>
      <c r="E887" s="280" t="s">
        <v>3483</v>
      </c>
      <c r="F887" s="190">
        <v>3</v>
      </c>
      <c r="G887" s="190">
        <f>H871</f>
        <v>28.611111111111111</v>
      </c>
      <c r="H887" s="190">
        <f>F887*G887</f>
        <v>85.833333333333329</v>
      </c>
    </row>
    <row r="888" spans="1:8">
      <c r="A888" s="26"/>
      <c r="B888" s="105">
        <v>3</v>
      </c>
      <c r="C888" s="76" t="s">
        <v>183</v>
      </c>
      <c r="D888" s="189"/>
      <c r="E888" s="280" t="s">
        <v>3483</v>
      </c>
      <c r="F888" s="190">
        <v>3</v>
      </c>
      <c r="G888" s="190">
        <f>H874</f>
        <v>1.7490000000000001</v>
      </c>
      <c r="H888" s="190">
        <f>F888*G888</f>
        <v>5.2469999999999999</v>
      </c>
    </row>
    <row r="889" spans="1:8">
      <c r="A889" s="26"/>
      <c r="B889" s="114">
        <v>4</v>
      </c>
      <c r="C889" s="89" t="s">
        <v>184</v>
      </c>
      <c r="D889" s="192"/>
      <c r="E889" s="275" t="s">
        <v>3483</v>
      </c>
      <c r="F889" s="182">
        <v>3</v>
      </c>
      <c r="G889" s="182">
        <f>H880</f>
        <v>247.5</v>
      </c>
      <c r="H889" s="182">
        <f>F889*G889</f>
        <v>742.5</v>
      </c>
    </row>
    <row r="890" spans="1:8">
      <c r="A890" s="26"/>
      <c r="B890" s="176"/>
      <c r="C890" s="174"/>
      <c r="D890" s="174" t="s">
        <v>2376</v>
      </c>
      <c r="E890" s="174"/>
      <c r="F890" s="192"/>
      <c r="G890" s="275" t="s">
        <v>1698</v>
      </c>
      <c r="H890" s="318">
        <f>SUM(H886:H889)</f>
        <v>1183.5803333333333</v>
      </c>
    </row>
    <row r="891" spans="1:8">
      <c r="A891" s="26"/>
    </row>
    <row r="892" spans="1:8">
      <c r="A892" s="26"/>
      <c r="B892" s="79" t="s">
        <v>2377</v>
      </c>
    </row>
    <row r="893" spans="1:8">
      <c r="A893" s="26"/>
      <c r="B893" s="95" t="s">
        <v>2369</v>
      </c>
      <c r="C893" s="157" t="s">
        <v>2378</v>
      </c>
      <c r="D893" s="195"/>
      <c r="E893" s="95" t="s">
        <v>2370</v>
      </c>
      <c r="F893" s="95" t="s">
        <v>1166</v>
      </c>
      <c r="G893" s="95" t="s">
        <v>2371</v>
      </c>
      <c r="H893" s="95" t="s">
        <v>2372</v>
      </c>
    </row>
    <row r="894" spans="1:8">
      <c r="A894" s="26"/>
      <c r="B894" s="114"/>
      <c r="C894" s="154"/>
      <c r="D894" s="192"/>
      <c r="E894" s="114"/>
      <c r="F894" s="114"/>
      <c r="G894" s="114" t="s">
        <v>3485</v>
      </c>
      <c r="H894" s="114" t="s">
        <v>3485</v>
      </c>
    </row>
    <row r="895" spans="1:8">
      <c r="A895" s="26"/>
      <c r="B895" s="95">
        <v>1</v>
      </c>
      <c r="C895" s="131" t="s">
        <v>2941</v>
      </c>
      <c r="E895" s="107" t="s">
        <v>2374</v>
      </c>
      <c r="F895" s="179">
        <v>1</v>
      </c>
      <c r="G895" s="179">
        <f>'HIRE CHARGES'!D513</f>
        <v>319</v>
      </c>
      <c r="H895" s="179">
        <f>F895*G895</f>
        <v>319</v>
      </c>
    </row>
    <row r="896" spans="1:8">
      <c r="A896" s="26"/>
      <c r="B896" s="280"/>
      <c r="C896" s="135" t="s">
        <v>2379</v>
      </c>
      <c r="E896" s="210" t="s">
        <v>2374</v>
      </c>
      <c r="F896" s="190">
        <v>1</v>
      </c>
      <c r="G896" s="190">
        <f>'HIRE CHARGES'!E513</f>
        <v>238</v>
      </c>
      <c r="H896" s="190">
        <f>F896*G896</f>
        <v>238</v>
      </c>
    </row>
    <row r="897" spans="1:8">
      <c r="A897" s="26"/>
      <c r="B897" s="105">
        <v>2</v>
      </c>
      <c r="C897" s="135" t="s">
        <v>1944</v>
      </c>
      <c r="E897" s="210" t="s">
        <v>2374</v>
      </c>
      <c r="F897" s="190">
        <v>2</v>
      </c>
      <c r="G897" s="190">
        <f>'HIRE CHARGES'!D517</f>
        <v>10.199999999999999</v>
      </c>
      <c r="H897" s="190">
        <f>F897*G897</f>
        <v>20.399999999999999</v>
      </c>
    </row>
    <row r="898" spans="1:8">
      <c r="A898" s="26"/>
      <c r="B898" s="280"/>
      <c r="C898" s="135" t="s">
        <v>2379</v>
      </c>
      <c r="E898" s="210" t="s">
        <v>2374</v>
      </c>
      <c r="F898" s="190">
        <v>2</v>
      </c>
      <c r="G898" s="190">
        <f>'HIRE CHARGES'!E517</f>
        <v>79.3</v>
      </c>
      <c r="H898" s="190">
        <f>F898*G898</f>
        <v>158.6</v>
      </c>
    </row>
    <row r="899" spans="1:8">
      <c r="A899" s="26"/>
      <c r="B899" s="114">
        <v>3</v>
      </c>
      <c r="C899" s="139" t="s">
        <v>1945</v>
      </c>
      <c r="D899" s="174"/>
      <c r="E899" s="191" t="s">
        <v>2173</v>
      </c>
      <c r="F899" s="182">
        <v>2</v>
      </c>
      <c r="G899" s="215">
        <f>'BASIC DATA'!D359</f>
        <v>30</v>
      </c>
      <c r="H899" s="182">
        <f>F899*G899</f>
        <v>60</v>
      </c>
    </row>
    <row r="900" spans="1:8">
      <c r="A900" s="26"/>
      <c r="B900" s="176"/>
      <c r="C900" s="174"/>
      <c r="D900" s="174" t="s">
        <v>2380</v>
      </c>
      <c r="E900" s="174"/>
      <c r="F900" s="192"/>
      <c r="G900" s="275" t="s">
        <v>1698</v>
      </c>
      <c r="H900" s="318">
        <f>SUM(H895:H899)</f>
        <v>796</v>
      </c>
    </row>
    <row r="901" spans="1:8">
      <c r="A901" s="26"/>
    </row>
    <row r="902" spans="1:8">
      <c r="A902" s="26"/>
      <c r="B902" s="79" t="s">
        <v>2381</v>
      </c>
    </row>
    <row r="903" spans="1:8">
      <c r="A903" s="26"/>
      <c r="B903" s="95" t="s">
        <v>2369</v>
      </c>
      <c r="C903" s="157" t="s">
        <v>2378</v>
      </c>
      <c r="D903" s="195"/>
      <c r="E903" s="95" t="s">
        <v>2370</v>
      </c>
      <c r="F903" s="95" t="s">
        <v>1166</v>
      </c>
      <c r="G903" s="95" t="s">
        <v>2371</v>
      </c>
      <c r="H903" s="95" t="s">
        <v>2372</v>
      </c>
    </row>
    <row r="904" spans="1:8">
      <c r="A904" s="26"/>
      <c r="B904" s="114"/>
      <c r="C904" s="154"/>
      <c r="D904" s="192"/>
      <c r="E904" s="105"/>
      <c r="F904" s="114"/>
      <c r="G904" s="114" t="s">
        <v>3485</v>
      </c>
      <c r="H904" s="114" t="s">
        <v>3485</v>
      </c>
    </row>
    <row r="905" spans="1:8">
      <c r="A905" s="26"/>
      <c r="B905" s="95">
        <v>1</v>
      </c>
      <c r="C905" s="148" t="s">
        <v>1946</v>
      </c>
      <c r="D905" s="187"/>
      <c r="E905" s="107" t="s">
        <v>2374</v>
      </c>
      <c r="F905" s="178">
        <v>1</v>
      </c>
      <c r="G905" s="179">
        <f>'HIRE CHARGES'!F513</f>
        <v>283.89999999999998</v>
      </c>
      <c r="H905" s="179">
        <f>F905*G905</f>
        <v>283.89999999999998</v>
      </c>
    </row>
    <row r="906" spans="1:8">
      <c r="A906" s="26"/>
      <c r="B906" s="105">
        <v>2</v>
      </c>
      <c r="C906" s="76" t="s">
        <v>999</v>
      </c>
      <c r="D906" s="31"/>
      <c r="E906" s="210" t="s">
        <v>2374</v>
      </c>
      <c r="F906" s="207">
        <v>2</v>
      </c>
      <c r="G906" s="190">
        <f>'HIRE CHARGES'!F517</f>
        <v>111.1</v>
      </c>
      <c r="H906" s="190">
        <f>F906*G906</f>
        <v>222.2</v>
      </c>
    </row>
    <row r="907" spans="1:8">
      <c r="A907" s="26"/>
      <c r="B907" s="114">
        <v>3</v>
      </c>
      <c r="C907" s="89" t="s">
        <v>2697</v>
      </c>
      <c r="D907" s="174"/>
      <c r="E907" s="191" t="s">
        <v>1172</v>
      </c>
      <c r="F907" s="181">
        <v>2</v>
      </c>
      <c r="G907" s="190">
        <f>'BASIC DATA'!C552</f>
        <v>350</v>
      </c>
      <c r="H907" s="182">
        <f>F907*G907</f>
        <v>700</v>
      </c>
    </row>
    <row r="908" spans="1:8">
      <c r="A908" s="26"/>
      <c r="B908" s="176"/>
      <c r="C908" s="174"/>
      <c r="D908" s="174" t="s">
        <v>1174</v>
      </c>
      <c r="E908" s="174"/>
      <c r="F908" s="192"/>
      <c r="G908" s="236" t="s">
        <v>1698</v>
      </c>
      <c r="H908" s="318">
        <f>SUM(H905:H907)</f>
        <v>1206.0999999999999</v>
      </c>
    </row>
    <row r="909" spans="1:8">
      <c r="A909" s="26"/>
      <c r="B909" s="60" t="s">
        <v>5948</v>
      </c>
      <c r="C909" s="31"/>
      <c r="D909" s="31"/>
      <c r="E909" s="85">
        <f>ROUND(H908/G882,1)</f>
        <v>402</v>
      </c>
      <c r="G909" s="31"/>
    </row>
    <row r="910" spans="1:8">
      <c r="A910" s="26"/>
      <c r="B910" s="60" t="s">
        <v>3163</v>
      </c>
      <c r="C910" s="31"/>
      <c r="D910" s="31">
        <f>'BASIC DATA'!$C$577</f>
        <v>0.13614999999999999</v>
      </c>
      <c r="E910" s="85">
        <f>ROUND(E909*D910,1)</f>
        <v>54.7</v>
      </c>
      <c r="G910" s="31"/>
    </row>
    <row r="911" spans="1:8">
      <c r="A911" s="26"/>
      <c r="B911" s="60" t="s">
        <v>5949</v>
      </c>
      <c r="C911" s="31"/>
      <c r="D911" s="31"/>
      <c r="E911" s="739">
        <f>E910+E909</f>
        <v>456.7</v>
      </c>
      <c r="G911" s="31"/>
    </row>
    <row r="912" spans="1:8">
      <c r="A912" s="26"/>
      <c r="B912" s="26"/>
    </row>
    <row r="913" spans="1:7">
      <c r="A913" s="26"/>
      <c r="B913" s="170" t="s">
        <v>1175</v>
      </c>
    </row>
    <row r="914" spans="1:7">
      <c r="A914" s="26"/>
      <c r="B914" s="26" t="s">
        <v>1176</v>
      </c>
      <c r="F914" s="171" t="s">
        <v>1698</v>
      </c>
      <c r="G914" s="68">
        <f>H890</f>
        <v>1183.5803333333333</v>
      </c>
    </row>
    <row r="915" spans="1:7">
      <c r="A915" s="26"/>
      <c r="B915" s="26" t="s">
        <v>1186</v>
      </c>
      <c r="F915" s="171" t="s">
        <v>1698</v>
      </c>
      <c r="G915" s="68">
        <f>H900</f>
        <v>796</v>
      </c>
    </row>
    <row r="916" spans="1:7">
      <c r="A916" s="26"/>
      <c r="B916" s="26" t="s">
        <v>2660</v>
      </c>
      <c r="F916" s="171" t="s">
        <v>1698</v>
      </c>
      <c r="G916" s="75">
        <f>H908</f>
        <v>1206.0999999999999</v>
      </c>
    </row>
    <row r="917" spans="1:7">
      <c r="A917" s="26"/>
      <c r="E917" s="26" t="s">
        <v>1518</v>
      </c>
      <c r="F917" s="171" t="s">
        <v>1698</v>
      </c>
      <c r="G917" s="205">
        <f>SUM(G914:G916)</f>
        <v>3185.6803333333332</v>
      </c>
    </row>
    <row r="918" spans="1:7" ht="39.75" customHeight="1">
      <c r="A918" s="26"/>
      <c r="B918" s="1207" t="s">
        <v>1379</v>
      </c>
      <c r="C918" s="1207"/>
      <c r="E918" s="249">
        <f>'BASIC DATA'!$C$577</f>
        <v>0.13614999999999999</v>
      </c>
      <c r="F918" s="26" t="s">
        <v>1698</v>
      </c>
      <c r="G918" s="26">
        <f>G917*E918</f>
        <v>433.73037738333329</v>
      </c>
    </row>
    <row r="919" spans="1:7">
      <c r="A919" s="26"/>
      <c r="B919" s="26" t="s">
        <v>1191</v>
      </c>
      <c r="D919" s="68">
        <f>G882</f>
        <v>3</v>
      </c>
      <c r="E919" s="68" t="str">
        <f>H882</f>
        <v>Rm</v>
      </c>
      <c r="F919" s="26" t="s">
        <v>1698</v>
      </c>
      <c r="G919" s="211">
        <f>G918+G917</f>
        <v>3619.4107107166665</v>
      </c>
    </row>
    <row r="920" spans="1:7">
      <c r="A920" s="26"/>
      <c r="B920" s="170" t="s">
        <v>1584</v>
      </c>
      <c r="C920" s="211" t="str">
        <f>E919</f>
        <v>Rm</v>
      </c>
      <c r="D920" s="26" t="s">
        <v>4725</v>
      </c>
      <c r="F920" s="26" t="s">
        <v>4108</v>
      </c>
      <c r="G920" s="211">
        <f>ROUND(G919/D919,1)</f>
        <v>1206.5</v>
      </c>
    </row>
    <row r="921" spans="1:7">
      <c r="A921" s="26"/>
    </row>
    <row r="922" spans="1:7">
      <c r="A922" s="26"/>
    </row>
    <row r="923" spans="1:7">
      <c r="A923" s="78" t="s">
        <v>5492</v>
      </c>
      <c r="B923" s="26" t="s">
        <v>9105</v>
      </c>
    </row>
    <row r="924" spans="1:7">
      <c r="B924" s="26" t="s">
        <v>1094</v>
      </c>
    </row>
    <row r="925" spans="1:7">
      <c r="B925" s="26" t="s">
        <v>195</v>
      </c>
    </row>
    <row r="926" spans="1:7">
      <c r="B926" s="26" t="s">
        <v>9545</v>
      </c>
    </row>
    <row r="927" spans="1:7">
      <c r="B927" s="170"/>
    </row>
    <row r="928" spans="1:7">
      <c r="B928" s="26"/>
    </row>
    <row r="929" spans="1:8" hidden="1">
      <c r="A929" s="78" t="s">
        <v>3984</v>
      </c>
      <c r="B929" s="26" t="s">
        <v>5190</v>
      </c>
    </row>
    <row r="930" spans="1:8" hidden="1">
      <c r="B930" s="26" t="s">
        <v>4657</v>
      </c>
    </row>
    <row r="931" spans="1:8" hidden="1">
      <c r="B931" s="26" t="s">
        <v>4658</v>
      </c>
    </row>
    <row r="932" spans="1:8" hidden="1">
      <c r="B932" s="26"/>
    </row>
    <row r="933" spans="1:8" hidden="1">
      <c r="B933" s="26" t="s">
        <v>3321</v>
      </c>
    </row>
    <row r="934" spans="1:8" hidden="1">
      <c r="B934" s="26" t="s">
        <v>3317</v>
      </c>
    </row>
    <row r="935" spans="1:8" hidden="1">
      <c r="B935" s="26" t="s">
        <v>3318</v>
      </c>
    </row>
    <row r="936" spans="1:8" hidden="1">
      <c r="B936" s="26" t="s">
        <v>2366</v>
      </c>
    </row>
    <row r="937" spans="1:8" hidden="1">
      <c r="B937" s="26" t="s">
        <v>3322</v>
      </c>
      <c r="D937" s="68">
        <f>'BASIC DATA'!$D$304</f>
        <v>12720</v>
      </c>
      <c r="E937" s="26" t="s">
        <v>2290</v>
      </c>
      <c r="G937" s="171" t="s">
        <v>1698</v>
      </c>
      <c r="H937" s="117">
        <f>D937</f>
        <v>12720</v>
      </c>
    </row>
    <row r="938" spans="1:8" hidden="1">
      <c r="B938" s="26" t="s">
        <v>1631</v>
      </c>
      <c r="F938" s="78" t="s">
        <v>1697</v>
      </c>
      <c r="G938" s="26">
        <v>15</v>
      </c>
      <c r="H938" s="26" t="s">
        <v>2602</v>
      </c>
    </row>
    <row r="939" spans="1:8" hidden="1">
      <c r="B939" s="26" t="s">
        <v>1632</v>
      </c>
      <c r="E939" s="26" t="s">
        <v>7593</v>
      </c>
      <c r="F939" s="78"/>
      <c r="G939" s="171" t="s">
        <v>1698</v>
      </c>
      <c r="H939" s="117">
        <f>H937/G938</f>
        <v>848</v>
      </c>
    </row>
    <row r="940" spans="1:8" hidden="1">
      <c r="B940" s="26" t="s">
        <v>4779</v>
      </c>
      <c r="D940" s="68">
        <f>'BASIC DATA'!$D$312</f>
        <v>5150</v>
      </c>
      <c r="E940" s="26" t="s">
        <v>2290</v>
      </c>
      <c r="F940" s="78"/>
      <c r="G940" s="171" t="s">
        <v>1698</v>
      </c>
      <c r="H940" s="117">
        <f>D940</f>
        <v>5150</v>
      </c>
    </row>
    <row r="941" spans="1:8" hidden="1">
      <c r="B941" s="26" t="s">
        <v>5120</v>
      </c>
      <c r="F941" s="78" t="s">
        <v>1697</v>
      </c>
      <c r="G941" s="26">
        <v>60</v>
      </c>
      <c r="H941" s="26" t="s">
        <v>2602</v>
      </c>
    </row>
    <row r="942" spans="1:8" hidden="1">
      <c r="B942" s="26" t="s">
        <v>174</v>
      </c>
      <c r="E942" s="26" t="s">
        <v>7593</v>
      </c>
      <c r="F942" s="78"/>
      <c r="G942" s="171" t="s">
        <v>1698</v>
      </c>
      <c r="H942" s="117">
        <f>H940/G941</f>
        <v>85.833333333333329</v>
      </c>
    </row>
    <row r="943" spans="1:8" hidden="1">
      <c r="B943" s="26" t="s">
        <v>3273</v>
      </c>
      <c r="D943" s="68">
        <f>'BASIC DATA'!$D$305</f>
        <v>13568</v>
      </c>
      <c r="E943" s="26" t="s">
        <v>2290</v>
      </c>
      <c r="F943" s="78"/>
      <c r="G943" s="171" t="s">
        <v>1698</v>
      </c>
      <c r="H943" s="117">
        <f>D943</f>
        <v>13568</v>
      </c>
    </row>
    <row r="944" spans="1:8" hidden="1">
      <c r="B944" s="26" t="s">
        <v>3274</v>
      </c>
      <c r="F944" s="78" t="s">
        <v>1697</v>
      </c>
      <c r="G944" s="26">
        <v>60</v>
      </c>
      <c r="H944" s="26" t="s">
        <v>2602</v>
      </c>
    </row>
    <row r="945" spans="1:8" hidden="1">
      <c r="B945" s="26" t="s">
        <v>3275</v>
      </c>
      <c r="E945" s="26" t="s">
        <v>7593</v>
      </c>
      <c r="F945" s="78"/>
      <c r="G945" s="171" t="s">
        <v>1698</v>
      </c>
      <c r="H945" s="117">
        <f>H943/G944</f>
        <v>226.13333333333333</v>
      </c>
    </row>
    <row r="946" spans="1:8" hidden="1">
      <c r="B946" s="26" t="s">
        <v>3276</v>
      </c>
      <c r="D946" s="68">
        <f>'BASIC DATA'!$D$306</f>
        <v>2120</v>
      </c>
      <c r="E946" s="26" t="s">
        <v>2618</v>
      </c>
      <c r="F946" s="78"/>
      <c r="G946" s="171" t="s">
        <v>1698</v>
      </c>
      <c r="H946" s="117">
        <f>D946*16.5</f>
        <v>34980</v>
      </c>
    </row>
    <row r="947" spans="1:8" hidden="1">
      <c r="B947" s="26" t="s">
        <v>176</v>
      </c>
      <c r="D947" s="68"/>
      <c r="F947" s="78" t="s">
        <v>1697</v>
      </c>
      <c r="G947" s="26">
        <v>1500</v>
      </c>
      <c r="H947" s="26" t="s">
        <v>2602</v>
      </c>
    </row>
    <row r="948" spans="1:8" hidden="1">
      <c r="B948" s="26" t="s">
        <v>177</v>
      </c>
      <c r="D948" s="68"/>
      <c r="E948" s="26" t="s">
        <v>7593</v>
      </c>
      <c r="G948" s="171" t="s">
        <v>1698</v>
      </c>
      <c r="H948" s="117">
        <f>H946/G947</f>
        <v>23.32</v>
      </c>
    </row>
    <row r="949" spans="1:8" hidden="1">
      <c r="B949" s="26" t="s">
        <v>2934</v>
      </c>
      <c r="D949" s="68"/>
    </row>
    <row r="950" spans="1:8" hidden="1">
      <c r="B950" s="26" t="s">
        <v>5921</v>
      </c>
      <c r="D950" s="68">
        <f>'BASIC DATA'!$D$72</f>
        <v>54000</v>
      </c>
      <c r="E950" s="26" t="s">
        <v>3691</v>
      </c>
      <c r="G950" s="171" t="s">
        <v>1698</v>
      </c>
      <c r="H950" s="68">
        <f>D950*0.033</f>
        <v>1782</v>
      </c>
    </row>
    <row r="951" spans="1:8" hidden="1">
      <c r="B951" s="26" t="s">
        <v>1805</v>
      </c>
      <c r="D951" s="201">
        <v>0.1</v>
      </c>
      <c r="G951" s="171" t="s">
        <v>1698</v>
      </c>
      <c r="H951" s="68">
        <f>D951*$H$950</f>
        <v>178.20000000000002</v>
      </c>
    </row>
    <row r="952" spans="1:8" hidden="1">
      <c r="B952" s="26" t="s">
        <v>1806</v>
      </c>
      <c r="D952" s="201">
        <v>0.15</v>
      </c>
      <c r="G952" s="171" t="s">
        <v>1698</v>
      </c>
      <c r="H952" s="68">
        <f>D952*$H$950</f>
        <v>267.3</v>
      </c>
    </row>
    <row r="953" spans="1:8" hidden="1">
      <c r="B953" s="26" t="s">
        <v>2064</v>
      </c>
      <c r="D953" s="26">
        <v>4</v>
      </c>
      <c r="E953" s="26" t="s">
        <v>6839</v>
      </c>
      <c r="G953" s="171" t="s">
        <v>1698</v>
      </c>
      <c r="H953" s="68">
        <f>SUM(H950:H952)</f>
        <v>2227.5</v>
      </c>
    </row>
    <row r="954" spans="1:8" hidden="1">
      <c r="B954" s="26" t="s">
        <v>180</v>
      </c>
      <c r="G954" s="171" t="s">
        <v>1698</v>
      </c>
      <c r="H954" s="68">
        <f>H953/D953</f>
        <v>556.875</v>
      </c>
    </row>
    <row r="955" spans="1:8">
      <c r="A955" s="26"/>
    </row>
    <row r="956" spans="1:8">
      <c r="A956" s="26" t="s">
        <v>9215</v>
      </c>
      <c r="C956" s="203" t="s">
        <v>2367</v>
      </c>
      <c r="D956" s="171"/>
      <c r="F956" s="171" t="s">
        <v>297</v>
      </c>
      <c r="G956" s="776">
        <v>3</v>
      </c>
      <c r="H956" s="26" t="s">
        <v>3483</v>
      </c>
    </row>
    <row r="957" spans="1:8">
      <c r="A957" s="26"/>
    </row>
    <row r="958" spans="1:8">
      <c r="A958" s="26"/>
      <c r="B958" s="79" t="s">
        <v>2368</v>
      </c>
    </row>
    <row r="959" spans="1:8">
      <c r="A959" s="26"/>
      <c r="B959" s="95" t="s">
        <v>2369</v>
      </c>
      <c r="C959" s="157" t="s">
        <v>6374</v>
      </c>
      <c r="D959" s="195"/>
      <c r="E959" s="95" t="s">
        <v>2370</v>
      </c>
      <c r="F959" s="95" t="s">
        <v>1166</v>
      </c>
      <c r="G959" s="95" t="s">
        <v>2371</v>
      </c>
      <c r="H959" s="95" t="s">
        <v>2372</v>
      </c>
    </row>
    <row r="960" spans="1:8">
      <c r="A960" s="26"/>
      <c r="B960" s="105"/>
      <c r="C960" s="154"/>
      <c r="D960" s="192"/>
      <c r="E960" s="114"/>
      <c r="F960" s="114"/>
      <c r="G960" s="114" t="s">
        <v>3485</v>
      </c>
      <c r="H960" s="114" t="s">
        <v>3485</v>
      </c>
    </row>
    <row r="961" spans="1:8">
      <c r="A961" s="26"/>
      <c r="B961" s="95">
        <v>1</v>
      </c>
      <c r="C961" s="148" t="s">
        <v>5922</v>
      </c>
      <c r="D961" s="195"/>
      <c r="E961" s="344" t="s">
        <v>3483</v>
      </c>
      <c r="F961" s="190">
        <v>3</v>
      </c>
      <c r="G961" s="190">
        <f>H939</f>
        <v>848</v>
      </c>
      <c r="H961" s="179">
        <f>F961*G961</f>
        <v>2544</v>
      </c>
    </row>
    <row r="962" spans="1:8">
      <c r="A962" s="26"/>
      <c r="B962" s="105">
        <v>2</v>
      </c>
      <c r="C962" s="76" t="s">
        <v>182</v>
      </c>
      <c r="D962" s="189"/>
      <c r="E962" s="280" t="s">
        <v>3483</v>
      </c>
      <c r="F962" s="190">
        <v>3</v>
      </c>
      <c r="G962" s="190">
        <f>H942</f>
        <v>85.833333333333329</v>
      </c>
      <c r="H962" s="190">
        <f>F962*G962</f>
        <v>257.5</v>
      </c>
    </row>
    <row r="963" spans="1:8">
      <c r="A963" s="26"/>
      <c r="B963" s="105">
        <v>3</v>
      </c>
      <c r="C963" s="76" t="s">
        <v>5923</v>
      </c>
      <c r="D963" s="189"/>
      <c r="E963" s="280" t="s">
        <v>3483</v>
      </c>
      <c r="F963" s="190">
        <v>3</v>
      </c>
      <c r="G963" s="190">
        <f>H945</f>
        <v>226.13333333333333</v>
      </c>
      <c r="H963" s="190">
        <f>F963*G963</f>
        <v>678.4</v>
      </c>
    </row>
    <row r="964" spans="1:8">
      <c r="A964" s="26"/>
      <c r="B964" s="105">
        <v>4</v>
      </c>
      <c r="C964" s="76" t="s">
        <v>183</v>
      </c>
      <c r="D964" s="189"/>
      <c r="E964" s="280" t="s">
        <v>3483</v>
      </c>
      <c r="F964" s="190">
        <v>3</v>
      </c>
      <c r="G964" s="190">
        <f>H948</f>
        <v>23.32</v>
      </c>
      <c r="H964" s="190">
        <f>F964*G964</f>
        <v>69.960000000000008</v>
      </c>
    </row>
    <row r="965" spans="1:8">
      <c r="A965" s="26"/>
      <c r="B965" s="114">
        <v>5</v>
      </c>
      <c r="C965" s="89" t="s">
        <v>184</v>
      </c>
      <c r="D965" s="192"/>
      <c r="E965" s="275" t="s">
        <v>3483</v>
      </c>
      <c r="F965" s="182">
        <v>3</v>
      </c>
      <c r="G965" s="182">
        <f>H954</f>
        <v>556.875</v>
      </c>
      <c r="H965" s="182">
        <f>F965*G965</f>
        <v>1670.625</v>
      </c>
    </row>
    <row r="966" spans="1:8">
      <c r="A966" s="26"/>
      <c r="B966" s="176"/>
      <c r="C966" s="174"/>
      <c r="D966" s="174" t="s">
        <v>2376</v>
      </c>
      <c r="E966" s="174"/>
      <c r="F966" s="192"/>
      <c r="G966" s="275" t="s">
        <v>1698</v>
      </c>
      <c r="H966" s="318">
        <f>SUM(H961:H965)</f>
        <v>5220.4850000000006</v>
      </c>
    </row>
    <row r="967" spans="1:8">
      <c r="A967" s="26"/>
    </row>
    <row r="968" spans="1:8">
      <c r="A968" s="26"/>
      <c r="B968" s="79" t="s">
        <v>2377</v>
      </c>
    </row>
    <row r="969" spans="1:8">
      <c r="A969" s="26"/>
      <c r="B969" s="95" t="s">
        <v>2369</v>
      </c>
      <c r="C969" s="157" t="s">
        <v>2378</v>
      </c>
      <c r="D969" s="195"/>
      <c r="E969" s="95" t="s">
        <v>2370</v>
      </c>
      <c r="F969" s="95" t="s">
        <v>1166</v>
      </c>
      <c r="G969" s="95" t="s">
        <v>2371</v>
      </c>
      <c r="H969" s="95" t="s">
        <v>2372</v>
      </c>
    </row>
    <row r="970" spans="1:8">
      <c r="A970" s="26"/>
      <c r="B970" s="114"/>
      <c r="C970" s="154"/>
      <c r="D970" s="192"/>
      <c r="E970" s="114"/>
      <c r="F970" s="114"/>
      <c r="G970" s="114" t="s">
        <v>3485</v>
      </c>
      <c r="H970" s="114" t="s">
        <v>3485</v>
      </c>
    </row>
    <row r="971" spans="1:8">
      <c r="A971" s="26"/>
      <c r="B971" s="95">
        <v>1</v>
      </c>
      <c r="C971" s="131" t="s">
        <v>2941</v>
      </c>
      <c r="E971" s="107" t="s">
        <v>2374</v>
      </c>
      <c r="F971" s="179">
        <v>8</v>
      </c>
      <c r="G971" s="179">
        <f>'HIRE CHARGES'!$D$513</f>
        <v>319</v>
      </c>
      <c r="H971" s="179">
        <f>F971*G971</f>
        <v>2552</v>
      </c>
    </row>
    <row r="972" spans="1:8">
      <c r="A972" s="26"/>
      <c r="B972" s="280"/>
      <c r="C972" s="135" t="s">
        <v>2379</v>
      </c>
      <c r="E972" s="210" t="s">
        <v>2374</v>
      </c>
      <c r="F972" s="190">
        <v>8</v>
      </c>
      <c r="G972" s="190">
        <f>'HIRE CHARGES'!$E$513</f>
        <v>238</v>
      </c>
      <c r="H972" s="190">
        <f>F972*G972</f>
        <v>1904</v>
      </c>
    </row>
    <row r="973" spans="1:8">
      <c r="A973" s="26"/>
      <c r="B973" s="105">
        <v>2</v>
      </c>
      <c r="C973" s="135" t="s">
        <v>1944</v>
      </c>
      <c r="E973" s="210" t="s">
        <v>2374</v>
      </c>
      <c r="F973" s="190">
        <v>16</v>
      </c>
      <c r="G973" s="190">
        <f>'HIRE CHARGES'!$D$517</f>
        <v>10.199999999999999</v>
      </c>
      <c r="H973" s="190">
        <f>F973*G973</f>
        <v>163.19999999999999</v>
      </c>
    </row>
    <row r="974" spans="1:8">
      <c r="A974" s="26"/>
      <c r="B974" s="280"/>
      <c r="C974" s="135" t="s">
        <v>2379</v>
      </c>
      <c r="E974" s="210" t="s">
        <v>2374</v>
      </c>
      <c r="F974" s="190">
        <v>16</v>
      </c>
      <c r="G974" s="190">
        <f>'HIRE CHARGES'!$E$517</f>
        <v>79.3</v>
      </c>
      <c r="H974" s="190">
        <f>F974*G974</f>
        <v>1268.8</v>
      </c>
    </row>
    <row r="975" spans="1:8">
      <c r="A975" s="26"/>
      <c r="B975" s="114">
        <v>3</v>
      </c>
      <c r="C975" s="139" t="s">
        <v>2373</v>
      </c>
      <c r="D975" s="174"/>
      <c r="E975" s="191" t="s">
        <v>2173</v>
      </c>
      <c r="F975" s="182">
        <v>5</v>
      </c>
      <c r="G975" s="215">
        <f>'BASIC DATA'!$D$359</f>
        <v>30</v>
      </c>
      <c r="H975" s="182">
        <f>F975*G975</f>
        <v>150</v>
      </c>
    </row>
    <row r="976" spans="1:8">
      <c r="A976" s="26"/>
      <c r="B976" s="176"/>
      <c r="C976" s="174"/>
      <c r="D976" s="174" t="s">
        <v>2380</v>
      </c>
      <c r="E976" s="174"/>
      <c r="F976" s="192"/>
      <c r="G976" s="275" t="s">
        <v>1698</v>
      </c>
      <c r="H976" s="318">
        <f>SUM(H971:H975)</f>
        <v>6038</v>
      </c>
    </row>
    <row r="977" spans="1:8">
      <c r="A977" s="26"/>
    </row>
    <row r="978" spans="1:8">
      <c r="A978" s="26"/>
      <c r="B978" s="79" t="s">
        <v>2381</v>
      </c>
    </row>
    <row r="979" spans="1:8">
      <c r="A979" s="26"/>
      <c r="B979" s="95" t="s">
        <v>2369</v>
      </c>
      <c r="C979" s="157" t="s">
        <v>2378</v>
      </c>
      <c r="D979" s="195"/>
      <c r="E979" s="95" t="s">
        <v>2370</v>
      </c>
      <c r="F979" s="95" t="s">
        <v>1166</v>
      </c>
      <c r="G979" s="95" t="s">
        <v>2371</v>
      </c>
      <c r="H979" s="95" t="s">
        <v>2372</v>
      </c>
    </row>
    <row r="980" spans="1:8">
      <c r="A980" s="26"/>
      <c r="B980" s="114"/>
      <c r="C980" s="154"/>
      <c r="D980" s="192"/>
      <c r="E980" s="105"/>
      <c r="F980" s="114"/>
      <c r="G980" s="114" t="s">
        <v>3485</v>
      </c>
      <c r="H980" s="114" t="s">
        <v>3485</v>
      </c>
    </row>
    <row r="981" spans="1:8">
      <c r="A981" s="26"/>
      <c r="B981" s="95">
        <v>1</v>
      </c>
      <c r="C981" s="148" t="s">
        <v>1946</v>
      </c>
      <c r="D981" s="187"/>
      <c r="E981" s="107" t="s">
        <v>2374</v>
      </c>
      <c r="F981" s="178">
        <v>8</v>
      </c>
      <c r="G981" s="179">
        <f>'HIRE CHARGES'!$F$513</f>
        <v>283.89999999999998</v>
      </c>
      <c r="H981" s="179">
        <f>F981*G981</f>
        <v>2271.1999999999998</v>
      </c>
    </row>
    <row r="982" spans="1:8">
      <c r="A982" s="26"/>
      <c r="B982" s="105">
        <v>2</v>
      </c>
      <c r="C982" s="76" t="s">
        <v>999</v>
      </c>
      <c r="D982" s="31"/>
      <c r="E982" s="210" t="s">
        <v>2374</v>
      </c>
      <c r="F982" s="207">
        <v>16</v>
      </c>
      <c r="G982" s="190">
        <f>'HIRE CHARGES'!$F$517</f>
        <v>111.1</v>
      </c>
      <c r="H982" s="190">
        <f>F982*G982</f>
        <v>1777.6</v>
      </c>
    </row>
    <row r="983" spans="1:8">
      <c r="A983" s="26"/>
      <c r="B983" s="114">
        <v>3</v>
      </c>
      <c r="C983" s="89" t="s">
        <v>2697</v>
      </c>
      <c r="D983" s="174"/>
      <c r="E983" s="191" t="s">
        <v>1172</v>
      </c>
      <c r="F983" s="181">
        <v>2</v>
      </c>
      <c r="G983" s="182">
        <f>'BASIC DATA'!$C$552</f>
        <v>350</v>
      </c>
      <c r="H983" s="182">
        <f>F983*G983</f>
        <v>700</v>
      </c>
    </row>
    <row r="984" spans="1:8">
      <c r="A984" s="26"/>
      <c r="B984" s="176"/>
      <c r="C984" s="174"/>
      <c r="D984" s="174" t="s">
        <v>1174</v>
      </c>
      <c r="E984" s="174"/>
      <c r="F984" s="192"/>
      <c r="G984" s="275" t="s">
        <v>1698</v>
      </c>
      <c r="H984" s="318">
        <f>SUM(H981:H983)</f>
        <v>4748.7999999999993</v>
      </c>
    </row>
    <row r="985" spans="1:8">
      <c r="A985" s="26"/>
      <c r="B985" s="60" t="s">
        <v>5948</v>
      </c>
      <c r="C985" s="31"/>
      <c r="D985" s="31"/>
      <c r="E985" s="85">
        <f>ROUND(H984/G956,1)</f>
        <v>1582.9</v>
      </c>
      <c r="G985" s="31"/>
    </row>
    <row r="986" spans="1:8">
      <c r="A986" s="26"/>
      <c r="B986" s="60" t="s">
        <v>3163</v>
      </c>
      <c r="C986" s="31"/>
      <c r="D986" s="31">
        <f>'BASIC DATA'!$C$577</f>
        <v>0.13614999999999999</v>
      </c>
      <c r="E986" s="85">
        <f>ROUND(E985*D986,1)</f>
        <v>215.5</v>
      </c>
      <c r="G986" s="31"/>
    </row>
    <row r="987" spans="1:8">
      <c r="A987" s="26"/>
      <c r="B987" s="60" t="s">
        <v>5949</v>
      </c>
      <c r="C987" s="31"/>
      <c r="D987" s="31"/>
      <c r="E987" s="739">
        <f>E986+E985</f>
        <v>1798.4</v>
      </c>
      <c r="G987" s="31"/>
    </row>
    <row r="988" spans="1:8">
      <c r="A988" s="26"/>
      <c r="B988" s="26"/>
    </row>
    <row r="989" spans="1:8">
      <c r="A989" s="26"/>
      <c r="B989" s="170" t="s">
        <v>1175</v>
      </c>
    </row>
    <row r="990" spans="1:8">
      <c r="A990" s="26"/>
      <c r="B990" s="26" t="s">
        <v>1176</v>
      </c>
      <c r="F990" s="171" t="s">
        <v>1698</v>
      </c>
      <c r="G990" s="68">
        <f>H966</f>
        <v>5220.4850000000006</v>
      </c>
    </row>
    <row r="991" spans="1:8">
      <c r="A991" s="26"/>
      <c r="B991" s="26" t="s">
        <v>1186</v>
      </c>
      <c r="F991" s="171" t="s">
        <v>1698</v>
      </c>
      <c r="G991" s="68">
        <f>H976</f>
        <v>6038</v>
      </c>
    </row>
    <row r="992" spans="1:8">
      <c r="A992" s="26"/>
      <c r="B992" s="26" t="s">
        <v>2660</v>
      </c>
      <c r="F992" s="171" t="s">
        <v>1698</v>
      </c>
      <c r="G992" s="75">
        <f>H984</f>
        <v>4748.7999999999993</v>
      </c>
    </row>
    <row r="993" spans="1:7">
      <c r="A993" s="26"/>
      <c r="E993" s="26" t="s">
        <v>1518</v>
      </c>
      <c r="F993" s="171" t="s">
        <v>1698</v>
      </c>
      <c r="G993" s="205">
        <f>SUM(G990:G992)</f>
        <v>16007.285</v>
      </c>
    </row>
    <row r="994" spans="1:7" ht="36" customHeight="1">
      <c r="A994" s="26"/>
      <c r="B994" s="1207" t="s">
        <v>1379</v>
      </c>
      <c r="C994" s="1207"/>
      <c r="E994" s="249">
        <f>'BASIC DATA'!$C$577</f>
        <v>0.13614999999999999</v>
      </c>
      <c r="F994" s="26" t="s">
        <v>1698</v>
      </c>
      <c r="G994" s="26">
        <f>G993*E994</f>
        <v>2179.39185275</v>
      </c>
    </row>
    <row r="995" spans="1:7">
      <c r="A995" s="26"/>
      <c r="B995" s="26" t="s">
        <v>1191</v>
      </c>
      <c r="D995" s="68">
        <f>G956</f>
        <v>3</v>
      </c>
      <c r="E995" s="68" t="str">
        <f>H956</f>
        <v>Rm</v>
      </c>
      <c r="F995" s="26" t="s">
        <v>1698</v>
      </c>
      <c r="G995" s="211">
        <f>G994+G993</f>
        <v>18186.676852749999</v>
      </c>
    </row>
    <row r="996" spans="1:7">
      <c r="A996" s="26"/>
      <c r="B996" s="170" t="s">
        <v>1584</v>
      </c>
      <c r="C996" s="211" t="str">
        <f>E995</f>
        <v>Rm</v>
      </c>
      <c r="D996" s="26" t="s">
        <v>4725</v>
      </c>
      <c r="F996" s="26" t="s">
        <v>4108</v>
      </c>
      <c r="G996" s="211">
        <f>ROUND(G995/D995,1)</f>
        <v>6062.2</v>
      </c>
    </row>
    <row r="997" spans="1:7">
      <c r="A997" s="26"/>
    </row>
    <row r="998" spans="1:7" ht="18.75">
      <c r="A998" s="26"/>
      <c r="B998" s="78" t="s">
        <v>1237</v>
      </c>
      <c r="C998" s="26" t="s">
        <v>9157</v>
      </c>
    </row>
    <row r="999" spans="1:7">
      <c r="A999" s="26"/>
      <c r="C999" s="26" t="s">
        <v>9158</v>
      </c>
    </row>
    <row r="1000" spans="1:7">
      <c r="A1000" s="26"/>
      <c r="C1000" s="26" t="s">
        <v>9159</v>
      </c>
    </row>
    <row r="1001" spans="1:7">
      <c r="A1001" s="26"/>
      <c r="C1001" s="26" t="s">
        <v>9160</v>
      </c>
    </row>
    <row r="1002" spans="1:7">
      <c r="A1002" s="26"/>
    </row>
    <row r="1003" spans="1:7">
      <c r="A1003" s="27" t="s">
        <v>9547</v>
      </c>
      <c r="B1003" s="170" t="s">
        <v>9549</v>
      </c>
    </row>
    <row r="1004" spans="1:7">
      <c r="A1004" s="78" t="s">
        <v>9495</v>
      </c>
      <c r="B1004" s="26" t="s">
        <v>9550</v>
      </c>
    </row>
    <row r="1005" spans="1:7">
      <c r="B1005" s="26" t="s">
        <v>9551</v>
      </c>
    </row>
    <row r="1006" spans="1:7">
      <c r="B1006" s="26" t="s">
        <v>9552</v>
      </c>
    </row>
    <row r="1007" spans="1:7">
      <c r="B1007" s="170" t="s">
        <v>9553</v>
      </c>
    </row>
    <row r="1008" spans="1:7">
      <c r="B1008" s="26"/>
    </row>
    <row r="1009" spans="1:8">
      <c r="A1009" s="78" t="s">
        <v>3984</v>
      </c>
      <c r="B1009" s="26" t="s">
        <v>9556</v>
      </c>
    </row>
    <row r="1010" spans="1:8">
      <c r="B1010" s="26" t="s">
        <v>3321</v>
      </c>
    </row>
    <row r="1011" spans="1:8">
      <c r="B1011" s="26" t="s">
        <v>3317</v>
      </c>
    </row>
    <row r="1012" spans="1:8">
      <c r="B1012" s="26" t="s">
        <v>3318</v>
      </c>
    </row>
    <row r="1013" spans="1:8">
      <c r="A1013" s="26"/>
      <c r="B1013" s="26" t="s">
        <v>2366</v>
      </c>
    </row>
    <row r="1014" spans="1:8">
      <c r="B1014" s="26" t="s">
        <v>3322</v>
      </c>
      <c r="D1014" s="68">
        <f>'BASIC DATA'!$D$304</f>
        <v>12720</v>
      </c>
      <c r="E1014" s="26" t="s">
        <v>2290</v>
      </c>
      <c r="G1014" s="171" t="s">
        <v>1698</v>
      </c>
      <c r="H1014" s="117">
        <f>D1014</f>
        <v>12720</v>
      </c>
    </row>
    <row r="1015" spans="1:8">
      <c r="B1015" s="26" t="s">
        <v>9548</v>
      </c>
      <c r="F1015" s="78" t="s">
        <v>1697</v>
      </c>
      <c r="G1015" s="26">
        <v>10.57</v>
      </c>
      <c r="H1015" s="26" t="s">
        <v>2602</v>
      </c>
    </row>
    <row r="1016" spans="1:8">
      <c r="B1016" s="26" t="s">
        <v>1632</v>
      </c>
      <c r="E1016" s="26" t="s">
        <v>7593</v>
      </c>
      <c r="F1016" s="78"/>
      <c r="G1016" s="171" t="s">
        <v>1698</v>
      </c>
      <c r="H1016" s="117">
        <f>H1014/G1015</f>
        <v>1203.4058656575212</v>
      </c>
    </row>
    <row r="1017" spans="1:8">
      <c r="B1017" s="26" t="s">
        <v>4779</v>
      </c>
      <c r="D1017" s="68">
        <f>'BASIC DATA'!$D$312</f>
        <v>5150</v>
      </c>
      <c r="E1017" s="26" t="s">
        <v>2290</v>
      </c>
      <c r="F1017" s="78"/>
      <c r="G1017" s="171" t="s">
        <v>1698</v>
      </c>
      <c r="H1017" s="117">
        <f>D1017</f>
        <v>5150</v>
      </c>
    </row>
    <row r="1018" spans="1:8">
      <c r="B1018" s="26" t="s">
        <v>9554</v>
      </c>
      <c r="F1018" s="78" t="s">
        <v>1697</v>
      </c>
      <c r="G1018" s="26">
        <v>100</v>
      </c>
      <c r="H1018" s="26" t="s">
        <v>2602</v>
      </c>
    </row>
    <row r="1019" spans="1:8">
      <c r="B1019" s="26" t="s">
        <v>174</v>
      </c>
      <c r="E1019" s="26" t="s">
        <v>7593</v>
      </c>
      <c r="F1019" s="78"/>
      <c r="G1019" s="171" t="s">
        <v>1698</v>
      </c>
      <c r="H1019" s="117">
        <f>H1017/G1018</f>
        <v>51.5</v>
      </c>
    </row>
    <row r="1020" spans="1:8">
      <c r="B1020" s="26" t="s">
        <v>3276</v>
      </c>
      <c r="D1020" s="68">
        <f>'BASIC DATA'!$D$306</f>
        <v>2120</v>
      </c>
      <c r="E1020" s="26" t="s">
        <v>2618</v>
      </c>
      <c r="F1020" s="78"/>
      <c r="G1020" s="171" t="s">
        <v>1698</v>
      </c>
      <c r="H1020" s="117">
        <f>D1020*16.5</f>
        <v>34980</v>
      </c>
    </row>
    <row r="1021" spans="1:8">
      <c r="B1021" s="26" t="s">
        <v>176</v>
      </c>
      <c r="D1021" s="68"/>
      <c r="F1021" s="78" t="s">
        <v>1697</v>
      </c>
      <c r="G1021" s="26">
        <v>2500</v>
      </c>
      <c r="H1021" s="26" t="s">
        <v>2602</v>
      </c>
    </row>
    <row r="1022" spans="1:8">
      <c r="B1022" s="26" t="s">
        <v>177</v>
      </c>
      <c r="D1022" s="68"/>
      <c r="E1022" s="26" t="s">
        <v>7593</v>
      </c>
      <c r="G1022" s="171" t="s">
        <v>1698</v>
      </c>
      <c r="H1022" s="117">
        <f>H1020/G1021</f>
        <v>13.992000000000001</v>
      </c>
    </row>
    <row r="1023" spans="1:8">
      <c r="A1023" s="26"/>
    </row>
    <row r="1024" spans="1:8">
      <c r="A1024" s="26" t="s">
        <v>9215</v>
      </c>
      <c r="C1024" s="203" t="s">
        <v>2367</v>
      </c>
      <c r="D1024" s="171"/>
      <c r="F1024" s="171" t="s">
        <v>297</v>
      </c>
      <c r="G1024" s="776">
        <v>3</v>
      </c>
      <c r="H1024" s="26" t="s">
        <v>3483</v>
      </c>
    </row>
    <row r="1025" spans="1:8">
      <c r="A1025" s="26"/>
    </row>
    <row r="1026" spans="1:8">
      <c r="A1026" s="26"/>
      <c r="B1026" s="79" t="s">
        <v>2368</v>
      </c>
    </row>
    <row r="1027" spans="1:8">
      <c r="A1027" s="26"/>
      <c r="B1027" s="95" t="s">
        <v>2369</v>
      </c>
      <c r="C1027" s="157" t="s">
        <v>6374</v>
      </c>
      <c r="D1027" s="195"/>
      <c r="E1027" s="95" t="s">
        <v>2370</v>
      </c>
      <c r="F1027" s="95" t="s">
        <v>1166</v>
      </c>
      <c r="G1027" s="95" t="s">
        <v>2371</v>
      </c>
      <c r="H1027" s="95" t="s">
        <v>2372</v>
      </c>
    </row>
    <row r="1028" spans="1:8">
      <c r="A1028" s="26"/>
      <c r="B1028" s="105"/>
      <c r="C1028" s="154"/>
      <c r="D1028" s="192"/>
      <c r="E1028" s="114"/>
      <c r="F1028" s="114"/>
      <c r="G1028" s="114" t="s">
        <v>3485</v>
      </c>
      <c r="H1028" s="114" t="s">
        <v>3485</v>
      </c>
    </row>
    <row r="1029" spans="1:8">
      <c r="A1029" s="26"/>
      <c r="B1029" s="95">
        <v>1</v>
      </c>
      <c r="C1029" s="148" t="s">
        <v>5922</v>
      </c>
      <c r="D1029" s="195"/>
      <c r="E1029" s="344" t="s">
        <v>3483</v>
      </c>
      <c r="F1029" s="190">
        <v>3</v>
      </c>
      <c r="G1029" s="190">
        <f>H1016</f>
        <v>1203.4058656575212</v>
      </c>
      <c r="H1029" s="179">
        <f>F1029*G1029</f>
        <v>3610.2175969725636</v>
      </c>
    </row>
    <row r="1030" spans="1:8">
      <c r="A1030" s="26"/>
      <c r="B1030" s="105">
        <v>2</v>
      </c>
      <c r="C1030" s="76" t="s">
        <v>182</v>
      </c>
      <c r="D1030" s="189"/>
      <c r="E1030" s="280" t="s">
        <v>3483</v>
      </c>
      <c r="F1030" s="190">
        <v>3</v>
      </c>
      <c r="G1030" s="190">
        <f>H1019</f>
        <v>51.5</v>
      </c>
      <c r="H1030" s="190">
        <f>F1030*G1030</f>
        <v>154.5</v>
      </c>
    </row>
    <row r="1031" spans="1:8">
      <c r="A1031" s="26"/>
      <c r="B1031" s="105">
        <v>4</v>
      </c>
      <c r="C1031" s="76" t="s">
        <v>183</v>
      </c>
      <c r="D1031" s="189"/>
      <c r="E1031" s="280" t="s">
        <v>3483</v>
      </c>
      <c r="F1031" s="190">
        <v>3</v>
      </c>
      <c r="G1031" s="190">
        <f>H1022</f>
        <v>13.992000000000001</v>
      </c>
      <c r="H1031" s="190">
        <f>F1031*G1031</f>
        <v>41.975999999999999</v>
      </c>
    </row>
    <row r="1032" spans="1:8">
      <c r="A1032" s="26"/>
      <c r="B1032" s="176"/>
      <c r="C1032" s="174"/>
      <c r="D1032" s="174" t="s">
        <v>2376</v>
      </c>
      <c r="E1032" s="174"/>
      <c r="F1032" s="192"/>
      <c r="G1032" s="275" t="s">
        <v>1698</v>
      </c>
      <c r="H1032" s="318">
        <f>SUM(H1029:H1031)</f>
        <v>3806.6935969725637</v>
      </c>
    </row>
    <row r="1033" spans="1:8">
      <c r="A1033" s="26"/>
    </row>
    <row r="1034" spans="1:8">
      <c r="A1034" s="26"/>
      <c r="B1034" s="79" t="s">
        <v>2377</v>
      </c>
    </row>
    <row r="1035" spans="1:8">
      <c r="A1035" s="26"/>
      <c r="B1035" s="95" t="s">
        <v>2369</v>
      </c>
      <c r="C1035" s="157" t="s">
        <v>2378</v>
      </c>
      <c r="D1035" s="195"/>
      <c r="E1035" s="95" t="s">
        <v>2370</v>
      </c>
      <c r="F1035" s="95" t="s">
        <v>1166</v>
      </c>
      <c r="G1035" s="95" t="s">
        <v>2371</v>
      </c>
      <c r="H1035" s="95" t="s">
        <v>2372</v>
      </c>
    </row>
    <row r="1036" spans="1:8">
      <c r="A1036" s="26"/>
      <c r="B1036" s="114"/>
      <c r="C1036" s="154"/>
      <c r="D1036" s="192"/>
      <c r="E1036" s="114"/>
      <c r="F1036" s="114"/>
      <c r="G1036" s="114" t="s">
        <v>3485</v>
      </c>
      <c r="H1036" s="114" t="s">
        <v>3485</v>
      </c>
    </row>
    <row r="1037" spans="1:8">
      <c r="A1037" s="26"/>
      <c r="B1037" s="95">
        <v>1</v>
      </c>
      <c r="C1037" s="131" t="s">
        <v>2941</v>
      </c>
      <c r="E1037" s="107" t="s">
        <v>2374</v>
      </c>
      <c r="F1037" s="179">
        <v>4.7759999999999998</v>
      </c>
      <c r="G1037" s="179">
        <f>'HIRE CHARGES'!$D$513</f>
        <v>319</v>
      </c>
      <c r="H1037" s="179">
        <f>F1037*G1037</f>
        <v>1523.5439999999999</v>
      </c>
    </row>
    <row r="1038" spans="1:8">
      <c r="A1038" s="26"/>
      <c r="B1038" s="280"/>
      <c r="C1038" s="135" t="s">
        <v>2379</v>
      </c>
      <c r="E1038" s="210" t="s">
        <v>2374</v>
      </c>
      <c r="F1038" s="190">
        <v>4.7759999999999998</v>
      </c>
      <c r="G1038" s="190">
        <f>'HIRE CHARGES'!$E$513</f>
        <v>238</v>
      </c>
      <c r="H1038" s="190">
        <f>F1038*G1038</f>
        <v>1136.6879999999999</v>
      </c>
    </row>
    <row r="1039" spans="1:8">
      <c r="A1039" s="26"/>
      <c r="B1039" s="105">
        <v>2</v>
      </c>
      <c r="C1039" s="135" t="s">
        <v>1944</v>
      </c>
      <c r="E1039" s="210" t="s">
        <v>2374</v>
      </c>
      <c r="F1039" s="190">
        <v>9.5519999999999996</v>
      </c>
      <c r="G1039" s="190">
        <f>'HIRE CHARGES'!$D$517</f>
        <v>10.199999999999999</v>
      </c>
      <c r="H1039" s="190">
        <f>F1039*G1039</f>
        <v>97.430399999999992</v>
      </c>
    </row>
    <row r="1040" spans="1:8">
      <c r="A1040" s="26"/>
      <c r="B1040" s="280"/>
      <c r="C1040" s="135" t="s">
        <v>2379</v>
      </c>
      <c r="E1040" s="210" t="s">
        <v>2374</v>
      </c>
      <c r="F1040" s="190">
        <v>9.5519999999999996</v>
      </c>
      <c r="G1040" s="190">
        <f>'HIRE CHARGES'!$E$517</f>
        <v>79.3</v>
      </c>
      <c r="H1040" s="190">
        <f>F1040*G1040</f>
        <v>757.47359999999992</v>
      </c>
    </row>
    <row r="1041" spans="1:8">
      <c r="A1041" s="26"/>
      <c r="B1041" s="114">
        <v>3</v>
      </c>
      <c r="C1041" s="139" t="s">
        <v>2373</v>
      </c>
      <c r="D1041" s="174"/>
      <c r="E1041" s="191" t="s">
        <v>2173</v>
      </c>
      <c r="F1041" s="182">
        <v>2.99</v>
      </c>
      <c r="G1041" s="215">
        <f>'BASIC DATA'!$D$359</f>
        <v>30</v>
      </c>
      <c r="H1041" s="182">
        <f>F1041*G1041</f>
        <v>89.7</v>
      </c>
    </row>
    <row r="1042" spans="1:8">
      <c r="A1042" s="26"/>
      <c r="B1042" s="176"/>
      <c r="C1042" s="174"/>
      <c r="D1042" s="174" t="s">
        <v>2380</v>
      </c>
      <c r="E1042" s="174"/>
      <c r="F1042" s="192"/>
      <c r="G1042" s="275" t="s">
        <v>1698</v>
      </c>
      <c r="H1042" s="318">
        <f>SUM(H1037:H1041)</f>
        <v>3604.8359999999998</v>
      </c>
    </row>
    <row r="1043" spans="1:8">
      <c r="A1043" s="26"/>
    </row>
    <row r="1044" spans="1:8">
      <c r="A1044" s="26"/>
      <c r="B1044" s="79" t="s">
        <v>2381</v>
      </c>
    </row>
    <row r="1045" spans="1:8">
      <c r="A1045" s="26"/>
      <c r="B1045" s="95" t="s">
        <v>2369</v>
      </c>
      <c r="C1045" s="157" t="s">
        <v>2378</v>
      </c>
      <c r="D1045" s="195"/>
      <c r="E1045" s="95" t="s">
        <v>2370</v>
      </c>
      <c r="F1045" s="95" t="s">
        <v>1166</v>
      </c>
      <c r="G1045" s="95" t="s">
        <v>2371</v>
      </c>
      <c r="H1045" s="95" t="s">
        <v>2372</v>
      </c>
    </row>
    <row r="1046" spans="1:8">
      <c r="A1046" s="26"/>
      <c r="B1046" s="114"/>
      <c r="C1046" s="154"/>
      <c r="D1046" s="192"/>
      <c r="E1046" s="105"/>
      <c r="F1046" s="114"/>
      <c r="G1046" s="114" t="s">
        <v>3485</v>
      </c>
      <c r="H1046" s="114" t="s">
        <v>3485</v>
      </c>
    </row>
    <row r="1047" spans="1:8">
      <c r="A1047" s="26"/>
      <c r="B1047" s="95">
        <v>1</v>
      </c>
      <c r="C1047" s="148" t="s">
        <v>1946</v>
      </c>
      <c r="D1047" s="187"/>
      <c r="E1047" s="107" t="s">
        <v>2374</v>
      </c>
      <c r="F1047" s="178">
        <v>4.7759999999999998</v>
      </c>
      <c r="G1047" s="179">
        <f>'HIRE CHARGES'!$F$513</f>
        <v>283.89999999999998</v>
      </c>
      <c r="H1047" s="179">
        <f>F1047*G1047</f>
        <v>1355.9063999999998</v>
      </c>
    </row>
    <row r="1048" spans="1:8">
      <c r="A1048" s="26"/>
      <c r="B1048" s="105">
        <v>2</v>
      </c>
      <c r="C1048" s="76" t="s">
        <v>999</v>
      </c>
      <c r="D1048" s="31"/>
      <c r="E1048" s="210" t="s">
        <v>2374</v>
      </c>
      <c r="F1048" s="207">
        <v>9.5500000000000007</v>
      </c>
      <c r="G1048" s="190">
        <f>'HIRE CHARGES'!$F$517</f>
        <v>111.1</v>
      </c>
      <c r="H1048" s="190">
        <f>F1048*G1048</f>
        <v>1061.0050000000001</v>
      </c>
    </row>
    <row r="1049" spans="1:8">
      <c r="A1049" s="26"/>
      <c r="B1049" s="114">
        <v>3</v>
      </c>
      <c r="C1049" s="89" t="s">
        <v>2697</v>
      </c>
      <c r="D1049" s="174"/>
      <c r="E1049" s="191" t="s">
        <v>1172</v>
      </c>
      <c r="F1049" s="181">
        <v>1.19</v>
      </c>
      <c r="G1049" s="182">
        <f>'BASIC DATA'!$C$552</f>
        <v>350</v>
      </c>
      <c r="H1049" s="182">
        <f>F1049*G1049</f>
        <v>416.5</v>
      </c>
    </row>
    <row r="1050" spans="1:8">
      <c r="A1050" s="26"/>
      <c r="B1050" s="176"/>
      <c r="C1050" s="174"/>
      <c r="D1050" s="174" t="s">
        <v>1174</v>
      </c>
      <c r="E1050" s="174"/>
      <c r="F1050" s="192"/>
      <c r="G1050" s="275" t="s">
        <v>1698</v>
      </c>
      <c r="H1050" s="318">
        <f>SUM(H1047:H1049)</f>
        <v>2833.4114</v>
      </c>
    </row>
    <row r="1051" spans="1:8">
      <c r="A1051" s="26"/>
      <c r="B1051" s="60" t="s">
        <v>5948</v>
      </c>
      <c r="C1051" s="31"/>
      <c r="D1051" s="31"/>
      <c r="E1051" s="85">
        <f>ROUND(H1050/G1024,1)</f>
        <v>944.5</v>
      </c>
      <c r="G1051" s="31"/>
    </row>
    <row r="1052" spans="1:8">
      <c r="A1052" s="26"/>
      <c r="B1052" s="60" t="s">
        <v>3163</v>
      </c>
      <c r="C1052" s="31"/>
      <c r="D1052" s="31">
        <f>'BASIC DATA'!$C$577</f>
        <v>0.13614999999999999</v>
      </c>
      <c r="E1052" s="85">
        <f>ROUND(E1051*D1052,1)</f>
        <v>128.6</v>
      </c>
      <c r="G1052" s="31"/>
    </row>
    <row r="1053" spans="1:8">
      <c r="A1053" s="26"/>
      <c r="B1053" s="60" t="s">
        <v>5949</v>
      </c>
      <c r="C1053" s="31"/>
      <c r="D1053" s="31"/>
      <c r="E1053" s="739">
        <f>E1052+E1051</f>
        <v>1073.0999999999999</v>
      </c>
      <c r="G1053" s="31"/>
    </row>
    <row r="1054" spans="1:8">
      <c r="A1054" s="26"/>
      <c r="B1054" s="26"/>
    </row>
    <row r="1055" spans="1:8">
      <c r="A1055" s="26"/>
      <c r="B1055" s="170" t="s">
        <v>1175</v>
      </c>
    </row>
    <row r="1056" spans="1:8">
      <c r="A1056" s="26"/>
      <c r="B1056" s="26" t="s">
        <v>1176</v>
      </c>
      <c r="F1056" s="171" t="s">
        <v>1698</v>
      </c>
      <c r="G1056" s="68">
        <f>H1032</f>
        <v>3806.6935969725637</v>
      </c>
    </row>
    <row r="1057" spans="1:7">
      <c r="A1057" s="26"/>
      <c r="B1057" s="26" t="s">
        <v>1186</v>
      </c>
      <c r="F1057" s="171" t="s">
        <v>1698</v>
      </c>
      <c r="G1057" s="68">
        <f>H1042</f>
        <v>3604.8359999999998</v>
      </c>
    </row>
    <row r="1058" spans="1:7">
      <c r="A1058" s="26"/>
      <c r="B1058" s="26" t="s">
        <v>2660</v>
      </c>
      <c r="F1058" s="171" t="s">
        <v>1698</v>
      </c>
      <c r="G1058" s="75">
        <f>H1050</f>
        <v>2833.4114</v>
      </c>
    </row>
    <row r="1059" spans="1:7">
      <c r="A1059" s="26"/>
      <c r="E1059" s="26" t="s">
        <v>1518</v>
      </c>
      <c r="F1059" s="171" t="s">
        <v>1698</v>
      </c>
      <c r="G1059" s="205">
        <f>SUM(G1056:G1058)</f>
        <v>10244.940996972564</v>
      </c>
    </row>
    <row r="1060" spans="1:7">
      <c r="A1060" s="26"/>
      <c r="B1060" s="1207" t="s">
        <v>1379</v>
      </c>
      <c r="C1060" s="1207"/>
      <c r="E1060" s="249">
        <f>'BASIC DATA'!$C$577</f>
        <v>0.13614999999999999</v>
      </c>
      <c r="F1060" s="26" t="s">
        <v>1698</v>
      </c>
      <c r="G1060" s="26">
        <f>G1059*E1060</f>
        <v>1394.8487167378146</v>
      </c>
    </row>
    <row r="1061" spans="1:7">
      <c r="A1061" s="26"/>
      <c r="B1061" s="26" t="s">
        <v>1191</v>
      </c>
      <c r="D1061" s="68">
        <f>G1024</f>
        <v>3</v>
      </c>
      <c r="E1061" s="68" t="str">
        <f>H1024</f>
        <v>Rm</v>
      </c>
      <c r="F1061" s="26" t="s">
        <v>1698</v>
      </c>
      <c r="G1061" s="211">
        <f>G1060+G1059</f>
        <v>11639.789713710379</v>
      </c>
    </row>
    <row r="1062" spans="1:7">
      <c r="A1062" s="26"/>
      <c r="B1062" s="170" t="s">
        <v>1584</v>
      </c>
      <c r="C1062" s="211" t="str">
        <f>E1061</f>
        <v>Rm</v>
      </c>
      <c r="D1062" s="26" t="s">
        <v>4725</v>
      </c>
      <c r="F1062" s="26" t="s">
        <v>4108</v>
      </c>
      <c r="G1062" s="211">
        <f>ROUND(G1061/D1061,1)</f>
        <v>3879.9</v>
      </c>
    </row>
    <row r="1063" spans="1:7">
      <c r="A1063" s="26"/>
    </row>
    <row r="1064" spans="1:7" ht="18.75">
      <c r="A1064" s="26"/>
      <c r="B1064" s="78" t="s">
        <v>1237</v>
      </c>
      <c r="C1064" s="26" t="s">
        <v>9561</v>
      </c>
    </row>
    <row r="1065" spans="1:7">
      <c r="A1065" s="26"/>
      <c r="C1065" s="26" t="s">
        <v>9560</v>
      </c>
    </row>
    <row r="1066" spans="1:7">
      <c r="A1066" s="26"/>
      <c r="C1066" s="26" t="s">
        <v>9562</v>
      </c>
    </row>
    <row r="1067" spans="1:7">
      <c r="A1067" s="26"/>
      <c r="C1067" s="26" t="s">
        <v>9563</v>
      </c>
    </row>
    <row r="1068" spans="1:7">
      <c r="A1068" s="26"/>
    </row>
    <row r="1069" spans="1:7">
      <c r="A1069" s="27" t="s">
        <v>9555</v>
      </c>
      <c r="B1069" s="170" t="s">
        <v>9549</v>
      </c>
    </row>
    <row r="1070" spans="1:7">
      <c r="A1070" s="78" t="s">
        <v>9495</v>
      </c>
      <c r="B1070" s="26" t="s">
        <v>9550</v>
      </c>
    </row>
    <row r="1071" spans="1:7">
      <c r="B1071" s="26" t="s">
        <v>9551</v>
      </c>
    </row>
    <row r="1072" spans="1:7">
      <c r="B1072" s="26" t="s">
        <v>9557</v>
      </c>
    </row>
    <row r="1073" spans="1:8">
      <c r="B1073" s="170" t="s">
        <v>9558</v>
      </c>
    </row>
    <row r="1074" spans="1:8">
      <c r="B1074" s="170" t="s">
        <v>9559</v>
      </c>
    </row>
    <row r="1075" spans="1:8">
      <c r="B1075" s="170"/>
    </row>
    <row r="1076" spans="1:8">
      <c r="A1076" s="78" t="s">
        <v>3984</v>
      </c>
      <c r="B1076" s="26" t="s">
        <v>9556</v>
      </c>
    </row>
    <row r="1077" spans="1:8">
      <c r="B1077" s="26" t="s">
        <v>3321</v>
      </c>
    </row>
    <row r="1078" spans="1:8">
      <c r="B1078" s="26" t="s">
        <v>3317</v>
      </c>
    </row>
    <row r="1079" spans="1:8">
      <c r="B1079" s="26" t="s">
        <v>3318</v>
      </c>
    </row>
    <row r="1080" spans="1:8">
      <c r="B1080" s="26" t="s">
        <v>2366</v>
      </c>
    </row>
    <row r="1081" spans="1:8">
      <c r="B1081" s="26" t="s">
        <v>3322</v>
      </c>
      <c r="D1081" s="68">
        <f>'BASIC DATA'!$D$304</f>
        <v>12720</v>
      </c>
      <c r="E1081" s="26" t="s">
        <v>2290</v>
      </c>
      <c r="G1081" s="171" t="s">
        <v>1698</v>
      </c>
      <c r="H1081" s="117">
        <f>D1081</f>
        <v>12720</v>
      </c>
    </row>
    <row r="1082" spans="1:8">
      <c r="B1082" s="26" t="s">
        <v>9548</v>
      </c>
      <c r="F1082" s="78" t="s">
        <v>1697</v>
      </c>
      <c r="G1082" s="26">
        <v>10.57</v>
      </c>
      <c r="H1082" s="26" t="s">
        <v>2602</v>
      </c>
    </row>
    <row r="1083" spans="1:8">
      <c r="B1083" s="26" t="s">
        <v>1632</v>
      </c>
      <c r="E1083" s="26" t="s">
        <v>7593</v>
      </c>
      <c r="F1083" s="78"/>
      <c r="G1083" s="171" t="s">
        <v>1698</v>
      </c>
      <c r="H1083" s="117">
        <f>H1081/G1082</f>
        <v>1203.4058656575212</v>
      </c>
    </row>
    <row r="1084" spans="1:8">
      <c r="B1084" s="26" t="s">
        <v>4779</v>
      </c>
      <c r="D1084" s="68">
        <f>'BASIC DATA'!$D$312</f>
        <v>5150</v>
      </c>
      <c r="E1084" s="26" t="s">
        <v>2290</v>
      </c>
      <c r="F1084" s="78"/>
      <c r="G1084" s="171" t="s">
        <v>1698</v>
      </c>
      <c r="H1084" s="117">
        <f>D1084</f>
        <v>5150</v>
      </c>
    </row>
    <row r="1085" spans="1:8">
      <c r="B1085" s="26" t="s">
        <v>9554</v>
      </c>
      <c r="F1085" s="78" t="s">
        <v>1697</v>
      </c>
      <c r="G1085" s="26">
        <v>100</v>
      </c>
      <c r="H1085" s="26" t="s">
        <v>2602</v>
      </c>
    </row>
    <row r="1086" spans="1:8">
      <c r="B1086" s="26" t="s">
        <v>174</v>
      </c>
      <c r="E1086" s="26" t="s">
        <v>7593</v>
      </c>
      <c r="F1086" s="78"/>
      <c r="G1086" s="171" t="s">
        <v>1698</v>
      </c>
      <c r="H1086" s="117">
        <f>H1084/G1085</f>
        <v>51.5</v>
      </c>
    </row>
    <row r="1087" spans="1:8">
      <c r="B1087" s="26" t="s">
        <v>3273</v>
      </c>
      <c r="D1087" s="68">
        <f>'BASIC DATA'!$D$305</f>
        <v>13568</v>
      </c>
      <c r="E1087" s="26" t="s">
        <v>2290</v>
      </c>
      <c r="F1087" s="78"/>
      <c r="G1087" s="171" t="s">
        <v>1698</v>
      </c>
      <c r="H1087" s="117">
        <f>D1087</f>
        <v>13568</v>
      </c>
    </row>
    <row r="1088" spans="1:8">
      <c r="B1088" s="26" t="s">
        <v>3274</v>
      </c>
      <c r="F1088" s="78" t="s">
        <v>1697</v>
      </c>
      <c r="G1088" s="26">
        <v>100</v>
      </c>
      <c r="H1088" s="26" t="s">
        <v>2602</v>
      </c>
    </row>
    <row r="1089" spans="1:8">
      <c r="B1089" s="26" t="s">
        <v>3275</v>
      </c>
      <c r="E1089" s="26" t="s">
        <v>7593</v>
      </c>
      <c r="F1089" s="78"/>
      <c r="G1089" s="171" t="s">
        <v>1698</v>
      </c>
      <c r="H1089" s="117">
        <f>H1087/G1088</f>
        <v>135.68</v>
      </c>
    </row>
    <row r="1090" spans="1:8">
      <c r="B1090" s="26" t="s">
        <v>3276</v>
      </c>
      <c r="D1090" s="68">
        <f>'BASIC DATA'!$D$306</f>
        <v>2120</v>
      </c>
      <c r="E1090" s="26" t="s">
        <v>2618</v>
      </c>
      <c r="F1090" s="78"/>
      <c r="G1090" s="171" t="s">
        <v>1698</v>
      </c>
      <c r="H1090" s="117">
        <f>D1090*16.5</f>
        <v>34980</v>
      </c>
    </row>
    <row r="1091" spans="1:8">
      <c r="B1091" s="26" t="s">
        <v>176</v>
      </c>
      <c r="D1091" s="68"/>
      <c r="F1091" s="78" t="s">
        <v>1697</v>
      </c>
      <c r="G1091" s="26">
        <v>2500</v>
      </c>
      <c r="H1091" s="26" t="s">
        <v>2602</v>
      </c>
    </row>
    <row r="1092" spans="1:8">
      <c r="B1092" s="26" t="s">
        <v>177</v>
      </c>
      <c r="D1092" s="68"/>
      <c r="E1092" s="26" t="s">
        <v>7593</v>
      </c>
      <c r="G1092" s="171" t="s">
        <v>1698</v>
      </c>
      <c r="H1092" s="117">
        <f>H1090/G1091</f>
        <v>13.992000000000001</v>
      </c>
    </row>
    <row r="1093" spans="1:8">
      <c r="B1093" s="26" t="s">
        <v>2934</v>
      </c>
      <c r="D1093" s="68"/>
    </row>
    <row r="1094" spans="1:8">
      <c r="B1094" s="26" t="s">
        <v>5921</v>
      </c>
      <c r="D1094" s="68">
        <f>'BASIC DATA'!$D$72</f>
        <v>54000</v>
      </c>
      <c r="E1094" s="26" t="s">
        <v>3691</v>
      </c>
      <c r="G1094" s="171" t="s">
        <v>1698</v>
      </c>
      <c r="H1094" s="68">
        <f>D1094*0.033</f>
        <v>1782</v>
      </c>
    </row>
    <row r="1095" spans="1:8">
      <c r="B1095" s="26" t="s">
        <v>1805</v>
      </c>
      <c r="D1095" s="201">
        <v>0.1</v>
      </c>
      <c r="G1095" s="171" t="s">
        <v>1698</v>
      </c>
      <c r="H1095" s="68">
        <f>D1095*$H$950</f>
        <v>178.20000000000002</v>
      </c>
    </row>
    <row r="1096" spans="1:8">
      <c r="B1096" s="26" t="s">
        <v>1806</v>
      </c>
      <c r="D1096" s="201">
        <v>0.15</v>
      </c>
      <c r="G1096" s="171" t="s">
        <v>1698</v>
      </c>
      <c r="H1096" s="68">
        <f>D1096*$H$950</f>
        <v>267.3</v>
      </c>
    </row>
    <row r="1097" spans="1:8">
      <c r="B1097" s="26" t="s">
        <v>2064</v>
      </c>
      <c r="D1097" s="26">
        <v>4</v>
      </c>
      <c r="E1097" s="26" t="s">
        <v>6839</v>
      </c>
      <c r="G1097" s="171" t="s">
        <v>1698</v>
      </c>
      <c r="H1097" s="68">
        <f>SUM(H1094:H1096)</f>
        <v>2227.5</v>
      </c>
    </row>
    <row r="1098" spans="1:8">
      <c r="B1098" s="26" t="s">
        <v>180</v>
      </c>
      <c r="G1098" s="171" t="s">
        <v>1698</v>
      </c>
      <c r="H1098" s="68">
        <f>H1097/D1097</f>
        <v>556.875</v>
      </c>
    </row>
    <row r="1099" spans="1:8">
      <c r="A1099" s="26"/>
    </row>
    <row r="1100" spans="1:8">
      <c r="A1100" s="26" t="s">
        <v>9215</v>
      </c>
      <c r="C1100" s="203" t="s">
        <v>2367</v>
      </c>
      <c r="D1100" s="171"/>
      <c r="F1100" s="171" t="s">
        <v>297</v>
      </c>
      <c r="G1100" s="776">
        <v>3</v>
      </c>
      <c r="H1100" s="26" t="s">
        <v>3483</v>
      </c>
    </row>
    <row r="1101" spans="1:8">
      <c r="A1101" s="26"/>
    </row>
    <row r="1102" spans="1:8">
      <c r="A1102" s="26"/>
      <c r="B1102" s="79" t="s">
        <v>2368</v>
      </c>
    </row>
    <row r="1103" spans="1:8">
      <c r="A1103" s="26"/>
      <c r="B1103" s="95" t="s">
        <v>2369</v>
      </c>
      <c r="C1103" s="157" t="s">
        <v>6374</v>
      </c>
      <c r="D1103" s="195"/>
      <c r="E1103" s="95" t="s">
        <v>2370</v>
      </c>
      <c r="F1103" s="95" t="s">
        <v>1166</v>
      </c>
      <c r="G1103" s="95" t="s">
        <v>2371</v>
      </c>
      <c r="H1103" s="95" t="s">
        <v>2372</v>
      </c>
    </row>
    <row r="1104" spans="1:8">
      <c r="A1104" s="26"/>
      <c r="B1104" s="105"/>
      <c r="C1104" s="154"/>
      <c r="D1104" s="192"/>
      <c r="E1104" s="114"/>
      <c r="F1104" s="114"/>
      <c r="G1104" s="114" t="s">
        <v>3485</v>
      </c>
      <c r="H1104" s="114" t="s">
        <v>3485</v>
      </c>
    </row>
    <row r="1105" spans="1:8">
      <c r="A1105" s="26"/>
      <c r="B1105" s="95">
        <v>1</v>
      </c>
      <c r="C1105" s="148" t="s">
        <v>5922</v>
      </c>
      <c r="D1105" s="195"/>
      <c r="E1105" s="344" t="s">
        <v>3483</v>
      </c>
      <c r="F1105" s="190">
        <v>3</v>
      </c>
      <c r="G1105" s="190">
        <f>H1083</f>
        <v>1203.4058656575212</v>
      </c>
      <c r="H1105" s="179">
        <f>F1105*G1105</f>
        <v>3610.2175969725636</v>
      </c>
    </row>
    <row r="1106" spans="1:8">
      <c r="A1106" s="26"/>
      <c r="B1106" s="105">
        <v>2</v>
      </c>
      <c r="C1106" s="76" t="s">
        <v>182</v>
      </c>
      <c r="D1106" s="189"/>
      <c r="E1106" s="280" t="s">
        <v>3483</v>
      </c>
      <c r="F1106" s="190">
        <v>3</v>
      </c>
      <c r="G1106" s="190">
        <f>H1086</f>
        <v>51.5</v>
      </c>
      <c r="H1106" s="190">
        <f>F1106*G1106</f>
        <v>154.5</v>
      </c>
    </row>
    <row r="1107" spans="1:8">
      <c r="A1107" s="26"/>
      <c r="B1107" s="105">
        <v>3</v>
      </c>
      <c r="C1107" s="76" t="s">
        <v>5923</v>
      </c>
      <c r="D1107" s="189"/>
      <c r="E1107" s="280" t="s">
        <v>3483</v>
      </c>
      <c r="F1107" s="190">
        <v>3</v>
      </c>
      <c r="G1107" s="190">
        <f>H1089</f>
        <v>135.68</v>
      </c>
      <c r="H1107" s="190">
        <f>F1107*G1107</f>
        <v>407.04</v>
      </c>
    </row>
    <row r="1108" spans="1:8">
      <c r="A1108" s="26"/>
      <c r="B1108" s="105">
        <v>4</v>
      </c>
      <c r="C1108" s="76" t="s">
        <v>183</v>
      </c>
      <c r="D1108" s="189"/>
      <c r="E1108" s="280" t="s">
        <v>3483</v>
      </c>
      <c r="F1108" s="190">
        <v>3</v>
      </c>
      <c r="G1108" s="190">
        <f>H1092</f>
        <v>13.992000000000001</v>
      </c>
      <c r="H1108" s="190">
        <f>F1108*G1108</f>
        <v>41.975999999999999</v>
      </c>
    </row>
    <row r="1109" spans="1:8">
      <c r="A1109" s="26"/>
      <c r="B1109" s="114">
        <v>5</v>
      </c>
      <c r="C1109" s="89" t="s">
        <v>184</v>
      </c>
      <c r="D1109" s="192"/>
      <c r="E1109" s="275" t="s">
        <v>3483</v>
      </c>
      <c r="F1109" s="182">
        <v>3</v>
      </c>
      <c r="G1109" s="182">
        <f>H1098</f>
        <v>556.875</v>
      </c>
      <c r="H1109" s="182">
        <f>F1109*G1109</f>
        <v>1670.625</v>
      </c>
    </row>
    <row r="1110" spans="1:8">
      <c r="A1110" s="26"/>
      <c r="B1110" s="176"/>
      <c r="C1110" s="174"/>
      <c r="D1110" s="174" t="s">
        <v>2376</v>
      </c>
      <c r="E1110" s="174"/>
      <c r="F1110" s="192"/>
      <c r="G1110" s="275" t="s">
        <v>1698</v>
      </c>
      <c r="H1110" s="318">
        <f>SUM(H1105:H1109)</f>
        <v>5884.3585969725636</v>
      </c>
    </row>
    <row r="1111" spans="1:8">
      <c r="A1111" s="26"/>
    </row>
    <row r="1112" spans="1:8">
      <c r="A1112" s="26"/>
      <c r="B1112" s="79" t="s">
        <v>2377</v>
      </c>
    </row>
    <row r="1113" spans="1:8">
      <c r="A1113" s="26"/>
      <c r="B1113" s="95" t="s">
        <v>2369</v>
      </c>
      <c r="C1113" s="157" t="s">
        <v>2378</v>
      </c>
      <c r="D1113" s="195"/>
      <c r="E1113" s="95" t="s">
        <v>2370</v>
      </c>
      <c r="F1113" s="95" t="s">
        <v>1166</v>
      </c>
      <c r="G1113" s="95" t="s">
        <v>2371</v>
      </c>
      <c r="H1113" s="95" t="s">
        <v>2372</v>
      </c>
    </row>
    <row r="1114" spans="1:8">
      <c r="A1114" s="26"/>
      <c r="B1114" s="114"/>
      <c r="C1114" s="154"/>
      <c r="D1114" s="192"/>
      <c r="E1114" s="114"/>
      <c r="F1114" s="114"/>
      <c r="G1114" s="114" t="s">
        <v>3485</v>
      </c>
      <c r="H1114" s="114" t="s">
        <v>3485</v>
      </c>
    </row>
    <row r="1115" spans="1:8">
      <c r="A1115" s="26"/>
      <c r="B1115" s="95">
        <v>1</v>
      </c>
      <c r="C1115" s="131" t="s">
        <v>2941</v>
      </c>
      <c r="E1115" s="107" t="s">
        <v>2374</v>
      </c>
      <c r="F1115" s="179">
        <v>4.7759999999999998</v>
      </c>
      <c r="G1115" s="179">
        <f>'HIRE CHARGES'!$D$513</f>
        <v>319</v>
      </c>
      <c r="H1115" s="179">
        <f>F1115*G1115</f>
        <v>1523.5439999999999</v>
      </c>
    </row>
    <row r="1116" spans="1:8">
      <c r="A1116" s="26"/>
      <c r="B1116" s="280"/>
      <c r="C1116" s="135" t="s">
        <v>2379</v>
      </c>
      <c r="E1116" s="210" t="s">
        <v>2374</v>
      </c>
      <c r="F1116" s="190">
        <v>4.7759999999999998</v>
      </c>
      <c r="G1116" s="190">
        <f>'HIRE CHARGES'!$E$513</f>
        <v>238</v>
      </c>
      <c r="H1116" s="190">
        <f>F1116*G1116</f>
        <v>1136.6879999999999</v>
      </c>
    </row>
    <row r="1117" spans="1:8">
      <c r="A1117" s="26"/>
      <c r="B1117" s="105">
        <v>2</v>
      </c>
      <c r="C1117" s="135" t="s">
        <v>1944</v>
      </c>
      <c r="E1117" s="210" t="s">
        <v>2374</v>
      </c>
      <c r="F1117" s="190">
        <v>9.5519999999999996</v>
      </c>
      <c r="G1117" s="190">
        <f>'HIRE CHARGES'!$D$517</f>
        <v>10.199999999999999</v>
      </c>
      <c r="H1117" s="190">
        <f>F1117*G1117</f>
        <v>97.430399999999992</v>
      </c>
    </row>
    <row r="1118" spans="1:8">
      <c r="A1118" s="26"/>
      <c r="B1118" s="280"/>
      <c r="C1118" s="135" t="s">
        <v>2379</v>
      </c>
      <c r="E1118" s="210" t="s">
        <v>2374</v>
      </c>
      <c r="F1118" s="190">
        <v>9.5519999999999996</v>
      </c>
      <c r="G1118" s="190">
        <f>'HIRE CHARGES'!$E$517</f>
        <v>79.3</v>
      </c>
      <c r="H1118" s="190">
        <f>F1118*G1118</f>
        <v>757.47359999999992</v>
      </c>
    </row>
    <row r="1119" spans="1:8">
      <c r="A1119" s="26"/>
      <c r="B1119" s="114">
        <v>3</v>
      </c>
      <c r="C1119" s="139" t="s">
        <v>2373</v>
      </c>
      <c r="D1119" s="174"/>
      <c r="E1119" s="191" t="s">
        <v>2173</v>
      </c>
      <c r="F1119" s="182">
        <v>2.99</v>
      </c>
      <c r="G1119" s="215">
        <f>'BASIC DATA'!$D$359</f>
        <v>30</v>
      </c>
      <c r="H1119" s="182">
        <f>F1119*G1119</f>
        <v>89.7</v>
      </c>
    </row>
    <row r="1120" spans="1:8">
      <c r="A1120" s="26"/>
      <c r="B1120" s="176"/>
      <c r="C1120" s="174"/>
      <c r="D1120" s="174" t="s">
        <v>2380</v>
      </c>
      <c r="E1120" s="174"/>
      <c r="F1120" s="192"/>
      <c r="G1120" s="275" t="s">
        <v>1698</v>
      </c>
      <c r="H1120" s="318">
        <f>SUM(H1115:H1119)</f>
        <v>3604.8359999999998</v>
      </c>
    </row>
    <row r="1121" spans="1:8">
      <c r="A1121" s="26"/>
    </row>
    <row r="1122" spans="1:8">
      <c r="A1122" s="26"/>
      <c r="B1122" s="79" t="s">
        <v>2381</v>
      </c>
    </row>
    <row r="1123" spans="1:8">
      <c r="A1123" s="26"/>
      <c r="B1123" s="95" t="s">
        <v>2369</v>
      </c>
      <c r="C1123" s="157" t="s">
        <v>2378</v>
      </c>
      <c r="D1123" s="195"/>
      <c r="E1123" s="95" t="s">
        <v>2370</v>
      </c>
      <c r="F1123" s="95" t="s">
        <v>1166</v>
      </c>
      <c r="G1123" s="95" t="s">
        <v>2371</v>
      </c>
      <c r="H1123" s="95" t="s">
        <v>2372</v>
      </c>
    </row>
    <row r="1124" spans="1:8">
      <c r="A1124" s="26"/>
      <c r="B1124" s="114"/>
      <c r="C1124" s="154"/>
      <c r="D1124" s="192"/>
      <c r="E1124" s="105"/>
      <c r="F1124" s="114"/>
      <c r="G1124" s="114" t="s">
        <v>3485</v>
      </c>
      <c r="H1124" s="114" t="s">
        <v>3485</v>
      </c>
    </row>
    <row r="1125" spans="1:8">
      <c r="A1125" s="26"/>
      <c r="B1125" s="95">
        <v>1</v>
      </c>
      <c r="C1125" s="148" t="s">
        <v>1946</v>
      </c>
      <c r="D1125" s="187"/>
      <c r="E1125" s="107" t="s">
        <v>2374</v>
      </c>
      <c r="F1125" s="178">
        <v>4.7759999999999998</v>
      </c>
      <c r="G1125" s="179">
        <f>'HIRE CHARGES'!$F$513</f>
        <v>283.89999999999998</v>
      </c>
      <c r="H1125" s="179">
        <f>F1125*G1125</f>
        <v>1355.9063999999998</v>
      </c>
    </row>
    <row r="1126" spans="1:8">
      <c r="A1126" s="26"/>
      <c r="B1126" s="105">
        <v>2</v>
      </c>
      <c r="C1126" s="76" t="s">
        <v>999</v>
      </c>
      <c r="D1126" s="31"/>
      <c r="E1126" s="210" t="s">
        <v>2374</v>
      </c>
      <c r="F1126" s="207">
        <v>9.5519999999999996</v>
      </c>
      <c r="G1126" s="190">
        <f>'HIRE CHARGES'!$F$517</f>
        <v>111.1</v>
      </c>
      <c r="H1126" s="190">
        <f>F1126*G1126</f>
        <v>1061.2271999999998</v>
      </c>
    </row>
    <row r="1127" spans="1:8">
      <c r="A1127" s="26"/>
      <c r="B1127" s="114">
        <v>3</v>
      </c>
      <c r="C1127" s="89" t="s">
        <v>2697</v>
      </c>
      <c r="D1127" s="174"/>
      <c r="E1127" s="191" t="s">
        <v>1172</v>
      </c>
      <c r="F1127" s="181">
        <v>1.194</v>
      </c>
      <c r="G1127" s="182">
        <f>'BASIC DATA'!$C$552</f>
        <v>350</v>
      </c>
      <c r="H1127" s="182">
        <f>F1127*G1127</f>
        <v>417.9</v>
      </c>
    </row>
    <row r="1128" spans="1:8">
      <c r="A1128" s="26"/>
      <c r="B1128" s="176"/>
      <c r="C1128" s="174"/>
      <c r="D1128" s="174" t="s">
        <v>1174</v>
      </c>
      <c r="E1128" s="174"/>
      <c r="F1128" s="192"/>
      <c r="G1128" s="275" t="s">
        <v>1698</v>
      </c>
      <c r="H1128" s="318">
        <f>SUM(H1125:H1127)</f>
        <v>2835.0335999999998</v>
      </c>
    </row>
    <row r="1129" spans="1:8">
      <c r="A1129" s="26"/>
      <c r="B1129" s="60" t="s">
        <v>5948</v>
      </c>
      <c r="C1129" s="31"/>
      <c r="D1129" s="31"/>
      <c r="E1129" s="85">
        <f>ROUND(H1128/G1100,1)</f>
        <v>945</v>
      </c>
      <c r="G1129" s="31"/>
    </row>
    <row r="1130" spans="1:8">
      <c r="A1130" s="26"/>
      <c r="B1130" s="60" t="s">
        <v>3163</v>
      </c>
      <c r="C1130" s="31"/>
      <c r="D1130" s="31">
        <f>'BASIC DATA'!$C$577</f>
        <v>0.13614999999999999</v>
      </c>
      <c r="E1130" s="85">
        <f>ROUND(E1129*D1130,1)</f>
        <v>128.69999999999999</v>
      </c>
      <c r="G1130" s="31"/>
    </row>
    <row r="1131" spans="1:8">
      <c r="A1131" s="26"/>
      <c r="B1131" s="60" t="s">
        <v>5949</v>
      </c>
      <c r="C1131" s="31"/>
      <c r="D1131" s="31"/>
      <c r="E1131" s="739">
        <f>E1130+E1129</f>
        <v>1073.7</v>
      </c>
      <c r="G1131" s="31"/>
    </row>
    <row r="1132" spans="1:8">
      <c r="A1132" s="26"/>
      <c r="B1132" s="26"/>
    </row>
    <row r="1133" spans="1:8">
      <c r="A1133" s="26"/>
      <c r="B1133" s="170" t="s">
        <v>1175</v>
      </c>
    </row>
    <row r="1134" spans="1:8">
      <c r="A1134" s="26"/>
      <c r="B1134" s="26" t="s">
        <v>1176</v>
      </c>
      <c r="F1134" s="171" t="s">
        <v>1698</v>
      </c>
      <c r="G1134" s="68">
        <f>H1110</f>
        <v>5884.3585969725636</v>
      </c>
    </row>
    <row r="1135" spans="1:8">
      <c r="A1135" s="26"/>
      <c r="B1135" s="26" t="s">
        <v>1186</v>
      </c>
      <c r="F1135" s="171" t="s">
        <v>1698</v>
      </c>
      <c r="G1135" s="68">
        <f>H1120</f>
        <v>3604.8359999999998</v>
      </c>
    </row>
    <row r="1136" spans="1:8">
      <c r="A1136" s="26"/>
      <c r="B1136" s="26" t="s">
        <v>2660</v>
      </c>
      <c r="F1136" s="171" t="s">
        <v>1698</v>
      </c>
      <c r="G1136" s="75">
        <f>H1128</f>
        <v>2835.0335999999998</v>
      </c>
    </row>
    <row r="1137" spans="1:7">
      <c r="A1137" s="26"/>
      <c r="E1137" s="26" t="s">
        <v>1518</v>
      </c>
      <c r="F1137" s="171" t="s">
        <v>1698</v>
      </c>
      <c r="G1137" s="205">
        <f>SUM(G1134:G1136)</f>
        <v>12324.228196972563</v>
      </c>
    </row>
    <row r="1138" spans="1:7">
      <c r="A1138" s="26"/>
      <c r="B1138" s="1207" t="s">
        <v>1379</v>
      </c>
      <c r="C1138" s="1207"/>
      <c r="E1138" s="249">
        <f>'BASIC DATA'!$C$577</f>
        <v>0.13614999999999999</v>
      </c>
      <c r="F1138" s="26" t="s">
        <v>1698</v>
      </c>
      <c r="G1138" s="26">
        <f>G1137*E1138</f>
        <v>1677.9436690178143</v>
      </c>
    </row>
    <row r="1139" spans="1:7">
      <c r="A1139" s="26"/>
      <c r="B1139" s="26" t="s">
        <v>1191</v>
      </c>
      <c r="D1139" s="68">
        <f>G1100</f>
        <v>3</v>
      </c>
      <c r="E1139" s="68" t="str">
        <f>H1100</f>
        <v>Rm</v>
      </c>
      <c r="F1139" s="26" t="s">
        <v>1698</v>
      </c>
      <c r="G1139" s="211">
        <f>G1138+G1137</f>
        <v>14002.171865990376</v>
      </c>
    </row>
    <row r="1140" spans="1:7">
      <c r="A1140" s="26"/>
      <c r="B1140" s="170" t="s">
        <v>1584</v>
      </c>
      <c r="C1140" s="211" t="str">
        <f>E1139</f>
        <v>Rm</v>
      </c>
      <c r="D1140" s="26" t="s">
        <v>4725</v>
      </c>
      <c r="F1140" s="26" t="s">
        <v>4108</v>
      </c>
      <c r="G1140" s="211">
        <f>ROUND(G1139/D1139,1)</f>
        <v>4667.3999999999996</v>
      </c>
    </row>
    <row r="1141" spans="1:7">
      <c r="A1141" s="26"/>
    </row>
    <row r="1142" spans="1:7" ht="18.75">
      <c r="A1142" s="26"/>
      <c r="B1142" s="78" t="s">
        <v>1237</v>
      </c>
      <c r="C1142" s="26" t="s">
        <v>9561</v>
      </c>
    </row>
    <row r="1143" spans="1:7">
      <c r="A1143" s="26"/>
      <c r="C1143" s="26" t="s">
        <v>9560</v>
      </c>
    </row>
    <row r="1144" spans="1:7">
      <c r="A1144" s="26"/>
      <c r="C1144" s="26" t="s">
        <v>9562</v>
      </c>
    </row>
    <row r="1145" spans="1:7">
      <c r="A1145" s="26"/>
      <c r="C1145" s="26" t="s">
        <v>9563</v>
      </c>
    </row>
    <row r="1146" spans="1:7">
      <c r="A1146" s="26"/>
    </row>
    <row r="1147" spans="1:7">
      <c r="A1147" s="78" t="s">
        <v>5493</v>
      </c>
      <c r="B1147" s="26" t="s">
        <v>9161</v>
      </c>
    </row>
    <row r="1148" spans="1:7">
      <c r="B1148" s="26" t="s">
        <v>9162</v>
      </c>
    </row>
    <row r="1149" spans="1:7">
      <c r="B1149" s="26" t="s">
        <v>9163</v>
      </c>
    </row>
    <row r="1150" spans="1:7">
      <c r="B1150" s="26" t="s">
        <v>9546</v>
      </c>
    </row>
    <row r="1151" spans="1:7">
      <c r="B1151" s="170"/>
    </row>
    <row r="1152" spans="1:7">
      <c r="B1152" s="26"/>
    </row>
    <row r="1153" spans="1:8">
      <c r="A1153" s="78" t="s">
        <v>3984</v>
      </c>
      <c r="B1153" s="26" t="s">
        <v>3557</v>
      </c>
    </row>
    <row r="1154" spans="1:8">
      <c r="B1154" s="26" t="s">
        <v>9164</v>
      </c>
    </row>
    <row r="1155" spans="1:8">
      <c r="B1155" s="26" t="s">
        <v>9165</v>
      </c>
    </row>
    <row r="1156" spans="1:8">
      <c r="B1156" s="26" t="s">
        <v>3321</v>
      </c>
    </row>
    <row r="1157" spans="1:8">
      <c r="B1157" s="26" t="s">
        <v>3317</v>
      </c>
    </row>
    <row r="1158" spans="1:8">
      <c r="B1158" s="26" t="s">
        <v>3318</v>
      </c>
    </row>
    <row r="1159" spans="1:8">
      <c r="B1159" s="26" t="s">
        <v>4184</v>
      </c>
    </row>
    <row r="1160" spans="1:8">
      <c r="B1160" s="26" t="s">
        <v>4184</v>
      </c>
    </row>
    <row r="1161" spans="1:8">
      <c r="B1161" s="26" t="s">
        <v>1753</v>
      </c>
      <c r="D1161" s="68">
        <f>'BASIC DATA'!$D$303</f>
        <v>10600</v>
      </c>
      <c r="E1161" s="26" t="s">
        <v>2290</v>
      </c>
      <c r="G1161" s="171" t="s">
        <v>1698</v>
      </c>
      <c r="H1161" s="117">
        <f>D1161</f>
        <v>10600</v>
      </c>
    </row>
    <row r="1162" spans="1:8">
      <c r="B1162" s="26" t="s">
        <v>1754</v>
      </c>
      <c r="F1162" s="78" t="s">
        <v>1697</v>
      </c>
      <c r="G1162" s="26">
        <v>15</v>
      </c>
      <c r="H1162" s="26" t="s">
        <v>2602</v>
      </c>
    </row>
    <row r="1163" spans="1:8">
      <c r="B1163" s="26" t="s">
        <v>6137</v>
      </c>
      <c r="E1163" s="26" t="s">
        <v>7593</v>
      </c>
      <c r="F1163" s="78"/>
      <c r="G1163" s="171" t="s">
        <v>1698</v>
      </c>
      <c r="H1163" s="117">
        <f>H1161/G1162</f>
        <v>706.66666666666663</v>
      </c>
    </row>
    <row r="1164" spans="1:8">
      <c r="B1164" s="26" t="s">
        <v>4779</v>
      </c>
      <c r="D1164" s="68">
        <f>'BASIC DATA'!D312</f>
        <v>5150</v>
      </c>
      <c r="E1164" s="26" t="s">
        <v>2290</v>
      </c>
      <c r="F1164" s="78"/>
      <c r="G1164" s="171" t="s">
        <v>1698</v>
      </c>
      <c r="H1164" s="117">
        <f>D1164</f>
        <v>5150</v>
      </c>
    </row>
    <row r="1165" spans="1:8">
      <c r="B1165" s="26" t="s">
        <v>5120</v>
      </c>
      <c r="F1165" s="78" t="s">
        <v>1697</v>
      </c>
      <c r="G1165" s="26">
        <v>60</v>
      </c>
      <c r="H1165" s="26" t="s">
        <v>2602</v>
      </c>
    </row>
    <row r="1166" spans="1:8">
      <c r="B1166" s="26" t="s">
        <v>174</v>
      </c>
      <c r="E1166" s="26" t="s">
        <v>7593</v>
      </c>
      <c r="F1166" s="78"/>
      <c r="G1166" s="171" t="s">
        <v>1698</v>
      </c>
      <c r="H1166" s="117">
        <f>H1164/G1165</f>
        <v>85.833333333333329</v>
      </c>
    </row>
    <row r="1167" spans="1:8">
      <c r="B1167" s="26" t="s">
        <v>3273</v>
      </c>
      <c r="D1167" s="68">
        <f>'BASIC DATA'!D305</f>
        <v>13568</v>
      </c>
      <c r="E1167" s="26" t="s">
        <v>2290</v>
      </c>
      <c r="F1167" s="78"/>
      <c r="G1167" s="171" t="s">
        <v>1698</v>
      </c>
      <c r="H1167" s="117">
        <f>D1167</f>
        <v>13568</v>
      </c>
    </row>
    <row r="1168" spans="1:8">
      <c r="B1168" s="26" t="s">
        <v>3274</v>
      </c>
      <c r="F1168" s="78" t="s">
        <v>1697</v>
      </c>
      <c r="G1168" s="26">
        <v>60</v>
      </c>
      <c r="H1168" s="26" t="s">
        <v>2602</v>
      </c>
    </row>
    <row r="1169" spans="1:8">
      <c r="B1169" s="26" t="s">
        <v>3275</v>
      </c>
      <c r="E1169" s="26" t="s">
        <v>7593</v>
      </c>
      <c r="F1169" s="78"/>
      <c r="G1169" s="171" t="s">
        <v>1698</v>
      </c>
      <c r="H1169" s="117">
        <f>H1167/G1168</f>
        <v>226.13333333333333</v>
      </c>
    </row>
    <row r="1170" spans="1:8">
      <c r="B1170" s="26" t="s">
        <v>3276</v>
      </c>
      <c r="D1170" s="68">
        <f>'BASIC DATA'!D306</f>
        <v>2120</v>
      </c>
      <c r="E1170" s="26" t="s">
        <v>2618</v>
      </c>
      <c r="F1170" s="78"/>
      <c r="G1170" s="171" t="s">
        <v>1698</v>
      </c>
      <c r="H1170" s="117">
        <f>D1170*16.5</f>
        <v>34980</v>
      </c>
    </row>
    <row r="1171" spans="1:8">
      <c r="B1171" s="26" t="s">
        <v>176</v>
      </c>
      <c r="F1171" s="78" t="s">
        <v>1697</v>
      </c>
      <c r="G1171" s="26">
        <v>1500</v>
      </c>
      <c r="H1171" s="26" t="s">
        <v>2602</v>
      </c>
    </row>
    <row r="1172" spans="1:8">
      <c r="B1172" s="26" t="s">
        <v>6138</v>
      </c>
      <c r="E1172" s="26" t="s">
        <v>7593</v>
      </c>
      <c r="G1172" s="171" t="s">
        <v>1698</v>
      </c>
      <c r="H1172" s="117">
        <f>H1170/G1171</f>
        <v>23.32</v>
      </c>
    </row>
    <row r="1173" spans="1:8">
      <c r="B1173" s="26" t="s">
        <v>178</v>
      </c>
      <c r="H1173" s="68"/>
    </row>
    <row r="1174" spans="1:8">
      <c r="B1174" s="26" t="s">
        <v>5921</v>
      </c>
      <c r="D1174" s="68">
        <f>'BASIC DATA'!D72</f>
        <v>54000</v>
      </c>
      <c r="E1174" s="26" t="s">
        <v>3691</v>
      </c>
      <c r="G1174" s="171" t="s">
        <v>1698</v>
      </c>
      <c r="H1174" s="68">
        <f>D1174*0.033</f>
        <v>1782</v>
      </c>
    </row>
    <row r="1175" spans="1:8">
      <c r="B1175" s="26" t="s">
        <v>1805</v>
      </c>
      <c r="D1175" s="201">
        <v>0.1</v>
      </c>
      <c r="G1175" s="171" t="s">
        <v>1698</v>
      </c>
      <c r="H1175" s="68">
        <f>H1174*D1175</f>
        <v>178.20000000000002</v>
      </c>
    </row>
    <row r="1176" spans="1:8">
      <c r="B1176" s="26" t="s">
        <v>1806</v>
      </c>
      <c r="D1176" s="201">
        <v>0.15</v>
      </c>
      <c r="G1176" s="171" t="s">
        <v>1698</v>
      </c>
      <c r="H1176" s="173">
        <f>H1174*D1176</f>
        <v>267.3</v>
      </c>
    </row>
    <row r="1177" spans="1:8">
      <c r="B1177" s="26" t="s">
        <v>2064</v>
      </c>
      <c r="D1177" s="26">
        <v>4</v>
      </c>
      <c r="E1177" s="26" t="s">
        <v>6839</v>
      </c>
      <c r="G1177" s="171" t="s">
        <v>1698</v>
      </c>
      <c r="H1177" s="68">
        <f>SUM(H1174:H1176)</f>
        <v>2227.5</v>
      </c>
    </row>
    <row r="1178" spans="1:8">
      <c r="B1178" s="26" t="s">
        <v>180</v>
      </c>
      <c r="G1178" s="171" t="s">
        <v>1698</v>
      </c>
      <c r="H1178" s="68">
        <f>H1177/D1177</f>
        <v>556.875</v>
      </c>
    </row>
    <row r="1179" spans="1:8">
      <c r="A1179" s="26"/>
    </row>
    <row r="1180" spans="1:8">
      <c r="A1180" s="26" t="s">
        <v>9215</v>
      </c>
      <c r="C1180" s="203" t="s">
        <v>2367</v>
      </c>
      <c r="D1180" s="171"/>
      <c r="F1180" s="171" t="s">
        <v>297</v>
      </c>
      <c r="G1180" s="776">
        <v>3</v>
      </c>
      <c r="H1180" s="26" t="s">
        <v>3483</v>
      </c>
    </row>
    <row r="1181" spans="1:8">
      <c r="A1181" s="26"/>
      <c r="B1181" s="79" t="s">
        <v>2368</v>
      </c>
    </row>
    <row r="1182" spans="1:8">
      <c r="A1182" s="26"/>
      <c r="B1182" s="95" t="s">
        <v>2369</v>
      </c>
      <c r="C1182" s="157" t="s">
        <v>6374</v>
      </c>
      <c r="D1182" s="195"/>
      <c r="E1182" s="95" t="s">
        <v>2370</v>
      </c>
      <c r="F1182" s="95" t="s">
        <v>1166</v>
      </c>
      <c r="G1182" s="95" t="s">
        <v>2371</v>
      </c>
      <c r="H1182" s="95" t="s">
        <v>2372</v>
      </c>
    </row>
    <row r="1183" spans="1:8">
      <c r="A1183" s="26"/>
      <c r="B1183" s="105"/>
      <c r="C1183" s="154"/>
      <c r="D1183" s="192"/>
      <c r="E1183" s="114"/>
      <c r="F1183" s="114"/>
      <c r="G1183" s="114" t="s">
        <v>3485</v>
      </c>
      <c r="H1183" s="114" t="s">
        <v>3485</v>
      </c>
    </row>
    <row r="1184" spans="1:8">
      <c r="A1184" s="26"/>
      <c r="B1184" s="95">
        <v>1</v>
      </c>
      <c r="C1184" s="148" t="s">
        <v>5922</v>
      </c>
      <c r="D1184" s="195"/>
      <c r="E1184" s="344" t="s">
        <v>3483</v>
      </c>
      <c r="F1184" s="190">
        <v>3</v>
      </c>
      <c r="G1184" s="190">
        <f>H1163</f>
        <v>706.66666666666663</v>
      </c>
      <c r="H1184" s="179">
        <f>F1184*G1184</f>
        <v>2120</v>
      </c>
    </row>
    <row r="1185" spans="1:8">
      <c r="A1185" s="26"/>
      <c r="B1185" s="105">
        <v>2</v>
      </c>
      <c r="C1185" s="76" t="s">
        <v>182</v>
      </c>
      <c r="D1185" s="189"/>
      <c r="E1185" s="280" t="s">
        <v>3483</v>
      </c>
      <c r="F1185" s="190">
        <v>3</v>
      </c>
      <c r="G1185" s="190">
        <f>H1166</f>
        <v>85.833333333333329</v>
      </c>
      <c r="H1185" s="190">
        <f>F1185*G1185</f>
        <v>257.5</v>
      </c>
    </row>
    <row r="1186" spans="1:8">
      <c r="A1186" s="26"/>
      <c r="B1186" s="105">
        <v>3</v>
      </c>
      <c r="C1186" s="76" t="s">
        <v>5923</v>
      </c>
      <c r="D1186" s="189"/>
      <c r="E1186" s="280" t="s">
        <v>3483</v>
      </c>
      <c r="F1186" s="190">
        <v>3</v>
      </c>
      <c r="G1186" s="190">
        <f>H1169</f>
        <v>226.13333333333333</v>
      </c>
      <c r="H1186" s="190">
        <f>F1186*G1186</f>
        <v>678.4</v>
      </c>
    </row>
    <row r="1187" spans="1:8">
      <c r="A1187" s="26"/>
      <c r="B1187" s="105">
        <v>4</v>
      </c>
      <c r="C1187" s="76" t="s">
        <v>183</v>
      </c>
      <c r="D1187" s="189"/>
      <c r="E1187" s="280" t="s">
        <v>3483</v>
      </c>
      <c r="F1187" s="190">
        <v>3</v>
      </c>
      <c r="G1187" s="190">
        <f>H1172</f>
        <v>23.32</v>
      </c>
      <c r="H1187" s="190">
        <f>F1187*G1187</f>
        <v>69.960000000000008</v>
      </c>
    </row>
    <row r="1188" spans="1:8">
      <c r="A1188" s="26"/>
      <c r="B1188" s="114">
        <v>5</v>
      </c>
      <c r="C1188" s="89" t="s">
        <v>184</v>
      </c>
      <c r="D1188" s="192"/>
      <c r="E1188" s="275" t="s">
        <v>3483</v>
      </c>
      <c r="F1188" s="182">
        <v>3</v>
      </c>
      <c r="G1188" s="182">
        <f>H1178</f>
        <v>556.875</v>
      </c>
      <c r="H1188" s="182">
        <f>F1188*G1188</f>
        <v>1670.625</v>
      </c>
    </row>
    <row r="1189" spans="1:8">
      <c r="A1189" s="26"/>
      <c r="B1189" s="176"/>
      <c r="C1189" s="174"/>
      <c r="D1189" s="174" t="s">
        <v>2376</v>
      </c>
      <c r="E1189" s="174"/>
      <c r="F1189" s="192"/>
      <c r="G1189" s="275" t="s">
        <v>1698</v>
      </c>
      <c r="H1189" s="318">
        <f>SUM(H1184:H1188)</f>
        <v>4796.4850000000006</v>
      </c>
    </row>
    <row r="1190" spans="1:8">
      <c r="A1190" s="26"/>
    </row>
    <row r="1191" spans="1:8">
      <c r="A1191" s="26"/>
      <c r="B1191" s="79" t="s">
        <v>2377</v>
      </c>
    </row>
    <row r="1192" spans="1:8">
      <c r="A1192" s="26"/>
      <c r="B1192" s="95" t="s">
        <v>2369</v>
      </c>
      <c r="C1192" s="157" t="s">
        <v>2378</v>
      </c>
      <c r="D1192" s="195"/>
      <c r="E1192" s="95" t="s">
        <v>2370</v>
      </c>
      <c r="F1192" s="95" t="s">
        <v>1166</v>
      </c>
      <c r="G1192" s="95" t="s">
        <v>2371</v>
      </c>
      <c r="H1192" s="95" t="s">
        <v>2372</v>
      </c>
    </row>
    <row r="1193" spans="1:8">
      <c r="A1193" s="26"/>
      <c r="B1193" s="114"/>
      <c r="C1193" s="154"/>
      <c r="D1193" s="192"/>
      <c r="E1193" s="114"/>
      <c r="F1193" s="114"/>
      <c r="G1193" s="114" t="s">
        <v>3485</v>
      </c>
      <c r="H1193" s="114" t="s">
        <v>3485</v>
      </c>
    </row>
    <row r="1194" spans="1:8">
      <c r="A1194" s="26"/>
      <c r="B1194" s="95">
        <v>1</v>
      </c>
      <c r="C1194" s="131" t="s">
        <v>2941</v>
      </c>
      <c r="E1194" s="107" t="s">
        <v>2374</v>
      </c>
      <c r="F1194" s="179">
        <v>8</v>
      </c>
      <c r="G1194" s="179">
        <f>'HIRE CHARGES'!D513</f>
        <v>319</v>
      </c>
      <c r="H1194" s="179">
        <f>F1194*G1194</f>
        <v>2552</v>
      </c>
    </row>
    <row r="1195" spans="1:8">
      <c r="A1195" s="26"/>
      <c r="B1195" s="280"/>
      <c r="C1195" s="135" t="s">
        <v>2379</v>
      </c>
      <c r="E1195" s="210" t="s">
        <v>2374</v>
      </c>
      <c r="F1195" s="190">
        <v>8</v>
      </c>
      <c r="G1195" s="190">
        <f>'HIRE CHARGES'!E513</f>
        <v>238</v>
      </c>
      <c r="H1195" s="190">
        <f>F1195*G1195</f>
        <v>1904</v>
      </c>
    </row>
    <row r="1196" spans="1:8">
      <c r="A1196" s="26"/>
      <c r="B1196" s="105">
        <v>2</v>
      </c>
      <c r="C1196" s="135" t="s">
        <v>1944</v>
      </c>
      <c r="E1196" s="210" t="s">
        <v>2374</v>
      </c>
      <c r="F1196" s="190">
        <v>16</v>
      </c>
      <c r="G1196" s="190">
        <f>'HIRE CHARGES'!D517</f>
        <v>10.199999999999999</v>
      </c>
      <c r="H1196" s="190">
        <f>F1196*G1196</f>
        <v>163.19999999999999</v>
      </c>
    </row>
    <row r="1197" spans="1:8">
      <c r="A1197" s="26"/>
      <c r="B1197" s="280"/>
      <c r="C1197" s="135" t="s">
        <v>2379</v>
      </c>
      <c r="E1197" s="210" t="s">
        <v>2374</v>
      </c>
      <c r="F1197" s="190">
        <v>16</v>
      </c>
      <c r="G1197" s="190">
        <f>'HIRE CHARGES'!E517</f>
        <v>79.3</v>
      </c>
      <c r="H1197" s="190">
        <f>F1197*G1197</f>
        <v>1268.8</v>
      </c>
    </row>
    <row r="1198" spans="1:8">
      <c r="A1198" s="26"/>
      <c r="B1198" s="114">
        <v>3</v>
      </c>
      <c r="C1198" s="139" t="s">
        <v>2373</v>
      </c>
      <c r="D1198" s="174"/>
      <c r="E1198" s="191" t="s">
        <v>2173</v>
      </c>
      <c r="F1198" s="182">
        <v>5</v>
      </c>
      <c r="G1198" s="215">
        <f>'BASIC DATA'!D359</f>
        <v>30</v>
      </c>
      <c r="H1198" s="182">
        <f>F1198*G1198</f>
        <v>150</v>
      </c>
    </row>
    <row r="1199" spans="1:8">
      <c r="A1199" s="26"/>
      <c r="B1199" s="176"/>
      <c r="C1199" s="174"/>
      <c r="D1199" s="174" t="s">
        <v>2380</v>
      </c>
      <c r="E1199" s="174"/>
      <c r="F1199" s="192"/>
      <c r="G1199" s="275" t="s">
        <v>1698</v>
      </c>
      <c r="H1199" s="318">
        <f>SUM(H1194:H1198)</f>
        <v>6038</v>
      </c>
    </row>
    <row r="1200" spans="1:8">
      <c r="A1200" s="26"/>
    </row>
    <row r="1201" spans="1:8">
      <c r="A1201" s="26"/>
      <c r="B1201" s="79" t="s">
        <v>2381</v>
      </c>
    </row>
    <row r="1202" spans="1:8">
      <c r="A1202" s="26"/>
      <c r="B1202" s="95" t="s">
        <v>2369</v>
      </c>
      <c r="C1202" s="157" t="s">
        <v>2378</v>
      </c>
      <c r="D1202" s="195"/>
      <c r="E1202" s="95" t="s">
        <v>2370</v>
      </c>
      <c r="F1202" s="95" t="s">
        <v>1166</v>
      </c>
      <c r="G1202" s="95" t="s">
        <v>2371</v>
      </c>
      <c r="H1202" s="95" t="s">
        <v>2372</v>
      </c>
    </row>
    <row r="1203" spans="1:8">
      <c r="A1203" s="26"/>
      <c r="B1203" s="114"/>
      <c r="C1203" s="154"/>
      <c r="D1203" s="192"/>
      <c r="E1203" s="105"/>
      <c r="F1203" s="114"/>
      <c r="G1203" s="114" t="s">
        <v>3485</v>
      </c>
      <c r="H1203" s="114" t="s">
        <v>3485</v>
      </c>
    </row>
    <row r="1204" spans="1:8">
      <c r="A1204" s="26"/>
      <c r="B1204" s="95">
        <v>1</v>
      </c>
      <c r="C1204" s="148" t="s">
        <v>1946</v>
      </c>
      <c r="D1204" s="187"/>
      <c r="E1204" s="107" t="s">
        <v>2374</v>
      </c>
      <c r="F1204" s="178">
        <v>8</v>
      </c>
      <c r="G1204" s="179">
        <f>'HIRE CHARGES'!F513</f>
        <v>283.89999999999998</v>
      </c>
      <c r="H1204" s="179">
        <f>F1204*G1204</f>
        <v>2271.1999999999998</v>
      </c>
    </row>
    <row r="1205" spans="1:8">
      <c r="A1205" s="26"/>
      <c r="B1205" s="105">
        <v>2</v>
      </c>
      <c r="C1205" s="76" t="s">
        <v>999</v>
      </c>
      <c r="D1205" s="31"/>
      <c r="E1205" s="210" t="s">
        <v>2374</v>
      </c>
      <c r="F1205" s="207">
        <v>16</v>
      </c>
      <c r="G1205" s="190">
        <f>'HIRE CHARGES'!F517</f>
        <v>111.1</v>
      </c>
      <c r="H1205" s="190">
        <f>F1205*G1205</f>
        <v>1777.6</v>
      </c>
    </row>
    <row r="1206" spans="1:8">
      <c r="A1206" s="26"/>
      <c r="B1206" s="114">
        <v>3</v>
      </c>
      <c r="C1206" s="89" t="s">
        <v>2697</v>
      </c>
      <c r="D1206" s="174"/>
      <c r="E1206" s="191" t="s">
        <v>1172</v>
      </c>
      <c r="F1206" s="181">
        <v>2</v>
      </c>
      <c r="G1206" s="182">
        <f>'BASIC DATA'!C552</f>
        <v>350</v>
      </c>
      <c r="H1206" s="182">
        <f>F1206*G1206</f>
        <v>700</v>
      </c>
    </row>
    <row r="1207" spans="1:8">
      <c r="A1207" s="26"/>
      <c r="B1207" s="176"/>
      <c r="C1207" s="174"/>
      <c r="D1207" s="174" t="s">
        <v>1174</v>
      </c>
      <c r="E1207" s="174"/>
      <c r="F1207" s="192"/>
      <c r="G1207" s="275" t="s">
        <v>1698</v>
      </c>
      <c r="H1207" s="318">
        <f>SUM(H1204:H1206)</f>
        <v>4748.7999999999993</v>
      </c>
    </row>
    <row r="1208" spans="1:8">
      <c r="A1208" s="26"/>
      <c r="B1208" s="60" t="s">
        <v>5948</v>
      </c>
      <c r="C1208" s="31"/>
      <c r="D1208" s="31"/>
      <c r="E1208" s="85">
        <f>ROUND(H1207/G1180,1)</f>
        <v>1582.9</v>
      </c>
      <c r="G1208" s="31"/>
    </row>
    <row r="1209" spans="1:8">
      <c r="A1209" s="26"/>
      <c r="B1209" s="60" t="s">
        <v>3163</v>
      </c>
      <c r="C1209" s="31"/>
      <c r="D1209" s="31">
        <f>'BASIC DATA'!$C$577</f>
        <v>0.13614999999999999</v>
      </c>
      <c r="E1209" s="85">
        <f>ROUND(E1208*D1209,1)</f>
        <v>215.5</v>
      </c>
      <c r="G1209" s="31"/>
    </row>
    <row r="1210" spans="1:8">
      <c r="A1210" s="26"/>
      <c r="B1210" s="60" t="s">
        <v>5949</v>
      </c>
      <c r="C1210" s="31"/>
      <c r="D1210" s="31"/>
      <c r="E1210" s="739">
        <f>E1209+E1208</f>
        <v>1798.4</v>
      </c>
      <c r="G1210" s="31"/>
    </row>
    <row r="1211" spans="1:8">
      <c r="A1211" s="26"/>
      <c r="B1211" s="26"/>
    </row>
    <row r="1212" spans="1:8">
      <c r="A1212" s="26"/>
      <c r="B1212" s="170" t="s">
        <v>1175</v>
      </c>
    </row>
    <row r="1213" spans="1:8">
      <c r="A1213" s="26"/>
      <c r="B1213" s="26" t="s">
        <v>1176</v>
      </c>
      <c r="F1213" s="171" t="s">
        <v>1698</v>
      </c>
      <c r="G1213" s="68">
        <f>H1189</f>
        <v>4796.4850000000006</v>
      </c>
    </row>
    <row r="1214" spans="1:8">
      <c r="A1214" s="26"/>
      <c r="B1214" s="26" t="s">
        <v>1186</v>
      </c>
      <c r="F1214" s="171" t="s">
        <v>1698</v>
      </c>
      <c r="G1214" s="68">
        <f>H1199</f>
        <v>6038</v>
      </c>
    </row>
    <row r="1215" spans="1:8">
      <c r="A1215" s="26"/>
      <c r="B1215" s="26" t="s">
        <v>2660</v>
      </c>
      <c r="F1215" s="171" t="s">
        <v>1698</v>
      </c>
      <c r="G1215" s="75">
        <f>H1207</f>
        <v>4748.7999999999993</v>
      </c>
    </row>
    <row r="1216" spans="1:8">
      <c r="A1216" s="26"/>
      <c r="E1216" s="26" t="s">
        <v>1518</v>
      </c>
      <c r="F1216" s="171" t="s">
        <v>1698</v>
      </c>
      <c r="G1216" s="205">
        <f>SUM(G1213:G1215)</f>
        <v>15583.285</v>
      </c>
    </row>
    <row r="1217" spans="1:7" ht="40.5" customHeight="1">
      <c r="A1217" s="26"/>
      <c r="B1217" s="1207" t="s">
        <v>1379</v>
      </c>
      <c r="C1217" s="1207"/>
      <c r="E1217" s="249">
        <f>'BASIC DATA'!$C$577</f>
        <v>0.13614999999999999</v>
      </c>
      <c r="F1217" s="26" t="s">
        <v>1698</v>
      </c>
      <c r="G1217" s="26">
        <f>G1216*E1217</f>
        <v>2121.6642527499998</v>
      </c>
    </row>
    <row r="1218" spans="1:7">
      <c r="A1218" s="26"/>
      <c r="B1218" s="26" t="s">
        <v>1191</v>
      </c>
      <c r="D1218" s="68">
        <f>G1180</f>
        <v>3</v>
      </c>
      <c r="E1218" s="68" t="str">
        <f>H1180</f>
        <v>Rm</v>
      </c>
      <c r="F1218" s="26" t="s">
        <v>1698</v>
      </c>
      <c r="G1218" s="211">
        <f>G1217+G1216</f>
        <v>17704.949252750001</v>
      </c>
    </row>
    <row r="1219" spans="1:7">
      <c r="A1219" s="26"/>
      <c r="B1219" s="170" t="s">
        <v>1584</v>
      </c>
      <c r="C1219" s="211" t="str">
        <f>E1218</f>
        <v>Rm</v>
      </c>
      <c r="D1219" s="26" t="s">
        <v>4725</v>
      </c>
      <c r="F1219" s="26" t="s">
        <v>4108</v>
      </c>
      <c r="G1219" s="211">
        <f>ROUND(G1218/D1218,1)</f>
        <v>5901.6</v>
      </c>
    </row>
    <row r="1220" spans="1:7">
      <c r="A1220" s="26"/>
    </row>
    <row r="1221" spans="1:7" ht="18.75">
      <c r="A1221" s="26"/>
      <c r="B1221" s="78" t="s">
        <v>1237</v>
      </c>
      <c r="C1221" s="26" t="s">
        <v>9166</v>
      </c>
    </row>
    <row r="1222" spans="1:7" ht="18.75">
      <c r="A1222" s="26"/>
      <c r="C1222" s="26" t="s">
        <v>9167</v>
      </c>
    </row>
    <row r="1223" spans="1:7" ht="18.75">
      <c r="A1223" s="26"/>
      <c r="C1223" s="26" t="s">
        <v>9168</v>
      </c>
    </row>
    <row r="1224" spans="1:7" ht="18.75">
      <c r="A1224" s="26"/>
      <c r="C1224" s="26" t="s">
        <v>9169</v>
      </c>
    </row>
    <row r="1225" spans="1:7">
      <c r="A1225" s="26"/>
    </row>
    <row r="1226" spans="1:7">
      <c r="A1226" s="26"/>
    </row>
    <row r="1227" spans="1:7">
      <c r="A1227" s="27" t="s">
        <v>9564</v>
      </c>
      <c r="B1227" s="170" t="s">
        <v>9565</v>
      </c>
    </row>
    <row r="1228" spans="1:7">
      <c r="A1228" s="78" t="s">
        <v>9495</v>
      </c>
      <c r="B1228" s="26" t="s">
        <v>9550</v>
      </c>
    </row>
    <row r="1229" spans="1:7">
      <c r="B1229" s="26" t="s">
        <v>9551</v>
      </c>
    </row>
    <row r="1230" spans="1:7">
      <c r="B1230" s="26" t="s">
        <v>9566</v>
      </c>
    </row>
    <row r="1231" spans="1:7">
      <c r="B1231" s="170"/>
    </row>
    <row r="1232" spans="1:7">
      <c r="B1232" s="26"/>
    </row>
    <row r="1233" spans="1:8">
      <c r="A1233" s="78" t="s">
        <v>3984</v>
      </c>
      <c r="B1233" s="26" t="s">
        <v>9556</v>
      </c>
    </row>
    <row r="1234" spans="1:8">
      <c r="B1234" s="26" t="s">
        <v>3321</v>
      </c>
    </row>
    <row r="1235" spans="1:8">
      <c r="B1235" s="26" t="s">
        <v>3317</v>
      </c>
    </row>
    <row r="1236" spans="1:8">
      <c r="B1236" s="26" t="s">
        <v>3318</v>
      </c>
    </row>
    <row r="1237" spans="1:8">
      <c r="A1237" s="26"/>
      <c r="B1237" s="26" t="s">
        <v>2366</v>
      </c>
    </row>
    <row r="1238" spans="1:8">
      <c r="B1238" s="26" t="s">
        <v>1753</v>
      </c>
      <c r="D1238" s="68">
        <f>'BASIC DATA'!$D$303</f>
        <v>10600</v>
      </c>
      <c r="E1238" s="26" t="s">
        <v>2290</v>
      </c>
      <c r="G1238" s="171" t="s">
        <v>1698</v>
      </c>
      <c r="H1238" s="117">
        <f>D1238</f>
        <v>10600</v>
      </c>
    </row>
    <row r="1239" spans="1:8">
      <c r="B1239" s="26" t="s">
        <v>9548</v>
      </c>
      <c r="F1239" s="78" t="s">
        <v>1697</v>
      </c>
      <c r="G1239" s="26">
        <v>10.57</v>
      </c>
      <c r="H1239" s="26" t="s">
        <v>2602</v>
      </c>
    </row>
    <row r="1240" spans="1:8">
      <c r="B1240" s="26" t="s">
        <v>1632</v>
      </c>
      <c r="E1240" s="26" t="s">
        <v>7593</v>
      </c>
      <c r="F1240" s="78"/>
      <c r="G1240" s="171" t="s">
        <v>1698</v>
      </c>
      <c r="H1240" s="117">
        <f>H1238/G1239</f>
        <v>1002.8382213812677</v>
      </c>
    </row>
    <row r="1241" spans="1:8">
      <c r="B1241" s="26" t="s">
        <v>4779</v>
      </c>
      <c r="D1241" s="68">
        <f>'BASIC DATA'!$D$312</f>
        <v>5150</v>
      </c>
      <c r="E1241" s="26" t="s">
        <v>2290</v>
      </c>
      <c r="F1241" s="78"/>
      <c r="G1241" s="171" t="s">
        <v>1698</v>
      </c>
      <c r="H1241" s="117">
        <f>D1241</f>
        <v>5150</v>
      </c>
    </row>
    <row r="1242" spans="1:8">
      <c r="B1242" s="26" t="s">
        <v>9554</v>
      </c>
      <c r="F1242" s="78" t="s">
        <v>1697</v>
      </c>
      <c r="G1242" s="26">
        <v>100</v>
      </c>
      <c r="H1242" s="26" t="s">
        <v>2602</v>
      </c>
    </row>
    <row r="1243" spans="1:8">
      <c r="B1243" s="26" t="s">
        <v>174</v>
      </c>
      <c r="E1243" s="26" t="s">
        <v>7593</v>
      </c>
      <c r="F1243" s="78"/>
      <c r="G1243" s="171" t="s">
        <v>1698</v>
      </c>
      <c r="H1243" s="117">
        <f>H1241/G1242</f>
        <v>51.5</v>
      </c>
    </row>
    <row r="1244" spans="1:8">
      <c r="B1244" s="26" t="s">
        <v>3276</v>
      </c>
      <c r="D1244" s="68">
        <f>'BASIC DATA'!$D$306</f>
        <v>2120</v>
      </c>
      <c r="E1244" s="26" t="s">
        <v>2618</v>
      </c>
      <c r="F1244" s="78"/>
      <c r="G1244" s="171" t="s">
        <v>1698</v>
      </c>
      <c r="H1244" s="117">
        <f>D1244*16.5</f>
        <v>34980</v>
      </c>
    </row>
    <row r="1245" spans="1:8">
      <c r="B1245" s="26" t="s">
        <v>176</v>
      </c>
      <c r="D1245" s="68"/>
      <c r="F1245" s="78" t="s">
        <v>1697</v>
      </c>
      <c r="G1245" s="26">
        <v>2500</v>
      </c>
      <c r="H1245" s="26" t="s">
        <v>2602</v>
      </c>
    </row>
    <row r="1246" spans="1:8">
      <c r="B1246" s="26" t="s">
        <v>177</v>
      </c>
      <c r="D1246" s="68"/>
      <c r="E1246" s="26" t="s">
        <v>7593</v>
      </c>
      <c r="G1246" s="171" t="s">
        <v>1698</v>
      </c>
      <c r="H1246" s="117">
        <f>H1244/G1245</f>
        <v>13.992000000000001</v>
      </c>
    </row>
    <row r="1247" spans="1:8">
      <c r="A1247" s="26"/>
    </row>
    <row r="1248" spans="1:8">
      <c r="A1248" s="26" t="s">
        <v>9215</v>
      </c>
      <c r="C1248" s="203" t="s">
        <v>2367</v>
      </c>
      <c r="D1248" s="171"/>
      <c r="F1248" s="171" t="s">
        <v>297</v>
      </c>
      <c r="G1248" s="776">
        <v>3</v>
      </c>
      <c r="H1248" s="26" t="s">
        <v>3483</v>
      </c>
    </row>
    <row r="1249" spans="1:8">
      <c r="A1249" s="26"/>
    </row>
    <row r="1250" spans="1:8">
      <c r="A1250" s="26"/>
      <c r="B1250" s="79" t="s">
        <v>2368</v>
      </c>
    </row>
    <row r="1251" spans="1:8">
      <c r="A1251" s="26"/>
      <c r="B1251" s="95" t="s">
        <v>2369</v>
      </c>
      <c r="C1251" s="157" t="s">
        <v>6374</v>
      </c>
      <c r="D1251" s="195"/>
      <c r="E1251" s="95" t="s">
        <v>2370</v>
      </c>
      <c r="F1251" s="95" t="s">
        <v>1166</v>
      </c>
      <c r="G1251" s="95" t="s">
        <v>2371</v>
      </c>
      <c r="H1251" s="95" t="s">
        <v>2372</v>
      </c>
    </row>
    <row r="1252" spans="1:8">
      <c r="A1252" s="26"/>
      <c r="B1252" s="105"/>
      <c r="C1252" s="154"/>
      <c r="D1252" s="192"/>
      <c r="E1252" s="114"/>
      <c r="F1252" s="114"/>
      <c r="G1252" s="114" t="s">
        <v>3485</v>
      </c>
      <c r="H1252" s="114" t="s">
        <v>3485</v>
      </c>
    </row>
    <row r="1253" spans="1:8">
      <c r="A1253" s="26"/>
      <c r="B1253" s="95">
        <v>1</v>
      </c>
      <c r="C1253" s="148" t="s">
        <v>5922</v>
      </c>
      <c r="D1253" s="195"/>
      <c r="E1253" s="344" t="s">
        <v>3483</v>
      </c>
      <c r="F1253" s="190">
        <v>3</v>
      </c>
      <c r="G1253" s="190">
        <f>H1240</f>
        <v>1002.8382213812677</v>
      </c>
      <c r="H1253" s="179">
        <f>F1253*G1253</f>
        <v>3008.5146641438032</v>
      </c>
    </row>
    <row r="1254" spans="1:8">
      <c r="A1254" s="26"/>
      <c r="B1254" s="105">
        <v>2</v>
      </c>
      <c r="C1254" s="76" t="s">
        <v>182</v>
      </c>
      <c r="D1254" s="189"/>
      <c r="E1254" s="280" t="s">
        <v>3483</v>
      </c>
      <c r="F1254" s="190">
        <v>3</v>
      </c>
      <c r="G1254" s="190">
        <f>H1243</f>
        <v>51.5</v>
      </c>
      <c r="H1254" s="190">
        <f>F1254*G1254</f>
        <v>154.5</v>
      </c>
    </row>
    <row r="1255" spans="1:8">
      <c r="A1255" s="26"/>
      <c r="B1255" s="105">
        <v>4</v>
      </c>
      <c r="C1255" s="76" t="s">
        <v>183</v>
      </c>
      <c r="D1255" s="189"/>
      <c r="E1255" s="280" t="s">
        <v>3483</v>
      </c>
      <c r="F1255" s="190">
        <v>3</v>
      </c>
      <c r="G1255" s="190">
        <f>H1246</f>
        <v>13.992000000000001</v>
      </c>
      <c r="H1255" s="190">
        <f>F1255*G1255</f>
        <v>41.975999999999999</v>
      </c>
    </row>
    <row r="1256" spans="1:8">
      <c r="A1256" s="26"/>
      <c r="B1256" s="176"/>
      <c r="C1256" s="174"/>
      <c r="D1256" s="174" t="s">
        <v>2376</v>
      </c>
      <c r="E1256" s="174"/>
      <c r="F1256" s="192"/>
      <c r="G1256" s="275" t="s">
        <v>1698</v>
      </c>
      <c r="H1256" s="318">
        <f>SUM(H1253:H1255)</f>
        <v>3204.9906641438033</v>
      </c>
    </row>
    <row r="1257" spans="1:8">
      <c r="A1257" s="26"/>
    </row>
    <row r="1258" spans="1:8">
      <c r="A1258" s="26"/>
      <c r="B1258" s="79" t="s">
        <v>2377</v>
      </c>
    </row>
    <row r="1259" spans="1:8">
      <c r="A1259" s="26"/>
      <c r="B1259" s="95" t="s">
        <v>2369</v>
      </c>
      <c r="C1259" s="157" t="s">
        <v>2378</v>
      </c>
      <c r="D1259" s="195"/>
      <c r="E1259" s="95" t="s">
        <v>2370</v>
      </c>
      <c r="F1259" s="95" t="s">
        <v>1166</v>
      </c>
      <c r="G1259" s="95" t="s">
        <v>2371</v>
      </c>
      <c r="H1259" s="95" t="s">
        <v>2372</v>
      </c>
    </row>
    <row r="1260" spans="1:8">
      <c r="A1260" s="26"/>
      <c r="B1260" s="114"/>
      <c r="C1260" s="154"/>
      <c r="D1260" s="192"/>
      <c r="E1260" s="114"/>
      <c r="F1260" s="114"/>
      <c r="G1260" s="114" t="s">
        <v>3485</v>
      </c>
      <c r="H1260" s="114" t="s">
        <v>3485</v>
      </c>
    </row>
    <row r="1261" spans="1:8">
      <c r="A1261" s="26"/>
      <c r="B1261" s="95">
        <v>1</v>
      </c>
      <c r="C1261" s="131" t="s">
        <v>2941</v>
      </c>
      <c r="E1261" s="107" t="s">
        <v>2374</v>
      </c>
      <c r="F1261" s="179">
        <v>4.7759999999999998</v>
      </c>
      <c r="G1261" s="179">
        <f>'HIRE CHARGES'!$D$513</f>
        <v>319</v>
      </c>
      <c r="H1261" s="179">
        <f>F1261*G1261</f>
        <v>1523.5439999999999</v>
      </c>
    </row>
    <row r="1262" spans="1:8">
      <c r="A1262" s="26"/>
      <c r="B1262" s="280"/>
      <c r="C1262" s="135" t="s">
        <v>2379</v>
      </c>
      <c r="E1262" s="210" t="s">
        <v>2374</v>
      </c>
      <c r="F1262" s="190">
        <v>4.7759999999999998</v>
      </c>
      <c r="G1262" s="190">
        <f>'HIRE CHARGES'!$E$513</f>
        <v>238</v>
      </c>
      <c r="H1262" s="190">
        <f>F1262*G1262</f>
        <v>1136.6879999999999</v>
      </c>
    </row>
    <row r="1263" spans="1:8">
      <c r="A1263" s="26"/>
      <c r="B1263" s="105">
        <v>2</v>
      </c>
      <c r="C1263" s="135" t="s">
        <v>1944</v>
      </c>
      <c r="E1263" s="210" t="s">
        <v>2374</v>
      </c>
      <c r="F1263" s="190">
        <v>9.5519999999999996</v>
      </c>
      <c r="G1263" s="190">
        <f>'HIRE CHARGES'!$D$517</f>
        <v>10.199999999999999</v>
      </c>
      <c r="H1263" s="190">
        <f>F1263*G1263</f>
        <v>97.430399999999992</v>
      </c>
    </row>
    <row r="1264" spans="1:8">
      <c r="A1264" s="26"/>
      <c r="B1264" s="280"/>
      <c r="C1264" s="135" t="s">
        <v>2379</v>
      </c>
      <c r="E1264" s="210" t="s">
        <v>2374</v>
      </c>
      <c r="F1264" s="190">
        <v>9.5519999999999996</v>
      </c>
      <c r="G1264" s="190">
        <f>'HIRE CHARGES'!$E$517</f>
        <v>79.3</v>
      </c>
      <c r="H1264" s="190">
        <f>F1264*G1264</f>
        <v>757.47359999999992</v>
      </c>
    </row>
    <row r="1265" spans="1:8">
      <c r="A1265" s="26"/>
      <c r="B1265" s="114">
        <v>3</v>
      </c>
      <c r="C1265" s="139" t="s">
        <v>2373</v>
      </c>
      <c r="D1265" s="174"/>
      <c r="E1265" s="191" t="s">
        <v>2173</v>
      </c>
      <c r="F1265" s="182">
        <v>2.99</v>
      </c>
      <c r="G1265" s="215">
        <f>'BASIC DATA'!$D$359</f>
        <v>30</v>
      </c>
      <c r="H1265" s="182">
        <f>F1265*G1265</f>
        <v>89.7</v>
      </c>
    </row>
    <row r="1266" spans="1:8">
      <c r="A1266" s="26"/>
      <c r="B1266" s="176"/>
      <c r="C1266" s="174"/>
      <c r="D1266" s="174" t="s">
        <v>2380</v>
      </c>
      <c r="E1266" s="174"/>
      <c r="F1266" s="192"/>
      <c r="G1266" s="275" t="s">
        <v>1698</v>
      </c>
      <c r="H1266" s="318">
        <f>SUM(H1261:H1265)</f>
        <v>3604.8359999999998</v>
      </c>
    </row>
    <row r="1267" spans="1:8">
      <c r="A1267" s="26"/>
    </row>
    <row r="1268" spans="1:8">
      <c r="A1268" s="26"/>
      <c r="B1268" s="79" t="s">
        <v>2381</v>
      </c>
    </row>
    <row r="1269" spans="1:8">
      <c r="A1269" s="26"/>
      <c r="B1269" s="95" t="s">
        <v>2369</v>
      </c>
      <c r="C1269" s="157" t="s">
        <v>2378</v>
      </c>
      <c r="D1269" s="195"/>
      <c r="E1269" s="95" t="s">
        <v>2370</v>
      </c>
      <c r="F1269" s="95" t="s">
        <v>1166</v>
      </c>
      <c r="G1269" s="95" t="s">
        <v>2371</v>
      </c>
      <c r="H1269" s="95" t="s">
        <v>2372</v>
      </c>
    </row>
    <row r="1270" spans="1:8">
      <c r="A1270" s="26"/>
      <c r="B1270" s="114"/>
      <c r="C1270" s="154"/>
      <c r="D1270" s="192"/>
      <c r="E1270" s="105"/>
      <c r="F1270" s="114"/>
      <c r="G1270" s="114" t="s">
        <v>3485</v>
      </c>
      <c r="H1270" s="114" t="s">
        <v>3485</v>
      </c>
    </row>
    <row r="1271" spans="1:8">
      <c r="A1271" s="26"/>
      <c r="B1271" s="95">
        <v>1</v>
      </c>
      <c r="C1271" s="148" t="s">
        <v>1946</v>
      </c>
      <c r="D1271" s="187"/>
      <c r="E1271" s="107" t="s">
        <v>2374</v>
      </c>
      <c r="F1271" s="178">
        <v>4.7759999999999998</v>
      </c>
      <c r="G1271" s="179">
        <f>'HIRE CHARGES'!$F$513</f>
        <v>283.89999999999998</v>
      </c>
      <c r="H1271" s="179">
        <f>F1271*G1271</f>
        <v>1355.9063999999998</v>
      </c>
    </row>
    <row r="1272" spans="1:8">
      <c r="A1272" s="26"/>
      <c r="B1272" s="105">
        <v>2</v>
      </c>
      <c r="C1272" s="76" t="s">
        <v>999</v>
      </c>
      <c r="D1272" s="31"/>
      <c r="E1272" s="210" t="s">
        <v>2374</v>
      </c>
      <c r="F1272" s="207">
        <v>9.5500000000000007</v>
      </c>
      <c r="G1272" s="190">
        <f>'HIRE CHARGES'!$F$517</f>
        <v>111.1</v>
      </c>
      <c r="H1272" s="190">
        <f>F1272*G1272</f>
        <v>1061.0050000000001</v>
      </c>
    </row>
    <row r="1273" spans="1:8">
      <c r="A1273" s="26"/>
      <c r="B1273" s="114">
        <v>3</v>
      </c>
      <c r="C1273" s="89" t="s">
        <v>2697</v>
      </c>
      <c r="D1273" s="174"/>
      <c r="E1273" s="191" t="s">
        <v>1172</v>
      </c>
      <c r="F1273" s="181">
        <v>1.19</v>
      </c>
      <c r="G1273" s="182">
        <f>'BASIC DATA'!$C$552</f>
        <v>350</v>
      </c>
      <c r="H1273" s="182">
        <f>F1273*G1273</f>
        <v>416.5</v>
      </c>
    </row>
    <row r="1274" spans="1:8">
      <c r="A1274" s="26"/>
      <c r="B1274" s="176"/>
      <c r="C1274" s="174"/>
      <c r="D1274" s="174" t="s">
        <v>1174</v>
      </c>
      <c r="E1274" s="174"/>
      <c r="F1274" s="192"/>
      <c r="G1274" s="275" t="s">
        <v>1698</v>
      </c>
      <c r="H1274" s="318">
        <f>SUM(H1271:H1273)</f>
        <v>2833.4114</v>
      </c>
    </row>
    <row r="1275" spans="1:8">
      <c r="A1275" s="26"/>
      <c r="B1275" s="60" t="s">
        <v>5948</v>
      </c>
      <c r="C1275" s="31"/>
      <c r="D1275" s="31"/>
      <c r="E1275" s="85">
        <f>ROUND(H1274/G1248,1)</f>
        <v>944.5</v>
      </c>
      <c r="G1275" s="31"/>
    </row>
    <row r="1276" spans="1:8">
      <c r="A1276" s="26"/>
      <c r="B1276" s="60" t="s">
        <v>3163</v>
      </c>
      <c r="C1276" s="31"/>
      <c r="D1276" s="31">
        <f>'BASIC DATA'!$C$577</f>
        <v>0.13614999999999999</v>
      </c>
      <c r="E1276" s="85">
        <f>ROUND(E1275*D1276,1)</f>
        <v>128.6</v>
      </c>
      <c r="G1276" s="31"/>
    </row>
    <row r="1277" spans="1:8">
      <c r="A1277" s="26"/>
      <c r="B1277" s="60" t="s">
        <v>5949</v>
      </c>
      <c r="C1277" s="31"/>
      <c r="D1277" s="31"/>
      <c r="E1277" s="739">
        <f>E1276+E1275</f>
        <v>1073.0999999999999</v>
      </c>
      <c r="G1277" s="31"/>
    </row>
    <row r="1278" spans="1:8">
      <c r="A1278" s="26"/>
      <c r="B1278" s="26"/>
    </row>
    <row r="1279" spans="1:8">
      <c r="A1279" s="26"/>
      <c r="B1279" s="170" t="s">
        <v>1175</v>
      </c>
    </row>
    <row r="1280" spans="1:8">
      <c r="A1280" s="26"/>
      <c r="B1280" s="26" t="s">
        <v>1176</v>
      </c>
      <c r="F1280" s="171" t="s">
        <v>1698</v>
      </c>
      <c r="G1280" s="68">
        <f>H1256</f>
        <v>3204.9906641438033</v>
      </c>
    </row>
    <row r="1281" spans="1:7">
      <c r="A1281" s="26"/>
      <c r="B1281" s="26" t="s">
        <v>1186</v>
      </c>
      <c r="F1281" s="171" t="s">
        <v>1698</v>
      </c>
      <c r="G1281" s="68">
        <f>H1266</f>
        <v>3604.8359999999998</v>
      </c>
    </row>
    <row r="1282" spans="1:7">
      <c r="A1282" s="26"/>
      <c r="B1282" s="26" t="s">
        <v>2660</v>
      </c>
      <c r="F1282" s="171" t="s">
        <v>1698</v>
      </c>
      <c r="G1282" s="75">
        <f>H1274</f>
        <v>2833.4114</v>
      </c>
    </row>
    <row r="1283" spans="1:7">
      <c r="A1283" s="26"/>
      <c r="E1283" s="26" t="s">
        <v>1518</v>
      </c>
      <c r="F1283" s="171" t="s">
        <v>1698</v>
      </c>
      <c r="G1283" s="205">
        <f>SUM(G1280:G1282)</f>
        <v>9643.2380641438031</v>
      </c>
    </row>
    <row r="1284" spans="1:7">
      <c r="A1284" s="26"/>
      <c r="B1284" s="1207" t="s">
        <v>1379</v>
      </c>
      <c r="C1284" s="1207"/>
      <c r="E1284" s="249">
        <f>'BASIC DATA'!$C$577</f>
        <v>0.13614999999999999</v>
      </c>
      <c r="F1284" s="26" t="s">
        <v>1698</v>
      </c>
      <c r="G1284" s="26">
        <f>G1283*E1284</f>
        <v>1312.9268624331787</v>
      </c>
    </row>
    <row r="1285" spans="1:7">
      <c r="A1285" s="26"/>
      <c r="B1285" s="26" t="s">
        <v>1191</v>
      </c>
      <c r="D1285" s="68">
        <f>G1248</f>
        <v>3</v>
      </c>
      <c r="E1285" s="68" t="str">
        <f>H1248</f>
        <v>Rm</v>
      </c>
      <c r="F1285" s="26" t="s">
        <v>1698</v>
      </c>
      <c r="G1285" s="211">
        <f>G1284+G1283</f>
        <v>10956.164926576981</v>
      </c>
    </row>
    <row r="1286" spans="1:7">
      <c r="A1286" s="26"/>
      <c r="B1286" s="170" t="s">
        <v>1584</v>
      </c>
      <c r="C1286" s="211" t="str">
        <f>E1285</f>
        <v>Rm</v>
      </c>
      <c r="D1286" s="26" t="s">
        <v>4725</v>
      </c>
      <c r="F1286" s="26" t="s">
        <v>4108</v>
      </c>
      <c r="G1286" s="211">
        <f>ROUND(G1285/D1285,1)</f>
        <v>3652.1</v>
      </c>
    </row>
    <row r="1287" spans="1:7">
      <c r="A1287" s="26"/>
    </row>
    <row r="1288" spans="1:7" ht="18.75">
      <c r="A1288" s="26"/>
      <c r="B1288" s="78" t="s">
        <v>1237</v>
      </c>
      <c r="C1288" s="26" t="s">
        <v>9561</v>
      </c>
    </row>
    <row r="1289" spans="1:7">
      <c r="A1289" s="26"/>
      <c r="C1289" s="26" t="s">
        <v>9560</v>
      </c>
    </row>
    <row r="1290" spans="1:7">
      <c r="A1290" s="26"/>
      <c r="C1290" s="26" t="s">
        <v>9562</v>
      </c>
    </row>
    <row r="1291" spans="1:7">
      <c r="A1291" s="26"/>
      <c r="C1291" s="26" t="s">
        <v>9563</v>
      </c>
    </row>
    <row r="1292" spans="1:7">
      <c r="A1292" s="26"/>
    </row>
    <row r="1293" spans="1:7">
      <c r="A1293" s="78" t="s">
        <v>5494</v>
      </c>
      <c r="B1293" s="26" t="s">
        <v>9106</v>
      </c>
    </row>
    <row r="1294" spans="1:7">
      <c r="B1294" s="26" t="s">
        <v>9107</v>
      </c>
    </row>
    <row r="1295" spans="1:7">
      <c r="B1295" s="26" t="s">
        <v>9108</v>
      </c>
    </row>
    <row r="1296" spans="1:7">
      <c r="B1296" s="26"/>
    </row>
    <row r="1297" spans="1:8" hidden="1">
      <c r="A1297" s="78" t="s">
        <v>3984</v>
      </c>
      <c r="B1297" s="26" t="s">
        <v>6139</v>
      </c>
    </row>
    <row r="1298" spans="1:8" hidden="1">
      <c r="B1298" s="26" t="s">
        <v>4319</v>
      </c>
    </row>
    <row r="1299" spans="1:8" hidden="1">
      <c r="B1299" s="26" t="s">
        <v>6375</v>
      </c>
    </row>
    <row r="1300" spans="1:8" hidden="1">
      <c r="B1300" s="26" t="s">
        <v>6140</v>
      </c>
    </row>
    <row r="1301" spans="1:8" hidden="1">
      <c r="B1301" s="26" t="s">
        <v>4930</v>
      </c>
      <c r="F1301" s="78" t="s">
        <v>1697</v>
      </c>
      <c r="G1301" s="68">
        <v>1</v>
      </c>
      <c r="H1301" s="26" t="s">
        <v>3477</v>
      </c>
    </row>
    <row r="1302" spans="1:8">
      <c r="A1302" s="26"/>
    </row>
    <row r="1303" spans="1:8">
      <c r="A1303" s="26" t="s">
        <v>9215</v>
      </c>
      <c r="C1303" s="203" t="s">
        <v>2367</v>
      </c>
      <c r="D1303" s="171"/>
      <c r="F1303" s="171" t="s">
        <v>297</v>
      </c>
      <c r="G1303" s="162">
        <v>18</v>
      </c>
      <c r="H1303" s="26" t="s">
        <v>4041</v>
      </c>
    </row>
    <row r="1304" spans="1:8">
      <c r="A1304" s="26"/>
      <c r="B1304" s="79" t="s">
        <v>2368</v>
      </c>
    </row>
    <row r="1305" spans="1:8">
      <c r="A1305" s="26"/>
      <c r="B1305" s="95" t="s">
        <v>2369</v>
      </c>
      <c r="C1305" s="157" t="s">
        <v>6374</v>
      </c>
      <c r="D1305" s="195"/>
      <c r="E1305" s="95" t="s">
        <v>2370</v>
      </c>
      <c r="F1305" s="95" t="s">
        <v>1166</v>
      </c>
      <c r="G1305" s="95" t="s">
        <v>2371</v>
      </c>
      <c r="H1305" s="95" t="s">
        <v>2372</v>
      </c>
    </row>
    <row r="1306" spans="1:8">
      <c r="A1306" s="26"/>
      <c r="B1306" s="105"/>
      <c r="C1306" s="154"/>
      <c r="D1306" s="192"/>
      <c r="E1306" s="114"/>
      <c r="F1306" s="114"/>
      <c r="G1306" s="114" t="s">
        <v>3485</v>
      </c>
      <c r="H1306" s="114" t="s">
        <v>3485</v>
      </c>
    </row>
    <row r="1307" spans="1:8">
      <c r="A1307" s="26"/>
      <c r="B1307" s="95">
        <v>1</v>
      </c>
      <c r="C1307" s="148" t="s">
        <v>4042</v>
      </c>
      <c r="D1307" s="195"/>
      <c r="E1307" s="344" t="s">
        <v>3481</v>
      </c>
      <c r="F1307" s="190">
        <v>18</v>
      </c>
      <c r="G1307" s="214">
        <f>'BASIC DATA'!D93</f>
        <v>23</v>
      </c>
      <c r="H1307" s="179">
        <f>F1307*G1307</f>
        <v>414</v>
      </c>
    </row>
    <row r="1308" spans="1:8">
      <c r="A1308" s="26"/>
      <c r="B1308" s="114">
        <v>2</v>
      </c>
      <c r="C1308" s="89" t="s">
        <v>6141</v>
      </c>
      <c r="D1308" s="192"/>
      <c r="E1308" s="275" t="s">
        <v>3477</v>
      </c>
      <c r="F1308" s="182">
        <v>1</v>
      </c>
      <c r="G1308" s="215">
        <f>'BASIC DATA'!D85</f>
        <v>165</v>
      </c>
      <c r="H1308" s="182">
        <f>F1308*G1308</f>
        <v>165</v>
      </c>
    </row>
    <row r="1309" spans="1:8">
      <c r="A1309" s="26"/>
      <c r="B1309" s="93"/>
      <c r="C1309" s="31" t="s">
        <v>4781</v>
      </c>
      <c r="D1309" s="31"/>
      <c r="E1309" s="31"/>
      <c r="F1309" s="198"/>
      <c r="G1309" s="327" t="s">
        <v>1698</v>
      </c>
      <c r="H1309" s="190">
        <v>0</v>
      </c>
    </row>
    <row r="1310" spans="1:8">
      <c r="A1310" s="26"/>
      <c r="B1310" s="176"/>
      <c r="C1310" s="174" t="s">
        <v>4782</v>
      </c>
      <c r="D1310" s="174"/>
      <c r="E1310" s="174"/>
      <c r="F1310" s="777"/>
      <c r="G1310" s="327" t="s">
        <v>1698</v>
      </c>
      <c r="H1310" s="190">
        <v>0</v>
      </c>
    </row>
    <row r="1311" spans="1:8">
      <c r="A1311" s="26"/>
      <c r="B1311" s="176"/>
      <c r="C1311" s="174"/>
      <c r="D1311" s="174" t="s">
        <v>2376</v>
      </c>
      <c r="E1311" s="174"/>
      <c r="F1311" s="192"/>
      <c r="G1311" s="236" t="s">
        <v>1698</v>
      </c>
      <c r="H1311" s="318">
        <f>SUM(H1307:H1310)</f>
        <v>579</v>
      </c>
    </row>
    <row r="1312" spans="1:8">
      <c r="A1312" s="26"/>
    </row>
    <row r="1313" spans="1:8">
      <c r="A1313" s="26"/>
      <c r="B1313" s="79" t="s">
        <v>2377</v>
      </c>
    </row>
    <row r="1314" spans="1:8">
      <c r="A1314" s="26"/>
      <c r="B1314" s="95" t="s">
        <v>2369</v>
      </c>
      <c r="C1314" s="157" t="s">
        <v>2378</v>
      </c>
      <c r="D1314" s="195"/>
      <c r="E1314" s="95" t="s">
        <v>2370</v>
      </c>
      <c r="F1314" s="95" t="s">
        <v>1166</v>
      </c>
      <c r="G1314" s="95" t="s">
        <v>2371</v>
      </c>
      <c r="H1314" s="95" t="s">
        <v>2372</v>
      </c>
    </row>
    <row r="1315" spans="1:8">
      <c r="A1315" s="26"/>
      <c r="B1315" s="114"/>
      <c r="C1315" s="154"/>
      <c r="D1315" s="192"/>
      <c r="E1315" s="114"/>
      <c r="F1315" s="114"/>
      <c r="G1315" s="114" t="s">
        <v>3485</v>
      </c>
      <c r="H1315" s="114" t="s">
        <v>3485</v>
      </c>
    </row>
    <row r="1316" spans="1:8">
      <c r="A1316" s="26"/>
      <c r="B1316" s="105">
        <v>1</v>
      </c>
      <c r="C1316" s="93" t="s">
        <v>6976</v>
      </c>
      <c r="E1316" s="210"/>
      <c r="F1316" s="190">
        <v>0</v>
      </c>
      <c r="G1316" s="190">
        <v>0</v>
      </c>
      <c r="H1316" s="190">
        <f>F1316*G1316</f>
        <v>0</v>
      </c>
    </row>
    <row r="1317" spans="1:8">
      <c r="A1317" s="26"/>
      <c r="B1317" s="275"/>
      <c r="C1317" s="139"/>
      <c r="D1317" s="174"/>
      <c r="E1317" s="191"/>
      <c r="F1317" s="182">
        <v>0</v>
      </c>
      <c r="G1317" s="182">
        <v>0</v>
      </c>
      <c r="H1317" s="182">
        <f>F1317*G1317</f>
        <v>0</v>
      </c>
    </row>
    <row r="1318" spans="1:8">
      <c r="A1318" s="26"/>
      <c r="B1318" s="176"/>
      <c r="C1318" s="174"/>
      <c r="D1318" s="174" t="s">
        <v>2380</v>
      </c>
      <c r="E1318" s="174"/>
      <c r="F1318" s="192"/>
      <c r="G1318" s="275" t="s">
        <v>1698</v>
      </c>
      <c r="H1318" s="318">
        <f>SUM(H1316:H1317)</f>
        <v>0</v>
      </c>
    </row>
    <row r="1319" spans="1:8">
      <c r="A1319" s="26"/>
    </row>
    <row r="1320" spans="1:8">
      <c r="A1320" s="26"/>
      <c r="B1320" s="79" t="s">
        <v>2381</v>
      </c>
    </row>
    <row r="1321" spans="1:8">
      <c r="A1321" s="26"/>
      <c r="B1321" s="95" t="s">
        <v>2369</v>
      </c>
      <c r="C1321" s="157" t="s">
        <v>2378</v>
      </c>
      <c r="D1321" s="195"/>
      <c r="E1321" s="95" t="s">
        <v>2370</v>
      </c>
      <c r="F1321" s="95" t="s">
        <v>1166</v>
      </c>
      <c r="G1321" s="95" t="s">
        <v>2371</v>
      </c>
      <c r="H1321" s="95" t="s">
        <v>2372</v>
      </c>
    </row>
    <row r="1322" spans="1:8">
      <c r="A1322" s="26"/>
      <c r="B1322" s="114"/>
      <c r="C1322" s="154"/>
      <c r="D1322" s="192"/>
      <c r="E1322" s="105"/>
      <c r="F1322" s="114"/>
      <c r="G1322" s="114" t="s">
        <v>3485</v>
      </c>
      <c r="H1322" s="114" t="s">
        <v>3485</v>
      </c>
    </row>
    <row r="1323" spans="1:8">
      <c r="A1323" s="26"/>
      <c r="B1323" s="95">
        <v>1</v>
      </c>
      <c r="C1323" s="148" t="s">
        <v>4206</v>
      </c>
      <c r="D1323" s="187"/>
      <c r="E1323" s="107" t="s">
        <v>1172</v>
      </c>
      <c r="F1323" s="178">
        <v>1</v>
      </c>
      <c r="G1323" s="179">
        <f>'BASIC DATA'!C473</f>
        <v>450</v>
      </c>
      <c r="H1323" s="179">
        <f>F1323*G1323</f>
        <v>450</v>
      </c>
    </row>
    <row r="1324" spans="1:8">
      <c r="A1324" s="26"/>
      <c r="B1324" s="105">
        <v>2</v>
      </c>
      <c r="C1324" s="76" t="s">
        <v>5609</v>
      </c>
      <c r="D1324" s="31"/>
      <c r="E1324" s="210" t="s">
        <v>1172</v>
      </c>
      <c r="F1324" s="207">
        <v>1</v>
      </c>
      <c r="G1324" s="190">
        <f>'BASIC DATA'!C502</f>
        <v>445</v>
      </c>
      <c r="H1324" s="190">
        <f>F1324*G1324</f>
        <v>445</v>
      </c>
    </row>
    <row r="1325" spans="1:8">
      <c r="A1325" s="26"/>
      <c r="B1325" s="114">
        <v>3</v>
      </c>
      <c r="C1325" s="89" t="s">
        <v>2697</v>
      </c>
      <c r="D1325" s="174"/>
      <c r="E1325" s="191" t="s">
        <v>1172</v>
      </c>
      <c r="F1325" s="181">
        <v>3</v>
      </c>
      <c r="G1325" s="182">
        <f>'BASIC DATA'!C552</f>
        <v>350</v>
      </c>
      <c r="H1325" s="190">
        <f>F1325*G1325</f>
        <v>1050</v>
      </c>
    </row>
    <row r="1326" spans="1:8">
      <c r="A1326" s="26"/>
      <c r="B1326" s="176"/>
      <c r="C1326" s="174"/>
      <c r="D1326" s="174" t="s">
        <v>1174</v>
      </c>
      <c r="E1326" s="174"/>
      <c r="F1326" s="192"/>
      <c r="G1326" s="275" t="s">
        <v>1698</v>
      </c>
      <c r="H1326" s="318">
        <f>SUM(H1323:H1325)</f>
        <v>1945</v>
      </c>
    </row>
    <row r="1327" spans="1:8">
      <c r="A1327" s="26"/>
      <c r="B1327" s="60" t="s">
        <v>5948</v>
      </c>
      <c r="C1327" s="31"/>
      <c r="D1327" s="31"/>
      <c r="E1327" s="85">
        <f>ROUND(H1326/G1303,1)</f>
        <v>108.1</v>
      </c>
      <c r="G1327" s="31"/>
    </row>
    <row r="1328" spans="1:8">
      <c r="A1328" s="26"/>
      <c r="B1328" s="60" t="s">
        <v>3163</v>
      </c>
      <c r="C1328" s="31"/>
      <c r="D1328" s="31">
        <f>'BASIC DATA'!$C$577</f>
        <v>0.13614999999999999</v>
      </c>
      <c r="E1328" s="85">
        <f>ROUND(E1327*D1328,1)</f>
        <v>14.7</v>
      </c>
      <c r="G1328" s="31"/>
    </row>
    <row r="1329" spans="1:7">
      <c r="A1329" s="26"/>
      <c r="B1329" s="60" t="s">
        <v>5949</v>
      </c>
      <c r="C1329" s="31"/>
      <c r="D1329" s="31"/>
      <c r="E1329" s="739">
        <f>E1328+E1327</f>
        <v>122.8</v>
      </c>
      <c r="G1329" s="31"/>
    </row>
    <row r="1330" spans="1:7">
      <c r="A1330" s="26"/>
      <c r="B1330" s="26"/>
    </row>
    <row r="1331" spans="1:7">
      <c r="A1331" s="26"/>
      <c r="B1331" s="170" t="s">
        <v>1175</v>
      </c>
    </row>
    <row r="1332" spans="1:7">
      <c r="A1332" s="26"/>
      <c r="B1332" s="26" t="s">
        <v>5010</v>
      </c>
      <c r="F1332" s="171" t="s">
        <v>1698</v>
      </c>
      <c r="G1332" s="68">
        <f>H1311</f>
        <v>579</v>
      </c>
    </row>
    <row r="1333" spans="1:7">
      <c r="A1333" s="26"/>
      <c r="B1333" s="26" t="s">
        <v>1186</v>
      </c>
      <c r="F1333" s="171" t="s">
        <v>1698</v>
      </c>
      <c r="G1333" s="68">
        <f>H1318</f>
        <v>0</v>
      </c>
    </row>
    <row r="1334" spans="1:7">
      <c r="A1334" s="26"/>
      <c r="B1334" s="26" t="s">
        <v>2660</v>
      </c>
      <c r="F1334" s="171" t="s">
        <v>1698</v>
      </c>
      <c r="G1334" s="75">
        <f>H1326</f>
        <v>1945</v>
      </c>
    </row>
    <row r="1335" spans="1:7">
      <c r="A1335" s="26"/>
      <c r="E1335" s="26" t="s">
        <v>1518</v>
      </c>
      <c r="F1335" s="171" t="s">
        <v>1698</v>
      </c>
      <c r="G1335" s="205">
        <f>SUM(G1332:G1334)</f>
        <v>2524</v>
      </c>
    </row>
    <row r="1336" spans="1:7" ht="36" customHeight="1">
      <c r="A1336" s="26"/>
      <c r="B1336" s="1207" t="s">
        <v>1379</v>
      </c>
      <c r="C1336" s="1207"/>
      <c r="E1336" s="249">
        <f>'BASIC DATA'!$C$577</f>
        <v>0.13614999999999999</v>
      </c>
      <c r="F1336" s="26" t="s">
        <v>1698</v>
      </c>
      <c r="G1336" s="26">
        <f>G1335*E1336</f>
        <v>343.64259999999996</v>
      </c>
    </row>
    <row r="1337" spans="1:7">
      <c r="A1337" s="26"/>
      <c r="B1337" s="26" t="s">
        <v>1191</v>
      </c>
      <c r="D1337" s="68">
        <f>G1303</f>
        <v>18</v>
      </c>
      <c r="E1337" s="68" t="str">
        <f>H1303</f>
        <v>Nos.</v>
      </c>
      <c r="F1337" s="26" t="s">
        <v>1698</v>
      </c>
      <c r="G1337" s="211">
        <f>G1336+G1335</f>
        <v>2867.6426000000001</v>
      </c>
    </row>
    <row r="1338" spans="1:7">
      <c r="A1338" s="26"/>
      <c r="B1338" s="170" t="s">
        <v>1584</v>
      </c>
      <c r="C1338" s="211" t="s">
        <v>4935</v>
      </c>
      <c r="D1338" s="26" t="s">
        <v>6785</v>
      </c>
      <c r="F1338" s="26" t="s">
        <v>4108</v>
      </c>
      <c r="G1338" s="211">
        <f>ROUND(G1337/D1337,1)</f>
        <v>159.30000000000001</v>
      </c>
    </row>
    <row r="1339" spans="1:7">
      <c r="A1339" s="26"/>
    </row>
    <row r="1340" spans="1:7">
      <c r="A1340" s="26"/>
    </row>
    <row r="1341" spans="1:7">
      <c r="A1341" s="78" t="s">
        <v>5495</v>
      </c>
      <c r="B1341" s="26" t="s">
        <v>9109</v>
      </c>
    </row>
    <row r="1342" spans="1:7">
      <c r="B1342" s="26" t="s">
        <v>9110</v>
      </c>
    </row>
    <row r="1343" spans="1:7">
      <c r="B1343" s="26" t="s">
        <v>9111</v>
      </c>
    </row>
    <row r="1344" spans="1:7">
      <c r="B1344" s="26"/>
    </row>
    <row r="1345" spans="1:8" hidden="1">
      <c r="A1345" s="78" t="s">
        <v>3984</v>
      </c>
      <c r="B1345" s="26" t="s">
        <v>6804</v>
      </c>
    </row>
    <row r="1346" spans="1:8" hidden="1">
      <c r="B1346" s="26" t="s">
        <v>6805</v>
      </c>
    </row>
    <row r="1347" spans="1:8" hidden="1">
      <c r="B1347" s="26" t="s">
        <v>4931</v>
      </c>
      <c r="F1347" s="78" t="s">
        <v>1697</v>
      </c>
      <c r="G1347" s="68">
        <v>0.5</v>
      </c>
      <c r="H1347" s="26" t="s">
        <v>3477</v>
      </c>
    </row>
    <row r="1348" spans="1:8" hidden="1">
      <c r="B1348" s="26" t="s">
        <v>6541</v>
      </c>
    </row>
    <row r="1349" spans="1:8" hidden="1">
      <c r="B1349" s="26" t="s">
        <v>6542</v>
      </c>
    </row>
    <row r="1350" spans="1:8" hidden="1">
      <c r="B1350" s="26" t="s">
        <v>4320</v>
      </c>
    </row>
    <row r="1351" spans="1:8" hidden="1">
      <c r="B1351" s="26" t="s">
        <v>6376</v>
      </c>
    </row>
    <row r="1352" spans="1:8" hidden="1">
      <c r="B1352" s="26" t="s">
        <v>6377</v>
      </c>
    </row>
    <row r="1353" spans="1:8">
      <c r="A1353" s="26"/>
    </row>
    <row r="1354" spans="1:8">
      <c r="A1354" s="26" t="s">
        <v>9215</v>
      </c>
      <c r="C1354" s="203" t="s">
        <v>2367</v>
      </c>
      <c r="D1354" s="171"/>
      <c r="F1354" s="171" t="s">
        <v>297</v>
      </c>
      <c r="G1354" s="162">
        <v>10</v>
      </c>
      <c r="H1354" s="26" t="s">
        <v>4041</v>
      </c>
    </row>
    <row r="1355" spans="1:8">
      <c r="A1355" s="26"/>
      <c r="B1355" s="79" t="s">
        <v>2368</v>
      </c>
    </row>
    <row r="1356" spans="1:8">
      <c r="A1356" s="26"/>
      <c r="B1356" s="95" t="s">
        <v>2369</v>
      </c>
      <c r="C1356" s="157" t="s">
        <v>6374</v>
      </c>
      <c r="D1356" s="195"/>
      <c r="E1356" s="95" t="s">
        <v>2370</v>
      </c>
      <c r="F1356" s="95" t="s">
        <v>1166</v>
      </c>
      <c r="G1356" s="95" t="s">
        <v>2371</v>
      </c>
      <c r="H1356" s="95" t="s">
        <v>2372</v>
      </c>
    </row>
    <row r="1357" spans="1:8">
      <c r="A1357" s="26"/>
      <c r="B1357" s="105"/>
      <c r="C1357" s="154"/>
      <c r="D1357" s="192"/>
      <c r="E1357" s="114"/>
      <c r="F1357" s="114"/>
      <c r="G1357" s="114" t="s">
        <v>3485</v>
      </c>
      <c r="H1357" s="114" t="s">
        <v>3485</v>
      </c>
    </row>
    <row r="1358" spans="1:8">
      <c r="A1358" s="26"/>
      <c r="B1358" s="95">
        <v>1</v>
      </c>
      <c r="C1358" s="148" t="s">
        <v>4042</v>
      </c>
      <c r="D1358" s="195"/>
      <c r="E1358" s="95" t="s">
        <v>3481</v>
      </c>
      <c r="F1358" s="190">
        <v>10</v>
      </c>
      <c r="G1358" s="214">
        <f>'BASIC DATA'!D93</f>
        <v>23</v>
      </c>
      <c r="H1358" s="179">
        <f t="shared" ref="H1358:H1363" si="0">F1358*G1358</f>
        <v>230</v>
      </c>
    </row>
    <row r="1359" spans="1:8">
      <c r="A1359" s="26"/>
      <c r="B1359" s="105">
        <v>2</v>
      </c>
      <c r="C1359" s="76" t="s">
        <v>3345</v>
      </c>
      <c r="D1359" s="189"/>
      <c r="E1359" s="105" t="s">
        <v>3478</v>
      </c>
      <c r="F1359" s="190">
        <v>91</v>
      </c>
      <c r="G1359" s="214">
        <f>'BASIC DATA'!D32/1000</f>
        <v>5.35</v>
      </c>
      <c r="H1359" s="190">
        <f t="shared" si="0"/>
        <v>486.84999999999997</v>
      </c>
    </row>
    <row r="1360" spans="1:8">
      <c r="A1360" s="26"/>
      <c r="B1360" s="105">
        <v>3</v>
      </c>
      <c r="C1360" s="76" t="s">
        <v>6996</v>
      </c>
      <c r="D1360" s="189"/>
      <c r="E1360" s="105" t="s">
        <v>3477</v>
      </c>
      <c r="F1360" s="190">
        <v>0.25</v>
      </c>
      <c r="G1360" s="214">
        <f>'BASIC DATA'!D36</f>
        <v>1175</v>
      </c>
      <c r="H1360" s="190">
        <f t="shared" si="0"/>
        <v>293.75</v>
      </c>
    </row>
    <row r="1361" spans="1:8">
      <c r="A1361" s="26"/>
      <c r="B1361" s="280"/>
      <c r="C1361" s="76" t="s">
        <v>6995</v>
      </c>
      <c r="D1361" s="189"/>
      <c r="E1361" s="105" t="s">
        <v>3477</v>
      </c>
      <c r="F1361" s="190">
        <v>0.15</v>
      </c>
      <c r="G1361" s="214">
        <f>'BASIC DATA'!D35</f>
        <v>1225</v>
      </c>
      <c r="H1361" s="190">
        <f t="shared" si="0"/>
        <v>183.75</v>
      </c>
    </row>
    <row r="1362" spans="1:8">
      <c r="A1362" s="26"/>
      <c r="B1362" s="280"/>
      <c r="C1362" s="76" t="s">
        <v>6994</v>
      </c>
      <c r="D1362" s="189"/>
      <c r="E1362" s="105" t="s">
        <v>3477</v>
      </c>
      <c r="F1362" s="190">
        <v>0.1</v>
      </c>
      <c r="G1362" s="214">
        <f>'BASIC DATA'!D34</f>
        <v>900</v>
      </c>
      <c r="H1362" s="190">
        <f t="shared" si="0"/>
        <v>90</v>
      </c>
    </row>
    <row r="1363" spans="1:8" s="61" customFormat="1">
      <c r="B1363" s="237">
        <v>4</v>
      </c>
      <c r="C1363" s="307" t="s">
        <v>7936</v>
      </c>
      <c r="D1363" s="242"/>
      <c r="E1363" s="237" t="s">
        <v>3477</v>
      </c>
      <c r="F1363" s="289">
        <v>0.25</v>
      </c>
      <c r="G1363" s="284">
        <f>'BASIC DATA'!D55</f>
        <v>95</v>
      </c>
      <c r="H1363" s="289">
        <f t="shared" si="0"/>
        <v>23.75</v>
      </c>
    </row>
    <row r="1364" spans="1:8">
      <c r="A1364" s="26"/>
      <c r="B1364" s="93"/>
      <c r="C1364" s="31" t="s">
        <v>4781</v>
      </c>
      <c r="D1364" s="31"/>
      <c r="E1364" s="31"/>
      <c r="F1364" s="198"/>
      <c r="G1364" s="327" t="s">
        <v>1698</v>
      </c>
      <c r="H1364" s="190">
        <v>0</v>
      </c>
    </row>
    <row r="1365" spans="1:8">
      <c r="A1365" s="26"/>
      <c r="B1365" s="176"/>
      <c r="C1365" s="174" t="s">
        <v>4782</v>
      </c>
      <c r="D1365" s="174"/>
      <c r="E1365" s="174"/>
      <c r="F1365" s="777"/>
      <c r="G1365" s="327" t="s">
        <v>1698</v>
      </c>
      <c r="H1365" s="190">
        <v>0</v>
      </c>
    </row>
    <row r="1366" spans="1:8">
      <c r="A1366" s="26"/>
      <c r="B1366" s="176"/>
      <c r="C1366" s="174"/>
      <c r="D1366" s="174" t="s">
        <v>2376</v>
      </c>
      <c r="E1366" s="174"/>
      <c r="F1366" s="192"/>
      <c r="G1366" s="236" t="s">
        <v>1698</v>
      </c>
      <c r="H1366" s="318">
        <f>SUM(H1358:H1365)</f>
        <v>1308.0999999999999</v>
      </c>
    </row>
    <row r="1367" spans="1:8">
      <c r="A1367" s="26"/>
    </row>
    <row r="1368" spans="1:8">
      <c r="A1368" s="26"/>
      <c r="B1368" s="79" t="s">
        <v>2377</v>
      </c>
    </row>
    <row r="1369" spans="1:8">
      <c r="A1369" s="26"/>
      <c r="B1369" s="95" t="s">
        <v>2369</v>
      </c>
      <c r="C1369" s="157" t="s">
        <v>2378</v>
      </c>
      <c r="D1369" s="195"/>
      <c r="E1369" s="95" t="s">
        <v>2370</v>
      </c>
      <c r="F1369" s="95" t="s">
        <v>1166</v>
      </c>
      <c r="G1369" s="95" t="s">
        <v>2371</v>
      </c>
      <c r="H1369" s="95" t="s">
        <v>2372</v>
      </c>
    </row>
    <row r="1370" spans="1:8">
      <c r="A1370" s="26"/>
      <c r="B1370" s="114"/>
      <c r="C1370" s="154"/>
      <c r="D1370" s="192"/>
      <c r="E1370" s="114"/>
      <c r="F1370" s="114"/>
      <c r="G1370" s="114" t="s">
        <v>3485</v>
      </c>
      <c r="H1370" s="114" t="s">
        <v>3485</v>
      </c>
    </row>
    <row r="1371" spans="1:8">
      <c r="A1371" s="26"/>
      <c r="B1371" s="105">
        <v>1</v>
      </c>
      <c r="C1371" s="93" t="s">
        <v>6976</v>
      </c>
      <c r="E1371" s="210"/>
      <c r="F1371" s="190">
        <v>0</v>
      </c>
      <c r="G1371" s="190">
        <v>0</v>
      </c>
      <c r="H1371" s="190">
        <f>F1371*G1371</f>
        <v>0</v>
      </c>
    </row>
    <row r="1372" spans="1:8">
      <c r="A1372" s="26"/>
      <c r="B1372" s="275"/>
      <c r="C1372" s="139"/>
      <c r="D1372" s="174"/>
      <c r="E1372" s="191"/>
      <c r="F1372" s="182">
        <v>0</v>
      </c>
      <c r="G1372" s="182">
        <v>0</v>
      </c>
      <c r="H1372" s="182">
        <f>F1372*G1372</f>
        <v>0</v>
      </c>
    </row>
    <row r="1373" spans="1:8">
      <c r="A1373" s="26"/>
      <c r="B1373" s="176"/>
      <c r="C1373" s="174"/>
      <c r="D1373" s="174" t="s">
        <v>2380</v>
      </c>
      <c r="E1373" s="174"/>
      <c r="F1373" s="192"/>
      <c r="G1373" s="275" t="s">
        <v>1698</v>
      </c>
      <c r="H1373" s="318">
        <f>SUM(H1371:H1372)</f>
        <v>0</v>
      </c>
    </row>
    <row r="1374" spans="1:8">
      <c r="A1374" s="26"/>
    </row>
    <row r="1375" spans="1:8">
      <c r="A1375" s="26"/>
      <c r="B1375" s="79" t="s">
        <v>2381</v>
      </c>
    </row>
    <row r="1376" spans="1:8">
      <c r="A1376" s="26"/>
      <c r="B1376" s="95" t="s">
        <v>2369</v>
      </c>
      <c r="C1376" s="157" t="s">
        <v>2378</v>
      </c>
      <c r="D1376" s="195"/>
      <c r="E1376" s="95" t="s">
        <v>2370</v>
      </c>
      <c r="F1376" s="95" t="s">
        <v>1166</v>
      </c>
      <c r="G1376" s="95" t="s">
        <v>2371</v>
      </c>
      <c r="H1376" s="95" t="s">
        <v>2372</v>
      </c>
    </row>
    <row r="1377" spans="1:8">
      <c r="A1377" s="26"/>
      <c r="B1377" s="114"/>
      <c r="C1377" s="154"/>
      <c r="D1377" s="192"/>
      <c r="E1377" s="105"/>
      <c r="F1377" s="114"/>
      <c r="G1377" s="114" t="s">
        <v>3485</v>
      </c>
      <c r="H1377" s="114" t="s">
        <v>3485</v>
      </c>
    </row>
    <row r="1378" spans="1:8">
      <c r="A1378" s="26"/>
      <c r="B1378" s="95">
        <v>1</v>
      </c>
      <c r="C1378" s="148" t="s">
        <v>4206</v>
      </c>
      <c r="D1378" s="187"/>
      <c r="E1378" s="107" t="s">
        <v>1172</v>
      </c>
      <c r="F1378" s="178">
        <v>1</v>
      </c>
      <c r="G1378" s="179">
        <f>'BASIC DATA'!C473</f>
        <v>450</v>
      </c>
      <c r="H1378" s="179">
        <f>F1378*G1378</f>
        <v>450</v>
      </c>
    </row>
    <row r="1379" spans="1:8">
      <c r="A1379" s="26"/>
      <c r="B1379" s="105">
        <v>2</v>
      </c>
      <c r="C1379" s="76" t="s">
        <v>5609</v>
      </c>
      <c r="D1379" s="31"/>
      <c r="E1379" s="210" t="s">
        <v>1172</v>
      </c>
      <c r="F1379" s="207">
        <v>3</v>
      </c>
      <c r="G1379" s="190">
        <f>'BASIC DATA'!C502</f>
        <v>445</v>
      </c>
      <c r="H1379" s="190">
        <f>F1379*G1379</f>
        <v>1335</v>
      </c>
    </row>
    <row r="1380" spans="1:8">
      <c r="A1380" s="26"/>
      <c r="B1380" s="114">
        <v>3</v>
      </c>
      <c r="C1380" s="89" t="s">
        <v>2697</v>
      </c>
      <c r="D1380" s="174"/>
      <c r="E1380" s="191" t="s">
        <v>1172</v>
      </c>
      <c r="F1380" s="181">
        <v>4</v>
      </c>
      <c r="G1380" s="182">
        <f>'BASIC DATA'!C552</f>
        <v>350</v>
      </c>
      <c r="H1380" s="190">
        <f>F1380*G1380</f>
        <v>1400</v>
      </c>
    </row>
    <row r="1381" spans="1:8">
      <c r="A1381" s="26"/>
      <c r="B1381" s="176"/>
      <c r="C1381" s="174"/>
      <c r="D1381" s="174" t="s">
        <v>1174</v>
      </c>
      <c r="E1381" s="174"/>
      <c r="F1381" s="192"/>
      <c r="G1381" s="275" t="s">
        <v>1698</v>
      </c>
      <c r="H1381" s="318">
        <f>SUM(H1378:H1380)</f>
        <v>3185</v>
      </c>
    </row>
    <row r="1382" spans="1:8">
      <c r="A1382" s="26"/>
      <c r="B1382" s="60" t="s">
        <v>5948</v>
      </c>
      <c r="C1382" s="31"/>
      <c r="D1382" s="31"/>
      <c r="E1382" s="85">
        <f>ROUND(H1381/G1354,1)</f>
        <v>318.5</v>
      </c>
      <c r="G1382" s="31"/>
    </row>
    <row r="1383" spans="1:8">
      <c r="A1383" s="26"/>
      <c r="B1383" s="60" t="s">
        <v>3163</v>
      </c>
      <c r="C1383" s="31"/>
      <c r="D1383" s="31">
        <f>'BASIC DATA'!$C$577</f>
        <v>0.13614999999999999</v>
      </c>
      <c r="E1383" s="85">
        <f>ROUND(E1382*D1383,1)</f>
        <v>43.4</v>
      </c>
      <c r="G1383" s="31"/>
    </row>
    <row r="1384" spans="1:8">
      <c r="A1384" s="26"/>
      <c r="B1384" s="60" t="s">
        <v>5949</v>
      </c>
      <c r="C1384" s="31"/>
      <c r="D1384" s="31"/>
      <c r="E1384" s="739">
        <f>E1383+E1382</f>
        <v>361.9</v>
      </c>
      <c r="G1384" s="31"/>
    </row>
    <row r="1385" spans="1:8">
      <c r="A1385" s="26"/>
      <c r="B1385" s="26"/>
    </row>
    <row r="1386" spans="1:8">
      <c r="A1386" s="26"/>
      <c r="B1386" s="170" t="s">
        <v>1175</v>
      </c>
    </row>
    <row r="1387" spans="1:8">
      <c r="A1387" s="26"/>
      <c r="B1387" s="26" t="s">
        <v>5010</v>
      </c>
      <c r="F1387" s="171" t="s">
        <v>1698</v>
      </c>
      <c r="G1387" s="68">
        <f>H1366</f>
        <v>1308.0999999999999</v>
      </c>
    </row>
    <row r="1388" spans="1:8">
      <c r="A1388" s="26"/>
      <c r="B1388" s="26" t="s">
        <v>1186</v>
      </c>
      <c r="F1388" s="171" t="s">
        <v>1698</v>
      </c>
      <c r="G1388" s="68">
        <f>H1373</f>
        <v>0</v>
      </c>
    </row>
    <row r="1389" spans="1:8">
      <c r="A1389" s="26"/>
      <c r="B1389" s="26" t="s">
        <v>2660</v>
      </c>
      <c r="F1389" s="171" t="s">
        <v>1698</v>
      </c>
      <c r="G1389" s="75">
        <f>H1381</f>
        <v>3185</v>
      </c>
    </row>
    <row r="1390" spans="1:8">
      <c r="A1390" s="26"/>
      <c r="E1390" s="26" t="s">
        <v>1518</v>
      </c>
      <c r="F1390" s="171" t="s">
        <v>1698</v>
      </c>
      <c r="G1390" s="205">
        <f>SUM(G1387:G1389)</f>
        <v>4493.1000000000004</v>
      </c>
    </row>
    <row r="1391" spans="1:8" ht="34.5" customHeight="1">
      <c r="A1391" s="26"/>
      <c r="B1391" s="1207" t="s">
        <v>1379</v>
      </c>
      <c r="C1391" s="1207"/>
      <c r="E1391" s="249">
        <f>'BASIC DATA'!$C$577</f>
        <v>0.13614999999999999</v>
      </c>
      <c r="F1391" s="26" t="s">
        <v>1698</v>
      </c>
      <c r="G1391" s="26">
        <f>G1390*E1391</f>
        <v>611.73556500000007</v>
      </c>
    </row>
    <row r="1392" spans="1:8">
      <c r="A1392" s="26"/>
      <c r="B1392" s="26" t="s">
        <v>1191</v>
      </c>
      <c r="D1392" s="68">
        <f>G1354</f>
        <v>10</v>
      </c>
      <c r="E1392" s="68" t="str">
        <f>H1354</f>
        <v>Nos.</v>
      </c>
      <c r="F1392" s="26" t="s">
        <v>1698</v>
      </c>
      <c r="G1392" s="211">
        <f>G1391+G1390</f>
        <v>5104.8355650000003</v>
      </c>
    </row>
    <row r="1393" spans="1:8">
      <c r="A1393" s="26"/>
      <c r="B1393" s="170" t="s">
        <v>1584</v>
      </c>
      <c r="C1393" s="211" t="s">
        <v>4935</v>
      </c>
      <c r="D1393" s="26" t="s">
        <v>5891</v>
      </c>
      <c r="F1393" s="26" t="s">
        <v>4108</v>
      </c>
      <c r="G1393" s="211">
        <f>ROUND(G1392/D1392,1)</f>
        <v>510.5</v>
      </c>
    </row>
    <row r="1394" spans="1:8">
      <c r="A1394" s="26"/>
      <c r="B1394" s="78" t="s">
        <v>1237</v>
      </c>
      <c r="C1394" s="26" t="s">
        <v>9170</v>
      </c>
      <c r="G1394" s="171"/>
    </row>
    <row r="1395" spans="1:8">
      <c r="A1395" s="26"/>
      <c r="C1395" s="26" t="s">
        <v>9171</v>
      </c>
      <c r="F1395" s="26" t="s">
        <v>3481</v>
      </c>
      <c r="G1395" s="171" t="s">
        <v>1698</v>
      </c>
      <c r="H1395" s="68">
        <v>4</v>
      </c>
    </row>
    <row r="1396" spans="1:8">
      <c r="A1396" s="26"/>
    </row>
    <row r="1397" spans="1:8">
      <c r="A1397" s="26"/>
    </row>
    <row r="1398" spans="1:8">
      <c r="A1398" s="78" t="s">
        <v>5496</v>
      </c>
      <c r="B1398" s="26" t="s">
        <v>9112</v>
      </c>
    </row>
    <row r="1399" spans="1:8">
      <c r="B1399" s="26" t="s">
        <v>9113</v>
      </c>
    </row>
    <row r="1400" spans="1:8">
      <c r="B1400" s="26" t="s">
        <v>5619</v>
      </c>
    </row>
    <row r="1401" spans="1:8">
      <c r="B1401" s="26" t="s">
        <v>4679</v>
      </c>
    </row>
    <row r="1402" spans="1:8">
      <c r="B1402" s="26" t="s">
        <v>9114</v>
      </c>
    </row>
    <row r="1403" spans="1:8">
      <c r="B1403" s="26"/>
    </row>
    <row r="1404" spans="1:8" hidden="1">
      <c r="A1404" s="78" t="s">
        <v>3984</v>
      </c>
      <c r="B1404" s="26" t="s">
        <v>5144</v>
      </c>
    </row>
    <row r="1405" spans="1:8" hidden="1">
      <c r="B1405" s="26" t="s">
        <v>5145</v>
      </c>
      <c r="F1405" s="78" t="s">
        <v>1697</v>
      </c>
      <c r="G1405" s="202">
        <v>1</v>
      </c>
      <c r="H1405" s="26" t="s">
        <v>3477</v>
      </c>
    </row>
    <row r="1406" spans="1:8" hidden="1">
      <c r="B1406" s="26" t="s">
        <v>5146</v>
      </c>
      <c r="F1406" s="78" t="s">
        <v>1697</v>
      </c>
      <c r="G1406" s="202">
        <v>0.95</v>
      </c>
      <c r="H1406" s="26" t="s">
        <v>3477</v>
      </c>
    </row>
    <row r="1407" spans="1:8" hidden="1">
      <c r="B1407" s="26" t="s">
        <v>5147</v>
      </c>
      <c r="F1407" s="78" t="s">
        <v>1697</v>
      </c>
      <c r="G1407" s="202">
        <v>0.25</v>
      </c>
      <c r="H1407" s="26" t="s">
        <v>3477</v>
      </c>
    </row>
    <row r="1408" spans="1:8" hidden="1">
      <c r="B1408" s="26" t="s">
        <v>4241</v>
      </c>
    </row>
    <row r="1409" spans="1:8" hidden="1">
      <c r="B1409" s="26" t="s">
        <v>4321</v>
      </c>
    </row>
    <row r="1410" spans="1:8" hidden="1">
      <c r="B1410" s="26" t="s">
        <v>6378</v>
      </c>
    </row>
    <row r="1411" spans="1:8" hidden="1">
      <c r="B1411" s="26" t="s">
        <v>6377</v>
      </c>
    </row>
    <row r="1412" spans="1:8">
      <c r="A1412" s="26"/>
    </row>
    <row r="1413" spans="1:8">
      <c r="A1413" s="26" t="s">
        <v>9215</v>
      </c>
      <c r="C1413" s="203" t="s">
        <v>2367</v>
      </c>
      <c r="D1413" s="171"/>
      <c r="F1413" s="171" t="s">
        <v>297</v>
      </c>
      <c r="G1413" s="162">
        <v>1</v>
      </c>
      <c r="H1413" s="26" t="s">
        <v>4089</v>
      </c>
    </row>
    <row r="1414" spans="1:8">
      <c r="A1414" s="26"/>
      <c r="B1414" s="79" t="s">
        <v>2368</v>
      </c>
    </row>
    <row r="1415" spans="1:8">
      <c r="A1415" s="26"/>
      <c r="B1415" s="95" t="s">
        <v>2369</v>
      </c>
      <c r="C1415" s="157" t="s">
        <v>6374</v>
      </c>
      <c r="D1415" s="195"/>
      <c r="E1415" s="95" t="s">
        <v>2370</v>
      </c>
      <c r="F1415" s="95" t="s">
        <v>1166</v>
      </c>
      <c r="G1415" s="95" t="s">
        <v>2371</v>
      </c>
      <c r="H1415" s="95" t="s">
        <v>2372</v>
      </c>
    </row>
    <row r="1416" spans="1:8">
      <c r="A1416" s="26"/>
      <c r="B1416" s="105"/>
      <c r="C1416" s="154"/>
      <c r="D1416" s="192"/>
      <c r="E1416" s="114"/>
      <c r="F1416" s="114"/>
      <c r="G1416" s="114" t="s">
        <v>3485</v>
      </c>
      <c r="H1416" s="114" t="s">
        <v>3485</v>
      </c>
    </row>
    <row r="1417" spans="1:8">
      <c r="A1417" s="26"/>
      <c r="B1417" s="95">
        <v>1</v>
      </c>
      <c r="C1417" s="148" t="s">
        <v>4042</v>
      </c>
      <c r="D1417" s="195"/>
      <c r="E1417" s="95" t="s">
        <v>3481</v>
      </c>
      <c r="F1417" s="190">
        <v>1</v>
      </c>
      <c r="G1417" s="214">
        <f>'BASIC DATA'!D93</f>
        <v>23</v>
      </c>
      <c r="H1417" s="179">
        <f>F1417*G1417</f>
        <v>23</v>
      </c>
    </row>
    <row r="1418" spans="1:8">
      <c r="A1418" s="26"/>
      <c r="B1418" s="105">
        <v>2</v>
      </c>
      <c r="C1418" s="76" t="s">
        <v>5853</v>
      </c>
      <c r="D1418" s="189"/>
      <c r="E1418" s="105" t="s">
        <v>3478</v>
      </c>
      <c r="F1418" s="190">
        <v>262</v>
      </c>
      <c r="G1418" s="214">
        <f>'BASIC DATA'!D32/1000</f>
        <v>5.35</v>
      </c>
      <c r="H1418" s="190">
        <f t="shared" ref="H1418:H1424" si="1">F1418*G1418</f>
        <v>1401.6999999999998</v>
      </c>
    </row>
    <row r="1419" spans="1:8">
      <c r="A1419" s="26"/>
      <c r="B1419" s="105">
        <v>3</v>
      </c>
      <c r="C1419" s="76" t="s">
        <v>6996</v>
      </c>
      <c r="D1419" s="189"/>
      <c r="E1419" s="105" t="s">
        <v>3477</v>
      </c>
      <c r="F1419" s="190">
        <v>0.5</v>
      </c>
      <c r="G1419" s="214">
        <f>'BASIC DATA'!D36</f>
        <v>1175</v>
      </c>
      <c r="H1419" s="190">
        <f t="shared" si="1"/>
        <v>587.5</v>
      </c>
    </row>
    <row r="1420" spans="1:8">
      <c r="A1420" s="26"/>
      <c r="B1420" s="280"/>
      <c r="C1420" s="76" t="s">
        <v>6995</v>
      </c>
      <c r="D1420" s="189"/>
      <c r="E1420" s="105" t="s">
        <v>3477</v>
      </c>
      <c r="F1420" s="190">
        <v>0.3</v>
      </c>
      <c r="G1420" s="214">
        <f>'BASIC DATA'!D35</f>
        <v>1225</v>
      </c>
      <c r="H1420" s="190">
        <f t="shared" si="1"/>
        <v>367.5</v>
      </c>
    </row>
    <row r="1421" spans="1:8">
      <c r="A1421" s="26"/>
      <c r="B1421" s="280"/>
      <c r="C1421" s="76" t="s">
        <v>6994</v>
      </c>
      <c r="D1421" s="189"/>
      <c r="E1421" s="105" t="s">
        <v>3477</v>
      </c>
      <c r="F1421" s="190">
        <v>0.2</v>
      </c>
      <c r="G1421" s="214">
        <f>'BASIC DATA'!D34</f>
        <v>900</v>
      </c>
      <c r="H1421" s="190">
        <f t="shared" si="1"/>
        <v>180</v>
      </c>
    </row>
    <row r="1422" spans="1:8">
      <c r="A1422" s="26"/>
      <c r="B1422" s="105">
        <v>4</v>
      </c>
      <c r="C1422" s="76" t="s">
        <v>4242</v>
      </c>
      <c r="D1422" s="189"/>
      <c r="E1422" s="105" t="s">
        <v>3477</v>
      </c>
      <c r="F1422" s="190">
        <v>0.25</v>
      </c>
      <c r="G1422" s="214">
        <f>'BASIC DATA'!D107</f>
        <v>155</v>
      </c>
      <c r="H1422" s="190">
        <f t="shared" si="1"/>
        <v>38.75</v>
      </c>
    </row>
    <row r="1423" spans="1:8">
      <c r="A1423" s="26"/>
      <c r="B1423" s="105">
        <v>5</v>
      </c>
      <c r="C1423" s="76" t="s">
        <v>4080</v>
      </c>
      <c r="D1423" s="189"/>
      <c r="E1423" s="105" t="s">
        <v>3477</v>
      </c>
      <c r="F1423" s="190">
        <v>0.04</v>
      </c>
      <c r="G1423" s="214">
        <f>'BASIC DATA'!D96</f>
        <v>350</v>
      </c>
      <c r="H1423" s="190">
        <f t="shared" si="1"/>
        <v>14</v>
      </c>
    </row>
    <row r="1424" spans="1:8" s="61" customFormat="1">
      <c r="B1424" s="237">
        <v>6</v>
      </c>
      <c r="C1424" s="307" t="s">
        <v>7936</v>
      </c>
      <c r="D1424" s="242"/>
      <c r="E1424" s="237" t="s">
        <v>3477</v>
      </c>
      <c r="F1424" s="289">
        <v>0.6</v>
      </c>
      <c r="G1424" s="284">
        <f>'BASIC DATA'!D55</f>
        <v>95</v>
      </c>
      <c r="H1424" s="289">
        <f t="shared" si="1"/>
        <v>57</v>
      </c>
    </row>
    <row r="1425" spans="1:8">
      <c r="A1425" s="26"/>
      <c r="B1425" s="93"/>
      <c r="C1425" s="31" t="s">
        <v>4781</v>
      </c>
      <c r="D1425" s="31"/>
      <c r="E1425" s="31"/>
      <c r="F1425" s="198"/>
      <c r="G1425" s="327" t="s">
        <v>1698</v>
      </c>
      <c r="H1425" s="190">
        <v>0</v>
      </c>
    </row>
    <row r="1426" spans="1:8">
      <c r="A1426" s="26"/>
      <c r="B1426" s="176"/>
      <c r="C1426" s="174" t="s">
        <v>4782</v>
      </c>
      <c r="D1426" s="174"/>
      <c r="E1426" s="174"/>
      <c r="F1426" s="777"/>
      <c r="G1426" s="327" t="s">
        <v>1698</v>
      </c>
      <c r="H1426" s="190">
        <v>0</v>
      </c>
    </row>
    <row r="1427" spans="1:8">
      <c r="A1427" s="26"/>
      <c r="B1427" s="176"/>
      <c r="C1427" s="174"/>
      <c r="D1427" s="174" t="s">
        <v>2376</v>
      </c>
      <c r="E1427" s="174"/>
      <c r="F1427" s="192"/>
      <c r="G1427" s="236" t="s">
        <v>1698</v>
      </c>
      <c r="H1427" s="318">
        <f>SUM(H1417:H1426)</f>
        <v>2669.45</v>
      </c>
    </row>
    <row r="1428" spans="1:8">
      <c r="A1428" s="26"/>
    </row>
    <row r="1429" spans="1:8">
      <c r="A1429" s="26"/>
      <c r="B1429" s="79" t="s">
        <v>2377</v>
      </c>
    </row>
    <row r="1430" spans="1:8">
      <c r="A1430" s="26"/>
      <c r="B1430" s="95" t="s">
        <v>2369</v>
      </c>
      <c r="C1430" s="157" t="s">
        <v>2378</v>
      </c>
      <c r="D1430" s="195"/>
      <c r="E1430" s="95" t="s">
        <v>2370</v>
      </c>
      <c r="F1430" s="95" t="s">
        <v>1166</v>
      </c>
      <c r="G1430" s="95" t="s">
        <v>2371</v>
      </c>
      <c r="H1430" s="95" t="s">
        <v>2372</v>
      </c>
    </row>
    <row r="1431" spans="1:8">
      <c r="A1431" s="26"/>
      <c r="B1431" s="114"/>
      <c r="C1431" s="154"/>
      <c r="D1431" s="192"/>
      <c r="E1431" s="114"/>
      <c r="F1431" s="114"/>
      <c r="G1431" s="114" t="s">
        <v>3485</v>
      </c>
      <c r="H1431" s="114" t="s">
        <v>3485</v>
      </c>
    </row>
    <row r="1432" spans="1:8">
      <c r="A1432" s="26"/>
      <c r="B1432" s="105">
        <v>1</v>
      </c>
      <c r="C1432" s="93" t="s">
        <v>6976</v>
      </c>
      <c r="E1432" s="210"/>
      <c r="F1432" s="190">
        <v>0</v>
      </c>
      <c r="G1432" s="190">
        <v>0</v>
      </c>
      <c r="H1432" s="190">
        <f>F1432*G1432</f>
        <v>0</v>
      </c>
    </row>
    <row r="1433" spans="1:8">
      <c r="A1433" s="26"/>
      <c r="B1433" s="275"/>
      <c r="C1433" s="139"/>
      <c r="D1433" s="174"/>
      <c r="E1433" s="191"/>
      <c r="F1433" s="182">
        <v>0</v>
      </c>
      <c r="G1433" s="182">
        <v>0</v>
      </c>
      <c r="H1433" s="182">
        <f>F1433*G1433</f>
        <v>0</v>
      </c>
    </row>
    <row r="1434" spans="1:8">
      <c r="A1434" s="26"/>
      <c r="B1434" s="176"/>
      <c r="C1434" s="174"/>
      <c r="D1434" s="174" t="s">
        <v>2380</v>
      </c>
      <c r="E1434" s="174"/>
      <c r="F1434" s="192"/>
      <c r="G1434" s="275" t="s">
        <v>1698</v>
      </c>
      <c r="H1434" s="434">
        <f>SUM(H1432:H1433)</f>
        <v>0</v>
      </c>
    </row>
    <row r="1435" spans="1:8">
      <c r="A1435" s="26"/>
    </row>
    <row r="1436" spans="1:8">
      <c r="A1436" s="26"/>
      <c r="B1436" s="79" t="s">
        <v>2381</v>
      </c>
    </row>
    <row r="1437" spans="1:8">
      <c r="A1437" s="26"/>
      <c r="B1437" s="95" t="s">
        <v>2369</v>
      </c>
      <c r="C1437" s="157" t="s">
        <v>2378</v>
      </c>
      <c r="D1437" s="195"/>
      <c r="E1437" s="95" t="s">
        <v>2370</v>
      </c>
      <c r="F1437" s="95" t="s">
        <v>1166</v>
      </c>
      <c r="G1437" s="95" t="s">
        <v>2371</v>
      </c>
      <c r="H1437" s="95" t="s">
        <v>2372</v>
      </c>
    </row>
    <row r="1438" spans="1:8">
      <c r="A1438" s="26"/>
      <c r="B1438" s="114"/>
      <c r="C1438" s="154"/>
      <c r="D1438" s="192"/>
      <c r="E1438" s="105"/>
      <c r="F1438" s="114"/>
      <c r="G1438" s="114" t="s">
        <v>3485</v>
      </c>
      <c r="H1438" s="114" t="s">
        <v>3485</v>
      </c>
    </row>
    <row r="1439" spans="1:8">
      <c r="A1439" s="26"/>
      <c r="B1439" s="95">
        <v>1</v>
      </c>
      <c r="C1439" s="148" t="s">
        <v>4206</v>
      </c>
      <c r="D1439" s="187"/>
      <c r="E1439" s="107" t="s">
        <v>1172</v>
      </c>
      <c r="F1439" s="178">
        <v>1</v>
      </c>
      <c r="G1439" s="179">
        <f>'BASIC DATA'!C473</f>
        <v>450</v>
      </c>
      <c r="H1439" s="179">
        <f>F1439*G1439</f>
        <v>450</v>
      </c>
    </row>
    <row r="1440" spans="1:8">
      <c r="A1440" s="26"/>
      <c r="B1440" s="105">
        <v>2</v>
      </c>
      <c r="C1440" s="76" t="s">
        <v>5609</v>
      </c>
      <c r="D1440" s="31"/>
      <c r="E1440" s="210" t="s">
        <v>1172</v>
      </c>
      <c r="F1440" s="207">
        <v>0.5</v>
      </c>
      <c r="G1440" s="190">
        <f>'BASIC DATA'!C502</f>
        <v>445</v>
      </c>
      <c r="H1440" s="190">
        <f>F1440*G1440</f>
        <v>222.5</v>
      </c>
    </row>
    <row r="1441" spans="1:8">
      <c r="A1441" s="26"/>
      <c r="B1441" s="105">
        <v>3</v>
      </c>
      <c r="C1441" s="76" t="s">
        <v>4203</v>
      </c>
      <c r="D1441" s="31"/>
      <c r="E1441" s="210" t="s">
        <v>1172</v>
      </c>
      <c r="F1441" s="207">
        <v>1</v>
      </c>
      <c r="G1441" s="190">
        <f>'BASIC DATA'!C541</f>
        <v>400</v>
      </c>
      <c r="H1441" s="190">
        <f>F1441*G1441</f>
        <v>400</v>
      </c>
    </row>
    <row r="1442" spans="1:8">
      <c r="A1442" s="26"/>
      <c r="B1442" s="114">
        <v>4</v>
      </c>
      <c r="C1442" s="89" t="s">
        <v>2697</v>
      </c>
      <c r="D1442" s="174"/>
      <c r="E1442" s="191" t="s">
        <v>1172</v>
      </c>
      <c r="F1442" s="181">
        <v>5</v>
      </c>
      <c r="G1442" s="182">
        <f>'BASIC DATA'!C552</f>
        <v>350</v>
      </c>
      <c r="H1442" s="190">
        <f>F1442*G1442</f>
        <v>1750</v>
      </c>
    </row>
    <row r="1443" spans="1:8">
      <c r="A1443" s="26"/>
      <c r="B1443" s="176"/>
      <c r="C1443" s="174"/>
      <c r="D1443" s="174" t="s">
        <v>1174</v>
      </c>
      <c r="E1443" s="174"/>
      <c r="F1443" s="192"/>
      <c r="G1443" s="275" t="s">
        <v>1698</v>
      </c>
      <c r="H1443" s="318">
        <f>SUM(H1439:H1442)</f>
        <v>2822.5</v>
      </c>
    </row>
    <row r="1444" spans="1:8">
      <c r="A1444" s="26"/>
      <c r="B1444" s="60" t="s">
        <v>5948</v>
      </c>
      <c r="C1444" s="31"/>
      <c r="D1444" s="31"/>
      <c r="E1444" s="85">
        <f>ROUND(H1443/G1413,1)</f>
        <v>2822.5</v>
      </c>
      <c r="G1444" s="31"/>
    </row>
    <row r="1445" spans="1:8">
      <c r="A1445" s="26"/>
      <c r="B1445" s="60" t="s">
        <v>3163</v>
      </c>
      <c r="C1445" s="31"/>
      <c r="D1445" s="31">
        <f>'BASIC DATA'!$C$577</f>
        <v>0.13614999999999999</v>
      </c>
      <c r="E1445" s="85">
        <f>ROUND(E1444*D1445,1)</f>
        <v>384.3</v>
      </c>
      <c r="G1445" s="31"/>
    </row>
    <row r="1446" spans="1:8">
      <c r="A1446" s="26"/>
      <c r="B1446" s="60" t="s">
        <v>5949</v>
      </c>
      <c r="C1446" s="31"/>
      <c r="D1446" s="31"/>
      <c r="E1446" s="739">
        <f>E1445+E1444</f>
        <v>3206.8</v>
      </c>
      <c r="G1446" s="31"/>
    </row>
    <row r="1447" spans="1:8">
      <c r="A1447" s="26"/>
      <c r="B1447" s="26"/>
    </row>
    <row r="1448" spans="1:8">
      <c r="A1448" s="26"/>
      <c r="B1448" s="170" t="s">
        <v>1175</v>
      </c>
    </row>
    <row r="1449" spans="1:8">
      <c r="A1449" s="26"/>
      <c r="B1449" s="26" t="s">
        <v>5010</v>
      </c>
      <c r="F1449" s="171" t="s">
        <v>1698</v>
      </c>
      <c r="G1449" s="68">
        <f>H1427</f>
        <v>2669.45</v>
      </c>
    </row>
    <row r="1450" spans="1:8">
      <c r="A1450" s="26"/>
      <c r="B1450" s="26" t="s">
        <v>1186</v>
      </c>
      <c r="F1450" s="171" t="s">
        <v>1698</v>
      </c>
      <c r="G1450" s="68">
        <f>H1434</f>
        <v>0</v>
      </c>
    </row>
    <row r="1451" spans="1:8">
      <c r="A1451" s="26"/>
      <c r="B1451" s="26" t="s">
        <v>2660</v>
      </c>
      <c r="F1451" s="171" t="s">
        <v>1698</v>
      </c>
      <c r="G1451" s="75">
        <f>H1443</f>
        <v>2822.5</v>
      </c>
    </row>
    <row r="1452" spans="1:8">
      <c r="A1452" s="26"/>
      <c r="E1452" s="26" t="s">
        <v>1518</v>
      </c>
      <c r="F1452" s="171" t="s">
        <v>1698</v>
      </c>
      <c r="G1452" s="205">
        <f>SUM(G1449:G1451)</f>
        <v>5491.95</v>
      </c>
    </row>
    <row r="1453" spans="1:8" ht="39" customHeight="1">
      <c r="A1453" s="26"/>
      <c r="B1453" s="1207" t="s">
        <v>1379</v>
      </c>
      <c r="C1453" s="1207"/>
      <c r="E1453" s="249">
        <f>'BASIC DATA'!$C$577</f>
        <v>0.13614999999999999</v>
      </c>
      <c r="F1453" s="26" t="s">
        <v>1698</v>
      </c>
      <c r="G1453" s="26">
        <f>G1452*E1453</f>
        <v>747.72899249999989</v>
      </c>
    </row>
    <row r="1454" spans="1:8">
      <c r="A1454" s="26"/>
      <c r="B1454" s="26" t="s">
        <v>1191</v>
      </c>
      <c r="D1454" s="68">
        <f>G1413</f>
        <v>1</v>
      </c>
      <c r="E1454" s="68" t="str">
        <f>H1413</f>
        <v>No.</v>
      </c>
      <c r="F1454" s="26" t="s">
        <v>1698</v>
      </c>
      <c r="G1454" s="211">
        <f>G1453+G1452</f>
        <v>6239.6789924999994</v>
      </c>
    </row>
    <row r="1455" spans="1:8">
      <c r="A1455" s="26"/>
      <c r="B1455" s="170" t="s">
        <v>1584</v>
      </c>
      <c r="C1455" s="211" t="s">
        <v>4935</v>
      </c>
      <c r="D1455" s="26" t="s">
        <v>1324</v>
      </c>
      <c r="F1455" s="26" t="s">
        <v>4108</v>
      </c>
      <c r="G1455" s="211">
        <f>ROUND(G1454/D1454,1)</f>
        <v>6239.7</v>
      </c>
    </row>
    <row r="1456" spans="1:8">
      <c r="A1456" s="26"/>
    </row>
    <row r="1457" spans="1:8">
      <c r="A1457" s="78" t="s">
        <v>5497</v>
      </c>
      <c r="B1457" s="170" t="s">
        <v>1414</v>
      </c>
    </row>
    <row r="1458" spans="1:8">
      <c r="B1458" s="26"/>
    </row>
    <row r="1459" spans="1:8">
      <c r="A1459" s="78" t="s">
        <v>5498</v>
      </c>
      <c r="B1459" s="26" t="s">
        <v>9172</v>
      </c>
    </row>
    <row r="1460" spans="1:8">
      <c r="B1460" s="26" t="s">
        <v>9173</v>
      </c>
    </row>
    <row r="1461" spans="1:8">
      <c r="B1461" s="26"/>
    </row>
    <row r="1462" spans="1:8" hidden="1">
      <c r="A1462" s="78" t="s">
        <v>3984</v>
      </c>
      <c r="B1462" s="26" t="s">
        <v>4243</v>
      </c>
      <c r="F1462" s="78" t="s">
        <v>1697</v>
      </c>
      <c r="G1462" s="47">
        <v>1.05</v>
      </c>
      <c r="H1462" s="26" t="s">
        <v>2602</v>
      </c>
    </row>
    <row r="1463" spans="1:8" hidden="1">
      <c r="B1463" s="26" t="s">
        <v>5595</v>
      </c>
      <c r="F1463" s="78" t="s">
        <v>1697</v>
      </c>
      <c r="G1463" s="47">
        <v>15</v>
      </c>
      <c r="H1463" s="26" t="s">
        <v>3135</v>
      </c>
    </row>
    <row r="1464" spans="1:8" hidden="1">
      <c r="B1464" s="26" t="s">
        <v>4244</v>
      </c>
      <c r="F1464" s="78" t="s">
        <v>1697</v>
      </c>
      <c r="G1464" s="47">
        <v>15</v>
      </c>
      <c r="H1464" s="26" t="s">
        <v>3135</v>
      </c>
    </row>
    <row r="1465" spans="1:8" hidden="1">
      <c r="B1465" s="26" t="s">
        <v>4245</v>
      </c>
      <c r="F1465" s="78" t="s">
        <v>1697</v>
      </c>
      <c r="G1465" s="47">
        <v>15</v>
      </c>
      <c r="H1465" s="26" t="s">
        <v>3135</v>
      </c>
    </row>
    <row r="1466" spans="1:8" hidden="1">
      <c r="B1466" s="26" t="s">
        <v>4791</v>
      </c>
      <c r="F1466" s="78" t="s">
        <v>1697</v>
      </c>
      <c r="G1466" s="47">
        <v>60</v>
      </c>
      <c r="H1466" s="26" t="s">
        <v>3135</v>
      </c>
    </row>
    <row r="1467" spans="1:8" hidden="1">
      <c r="B1467" s="26" t="s">
        <v>4792</v>
      </c>
      <c r="F1467" s="78"/>
    </row>
    <row r="1468" spans="1:8" hidden="1">
      <c r="B1468" s="26"/>
      <c r="F1468" s="78"/>
    </row>
    <row r="1469" spans="1:8" hidden="1">
      <c r="B1469" s="26" t="s">
        <v>4793</v>
      </c>
      <c r="F1469" s="78"/>
    </row>
    <row r="1470" spans="1:8" hidden="1">
      <c r="B1470" s="26" t="s">
        <v>4794</v>
      </c>
      <c r="F1470" s="78" t="s">
        <v>1697</v>
      </c>
      <c r="G1470" s="68">
        <v>60</v>
      </c>
      <c r="H1470" s="26" t="s">
        <v>3477</v>
      </c>
    </row>
    <row r="1471" spans="1:8" hidden="1">
      <c r="B1471" s="26" t="s">
        <v>4795</v>
      </c>
      <c r="F1471" s="78" t="s">
        <v>1697</v>
      </c>
      <c r="G1471" s="68">
        <v>15</v>
      </c>
      <c r="H1471" s="26" t="s">
        <v>3477</v>
      </c>
    </row>
    <row r="1472" spans="1:8" hidden="1">
      <c r="B1472" s="26" t="s">
        <v>4796</v>
      </c>
      <c r="F1472" s="78" t="s">
        <v>1697</v>
      </c>
      <c r="G1472" s="68">
        <v>15</v>
      </c>
      <c r="H1472" s="26" t="s">
        <v>3477</v>
      </c>
    </row>
    <row r="1473" spans="1:8" hidden="1">
      <c r="B1473" s="26" t="s">
        <v>4797</v>
      </c>
      <c r="F1473" s="78" t="s">
        <v>1697</v>
      </c>
      <c r="G1473" s="173">
        <v>15</v>
      </c>
      <c r="H1473" s="26" t="s">
        <v>3477</v>
      </c>
    </row>
    <row r="1474" spans="1:8" hidden="1">
      <c r="B1474" s="26"/>
      <c r="E1474" s="26" t="s">
        <v>1518</v>
      </c>
      <c r="F1474" s="78" t="s">
        <v>1697</v>
      </c>
      <c r="G1474" s="68">
        <f>SUM(G1470:G1473)</f>
        <v>105</v>
      </c>
      <c r="H1474" s="26" t="s">
        <v>3477</v>
      </c>
    </row>
    <row r="1475" spans="1:8" hidden="1">
      <c r="B1475" s="26"/>
    </row>
    <row r="1476" spans="1:8" hidden="1">
      <c r="B1476" s="26" t="s">
        <v>5815</v>
      </c>
    </row>
    <row r="1477" spans="1:8" hidden="1">
      <c r="B1477" s="26" t="s">
        <v>5371</v>
      </c>
    </row>
    <row r="1478" spans="1:8" hidden="1">
      <c r="B1478" s="26" t="s">
        <v>4798</v>
      </c>
      <c r="F1478" s="78" t="s">
        <v>1697</v>
      </c>
      <c r="G1478" s="26">
        <v>6</v>
      </c>
      <c r="H1478" s="26" t="s">
        <v>4041</v>
      </c>
    </row>
    <row r="1479" spans="1:8" hidden="1">
      <c r="B1479" s="26" t="s">
        <v>2697</v>
      </c>
      <c r="F1479" s="78" t="s">
        <v>1697</v>
      </c>
      <c r="G1479" s="26">
        <v>18</v>
      </c>
      <c r="H1479" s="26" t="s">
        <v>4041</v>
      </c>
    </row>
    <row r="1480" spans="1:8" hidden="1">
      <c r="B1480" s="26" t="s">
        <v>4206</v>
      </c>
      <c r="F1480" s="78" t="s">
        <v>1697</v>
      </c>
      <c r="G1480" s="26">
        <v>1</v>
      </c>
      <c r="H1480" s="26" t="s">
        <v>4041</v>
      </c>
    </row>
    <row r="1481" spans="1:8" hidden="1">
      <c r="B1481" s="26" t="s">
        <v>6379</v>
      </c>
      <c r="F1481" s="78" t="s">
        <v>1697</v>
      </c>
      <c r="G1481" s="26">
        <v>3</v>
      </c>
      <c r="H1481" s="26" t="s">
        <v>4041</v>
      </c>
    </row>
    <row r="1482" spans="1:8" hidden="1">
      <c r="B1482" s="26" t="s">
        <v>6581</v>
      </c>
      <c r="F1482" s="78"/>
    </row>
    <row r="1483" spans="1:8" hidden="1">
      <c r="B1483" s="26" t="s">
        <v>2697</v>
      </c>
      <c r="F1483" s="78" t="s">
        <v>1697</v>
      </c>
      <c r="G1483" s="26">
        <v>8</v>
      </c>
      <c r="H1483" s="26" t="s">
        <v>4041</v>
      </c>
    </row>
    <row r="1484" spans="1:8" hidden="1">
      <c r="B1484" s="26" t="s">
        <v>6582</v>
      </c>
      <c r="F1484" s="78"/>
    </row>
    <row r="1485" spans="1:8" hidden="1">
      <c r="B1485" s="26" t="s">
        <v>2697</v>
      </c>
      <c r="F1485" s="78" t="s">
        <v>1697</v>
      </c>
      <c r="G1485" s="26">
        <v>8</v>
      </c>
      <c r="H1485" s="26" t="s">
        <v>4041</v>
      </c>
    </row>
    <row r="1486" spans="1:8" hidden="1">
      <c r="B1486" s="26" t="s">
        <v>6960</v>
      </c>
      <c r="F1486" s="78"/>
    </row>
    <row r="1487" spans="1:8" hidden="1">
      <c r="B1487" s="26" t="s">
        <v>2697</v>
      </c>
      <c r="F1487" s="78" t="s">
        <v>1697</v>
      </c>
      <c r="G1487" s="26">
        <v>8</v>
      </c>
      <c r="H1487" s="26" t="s">
        <v>4041</v>
      </c>
    </row>
    <row r="1488" spans="1:8">
      <c r="A1488" s="26"/>
    </row>
    <row r="1489" spans="1:8">
      <c r="A1489" s="26" t="s">
        <v>9215</v>
      </c>
      <c r="C1489" s="203" t="s">
        <v>2367</v>
      </c>
      <c r="D1489" s="171"/>
      <c r="F1489" s="171" t="s">
        <v>297</v>
      </c>
      <c r="G1489" s="162">
        <v>105</v>
      </c>
      <c r="H1489" s="26" t="s">
        <v>3477</v>
      </c>
    </row>
    <row r="1490" spans="1:8">
      <c r="A1490" s="26"/>
      <c r="B1490" s="79" t="s">
        <v>2368</v>
      </c>
    </row>
    <row r="1491" spans="1:8">
      <c r="A1491" s="26"/>
      <c r="B1491" s="95" t="s">
        <v>2369</v>
      </c>
      <c r="C1491" s="157" t="s">
        <v>6374</v>
      </c>
      <c r="D1491" s="195"/>
      <c r="E1491" s="95" t="s">
        <v>2370</v>
      </c>
      <c r="F1491" s="95" t="s">
        <v>1166</v>
      </c>
      <c r="G1491" s="95" t="s">
        <v>2371</v>
      </c>
      <c r="H1491" s="95" t="s">
        <v>2372</v>
      </c>
    </row>
    <row r="1492" spans="1:8">
      <c r="A1492" s="26"/>
      <c r="B1492" s="114"/>
      <c r="C1492" s="154"/>
      <c r="D1492" s="192"/>
      <c r="E1492" s="114"/>
      <c r="F1492" s="114"/>
      <c r="G1492" s="114" t="s">
        <v>3485</v>
      </c>
      <c r="H1492" s="114" t="s">
        <v>3485</v>
      </c>
    </row>
    <row r="1493" spans="1:8">
      <c r="A1493" s="26"/>
      <c r="B1493" s="95">
        <v>1</v>
      </c>
      <c r="C1493" s="33" t="s">
        <v>6976</v>
      </c>
      <c r="D1493" s="189"/>
      <c r="E1493" s="105"/>
      <c r="F1493" s="190">
        <v>0</v>
      </c>
      <c r="G1493" s="190">
        <v>0</v>
      </c>
      <c r="H1493" s="190">
        <f>F1493*G1493</f>
        <v>0</v>
      </c>
    </row>
    <row r="1494" spans="1:8">
      <c r="A1494" s="26"/>
      <c r="B1494" s="275"/>
      <c r="C1494" s="76"/>
      <c r="D1494" s="189"/>
      <c r="E1494" s="105"/>
      <c r="F1494" s="190">
        <v>0</v>
      </c>
      <c r="G1494" s="190">
        <v>0</v>
      </c>
      <c r="H1494" s="190">
        <f>F1494*G1494</f>
        <v>0</v>
      </c>
    </row>
    <row r="1495" spans="1:8">
      <c r="A1495" s="26"/>
      <c r="B1495" s="92"/>
      <c r="C1495" s="159"/>
      <c r="D1495" s="159" t="s">
        <v>2376</v>
      </c>
      <c r="E1495" s="159"/>
      <c r="F1495" s="238"/>
      <c r="G1495" s="236" t="s">
        <v>1698</v>
      </c>
      <c r="H1495" s="318">
        <f>SUM(H1493:H1494)</f>
        <v>0</v>
      </c>
    </row>
    <row r="1496" spans="1:8">
      <c r="A1496" s="26"/>
    </row>
    <row r="1497" spans="1:8">
      <c r="A1497" s="26"/>
      <c r="B1497" s="79" t="s">
        <v>2377</v>
      </c>
    </row>
    <row r="1498" spans="1:8">
      <c r="A1498" s="26"/>
      <c r="B1498" s="95" t="s">
        <v>2369</v>
      </c>
      <c r="C1498" s="157" t="s">
        <v>2378</v>
      </c>
      <c r="D1498" s="195"/>
      <c r="E1498" s="95" t="s">
        <v>2370</v>
      </c>
      <c r="F1498" s="95" t="s">
        <v>1166</v>
      </c>
      <c r="G1498" s="95" t="s">
        <v>2371</v>
      </c>
      <c r="H1498" s="95" t="s">
        <v>2372</v>
      </c>
    </row>
    <row r="1499" spans="1:8">
      <c r="A1499" s="26"/>
      <c r="B1499" s="114"/>
      <c r="C1499" s="154"/>
      <c r="D1499" s="192"/>
      <c r="E1499" s="114"/>
      <c r="F1499" s="114"/>
      <c r="G1499" s="114" t="s">
        <v>3485</v>
      </c>
      <c r="H1499" s="114" t="s">
        <v>3485</v>
      </c>
    </row>
    <row r="1500" spans="1:8">
      <c r="A1500" s="26"/>
      <c r="B1500" s="105">
        <v>1</v>
      </c>
      <c r="C1500" s="93" t="s">
        <v>6976</v>
      </c>
      <c r="E1500" s="210"/>
      <c r="F1500" s="190">
        <v>0</v>
      </c>
      <c r="G1500" s="190">
        <v>0</v>
      </c>
      <c r="H1500" s="190">
        <f>F1500*G1500</f>
        <v>0</v>
      </c>
    </row>
    <row r="1501" spans="1:8">
      <c r="A1501" s="26"/>
      <c r="B1501" s="275"/>
      <c r="C1501" s="139"/>
      <c r="D1501" s="174"/>
      <c r="E1501" s="191"/>
      <c r="F1501" s="182">
        <v>0</v>
      </c>
      <c r="G1501" s="182">
        <v>0</v>
      </c>
      <c r="H1501" s="182">
        <f>F1501*G1501</f>
        <v>0</v>
      </c>
    </row>
    <row r="1502" spans="1:8">
      <c r="A1502" s="26"/>
      <c r="B1502" s="176"/>
      <c r="C1502" s="174"/>
      <c r="D1502" s="174" t="s">
        <v>2380</v>
      </c>
      <c r="E1502" s="174"/>
      <c r="F1502" s="192"/>
      <c r="G1502" s="275" t="s">
        <v>1698</v>
      </c>
      <c r="H1502" s="318">
        <f>SUM(H1500:H1501)</f>
        <v>0</v>
      </c>
    </row>
    <row r="1503" spans="1:8">
      <c r="A1503" s="26"/>
    </row>
    <row r="1504" spans="1:8">
      <c r="A1504" s="26"/>
      <c r="B1504" s="79" t="s">
        <v>2381</v>
      </c>
    </row>
    <row r="1505" spans="1:8">
      <c r="A1505" s="26"/>
      <c r="B1505" s="95" t="s">
        <v>2369</v>
      </c>
      <c r="C1505" s="157" t="s">
        <v>2378</v>
      </c>
      <c r="D1505" s="195"/>
      <c r="E1505" s="95" t="s">
        <v>2370</v>
      </c>
      <c r="F1505" s="95" t="s">
        <v>1166</v>
      </c>
      <c r="G1505" s="95" t="s">
        <v>2371</v>
      </c>
      <c r="H1505" s="95" t="s">
        <v>2372</v>
      </c>
    </row>
    <row r="1506" spans="1:8">
      <c r="A1506" s="26"/>
      <c r="B1506" s="114"/>
      <c r="C1506" s="154"/>
      <c r="D1506" s="192"/>
      <c r="E1506" s="105"/>
      <c r="F1506" s="114"/>
      <c r="G1506" s="114" t="s">
        <v>3485</v>
      </c>
      <c r="H1506" s="114" t="s">
        <v>3485</v>
      </c>
    </row>
    <row r="1507" spans="1:8">
      <c r="A1507" s="26"/>
      <c r="B1507" s="95">
        <v>1</v>
      </c>
      <c r="C1507" s="148" t="s">
        <v>4206</v>
      </c>
      <c r="D1507" s="187"/>
      <c r="E1507" s="107" t="s">
        <v>1172</v>
      </c>
      <c r="F1507" s="178">
        <v>1</v>
      </c>
      <c r="G1507" s="179">
        <f>'BASIC DATA'!C473</f>
        <v>450</v>
      </c>
      <c r="H1507" s="179">
        <f>F1507*G1507</f>
        <v>450</v>
      </c>
    </row>
    <row r="1508" spans="1:8">
      <c r="A1508" s="26"/>
      <c r="B1508" s="105">
        <v>2</v>
      </c>
      <c r="C1508" s="76" t="s">
        <v>4203</v>
      </c>
      <c r="D1508" s="31"/>
      <c r="E1508" s="210" t="s">
        <v>1172</v>
      </c>
      <c r="F1508" s="207">
        <v>6</v>
      </c>
      <c r="G1508" s="190">
        <f>'BASIC DATA'!C541</f>
        <v>400</v>
      </c>
      <c r="H1508" s="190">
        <f>F1508*G1508</f>
        <v>2400</v>
      </c>
    </row>
    <row r="1509" spans="1:8">
      <c r="A1509" s="26"/>
      <c r="B1509" s="114">
        <v>3</v>
      </c>
      <c r="C1509" s="89" t="s">
        <v>2697</v>
      </c>
      <c r="D1509" s="174"/>
      <c r="E1509" s="191" t="s">
        <v>1172</v>
      </c>
      <c r="F1509" s="181">
        <v>48</v>
      </c>
      <c r="G1509" s="182">
        <f>'BASIC DATA'!C552</f>
        <v>350</v>
      </c>
      <c r="H1509" s="190">
        <f>F1509*G1509</f>
        <v>16800</v>
      </c>
    </row>
    <row r="1510" spans="1:8">
      <c r="A1510" s="26"/>
      <c r="B1510" s="176"/>
      <c r="C1510" s="174"/>
      <c r="D1510" s="174" t="s">
        <v>1174</v>
      </c>
      <c r="E1510" s="174"/>
      <c r="F1510" s="192"/>
      <c r="G1510" s="275" t="s">
        <v>1698</v>
      </c>
      <c r="H1510" s="318">
        <f>SUM(H1507:H1509)</f>
        <v>19650</v>
      </c>
    </row>
    <row r="1511" spans="1:8">
      <c r="A1511" s="26"/>
      <c r="B1511" s="60" t="s">
        <v>5948</v>
      </c>
      <c r="C1511" s="31"/>
      <c r="D1511" s="31"/>
      <c r="E1511" s="85">
        <f>ROUND(H1510/G1489,1)</f>
        <v>187.1</v>
      </c>
      <c r="G1511" s="31"/>
    </row>
    <row r="1512" spans="1:8">
      <c r="A1512" s="26"/>
      <c r="B1512" s="60" t="s">
        <v>3163</v>
      </c>
      <c r="C1512" s="31"/>
      <c r="D1512" s="31">
        <f>'BASIC DATA'!$C$577</f>
        <v>0.13614999999999999</v>
      </c>
      <c r="E1512" s="85">
        <f>ROUND(E1511*D1512,1)</f>
        <v>25.5</v>
      </c>
      <c r="G1512" s="31"/>
    </row>
    <row r="1513" spans="1:8">
      <c r="A1513" s="26"/>
      <c r="B1513" s="60" t="s">
        <v>5949</v>
      </c>
      <c r="C1513" s="31"/>
      <c r="D1513" s="31"/>
      <c r="E1513" s="739">
        <f>E1512+E1511</f>
        <v>212.6</v>
      </c>
      <c r="G1513" s="31"/>
    </row>
    <row r="1514" spans="1:8">
      <c r="A1514" s="26"/>
      <c r="B1514" s="26"/>
    </row>
    <row r="1515" spans="1:8">
      <c r="A1515" s="26"/>
      <c r="B1515" s="170" t="s">
        <v>1175</v>
      </c>
    </row>
    <row r="1516" spans="1:8">
      <c r="A1516" s="26"/>
      <c r="B1516" s="26" t="s">
        <v>5010</v>
      </c>
      <c r="F1516" s="171" t="s">
        <v>1698</v>
      </c>
      <c r="G1516" s="68">
        <f>H1495</f>
        <v>0</v>
      </c>
    </row>
    <row r="1517" spans="1:8">
      <c r="A1517" s="26"/>
      <c r="B1517" s="26" t="s">
        <v>1186</v>
      </c>
      <c r="F1517" s="171" t="s">
        <v>1698</v>
      </c>
      <c r="G1517" s="68">
        <f>H1502</f>
        <v>0</v>
      </c>
    </row>
    <row r="1518" spans="1:8">
      <c r="A1518" s="26"/>
      <c r="B1518" s="26" t="s">
        <v>2660</v>
      </c>
      <c r="F1518" s="171" t="s">
        <v>1698</v>
      </c>
      <c r="G1518" s="75">
        <f>H1510</f>
        <v>19650</v>
      </c>
    </row>
    <row r="1519" spans="1:8">
      <c r="A1519" s="26"/>
      <c r="E1519" s="26" t="s">
        <v>1518</v>
      </c>
      <c r="F1519" s="171" t="s">
        <v>1698</v>
      </c>
      <c r="G1519" s="205">
        <f>SUM(G1516:G1518)</f>
        <v>19650</v>
      </c>
    </row>
    <row r="1520" spans="1:8" ht="39" customHeight="1">
      <c r="A1520" s="26"/>
      <c r="B1520" s="1207" t="s">
        <v>1379</v>
      </c>
      <c r="C1520" s="1207"/>
      <c r="E1520" s="249">
        <f>'BASIC DATA'!$C$577</f>
        <v>0.13614999999999999</v>
      </c>
      <c r="F1520" s="26" t="s">
        <v>1698</v>
      </c>
      <c r="G1520" s="26">
        <f>G1519*E1520</f>
        <v>2675.3474999999999</v>
      </c>
    </row>
    <row r="1521" spans="1:8">
      <c r="A1521" s="26"/>
      <c r="B1521" s="26" t="s">
        <v>1191</v>
      </c>
      <c r="D1521" s="68">
        <f>G1489</f>
        <v>105</v>
      </c>
      <c r="E1521" s="68" t="str">
        <f>H1489</f>
        <v>cum</v>
      </c>
      <c r="F1521" s="26" t="s">
        <v>1698</v>
      </c>
      <c r="G1521" s="211">
        <f>G1520+G1519</f>
        <v>22325.3475</v>
      </c>
    </row>
    <row r="1522" spans="1:8">
      <c r="A1522" s="26"/>
      <c r="B1522" s="170" t="s">
        <v>1584</v>
      </c>
      <c r="C1522" s="211" t="str">
        <f>E1521</f>
        <v>cum</v>
      </c>
      <c r="D1522" s="26" t="s">
        <v>4726</v>
      </c>
      <c r="F1522" s="26" t="s">
        <v>4108</v>
      </c>
      <c r="G1522" s="211">
        <f>ROUND(G1521/D1521,1)</f>
        <v>212.6</v>
      </c>
    </row>
    <row r="1523" spans="1:8">
      <c r="A1523" s="26"/>
    </row>
    <row r="1524" spans="1:8">
      <c r="A1524" s="26"/>
    </row>
    <row r="1525" spans="1:8">
      <c r="A1525" s="78" t="s">
        <v>5499</v>
      </c>
      <c r="B1525" s="170" t="s">
        <v>9174</v>
      </c>
    </row>
    <row r="1526" spans="1:8">
      <c r="B1526" s="26" t="s">
        <v>9175</v>
      </c>
    </row>
    <row r="1527" spans="1:8">
      <c r="B1527" s="26" t="s">
        <v>9176</v>
      </c>
    </row>
    <row r="1528" spans="1:8">
      <c r="B1528" s="26" t="s">
        <v>9177</v>
      </c>
    </row>
    <row r="1529" spans="1:8">
      <c r="B1529" s="26" t="s">
        <v>9178</v>
      </c>
    </row>
    <row r="1530" spans="1:8">
      <c r="B1530" s="26" t="s">
        <v>9179</v>
      </c>
    </row>
    <row r="1531" spans="1:8">
      <c r="B1531" s="170" t="s">
        <v>992</v>
      </c>
    </row>
    <row r="1532" spans="1:8">
      <c r="B1532" s="26"/>
    </row>
    <row r="1533" spans="1:8" hidden="1">
      <c r="A1533" s="78" t="s">
        <v>3984</v>
      </c>
      <c r="B1533" s="26" t="s">
        <v>2802</v>
      </c>
      <c r="F1533" s="78" t="s">
        <v>1697</v>
      </c>
      <c r="G1533" s="26">
        <v>1.05</v>
      </c>
      <c r="H1533" s="26" t="s">
        <v>2602</v>
      </c>
    </row>
    <row r="1534" spans="1:8" hidden="1">
      <c r="B1534" s="26" t="s">
        <v>5595</v>
      </c>
      <c r="F1534" s="78" t="s">
        <v>1697</v>
      </c>
      <c r="G1534" s="26">
        <v>15</v>
      </c>
      <c r="H1534" s="26" t="s">
        <v>3135</v>
      </c>
    </row>
    <row r="1535" spans="1:8" hidden="1">
      <c r="B1535" s="26" t="s">
        <v>4244</v>
      </c>
      <c r="F1535" s="78" t="s">
        <v>1697</v>
      </c>
      <c r="G1535" s="26">
        <v>15</v>
      </c>
      <c r="H1535" s="26" t="s">
        <v>3135</v>
      </c>
    </row>
    <row r="1536" spans="1:8" hidden="1">
      <c r="B1536" s="26" t="s">
        <v>4245</v>
      </c>
      <c r="F1536" s="78" t="s">
        <v>1697</v>
      </c>
      <c r="G1536" s="26">
        <v>15</v>
      </c>
      <c r="H1536" s="26" t="s">
        <v>3135</v>
      </c>
    </row>
    <row r="1537" spans="2:8" hidden="1">
      <c r="B1537" s="26" t="s">
        <v>3809</v>
      </c>
      <c r="F1537" s="78" t="s">
        <v>1697</v>
      </c>
      <c r="G1537" s="26">
        <v>60</v>
      </c>
      <c r="H1537" s="26" t="s">
        <v>3135</v>
      </c>
    </row>
    <row r="1538" spans="2:8" hidden="1">
      <c r="B1538" s="26" t="s">
        <v>3810</v>
      </c>
      <c r="F1538" s="78"/>
    </row>
    <row r="1539" spans="2:8" hidden="1">
      <c r="B1539" s="26" t="s">
        <v>4574</v>
      </c>
      <c r="F1539" s="78"/>
    </row>
    <row r="1540" spans="2:8" hidden="1">
      <c r="B1540" s="26" t="s">
        <v>3811</v>
      </c>
      <c r="E1540" s="26" t="s">
        <v>3812</v>
      </c>
      <c r="F1540" s="78" t="s">
        <v>1697</v>
      </c>
      <c r="G1540" s="68">
        <v>57.6</v>
      </c>
      <c r="H1540" s="26" t="s">
        <v>3477</v>
      </c>
    </row>
    <row r="1541" spans="2:8" hidden="1">
      <c r="B1541" s="26" t="s">
        <v>2732</v>
      </c>
      <c r="E1541" s="26" t="s">
        <v>3812</v>
      </c>
      <c r="F1541" s="78" t="s">
        <v>1697</v>
      </c>
      <c r="G1541" s="26">
        <v>44</v>
      </c>
      <c r="H1541" s="26" t="s">
        <v>2059</v>
      </c>
    </row>
    <row r="1542" spans="2:8" hidden="1">
      <c r="B1542" s="26" t="s">
        <v>2733</v>
      </c>
      <c r="E1542" s="26" t="s">
        <v>3812</v>
      </c>
      <c r="F1542" s="78" t="s">
        <v>1697</v>
      </c>
      <c r="G1542" s="68">
        <v>9</v>
      </c>
      <c r="H1542" s="26" t="s">
        <v>3477</v>
      </c>
    </row>
    <row r="1543" spans="2:8" hidden="1">
      <c r="B1543" s="26" t="s">
        <v>4795</v>
      </c>
      <c r="E1543" s="26" t="s">
        <v>3812</v>
      </c>
      <c r="F1543" s="78" t="s">
        <v>1697</v>
      </c>
      <c r="G1543" s="68">
        <v>15.3</v>
      </c>
      <c r="H1543" s="26" t="s">
        <v>3477</v>
      </c>
    </row>
    <row r="1544" spans="2:8" hidden="1">
      <c r="B1544" s="26" t="s">
        <v>4796</v>
      </c>
      <c r="E1544" s="26" t="s">
        <v>3812</v>
      </c>
      <c r="F1544" s="78" t="s">
        <v>1697</v>
      </c>
      <c r="G1544" s="68">
        <v>15.3</v>
      </c>
      <c r="H1544" s="26" t="s">
        <v>3477</v>
      </c>
    </row>
    <row r="1545" spans="2:8" hidden="1">
      <c r="B1545" s="26" t="s">
        <v>4797</v>
      </c>
      <c r="E1545" s="26" t="s">
        <v>2734</v>
      </c>
      <c r="F1545" s="78" t="s">
        <v>1697</v>
      </c>
      <c r="G1545" s="68">
        <v>15.3</v>
      </c>
      <c r="H1545" s="26" t="s">
        <v>3477</v>
      </c>
    </row>
    <row r="1546" spans="2:8" hidden="1">
      <c r="B1546" s="26" t="s">
        <v>5815</v>
      </c>
      <c r="F1546" s="78"/>
    </row>
    <row r="1547" spans="2:8" hidden="1">
      <c r="B1547" s="26" t="s">
        <v>3824</v>
      </c>
      <c r="F1547" s="78"/>
    </row>
    <row r="1548" spans="2:8" hidden="1">
      <c r="B1548" s="26" t="s">
        <v>3626</v>
      </c>
      <c r="F1548" s="78"/>
    </row>
    <row r="1549" spans="2:8" hidden="1">
      <c r="B1549" s="26" t="s">
        <v>2697</v>
      </c>
      <c r="F1549" s="78" t="s">
        <v>1697</v>
      </c>
      <c r="G1549" s="26">
        <v>6</v>
      </c>
      <c r="H1549" s="26" t="s">
        <v>4041</v>
      </c>
    </row>
    <row r="1550" spans="2:8" hidden="1">
      <c r="B1550" s="26" t="s">
        <v>4814</v>
      </c>
      <c r="F1550" s="78"/>
    </row>
    <row r="1551" spans="2:8" hidden="1">
      <c r="B1551" s="26" t="s">
        <v>2697</v>
      </c>
      <c r="F1551" s="78" t="s">
        <v>1697</v>
      </c>
      <c r="G1551" s="26">
        <v>6</v>
      </c>
      <c r="H1551" s="26" t="s">
        <v>4041</v>
      </c>
    </row>
    <row r="1552" spans="2:8" hidden="1">
      <c r="B1552" s="26" t="s">
        <v>5576</v>
      </c>
      <c r="F1552" s="78"/>
    </row>
    <row r="1553" spans="1:8" hidden="1">
      <c r="B1553" s="26" t="s">
        <v>2697</v>
      </c>
      <c r="F1553" s="78" t="s">
        <v>1697</v>
      </c>
      <c r="G1553" s="26">
        <v>6</v>
      </c>
      <c r="H1553" s="26" t="s">
        <v>4041</v>
      </c>
    </row>
    <row r="1554" spans="1:8" hidden="1">
      <c r="B1554" s="26" t="s">
        <v>3825</v>
      </c>
      <c r="F1554" s="78"/>
    </row>
    <row r="1555" spans="1:8" hidden="1">
      <c r="B1555" s="26" t="s">
        <v>4798</v>
      </c>
      <c r="F1555" s="78" t="s">
        <v>1697</v>
      </c>
      <c r="G1555" s="26">
        <v>10</v>
      </c>
      <c r="H1555" s="26" t="s">
        <v>4041</v>
      </c>
    </row>
    <row r="1556" spans="1:8" hidden="1">
      <c r="B1556" s="26" t="s">
        <v>2697</v>
      </c>
      <c r="F1556" s="78" t="s">
        <v>1697</v>
      </c>
      <c r="G1556" s="26">
        <v>15</v>
      </c>
      <c r="H1556" s="26" t="s">
        <v>4041</v>
      </c>
    </row>
    <row r="1557" spans="1:8" hidden="1">
      <c r="B1557" s="26" t="s">
        <v>4206</v>
      </c>
      <c r="F1557" s="78" t="s">
        <v>1697</v>
      </c>
      <c r="G1557" s="26">
        <v>1</v>
      </c>
      <c r="H1557" s="26" t="s">
        <v>3518</v>
      </c>
    </row>
    <row r="1558" spans="1:8">
      <c r="A1558" s="26"/>
    </row>
    <row r="1559" spans="1:8">
      <c r="A1559" s="26" t="s">
        <v>9215</v>
      </c>
      <c r="C1559" s="203" t="s">
        <v>2367</v>
      </c>
      <c r="D1559" s="171"/>
      <c r="F1559" s="171" t="s">
        <v>297</v>
      </c>
      <c r="G1559" s="162">
        <v>100</v>
      </c>
      <c r="H1559" s="26" t="s">
        <v>3479</v>
      </c>
    </row>
    <row r="1560" spans="1:8">
      <c r="A1560" s="26"/>
      <c r="B1560" s="79" t="s">
        <v>2368</v>
      </c>
    </row>
    <row r="1561" spans="1:8">
      <c r="A1561" s="26"/>
      <c r="B1561" s="95" t="s">
        <v>2369</v>
      </c>
      <c r="C1561" s="157" t="s">
        <v>6374</v>
      </c>
      <c r="D1561" s="195"/>
      <c r="E1561" s="95" t="s">
        <v>2370</v>
      </c>
      <c r="F1561" s="95" t="s">
        <v>1166</v>
      </c>
      <c r="G1561" s="95" t="s">
        <v>2371</v>
      </c>
      <c r="H1561" s="95" t="s">
        <v>2372</v>
      </c>
    </row>
    <row r="1562" spans="1:8">
      <c r="A1562" s="26"/>
      <c r="B1562" s="105"/>
      <c r="C1562" s="154"/>
      <c r="D1562" s="192"/>
      <c r="E1562" s="114"/>
      <c r="F1562" s="114"/>
      <c r="G1562" s="114" t="s">
        <v>3485</v>
      </c>
      <c r="H1562" s="114" t="s">
        <v>3485</v>
      </c>
    </row>
    <row r="1563" spans="1:8" s="61" customFormat="1">
      <c r="B1563" s="295">
        <v>1</v>
      </c>
      <c r="C1563" s="345" t="s">
        <v>7945</v>
      </c>
      <c r="D1563" s="545"/>
      <c r="E1563" s="295" t="s">
        <v>3477</v>
      </c>
      <c r="F1563" s="255">
        <v>15.3</v>
      </c>
      <c r="G1563" s="266">
        <f>'BASIC DATA'!D55</f>
        <v>95</v>
      </c>
      <c r="H1563" s="281">
        <f t="shared" ref="H1563:H1568" si="2">F1563*G1563</f>
        <v>1453.5</v>
      </c>
    </row>
    <row r="1564" spans="1:8">
      <c r="A1564" s="26"/>
      <c r="B1564" s="105">
        <v>2</v>
      </c>
      <c r="C1564" s="76" t="s">
        <v>3597</v>
      </c>
      <c r="D1564" s="189"/>
      <c r="E1564" s="105" t="s">
        <v>3477</v>
      </c>
      <c r="F1564" s="190">
        <v>15.3</v>
      </c>
      <c r="G1564" s="190">
        <v>0</v>
      </c>
      <c r="H1564" s="190">
        <f t="shared" si="2"/>
        <v>0</v>
      </c>
    </row>
    <row r="1565" spans="1:8">
      <c r="A1565" s="26"/>
      <c r="B1565" s="105">
        <v>3</v>
      </c>
      <c r="C1565" s="76" t="s">
        <v>4741</v>
      </c>
      <c r="D1565" s="189"/>
      <c r="E1565" s="105" t="s">
        <v>3477</v>
      </c>
      <c r="F1565" s="190">
        <v>15.3</v>
      </c>
      <c r="G1565" s="190">
        <v>0</v>
      </c>
      <c r="H1565" s="190">
        <f t="shared" si="2"/>
        <v>0</v>
      </c>
    </row>
    <row r="1566" spans="1:8">
      <c r="A1566" s="26"/>
      <c r="B1566" s="105">
        <v>4</v>
      </c>
      <c r="C1566" s="76" t="s">
        <v>3604</v>
      </c>
      <c r="D1566" s="189"/>
      <c r="E1566" s="105" t="s">
        <v>3477</v>
      </c>
      <c r="F1566" s="190">
        <v>9</v>
      </c>
      <c r="G1566" s="190">
        <v>0</v>
      </c>
      <c r="H1566" s="190">
        <f t="shared" si="2"/>
        <v>0</v>
      </c>
    </row>
    <row r="1567" spans="1:8">
      <c r="A1567" s="26"/>
      <c r="B1567" s="105">
        <v>5</v>
      </c>
      <c r="C1567" s="76" t="s">
        <v>3605</v>
      </c>
      <c r="D1567" s="189"/>
      <c r="E1567" s="105" t="s">
        <v>3477</v>
      </c>
      <c r="F1567" s="190">
        <v>57.6</v>
      </c>
      <c r="G1567" s="190">
        <v>0</v>
      </c>
      <c r="H1567" s="190">
        <f t="shared" si="2"/>
        <v>0</v>
      </c>
    </row>
    <row r="1568" spans="1:8">
      <c r="A1568" s="26"/>
      <c r="B1568" s="114">
        <v>6</v>
      </c>
      <c r="C1568" s="89" t="s">
        <v>2516</v>
      </c>
      <c r="D1568" s="192"/>
      <c r="E1568" s="114" t="s">
        <v>2059</v>
      </c>
      <c r="F1568" s="182">
        <v>44</v>
      </c>
      <c r="G1568" s="182">
        <v>0</v>
      </c>
      <c r="H1568" s="182">
        <f t="shared" si="2"/>
        <v>0</v>
      </c>
    </row>
    <row r="1569" spans="1:8">
      <c r="A1569" s="26"/>
      <c r="B1569" s="93"/>
      <c r="C1569" s="31" t="s">
        <v>4644</v>
      </c>
      <c r="D1569" s="31"/>
      <c r="E1569" s="31"/>
      <c r="F1569" s="198"/>
      <c r="G1569" s="327" t="s">
        <v>1698</v>
      </c>
      <c r="H1569" s="190">
        <v>0</v>
      </c>
    </row>
    <row r="1570" spans="1:8">
      <c r="A1570" s="26"/>
      <c r="B1570" s="92"/>
      <c r="C1570" s="159"/>
      <c r="D1570" s="159" t="s">
        <v>2376</v>
      </c>
      <c r="E1570" s="159"/>
      <c r="F1570" s="238"/>
      <c r="G1570" s="236" t="s">
        <v>1698</v>
      </c>
      <c r="H1570" s="318">
        <f>SUM(H1563:H1569)</f>
        <v>1453.5</v>
      </c>
    </row>
    <row r="1571" spans="1:8">
      <c r="A1571" s="26"/>
    </row>
    <row r="1572" spans="1:8">
      <c r="A1572" s="26"/>
      <c r="B1572" s="79" t="s">
        <v>2377</v>
      </c>
    </row>
    <row r="1573" spans="1:8">
      <c r="A1573" s="26"/>
      <c r="B1573" s="95" t="s">
        <v>2369</v>
      </c>
      <c r="C1573" s="157" t="s">
        <v>2378</v>
      </c>
      <c r="D1573" s="195"/>
      <c r="E1573" s="95" t="s">
        <v>2370</v>
      </c>
      <c r="F1573" s="95" t="s">
        <v>1166</v>
      </c>
      <c r="G1573" s="95" t="s">
        <v>2371</v>
      </c>
      <c r="H1573" s="95" t="s">
        <v>2372</v>
      </c>
    </row>
    <row r="1574" spans="1:8">
      <c r="A1574" s="26"/>
      <c r="B1574" s="114"/>
      <c r="C1574" s="154"/>
      <c r="D1574" s="192"/>
      <c r="E1574" s="114"/>
      <c r="F1574" s="114"/>
      <c r="G1574" s="114" t="s">
        <v>3485</v>
      </c>
      <c r="H1574" s="114" t="s">
        <v>3485</v>
      </c>
    </row>
    <row r="1575" spans="1:8">
      <c r="A1575" s="26"/>
      <c r="B1575" s="105">
        <v>1</v>
      </c>
      <c r="C1575" s="93" t="s">
        <v>6976</v>
      </c>
      <c r="E1575" s="210"/>
      <c r="F1575" s="190">
        <v>0</v>
      </c>
      <c r="G1575" s="190">
        <v>0</v>
      </c>
      <c r="H1575" s="190">
        <f>F1575*G1575</f>
        <v>0</v>
      </c>
    </row>
    <row r="1576" spans="1:8">
      <c r="A1576" s="26"/>
      <c r="B1576" s="275"/>
      <c r="C1576" s="139"/>
      <c r="D1576" s="174"/>
      <c r="E1576" s="191"/>
      <c r="F1576" s="182">
        <v>0</v>
      </c>
      <c r="G1576" s="182">
        <v>0</v>
      </c>
      <c r="H1576" s="190">
        <f>F1576*G1576</f>
        <v>0</v>
      </c>
    </row>
    <row r="1577" spans="1:8">
      <c r="A1577" s="26"/>
      <c r="B1577" s="176"/>
      <c r="C1577" s="174"/>
      <c r="D1577" s="174" t="s">
        <v>2380</v>
      </c>
      <c r="E1577" s="174"/>
      <c r="F1577" s="192"/>
      <c r="G1577" s="275" t="s">
        <v>1698</v>
      </c>
      <c r="H1577" s="318">
        <f>SUM(H1575:H1576)</f>
        <v>0</v>
      </c>
    </row>
    <row r="1578" spans="1:8">
      <c r="A1578" s="26"/>
    </row>
    <row r="1579" spans="1:8">
      <c r="A1579" s="26"/>
      <c r="B1579" s="79" t="s">
        <v>2381</v>
      </c>
    </row>
    <row r="1580" spans="1:8">
      <c r="A1580" s="26"/>
      <c r="B1580" s="95" t="s">
        <v>2369</v>
      </c>
      <c r="C1580" s="157" t="s">
        <v>2378</v>
      </c>
      <c r="D1580" s="195"/>
      <c r="E1580" s="95" t="s">
        <v>2370</v>
      </c>
      <c r="F1580" s="95" t="s">
        <v>1166</v>
      </c>
      <c r="G1580" s="95" t="s">
        <v>2371</v>
      </c>
      <c r="H1580" s="95" t="s">
        <v>2372</v>
      </c>
    </row>
    <row r="1581" spans="1:8">
      <c r="A1581" s="26"/>
      <c r="B1581" s="114"/>
      <c r="C1581" s="154"/>
      <c r="D1581" s="192"/>
      <c r="E1581" s="105"/>
      <c r="F1581" s="114"/>
      <c r="G1581" s="114" t="s">
        <v>3485</v>
      </c>
      <c r="H1581" s="114" t="s">
        <v>3485</v>
      </c>
    </row>
    <row r="1582" spans="1:8">
      <c r="A1582" s="26"/>
      <c r="B1582" s="95">
        <v>1</v>
      </c>
      <c r="C1582" s="148" t="s">
        <v>4206</v>
      </c>
      <c r="D1582" s="187"/>
      <c r="E1582" s="107" t="s">
        <v>1172</v>
      </c>
      <c r="F1582" s="178">
        <v>1</v>
      </c>
      <c r="G1582" s="179">
        <f>'BASIC DATA'!C473</f>
        <v>450</v>
      </c>
      <c r="H1582" s="179">
        <f>F1582*G1582</f>
        <v>450</v>
      </c>
    </row>
    <row r="1583" spans="1:8">
      <c r="A1583" s="26"/>
      <c r="B1583" s="105">
        <v>2</v>
      </c>
      <c r="C1583" s="76" t="s">
        <v>4203</v>
      </c>
      <c r="D1583" s="31"/>
      <c r="E1583" s="210" t="s">
        <v>1172</v>
      </c>
      <c r="F1583" s="207">
        <v>5</v>
      </c>
      <c r="G1583" s="190">
        <f>'BASIC DATA'!C541</f>
        <v>400</v>
      </c>
      <c r="H1583" s="190">
        <f>F1583*G1583</f>
        <v>2000</v>
      </c>
    </row>
    <row r="1584" spans="1:8">
      <c r="A1584" s="26"/>
      <c r="B1584" s="114">
        <v>3</v>
      </c>
      <c r="C1584" s="89" t="s">
        <v>2697</v>
      </c>
      <c r="D1584" s="174"/>
      <c r="E1584" s="191" t="s">
        <v>1172</v>
      </c>
      <c r="F1584" s="181">
        <v>33</v>
      </c>
      <c r="G1584" s="182">
        <f>'BASIC DATA'!C552</f>
        <v>350</v>
      </c>
      <c r="H1584" s="190">
        <f>F1584*G1584</f>
        <v>11550</v>
      </c>
    </row>
    <row r="1585" spans="1:8">
      <c r="A1585" s="26"/>
      <c r="B1585" s="176"/>
      <c r="C1585" s="174"/>
      <c r="D1585" s="174" t="s">
        <v>1174</v>
      </c>
      <c r="E1585" s="174"/>
      <c r="F1585" s="192"/>
      <c r="G1585" s="275" t="s">
        <v>1698</v>
      </c>
      <c r="H1585" s="318">
        <f>SUM(H1582:H1584)</f>
        <v>14000</v>
      </c>
    </row>
    <row r="1586" spans="1:8">
      <c r="A1586" s="26"/>
      <c r="B1586" s="60" t="s">
        <v>5948</v>
      </c>
      <c r="C1586" s="31"/>
      <c r="D1586" s="31"/>
      <c r="E1586" s="85">
        <f>ROUND(H1585/G1559,1)</f>
        <v>140</v>
      </c>
      <c r="G1586" s="31"/>
    </row>
    <row r="1587" spans="1:8">
      <c r="A1587" s="26"/>
      <c r="B1587" s="60" t="s">
        <v>3163</v>
      </c>
      <c r="C1587" s="31"/>
      <c r="D1587" s="31">
        <f>'BASIC DATA'!$C$577</f>
        <v>0.13614999999999999</v>
      </c>
      <c r="E1587" s="85">
        <f>ROUND(E1586*D1587,1)</f>
        <v>19.100000000000001</v>
      </c>
      <c r="G1587" s="31"/>
    </row>
    <row r="1588" spans="1:8">
      <c r="A1588" s="26"/>
      <c r="B1588" s="60" t="s">
        <v>5949</v>
      </c>
      <c r="C1588" s="31"/>
      <c r="D1588" s="31"/>
      <c r="E1588" s="739">
        <f>E1587+E1586</f>
        <v>159.1</v>
      </c>
      <c r="G1588" s="31"/>
    </row>
    <row r="1589" spans="1:8">
      <c r="A1589" s="26"/>
      <c r="B1589" s="26"/>
    </row>
    <row r="1590" spans="1:8">
      <c r="A1590" s="26"/>
      <c r="B1590" s="170" t="s">
        <v>1175</v>
      </c>
    </row>
    <row r="1591" spans="1:8">
      <c r="A1591" s="26"/>
      <c r="B1591" s="26" t="s">
        <v>5010</v>
      </c>
      <c r="F1591" s="171" t="s">
        <v>1698</v>
      </c>
      <c r="G1591" s="68">
        <f>H1570</f>
        <v>1453.5</v>
      </c>
    </row>
    <row r="1592" spans="1:8">
      <c r="A1592" s="26"/>
      <c r="B1592" s="26" t="s">
        <v>1186</v>
      </c>
      <c r="F1592" s="171" t="s">
        <v>1698</v>
      </c>
      <c r="G1592" s="68">
        <f>H1577</f>
        <v>0</v>
      </c>
    </row>
    <row r="1593" spans="1:8">
      <c r="A1593" s="26"/>
      <c r="B1593" s="26" t="s">
        <v>2660</v>
      </c>
      <c r="F1593" s="171" t="s">
        <v>1698</v>
      </c>
      <c r="G1593" s="75">
        <f>H1585</f>
        <v>14000</v>
      </c>
    </row>
    <row r="1594" spans="1:8">
      <c r="A1594" s="26"/>
      <c r="E1594" s="26" t="s">
        <v>1518</v>
      </c>
      <c r="F1594" s="171" t="s">
        <v>1698</v>
      </c>
      <c r="G1594" s="205">
        <f>SUM(G1591:G1593)</f>
        <v>15453.5</v>
      </c>
    </row>
    <row r="1595" spans="1:8" ht="41.25" customHeight="1">
      <c r="A1595" s="26"/>
      <c r="B1595" s="1207" t="s">
        <v>1379</v>
      </c>
      <c r="C1595" s="1207"/>
      <c r="E1595" s="249">
        <f>'BASIC DATA'!$C$577</f>
        <v>0.13614999999999999</v>
      </c>
      <c r="F1595" s="26" t="s">
        <v>1698</v>
      </c>
      <c r="G1595" s="26">
        <f>G1594*E1595</f>
        <v>2103.994025</v>
      </c>
    </row>
    <row r="1596" spans="1:8">
      <c r="A1596" s="26"/>
      <c r="B1596" s="26" t="s">
        <v>1191</v>
      </c>
      <c r="D1596" s="68">
        <f>G1559</f>
        <v>100</v>
      </c>
      <c r="E1596" s="68" t="str">
        <f>H1559</f>
        <v>sqm</v>
      </c>
      <c r="F1596" s="26" t="s">
        <v>1698</v>
      </c>
      <c r="G1596" s="211">
        <f>G1595+G1594</f>
        <v>17557.494025</v>
      </c>
    </row>
    <row r="1597" spans="1:8">
      <c r="A1597" s="26"/>
      <c r="B1597" s="170" t="s">
        <v>1584</v>
      </c>
      <c r="C1597" s="211" t="str">
        <f>E1596</f>
        <v>sqm</v>
      </c>
      <c r="D1597" s="26" t="s">
        <v>5882</v>
      </c>
      <c r="F1597" s="26" t="s">
        <v>4108</v>
      </c>
      <c r="G1597" s="211">
        <f>ROUND(G1596/D1596,1)</f>
        <v>175.6</v>
      </c>
    </row>
    <row r="1598" spans="1:8">
      <c r="A1598" s="26"/>
    </row>
    <row r="1599" spans="1:8">
      <c r="A1599" s="26"/>
    </row>
    <row r="1600" spans="1:8">
      <c r="A1600" s="78" t="s">
        <v>5500</v>
      </c>
      <c r="B1600" s="26" t="s">
        <v>9180</v>
      </c>
    </row>
    <row r="1601" spans="1:7" ht="18.75">
      <c r="B1601" s="26" t="s">
        <v>9181</v>
      </c>
    </row>
    <row r="1602" spans="1:7">
      <c r="B1602" s="26" t="s">
        <v>9182</v>
      </c>
    </row>
    <row r="1603" spans="1:7">
      <c r="B1603" s="26" t="s">
        <v>2517</v>
      </c>
    </row>
    <row r="1604" spans="1:7">
      <c r="B1604" s="26" t="s">
        <v>3910</v>
      </c>
    </row>
    <row r="1605" spans="1:7">
      <c r="B1605" s="170" t="s">
        <v>2735</v>
      </c>
    </row>
    <row r="1606" spans="1:7">
      <c r="B1606" s="26"/>
    </row>
    <row r="1607" spans="1:7" hidden="1">
      <c r="A1607" s="78" t="s">
        <v>3984</v>
      </c>
      <c r="B1607" s="26" t="s">
        <v>1823</v>
      </c>
      <c r="F1607" s="78"/>
    </row>
    <row r="1608" spans="1:7" hidden="1">
      <c r="B1608" s="26" t="s">
        <v>1824</v>
      </c>
    </row>
    <row r="1609" spans="1:7" hidden="1">
      <c r="B1609" s="26" t="s">
        <v>6003</v>
      </c>
      <c r="E1609" s="78" t="s">
        <v>1697</v>
      </c>
      <c r="F1609" s="68">
        <v>1.5</v>
      </c>
      <c r="G1609" s="26" t="s">
        <v>2602</v>
      </c>
    </row>
    <row r="1610" spans="1:7" hidden="1">
      <c r="B1610" s="26" t="s">
        <v>5567</v>
      </c>
      <c r="E1610" s="78" t="s">
        <v>1697</v>
      </c>
      <c r="F1610" s="26" t="s">
        <v>2895</v>
      </c>
    </row>
    <row r="1611" spans="1:7" hidden="1">
      <c r="B1611" s="26" t="s">
        <v>3363</v>
      </c>
      <c r="E1611" s="78" t="s">
        <v>1697</v>
      </c>
      <c r="F1611" s="26" t="s">
        <v>2896</v>
      </c>
    </row>
    <row r="1612" spans="1:7" hidden="1">
      <c r="B1612" s="26" t="s">
        <v>3365</v>
      </c>
      <c r="E1612" s="78" t="s">
        <v>1697</v>
      </c>
      <c r="F1612" s="68">
        <v>3</v>
      </c>
      <c r="G1612" s="26" t="s">
        <v>2602</v>
      </c>
    </row>
    <row r="1613" spans="1:7" hidden="1">
      <c r="B1613" s="26" t="s">
        <v>2897</v>
      </c>
      <c r="E1613" s="78" t="s">
        <v>1697</v>
      </c>
      <c r="F1613" s="68">
        <v>18</v>
      </c>
      <c r="G1613" s="26" t="s">
        <v>3479</v>
      </c>
    </row>
    <row r="1614" spans="1:7" hidden="1">
      <c r="B1614" s="26" t="s">
        <v>2898</v>
      </c>
    </row>
    <row r="1615" spans="1:7" hidden="1">
      <c r="B1615" s="26" t="s">
        <v>2899</v>
      </c>
      <c r="F1615" s="26">
        <v>20</v>
      </c>
      <c r="G1615" s="26" t="s">
        <v>3135</v>
      </c>
    </row>
    <row r="1616" spans="1:7" hidden="1">
      <c r="B1616" s="26" t="s">
        <v>3874</v>
      </c>
      <c r="F1616" s="26">
        <v>25</v>
      </c>
      <c r="G1616" s="26" t="s">
        <v>3135</v>
      </c>
    </row>
    <row r="1617" spans="1:7" hidden="1">
      <c r="B1617" s="26" t="s">
        <v>3875</v>
      </c>
      <c r="F1617" s="26">
        <v>40</v>
      </c>
      <c r="G1617" s="26" t="s">
        <v>3135</v>
      </c>
    </row>
    <row r="1618" spans="1:7" hidden="1">
      <c r="A1618" s="78">
        <v>1</v>
      </c>
      <c r="B1618" s="26" t="s">
        <v>5780</v>
      </c>
    </row>
    <row r="1619" spans="1:7" hidden="1">
      <c r="B1619" s="26" t="s">
        <v>3876</v>
      </c>
      <c r="E1619" s="78" t="s">
        <v>1697</v>
      </c>
      <c r="F1619" s="68">
        <v>58.2</v>
      </c>
      <c r="G1619" s="26" t="s">
        <v>3477</v>
      </c>
    </row>
    <row r="1620" spans="1:7" hidden="1">
      <c r="B1620" s="26" t="s">
        <v>3877</v>
      </c>
      <c r="E1620" s="78" t="s">
        <v>1697</v>
      </c>
      <c r="F1620" s="68">
        <v>8.6999999999999993</v>
      </c>
      <c r="G1620" s="26" t="s">
        <v>3477</v>
      </c>
    </row>
    <row r="1621" spans="1:7" hidden="1">
      <c r="B1621" s="26" t="s">
        <v>3878</v>
      </c>
      <c r="E1621" s="78" t="s">
        <v>1697</v>
      </c>
      <c r="F1621" s="68">
        <v>40</v>
      </c>
      <c r="G1621" s="26" t="s">
        <v>3479</v>
      </c>
    </row>
    <row r="1622" spans="1:7" hidden="1">
      <c r="B1622" s="26" t="s">
        <v>4328</v>
      </c>
      <c r="E1622" s="78" t="s">
        <v>1697</v>
      </c>
      <c r="F1622" s="68">
        <v>19.399999999999999</v>
      </c>
      <c r="G1622" s="26" t="s">
        <v>3477</v>
      </c>
    </row>
    <row r="1623" spans="1:7" hidden="1">
      <c r="B1623" s="26" t="s">
        <v>7082</v>
      </c>
      <c r="E1623" s="78" t="s">
        <v>1697</v>
      </c>
      <c r="F1623" s="68">
        <v>12.1</v>
      </c>
      <c r="G1623" s="26" t="s">
        <v>3477</v>
      </c>
    </row>
    <row r="1624" spans="1:7" hidden="1">
      <c r="B1624" s="26" t="s">
        <v>7083</v>
      </c>
      <c r="E1624" s="78" t="s">
        <v>1697</v>
      </c>
      <c r="F1624" s="68">
        <v>9.8000000000000007</v>
      </c>
      <c r="G1624" s="26" t="s">
        <v>3477</v>
      </c>
    </row>
    <row r="1625" spans="1:7" hidden="1">
      <c r="A1625" s="78">
        <v>2</v>
      </c>
      <c r="B1625" s="26" t="s">
        <v>3292</v>
      </c>
      <c r="E1625" s="78"/>
    </row>
    <row r="1626" spans="1:7" hidden="1">
      <c r="B1626" s="26" t="s">
        <v>7084</v>
      </c>
      <c r="E1626" s="78"/>
    </row>
    <row r="1627" spans="1:7" hidden="1">
      <c r="B1627" s="26" t="s">
        <v>5327</v>
      </c>
      <c r="E1627" s="78" t="s">
        <v>1697</v>
      </c>
      <c r="F1627" s="26">
        <v>20</v>
      </c>
      <c r="G1627" s="26" t="s">
        <v>4041</v>
      </c>
    </row>
    <row r="1628" spans="1:7" hidden="1">
      <c r="B1628" s="26" t="s">
        <v>5173</v>
      </c>
      <c r="E1628" s="78" t="s">
        <v>1697</v>
      </c>
      <c r="F1628" s="26">
        <v>3</v>
      </c>
      <c r="G1628" s="26" t="s">
        <v>4041</v>
      </c>
    </row>
    <row r="1629" spans="1:7" hidden="1">
      <c r="B1629" s="26" t="s">
        <v>1355</v>
      </c>
      <c r="E1629" s="78"/>
    </row>
    <row r="1630" spans="1:7" hidden="1">
      <c r="B1630" s="26" t="s">
        <v>2697</v>
      </c>
      <c r="E1630" s="78" t="s">
        <v>1697</v>
      </c>
      <c r="F1630" s="26">
        <v>7</v>
      </c>
      <c r="G1630" s="26" t="s">
        <v>4041</v>
      </c>
    </row>
    <row r="1631" spans="1:7" hidden="1">
      <c r="B1631" s="26" t="s">
        <v>1356</v>
      </c>
      <c r="E1631" s="78" t="s">
        <v>1697</v>
      </c>
      <c r="F1631" s="26">
        <v>7</v>
      </c>
      <c r="G1631" s="26" t="s">
        <v>4041</v>
      </c>
    </row>
    <row r="1632" spans="1:7" hidden="1">
      <c r="B1632" s="26" t="s">
        <v>7085</v>
      </c>
      <c r="E1632" s="78"/>
    </row>
    <row r="1633" spans="1:8" hidden="1">
      <c r="B1633" s="26" t="s">
        <v>3626</v>
      </c>
      <c r="E1633" s="78"/>
    </row>
    <row r="1634" spans="1:8" hidden="1">
      <c r="B1634" s="26" t="s">
        <v>2697</v>
      </c>
      <c r="E1634" s="78" t="s">
        <v>1697</v>
      </c>
      <c r="F1634" s="26">
        <v>4</v>
      </c>
      <c r="G1634" s="26" t="s">
        <v>4041</v>
      </c>
    </row>
    <row r="1635" spans="1:8" hidden="1">
      <c r="B1635" s="26" t="s">
        <v>5577</v>
      </c>
      <c r="E1635" s="78"/>
    </row>
    <row r="1636" spans="1:8" hidden="1">
      <c r="B1636" s="26" t="s">
        <v>2697</v>
      </c>
      <c r="E1636" s="78" t="s">
        <v>1697</v>
      </c>
      <c r="F1636" s="26">
        <v>6</v>
      </c>
      <c r="G1636" s="26" t="s">
        <v>4041</v>
      </c>
    </row>
    <row r="1637" spans="1:8" hidden="1">
      <c r="B1637" s="26" t="s">
        <v>6578</v>
      </c>
      <c r="E1637" s="78"/>
    </row>
    <row r="1638" spans="1:8" hidden="1">
      <c r="B1638" s="26" t="s">
        <v>2697</v>
      </c>
      <c r="E1638" s="78" t="s">
        <v>1697</v>
      </c>
      <c r="F1638" s="26">
        <v>8</v>
      </c>
      <c r="G1638" s="26" t="s">
        <v>4041</v>
      </c>
    </row>
    <row r="1639" spans="1:8" hidden="1">
      <c r="B1639" s="26" t="s">
        <v>4206</v>
      </c>
      <c r="E1639" s="78" t="s">
        <v>1697</v>
      </c>
      <c r="F1639" s="26">
        <v>1</v>
      </c>
      <c r="G1639" s="26" t="s">
        <v>4041</v>
      </c>
    </row>
    <row r="1640" spans="1:8">
      <c r="A1640" s="26"/>
    </row>
    <row r="1641" spans="1:8">
      <c r="A1641" s="26" t="s">
        <v>9215</v>
      </c>
      <c r="C1641" s="203" t="s">
        <v>2367</v>
      </c>
      <c r="D1641" s="171"/>
      <c r="F1641" s="171" t="s">
        <v>297</v>
      </c>
      <c r="G1641" s="162">
        <v>100</v>
      </c>
      <c r="H1641" s="26" t="s">
        <v>3477</v>
      </c>
    </row>
    <row r="1642" spans="1:8">
      <c r="A1642" s="26"/>
      <c r="B1642" s="79" t="s">
        <v>2368</v>
      </c>
    </row>
    <row r="1643" spans="1:8">
      <c r="A1643" s="26"/>
      <c r="B1643" s="95" t="s">
        <v>2369</v>
      </c>
      <c r="C1643" s="157" t="s">
        <v>6374</v>
      </c>
      <c r="D1643" s="195"/>
      <c r="E1643" s="95" t="s">
        <v>2370</v>
      </c>
      <c r="F1643" s="95" t="s">
        <v>1166</v>
      </c>
      <c r="G1643" s="95" t="s">
        <v>2371</v>
      </c>
      <c r="H1643" s="95" t="s">
        <v>2372</v>
      </c>
    </row>
    <row r="1644" spans="1:8">
      <c r="A1644" s="26"/>
      <c r="B1644" s="105"/>
      <c r="C1644" s="154"/>
      <c r="D1644" s="192"/>
      <c r="E1644" s="114"/>
      <c r="F1644" s="114"/>
      <c r="G1644" s="114" t="s">
        <v>3485</v>
      </c>
      <c r="H1644" s="114" t="s">
        <v>3485</v>
      </c>
    </row>
    <row r="1645" spans="1:8">
      <c r="A1645" s="26"/>
      <c r="B1645" s="95">
        <v>1</v>
      </c>
      <c r="C1645" s="148" t="s">
        <v>7086</v>
      </c>
      <c r="D1645" s="195"/>
      <c r="E1645" s="95" t="s">
        <v>3477</v>
      </c>
      <c r="F1645" s="190">
        <v>58.2</v>
      </c>
      <c r="G1645" s="190">
        <v>0</v>
      </c>
      <c r="H1645" s="179">
        <f>F1645*G1645</f>
        <v>0</v>
      </c>
    </row>
    <row r="1646" spans="1:8">
      <c r="A1646" s="26"/>
      <c r="B1646" s="105">
        <v>2</v>
      </c>
      <c r="C1646" s="76" t="s">
        <v>3604</v>
      </c>
      <c r="D1646" s="189"/>
      <c r="E1646" s="105" t="s">
        <v>3477</v>
      </c>
      <c r="F1646" s="190">
        <v>8.6999999999999993</v>
      </c>
      <c r="G1646" s="190">
        <v>0</v>
      </c>
      <c r="H1646" s="190">
        <f>F1646*G1646</f>
        <v>0</v>
      </c>
    </row>
    <row r="1647" spans="1:8" s="61" customFormat="1">
      <c r="B1647" s="240">
        <v>3</v>
      </c>
      <c r="C1647" s="101" t="s">
        <v>7087</v>
      </c>
      <c r="D1647" s="253"/>
      <c r="E1647" s="240" t="s">
        <v>3477</v>
      </c>
      <c r="F1647" s="255">
        <v>19.399999999999999</v>
      </c>
      <c r="G1647" s="255">
        <v>0</v>
      </c>
      <c r="H1647" s="255">
        <f>F1647*G1647</f>
        <v>0</v>
      </c>
    </row>
    <row r="1648" spans="1:8" s="61" customFormat="1">
      <c r="B1648" s="240">
        <v>4</v>
      </c>
      <c r="C1648" s="101" t="s">
        <v>7088</v>
      </c>
      <c r="D1648" s="253"/>
      <c r="E1648" s="240" t="s">
        <v>3477</v>
      </c>
      <c r="F1648" s="255">
        <v>12.1</v>
      </c>
      <c r="G1648" s="255">
        <v>0</v>
      </c>
      <c r="H1648" s="255">
        <f>F1648*G1648</f>
        <v>0</v>
      </c>
    </row>
    <row r="1649" spans="1:8" s="61" customFormat="1">
      <c r="B1649" s="237">
        <v>5</v>
      </c>
      <c r="C1649" s="307" t="s">
        <v>7946</v>
      </c>
      <c r="D1649" s="242"/>
      <c r="E1649" s="237" t="s">
        <v>3477</v>
      </c>
      <c r="F1649" s="289">
        <v>9.8000000000000007</v>
      </c>
      <c r="G1649" s="284">
        <f>'BASIC DATA'!D55</f>
        <v>95</v>
      </c>
      <c r="H1649" s="289">
        <f>F1649*G1649</f>
        <v>931.00000000000011</v>
      </c>
    </row>
    <row r="1650" spans="1:8">
      <c r="A1650" s="26"/>
      <c r="B1650" s="93"/>
      <c r="C1650" s="31" t="s">
        <v>4644</v>
      </c>
      <c r="D1650" s="31"/>
      <c r="E1650" s="31"/>
      <c r="F1650" s="198"/>
      <c r="G1650" s="327" t="s">
        <v>1698</v>
      </c>
      <c r="H1650" s="190">
        <v>0</v>
      </c>
    </row>
    <row r="1651" spans="1:8">
      <c r="A1651" s="26"/>
      <c r="B1651" s="92"/>
      <c r="C1651" s="159"/>
      <c r="D1651" s="159" t="s">
        <v>2376</v>
      </c>
      <c r="E1651" s="159"/>
      <c r="F1651" s="238"/>
      <c r="G1651" s="236" t="s">
        <v>1698</v>
      </c>
      <c r="H1651" s="318">
        <f>SUM(H1645:H1650)</f>
        <v>931.00000000000011</v>
      </c>
    </row>
    <row r="1652" spans="1:8">
      <c r="A1652" s="26"/>
    </row>
    <row r="1653" spans="1:8">
      <c r="A1653" s="26"/>
      <c r="B1653" s="79" t="s">
        <v>2377</v>
      </c>
    </row>
    <row r="1654" spans="1:8">
      <c r="A1654" s="26"/>
      <c r="B1654" s="95" t="s">
        <v>2369</v>
      </c>
      <c r="C1654" s="157" t="s">
        <v>2378</v>
      </c>
      <c r="D1654" s="195"/>
      <c r="E1654" s="95" t="s">
        <v>2370</v>
      </c>
      <c r="F1654" s="95" t="s">
        <v>1166</v>
      </c>
      <c r="G1654" s="95" t="s">
        <v>2371</v>
      </c>
      <c r="H1654" s="95" t="s">
        <v>2372</v>
      </c>
    </row>
    <row r="1655" spans="1:8">
      <c r="A1655" s="26"/>
      <c r="B1655" s="114"/>
      <c r="C1655" s="154"/>
      <c r="D1655" s="192"/>
      <c r="E1655" s="114"/>
      <c r="F1655" s="114"/>
      <c r="G1655" s="114" t="s">
        <v>3485</v>
      </c>
      <c r="H1655" s="114" t="s">
        <v>3485</v>
      </c>
    </row>
    <row r="1656" spans="1:8">
      <c r="A1656" s="26"/>
      <c r="B1656" s="105">
        <v>1</v>
      </c>
      <c r="C1656" s="93" t="s">
        <v>6976</v>
      </c>
      <c r="E1656" s="210"/>
      <c r="F1656" s="190">
        <v>0</v>
      </c>
      <c r="G1656" s="190">
        <v>0</v>
      </c>
      <c r="H1656" s="190">
        <f>F1656*G1656</f>
        <v>0</v>
      </c>
    </row>
    <row r="1657" spans="1:8">
      <c r="A1657" s="26"/>
      <c r="B1657" s="275"/>
      <c r="C1657" s="139"/>
      <c r="D1657" s="174"/>
      <c r="E1657" s="191"/>
      <c r="F1657" s="182">
        <v>0</v>
      </c>
      <c r="G1657" s="182">
        <v>0</v>
      </c>
      <c r="H1657" s="190">
        <f>F1657*G1657</f>
        <v>0</v>
      </c>
    </row>
    <row r="1658" spans="1:8">
      <c r="A1658" s="26"/>
      <c r="B1658" s="176"/>
      <c r="C1658" s="174"/>
      <c r="D1658" s="174" t="s">
        <v>2380</v>
      </c>
      <c r="E1658" s="174"/>
      <c r="F1658" s="192"/>
      <c r="G1658" s="275" t="s">
        <v>1698</v>
      </c>
      <c r="H1658" s="318">
        <f>SUM(H1656:H1657)</f>
        <v>0</v>
      </c>
    </row>
    <row r="1659" spans="1:8">
      <c r="A1659" s="26"/>
    </row>
    <row r="1660" spans="1:8">
      <c r="A1660" s="26"/>
      <c r="B1660" s="79" t="s">
        <v>2381</v>
      </c>
    </row>
    <row r="1661" spans="1:8">
      <c r="A1661" s="26"/>
      <c r="B1661" s="95" t="s">
        <v>2369</v>
      </c>
      <c r="C1661" s="157" t="s">
        <v>2378</v>
      </c>
      <c r="D1661" s="195"/>
      <c r="E1661" s="95" t="s">
        <v>2370</v>
      </c>
      <c r="F1661" s="95" t="s">
        <v>1166</v>
      </c>
      <c r="G1661" s="95" t="s">
        <v>2371</v>
      </c>
      <c r="H1661" s="95" t="s">
        <v>2372</v>
      </c>
    </row>
    <row r="1662" spans="1:8">
      <c r="A1662" s="26"/>
      <c r="B1662" s="114"/>
      <c r="C1662" s="154"/>
      <c r="D1662" s="192"/>
      <c r="E1662" s="105"/>
      <c r="F1662" s="114"/>
      <c r="G1662" s="114" t="s">
        <v>3485</v>
      </c>
      <c r="H1662" s="114" t="s">
        <v>3485</v>
      </c>
    </row>
    <row r="1663" spans="1:8">
      <c r="A1663" s="26"/>
      <c r="B1663" s="95">
        <v>1</v>
      </c>
      <c r="C1663" s="148" t="s">
        <v>4206</v>
      </c>
      <c r="D1663" s="187"/>
      <c r="E1663" s="107" t="s">
        <v>1172</v>
      </c>
      <c r="F1663" s="178">
        <v>1</v>
      </c>
      <c r="G1663" s="179">
        <f>'BASIC DATA'!C473</f>
        <v>450</v>
      </c>
      <c r="H1663" s="179">
        <f>F1663*G1663</f>
        <v>450</v>
      </c>
    </row>
    <row r="1664" spans="1:8">
      <c r="A1664" s="26"/>
      <c r="B1664" s="105">
        <v>2</v>
      </c>
      <c r="C1664" s="76" t="s">
        <v>4203</v>
      </c>
      <c r="D1664" s="31"/>
      <c r="E1664" s="210" t="s">
        <v>1172</v>
      </c>
      <c r="F1664" s="207">
        <v>7</v>
      </c>
      <c r="G1664" s="190">
        <f>'BASIC DATA'!C541</f>
        <v>400</v>
      </c>
      <c r="H1664" s="190">
        <f>F1664*G1664</f>
        <v>2800</v>
      </c>
    </row>
    <row r="1665" spans="1:8">
      <c r="A1665" s="26"/>
      <c r="B1665" s="114">
        <v>3</v>
      </c>
      <c r="C1665" s="89" t="s">
        <v>2697</v>
      </c>
      <c r="D1665" s="174"/>
      <c r="E1665" s="191" t="s">
        <v>1172</v>
      </c>
      <c r="F1665" s="181">
        <v>48</v>
      </c>
      <c r="G1665" s="182">
        <f>'BASIC DATA'!C552</f>
        <v>350</v>
      </c>
      <c r="H1665" s="190">
        <f>F1665*G1665</f>
        <v>16800</v>
      </c>
    </row>
    <row r="1666" spans="1:8">
      <c r="A1666" s="26"/>
      <c r="B1666" s="176"/>
      <c r="C1666" s="174"/>
      <c r="D1666" s="174" t="s">
        <v>1174</v>
      </c>
      <c r="E1666" s="174"/>
      <c r="F1666" s="192"/>
      <c r="G1666" s="275" t="s">
        <v>1698</v>
      </c>
      <c r="H1666" s="318">
        <f>SUM(H1663:H1665)</f>
        <v>20050</v>
      </c>
    </row>
    <row r="1667" spans="1:8">
      <c r="A1667" s="26"/>
      <c r="B1667" s="60" t="s">
        <v>5948</v>
      </c>
      <c r="C1667" s="31"/>
      <c r="D1667" s="31"/>
      <c r="E1667" s="85">
        <f>ROUND(H1666/G1641,1)</f>
        <v>200.5</v>
      </c>
      <c r="G1667" s="31"/>
    </row>
    <row r="1668" spans="1:8">
      <c r="A1668" s="26"/>
      <c r="B1668" s="60" t="s">
        <v>3163</v>
      </c>
      <c r="C1668" s="31"/>
      <c r="D1668" s="31">
        <f>'BASIC DATA'!$C$577</f>
        <v>0.13614999999999999</v>
      </c>
      <c r="E1668" s="85">
        <f>ROUND(E1667*D1668,1)</f>
        <v>27.3</v>
      </c>
      <c r="G1668" s="31"/>
    </row>
    <row r="1669" spans="1:8">
      <c r="A1669" s="26"/>
      <c r="B1669" s="60" t="s">
        <v>5949</v>
      </c>
      <c r="C1669" s="31"/>
      <c r="D1669" s="31"/>
      <c r="E1669" s="739">
        <f>E1668+E1667</f>
        <v>227.8</v>
      </c>
      <c r="G1669" s="31"/>
    </row>
    <row r="1670" spans="1:8">
      <c r="A1670" s="26"/>
      <c r="B1670" s="26"/>
    </row>
    <row r="1671" spans="1:8">
      <c r="A1671" s="26"/>
      <c r="B1671" s="170" t="s">
        <v>1175</v>
      </c>
    </row>
    <row r="1672" spans="1:8">
      <c r="A1672" s="26"/>
      <c r="B1672" s="26" t="s">
        <v>5010</v>
      </c>
      <c r="F1672" s="171" t="s">
        <v>1698</v>
      </c>
      <c r="G1672" s="68">
        <f>H1651</f>
        <v>931.00000000000011</v>
      </c>
    </row>
    <row r="1673" spans="1:8">
      <c r="A1673" s="26"/>
      <c r="B1673" s="26" t="s">
        <v>1186</v>
      </c>
      <c r="F1673" s="171" t="s">
        <v>1698</v>
      </c>
      <c r="G1673" s="68">
        <f>H1658</f>
        <v>0</v>
      </c>
    </row>
    <row r="1674" spans="1:8">
      <c r="A1674" s="26"/>
      <c r="B1674" s="26" t="s">
        <v>2660</v>
      </c>
      <c r="F1674" s="171" t="s">
        <v>1698</v>
      </c>
      <c r="G1674" s="75">
        <f>H1666</f>
        <v>20050</v>
      </c>
    </row>
    <row r="1675" spans="1:8">
      <c r="A1675" s="26"/>
      <c r="E1675" s="26" t="s">
        <v>1518</v>
      </c>
      <c r="F1675" s="171" t="s">
        <v>1698</v>
      </c>
      <c r="G1675" s="205">
        <f>SUM(G1672:G1674)</f>
        <v>20981</v>
      </c>
    </row>
    <row r="1676" spans="1:8" ht="38.25" customHeight="1">
      <c r="A1676" s="26"/>
      <c r="B1676" s="1207" t="s">
        <v>1379</v>
      </c>
      <c r="C1676" s="1207"/>
      <c r="E1676" s="249">
        <f>'BASIC DATA'!$C$577</f>
        <v>0.13614999999999999</v>
      </c>
      <c r="F1676" s="26" t="s">
        <v>1698</v>
      </c>
      <c r="G1676" s="26">
        <f>G1675*E1676</f>
        <v>2856.56315</v>
      </c>
    </row>
    <row r="1677" spans="1:8">
      <c r="A1677" s="26"/>
      <c r="B1677" s="26" t="s">
        <v>1191</v>
      </c>
      <c r="D1677" s="68">
        <f>G1641</f>
        <v>100</v>
      </c>
      <c r="E1677" s="68" t="str">
        <f>H1641</f>
        <v>cum</v>
      </c>
      <c r="F1677" s="26" t="s">
        <v>1698</v>
      </c>
      <c r="G1677" s="211">
        <f>G1676+G1675</f>
        <v>23837.563150000002</v>
      </c>
    </row>
    <row r="1678" spans="1:8">
      <c r="A1678" s="26"/>
      <c r="B1678" s="170" t="s">
        <v>1584</v>
      </c>
      <c r="C1678" s="211" t="str">
        <f>E1677</f>
        <v>cum</v>
      </c>
      <c r="D1678" s="26" t="s">
        <v>5882</v>
      </c>
      <c r="F1678" s="26" t="s">
        <v>4108</v>
      </c>
      <c r="G1678" s="211">
        <f>ROUND(G1677/D1677,1)</f>
        <v>238.4</v>
      </c>
    </row>
    <row r="1679" spans="1:8">
      <c r="A1679" s="26"/>
    </row>
    <row r="1680" spans="1:8">
      <c r="A1680" s="26"/>
    </row>
    <row r="1681" spans="1:8">
      <c r="A1681" s="78" t="s">
        <v>5501</v>
      </c>
      <c r="B1681" s="170" t="s">
        <v>9183</v>
      </c>
    </row>
    <row r="1682" spans="1:8">
      <c r="B1682" s="26" t="s">
        <v>9184</v>
      </c>
    </row>
    <row r="1683" spans="1:8">
      <c r="B1683" s="170" t="s">
        <v>992</v>
      </c>
    </row>
    <row r="1684" spans="1:8">
      <c r="B1684" s="26"/>
    </row>
    <row r="1685" spans="1:8" hidden="1">
      <c r="A1685" s="78" t="s">
        <v>3984</v>
      </c>
      <c r="B1685" s="26" t="s">
        <v>2581</v>
      </c>
      <c r="G1685" s="78"/>
    </row>
    <row r="1686" spans="1:8" hidden="1">
      <c r="A1686" s="78">
        <v>1</v>
      </c>
      <c r="B1686" s="26" t="s">
        <v>4302</v>
      </c>
    </row>
    <row r="1687" spans="1:8" hidden="1">
      <c r="B1687" s="26" t="s">
        <v>2305</v>
      </c>
      <c r="F1687" s="78" t="s">
        <v>1697</v>
      </c>
      <c r="G1687" s="202">
        <v>0.2</v>
      </c>
      <c r="H1687" s="26" t="s">
        <v>3477</v>
      </c>
    </row>
    <row r="1688" spans="1:8" hidden="1">
      <c r="B1688" s="26" t="s">
        <v>6669</v>
      </c>
      <c r="F1688" s="78" t="s">
        <v>1697</v>
      </c>
      <c r="G1688" s="47">
        <v>101</v>
      </c>
      <c r="H1688" s="26" t="s">
        <v>3478</v>
      </c>
    </row>
    <row r="1689" spans="1:8" hidden="1">
      <c r="B1689" s="26" t="s">
        <v>2791</v>
      </c>
      <c r="F1689" s="78" t="s">
        <v>1697</v>
      </c>
      <c r="G1689" s="47">
        <v>0.21</v>
      </c>
      <c r="H1689" s="26" t="s">
        <v>3477</v>
      </c>
    </row>
    <row r="1690" spans="1:8" hidden="1">
      <c r="A1690" s="78">
        <v>2</v>
      </c>
      <c r="B1690" s="26" t="s">
        <v>5815</v>
      </c>
      <c r="F1690" s="78"/>
      <c r="G1690" s="27"/>
    </row>
    <row r="1691" spans="1:8" hidden="1">
      <c r="B1691" s="26" t="s">
        <v>5372</v>
      </c>
      <c r="F1691" s="78" t="s">
        <v>1697</v>
      </c>
      <c r="G1691" s="47">
        <v>2</v>
      </c>
      <c r="H1691" s="26" t="s">
        <v>4041</v>
      </c>
    </row>
    <row r="1692" spans="1:8" hidden="1">
      <c r="B1692" s="26" t="s">
        <v>4303</v>
      </c>
      <c r="F1692" s="78" t="s">
        <v>1697</v>
      </c>
      <c r="G1692" s="47">
        <v>4</v>
      </c>
      <c r="H1692" s="26" t="s">
        <v>4041</v>
      </c>
    </row>
    <row r="1693" spans="1:8" hidden="1">
      <c r="B1693" s="26" t="s">
        <v>5373</v>
      </c>
      <c r="F1693" s="78" t="s">
        <v>1697</v>
      </c>
      <c r="G1693" s="47">
        <v>2</v>
      </c>
      <c r="H1693" s="26" t="s">
        <v>4041</v>
      </c>
    </row>
    <row r="1694" spans="1:8" hidden="1">
      <c r="B1694" s="26" t="s">
        <v>642</v>
      </c>
      <c r="F1694" s="78" t="s">
        <v>1697</v>
      </c>
      <c r="G1694" s="47">
        <v>1</v>
      </c>
      <c r="H1694" s="26" t="s">
        <v>4089</v>
      </c>
    </row>
    <row r="1695" spans="1:8" hidden="1">
      <c r="B1695" s="26" t="s">
        <v>2307</v>
      </c>
      <c r="F1695" s="78" t="s">
        <v>1697</v>
      </c>
      <c r="G1695" s="47">
        <v>1</v>
      </c>
      <c r="H1695" s="26" t="s">
        <v>4089</v>
      </c>
    </row>
    <row r="1696" spans="1:8" hidden="1">
      <c r="B1696" s="26" t="s">
        <v>3118</v>
      </c>
      <c r="F1696" s="78" t="s">
        <v>1697</v>
      </c>
      <c r="G1696" s="47">
        <v>1</v>
      </c>
      <c r="H1696" s="26" t="s">
        <v>4089</v>
      </c>
    </row>
    <row r="1697" spans="1:8">
      <c r="A1697" s="26"/>
      <c r="G1697" s="47"/>
    </row>
    <row r="1698" spans="1:8">
      <c r="A1698" s="26" t="s">
        <v>9215</v>
      </c>
      <c r="C1698" s="203" t="s">
        <v>2367</v>
      </c>
      <c r="D1698" s="171"/>
      <c r="F1698" s="171" t="s">
        <v>297</v>
      </c>
      <c r="G1698" s="162">
        <v>100</v>
      </c>
      <c r="H1698" s="26" t="s">
        <v>3479</v>
      </c>
    </row>
    <row r="1699" spans="1:8">
      <c r="A1699" s="26"/>
      <c r="B1699" s="79" t="s">
        <v>2368</v>
      </c>
    </row>
    <row r="1700" spans="1:8">
      <c r="A1700" s="26"/>
      <c r="B1700" s="95" t="s">
        <v>2369</v>
      </c>
      <c r="C1700" s="157" t="s">
        <v>6374</v>
      </c>
      <c r="D1700" s="195"/>
      <c r="E1700" s="95" t="s">
        <v>2370</v>
      </c>
      <c r="F1700" s="95" t="s">
        <v>1166</v>
      </c>
      <c r="G1700" s="95" t="s">
        <v>2371</v>
      </c>
      <c r="H1700" s="95" t="s">
        <v>2372</v>
      </c>
    </row>
    <row r="1701" spans="1:8">
      <c r="A1701" s="26"/>
      <c r="B1701" s="105"/>
      <c r="C1701" s="154"/>
      <c r="D1701" s="192"/>
      <c r="E1701" s="114"/>
      <c r="F1701" s="114"/>
      <c r="G1701" s="114" t="s">
        <v>3485</v>
      </c>
      <c r="H1701" s="114" t="s">
        <v>3485</v>
      </c>
    </row>
    <row r="1702" spans="1:8">
      <c r="A1702" s="26"/>
      <c r="B1702" s="95">
        <v>1</v>
      </c>
      <c r="C1702" s="148" t="s">
        <v>7327</v>
      </c>
      <c r="D1702" s="195"/>
      <c r="E1702" s="95" t="s">
        <v>3478</v>
      </c>
      <c r="F1702" s="190">
        <v>101</v>
      </c>
      <c r="G1702" s="214">
        <f>'BASIC DATA'!D32/1000</f>
        <v>5.35</v>
      </c>
      <c r="H1702" s="179">
        <f>F1702*G1702</f>
        <v>540.34999999999991</v>
      </c>
    </row>
    <row r="1703" spans="1:8" s="61" customFormat="1">
      <c r="B1703" s="237">
        <v>2</v>
      </c>
      <c r="C1703" s="307" t="s">
        <v>7937</v>
      </c>
      <c r="D1703" s="242"/>
      <c r="E1703" s="237" t="s">
        <v>3477</v>
      </c>
      <c r="F1703" s="289">
        <v>0.21</v>
      </c>
      <c r="G1703" s="284">
        <f>'BASIC DATA'!D57</f>
        <v>165</v>
      </c>
      <c r="H1703" s="289">
        <f>F1703*G1703</f>
        <v>34.65</v>
      </c>
    </row>
    <row r="1704" spans="1:8">
      <c r="A1704" s="26"/>
      <c r="B1704" s="93"/>
      <c r="C1704" s="31" t="s">
        <v>4644</v>
      </c>
      <c r="D1704" s="31"/>
      <c r="E1704" s="31"/>
      <c r="F1704" s="198"/>
      <c r="G1704" s="327" t="s">
        <v>1698</v>
      </c>
      <c r="H1704" s="190">
        <v>0</v>
      </c>
    </row>
    <row r="1705" spans="1:8">
      <c r="A1705" s="26"/>
      <c r="B1705" s="92"/>
      <c r="C1705" s="159"/>
      <c r="D1705" s="159" t="s">
        <v>2376</v>
      </c>
      <c r="E1705" s="159"/>
      <c r="F1705" s="238"/>
      <c r="G1705" s="236" t="s">
        <v>1698</v>
      </c>
      <c r="H1705" s="318">
        <f>SUM(H1702:H1704)</f>
        <v>574.99999999999989</v>
      </c>
    </row>
    <row r="1706" spans="1:8">
      <c r="A1706" s="26"/>
    </row>
    <row r="1707" spans="1:8">
      <c r="A1707" s="26"/>
      <c r="B1707" s="79" t="s">
        <v>2377</v>
      </c>
    </row>
    <row r="1708" spans="1:8">
      <c r="A1708" s="26"/>
      <c r="B1708" s="95" t="s">
        <v>2369</v>
      </c>
      <c r="C1708" s="157" t="s">
        <v>2378</v>
      </c>
      <c r="D1708" s="195"/>
      <c r="E1708" s="95" t="s">
        <v>2370</v>
      </c>
      <c r="F1708" s="95" t="s">
        <v>1166</v>
      </c>
      <c r="G1708" s="95" t="s">
        <v>2371</v>
      </c>
      <c r="H1708" s="95" t="s">
        <v>2372</v>
      </c>
    </row>
    <row r="1709" spans="1:8">
      <c r="A1709" s="26"/>
      <c r="B1709" s="114"/>
      <c r="C1709" s="154"/>
      <c r="D1709" s="192"/>
      <c r="E1709" s="114"/>
      <c r="F1709" s="114"/>
      <c r="G1709" s="114" t="s">
        <v>3485</v>
      </c>
      <c r="H1709" s="114" t="s">
        <v>3485</v>
      </c>
    </row>
    <row r="1710" spans="1:8">
      <c r="A1710" s="26"/>
      <c r="B1710" s="105">
        <v>1</v>
      </c>
      <c r="C1710" s="93" t="s">
        <v>6976</v>
      </c>
      <c r="E1710" s="210"/>
      <c r="F1710" s="190">
        <v>0</v>
      </c>
      <c r="G1710" s="190">
        <v>0</v>
      </c>
      <c r="H1710" s="190">
        <f>F1710*G1710</f>
        <v>0</v>
      </c>
    </row>
    <row r="1711" spans="1:8">
      <c r="A1711" s="26"/>
      <c r="B1711" s="275"/>
      <c r="C1711" s="139"/>
      <c r="D1711" s="174"/>
      <c r="E1711" s="191"/>
      <c r="F1711" s="182">
        <v>0</v>
      </c>
      <c r="G1711" s="182">
        <v>0</v>
      </c>
      <c r="H1711" s="182">
        <f>F1711*G1711</f>
        <v>0</v>
      </c>
    </row>
    <row r="1712" spans="1:8">
      <c r="A1712" s="26"/>
      <c r="B1712" s="176"/>
      <c r="C1712" s="174"/>
      <c r="D1712" s="174" t="s">
        <v>2380</v>
      </c>
      <c r="E1712" s="174"/>
      <c r="F1712" s="192"/>
      <c r="G1712" s="275" t="s">
        <v>1698</v>
      </c>
      <c r="H1712" s="318">
        <f>SUM(H1710:H1711)</f>
        <v>0</v>
      </c>
    </row>
    <row r="1713" spans="1:8">
      <c r="A1713" s="26"/>
    </row>
    <row r="1714" spans="1:8">
      <c r="A1714" s="26"/>
      <c r="B1714" s="79" t="s">
        <v>2381</v>
      </c>
    </row>
    <row r="1715" spans="1:8">
      <c r="A1715" s="26"/>
      <c r="B1715" s="95" t="s">
        <v>2369</v>
      </c>
      <c r="C1715" s="157" t="s">
        <v>2378</v>
      </c>
      <c r="D1715" s="195"/>
      <c r="E1715" s="95" t="s">
        <v>2370</v>
      </c>
      <c r="F1715" s="95" t="s">
        <v>1166</v>
      </c>
      <c r="G1715" s="95" t="s">
        <v>2371</v>
      </c>
      <c r="H1715" s="95" t="s">
        <v>2372</v>
      </c>
    </row>
    <row r="1716" spans="1:8">
      <c r="A1716" s="26"/>
      <c r="B1716" s="114"/>
      <c r="C1716" s="154"/>
      <c r="D1716" s="192"/>
      <c r="E1716" s="105"/>
      <c r="F1716" s="114"/>
      <c r="G1716" s="114" t="s">
        <v>3485</v>
      </c>
      <c r="H1716" s="114" t="s">
        <v>3485</v>
      </c>
    </row>
    <row r="1717" spans="1:8">
      <c r="A1717" s="26"/>
      <c r="B1717" s="95">
        <v>1</v>
      </c>
      <c r="C1717" s="148" t="s">
        <v>4206</v>
      </c>
      <c r="D1717" s="187"/>
      <c r="E1717" s="107" t="s">
        <v>1172</v>
      </c>
      <c r="F1717" s="178">
        <v>1</v>
      </c>
      <c r="G1717" s="179">
        <f>'BASIC DATA'!C473</f>
        <v>450</v>
      </c>
      <c r="H1717" s="179">
        <f>F1717*G1717</f>
        <v>450</v>
      </c>
    </row>
    <row r="1718" spans="1:8">
      <c r="A1718" s="26"/>
      <c r="B1718" s="105">
        <v>2</v>
      </c>
      <c r="C1718" s="76" t="s">
        <v>5606</v>
      </c>
      <c r="D1718" s="31"/>
      <c r="E1718" s="210" t="s">
        <v>1172</v>
      </c>
      <c r="F1718" s="207">
        <v>4</v>
      </c>
      <c r="G1718" s="190">
        <f>'BASIC DATA'!C474</f>
        <v>445</v>
      </c>
      <c r="H1718" s="190">
        <f>F1718*G1718</f>
        <v>1780</v>
      </c>
    </row>
    <row r="1719" spans="1:8">
      <c r="A1719" s="26"/>
      <c r="B1719" s="105">
        <v>3</v>
      </c>
      <c r="C1719" s="76" t="s">
        <v>2697</v>
      </c>
      <c r="D1719" s="31"/>
      <c r="E1719" s="210" t="s">
        <v>1172</v>
      </c>
      <c r="F1719" s="207">
        <v>6</v>
      </c>
      <c r="G1719" s="190">
        <f>'BASIC DATA'!C552</f>
        <v>350</v>
      </c>
      <c r="H1719" s="190">
        <f>F1719*G1719</f>
        <v>2100</v>
      </c>
    </row>
    <row r="1720" spans="1:8">
      <c r="A1720" s="26"/>
      <c r="B1720" s="114">
        <v>4</v>
      </c>
      <c r="C1720" s="89" t="s">
        <v>7658</v>
      </c>
      <c r="D1720" s="174"/>
      <c r="E1720" s="191" t="s">
        <v>1172</v>
      </c>
      <c r="F1720" s="181">
        <v>1</v>
      </c>
      <c r="G1720" s="190">
        <f>'BASIC DATA'!C511</f>
        <v>465</v>
      </c>
      <c r="H1720" s="190">
        <f>F1720*G1720</f>
        <v>465</v>
      </c>
    </row>
    <row r="1721" spans="1:8">
      <c r="A1721" s="26"/>
      <c r="B1721" s="176"/>
      <c r="C1721" s="174"/>
      <c r="D1721" s="174" t="s">
        <v>1174</v>
      </c>
      <c r="E1721" s="174"/>
      <c r="F1721" s="192"/>
      <c r="G1721" s="236" t="s">
        <v>1698</v>
      </c>
      <c r="H1721" s="318">
        <f>SUM(H1717:H1720)</f>
        <v>4795</v>
      </c>
    </row>
    <row r="1722" spans="1:8">
      <c r="A1722" s="26"/>
      <c r="B1722" s="60" t="s">
        <v>5948</v>
      </c>
      <c r="C1722" s="31"/>
      <c r="D1722" s="31"/>
      <c r="E1722" s="85">
        <f>ROUND(H1721/G1698,1)</f>
        <v>48</v>
      </c>
      <c r="G1722" s="31"/>
    </row>
    <row r="1723" spans="1:8">
      <c r="A1723" s="26"/>
      <c r="B1723" s="60" t="s">
        <v>3163</v>
      </c>
      <c r="C1723" s="31"/>
      <c r="D1723" s="31">
        <f>'BASIC DATA'!$C$577</f>
        <v>0.13614999999999999</v>
      </c>
      <c r="E1723" s="85">
        <f>ROUND(E1722*D1723,1)</f>
        <v>6.5</v>
      </c>
      <c r="G1723" s="31"/>
    </row>
    <row r="1724" spans="1:8">
      <c r="A1724" s="26"/>
      <c r="B1724" s="60" t="s">
        <v>5949</v>
      </c>
      <c r="C1724" s="31"/>
      <c r="D1724" s="31"/>
      <c r="E1724" s="739">
        <f>E1723+E1722</f>
        <v>54.5</v>
      </c>
      <c r="G1724" s="31"/>
    </row>
    <row r="1725" spans="1:8">
      <c r="A1725" s="26"/>
      <c r="B1725" s="26"/>
    </row>
    <row r="1726" spans="1:8">
      <c r="A1726" s="26"/>
      <c r="B1726" s="170" t="s">
        <v>1175</v>
      </c>
    </row>
    <row r="1727" spans="1:8">
      <c r="A1727" s="26"/>
      <c r="B1727" s="26" t="s">
        <v>5010</v>
      </c>
      <c r="F1727" s="171" t="s">
        <v>1698</v>
      </c>
      <c r="G1727" s="68">
        <f>H1705</f>
        <v>574.99999999999989</v>
      </c>
    </row>
    <row r="1728" spans="1:8">
      <c r="A1728" s="26"/>
      <c r="B1728" s="26" t="s">
        <v>1186</v>
      </c>
      <c r="F1728" s="171" t="s">
        <v>1698</v>
      </c>
      <c r="G1728" s="68">
        <f>H1712</f>
        <v>0</v>
      </c>
    </row>
    <row r="1729" spans="1:8">
      <c r="A1729" s="26"/>
      <c r="B1729" s="26" t="s">
        <v>2660</v>
      </c>
      <c r="F1729" s="171" t="s">
        <v>1698</v>
      </c>
      <c r="G1729" s="75">
        <f>H1721</f>
        <v>4795</v>
      </c>
    </row>
    <row r="1730" spans="1:8">
      <c r="A1730" s="26"/>
      <c r="E1730" s="26" t="s">
        <v>1518</v>
      </c>
      <c r="F1730" s="171" t="s">
        <v>1698</v>
      </c>
      <c r="G1730" s="205">
        <f>SUM(G1727:G1729)</f>
        <v>5370</v>
      </c>
    </row>
    <row r="1731" spans="1:8" ht="38.25" customHeight="1">
      <c r="A1731" s="26"/>
      <c r="B1731" s="1207" t="s">
        <v>1379</v>
      </c>
      <c r="C1731" s="1207"/>
      <c r="E1731" s="249">
        <f>'BASIC DATA'!$C$577</f>
        <v>0.13614999999999999</v>
      </c>
      <c r="F1731" s="26" t="s">
        <v>1698</v>
      </c>
      <c r="G1731" s="26">
        <f>G1730*E1731</f>
        <v>731.12549999999999</v>
      </c>
    </row>
    <row r="1732" spans="1:8">
      <c r="A1732" s="26"/>
      <c r="B1732" s="26" t="s">
        <v>1191</v>
      </c>
      <c r="D1732" s="68">
        <f>G1698</f>
        <v>100</v>
      </c>
      <c r="E1732" s="68" t="str">
        <f>H1698</f>
        <v>sqm</v>
      </c>
      <c r="F1732" s="26" t="s">
        <v>1698</v>
      </c>
      <c r="G1732" s="211">
        <f>G1731+G1730</f>
        <v>6101.1255000000001</v>
      </c>
    </row>
    <row r="1733" spans="1:8">
      <c r="A1733" s="26"/>
      <c r="B1733" s="170" t="s">
        <v>1584</v>
      </c>
      <c r="C1733" s="211" t="str">
        <f>E1732</f>
        <v>sqm</v>
      </c>
      <c r="D1733" s="26" t="s">
        <v>5882</v>
      </c>
      <c r="F1733" s="26" t="s">
        <v>4108</v>
      </c>
      <c r="G1733" s="211">
        <f>ROUND(G1732/D1732,1)</f>
        <v>61</v>
      </c>
    </row>
    <row r="1734" spans="1:8">
      <c r="A1734" s="26"/>
    </row>
    <row r="1735" spans="1:8">
      <c r="A1735" s="26"/>
    </row>
    <row r="1736" spans="1:8">
      <c r="A1736" s="78" t="s">
        <v>5502</v>
      </c>
      <c r="B1736" s="170" t="s">
        <v>9185</v>
      </c>
    </row>
    <row r="1737" spans="1:8">
      <c r="B1737" s="26" t="s">
        <v>9186</v>
      </c>
    </row>
    <row r="1738" spans="1:8">
      <c r="B1738" s="26"/>
    </row>
    <row r="1739" spans="1:8" hidden="1">
      <c r="A1739" s="78" t="s">
        <v>3984</v>
      </c>
      <c r="B1739" s="26" t="s">
        <v>2817</v>
      </c>
      <c r="G1739" s="78"/>
    </row>
    <row r="1740" spans="1:8" hidden="1">
      <c r="B1740" s="26" t="s">
        <v>4302</v>
      </c>
    </row>
    <row r="1741" spans="1:8" hidden="1">
      <c r="B1741" s="26" t="s">
        <v>1541</v>
      </c>
    </row>
    <row r="1742" spans="1:8" hidden="1">
      <c r="B1742" s="26" t="s">
        <v>5815</v>
      </c>
    </row>
    <row r="1743" spans="1:8" hidden="1">
      <c r="B1743" s="26" t="s">
        <v>5374</v>
      </c>
      <c r="F1743" s="78" t="s">
        <v>1697</v>
      </c>
      <c r="G1743" s="26">
        <v>6</v>
      </c>
      <c r="H1743" s="26" t="s">
        <v>2059</v>
      </c>
    </row>
    <row r="1744" spans="1:8" hidden="1">
      <c r="B1744" s="26" t="s">
        <v>5589</v>
      </c>
      <c r="F1744" s="78" t="s">
        <v>1697</v>
      </c>
      <c r="G1744" s="26">
        <v>6</v>
      </c>
      <c r="H1744" s="26" t="s">
        <v>2059</v>
      </c>
    </row>
    <row r="1745" spans="1:8">
      <c r="A1745" s="26"/>
    </row>
    <row r="1746" spans="1:8">
      <c r="A1746" s="26" t="s">
        <v>9215</v>
      </c>
      <c r="C1746" s="203" t="s">
        <v>2367</v>
      </c>
      <c r="D1746" s="171"/>
      <c r="F1746" s="171" t="s">
        <v>297</v>
      </c>
      <c r="G1746" s="162">
        <v>100</v>
      </c>
      <c r="H1746" s="26" t="s">
        <v>3479</v>
      </c>
    </row>
    <row r="1747" spans="1:8">
      <c r="A1747" s="26"/>
      <c r="B1747" s="79" t="s">
        <v>2368</v>
      </c>
    </row>
    <row r="1748" spans="1:8">
      <c r="A1748" s="26"/>
      <c r="B1748" s="95" t="s">
        <v>2369</v>
      </c>
      <c r="C1748" s="157" t="s">
        <v>6374</v>
      </c>
      <c r="D1748" s="195"/>
      <c r="E1748" s="95" t="s">
        <v>2370</v>
      </c>
      <c r="F1748" s="95" t="s">
        <v>1166</v>
      </c>
      <c r="G1748" s="95" t="s">
        <v>2371</v>
      </c>
      <c r="H1748" s="95" t="s">
        <v>2372</v>
      </c>
    </row>
    <row r="1749" spans="1:8">
      <c r="A1749" s="26"/>
      <c r="B1749" s="114"/>
      <c r="C1749" s="154"/>
      <c r="D1749" s="192"/>
      <c r="E1749" s="114"/>
      <c r="F1749" s="114"/>
      <c r="G1749" s="114" t="s">
        <v>3485</v>
      </c>
      <c r="H1749" s="114" t="s">
        <v>3485</v>
      </c>
    </row>
    <row r="1750" spans="1:8">
      <c r="A1750" s="26"/>
      <c r="B1750" s="95">
        <v>1</v>
      </c>
      <c r="C1750" s="93" t="s">
        <v>6976</v>
      </c>
      <c r="E1750" s="95"/>
      <c r="F1750" s="190">
        <v>0</v>
      </c>
      <c r="G1750" s="190">
        <v>0</v>
      </c>
      <c r="H1750" s="190">
        <f>F1750*G1750</f>
        <v>0</v>
      </c>
    </row>
    <row r="1751" spans="1:8">
      <c r="A1751" s="26"/>
      <c r="B1751" s="275"/>
      <c r="C1751" s="135"/>
      <c r="D1751" s="31"/>
      <c r="E1751" s="105"/>
      <c r="F1751" s="190">
        <v>0</v>
      </c>
      <c r="G1751" s="182">
        <v>0</v>
      </c>
      <c r="H1751" s="182">
        <f>F1751*G1751</f>
        <v>0</v>
      </c>
    </row>
    <row r="1752" spans="1:8">
      <c r="A1752" s="26"/>
      <c r="B1752" s="92"/>
      <c r="C1752" s="159"/>
      <c r="D1752" s="159" t="s">
        <v>2376</v>
      </c>
      <c r="E1752" s="159"/>
      <c r="F1752" s="238"/>
      <c r="G1752" s="236" t="s">
        <v>1698</v>
      </c>
      <c r="H1752" s="318">
        <f>SUM(H1750:H1751)</f>
        <v>0</v>
      </c>
    </row>
    <row r="1753" spans="1:8">
      <c r="A1753" s="26"/>
    </row>
    <row r="1754" spans="1:8">
      <c r="A1754" s="26"/>
      <c r="B1754" s="79" t="s">
        <v>2377</v>
      </c>
    </row>
    <row r="1755" spans="1:8">
      <c r="A1755" s="26"/>
      <c r="B1755" s="95" t="s">
        <v>2369</v>
      </c>
      <c r="C1755" s="157" t="s">
        <v>2378</v>
      </c>
      <c r="D1755" s="195"/>
      <c r="E1755" s="95" t="s">
        <v>2370</v>
      </c>
      <c r="F1755" s="95" t="s">
        <v>1166</v>
      </c>
      <c r="G1755" s="95" t="s">
        <v>2371</v>
      </c>
      <c r="H1755" s="95" t="s">
        <v>2372</v>
      </c>
    </row>
    <row r="1756" spans="1:8">
      <c r="A1756" s="26"/>
      <c r="B1756" s="114"/>
      <c r="C1756" s="154"/>
      <c r="D1756" s="192"/>
      <c r="E1756" s="114"/>
      <c r="F1756" s="114"/>
      <c r="G1756" s="114" t="s">
        <v>3485</v>
      </c>
      <c r="H1756" s="114" t="s">
        <v>3485</v>
      </c>
    </row>
    <row r="1757" spans="1:8">
      <c r="A1757" s="26"/>
      <c r="B1757" s="105">
        <v>1</v>
      </c>
      <c r="C1757" s="93" t="s">
        <v>6976</v>
      </c>
      <c r="E1757" s="210"/>
      <c r="F1757" s="190">
        <v>0</v>
      </c>
      <c r="G1757" s="190">
        <v>0</v>
      </c>
      <c r="H1757" s="190">
        <f>F1757*G1757</f>
        <v>0</v>
      </c>
    </row>
    <row r="1758" spans="1:8">
      <c r="A1758" s="26"/>
      <c r="B1758" s="275"/>
      <c r="C1758" s="139"/>
      <c r="D1758" s="174"/>
      <c r="E1758" s="191"/>
      <c r="F1758" s="182">
        <v>0</v>
      </c>
      <c r="G1758" s="182">
        <v>0</v>
      </c>
      <c r="H1758" s="182">
        <f>F1758*G1758</f>
        <v>0</v>
      </c>
    </row>
    <row r="1759" spans="1:8">
      <c r="A1759" s="26"/>
      <c r="B1759" s="176"/>
      <c r="C1759" s="174"/>
      <c r="D1759" s="174" t="s">
        <v>2380</v>
      </c>
      <c r="E1759" s="174"/>
      <c r="F1759" s="192"/>
      <c r="G1759" s="275" t="s">
        <v>1698</v>
      </c>
      <c r="H1759" s="318">
        <f>SUM(H1757:H1758)</f>
        <v>0</v>
      </c>
    </row>
    <row r="1760" spans="1:8">
      <c r="A1760" s="26"/>
    </row>
    <row r="1761" spans="1:8">
      <c r="A1761" s="26"/>
      <c r="B1761" s="79" t="s">
        <v>2381</v>
      </c>
    </row>
    <row r="1762" spans="1:8">
      <c r="A1762" s="26"/>
      <c r="B1762" s="95" t="s">
        <v>2369</v>
      </c>
      <c r="C1762" s="157" t="s">
        <v>2378</v>
      </c>
      <c r="D1762" s="195"/>
      <c r="E1762" s="95" t="s">
        <v>2370</v>
      </c>
      <c r="F1762" s="95" t="s">
        <v>1166</v>
      </c>
      <c r="G1762" s="95" t="s">
        <v>2371</v>
      </c>
      <c r="H1762" s="95" t="s">
        <v>2372</v>
      </c>
    </row>
    <row r="1763" spans="1:8">
      <c r="A1763" s="26"/>
      <c r="B1763" s="114"/>
      <c r="C1763" s="154"/>
      <c r="D1763" s="192"/>
      <c r="E1763" s="105"/>
      <c r="F1763" s="114"/>
      <c r="G1763" s="114" t="s">
        <v>3485</v>
      </c>
      <c r="H1763" s="114" t="s">
        <v>3485</v>
      </c>
    </row>
    <row r="1764" spans="1:8">
      <c r="A1764" s="26"/>
      <c r="B1764" s="95">
        <v>1</v>
      </c>
      <c r="C1764" s="148" t="s">
        <v>4206</v>
      </c>
      <c r="D1764" s="187"/>
      <c r="E1764" s="107" t="s">
        <v>1172</v>
      </c>
      <c r="F1764" s="178">
        <v>1</v>
      </c>
      <c r="G1764" s="179">
        <f>'BASIC DATA'!C473</f>
        <v>450</v>
      </c>
      <c r="H1764" s="179">
        <f>F1764*G1764</f>
        <v>450</v>
      </c>
    </row>
    <row r="1765" spans="1:8">
      <c r="A1765" s="26"/>
      <c r="B1765" s="105">
        <v>2</v>
      </c>
      <c r="C1765" s="76" t="s">
        <v>5607</v>
      </c>
      <c r="D1765" s="31"/>
      <c r="E1765" s="210" t="s">
        <v>1172</v>
      </c>
      <c r="F1765" s="207">
        <v>6</v>
      </c>
      <c r="G1765" s="190">
        <f>'BASIC DATA'!C541</f>
        <v>400</v>
      </c>
      <c r="H1765" s="190">
        <f>F1765*G1765</f>
        <v>2400</v>
      </c>
    </row>
    <row r="1766" spans="1:8">
      <c r="A1766" s="26"/>
      <c r="B1766" s="114">
        <v>3</v>
      </c>
      <c r="C1766" s="89" t="s">
        <v>2697</v>
      </c>
      <c r="D1766" s="174"/>
      <c r="E1766" s="191" t="s">
        <v>1172</v>
      </c>
      <c r="F1766" s="181">
        <v>6</v>
      </c>
      <c r="G1766" s="182">
        <f>'BASIC DATA'!C552</f>
        <v>350</v>
      </c>
      <c r="H1766" s="182">
        <f>F1766*G1766</f>
        <v>2100</v>
      </c>
    </row>
    <row r="1767" spans="1:8">
      <c r="A1767" s="26"/>
      <c r="B1767" s="176"/>
      <c r="C1767" s="174"/>
      <c r="D1767" s="174" t="s">
        <v>1174</v>
      </c>
      <c r="E1767" s="174"/>
      <c r="F1767" s="192"/>
      <c r="G1767" s="275" t="s">
        <v>1698</v>
      </c>
      <c r="H1767" s="318">
        <f>SUM(H1764:H1766)</f>
        <v>4950</v>
      </c>
    </row>
    <row r="1768" spans="1:8">
      <c r="A1768" s="26"/>
      <c r="B1768" s="60" t="s">
        <v>5948</v>
      </c>
      <c r="C1768" s="31"/>
      <c r="D1768" s="31"/>
      <c r="E1768" s="85">
        <f>ROUND(H1767/G1746,1)</f>
        <v>49.5</v>
      </c>
      <c r="G1768" s="31"/>
    </row>
    <row r="1769" spans="1:8">
      <c r="A1769" s="26"/>
      <c r="B1769" s="60" t="s">
        <v>3163</v>
      </c>
      <c r="C1769" s="31"/>
      <c r="D1769" s="31">
        <f>'BASIC DATA'!$C$577</f>
        <v>0.13614999999999999</v>
      </c>
      <c r="E1769" s="85">
        <f>ROUND(E1768*D1769,1)</f>
        <v>6.7</v>
      </c>
      <c r="G1769" s="31"/>
    </row>
    <row r="1770" spans="1:8">
      <c r="A1770" s="26"/>
      <c r="B1770" s="60" t="s">
        <v>5949</v>
      </c>
      <c r="C1770" s="31"/>
      <c r="D1770" s="31"/>
      <c r="E1770" s="739">
        <f>E1769+E1768</f>
        <v>56.2</v>
      </c>
      <c r="G1770" s="31"/>
    </row>
    <row r="1771" spans="1:8">
      <c r="A1771" s="26"/>
      <c r="B1771" s="26"/>
    </row>
    <row r="1772" spans="1:8">
      <c r="A1772" s="26"/>
      <c r="B1772" s="170" t="s">
        <v>1175</v>
      </c>
    </row>
    <row r="1773" spans="1:8">
      <c r="A1773" s="26"/>
      <c r="B1773" s="26" t="s">
        <v>5010</v>
      </c>
      <c r="F1773" s="171" t="s">
        <v>1698</v>
      </c>
      <c r="G1773" s="68">
        <f>H1752</f>
        <v>0</v>
      </c>
    </row>
    <row r="1774" spans="1:8">
      <c r="A1774" s="26"/>
      <c r="B1774" s="26" t="s">
        <v>1186</v>
      </c>
      <c r="F1774" s="171" t="s">
        <v>1698</v>
      </c>
      <c r="G1774" s="68">
        <f>H1759</f>
        <v>0</v>
      </c>
    </row>
    <row r="1775" spans="1:8">
      <c r="A1775" s="26"/>
      <c r="B1775" s="26" t="s">
        <v>2660</v>
      </c>
      <c r="F1775" s="171" t="s">
        <v>1698</v>
      </c>
      <c r="G1775" s="75">
        <f>H1767</f>
        <v>4950</v>
      </c>
    </row>
    <row r="1776" spans="1:8">
      <c r="A1776" s="26"/>
      <c r="E1776" s="26" t="s">
        <v>1518</v>
      </c>
      <c r="F1776" s="171" t="s">
        <v>1698</v>
      </c>
      <c r="G1776" s="205">
        <f>SUM(G1773:G1775)</f>
        <v>4950</v>
      </c>
    </row>
    <row r="1777" spans="1:8" ht="38.25" customHeight="1">
      <c r="A1777" s="26"/>
      <c r="B1777" s="1207" t="s">
        <v>1379</v>
      </c>
      <c r="C1777" s="1207"/>
      <c r="E1777" s="249">
        <f>'BASIC DATA'!$C$577</f>
        <v>0.13614999999999999</v>
      </c>
      <c r="F1777" s="26" t="s">
        <v>1698</v>
      </c>
      <c r="G1777" s="26">
        <f>G1776*E1777</f>
        <v>673.9425</v>
      </c>
    </row>
    <row r="1778" spans="1:8">
      <c r="A1778" s="26"/>
      <c r="B1778" s="26" t="s">
        <v>1191</v>
      </c>
      <c r="D1778" s="68">
        <f>G1746</f>
        <v>100</v>
      </c>
      <c r="E1778" s="68" t="str">
        <f>H1746</f>
        <v>sqm</v>
      </c>
      <c r="F1778" s="26" t="s">
        <v>1698</v>
      </c>
      <c r="G1778" s="211">
        <f>G1777+G1776</f>
        <v>5623.9425000000001</v>
      </c>
    </row>
    <row r="1779" spans="1:8">
      <c r="A1779" s="26"/>
      <c r="B1779" s="170" t="s">
        <v>1584</v>
      </c>
      <c r="C1779" s="211" t="str">
        <f>E1778</f>
        <v>sqm</v>
      </c>
      <c r="D1779" s="26" t="s">
        <v>5882</v>
      </c>
      <c r="F1779" s="26" t="s">
        <v>4108</v>
      </c>
      <c r="G1779" s="211">
        <f>ROUND(G1778/D1778,1)</f>
        <v>56.2</v>
      </c>
    </row>
    <row r="1780" spans="1:8">
      <c r="A1780" s="26"/>
    </row>
    <row r="1781" spans="1:8">
      <c r="A1781" s="26"/>
    </row>
    <row r="1782" spans="1:8">
      <c r="A1782" s="78" t="s">
        <v>5503</v>
      </c>
      <c r="B1782" s="170" t="s">
        <v>4474</v>
      </c>
    </row>
    <row r="1783" spans="1:8">
      <c r="B1783" s="26" t="s">
        <v>9115</v>
      </c>
    </row>
    <row r="1784" spans="1:8">
      <c r="B1784" s="26"/>
    </row>
    <row r="1785" spans="1:8" hidden="1">
      <c r="A1785" s="78" t="s">
        <v>3984</v>
      </c>
      <c r="B1785" s="26" t="s">
        <v>6139</v>
      </c>
    </row>
    <row r="1786" spans="1:8" hidden="1">
      <c r="B1786" s="26" t="s">
        <v>4322</v>
      </c>
      <c r="G1786" s="78"/>
    </row>
    <row r="1787" spans="1:8">
      <c r="A1787" s="26"/>
    </row>
    <row r="1788" spans="1:8">
      <c r="A1788" s="26" t="s">
        <v>3984</v>
      </c>
      <c r="C1788" s="203" t="s">
        <v>2367</v>
      </c>
      <c r="D1788" s="171"/>
      <c r="F1788" s="171" t="s">
        <v>297</v>
      </c>
      <c r="G1788" s="162">
        <v>18</v>
      </c>
      <c r="H1788" s="26" t="s">
        <v>4041</v>
      </c>
    </row>
    <row r="1789" spans="1:8">
      <c r="A1789" s="26"/>
      <c r="B1789" s="79" t="s">
        <v>2368</v>
      </c>
    </row>
    <row r="1790" spans="1:8">
      <c r="A1790" s="26"/>
      <c r="B1790" s="95" t="s">
        <v>2369</v>
      </c>
      <c r="C1790" s="157" t="s">
        <v>6374</v>
      </c>
      <c r="D1790" s="195"/>
      <c r="E1790" s="95" t="s">
        <v>2370</v>
      </c>
      <c r="F1790" s="95" t="s">
        <v>1166</v>
      </c>
      <c r="G1790" s="95" t="s">
        <v>2371</v>
      </c>
      <c r="H1790" s="95" t="s">
        <v>2372</v>
      </c>
    </row>
    <row r="1791" spans="1:8">
      <c r="A1791" s="26"/>
      <c r="B1791" s="114"/>
      <c r="C1791" s="154"/>
      <c r="D1791" s="192"/>
      <c r="E1791" s="114"/>
      <c r="F1791" s="114"/>
      <c r="G1791" s="114" t="s">
        <v>3485</v>
      </c>
      <c r="H1791" s="114" t="s">
        <v>3485</v>
      </c>
    </row>
    <row r="1792" spans="1:8">
      <c r="A1792" s="26"/>
      <c r="B1792" s="95">
        <v>1</v>
      </c>
      <c r="C1792" s="93" t="s">
        <v>6976</v>
      </c>
      <c r="E1792" s="95"/>
      <c r="F1792" s="190">
        <v>0</v>
      </c>
      <c r="G1792" s="190">
        <v>0</v>
      </c>
      <c r="H1792" s="190">
        <f>F1792*G1792</f>
        <v>0</v>
      </c>
    </row>
    <row r="1793" spans="1:8">
      <c r="A1793" s="26"/>
      <c r="B1793" s="275"/>
      <c r="C1793" s="135"/>
      <c r="D1793" s="31"/>
      <c r="E1793" s="105"/>
      <c r="F1793" s="190">
        <v>0</v>
      </c>
      <c r="G1793" s="182">
        <v>0</v>
      </c>
      <c r="H1793" s="182">
        <f>F1793*G1793</f>
        <v>0</v>
      </c>
    </row>
    <row r="1794" spans="1:8">
      <c r="A1794" s="26"/>
      <c r="B1794" s="92"/>
      <c r="C1794" s="159"/>
      <c r="D1794" s="159" t="s">
        <v>2376</v>
      </c>
      <c r="E1794" s="159"/>
      <c r="F1794" s="238"/>
      <c r="G1794" s="236" t="s">
        <v>1698</v>
      </c>
      <c r="H1794" s="318">
        <f>SUM(H1792:H1793)</f>
        <v>0</v>
      </c>
    </row>
    <row r="1795" spans="1:8">
      <c r="A1795" s="26"/>
    </row>
    <row r="1796" spans="1:8">
      <c r="A1796" s="26"/>
      <c r="B1796" s="79" t="s">
        <v>2377</v>
      </c>
    </row>
    <row r="1797" spans="1:8">
      <c r="A1797" s="26"/>
      <c r="B1797" s="95" t="s">
        <v>2369</v>
      </c>
      <c r="C1797" s="157" t="s">
        <v>2378</v>
      </c>
      <c r="D1797" s="195"/>
      <c r="E1797" s="95" t="s">
        <v>2370</v>
      </c>
      <c r="F1797" s="95" t="s">
        <v>1166</v>
      </c>
      <c r="G1797" s="95" t="s">
        <v>2371</v>
      </c>
      <c r="H1797" s="95" t="s">
        <v>2372</v>
      </c>
    </row>
    <row r="1798" spans="1:8">
      <c r="A1798" s="26"/>
      <c r="B1798" s="114"/>
      <c r="C1798" s="154"/>
      <c r="D1798" s="192"/>
      <c r="E1798" s="114"/>
      <c r="F1798" s="114"/>
      <c r="G1798" s="114" t="s">
        <v>3485</v>
      </c>
      <c r="H1798" s="114" t="s">
        <v>3485</v>
      </c>
    </row>
    <row r="1799" spans="1:8">
      <c r="A1799" s="26"/>
      <c r="B1799" s="105">
        <v>1</v>
      </c>
      <c r="C1799" s="93" t="s">
        <v>6976</v>
      </c>
      <c r="E1799" s="210"/>
      <c r="F1799" s="190">
        <v>0</v>
      </c>
      <c r="G1799" s="190">
        <v>0</v>
      </c>
      <c r="H1799" s="190">
        <f>F1799*G1799</f>
        <v>0</v>
      </c>
    </row>
    <row r="1800" spans="1:8">
      <c r="A1800" s="26"/>
      <c r="B1800" s="275"/>
      <c r="C1800" s="139"/>
      <c r="D1800" s="174"/>
      <c r="E1800" s="191"/>
      <c r="F1800" s="182">
        <v>0</v>
      </c>
      <c r="G1800" s="182">
        <v>0</v>
      </c>
      <c r="H1800" s="182">
        <f>F1800*G1800</f>
        <v>0</v>
      </c>
    </row>
    <row r="1801" spans="1:8">
      <c r="A1801" s="26"/>
      <c r="B1801" s="176"/>
      <c r="C1801" s="174"/>
      <c r="D1801" s="174" t="s">
        <v>2380</v>
      </c>
      <c r="E1801" s="174"/>
      <c r="F1801" s="192"/>
      <c r="G1801" s="275" t="s">
        <v>1698</v>
      </c>
      <c r="H1801" s="318">
        <f>SUM(H1799:H1800)</f>
        <v>0</v>
      </c>
    </row>
    <row r="1802" spans="1:8">
      <c r="A1802" s="26"/>
    </row>
    <row r="1803" spans="1:8">
      <c r="A1803" s="26"/>
      <c r="B1803" s="79" t="s">
        <v>2381</v>
      </c>
    </row>
    <row r="1804" spans="1:8">
      <c r="A1804" s="26"/>
      <c r="B1804" s="95" t="s">
        <v>2369</v>
      </c>
      <c r="C1804" s="157" t="s">
        <v>2378</v>
      </c>
      <c r="D1804" s="195"/>
      <c r="E1804" s="95" t="s">
        <v>2370</v>
      </c>
      <c r="F1804" s="95" t="s">
        <v>1166</v>
      </c>
      <c r="G1804" s="95" t="s">
        <v>2371</v>
      </c>
      <c r="H1804" s="95" t="s">
        <v>2372</v>
      </c>
    </row>
    <row r="1805" spans="1:8">
      <c r="A1805" s="26"/>
      <c r="B1805" s="114"/>
      <c r="C1805" s="154"/>
      <c r="D1805" s="192"/>
      <c r="E1805" s="105"/>
      <c r="F1805" s="114"/>
      <c r="G1805" s="114" t="s">
        <v>3485</v>
      </c>
      <c r="H1805" s="114" t="s">
        <v>3485</v>
      </c>
    </row>
    <row r="1806" spans="1:8">
      <c r="A1806" s="26"/>
      <c r="B1806" s="95">
        <v>1</v>
      </c>
      <c r="C1806" s="148" t="s">
        <v>4206</v>
      </c>
      <c r="D1806" s="187"/>
      <c r="E1806" s="107" t="s">
        <v>1172</v>
      </c>
      <c r="F1806" s="178">
        <v>1</v>
      </c>
      <c r="G1806" s="179">
        <f>'BASIC DATA'!C473</f>
        <v>450</v>
      </c>
      <c r="H1806" s="179">
        <f>F1806*G1806</f>
        <v>450</v>
      </c>
    </row>
    <row r="1807" spans="1:8">
      <c r="A1807" s="26"/>
      <c r="B1807" s="114">
        <v>2</v>
      </c>
      <c r="C1807" s="89" t="s">
        <v>2697</v>
      </c>
      <c r="D1807" s="174"/>
      <c r="E1807" s="191" t="s">
        <v>1172</v>
      </c>
      <c r="F1807" s="181">
        <v>2</v>
      </c>
      <c r="G1807" s="182">
        <f>'BASIC DATA'!C552</f>
        <v>350</v>
      </c>
      <c r="H1807" s="190">
        <f>F1807*G1807</f>
        <v>700</v>
      </c>
    </row>
    <row r="1808" spans="1:8">
      <c r="A1808" s="26"/>
      <c r="B1808" s="176"/>
      <c r="C1808" s="174"/>
      <c r="D1808" s="174" t="s">
        <v>1174</v>
      </c>
      <c r="E1808" s="174"/>
      <c r="F1808" s="192"/>
      <c r="G1808" s="275" t="s">
        <v>1698</v>
      </c>
      <c r="H1808" s="318">
        <f>SUM(H1806:H1807)</f>
        <v>1150</v>
      </c>
    </row>
    <row r="1809" spans="1:7">
      <c r="A1809" s="26"/>
      <c r="B1809" s="60" t="s">
        <v>5948</v>
      </c>
      <c r="C1809" s="31"/>
      <c r="D1809" s="31"/>
      <c r="E1809" s="85">
        <f>H1808/G1788</f>
        <v>63.888888888888886</v>
      </c>
      <c r="G1809" s="31"/>
    </row>
    <row r="1810" spans="1:7">
      <c r="A1810" s="26"/>
      <c r="B1810" s="60" t="s">
        <v>3163</v>
      </c>
      <c r="C1810" s="31"/>
      <c r="D1810" s="31">
        <f>'BASIC DATA'!$C$577</f>
        <v>0.13614999999999999</v>
      </c>
      <c r="E1810" s="85">
        <f>E1809*D1810</f>
        <v>8.6984722222222217</v>
      </c>
      <c r="G1810" s="31"/>
    </row>
    <row r="1811" spans="1:7">
      <c r="A1811" s="26"/>
      <c r="B1811" s="60" t="s">
        <v>5949</v>
      </c>
      <c r="C1811" s="31"/>
      <c r="D1811" s="31"/>
      <c r="E1811" s="739">
        <f>ROUND(E1810+E1809,1)</f>
        <v>72.599999999999994</v>
      </c>
      <c r="G1811" s="31"/>
    </row>
    <row r="1812" spans="1:7">
      <c r="A1812" s="26"/>
      <c r="B1812" s="26"/>
    </row>
    <row r="1813" spans="1:7">
      <c r="A1813" s="26"/>
      <c r="B1813" s="170" t="s">
        <v>1175</v>
      </c>
    </row>
    <row r="1814" spans="1:7">
      <c r="A1814" s="26"/>
      <c r="B1814" s="26" t="s">
        <v>5010</v>
      </c>
      <c r="F1814" s="171" t="s">
        <v>1698</v>
      </c>
      <c r="G1814" s="68">
        <f>H1794</f>
        <v>0</v>
      </c>
    </row>
    <row r="1815" spans="1:7">
      <c r="A1815" s="26"/>
      <c r="B1815" s="26" t="s">
        <v>1186</v>
      </c>
      <c r="F1815" s="171" t="s">
        <v>1698</v>
      </c>
      <c r="G1815" s="68">
        <f>H1801</f>
        <v>0</v>
      </c>
    </row>
    <row r="1816" spans="1:7">
      <c r="A1816" s="26"/>
      <c r="B1816" s="26" t="s">
        <v>2660</v>
      </c>
      <c r="F1816" s="171" t="s">
        <v>1698</v>
      </c>
      <c r="G1816" s="75">
        <f>H1808</f>
        <v>1150</v>
      </c>
    </row>
    <row r="1817" spans="1:7">
      <c r="A1817" s="26"/>
      <c r="E1817" s="26" t="s">
        <v>1518</v>
      </c>
      <c r="F1817" s="171" t="s">
        <v>1698</v>
      </c>
      <c r="G1817" s="205">
        <f>SUM(G1814:G1816)</f>
        <v>1150</v>
      </c>
    </row>
    <row r="1818" spans="1:7" ht="39" customHeight="1">
      <c r="A1818" s="26"/>
      <c r="B1818" s="1207" t="s">
        <v>1379</v>
      </c>
      <c r="C1818" s="1207"/>
      <c r="E1818" s="249">
        <f>'BASIC DATA'!$C$577</f>
        <v>0.13614999999999999</v>
      </c>
      <c r="F1818" s="26" t="s">
        <v>1698</v>
      </c>
      <c r="G1818" s="26">
        <f>G1817*E1818</f>
        <v>156.57249999999999</v>
      </c>
    </row>
    <row r="1819" spans="1:7">
      <c r="A1819" s="26"/>
      <c r="B1819" s="26" t="s">
        <v>1191</v>
      </c>
      <c r="D1819" s="68">
        <f>G1788</f>
        <v>18</v>
      </c>
      <c r="E1819" s="68" t="str">
        <f>H1788</f>
        <v>Nos.</v>
      </c>
      <c r="F1819" s="26" t="s">
        <v>1698</v>
      </c>
      <c r="G1819" s="211">
        <f>G1818+G1817</f>
        <v>1306.5725</v>
      </c>
    </row>
    <row r="1820" spans="1:7">
      <c r="A1820" s="26"/>
      <c r="B1820" s="170" t="s">
        <v>1584</v>
      </c>
      <c r="C1820" s="211" t="s">
        <v>4935</v>
      </c>
      <c r="D1820" s="26" t="s">
        <v>6785</v>
      </c>
      <c r="F1820" s="26" t="s">
        <v>4108</v>
      </c>
      <c r="G1820" s="211">
        <f>ROUND(G1819/D1819,1)</f>
        <v>72.599999999999994</v>
      </c>
    </row>
    <row r="1821" spans="1:7">
      <c r="A1821" s="26"/>
    </row>
    <row r="1822" spans="1:7">
      <c r="A1822" s="26"/>
    </row>
    <row r="1823" spans="1:7" ht="18.75">
      <c r="A1823" s="78" t="s">
        <v>5504</v>
      </c>
      <c r="B1823" s="26" t="s">
        <v>9116</v>
      </c>
    </row>
    <row r="1824" spans="1:7">
      <c r="B1824" s="26" t="s">
        <v>4205</v>
      </c>
    </row>
    <row r="1825" spans="1:8" ht="18.75">
      <c r="B1825" s="26" t="s">
        <v>9117</v>
      </c>
    </row>
    <row r="1826" spans="1:8">
      <c r="B1826" s="26"/>
    </row>
    <row r="1827" spans="1:8" hidden="1">
      <c r="A1827" s="78" t="s">
        <v>3984</v>
      </c>
      <c r="B1827" s="26" t="s">
        <v>1962</v>
      </c>
    </row>
    <row r="1828" spans="1:8" hidden="1">
      <c r="B1828" s="26" t="s">
        <v>4323</v>
      </c>
      <c r="G1828" s="78"/>
    </row>
    <row r="1829" spans="1:8">
      <c r="A1829" s="26"/>
    </row>
    <row r="1830" spans="1:8">
      <c r="A1830" s="26" t="s">
        <v>3984</v>
      </c>
      <c r="C1830" s="203" t="s">
        <v>2367</v>
      </c>
      <c r="D1830" s="171"/>
      <c r="F1830" s="171" t="s">
        <v>297</v>
      </c>
      <c r="G1830" s="162">
        <v>8</v>
      </c>
      <c r="H1830" s="26" t="s">
        <v>4041</v>
      </c>
    </row>
    <row r="1831" spans="1:8">
      <c r="A1831" s="26"/>
      <c r="B1831" s="79" t="s">
        <v>2368</v>
      </c>
    </row>
    <row r="1832" spans="1:8">
      <c r="A1832" s="26"/>
      <c r="B1832" s="95" t="s">
        <v>2369</v>
      </c>
      <c r="C1832" s="157" t="s">
        <v>6374</v>
      </c>
      <c r="D1832" s="195"/>
      <c r="E1832" s="95" t="s">
        <v>2370</v>
      </c>
      <c r="F1832" s="95" t="s">
        <v>1166</v>
      </c>
      <c r="G1832" s="95" t="s">
        <v>2371</v>
      </c>
      <c r="H1832" s="95" t="s">
        <v>2372</v>
      </c>
    </row>
    <row r="1833" spans="1:8">
      <c r="A1833" s="26"/>
      <c r="B1833" s="114"/>
      <c r="C1833" s="154"/>
      <c r="D1833" s="192"/>
      <c r="E1833" s="114"/>
      <c r="F1833" s="114"/>
      <c r="G1833" s="114" t="s">
        <v>3485</v>
      </c>
      <c r="H1833" s="114" t="s">
        <v>3485</v>
      </c>
    </row>
    <row r="1834" spans="1:8">
      <c r="A1834" s="26"/>
      <c r="B1834" s="95">
        <v>1</v>
      </c>
      <c r="C1834" s="93" t="s">
        <v>6976</v>
      </c>
      <c r="E1834" s="95"/>
      <c r="F1834" s="190">
        <v>0</v>
      </c>
      <c r="G1834" s="190">
        <v>0</v>
      </c>
      <c r="H1834" s="190">
        <f>F1834*G1834</f>
        <v>0</v>
      </c>
    </row>
    <row r="1835" spans="1:8">
      <c r="A1835" s="26"/>
      <c r="B1835" s="275"/>
      <c r="C1835" s="135"/>
      <c r="D1835" s="31"/>
      <c r="E1835" s="105"/>
      <c r="F1835" s="190">
        <v>0</v>
      </c>
      <c r="G1835" s="182">
        <v>0</v>
      </c>
      <c r="H1835" s="182">
        <f>F1835*G1835</f>
        <v>0</v>
      </c>
    </row>
    <row r="1836" spans="1:8">
      <c r="A1836" s="26"/>
      <c r="B1836" s="92"/>
      <c r="C1836" s="159"/>
      <c r="D1836" s="159" t="s">
        <v>2376</v>
      </c>
      <c r="E1836" s="159"/>
      <c r="F1836" s="238"/>
      <c r="G1836" s="236" t="s">
        <v>1698</v>
      </c>
      <c r="H1836" s="318">
        <f>SUM(H1834:H1835)</f>
        <v>0</v>
      </c>
    </row>
    <row r="1837" spans="1:8">
      <c r="A1837" s="26"/>
    </row>
    <row r="1838" spans="1:8">
      <c r="A1838" s="26"/>
      <c r="B1838" s="79" t="s">
        <v>2377</v>
      </c>
    </row>
    <row r="1839" spans="1:8">
      <c r="A1839" s="26"/>
      <c r="B1839" s="95" t="s">
        <v>2369</v>
      </c>
      <c r="C1839" s="157" t="s">
        <v>2378</v>
      </c>
      <c r="D1839" s="195"/>
      <c r="E1839" s="95" t="s">
        <v>2370</v>
      </c>
      <c r="F1839" s="95" t="s">
        <v>1166</v>
      </c>
      <c r="G1839" s="95" t="s">
        <v>2371</v>
      </c>
      <c r="H1839" s="95" t="s">
        <v>2372</v>
      </c>
    </row>
    <row r="1840" spans="1:8">
      <c r="A1840" s="26"/>
      <c r="B1840" s="114"/>
      <c r="C1840" s="154"/>
      <c r="D1840" s="192"/>
      <c r="E1840" s="114"/>
      <c r="F1840" s="114"/>
      <c r="G1840" s="114" t="s">
        <v>3485</v>
      </c>
      <c r="H1840" s="114" t="s">
        <v>3485</v>
      </c>
    </row>
    <row r="1841" spans="1:8">
      <c r="A1841" s="26"/>
      <c r="B1841" s="105">
        <v>1</v>
      </c>
      <c r="C1841" s="93" t="s">
        <v>6976</v>
      </c>
      <c r="E1841" s="210"/>
      <c r="F1841" s="190">
        <v>0</v>
      </c>
      <c r="G1841" s="190">
        <v>0</v>
      </c>
      <c r="H1841" s="190">
        <f>F1841*G1841</f>
        <v>0</v>
      </c>
    </row>
    <row r="1842" spans="1:8">
      <c r="A1842" s="26"/>
      <c r="B1842" s="275"/>
      <c r="C1842" s="139"/>
      <c r="D1842" s="174"/>
      <c r="E1842" s="191"/>
      <c r="F1842" s="182">
        <v>0</v>
      </c>
      <c r="G1842" s="182">
        <v>0</v>
      </c>
      <c r="H1842" s="182">
        <f>F1842*G1842</f>
        <v>0</v>
      </c>
    </row>
    <row r="1843" spans="1:8">
      <c r="A1843" s="26"/>
      <c r="B1843" s="176"/>
      <c r="C1843" s="174"/>
      <c r="D1843" s="174" t="s">
        <v>2380</v>
      </c>
      <c r="E1843" s="174"/>
      <c r="F1843" s="192"/>
      <c r="G1843" s="275" t="s">
        <v>1698</v>
      </c>
      <c r="H1843" s="318">
        <f>SUM(H1841:H1842)</f>
        <v>0</v>
      </c>
    </row>
    <row r="1844" spans="1:8">
      <c r="A1844" s="26"/>
    </row>
    <row r="1845" spans="1:8">
      <c r="A1845" s="26"/>
      <c r="B1845" s="79" t="s">
        <v>2381</v>
      </c>
    </row>
    <row r="1846" spans="1:8">
      <c r="A1846" s="26"/>
      <c r="B1846" s="95" t="s">
        <v>2369</v>
      </c>
      <c r="C1846" s="157" t="s">
        <v>2378</v>
      </c>
      <c r="D1846" s="195"/>
      <c r="E1846" s="95" t="s">
        <v>2370</v>
      </c>
      <c r="F1846" s="95" t="s">
        <v>1166</v>
      </c>
      <c r="G1846" s="95" t="s">
        <v>2371</v>
      </c>
      <c r="H1846" s="95" t="s">
        <v>2372</v>
      </c>
    </row>
    <row r="1847" spans="1:8">
      <c r="A1847" s="26"/>
      <c r="B1847" s="114"/>
      <c r="C1847" s="154"/>
      <c r="D1847" s="192"/>
      <c r="E1847" s="105"/>
      <c r="F1847" s="114"/>
      <c r="G1847" s="114" t="s">
        <v>3485</v>
      </c>
      <c r="H1847" s="114" t="s">
        <v>3485</v>
      </c>
    </row>
    <row r="1848" spans="1:8">
      <c r="A1848" s="26"/>
      <c r="B1848" s="95">
        <v>1</v>
      </c>
      <c r="C1848" s="148" t="s">
        <v>4206</v>
      </c>
      <c r="D1848" s="187"/>
      <c r="E1848" s="107" t="s">
        <v>1172</v>
      </c>
      <c r="F1848" s="178">
        <v>1</v>
      </c>
      <c r="G1848" s="179">
        <f>'BASIC DATA'!C473</f>
        <v>450</v>
      </c>
      <c r="H1848" s="179">
        <f>F1848*G1848</f>
        <v>450</v>
      </c>
    </row>
    <row r="1849" spans="1:8">
      <c r="A1849" s="26"/>
      <c r="B1849" s="114">
        <v>2</v>
      </c>
      <c r="C1849" s="89" t="s">
        <v>2697</v>
      </c>
      <c r="D1849" s="174"/>
      <c r="E1849" s="191" t="s">
        <v>1172</v>
      </c>
      <c r="F1849" s="181">
        <v>2</v>
      </c>
      <c r="G1849" s="182">
        <f>'BASIC DATA'!C552</f>
        <v>350</v>
      </c>
      <c r="H1849" s="190">
        <f>F1849*G1849</f>
        <v>700</v>
      </c>
    </row>
    <row r="1850" spans="1:8">
      <c r="A1850" s="26"/>
      <c r="B1850" s="176"/>
      <c r="C1850" s="174"/>
      <c r="D1850" s="174" t="s">
        <v>1174</v>
      </c>
      <c r="E1850" s="174"/>
      <c r="F1850" s="192"/>
      <c r="G1850" s="275" t="s">
        <v>1698</v>
      </c>
      <c r="H1850" s="318">
        <f>SUM(H1848:H1849)</f>
        <v>1150</v>
      </c>
    </row>
    <row r="1851" spans="1:8">
      <c r="A1851" s="26"/>
      <c r="B1851" s="60" t="s">
        <v>5948</v>
      </c>
      <c r="C1851" s="31"/>
      <c r="D1851" s="31"/>
      <c r="E1851" s="85">
        <f>ROUND(H1850/G1830,1)</f>
        <v>143.80000000000001</v>
      </c>
      <c r="G1851" s="31"/>
    </row>
    <row r="1852" spans="1:8">
      <c r="A1852" s="26"/>
      <c r="B1852" s="60" t="s">
        <v>3163</v>
      </c>
      <c r="C1852" s="31"/>
      <c r="D1852" s="31">
        <f>'BASIC DATA'!$C$577</f>
        <v>0.13614999999999999</v>
      </c>
      <c r="E1852" s="85">
        <f>ROUND(E1851*D1852,1)</f>
        <v>19.600000000000001</v>
      </c>
      <c r="G1852" s="31"/>
    </row>
    <row r="1853" spans="1:8">
      <c r="A1853" s="26"/>
      <c r="B1853" s="60" t="s">
        <v>5949</v>
      </c>
      <c r="C1853" s="31"/>
      <c r="D1853" s="31"/>
      <c r="E1853" s="739">
        <f>E1852+E1851</f>
        <v>163.4</v>
      </c>
      <c r="G1853" s="31"/>
    </row>
    <row r="1854" spans="1:8">
      <c r="A1854" s="26"/>
      <c r="B1854" s="26"/>
    </row>
    <row r="1855" spans="1:8">
      <c r="A1855" s="26"/>
      <c r="B1855" s="170" t="s">
        <v>1175</v>
      </c>
    </row>
    <row r="1856" spans="1:8">
      <c r="A1856" s="26"/>
      <c r="B1856" s="26" t="s">
        <v>5010</v>
      </c>
      <c r="F1856" s="171" t="s">
        <v>1698</v>
      </c>
      <c r="G1856" s="68">
        <f>H1836</f>
        <v>0</v>
      </c>
    </row>
    <row r="1857" spans="1:8">
      <c r="A1857" s="26"/>
      <c r="B1857" s="26" t="s">
        <v>1186</v>
      </c>
      <c r="F1857" s="171" t="s">
        <v>1698</v>
      </c>
      <c r="G1857" s="68">
        <f>H1843</f>
        <v>0</v>
      </c>
    </row>
    <row r="1858" spans="1:8">
      <c r="A1858" s="26"/>
      <c r="B1858" s="26" t="s">
        <v>2660</v>
      </c>
      <c r="F1858" s="171" t="s">
        <v>1698</v>
      </c>
      <c r="G1858" s="75">
        <f>H1850</f>
        <v>1150</v>
      </c>
    </row>
    <row r="1859" spans="1:8">
      <c r="A1859" s="26"/>
      <c r="E1859" s="26" t="s">
        <v>1518</v>
      </c>
      <c r="F1859" s="171" t="s">
        <v>1698</v>
      </c>
      <c r="G1859" s="205">
        <f>SUM(G1856:G1858)</f>
        <v>1150</v>
      </c>
    </row>
    <row r="1860" spans="1:8" ht="39" customHeight="1">
      <c r="A1860" s="26"/>
      <c r="B1860" s="1207" t="s">
        <v>1379</v>
      </c>
      <c r="C1860" s="1207"/>
      <c r="E1860" s="249">
        <f>'BASIC DATA'!$C$577</f>
        <v>0.13614999999999999</v>
      </c>
      <c r="F1860" s="26" t="s">
        <v>1698</v>
      </c>
      <c r="G1860" s="26">
        <f>G1859*E1860</f>
        <v>156.57249999999999</v>
      </c>
    </row>
    <row r="1861" spans="1:8">
      <c r="A1861" s="26"/>
      <c r="B1861" s="26" t="s">
        <v>1191</v>
      </c>
      <c r="D1861" s="68">
        <f>G1830</f>
        <v>8</v>
      </c>
      <c r="E1861" s="68" t="str">
        <f>H1830</f>
        <v>Nos.</v>
      </c>
      <c r="F1861" s="26" t="s">
        <v>1698</v>
      </c>
      <c r="G1861" s="211">
        <f>G1860+G1859</f>
        <v>1306.5725</v>
      </c>
    </row>
    <row r="1862" spans="1:8">
      <c r="A1862" s="26"/>
      <c r="B1862" s="170" t="s">
        <v>1584</v>
      </c>
      <c r="C1862" s="211" t="s">
        <v>4935</v>
      </c>
      <c r="D1862" s="26" t="s">
        <v>6785</v>
      </c>
      <c r="F1862" s="26" t="s">
        <v>4108</v>
      </c>
      <c r="G1862" s="211">
        <f>ROUND(G1861/D1861,1)</f>
        <v>163.30000000000001</v>
      </c>
    </row>
    <row r="1863" spans="1:8">
      <c r="A1863" s="26"/>
    </row>
    <row r="1864" spans="1:8">
      <c r="A1864" s="78" t="s">
        <v>5505</v>
      </c>
      <c r="B1864" s="26" t="s">
        <v>9187</v>
      </c>
    </row>
    <row r="1865" spans="1:8">
      <c r="B1865" s="26" t="s">
        <v>9188</v>
      </c>
    </row>
    <row r="1866" spans="1:8">
      <c r="B1866" s="26" t="s">
        <v>9189</v>
      </c>
    </row>
    <row r="1867" spans="1:8">
      <c r="B1867" s="26" t="s">
        <v>9190</v>
      </c>
    </row>
    <row r="1868" spans="1:8">
      <c r="B1868" s="26" t="s">
        <v>9191</v>
      </c>
    </row>
    <row r="1869" spans="1:8">
      <c r="B1869" s="170" t="s">
        <v>9192</v>
      </c>
    </row>
    <row r="1870" spans="1:8">
      <c r="B1870" s="26"/>
    </row>
    <row r="1871" spans="1:8" hidden="1">
      <c r="A1871" s="78" t="s">
        <v>3984</v>
      </c>
      <c r="B1871" s="26" t="s">
        <v>602</v>
      </c>
      <c r="F1871" s="78" t="s">
        <v>1697</v>
      </c>
      <c r="G1871" s="68">
        <v>0.5</v>
      </c>
      <c r="H1871" s="26" t="s">
        <v>3477</v>
      </c>
    </row>
    <row r="1872" spans="1:8" hidden="1">
      <c r="B1872" s="26" t="s">
        <v>603</v>
      </c>
      <c r="F1872" s="78" t="s">
        <v>1697</v>
      </c>
      <c r="G1872" s="68">
        <v>0.57999999999999996</v>
      </c>
      <c r="H1872" s="26" t="s">
        <v>3477</v>
      </c>
    </row>
    <row r="1873" spans="2:8" hidden="1">
      <c r="B1873" s="26" t="s">
        <v>604</v>
      </c>
      <c r="F1873" s="78" t="s">
        <v>1697</v>
      </c>
      <c r="G1873" s="68">
        <v>5</v>
      </c>
      <c r="H1873" s="26" t="s">
        <v>3477</v>
      </c>
    </row>
    <row r="1874" spans="2:8" hidden="1">
      <c r="B1874" s="26" t="s">
        <v>2541</v>
      </c>
      <c r="F1874" s="78" t="s">
        <v>3432</v>
      </c>
      <c r="G1874" s="26">
        <v>1</v>
      </c>
      <c r="H1874" s="26" t="s">
        <v>3430</v>
      </c>
    </row>
    <row r="1875" spans="2:8" hidden="1">
      <c r="B1875" s="26" t="s">
        <v>4569</v>
      </c>
      <c r="F1875" s="78" t="s">
        <v>1697</v>
      </c>
      <c r="G1875" s="26">
        <v>15</v>
      </c>
      <c r="H1875" s="26" t="s">
        <v>6703</v>
      </c>
    </row>
    <row r="1876" spans="2:8" hidden="1">
      <c r="B1876" s="26" t="s">
        <v>5632</v>
      </c>
      <c r="F1876" s="78" t="s">
        <v>1697</v>
      </c>
      <c r="G1876" s="26">
        <v>20</v>
      </c>
      <c r="H1876" s="26" t="s">
        <v>6703</v>
      </c>
    </row>
    <row r="1877" spans="2:8" hidden="1">
      <c r="B1877" s="26" t="s">
        <v>3985</v>
      </c>
      <c r="F1877" s="78" t="s">
        <v>1697</v>
      </c>
      <c r="G1877" s="68">
        <v>2.5</v>
      </c>
      <c r="H1877" s="26" t="s">
        <v>2603</v>
      </c>
    </row>
    <row r="1878" spans="2:8" hidden="1">
      <c r="B1878" s="26" t="s">
        <v>4030</v>
      </c>
      <c r="F1878" s="78" t="s">
        <v>1697</v>
      </c>
      <c r="G1878" s="26">
        <v>25</v>
      </c>
      <c r="H1878" s="26" t="s">
        <v>3434</v>
      </c>
    </row>
    <row r="1879" spans="2:8" hidden="1">
      <c r="B1879" s="26" t="s">
        <v>5633</v>
      </c>
      <c r="F1879" s="78" t="s">
        <v>1697</v>
      </c>
      <c r="G1879" s="68">
        <v>0.5</v>
      </c>
      <c r="H1879" s="26" t="s">
        <v>3477</v>
      </c>
    </row>
    <row r="1880" spans="2:8" hidden="1">
      <c r="B1880" s="26" t="s">
        <v>5634</v>
      </c>
      <c r="F1880" s="78" t="s">
        <v>1697</v>
      </c>
      <c r="G1880" s="68">
        <v>4</v>
      </c>
      <c r="H1880" s="26" t="s">
        <v>3477</v>
      </c>
    </row>
    <row r="1881" spans="2:8" hidden="1">
      <c r="B1881" s="26" t="s">
        <v>5635</v>
      </c>
      <c r="F1881" s="338" t="s">
        <v>1123</v>
      </c>
      <c r="G1881" s="26">
        <v>8</v>
      </c>
      <c r="H1881" s="26" t="s">
        <v>4932</v>
      </c>
    </row>
    <row r="1882" spans="2:8" hidden="1">
      <c r="B1882" s="26" t="s">
        <v>761</v>
      </c>
      <c r="F1882" s="338" t="s">
        <v>1123</v>
      </c>
      <c r="G1882" s="26">
        <v>3.33</v>
      </c>
      <c r="H1882" s="26" t="s">
        <v>2603</v>
      </c>
    </row>
    <row r="1883" spans="2:8" hidden="1">
      <c r="B1883" s="26" t="s">
        <v>1613</v>
      </c>
      <c r="F1883" s="78" t="s">
        <v>1697</v>
      </c>
    </row>
    <row r="1884" spans="2:8" hidden="1">
      <c r="B1884" s="26" t="s">
        <v>3258</v>
      </c>
      <c r="F1884" s="78" t="s">
        <v>1697</v>
      </c>
      <c r="G1884" s="26">
        <v>3.33</v>
      </c>
      <c r="H1884" s="26" t="s">
        <v>2603</v>
      </c>
    </row>
    <row r="1885" spans="2:8" hidden="1">
      <c r="B1885" s="26" t="s">
        <v>762</v>
      </c>
      <c r="F1885" s="78" t="s">
        <v>1697</v>
      </c>
      <c r="G1885" s="68">
        <v>4</v>
      </c>
      <c r="H1885" s="26" t="s">
        <v>2603</v>
      </c>
    </row>
    <row r="1886" spans="2:8" hidden="1">
      <c r="B1886" s="26" t="s">
        <v>705</v>
      </c>
      <c r="F1886" s="78" t="s">
        <v>1697</v>
      </c>
      <c r="G1886" s="68">
        <v>2.5</v>
      </c>
      <c r="H1886" s="26" t="s">
        <v>2603</v>
      </c>
    </row>
    <row r="1887" spans="2:8" hidden="1">
      <c r="B1887" s="26" t="s">
        <v>3918</v>
      </c>
      <c r="F1887" s="78" t="s">
        <v>1697</v>
      </c>
      <c r="G1887" s="68">
        <v>3</v>
      </c>
      <c r="H1887" s="26" t="s">
        <v>2603</v>
      </c>
    </row>
    <row r="1888" spans="2:8" hidden="1">
      <c r="B1888" s="26" t="s">
        <v>263</v>
      </c>
      <c r="F1888" s="78" t="s">
        <v>1697</v>
      </c>
      <c r="G1888" s="173">
        <v>0.5</v>
      </c>
      <c r="H1888" s="26" t="s">
        <v>2603</v>
      </c>
    </row>
    <row r="1889" spans="1:8" hidden="1">
      <c r="B1889" s="26"/>
      <c r="E1889" s="26" t="s">
        <v>1518</v>
      </c>
      <c r="F1889" s="78" t="s">
        <v>1697</v>
      </c>
      <c r="G1889" s="26">
        <f>SUM(G1884:G1888)</f>
        <v>13.33</v>
      </c>
      <c r="H1889" s="26" t="s">
        <v>2603</v>
      </c>
    </row>
    <row r="1890" spans="1:8" hidden="1">
      <c r="B1890" s="26" t="s">
        <v>3919</v>
      </c>
      <c r="F1890" s="78" t="s">
        <v>1697</v>
      </c>
      <c r="G1890" s="26">
        <v>4</v>
      </c>
      <c r="H1890" s="26" t="s">
        <v>2059</v>
      </c>
    </row>
    <row r="1891" spans="1:8" hidden="1">
      <c r="B1891" s="26" t="s">
        <v>2224</v>
      </c>
      <c r="F1891" s="78" t="s">
        <v>1697</v>
      </c>
      <c r="G1891" s="68">
        <v>15</v>
      </c>
      <c r="H1891" s="26" t="s">
        <v>3477</v>
      </c>
    </row>
    <row r="1892" spans="1:8" hidden="1">
      <c r="B1892" s="26" t="s">
        <v>2225</v>
      </c>
      <c r="F1892" s="78" t="s">
        <v>1123</v>
      </c>
      <c r="G1892" s="68">
        <v>480</v>
      </c>
      <c r="H1892" s="26" t="s">
        <v>3477</v>
      </c>
    </row>
    <row r="1893" spans="1:8" hidden="1">
      <c r="A1893" s="78">
        <v>1</v>
      </c>
      <c r="B1893" s="26" t="s">
        <v>2860</v>
      </c>
    </row>
    <row r="1894" spans="1:8" hidden="1">
      <c r="B1894" s="26" t="s">
        <v>2070</v>
      </c>
      <c r="F1894" s="78" t="s">
        <v>1697</v>
      </c>
      <c r="G1894" s="26">
        <v>240</v>
      </c>
      <c r="H1894" s="26" t="s">
        <v>3479</v>
      </c>
    </row>
    <row r="1895" spans="1:8" hidden="1">
      <c r="B1895" s="26" t="s">
        <v>4450</v>
      </c>
      <c r="F1895" s="78" t="s">
        <v>1697</v>
      </c>
      <c r="G1895" s="26">
        <v>0.25</v>
      </c>
      <c r="H1895" s="26" t="s">
        <v>2602</v>
      </c>
    </row>
    <row r="1896" spans="1:8" hidden="1">
      <c r="B1896" s="26" t="s">
        <v>1040</v>
      </c>
      <c r="F1896" s="78" t="s">
        <v>1697</v>
      </c>
      <c r="G1896" s="68">
        <v>63</v>
      </c>
      <c r="H1896" s="26" t="s">
        <v>3477</v>
      </c>
    </row>
    <row r="1897" spans="1:8" hidden="1">
      <c r="B1897" s="26" t="s">
        <v>3248</v>
      </c>
      <c r="F1897" s="78" t="s">
        <v>1697</v>
      </c>
      <c r="G1897" s="68">
        <v>100</v>
      </c>
      <c r="H1897" s="26" t="s">
        <v>3477</v>
      </c>
    </row>
    <row r="1898" spans="1:8" hidden="1">
      <c r="B1898" s="26" t="s">
        <v>1041</v>
      </c>
      <c r="F1898" s="78" t="s">
        <v>1697</v>
      </c>
      <c r="G1898" s="26">
        <v>0.63</v>
      </c>
      <c r="H1898" s="26" t="s">
        <v>4665</v>
      </c>
    </row>
    <row r="1899" spans="1:8" hidden="1">
      <c r="B1899" s="26" t="s">
        <v>1042</v>
      </c>
    </row>
    <row r="1900" spans="1:8" hidden="1">
      <c r="B1900" s="26" t="s">
        <v>1043</v>
      </c>
      <c r="F1900" s="78" t="s">
        <v>1697</v>
      </c>
      <c r="G1900" s="68">
        <v>2</v>
      </c>
      <c r="H1900" s="26" t="s">
        <v>4665</v>
      </c>
    </row>
    <row r="1901" spans="1:8" hidden="1">
      <c r="A1901" s="78">
        <v>2</v>
      </c>
      <c r="B1901" s="26" t="s">
        <v>6281</v>
      </c>
    </row>
    <row r="1902" spans="1:8" hidden="1">
      <c r="B1902" s="26" t="s">
        <v>4117</v>
      </c>
    </row>
    <row r="1903" spans="1:8" hidden="1">
      <c r="B1903" s="26" t="s">
        <v>1260</v>
      </c>
    </row>
    <row r="1904" spans="1:8" hidden="1">
      <c r="A1904" s="78">
        <v>3</v>
      </c>
      <c r="B1904" s="26" t="s">
        <v>1261</v>
      </c>
    </row>
    <row r="1905" spans="1:8" hidden="1">
      <c r="B1905" s="26" t="s">
        <v>2214</v>
      </c>
      <c r="F1905" s="78" t="s">
        <v>1697</v>
      </c>
      <c r="G1905" s="68">
        <v>576</v>
      </c>
      <c r="H1905" s="26" t="s">
        <v>3477</v>
      </c>
    </row>
    <row r="1906" spans="1:8" hidden="1">
      <c r="B1906" s="26" t="s">
        <v>6514</v>
      </c>
      <c r="F1906" s="78" t="s">
        <v>1697</v>
      </c>
      <c r="G1906" s="68">
        <v>200</v>
      </c>
      <c r="H1906" s="26" t="s">
        <v>3477</v>
      </c>
    </row>
    <row r="1907" spans="1:8" hidden="1">
      <c r="B1907" s="26" t="s">
        <v>2215</v>
      </c>
      <c r="F1907" s="78" t="s">
        <v>1123</v>
      </c>
      <c r="G1907" s="68">
        <v>3</v>
      </c>
      <c r="H1907" s="26" t="s">
        <v>4665</v>
      </c>
    </row>
    <row r="1908" spans="1:8" hidden="1">
      <c r="A1908" s="78">
        <v>4</v>
      </c>
      <c r="B1908" s="26" t="s">
        <v>6193</v>
      </c>
    </row>
    <row r="1909" spans="1:8" hidden="1">
      <c r="B1909" s="26" t="s">
        <v>6794</v>
      </c>
    </row>
    <row r="1910" spans="1:8" hidden="1">
      <c r="B1910" s="26" t="s">
        <v>6795</v>
      </c>
    </row>
    <row r="1911" spans="1:8" hidden="1">
      <c r="B1911" s="26" t="s">
        <v>6796</v>
      </c>
    </row>
    <row r="1912" spans="1:8" hidden="1">
      <c r="B1912" s="26" t="s">
        <v>4764</v>
      </c>
    </row>
    <row r="1913" spans="1:8" hidden="1">
      <c r="B1913" s="26" t="s">
        <v>4765</v>
      </c>
    </row>
    <row r="1914" spans="1:8" hidden="1">
      <c r="B1914" s="26" t="s">
        <v>3651</v>
      </c>
    </row>
    <row r="1915" spans="1:8" hidden="1">
      <c r="A1915" s="78">
        <v>5</v>
      </c>
      <c r="B1915" s="26" t="s">
        <v>6798</v>
      </c>
    </row>
    <row r="1916" spans="1:8" hidden="1">
      <c r="B1916" s="26" t="s">
        <v>3647</v>
      </c>
    </row>
    <row r="1917" spans="1:8" hidden="1">
      <c r="B1917" s="26" t="s">
        <v>9193</v>
      </c>
    </row>
    <row r="1918" spans="1:8" hidden="1">
      <c r="B1918" s="26" t="s">
        <v>9194</v>
      </c>
    </row>
    <row r="1919" spans="1:8" hidden="1">
      <c r="B1919" s="26" t="s">
        <v>3650</v>
      </c>
      <c r="F1919" s="78" t="s">
        <v>1697</v>
      </c>
      <c r="G1919" s="26">
        <v>1.9</v>
      </c>
      <c r="H1919" s="26" t="s">
        <v>2602</v>
      </c>
    </row>
    <row r="1920" spans="1:8" hidden="1">
      <c r="B1920" s="26" t="s">
        <v>4995</v>
      </c>
      <c r="F1920" s="78" t="s">
        <v>1697</v>
      </c>
      <c r="G1920" s="26">
        <v>4</v>
      </c>
      <c r="H1920" s="26" t="s">
        <v>3430</v>
      </c>
    </row>
    <row r="1921" spans="1:8" hidden="1">
      <c r="B1921" s="26" t="s">
        <v>4997</v>
      </c>
      <c r="F1921" s="78" t="s">
        <v>1697</v>
      </c>
      <c r="G1921" s="26">
        <v>0.3</v>
      </c>
      <c r="H1921" s="26" t="s">
        <v>2602</v>
      </c>
    </row>
    <row r="1922" spans="1:8" hidden="1">
      <c r="B1922" s="26" t="s">
        <v>1504</v>
      </c>
      <c r="F1922" s="78" t="s">
        <v>1697</v>
      </c>
      <c r="G1922" s="26">
        <v>11</v>
      </c>
      <c r="H1922" s="26" t="s">
        <v>2059</v>
      </c>
    </row>
    <row r="1923" spans="1:8" hidden="1">
      <c r="B1923" s="26" t="s">
        <v>1209</v>
      </c>
    </row>
    <row r="1924" spans="1:8" hidden="1">
      <c r="B1924" s="26" t="s">
        <v>6004</v>
      </c>
      <c r="E1924" s="26">
        <f>50/60*(1.9*4000*0.3*0.6/11)</f>
        <v>103.63636363636364</v>
      </c>
      <c r="F1924" s="78" t="s">
        <v>1123</v>
      </c>
      <c r="G1924" s="68">
        <v>103</v>
      </c>
      <c r="H1924" s="26" t="s">
        <v>3477</v>
      </c>
    </row>
    <row r="1925" spans="1:8" hidden="1">
      <c r="B1925" s="26" t="s">
        <v>2989</v>
      </c>
      <c r="E1925" s="26">
        <f>576/G1924</f>
        <v>5.592233009708738</v>
      </c>
      <c r="F1925" s="78" t="s">
        <v>1123</v>
      </c>
      <c r="G1925" s="68">
        <v>6</v>
      </c>
      <c r="H1925" s="26" t="s">
        <v>4665</v>
      </c>
    </row>
    <row r="1926" spans="1:8" hidden="1">
      <c r="A1926" s="78">
        <v>6</v>
      </c>
      <c r="B1926" s="26" t="s">
        <v>1129</v>
      </c>
    </row>
    <row r="1927" spans="1:8" hidden="1">
      <c r="B1927" s="26" t="s">
        <v>5043</v>
      </c>
    </row>
    <row r="1928" spans="1:8">
      <c r="A1928" s="26" t="s">
        <v>9215</v>
      </c>
      <c r="C1928" s="203" t="s">
        <v>2367</v>
      </c>
      <c r="D1928" s="171"/>
      <c r="F1928" s="171" t="s">
        <v>297</v>
      </c>
      <c r="G1928" s="162">
        <v>480</v>
      </c>
      <c r="H1928" s="26" t="s">
        <v>3477</v>
      </c>
    </row>
    <row r="1929" spans="1:8">
      <c r="A1929" s="26"/>
      <c r="B1929" s="79" t="s">
        <v>2368</v>
      </c>
    </row>
    <row r="1930" spans="1:8">
      <c r="A1930" s="26"/>
      <c r="B1930" s="95" t="s">
        <v>2369</v>
      </c>
      <c r="C1930" s="157" t="s">
        <v>6374</v>
      </c>
      <c r="D1930" s="195"/>
      <c r="E1930" s="95" t="s">
        <v>2370</v>
      </c>
      <c r="F1930" s="95" t="s">
        <v>1166</v>
      </c>
      <c r="G1930" s="95" t="s">
        <v>2371</v>
      </c>
      <c r="H1930" s="95" t="s">
        <v>2372</v>
      </c>
    </row>
    <row r="1931" spans="1:8">
      <c r="A1931" s="26"/>
      <c r="B1931" s="114"/>
      <c r="C1931" s="154"/>
      <c r="D1931" s="192"/>
      <c r="E1931" s="114"/>
      <c r="F1931" s="114"/>
      <c r="G1931" s="114" t="s">
        <v>3485</v>
      </c>
      <c r="H1931" s="114" t="s">
        <v>3485</v>
      </c>
    </row>
    <row r="1932" spans="1:8">
      <c r="A1932" s="26"/>
      <c r="B1932" s="95">
        <v>1</v>
      </c>
      <c r="C1932" s="93" t="s">
        <v>6976</v>
      </c>
      <c r="E1932" s="95"/>
      <c r="F1932" s="190">
        <v>0</v>
      </c>
      <c r="G1932" s="190">
        <v>0</v>
      </c>
      <c r="H1932" s="190">
        <f>F1932*G1932</f>
        <v>0</v>
      </c>
    </row>
    <row r="1933" spans="1:8">
      <c r="A1933" s="26"/>
      <c r="B1933" s="275"/>
      <c r="C1933" s="139"/>
      <c r="D1933" s="174"/>
      <c r="E1933" s="114"/>
      <c r="F1933" s="182">
        <v>0</v>
      </c>
      <c r="G1933" s="182">
        <v>0</v>
      </c>
      <c r="H1933" s="182">
        <f>F1933*G1933</f>
        <v>0</v>
      </c>
    </row>
    <row r="1934" spans="1:8" s="61" customFormat="1">
      <c r="B1934" s="444"/>
      <c r="C1934" s="60" t="s">
        <v>3219</v>
      </c>
      <c r="D1934" s="321"/>
      <c r="E1934" s="182">
        <f>'BASIC DATA'!$D$398</f>
        <v>30</v>
      </c>
      <c r="F1934" s="522"/>
      <c r="G1934" s="678" t="s">
        <v>1698</v>
      </c>
      <c r="H1934" s="255">
        <f>E1934*G1928</f>
        <v>14400</v>
      </c>
    </row>
    <row r="1935" spans="1:8">
      <c r="A1935" s="26"/>
      <c r="B1935" s="92"/>
      <c r="C1935" s="159"/>
      <c r="D1935" s="159" t="s">
        <v>2376</v>
      </c>
      <c r="E1935" s="159"/>
      <c r="F1935" s="238"/>
      <c r="G1935" s="236" t="s">
        <v>1698</v>
      </c>
      <c r="H1935" s="318">
        <f>SUM(H1932:H1934)</f>
        <v>14400</v>
      </c>
    </row>
    <row r="1936" spans="1:8">
      <c r="A1936" s="26"/>
    </row>
    <row r="1937" spans="1:8">
      <c r="A1937" s="26"/>
      <c r="B1937" s="79" t="s">
        <v>2377</v>
      </c>
    </row>
    <row r="1938" spans="1:8">
      <c r="A1938" s="26"/>
      <c r="B1938" s="95" t="s">
        <v>2369</v>
      </c>
      <c r="C1938" s="157" t="s">
        <v>2378</v>
      </c>
      <c r="D1938" s="195"/>
      <c r="E1938" s="95" t="s">
        <v>2370</v>
      </c>
      <c r="F1938" s="95" t="s">
        <v>1166</v>
      </c>
      <c r="G1938" s="95" t="s">
        <v>2371</v>
      </c>
      <c r="H1938" s="95" t="s">
        <v>2372</v>
      </c>
    </row>
    <row r="1939" spans="1:8">
      <c r="A1939" s="26"/>
      <c r="B1939" s="114"/>
      <c r="C1939" s="154"/>
      <c r="D1939" s="192"/>
      <c r="E1939" s="114"/>
      <c r="F1939" s="114"/>
      <c r="G1939" s="114" t="s">
        <v>3485</v>
      </c>
      <c r="H1939" s="114" t="s">
        <v>3485</v>
      </c>
    </row>
    <row r="1940" spans="1:8">
      <c r="A1940" s="26"/>
      <c r="B1940" s="105">
        <v>1</v>
      </c>
      <c r="C1940" s="135" t="s">
        <v>152</v>
      </c>
      <c r="E1940" s="105" t="s">
        <v>2374</v>
      </c>
      <c r="F1940" s="190">
        <v>5</v>
      </c>
      <c r="G1940" s="190">
        <f>'HIRE CHARGES'!D499</f>
        <v>1715.5</v>
      </c>
      <c r="H1940" s="190">
        <f>F1940*G1940</f>
        <v>8577.5</v>
      </c>
    </row>
    <row r="1941" spans="1:8">
      <c r="A1941" s="26"/>
      <c r="B1941" s="280"/>
      <c r="C1941" s="135" t="s">
        <v>2379</v>
      </c>
      <c r="E1941" s="105" t="s">
        <v>2374</v>
      </c>
      <c r="F1941" s="190">
        <v>5</v>
      </c>
      <c r="G1941" s="190">
        <f>'HIRE CHARGES'!E499</f>
        <v>610.5</v>
      </c>
      <c r="H1941" s="190">
        <f t="shared" ref="H1941:H1952" si="3">F1941*G1941</f>
        <v>3052.5</v>
      </c>
    </row>
    <row r="1942" spans="1:8">
      <c r="A1942" s="26"/>
      <c r="B1942" s="105">
        <v>2</v>
      </c>
      <c r="C1942" s="135" t="s">
        <v>2951</v>
      </c>
      <c r="E1942" s="105" t="s">
        <v>2374</v>
      </c>
      <c r="F1942" s="190">
        <v>8</v>
      </c>
      <c r="G1942" s="190">
        <f>'HIRE CHARGES'!D542</f>
        <v>1003.1</v>
      </c>
      <c r="H1942" s="190">
        <f t="shared" si="3"/>
        <v>8024.8</v>
      </c>
    </row>
    <row r="1943" spans="1:8">
      <c r="A1943" s="26"/>
      <c r="B1943" s="280"/>
      <c r="C1943" s="135" t="s">
        <v>2379</v>
      </c>
      <c r="E1943" s="105" t="s">
        <v>2374</v>
      </c>
      <c r="F1943" s="190">
        <v>8</v>
      </c>
      <c r="G1943" s="190">
        <f>'HIRE CHARGES'!E542</f>
        <v>476</v>
      </c>
      <c r="H1943" s="190">
        <f t="shared" si="3"/>
        <v>3808</v>
      </c>
    </row>
    <row r="1944" spans="1:8">
      <c r="A1944" s="26"/>
      <c r="B1944" s="105">
        <v>3</v>
      </c>
      <c r="C1944" s="135" t="s">
        <v>1131</v>
      </c>
      <c r="E1944" s="105" t="s">
        <v>2374</v>
      </c>
      <c r="F1944" s="190">
        <v>32</v>
      </c>
      <c r="G1944" s="190">
        <f>'HIRE CHARGES'!D545</f>
        <v>446.7</v>
      </c>
      <c r="H1944" s="190">
        <f t="shared" si="3"/>
        <v>14294.4</v>
      </c>
    </row>
    <row r="1945" spans="1:8">
      <c r="A1945" s="26"/>
      <c r="B1945" s="280"/>
      <c r="C1945" s="135" t="s">
        <v>2379</v>
      </c>
      <c r="E1945" s="105" t="s">
        <v>2374</v>
      </c>
      <c r="F1945" s="190">
        <v>32</v>
      </c>
      <c r="G1945" s="190">
        <f>'HIRE CHARGES'!E545</f>
        <v>299.89999999999998</v>
      </c>
      <c r="H1945" s="190">
        <f t="shared" si="3"/>
        <v>9596.7999999999993</v>
      </c>
    </row>
    <row r="1946" spans="1:8">
      <c r="A1946" s="26"/>
      <c r="B1946" s="105">
        <v>4</v>
      </c>
      <c r="C1946" s="135" t="s">
        <v>1132</v>
      </c>
      <c r="E1946" s="105" t="s">
        <v>2374</v>
      </c>
      <c r="F1946" s="190">
        <v>2</v>
      </c>
      <c r="G1946" s="190">
        <f>'HIRE CHARGES'!D517</f>
        <v>10.199999999999999</v>
      </c>
      <c r="H1946" s="190">
        <f t="shared" si="3"/>
        <v>20.399999999999999</v>
      </c>
    </row>
    <row r="1947" spans="1:8">
      <c r="A1947" s="26"/>
      <c r="B1947" s="280"/>
      <c r="C1947" s="135" t="s">
        <v>2379</v>
      </c>
      <c r="E1947" s="105" t="s">
        <v>2374</v>
      </c>
      <c r="F1947" s="190">
        <v>2</v>
      </c>
      <c r="G1947" s="190">
        <f>'HIRE CHARGES'!E517</f>
        <v>79.3</v>
      </c>
      <c r="H1947" s="190">
        <f t="shared" si="3"/>
        <v>158.6</v>
      </c>
    </row>
    <row r="1948" spans="1:8">
      <c r="A1948" s="26"/>
      <c r="B1948" s="105">
        <v>5</v>
      </c>
      <c r="C1948" s="135" t="s">
        <v>6286</v>
      </c>
      <c r="E1948" s="105" t="s">
        <v>2374</v>
      </c>
      <c r="F1948" s="190">
        <v>4</v>
      </c>
      <c r="G1948" s="190">
        <f>'HIRE CHARGES'!D555</f>
        <v>402.5</v>
      </c>
      <c r="H1948" s="190">
        <f t="shared" si="3"/>
        <v>1610</v>
      </c>
    </row>
    <row r="1949" spans="1:8">
      <c r="A1949" s="26"/>
      <c r="B1949" s="280"/>
      <c r="C1949" s="135" t="s">
        <v>2379</v>
      </c>
      <c r="E1949" s="105" t="s">
        <v>2374</v>
      </c>
      <c r="F1949" s="190">
        <v>4</v>
      </c>
      <c r="G1949" s="190">
        <f>'HIRE CHARGES'!E555</f>
        <v>299.89999999999998</v>
      </c>
      <c r="H1949" s="190">
        <f t="shared" si="3"/>
        <v>1199.5999999999999</v>
      </c>
    </row>
    <row r="1950" spans="1:8">
      <c r="A1950" s="26"/>
      <c r="B1950" s="105">
        <v>6</v>
      </c>
      <c r="C1950" s="135" t="s">
        <v>998</v>
      </c>
      <c r="E1950" s="105" t="s">
        <v>2374</v>
      </c>
      <c r="F1950" s="190">
        <f>G1925</f>
        <v>6</v>
      </c>
      <c r="G1950" s="190">
        <f>'HIRE CHARGES'!D553</f>
        <v>1342.2</v>
      </c>
      <c r="H1950" s="190">
        <f t="shared" si="3"/>
        <v>8053.2000000000007</v>
      </c>
    </row>
    <row r="1951" spans="1:8">
      <c r="A1951" s="26"/>
      <c r="B1951" s="280"/>
      <c r="C1951" s="135" t="s">
        <v>2379</v>
      </c>
      <c r="E1951" s="105" t="s">
        <v>2374</v>
      </c>
      <c r="F1951" s="190">
        <f>G1925</f>
        <v>6</v>
      </c>
      <c r="G1951" s="190">
        <f>'HIRE CHARGES'!E553</f>
        <v>1031.4000000000001</v>
      </c>
      <c r="H1951" s="190">
        <f t="shared" si="3"/>
        <v>6188.4000000000005</v>
      </c>
    </row>
    <row r="1952" spans="1:8">
      <c r="A1952" s="26"/>
      <c r="B1952" s="114">
        <v>7</v>
      </c>
      <c r="C1952" s="139" t="s">
        <v>2373</v>
      </c>
      <c r="D1952" s="174"/>
      <c r="E1952" s="114" t="s">
        <v>2173</v>
      </c>
      <c r="F1952" s="182">
        <v>2</v>
      </c>
      <c r="G1952" s="215">
        <f>'BASIC DATA'!D359</f>
        <v>30</v>
      </c>
      <c r="H1952" s="190">
        <f t="shared" si="3"/>
        <v>60</v>
      </c>
    </row>
    <row r="1953" spans="1:8">
      <c r="A1953" s="26"/>
      <c r="B1953" s="176"/>
      <c r="C1953" s="174"/>
      <c r="D1953" s="174" t="s">
        <v>2380</v>
      </c>
      <c r="E1953" s="174"/>
      <c r="F1953" s="192"/>
      <c r="G1953" s="275" t="s">
        <v>1698</v>
      </c>
      <c r="H1953" s="318">
        <f>SUM(H1940:H1952)</f>
        <v>64644.200000000004</v>
      </c>
    </row>
    <row r="1954" spans="1:8">
      <c r="A1954" s="26"/>
    </row>
    <row r="1955" spans="1:8">
      <c r="A1955" s="26"/>
      <c r="B1955" s="79" t="s">
        <v>2381</v>
      </c>
    </row>
    <row r="1956" spans="1:8">
      <c r="A1956" s="26"/>
      <c r="B1956" s="95" t="s">
        <v>2369</v>
      </c>
      <c r="C1956" s="157" t="s">
        <v>2378</v>
      </c>
      <c r="D1956" s="195"/>
      <c r="E1956" s="95" t="s">
        <v>2370</v>
      </c>
      <c r="F1956" s="95" t="s">
        <v>1166</v>
      </c>
      <c r="G1956" s="95" t="s">
        <v>2371</v>
      </c>
      <c r="H1956" s="95" t="s">
        <v>2372</v>
      </c>
    </row>
    <row r="1957" spans="1:8">
      <c r="A1957" s="26"/>
      <c r="B1957" s="114"/>
      <c r="C1957" s="154"/>
      <c r="D1957" s="192"/>
      <c r="E1957" s="105"/>
      <c r="F1957" s="114"/>
      <c r="G1957" s="114" t="s">
        <v>3485</v>
      </c>
      <c r="H1957" s="114" t="s">
        <v>3485</v>
      </c>
    </row>
    <row r="1958" spans="1:8">
      <c r="A1958" s="26"/>
      <c r="B1958" s="95">
        <v>1</v>
      </c>
      <c r="C1958" s="148" t="s">
        <v>2870</v>
      </c>
      <c r="D1958" s="187"/>
      <c r="E1958" s="95" t="s">
        <v>2374</v>
      </c>
      <c r="F1958" s="178">
        <v>4</v>
      </c>
      <c r="G1958" s="179">
        <f>'HIRE CHARGES'!F499</f>
        <v>236.6</v>
      </c>
      <c r="H1958" s="179">
        <f>F1958*G1958</f>
        <v>946.4</v>
      </c>
    </row>
    <row r="1959" spans="1:8">
      <c r="A1959" s="26"/>
      <c r="B1959" s="105">
        <v>2</v>
      </c>
      <c r="C1959" s="76" t="s">
        <v>300</v>
      </c>
      <c r="D1959" s="31"/>
      <c r="E1959" s="105" t="s">
        <v>2374</v>
      </c>
      <c r="F1959" s="207">
        <v>8</v>
      </c>
      <c r="G1959" s="190">
        <f>'HIRE CHARGES'!F542</f>
        <v>236.6</v>
      </c>
      <c r="H1959" s="190">
        <f t="shared" ref="H1959:H1965" si="4">F1959*G1959</f>
        <v>1892.8</v>
      </c>
    </row>
    <row r="1960" spans="1:8">
      <c r="A1960" s="26"/>
      <c r="B1960" s="105">
        <v>3</v>
      </c>
      <c r="C1960" s="76" t="s">
        <v>301</v>
      </c>
      <c r="D1960" s="31"/>
      <c r="E1960" s="105" t="s">
        <v>2374</v>
      </c>
      <c r="F1960" s="207">
        <v>32</v>
      </c>
      <c r="G1960" s="190">
        <f>'HIRE CHARGES'!F545</f>
        <v>177.5</v>
      </c>
      <c r="H1960" s="190">
        <f t="shared" si="4"/>
        <v>5680</v>
      </c>
    </row>
    <row r="1961" spans="1:8">
      <c r="A1961" s="26"/>
      <c r="B1961" s="105">
        <v>4</v>
      </c>
      <c r="C1961" s="76" t="s">
        <v>999</v>
      </c>
      <c r="D1961" s="31"/>
      <c r="E1961" s="105" t="s">
        <v>2374</v>
      </c>
      <c r="F1961" s="207">
        <v>3</v>
      </c>
      <c r="G1961" s="190">
        <f>'HIRE CHARGES'!F517</f>
        <v>111.1</v>
      </c>
      <c r="H1961" s="190">
        <f t="shared" si="4"/>
        <v>333.29999999999995</v>
      </c>
    </row>
    <row r="1962" spans="1:8">
      <c r="A1962" s="26"/>
      <c r="B1962" s="105">
        <v>5</v>
      </c>
      <c r="C1962" s="76" t="s">
        <v>1000</v>
      </c>
      <c r="D1962" s="31"/>
      <c r="E1962" s="105" t="s">
        <v>2374</v>
      </c>
      <c r="F1962" s="207">
        <v>5</v>
      </c>
      <c r="G1962" s="190">
        <f>'HIRE CHARGES'!F555</f>
        <v>177.5</v>
      </c>
      <c r="H1962" s="190">
        <f t="shared" si="4"/>
        <v>887.5</v>
      </c>
    </row>
    <row r="1963" spans="1:8">
      <c r="A1963" s="26"/>
      <c r="B1963" s="105">
        <v>6</v>
      </c>
      <c r="C1963" s="76" t="s">
        <v>1001</v>
      </c>
      <c r="D1963" s="31"/>
      <c r="E1963" s="105" t="s">
        <v>2374</v>
      </c>
      <c r="F1963" s="207">
        <f>G1925</f>
        <v>6</v>
      </c>
      <c r="G1963" s="190">
        <f>'HIRE CHARGES'!F553</f>
        <v>263.60000000000002</v>
      </c>
      <c r="H1963" s="190">
        <f t="shared" si="4"/>
        <v>1581.6000000000001</v>
      </c>
    </row>
    <row r="1964" spans="1:8">
      <c r="A1964" s="26"/>
      <c r="B1964" s="105">
        <v>7</v>
      </c>
      <c r="C1964" s="76" t="s">
        <v>4206</v>
      </c>
      <c r="D1964" s="31"/>
      <c r="E1964" s="105" t="s">
        <v>1172</v>
      </c>
      <c r="F1964" s="207">
        <v>2</v>
      </c>
      <c r="G1964" s="190">
        <f>'BASIC DATA'!C473</f>
        <v>450</v>
      </c>
      <c r="H1964" s="190">
        <f t="shared" si="4"/>
        <v>900</v>
      </c>
    </row>
    <row r="1965" spans="1:8">
      <c r="A1965" s="26"/>
      <c r="B1965" s="114">
        <v>8</v>
      </c>
      <c r="C1965" s="139" t="s">
        <v>2697</v>
      </c>
      <c r="D1965" s="174"/>
      <c r="E1965" s="114" t="s">
        <v>1172</v>
      </c>
      <c r="F1965" s="181">
        <v>4</v>
      </c>
      <c r="G1965" s="182">
        <f>'BASIC DATA'!C552</f>
        <v>350</v>
      </c>
      <c r="H1965" s="190">
        <f t="shared" si="4"/>
        <v>1400</v>
      </c>
    </row>
    <row r="1966" spans="1:8">
      <c r="A1966" s="26"/>
      <c r="B1966" s="176"/>
      <c r="C1966" s="174"/>
      <c r="D1966" s="174" t="s">
        <v>1174</v>
      </c>
      <c r="E1966" s="174"/>
      <c r="F1966" s="192"/>
      <c r="G1966" s="275" t="s">
        <v>1698</v>
      </c>
      <c r="H1966" s="318">
        <f>SUM(H1958:H1965)</f>
        <v>13621.6</v>
      </c>
    </row>
    <row r="1967" spans="1:8">
      <c r="A1967" s="26"/>
      <c r="B1967" s="60" t="s">
        <v>5948</v>
      </c>
      <c r="C1967" s="31"/>
      <c r="D1967" s="31"/>
      <c r="E1967" s="85">
        <f>ROUND(H1966/G1928,1)</f>
        <v>28.4</v>
      </c>
      <c r="G1967" s="31"/>
    </row>
    <row r="1968" spans="1:8">
      <c r="A1968" s="26"/>
      <c r="B1968" s="60" t="s">
        <v>3163</v>
      </c>
      <c r="C1968" s="31"/>
      <c r="D1968" s="31">
        <f>'BASIC DATA'!$C$577</f>
        <v>0.13614999999999999</v>
      </c>
      <c r="E1968" s="85">
        <f>ROUND(E1967*D1968,1)</f>
        <v>3.9</v>
      </c>
      <c r="G1968" s="31"/>
    </row>
    <row r="1969" spans="1:7">
      <c r="A1969" s="26"/>
      <c r="B1969" s="60" t="s">
        <v>5949</v>
      </c>
      <c r="C1969" s="31"/>
      <c r="D1969" s="31"/>
      <c r="E1969" s="739">
        <f>E1968+E1967</f>
        <v>32.299999999999997</v>
      </c>
      <c r="G1969" s="31"/>
    </row>
    <row r="1970" spans="1:7">
      <c r="A1970" s="26"/>
      <c r="B1970" s="26"/>
    </row>
    <row r="1971" spans="1:7">
      <c r="A1971" s="26"/>
      <c r="B1971" s="170" t="s">
        <v>1175</v>
      </c>
    </row>
    <row r="1972" spans="1:7">
      <c r="A1972" s="26"/>
      <c r="B1972" s="26" t="s">
        <v>5010</v>
      </c>
      <c r="F1972" s="171" t="s">
        <v>1698</v>
      </c>
      <c r="G1972" s="68">
        <f>H1935</f>
        <v>14400</v>
      </c>
    </row>
    <row r="1973" spans="1:7">
      <c r="A1973" s="26"/>
      <c r="B1973" s="26" t="s">
        <v>1186</v>
      </c>
      <c r="F1973" s="171" t="s">
        <v>1698</v>
      </c>
      <c r="G1973" s="68">
        <f>H1953</f>
        <v>64644.200000000004</v>
      </c>
    </row>
    <row r="1974" spans="1:7">
      <c r="A1974" s="26"/>
      <c r="B1974" s="26" t="s">
        <v>2660</v>
      </c>
      <c r="F1974" s="171" t="s">
        <v>1698</v>
      </c>
      <c r="G1974" s="75">
        <f>H1966</f>
        <v>13621.6</v>
      </c>
    </row>
    <row r="1975" spans="1:7">
      <c r="A1975" s="26"/>
      <c r="E1975" s="26" t="s">
        <v>1518</v>
      </c>
      <c r="F1975" s="171" t="s">
        <v>1698</v>
      </c>
      <c r="G1975" s="205">
        <f>SUM(G1972:G1974)</f>
        <v>92665.800000000017</v>
      </c>
    </row>
    <row r="1976" spans="1:7" ht="36" customHeight="1">
      <c r="A1976" s="26"/>
      <c r="B1976" s="1207" t="s">
        <v>1379</v>
      </c>
      <c r="C1976" s="1207"/>
      <c r="E1976" s="249">
        <f>'BASIC DATA'!$C$577</f>
        <v>0.13614999999999999</v>
      </c>
      <c r="F1976" s="26" t="s">
        <v>1698</v>
      </c>
      <c r="G1976" s="26">
        <f>G1975*E1976</f>
        <v>12616.448670000002</v>
      </c>
    </row>
    <row r="1977" spans="1:7">
      <c r="A1977" s="26"/>
      <c r="B1977" s="26" t="s">
        <v>1191</v>
      </c>
      <c r="D1977" s="68">
        <f>G1928</f>
        <v>480</v>
      </c>
      <c r="E1977" s="68" t="str">
        <f>H1928</f>
        <v>cum</v>
      </c>
      <c r="F1977" s="26" t="s">
        <v>1698</v>
      </c>
      <c r="G1977" s="211">
        <f>G1976+G1975</f>
        <v>105282.24867000002</v>
      </c>
    </row>
    <row r="1978" spans="1:7">
      <c r="A1978" s="26"/>
      <c r="B1978" s="170" t="s">
        <v>1584</v>
      </c>
      <c r="C1978" s="211" t="str">
        <f>E1977</f>
        <v>cum</v>
      </c>
      <c r="D1978" s="26" t="s">
        <v>4727</v>
      </c>
      <c r="F1978" s="26" t="s">
        <v>4108</v>
      </c>
      <c r="G1978" s="211">
        <f>ROUND(G1977/D1977,1)</f>
        <v>219.3</v>
      </c>
    </row>
    <row r="1979" spans="1:7">
      <c r="A1979" s="26"/>
    </row>
    <row r="1980" spans="1:7">
      <c r="A1980" s="26"/>
    </row>
    <row r="1981" spans="1:7">
      <c r="A1981" s="78" t="s">
        <v>5506</v>
      </c>
      <c r="B1981" s="170" t="s">
        <v>9195</v>
      </c>
    </row>
    <row r="1982" spans="1:7">
      <c r="B1982" s="26" t="s">
        <v>9196</v>
      </c>
    </row>
    <row r="1983" spans="1:7">
      <c r="B1983" s="26" t="s">
        <v>9197</v>
      </c>
    </row>
    <row r="1984" spans="1:7">
      <c r="B1984" s="26" t="s">
        <v>9198</v>
      </c>
    </row>
    <row r="1985" spans="1:8">
      <c r="B1985" s="26" t="s">
        <v>9199</v>
      </c>
    </row>
    <row r="1986" spans="1:8">
      <c r="B1986" s="26" t="s">
        <v>9200</v>
      </c>
    </row>
    <row r="1987" spans="1:8">
      <c r="B1987" s="26"/>
    </row>
    <row r="1988" spans="1:8" hidden="1">
      <c r="A1988" s="78" t="s">
        <v>3984</v>
      </c>
      <c r="B1988" s="26" t="s">
        <v>602</v>
      </c>
      <c r="F1988" s="78" t="s">
        <v>1697</v>
      </c>
      <c r="G1988" s="68">
        <v>0.5</v>
      </c>
      <c r="H1988" s="26" t="s">
        <v>3477</v>
      </c>
    </row>
    <row r="1989" spans="1:8" hidden="1">
      <c r="B1989" s="26" t="s">
        <v>603</v>
      </c>
      <c r="F1989" s="78" t="s">
        <v>1697</v>
      </c>
      <c r="G1989" s="68">
        <v>0.57999999999999996</v>
      </c>
      <c r="H1989" s="26" t="s">
        <v>3477</v>
      </c>
    </row>
    <row r="1990" spans="1:8" hidden="1">
      <c r="B1990" s="26" t="s">
        <v>604</v>
      </c>
      <c r="F1990" s="78" t="s">
        <v>1697</v>
      </c>
      <c r="G1990" s="68">
        <v>5</v>
      </c>
      <c r="H1990" s="26" t="s">
        <v>3477</v>
      </c>
    </row>
    <row r="1991" spans="1:8" hidden="1">
      <c r="B1991" s="26" t="s">
        <v>2541</v>
      </c>
      <c r="F1991" s="78" t="s">
        <v>3432</v>
      </c>
      <c r="G1991" s="26">
        <v>1</v>
      </c>
      <c r="H1991" s="26" t="s">
        <v>3430</v>
      </c>
    </row>
    <row r="1992" spans="1:8" hidden="1">
      <c r="B1992" s="26" t="s">
        <v>4569</v>
      </c>
      <c r="F1992" s="78" t="s">
        <v>1697</v>
      </c>
      <c r="G1992" s="26">
        <v>15</v>
      </c>
      <c r="H1992" s="26" t="s">
        <v>6703</v>
      </c>
    </row>
    <row r="1993" spans="1:8" hidden="1">
      <c r="B1993" s="26" t="s">
        <v>5632</v>
      </c>
      <c r="F1993" s="78" t="s">
        <v>1697</v>
      </c>
      <c r="G1993" s="26">
        <v>20</v>
      </c>
      <c r="H1993" s="26" t="s">
        <v>6703</v>
      </c>
    </row>
    <row r="1994" spans="1:8" hidden="1">
      <c r="B1994" s="26" t="s">
        <v>3985</v>
      </c>
      <c r="F1994" s="78" t="s">
        <v>1697</v>
      </c>
      <c r="G1994" s="68">
        <v>2.5</v>
      </c>
      <c r="H1994" s="26" t="s">
        <v>2603</v>
      </c>
    </row>
    <row r="1995" spans="1:8" hidden="1">
      <c r="B1995" s="26" t="s">
        <v>4030</v>
      </c>
      <c r="F1995" s="78" t="s">
        <v>1697</v>
      </c>
      <c r="G1995" s="26">
        <v>35</v>
      </c>
      <c r="H1995" s="26" t="s">
        <v>3434</v>
      </c>
    </row>
    <row r="1996" spans="1:8" hidden="1">
      <c r="B1996" s="26" t="s">
        <v>7322</v>
      </c>
      <c r="F1996" s="78" t="s">
        <v>1697</v>
      </c>
      <c r="G1996" s="68">
        <v>0.5</v>
      </c>
      <c r="H1996" s="26" t="s">
        <v>3477</v>
      </c>
    </row>
    <row r="1997" spans="1:8" hidden="1">
      <c r="B1997" s="26" t="s">
        <v>5634</v>
      </c>
      <c r="F1997" s="78" t="s">
        <v>1123</v>
      </c>
      <c r="G1997" s="68">
        <v>4</v>
      </c>
      <c r="H1997" s="26" t="s">
        <v>3477</v>
      </c>
    </row>
    <row r="1998" spans="1:8" hidden="1">
      <c r="B1998" s="26" t="s">
        <v>5635</v>
      </c>
      <c r="F1998" s="78" t="s">
        <v>1123</v>
      </c>
      <c r="G1998" s="26">
        <v>8</v>
      </c>
      <c r="H1998" s="26" t="s">
        <v>4932</v>
      </c>
    </row>
    <row r="1999" spans="1:8" hidden="1">
      <c r="B1999" s="26" t="s">
        <v>247</v>
      </c>
      <c r="F1999" s="78" t="s">
        <v>1123</v>
      </c>
      <c r="G1999" s="26">
        <v>4.67</v>
      </c>
      <c r="H1999" s="26" t="s">
        <v>2603</v>
      </c>
    </row>
    <row r="2000" spans="1:8" hidden="1">
      <c r="B2000" s="26" t="s">
        <v>1613</v>
      </c>
    </row>
    <row r="2001" spans="1:8" hidden="1">
      <c r="B2001" s="26" t="s">
        <v>3258</v>
      </c>
      <c r="F2001" s="78" t="s">
        <v>1697</v>
      </c>
      <c r="G2001" s="26">
        <v>4.67</v>
      </c>
      <c r="H2001" s="26" t="s">
        <v>2603</v>
      </c>
    </row>
    <row r="2002" spans="1:8" hidden="1">
      <c r="B2002" s="26" t="s">
        <v>762</v>
      </c>
      <c r="F2002" s="78" t="s">
        <v>1697</v>
      </c>
      <c r="G2002" s="68">
        <v>4</v>
      </c>
      <c r="H2002" s="26" t="s">
        <v>2603</v>
      </c>
    </row>
    <row r="2003" spans="1:8" hidden="1">
      <c r="B2003" s="26" t="s">
        <v>705</v>
      </c>
      <c r="F2003" s="78" t="s">
        <v>1697</v>
      </c>
      <c r="G2003" s="68">
        <v>2.5</v>
      </c>
      <c r="H2003" s="26" t="s">
        <v>2603</v>
      </c>
    </row>
    <row r="2004" spans="1:8" hidden="1">
      <c r="B2004" s="26" t="s">
        <v>3918</v>
      </c>
      <c r="F2004" s="78" t="s">
        <v>1697</v>
      </c>
      <c r="G2004" s="68">
        <v>3</v>
      </c>
      <c r="H2004" s="26" t="s">
        <v>2603</v>
      </c>
    </row>
    <row r="2005" spans="1:8" hidden="1">
      <c r="B2005" s="26" t="s">
        <v>263</v>
      </c>
      <c r="F2005" s="78" t="s">
        <v>1697</v>
      </c>
      <c r="G2005" s="173">
        <v>0.5</v>
      </c>
      <c r="H2005" s="26" t="s">
        <v>2603</v>
      </c>
    </row>
    <row r="2006" spans="1:8" hidden="1">
      <c r="B2006" s="26"/>
      <c r="E2006" s="26" t="s">
        <v>1518</v>
      </c>
      <c r="F2006" s="78" t="s">
        <v>1697</v>
      </c>
      <c r="G2006" s="26">
        <f>SUM(G2001:G2005)</f>
        <v>14.67</v>
      </c>
      <c r="H2006" s="26" t="s">
        <v>2603</v>
      </c>
    </row>
    <row r="2007" spans="1:8" hidden="1">
      <c r="B2007" s="26" t="s">
        <v>6897</v>
      </c>
      <c r="F2007" s="78" t="s">
        <v>1697</v>
      </c>
      <c r="G2007" s="26">
        <v>3</v>
      </c>
      <c r="H2007" s="26" t="s">
        <v>2059</v>
      </c>
    </row>
    <row r="2008" spans="1:8" hidden="1">
      <c r="B2008" s="26" t="s">
        <v>4384</v>
      </c>
      <c r="F2008" s="78" t="s">
        <v>1697</v>
      </c>
      <c r="G2008" s="26">
        <v>13.63</v>
      </c>
      <c r="H2008" s="26" t="s">
        <v>3477</v>
      </c>
    </row>
    <row r="2009" spans="1:8" hidden="1">
      <c r="B2009" s="26" t="s">
        <v>4385</v>
      </c>
      <c r="F2009" s="78" t="s">
        <v>1123</v>
      </c>
      <c r="G2009" s="26">
        <v>325</v>
      </c>
      <c r="H2009" s="26" t="s">
        <v>3477</v>
      </c>
    </row>
    <row r="2010" spans="1:8" hidden="1">
      <c r="B2010" s="26"/>
    </row>
    <row r="2011" spans="1:8" hidden="1">
      <c r="A2011" s="78">
        <v>1</v>
      </c>
      <c r="B2011" s="26" t="s">
        <v>2860</v>
      </c>
    </row>
    <row r="2012" spans="1:8" hidden="1">
      <c r="A2012" s="171"/>
      <c r="B2012" s="26" t="s">
        <v>3974</v>
      </c>
      <c r="F2012" s="78" t="s">
        <v>1697</v>
      </c>
      <c r="G2012" s="68">
        <v>162.5</v>
      </c>
      <c r="H2012" s="26" t="s">
        <v>3479</v>
      </c>
    </row>
    <row r="2013" spans="1:8" hidden="1">
      <c r="A2013" s="171"/>
      <c r="B2013" s="26" t="s">
        <v>4450</v>
      </c>
      <c r="F2013" s="78" t="s">
        <v>1697</v>
      </c>
      <c r="G2013" s="68">
        <v>0.2</v>
      </c>
      <c r="H2013" s="26" t="s">
        <v>2602</v>
      </c>
    </row>
    <row r="2014" spans="1:8" hidden="1">
      <c r="A2014" s="171"/>
      <c r="B2014" s="26" t="s">
        <v>3975</v>
      </c>
      <c r="F2014" s="78" t="s">
        <v>1697</v>
      </c>
      <c r="G2014" s="26">
        <v>34.1</v>
      </c>
      <c r="H2014" s="26" t="s">
        <v>3477</v>
      </c>
    </row>
    <row r="2015" spans="1:8" hidden="1">
      <c r="A2015" s="171"/>
      <c r="B2015" s="26" t="s">
        <v>3248</v>
      </c>
      <c r="F2015" s="78" t="s">
        <v>1697</v>
      </c>
      <c r="G2015" s="26">
        <v>70</v>
      </c>
      <c r="H2015" s="26" t="s">
        <v>3477</v>
      </c>
    </row>
    <row r="2016" spans="1:8" hidden="1">
      <c r="A2016" s="171"/>
      <c r="B2016" s="26" t="s">
        <v>3976</v>
      </c>
      <c r="F2016" s="78" t="s">
        <v>1697</v>
      </c>
      <c r="G2016" s="68">
        <v>0.5</v>
      </c>
      <c r="H2016" s="26" t="s">
        <v>4665</v>
      </c>
    </row>
    <row r="2017" spans="1:8" hidden="1">
      <c r="A2017" s="171"/>
      <c r="B2017" s="26" t="s">
        <v>3977</v>
      </c>
    </row>
    <row r="2018" spans="1:8" hidden="1">
      <c r="A2018" s="78">
        <v>2</v>
      </c>
      <c r="B2018" s="26" t="s">
        <v>6281</v>
      </c>
    </row>
    <row r="2019" spans="1:8" hidden="1">
      <c r="A2019" s="171"/>
      <c r="B2019" s="26" t="s">
        <v>4117</v>
      </c>
    </row>
    <row r="2020" spans="1:8" hidden="1">
      <c r="A2020" s="171"/>
      <c r="B2020" s="26" t="s">
        <v>7326</v>
      </c>
    </row>
    <row r="2021" spans="1:8" hidden="1">
      <c r="A2021" s="78">
        <v>3</v>
      </c>
      <c r="B2021" s="26" t="s">
        <v>1261</v>
      </c>
    </row>
    <row r="2022" spans="1:8" hidden="1">
      <c r="A2022" s="171"/>
      <c r="B2022" s="26" t="s">
        <v>1626</v>
      </c>
      <c r="F2022" s="78" t="s">
        <v>1697</v>
      </c>
      <c r="G2022" s="26">
        <v>390</v>
      </c>
      <c r="H2022" s="26" t="s">
        <v>3477</v>
      </c>
    </row>
    <row r="2023" spans="1:8" hidden="1">
      <c r="A2023" s="171"/>
      <c r="B2023" s="26" t="s">
        <v>6514</v>
      </c>
      <c r="F2023" s="78" t="s">
        <v>1697</v>
      </c>
      <c r="G2023" s="26">
        <v>200</v>
      </c>
      <c r="H2023" s="26" t="s">
        <v>3477</v>
      </c>
    </row>
    <row r="2024" spans="1:8" hidden="1">
      <c r="A2024" s="171"/>
      <c r="B2024" s="26" t="s">
        <v>2192</v>
      </c>
      <c r="F2024" s="78" t="s">
        <v>1123</v>
      </c>
      <c r="G2024" s="383">
        <v>2</v>
      </c>
      <c r="H2024" s="26" t="s">
        <v>4665</v>
      </c>
    </row>
    <row r="2025" spans="1:8" hidden="1">
      <c r="A2025" s="171"/>
      <c r="B2025" s="26" t="s">
        <v>412</v>
      </c>
    </row>
    <row r="2026" spans="1:8" hidden="1">
      <c r="A2026" s="78">
        <v>4</v>
      </c>
      <c r="B2026" s="26" t="s">
        <v>1746</v>
      </c>
    </row>
    <row r="2027" spans="1:8" hidden="1">
      <c r="A2027" s="171"/>
      <c r="B2027" s="26" t="s">
        <v>6794</v>
      </c>
    </row>
    <row r="2028" spans="1:8" hidden="1">
      <c r="A2028" s="171"/>
      <c r="B2028" s="26" t="s">
        <v>3715</v>
      </c>
    </row>
    <row r="2029" spans="1:8" hidden="1">
      <c r="A2029" s="171"/>
      <c r="B2029" s="26" t="s">
        <v>6796</v>
      </c>
    </row>
    <row r="2030" spans="1:8" hidden="1">
      <c r="A2030" s="171"/>
      <c r="B2030" s="26" t="s">
        <v>2349</v>
      </c>
    </row>
    <row r="2031" spans="1:8" hidden="1">
      <c r="A2031" s="171"/>
      <c r="B2031" s="26" t="s">
        <v>2350</v>
      </c>
    </row>
    <row r="2032" spans="1:8" hidden="1">
      <c r="A2032" s="171"/>
      <c r="B2032" s="26" t="s">
        <v>2351</v>
      </c>
    </row>
    <row r="2033" spans="1:8" hidden="1">
      <c r="A2033" s="171"/>
      <c r="B2033" s="26" t="s">
        <v>3612</v>
      </c>
    </row>
    <row r="2034" spans="1:8" hidden="1">
      <c r="A2034" s="78">
        <v>5</v>
      </c>
      <c r="B2034" s="26" t="s">
        <v>6798</v>
      </c>
    </row>
    <row r="2035" spans="1:8" hidden="1">
      <c r="A2035" s="171"/>
      <c r="B2035" s="26" t="s">
        <v>3647</v>
      </c>
    </row>
    <row r="2036" spans="1:8" hidden="1">
      <c r="A2036" s="171"/>
      <c r="B2036" s="26" t="s">
        <v>7217</v>
      </c>
    </row>
    <row r="2037" spans="1:8" hidden="1">
      <c r="A2037" s="171"/>
      <c r="B2037" s="26" t="s">
        <v>2320</v>
      </c>
    </row>
    <row r="2038" spans="1:8" hidden="1">
      <c r="A2038" s="171"/>
      <c r="B2038" s="26" t="s">
        <v>3650</v>
      </c>
      <c r="F2038" s="78" t="s">
        <v>1697</v>
      </c>
      <c r="G2038" s="68">
        <v>1.9</v>
      </c>
      <c r="H2038" s="26" t="s">
        <v>2602</v>
      </c>
    </row>
    <row r="2039" spans="1:8" hidden="1">
      <c r="A2039" s="171"/>
      <c r="B2039" s="26" t="s">
        <v>4995</v>
      </c>
      <c r="F2039" s="78" t="s">
        <v>1697</v>
      </c>
      <c r="G2039" s="383">
        <v>4</v>
      </c>
      <c r="H2039" s="26" t="s">
        <v>3430</v>
      </c>
    </row>
    <row r="2040" spans="1:8" hidden="1">
      <c r="A2040" s="171"/>
      <c r="B2040" s="26" t="s">
        <v>4997</v>
      </c>
      <c r="F2040" s="78" t="s">
        <v>1697</v>
      </c>
      <c r="G2040" s="68">
        <v>0.3</v>
      </c>
      <c r="H2040" s="26" t="s">
        <v>2602</v>
      </c>
    </row>
    <row r="2041" spans="1:8" hidden="1">
      <c r="A2041" s="171"/>
      <c r="B2041" s="26" t="s">
        <v>1504</v>
      </c>
      <c r="F2041" s="78" t="s">
        <v>1697</v>
      </c>
      <c r="G2041" s="26">
        <v>11</v>
      </c>
      <c r="H2041" s="26" t="s">
        <v>2059</v>
      </c>
    </row>
    <row r="2042" spans="1:8" hidden="1">
      <c r="A2042" s="171"/>
      <c r="B2042" s="26" t="s">
        <v>1209</v>
      </c>
    </row>
    <row r="2043" spans="1:8" hidden="1">
      <c r="A2043" s="171"/>
      <c r="B2043" s="26" t="s">
        <v>6004</v>
      </c>
      <c r="E2043" s="26">
        <f>50/60*(1.9*4000*0.3*0.6/11)</f>
        <v>103.63636363636364</v>
      </c>
      <c r="F2043" s="78" t="s">
        <v>1123</v>
      </c>
      <c r="G2043" s="26">
        <v>103</v>
      </c>
      <c r="H2043" s="26" t="s">
        <v>3477</v>
      </c>
    </row>
    <row r="2044" spans="1:8" hidden="1">
      <c r="A2044" s="171"/>
      <c r="B2044" s="26" t="s">
        <v>3613</v>
      </c>
      <c r="E2044" s="26">
        <f>390/G2043</f>
        <v>3.7864077669902914</v>
      </c>
      <c r="F2044" s="78" t="s">
        <v>1123</v>
      </c>
      <c r="G2044" s="68">
        <v>4</v>
      </c>
      <c r="H2044" s="26" t="s">
        <v>4665</v>
      </c>
    </row>
    <row r="2045" spans="1:8" hidden="1">
      <c r="A2045" s="78">
        <v>6</v>
      </c>
      <c r="B2045" s="26" t="s">
        <v>1129</v>
      </c>
    </row>
    <row r="2046" spans="1:8" hidden="1">
      <c r="B2046" s="26" t="s">
        <v>5043</v>
      </c>
    </row>
    <row r="2047" spans="1:8">
      <c r="A2047" s="26"/>
    </row>
    <row r="2048" spans="1:8">
      <c r="A2048" s="26" t="s">
        <v>9215</v>
      </c>
      <c r="C2048" s="203" t="s">
        <v>2367</v>
      </c>
      <c r="D2048" s="171"/>
      <c r="F2048" s="171" t="s">
        <v>297</v>
      </c>
      <c r="G2048" s="162">
        <v>325</v>
      </c>
      <c r="H2048" s="26" t="s">
        <v>3477</v>
      </c>
    </row>
    <row r="2049" spans="1:9">
      <c r="A2049" s="26"/>
      <c r="B2049" s="79" t="s">
        <v>2368</v>
      </c>
    </row>
    <row r="2050" spans="1:9">
      <c r="A2050" s="26"/>
      <c r="B2050" s="95" t="s">
        <v>2369</v>
      </c>
      <c r="C2050" s="157" t="s">
        <v>6374</v>
      </c>
      <c r="D2050" s="195"/>
      <c r="E2050" s="95" t="s">
        <v>2370</v>
      </c>
      <c r="F2050" s="95" t="s">
        <v>1166</v>
      </c>
      <c r="G2050" s="95" t="s">
        <v>2371</v>
      </c>
      <c r="H2050" s="95" t="s">
        <v>2372</v>
      </c>
    </row>
    <row r="2051" spans="1:9">
      <c r="A2051" s="26"/>
      <c r="B2051" s="114"/>
      <c r="C2051" s="154"/>
      <c r="D2051" s="192"/>
      <c r="E2051" s="114"/>
      <c r="F2051" s="114"/>
      <c r="G2051" s="114" t="s">
        <v>3485</v>
      </c>
      <c r="H2051" s="114" t="s">
        <v>3485</v>
      </c>
    </row>
    <row r="2052" spans="1:9">
      <c r="A2052" s="26"/>
      <c r="B2052" s="95">
        <v>1</v>
      </c>
      <c r="C2052" s="93" t="s">
        <v>6976</v>
      </c>
      <c r="E2052" s="95"/>
      <c r="F2052" s="190">
        <v>0</v>
      </c>
      <c r="G2052" s="190">
        <v>0</v>
      </c>
      <c r="H2052" s="190">
        <f>F2052*G2052</f>
        <v>0</v>
      </c>
    </row>
    <row r="2053" spans="1:9">
      <c r="A2053" s="26"/>
      <c r="B2053" s="275"/>
      <c r="C2053" s="139"/>
      <c r="D2053" s="174"/>
      <c r="E2053" s="114"/>
      <c r="F2053" s="182">
        <v>0</v>
      </c>
      <c r="G2053" s="182">
        <v>0</v>
      </c>
      <c r="H2053" s="182">
        <f>F2053*G2053</f>
        <v>0</v>
      </c>
    </row>
    <row r="2054" spans="1:9" s="61" customFormat="1">
      <c r="B2054" s="444"/>
      <c r="C2054" s="60" t="s">
        <v>34</v>
      </c>
      <c r="D2054" s="182">
        <f>'BASIC DATA'!$D$398</f>
        <v>30</v>
      </c>
      <c r="E2054" s="60" t="s">
        <v>6962</v>
      </c>
      <c r="F2054" s="522"/>
      <c r="G2054" s="678" t="s">
        <v>1698</v>
      </c>
      <c r="H2054" s="255">
        <f>D2054*G2048</f>
        <v>9750</v>
      </c>
      <c r="I2054" s="49"/>
    </row>
    <row r="2055" spans="1:9">
      <c r="A2055" s="26"/>
      <c r="B2055" s="92"/>
      <c r="C2055" s="159"/>
      <c r="D2055" s="159" t="s">
        <v>2376</v>
      </c>
      <c r="E2055" s="159"/>
      <c r="F2055" s="238"/>
      <c r="G2055" s="236" t="s">
        <v>1698</v>
      </c>
      <c r="H2055" s="318">
        <f>SUM(H2052:H2054)</f>
        <v>9750</v>
      </c>
    </row>
    <row r="2056" spans="1:9">
      <c r="A2056" s="26"/>
    </row>
    <row r="2057" spans="1:9">
      <c r="A2057" s="26"/>
      <c r="B2057" s="79" t="s">
        <v>2377</v>
      </c>
    </row>
    <row r="2058" spans="1:9">
      <c r="A2058" s="26"/>
      <c r="B2058" s="95" t="s">
        <v>2369</v>
      </c>
      <c r="C2058" s="157" t="s">
        <v>2378</v>
      </c>
      <c r="D2058" s="195"/>
      <c r="E2058" s="95" t="s">
        <v>2370</v>
      </c>
      <c r="F2058" s="95" t="s">
        <v>1166</v>
      </c>
      <c r="G2058" s="95" t="s">
        <v>2371</v>
      </c>
      <c r="H2058" s="95" t="s">
        <v>2372</v>
      </c>
    </row>
    <row r="2059" spans="1:9">
      <c r="A2059" s="26"/>
      <c r="B2059" s="114"/>
      <c r="C2059" s="154"/>
      <c r="D2059" s="192"/>
      <c r="E2059" s="114"/>
      <c r="F2059" s="114"/>
      <c r="G2059" s="114" t="s">
        <v>3485</v>
      </c>
      <c r="H2059" s="114" t="s">
        <v>3485</v>
      </c>
    </row>
    <row r="2060" spans="1:9">
      <c r="A2060" s="26"/>
      <c r="B2060" s="105">
        <v>1</v>
      </c>
      <c r="C2060" s="135" t="s">
        <v>1502</v>
      </c>
      <c r="E2060" s="95" t="s">
        <v>2374</v>
      </c>
      <c r="F2060" s="214">
        <v>3.5</v>
      </c>
      <c r="G2060" s="190">
        <f>'HIRE CHARGES'!D499</f>
        <v>1715.5</v>
      </c>
      <c r="H2060" s="190">
        <f>F2060*G2060</f>
        <v>6004.25</v>
      </c>
    </row>
    <row r="2061" spans="1:9">
      <c r="A2061" s="26"/>
      <c r="B2061" s="280"/>
      <c r="C2061" s="135" t="s">
        <v>2379</v>
      </c>
      <c r="E2061" s="105" t="s">
        <v>2374</v>
      </c>
      <c r="F2061" s="190">
        <v>3.5</v>
      </c>
      <c r="G2061" s="190">
        <f>'HIRE CHARGES'!E499</f>
        <v>610.5</v>
      </c>
      <c r="H2061" s="190">
        <f t="shared" ref="H2061:H2072" si="5">F2061*G2061</f>
        <v>2136.75</v>
      </c>
    </row>
    <row r="2062" spans="1:9">
      <c r="A2062" s="26"/>
      <c r="B2062" s="105">
        <v>2</v>
      </c>
      <c r="C2062" s="135" t="s">
        <v>2951</v>
      </c>
      <c r="E2062" s="105" t="s">
        <v>2374</v>
      </c>
      <c r="F2062" s="190">
        <v>8</v>
      </c>
      <c r="G2062" s="190">
        <f>'HIRE CHARGES'!D542</f>
        <v>1003.1</v>
      </c>
      <c r="H2062" s="190">
        <f t="shared" si="5"/>
        <v>8024.8</v>
      </c>
    </row>
    <row r="2063" spans="1:9">
      <c r="A2063" s="26"/>
      <c r="B2063" s="280"/>
      <c r="C2063" s="135" t="s">
        <v>2379</v>
      </c>
      <c r="E2063" s="105" t="s">
        <v>2374</v>
      </c>
      <c r="F2063" s="190">
        <v>8</v>
      </c>
      <c r="G2063" s="190">
        <f>'HIRE CHARGES'!E542</f>
        <v>476</v>
      </c>
      <c r="H2063" s="190">
        <f t="shared" si="5"/>
        <v>3808</v>
      </c>
    </row>
    <row r="2064" spans="1:9">
      <c r="A2064" s="26"/>
      <c r="B2064" s="105">
        <v>3</v>
      </c>
      <c r="C2064" s="135" t="s">
        <v>3797</v>
      </c>
      <c r="E2064" s="105" t="s">
        <v>2374</v>
      </c>
      <c r="F2064" s="190">
        <v>24</v>
      </c>
      <c r="G2064" s="190">
        <f>'HIRE CHARGES'!D545</f>
        <v>446.7</v>
      </c>
      <c r="H2064" s="190">
        <f t="shared" si="5"/>
        <v>10720.8</v>
      </c>
    </row>
    <row r="2065" spans="1:8">
      <c r="A2065" s="26"/>
      <c r="B2065" s="280"/>
      <c r="C2065" s="135" t="s">
        <v>2379</v>
      </c>
      <c r="E2065" s="105" t="s">
        <v>2374</v>
      </c>
      <c r="F2065" s="190">
        <v>24</v>
      </c>
      <c r="G2065" s="190">
        <f>'HIRE CHARGES'!E545</f>
        <v>299.89999999999998</v>
      </c>
      <c r="H2065" s="190">
        <f t="shared" si="5"/>
        <v>7197.5999999999995</v>
      </c>
    </row>
    <row r="2066" spans="1:8">
      <c r="A2066" s="26"/>
      <c r="B2066" s="105">
        <v>4</v>
      </c>
      <c r="C2066" s="135" t="s">
        <v>1132</v>
      </c>
      <c r="E2066" s="105" t="s">
        <v>2374</v>
      </c>
      <c r="F2066" s="190">
        <v>1.5</v>
      </c>
      <c r="G2066" s="190">
        <f>'HIRE CHARGES'!D517</f>
        <v>10.199999999999999</v>
      </c>
      <c r="H2066" s="190">
        <f t="shared" si="5"/>
        <v>15.299999999999999</v>
      </c>
    </row>
    <row r="2067" spans="1:8">
      <c r="A2067" s="26"/>
      <c r="B2067" s="280"/>
      <c r="C2067" s="135" t="s">
        <v>2379</v>
      </c>
      <c r="E2067" s="105" t="s">
        <v>2374</v>
      </c>
      <c r="F2067" s="190">
        <v>1.5</v>
      </c>
      <c r="G2067" s="190">
        <f>'HIRE CHARGES'!E517</f>
        <v>79.3</v>
      </c>
      <c r="H2067" s="190">
        <f t="shared" si="5"/>
        <v>118.94999999999999</v>
      </c>
    </row>
    <row r="2068" spans="1:8">
      <c r="A2068" s="26"/>
      <c r="B2068" s="105">
        <v>5</v>
      </c>
      <c r="C2068" s="135" t="s">
        <v>6286</v>
      </c>
      <c r="E2068" s="105" t="s">
        <v>2374</v>
      </c>
      <c r="F2068" s="190">
        <v>3</v>
      </c>
      <c r="G2068" s="190">
        <f>'HIRE CHARGES'!D555</f>
        <v>402.5</v>
      </c>
      <c r="H2068" s="190">
        <f t="shared" si="5"/>
        <v>1207.5</v>
      </c>
    </row>
    <row r="2069" spans="1:8">
      <c r="A2069" s="26"/>
      <c r="B2069" s="280"/>
      <c r="C2069" s="135" t="s">
        <v>2379</v>
      </c>
      <c r="E2069" s="105" t="s">
        <v>2374</v>
      </c>
      <c r="F2069" s="190">
        <v>3</v>
      </c>
      <c r="G2069" s="190">
        <f>'HIRE CHARGES'!E555</f>
        <v>299.89999999999998</v>
      </c>
      <c r="H2069" s="190">
        <f t="shared" si="5"/>
        <v>899.69999999999993</v>
      </c>
    </row>
    <row r="2070" spans="1:8">
      <c r="A2070" s="26"/>
      <c r="B2070" s="105">
        <v>6</v>
      </c>
      <c r="C2070" s="135" t="s">
        <v>998</v>
      </c>
      <c r="E2070" s="105" t="s">
        <v>2374</v>
      </c>
      <c r="F2070" s="190">
        <f>G2044</f>
        <v>4</v>
      </c>
      <c r="G2070" s="190">
        <f>'HIRE CHARGES'!D553</f>
        <v>1342.2</v>
      </c>
      <c r="H2070" s="190">
        <f t="shared" si="5"/>
        <v>5368.8</v>
      </c>
    </row>
    <row r="2071" spans="1:8">
      <c r="A2071" s="26"/>
      <c r="B2071" s="280"/>
      <c r="C2071" s="135" t="s">
        <v>2379</v>
      </c>
      <c r="E2071" s="105" t="s">
        <v>2374</v>
      </c>
      <c r="F2071" s="190">
        <f>G2044</f>
        <v>4</v>
      </c>
      <c r="G2071" s="190">
        <f>'HIRE CHARGES'!E553</f>
        <v>1031.4000000000001</v>
      </c>
      <c r="H2071" s="190">
        <f t="shared" si="5"/>
        <v>4125.6000000000004</v>
      </c>
    </row>
    <row r="2072" spans="1:8">
      <c r="A2072" s="26"/>
      <c r="B2072" s="114">
        <v>7</v>
      </c>
      <c r="C2072" s="139" t="s">
        <v>2373</v>
      </c>
      <c r="D2072" s="174"/>
      <c r="E2072" s="114" t="s">
        <v>2173</v>
      </c>
      <c r="F2072" s="182">
        <v>2</v>
      </c>
      <c r="G2072" s="215">
        <f>'BASIC DATA'!D359</f>
        <v>30</v>
      </c>
      <c r="H2072" s="190">
        <f t="shared" si="5"/>
        <v>60</v>
      </c>
    </row>
    <row r="2073" spans="1:8">
      <c r="A2073" s="26"/>
      <c r="B2073" s="176"/>
      <c r="C2073" s="174"/>
      <c r="D2073" s="174" t="s">
        <v>2380</v>
      </c>
      <c r="E2073" s="174"/>
      <c r="F2073" s="192"/>
      <c r="G2073" s="275" t="s">
        <v>1698</v>
      </c>
      <c r="H2073" s="318">
        <f>SUM(H2060:H2072)</f>
        <v>49688.049999999996</v>
      </c>
    </row>
    <row r="2074" spans="1:8">
      <c r="A2074" s="26"/>
    </row>
    <row r="2075" spans="1:8">
      <c r="A2075" s="26"/>
      <c r="B2075" s="79" t="s">
        <v>2381</v>
      </c>
    </row>
    <row r="2076" spans="1:8">
      <c r="A2076" s="26"/>
      <c r="B2076" s="95" t="s">
        <v>2369</v>
      </c>
      <c r="C2076" s="157" t="s">
        <v>2378</v>
      </c>
      <c r="D2076" s="195"/>
      <c r="E2076" s="95" t="s">
        <v>2370</v>
      </c>
      <c r="F2076" s="95" t="s">
        <v>1166</v>
      </c>
      <c r="G2076" s="95" t="s">
        <v>2371</v>
      </c>
      <c r="H2076" s="95" t="s">
        <v>2372</v>
      </c>
    </row>
    <row r="2077" spans="1:8">
      <c r="A2077" s="26"/>
      <c r="B2077" s="114"/>
      <c r="C2077" s="154"/>
      <c r="D2077" s="192"/>
      <c r="E2077" s="105"/>
      <c r="F2077" s="114"/>
      <c r="G2077" s="114" t="s">
        <v>3485</v>
      </c>
      <c r="H2077" s="114" t="s">
        <v>3485</v>
      </c>
    </row>
    <row r="2078" spans="1:8">
      <c r="A2078" s="26"/>
      <c r="B2078" s="95">
        <v>1</v>
      </c>
      <c r="C2078" s="148" t="s">
        <v>2870</v>
      </c>
      <c r="D2078" s="187"/>
      <c r="E2078" s="95" t="s">
        <v>2374</v>
      </c>
      <c r="F2078" s="178">
        <v>3.5</v>
      </c>
      <c r="G2078" s="179">
        <f>'HIRE CHARGES'!F499</f>
        <v>236.6</v>
      </c>
      <c r="H2078" s="179">
        <f>F2078*G2078</f>
        <v>828.1</v>
      </c>
    </row>
    <row r="2079" spans="1:8">
      <c r="A2079" s="26"/>
      <c r="B2079" s="105">
        <v>2</v>
      </c>
      <c r="C2079" s="76" t="s">
        <v>300</v>
      </c>
      <c r="D2079" s="31"/>
      <c r="E2079" s="105" t="s">
        <v>2374</v>
      </c>
      <c r="F2079" s="207">
        <v>8</v>
      </c>
      <c r="G2079" s="190">
        <f>'HIRE CHARGES'!F542</f>
        <v>236.6</v>
      </c>
      <c r="H2079" s="190">
        <f t="shared" ref="H2079:H2085" si="6">F2079*G2079</f>
        <v>1892.8</v>
      </c>
    </row>
    <row r="2080" spans="1:8">
      <c r="A2080" s="26"/>
      <c r="B2080" s="105">
        <v>3</v>
      </c>
      <c r="C2080" s="76" t="s">
        <v>301</v>
      </c>
      <c r="D2080" s="31"/>
      <c r="E2080" s="105" t="s">
        <v>2374</v>
      </c>
      <c r="F2080" s="207">
        <v>24</v>
      </c>
      <c r="G2080" s="190">
        <f>'HIRE CHARGES'!F545</f>
        <v>177.5</v>
      </c>
      <c r="H2080" s="190">
        <f t="shared" si="6"/>
        <v>4260</v>
      </c>
    </row>
    <row r="2081" spans="1:8">
      <c r="A2081" s="26"/>
      <c r="B2081" s="105">
        <v>4</v>
      </c>
      <c r="C2081" s="76" t="s">
        <v>999</v>
      </c>
      <c r="D2081" s="31"/>
      <c r="E2081" s="105" t="s">
        <v>2374</v>
      </c>
      <c r="F2081" s="207">
        <v>1.5</v>
      </c>
      <c r="G2081" s="190">
        <f>'HIRE CHARGES'!F517</f>
        <v>111.1</v>
      </c>
      <c r="H2081" s="190">
        <f t="shared" si="6"/>
        <v>166.64999999999998</v>
      </c>
    </row>
    <row r="2082" spans="1:8">
      <c r="A2082" s="26"/>
      <c r="B2082" s="105">
        <v>5</v>
      </c>
      <c r="C2082" s="76" t="s">
        <v>1000</v>
      </c>
      <c r="D2082" s="31"/>
      <c r="E2082" s="105" t="s">
        <v>2374</v>
      </c>
      <c r="F2082" s="207">
        <v>3</v>
      </c>
      <c r="G2082" s="190">
        <f>'HIRE CHARGES'!F555</f>
        <v>177.5</v>
      </c>
      <c r="H2082" s="190">
        <f t="shared" si="6"/>
        <v>532.5</v>
      </c>
    </row>
    <row r="2083" spans="1:8">
      <c r="A2083" s="26"/>
      <c r="B2083" s="105">
        <v>6</v>
      </c>
      <c r="C2083" s="76" t="s">
        <v>1001</v>
      </c>
      <c r="D2083" s="31"/>
      <c r="E2083" s="105" t="s">
        <v>2374</v>
      </c>
      <c r="F2083" s="207">
        <f>G2044</f>
        <v>4</v>
      </c>
      <c r="G2083" s="190">
        <f>'HIRE CHARGES'!F553</f>
        <v>263.60000000000002</v>
      </c>
      <c r="H2083" s="190">
        <f t="shared" si="6"/>
        <v>1054.4000000000001</v>
      </c>
    </row>
    <row r="2084" spans="1:8">
      <c r="A2084" s="26"/>
      <c r="B2084" s="105">
        <v>7</v>
      </c>
      <c r="C2084" s="76" t="s">
        <v>4206</v>
      </c>
      <c r="D2084" s="31"/>
      <c r="E2084" s="105" t="s">
        <v>1172</v>
      </c>
      <c r="F2084" s="207">
        <v>2</v>
      </c>
      <c r="G2084" s="190">
        <f>'BASIC DATA'!C473</f>
        <v>450</v>
      </c>
      <c r="H2084" s="190">
        <f t="shared" si="6"/>
        <v>900</v>
      </c>
    </row>
    <row r="2085" spans="1:8">
      <c r="A2085" s="26"/>
      <c r="B2085" s="114">
        <v>8</v>
      </c>
      <c r="C2085" s="89" t="s">
        <v>2697</v>
      </c>
      <c r="D2085" s="174"/>
      <c r="E2085" s="114" t="s">
        <v>1172</v>
      </c>
      <c r="F2085" s="181">
        <v>4</v>
      </c>
      <c r="G2085" s="182">
        <f>'BASIC DATA'!C552</f>
        <v>350</v>
      </c>
      <c r="H2085" s="190">
        <f t="shared" si="6"/>
        <v>1400</v>
      </c>
    </row>
    <row r="2086" spans="1:8">
      <c r="A2086" s="26"/>
      <c r="B2086" s="176"/>
      <c r="C2086" s="174"/>
      <c r="D2086" s="174" t="s">
        <v>1174</v>
      </c>
      <c r="E2086" s="174"/>
      <c r="F2086" s="192"/>
      <c r="G2086" s="275" t="s">
        <v>1698</v>
      </c>
      <c r="H2086" s="318">
        <f>SUM(H2078:H2085)</f>
        <v>11034.449999999999</v>
      </c>
    </row>
    <row r="2087" spans="1:8">
      <c r="A2087" s="26"/>
      <c r="B2087" s="60" t="s">
        <v>5948</v>
      </c>
      <c r="C2087" s="31"/>
      <c r="D2087" s="31"/>
      <c r="E2087" s="85">
        <f>ROUND(H2086/G2048,1)</f>
        <v>34</v>
      </c>
      <c r="G2087" s="31"/>
    </row>
    <row r="2088" spans="1:8">
      <c r="A2088" s="26"/>
      <c r="B2088" s="60" t="s">
        <v>3163</v>
      </c>
      <c r="C2088" s="31"/>
      <c r="D2088" s="31">
        <f>'BASIC DATA'!$C$577</f>
        <v>0.13614999999999999</v>
      </c>
      <c r="E2088" s="85">
        <f>ROUND(E2087*D2088,1)</f>
        <v>4.5999999999999996</v>
      </c>
      <c r="G2088" s="31"/>
    </row>
    <row r="2089" spans="1:8">
      <c r="A2089" s="26"/>
      <c r="B2089" s="60" t="s">
        <v>5949</v>
      </c>
      <c r="C2089" s="31"/>
      <c r="D2089" s="31"/>
      <c r="E2089" s="739">
        <f>E2088+E2087</f>
        <v>38.6</v>
      </c>
      <c r="G2089" s="31"/>
    </row>
    <row r="2090" spans="1:8">
      <c r="A2090" s="26"/>
      <c r="B2090" s="26"/>
    </row>
    <row r="2091" spans="1:8">
      <c r="A2091" s="26"/>
      <c r="B2091" s="170" t="s">
        <v>1175</v>
      </c>
    </row>
    <row r="2092" spans="1:8">
      <c r="A2092" s="26"/>
      <c r="B2092" s="26" t="s">
        <v>5010</v>
      </c>
      <c r="F2092" s="171" t="s">
        <v>1698</v>
      </c>
      <c r="G2092" s="68">
        <f>H2055</f>
        <v>9750</v>
      </c>
    </row>
    <row r="2093" spans="1:8">
      <c r="A2093" s="26"/>
      <c r="B2093" s="26" t="s">
        <v>1186</v>
      </c>
      <c r="F2093" s="171" t="s">
        <v>1698</v>
      </c>
      <c r="G2093" s="68">
        <f>H2073</f>
        <v>49688.049999999996</v>
      </c>
    </row>
    <row r="2094" spans="1:8">
      <c r="A2094" s="26"/>
      <c r="B2094" s="26" t="s">
        <v>2660</v>
      </c>
      <c r="F2094" s="171" t="s">
        <v>1698</v>
      </c>
      <c r="G2094" s="75">
        <f>H2086</f>
        <v>11034.449999999999</v>
      </c>
    </row>
    <row r="2095" spans="1:8">
      <c r="A2095" s="26"/>
      <c r="E2095" s="26" t="s">
        <v>1518</v>
      </c>
      <c r="F2095" s="171" t="s">
        <v>1698</v>
      </c>
      <c r="G2095" s="205">
        <f>SUM(G2092:G2094)</f>
        <v>70472.5</v>
      </c>
    </row>
    <row r="2096" spans="1:8" ht="40.5" customHeight="1">
      <c r="A2096" s="26"/>
      <c r="B2096" s="1207" t="s">
        <v>1379</v>
      </c>
      <c r="C2096" s="1207"/>
      <c r="E2096" s="249">
        <f>'BASIC DATA'!$C$577</f>
        <v>0.13614999999999999</v>
      </c>
      <c r="F2096" s="26" t="s">
        <v>1698</v>
      </c>
      <c r="G2096" s="26">
        <f>G2095*E2096</f>
        <v>9594.8308749999997</v>
      </c>
    </row>
    <row r="2097" spans="1:8">
      <c r="A2097" s="26"/>
      <c r="B2097" s="26" t="s">
        <v>1191</v>
      </c>
      <c r="D2097" s="68">
        <f>G2048</f>
        <v>325</v>
      </c>
      <c r="E2097" s="68" t="str">
        <f>H2048</f>
        <v>cum</v>
      </c>
      <c r="F2097" s="26" t="s">
        <v>1698</v>
      </c>
      <c r="G2097" s="211">
        <f>G2096+G2095</f>
        <v>80067.330875</v>
      </c>
    </row>
    <row r="2098" spans="1:8">
      <c r="A2098" s="26"/>
      <c r="B2098" s="170" t="s">
        <v>1584</v>
      </c>
      <c r="C2098" s="211" t="str">
        <f>E2097</f>
        <v>cum</v>
      </c>
      <c r="D2098" s="26" t="s">
        <v>4728</v>
      </c>
      <c r="F2098" s="26" t="s">
        <v>4108</v>
      </c>
      <c r="G2098" s="211">
        <f>ROUND(G2097/D2097,1)</f>
        <v>246.4</v>
      </c>
    </row>
    <row r="2099" spans="1:8">
      <c r="A2099" s="26"/>
    </row>
    <row r="2100" spans="1:8">
      <c r="A2100" s="26"/>
    </row>
    <row r="2101" spans="1:8">
      <c r="A2101" s="78" t="s">
        <v>5507</v>
      </c>
      <c r="B2101" s="26" t="s">
        <v>9201</v>
      </c>
    </row>
    <row r="2102" spans="1:8">
      <c r="B2102" s="26" t="s">
        <v>9202</v>
      </c>
    </row>
    <row r="2103" spans="1:8">
      <c r="B2103" s="26" t="s">
        <v>9203</v>
      </c>
    </row>
    <row r="2104" spans="1:8">
      <c r="B2104" s="26" t="s">
        <v>9190</v>
      </c>
    </row>
    <row r="2105" spans="1:8">
      <c r="B2105" s="26" t="s">
        <v>9204</v>
      </c>
    </row>
    <row r="2106" spans="1:8">
      <c r="B2106" s="170" t="s">
        <v>9205</v>
      </c>
    </row>
    <row r="2107" spans="1:8">
      <c r="B2107" s="26"/>
    </row>
    <row r="2108" spans="1:8" hidden="1">
      <c r="A2108" s="78" t="s">
        <v>3984</v>
      </c>
      <c r="B2108" s="26" t="s">
        <v>602</v>
      </c>
      <c r="F2108" s="78" t="s">
        <v>1697</v>
      </c>
      <c r="G2108" s="68">
        <v>0.5</v>
      </c>
      <c r="H2108" s="26" t="s">
        <v>3477</v>
      </c>
    </row>
    <row r="2109" spans="1:8" hidden="1">
      <c r="B2109" s="26" t="s">
        <v>603</v>
      </c>
      <c r="F2109" s="78" t="s">
        <v>1697</v>
      </c>
      <c r="G2109" s="68">
        <v>0.57999999999999996</v>
      </c>
      <c r="H2109" s="26" t="s">
        <v>3477</v>
      </c>
    </row>
    <row r="2110" spans="1:8" hidden="1">
      <c r="B2110" s="26" t="s">
        <v>738</v>
      </c>
      <c r="F2110" s="78" t="s">
        <v>1697</v>
      </c>
      <c r="G2110" s="68">
        <v>0.53</v>
      </c>
      <c r="H2110" s="26" t="s">
        <v>3477</v>
      </c>
    </row>
    <row r="2111" spans="1:8" hidden="1">
      <c r="B2111" s="26" t="s">
        <v>604</v>
      </c>
      <c r="F2111" s="78" t="s">
        <v>1697</v>
      </c>
      <c r="G2111" s="68">
        <v>5</v>
      </c>
      <c r="H2111" s="26" t="s">
        <v>3477</v>
      </c>
    </row>
    <row r="2112" spans="1:8" hidden="1">
      <c r="B2112" s="26" t="s">
        <v>2541</v>
      </c>
      <c r="F2112" s="78" t="s">
        <v>4807</v>
      </c>
      <c r="G2112" s="26">
        <v>1</v>
      </c>
      <c r="H2112" s="26" t="s">
        <v>3430</v>
      </c>
    </row>
    <row r="2113" spans="2:8" hidden="1">
      <c r="B2113" s="26" t="s">
        <v>4569</v>
      </c>
      <c r="F2113" s="78" t="s">
        <v>1697</v>
      </c>
      <c r="G2113" s="26">
        <v>15</v>
      </c>
      <c r="H2113" s="26" t="s">
        <v>6703</v>
      </c>
    </row>
    <row r="2114" spans="2:8" hidden="1">
      <c r="B2114" s="26" t="s">
        <v>5632</v>
      </c>
      <c r="F2114" s="78" t="s">
        <v>1697</v>
      </c>
      <c r="G2114" s="26">
        <v>20</v>
      </c>
      <c r="H2114" s="26" t="s">
        <v>6703</v>
      </c>
    </row>
    <row r="2115" spans="2:8" hidden="1">
      <c r="B2115" s="26" t="s">
        <v>3985</v>
      </c>
      <c r="F2115" s="78" t="s">
        <v>1697</v>
      </c>
      <c r="G2115" s="68">
        <v>2.5</v>
      </c>
      <c r="H2115" s="26" t="s">
        <v>2603</v>
      </c>
    </row>
    <row r="2116" spans="2:8" hidden="1">
      <c r="B2116" s="26" t="s">
        <v>739</v>
      </c>
    </row>
    <row r="2117" spans="2:8" hidden="1">
      <c r="B2117" s="26" t="s">
        <v>4030</v>
      </c>
      <c r="F2117" s="78" t="s">
        <v>1697</v>
      </c>
      <c r="G2117" s="26">
        <v>20</v>
      </c>
      <c r="H2117" s="26" t="s">
        <v>3434</v>
      </c>
    </row>
    <row r="2118" spans="2:8" hidden="1">
      <c r="B2118" s="26" t="s">
        <v>1161</v>
      </c>
      <c r="F2118" s="78" t="s">
        <v>1123</v>
      </c>
      <c r="G2118" s="26">
        <v>4.54</v>
      </c>
      <c r="H2118" s="26" t="s">
        <v>3477</v>
      </c>
    </row>
    <row r="2119" spans="2:8" hidden="1">
      <c r="B2119" s="26" t="s">
        <v>1162</v>
      </c>
      <c r="F2119" s="78" t="s">
        <v>1123</v>
      </c>
      <c r="G2119" s="26">
        <v>8</v>
      </c>
      <c r="H2119" s="26" t="s">
        <v>4932</v>
      </c>
    </row>
    <row r="2120" spans="2:8" hidden="1">
      <c r="B2120" s="26" t="s">
        <v>1489</v>
      </c>
      <c r="F2120" s="78" t="s">
        <v>1123</v>
      </c>
      <c r="G2120" s="26">
        <v>2.67</v>
      </c>
      <c r="H2120" s="26" t="s">
        <v>2603</v>
      </c>
    </row>
    <row r="2121" spans="2:8" hidden="1">
      <c r="B2121" s="26" t="s">
        <v>1613</v>
      </c>
    </row>
    <row r="2122" spans="2:8" hidden="1">
      <c r="B2122" s="26" t="s">
        <v>3258</v>
      </c>
      <c r="F2122" s="78" t="s">
        <v>1697</v>
      </c>
      <c r="G2122" s="26">
        <v>2.67</v>
      </c>
      <c r="H2122" s="26" t="s">
        <v>2603</v>
      </c>
    </row>
    <row r="2123" spans="2:8" hidden="1">
      <c r="B2123" s="26" t="s">
        <v>762</v>
      </c>
      <c r="F2123" s="78" t="s">
        <v>1697</v>
      </c>
      <c r="G2123" s="68">
        <v>4</v>
      </c>
      <c r="H2123" s="26" t="s">
        <v>2603</v>
      </c>
    </row>
    <row r="2124" spans="2:8" hidden="1">
      <c r="B2124" s="26" t="s">
        <v>705</v>
      </c>
      <c r="F2124" s="78" t="s">
        <v>1697</v>
      </c>
      <c r="G2124" s="68">
        <v>2.5</v>
      </c>
      <c r="H2124" s="26" t="s">
        <v>2603</v>
      </c>
    </row>
    <row r="2125" spans="2:8" hidden="1">
      <c r="B2125" s="26" t="s">
        <v>3918</v>
      </c>
      <c r="F2125" s="78" t="s">
        <v>1697</v>
      </c>
      <c r="G2125" s="68">
        <v>3</v>
      </c>
      <c r="H2125" s="26" t="s">
        <v>2603</v>
      </c>
    </row>
    <row r="2126" spans="2:8" hidden="1">
      <c r="B2126" s="26" t="s">
        <v>263</v>
      </c>
      <c r="F2126" s="78" t="s">
        <v>1697</v>
      </c>
      <c r="G2126" s="173">
        <v>0.5</v>
      </c>
      <c r="H2126" s="26" t="s">
        <v>2603</v>
      </c>
    </row>
    <row r="2127" spans="2:8" hidden="1">
      <c r="B2127" s="26"/>
      <c r="E2127" s="26" t="s">
        <v>1518</v>
      </c>
      <c r="G2127" s="26">
        <f>SUM(G2122:G2126)</f>
        <v>12.67</v>
      </c>
      <c r="H2127" s="26" t="s">
        <v>2603</v>
      </c>
    </row>
    <row r="2128" spans="2:8" hidden="1">
      <c r="B2128" s="26" t="s">
        <v>3646</v>
      </c>
      <c r="F2128" s="78" t="s">
        <v>1697</v>
      </c>
      <c r="G2128" s="26">
        <v>4.7</v>
      </c>
      <c r="H2128" s="26" t="s">
        <v>2059</v>
      </c>
    </row>
    <row r="2129" spans="2:8" hidden="1">
      <c r="B2129" s="26" t="s">
        <v>750</v>
      </c>
      <c r="F2129" s="78" t="s">
        <v>1697</v>
      </c>
      <c r="G2129" s="68">
        <v>18</v>
      </c>
      <c r="H2129" s="26" t="s">
        <v>3477</v>
      </c>
    </row>
    <row r="2130" spans="2:8" hidden="1">
      <c r="B2130" s="26" t="s">
        <v>751</v>
      </c>
      <c r="F2130" s="78" t="s">
        <v>1123</v>
      </c>
      <c r="G2130" s="26">
        <v>680</v>
      </c>
      <c r="H2130" s="26" t="s">
        <v>3477</v>
      </c>
    </row>
    <row r="2131" spans="2:8" hidden="1">
      <c r="B2131" s="26" t="s">
        <v>1182</v>
      </c>
    </row>
    <row r="2132" spans="2:8" hidden="1">
      <c r="B2132" s="26" t="s">
        <v>1183</v>
      </c>
    </row>
    <row r="2133" spans="2:8" hidden="1">
      <c r="B2133" s="26" t="s">
        <v>4093</v>
      </c>
    </row>
    <row r="2134" spans="2:8" hidden="1">
      <c r="B2134" s="26" t="s">
        <v>3075</v>
      </c>
    </row>
    <row r="2135" spans="2:8" hidden="1">
      <c r="B2135" s="26" t="s">
        <v>3076</v>
      </c>
    </row>
    <row r="2136" spans="2:8" hidden="1">
      <c r="B2136" s="26" t="s">
        <v>4001</v>
      </c>
      <c r="F2136" s="78" t="s">
        <v>1697</v>
      </c>
      <c r="G2136" s="26">
        <v>612</v>
      </c>
      <c r="H2136" s="26" t="s">
        <v>3477</v>
      </c>
    </row>
    <row r="2137" spans="2:8" hidden="1">
      <c r="B2137" s="26" t="s">
        <v>2860</v>
      </c>
    </row>
    <row r="2138" spans="2:8" hidden="1">
      <c r="B2138" s="26" t="s">
        <v>4312</v>
      </c>
    </row>
    <row r="2139" spans="2:8" hidden="1">
      <c r="B2139" s="26" t="s">
        <v>6281</v>
      </c>
    </row>
    <row r="2140" spans="2:8" hidden="1">
      <c r="B2140" s="26" t="s">
        <v>4313</v>
      </c>
    </row>
    <row r="2141" spans="2:8" hidden="1">
      <c r="B2141" s="26" t="s">
        <v>4314</v>
      </c>
    </row>
    <row r="2142" spans="2:8" hidden="1">
      <c r="B2142" s="26" t="s">
        <v>1261</v>
      </c>
    </row>
    <row r="2143" spans="2:8" hidden="1">
      <c r="B2143" s="26" t="s">
        <v>4002</v>
      </c>
      <c r="F2143" s="78" t="s">
        <v>1697</v>
      </c>
      <c r="G2143" s="26">
        <v>750</v>
      </c>
      <c r="H2143" s="26" t="s">
        <v>3477</v>
      </c>
    </row>
    <row r="2144" spans="2:8" hidden="1">
      <c r="B2144" s="26" t="s">
        <v>6514</v>
      </c>
      <c r="F2144" s="78" t="s">
        <v>1697</v>
      </c>
      <c r="G2144" s="26">
        <v>200</v>
      </c>
      <c r="H2144" s="26" t="s">
        <v>3477</v>
      </c>
    </row>
    <row r="2145" spans="2:8" hidden="1">
      <c r="B2145" s="26" t="s">
        <v>1953</v>
      </c>
      <c r="F2145" s="78" t="s">
        <v>1123</v>
      </c>
      <c r="G2145" s="26">
        <v>4</v>
      </c>
      <c r="H2145" s="26" t="s">
        <v>4665</v>
      </c>
    </row>
    <row r="2146" spans="2:8" hidden="1">
      <c r="B2146" s="26" t="s">
        <v>1746</v>
      </c>
    </row>
    <row r="2147" spans="2:8" hidden="1">
      <c r="B2147" s="26" t="s">
        <v>4315</v>
      </c>
    </row>
    <row r="2148" spans="2:8" hidden="1">
      <c r="B2148" s="26" t="s">
        <v>4316</v>
      </c>
    </row>
    <row r="2149" spans="2:8" hidden="1">
      <c r="B2149" s="26" t="s">
        <v>4317</v>
      </c>
    </row>
    <row r="2150" spans="2:8" hidden="1">
      <c r="B2150" s="26" t="s">
        <v>4284</v>
      </c>
    </row>
    <row r="2151" spans="2:8" hidden="1">
      <c r="B2151" s="26" t="s">
        <v>4734</v>
      </c>
    </row>
    <row r="2152" spans="2:8" hidden="1">
      <c r="B2152" s="26" t="s">
        <v>752</v>
      </c>
    </row>
    <row r="2153" spans="2:8" hidden="1">
      <c r="B2153" s="26" t="s">
        <v>900</v>
      </c>
    </row>
    <row r="2154" spans="2:8" hidden="1">
      <c r="B2154" s="26" t="s">
        <v>6723</v>
      </c>
    </row>
    <row r="2155" spans="2:8" hidden="1">
      <c r="B2155" s="26" t="s">
        <v>6798</v>
      </c>
    </row>
    <row r="2156" spans="2:8" hidden="1">
      <c r="B2156" s="26" t="s">
        <v>3647</v>
      </c>
    </row>
    <row r="2157" spans="2:8" hidden="1">
      <c r="B2157" s="26" t="s">
        <v>9193</v>
      </c>
    </row>
    <row r="2158" spans="2:8" hidden="1">
      <c r="B2158" s="26" t="s">
        <v>9194</v>
      </c>
    </row>
    <row r="2159" spans="2:8" hidden="1">
      <c r="B2159" s="26" t="s">
        <v>4994</v>
      </c>
      <c r="F2159" s="78" t="s">
        <v>1697</v>
      </c>
      <c r="G2159" s="68">
        <v>1.9</v>
      </c>
      <c r="H2159" s="26" t="s">
        <v>2602</v>
      </c>
    </row>
    <row r="2160" spans="2:8" hidden="1">
      <c r="B2160" s="26" t="s">
        <v>4996</v>
      </c>
      <c r="F2160" s="78" t="s">
        <v>1697</v>
      </c>
      <c r="G2160" s="383">
        <v>4</v>
      </c>
      <c r="H2160" s="26" t="s">
        <v>3430</v>
      </c>
    </row>
    <row r="2161" spans="1:8" hidden="1">
      <c r="B2161" s="26" t="s">
        <v>4997</v>
      </c>
      <c r="F2161" s="78" t="s">
        <v>1697</v>
      </c>
      <c r="G2161" s="26">
        <v>0.3</v>
      </c>
      <c r="H2161" s="26" t="s">
        <v>2602</v>
      </c>
    </row>
    <row r="2162" spans="1:8" hidden="1">
      <c r="B2162" s="26" t="s">
        <v>1504</v>
      </c>
      <c r="F2162" s="78" t="s">
        <v>1697</v>
      </c>
      <c r="G2162" s="26">
        <v>11</v>
      </c>
      <c r="H2162" s="26" t="s">
        <v>2059</v>
      </c>
    </row>
    <row r="2163" spans="1:8" hidden="1">
      <c r="B2163" s="26" t="s">
        <v>1209</v>
      </c>
      <c r="F2163" s="78"/>
    </row>
    <row r="2164" spans="1:8" hidden="1">
      <c r="B2164" s="26" t="s">
        <v>6004</v>
      </c>
      <c r="E2164" s="26">
        <f>50/60*(1.9*4000*0.3*0.6/11)</f>
        <v>103.63636363636364</v>
      </c>
      <c r="F2164" s="78" t="s">
        <v>1697</v>
      </c>
      <c r="G2164" s="26">
        <v>103</v>
      </c>
      <c r="H2164" s="26" t="s">
        <v>3477</v>
      </c>
    </row>
    <row r="2165" spans="1:8" hidden="1">
      <c r="B2165" s="26" t="s">
        <v>901</v>
      </c>
      <c r="E2165" s="26">
        <f>750/G2164</f>
        <v>7.2815533980582527</v>
      </c>
      <c r="F2165" s="78" t="s">
        <v>1697</v>
      </c>
      <c r="G2165" s="68">
        <v>7.5</v>
      </c>
      <c r="H2165" s="26" t="s">
        <v>4665</v>
      </c>
    </row>
    <row r="2166" spans="1:8" hidden="1">
      <c r="B2166" s="26" t="s">
        <v>1129</v>
      </c>
    </row>
    <row r="2167" spans="1:8" hidden="1">
      <c r="B2167" s="26" t="s">
        <v>6057</v>
      </c>
    </row>
    <row r="2168" spans="1:8">
      <c r="A2168" s="26"/>
    </row>
    <row r="2169" spans="1:8">
      <c r="A2169" s="26" t="s">
        <v>9215</v>
      </c>
      <c r="C2169" s="203" t="s">
        <v>2367</v>
      </c>
      <c r="D2169" s="171"/>
      <c r="F2169" s="171" t="s">
        <v>297</v>
      </c>
      <c r="G2169" s="162">
        <v>612</v>
      </c>
      <c r="H2169" s="26" t="s">
        <v>3477</v>
      </c>
    </row>
    <row r="2170" spans="1:8">
      <c r="A2170" s="26"/>
      <c r="B2170" s="79" t="s">
        <v>2368</v>
      </c>
    </row>
    <row r="2171" spans="1:8">
      <c r="A2171" s="26"/>
      <c r="B2171" s="95" t="s">
        <v>2369</v>
      </c>
      <c r="C2171" s="157" t="s">
        <v>6374</v>
      </c>
      <c r="D2171" s="195"/>
      <c r="E2171" s="95" t="s">
        <v>2370</v>
      </c>
      <c r="F2171" s="95" t="s">
        <v>1166</v>
      </c>
      <c r="G2171" s="95" t="s">
        <v>2371</v>
      </c>
      <c r="H2171" s="95" t="s">
        <v>2372</v>
      </c>
    </row>
    <row r="2172" spans="1:8">
      <c r="A2172" s="26"/>
      <c r="B2172" s="114"/>
      <c r="C2172" s="154"/>
      <c r="D2172" s="192"/>
      <c r="E2172" s="114"/>
      <c r="F2172" s="114"/>
      <c r="G2172" s="114" t="s">
        <v>3485</v>
      </c>
      <c r="H2172" s="114" t="s">
        <v>3485</v>
      </c>
    </row>
    <row r="2173" spans="1:8">
      <c r="A2173" s="26"/>
      <c r="B2173" s="95">
        <v>1</v>
      </c>
      <c r="C2173" s="93" t="s">
        <v>6976</v>
      </c>
      <c r="E2173" s="95"/>
      <c r="F2173" s="190">
        <v>0</v>
      </c>
      <c r="G2173" s="190">
        <v>0</v>
      </c>
      <c r="H2173" s="190">
        <f>F2173*G2173</f>
        <v>0</v>
      </c>
    </row>
    <row r="2174" spans="1:8">
      <c r="A2174" s="26"/>
      <c r="B2174" s="275"/>
      <c r="C2174" s="139"/>
      <c r="D2174" s="174"/>
      <c r="E2174" s="114"/>
      <c r="F2174" s="182">
        <v>0</v>
      </c>
      <c r="G2174" s="182">
        <v>0</v>
      </c>
      <c r="H2174" s="182">
        <f>F2174*G2174</f>
        <v>0</v>
      </c>
    </row>
    <row r="2175" spans="1:8" s="61" customFormat="1">
      <c r="B2175" s="444"/>
      <c r="C2175" s="60" t="s">
        <v>6841</v>
      </c>
      <c r="D2175" s="182">
        <f>'BASIC DATA'!$D$398</f>
        <v>30</v>
      </c>
      <c r="E2175" s="60" t="s">
        <v>6961</v>
      </c>
      <c r="F2175" s="522"/>
      <c r="G2175" s="678" t="s">
        <v>1698</v>
      </c>
      <c r="H2175" s="255">
        <f>D2175*G2169</f>
        <v>18360</v>
      </c>
    </row>
    <row r="2176" spans="1:8">
      <c r="A2176" s="26"/>
      <c r="B2176" s="92"/>
      <c r="C2176" s="159"/>
      <c r="D2176" s="159" t="s">
        <v>2376</v>
      </c>
      <c r="E2176" s="159"/>
      <c r="F2176" s="238"/>
      <c r="G2176" s="236" t="s">
        <v>1698</v>
      </c>
      <c r="H2176" s="318">
        <f>SUM(H2173:H2175)</f>
        <v>18360</v>
      </c>
    </row>
    <row r="2177" spans="1:8">
      <c r="A2177" s="26"/>
    </row>
    <row r="2178" spans="1:8">
      <c r="A2178" s="26"/>
      <c r="B2178" s="79" t="s">
        <v>2377</v>
      </c>
    </row>
    <row r="2179" spans="1:8">
      <c r="A2179" s="26"/>
      <c r="B2179" s="95" t="s">
        <v>2369</v>
      </c>
      <c r="C2179" s="157" t="s">
        <v>2378</v>
      </c>
      <c r="D2179" s="195"/>
      <c r="E2179" s="95" t="s">
        <v>2370</v>
      </c>
      <c r="F2179" s="95" t="s">
        <v>1166</v>
      </c>
      <c r="G2179" s="95" t="s">
        <v>2371</v>
      </c>
      <c r="H2179" s="95" t="s">
        <v>2372</v>
      </c>
    </row>
    <row r="2180" spans="1:8">
      <c r="A2180" s="26"/>
      <c r="B2180" s="114"/>
      <c r="C2180" s="154"/>
      <c r="D2180" s="192"/>
      <c r="E2180" s="114"/>
      <c r="F2180" s="114"/>
      <c r="G2180" s="114" t="s">
        <v>3485</v>
      </c>
      <c r="H2180" s="114" t="s">
        <v>3485</v>
      </c>
    </row>
    <row r="2181" spans="1:8">
      <c r="A2181" s="26"/>
      <c r="B2181" s="105">
        <v>1</v>
      </c>
      <c r="C2181" s="135" t="s">
        <v>152</v>
      </c>
      <c r="E2181" s="95" t="s">
        <v>2374</v>
      </c>
      <c r="F2181" s="214">
        <v>4</v>
      </c>
      <c r="G2181" s="190">
        <f>'HIRE CHARGES'!D499</f>
        <v>1715.5</v>
      </c>
      <c r="H2181" s="190">
        <f>F2181*G2181</f>
        <v>6862</v>
      </c>
    </row>
    <row r="2182" spans="1:8">
      <c r="A2182" s="26"/>
      <c r="B2182" s="280"/>
      <c r="C2182" s="135" t="s">
        <v>2379</v>
      </c>
      <c r="E2182" s="105" t="s">
        <v>2374</v>
      </c>
      <c r="F2182" s="190">
        <v>4</v>
      </c>
      <c r="G2182" s="190">
        <f>'HIRE CHARGES'!E499</f>
        <v>610.5</v>
      </c>
      <c r="H2182" s="190">
        <f t="shared" ref="H2182:H2193" si="7">F2182*G2182</f>
        <v>2442</v>
      </c>
    </row>
    <row r="2183" spans="1:8">
      <c r="A2183" s="26"/>
      <c r="B2183" s="105">
        <v>2</v>
      </c>
      <c r="C2183" s="135" t="s">
        <v>2951</v>
      </c>
      <c r="E2183" s="105" t="s">
        <v>2374</v>
      </c>
      <c r="F2183" s="190">
        <v>8</v>
      </c>
      <c r="G2183" s="190">
        <f>'HIRE CHARGES'!D542</f>
        <v>1003.1</v>
      </c>
      <c r="H2183" s="190">
        <f t="shared" si="7"/>
        <v>8024.8</v>
      </c>
    </row>
    <row r="2184" spans="1:8">
      <c r="A2184" s="26"/>
      <c r="B2184" s="280"/>
      <c r="C2184" s="135" t="s">
        <v>2379</v>
      </c>
      <c r="E2184" s="105" t="s">
        <v>2374</v>
      </c>
      <c r="F2184" s="190">
        <v>8</v>
      </c>
      <c r="G2184" s="190">
        <f>'HIRE CHARGES'!E542</f>
        <v>476</v>
      </c>
      <c r="H2184" s="190">
        <f t="shared" si="7"/>
        <v>3808</v>
      </c>
    </row>
    <row r="2185" spans="1:8">
      <c r="A2185" s="26"/>
      <c r="B2185" s="105">
        <v>3</v>
      </c>
      <c r="C2185" s="135" t="s">
        <v>3418</v>
      </c>
      <c r="E2185" s="105" t="s">
        <v>2374</v>
      </c>
      <c r="F2185" s="190">
        <v>40</v>
      </c>
      <c r="G2185" s="190">
        <f>'HIRE CHARGES'!D545</f>
        <v>446.7</v>
      </c>
      <c r="H2185" s="190">
        <f t="shared" si="7"/>
        <v>17868</v>
      </c>
    </row>
    <row r="2186" spans="1:8">
      <c r="A2186" s="26"/>
      <c r="B2186" s="280"/>
      <c r="C2186" s="135" t="s">
        <v>2379</v>
      </c>
      <c r="E2186" s="105" t="s">
        <v>2374</v>
      </c>
      <c r="F2186" s="190">
        <v>40</v>
      </c>
      <c r="G2186" s="190">
        <f>'HIRE CHARGES'!E545</f>
        <v>299.89999999999998</v>
      </c>
      <c r="H2186" s="190">
        <f t="shared" si="7"/>
        <v>11996</v>
      </c>
    </row>
    <row r="2187" spans="1:8">
      <c r="A2187" s="26"/>
      <c r="B2187" s="105">
        <v>4</v>
      </c>
      <c r="C2187" s="135" t="s">
        <v>1132</v>
      </c>
      <c r="E2187" s="105" t="s">
        <v>2374</v>
      </c>
      <c r="F2187" s="190">
        <v>4</v>
      </c>
      <c r="G2187" s="190">
        <f>'HIRE CHARGES'!D517</f>
        <v>10.199999999999999</v>
      </c>
      <c r="H2187" s="190">
        <f t="shared" si="7"/>
        <v>40.799999999999997</v>
      </c>
    </row>
    <row r="2188" spans="1:8">
      <c r="A2188" s="26"/>
      <c r="B2188" s="280"/>
      <c r="C2188" s="135" t="s">
        <v>2379</v>
      </c>
      <c r="E2188" s="105" t="s">
        <v>2374</v>
      </c>
      <c r="F2188" s="190">
        <v>4</v>
      </c>
      <c r="G2188" s="190">
        <f>'HIRE CHARGES'!E517</f>
        <v>79.3</v>
      </c>
      <c r="H2188" s="190">
        <f t="shared" si="7"/>
        <v>317.2</v>
      </c>
    </row>
    <row r="2189" spans="1:8">
      <c r="A2189" s="26"/>
      <c r="B2189" s="105">
        <v>5</v>
      </c>
      <c r="C2189" s="135" t="s">
        <v>6286</v>
      </c>
      <c r="E2189" s="105" t="s">
        <v>2374</v>
      </c>
      <c r="F2189" s="190">
        <v>7</v>
      </c>
      <c r="G2189" s="190">
        <f>'HIRE CHARGES'!D555</f>
        <v>402.5</v>
      </c>
      <c r="H2189" s="190">
        <f t="shared" si="7"/>
        <v>2817.5</v>
      </c>
    </row>
    <row r="2190" spans="1:8">
      <c r="A2190" s="26"/>
      <c r="B2190" s="280"/>
      <c r="C2190" s="135" t="s">
        <v>2379</v>
      </c>
      <c r="E2190" s="105" t="s">
        <v>2374</v>
      </c>
      <c r="F2190" s="190">
        <v>7</v>
      </c>
      <c r="G2190" s="190">
        <f>'HIRE CHARGES'!E555</f>
        <v>299.89999999999998</v>
      </c>
      <c r="H2190" s="190">
        <f t="shared" si="7"/>
        <v>2099.2999999999997</v>
      </c>
    </row>
    <row r="2191" spans="1:8">
      <c r="A2191" s="26"/>
      <c r="B2191" s="105">
        <v>6</v>
      </c>
      <c r="C2191" s="135" t="s">
        <v>998</v>
      </c>
      <c r="E2191" s="105" t="s">
        <v>2374</v>
      </c>
      <c r="F2191" s="190">
        <f>G2165</f>
        <v>7.5</v>
      </c>
      <c r="G2191" s="190">
        <f>'HIRE CHARGES'!D553</f>
        <v>1342.2</v>
      </c>
      <c r="H2191" s="190">
        <f t="shared" si="7"/>
        <v>10066.5</v>
      </c>
    </row>
    <row r="2192" spans="1:8">
      <c r="A2192" s="26"/>
      <c r="B2192" s="280"/>
      <c r="C2192" s="135" t="s">
        <v>2379</v>
      </c>
      <c r="E2192" s="105" t="s">
        <v>2374</v>
      </c>
      <c r="F2192" s="190">
        <f>G2165</f>
        <v>7.5</v>
      </c>
      <c r="G2192" s="190">
        <f>'HIRE CHARGES'!E553</f>
        <v>1031.4000000000001</v>
      </c>
      <c r="H2192" s="190">
        <f t="shared" si="7"/>
        <v>7735.5000000000009</v>
      </c>
    </row>
    <row r="2193" spans="1:8">
      <c r="A2193" s="26"/>
      <c r="B2193" s="114">
        <v>7</v>
      </c>
      <c r="C2193" s="139" t="s">
        <v>2373</v>
      </c>
      <c r="D2193" s="174"/>
      <c r="E2193" s="114" t="s">
        <v>2173</v>
      </c>
      <c r="F2193" s="182">
        <v>2</v>
      </c>
      <c r="G2193" s="215">
        <f>'BASIC DATA'!D359</f>
        <v>30</v>
      </c>
      <c r="H2193" s="190">
        <f t="shared" si="7"/>
        <v>60</v>
      </c>
    </row>
    <row r="2194" spans="1:8">
      <c r="A2194" s="26"/>
      <c r="B2194" s="176"/>
      <c r="C2194" s="174"/>
      <c r="D2194" s="174" t="s">
        <v>2380</v>
      </c>
      <c r="E2194" s="174"/>
      <c r="F2194" s="192"/>
      <c r="G2194" s="275" t="s">
        <v>1698</v>
      </c>
      <c r="H2194" s="318">
        <f>SUM(H2181:H2193)</f>
        <v>74137.600000000006</v>
      </c>
    </row>
    <row r="2195" spans="1:8">
      <c r="A2195" s="26"/>
    </row>
    <row r="2196" spans="1:8">
      <c r="A2196" s="26"/>
      <c r="B2196" s="79" t="s">
        <v>2381</v>
      </c>
    </row>
    <row r="2197" spans="1:8">
      <c r="A2197" s="26"/>
      <c r="B2197" s="95" t="s">
        <v>2369</v>
      </c>
      <c r="C2197" s="157" t="s">
        <v>2378</v>
      </c>
      <c r="D2197" s="195"/>
      <c r="E2197" s="95" t="s">
        <v>2370</v>
      </c>
      <c r="F2197" s="95" t="s">
        <v>1166</v>
      </c>
      <c r="G2197" s="95" t="s">
        <v>2371</v>
      </c>
      <c r="H2197" s="95" t="s">
        <v>2372</v>
      </c>
    </row>
    <row r="2198" spans="1:8">
      <c r="A2198" s="26"/>
      <c r="B2198" s="114"/>
      <c r="C2198" s="154"/>
      <c r="D2198" s="192"/>
      <c r="E2198" s="105"/>
      <c r="F2198" s="114"/>
      <c r="G2198" s="114" t="s">
        <v>3485</v>
      </c>
      <c r="H2198" s="114" t="s">
        <v>3485</v>
      </c>
    </row>
    <row r="2199" spans="1:8">
      <c r="A2199" s="26"/>
      <c r="B2199" s="95">
        <v>1</v>
      </c>
      <c r="C2199" s="148" t="s">
        <v>2870</v>
      </c>
      <c r="D2199" s="187"/>
      <c r="E2199" s="95" t="s">
        <v>2374</v>
      </c>
      <c r="F2199" s="178">
        <v>4</v>
      </c>
      <c r="G2199" s="179">
        <f>'HIRE CHARGES'!F499</f>
        <v>236.6</v>
      </c>
      <c r="H2199" s="179">
        <f>F2199*G2199</f>
        <v>946.4</v>
      </c>
    </row>
    <row r="2200" spans="1:8">
      <c r="A2200" s="26"/>
      <c r="B2200" s="105">
        <v>2</v>
      </c>
      <c r="C2200" s="76" t="s">
        <v>300</v>
      </c>
      <c r="D2200" s="31"/>
      <c r="E2200" s="105" t="s">
        <v>2374</v>
      </c>
      <c r="F2200" s="207">
        <v>8</v>
      </c>
      <c r="G2200" s="190">
        <f>'HIRE CHARGES'!F542</f>
        <v>236.6</v>
      </c>
      <c r="H2200" s="190">
        <f t="shared" ref="H2200:H2206" si="8">F2200*G2200</f>
        <v>1892.8</v>
      </c>
    </row>
    <row r="2201" spans="1:8">
      <c r="A2201" s="26"/>
      <c r="B2201" s="105">
        <v>3</v>
      </c>
      <c r="C2201" s="76" t="s">
        <v>301</v>
      </c>
      <c r="D2201" s="31"/>
      <c r="E2201" s="105" t="s">
        <v>2374</v>
      </c>
      <c r="F2201" s="207">
        <v>40</v>
      </c>
      <c r="G2201" s="190">
        <f>'HIRE CHARGES'!F545</f>
        <v>177.5</v>
      </c>
      <c r="H2201" s="190">
        <f t="shared" si="8"/>
        <v>7100</v>
      </c>
    </row>
    <row r="2202" spans="1:8">
      <c r="A2202" s="26"/>
      <c r="B2202" s="105">
        <v>4</v>
      </c>
      <c r="C2202" s="76" t="s">
        <v>999</v>
      </c>
      <c r="D2202" s="31"/>
      <c r="E2202" s="105" t="s">
        <v>2374</v>
      </c>
      <c r="F2202" s="207">
        <v>4</v>
      </c>
      <c r="G2202" s="190">
        <f>'HIRE CHARGES'!F517</f>
        <v>111.1</v>
      </c>
      <c r="H2202" s="190">
        <f t="shared" si="8"/>
        <v>444.4</v>
      </c>
    </row>
    <row r="2203" spans="1:8">
      <c r="A2203" s="26"/>
      <c r="B2203" s="105">
        <v>5</v>
      </c>
      <c r="C2203" s="76" t="s">
        <v>1000</v>
      </c>
      <c r="D2203" s="31"/>
      <c r="E2203" s="105" t="s">
        <v>2374</v>
      </c>
      <c r="F2203" s="207">
        <v>7</v>
      </c>
      <c r="G2203" s="190">
        <f>'HIRE CHARGES'!F555</f>
        <v>177.5</v>
      </c>
      <c r="H2203" s="190">
        <f t="shared" si="8"/>
        <v>1242.5</v>
      </c>
    </row>
    <row r="2204" spans="1:8">
      <c r="A2204" s="26"/>
      <c r="B2204" s="105">
        <v>6</v>
      </c>
      <c r="C2204" s="76" t="s">
        <v>1001</v>
      </c>
      <c r="D2204" s="31"/>
      <c r="E2204" s="105" t="s">
        <v>2374</v>
      </c>
      <c r="F2204" s="207">
        <f>G2165</f>
        <v>7.5</v>
      </c>
      <c r="G2204" s="190">
        <f>'HIRE CHARGES'!F553</f>
        <v>263.60000000000002</v>
      </c>
      <c r="H2204" s="190">
        <f t="shared" si="8"/>
        <v>1977.0000000000002</v>
      </c>
    </row>
    <row r="2205" spans="1:8">
      <c r="A2205" s="26"/>
      <c r="B2205" s="105">
        <v>7</v>
      </c>
      <c r="C2205" s="76" t="s">
        <v>4206</v>
      </c>
      <c r="D2205" s="31"/>
      <c r="E2205" s="105" t="s">
        <v>1172</v>
      </c>
      <c r="F2205" s="207">
        <v>2</v>
      </c>
      <c r="G2205" s="190">
        <f>'BASIC DATA'!C473</f>
        <v>450</v>
      </c>
      <c r="H2205" s="190">
        <f t="shared" si="8"/>
        <v>900</v>
      </c>
    </row>
    <row r="2206" spans="1:8">
      <c r="A2206" s="26"/>
      <c r="B2206" s="114">
        <v>8</v>
      </c>
      <c r="C2206" s="89" t="s">
        <v>2697</v>
      </c>
      <c r="D2206" s="174"/>
      <c r="E2206" s="114" t="s">
        <v>1172</v>
      </c>
      <c r="F2206" s="181">
        <v>6</v>
      </c>
      <c r="G2206" s="182">
        <f>'BASIC DATA'!C552</f>
        <v>350</v>
      </c>
      <c r="H2206" s="190">
        <f t="shared" si="8"/>
        <v>2100</v>
      </c>
    </row>
    <row r="2207" spans="1:8">
      <c r="A2207" s="26"/>
      <c r="B2207" s="176"/>
      <c r="C2207" s="174"/>
      <c r="D2207" s="174" t="s">
        <v>1174</v>
      </c>
      <c r="E2207" s="174"/>
      <c r="F2207" s="192"/>
      <c r="G2207" s="275" t="s">
        <v>1698</v>
      </c>
      <c r="H2207" s="318">
        <f>SUM(H2199:H2206)</f>
        <v>16603.099999999999</v>
      </c>
    </row>
    <row r="2208" spans="1:8">
      <c r="A2208" s="26"/>
      <c r="B2208" s="60" t="s">
        <v>5948</v>
      </c>
      <c r="C2208" s="31"/>
      <c r="D2208" s="31"/>
      <c r="E2208" s="85">
        <f>ROUND(H2207/G2169,1)</f>
        <v>27.1</v>
      </c>
      <c r="G2208" s="31"/>
    </row>
    <row r="2209" spans="1:7">
      <c r="A2209" s="26"/>
      <c r="B2209" s="60" t="s">
        <v>3163</v>
      </c>
      <c r="C2209" s="31"/>
      <c r="D2209" s="31">
        <f>'BASIC DATA'!$C$577</f>
        <v>0.13614999999999999</v>
      </c>
      <c r="E2209" s="85">
        <f>ROUND(E2208*D2209,1)</f>
        <v>3.7</v>
      </c>
      <c r="G2209" s="31"/>
    </row>
    <row r="2210" spans="1:7">
      <c r="A2210" s="26"/>
      <c r="B2210" s="60" t="s">
        <v>5949</v>
      </c>
      <c r="C2210" s="31"/>
      <c r="D2210" s="31"/>
      <c r="E2210" s="739">
        <f>E2209+E2208</f>
        <v>30.8</v>
      </c>
      <c r="G2210" s="31"/>
    </row>
    <row r="2211" spans="1:7">
      <c r="A2211" s="26"/>
      <c r="B2211" s="26"/>
    </row>
    <row r="2212" spans="1:7">
      <c r="A2212" s="26"/>
      <c r="B2212" s="170" t="s">
        <v>1175</v>
      </c>
    </row>
    <row r="2213" spans="1:7">
      <c r="A2213" s="26"/>
      <c r="B2213" s="26" t="s">
        <v>5010</v>
      </c>
      <c r="F2213" s="171" t="s">
        <v>1698</v>
      </c>
      <c r="G2213" s="68">
        <f>H2176</f>
        <v>18360</v>
      </c>
    </row>
    <row r="2214" spans="1:7">
      <c r="A2214" s="26"/>
      <c r="B2214" s="26" t="s">
        <v>1186</v>
      </c>
      <c r="F2214" s="171" t="s">
        <v>1698</v>
      </c>
      <c r="G2214" s="68">
        <f>H2194</f>
        <v>74137.600000000006</v>
      </c>
    </row>
    <row r="2215" spans="1:7">
      <c r="A2215" s="26"/>
      <c r="B2215" s="26" t="s">
        <v>2660</v>
      </c>
      <c r="F2215" s="171" t="s">
        <v>1698</v>
      </c>
      <c r="G2215" s="75">
        <f>H2207</f>
        <v>16603.099999999999</v>
      </c>
    </row>
    <row r="2216" spans="1:7">
      <c r="A2216" s="26"/>
      <c r="E2216" s="26" t="s">
        <v>1518</v>
      </c>
      <c r="F2216" s="171" t="s">
        <v>1698</v>
      </c>
      <c r="G2216" s="205">
        <f>SUM(G2213:G2215)</f>
        <v>109100.70000000001</v>
      </c>
    </row>
    <row r="2217" spans="1:7" ht="36" customHeight="1">
      <c r="A2217" s="26"/>
      <c r="B2217" s="1207" t="s">
        <v>1379</v>
      </c>
      <c r="C2217" s="1207"/>
      <c r="E2217" s="249">
        <f>'BASIC DATA'!$C$577</f>
        <v>0.13614999999999999</v>
      </c>
      <c r="F2217" s="26" t="s">
        <v>1698</v>
      </c>
      <c r="G2217" s="26">
        <f>G2216*E2217</f>
        <v>14854.060305000001</v>
      </c>
    </row>
    <row r="2218" spans="1:7">
      <c r="A2218" s="26"/>
      <c r="B2218" s="26" t="s">
        <v>1191</v>
      </c>
      <c r="D2218" s="68">
        <f>G2169</f>
        <v>612</v>
      </c>
      <c r="E2218" s="68" t="str">
        <f>H2169</f>
        <v>cum</v>
      </c>
      <c r="F2218" s="26" t="s">
        <v>1698</v>
      </c>
      <c r="G2218" s="211">
        <f>G2217+G2216</f>
        <v>123954.76030500002</v>
      </c>
    </row>
    <row r="2219" spans="1:7">
      <c r="A2219" s="26"/>
      <c r="B2219" s="170" t="s">
        <v>1584</v>
      </c>
      <c r="C2219" s="211" t="str">
        <f>E2218</f>
        <v>cum</v>
      </c>
      <c r="D2219" s="26" t="s">
        <v>4729</v>
      </c>
      <c r="F2219" s="26" t="s">
        <v>4108</v>
      </c>
      <c r="G2219" s="211">
        <f>ROUND(G2218/D2218,1)</f>
        <v>202.5</v>
      </c>
    </row>
    <row r="2220" spans="1:7">
      <c r="A2220" s="26"/>
    </row>
    <row r="2221" spans="1:7">
      <c r="A2221" s="26"/>
    </row>
    <row r="2222" spans="1:7" ht="18.75">
      <c r="A2222" s="78" t="s">
        <v>5508</v>
      </c>
      <c r="B2222" s="170" t="s">
        <v>9118</v>
      </c>
    </row>
    <row r="2223" spans="1:7">
      <c r="B2223" s="26" t="s">
        <v>9119</v>
      </c>
    </row>
    <row r="2224" spans="1:7">
      <c r="B2224" s="26" t="s">
        <v>6315</v>
      </c>
    </row>
    <row r="2225" spans="1:8">
      <c r="B2225" s="26" t="s">
        <v>6148</v>
      </c>
    </row>
    <row r="2226" spans="1:8">
      <c r="B2226" s="26" t="s">
        <v>9120</v>
      </c>
    </row>
    <row r="2227" spans="1:8" ht="18.75">
      <c r="B2227" s="170" t="s">
        <v>9121</v>
      </c>
    </row>
    <row r="2228" spans="1:8">
      <c r="B2228" s="26"/>
    </row>
    <row r="2229" spans="1:8" hidden="1">
      <c r="A2229" s="78" t="s">
        <v>3984</v>
      </c>
      <c r="B2229" s="26" t="s">
        <v>602</v>
      </c>
      <c r="F2229" s="78" t="s">
        <v>1697</v>
      </c>
      <c r="G2229" s="68">
        <v>0.5</v>
      </c>
      <c r="H2229" s="26" t="s">
        <v>3477</v>
      </c>
    </row>
    <row r="2230" spans="1:8" hidden="1">
      <c r="B2230" s="26" t="s">
        <v>603</v>
      </c>
      <c r="F2230" s="78" t="s">
        <v>1697</v>
      </c>
      <c r="G2230" s="68">
        <v>0.57999999999999996</v>
      </c>
      <c r="H2230" s="26" t="s">
        <v>3477</v>
      </c>
    </row>
    <row r="2231" spans="1:8" hidden="1">
      <c r="B2231" s="26" t="s">
        <v>278</v>
      </c>
      <c r="F2231" s="78" t="s">
        <v>1697</v>
      </c>
      <c r="G2231" s="68">
        <v>0.53</v>
      </c>
      <c r="H2231" s="26" t="s">
        <v>3477</v>
      </c>
    </row>
    <row r="2232" spans="1:8" hidden="1">
      <c r="B2232" s="26" t="s">
        <v>604</v>
      </c>
      <c r="F2232" s="78" t="s">
        <v>1697</v>
      </c>
      <c r="G2232" s="68">
        <v>5</v>
      </c>
      <c r="H2232" s="26" t="s">
        <v>3477</v>
      </c>
    </row>
    <row r="2233" spans="1:8" hidden="1">
      <c r="B2233" s="26" t="s">
        <v>2541</v>
      </c>
      <c r="F2233" s="78" t="s">
        <v>4807</v>
      </c>
      <c r="G2233" s="26">
        <v>1</v>
      </c>
      <c r="H2233" s="26" t="s">
        <v>3430</v>
      </c>
    </row>
    <row r="2234" spans="1:8" hidden="1">
      <c r="B2234" s="26" t="s">
        <v>4569</v>
      </c>
      <c r="F2234" s="78" t="s">
        <v>1697</v>
      </c>
      <c r="G2234" s="26">
        <v>15</v>
      </c>
      <c r="H2234" s="26" t="s">
        <v>6703</v>
      </c>
    </row>
    <row r="2235" spans="1:8" hidden="1">
      <c r="B2235" s="26" t="s">
        <v>5632</v>
      </c>
      <c r="F2235" s="78" t="s">
        <v>1697</v>
      </c>
      <c r="G2235" s="26">
        <v>20</v>
      </c>
      <c r="H2235" s="26" t="s">
        <v>6703</v>
      </c>
    </row>
    <row r="2236" spans="1:8" hidden="1">
      <c r="B2236" s="26" t="s">
        <v>3985</v>
      </c>
      <c r="F2236" s="78" t="s">
        <v>1697</v>
      </c>
      <c r="G2236" s="68">
        <v>2.5</v>
      </c>
      <c r="H2236" s="26" t="s">
        <v>2603</v>
      </c>
    </row>
    <row r="2237" spans="1:8" hidden="1">
      <c r="B2237" s="26" t="s">
        <v>7097</v>
      </c>
    </row>
    <row r="2238" spans="1:8" hidden="1">
      <c r="B2238" s="26" t="s">
        <v>1752</v>
      </c>
    </row>
    <row r="2239" spans="1:8" hidden="1">
      <c r="B2239" s="26" t="s">
        <v>2117</v>
      </c>
    </row>
    <row r="2240" spans="1:8" hidden="1">
      <c r="B2240" s="26" t="s">
        <v>4030</v>
      </c>
      <c r="F2240" s="78" t="s">
        <v>1697</v>
      </c>
      <c r="G2240" s="26">
        <v>28</v>
      </c>
      <c r="H2240" s="26" t="s">
        <v>3434</v>
      </c>
    </row>
    <row r="2241" spans="2:8" hidden="1">
      <c r="B2241" s="26" t="s">
        <v>1161</v>
      </c>
      <c r="F2241" s="78" t="s">
        <v>1123</v>
      </c>
      <c r="G2241" s="26">
        <v>4.53</v>
      </c>
      <c r="H2241" s="26" t="s">
        <v>3477</v>
      </c>
    </row>
    <row r="2242" spans="2:8" hidden="1">
      <c r="B2242" s="26" t="s">
        <v>4885</v>
      </c>
      <c r="F2242" s="78" t="s">
        <v>1123</v>
      </c>
      <c r="G2242" s="26">
        <v>8</v>
      </c>
      <c r="H2242" s="26" t="s">
        <v>4932</v>
      </c>
    </row>
    <row r="2243" spans="2:8" hidden="1">
      <c r="B2243" s="26" t="s">
        <v>5568</v>
      </c>
      <c r="F2243" s="78" t="s">
        <v>1123</v>
      </c>
      <c r="G2243" s="26">
        <v>3.73</v>
      </c>
      <c r="H2243" s="26" t="s">
        <v>2603</v>
      </c>
    </row>
    <row r="2244" spans="2:8" hidden="1">
      <c r="B2244" s="26" t="s">
        <v>1613</v>
      </c>
    </row>
    <row r="2245" spans="2:8" hidden="1">
      <c r="B2245" s="26" t="s">
        <v>3258</v>
      </c>
      <c r="F2245" s="78" t="s">
        <v>1697</v>
      </c>
      <c r="G2245" s="26">
        <v>3.73</v>
      </c>
      <c r="H2245" s="26" t="s">
        <v>2603</v>
      </c>
    </row>
    <row r="2246" spans="2:8" hidden="1">
      <c r="B2246" s="26" t="s">
        <v>762</v>
      </c>
      <c r="F2246" s="78" t="s">
        <v>1697</v>
      </c>
      <c r="G2246" s="68">
        <v>4</v>
      </c>
      <c r="H2246" s="26" t="s">
        <v>2603</v>
      </c>
    </row>
    <row r="2247" spans="2:8" hidden="1">
      <c r="B2247" s="26" t="s">
        <v>705</v>
      </c>
      <c r="F2247" s="78" t="s">
        <v>1697</v>
      </c>
      <c r="G2247" s="68">
        <v>2.5</v>
      </c>
      <c r="H2247" s="26" t="s">
        <v>2603</v>
      </c>
    </row>
    <row r="2248" spans="2:8" hidden="1">
      <c r="B2248" s="26" t="s">
        <v>3918</v>
      </c>
      <c r="F2248" s="78" t="s">
        <v>1697</v>
      </c>
      <c r="G2248" s="68">
        <v>3</v>
      </c>
      <c r="H2248" s="26" t="s">
        <v>2603</v>
      </c>
    </row>
    <row r="2249" spans="2:8" hidden="1">
      <c r="B2249" s="26" t="s">
        <v>263</v>
      </c>
      <c r="E2249" s="26" t="s">
        <v>1518</v>
      </c>
      <c r="F2249" s="78" t="s">
        <v>1697</v>
      </c>
      <c r="G2249" s="173">
        <v>0.5</v>
      </c>
      <c r="H2249" s="26" t="s">
        <v>2603</v>
      </c>
    </row>
    <row r="2250" spans="2:8" hidden="1">
      <c r="B2250" s="26"/>
      <c r="F2250" s="78" t="s">
        <v>1697</v>
      </c>
      <c r="G2250" s="26">
        <f>SUM(G2245:G2249)</f>
        <v>13.73</v>
      </c>
      <c r="H2250" s="26" t="s">
        <v>2603</v>
      </c>
    </row>
    <row r="2251" spans="2:8" hidden="1">
      <c r="B2251" s="26" t="s">
        <v>4022</v>
      </c>
      <c r="F2251" s="78" t="s">
        <v>1697</v>
      </c>
      <c r="G2251" s="26">
        <v>3.7</v>
      </c>
      <c r="H2251" s="26" t="s">
        <v>2059</v>
      </c>
    </row>
    <row r="2252" spans="2:8" hidden="1">
      <c r="B2252" s="26" t="s">
        <v>4023</v>
      </c>
      <c r="F2252" s="78" t="s">
        <v>1697</v>
      </c>
      <c r="G2252" s="68">
        <v>16.5</v>
      </c>
      <c r="H2252" s="26" t="s">
        <v>3477</v>
      </c>
    </row>
    <row r="2253" spans="2:8" hidden="1">
      <c r="B2253" s="26" t="s">
        <v>4024</v>
      </c>
      <c r="F2253" s="78" t="s">
        <v>1123</v>
      </c>
      <c r="G2253" s="26">
        <v>490</v>
      </c>
      <c r="H2253" s="26" t="s">
        <v>3477</v>
      </c>
    </row>
    <row r="2254" spans="2:8" hidden="1">
      <c r="B2254" s="26" t="s">
        <v>364</v>
      </c>
    </row>
    <row r="2255" spans="2:8" hidden="1">
      <c r="B2255" s="26" t="s">
        <v>1183</v>
      </c>
    </row>
    <row r="2256" spans="2:8" hidden="1">
      <c r="B2256" s="26" t="s">
        <v>4093</v>
      </c>
    </row>
    <row r="2257" spans="1:8" hidden="1">
      <c r="B2257" s="26" t="s">
        <v>3075</v>
      </c>
    </row>
    <row r="2258" spans="1:8" hidden="1">
      <c r="B2258" s="26" t="s">
        <v>3076</v>
      </c>
    </row>
    <row r="2259" spans="1:8" hidden="1">
      <c r="B2259" s="26" t="s">
        <v>4025</v>
      </c>
      <c r="F2259" s="78" t="s">
        <v>1697</v>
      </c>
      <c r="G2259" s="26">
        <v>440</v>
      </c>
      <c r="H2259" s="26" t="s">
        <v>3477</v>
      </c>
    </row>
    <row r="2260" spans="1:8" hidden="1">
      <c r="A2260" s="78">
        <v>1</v>
      </c>
      <c r="B2260" s="26" t="s">
        <v>2860</v>
      </c>
    </row>
    <row r="2261" spans="1:8" hidden="1">
      <c r="B2261" s="26" t="s">
        <v>1963</v>
      </c>
    </row>
    <row r="2262" spans="1:8" hidden="1">
      <c r="A2262" s="78">
        <v>2</v>
      </c>
      <c r="B2262" s="26" t="s">
        <v>6281</v>
      </c>
    </row>
    <row r="2263" spans="1:8" hidden="1">
      <c r="B2263" s="26" t="s">
        <v>4313</v>
      </c>
    </row>
    <row r="2264" spans="1:8" hidden="1">
      <c r="B2264" s="26" t="s">
        <v>1260</v>
      </c>
    </row>
    <row r="2265" spans="1:8" hidden="1">
      <c r="A2265" s="78">
        <v>3</v>
      </c>
      <c r="B2265" s="26" t="s">
        <v>1261</v>
      </c>
    </row>
    <row r="2266" spans="1:8" hidden="1">
      <c r="B2266" s="26" t="s">
        <v>4026</v>
      </c>
      <c r="F2266" s="78" t="s">
        <v>1697</v>
      </c>
      <c r="G2266" s="26">
        <v>539</v>
      </c>
      <c r="H2266" s="26" t="s">
        <v>3477</v>
      </c>
    </row>
    <row r="2267" spans="1:8" hidden="1">
      <c r="B2267" s="26" t="s">
        <v>6514</v>
      </c>
      <c r="F2267" s="78" t="s">
        <v>1697</v>
      </c>
      <c r="G2267" s="26">
        <v>200</v>
      </c>
      <c r="H2267" s="26" t="s">
        <v>3477</v>
      </c>
    </row>
    <row r="2268" spans="1:8" hidden="1">
      <c r="B2268" s="26" t="s">
        <v>422</v>
      </c>
      <c r="F2268" s="78" t="s">
        <v>1123</v>
      </c>
      <c r="G2268" s="68">
        <v>3</v>
      </c>
      <c r="H2268" s="26" t="s">
        <v>4665</v>
      </c>
    </row>
    <row r="2269" spans="1:8" hidden="1">
      <c r="A2269" s="78">
        <v>4</v>
      </c>
      <c r="B2269" s="26" t="s">
        <v>1746</v>
      </c>
    </row>
    <row r="2270" spans="1:8" hidden="1">
      <c r="B2270" s="26" t="s">
        <v>4315</v>
      </c>
    </row>
    <row r="2271" spans="1:8" hidden="1">
      <c r="B2271" s="26" t="s">
        <v>4316</v>
      </c>
    </row>
    <row r="2272" spans="1:8" hidden="1">
      <c r="B2272" s="26" t="s">
        <v>4317</v>
      </c>
    </row>
    <row r="2273" spans="1:8" hidden="1">
      <c r="B2273" s="26" t="s">
        <v>4284</v>
      </c>
    </row>
    <row r="2274" spans="1:8" hidden="1">
      <c r="B2274" s="26" t="s">
        <v>423</v>
      </c>
    </row>
    <row r="2275" spans="1:8" hidden="1">
      <c r="B2275" s="26" t="s">
        <v>424</v>
      </c>
    </row>
    <row r="2276" spans="1:8" hidden="1">
      <c r="B2276" s="26" t="s">
        <v>5202</v>
      </c>
    </row>
    <row r="2277" spans="1:8" hidden="1">
      <c r="B2277" s="26" t="s">
        <v>2325</v>
      </c>
    </row>
    <row r="2278" spans="1:8" hidden="1">
      <c r="A2278" s="78">
        <v>5</v>
      </c>
      <c r="B2278" s="26" t="s">
        <v>6798</v>
      </c>
    </row>
    <row r="2279" spans="1:8" hidden="1">
      <c r="B2279" s="26" t="s">
        <v>3647</v>
      </c>
    </row>
    <row r="2280" spans="1:8" hidden="1">
      <c r="B2280" s="26" t="s">
        <v>3648</v>
      </c>
    </row>
    <row r="2281" spans="1:8" hidden="1">
      <c r="B2281" s="26" t="s">
        <v>3649</v>
      </c>
    </row>
    <row r="2282" spans="1:8" hidden="1">
      <c r="B2282" s="26" t="s">
        <v>3650</v>
      </c>
      <c r="F2282" s="78" t="s">
        <v>1697</v>
      </c>
      <c r="G2282" s="68">
        <v>1.9</v>
      </c>
      <c r="H2282" s="26" t="s">
        <v>2602</v>
      </c>
    </row>
    <row r="2283" spans="1:8" hidden="1">
      <c r="B2283" s="26" t="s">
        <v>4995</v>
      </c>
      <c r="F2283" s="78" t="s">
        <v>1697</v>
      </c>
      <c r="G2283" s="383">
        <v>4</v>
      </c>
      <c r="H2283" s="26" t="s">
        <v>3430</v>
      </c>
    </row>
    <row r="2284" spans="1:8" hidden="1">
      <c r="B2284" s="26" t="s">
        <v>4997</v>
      </c>
      <c r="F2284" s="78" t="s">
        <v>1697</v>
      </c>
      <c r="G2284" s="26">
        <v>0.3</v>
      </c>
      <c r="H2284" s="26" t="s">
        <v>2602</v>
      </c>
    </row>
    <row r="2285" spans="1:8" hidden="1">
      <c r="B2285" s="26" t="s">
        <v>1504</v>
      </c>
      <c r="F2285" s="78" t="s">
        <v>1697</v>
      </c>
      <c r="G2285" s="26">
        <v>11</v>
      </c>
      <c r="H2285" s="26" t="s">
        <v>2059</v>
      </c>
    </row>
    <row r="2286" spans="1:8" hidden="1">
      <c r="B2286" s="26" t="s">
        <v>1209</v>
      </c>
      <c r="F2286" s="78"/>
    </row>
    <row r="2287" spans="1:8" hidden="1">
      <c r="B2287" s="26" t="s">
        <v>6004</v>
      </c>
      <c r="E2287" s="26">
        <f>50/60*(1.9*4000*0.3*0.6/11)</f>
        <v>103.63636363636364</v>
      </c>
      <c r="F2287" s="78" t="s">
        <v>1123</v>
      </c>
      <c r="G2287" s="26">
        <v>103</v>
      </c>
      <c r="H2287" s="26" t="s">
        <v>3477</v>
      </c>
    </row>
    <row r="2288" spans="1:8" hidden="1">
      <c r="B2288" s="26" t="s">
        <v>2754</v>
      </c>
      <c r="E2288" s="26">
        <f>539/G2287</f>
        <v>5.233009708737864</v>
      </c>
      <c r="F2288" s="78" t="s">
        <v>1123</v>
      </c>
      <c r="G2288" s="68">
        <v>5.5</v>
      </c>
      <c r="H2288" s="26" t="s">
        <v>4665</v>
      </c>
    </row>
    <row r="2289" spans="1:8" hidden="1">
      <c r="A2289" s="78">
        <v>6</v>
      </c>
      <c r="B2289" s="26" t="s">
        <v>1129</v>
      </c>
    </row>
    <row r="2290" spans="1:8" hidden="1">
      <c r="B2290" s="26" t="s">
        <v>6057</v>
      </c>
    </row>
    <row r="2291" spans="1:8">
      <c r="A2291" s="26"/>
    </row>
    <row r="2292" spans="1:8">
      <c r="A2292" s="26" t="s">
        <v>9215</v>
      </c>
      <c r="C2292" s="203" t="s">
        <v>2367</v>
      </c>
      <c r="D2292" s="171"/>
      <c r="F2292" s="171" t="s">
        <v>297</v>
      </c>
      <c r="G2292" s="162">
        <v>440</v>
      </c>
      <c r="H2292" s="26" t="s">
        <v>3477</v>
      </c>
    </row>
    <row r="2293" spans="1:8">
      <c r="A2293" s="26"/>
      <c r="B2293" s="79" t="s">
        <v>2368</v>
      </c>
    </row>
    <row r="2294" spans="1:8">
      <c r="A2294" s="26"/>
      <c r="B2294" s="95" t="s">
        <v>2369</v>
      </c>
      <c r="C2294" s="157" t="s">
        <v>6374</v>
      </c>
      <c r="D2294" s="195"/>
      <c r="E2294" s="95" t="s">
        <v>2370</v>
      </c>
      <c r="F2294" s="95" t="s">
        <v>1166</v>
      </c>
      <c r="G2294" s="95" t="s">
        <v>2371</v>
      </c>
      <c r="H2294" s="95" t="s">
        <v>2372</v>
      </c>
    </row>
    <row r="2295" spans="1:8">
      <c r="A2295" s="26"/>
      <c r="B2295" s="114"/>
      <c r="C2295" s="154"/>
      <c r="D2295" s="192"/>
      <c r="E2295" s="114"/>
      <c r="F2295" s="114"/>
      <c r="G2295" s="114" t="s">
        <v>3485</v>
      </c>
      <c r="H2295" s="114" t="s">
        <v>3485</v>
      </c>
    </row>
    <row r="2296" spans="1:8">
      <c r="A2296" s="26"/>
      <c r="B2296" s="95">
        <v>1</v>
      </c>
      <c r="C2296" s="93" t="s">
        <v>6976</v>
      </c>
      <c r="E2296" s="95"/>
      <c r="F2296" s="190">
        <v>0</v>
      </c>
      <c r="G2296" s="190">
        <v>0</v>
      </c>
      <c r="H2296" s="190">
        <f>F2296*G2296</f>
        <v>0</v>
      </c>
    </row>
    <row r="2297" spans="1:8">
      <c r="A2297" s="26"/>
      <c r="B2297" s="275"/>
      <c r="C2297" s="139"/>
      <c r="D2297" s="174"/>
      <c r="E2297" s="114"/>
      <c r="F2297" s="182">
        <v>0</v>
      </c>
      <c r="G2297" s="182">
        <v>0</v>
      </c>
      <c r="H2297" s="182">
        <f>F2297*G2297</f>
        <v>0</v>
      </c>
    </row>
    <row r="2298" spans="1:8" s="61" customFormat="1">
      <c r="B2298" s="444"/>
      <c r="C2298" s="60" t="s">
        <v>6841</v>
      </c>
      <c r="D2298" s="321"/>
      <c r="E2298" s="182">
        <f>'BASIC DATA'!$D$398</f>
        <v>30</v>
      </c>
      <c r="F2298" s="522"/>
      <c r="G2298" s="678" t="s">
        <v>1698</v>
      </c>
      <c r="H2298" s="255">
        <f>E2298*G2292</f>
        <v>13200</v>
      </c>
    </row>
    <row r="2299" spans="1:8">
      <c r="A2299" s="26"/>
      <c r="B2299" s="92"/>
      <c r="C2299" s="159"/>
      <c r="D2299" s="159" t="s">
        <v>2376</v>
      </c>
      <c r="E2299" s="159"/>
      <c r="F2299" s="238"/>
      <c r="G2299" s="236" t="s">
        <v>1698</v>
      </c>
      <c r="H2299" s="318">
        <f>SUM(H2296:H2298)</f>
        <v>13200</v>
      </c>
    </row>
    <row r="2300" spans="1:8">
      <c r="A2300" s="26"/>
    </row>
    <row r="2301" spans="1:8">
      <c r="A2301" s="26"/>
      <c r="B2301" s="79" t="s">
        <v>2377</v>
      </c>
    </row>
    <row r="2302" spans="1:8">
      <c r="A2302" s="26"/>
      <c r="B2302" s="95" t="s">
        <v>2369</v>
      </c>
      <c r="C2302" s="157" t="s">
        <v>2378</v>
      </c>
      <c r="D2302" s="195"/>
      <c r="E2302" s="95" t="s">
        <v>2370</v>
      </c>
      <c r="F2302" s="95" t="s">
        <v>1166</v>
      </c>
      <c r="G2302" s="95" t="s">
        <v>2371</v>
      </c>
      <c r="H2302" s="95" t="s">
        <v>2372</v>
      </c>
    </row>
    <row r="2303" spans="1:8">
      <c r="A2303" s="26"/>
      <c r="B2303" s="114"/>
      <c r="C2303" s="154"/>
      <c r="D2303" s="192"/>
      <c r="E2303" s="114"/>
      <c r="F2303" s="114"/>
      <c r="G2303" s="114" t="s">
        <v>3485</v>
      </c>
      <c r="H2303" s="114" t="s">
        <v>3485</v>
      </c>
    </row>
    <row r="2304" spans="1:8">
      <c r="A2304" s="26"/>
      <c r="B2304" s="105">
        <v>1</v>
      </c>
      <c r="C2304" s="135" t="s">
        <v>1502</v>
      </c>
      <c r="E2304" s="95" t="s">
        <v>2374</v>
      </c>
      <c r="F2304" s="214">
        <v>3</v>
      </c>
      <c r="G2304" s="190">
        <f>'HIRE CHARGES'!D499</f>
        <v>1715.5</v>
      </c>
      <c r="H2304" s="190">
        <f>F2304*G2304</f>
        <v>5146.5</v>
      </c>
    </row>
    <row r="2305" spans="1:8">
      <c r="A2305" s="26"/>
      <c r="B2305" s="280"/>
      <c r="C2305" s="135" t="s">
        <v>2379</v>
      </c>
      <c r="E2305" s="105" t="s">
        <v>2374</v>
      </c>
      <c r="F2305" s="190">
        <v>3</v>
      </c>
      <c r="G2305" s="190">
        <f>'HIRE CHARGES'!E499</f>
        <v>610.5</v>
      </c>
      <c r="H2305" s="190">
        <f t="shared" ref="H2305:H2316" si="9">F2305*G2305</f>
        <v>1831.5</v>
      </c>
    </row>
    <row r="2306" spans="1:8">
      <c r="A2306" s="26"/>
      <c r="B2306" s="105">
        <v>2</v>
      </c>
      <c r="C2306" s="135" t="s">
        <v>2951</v>
      </c>
      <c r="E2306" s="105" t="s">
        <v>2374</v>
      </c>
      <c r="F2306" s="190">
        <v>8</v>
      </c>
      <c r="G2306" s="190">
        <f>'HIRE CHARGES'!D542</f>
        <v>1003.1</v>
      </c>
      <c r="H2306" s="190">
        <f t="shared" si="9"/>
        <v>8024.8</v>
      </c>
    </row>
    <row r="2307" spans="1:8">
      <c r="A2307" s="26"/>
      <c r="B2307" s="280"/>
      <c r="C2307" s="135" t="s">
        <v>2379</v>
      </c>
      <c r="E2307" s="105" t="s">
        <v>2374</v>
      </c>
      <c r="F2307" s="190">
        <v>8</v>
      </c>
      <c r="G2307" s="190">
        <f>'HIRE CHARGES'!E542</f>
        <v>476</v>
      </c>
      <c r="H2307" s="190">
        <f t="shared" si="9"/>
        <v>3808</v>
      </c>
    </row>
    <row r="2308" spans="1:8">
      <c r="A2308" s="26"/>
      <c r="B2308" s="105">
        <v>3</v>
      </c>
      <c r="C2308" s="135" t="s">
        <v>1131</v>
      </c>
      <c r="E2308" s="105" t="s">
        <v>2374</v>
      </c>
      <c r="F2308" s="190">
        <v>32</v>
      </c>
      <c r="G2308" s="190">
        <f>'HIRE CHARGES'!D545</f>
        <v>446.7</v>
      </c>
      <c r="H2308" s="190">
        <f t="shared" si="9"/>
        <v>14294.4</v>
      </c>
    </row>
    <row r="2309" spans="1:8">
      <c r="A2309" s="26"/>
      <c r="B2309" s="280"/>
      <c r="C2309" s="135" t="s">
        <v>2379</v>
      </c>
      <c r="E2309" s="105" t="s">
        <v>2374</v>
      </c>
      <c r="F2309" s="190">
        <v>32</v>
      </c>
      <c r="G2309" s="190">
        <f>'HIRE CHARGES'!E545</f>
        <v>299.89999999999998</v>
      </c>
      <c r="H2309" s="190">
        <f t="shared" si="9"/>
        <v>9596.7999999999993</v>
      </c>
    </row>
    <row r="2310" spans="1:8">
      <c r="A2310" s="26"/>
      <c r="B2310" s="105">
        <v>4</v>
      </c>
      <c r="C2310" s="135" t="s">
        <v>1132</v>
      </c>
      <c r="E2310" s="105" t="s">
        <v>2374</v>
      </c>
      <c r="F2310" s="190">
        <v>3</v>
      </c>
      <c r="G2310" s="190">
        <f>'HIRE CHARGES'!D517</f>
        <v>10.199999999999999</v>
      </c>
      <c r="H2310" s="190">
        <f t="shared" si="9"/>
        <v>30.599999999999998</v>
      </c>
    </row>
    <row r="2311" spans="1:8">
      <c r="A2311" s="26"/>
      <c r="B2311" s="280"/>
      <c r="C2311" s="135" t="s">
        <v>2379</v>
      </c>
      <c r="E2311" s="105" t="s">
        <v>2374</v>
      </c>
      <c r="F2311" s="190">
        <v>3</v>
      </c>
      <c r="G2311" s="190">
        <f>'HIRE CHARGES'!E517</f>
        <v>79.3</v>
      </c>
      <c r="H2311" s="190">
        <f t="shared" si="9"/>
        <v>237.89999999999998</v>
      </c>
    </row>
    <row r="2312" spans="1:8">
      <c r="A2312" s="26"/>
      <c r="B2312" s="105">
        <v>5</v>
      </c>
      <c r="C2312" s="135" t="s">
        <v>6286</v>
      </c>
      <c r="E2312" s="105" t="s">
        <v>2374</v>
      </c>
      <c r="F2312" s="190">
        <v>6</v>
      </c>
      <c r="G2312" s="190">
        <f>'HIRE CHARGES'!D555</f>
        <v>402.5</v>
      </c>
      <c r="H2312" s="190">
        <f t="shared" si="9"/>
        <v>2415</v>
      </c>
    </row>
    <row r="2313" spans="1:8">
      <c r="A2313" s="26"/>
      <c r="B2313" s="280"/>
      <c r="C2313" s="135" t="s">
        <v>2379</v>
      </c>
      <c r="E2313" s="105" t="s">
        <v>2374</v>
      </c>
      <c r="F2313" s="190">
        <v>6</v>
      </c>
      <c r="G2313" s="190">
        <f>'HIRE CHARGES'!E555</f>
        <v>299.89999999999998</v>
      </c>
      <c r="H2313" s="190">
        <f t="shared" si="9"/>
        <v>1799.3999999999999</v>
      </c>
    </row>
    <row r="2314" spans="1:8">
      <c r="A2314" s="26"/>
      <c r="B2314" s="105">
        <v>6</v>
      </c>
      <c r="C2314" s="135" t="s">
        <v>998</v>
      </c>
      <c r="E2314" s="105" t="s">
        <v>2374</v>
      </c>
      <c r="F2314" s="190">
        <f>G2288</f>
        <v>5.5</v>
      </c>
      <c r="G2314" s="190">
        <f>'HIRE CHARGES'!D553</f>
        <v>1342.2</v>
      </c>
      <c r="H2314" s="190">
        <f t="shared" si="9"/>
        <v>7382.1</v>
      </c>
    </row>
    <row r="2315" spans="1:8">
      <c r="A2315" s="26"/>
      <c r="B2315" s="280"/>
      <c r="C2315" s="135" t="s">
        <v>2379</v>
      </c>
      <c r="E2315" s="105" t="s">
        <v>2374</v>
      </c>
      <c r="F2315" s="190">
        <f>G2288</f>
        <v>5.5</v>
      </c>
      <c r="G2315" s="190">
        <f>'HIRE CHARGES'!E553</f>
        <v>1031.4000000000001</v>
      </c>
      <c r="H2315" s="190">
        <f t="shared" si="9"/>
        <v>5672.7000000000007</v>
      </c>
    </row>
    <row r="2316" spans="1:8">
      <c r="A2316" s="26"/>
      <c r="B2316" s="114">
        <v>7</v>
      </c>
      <c r="C2316" s="139" t="s">
        <v>2373</v>
      </c>
      <c r="D2316" s="174"/>
      <c r="E2316" s="114" t="s">
        <v>2173</v>
      </c>
      <c r="F2316" s="182">
        <v>2</v>
      </c>
      <c r="G2316" s="215">
        <f>'BASIC DATA'!D359</f>
        <v>30</v>
      </c>
      <c r="H2316" s="182">
        <f t="shared" si="9"/>
        <v>60</v>
      </c>
    </row>
    <row r="2317" spans="1:8">
      <c r="A2317" s="26"/>
      <c r="B2317" s="176"/>
      <c r="C2317" s="174"/>
      <c r="D2317" s="174" t="s">
        <v>2380</v>
      </c>
      <c r="E2317" s="174"/>
      <c r="F2317" s="192"/>
      <c r="G2317" s="275" t="s">
        <v>1698</v>
      </c>
      <c r="H2317" s="434">
        <f>SUM(H2304:H2316)</f>
        <v>60299.7</v>
      </c>
    </row>
    <row r="2318" spans="1:8">
      <c r="A2318" s="26"/>
    </row>
    <row r="2319" spans="1:8">
      <c r="A2319" s="26"/>
      <c r="B2319" s="79" t="s">
        <v>2381</v>
      </c>
    </row>
    <row r="2320" spans="1:8">
      <c r="A2320" s="26"/>
      <c r="B2320" s="95" t="s">
        <v>2369</v>
      </c>
      <c r="C2320" s="157" t="s">
        <v>2378</v>
      </c>
      <c r="D2320" s="195"/>
      <c r="E2320" s="95" t="s">
        <v>2370</v>
      </c>
      <c r="F2320" s="95" t="s">
        <v>1166</v>
      </c>
      <c r="G2320" s="95" t="s">
        <v>2371</v>
      </c>
      <c r="H2320" s="95" t="s">
        <v>2372</v>
      </c>
    </row>
    <row r="2321" spans="1:8">
      <c r="A2321" s="26"/>
      <c r="B2321" s="114"/>
      <c r="C2321" s="154"/>
      <c r="D2321" s="192"/>
      <c r="E2321" s="105"/>
      <c r="F2321" s="114"/>
      <c r="G2321" s="114" t="s">
        <v>3485</v>
      </c>
      <c r="H2321" s="114" t="s">
        <v>3485</v>
      </c>
    </row>
    <row r="2322" spans="1:8">
      <c r="A2322" s="26"/>
      <c r="B2322" s="95">
        <v>1</v>
      </c>
      <c r="C2322" s="148" t="s">
        <v>2870</v>
      </c>
      <c r="D2322" s="187"/>
      <c r="E2322" s="95" t="s">
        <v>2374</v>
      </c>
      <c r="F2322" s="178">
        <v>3</v>
      </c>
      <c r="G2322" s="179">
        <f>'HIRE CHARGES'!F499</f>
        <v>236.6</v>
      </c>
      <c r="H2322" s="179">
        <f>F2322*G2322</f>
        <v>709.8</v>
      </c>
    </row>
    <row r="2323" spans="1:8">
      <c r="A2323" s="26"/>
      <c r="B2323" s="105">
        <v>2</v>
      </c>
      <c r="C2323" s="76" t="s">
        <v>300</v>
      </c>
      <c r="D2323" s="31"/>
      <c r="E2323" s="105" t="s">
        <v>2374</v>
      </c>
      <c r="F2323" s="207">
        <v>8</v>
      </c>
      <c r="G2323" s="190">
        <f>'HIRE CHARGES'!F542</f>
        <v>236.6</v>
      </c>
      <c r="H2323" s="190">
        <f t="shared" ref="H2323:H2329" si="10">F2323*G2323</f>
        <v>1892.8</v>
      </c>
    </row>
    <row r="2324" spans="1:8">
      <c r="A2324" s="26"/>
      <c r="B2324" s="105">
        <v>3</v>
      </c>
      <c r="C2324" s="76" t="s">
        <v>301</v>
      </c>
      <c r="D2324" s="31"/>
      <c r="E2324" s="105" t="s">
        <v>2374</v>
      </c>
      <c r="F2324" s="207">
        <v>32</v>
      </c>
      <c r="G2324" s="190">
        <f>'HIRE CHARGES'!F545</f>
        <v>177.5</v>
      </c>
      <c r="H2324" s="190">
        <f t="shared" si="10"/>
        <v>5680</v>
      </c>
    </row>
    <row r="2325" spans="1:8">
      <c r="A2325" s="26"/>
      <c r="B2325" s="105">
        <v>4</v>
      </c>
      <c r="C2325" s="76" t="s">
        <v>999</v>
      </c>
      <c r="D2325" s="31"/>
      <c r="E2325" s="105" t="s">
        <v>2374</v>
      </c>
      <c r="F2325" s="207">
        <v>3</v>
      </c>
      <c r="G2325" s="190">
        <f>'HIRE CHARGES'!F517</f>
        <v>111.1</v>
      </c>
      <c r="H2325" s="190">
        <f t="shared" si="10"/>
        <v>333.29999999999995</v>
      </c>
    </row>
    <row r="2326" spans="1:8">
      <c r="A2326" s="26"/>
      <c r="B2326" s="105">
        <v>5</v>
      </c>
      <c r="C2326" s="76" t="s">
        <v>1000</v>
      </c>
      <c r="D2326" s="31"/>
      <c r="E2326" s="105" t="s">
        <v>2374</v>
      </c>
      <c r="F2326" s="207">
        <v>6</v>
      </c>
      <c r="G2326" s="190">
        <f>'HIRE CHARGES'!F555</f>
        <v>177.5</v>
      </c>
      <c r="H2326" s="190">
        <f t="shared" si="10"/>
        <v>1065</v>
      </c>
    </row>
    <row r="2327" spans="1:8">
      <c r="A2327" s="26"/>
      <c r="B2327" s="105">
        <v>6</v>
      </c>
      <c r="C2327" s="76" t="s">
        <v>1001</v>
      </c>
      <c r="D2327" s="31"/>
      <c r="E2327" s="105" t="s">
        <v>2374</v>
      </c>
      <c r="F2327" s="207">
        <f>G2288</f>
        <v>5.5</v>
      </c>
      <c r="G2327" s="190">
        <f>'HIRE CHARGES'!F553</f>
        <v>263.60000000000002</v>
      </c>
      <c r="H2327" s="190">
        <f t="shared" si="10"/>
        <v>1449.8000000000002</v>
      </c>
    </row>
    <row r="2328" spans="1:8">
      <c r="A2328" s="26"/>
      <c r="B2328" s="105">
        <v>7</v>
      </c>
      <c r="C2328" s="76" t="s">
        <v>4206</v>
      </c>
      <c r="D2328" s="31"/>
      <c r="E2328" s="105" t="s">
        <v>1172</v>
      </c>
      <c r="F2328" s="207">
        <v>2</v>
      </c>
      <c r="G2328" s="190">
        <f>'BASIC DATA'!C473</f>
        <v>450</v>
      </c>
      <c r="H2328" s="190">
        <f t="shared" si="10"/>
        <v>900</v>
      </c>
    </row>
    <row r="2329" spans="1:8">
      <c r="A2329" s="26"/>
      <c r="B2329" s="114">
        <v>8</v>
      </c>
      <c r="C2329" s="89" t="s">
        <v>2697</v>
      </c>
      <c r="D2329" s="174"/>
      <c r="E2329" s="114" t="s">
        <v>1172</v>
      </c>
      <c r="F2329" s="181">
        <v>6</v>
      </c>
      <c r="G2329" s="182">
        <f>'BASIC DATA'!C552</f>
        <v>350</v>
      </c>
      <c r="H2329" s="190">
        <f t="shared" si="10"/>
        <v>2100</v>
      </c>
    </row>
    <row r="2330" spans="1:8">
      <c r="A2330" s="26"/>
      <c r="B2330" s="176"/>
      <c r="C2330" s="174"/>
      <c r="D2330" s="174" t="s">
        <v>1174</v>
      </c>
      <c r="E2330" s="174"/>
      <c r="F2330" s="192"/>
      <c r="G2330" s="275" t="s">
        <v>1698</v>
      </c>
      <c r="H2330" s="318">
        <f>SUM(H2322:H2329)</f>
        <v>14130.7</v>
      </c>
    </row>
    <row r="2331" spans="1:8">
      <c r="A2331" s="26"/>
      <c r="B2331" s="60" t="s">
        <v>5948</v>
      </c>
      <c r="C2331" s="31"/>
      <c r="D2331" s="31"/>
      <c r="E2331" s="85">
        <f>ROUND(H2330/G2292,1)</f>
        <v>32.1</v>
      </c>
      <c r="G2331" s="31"/>
    </row>
    <row r="2332" spans="1:8">
      <c r="A2332" s="26"/>
      <c r="B2332" s="60" t="s">
        <v>3163</v>
      </c>
      <c r="C2332" s="31"/>
      <c r="D2332" s="31">
        <f>'BASIC DATA'!$C$577</f>
        <v>0.13614999999999999</v>
      </c>
      <c r="E2332" s="85">
        <f>ROUND(E2331*D2332,1)</f>
        <v>4.4000000000000004</v>
      </c>
      <c r="G2332" s="31"/>
    </row>
    <row r="2333" spans="1:8">
      <c r="A2333" s="26"/>
      <c r="B2333" s="60" t="s">
        <v>5949</v>
      </c>
      <c r="C2333" s="31"/>
      <c r="D2333" s="31"/>
      <c r="E2333" s="739">
        <f>E2332+E2331</f>
        <v>36.5</v>
      </c>
      <c r="G2333" s="31"/>
    </row>
    <row r="2334" spans="1:8">
      <c r="A2334" s="26"/>
      <c r="B2334" s="26"/>
    </row>
    <row r="2335" spans="1:8">
      <c r="A2335" s="26"/>
      <c r="B2335" s="170" t="s">
        <v>1175</v>
      </c>
    </row>
    <row r="2336" spans="1:8">
      <c r="A2336" s="26"/>
      <c r="B2336" s="26" t="s">
        <v>5010</v>
      </c>
      <c r="F2336" s="171" t="s">
        <v>1698</v>
      </c>
      <c r="G2336" s="68">
        <f>H2299</f>
        <v>13200</v>
      </c>
    </row>
    <row r="2337" spans="1:8">
      <c r="A2337" s="26"/>
      <c r="B2337" s="26" t="s">
        <v>1186</v>
      </c>
      <c r="F2337" s="171" t="s">
        <v>1698</v>
      </c>
      <c r="G2337" s="68">
        <f>H2317</f>
        <v>60299.7</v>
      </c>
    </row>
    <row r="2338" spans="1:8">
      <c r="A2338" s="26"/>
      <c r="B2338" s="26" t="s">
        <v>2660</v>
      </c>
      <c r="F2338" s="171" t="s">
        <v>1698</v>
      </c>
      <c r="G2338" s="75">
        <f>H2330</f>
        <v>14130.7</v>
      </c>
    </row>
    <row r="2339" spans="1:8">
      <c r="A2339" s="26"/>
      <c r="E2339" s="26" t="s">
        <v>1518</v>
      </c>
      <c r="F2339" s="171" t="s">
        <v>1698</v>
      </c>
      <c r="G2339" s="205">
        <f>SUM(G2336:G2338)</f>
        <v>87630.399999999994</v>
      </c>
    </row>
    <row r="2340" spans="1:8" ht="36" customHeight="1">
      <c r="A2340" s="26"/>
      <c r="B2340" s="1207" t="s">
        <v>1379</v>
      </c>
      <c r="C2340" s="1207"/>
      <c r="E2340" s="249">
        <f>'BASIC DATA'!$C$577</f>
        <v>0.13614999999999999</v>
      </c>
      <c r="F2340" s="26" t="s">
        <v>1698</v>
      </c>
      <c r="G2340" s="26">
        <f>G2339*E2340</f>
        <v>11930.878959999998</v>
      </c>
    </row>
    <row r="2341" spans="1:8">
      <c r="A2341" s="26"/>
      <c r="B2341" s="26" t="s">
        <v>1191</v>
      </c>
      <c r="D2341" s="68">
        <f>G2292</f>
        <v>440</v>
      </c>
      <c r="E2341" s="68" t="str">
        <f>H2292</f>
        <v>cum</v>
      </c>
      <c r="F2341" s="26" t="s">
        <v>1698</v>
      </c>
      <c r="G2341" s="211">
        <f>G2340+G2339</f>
        <v>99561.278959999996</v>
      </c>
    </row>
    <row r="2342" spans="1:8">
      <c r="A2342" s="26"/>
      <c r="B2342" s="170" t="s">
        <v>1584</v>
      </c>
      <c r="C2342" s="211" t="str">
        <f>E2341</f>
        <v>cum</v>
      </c>
      <c r="D2342" s="26" t="s">
        <v>4730</v>
      </c>
      <c r="F2342" s="26" t="s">
        <v>4108</v>
      </c>
      <c r="G2342" s="211">
        <f>ROUND(G2341/D2341,1)</f>
        <v>226.3</v>
      </c>
    </row>
    <row r="2343" spans="1:8">
      <c r="A2343" s="26"/>
    </row>
    <row r="2344" spans="1:8">
      <c r="A2344" s="26"/>
    </row>
    <row r="2345" spans="1:8">
      <c r="A2345" s="78" t="s">
        <v>5509</v>
      </c>
      <c r="B2345" s="26" t="s">
        <v>9206</v>
      </c>
    </row>
    <row r="2346" spans="1:8">
      <c r="B2346" s="26" t="s">
        <v>9207</v>
      </c>
    </row>
    <row r="2347" spans="1:8">
      <c r="B2347" s="170" t="s">
        <v>2398</v>
      </c>
    </row>
    <row r="2348" spans="1:8">
      <c r="B2348" s="26"/>
    </row>
    <row r="2349" spans="1:8" hidden="1">
      <c r="A2349" s="78" t="s">
        <v>3984</v>
      </c>
      <c r="B2349" s="26" t="s">
        <v>725</v>
      </c>
    </row>
    <row r="2350" spans="1:8" hidden="1">
      <c r="B2350" s="26" t="s">
        <v>4324</v>
      </c>
    </row>
    <row r="2351" spans="1:8">
      <c r="A2351" s="26"/>
    </row>
    <row r="2352" spans="1:8">
      <c r="A2352" s="26" t="s">
        <v>3984</v>
      </c>
      <c r="C2352" s="203" t="s">
        <v>2367</v>
      </c>
      <c r="D2352" s="171"/>
      <c r="F2352" s="171" t="s">
        <v>297</v>
      </c>
      <c r="G2352" s="162">
        <v>1000</v>
      </c>
      <c r="H2352" s="26" t="s">
        <v>3479</v>
      </c>
    </row>
    <row r="2353" spans="1:8">
      <c r="A2353" s="26"/>
      <c r="B2353" s="79" t="s">
        <v>2368</v>
      </c>
    </row>
    <row r="2354" spans="1:8">
      <c r="A2354" s="26"/>
      <c r="B2354" s="95" t="s">
        <v>2369</v>
      </c>
      <c r="C2354" s="157" t="s">
        <v>6374</v>
      </c>
      <c r="D2354" s="195"/>
      <c r="E2354" s="95" t="s">
        <v>2370</v>
      </c>
      <c r="F2354" s="95" t="s">
        <v>1166</v>
      </c>
      <c r="G2354" s="95" t="s">
        <v>2371</v>
      </c>
      <c r="H2354" s="95" t="s">
        <v>2372</v>
      </c>
    </row>
    <row r="2355" spans="1:8">
      <c r="A2355" s="26"/>
      <c r="B2355" s="114"/>
      <c r="C2355" s="154"/>
      <c r="D2355" s="192"/>
      <c r="E2355" s="114"/>
      <c r="F2355" s="114"/>
      <c r="G2355" s="114" t="s">
        <v>3485</v>
      </c>
      <c r="H2355" s="114" t="s">
        <v>3485</v>
      </c>
    </row>
    <row r="2356" spans="1:8">
      <c r="A2356" s="26"/>
      <c r="B2356" s="95">
        <v>1</v>
      </c>
      <c r="C2356" s="93" t="s">
        <v>6976</v>
      </c>
      <c r="E2356" s="95"/>
      <c r="F2356" s="190">
        <v>0</v>
      </c>
      <c r="G2356" s="190">
        <v>0</v>
      </c>
      <c r="H2356" s="190">
        <f>F2356*G2356</f>
        <v>0</v>
      </c>
    </row>
    <row r="2357" spans="1:8">
      <c r="A2357" s="26"/>
      <c r="B2357" s="275"/>
      <c r="C2357" s="135"/>
      <c r="D2357" s="31"/>
      <c r="E2357" s="105"/>
      <c r="F2357" s="190">
        <v>0</v>
      </c>
      <c r="G2357" s="182">
        <v>0</v>
      </c>
      <c r="H2357" s="182">
        <f>F2357*G2357</f>
        <v>0</v>
      </c>
    </row>
    <row r="2358" spans="1:8">
      <c r="A2358" s="26"/>
      <c r="B2358" s="92"/>
      <c r="C2358" s="159"/>
      <c r="D2358" s="159" t="s">
        <v>2376</v>
      </c>
      <c r="E2358" s="159"/>
      <c r="F2358" s="238"/>
      <c r="G2358" s="236" t="s">
        <v>1698</v>
      </c>
      <c r="H2358" s="318">
        <f>SUM(H2356:H2357)</f>
        <v>0</v>
      </c>
    </row>
    <row r="2359" spans="1:8">
      <c r="A2359" s="26"/>
    </row>
    <row r="2360" spans="1:8">
      <c r="A2360" s="26"/>
      <c r="B2360" s="79" t="s">
        <v>2377</v>
      </c>
    </row>
    <row r="2361" spans="1:8">
      <c r="A2361" s="26"/>
      <c r="B2361" s="95" t="s">
        <v>2369</v>
      </c>
      <c r="C2361" s="157" t="s">
        <v>2378</v>
      </c>
      <c r="D2361" s="195"/>
      <c r="E2361" s="95" t="s">
        <v>2370</v>
      </c>
      <c r="F2361" s="95" t="s">
        <v>1166</v>
      </c>
      <c r="G2361" s="95" t="s">
        <v>2371</v>
      </c>
      <c r="H2361" s="95" t="s">
        <v>2372</v>
      </c>
    </row>
    <row r="2362" spans="1:8">
      <c r="A2362" s="26"/>
      <c r="B2362" s="114"/>
      <c r="C2362" s="154"/>
      <c r="D2362" s="192"/>
      <c r="E2362" s="114"/>
      <c r="F2362" s="114"/>
      <c r="G2362" s="114" t="s">
        <v>3485</v>
      </c>
      <c r="H2362" s="114" t="s">
        <v>3485</v>
      </c>
    </row>
    <row r="2363" spans="1:8">
      <c r="A2363" s="26"/>
      <c r="B2363" s="95">
        <v>1</v>
      </c>
      <c r="C2363" s="93" t="s">
        <v>6976</v>
      </c>
      <c r="E2363" s="95"/>
      <c r="F2363" s="190">
        <v>0</v>
      </c>
      <c r="G2363" s="190">
        <v>0</v>
      </c>
      <c r="H2363" s="190">
        <f>F2363*G2363</f>
        <v>0</v>
      </c>
    </row>
    <row r="2364" spans="1:8">
      <c r="A2364" s="26"/>
      <c r="B2364" s="275"/>
      <c r="C2364" s="139"/>
      <c r="D2364" s="174"/>
      <c r="E2364" s="114"/>
      <c r="F2364" s="182">
        <v>0</v>
      </c>
      <c r="G2364" s="182">
        <v>0</v>
      </c>
      <c r="H2364" s="182">
        <f>F2364*G2364</f>
        <v>0</v>
      </c>
    </row>
    <row r="2365" spans="1:8">
      <c r="A2365" s="26"/>
      <c r="B2365" s="176"/>
      <c r="C2365" s="174"/>
      <c r="D2365" s="174" t="s">
        <v>2380</v>
      </c>
      <c r="E2365" s="174"/>
      <c r="F2365" s="192"/>
      <c r="G2365" s="275" t="s">
        <v>1698</v>
      </c>
      <c r="H2365" s="318">
        <f>SUM(H2363:H2364)</f>
        <v>0</v>
      </c>
    </row>
    <row r="2366" spans="1:8">
      <c r="A2366" s="26"/>
    </row>
    <row r="2367" spans="1:8">
      <c r="A2367" s="26"/>
      <c r="B2367" s="79" t="s">
        <v>2381</v>
      </c>
    </row>
    <row r="2368" spans="1:8">
      <c r="A2368" s="26"/>
      <c r="B2368" s="95" t="s">
        <v>2369</v>
      </c>
      <c r="C2368" s="157" t="s">
        <v>2378</v>
      </c>
      <c r="D2368" s="195"/>
      <c r="E2368" s="95" t="s">
        <v>2370</v>
      </c>
      <c r="F2368" s="95" t="s">
        <v>1166</v>
      </c>
      <c r="G2368" s="95" t="s">
        <v>2371</v>
      </c>
      <c r="H2368" s="95" t="s">
        <v>2372</v>
      </c>
    </row>
    <row r="2369" spans="1:8">
      <c r="A2369" s="26"/>
      <c r="B2369" s="114"/>
      <c r="C2369" s="154"/>
      <c r="D2369" s="192"/>
      <c r="E2369" s="105"/>
      <c r="F2369" s="114"/>
      <c r="G2369" s="114" t="s">
        <v>3485</v>
      </c>
      <c r="H2369" s="114" t="s">
        <v>3485</v>
      </c>
    </row>
    <row r="2370" spans="1:8">
      <c r="A2370" s="26"/>
      <c r="B2370" s="105">
        <v>1</v>
      </c>
      <c r="C2370" s="76" t="s">
        <v>4206</v>
      </c>
      <c r="D2370" s="31"/>
      <c r="E2370" s="95" t="s">
        <v>1172</v>
      </c>
      <c r="F2370" s="207">
        <v>1</v>
      </c>
      <c r="G2370" s="190">
        <f>'BASIC DATA'!C473</f>
        <v>450</v>
      </c>
      <c r="H2370" s="190">
        <f>F2370*G2370</f>
        <v>450</v>
      </c>
    </row>
    <row r="2371" spans="1:8">
      <c r="A2371" s="26"/>
      <c r="B2371" s="114">
        <v>2</v>
      </c>
      <c r="C2371" s="89" t="s">
        <v>2697</v>
      </c>
      <c r="D2371" s="174"/>
      <c r="E2371" s="114" t="s">
        <v>1172</v>
      </c>
      <c r="F2371" s="181">
        <v>8</v>
      </c>
      <c r="G2371" s="182">
        <f>'BASIC DATA'!C552</f>
        <v>350</v>
      </c>
      <c r="H2371" s="190">
        <f>F2371*G2371</f>
        <v>2800</v>
      </c>
    </row>
    <row r="2372" spans="1:8">
      <c r="A2372" s="26"/>
      <c r="B2372" s="176"/>
      <c r="C2372" s="174"/>
      <c r="D2372" s="174" t="s">
        <v>1174</v>
      </c>
      <c r="E2372" s="174"/>
      <c r="F2372" s="192"/>
      <c r="G2372" s="275" t="s">
        <v>1698</v>
      </c>
      <c r="H2372" s="318">
        <f>SUM(H2370:H2371)</f>
        <v>3250</v>
      </c>
    </row>
    <row r="2373" spans="1:8">
      <c r="A2373" s="26"/>
      <c r="B2373" s="60" t="s">
        <v>5948</v>
      </c>
      <c r="C2373" s="31"/>
      <c r="D2373" s="31"/>
      <c r="E2373" s="85">
        <f>ROUND(H2372/G2352,1)</f>
        <v>3.3</v>
      </c>
      <c r="G2373" s="31"/>
    </row>
    <row r="2374" spans="1:8">
      <c r="A2374" s="26"/>
      <c r="B2374" s="60" t="s">
        <v>3163</v>
      </c>
      <c r="C2374" s="31"/>
      <c r="D2374" s="31">
        <f>'BASIC DATA'!$C$577</f>
        <v>0.13614999999999999</v>
      </c>
      <c r="E2374" s="85">
        <f>ROUND(E2373*D2374,1)</f>
        <v>0.4</v>
      </c>
      <c r="G2374" s="31"/>
    </row>
    <row r="2375" spans="1:8">
      <c r="A2375" s="26"/>
      <c r="B2375" s="60" t="s">
        <v>5949</v>
      </c>
      <c r="C2375" s="31"/>
      <c r="D2375" s="31"/>
      <c r="E2375" s="739">
        <f>E2374+E2373</f>
        <v>3.6999999999999997</v>
      </c>
      <c r="G2375" s="31"/>
    </row>
    <row r="2376" spans="1:8">
      <c r="A2376" s="26"/>
      <c r="B2376" s="26"/>
    </row>
    <row r="2377" spans="1:8">
      <c r="A2377" s="26"/>
      <c r="B2377" s="170" t="s">
        <v>1175</v>
      </c>
    </row>
    <row r="2378" spans="1:8">
      <c r="A2378" s="26"/>
      <c r="B2378" s="26" t="s">
        <v>1176</v>
      </c>
      <c r="F2378" s="171" t="s">
        <v>1698</v>
      </c>
      <c r="G2378" s="68">
        <f>H2358</f>
        <v>0</v>
      </c>
    </row>
    <row r="2379" spans="1:8">
      <c r="A2379" s="26"/>
      <c r="B2379" s="26" t="s">
        <v>1186</v>
      </c>
      <c r="F2379" s="171" t="s">
        <v>1698</v>
      </c>
      <c r="G2379" s="68">
        <f>H2365</f>
        <v>0</v>
      </c>
    </row>
    <row r="2380" spans="1:8">
      <c r="A2380" s="26"/>
      <c r="B2380" s="26" t="s">
        <v>2660</v>
      </c>
      <c r="F2380" s="171" t="s">
        <v>1698</v>
      </c>
      <c r="G2380" s="75">
        <f>H2372</f>
        <v>3250</v>
      </c>
    </row>
    <row r="2381" spans="1:8">
      <c r="A2381" s="26"/>
      <c r="E2381" s="26" t="s">
        <v>1518</v>
      </c>
      <c r="F2381" s="171" t="s">
        <v>1698</v>
      </c>
      <c r="G2381" s="205">
        <f>SUM(G2378:G2380)</f>
        <v>3250</v>
      </c>
    </row>
    <row r="2382" spans="1:8" ht="39.75" customHeight="1">
      <c r="A2382" s="26"/>
      <c r="B2382" s="1207" t="s">
        <v>1379</v>
      </c>
      <c r="C2382" s="1207"/>
      <c r="E2382" s="249">
        <f>'BASIC DATA'!$C$577</f>
        <v>0.13614999999999999</v>
      </c>
      <c r="F2382" s="26" t="s">
        <v>1698</v>
      </c>
      <c r="G2382" s="26">
        <f>G2381*E2382</f>
        <v>442.48749999999995</v>
      </c>
    </row>
    <row r="2383" spans="1:8">
      <c r="A2383" s="26"/>
      <c r="B2383" s="26" t="s">
        <v>1191</v>
      </c>
      <c r="D2383" s="68">
        <f>G2352</f>
        <v>1000</v>
      </c>
      <c r="E2383" s="68" t="str">
        <f>H2352</f>
        <v>sqm</v>
      </c>
      <c r="F2383" s="26" t="s">
        <v>1698</v>
      </c>
      <c r="G2383" s="211">
        <f>G2382+G2381</f>
        <v>3692.4875000000002</v>
      </c>
    </row>
    <row r="2384" spans="1:8">
      <c r="A2384" s="26"/>
      <c r="B2384" s="170" t="s">
        <v>1584</v>
      </c>
      <c r="C2384" s="211" t="str">
        <f>E2383</f>
        <v>sqm</v>
      </c>
      <c r="D2384" s="26" t="s">
        <v>5886</v>
      </c>
      <c r="F2384" s="26" t="s">
        <v>4108</v>
      </c>
      <c r="G2384" s="211">
        <f>ROUND(G2383/D2383,1)</f>
        <v>3.7</v>
      </c>
    </row>
    <row r="2385" spans="1:8">
      <c r="A2385" s="26"/>
    </row>
    <row r="2386" spans="1:8">
      <c r="A2386" s="26"/>
    </row>
    <row r="2387" spans="1:8">
      <c r="A2387" s="78" t="s">
        <v>5510</v>
      </c>
      <c r="B2387" s="170" t="s">
        <v>8031</v>
      </c>
    </row>
    <row r="2388" spans="1:8">
      <c r="B2388" s="26" t="s">
        <v>2804</v>
      </c>
    </row>
    <row r="2389" spans="1:8" ht="18.75">
      <c r="B2389" s="26" t="s">
        <v>9122</v>
      </c>
    </row>
    <row r="2390" spans="1:8">
      <c r="B2390" s="26"/>
    </row>
    <row r="2391" spans="1:8" hidden="1">
      <c r="A2391" s="78" t="s">
        <v>3984</v>
      </c>
      <c r="B2391" s="26" t="s">
        <v>2805</v>
      </c>
    </row>
    <row r="2392" spans="1:8" hidden="1">
      <c r="B2392" s="26" t="s">
        <v>4302</v>
      </c>
      <c r="F2392" s="78" t="s">
        <v>2806</v>
      </c>
      <c r="G2392" s="26">
        <v>5</v>
      </c>
      <c r="H2392" s="26" t="s">
        <v>2059</v>
      </c>
    </row>
    <row r="2393" spans="1:8" hidden="1">
      <c r="B2393" s="26" t="s">
        <v>2807</v>
      </c>
      <c r="F2393" s="78" t="s">
        <v>2806</v>
      </c>
      <c r="G2393" s="26">
        <v>10</v>
      </c>
      <c r="H2393" s="26" t="s">
        <v>2059</v>
      </c>
    </row>
    <row r="2394" spans="1:8" hidden="1">
      <c r="B2394" s="26" t="s">
        <v>6998</v>
      </c>
    </row>
    <row r="2395" spans="1:8" hidden="1">
      <c r="B2395" s="26" t="s">
        <v>5815</v>
      </c>
    </row>
    <row r="2396" spans="1:8" hidden="1">
      <c r="B2396" s="26" t="s">
        <v>2808</v>
      </c>
      <c r="F2396" s="78" t="s">
        <v>2806</v>
      </c>
      <c r="G2396" s="26">
        <v>2</v>
      </c>
      <c r="H2396" s="26" t="s">
        <v>2059</v>
      </c>
    </row>
    <row r="2397" spans="1:8" hidden="1">
      <c r="B2397" s="26" t="s">
        <v>2697</v>
      </c>
      <c r="F2397" s="78" t="s">
        <v>2806</v>
      </c>
      <c r="G2397" s="26">
        <v>6</v>
      </c>
      <c r="H2397" s="26" t="s">
        <v>2059</v>
      </c>
    </row>
    <row r="2398" spans="1:8">
      <c r="A2398" s="26"/>
    </row>
    <row r="2399" spans="1:8">
      <c r="A2399" s="26" t="s">
        <v>3984</v>
      </c>
      <c r="C2399" s="203" t="s">
        <v>2367</v>
      </c>
      <c r="D2399" s="171"/>
      <c r="F2399" s="171" t="s">
        <v>297</v>
      </c>
      <c r="G2399" s="162">
        <v>100</v>
      </c>
      <c r="H2399" s="26" t="s">
        <v>3483</v>
      </c>
    </row>
    <row r="2400" spans="1:8">
      <c r="A2400" s="26"/>
      <c r="B2400" s="79" t="s">
        <v>2368</v>
      </c>
    </row>
    <row r="2401" spans="1:8">
      <c r="A2401" s="26"/>
      <c r="B2401" s="95" t="s">
        <v>2369</v>
      </c>
      <c r="C2401" s="157" t="s">
        <v>6374</v>
      </c>
      <c r="D2401" s="195"/>
      <c r="E2401" s="95" t="s">
        <v>2370</v>
      </c>
      <c r="F2401" s="95" t="s">
        <v>1166</v>
      </c>
      <c r="G2401" s="95" t="s">
        <v>2371</v>
      </c>
      <c r="H2401" s="95" t="s">
        <v>2372</v>
      </c>
    </row>
    <row r="2402" spans="1:8">
      <c r="A2402" s="26"/>
      <c r="B2402" s="114"/>
      <c r="C2402" s="154"/>
      <c r="D2402" s="192"/>
      <c r="E2402" s="114"/>
      <c r="F2402" s="114"/>
      <c r="G2402" s="114" t="s">
        <v>3485</v>
      </c>
      <c r="H2402" s="114" t="s">
        <v>3485</v>
      </c>
    </row>
    <row r="2403" spans="1:8">
      <c r="A2403" s="26"/>
      <c r="B2403" s="95">
        <v>1</v>
      </c>
      <c r="C2403" s="135" t="s">
        <v>3851</v>
      </c>
      <c r="E2403" s="95" t="s">
        <v>3481</v>
      </c>
      <c r="F2403" s="190">
        <v>5</v>
      </c>
      <c r="G2403" s="214">
        <f>'BASIC DATA'!D110</f>
        <v>13</v>
      </c>
      <c r="H2403" s="190">
        <f>F2403*G2403</f>
        <v>65</v>
      </c>
    </row>
    <row r="2404" spans="1:8">
      <c r="A2404" s="26"/>
      <c r="B2404" s="105">
        <v>2</v>
      </c>
      <c r="C2404" s="135" t="s">
        <v>6998</v>
      </c>
      <c r="E2404" s="105" t="s">
        <v>3481</v>
      </c>
      <c r="F2404" s="190">
        <v>10</v>
      </c>
      <c r="G2404" s="214">
        <f>'BASIC DATA'!D39</f>
        <v>45</v>
      </c>
      <c r="H2404" s="190">
        <f>F2404*G2404</f>
        <v>450</v>
      </c>
    </row>
    <row r="2405" spans="1:8">
      <c r="A2405" s="26"/>
      <c r="B2405" s="114">
        <v>3</v>
      </c>
      <c r="C2405" s="135" t="s">
        <v>2809</v>
      </c>
      <c r="D2405" s="31"/>
      <c r="E2405" s="105" t="s">
        <v>2173</v>
      </c>
      <c r="F2405" s="190">
        <v>2</v>
      </c>
      <c r="G2405" s="215">
        <f>'BASIC DATA'!D359</f>
        <v>30</v>
      </c>
      <c r="H2405" s="190">
        <f>F2405*G2405</f>
        <v>60</v>
      </c>
    </row>
    <row r="2406" spans="1:8">
      <c r="A2406" s="26"/>
      <c r="B2406" s="92"/>
      <c r="C2406" s="159"/>
      <c r="D2406" s="159" t="s">
        <v>2376</v>
      </c>
      <c r="E2406" s="159"/>
      <c r="F2406" s="238"/>
      <c r="G2406" s="236" t="s">
        <v>1698</v>
      </c>
      <c r="H2406" s="318">
        <f>SUM(H2403:H2405)</f>
        <v>575</v>
      </c>
    </row>
    <row r="2407" spans="1:8">
      <c r="A2407" s="26"/>
    </row>
    <row r="2408" spans="1:8">
      <c r="A2408" s="26"/>
      <c r="B2408" s="79" t="s">
        <v>2377</v>
      </c>
    </row>
    <row r="2409" spans="1:8">
      <c r="A2409" s="26"/>
      <c r="B2409" s="95" t="s">
        <v>2369</v>
      </c>
      <c r="C2409" s="157" t="s">
        <v>2378</v>
      </c>
      <c r="D2409" s="195"/>
      <c r="E2409" s="95" t="s">
        <v>2370</v>
      </c>
      <c r="F2409" s="95" t="s">
        <v>1166</v>
      </c>
      <c r="G2409" s="95" t="s">
        <v>2371</v>
      </c>
      <c r="H2409" s="95" t="s">
        <v>2372</v>
      </c>
    </row>
    <row r="2410" spans="1:8">
      <c r="A2410" s="26"/>
      <c r="B2410" s="114"/>
      <c r="C2410" s="154"/>
      <c r="D2410" s="192"/>
      <c r="E2410" s="114"/>
      <c r="F2410" s="114"/>
      <c r="G2410" s="114" t="s">
        <v>3485</v>
      </c>
      <c r="H2410" s="114" t="s">
        <v>3485</v>
      </c>
    </row>
    <row r="2411" spans="1:8">
      <c r="A2411" s="26"/>
      <c r="B2411" s="95">
        <v>1</v>
      </c>
      <c r="C2411" s="93" t="s">
        <v>6976</v>
      </c>
      <c r="E2411" s="95"/>
      <c r="F2411" s="190">
        <v>0</v>
      </c>
      <c r="G2411" s="190">
        <v>0</v>
      </c>
      <c r="H2411" s="190">
        <f>F2411*G2411</f>
        <v>0</v>
      </c>
    </row>
    <row r="2412" spans="1:8">
      <c r="A2412" s="26"/>
      <c r="B2412" s="275"/>
      <c r="C2412" s="139"/>
      <c r="D2412" s="174"/>
      <c r="E2412" s="114"/>
      <c r="F2412" s="182">
        <v>0</v>
      </c>
      <c r="G2412" s="182">
        <v>0</v>
      </c>
      <c r="H2412" s="182">
        <f>F2412*G2412</f>
        <v>0</v>
      </c>
    </row>
    <row r="2413" spans="1:8">
      <c r="A2413" s="26"/>
      <c r="B2413" s="176"/>
      <c r="C2413" s="174"/>
      <c r="D2413" s="174" t="s">
        <v>2380</v>
      </c>
      <c r="E2413" s="174"/>
      <c r="F2413" s="192"/>
      <c r="G2413" s="236" t="s">
        <v>1698</v>
      </c>
      <c r="H2413" s="318">
        <f>SUM(H2411:H2412)</f>
        <v>0</v>
      </c>
    </row>
    <row r="2414" spans="1:8">
      <c r="A2414" s="26"/>
    </row>
    <row r="2415" spans="1:8">
      <c r="A2415" s="26"/>
      <c r="B2415" s="79" t="s">
        <v>2381</v>
      </c>
    </row>
    <row r="2416" spans="1:8">
      <c r="A2416" s="26"/>
      <c r="B2416" s="95" t="s">
        <v>2369</v>
      </c>
      <c r="C2416" s="157" t="s">
        <v>2378</v>
      </c>
      <c r="D2416" s="195"/>
      <c r="E2416" s="95" t="s">
        <v>2370</v>
      </c>
      <c r="F2416" s="95" t="s">
        <v>1166</v>
      </c>
      <c r="G2416" s="95" t="s">
        <v>2371</v>
      </c>
      <c r="H2416" s="95" t="s">
        <v>2372</v>
      </c>
    </row>
    <row r="2417" spans="1:8">
      <c r="A2417" s="26"/>
      <c r="B2417" s="114"/>
      <c r="C2417" s="154"/>
      <c r="D2417" s="192"/>
      <c r="E2417" s="105"/>
      <c r="F2417" s="114"/>
      <c r="G2417" s="114" t="s">
        <v>3485</v>
      </c>
      <c r="H2417" s="114" t="s">
        <v>3485</v>
      </c>
    </row>
    <row r="2418" spans="1:8">
      <c r="A2418" s="26"/>
      <c r="B2418" s="105">
        <v>1</v>
      </c>
      <c r="C2418" s="76" t="s">
        <v>2808</v>
      </c>
      <c r="D2418" s="31"/>
      <c r="E2418" s="95" t="s">
        <v>1172</v>
      </c>
      <c r="F2418" s="207">
        <v>2</v>
      </c>
      <c r="G2418" s="190">
        <f>'BASIC DATA'!C545</f>
        <v>400</v>
      </c>
      <c r="H2418" s="190">
        <f>F2418*G2418</f>
        <v>800</v>
      </c>
    </row>
    <row r="2419" spans="1:8">
      <c r="A2419" s="26"/>
      <c r="B2419" s="105">
        <v>2</v>
      </c>
      <c r="C2419" s="76" t="s">
        <v>2697</v>
      </c>
      <c r="D2419" s="31"/>
      <c r="E2419" s="105" t="s">
        <v>1172</v>
      </c>
      <c r="F2419" s="207">
        <v>6</v>
      </c>
      <c r="G2419" s="190">
        <f>'BASIC DATA'!C552</f>
        <v>350</v>
      </c>
      <c r="H2419" s="190">
        <f>F2419*G2419</f>
        <v>2100</v>
      </c>
    </row>
    <row r="2420" spans="1:8">
      <c r="A2420" s="26"/>
      <c r="B2420" s="176"/>
      <c r="C2420" s="174"/>
      <c r="D2420" s="174" t="s">
        <v>1174</v>
      </c>
      <c r="E2420" s="174"/>
      <c r="F2420" s="192"/>
      <c r="G2420" s="236" t="s">
        <v>1698</v>
      </c>
      <c r="H2420" s="318">
        <f>SUM(H2418:H2419)</f>
        <v>2900</v>
      </c>
    </row>
    <row r="2421" spans="1:8">
      <c r="A2421" s="26"/>
      <c r="B2421" s="60" t="s">
        <v>5948</v>
      </c>
      <c r="C2421" s="31"/>
      <c r="D2421" s="31"/>
      <c r="E2421" s="85">
        <f>ROUND(H2420/G2399,1)</f>
        <v>29</v>
      </c>
      <c r="G2421" s="31"/>
    </row>
    <row r="2422" spans="1:8">
      <c r="A2422" s="26"/>
      <c r="B2422" s="60" t="s">
        <v>3163</v>
      </c>
      <c r="C2422" s="31"/>
      <c r="D2422" s="31">
        <f>'BASIC DATA'!$C$577</f>
        <v>0.13614999999999999</v>
      </c>
      <c r="E2422" s="85">
        <f>ROUND(E2421*D2422,1)</f>
        <v>3.9</v>
      </c>
      <c r="G2422" s="31"/>
    </row>
    <row r="2423" spans="1:8">
      <c r="A2423" s="26"/>
      <c r="B2423" s="60" t="s">
        <v>5949</v>
      </c>
      <c r="C2423" s="31"/>
      <c r="D2423" s="31"/>
      <c r="E2423" s="739">
        <f>E2422+E2421</f>
        <v>32.9</v>
      </c>
      <c r="G2423" s="31"/>
    </row>
    <row r="2424" spans="1:8">
      <c r="A2424" s="26"/>
      <c r="B2424" s="26"/>
    </row>
    <row r="2425" spans="1:8">
      <c r="A2425" s="26"/>
      <c r="B2425" s="170" t="s">
        <v>1175</v>
      </c>
    </row>
    <row r="2426" spans="1:8">
      <c r="A2426" s="26"/>
      <c r="B2426" s="26" t="s">
        <v>4</v>
      </c>
      <c r="F2426" s="171" t="s">
        <v>1698</v>
      </c>
      <c r="G2426" s="68">
        <f>H2406</f>
        <v>575</v>
      </c>
    </row>
    <row r="2427" spans="1:8">
      <c r="A2427" s="26"/>
      <c r="B2427" s="26" t="s">
        <v>1186</v>
      </c>
      <c r="F2427" s="171" t="s">
        <v>1698</v>
      </c>
      <c r="G2427" s="68">
        <f>H2413</f>
        <v>0</v>
      </c>
    </row>
    <row r="2428" spans="1:8">
      <c r="A2428" s="26"/>
      <c r="B2428" s="26" t="s">
        <v>2660</v>
      </c>
      <c r="F2428" s="171" t="s">
        <v>1698</v>
      </c>
      <c r="G2428" s="75">
        <f>H2420</f>
        <v>2900</v>
      </c>
    </row>
    <row r="2429" spans="1:8">
      <c r="A2429" s="26"/>
      <c r="E2429" s="26" t="s">
        <v>1518</v>
      </c>
      <c r="F2429" s="171" t="s">
        <v>1698</v>
      </c>
      <c r="G2429" s="205">
        <f>SUM(G2426:G2428)</f>
        <v>3475</v>
      </c>
    </row>
    <row r="2430" spans="1:8" ht="35.25" customHeight="1">
      <c r="A2430" s="26"/>
      <c r="B2430" s="1207" t="s">
        <v>1379</v>
      </c>
      <c r="C2430" s="1207"/>
      <c r="E2430" s="249">
        <f>'BASIC DATA'!$C$577</f>
        <v>0.13614999999999999</v>
      </c>
      <c r="F2430" s="26" t="s">
        <v>1698</v>
      </c>
      <c r="G2430" s="26">
        <f>G2429*E2430</f>
        <v>473.12124999999997</v>
      </c>
    </row>
    <row r="2431" spans="1:8">
      <c r="A2431" s="26"/>
      <c r="B2431" s="26" t="s">
        <v>1191</v>
      </c>
      <c r="D2431" s="68">
        <f>G2399</f>
        <v>100</v>
      </c>
      <c r="E2431" s="68" t="str">
        <f>H2399</f>
        <v>Rm</v>
      </c>
      <c r="F2431" s="26" t="s">
        <v>1698</v>
      </c>
      <c r="G2431" s="211">
        <f>G2430+G2429</f>
        <v>3948.1212500000001</v>
      </c>
    </row>
    <row r="2432" spans="1:8">
      <c r="A2432" s="26"/>
      <c r="B2432" s="170" t="s">
        <v>1584</v>
      </c>
      <c r="C2432" s="211" t="str">
        <f>E2431</f>
        <v>Rm</v>
      </c>
      <c r="D2432" s="26" t="s">
        <v>5882</v>
      </c>
      <c r="F2432" s="26" t="s">
        <v>4108</v>
      </c>
      <c r="G2432" s="211">
        <f>ROUND(G2431/D2431,1)</f>
        <v>39.5</v>
      </c>
    </row>
    <row r="2433" spans="1:8">
      <c r="A2433" s="26"/>
    </row>
    <row r="2434" spans="1:8">
      <c r="A2434" s="26"/>
    </row>
    <row r="2435" spans="1:8">
      <c r="A2435" s="78" t="s">
        <v>5511</v>
      </c>
      <c r="B2435" s="170" t="s">
        <v>9208</v>
      </c>
    </row>
    <row r="2436" spans="1:8">
      <c r="B2436" s="26" t="s">
        <v>9209</v>
      </c>
    </row>
    <row r="2437" spans="1:8">
      <c r="B2437" s="26"/>
    </row>
    <row r="2438" spans="1:8" hidden="1">
      <c r="A2438" s="78" t="s">
        <v>3984</v>
      </c>
      <c r="B2438" s="26" t="s">
        <v>23</v>
      </c>
    </row>
    <row r="2439" spans="1:8" hidden="1">
      <c r="B2439" s="26" t="s">
        <v>24</v>
      </c>
      <c r="F2439" s="78" t="s">
        <v>1697</v>
      </c>
      <c r="G2439" s="26">
        <v>125</v>
      </c>
      <c r="H2439" s="26" t="s">
        <v>3479</v>
      </c>
    </row>
    <row r="2440" spans="1:8" hidden="1">
      <c r="B2440" s="26" t="s">
        <v>4302</v>
      </c>
      <c r="F2440" s="78"/>
    </row>
    <row r="2441" spans="1:8" hidden="1">
      <c r="B2441" s="26" t="s">
        <v>25</v>
      </c>
      <c r="F2441" s="78" t="s">
        <v>1697</v>
      </c>
      <c r="G2441" s="26">
        <v>5</v>
      </c>
      <c r="H2441" s="26" t="s">
        <v>3482</v>
      </c>
    </row>
    <row r="2442" spans="1:8" hidden="1">
      <c r="B2442" s="26" t="s">
        <v>3851</v>
      </c>
      <c r="F2442" s="78" t="s">
        <v>1697</v>
      </c>
      <c r="G2442" s="26">
        <v>5</v>
      </c>
      <c r="H2442" s="26" t="s">
        <v>2059</v>
      </c>
    </row>
    <row r="2443" spans="1:8" hidden="1">
      <c r="B2443" s="26" t="s">
        <v>6998</v>
      </c>
      <c r="F2443" s="78" t="s">
        <v>1697</v>
      </c>
      <c r="G2443" s="26">
        <v>10</v>
      </c>
      <c r="H2443" s="26" t="s">
        <v>2059</v>
      </c>
    </row>
    <row r="2444" spans="1:8" hidden="1">
      <c r="B2444" s="26" t="s">
        <v>5815</v>
      </c>
      <c r="F2444" s="78"/>
    </row>
    <row r="2445" spans="1:8" hidden="1">
      <c r="B2445" s="26" t="s">
        <v>2697</v>
      </c>
      <c r="F2445" s="78" t="s">
        <v>1697</v>
      </c>
      <c r="G2445" s="26">
        <v>6</v>
      </c>
      <c r="H2445" s="26" t="s">
        <v>2059</v>
      </c>
    </row>
    <row r="2446" spans="1:8">
      <c r="A2446" s="26"/>
    </row>
    <row r="2447" spans="1:8">
      <c r="A2447" s="26" t="s">
        <v>3984</v>
      </c>
      <c r="C2447" s="203" t="s">
        <v>2367</v>
      </c>
      <c r="D2447" s="171"/>
      <c r="F2447" s="171" t="s">
        <v>297</v>
      </c>
      <c r="G2447" s="162">
        <v>100</v>
      </c>
      <c r="H2447" s="26" t="s">
        <v>3483</v>
      </c>
    </row>
    <row r="2448" spans="1:8">
      <c r="A2448" s="26"/>
      <c r="B2448" s="79" t="s">
        <v>2368</v>
      </c>
    </row>
    <row r="2449" spans="1:8">
      <c r="A2449" s="26"/>
      <c r="B2449" s="95" t="s">
        <v>2369</v>
      </c>
      <c r="C2449" s="157" t="s">
        <v>6374</v>
      </c>
      <c r="D2449" s="195"/>
      <c r="E2449" s="95" t="s">
        <v>2370</v>
      </c>
      <c r="F2449" s="95" t="s">
        <v>1166</v>
      </c>
      <c r="G2449" s="95" t="s">
        <v>2371</v>
      </c>
      <c r="H2449" s="95" t="s">
        <v>2372</v>
      </c>
    </row>
    <row r="2450" spans="1:8">
      <c r="A2450" s="26"/>
      <c r="B2450" s="114"/>
      <c r="C2450" s="154"/>
      <c r="D2450" s="192"/>
      <c r="E2450" s="114"/>
      <c r="F2450" s="114"/>
      <c r="G2450" s="114" t="s">
        <v>3485</v>
      </c>
      <c r="H2450" s="114" t="s">
        <v>3485</v>
      </c>
    </row>
    <row r="2451" spans="1:8">
      <c r="A2451" s="26"/>
      <c r="B2451" s="95">
        <v>1</v>
      </c>
      <c r="C2451" s="135" t="s">
        <v>957</v>
      </c>
      <c r="E2451" s="107" t="s">
        <v>3482</v>
      </c>
      <c r="F2451" s="190">
        <v>5</v>
      </c>
      <c r="G2451" s="214">
        <f>'BASIC DATA'!D86</f>
        <v>80</v>
      </c>
      <c r="H2451" s="190">
        <f>F2451*G2451</f>
        <v>400</v>
      </c>
    </row>
    <row r="2452" spans="1:8">
      <c r="A2452" s="26"/>
      <c r="B2452" s="105">
        <v>2</v>
      </c>
      <c r="C2452" s="135" t="s">
        <v>3851</v>
      </c>
      <c r="E2452" s="210" t="s">
        <v>3481</v>
      </c>
      <c r="F2452" s="190">
        <v>5</v>
      </c>
      <c r="G2452" s="214">
        <f>'BASIC DATA'!D110</f>
        <v>13</v>
      </c>
      <c r="H2452" s="190">
        <f>F2452*G2452</f>
        <v>65</v>
      </c>
    </row>
    <row r="2453" spans="1:8">
      <c r="A2453" s="26"/>
      <c r="B2453" s="105">
        <v>3</v>
      </c>
      <c r="C2453" s="135" t="s">
        <v>6998</v>
      </c>
      <c r="E2453" s="210" t="s">
        <v>3481</v>
      </c>
      <c r="F2453" s="190">
        <v>10</v>
      </c>
      <c r="G2453" s="214">
        <f>'BASIC DATA'!D39</f>
        <v>45</v>
      </c>
      <c r="H2453" s="190">
        <f>F2453*G2453</f>
        <v>450</v>
      </c>
    </row>
    <row r="2454" spans="1:8">
      <c r="A2454" s="26"/>
      <c r="B2454" s="114">
        <v>4</v>
      </c>
      <c r="C2454" s="135" t="s">
        <v>2809</v>
      </c>
      <c r="D2454" s="31"/>
      <c r="E2454" s="191" t="s">
        <v>2173</v>
      </c>
      <c r="F2454" s="190">
        <v>2</v>
      </c>
      <c r="G2454" s="215">
        <f>'BASIC DATA'!D359</f>
        <v>30</v>
      </c>
      <c r="H2454" s="190">
        <f>F2454*G2454</f>
        <v>60</v>
      </c>
    </row>
    <row r="2455" spans="1:8">
      <c r="A2455" s="26"/>
      <c r="B2455" s="92"/>
      <c r="C2455" s="159"/>
      <c r="D2455" s="159" t="s">
        <v>2376</v>
      </c>
      <c r="E2455" s="159"/>
      <c r="F2455" s="238"/>
      <c r="G2455" s="236" t="s">
        <v>1698</v>
      </c>
      <c r="H2455" s="318">
        <f>SUM(H2451:H2454)</f>
        <v>975</v>
      </c>
    </row>
    <row r="2456" spans="1:8">
      <c r="A2456" s="26"/>
    </row>
    <row r="2457" spans="1:8">
      <c r="A2457" s="26"/>
      <c r="B2457" s="79" t="s">
        <v>2377</v>
      </c>
    </row>
    <row r="2458" spans="1:8">
      <c r="A2458" s="26"/>
      <c r="B2458" s="95" t="s">
        <v>2369</v>
      </c>
      <c r="C2458" s="157" t="s">
        <v>2378</v>
      </c>
      <c r="D2458" s="195"/>
      <c r="E2458" s="95" t="s">
        <v>2370</v>
      </c>
      <c r="F2458" s="95" t="s">
        <v>1166</v>
      </c>
      <c r="G2458" s="95" t="s">
        <v>2371</v>
      </c>
      <c r="H2458" s="95" t="s">
        <v>2372</v>
      </c>
    </row>
    <row r="2459" spans="1:8">
      <c r="A2459" s="26"/>
      <c r="B2459" s="114"/>
      <c r="C2459" s="154"/>
      <c r="D2459" s="192"/>
      <c r="E2459" s="114"/>
      <c r="F2459" s="114"/>
      <c r="G2459" s="114" t="s">
        <v>3485</v>
      </c>
      <c r="H2459" s="114" t="s">
        <v>3485</v>
      </c>
    </row>
    <row r="2460" spans="1:8">
      <c r="A2460" s="26"/>
      <c r="B2460" s="95">
        <v>1</v>
      </c>
      <c r="C2460" s="93" t="s">
        <v>6976</v>
      </c>
      <c r="E2460" s="95"/>
      <c r="F2460" s="190">
        <v>0</v>
      </c>
      <c r="G2460" s="190">
        <v>0</v>
      </c>
      <c r="H2460" s="190">
        <f>F2460*G2460</f>
        <v>0</v>
      </c>
    </row>
    <row r="2461" spans="1:8">
      <c r="A2461" s="26"/>
      <c r="B2461" s="275"/>
      <c r="C2461" s="139"/>
      <c r="D2461" s="174"/>
      <c r="E2461" s="114"/>
      <c r="F2461" s="182">
        <v>0</v>
      </c>
      <c r="G2461" s="182">
        <v>0</v>
      </c>
      <c r="H2461" s="182">
        <f>F2461*G2461</f>
        <v>0</v>
      </c>
    </row>
    <row r="2462" spans="1:8">
      <c r="A2462" s="26"/>
      <c r="B2462" s="176"/>
      <c r="C2462" s="174"/>
      <c r="D2462" s="174" t="s">
        <v>2380</v>
      </c>
      <c r="E2462" s="174"/>
      <c r="F2462" s="192"/>
      <c r="G2462" s="275" t="s">
        <v>1698</v>
      </c>
      <c r="H2462" s="318">
        <f>SUM(H2460:H2461)</f>
        <v>0</v>
      </c>
    </row>
    <row r="2463" spans="1:8">
      <c r="A2463" s="26"/>
    </row>
    <row r="2464" spans="1:8">
      <c r="A2464" s="26"/>
      <c r="B2464" s="79" t="s">
        <v>2381</v>
      </c>
    </row>
    <row r="2465" spans="1:8">
      <c r="A2465" s="26"/>
      <c r="B2465" s="95" t="s">
        <v>2369</v>
      </c>
      <c r="C2465" s="157" t="s">
        <v>2378</v>
      </c>
      <c r="D2465" s="195"/>
      <c r="E2465" s="95" t="s">
        <v>2370</v>
      </c>
      <c r="F2465" s="95" t="s">
        <v>1166</v>
      </c>
      <c r="G2465" s="95" t="s">
        <v>2371</v>
      </c>
      <c r="H2465" s="95" t="s">
        <v>2372</v>
      </c>
    </row>
    <row r="2466" spans="1:8">
      <c r="A2466" s="26"/>
      <c r="B2466" s="114"/>
      <c r="C2466" s="154"/>
      <c r="D2466" s="192"/>
      <c r="E2466" s="105"/>
      <c r="F2466" s="114"/>
      <c r="G2466" s="114" t="s">
        <v>3485</v>
      </c>
      <c r="H2466" s="114" t="s">
        <v>3485</v>
      </c>
    </row>
    <row r="2467" spans="1:8">
      <c r="A2467" s="26"/>
      <c r="B2467" s="36">
        <v>1</v>
      </c>
      <c r="C2467" s="151" t="s">
        <v>2697</v>
      </c>
      <c r="D2467" s="159"/>
      <c r="E2467" s="36" t="s">
        <v>1172</v>
      </c>
      <c r="F2467" s="369">
        <v>6</v>
      </c>
      <c r="G2467" s="67">
        <f>'BASIC DATA'!C552</f>
        <v>350</v>
      </c>
      <c r="H2467" s="190">
        <f>F2467*G2467</f>
        <v>2100</v>
      </c>
    </row>
    <row r="2468" spans="1:8">
      <c r="A2468" s="26"/>
      <c r="B2468" s="176"/>
      <c r="C2468" s="174"/>
      <c r="D2468" s="174" t="s">
        <v>1174</v>
      </c>
      <c r="E2468" s="174"/>
      <c r="F2468" s="192"/>
      <c r="G2468" s="275" t="s">
        <v>1698</v>
      </c>
      <c r="H2468" s="318">
        <f>SUM(H2467:H2467)</f>
        <v>2100</v>
      </c>
    </row>
    <row r="2469" spans="1:8">
      <c r="A2469" s="26"/>
      <c r="B2469" s="60" t="s">
        <v>5948</v>
      </c>
      <c r="C2469" s="31"/>
      <c r="D2469" s="31"/>
      <c r="E2469" s="85">
        <f>ROUND(H2468/G2447,1)</f>
        <v>21</v>
      </c>
      <c r="G2469" s="31"/>
    </row>
    <row r="2470" spans="1:8">
      <c r="A2470" s="26"/>
      <c r="B2470" s="60" t="s">
        <v>3163</v>
      </c>
      <c r="C2470" s="31"/>
      <c r="D2470" s="31">
        <f>'BASIC DATA'!$C$577</f>
        <v>0.13614999999999999</v>
      </c>
      <c r="E2470" s="85">
        <f>ROUND(E2469*D2470,1)</f>
        <v>2.9</v>
      </c>
      <c r="G2470" s="31"/>
    </row>
    <row r="2471" spans="1:8">
      <c r="A2471" s="26"/>
      <c r="B2471" s="60" t="s">
        <v>5949</v>
      </c>
      <c r="C2471" s="31"/>
      <c r="D2471" s="31"/>
      <c r="E2471" s="739">
        <f>E2470+E2469</f>
        <v>23.9</v>
      </c>
      <c r="G2471" s="31"/>
    </row>
    <row r="2472" spans="1:8">
      <c r="A2472" s="26"/>
      <c r="B2472" s="26"/>
    </row>
    <row r="2473" spans="1:8">
      <c r="A2473" s="26"/>
      <c r="B2473" s="170" t="s">
        <v>1175</v>
      </c>
    </row>
    <row r="2474" spans="1:8">
      <c r="A2474" s="26"/>
      <c r="B2474" s="26" t="s">
        <v>1176</v>
      </c>
      <c r="F2474" s="171" t="s">
        <v>1698</v>
      </c>
      <c r="G2474" s="68">
        <f>H2455</f>
        <v>975</v>
      </c>
    </row>
    <row r="2475" spans="1:8">
      <c r="A2475" s="26"/>
      <c r="B2475" s="26" t="s">
        <v>1186</v>
      </c>
      <c r="F2475" s="171" t="s">
        <v>1698</v>
      </c>
      <c r="G2475" s="68">
        <f>H2462</f>
        <v>0</v>
      </c>
    </row>
    <row r="2476" spans="1:8">
      <c r="A2476" s="26"/>
      <c r="B2476" s="26" t="s">
        <v>2660</v>
      </c>
      <c r="F2476" s="171" t="s">
        <v>1698</v>
      </c>
      <c r="G2476" s="75">
        <f>H2468</f>
        <v>2100</v>
      </c>
    </row>
    <row r="2477" spans="1:8">
      <c r="A2477" s="26"/>
      <c r="E2477" s="26" t="s">
        <v>1518</v>
      </c>
      <c r="F2477" s="171" t="s">
        <v>1698</v>
      </c>
      <c r="G2477" s="205">
        <f>SUM(G2474:G2476)</f>
        <v>3075</v>
      </c>
    </row>
    <row r="2478" spans="1:8" ht="35.25" customHeight="1">
      <c r="A2478" s="26"/>
      <c r="B2478" s="1207" t="s">
        <v>1379</v>
      </c>
      <c r="C2478" s="1207"/>
      <c r="E2478" s="249">
        <f>'BASIC DATA'!$C$577</f>
        <v>0.13614999999999999</v>
      </c>
      <c r="F2478" s="26" t="s">
        <v>1698</v>
      </c>
      <c r="G2478" s="26">
        <f>G2477*E2478</f>
        <v>418.66125</v>
      </c>
    </row>
    <row r="2479" spans="1:8">
      <c r="A2479" s="26"/>
      <c r="B2479" s="26" t="s">
        <v>1191</v>
      </c>
      <c r="D2479" s="68">
        <f>G2447</f>
        <v>100</v>
      </c>
      <c r="E2479" s="68" t="str">
        <f>H2447</f>
        <v>Rm</v>
      </c>
      <c r="F2479" s="26" t="s">
        <v>1698</v>
      </c>
      <c r="G2479" s="211">
        <f>G2478+G2477</f>
        <v>3493.6612500000001</v>
      </c>
    </row>
    <row r="2480" spans="1:8">
      <c r="A2480" s="26"/>
      <c r="B2480" s="170" t="s">
        <v>1584</v>
      </c>
      <c r="C2480" s="211" t="str">
        <f>E2479</f>
        <v>Rm</v>
      </c>
      <c r="D2480" s="26" t="s">
        <v>5882</v>
      </c>
      <c r="F2480" s="26" t="s">
        <v>4108</v>
      </c>
      <c r="G2480" s="211">
        <f>ROUND(G2479/D2479,1)</f>
        <v>34.9</v>
      </c>
    </row>
    <row r="2481" spans="1:8">
      <c r="A2481" s="26"/>
    </row>
    <row r="2482" spans="1:8">
      <c r="A2482" s="26"/>
    </row>
    <row r="2483" spans="1:8">
      <c r="A2483" s="78" t="s">
        <v>5512</v>
      </c>
      <c r="B2483" s="170" t="s">
        <v>9210</v>
      </c>
    </row>
    <row r="2484" spans="1:8" ht="18.75">
      <c r="B2484" s="26" t="s">
        <v>9211</v>
      </c>
    </row>
    <row r="2485" spans="1:8">
      <c r="B2485" s="170" t="s">
        <v>2742</v>
      </c>
    </row>
    <row r="2486" spans="1:8">
      <c r="B2486" s="26"/>
    </row>
    <row r="2487" spans="1:8" hidden="1">
      <c r="A2487" s="78" t="s">
        <v>3984</v>
      </c>
      <c r="B2487" s="26" t="s">
        <v>2743</v>
      </c>
    </row>
    <row r="2488" spans="1:8" hidden="1">
      <c r="B2488" s="26" t="s">
        <v>4302</v>
      </c>
    </row>
    <row r="2489" spans="1:8" hidden="1">
      <c r="B2489" s="26" t="s">
        <v>3851</v>
      </c>
      <c r="F2489" s="78" t="s">
        <v>1697</v>
      </c>
      <c r="G2489" s="26">
        <v>10</v>
      </c>
      <c r="H2489" s="26" t="s">
        <v>2059</v>
      </c>
    </row>
    <row r="2490" spans="1:8" hidden="1">
      <c r="B2490" s="26" t="s">
        <v>2744</v>
      </c>
      <c r="F2490" s="78" t="s">
        <v>1697</v>
      </c>
      <c r="G2490" s="26" t="s">
        <v>2173</v>
      </c>
    </row>
    <row r="2491" spans="1:8" hidden="1">
      <c r="B2491" s="26" t="s">
        <v>5815</v>
      </c>
      <c r="F2491" s="78"/>
    </row>
    <row r="2492" spans="1:8" hidden="1">
      <c r="B2492" s="26" t="s">
        <v>2745</v>
      </c>
      <c r="F2492" s="78" t="s">
        <v>1697</v>
      </c>
      <c r="G2492" s="26">
        <v>5</v>
      </c>
      <c r="H2492" s="26" t="s">
        <v>2059</v>
      </c>
    </row>
    <row r="2493" spans="1:8" hidden="1">
      <c r="B2493" s="26" t="s">
        <v>2697</v>
      </c>
      <c r="F2493" s="78" t="s">
        <v>1697</v>
      </c>
      <c r="G2493" s="26">
        <v>10</v>
      </c>
      <c r="H2493" s="26" t="s">
        <v>2059</v>
      </c>
    </row>
    <row r="2494" spans="1:8">
      <c r="A2494" s="26"/>
    </row>
    <row r="2495" spans="1:8">
      <c r="A2495" s="26" t="s">
        <v>3984</v>
      </c>
      <c r="C2495" s="203" t="s">
        <v>2367</v>
      </c>
      <c r="D2495" s="171"/>
      <c r="F2495" s="171" t="s">
        <v>297</v>
      </c>
      <c r="G2495" s="162">
        <v>100</v>
      </c>
      <c r="H2495" s="26" t="s">
        <v>3479</v>
      </c>
    </row>
    <row r="2496" spans="1:8">
      <c r="A2496" s="26"/>
      <c r="B2496" s="79" t="s">
        <v>2368</v>
      </c>
    </row>
    <row r="2497" spans="1:8">
      <c r="A2497" s="26"/>
      <c r="B2497" s="95" t="s">
        <v>2369</v>
      </c>
      <c r="C2497" s="157" t="s">
        <v>6374</v>
      </c>
      <c r="D2497" s="195"/>
      <c r="E2497" s="95" t="s">
        <v>2370</v>
      </c>
      <c r="F2497" s="95" t="s">
        <v>1166</v>
      </c>
      <c r="G2497" s="95" t="s">
        <v>2371</v>
      </c>
      <c r="H2497" s="95" t="s">
        <v>2372</v>
      </c>
    </row>
    <row r="2498" spans="1:8">
      <c r="A2498" s="26"/>
      <c r="B2498" s="114"/>
      <c r="C2498" s="154"/>
      <c r="D2498" s="192"/>
      <c r="E2498" s="114"/>
      <c r="F2498" s="114"/>
      <c r="G2498" s="114" t="s">
        <v>3485</v>
      </c>
      <c r="H2498" s="114" t="s">
        <v>3485</v>
      </c>
    </row>
    <row r="2499" spans="1:8">
      <c r="A2499" s="26"/>
      <c r="B2499" s="105">
        <v>1</v>
      </c>
      <c r="C2499" s="135" t="s">
        <v>3851</v>
      </c>
      <c r="E2499" s="105" t="s">
        <v>3481</v>
      </c>
      <c r="F2499" s="190">
        <v>10</v>
      </c>
      <c r="G2499" s="214">
        <f>'BASIC DATA'!D110</f>
        <v>13</v>
      </c>
      <c r="H2499" s="190">
        <f>F2499*G2499</f>
        <v>130</v>
      </c>
    </row>
    <row r="2500" spans="1:8">
      <c r="A2500" s="26"/>
      <c r="B2500" s="105">
        <v>2</v>
      </c>
      <c r="C2500" s="135" t="s">
        <v>2746</v>
      </c>
      <c r="E2500" s="105"/>
      <c r="F2500" s="190"/>
      <c r="G2500" s="214"/>
      <c r="H2500" s="190"/>
    </row>
    <row r="2501" spans="1:8">
      <c r="A2501" s="26"/>
      <c r="B2501" s="275"/>
      <c r="C2501" s="135" t="s">
        <v>2747</v>
      </c>
      <c r="D2501" s="31"/>
      <c r="E2501" s="105" t="s">
        <v>2173</v>
      </c>
      <c r="F2501" s="190">
        <v>5</v>
      </c>
      <c r="G2501" s="214">
        <f>'BASIC DATA'!D359</f>
        <v>30</v>
      </c>
      <c r="H2501" s="182">
        <f>F2501*G2501</f>
        <v>150</v>
      </c>
    </row>
    <row r="2502" spans="1:8">
      <c r="A2502" s="26"/>
      <c r="B2502" s="93"/>
      <c r="C2502" s="187"/>
      <c r="D2502" s="187"/>
      <c r="E2502" s="187"/>
      <c r="F2502" s="331" t="s">
        <v>2375</v>
      </c>
      <c r="G2502" s="332" t="s">
        <v>1698</v>
      </c>
      <c r="H2502" s="179">
        <f>SUM(H2499:H2501)</f>
        <v>280</v>
      </c>
    </row>
    <row r="2503" spans="1:8" s="61" customFormat="1">
      <c r="B2503" s="444"/>
      <c r="C2503" s="60" t="s">
        <v>2748</v>
      </c>
      <c r="D2503" s="60"/>
      <c r="E2503" s="60"/>
      <c r="F2503" s="522">
        <v>0.1</v>
      </c>
      <c r="G2503" s="678" t="s">
        <v>1698</v>
      </c>
      <c r="H2503" s="255">
        <f>F2503*$H$2502</f>
        <v>28</v>
      </c>
    </row>
    <row r="2504" spans="1:8">
      <c r="A2504" s="26"/>
      <c r="B2504" s="92"/>
      <c r="C2504" s="159"/>
      <c r="D2504" s="159" t="s">
        <v>2376</v>
      </c>
      <c r="E2504" s="159"/>
      <c r="F2504" s="238"/>
      <c r="G2504" s="236" t="s">
        <v>1698</v>
      </c>
      <c r="H2504" s="318">
        <f>SUM(H2502:H2503)</f>
        <v>308</v>
      </c>
    </row>
    <row r="2505" spans="1:8">
      <c r="A2505" s="26"/>
    </row>
    <row r="2506" spans="1:8">
      <c r="A2506" s="26"/>
      <c r="B2506" s="79" t="s">
        <v>2377</v>
      </c>
    </row>
    <row r="2507" spans="1:8">
      <c r="A2507" s="26"/>
      <c r="B2507" s="95" t="s">
        <v>2369</v>
      </c>
      <c r="C2507" s="157" t="s">
        <v>2378</v>
      </c>
      <c r="D2507" s="195"/>
      <c r="E2507" s="95" t="s">
        <v>2370</v>
      </c>
      <c r="F2507" s="95" t="s">
        <v>1166</v>
      </c>
      <c r="G2507" s="95" t="s">
        <v>2371</v>
      </c>
      <c r="H2507" s="95" t="s">
        <v>2372</v>
      </c>
    </row>
    <row r="2508" spans="1:8">
      <c r="A2508" s="26"/>
      <c r="B2508" s="114"/>
      <c r="C2508" s="154"/>
      <c r="D2508" s="192"/>
      <c r="E2508" s="114"/>
      <c r="F2508" s="114"/>
      <c r="G2508" s="114" t="s">
        <v>3485</v>
      </c>
      <c r="H2508" s="114" t="s">
        <v>3485</v>
      </c>
    </row>
    <row r="2509" spans="1:8">
      <c r="A2509" s="26"/>
      <c r="B2509" s="95">
        <v>1</v>
      </c>
      <c r="C2509" s="93" t="s">
        <v>6976</v>
      </c>
      <c r="E2509" s="95"/>
      <c r="F2509" s="190">
        <v>0</v>
      </c>
      <c r="G2509" s="190">
        <v>0</v>
      </c>
      <c r="H2509" s="190">
        <f>F2509*G2509</f>
        <v>0</v>
      </c>
    </row>
    <row r="2510" spans="1:8">
      <c r="A2510" s="26"/>
      <c r="B2510" s="275"/>
      <c r="C2510" s="139"/>
      <c r="D2510" s="174"/>
      <c r="E2510" s="114"/>
      <c r="F2510" s="182">
        <v>0</v>
      </c>
      <c r="G2510" s="182">
        <v>0</v>
      </c>
      <c r="H2510" s="182">
        <f>F2510*G2510</f>
        <v>0</v>
      </c>
    </row>
    <row r="2511" spans="1:8">
      <c r="A2511" s="26"/>
      <c r="B2511" s="176"/>
      <c r="C2511" s="174"/>
      <c r="D2511" s="174" t="s">
        <v>2380</v>
      </c>
      <c r="E2511" s="174"/>
      <c r="F2511" s="192"/>
      <c r="G2511" s="236" t="s">
        <v>1698</v>
      </c>
      <c r="H2511" s="318">
        <f>SUM(H2509:H2510)</f>
        <v>0</v>
      </c>
    </row>
    <row r="2512" spans="1:8">
      <c r="A2512" s="26"/>
    </row>
    <row r="2513" spans="1:8">
      <c r="A2513" s="26"/>
      <c r="B2513" s="79" t="s">
        <v>2381</v>
      </c>
    </row>
    <row r="2514" spans="1:8">
      <c r="A2514" s="26"/>
      <c r="B2514" s="95" t="s">
        <v>2369</v>
      </c>
      <c r="C2514" s="157" t="s">
        <v>2378</v>
      </c>
      <c r="D2514" s="195"/>
      <c r="E2514" s="95" t="s">
        <v>2370</v>
      </c>
      <c r="F2514" s="95" t="s">
        <v>1166</v>
      </c>
      <c r="G2514" s="95" t="s">
        <v>2371</v>
      </c>
      <c r="H2514" s="95" t="s">
        <v>2372</v>
      </c>
    </row>
    <row r="2515" spans="1:8">
      <c r="A2515" s="26"/>
      <c r="B2515" s="114"/>
      <c r="C2515" s="154"/>
      <c r="D2515" s="192"/>
      <c r="E2515" s="105"/>
      <c r="F2515" s="114"/>
      <c r="G2515" s="114" t="s">
        <v>3485</v>
      </c>
      <c r="H2515" s="114" t="s">
        <v>3485</v>
      </c>
    </row>
    <row r="2516" spans="1:8">
      <c r="A2516" s="26"/>
      <c r="B2516" s="105">
        <v>1</v>
      </c>
      <c r="C2516" s="76" t="s">
        <v>2745</v>
      </c>
      <c r="D2516" s="31"/>
      <c r="E2516" s="95" t="s">
        <v>1172</v>
      </c>
      <c r="F2516" s="207">
        <v>5</v>
      </c>
      <c r="G2516" s="190">
        <f>'BASIC DATA'!C543</f>
        <v>400</v>
      </c>
      <c r="H2516" s="190">
        <f>F2516*G2516</f>
        <v>2000</v>
      </c>
    </row>
    <row r="2517" spans="1:8">
      <c r="A2517" s="26"/>
      <c r="B2517" s="114">
        <v>2</v>
      </c>
      <c r="C2517" s="89" t="s">
        <v>2697</v>
      </c>
      <c r="D2517" s="174"/>
      <c r="E2517" s="114" t="s">
        <v>1172</v>
      </c>
      <c r="F2517" s="181">
        <v>10</v>
      </c>
      <c r="G2517" s="190">
        <f>'BASIC DATA'!C552</f>
        <v>350</v>
      </c>
      <c r="H2517" s="190">
        <f>F2517*G2517</f>
        <v>3500</v>
      </c>
    </row>
    <row r="2518" spans="1:8">
      <c r="A2518" s="26"/>
      <c r="B2518" s="176"/>
      <c r="C2518" s="174"/>
      <c r="D2518" s="174" t="s">
        <v>1174</v>
      </c>
      <c r="E2518" s="174"/>
      <c r="F2518" s="192"/>
      <c r="G2518" s="236" t="s">
        <v>1698</v>
      </c>
      <c r="H2518" s="318">
        <f>SUM(H2516:H2517)</f>
        <v>5500</v>
      </c>
    </row>
    <row r="2519" spans="1:8">
      <c r="A2519" s="26"/>
      <c r="B2519" s="60" t="s">
        <v>5948</v>
      </c>
      <c r="C2519" s="31"/>
      <c r="D2519" s="31"/>
      <c r="E2519" s="85">
        <f>ROUND(H2518/G2495,1)</f>
        <v>55</v>
      </c>
      <c r="G2519" s="31"/>
    </row>
    <row r="2520" spans="1:8">
      <c r="A2520" s="26"/>
      <c r="B2520" s="60" t="s">
        <v>3163</v>
      </c>
      <c r="C2520" s="31"/>
      <c r="D2520" s="31">
        <f>'BASIC DATA'!$C$577</f>
        <v>0.13614999999999999</v>
      </c>
      <c r="E2520" s="85">
        <f>ROUND(E2519*D2520,1)</f>
        <v>7.5</v>
      </c>
      <c r="G2520" s="31"/>
    </row>
    <row r="2521" spans="1:8">
      <c r="A2521" s="26"/>
      <c r="B2521" s="60" t="s">
        <v>5949</v>
      </c>
      <c r="C2521" s="31"/>
      <c r="D2521" s="31"/>
      <c r="E2521" s="739">
        <f>E2520+E2519</f>
        <v>62.5</v>
      </c>
      <c r="G2521" s="31"/>
    </row>
    <row r="2522" spans="1:8">
      <c r="A2522" s="26"/>
      <c r="B2522" s="26"/>
    </row>
    <row r="2523" spans="1:8">
      <c r="A2523" s="26"/>
      <c r="B2523" s="170" t="s">
        <v>1175</v>
      </c>
    </row>
    <row r="2524" spans="1:8">
      <c r="A2524" s="26"/>
      <c r="B2524" s="26" t="s">
        <v>4</v>
      </c>
      <c r="F2524" s="171" t="s">
        <v>1698</v>
      </c>
      <c r="G2524" s="68">
        <f>H2504</f>
        <v>308</v>
      </c>
    </row>
    <row r="2525" spans="1:8">
      <c r="A2525" s="26"/>
      <c r="B2525" s="26" t="s">
        <v>1186</v>
      </c>
      <c r="F2525" s="171" t="s">
        <v>1698</v>
      </c>
      <c r="G2525" s="68">
        <f>H2511</f>
        <v>0</v>
      </c>
    </row>
    <row r="2526" spans="1:8">
      <c r="A2526" s="26"/>
      <c r="B2526" s="26" t="s">
        <v>2660</v>
      </c>
      <c r="F2526" s="171" t="s">
        <v>1698</v>
      </c>
      <c r="G2526" s="75">
        <f>H2518</f>
        <v>5500</v>
      </c>
    </row>
    <row r="2527" spans="1:8">
      <c r="A2527" s="26"/>
      <c r="E2527" s="26" t="s">
        <v>1518</v>
      </c>
      <c r="F2527" s="171" t="s">
        <v>1698</v>
      </c>
      <c r="G2527" s="205">
        <f>SUM(G2524:G2526)</f>
        <v>5808</v>
      </c>
    </row>
    <row r="2528" spans="1:8" ht="33.75" customHeight="1">
      <c r="A2528" s="26"/>
      <c r="B2528" s="1207" t="s">
        <v>1379</v>
      </c>
      <c r="C2528" s="1207"/>
      <c r="E2528" s="249">
        <f>'BASIC DATA'!$C$577</f>
        <v>0.13614999999999999</v>
      </c>
      <c r="F2528" s="26" t="s">
        <v>1698</v>
      </c>
      <c r="G2528" s="26">
        <f>G2527*E2528</f>
        <v>790.75919999999996</v>
      </c>
    </row>
    <row r="2529" spans="1:8">
      <c r="A2529" s="26"/>
      <c r="B2529" s="26" t="s">
        <v>1191</v>
      </c>
      <c r="D2529" s="68">
        <f>G2495</f>
        <v>100</v>
      </c>
      <c r="E2529" s="68" t="str">
        <f>H2495</f>
        <v>sqm</v>
      </c>
      <c r="F2529" s="26" t="s">
        <v>1698</v>
      </c>
      <c r="G2529" s="211">
        <f>G2528+G2527</f>
        <v>6598.7592000000004</v>
      </c>
    </row>
    <row r="2530" spans="1:8">
      <c r="A2530" s="26"/>
      <c r="B2530" s="170" t="s">
        <v>1584</v>
      </c>
      <c r="C2530" s="211" t="str">
        <f>E2529</f>
        <v>sqm</v>
      </c>
      <c r="D2530" s="26" t="s">
        <v>5882</v>
      </c>
      <c r="F2530" s="26" t="s">
        <v>4108</v>
      </c>
      <c r="G2530" s="211">
        <f>ROUND(G2529/D2529,1)</f>
        <v>66</v>
      </c>
    </row>
    <row r="2531" spans="1:8">
      <c r="A2531" s="26"/>
    </row>
    <row r="2532" spans="1:8">
      <c r="A2532" s="26"/>
    </row>
    <row r="2533" spans="1:8">
      <c r="A2533" s="78" t="s">
        <v>5513</v>
      </c>
      <c r="B2533" s="170" t="s">
        <v>9212</v>
      </c>
    </row>
    <row r="2534" spans="1:8">
      <c r="B2534" s="26" t="s">
        <v>9213</v>
      </c>
    </row>
    <row r="2535" spans="1:8" ht="18.75">
      <c r="B2535" s="26" t="s">
        <v>9214</v>
      </c>
    </row>
    <row r="2536" spans="1:8">
      <c r="B2536" s="170" t="s">
        <v>5203</v>
      </c>
    </row>
    <row r="2537" spans="1:8">
      <c r="B2537" s="26"/>
    </row>
    <row r="2538" spans="1:8" hidden="1">
      <c r="A2538" s="78" t="s">
        <v>3984</v>
      </c>
      <c r="B2538" s="26" t="s">
        <v>2743</v>
      </c>
    </row>
    <row r="2539" spans="1:8" hidden="1">
      <c r="A2539" s="78">
        <v>1</v>
      </c>
      <c r="B2539" s="26" t="s">
        <v>4302</v>
      </c>
    </row>
    <row r="2540" spans="1:8" hidden="1">
      <c r="B2540" s="26" t="s">
        <v>5204</v>
      </c>
    </row>
    <row r="2541" spans="1:8" hidden="1">
      <c r="B2541" s="26" t="s">
        <v>26</v>
      </c>
    </row>
    <row r="2542" spans="1:8" hidden="1">
      <c r="B2542" s="26" t="s">
        <v>27</v>
      </c>
    </row>
    <row r="2543" spans="1:8" hidden="1">
      <c r="B2543" s="26" t="s">
        <v>28</v>
      </c>
      <c r="F2543" s="78" t="s">
        <v>1697</v>
      </c>
      <c r="G2543" s="26">
        <v>150</v>
      </c>
      <c r="H2543" s="26" t="s">
        <v>3479</v>
      </c>
    </row>
    <row r="2544" spans="1:8" hidden="1">
      <c r="B2544" s="26" t="s">
        <v>29</v>
      </c>
      <c r="F2544" s="78" t="s">
        <v>1697</v>
      </c>
      <c r="G2544" s="68">
        <v>15</v>
      </c>
      <c r="H2544" s="26" t="s">
        <v>3477</v>
      </c>
    </row>
    <row r="2545" spans="1:8" hidden="1">
      <c r="B2545" s="26" t="s">
        <v>6426</v>
      </c>
      <c r="F2545" s="78" t="s">
        <v>1697</v>
      </c>
      <c r="G2545" s="68">
        <v>30</v>
      </c>
      <c r="H2545" s="26" t="s">
        <v>3477</v>
      </c>
    </row>
    <row r="2546" spans="1:8" hidden="1">
      <c r="A2546" s="78">
        <v>2</v>
      </c>
      <c r="B2546" s="26" t="s">
        <v>6427</v>
      </c>
    </row>
    <row r="2547" spans="1:8" hidden="1">
      <c r="B2547" s="26" t="s">
        <v>3361</v>
      </c>
      <c r="F2547" s="78" t="s">
        <v>1697</v>
      </c>
      <c r="G2547" s="26" t="s">
        <v>4933</v>
      </c>
      <c r="H2547" s="26" t="s">
        <v>3479</v>
      </c>
    </row>
    <row r="2548" spans="1:8" hidden="1">
      <c r="B2548" s="26" t="s">
        <v>100</v>
      </c>
    </row>
    <row r="2549" spans="1:8" hidden="1">
      <c r="B2549" s="26" t="s">
        <v>3415</v>
      </c>
      <c r="F2549" s="78" t="s">
        <v>1697</v>
      </c>
      <c r="G2549" s="26">
        <v>8</v>
      </c>
      <c r="H2549" s="26" t="s">
        <v>4665</v>
      </c>
    </row>
    <row r="2550" spans="1:8" hidden="1">
      <c r="B2550" s="26" t="s">
        <v>3416</v>
      </c>
      <c r="F2550" s="78" t="s">
        <v>1697</v>
      </c>
      <c r="G2550" s="26">
        <v>8</v>
      </c>
      <c r="H2550" s="26" t="s">
        <v>4665</v>
      </c>
    </row>
    <row r="2551" spans="1:8" hidden="1">
      <c r="B2551" s="26" t="s">
        <v>5815</v>
      </c>
    </row>
    <row r="2552" spans="1:8" hidden="1">
      <c r="B2552" s="26" t="s">
        <v>637</v>
      </c>
    </row>
    <row r="2553" spans="1:8" hidden="1">
      <c r="B2553" s="26" t="s">
        <v>3417</v>
      </c>
      <c r="F2553" s="78" t="s">
        <v>1697</v>
      </c>
      <c r="G2553" s="26">
        <v>6</v>
      </c>
      <c r="H2553" s="26" t="s">
        <v>4041</v>
      </c>
    </row>
    <row r="2554" spans="1:8" hidden="1">
      <c r="B2554" s="26" t="s">
        <v>3966</v>
      </c>
      <c r="F2554" s="78" t="s">
        <v>1697</v>
      </c>
      <c r="G2554" s="26">
        <v>2</v>
      </c>
      <c r="H2554" s="26" t="s">
        <v>4041</v>
      </c>
    </row>
    <row r="2555" spans="1:8" hidden="1">
      <c r="B2555" s="26" t="s">
        <v>3967</v>
      </c>
      <c r="F2555" s="78" t="s">
        <v>1697</v>
      </c>
      <c r="G2555" s="26">
        <v>1</v>
      </c>
      <c r="H2555" s="26" t="s">
        <v>4089</v>
      </c>
    </row>
    <row r="2556" spans="1:8" hidden="1">
      <c r="B2556" s="26" t="s">
        <v>637</v>
      </c>
    </row>
    <row r="2557" spans="1:8" hidden="1">
      <c r="B2557" s="26" t="s">
        <v>3417</v>
      </c>
      <c r="F2557" s="78" t="s">
        <v>1697</v>
      </c>
      <c r="G2557" s="26">
        <v>4</v>
      </c>
      <c r="H2557" s="26" t="s">
        <v>4041</v>
      </c>
    </row>
    <row r="2558" spans="1:8" hidden="1">
      <c r="B2558" s="26" t="s">
        <v>394</v>
      </c>
      <c r="F2558" s="78" t="s">
        <v>1697</v>
      </c>
      <c r="G2558" s="26">
        <v>2</v>
      </c>
      <c r="H2558" s="26" t="s">
        <v>4041</v>
      </c>
    </row>
    <row r="2559" spans="1:8" hidden="1">
      <c r="A2559" s="78">
        <v>3</v>
      </c>
      <c r="B2559" s="26" t="s">
        <v>2366</v>
      </c>
    </row>
    <row r="2560" spans="1:8" hidden="1">
      <c r="B2560" s="26" t="s">
        <v>395</v>
      </c>
      <c r="C2560" s="68">
        <f>'BASIC DATA'!D345</f>
        <v>300</v>
      </c>
      <c r="E2560" s="26" t="s">
        <v>2618</v>
      </c>
      <c r="F2560" s="78" t="s">
        <v>1698</v>
      </c>
      <c r="G2560" s="68">
        <f>C2560*50</f>
        <v>15000</v>
      </c>
    </row>
    <row r="2561" spans="1:12" hidden="1">
      <c r="B2561" s="26" t="s">
        <v>5152</v>
      </c>
      <c r="C2561" s="68"/>
      <c r="F2561" s="78" t="s">
        <v>1697</v>
      </c>
      <c r="G2561" s="316">
        <v>800</v>
      </c>
      <c r="H2561" s="26" t="s">
        <v>4665</v>
      </c>
    </row>
    <row r="2562" spans="1:12" hidden="1">
      <c r="B2562" s="26" t="s">
        <v>396</v>
      </c>
      <c r="C2562" s="26" t="s">
        <v>7593</v>
      </c>
      <c r="F2562" s="78" t="s">
        <v>1698</v>
      </c>
      <c r="G2562" s="68">
        <f>G2560/G2561</f>
        <v>18.75</v>
      </c>
    </row>
    <row r="2563" spans="1:12" hidden="1">
      <c r="B2563" s="26" t="s">
        <v>3907</v>
      </c>
      <c r="C2563" s="68">
        <f>'BASIC DATA'!D309</f>
        <v>700</v>
      </c>
      <c r="E2563" s="26" t="s">
        <v>2290</v>
      </c>
      <c r="F2563" s="78" t="s">
        <v>1698</v>
      </c>
      <c r="G2563" s="68">
        <f>C2563</f>
        <v>700</v>
      </c>
    </row>
    <row r="2564" spans="1:12" hidden="1">
      <c r="B2564" s="26" t="s">
        <v>3908</v>
      </c>
      <c r="F2564" s="78" t="s">
        <v>1697</v>
      </c>
      <c r="G2564" s="316">
        <v>200</v>
      </c>
      <c r="H2564" s="26" t="s">
        <v>4665</v>
      </c>
    </row>
    <row r="2565" spans="1:12" hidden="1">
      <c r="B2565" s="26" t="s">
        <v>3909</v>
      </c>
      <c r="C2565" s="26" t="s">
        <v>7593</v>
      </c>
      <c r="F2565" s="78" t="s">
        <v>1698</v>
      </c>
      <c r="G2565" s="68">
        <f>G2563/G2564</f>
        <v>3.5</v>
      </c>
    </row>
    <row r="2566" spans="1:12">
      <c r="A2566" s="26"/>
    </row>
    <row r="2567" spans="1:12">
      <c r="A2567" s="26" t="s">
        <v>9215</v>
      </c>
      <c r="C2567" s="203" t="s">
        <v>2367</v>
      </c>
      <c r="D2567" s="171"/>
      <c r="F2567" s="171" t="s">
        <v>297</v>
      </c>
      <c r="G2567" s="162">
        <v>100</v>
      </c>
      <c r="H2567" s="26" t="s">
        <v>3479</v>
      </c>
    </row>
    <row r="2568" spans="1:12">
      <c r="A2568" s="26"/>
      <c r="B2568" s="79" t="s">
        <v>2368</v>
      </c>
    </row>
    <row r="2569" spans="1:12">
      <c r="A2569" s="26"/>
      <c r="B2569" s="95" t="s">
        <v>2369</v>
      </c>
      <c r="C2569" s="157" t="s">
        <v>6374</v>
      </c>
      <c r="D2569" s="195"/>
      <c r="E2569" s="95" t="s">
        <v>2370</v>
      </c>
      <c r="F2569" s="95" t="s">
        <v>1166</v>
      </c>
      <c r="G2569" s="95" t="s">
        <v>2371</v>
      </c>
      <c r="H2569" s="95" t="s">
        <v>2372</v>
      </c>
    </row>
    <row r="2570" spans="1:12">
      <c r="A2570" s="26"/>
      <c r="B2570" s="114"/>
      <c r="C2570" s="154"/>
      <c r="D2570" s="192"/>
      <c r="E2570" s="114"/>
      <c r="F2570" s="114"/>
      <c r="G2570" s="114" t="s">
        <v>3485</v>
      </c>
      <c r="H2570" s="114" t="s">
        <v>3485</v>
      </c>
      <c r="J2570" s="31"/>
      <c r="K2570" s="31"/>
      <c r="L2570" s="31"/>
    </row>
    <row r="2571" spans="1:12" s="61" customFormat="1">
      <c r="B2571" s="240">
        <v>1</v>
      </c>
      <c r="C2571" s="326" t="s">
        <v>6827</v>
      </c>
      <c r="E2571" s="240" t="s">
        <v>3477</v>
      </c>
      <c r="F2571" s="255">
        <v>30</v>
      </c>
      <c r="G2571" s="266">
        <f>'BASIC DATA'!D57</f>
        <v>165</v>
      </c>
      <c r="H2571" s="255">
        <f>F2571*G2571</f>
        <v>4950</v>
      </c>
      <c r="J2571" s="101"/>
      <c r="K2571" s="60"/>
      <c r="L2571" s="321"/>
    </row>
    <row r="2572" spans="1:12">
      <c r="A2572" s="26"/>
      <c r="B2572" s="105">
        <v>2</v>
      </c>
      <c r="C2572" s="135" t="s">
        <v>1404</v>
      </c>
      <c r="E2572" s="105" t="s">
        <v>2374</v>
      </c>
      <c r="F2572" s="190">
        <v>8</v>
      </c>
      <c r="G2572" s="214">
        <f>G2562</f>
        <v>18.75</v>
      </c>
      <c r="H2572" s="190">
        <f>F2572*G2572</f>
        <v>150</v>
      </c>
      <c r="J2572" s="76"/>
      <c r="K2572" s="31"/>
      <c r="L2572" s="75"/>
    </row>
    <row r="2573" spans="1:12">
      <c r="A2573" s="26"/>
      <c r="B2573" s="105">
        <v>3</v>
      </c>
      <c r="C2573" s="135" t="s">
        <v>1405</v>
      </c>
      <c r="E2573" s="105" t="s">
        <v>2374</v>
      </c>
      <c r="F2573" s="190">
        <v>8</v>
      </c>
      <c r="G2573" s="214">
        <f>G2565</f>
        <v>3.5</v>
      </c>
      <c r="H2573" s="190">
        <f>F2573*G2573</f>
        <v>28</v>
      </c>
      <c r="J2573" s="76"/>
      <c r="K2573" s="31"/>
      <c r="L2573" s="75"/>
    </row>
    <row r="2574" spans="1:12">
      <c r="A2574" s="26"/>
      <c r="B2574" s="114">
        <v>4</v>
      </c>
      <c r="C2574" s="135" t="s">
        <v>1406</v>
      </c>
      <c r="D2574" s="31"/>
      <c r="E2574" s="105" t="s">
        <v>2173</v>
      </c>
      <c r="F2574" s="190">
        <v>5</v>
      </c>
      <c r="G2574" s="214">
        <f>'BASIC DATA'!D359</f>
        <v>30</v>
      </c>
      <c r="H2574" s="190">
        <f>F2574*G2574</f>
        <v>150</v>
      </c>
      <c r="J2574" s="76"/>
      <c r="K2574" s="31"/>
      <c r="L2574" s="75"/>
    </row>
    <row r="2575" spans="1:12">
      <c r="A2575" s="26"/>
      <c r="B2575" s="93"/>
      <c r="C2575" s="187"/>
      <c r="D2575" s="187"/>
      <c r="E2575" s="187"/>
      <c r="F2575" s="331" t="s">
        <v>2375</v>
      </c>
      <c r="G2575" s="332" t="s">
        <v>1698</v>
      </c>
      <c r="H2575" s="179">
        <f>SUM(H2571:H2574)</f>
        <v>5278</v>
      </c>
      <c r="J2575" s="31"/>
      <c r="K2575" s="31"/>
      <c r="L2575" s="31"/>
    </row>
    <row r="2576" spans="1:12" s="61" customFormat="1">
      <c r="B2576" s="444"/>
      <c r="C2576" s="60" t="s">
        <v>2748</v>
      </c>
      <c r="D2576" s="60"/>
      <c r="E2576" s="60"/>
      <c r="F2576" s="522">
        <v>0.1</v>
      </c>
      <c r="G2576" s="678" t="s">
        <v>1698</v>
      </c>
      <c r="H2576" s="255">
        <f>F2576*$H$2575</f>
        <v>527.80000000000007</v>
      </c>
    </row>
    <row r="2577" spans="1:8">
      <c r="A2577" s="26"/>
      <c r="B2577" s="92"/>
      <c r="C2577" s="159"/>
      <c r="D2577" s="159" t="s">
        <v>2376</v>
      </c>
      <c r="E2577" s="159"/>
      <c r="F2577" s="238" t="s">
        <v>6607</v>
      </c>
      <c r="G2577" s="236" t="s">
        <v>1698</v>
      </c>
      <c r="H2577" s="318">
        <f>SUM(H2575:H2576)</f>
        <v>5805.8</v>
      </c>
    </row>
    <row r="2578" spans="1:8">
      <c r="A2578" s="26"/>
    </row>
    <row r="2579" spans="1:8">
      <c r="A2579" s="26"/>
      <c r="B2579" s="79" t="s">
        <v>2377</v>
      </c>
    </row>
    <row r="2580" spans="1:8">
      <c r="A2580" s="26"/>
      <c r="B2580" s="95" t="s">
        <v>2369</v>
      </c>
      <c r="C2580" s="157" t="s">
        <v>2378</v>
      </c>
      <c r="D2580" s="195"/>
      <c r="E2580" s="95" t="s">
        <v>2370</v>
      </c>
      <c r="F2580" s="95" t="s">
        <v>1166</v>
      </c>
      <c r="G2580" s="95" t="s">
        <v>2371</v>
      </c>
      <c r="H2580" s="95" t="s">
        <v>2372</v>
      </c>
    </row>
    <row r="2581" spans="1:8">
      <c r="A2581" s="26"/>
      <c r="B2581" s="114"/>
      <c r="C2581" s="154"/>
      <c r="D2581" s="192"/>
      <c r="E2581" s="114"/>
      <c r="F2581" s="114"/>
      <c r="G2581" s="114" t="s">
        <v>3485</v>
      </c>
      <c r="H2581" s="114" t="s">
        <v>3485</v>
      </c>
    </row>
    <row r="2582" spans="1:8">
      <c r="A2582" s="26"/>
      <c r="B2582" s="95">
        <v>1</v>
      </c>
      <c r="C2582" s="135" t="s">
        <v>3171</v>
      </c>
      <c r="E2582" s="95" t="s">
        <v>2374</v>
      </c>
      <c r="F2582" s="190">
        <v>8</v>
      </c>
      <c r="G2582" s="190">
        <f>'HIRE CHARGES'!D494</f>
        <v>241.3</v>
      </c>
      <c r="H2582" s="190">
        <f>F2582*G2582</f>
        <v>1930.4</v>
      </c>
    </row>
    <row r="2583" spans="1:8">
      <c r="A2583" s="26"/>
      <c r="B2583" s="280"/>
      <c r="C2583" s="135" t="s">
        <v>2379</v>
      </c>
      <c r="E2583" s="105" t="s">
        <v>2374</v>
      </c>
      <c r="F2583" s="190">
        <v>8</v>
      </c>
      <c r="G2583" s="190">
        <f>'HIRE CHARGES'!E494</f>
        <v>714</v>
      </c>
      <c r="H2583" s="190">
        <f>F2583*G2583</f>
        <v>5712</v>
      </c>
    </row>
    <row r="2584" spans="1:8">
      <c r="A2584" s="26"/>
      <c r="B2584" s="105">
        <v>2</v>
      </c>
      <c r="C2584" s="135" t="s">
        <v>1407</v>
      </c>
      <c r="E2584" s="105" t="s">
        <v>2374</v>
      </c>
      <c r="F2584" s="190">
        <v>8</v>
      </c>
      <c r="G2584" s="190">
        <f>'HIRE CHARGES'!D528</f>
        <v>110.1</v>
      </c>
      <c r="H2584" s="190">
        <f>F2584*G2584</f>
        <v>880.8</v>
      </c>
    </row>
    <row r="2585" spans="1:8">
      <c r="A2585" s="26"/>
      <c r="B2585" s="275"/>
      <c r="C2585" s="139" t="s">
        <v>2379</v>
      </c>
      <c r="D2585" s="174"/>
      <c r="E2585" s="114" t="s">
        <v>2374</v>
      </c>
      <c r="F2585" s="182">
        <v>8</v>
      </c>
      <c r="G2585" s="182">
        <f>'HIRE CHARGES'!E528</f>
        <v>0</v>
      </c>
      <c r="H2585" s="190">
        <f>F2585*G2585</f>
        <v>0</v>
      </c>
    </row>
    <row r="2586" spans="1:8">
      <c r="A2586" s="26"/>
      <c r="B2586" s="176"/>
      <c r="C2586" s="174"/>
      <c r="D2586" s="174" t="s">
        <v>2380</v>
      </c>
      <c r="E2586" s="174"/>
      <c r="F2586" s="192"/>
      <c r="G2586" s="275" t="s">
        <v>1698</v>
      </c>
      <c r="H2586" s="318">
        <f>SUM(H2582:H2585)</f>
        <v>8523.1999999999989</v>
      </c>
    </row>
    <row r="2587" spans="1:8">
      <c r="A2587" s="26"/>
    </row>
    <row r="2588" spans="1:8">
      <c r="A2588" s="26"/>
      <c r="B2588" s="79" t="s">
        <v>2381</v>
      </c>
    </row>
    <row r="2589" spans="1:8">
      <c r="A2589" s="26"/>
      <c r="B2589" s="95" t="s">
        <v>2369</v>
      </c>
      <c r="C2589" s="157" t="s">
        <v>2378</v>
      </c>
      <c r="D2589" s="195"/>
      <c r="E2589" s="95" t="s">
        <v>2370</v>
      </c>
      <c r="F2589" s="95" t="s">
        <v>1166</v>
      </c>
      <c r="G2589" s="95" t="s">
        <v>2371</v>
      </c>
      <c r="H2589" s="95" t="s">
        <v>2372</v>
      </c>
    </row>
    <row r="2590" spans="1:8">
      <c r="A2590" s="26"/>
      <c r="B2590" s="114"/>
      <c r="C2590" s="154"/>
      <c r="D2590" s="192"/>
      <c r="E2590" s="105"/>
      <c r="F2590" s="114"/>
      <c r="G2590" s="114" t="s">
        <v>3485</v>
      </c>
      <c r="H2590" s="114" t="s">
        <v>3485</v>
      </c>
    </row>
    <row r="2591" spans="1:8">
      <c r="A2591" s="26"/>
      <c r="B2591" s="105">
        <v>1</v>
      </c>
      <c r="C2591" s="76" t="s">
        <v>4606</v>
      </c>
      <c r="D2591" s="31"/>
      <c r="E2591" s="95" t="s">
        <v>2374</v>
      </c>
      <c r="F2591" s="207">
        <v>8</v>
      </c>
      <c r="G2591" s="190">
        <f>'HIRE CHARGES'!F494</f>
        <v>210.9</v>
      </c>
      <c r="H2591" s="190">
        <f>F2591*G2591</f>
        <v>1687.2</v>
      </c>
    </row>
    <row r="2592" spans="1:8">
      <c r="A2592" s="26"/>
      <c r="B2592" s="105">
        <v>2</v>
      </c>
      <c r="C2592" s="76" t="s">
        <v>7090</v>
      </c>
      <c r="D2592" s="31"/>
      <c r="E2592" s="105" t="s">
        <v>2374</v>
      </c>
      <c r="F2592" s="207">
        <v>8</v>
      </c>
      <c r="G2592" s="190">
        <f>'HIRE CHARGES'!F528</f>
        <v>219.7</v>
      </c>
      <c r="H2592" s="190">
        <f>F2592*G2592</f>
        <v>1757.6</v>
      </c>
    </row>
    <row r="2593" spans="1:8">
      <c r="A2593" s="26"/>
      <c r="B2593" s="105">
        <v>3</v>
      </c>
      <c r="C2593" s="76" t="s">
        <v>2697</v>
      </c>
      <c r="D2593" s="31"/>
      <c r="E2593" s="105" t="s">
        <v>1172</v>
      </c>
      <c r="F2593" s="207">
        <v>15</v>
      </c>
      <c r="G2593" s="190">
        <f>'BASIC DATA'!C552</f>
        <v>350</v>
      </c>
      <c r="H2593" s="190">
        <f>F2593*G2593</f>
        <v>5250</v>
      </c>
    </row>
    <row r="2594" spans="1:8">
      <c r="A2594" s="26"/>
      <c r="B2594" s="176"/>
      <c r="C2594" s="174"/>
      <c r="D2594" s="174" t="s">
        <v>1174</v>
      </c>
      <c r="E2594" s="174"/>
      <c r="F2594" s="192"/>
      <c r="G2594" s="236" t="s">
        <v>1698</v>
      </c>
      <c r="H2594" s="318">
        <f>SUM(H2591:H2593)</f>
        <v>8694.7999999999993</v>
      </c>
    </row>
    <row r="2595" spans="1:8">
      <c r="A2595" s="26"/>
      <c r="B2595" s="60" t="s">
        <v>5948</v>
      </c>
      <c r="C2595" s="31"/>
      <c r="D2595" s="31"/>
      <c r="E2595" s="85">
        <f>ROUND(H2594/G2567,1)</f>
        <v>86.9</v>
      </c>
      <c r="G2595" s="31"/>
    </row>
    <row r="2596" spans="1:8">
      <c r="A2596" s="26"/>
      <c r="B2596" s="60" t="s">
        <v>3163</v>
      </c>
      <c r="C2596" s="31"/>
      <c r="D2596" s="31">
        <f>'BASIC DATA'!$C$577</f>
        <v>0.13614999999999999</v>
      </c>
      <c r="E2596" s="85">
        <f>ROUND(E2595*D2596,1)</f>
        <v>11.8</v>
      </c>
      <c r="G2596" s="31"/>
    </row>
    <row r="2597" spans="1:8">
      <c r="A2597" s="26"/>
      <c r="B2597" s="60" t="s">
        <v>5949</v>
      </c>
      <c r="C2597" s="31"/>
      <c r="D2597" s="31"/>
      <c r="E2597" s="739">
        <f>E2596+E2595</f>
        <v>98.7</v>
      </c>
      <c r="G2597" s="31"/>
    </row>
    <row r="2598" spans="1:8">
      <c r="A2598" s="26"/>
      <c r="B2598" s="26"/>
    </row>
    <row r="2599" spans="1:8">
      <c r="A2599" s="26"/>
      <c r="B2599" s="170" t="s">
        <v>1175</v>
      </c>
    </row>
    <row r="2600" spans="1:8">
      <c r="A2600" s="26"/>
      <c r="B2600" s="26" t="s">
        <v>1176</v>
      </c>
      <c r="F2600" s="171" t="s">
        <v>1698</v>
      </c>
      <c r="G2600" s="68">
        <f>H2577</f>
        <v>5805.8</v>
      </c>
    </row>
    <row r="2601" spans="1:8">
      <c r="A2601" s="26"/>
      <c r="B2601" s="26" t="s">
        <v>1186</v>
      </c>
      <c r="F2601" s="171" t="s">
        <v>1698</v>
      </c>
      <c r="G2601" s="68">
        <f>H2586</f>
        <v>8523.1999999999989</v>
      </c>
    </row>
    <row r="2602" spans="1:8">
      <c r="A2602" s="26"/>
      <c r="B2602" s="26" t="s">
        <v>2660</v>
      </c>
      <c r="F2602" s="171" t="s">
        <v>1698</v>
      </c>
      <c r="G2602" s="75">
        <f>H2594</f>
        <v>8694.7999999999993</v>
      </c>
    </row>
    <row r="2603" spans="1:8">
      <c r="A2603" s="26"/>
      <c r="E2603" s="26" t="s">
        <v>1518</v>
      </c>
      <c r="F2603" s="171" t="s">
        <v>1698</v>
      </c>
      <c r="G2603" s="205">
        <f>SUM(G2600:G2602)</f>
        <v>23023.8</v>
      </c>
    </row>
    <row r="2604" spans="1:8">
      <c r="A2604" s="26"/>
      <c r="B2604" s="26" t="s">
        <v>5087</v>
      </c>
      <c r="E2604" s="693">
        <f>'BASIC DATA'!C593</f>
        <v>0</v>
      </c>
      <c r="F2604" s="171" t="s">
        <v>1698</v>
      </c>
      <c r="G2604" s="68">
        <f>(G2602+G2601)*0.75*E2604</f>
        <v>0</v>
      </c>
    </row>
    <row r="2605" spans="1:8">
      <c r="A2605" s="26"/>
      <c r="B2605" s="26" t="s">
        <v>5084</v>
      </c>
      <c r="E2605" s="171" t="s">
        <v>1518</v>
      </c>
      <c r="F2605" s="171" t="s">
        <v>1698</v>
      </c>
      <c r="G2605" s="205">
        <f>G2604+G2603</f>
        <v>23023.8</v>
      </c>
    </row>
    <row r="2606" spans="1:8">
      <c r="A2606" s="26"/>
      <c r="B2606" s="26" t="s">
        <v>5086</v>
      </c>
      <c r="E2606" s="201">
        <f>'BASIC DATA'!C594</f>
        <v>0.03</v>
      </c>
      <c r="F2606" s="171" t="s">
        <v>1698</v>
      </c>
      <c r="G2606" s="75">
        <f>G2605*E2606</f>
        <v>690.71399999999994</v>
      </c>
    </row>
    <row r="2607" spans="1:8">
      <c r="A2607" s="26"/>
      <c r="B2607" s="26"/>
      <c r="F2607" s="171" t="s">
        <v>1698</v>
      </c>
      <c r="G2607" s="75">
        <f>G2606+G2605</f>
        <v>23714.513999999999</v>
      </c>
    </row>
    <row r="2608" spans="1:8">
      <c r="A2608" s="26"/>
      <c r="B2608" s="27" t="s">
        <v>4717</v>
      </c>
      <c r="C2608" s="27"/>
      <c r="E2608" s="249">
        <f>'BASIC DATA'!$C$577</f>
        <v>0.13614999999999999</v>
      </c>
      <c r="F2608" s="26" t="s">
        <v>1698</v>
      </c>
      <c r="G2608" s="26">
        <f>G2607*E2608</f>
        <v>3228.7310810999998</v>
      </c>
    </row>
    <row r="2609" spans="1:7">
      <c r="A2609" s="26"/>
      <c r="B2609" s="26" t="s">
        <v>1191</v>
      </c>
      <c r="D2609" s="68">
        <f>G2567</f>
        <v>100</v>
      </c>
      <c r="E2609" s="68" t="str">
        <f>H2567</f>
        <v>sqm</v>
      </c>
      <c r="F2609" s="26" t="s">
        <v>1698</v>
      </c>
      <c r="G2609" s="211">
        <f>G2608+G2607</f>
        <v>26943.245081099998</v>
      </c>
    </row>
    <row r="2610" spans="1:7">
      <c r="A2610" s="26"/>
      <c r="B2610" s="170" t="s">
        <v>1584</v>
      </c>
      <c r="C2610" s="211" t="str">
        <f>E2609</f>
        <v>sqm</v>
      </c>
      <c r="D2610" s="26" t="s">
        <v>4732</v>
      </c>
      <c r="F2610" s="26" t="s">
        <v>4108</v>
      </c>
      <c r="G2610" s="211">
        <f>ROUND(G2609/D2609,1)</f>
        <v>269.39999999999998</v>
      </c>
    </row>
    <row r="2611" spans="1:7">
      <c r="A2611" s="26"/>
    </row>
    <row r="2612" spans="1:7">
      <c r="A2612" s="26"/>
    </row>
    <row r="2613" spans="1:7">
      <c r="A2613" s="26" t="s">
        <v>9495</v>
      </c>
      <c r="B2613" s="804" t="s">
        <v>9473</v>
      </c>
    </row>
    <row r="2614" spans="1:7">
      <c r="A2614" s="26"/>
      <c r="B2614" s="785" t="s">
        <v>9474</v>
      </c>
    </row>
    <row r="2615" spans="1:7">
      <c r="A2615" s="26"/>
      <c r="B2615" s="27" t="s">
        <v>9476</v>
      </c>
    </row>
    <row r="2616" spans="1:7">
      <c r="A2616" s="26"/>
      <c r="B2616" s="27" t="s">
        <v>9477</v>
      </c>
    </row>
    <row r="2617" spans="1:7">
      <c r="A2617" s="26"/>
      <c r="B2617" s="27" t="s">
        <v>9475</v>
      </c>
    </row>
    <row r="2618" spans="1:7">
      <c r="A2618" s="26"/>
    </row>
    <row r="2619" spans="1:7">
      <c r="A2619" s="26" t="s">
        <v>9215</v>
      </c>
      <c r="C2619" s="325" t="s">
        <v>608</v>
      </c>
      <c r="E2619" s="26" t="s">
        <v>1434</v>
      </c>
      <c r="F2619" s="26">
        <v>100</v>
      </c>
      <c r="G2619" s="26" t="s">
        <v>9487</v>
      </c>
    </row>
    <row r="2620" spans="1:7">
      <c r="A2620" s="26" t="s">
        <v>9478</v>
      </c>
    </row>
    <row r="2621" spans="1:7">
      <c r="B2621" s="36" t="s">
        <v>7243</v>
      </c>
      <c r="C2621" s="36" t="s">
        <v>4443</v>
      </c>
      <c r="D2621" s="38" t="s">
        <v>2370</v>
      </c>
      <c r="E2621" s="38" t="s">
        <v>1166</v>
      </c>
      <c r="F2621" s="38" t="s">
        <v>6247</v>
      </c>
      <c r="G2621" s="38" t="s">
        <v>6248</v>
      </c>
    </row>
    <row r="2622" spans="1:7">
      <c r="A2622" s="26"/>
      <c r="B2622" s="36">
        <v>1</v>
      </c>
      <c r="C2622" s="38" t="s">
        <v>9479</v>
      </c>
      <c r="D2622" s="38" t="s">
        <v>3482</v>
      </c>
      <c r="E2622" s="36">
        <v>13</v>
      </c>
      <c r="F2622" s="82">
        <f>'BASIC DATA'!$D$168</f>
        <v>130</v>
      </c>
      <c r="G2622" s="36">
        <f t="shared" ref="G2622:G2628" si="11">E2622*F2622</f>
        <v>1690</v>
      </c>
    </row>
    <row r="2623" spans="1:7">
      <c r="A2623" s="26"/>
      <c r="B2623" s="36">
        <v>2</v>
      </c>
      <c r="C2623" s="38" t="s">
        <v>4758</v>
      </c>
      <c r="D2623" s="38" t="s">
        <v>3482</v>
      </c>
      <c r="E2623" s="36">
        <v>14</v>
      </c>
      <c r="F2623" s="82">
        <f>'BASIC DATA'!$D$185</f>
        <v>700</v>
      </c>
      <c r="G2623" s="36">
        <f t="shared" si="11"/>
        <v>9800</v>
      </c>
    </row>
    <row r="2624" spans="1:7">
      <c r="A2624" s="26"/>
      <c r="B2624" s="36">
        <v>3</v>
      </c>
      <c r="C2624" s="38" t="s">
        <v>9458</v>
      </c>
      <c r="D2624" s="38" t="s">
        <v>3482</v>
      </c>
      <c r="E2624" s="36">
        <f>E2623*10%</f>
        <v>1.4000000000000001</v>
      </c>
      <c r="F2624" s="82">
        <f>'BASIC DATA'!$D$818</f>
        <v>100</v>
      </c>
      <c r="G2624" s="36">
        <f t="shared" si="11"/>
        <v>140</v>
      </c>
    </row>
    <row r="2625" spans="1:7">
      <c r="A2625" s="26"/>
      <c r="B2625" s="36">
        <v>4</v>
      </c>
      <c r="C2625" s="38" t="s">
        <v>9480</v>
      </c>
      <c r="D2625" s="38" t="s">
        <v>3482</v>
      </c>
      <c r="E2625" s="36">
        <v>40</v>
      </c>
      <c r="F2625" s="36">
        <f>'BASIC DATA'!$D$169</f>
        <v>215</v>
      </c>
      <c r="G2625" s="36">
        <f t="shared" si="11"/>
        <v>8600</v>
      </c>
    </row>
    <row r="2626" spans="1:7">
      <c r="A2626" s="26"/>
      <c r="B2626" s="36">
        <v>5</v>
      </c>
      <c r="C2626" s="38" t="s">
        <v>9458</v>
      </c>
      <c r="D2626" s="38" t="s">
        <v>3482</v>
      </c>
      <c r="E2626" s="36">
        <f>E2625*10%</f>
        <v>4</v>
      </c>
      <c r="F2626" s="82">
        <f>'BASIC DATA'!$D$818</f>
        <v>100</v>
      </c>
      <c r="G2626" s="36">
        <f t="shared" si="11"/>
        <v>400</v>
      </c>
    </row>
    <row r="2627" spans="1:7">
      <c r="A2627" s="26"/>
      <c r="B2627" s="36">
        <v>6</v>
      </c>
      <c r="C2627" s="38" t="s">
        <v>9481</v>
      </c>
      <c r="D2627" s="38" t="s">
        <v>3482</v>
      </c>
      <c r="E2627" s="36">
        <v>2</v>
      </c>
      <c r="F2627" s="36">
        <f>'BASIC DATA'!$D$111</f>
        <v>41</v>
      </c>
      <c r="G2627" s="36">
        <f t="shared" si="11"/>
        <v>82</v>
      </c>
    </row>
    <row r="2628" spans="1:7" ht="36">
      <c r="A2628" s="26"/>
      <c r="B2628" s="36">
        <v>7</v>
      </c>
      <c r="C2628" s="42" t="s">
        <v>9482</v>
      </c>
      <c r="D2628" s="38" t="s">
        <v>2173</v>
      </c>
      <c r="E2628" s="36">
        <v>3</v>
      </c>
      <c r="F2628" s="36">
        <f>'BASIC DATA'!$D$359</f>
        <v>30</v>
      </c>
      <c r="G2628" s="36">
        <f t="shared" si="11"/>
        <v>90</v>
      </c>
    </row>
    <row r="2629" spans="1:7">
      <c r="A2629" s="26"/>
      <c r="B2629" s="36"/>
      <c r="C2629" s="38"/>
      <c r="D2629" s="38" t="s">
        <v>7954</v>
      </c>
      <c r="E2629" s="38"/>
      <c r="F2629" s="38"/>
      <c r="G2629" s="805">
        <f>SUM(G2622:G2628)</f>
        <v>20802</v>
      </c>
    </row>
    <row r="2630" spans="1:7">
      <c r="A2630" s="26"/>
    </row>
    <row r="2631" spans="1:7">
      <c r="A2631" s="26" t="s">
        <v>9483</v>
      </c>
    </row>
    <row r="2632" spans="1:7">
      <c r="A2632" s="26"/>
      <c r="B2632" s="36" t="s">
        <v>7243</v>
      </c>
      <c r="C2632" s="36" t="s">
        <v>4443</v>
      </c>
      <c r="D2632" s="38" t="s">
        <v>2370</v>
      </c>
      <c r="E2632" s="38" t="s">
        <v>1166</v>
      </c>
      <c r="F2632" s="38" t="s">
        <v>6247</v>
      </c>
      <c r="G2632" s="38" t="s">
        <v>6248</v>
      </c>
    </row>
    <row r="2633" spans="1:7">
      <c r="A2633" s="26"/>
      <c r="B2633" s="36"/>
      <c r="C2633" s="38" t="s">
        <v>6976</v>
      </c>
      <c r="D2633" s="38"/>
      <c r="E2633" s="36"/>
      <c r="F2633" s="82"/>
      <c r="G2633" s="36"/>
    </row>
    <row r="2634" spans="1:7">
      <c r="A2634" s="26"/>
      <c r="B2634" s="36"/>
      <c r="C2634" s="38"/>
      <c r="D2634" s="38" t="s">
        <v>9484</v>
      </c>
      <c r="E2634" s="38"/>
      <c r="F2634" s="38"/>
      <c r="G2634" s="805">
        <v>0</v>
      </c>
    </row>
    <row r="2635" spans="1:7">
      <c r="A2635" s="26"/>
    </row>
    <row r="2636" spans="1:7">
      <c r="A2636" s="26" t="s">
        <v>9485</v>
      </c>
    </row>
    <row r="2637" spans="1:7">
      <c r="A2637" s="26"/>
      <c r="B2637" s="36" t="s">
        <v>7243</v>
      </c>
      <c r="C2637" s="36" t="s">
        <v>4443</v>
      </c>
      <c r="D2637" s="38" t="s">
        <v>2370</v>
      </c>
      <c r="E2637" s="38" t="s">
        <v>1166</v>
      </c>
      <c r="F2637" s="38" t="s">
        <v>6247</v>
      </c>
      <c r="G2637" s="38" t="s">
        <v>6248</v>
      </c>
    </row>
    <row r="2638" spans="1:7">
      <c r="A2638" s="26"/>
      <c r="B2638" s="36">
        <v>1</v>
      </c>
      <c r="C2638" s="38" t="s">
        <v>2745</v>
      </c>
      <c r="D2638" s="38" t="s">
        <v>1172</v>
      </c>
      <c r="E2638" s="36">
        <v>20</v>
      </c>
      <c r="F2638" s="82">
        <f>'BASIC DATA'!$C$543</f>
        <v>400</v>
      </c>
      <c r="G2638" s="36">
        <f>E2638*F2638</f>
        <v>8000</v>
      </c>
    </row>
    <row r="2639" spans="1:7">
      <c r="A2639" s="26"/>
      <c r="B2639" s="36">
        <v>2</v>
      </c>
      <c r="C2639" s="38" t="s">
        <v>6199</v>
      </c>
      <c r="D2639" s="38" t="s">
        <v>1172</v>
      </c>
      <c r="E2639" s="36">
        <v>20</v>
      </c>
      <c r="F2639" s="82">
        <f>'BASIC DATA'!$C$552</f>
        <v>350</v>
      </c>
      <c r="G2639" s="36">
        <f>E2639*F2639</f>
        <v>7000</v>
      </c>
    </row>
    <row r="2640" spans="1:7">
      <c r="A2640" s="26"/>
      <c r="B2640" s="36"/>
      <c r="C2640" s="38"/>
      <c r="D2640" s="38" t="s">
        <v>9484</v>
      </c>
      <c r="E2640" s="38"/>
      <c r="F2640" s="38"/>
      <c r="G2640" s="805">
        <f>SUM(G2638:G2639)</f>
        <v>15000</v>
      </c>
    </row>
    <row r="2641" spans="1:6">
      <c r="A2641" s="26"/>
      <c r="B2641" s="27" t="s">
        <v>9486</v>
      </c>
      <c r="F2641" s="26">
        <f>G2640/F2619</f>
        <v>150</v>
      </c>
    </row>
    <row r="2642" spans="1:6">
      <c r="A2642" s="26"/>
      <c r="B2642" s="27" t="s">
        <v>9488</v>
      </c>
      <c r="E2642" s="201">
        <f>'BASIC DATA'!$C$577</f>
        <v>0.13614999999999999</v>
      </c>
      <c r="F2642" s="26">
        <f>F2641*E2642</f>
        <v>20.422499999999999</v>
      </c>
    </row>
    <row r="2643" spans="1:6">
      <c r="A2643" s="26"/>
      <c r="B2643" s="27" t="s">
        <v>9489</v>
      </c>
      <c r="F2643" s="170">
        <f>SUM(F2641:F2642)</f>
        <v>170.42250000000001</v>
      </c>
    </row>
    <row r="2644" spans="1:6">
      <c r="A2644" s="26"/>
      <c r="B2644" s="27"/>
      <c r="F2644" s="170"/>
    </row>
    <row r="2645" spans="1:6">
      <c r="A2645" s="26"/>
      <c r="B2645" s="79" t="s">
        <v>1175</v>
      </c>
      <c r="F2645" s="170"/>
    </row>
    <row r="2646" spans="1:6">
      <c r="A2646" s="26"/>
      <c r="B2646" s="79" t="s">
        <v>9490</v>
      </c>
      <c r="F2646" s="78">
        <f>G2629</f>
        <v>20802</v>
      </c>
    </row>
    <row r="2647" spans="1:6">
      <c r="A2647" s="26"/>
      <c r="B2647" s="79" t="s">
        <v>7003</v>
      </c>
      <c r="F2647" s="78">
        <f>G2634</f>
        <v>0</v>
      </c>
    </row>
    <row r="2648" spans="1:6">
      <c r="A2648" s="26"/>
      <c r="B2648" s="79" t="s">
        <v>2660</v>
      </c>
      <c r="F2648" s="78">
        <f>G2640</f>
        <v>15000</v>
      </c>
    </row>
    <row r="2649" spans="1:6">
      <c r="A2649" s="26"/>
      <c r="B2649" s="27"/>
      <c r="D2649" s="26" t="s">
        <v>1518</v>
      </c>
      <c r="F2649" s="325">
        <f>SUM(F2646:F2648)</f>
        <v>35802</v>
      </c>
    </row>
    <row r="2650" spans="1:6">
      <c r="A2650" s="26"/>
      <c r="B2650" s="27" t="s">
        <v>9491</v>
      </c>
      <c r="E2650" s="201">
        <f>'BASIC DATA'!$C$593</f>
        <v>0</v>
      </c>
      <c r="F2650" s="78">
        <f>F2649*E2650</f>
        <v>0</v>
      </c>
    </row>
    <row r="2651" spans="1:6">
      <c r="A2651" s="26"/>
      <c r="B2651" s="27"/>
      <c r="D2651" s="26" t="s">
        <v>1518</v>
      </c>
      <c r="F2651" s="325">
        <f>SUM(F2649:F2650)</f>
        <v>35802</v>
      </c>
    </row>
    <row r="2652" spans="1:6">
      <c r="A2652" s="26"/>
      <c r="B2652" s="27" t="s">
        <v>9492</v>
      </c>
      <c r="F2652" s="78">
        <f>F2651*3%</f>
        <v>1074.06</v>
      </c>
    </row>
    <row r="2653" spans="1:6">
      <c r="A2653" s="26"/>
      <c r="D2653" s="26" t="s">
        <v>1518</v>
      </c>
      <c r="F2653" s="325">
        <f>SUM(F2651:F2652)</f>
        <v>36876.06</v>
      </c>
    </row>
    <row r="2654" spans="1:6">
      <c r="A2654" s="26"/>
      <c r="B2654" s="27" t="s">
        <v>9493</v>
      </c>
      <c r="E2654" s="201">
        <f>'BASIC DATA'!$C$577</f>
        <v>0.13614999999999999</v>
      </c>
      <c r="F2654" s="78">
        <f>F2653*E2654</f>
        <v>5020.6755689999991</v>
      </c>
    </row>
    <row r="2655" spans="1:6">
      <c r="A2655" s="26"/>
      <c r="C2655" s="171" t="s">
        <v>9494</v>
      </c>
      <c r="D2655" s="26">
        <f>F2619</f>
        <v>100</v>
      </c>
      <c r="E2655" s="26" t="s">
        <v>5860</v>
      </c>
      <c r="F2655" s="26">
        <f>SUM(F2653:F2654)</f>
        <v>41896.735568999997</v>
      </c>
    </row>
    <row r="2656" spans="1:6">
      <c r="A2656" s="26"/>
      <c r="D2656" s="26" t="s">
        <v>7962</v>
      </c>
      <c r="F2656" s="170">
        <f>ROUND(F2655/D2655,1)</f>
        <v>419</v>
      </c>
    </row>
    <row r="2657" spans="1:8">
      <c r="A2657" s="26"/>
    </row>
    <row r="2658" spans="1:8" ht="18.75">
      <c r="A2658" s="78" t="s">
        <v>5514</v>
      </c>
      <c r="B2658" s="26" t="s">
        <v>9123</v>
      </c>
    </row>
    <row r="2659" spans="1:8">
      <c r="B2659" s="26" t="s">
        <v>8032</v>
      </c>
    </row>
    <row r="2660" spans="1:8">
      <c r="B2660" s="26" t="s">
        <v>4003</v>
      </c>
    </row>
    <row r="2661" spans="1:8" ht="18.75">
      <c r="B2661" s="170" t="s">
        <v>9124</v>
      </c>
    </row>
    <row r="2662" spans="1:8">
      <c r="B2662" s="26"/>
    </row>
    <row r="2663" spans="1:8" hidden="1">
      <c r="A2663" s="78" t="s">
        <v>3984</v>
      </c>
      <c r="B2663" s="26" t="s">
        <v>4004</v>
      </c>
    </row>
    <row r="2664" spans="1:8" hidden="1">
      <c r="B2664" s="26" t="s">
        <v>5780</v>
      </c>
    </row>
    <row r="2665" spans="1:8" hidden="1">
      <c r="B2665" s="26" t="s">
        <v>4005</v>
      </c>
      <c r="F2665" s="78" t="s">
        <v>1697</v>
      </c>
      <c r="G2665" s="26">
        <v>12</v>
      </c>
      <c r="H2665" s="26" t="s">
        <v>4934</v>
      </c>
    </row>
    <row r="2666" spans="1:8" s="61" customFormat="1" hidden="1">
      <c r="A2666" s="62"/>
      <c r="B2666" s="61" t="s">
        <v>6807</v>
      </c>
      <c r="F2666" s="62" t="s">
        <v>1697</v>
      </c>
      <c r="G2666" s="61">
        <v>17</v>
      </c>
      <c r="H2666" s="61" t="s">
        <v>6702</v>
      </c>
    </row>
    <row r="2667" spans="1:8" hidden="1">
      <c r="B2667" s="26" t="s">
        <v>5815</v>
      </c>
      <c r="F2667" s="78"/>
    </row>
    <row r="2668" spans="1:8" hidden="1">
      <c r="B2668" s="26" t="s">
        <v>2745</v>
      </c>
      <c r="F2668" s="78" t="s">
        <v>1697</v>
      </c>
      <c r="G2668" s="26">
        <v>10</v>
      </c>
      <c r="H2668" s="26" t="s">
        <v>4041</v>
      </c>
    </row>
    <row r="2669" spans="1:8" hidden="1">
      <c r="B2669" s="26" t="s">
        <v>5375</v>
      </c>
      <c r="F2669" s="78" t="s">
        <v>1697</v>
      </c>
      <c r="G2669" s="26">
        <v>5</v>
      </c>
      <c r="H2669" s="26" t="s">
        <v>4041</v>
      </c>
    </row>
    <row r="2670" spans="1:8">
      <c r="A2670" s="26"/>
    </row>
    <row r="2671" spans="1:8">
      <c r="A2671" s="26"/>
    </row>
    <row r="2672" spans="1:8">
      <c r="A2672" s="26" t="s">
        <v>9215</v>
      </c>
      <c r="C2672" s="203" t="s">
        <v>2367</v>
      </c>
      <c r="D2672" s="171"/>
      <c r="F2672" s="171" t="s">
        <v>297</v>
      </c>
      <c r="G2672" s="162">
        <v>100</v>
      </c>
      <c r="H2672" s="26" t="s">
        <v>3479</v>
      </c>
    </row>
    <row r="2673" spans="1:8">
      <c r="A2673" s="26"/>
      <c r="B2673" s="79" t="s">
        <v>2368</v>
      </c>
    </row>
    <row r="2674" spans="1:8">
      <c r="A2674" s="26"/>
      <c r="B2674" s="95" t="s">
        <v>2369</v>
      </c>
      <c r="C2674" s="157" t="s">
        <v>6374</v>
      </c>
      <c r="D2674" s="195"/>
      <c r="E2674" s="95" t="s">
        <v>2370</v>
      </c>
      <c r="F2674" s="95" t="s">
        <v>1166</v>
      </c>
      <c r="G2674" s="95" t="s">
        <v>2371</v>
      </c>
      <c r="H2674" s="95" t="s">
        <v>2372</v>
      </c>
    </row>
    <row r="2675" spans="1:8">
      <c r="A2675" s="26"/>
      <c r="B2675" s="114"/>
      <c r="C2675" s="154"/>
      <c r="D2675" s="192"/>
      <c r="E2675" s="114"/>
      <c r="F2675" s="114"/>
      <c r="G2675" s="114" t="s">
        <v>3485</v>
      </c>
      <c r="H2675" s="114" t="s">
        <v>3485</v>
      </c>
    </row>
    <row r="2676" spans="1:8">
      <c r="A2676" s="26"/>
      <c r="B2676" s="105">
        <v>1</v>
      </c>
      <c r="C2676" s="135" t="s">
        <v>5093</v>
      </c>
      <c r="E2676" s="105" t="s">
        <v>3482</v>
      </c>
      <c r="F2676" s="190">
        <v>17</v>
      </c>
      <c r="G2676" s="214">
        <f>'BASIC DATA'!D112</f>
        <v>235</v>
      </c>
      <c r="H2676" s="190">
        <f>F2676*G2676</f>
        <v>3995</v>
      </c>
    </row>
    <row r="2677" spans="1:8">
      <c r="A2677" s="26"/>
      <c r="B2677" s="114">
        <v>2</v>
      </c>
      <c r="C2677" s="135" t="s">
        <v>2373</v>
      </c>
      <c r="D2677" s="31"/>
      <c r="E2677" s="105" t="s">
        <v>2173</v>
      </c>
      <c r="F2677" s="190">
        <v>2</v>
      </c>
      <c r="G2677" s="214">
        <f>'BASIC DATA'!D359</f>
        <v>30</v>
      </c>
      <c r="H2677" s="190">
        <f>F2677*G2677</f>
        <v>60</v>
      </c>
    </row>
    <row r="2678" spans="1:8">
      <c r="A2678" s="26"/>
      <c r="B2678" s="93"/>
      <c r="C2678" s="187"/>
      <c r="D2678" s="187"/>
      <c r="E2678" s="187"/>
      <c r="F2678" s="331" t="s">
        <v>2375</v>
      </c>
      <c r="G2678" s="332" t="s">
        <v>1698</v>
      </c>
      <c r="H2678" s="179">
        <f>SUM(H2676:H2677)</f>
        <v>4055</v>
      </c>
    </row>
    <row r="2679" spans="1:8" s="61" customFormat="1">
      <c r="B2679" s="444"/>
      <c r="C2679" s="60" t="s">
        <v>2748</v>
      </c>
      <c r="D2679" s="60"/>
      <c r="E2679" s="60"/>
      <c r="F2679" s="522">
        <v>0.1</v>
      </c>
      <c r="G2679" s="678" t="s">
        <v>1698</v>
      </c>
      <c r="H2679" s="255">
        <f>F2679*$H$2678</f>
        <v>405.5</v>
      </c>
    </row>
    <row r="2680" spans="1:8">
      <c r="A2680" s="26"/>
      <c r="B2680" s="92"/>
      <c r="C2680" s="159"/>
      <c r="D2680" s="159" t="s">
        <v>2376</v>
      </c>
      <c r="E2680" s="159"/>
      <c r="F2680" s="238"/>
      <c r="G2680" s="236" t="s">
        <v>1698</v>
      </c>
      <c r="H2680" s="318">
        <f>SUM(H2678:H2679)</f>
        <v>4460.5</v>
      </c>
    </row>
    <row r="2681" spans="1:8">
      <c r="A2681" s="26"/>
    </row>
    <row r="2682" spans="1:8">
      <c r="A2682" s="26"/>
      <c r="B2682" s="79" t="s">
        <v>2377</v>
      </c>
    </row>
    <row r="2683" spans="1:8">
      <c r="A2683" s="26"/>
      <c r="B2683" s="95" t="s">
        <v>2369</v>
      </c>
      <c r="C2683" s="157" t="s">
        <v>2378</v>
      </c>
      <c r="D2683" s="195"/>
      <c r="E2683" s="95" t="s">
        <v>2370</v>
      </c>
      <c r="F2683" s="95" t="s">
        <v>1166</v>
      </c>
      <c r="G2683" s="95" t="s">
        <v>2371</v>
      </c>
      <c r="H2683" s="95" t="s">
        <v>2372</v>
      </c>
    </row>
    <row r="2684" spans="1:8">
      <c r="A2684" s="26"/>
      <c r="B2684" s="114"/>
      <c r="C2684" s="154"/>
      <c r="D2684" s="192"/>
      <c r="E2684" s="114"/>
      <c r="F2684" s="114"/>
      <c r="G2684" s="114" t="s">
        <v>3485</v>
      </c>
      <c r="H2684" s="114" t="s">
        <v>3485</v>
      </c>
    </row>
    <row r="2685" spans="1:8">
      <c r="A2685" s="26"/>
      <c r="B2685" s="95">
        <v>1</v>
      </c>
      <c r="C2685" s="93" t="s">
        <v>6976</v>
      </c>
      <c r="E2685" s="95"/>
      <c r="F2685" s="190">
        <v>0</v>
      </c>
      <c r="G2685" s="190">
        <v>0</v>
      </c>
      <c r="H2685" s="190">
        <f>F2685*G2685</f>
        <v>0</v>
      </c>
    </row>
    <row r="2686" spans="1:8">
      <c r="A2686" s="26"/>
      <c r="B2686" s="275"/>
      <c r="C2686" s="139"/>
      <c r="D2686" s="174"/>
      <c r="E2686" s="114"/>
      <c r="F2686" s="182">
        <v>0</v>
      </c>
      <c r="G2686" s="190">
        <v>0</v>
      </c>
      <c r="H2686" s="190">
        <f>F2686*G2686</f>
        <v>0</v>
      </c>
    </row>
    <row r="2687" spans="1:8">
      <c r="A2687" s="26"/>
      <c r="B2687" s="176"/>
      <c r="C2687" s="174"/>
      <c r="D2687" s="174" t="s">
        <v>2380</v>
      </c>
      <c r="E2687" s="174"/>
      <c r="F2687" s="192"/>
      <c r="G2687" s="236" t="s">
        <v>1698</v>
      </c>
      <c r="H2687" s="318">
        <f>SUM(H2685:H2686)</f>
        <v>0</v>
      </c>
    </row>
    <row r="2688" spans="1:8">
      <c r="A2688" s="26"/>
    </row>
    <row r="2689" spans="1:8">
      <c r="A2689" s="26"/>
      <c r="B2689" s="79" t="s">
        <v>2381</v>
      </c>
    </row>
    <row r="2690" spans="1:8">
      <c r="A2690" s="26"/>
      <c r="B2690" s="95" t="s">
        <v>2369</v>
      </c>
      <c r="C2690" s="157" t="s">
        <v>2378</v>
      </c>
      <c r="D2690" s="195"/>
      <c r="E2690" s="95" t="s">
        <v>2370</v>
      </c>
      <c r="F2690" s="95" t="s">
        <v>1166</v>
      </c>
      <c r="G2690" s="95" t="s">
        <v>2371</v>
      </c>
      <c r="H2690" s="95" t="s">
        <v>2372</v>
      </c>
    </row>
    <row r="2691" spans="1:8">
      <c r="A2691" s="26"/>
      <c r="B2691" s="114"/>
      <c r="C2691" s="154"/>
      <c r="D2691" s="192"/>
      <c r="E2691" s="105"/>
      <c r="F2691" s="114"/>
      <c r="G2691" s="114" t="s">
        <v>3485</v>
      </c>
      <c r="H2691" s="114" t="s">
        <v>3485</v>
      </c>
    </row>
    <row r="2692" spans="1:8">
      <c r="A2692" s="26"/>
      <c r="B2692" s="105">
        <v>1</v>
      </c>
      <c r="C2692" s="76" t="s">
        <v>2745</v>
      </c>
      <c r="D2692" s="31"/>
      <c r="E2692" s="95" t="s">
        <v>1172</v>
      </c>
      <c r="F2692" s="207">
        <v>10</v>
      </c>
      <c r="G2692" s="190">
        <f>'BASIC DATA'!C543</f>
        <v>400</v>
      </c>
      <c r="H2692" s="190">
        <f>F2692*G2692</f>
        <v>4000</v>
      </c>
    </row>
    <row r="2693" spans="1:8">
      <c r="A2693" s="26"/>
      <c r="B2693" s="114">
        <v>2</v>
      </c>
      <c r="C2693" s="89" t="s">
        <v>2697</v>
      </c>
      <c r="D2693" s="174"/>
      <c r="E2693" s="114" t="s">
        <v>1172</v>
      </c>
      <c r="F2693" s="181">
        <v>5</v>
      </c>
      <c r="G2693" s="182">
        <f>'BASIC DATA'!C552</f>
        <v>350</v>
      </c>
      <c r="H2693" s="190">
        <f>F2693*G2693</f>
        <v>1750</v>
      </c>
    </row>
    <row r="2694" spans="1:8">
      <c r="A2694" s="26"/>
      <c r="B2694" s="176"/>
      <c r="C2694" s="174"/>
      <c r="D2694" s="174" t="s">
        <v>1174</v>
      </c>
      <c r="E2694" s="174"/>
      <c r="F2694" s="192"/>
      <c r="G2694" s="275" t="s">
        <v>1698</v>
      </c>
      <c r="H2694" s="318">
        <f>SUM(H2692:H2693)</f>
        <v>5750</v>
      </c>
    </row>
    <row r="2695" spans="1:8">
      <c r="A2695" s="26"/>
      <c r="B2695" s="60" t="s">
        <v>5948</v>
      </c>
      <c r="C2695" s="31"/>
      <c r="D2695" s="31"/>
      <c r="E2695" s="85">
        <f>ROUND(H2694/G2672,1)</f>
        <v>57.5</v>
      </c>
      <c r="G2695" s="31"/>
    </row>
    <row r="2696" spans="1:8">
      <c r="A2696" s="26"/>
      <c r="B2696" s="60" t="s">
        <v>3163</v>
      </c>
      <c r="C2696" s="31"/>
      <c r="D2696" s="31">
        <f>'BASIC DATA'!$C$577</f>
        <v>0.13614999999999999</v>
      </c>
      <c r="E2696" s="85">
        <f>ROUND(E2695*D2696,1)</f>
        <v>7.8</v>
      </c>
      <c r="G2696" s="31"/>
    </row>
    <row r="2697" spans="1:8">
      <c r="A2697" s="26"/>
      <c r="B2697" s="60" t="s">
        <v>5949</v>
      </c>
      <c r="C2697" s="31"/>
      <c r="D2697" s="31"/>
      <c r="E2697" s="739">
        <f>E2696+E2695</f>
        <v>65.3</v>
      </c>
      <c r="G2697" s="31"/>
    </row>
    <row r="2698" spans="1:8">
      <c r="A2698" s="26"/>
      <c r="B2698" s="26"/>
    </row>
    <row r="2699" spans="1:8">
      <c r="A2699" s="26"/>
      <c r="B2699" s="170" t="s">
        <v>1175</v>
      </c>
    </row>
    <row r="2700" spans="1:8">
      <c r="A2700" s="26"/>
      <c r="B2700" s="26" t="s">
        <v>1176</v>
      </c>
      <c r="F2700" s="171" t="s">
        <v>1698</v>
      </c>
      <c r="G2700" s="68">
        <f>H2680</f>
        <v>4460.5</v>
      </c>
    </row>
    <row r="2701" spans="1:8">
      <c r="A2701" s="26"/>
      <c r="B2701" s="26" t="s">
        <v>1186</v>
      </c>
      <c r="F2701" s="171" t="s">
        <v>1698</v>
      </c>
      <c r="G2701" s="68">
        <f>H2687</f>
        <v>0</v>
      </c>
    </row>
    <row r="2702" spans="1:8">
      <c r="A2702" s="26"/>
      <c r="B2702" s="26" t="s">
        <v>2660</v>
      </c>
      <c r="F2702" s="171" t="s">
        <v>1698</v>
      </c>
      <c r="G2702" s="75">
        <f>H2694</f>
        <v>5750</v>
      </c>
    </row>
    <row r="2703" spans="1:8">
      <c r="A2703" s="26"/>
      <c r="E2703" s="26" t="s">
        <v>1518</v>
      </c>
      <c r="F2703" s="171" t="s">
        <v>1698</v>
      </c>
      <c r="G2703" s="205">
        <f>SUM(G2700:G2702)</f>
        <v>10210.5</v>
      </c>
    </row>
    <row r="2704" spans="1:8" ht="35.25" customHeight="1">
      <c r="A2704" s="26"/>
      <c r="B2704" s="1207" t="s">
        <v>1379</v>
      </c>
      <c r="C2704" s="1207"/>
      <c r="E2704" s="249">
        <f>'BASIC DATA'!$C$577</f>
        <v>0.13614999999999999</v>
      </c>
      <c r="F2704" s="26" t="s">
        <v>1698</v>
      </c>
      <c r="G2704" s="26">
        <f>G2703*E2704</f>
        <v>1390.1595749999999</v>
      </c>
    </row>
    <row r="2705" spans="1:8">
      <c r="A2705" s="26"/>
      <c r="B2705" s="26" t="s">
        <v>1191</v>
      </c>
      <c r="D2705" s="68">
        <f>G2672</f>
        <v>100</v>
      </c>
      <c r="E2705" s="68" t="str">
        <f>H2672</f>
        <v>sqm</v>
      </c>
      <c r="F2705" s="26" t="s">
        <v>1698</v>
      </c>
      <c r="G2705" s="211">
        <f>G2704+G2703</f>
        <v>11600.659575</v>
      </c>
    </row>
    <row r="2706" spans="1:8">
      <c r="A2706" s="26"/>
      <c r="B2706" s="170" t="s">
        <v>1584</v>
      </c>
      <c r="C2706" s="211" t="str">
        <f>E2705</f>
        <v>sqm</v>
      </c>
      <c r="D2706" s="26" t="s">
        <v>5882</v>
      </c>
      <c r="F2706" s="26" t="s">
        <v>4108</v>
      </c>
      <c r="G2706" s="211">
        <f>ROUND(G2705/D2705,1)</f>
        <v>116</v>
      </c>
    </row>
    <row r="2707" spans="1:8">
      <c r="A2707" s="26"/>
    </row>
    <row r="2708" spans="1:8">
      <c r="A2708" s="26"/>
    </row>
    <row r="2709" spans="1:8" ht="18.75">
      <c r="A2709" s="78" t="s">
        <v>5515</v>
      </c>
      <c r="B2709" s="170" t="s">
        <v>9125</v>
      </c>
    </row>
    <row r="2710" spans="1:8" ht="18.75">
      <c r="B2710" s="26" t="s">
        <v>9126</v>
      </c>
    </row>
    <row r="2711" spans="1:8" ht="18.75">
      <c r="B2711" s="26" t="s">
        <v>9127</v>
      </c>
    </row>
    <row r="2712" spans="1:8">
      <c r="B2712" s="170" t="s">
        <v>5094</v>
      </c>
    </row>
    <row r="2713" spans="1:8">
      <c r="B2713" s="26"/>
    </row>
    <row r="2714" spans="1:8" hidden="1">
      <c r="A2714" s="78" t="s">
        <v>3984</v>
      </c>
      <c r="B2714" s="26" t="s">
        <v>4004</v>
      </c>
    </row>
    <row r="2715" spans="1:8" hidden="1">
      <c r="B2715" s="26" t="s">
        <v>5780</v>
      </c>
    </row>
    <row r="2716" spans="1:8" hidden="1">
      <c r="B2716" s="26" t="s">
        <v>4005</v>
      </c>
      <c r="F2716" s="78" t="s">
        <v>1697</v>
      </c>
      <c r="G2716" s="26">
        <v>6</v>
      </c>
      <c r="H2716" s="26" t="s">
        <v>4934</v>
      </c>
    </row>
    <row r="2717" spans="1:8" s="61" customFormat="1" hidden="1">
      <c r="A2717" s="62"/>
      <c r="B2717" s="61" t="s">
        <v>5095</v>
      </c>
      <c r="F2717" s="62" t="s">
        <v>1697</v>
      </c>
      <c r="G2717" s="223">
        <v>34</v>
      </c>
      <c r="H2717" s="61" t="s">
        <v>6702</v>
      </c>
    </row>
    <row r="2718" spans="1:8" hidden="1">
      <c r="B2718" s="26" t="s">
        <v>5815</v>
      </c>
      <c r="F2718" s="78"/>
    </row>
    <row r="2719" spans="1:8" hidden="1">
      <c r="B2719" s="26" t="s">
        <v>2745</v>
      </c>
      <c r="F2719" s="78" t="s">
        <v>1697</v>
      </c>
      <c r="G2719" s="26">
        <v>13</v>
      </c>
      <c r="H2719" s="26" t="s">
        <v>4041</v>
      </c>
    </row>
    <row r="2720" spans="1:8" hidden="1">
      <c r="B2720" s="26" t="s">
        <v>2697</v>
      </c>
      <c r="F2720" s="78" t="s">
        <v>1697</v>
      </c>
      <c r="G2720" s="26">
        <v>6</v>
      </c>
      <c r="H2720" s="26" t="s">
        <v>4041</v>
      </c>
    </row>
    <row r="2721" spans="1:8">
      <c r="A2721" s="26"/>
    </row>
    <row r="2722" spans="1:8">
      <c r="A2722" s="26" t="s">
        <v>9215</v>
      </c>
      <c r="C2722" s="203" t="s">
        <v>2367</v>
      </c>
      <c r="D2722" s="171"/>
      <c r="F2722" s="171" t="s">
        <v>297</v>
      </c>
      <c r="G2722" s="162">
        <v>100</v>
      </c>
      <c r="H2722" s="26" t="s">
        <v>3479</v>
      </c>
    </row>
    <row r="2723" spans="1:8">
      <c r="A2723" s="26"/>
      <c r="B2723" s="79" t="s">
        <v>2368</v>
      </c>
    </row>
    <row r="2724" spans="1:8">
      <c r="A2724" s="26"/>
      <c r="B2724" s="95" t="s">
        <v>2369</v>
      </c>
      <c r="C2724" s="157" t="s">
        <v>6374</v>
      </c>
      <c r="D2724" s="195"/>
      <c r="E2724" s="95" t="s">
        <v>2370</v>
      </c>
      <c r="F2724" s="95" t="s">
        <v>1166</v>
      </c>
      <c r="G2724" s="95" t="s">
        <v>2371</v>
      </c>
      <c r="H2724" s="95" t="s">
        <v>2372</v>
      </c>
    </row>
    <row r="2725" spans="1:8">
      <c r="A2725" s="26"/>
      <c r="B2725" s="114"/>
      <c r="C2725" s="154"/>
      <c r="D2725" s="192"/>
      <c r="E2725" s="114"/>
      <c r="F2725" s="114"/>
      <c r="G2725" s="114" t="s">
        <v>3485</v>
      </c>
      <c r="H2725" s="114" t="s">
        <v>3485</v>
      </c>
    </row>
    <row r="2726" spans="1:8">
      <c r="A2726" s="26"/>
      <c r="B2726" s="105">
        <v>1</v>
      </c>
      <c r="C2726" s="135" t="s">
        <v>12</v>
      </c>
      <c r="E2726" s="105" t="s">
        <v>3482</v>
      </c>
      <c r="F2726" s="190">
        <v>34</v>
      </c>
      <c r="G2726" s="214">
        <f>'BASIC DATA'!D169</f>
        <v>215</v>
      </c>
      <c r="H2726" s="190">
        <f>F2726*G2726</f>
        <v>7310</v>
      </c>
    </row>
    <row r="2727" spans="1:8">
      <c r="A2727" s="26"/>
      <c r="B2727" s="114">
        <v>2</v>
      </c>
      <c r="C2727" s="135" t="s">
        <v>5096</v>
      </c>
      <c r="D2727" s="31"/>
      <c r="E2727" s="105" t="s">
        <v>2173</v>
      </c>
      <c r="F2727" s="190">
        <v>4</v>
      </c>
      <c r="G2727" s="214">
        <f>'BASIC DATA'!D359</f>
        <v>30</v>
      </c>
      <c r="H2727" s="190">
        <f>F2727*G2727</f>
        <v>120</v>
      </c>
    </row>
    <row r="2728" spans="1:8">
      <c r="A2728" s="26"/>
      <c r="B2728" s="93"/>
      <c r="C2728" s="187"/>
      <c r="D2728" s="187"/>
      <c r="E2728" s="187"/>
      <c r="F2728" s="331" t="s">
        <v>2375</v>
      </c>
      <c r="G2728" s="332" t="s">
        <v>1698</v>
      </c>
      <c r="H2728" s="179">
        <f>SUM(H2726:H2727)</f>
        <v>7430</v>
      </c>
    </row>
    <row r="2729" spans="1:8" s="61" customFormat="1">
      <c r="B2729" s="444"/>
      <c r="C2729" s="60" t="s">
        <v>2748</v>
      </c>
      <c r="D2729" s="60"/>
      <c r="E2729" s="60"/>
      <c r="F2729" s="522">
        <v>0.1</v>
      </c>
      <c r="G2729" s="678" t="s">
        <v>1698</v>
      </c>
      <c r="H2729" s="255">
        <f>F2729*$H$2728</f>
        <v>743</v>
      </c>
    </row>
    <row r="2730" spans="1:8">
      <c r="A2730" s="26"/>
      <c r="B2730" s="92"/>
      <c r="C2730" s="159"/>
      <c r="D2730" s="159" t="s">
        <v>2376</v>
      </c>
      <c r="E2730" s="159"/>
      <c r="F2730" s="238"/>
      <c r="G2730" s="236" t="s">
        <v>1698</v>
      </c>
      <c r="H2730" s="318">
        <f>SUM(H2728:H2729)</f>
        <v>8173</v>
      </c>
    </row>
    <row r="2731" spans="1:8">
      <c r="A2731" s="26"/>
    </row>
    <row r="2732" spans="1:8">
      <c r="A2732" s="26"/>
      <c r="B2732" s="79" t="s">
        <v>2377</v>
      </c>
    </row>
    <row r="2733" spans="1:8">
      <c r="A2733" s="26"/>
      <c r="B2733" s="95" t="s">
        <v>2369</v>
      </c>
      <c r="C2733" s="157" t="s">
        <v>2378</v>
      </c>
      <c r="D2733" s="195"/>
      <c r="E2733" s="95" t="s">
        <v>2370</v>
      </c>
      <c r="F2733" s="95" t="s">
        <v>1166</v>
      </c>
      <c r="G2733" s="95" t="s">
        <v>2371</v>
      </c>
      <c r="H2733" s="95" t="s">
        <v>2372</v>
      </c>
    </row>
    <row r="2734" spans="1:8">
      <c r="A2734" s="26"/>
      <c r="B2734" s="114"/>
      <c r="C2734" s="154"/>
      <c r="D2734" s="192"/>
      <c r="E2734" s="114"/>
      <c r="F2734" s="114"/>
      <c r="G2734" s="114" t="s">
        <v>3485</v>
      </c>
      <c r="H2734" s="114" t="s">
        <v>3485</v>
      </c>
    </row>
    <row r="2735" spans="1:8">
      <c r="A2735" s="26"/>
      <c r="B2735" s="95">
        <v>1</v>
      </c>
      <c r="C2735" s="93" t="s">
        <v>6976</v>
      </c>
      <c r="E2735" s="95"/>
      <c r="F2735" s="190">
        <v>0</v>
      </c>
      <c r="G2735" s="190">
        <v>0</v>
      </c>
      <c r="H2735" s="190">
        <f>F2735*G2735</f>
        <v>0</v>
      </c>
    </row>
    <row r="2736" spans="1:8">
      <c r="A2736" s="26"/>
      <c r="B2736" s="275"/>
      <c r="C2736" s="139"/>
      <c r="D2736" s="174"/>
      <c r="E2736" s="114"/>
      <c r="F2736" s="182">
        <v>0</v>
      </c>
      <c r="G2736" s="182">
        <v>0</v>
      </c>
      <c r="H2736" s="190">
        <f>F2736*G2736</f>
        <v>0</v>
      </c>
    </row>
    <row r="2737" spans="1:8">
      <c r="A2737" s="26"/>
      <c r="B2737" s="176"/>
      <c r="C2737" s="174"/>
      <c r="D2737" s="174" t="s">
        <v>2380</v>
      </c>
      <c r="E2737" s="174"/>
      <c r="F2737" s="192"/>
      <c r="G2737" s="275" t="s">
        <v>1698</v>
      </c>
      <c r="H2737" s="318">
        <f>SUM(H2735:H2736)</f>
        <v>0</v>
      </c>
    </row>
    <row r="2738" spans="1:8">
      <c r="A2738" s="26"/>
    </row>
    <row r="2739" spans="1:8">
      <c r="A2739" s="26"/>
      <c r="B2739" s="79" t="s">
        <v>2381</v>
      </c>
    </row>
    <row r="2740" spans="1:8">
      <c r="A2740" s="26"/>
      <c r="B2740" s="95" t="s">
        <v>2369</v>
      </c>
      <c r="C2740" s="157" t="s">
        <v>2378</v>
      </c>
      <c r="D2740" s="195"/>
      <c r="E2740" s="95" t="s">
        <v>2370</v>
      </c>
      <c r="F2740" s="95" t="s">
        <v>1166</v>
      </c>
      <c r="G2740" s="95" t="s">
        <v>2371</v>
      </c>
      <c r="H2740" s="95" t="s">
        <v>2372</v>
      </c>
    </row>
    <row r="2741" spans="1:8">
      <c r="A2741" s="26"/>
      <c r="B2741" s="114"/>
      <c r="C2741" s="154"/>
      <c r="D2741" s="192"/>
      <c r="E2741" s="105"/>
      <c r="F2741" s="114"/>
      <c r="G2741" s="114" t="s">
        <v>3485</v>
      </c>
      <c r="H2741" s="114" t="s">
        <v>3485</v>
      </c>
    </row>
    <row r="2742" spans="1:8">
      <c r="A2742" s="26"/>
      <c r="B2742" s="105">
        <v>1</v>
      </c>
      <c r="C2742" s="76" t="s">
        <v>2745</v>
      </c>
      <c r="D2742" s="31"/>
      <c r="E2742" s="95" t="s">
        <v>1172</v>
      </c>
      <c r="F2742" s="207">
        <v>13</v>
      </c>
      <c r="G2742" s="190">
        <f>'BASIC DATA'!C543</f>
        <v>400</v>
      </c>
      <c r="H2742" s="190">
        <f>F2742*G2742</f>
        <v>5200</v>
      </c>
    </row>
    <row r="2743" spans="1:8">
      <c r="A2743" s="26"/>
      <c r="B2743" s="105">
        <v>2</v>
      </c>
      <c r="C2743" s="76" t="s">
        <v>2697</v>
      </c>
      <c r="D2743" s="31"/>
      <c r="E2743" s="105" t="s">
        <v>1172</v>
      </c>
      <c r="F2743" s="207">
        <v>6</v>
      </c>
      <c r="G2743" s="190">
        <f>'BASIC DATA'!C552</f>
        <v>350</v>
      </c>
      <c r="H2743" s="190">
        <f>F2743*G2743</f>
        <v>2100</v>
      </c>
    </row>
    <row r="2744" spans="1:8">
      <c r="A2744" s="26"/>
      <c r="B2744" s="176"/>
      <c r="C2744" s="174"/>
      <c r="D2744" s="174" t="s">
        <v>1174</v>
      </c>
      <c r="E2744" s="174"/>
      <c r="F2744" s="192"/>
      <c r="G2744" s="236" t="s">
        <v>1698</v>
      </c>
      <c r="H2744" s="318">
        <f>SUM(H2742:H2743)</f>
        <v>7300</v>
      </c>
    </row>
    <row r="2745" spans="1:8">
      <c r="A2745" s="26"/>
      <c r="B2745" s="60" t="s">
        <v>5948</v>
      </c>
      <c r="C2745" s="31"/>
      <c r="D2745" s="31"/>
      <c r="E2745" s="85">
        <f>ROUND(H2744/G2722,1)</f>
        <v>73</v>
      </c>
      <c r="G2745" s="31"/>
    </row>
    <row r="2746" spans="1:8">
      <c r="A2746" s="26"/>
      <c r="B2746" s="60" t="s">
        <v>3163</v>
      </c>
      <c r="C2746" s="31"/>
      <c r="D2746" s="31">
        <f>'BASIC DATA'!$C$577</f>
        <v>0.13614999999999999</v>
      </c>
      <c r="E2746" s="85">
        <f>ROUND(E2745*D2746,1)</f>
        <v>9.9</v>
      </c>
      <c r="G2746" s="31"/>
    </row>
    <row r="2747" spans="1:8">
      <c r="A2747" s="26"/>
      <c r="B2747" s="60" t="s">
        <v>5949</v>
      </c>
      <c r="C2747" s="31"/>
      <c r="D2747" s="31"/>
      <c r="E2747" s="739">
        <f>E2746+E2745</f>
        <v>82.9</v>
      </c>
      <c r="G2747" s="31"/>
    </row>
    <row r="2748" spans="1:8">
      <c r="A2748" s="26"/>
      <c r="B2748" s="26"/>
    </row>
    <row r="2749" spans="1:8">
      <c r="A2749" s="26"/>
      <c r="B2749" s="170" t="s">
        <v>1175</v>
      </c>
    </row>
    <row r="2750" spans="1:8">
      <c r="A2750" s="26"/>
      <c r="B2750" s="26" t="s">
        <v>4</v>
      </c>
      <c r="F2750" s="171" t="s">
        <v>1698</v>
      </c>
      <c r="G2750" s="68">
        <f>H2730</f>
        <v>8173</v>
      </c>
    </row>
    <row r="2751" spans="1:8">
      <c r="A2751" s="26"/>
      <c r="B2751" s="26" t="s">
        <v>1186</v>
      </c>
      <c r="F2751" s="171" t="s">
        <v>1698</v>
      </c>
      <c r="G2751" s="68">
        <f>H2737</f>
        <v>0</v>
      </c>
    </row>
    <row r="2752" spans="1:8">
      <c r="A2752" s="26"/>
      <c r="B2752" s="26" t="s">
        <v>2660</v>
      </c>
      <c r="F2752" s="171" t="s">
        <v>1698</v>
      </c>
      <c r="G2752" s="75">
        <f>H2744</f>
        <v>7300</v>
      </c>
    </row>
    <row r="2753" spans="1:8">
      <c r="A2753" s="26"/>
      <c r="E2753" s="26" t="s">
        <v>1518</v>
      </c>
      <c r="F2753" s="171" t="s">
        <v>1698</v>
      </c>
      <c r="G2753" s="205">
        <f>SUM(G2750:G2752)</f>
        <v>15473</v>
      </c>
    </row>
    <row r="2754" spans="1:8" ht="36" customHeight="1">
      <c r="A2754" s="26"/>
      <c r="B2754" s="1207" t="s">
        <v>1379</v>
      </c>
      <c r="C2754" s="1207"/>
      <c r="E2754" s="249">
        <f>'BASIC DATA'!$C$577</f>
        <v>0.13614999999999999</v>
      </c>
      <c r="F2754" s="26" t="s">
        <v>1698</v>
      </c>
      <c r="G2754" s="26">
        <f>G2753*E2754</f>
        <v>2106.6489499999998</v>
      </c>
    </row>
    <row r="2755" spans="1:8">
      <c r="A2755" s="26"/>
      <c r="B2755" s="26" t="s">
        <v>1191</v>
      </c>
      <c r="D2755" s="68">
        <f>G2722</f>
        <v>100</v>
      </c>
      <c r="E2755" s="68" t="str">
        <f>H2722</f>
        <v>sqm</v>
      </c>
      <c r="F2755" s="26" t="s">
        <v>1698</v>
      </c>
      <c r="G2755" s="211">
        <f>G2754+G2753</f>
        <v>17579.648949999999</v>
      </c>
    </row>
    <row r="2756" spans="1:8">
      <c r="A2756" s="26"/>
      <c r="B2756" s="170" t="s">
        <v>1584</v>
      </c>
      <c r="C2756" s="211" t="str">
        <f>E2755</f>
        <v>sqm</v>
      </c>
      <c r="D2756" s="26" t="s">
        <v>5882</v>
      </c>
      <c r="F2756" s="26" t="s">
        <v>4108</v>
      </c>
      <c r="G2756" s="211">
        <f>ROUND(G2755/D2755,1)</f>
        <v>175.8</v>
      </c>
    </row>
    <row r="2757" spans="1:8">
      <c r="A2757" s="26"/>
    </row>
    <row r="2758" spans="1:8">
      <c r="A2758" s="26"/>
    </row>
    <row r="2759" spans="1:8" ht="18.75">
      <c r="A2759" s="78" t="s">
        <v>5516</v>
      </c>
      <c r="B2759" s="170" t="s">
        <v>9128</v>
      </c>
    </row>
    <row r="2760" spans="1:8">
      <c r="B2760" s="26" t="s">
        <v>8033</v>
      </c>
    </row>
    <row r="2761" spans="1:8">
      <c r="B2761" s="26" t="s">
        <v>5097</v>
      </c>
    </row>
    <row r="2762" spans="1:8">
      <c r="B2762" s="170" t="s">
        <v>5098</v>
      </c>
    </row>
    <row r="2763" spans="1:8">
      <c r="B2763" s="26"/>
    </row>
    <row r="2764" spans="1:8" hidden="1">
      <c r="A2764" s="78" t="s">
        <v>3984</v>
      </c>
      <c r="B2764" s="26" t="s">
        <v>4004</v>
      </c>
    </row>
    <row r="2765" spans="1:8" hidden="1">
      <c r="B2765" s="26" t="s">
        <v>5780</v>
      </c>
    </row>
    <row r="2766" spans="1:8" hidden="1">
      <c r="B2766" s="26" t="s">
        <v>4005</v>
      </c>
      <c r="F2766" s="78" t="s">
        <v>1697</v>
      </c>
      <c r="G2766" s="26">
        <v>12</v>
      </c>
      <c r="H2766" s="26" t="s">
        <v>4934</v>
      </c>
    </row>
    <row r="2767" spans="1:8" s="61" customFormat="1" hidden="1">
      <c r="A2767" s="62"/>
      <c r="B2767" s="61" t="s">
        <v>6807</v>
      </c>
      <c r="F2767" s="62" t="s">
        <v>1697</v>
      </c>
      <c r="G2767" s="61">
        <v>17</v>
      </c>
      <c r="H2767" s="61" t="s">
        <v>6702</v>
      </c>
    </row>
    <row r="2768" spans="1:8" hidden="1">
      <c r="B2768" s="26" t="s">
        <v>5815</v>
      </c>
      <c r="F2768" s="78"/>
    </row>
    <row r="2769" spans="1:8" hidden="1">
      <c r="B2769" s="26" t="s">
        <v>2745</v>
      </c>
      <c r="F2769" s="78" t="s">
        <v>1697</v>
      </c>
      <c r="G2769" s="26">
        <v>10</v>
      </c>
      <c r="H2769" s="26" t="s">
        <v>4041</v>
      </c>
    </row>
    <row r="2770" spans="1:8" hidden="1">
      <c r="B2770" s="26" t="s">
        <v>5375</v>
      </c>
      <c r="F2770" s="78" t="s">
        <v>1697</v>
      </c>
      <c r="G2770" s="26">
        <v>5</v>
      </c>
      <c r="H2770" s="26" t="s">
        <v>4041</v>
      </c>
    </row>
    <row r="2771" spans="1:8">
      <c r="A2771" s="26"/>
    </row>
    <row r="2772" spans="1:8">
      <c r="A2772" s="26" t="s">
        <v>9215</v>
      </c>
      <c r="C2772" s="203" t="s">
        <v>2367</v>
      </c>
      <c r="D2772" s="171"/>
      <c r="F2772" s="171" t="s">
        <v>297</v>
      </c>
      <c r="G2772" s="162">
        <v>100</v>
      </c>
      <c r="H2772" s="26" t="s">
        <v>3479</v>
      </c>
    </row>
    <row r="2773" spans="1:8">
      <c r="A2773" s="26"/>
      <c r="B2773" s="79" t="s">
        <v>2368</v>
      </c>
    </row>
    <row r="2774" spans="1:8">
      <c r="A2774" s="26"/>
      <c r="B2774" s="95" t="s">
        <v>2369</v>
      </c>
      <c r="C2774" s="157" t="s">
        <v>6374</v>
      </c>
      <c r="D2774" s="195"/>
      <c r="E2774" s="95" t="s">
        <v>2370</v>
      </c>
      <c r="F2774" s="95" t="s">
        <v>1166</v>
      </c>
      <c r="G2774" s="95" t="s">
        <v>2371</v>
      </c>
      <c r="H2774" s="95" t="s">
        <v>2372</v>
      </c>
    </row>
    <row r="2775" spans="1:8">
      <c r="A2775" s="26"/>
      <c r="B2775" s="114"/>
      <c r="C2775" s="154"/>
      <c r="D2775" s="192"/>
      <c r="E2775" s="114"/>
      <c r="F2775" s="114"/>
      <c r="G2775" s="114" t="s">
        <v>3485</v>
      </c>
      <c r="H2775" s="114" t="s">
        <v>3485</v>
      </c>
    </row>
    <row r="2776" spans="1:8">
      <c r="A2776" s="26"/>
      <c r="B2776" s="105">
        <v>1</v>
      </c>
      <c r="C2776" s="135" t="s">
        <v>5099</v>
      </c>
      <c r="E2776" s="105" t="s">
        <v>3482</v>
      </c>
      <c r="F2776" s="190">
        <v>17</v>
      </c>
      <c r="G2776" s="214">
        <f>'BASIC DATA'!D100</f>
        <v>260</v>
      </c>
      <c r="H2776" s="190">
        <f>F2776*G2776</f>
        <v>4420</v>
      </c>
    </row>
    <row r="2777" spans="1:8">
      <c r="A2777" s="26"/>
      <c r="B2777" s="114">
        <v>2</v>
      </c>
      <c r="C2777" s="135" t="s">
        <v>2373</v>
      </c>
      <c r="D2777" s="31"/>
      <c r="E2777" s="105" t="s">
        <v>2173</v>
      </c>
      <c r="F2777" s="190">
        <v>2</v>
      </c>
      <c r="G2777" s="214">
        <f>'BASIC DATA'!D359</f>
        <v>30</v>
      </c>
      <c r="H2777" s="190">
        <f>F2777*G2777</f>
        <v>60</v>
      </c>
    </row>
    <row r="2778" spans="1:8">
      <c r="A2778" s="26"/>
      <c r="B2778" s="93"/>
      <c r="C2778" s="187"/>
      <c r="D2778" s="187"/>
      <c r="E2778" s="187"/>
      <c r="F2778" s="331" t="s">
        <v>2375</v>
      </c>
      <c r="G2778" s="332" t="s">
        <v>1698</v>
      </c>
      <c r="H2778" s="179">
        <f>SUM(H2776:H2777)</f>
        <v>4480</v>
      </c>
    </row>
    <row r="2779" spans="1:8" s="61" customFormat="1">
      <c r="B2779" s="444"/>
      <c r="C2779" s="60" t="s">
        <v>2748</v>
      </c>
      <c r="D2779" s="60"/>
      <c r="E2779" s="60"/>
      <c r="F2779" s="290">
        <v>0.1</v>
      </c>
      <c r="G2779" s="678" t="s">
        <v>1698</v>
      </c>
      <c r="H2779" s="255">
        <f>F2779*$H$2778</f>
        <v>448</v>
      </c>
    </row>
    <row r="2780" spans="1:8">
      <c r="A2780" s="26"/>
      <c r="B2780" s="92"/>
      <c r="C2780" s="159"/>
      <c r="D2780" s="159" t="s">
        <v>2376</v>
      </c>
      <c r="E2780" s="159"/>
      <c r="F2780" s="238"/>
      <c r="G2780" s="236" t="s">
        <v>1698</v>
      </c>
      <c r="H2780" s="318">
        <f>SUM(H2778:H2779)</f>
        <v>4928</v>
      </c>
    </row>
    <row r="2781" spans="1:8">
      <c r="A2781" s="26"/>
    </row>
    <row r="2782" spans="1:8">
      <c r="A2782" s="26"/>
      <c r="B2782" s="79" t="s">
        <v>2377</v>
      </c>
    </row>
    <row r="2783" spans="1:8">
      <c r="A2783" s="26"/>
      <c r="B2783" s="95" t="s">
        <v>2369</v>
      </c>
      <c r="C2783" s="157" t="s">
        <v>2378</v>
      </c>
      <c r="D2783" s="195"/>
      <c r="E2783" s="95" t="s">
        <v>2370</v>
      </c>
      <c r="F2783" s="95" t="s">
        <v>1166</v>
      </c>
      <c r="G2783" s="95" t="s">
        <v>2371</v>
      </c>
      <c r="H2783" s="95" t="s">
        <v>2372</v>
      </c>
    </row>
    <row r="2784" spans="1:8">
      <c r="A2784" s="26"/>
      <c r="B2784" s="114"/>
      <c r="C2784" s="154"/>
      <c r="D2784" s="192"/>
      <c r="E2784" s="114"/>
      <c r="F2784" s="114"/>
      <c r="G2784" s="114" t="s">
        <v>3485</v>
      </c>
      <c r="H2784" s="114" t="s">
        <v>3485</v>
      </c>
    </row>
    <row r="2785" spans="1:8">
      <c r="A2785" s="26"/>
      <c r="B2785" s="95">
        <v>1</v>
      </c>
      <c r="C2785" s="93" t="s">
        <v>6976</v>
      </c>
      <c r="E2785" s="95"/>
      <c r="F2785" s="190">
        <v>0</v>
      </c>
      <c r="G2785" s="190">
        <v>0</v>
      </c>
      <c r="H2785" s="190">
        <f>F2785*G2785</f>
        <v>0</v>
      </c>
    </row>
    <row r="2786" spans="1:8">
      <c r="A2786" s="26"/>
      <c r="B2786" s="275"/>
      <c r="C2786" s="139"/>
      <c r="D2786" s="174"/>
      <c r="E2786" s="114"/>
      <c r="F2786" s="182">
        <v>0</v>
      </c>
      <c r="G2786" s="182">
        <v>0</v>
      </c>
      <c r="H2786" s="190">
        <f>F2786*G2786</f>
        <v>0</v>
      </c>
    </row>
    <row r="2787" spans="1:8">
      <c r="A2787" s="26"/>
      <c r="B2787" s="176"/>
      <c r="C2787" s="174"/>
      <c r="D2787" s="174" t="s">
        <v>2380</v>
      </c>
      <c r="E2787" s="174"/>
      <c r="F2787" s="192"/>
      <c r="G2787" s="275" t="s">
        <v>1698</v>
      </c>
      <c r="H2787" s="318">
        <f>SUM(H2785:H2786)</f>
        <v>0</v>
      </c>
    </row>
    <row r="2788" spans="1:8">
      <c r="A2788" s="26"/>
    </row>
    <row r="2789" spans="1:8">
      <c r="A2789" s="26"/>
      <c r="B2789" s="79" t="s">
        <v>2381</v>
      </c>
    </row>
    <row r="2790" spans="1:8">
      <c r="A2790" s="26"/>
      <c r="B2790" s="95" t="s">
        <v>2369</v>
      </c>
      <c r="C2790" s="157" t="s">
        <v>2378</v>
      </c>
      <c r="D2790" s="195"/>
      <c r="E2790" s="95" t="s">
        <v>2370</v>
      </c>
      <c r="F2790" s="95" t="s">
        <v>1166</v>
      </c>
      <c r="G2790" s="95" t="s">
        <v>2371</v>
      </c>
      <c r="H2790" s="95" t="s">
        <v>2372</v>
      </c>
    </row>
    <row r="2791" spans="1:8">
      <c r="A2791" s="26"/>
      <c r="B2791" s="114"/>
      <c r="C2791" s="154"/>
      <c r="D2791" s="192"/>
      <c r="E2791" s="105"/>
      <c r="F2791" s="114"/>
      <c r="G2791" s="114" t="s">
        <v>3485</v>
      </c>
      <c r="H2791" s="114" t="s">
        <v>3485</v>
      </c>
    </row>
    <row r="2792" spans="1:8">
      <c r="A2792" s="26"/>
      <c r="B2792" s="105">
        <v>1</v>
      </c>
      <c r="C2792" s="76" t="s">
        <v>2745</v>
      </c>
      <c r="D2792" s="31"/>
      <c r="E2792" s="95" t="s">
        <v>1172</v>
      </c>
      <c r="F2792" s="207">
        <v>10</v>
      </c>
      <c r="G2792" s="190">
        <f>'BASIC DATA'!C543</f>
        <v>400</v>
      </c>
      <c r="H2792" s="190">
        <f>F2792*G2792</f>
        <v>4000</v>
      </c>
    </row>
    <row r="2793" spans="1:8">
      <c r="A2793" s="26"/>
      <c r="B2793" s="114">
        <v>2</v>
      </c>
      <c r="C2793" s="89" t="s">
        <v>2697</v>
      </c>
      <c r="D2793" s="174"/>
      <c r="E2793" s="114" t="s">
        <v>1172</v>
      </c>
      <c r="F2793" s="181">
        <v>5</v>
      </c>
      <c r="G2793" s="190">
        <f>'BASIC DATA'!C552</f>
        <v>350</v>
      </c>
      <c r="H2793" s="190">
        <f>F2793*G2793</f>
        <v>1750</v>
      </c>
    </row>
    <row r="2794" spans="1:8">
      <c r="A2794" s="26"/>
      <c r="B2794" s="176"/>
      <c r="C2794" s="174"/>
      <c r="D2794" s="174" t="s">
        <v>1174</v>
      </c>
      <c r="E2794" s="174"/>
      <c r="F2794" s="192"/>
      <c r="G2794" s="236" t="s">
        <v>1698</v>
      </c>
      <c r="H2794" s="318">
        <f>SUM(H2792:H2793)</f>
        <v>5750</v>
      </c>
    </row>
    <row r="2795" spans="1:8">
      <c r="A2795" s="26"/>
      <c r="B2795" s="60" t="s">
        <v>5948</v>
      </c>
      <c r="C2795" s="31"/>
      <c r="D2795" s="31"/>
      <c r="E2795" s="85">
        <f>ROUND(H2794/G2772,1)</f>
        <v>57.5</v>
      </c>
      <c r="G2795" s="31"/>
    </row>
    <row r="2796" spans="1:8">
      <c r="A2796" s="26"/>
      <c r="B2796" s="60" t="s">
        <v>3163</v>
      </c>
      <c r="C2796" s="31"/>
      <c r="D2796" s="31">
        <f>'BASIC DATA'!$C$577</f>
        <v>0.13614999999999999</v>
      </c>
      <c r="E2796" s="85">
        <f>ROUND(E2795*D2796,1)</f>
        <v>7.8</v>
      </c>
      <c r="G2796" s="31"/>
    </row>
    <row r="2797" spans="1:8">
      <c r="A2797" s="26"/>
      <c r="B2797" s="60" t="s">
        <v>5949</v>
      </c>
      <c r="C2797" s="31"/>
      <c r="D2797" s="31"/>
      <c r="E2797" s="739">
        <f>E2796+E2795</f>
        <v>65.3</v>
      </c>
      <c r="G2797" s="31"/>
    </row>
    <row r="2798" spans="1:8">
      <c r="A2798" s="26"/>
      <c r="B2798" s="26"/>
    </row>
    <row r="2799" spans="1:8">
      <c r="A2799" s="26"/>
      <c r="B2799" s="170" t="s">
        <v>1175</v>
      </c>
    </row>
    <row r="2800" spans="1:8">
      <c r="A2800" s="26"/>
      <c r="B2800" s="26" t="s">
        <v>1176</v>
      </c>
      <c r="F2800" s="171" t="s">
        <v>1698</v>
      </c>
      <c r="G2800" s="68">
        <f>H2780</f>
        <v>4928</v>
      </c>
    </row>
    <row r="2801" spans="1:8">
      <c r="A2801" s="26"/>
      <c r="B2801" s="26" t="s">
        <v>1186</v>
      </c>
      <c r="F2801" s="171" t="s">
        <v>1698</v>
      </c>
      <c r="G2801" s="68">
        <f>H2787</f>
        <v>0</v>
      </c>
    </row>
    <row r="2802" spans="1:8">
      <c r="A2802" s="26"/>
      <c r="B2802" s="26" t="s">
        <v>2660</v>
      </c>
      <c r="F2802" s="171" t="s">
        <v>1698</v>
      </c>
      <c r="G2802" s="75">
        <f>H2794</f>
        <v>5750</v>
      </c>
    </row>
    <row r="2803" spans="1:8">
      <c r="A2803" s="26"/>
      <c r="E2803" s="26" t="s">
        <v>1518</v>
      </c>
      <c r="F2803" s="171" t="s">
        <v>1698</v>
      </c>
      <c r="G2803" s="205">
        <f>SUM(G2800:G2802)</f>
        <v>10678</v>
      </c>
    </row>
    <row r="2804" spans="1:8" ht="39" customHeight="1">
      <c r="A2804" s="26"/>
      <c r="B2804" s="1207" t="s">
        <v>1379</v>
      </c>
      <c r="C2804" s="1207"/>
      <c r="E2804" s="249">
        <f>'BASIC DATA'!$C$577</f>
        <v>0.13614999999999999</v>
      </c>
      <c r="F2804" s="26" t="s">
        <v>1698</v>
      </c>
      <c r="G2804" s="26">
        <f>G2803*E2804</f>
        <v>1453.8097</v>
      </c>
    </row>
    <row r="2805" spans="1:8">
      <c r="A2805" s="26"/>
      <c r="B2805" s="26" t="s">
        <v>1191</v>
      </c>
      <c r="D2805" s="68">
        <f>G2772</f>
        <v>100</v>
      </c>
      <c r="E2805" s="68" t="str">
        <f>H2772</f>
        <v>sqm</v>
      </c>
      <c r="F2805" s="26" t="s">
        <v>1698</v>
      </c>
      <c r="G2805" s="211">
        <f>G2804+G2803</f>
        <v>12131.8097</v>
      </c>
    </row>
    <row r="2806" spans="1:8">
      <c r="A2806" s="26"/>
      <c r="B2806" s="170" t="s">
        <v>1584</v>
      </c>
      <c r="C2806" s="211" t="str">
        <f>E2805</f>
        <v>sqm</v>
      </c>
      <c r="D2806" s="26" t="s">
        <v>5882</v>
      </c>
      <c r="F2806" s="26" t="s">
        <v>4108</v>
      </c>
      <c r="G2806" s="211">
        <f>ROUND(G2805/D2805,1)</f>
        <v>121.3</v>
      </c>
    </row>
    <row r="2807" spans="1:8">
      <c r="A2807" s="26"/>
    </row>
    <row r="2808" spans="1:8">
      <c r="A2808" s="26"/>
    </row>
    <row r="2809" spans="1:8" ht="18.75">
      <c r="A2809" s="78" t="s">
        <v>5517</v>
      </c>
      <c r="B2809" s="170" t="s">
        <v>9129</v>
      </c>
    </row>
    <row r="2810" spans="1:8">
      <c r="B2810" s="26" t="s">
        <v>5100</v>
      </c>
    </row>
    <row r="2811" spans="1:8" ht="18.75">
      <c r="B2811" s="26" t="s">
        <v>9130</v>
      </c>
    </row>
    <row r="2812" spans="1:8">
      <c r="B2812" s="26"/>
    </row>
    <row r="2813" spans="1:8" hidden="1">
      <c r="A2813" s="78" t="s">
        <v>3984</v>
      </c>
      <c r="B2813" s="26" t="s">
        <v>6579</v>
      </c>
    </row>
    <row r="2814" spans="1:8">
      <c r="A2814" s="26"/>
    </row>
    <row r="2815" spans="1:8">
      <c r="A2815" s="26" t="s">
        <v>3984</v>
      </c>
      <c r="C2815" s="203" t="s">
        <v>2367</v>
      </c>
      <c r="D2815" s="171"/>
      <c r="F2815" s="171" t="s">
        <v>297</v>
      </c>
      <c r="G2815" s="162">
        <v>10</v>
      </c>
      <c r="H2815" s="26" t="s">
        <v>3477</v>
      </c>
    </row>
    <row r="2816" spans="1:8">
      <c r="A2816" s="26"/>
      <c r="B2816" s="79" t="s">
        <v>2368</v>
      </c>
    </row>
    <row r="2817" spans="1:8">
      <c r="A2817" s="26"/>
      <c r="B2817" s="95" t="s">
        <v>2369</v>
      </c>
      <c r="C2817" s="157" t="s">
        <v>6374</v>
      </c>
      <c r="D2817" s="195"/>
      <c r="E2817" s="95" t="s">
        <v>2370</v>
      </c>
      <c r="F2817" s="95" t="s">
        <v>1166</v>
      </c>
      <c r="G2817" s="95" t="s">
        <v>2371</v>
      </c>
      <c r="H2817" s="95" t="s">
        <v>2372</v>
      </c>
    </row>
    <row r="2818" spans="1:8">
      <c r="A2818" s="26"/>
      <c r="B2818" s="114"/>
      <c r="C2818" s="154"/>
      <c r="D2818" s="192"/>
      <c r="E2818" s="114"/>
      <c r="F2818" s="114"/>
      <c r="G2818" s="114" t="s">
        <v>3485</v>
      </c>
      <c r="H2818" s="114" t="s">
        <v>3485</v>
      </c>
    </row>
    <row r="2819" spans="1:8">
      <c r="A2819" s="26"/>
      <c r="B2819" s="95">
        <v>1</v>
      </c>
      <c r="C2819" s="93" t="s">
        <v>6976</v>
      </c>
      <c r="E2819" s="95"/>
      <c r="F2819" s="190">
        <v>0</v>
      </c>
      <c r="G2819" s="190">
        <v>0</v>
      </c>
      <c r="H2819" s="190">
        <f>F2819*G2819</f>
        <v>0</v>
      </c>
    </row>
    <row r="2820" spans="1:8">
      <c r="A2820" s="26"/>
      <c r="B2820" s="280"/>
      <c r="C2820" s="135"/>
      <c r="E2820" s="105"/>
      <c r="F2820" s="190">
        <v>0</v>
      </c>
      <c r="G2820" s="190">
        <v>0</v>
      </c>
      <c r="H2820" s="190">
        <f>F2820*G2820</f>
        <v>0</v>
      </c>
    </row>
    <row r="2821" spans="1:8">
      <c r="A2821" s="26"/>
      <c r="B2821" s="92"/>
      <c r="C2821" s="159"/>
      <c r="D2821" s="159" t="s">
        <v>2376</v>
      </c>
      <c r="E2821" s="159"/>
      <c r="F2821" s="238"/>
      <c r="G2821" s="236" t="s">
        <v>1698</v>
      </c>
      <c r="H2821" s="318">
        <f>SUM(H2819:H2820)</f>
        <v>0</v>
      </c>
    </row>
    <row r="2822" spans="1:8">
      <c r="A2822" s="26"/>
    </row>
    <row r="2823" spans="1:8">
      <c r="A2823" s="26"/>
      <c r="B2823" s="79" t="s">
        <v>2377</v>
      </c>
    </row>
    <row r="2824" spans="1:8">
      <c r="A2824" s="26"/>
      <c r="B2824" s="95" t="s">
        <v>2369</v>
      </c>
      <c r="C2824" s="157" t="s">
        <v>2378</v>
      </c>
      <c r="D2824" s="195"/>
      <c r="E2824" s="95" t="s">
        <v>2370</v>
      </c>
      <c r="F2824" s="95" t="s">
        <v>1166</v>
      </c>
      <c r="G2824" s="95" t="s">
        <v>2371</v>
      </c>
      <c r="H2824" s="95" t="s">
        <v>2372</v>
      </c>
    </row>
    <row r="2825" spans="1:8">
      <c r="A2825" s="26"/>
      <c r="B2825" s="114"/>
      <c r="C2825" s="154"/>
      <c r="D2825" s="192"/>
      <c r="E2825" s="114"/>
      <c r="F2825" s="114"/>
      <c r="G2825" s="114" t="s">
        <v>3485</v>
      </c>
      <c r="H2825" s="114" t="s">
        <v>3485</v>
      </c>
    </row>
    <row r="2826" spans="1:8">
      <c r="A2826" s="26"/>
      <c r="B2826" s="95">
        <v>1</v>
      </c>
      <c r="C2826" s="93" t="s">
        <v>6976</v>
      </c>
      <c r="E2826" s="95"/>
      <c r="F2826" s="190">
        <v>0</v>
      </c>
      <c r="G2826" s="190">
        <v>0</v>
      </c>
      <c r="H2826" s="190">
        <f>F2826*G2826</f>
        <v>0</v>
      </c>
    </row>
    <row r="2827" spans="1:8">
      <c r="A2827" s="26"/>
      <c r="B2827" s="275"/>
      <c r="C2827" s="139"/>
      <c r="D2827" s="174"/>
      <c r="E2827" s="114"/>
      <c r="F2827" s="182">
        <v>0</v>
      </c>
      <c r="G2827" s="182">
        <v>0</v>
      </c>
      <c r="H2827" s="190">
        <f>F2827*G2827</f>
        <v>0</v>
      </c>
    </row>
    <row r="2828" spans="1:8">
      <c r="A2828" s="26"/>
      <c r="B2828" s="176"/>
      <c r="C2828" s="174"/>
      <c r="D2828" s="174" t="s">
        <v>2380</v>
      </c>
      <c r="E2828" s="174"/>
      <c r="F2828" s="192"/>
      <c r="G2828" s="275" t="s">
        <v>1698</v>
      </c>
      <c r="H2828" s="318">
        <f>SUM(H2826:H2827)</f>
        <v>0</v>
      </c>
    </row>
    <row r="2829" spans="1:8">
      <c r="A2829" s="26"/>
    </row>
    <row r="2830" spans="1:8">
      <c r="A2830" s="26"/>
      <c r="B2830" s="79" t="s">
        <v>2381</v>
      </c>
    </row>
    <row r="2831" spans="1:8">
      <c r="A2831" s="26"/>
      <c r="B2831" s="95" t="s">
        <v>2369</v>
      </c>
      <c r="C2831" s="157" t="s">
        <v>2378</v>
      </c>
      <c r="D2831" s="195"/>
      <c r="E2831" s="95" t="s">
        <v>2370</v>
      </c>
      <c r="F2831" s="95" t="s">
        <v>1166</v>
      </c>
      <c r="G2831" s="95" t="s">
        <v>2371</v>
      </c>
      <c r="H2831" s="95" t="s">
        <v>2372</v>
      </c>
    </row>
    <row r="2832" spans="1:8">
      <c r="A2832" s="26"/>
      <c r="B2832" s="114"/>
      <c r="C2832" s="154"/>
      <c r="D2832" s="192"/>
      <c r="E2832" s="105"/>
      <c r="F2832" s="114"/>
      <c r="G2832" s="114" t="s">
        <v>3485</v>
      </c>
      <c r="H2832" s="114" t="s">
        <v>3485</v>
      </c>
    </row>
    <row r="2833" spans="1:8">
      <c r="A2833" s="26"/>
      <c r="B2833" s="36">
        <v>1</v>
      </c>
      <c r="C2833" s="151" t="s">
        <v>2697</v>
      </c>
      <c r="D2833" s="159"/>
      <c r="E2833" s="36" t="s">
        <v>1172</v>
      </c>
      <c r="F2833" s="369">
        <v>4</v>
      </c>
      <c r="G2833" s="190">
        <f>'BASIC DATA'!C552</f>
        <v>350</v>
      </c>
      <c r="H2833" s="190">
        <f>F2833*G2833</f>
        <v>1400</v>
      </c>
    </row>
    <row r="2834" spans="1:8">
      <c r="A2834" s="26"/>
      <c r="B2834" s="176"/>
      <c r="C2834" s="174"/>
      <c r="D2834" s="174" t="s">
        <v>1174</v>
      </c>
      <c r="E2834" s="174"/>
      <c r="F2834" s="192"/>
      <c r="G2834" s="236" t="s">
        <v>1698</v>
      </c>
      <c r="H2834" s="318">
        <f>SUM(H2833:H2833)</f>
        <v>1400</v>
      </c>
    </row>
    <row r="2835" spans="1:8">
      <c r="A2835" s="26"/>
      <c r="B2835" s="60" t="s">
        <v>5948</v>
      </c>
      <c r="C2835" s="31"/>
      <c r="D2835" s="31"/>
      <c r="E2835" s="85">
        <f>ROUND(H2834/G2815,1)</f>
        <v>140</v>
      </c>
      <c r="G2835" s="31"/>
    </row>
    <row r="2836" spans="1:8">
      <c r="A2836" s="26"/>
      <c r="B2836" s="60" t="s">
        <v>3163</v>
      </c>
      <c r="C2836" s="31"/>
      <c r="D2836" s="31">
        <f>'BASIC DATA'!$C$577</f>
        <v>0.13614999999999999</v>
      </c>
      <c r="E2836" s="85">
        <f>ROUND(E2835*D2836,1)</f>
        <v>19.100000000000001</v>
      </c>
      <c r="G2836" s="31"/>
    </row>
    <row r="2837" spans="1:8">
      <c r="A2837" s="26"/>
      <c r="B2837" s="60" t="s">
        <v>5949</v>
      </c>
      <c r="C2837" s="31"/>
      <c r="D2837" s="31"/>
      <c r="E2837" s="739">
        <f>E2836+E2835</f>
        <v>159.1</v>
      </c>
      <c r="G2837" s="31"/>
    </row>
    <row r="2838" spans="1:8">
      <c r="A2838" s="26"/>
      <c r="B2838" s="26"/>
    </row>
    <row r="2839" spans="1:8">
      <c r="A2839" s="26"/>
      <c r="B2839" s="170" t="s">
        <v>1175</v>
      </c>
    </row>
    <row r="2840" spans="1:8">
      <c r="A2840" s="26"/>
      <c r="B2840" s="26" t="s">
        <v>1176</v>
      </c>
      <c r="F2840" s="171" t="s">
        <v>1698</v>
      </c>
      <c r="G2840" s="68">
        <f>H2821</f>
        <v>0</v>
      </c>
    </row>
    <row r="2841" spans="1:8">
      <c r="A2841" s="26"/>
      <c r="B2841" s="26" t="s">
        <v>1186</v>
      </c>
      <c r="F2841" s="171" t="s">
        <v>1698</v>
      </c>
      <c r="G2841" s="68">
        <f>H2828</f>
        <v>0</v>
      </c>
    </row>
    <row r="2842" spans="1:8">
      <c r="A2842" s="26"/>
      <c r="B2842" s="26" t="s">
        <v>2660</v>
      </c>
      <c r="F2842" s="171" t="s">
        <v>1698</v>
      </c>
      <c r="G2842" s="75">
        <f>H2834</f>
        <v>1400</v>
      </c>
    </row>
    <row r="2843" spans="1:8">
      <c r="A2843" s="26"/>
      <c r="E2843" s="26" t="s">
        <v>1518</v>
      </c>
      <c r="F2843" s="171" t="s">
        <v>1698</v>
      </c>
      <c r="G2843" s="205">
        <f>SUM(G2840:G2842)</f>
        <v>1400</v>
      </c>
    </row>
    <row r="2844" spans="1:8" ht="39" customHeight="1">
      <c r="A2844" s="26"/>
      <c r="B2844" s="1207" t="s">
        <v>1379</v>
      </c>
      <c r="C2844" s="1207"/>
      <c r="E2844" s="249">
        <f>'BASIC DATA'!$C$577</f>
        <v>0.13614999999999999</v>
      </c>
      <c r="F2844" s="26" t="s">
        <v>1698</v>
      </c>
      <c r="G2844" s="26">
        <f>G2843*E2844</f>
        <v>190.60999999999999</v>
      </c>
    </row>
    <row r="2845" spans="1:8">
      <c r="A2845" s="26"/>
      <c r="B2845" s="26" t="s">
        <v>1191</v>
      </c>
      <c r="D2845" s="68">
        <f>G2815</f>
        <v>10</v>
      </c>
      <c r="E2845" s="68" t="str">
        <f>H2815</f>
        <v>cum</v>
      </c>
      <c r="F2845" s="26" t="s">
        <v>1698</v>
      </c>
      <c r="G2845" s="211">
        <f>G2844+G2843</f>
        <v>1590.61</v>
      </c>
    </row>
    <row r="2846" spans="1:8">
      <c r="A2846" s="26"/>
      <c r="B2846" s="170" t="s">
        <v>1584</v>
      </c>
      <c r="C2846" s="211" t="str">
        <f>E2845</f>
        <v>cum</v>
      </c>
      <c r="D2846" s="26" t="s">
        <v>5891</v>
      </c>
      <c r="F2846" s="26" t="s">
        <v>4108</v>
      </c>
      <c r="G2846" s="211">
        <f>ROUND(G2845/D2845,1)</f>
        <v>159.1</v>
      </c>
    </row>
    <row r="2847" spans="1:8">
      <c r="A2847" s="26"/>
    </row>
    <row r="2848" spans="1:8">
      <c r="A2848" s="26"/>
    </row>
    <row r="2849" spans="1:8" ht="18.75">
      <c r="A2849" s="78" t="s">
        <v>5518</v>
      </c>
      <c r="B2849" s="170" t="s">
        <v>9131</v>
      </c>
    </row>
    <row r="2850" spans="1:8">
      <c r="B2850" s="26" t="s">
        <v>5100</v>
      </c>
    </row>
    <row r="2851" spans="1:8" ht="18.75">
      <c r="B2851" s="26" t="s">
        <v>9132</v>
      </c>
    </row>
    <row r="2852" spans="1:8">
      <c r="B2852" s="26"/>
    </row>
    <row r="2853" spans="1:8" hidden="1">
      <c r="A2853" s="78" t="s">
        <v>3984</v>
      </c>
      <c r="B2853" s="26" t="s">
        <v>5101</v>
      </c>
    </row>
    <row r="2854" spans="1:8" hidden="1">
      <c r="B2854" s="26" t="s">
        <v>4204</v>
      </c>
    </row>
    <row r="2855" spans="1:8" hidden="1">
      <c r="B2855" s="26" t="s">
        <v>6580</v>
      </c>
    </row>
    <row r="2856" spans="1:8">
      <c r="A2856" s="26"/>
    </row>
    <row r="2857" spans="1:8">
      <c r="A2857" s="26" t="s">
        <v>3984</v>
      </c>
      <c r="C2857" s="203" t="s">
        <v>2367</v>
      </c>
      <c r="D2857" s="171"/>
      <c r="F2857" s="171" t="s">
        <v>297</v>
      </c>
      <c r="G2857" s="162">
        <v>12</v>
      </c>
      <c r="H2857" s="26" t="s">
        <v>3477</v>
      </c>
    </row>
    <row r="2858" spans="1:8">
      <c r="A2858" s="26"/>
      <c r="B2858" s="79" t="s">
        <v>2368</v>
      </c>
    </row>
    <row r="2859" spans="1:8">
      <c r="A2859" s="26"/>
      <c r="B2859" s="95" t="s">
        <v>2369</v>
      </c>
      <c r="C2859" s="157" t="s">
        <v>6374</v>
      </c>
      <c r="D2859" s="195"/>
      <c r="E2859" s="95" t="s">
        <v>2370</v>
      </c>
      <c r="F2859" s="95" t="s">
        <v>1166</v>
      </c>
      <c r="G2859" s="95" t="s">
        <v>2371</v>
      </c>
      <c r="H2859" s="95" t="s">
        <v>2372</v>
      </c>
    </row>
    <row r="2860" spans="1:8">
      <c r="A2860" s="26"/>
      <c r="B2860" s="114"/>
      <c r="C2860" s="154"/>
      <c r="D2860" s="192"/>
      <c r="E2860" s="114"/>
      <c r="F2860" s="114"/>
      <c r="G2860" s="114" t="s">
        <v>3485</v>
      </c>
      <c r="H2860" s="114" t="s">
        <v>3485</v>
      </c>
    </row>
    <row r="2861" spans="1:8">
      <c r="A2861" s="26"/>
      <c r="B2861" s="95">
        <v>1</v>
      </c>
      <c r="C2861" s="93" t="s">
        <v>6976</v>
      </c>
      <c r="E2861" s="95"/>
      <c r="F2861" s="190">
        <v>0</v>
      </c>
      <c r="G2861" s="190">
        <v>0</v>
      </c>
      <c r="H2861" s="190">
        <f>F2861*G2861</f>
        <v>0</v>
      </c>
    </row>
    <row r="2862" spans="1:8">
      <c r="A2862" s="26"/>
      <c r="B2862" s="280"/>
      <c r="C2862" s="135"/>
      <c r="E2862" s="105"/>
      <c r="F2862" s="190">
        <v>0</v>
      </c>
      <c r="G2862" s="190">
        <v>0</v>
      </c>
      <c r="H2862" s="190">
        <f>F2862*G2862</f>
        <v>0</v>
      </c>
    </row>
    <row r="2863" spans="1:8">
      <c r="A2863" s="26"/>
      <c r="B2863" s="92"/>
      <c r="C2863" s="159"/>
      <c r="D2863" s="159" t="s">
        <v>2376</v>
      </c>
      <c r="E2863" s="159"/>
      <c r="F2863" s="238"/>
      <c r="G2863" s="236" t="s">
        <v>1698</v>
      </c>
      <c r="H2863" s="318">
        <f>SUM(H2861:H2862)</f>
        <v>0</v>
      </c>
    </row>
    <row r="2864" spans="1:8">
      <c r="A2864" s="26"/>
    </row>
    <row r="2865" spans="1:8">
      <c r="A2865" s="26"/>
      <c r="B2865" s="79" t="s">
        <v>2377</v>
      </c>
    </row>
    <row r="2866" spans="1:8">
      <c r="A2866" s="26"/>
      <c r="B2866" s="95" t="s">
        <v>2369</v>
      </c>
      <c r="C2866" s="157" t="s">
        <v>2378</v>
      </c>
      <c r="D2866" s="195"/>
      <c r="E2866" s="95" t="s">
        <v>2370</v>
      </c>
      <c r="F2866" s="95" t="s">
        <v>1166</v>
      </c>
      <c r="G2866" s="95" t="s">
        <v>2371</v>
      </c>
      <c r="H2866" s="95" t="s">
        <v>2372</v>
      </c>
    </row>
    <row r="2867" spans="1:8">
      <c r="A2867" s="26"/>
      <c r="B2867" s="114"/>
      <c r="C2867" s="154"/>
      <c r="D2867" s="192"/>
      <c r="E2867" s="114"/>
      <c r="F2867" s="114"/>
      <c r="G2867" s="114" t="s">
        <v>3485</v>
      </c>
      <c r="H2867" s="114" t="s">
        <v>3485</v>
      </c>
    </row>
    <row r="2868" spans="1:8">
      <c r="A2868" s="26"/>
      <c r="B2868" s="95">
        <v>1</v>
      </c>
      <c r="C2868" s="93" t="s">
        <v>6976</v>
      </c>
      <c r="E2868" s="95"/>
      <c r="F2868" s="190">
        <v>0</v>
      </c>
      <c r="G2868" s="190">
        <v>0</v>
      </c>
      <c r="H2868" s="190">
        <f>F2868*G2868</f>
        <v>0</v>
      </c>
    </row>
    <row r="2869" spans="1:8">
      <c r="A2869" s="26"/>
      <c r="B2869" s="275"/>
      <c r="C2869" s="139"/>
      <c r="D2869" s="174"/>
      <c r="E2869" s="114"/>
      <c r="F2869" s="182">
        <v>0</v>
      </c>
      <c r="G2869" s="182">
        <v>0</v>
      </c>
      <c r="H2869" s="190">
        <f>F2869*G2869</f>
        <v>0</v>
      </c>
    </row>
    <row r="2870" spans="1:8">
      <c r="A2870" s="26"/>
      <c r="B2870" s="176"/>
      <c r="C2870" s="174"/>
      <c r="D2870" s="174" t="s">
        <v>2380</v>
      </c>
      <c r="E2870" s="174"/>
      <c r="F2870" s="192"/>
      <c r="G2870" s="275" t="s">
        <v>1698</v>
      </c>
      <c r="H2870" s="318">
        <f>SUM(H2868:H2869)</f>
        <v>0</v>
      </c>
    </row>
    <row r="2871" spans="1:8">
      <c r="A2871" s="26"/>
    </row>
    <row r="2872" spans="1:8">
      <c r="A2872" s="26"/>
      <c r="B2872" s="79" t="s">
        <v>2381</v>
      </c>
    </row>
    <row r="2873" spans="1:8">
      <c r="A2873" s="26"/>
      <c r="B2873" s="95" t="s">
        <v>2369</v>
      </c>
      <c r="C2873" s="157" t="s">
        <v>2378</v>
      </c>
      <c r="D2873" s="195"/>
      <c r="E2873" s="95" t="s">
        <v>2370</v>
      </c>
      <c r="F2873" s="95" t="s">
        <v>1166</v>
      </c>
      <c r="G2873" s="95" t="s">
        <v>2371</v>
      </c>
      <c r="H2873" s="95" t="s">
        <v>2372</v>
      </c>
    </row>
    <row r="2874" spans="1:8">
      <c r="A2874" s="26"/>
      <c r="B2874" s="114"/>
      <c r="C2874" s="154"/>
      <c r="D2874" s="192"/>
      <c r="E2874" s="105"/>
      <c r="F2874" s="114"/>
      <c r="G2874" s="114" t="s">
        <v>3485</v>
      </c>
      <c r="H2874" s="114" t="s">
        <v>3485</v>
      </c>
    </row>
    <row r="2875" spans="1:8">
      <c r="A2875" s="26"/>
      <c r="B2875" s="36">
        <v>1</v>
      </c>
      <c r="C2875" s="151" t="s">
        <v>2697</v>
      </c>
      <c r="D2875" s="159"/>
      <c r="E2875" s="36" t="s">
        <v>1172</v>
      </c>
      <c r="F2875" s="369">
        <v>6</v>
      </c>
      <c r="G2875" s="190">
        <f>'BASIC DATA'!C552</f>
        <v>350</v>
      </c>
      <c r="H2875" s="190">
        <f>F2875*G2875</f>
        <v>2100</v>
      </c>
    </row>
    <row r="2876" spans="1:8">
      <c r="A2876" s="26"/>
      <c r="B2876" s="176"/>
      <c r="C2876" s="174"/>
      <c r="D2876" s="174" t="s">
        <v>1174</v>
      </c>
      <c r="E2876" s="174"/>
      <c r="F2876" s="192"/>
      <c r="G2876" s="236" t="s">
        <v>1698</v>
      </c>
      <c r="H2876" s="318">
        <f>SUM(H2875:H2875)</f>
        <v>2100</v>
      </c>
    </row>
    <row r="2877" spans="1:8">
      <c r="A2877" s="26"/>
      <c r="B2877" s="60" t="s">
        <v>5948</v>
      </c>
      <c r="C2877" s="31"/>
      <c r="D2877" s="31"/>
      <c r="E2877" s="85">
        <f>ROUND(H2876/G2857,1)</f>
        <v>175</v>
      </c>
      <c r="G2877" s="31"/>
    </row>
    <row r="2878" spans="1:8">
      <c r="A2878" s="26"/>
      <c r="B2878" s="60" t="s">
        <v>3163</v>
      </c>
      <c r="C2878" s="31"/>
      <c r="D2878" s="31">
        <f>'BASIC DATA'!$C$577</f>
        <v>0.13614999999999999</v>
      </c>
      <c r="E2878" s="85">
        <f>ROUND(E2877*D2878,1)</f>
        <v>23.8</v>
      </c>
      <c r="G2878" s="31"/>
    </row>
    <row r="2879" spans="1:8">
      <c r="A2879" s="26"/>
      <c r="B2879" s="60" t="s">
        <v>5949</v>
      </c>
      <c r="C2879" s="31"/>
      <c r="D2879" s="31"/>
      <c r="E2879" s="739">
        <f>E2878+E2877</f>
        <v>198.8</v>
      </c>
      <c r="G2879" s="31"/>
    </row>
    <row r="2880" spans="1:8">
      <c r="A2880" s="26"/>
      <c r="B2880" s="26"/>
    </row>
    <row r="2881" spans="1:10">
      <c r="A2881" s="26"/>
      <c r="B2881" s="170" t="s">
        <v>1175</v>
      </c>
    </row>
    <row r="2882" spans="1:10">
      <c r="A2882" s="26"/>
      <c r="B2882" s="26" t="s">
        <v>1176</v>
      </c>
      <c r="F2882" s="171" t="s">
        <v>1698</v>
      </c>
      <c r="G2882" s="68">
        <f>H2863</f>
        <v>0</v>
      </c>
    </row>
    <row r="2883" spans="1:10">
      <c r="A2883" s="26"/>
      <c r="B2883" s="26" t="s">
        <v>1186</v>
      </c>
      <c r="F2883" s="171" t="s">
        <v>1698</v>
      </c>
      <c r="G2883" s="68">
        <f>H2870</f>
        <v>0</v>
      </c>
    </row>
    <row r="2884" spans="1:10">
      <c r="A2884" s="26"/>
      <c r="B2884" s="26" t="s">
        <v>2660</v>
      </c>
      <c r="F2884" s="171" t="s">
        <v>1698</v>
      </c>
      <c r="G2884" s="75">
        <f>H2876</f>
        <v>2100</v>
      </c>
    </row>
    <row r="2885" spans="1:10">
      <c r="A2885" s="26"/>
      <c r="E2885" s="26" t="s">
        <v>1518</v>
      </c>
      <c r="F2885" s="171" t="s">
        <v>1698</v>
      </c>
      <c r="G2885" s="205">
        <f>SUM(G2882:G2884)</f>
        <v>2100</v>
      </c>
    </row>
    <row r="2886" spans="1:10" ht="36" customHeight="1">
      <c r="A2886" s="26"/>
      <c r="B2886" s="1207" t="s">
        <v>1379</v>
      </c>
      <c r="C2886" s="1207"/>
      <c r="E2886" s="249">
        <f>'BASIC DATA'!$C$577</f>
        <v>0.13614999999999999</v>
      </c>
      <c r="F2886" s="26" t="s">
        <v>1698</v>
      </c>
      <c r="G2886" s="26">
        <f>G2885*E2886</f>
        <v>285.91499999999996</v>
      </c>
    </row>
    <row r="2887" spans="1:10">
      <c r="A2887" s="26"/>
      <c r="B2887" s="26" t="s">
        <v>1191</v>
      </c>
      <c r="D2887" s="68">
        <f>G2857</f>
        <v>12</v>
      </c>
      <c r="E2887" s="68" t="str">
        <f>H2857</f>
        <v>cum</v>
      </c>
      <c r="F2887" s="26" t="s">
        <v>1698</v>
      </c>
      <c r="G2887" s="211">
        <f>G2886+G2885</f>
        <v>2385.915</v>
      </c>
    </row>
    <row r="2888" spans="1:10">
      <c r="A2888" s="26"/>
      <c r="B2888" s="170" t="s">
        <v>1584</v>
      </c>
      <c r="C2888" s="211" t="str">
        <f>E2887</f>
        <v>cum</v>
      </c>
      <c r="D2888" s="26" t="s">
        <v>4731</v>
      </c>
      <c r="F2888" s="26" t="s">
        <v>4108</v>
      </c>
      <c r="G2888" s="211">
        <f>ROUND(G2887/D2887,1)</f>
        <v>198.8</v>
      </c>
    </row>
    <row r="2889" spans="1:10">
      <c r="A2889" s="26"/>
    </row>
    <row r="2890" spans="1:10" ht="18.75">
      <c r="A2890" s="27" t="s">
        <v>7643</v>
      </c>
      <c r="B2890" s="1206" t="s">
        <v>9133</v>
      </c>
      <c r="C2890" s="1206"/>
      <c r="D2890" s="1206"/>
      <c r="E2890" s="1206"/>
      <c r="F2890" s="1206"/>
      <c r="G2890" s="1206"/>
      <c r="H2890" s="1206"/>
      <c r="I2890" s="1206"/>
      <c r="J2890" s="1206"/>
    </row>
    <row r="2891" spans="1:10">
      <c r="A2891" s="784" t="s">
        <v>506</v>
      </c>
      <c r="B2891" s="1206" t="s">
        <v>9134</v>
      </c>
      <c r="C2891" s="1206"/>
      <c r="D2891" s="1206"/>
      <c r="E2891" s="1206"/>
      <c r="F2891" s="1206"/>
      <c r="G2891" s="1206"/>
      <c r="H2891" s="1206"/>
      <c r="I2891" s="1206"/>
      <c r="J2891" s="1206"/>
    </row>
    <row r="2892" spans="1:10">
      <c r="A2892" s="31"/>
      <c r="B2892" s="1206" t="s">
        <v>17</v>
      </c>
      <c r="C2892" s="1206"/>
      <c r="D2892" s="1206"/>
      <c r="E2892" s="1206"/>
      <c r="F2892" s="1206"/>
      <c r="G2892" s="1206"/>
      <c r="H2892" s="1206"/>
      <c r="I2892" s="1206"/>
      <c r="J2892" s="1206"/>
    </row>
    <row r="2893" spans="1:10">
      <c r="A2893" s="31"/>
      <c r="B2893" s="1206" t="s">
        <v>18</v>
      </c>
      <c r="C2893" s="1206"/>
      <c r="D2893" s="1206"/>
      <c r="E2893" s="1206"/>
      <c r="F2893" s="1206"/>
      <c r="G2893" s="1206"/>
      <c r="H2893" s="1206"/>
      <c r="I2893" s="1206"/>
      <c r="J2893" s="1206"/>
    </row>
    <row r="2894" spans="1:10">
      <c r="A2894" s="31"/>
      <c r="B2894" s="1161" t="s">
        <v>7644</v>
      </c>
      <c r="C2894" s="1161"/>
      <c r="D2894" s="1161"/>
      <c r="E2894" s="1161"/>
      <c r="F2894" s="1161"/>
      <c r="G2894" s="1161"/>
      <c r="H2894" s="1161"/>
      <c r="I2894" s="1161"/>
      <c r="J2894" s="1161"/>
    </row>
    <row r="2895" spans="1:10">
      <c r="A2895" s="31"/>
      <c r="B2895" s="1206"/>
      <c r="C2895" s="1206"/>
      <c r="D2895" s="1206"/>
      <c r="E2895" s="1206"/>
      <c r="F2895" s="1206"/>
      <c r="G2895" s="1206"/>
      <c r="H2895" s="1206"/>
      <c r="I2895" s="1206"/>
      <c r="J2895" s="1206"/>
    </row>
    <row r="2896" spans="1:10">
      <c r="A2896" s="31"/>
      <c r="B2896" s="1254" t="s">
        <v>2367</v>
      </c>
      <c r="C2896" s="1254"/>
      <c r="D2896" s="1254"/>
      <c r="E2896" s="1254"/>
      <c r="F2896" s="1254"/>
      <c r="G2896" s="1254"/>
      <c r="H2896" s="1254"/>
      <c r="I2896" s="1254"/>
      <c r="J2896" s="1254"/>
    </row>
    <row r="2897" spans="1:9">
      <c r="A2897" s="31"/>
      <c r="B2897" s="170" t="s">
        <v>2368</v>
      </c>
      <c r="C2897" s="174"/>
      <c r="E2897" s="26" t="s">
        <v>1434</v>
      </c>
      <c r="F2897" s="211">
        <v>807</v>
      </c>
      <c r="G2897" s="26" t="s">
        <v>3477</v>
      </c>
    </row>
    <row r="2898" spans="1:9">
      <c r="A2898" s="31"/>
      <c r="B2898" s="95" t="s">
        <v>2369</v>
      </c>
      <c r="C2898" s="232" t="s">
        <v>4443</v>
      </c>
      <c r="D2898" s="95" t="s">
        <v>2370</v>
      </c>
      <c r="E2898" s="95" t="s">
        <v>1166</v>
      </c>
      <c r="F2898" s="95" t="s">
        <v>6664</v>
      </c>
      <c r="G2898" s="95" t="s">
        <v>6665</v>
      </c>
    </row>
    <row r="2899" spans="1:9">
      <c r="A2899" s="31"/>
      <c r="B2899" s="191"/>
      <c r="C2899" s="174"/>
      <c r="D2899" s="191"/>
      <c r="E2899" s="114"/>
      <c r="F2899" s="114" t="s">
        <v>3856</v>
      </c>
      <c r="G2899" s="114" t="s">
        <v>3857</v>
      </c>
    </row>
    <row r="2900" spans="1:9">
      <c r="A2900" s="31"/>
      <c r="B2900" s="95">
        <v>1</v>
      </c>
      <c r="C2900" s="232" t="s">
        <v>6976</v>
      </c>
      <c r="D2900" s="107"/>
      <c r="E2900" s="179">
        <v>0</v>
      </c>
      <c r="F2900" s="179">
        <v>0</v>
      </c>
      <c r="G2900" s="155">
        <v>0</v>
      </c>
    </row>
    <row r="2901" spans="1:9">
      <c r="A2901" s="31"/>
      <c r="B2901" s="191"/>
      <c r="C2901" s="174"/>
      <c r="D2901" s="191"/>
      <c r="E2901" s="182">
        <v>0</v>
      </c>
      <c r="F2901" s="182">
        <v>0</v>
      </c>
      <c r="G2901" s="155">
        <v>0</v>
      </c>
    </row>
    <row r="2902" spans="1:9">
      <c r="A2902" s="31"/>
      <c r="B2902" s="1331" t="s">
        <v>7645</v>
      </c>
      <c r="C2902" s="1332"/>
      <c r="D2902" s="1332"/>
      <c r="E2902" s="445"/>
      <c r="F2902" s="182">
        <f>'BASIC DATA'!D398</f>
        <v>30</v>
      </c>
      <c r="G2902" s="259">
        <f>ROUND(F2902*F2897,2)</f>
        <v>24210</v>
      </c>
    </row>
    <row r="2903" spans="1:9">
      <c r="A2903" s="31"/>
      <c r="B2903" s="184"/>
      <c r="C2903" s="330" t="s">
        <v>2376</v>
      </c>
      <c r="D2903" s="330"/>
      <c r="E2903" s="330"/>
      <c r="F2903" s="208" t="s">
        <v>1698</v>
      </c>
      <c r="G2903" s="209">
        <f>G2902</f>
        <v>24210</v>
      </c>
    </row>
    <row r="2904" spans="1:9">
      <c r="A2904" s="31"/>
      <c r="B2904" s="1271" t="s">
        <v>2377</v>
      </c>
      <c r="C2904" s="1271"/>
      <c r="D2904" s="1271"/>
      <c r="E2904" s="1271"/>
      <c r="F2904" s="1271"/>
      <c r="G2904" s="1271"/>
      <c r="H2904" s="1163"/>
      <c r="I2904" s="1163"/>
    </row>
    <row r="2905" spans="1:9">
      <c r="A2905" s="31"/>
      <c r="B2905" s="95" t="s">
        <v>2369</v>
      </c>
      <c r="C2905" s="232" t="s">
        <v>2378</v>
      </c>
      <c r="D2905" s="95" t="s">
        <v>2370</v>
      </c>
      <c r="E2905" s="95" t="s">
        <v>1166</v>
      </c>
      <c r="F2905" s="95" t="s">
        <v>6664</v>
      </c>
      <c r="G2905" s="157" t="s">
        <v>6665</v>
      </c>
      <c r="H2905" s="147"/>
      <c r="I2905" s="31"/>
    </row>
    <row r="2906" spans="1:9">
      <c r="A2906" s="31"/>
      <c r="B2906" s="210"/>
      <c r="C2906" s="174"/>
      <c r="D2906" s="191"/>
      <c r="E2906" s="114"/>
      <c r="F2906" s="114" t="s">
        <v>3856</v>
      </c>
      <c r="G2906" s="176" t="s">
        <v>3857</v>
      </c>
      <c r="H2906" s="147"/>
      <c r="I2906" s="31"/>
    </row>
    <row r="2907" spans="1:9">
      <c r="A2907" s="31"/>
      <c r="B2907" s="95">
        <v>1</v>
      </c>
      <c r="C2907" s="232" t="s">
        <v>1502</v>
      </c>
      <c r="D2907" s="107" t="s">
        <v>2374</v>
      </c>
      <c r="E2907" s="179">
        <v>2.7</v>
      </c>
      <c r="F2907" s="190">
        <f>'HIRE CHARGES'!D499</f>
        <v>1715.5</v>
      </c>
      <c r="G2907" s="84">
        <f t="shared" ref="G2907:G2912" si="12">ROUND(E2907*F2907,2)</f>
        <v>4631.8500000000004</v>
      </c>
      <c r="H2907" s="147"/>
      <c r="I2907" s="31"/>
    </row>
    <row r="2908" spans="1:9">
      <c r="A2908" s="31"/>
      <c r="B2908" s="105"/>
      <c r="C2908" s="232" t="s">
        <v>2379</v>
      </c>
      <c r="D2908" s="210" t="s">
        <v>2374</v>
      </c>
      <c r="E2908" s="190">
        <v>2.7</v>
      </c>
      <c r="F2908" s="207">
        <f>'HIRE CHARGES'!E499</f>
        <v>610.5</v>
      </c>
      <c r="G2908" s="84">
        <f t="shared" si="12"/>
        <v>1648.35</v>
      </c>
      <c r="H2908" s="147"/>
      <c r="I2908" s="31"/>
    </row>
    <row r="2909" spans="1:9">
      <c r="A2909" s="31"/>
      <c r="B2909" s="95">
        <v>2</v>
      </c>
      <c r="C2909" s="232" t="s">
        <v>298</v>
      </c>
      <c r="D2909" s="210" t="s">
        <v>2374</v>
      </c>
      <c r="E2909" s="190">
        <v>8</v>
      </c>
      <c r="F2909" s="190">
        <f>'HIRE CHARGES'!D543</f>
        <v>1706.6</v>
      </c>
      <c r="G2909" s="84">
        <f t="shared" si="12"/>
        <v>13652.8</v>
      </c>
      <c r="H2909" s="147"/>
      <c r="I2909" s="31"/>
    </row>
    <row r="2910" spans="1:9">
      <c r="A2910" s="31"/>
      <c r="B2910" s="105"/>
      <c r="C2910" s="232" t="s">
        <v>2379</v>
      </c>
      <c r="D2910" s="210" t="s">
        <v>2374</v>
      </c>
      <c r="E2910" s="190">
        <v>8</v>
      </c>
      <c r="F2910" s="190">
        <f>'HIRE CHARGES'!E543</f>
        <v>872.7</v>
      </c>
      <c r="G2910" s="84">
        <f t="shared" si="12"/>
        <v>6981.6</v>
      </c>
      <c r="H2910" s="147"/>
      <c r="I2910" s="31"/>
    </row>
    <row r="2911" spans="1:9">
      <c r="A2911" s="31"/>
      <c r="B2911" s="95">
        <v>3</v>
      </c>
      <c r="C2911" s="232" t="s">
        <v>3418</v>
      </c>
      <c r="D2911" s="210" t="s">
        <v>2374</v>
      </c>
      <c r="E2911" s="190">
        <v>40</v>
      </c>
      <c r="F2911" s="190">
        <f>'HIRE CHARGES'!D545</f>
        <v>446.7</v>
      </c>
      <c r="G2911" s="84">
        <f t="shared" si="12"/>
        <v>17868</v>
      </c>
      <c r="H2911" s="147"/>
      <c r="I2911" s="31"/>
    </row>
    <row r="2912" spans="1:9">
      <c r="A2912" s="31"/>
      <c r="B2912" s="114"/>
      <c r="C2912" s="232" t="s">
        <v>2379</v>
      </c>
      <c r="D2912" s="210" t="s">
        <v>2374</v>
      </c>
      <c r="E2912" s="190">
        <v>40</v>
      </c>
      <c r="F2912" s="182">
        <f>'HIRE CHARGES'!E545</f>
        <v>299.89999999999998</v>
      </c>
      <c r="G2912" s="84">
        <f t="shared" si="12"/>
        <v>11996</v>
      </c>
      <c r="H2912" s="147"/>
      <c r="I2912" s="31"/>
    </row>
    <row r="2913" spans="1:9">
      <c r="A2913" s="31"/>
      <c r="B2913" s="154"/>
      <c r="C2913" s="330" t="s">
        <v>2380</v>
      </c>
      <c r="D2913" s="330"/>
      <c r="E2913" s="330"/>
      <c r="F2913" s="245" t="s">
        <v>1698</v>
      </c>
      <c r="G2913" s="778">
        <f>SUM(G2907:G2912)</f>
        <v>56778.6</v>
      </c>
      <c r="H2913" s="147"/>
      <c r="I2913" s="31"/>
    </row>
    <row r="2914" spans="1:9">
      <c r="A2914" s="31"/>
      <c r="B2914" s="1162" t="s">
        <v>2381</v>
      </c>
      <c r="C2914" s="1162"/>
      <c r="D2914" s="1162"/>
      <c r="E2914" s="1162"/>
      <c r="F2914" s="1162"/>
      <c r="G2914" s="1162"/>
      <c r="H2914" s="1163"/>
      <c r="I2914" s="1163"/>
    </row>
    <row r="2915" spans="1:9">
      <c r="A2915" s="31"/>
      <c r="B2915" s="1271"/>
      <c r="C2915" s="1271"/>
      <c r="D2915" s="1271"/>
      <c r="E2915" s="1271"/>
      <c r="F2915" s="1271"/>
      <c r="G2915" s="1271"/>
      <c r="H2915" s="1163"/>
      <c r="I2915" s="1163"/>
    </row>
    <row r="2916" spans="1:9">
      <c r="A2916" s="31"/>
      <c r="B2916" s="95" t="s">
        <v>2369</v>
      </c>
      <c r="C2916" s="232" t="s">
        <v>2378</v>
      </c>
      <c r="D2916" s="95" t="s">
        <v>2370</v>
      </c>
      <c r="E2916" s="95" t="s">
        <v>1166</v>
      </c>
      <c r="F2916" s="95" t="s">
        <v>6664</v>
      </c>
      <c r="G2916" s="157" t="s">
        <v>6665</v>
      </c>
      <c r="H2916" s="147"/>
      <c r="I2916" s="31"/>
    </row>
    <row r="2917" spans="1:9">
      <c r="A2917" s="31"/>
      <c r="B2917" s="191"/>
      <c r="C2917" s="188"/>
      <c r="D2917" s="191"/>
      <c r="E2917" s="114"/>
      <c r="F2917" s="114" t="s">
        <v>3856</v>
      </c>
      <c r="G2917" s="114" t="s">
        <v>3857</v>
      </c>
    </row>
    <row r="2918" spans="1:9">
      <c r="A2918" s="31"/>
      <c r="B2918" s="95">
        <v>1</v>
      </c>
      <c r="C2918" s="232" t="s">
        <v>2870</v>
      </c>
      <c r="D2918" s="107" t="s">
        <v>2374</v>
      </c>
      <c r="E2918" s="179">
        <v>2.7</v>
      </c>
      <c r="F2918" s="190">
        <f>'HIRE CHARGES'!F499</f>
        <v>236.6</v>
      </c>
      <c r="G2918" s="155">
        <f>ROUND(E2918*F2918,2)</f>
        <v>638.82000000000005</v>
      </c>
    </row>
    <row r="2919" spans="1:9">
      <c r="A2919" s="31"/>
      <c r="B2919" s="105">
        <v>2</v>
      </c>
      <c r="C2919" s="232" t="s">
        <v>300</v>
      </c>
      <c r="D2919" s="210" t="s">
        <v>2374</v>
      </c>
      <c r="E2919" s="190">
        <v>8</v>
      </c>
      <c r="F2919" s="179">
        <f>'HIRE CHARGES'!F543</f>
        <v>236.6</v>
      </c>
      <c r="G2919" s="155">
        <f>ROUND(E2919*F2919,2)</f>
        <v>1892.8</v>
      </c>
    </row>
    <row r="2920" spans="1:9">
      <c r="A2920" s="31"/>
      <c r="B2920" s="105">
        <v>3</v>
      </c>
      <c r="C2920" s="232" t="s">
        <v>301</v>
      </c>
      <c r="D2920" s="210" t="s">
        <v>2374</v>
      </c>
      <c r="E2920" s="190">
        <v>40</v>
      </c>
      <c r="F2920" s="190">
        <f>'HIRE CHARGES'!F545</f>
        <v>177.5</v>
      </c>
      <c r="G2920" s="155">
        <f>ROUND(E2920*F2920,2)</f>
        <v>7100</v>
      </c>
    </row>
    <row r="2921" spans="1:9">
      <c r="A2921" s="26"/>
      <c r="B2921" s="105">
        <v>4</v>
      </c>
      <c r="C2921" s="232" t="s">
        <v>4206</v>
      </c>
      <c r="D2921" s="210" t="s">
        <v>1172</v>
      </c>
      <c r="E2921" s="190">
        <v>1</v>
      </c>
      <c r="F2921" s="190">
        <f>'BASIC DATA'!C473</f>
        <v>450</v>
      </c>
      <c r="G2921" s="155">
        <f>ROUND(E2921*F2921,2)</f>
        <v>450</v>
      </c>
    </row>
    <row r="2922" spans="1:9">
      <c r="A2922" s="26"/>
      <c r="B2922" s="105">
        <v>5</v>
      </c>
      <c r="C2922" s="232" t="s">
        <v>2697</v>
      </c>
      <c r="D2922" s="210" t="s">
        <v>1172</v>
      </c>
      <c r="E2922" s="190">
        <v>2</v>
      </c>
      <c r="F2922" s="207">
        <f>'BASIC DATA'!C552</f>
        <v>350</v>
      </c>
      <c r="G2922" s="155">
        <f>ROUND(E2922*F2922,2)</f>
        <v>700</v>
      </c>
    </row>
    <row r="2923" spans="1:9">
      <c r="A2923" s="26"/>
      <c r="B2923" s="184"/>
      <c r="C2923" s="330" t="s">
        <v>1174</v>
      </c>
      <c r="D2923" s="330"/>
      <c r="E2923" s="330"/>
      <c r="F2923" s="208" t="s">
        <v>1698</v>
      </c>
      <c r="G2923" s="209">
        <f>SUM(G2918:G2922)</f>
        <v>10781.619999999999</v>
      </c>
    </row>
    <row r="2924" spans="1:9">
      <c r="A2924" s="26"/>
      <c r="B2924" s="60" t="s">
        <v>5948</v>
      </c>
      <c r="C2924" s="31"/>
      <c r="D2924" s="31"/>
      <c r="E2924" s="85">
        <f>ROUND(G2923/F2897,1)</f>
        <v>13.4</v>
      </c>
    </row>
    <row r="2925" spans="1:9">
      <c r="A2925" s="26"/>
      <c r="B2925" s="60" t="s">
        <v>3163</v>
      </c>
      <c r="C2925" s="31"/>
      <c r="D2925" s="198">
        <f>'BASIC DATA'!$C$577</f>
        <v>0.13614999999999999</v>
      </c>
      <c r="E2925" s="85">
        <f>ROUND(E2924*D2925,1)</f>
        <v>1.8</v>
      </c>
    </row>
    <row r="2926" spans="1:9">
      <c r="A2926" s="26"/>
      <c r="B2926" s="60" t="s">
        <v>5949</v>
      </c>
      <c r="C2926" s="31"/>
      <c r="D2926" s="31"/>
      <c r="E2926" s="199">
        <f>(E2925+E2924)</f>
        <v>15.200000000000001</v>
      </c>
    </row>
    <row r="2927" spans="1:9">
      <c r="A2927" s="26"/>
      <c r="B2927" s="31"/>
      <c r="C2927" s="30"/>
      <c r="D2927" s="30"/>
      <c r="E2927" s="30"/>
      <c r="F2927" s="200"/>
      <c r="G2927" s="85"/>
    </row>
    <row r="2928" spans="1:9">
      <c r="A2928" s="26"/>
      <c r="B2928" s="1210" t="s">
        <v>1175</v>
      </c>
      <c r="C2928" s="1210"/>
      <c r="D2928" s="1210"/>
      <c r="E2928" s="1210"/>
      <c r="F2928" s="1210"/>
      <c r="G2928" s="1210"/>
      <c r="H2928" s="1210"/>
      <c r="I2928" s="1210"/>
    </row>
    <row r="2929" spans="1:10">
      <c r="A2929" s="26"/>
      <c r="B2929" s="1207" t="s">
        <v>354</v>
      </c>
      <c r="C2929" s="1207"/>
      <c r="D2929" s="1207"/>
      <c r="E2929" s="48"/>
      <c r="F2929" s="363" t="s">
        <v>1698</v>
      </c>
      <c r="G2929" s="779">
        <f>G2903</f>
        <v>24210</v>
      </c>
    </row>
    <row r="2930" spans="1:10">
      <c r="A2930" s="26"/>
      <c r="B2930" s="1207" t="s">
        <v>1186</v>
      </c>
      <c r="C2930" s="1207"/>
      <c r="D2930" s="1207"/>
      <c r="E2930" s="48"/>
      <c r="F2930" s="363" t="s">
        <v>1698</v>
      </c>
      <c r="G2930" s="779">
        <f>G2913</f>
        <v>56778.6</v>
      </c>
    </row>
    <row r="2931" spans="1:10">
      <c r="A2931" s="26"/>
      <c r="B2931" s="1207" t="s">
        <v>2660</v>
      </c>
      <c r="C2931" s="1207"/>
      <c r="D2931" s="1207"/>
      <c r="E2931" s="48"/>
      <c r="F2931" s="363" t="s">
        <v>1698</v>
      </c>
      <c r="G2931" s="779">
        <f>G2923</f>
        <v>10781.619999999999</v>
      </c>
    </row>
    <row r="2932" spans="1:10">
      <c r="A2932" s="26"/>
      <c r="B2932" s="1207" t="s">
        <v>1518</v>
      </c>
      <c r="C2932" s="1207"/>
      <c r="D2932" s="1207"/>
      <c r="E2932" s="48"/>
      <c r="F2932" s="363" t="s">
        <v>1698</v>
      </c>
      <c r="G2932" s="780">
        <f>SUM(G2929:G2931)</f>
        <v>91770.22</v>
      </c>
    </row>
    <row r="2933" spans="1:10" ht="18.75">
      <c r="A2933" s="26"/>
      <c r="B2933" s="1207" t="s">
        <v>8375</v>
      </c>
      <c r="C2933" s="1207"/>
      <c r="D2933" s="1207"/>
      <c r="E2933" s="368">
        <f>'BASIC DATA'!$C$577</f>
        <v>0.13614999999999999</v>
      </c>
      <c r="F2933" s="363" t="s">
        <v>4108</v>
      </c>
      <c r="G2933" s="86">
        <f>ROUND(G2932*E2933,2)</f>
        <v>12494.52</v>
      </c>
    </row>
    <row r="2934" spans="1:10">
      <c r="A2934" s="26"/>
      <c r="B2934" s="1207" t="s">
        <v>1191</v>
      </c>
      <c r="C2934" s="1207"/>
      <c r="D2934" s="1207"/>
      <c r="E2934" s="202" t="s">
        <v>7650</v>
      </c>
      <c r="F2934" s="363" t="s">
        <v>1698</v>
      </c>
      <c r="G2934" s="781">
        <f>SUM(G2932:G2933)</f>
        <v>104264.74</v>
      </c>
    </row>
    <row r="2935" spans="1:10">
      <c r="A2935" s="26"/>
      <c r="B2935" s="1210" t="s">
        <v>7649</v>
      </c>
      <c r="C2935" s="1210"/>
      <c r="D2935" s="27" t="s">
        <v>1397</v>
      </c>
      <c r="E2935" s="363"/>
      <c r="F2935" s="363" t="s">
        <v>1698</v>
      </c>
      <c r="G2935" s="404">
        <f>ROUND(G2934/F2897,1)</f>
        <v>129.19999999999999</v>
      </c>
    </row>
    <row r="2936" spans="1:10">
      <c r="A2936" s="26"/>
      <c r="B2936" s="26"/>
    </row>
    <row r="2937" spans="1:10" ht="18.75">
      <c r="A2937" s="27" t="s">
        <v>7651</v>
      </c>
      <c r="B2937" s="1206" t="s">
        <v>9133</v>
      </c>
      <c r="C2937" s="1206"/>
      <c r="D2937" s="1206"/>
      <c r="E2937" s="1206"/>
      <c r="F2937" s="1206"/>
      <c r="G2937" s="1206"/>
      <c r="H2937" s="1206"/>
      <c r="I2937" s="1206"/>
      <c r="J2937" s="1206"/>
    </row>
    <row r="2938" spans="1:10">
      <c r="A2938" s="784" t="s">
        <v>504</v>
      </c>
      <c r="B2938" s="1206" t="s">
        <v>9134</v>
      </c>
      <c r="C2938" s="1206"/>
      <c r="D2938" s="1206"/>
      <c r="E2938" s="1206"/>
      <c r="F2938" s="1206"/>
      <c r="G2938" s="1206"/>
      <c r="H2938" s="1206"/>
      <c r="I2938" s="1206"/>
      <c r="J2938" s="1206"/>
    </row>
    <row r="2939" spans="1:10">
      <c r="A2939" s="26"/>
      <c r="B2939" s="1206" t="s">
        <v>7646</v>
      </c>
      <c r="C2939" s="1206"/>
      <c r="D2939" s="1206"/>
      <c r="E2939" s="1206"/>
      <c r="F2939" s="1206"/>
      <c r="G2939" s="1206"/>
      <c r="H2939" s="1206"/>
      <c r="I2939" s="1206"/>
      <c r="J2939" s="1206"/>
    </row>
    <row r="2940" spans="1:10">
      <c r="A2940" s="26"/>
      <c r="B2940" s="1206" t="s">
        <v>9135</v>
      </c>
      <c r="C2940" s="1206"/>
      <c r="D2940" s="1206"/>
      <c r="E2940" s="1206"/>
      <c r="F2940" s="1206"/>
      <c r="G2940" s="1206"/>
      <c r="H2940" s="1206"/>
      <c r="I2940" s="1206"/>
      <c r="J2940" s="1206"/>
    </row>
    <row r="2941" spans="1:10">
      <c r="A2941" s="26"/>
      <c r="B2941" s="1161" t="s">
        <v>8034</v>
      </c>
      <c r="C2941" s="1206"/>
      <c r="D2941" s="1206"/>
      <c r="E2941" s="1206"/>
      <c r="F2941" s="1206"/>
      <c r="G2941" s="1206"/>
      <c r="H2941" s="1206"/>
      <c r="I2941" s="1206"/>
      <c r="J2941" s="1206"/>
    </row>
    <row r="2942" spans="1:10">
      <c r="A2942" s="26"/>
      <c r="B2942" s="27"/>
      <c r="C2942" s="27"/>
      <c r="D2942" s="27"/>
      <c r="E2942" s="27"/>
      <c r="F2942" s="27"/>
      <c r="G2942" s="27"/>
      <c r="H2942" s="27"/>
      <c r="I2942" s="27"/>
      <c r="J2942" s="27"/>
    </row>
    <row r="2943" spans="1:10">
      <c r="A2943" s="26"/>
      <c r="B2943" s="1254" t="s">
        <v>2367</v>
      </c>
      <c r="C2943" s="1254"/>
      <c r="D2943" s="1254"/>
      <c r="E2943" s="1254"/>
      <c r="F2943" s="1254"/>
      <c r="G2943" s="1254"/>
      <c r="H2943" s="1254"/>
      <c r="I2943" s="1254"/>
      <c r="J2943" s="1254"/>
    </row>
    <row r="2944" spans="1:10">
      <c r="A2944" s="26"/>
      <c r="B2944" s="170" t="s">
        <v>2368</v>
      </c>
      <c r="C2944" s="174"/>
      <c r="E2944" s="171" t="s">
        <v>297</v>
      </c>
      <c r="F2944" s="211">
        <v>807</v>
      </c>
      <c r="G2944" s="26" t="s">
        <v>3477</v>
      </c>
    </row>
    <row r="2945" spans="1:9">
      <c r="A2945" s="26"/>
      <c r="B2945" s="95" t="s">
        <v>2369</v>
      </c>
      <c r="C2945" s="232" t="s">
        <v>4443</v>
      </c>
      <c r="D2945" s="95" t="s">
        <v>2370</v>
      </c>
      <c r="E2945" s="95" t="s">
        <v>1166</v>
      </c>
      <c r="F2945" s="95" t="s">
        <v>6664</v>
      </c>
      <c r="G2945" s="95" t="s">
        <v>6665</v>
      </c>
    </row>
    <row r="2946" spans="1:9">
      <c r="A2946" s="26"/>
      <c r="B2946" s="191"/>
      <c r="C2946" s="232"/>
      <c r="D2946" s="191"/>
      <c r="E2946" s="114"/>
      <c r="F2946" s="114" t="s">
        <v>3856</v>
      </c>
      <c r="G2946" s="114" t="s">
        <v>3857</v>
      </c>
    </row>
    <row r="2947" spans="1:9">
      <c r="A2947" s="26"/>
      <c r="B2947" s="95">
        <v>1</v>
      </c>
      <c r="C2947" s="232" t="s">
        <v>6976</v>
      </c>
      <c r="D2947" s="107"/>
      <c r="E2947" s="179">
        <v>0</v>
      </c>
      <c r="F2947" s="179">
        <v>0</v>
      </c>
      <c r="G2947" s="155">
        <v>0</v>
      </c>
    </row>
    <row r="2948" spans="1:9">
      <c r="B2948" s="191"/>
      <c r="C2948" s="232"/>
      <c r="D2948" s="191"/>
      <c r="E2948" s="182">
        <v>0</v>
      </c>
      <c r="F2948" s="182">
        <v>0</v>
      </c>
      <c r="G2948" s="155">
        <v>0</v>
      </c>
    </row>
    <row r="2949" spans="1:9">
      <c r="B2949" s="285"/>
      <c r="C2949" s="232" t="s">
        <v>5911</v>
      </c>
      <c r="D2949" s="227"/>
      <c r="E2949" s="228"/>
      <c r="F2949" s="182"/>
      <c r="G2949" s="260">
        <v>0</v>
      </c>
    </row>
    <row r="2950" spans="1:9">
      <c r="B2950" s="184"/>
      <c r="C2950" s="330" t="s">
        <v>2376</v>
      </c>
      <c r="D2950" s="330"/>
      <c r="E2950" s="330"/>
      <c r="F2950" s="208" t="s">
        <v>1698</v>
      </c>
      <c r="G2950" s="209">
        <f>SUM(I2947:I2949)</f>
        <v>0</v>
      </c>
    </row>
    <row r="2951" spans="1:9">
      <c r="B2951" s="1271" t="s">
        <v>2377</v>
      </c>
      <c r="C2951" s="1271"/>
      <c r="D2951" s="1271"/>
      <c r="E2951" s="1271"/>
      <c r="F2951" s="1271"/>
      <c r="G2951" s="1271"/>
      <c r="H2951" s="1163"/>
      <c r="I2951" s="1163"/>
    </row>
    <row r="2952" spans="1:9">
      <c r="B2952" s="95" t="s">
        <v>2369</v>
      </c>
      <c r="C2952" s="232" t="s">
        <v>2378</v>
      </c>
      <c r="D2952" s="95" t="s">
        <v>2370</v>
      </c>
      <c r="E2952" s="95" t="s">
        <v>1166</v>
      </c>
      <c r="F2952" s="95" t="s">
        <v>6664</v>
      </c>
      <c r="G2952" s="157" t="s">
        <v>6665</v>
      </c>
      <c r="H2952" s="147"/>
      <c r="I2952" s="31"/>
    </row>
    <row r="2953" spans="1:9">
      <c r="B2953" s="191"/>
      <c r="C2953" s="232"/>
      <c r="D2953" s="191"/>
      <c r="E2953" s="114"/>
      <c r="F2953" s="114" t="s">
        <v>3856</v>
      </c>
      <c r="G2953" s="176" t="s">
        <v>3857</v>
      </c>
      <c r="H2953" s="147"/>
      <c r="I2953" s="31"/>
    </row>
    <row r="2954" spans="1:9">
      <c r="B2954" s="95">
        <v>1</v>
      </c>
      <c r="C2954" s="232" t="s">
        <v>1502</v>
      </c>
      <c r="D2954" s="107" t="s">
        <v>2374</v>
      </c>
      <c r="E2954" s="179">
        <v>2.7</v>
      </c>
      <c r="F2954" s="190">
        <f>'HIRE CHARGES'!D499</f>
        <v>1715.5</v>
      </c>
      <c r="G2954" s="84">
        <f>ROUND(F2954*E2954,2)</f>
        <v>4631.8500000000004</v>
      </c>
      <c r="H2954" s="147"/>
      <c r="I2954" s="31"/>
    </row>
    <row r="2955" spans="1:9">
      <c r="B2955" s="105"/>
      <c r="C2955" s="233" t="s">
        <v>2379</v>
      </c>
      <c r="D2955" s="210" t="s">
        <v>2374</v>
      </c>
      <c r="E2955" s="190">
        <v>2.7</v>
      </c>
      <c r="F2955" s="207">
        <f>'HIRE CHARGES'!E499</f>
        <v>610.5</v>
      </c>
      <c r="G2955" s="84">
        <f t="shared" ref="G2955:G2962" si="13">ROUND(F2955*E2955,2)</f>
        <v>1648.35</v>
      </c>
      <c r="H2955" s="147"/>
      <c r="I2955" s="31"/>
    </row>
    <row r="2956" spans="1:9">
      <c r="B2956" s="105">
        <v>2</v>
      </c>
      <c r="C2956" s="233" t="s">
        <v>4497</v>
      </c>
      <c r="D2956" s="210" t="s">
        <v>2374</v>
      </c>
      <c r="E2956" s="190">
        <v>4</v>
      </c>
      <c r="F2956" s="207">
        <f>'HIRE CHARGES'!D518</f>
        <v>3</v>
      </c>
      <c r="G2956" s="84">
        <f t="shared" si="13"/>
        <v>12</v>
      </c>
      <c r="H2956" s="147"/>
      <c r="I2956" s="31"/>
    </row>
    <row r="2957" spans="1:9">
      <c r="B2957" s="105"/>
      <c r="C2957" s="233" t="s">
        <v>2379</v>
      </c>
      <c r="D2957" s="210" t="s">
        <v>2374</v>
      </c>
      <c r="E2957" s="190">
        <v>4</v>
      </c>
      <c r="F2957" s="207">
        <f>'HIRE CHARGES'!E518</f>
        <v>28</v>
      </c>
      <c r="G2957" s="84">
        <f t="shared" si="13"/>
        <v>112</v>
      </c>
      <c r="H2957" s="147"/>
      <c r="I2957" s="31"/>
    </row>
    <row r="2958" spans="1:9">
      <c r="B2958" s="105">
        <v>3</v>
      </c>
      <c r="C2958" s="233" t="s">
        <v>6286</v>
      </c>
      <c r="D2958" s="210" t="s">
        <v>2374</v>
      </c>
      <c r="E2958" s="221">
        <v>8</v>
      </c>
      <c r="F2958" s="190">
        <f>'HIRE CHARGES'!D555</f>
        <v>402.5</v>
      </c>
      <c r="G2958" s="143">
        <f t="shared" si="13"/>
        <v>3220</v>
      </c>
      <c r="H2958" s="147"/>
      <c r="I2958" s="31"/>
    </row>
    <row r="2959" spans="1:9">
      <c r="B2959" s="105"/>
      <c r="C2959" s="233" t="s">
        <v>2379</v>
      </c>
      <c r="D2959" s="210" t="s">
        <v>2374</v>
      </c>
      <c r="E2959" s="190">
        <v>8</v>
      </c>
      <c r="F2959" s="190">
        <f>'HIRE CHARGES'!E555</f>
        <v>299.89999999999998</v>
      </c>
      <c r="G2959" s="84">
        <f t="shared" si="13"/>
        <v>2399.1999999999998</v>
      </c>
      <c r="H2959" s="147"/>
      <c r="I2959" s="31"/>
    </row>
    <row r="2960" spans="1:9">
      <c r="B2960" s="105">
        <v>4</v>
      </c>
      <c r="C2960" s="233" t="s">
        <v>998</v>
      </c>
      <c r="D2960" s="210" t="s">
        <v>2374</v>
      </c>
      <c r="E2960" s="190">
        <v>6.4</v>
      </c>
      <c r="F2960" s="190">
        <f>'HIRE CHARGES'!D553</f>
        <v>1342.2</v>
      </c>
      <c r="G2960" s="84">
        <f t="shared" si="13"/>
        <v>8590.08</v>
      </c>
      <c r="H2960" s="147"/>
      <c r="I2960" s="31"/>
    </row>
    <row r="2961" spans="2:9">
      <c r="B2961" s="105"/>
      <c r="C2961" s="233" t="s">
        <v>2379</v>
      </c>
      <c r="D2961" s="210" t="s">
        <v>2374</v>
      </c>
      <c r="E2961" s="190">
        <v>6.4</v>
      </c>
      <c r="F2961" s="190">
        <f>'HIRE CHARGES'!E553</f>
        <v>1031.4000000000001</v>
      </c>
      <c r="G2961" s="84">
        <f t="shared" si="13"/>
        <v>6600.96</v>
      </c>
      <c r="H2961" s="147"/>
      <c r="I2961" s="31"/>
    </row>
    <row r="2962" spans="2:9">
      <c r="B2962" s="114">
        <v>5</v>
      </c>
      <c r="C2962" s="233" t="s">
        <v>2373</v>
      </c>
      <c r="D2962" s="191" t="s">
        <v>2173</v>
      </c>
      <c r="E2962" s="182">
        <v>2</v>
      </c>
      <c r="F2962" s="257">
        <f>'BASIC DATA'!D359</f>
        <v>30</v>
      </c>
      <c r="G2962" s="84">
        <f t="shared" si="13"/>
        <v>60</v>
      </c>
      <c r="H2962" s="147"/>
      <c r="I2962" s="31"/>
    </row>
    <row r="2963" spans="2:9">
      <c r="B2963" s="154"/>
      <c r="C2963" s="330" t="s">
        <v>2380</v>
      </c>
      <c r="D2963" s="330"/>
      <c r="E2963" s="330"/>
      <c r="F2963" s="245" t="s">
        <v>1698</v>
      </c>
      <c r="G2963" s="778">
        <f>SUM(G2954:G2962)</f>
        <v>27274.440000000002</v>
      </c>
      <c r="H2963" s="147"/>
      <c r="I2963" s="31"/>
    </row>
    <row r="2964" spans="2:9">
      <c r="B2964" s="1162" t="s">
        <v>2381</v>
      </c>
      <c r="C2964" s="1162"/>
      <c r="D2964" s="1162"/>
      <c r="E2964" s="1162"/>
      <c r="F2964" s="1162"/>
      <c r="G2964" s="1162"/>
      <c r="H2964" s="1163"/>
      <c r="I2964" s="1163"/>
    </row>
    <row r="2965" spans="2:9">
      <c r="B2965" s="1271"/>
      <c r="C2965" s="1271"/>
      <c r="D2965" s="1271"/>
      <c r="E2965" s="1271"/>
      <c r="F2965" s="1271"/>
      <c r="G2965" s="1271"/>
      <c r="H2965" s="1163"/>
      <c r="I2965" s="1163"/>
    </row>
    <row r="2966" spans="2:9">
      <c r="B2966" s="95" t="s">
        <v>2369</v>
      </c>
      <c r="C2966" s="232" t="s">
        <v>2378</v>
      </c>
      <c r="D2966" s="95" t="s">
        <v>2370</v>
      </c>
      <c r="E2966" s="95" t="s">
        <v>1166</v>
      </c>
      <c r="F2966" s="95" t="s">
        <v>6664</v>
      </c>
      <c r="G2966" s="157" t="s">
        <v>6665</v>
      </c>
      <c r="H2966" s="31"/>
      <c r="I2966" s="31"/>
    </row>
    <row r="2967" spans="2:9">
      <c r="B2967" s="191"/>
      <c r="C2967" s="232"/>
      <c r="D2967" s="191"/>
      <c r="E2967" s="114"/>
      <c r="F2967" s="114" t="s">
        <v>3856</v>
      </c>
      <c r="G2967" s="176" t="s">
        <v>3857</v>
      </c>
      <c r="H2967" s="31"/>
      <c r="I2967" s="31"/>
    </row>
    <row r="2968" spans="2:9">
      <c r="B2968" s="95">
        <v>1</v>
      </c>
      <c r="C2968" s="232" t="s">
        <v>2870</v>
      </c>
      <c r="D2968" s="107" t="s">
        <v>2374</v>
      </c>
      <c r="E2968" s="179">
        <v>2.7</v>
      </c>
      <c r="F2968" s="190">
        <f>'HIRE CHARGES'!F499</f>
        <v>236.6</v>
      </c>
      <c r="G2968" s="155">
        <f t="shared" ref="G2968:G2973" si="14">ROUND(E2968*F2968,2)</f>
        <v>638.82000000000005</v>
      </c>
    </row>
    <row r="2969" spans="2:9">
      <c r="B2969" s="105">
        <v>4</v>
      </c>
      <c r="C2969" s="232" t="s">
        <v>999</v>
      </c>
      <c r="D2969" s="210" t="s">
        <v>2374</v>
      </c>
      <c r="E2969" s="190">
        <v>4</v>
      </c>
      <c r="F2969" s="207">
        <f>'HIRE CHARGES'!F518</f>
        <v>83.3</v>
      </c>
      <c r="G2969" s="155">
        <f t="shared" si="14"/>
        <v>333.2</v>
      </c>
    </row>
    <row r="2970" spans="2:9">
      <c r="B2970" s="105">
        <v>5</v>
      </c>
      <c r="C2970" s="232" t="s">
        <v>1000</v>
      </c>
      <c r="D2970" s="210" t="s">
        <v>2374</v>
      </c>
      <c r="E2970" s="190">
        <v>8</v>
      </c>
      <c r="F2970" s="190">
        <f>'HIRE CHARGES'!F555</f>
        <v>177.5</v>
      </c>
      <c r="G2970" s="155">
        <f t="shared" si="14"/>
        <v>1420</v>
      </c>
    </row>
    <row r="2971" spans="2:9">
      <c r="B2971" s="105">
        <v>6</v>
      </c>
      <c r="C2971" s="232" t="s">
        <v>1001</v>
      </c>
      <c r="D2971" s="210" t="s">
        <v>2374</v>
      </c>
      <c r="E2971" s="190">
        <v>6.4</v>
      </c>
      <c r="F2971" s="190">
        <f>'HIRE CHARGES'!F553</f>
        <v>263.60000000000002</v>
      </c>
      <c r="G2971" s="155">
        <f t="shared" si="14"/>
        <v>1687.04</v>
      </c>
    </row>
    <row r="2972" spans="2:9">
      <c r="B2972" s="105">
        <v>7</v>
      </c>
      <c r="C2972" s="232" t="s">
        <v>4206</v>
      </c>
      <c r="D2972" s="210" t="s">
        <v>1172</v>
      </c>
      <c r="E2972" s="190">
        <v>1</v>
      </c>
      <c r="F2972" s="190">
        <f>'BASIC DATA'!C473</f>
        <v>450</v>
      </c>
      <c r="G2972" s="155">
        <f t="shared" si="14"/>
        <v>450</v>
      </c>
    </row>
    <row r="2973" spans="2:9">
      <c r="B2973" s="105">
        <v>8</v>
      </c>
      <c r="C2973" s="232" t="s">
        <v>2697</v>
      </c>
      <c r="D2973" s="210" t="s">
        <v>1172</v>
      </c>
      <c r="E2973" s="190">
        <v>2</v>
      </c>
      <c r="F2973" s="207">
        <f>'BASIC DATA'!C552</f>
        <v>350</v>
      </c>
      <c r="G2973" s="155">
        <f t="shared" si="14"/>
        <v>700</v>
      </c>
    </row>
    <row r="2974" spans="2:9">
      <c r="B2974" s="184"/>
      <c r="C2974" s="330" t="s">
        <v>1174</v>
      </c>
      <c r="D2974" s="330"/>
      <c r="E2974" s="330"/>
      <c r="F2974" s="208" t="s">
        <v>1698</v>
      </c>
      <c r="G2974" s="209">
        <f>SUM(G2968:G2973)</f>
        <v>5229.0599999999995</v>
      </c>
    </row>
    <row r="2975" spans="2:9">
      <c r="B2975" s="60" t="s">
        <v>5948</v>
      </c>
      <c r="C2975" s="31"/>
      <c r="D2975" s="31"/>
      <c r="E2975" s="85">
        <f>ROUND(G2974/F2944,1)</f>
        <v>6.5</v>
      </c>
      <c r="F2975" s="200"/>
      <c r="G2975" s="85"/>
    </row>
    <row r="2976" spans="2:9">
      <c r="B2976" s="60" t="s">
        <v>3163</v>
      </c>
      <c r="C2976" s="31"/>
      <c r="D2976" s="198">
        <f>'BASIC DATA'!$C$577</f>
        <v>0.13614999999999999</v>
      </c>
      <c r="E2976" s="85">
        <f>ROUND(E2975*D2976,1)</f>
        <v>0.9</v>
      </c>
      <c r="F2976" s="200"/>
      <c r="G2976" s="85"/>
    </row>
    <row r="2977" spans="1:10">
      <c r="B2977" s="60" t="s">
        <v>5949</v>
      </c>
      <c r="C2977" s="31"/>
      <c r="D2977" s="31"/>
      <c r="E2977" s="199">
        <f>SUM(E2975:E2976)</f>
        <v>7.4</v>
      </c>
      <c r="F2977" s="200"/>
      <c r="G2977" s="85"/>
    </row>
    <row r="2978" spans="1:10">
      <c r="B2978" s="31"/>
      <c r="C2978" s="30"/>
      <c r="D2978" s="30"/>
      <c r="E2978" s="30"/>
      <c r="F2978" s="200"/>
      <c r="G2978" s="85"/>
    </row>
    <row r="2979" spans="1:10">
      <c r="B2979" s="1210" t="s">
        <v>1175</v>
      </c>
      <c r="C2979" s="1210"/>
      <c r="D2979" s="1210"/>
      <c r="E2979" s="1210"/>
      <c r="F2979" s="1210"/>
      <c r="G2979" s="1210"/>
      <c r="H2979" s="1210"/>
      <c r="I2979" s="1210"/>
    </row>
    <row r="2980" spans="1:10">
      <c r="B2980" s="47" t="s">
        <v>354</v>
      </c>
      <c r="C2980" s="48"/>
      <c r="D2980" s="48"/>
      <c r="E2980" s="48"/>
      <c r="F2980" s="363" t="s">
        <v>1698</v>
      </c>
      <c r="G2980" s="779">
        <f>G2950</f>
        <v>0</v>
      </c>
    </row>
    <row r="2981" spans="1:10">
      <c r="B2981" s="47" t="s">
        <v>1186</v>
      </c>
      <c r="C2981" s="48"/>
      <c r="D2981" s="48"/>
      <c r="E2981" s="48"/>
      <c r="F2981" s="363" t="s">
        <v>1698</v>
      </c>
      <c r="G2981" s="779">
        <f>G2963</f>
        <v>27274.440000000002</v>
      </c>
    </row>
    <row r="2982" spans="1:10">
      <c r="B2982" s="47" t="s">
        <v>2660</v>
      </c>
      <c r="C2982" s="48"/>
      <c r="D2982" s="48"/>
      <c r="E2982" s="48"/>
      <c r="F2982" s="363" t="s">
        <v>1698</v>
      </c>
      <c r="G2982" s="779">
        <f>G2974</f>
        <v>5229.0599999999995</v>
      </c>
    </row>
    <row r="2983" spans="1:10">
      <c r="B2983" s="47" t="s">
        <v>1518</v>
      </c>
      <c r="C2983" s="48"/>
      <c r="D2983" s="48"/>
      <c r="E2983" s="48"/>
      <c r="F2983" s="363" t="s">
        <v>1698</v>
      </c>
      <c r="G2983" s="780">
        <f>SUM(G2980:G2982)</f>
        <v>32503.5</v>
      </c>
    </row>
    <row r="2984" spans="1:10" ht="18.75">
      <c r="B2984" s="47" t="s">
        <v>8375</v>
      </c>
      <c r="C2984" s="48"/>
      <c r="D2984" s="48"/>
      <c r="E2984" s="368">
        <f>'BASIC DATA'!$C$577</f>
        <v>0.13614999999999999</v>
      </c>
      <c r="F2984" s="363" t="s">
        <v>4108</v>
      </c>
      <c r="G2984" s="86">
        <f>ROUND(G2983*E2984,2)</f>
        <v>4425.3500000000004</v>
      </c>
    </row>
    <row r="2985" spans="1:10" ht="36">
      <c r="B2985" s="48" t="s">
        <v>1191</v>
      </c>
      <c r="C2985" s="48"/>
      <c r="D2985" s="362">
        <v>807</v>
      </c>
      <c r="E2985" s="362" t="s">
        <v>3477</v>
      </c>
      <c r="F2985" s="363" t="s">
        <v>1698</v>
      </c>
      <c r="G2985" s="781">
        <f>SUM(G2983:G2984)</f>
        <v>36928.85</v>
      </c>
    </row>
    <row r="2986" spans="1:10">
      <c r="B2986" s="162" t="s">
        <v>7649</v>
      </c>
      <c r="C2986" s="48"/>
      <c r="D2986" s="27" t="s">
        <v>1397</v>
      </c>
      <c r="E2986" s="43"/>
      <c r="F2986" s="363" t="s">
        <v>1698</v>
      </c>
      <c r="G2986" s="404">
        <f>ROUND(G2985/F2944,1)</f>
        <v>45.8</v>
      </c>
    </row>
    <row r="2987" spans="1:10">
      <c r="B2987" s="47"/>
      <c r="C2987" s="48"/>
      <c r="D2987" s="27"/>
      <c r="E2987" s="43"/>
      <c r="F2987" s="363"/>
      <c r="G2987" s="779"/>
    </row>
    <row r="2988" spans="1:10" ht="18.75">
      <c r="A2988" s="27" t="s">
        <v>7652</v>
      </c>
      <c r="B2988" s="1206" t="s">
        <v>9133</v>
      </c>
      <c r="C2988" s="1206"/>
      <c r="D2988" s="1206"/>
      <c r="E2988" s="1206"/>
      <c r="F2988" s="1206"/>
      <c r="G2988" s="1206"/>
      <c r="H2988" s="1206"/>
      <c r="I2988" s="1206"/>
      <c r="J2988" s="1206"/>
    </row>
    <row r="2989" spans="1:10" ht="30.75">
      <c r="A2989" s="784" t="s">
        <v>505</v>
      </c>
      <c r="B2989" s="1206" t="s">
        <v>9134</v>
      </c>
      <c r="C2989" s="1206"/>
      <c r="D2989" s="1206"/>
      <c r="E2989" s="1206"/>
      <c r="F2989" s="1206"/>
      <c r="G2989" s="1206"/>
      <c r="H2989" s="1206"/>
      <c r="I2989" s="1206"/>
      <c r="J2989" s="1206"/>
    </row>
    <row r="2990" spans="1:10">
      <c r="B2990" s="1206" t="s">
        <v>7647</v>
      </c>
      <c r="C2990" s="1206"/>
      <c r="D2990" s="1206"/>
      <c r="E2990" s="1206"/>
      <c r="F2990" s="1206"/>
      <c r="G2990" s="1206"/>
      <c r="H2990" s="1206"/>
      <c r="I2990" s="1206"/>
      <c r="J2990" s="1206"/>
    </row>
    <row r="2991" spans="1:10">
      <c r="B2991" s="1206" t="s">
        <v>9136</v>
      </c>
      <c r="C2991" s="1206"/>
      <c r="D2991" s="1206"/>
      <c r="E2991" s="1206"/>
      <c r="F2991" s="1206"/>
      <c r="G2991" s="1206"/>
      <c r="H2991" s="1206"/>
      <c r="I2991" s="1206"/>
      <c r="J2991" s="1206"/>
    </row>
    <row r="2992" spans="1:10" ht="18.75">
      <c r="B2992" s="1161" t="s">
        <v>9137</v>
      </c>
      <c r="C2992" s="1161"/>
      <c r="D2992" s="1161"/>
      <c r="E2992" s="1161"/>
      <c r="F2992" s="1161"/>
      <c r="G2992" s="1161"/>
      <c r="H2992" s="1161"/>
      <c r="I2992" s="1161"/>
      <c r="J2992" s="1161"/>
    </row>
    <row r="2993" spans="2:10">
      <c r="B2993" s="27"/>
      <c r="C2993" s="27"/>
      <c r="D2993" s="27"/>
      <c r="E2993" s="27"/>
      <c r="F2993" s="27"/>
      <c r="G2993" s="27"/>
      <c r="H2993" s="27"/>
      <c r="I2993" s="27"/>
      <c r="J2993" s="27"/>
    </row>
    <row r="2994" spans="2:10">
      <c r="B2994" s="1254" t="s">
        <v>2367</v>
      </c>
      <c r="C2994" s="1254"/>
      <c r="D2994" s="1254"/>
      <c r="E2994" s="1254"/>
      <c r="F2994" s="1254"/>
      <c r="G2994" s="1254"/>
      <c r="H2994" s="1254"/>
      <c r="I2994" s="1254"/>
      <c r="J2994" s="1254"/>
    </row>
    <row r="2995" spans="2:10">
      <c r="B2995" s="170" t="s">
        <v>2368</v>
      </c>
      <c r="C2995" s="174"/>
      <c r="D2995" s="171" t="s">
        <v>297</v>
      </c>
      <c r="E2995" s="211">
        <v>807</v>
      </c>
      <c r="F2995" s="26" t="s">
        <v>3477</v>
      </c>
    </row>
    <row r="2996" spans="2:10">
      <c r="B2996" s="95" t="s">
        <v>2369</v>
      </c>
      <c r="C2996" s="232" t="s">
        <v>4443</v>
      </c>
      <c r="D2996" s="95" t="s">
        <v>2370</v>
      </c>
      <c r="E2996" s="95" t="s">
        <v>1166</v>
      </c>
      <c r="F2996" s="95" t="s">
        <v>6664</v>
      </c>
      <c r="G2996" s="95" t="s">
        <v>6665</v>
      </c>
    </row>
    <row r="2997" spans="2:10">
      <c r="B2997" s="191"/>
      <c r="C2997" s="188"/>
      <c r="D2997" s="191"/>
      <c r="E2997" s="114"/>
      <c r="F2997" s="114" t="s">
        <v>3856</v>
      </c>
      <c r="G2997" s="114" t="s">
        <v>3857</v>
      </c>
    </row>
    <row r="2998" spans="2:10">
      <c r="B2998" s="95">
        <v>1</v>
      </c>
      <c r="C2998" s="232" t="s">
        <v>6976</v>
      </c>
      <c r="D2998" s="107"/>
      <c r="E2998" s="179">
        <v>0</v>
      </c>
      <c r="F2998" s="179">
        <v>0</v>
      </c>
      <c r="G2998" s="155">
        <v>0</v>
      </c>
    </row>
    <row r="2999" spans="2:10">
      <c r="B2999" s="191"/>
      <c r="C2999" s="232"/>
      <c r="D2999" s="191"/>
      <c r="E2999" s="182">
        <v>0</v>
      </c>
      <c r="F2999" s="182">
        <v>0</v>
      </c>
      <c r="G2999" s="155">
        <v>0</v>
      </c>
    </row>
    <row r="3000" spans="2:10">
      <c r="B3000" s="285"/>
      <c r="C3000" s="782" t="s">
        <v>5911</v>
      </c>
      <c r="D3000" s="330"/>
      <c r="E3000" s="330"/>
      <c r="F3000" s="182"/>
      <c r="G3000" s="260">
        <v>0</v>
      </c>
    </row>
    <row r="3001" spans="2:10">
      <c r="B3001" s="184"/>
      <c r="C3001" s="330" t="s">
        <v>2376</v>
      </c>
      <c r="D3001" s="330"/>
      <c r="E3001" s="330"/>
      <c r="F3001" s="208" t="s">
        <v>1698</v>
      </c>
      <c r="G3001" s="209">
        <f>SUM(I2998:I3000)</f>
        <v>0</v>
      </c>
    </row>
    <row r="3002" spans="2:10">
      <c r="B3002" s="1271" t="s">
        <v>2377</v>
      </c>
      <c r="C3002" s="1271"/>
      <c r="D3002" s="1271"/>
      <c r="E3002" s="1271"/>
      <c r="F3002" s="1271"/>
      <c r="G3002" s="1271"/>
      <c r="H3002" s="1163"/>
      <c r="I3002" s="1163"/>
    </row>
    <row r="3003" spans="2:10">
      <c r="B3003" s="95" t="s">
        <v>2369</v>
      </c>
      <c r="C3003" s="232" t="s">
        <v>2378</v>
      </c>
      <c r="D3003" s="95" t="s">
        <v>2370</v>
      </c>
      <c r="E3003" s="95" t="s">
        <v>1166</v>
      </c>
      <c r="F3003" s="95" t="s">
        <v>6664</v>
      </c>
      <c r="G3003" s="157" t="s">
        <v>6665</v>
      </c>
      <c r="H3003" s="147"/>
      <c r="I3003" s="31"/>
    </row>
    <row r="3004" spans="2:10">
      <c r="B3004" s="191"/>
      <c r="C3004" s="174"/>
      <c r="D3004" s="191"/>
      <c r="E3004" s="114"/>
      <c r="F3004" s="114" t="s">
        <v>3856</v>
      </c>
      <c r="G3004" s="176" t="s">
        <v>3857</v>
      </c>
      <c r="H3004" s="147"/>
      <c r="I3004" s="31"/>
    </row>
    <row r="3005" spans="2:10">
      <c r="B3005" s="95">
        <v>1</v>
      </c>
      <c r="C3005" s="232" t="s">
        <v>7648</v>
      </c>
      <c r="D3005" s="107" t="s">
        <v>2374</v>
      </c>
      <c r="E3005" s="179">
        <v>10</v>
      </c>
      <c r="F3005" s="190">
        <f>'HIRE CHARGES'!G558</f>
        <v>345</v>
      </c>
      <c r="G3005" s="783">
        <f>ROUND(E3005*F3005,2)</f>
        <v>3450</v>
      </c>
      <c r="H3005" s="147"/>
      <c r="I3005" s="31"/>
    </row>
    <row r="3006" spans="2:10">
      <c r="B3006" s="114">
        <v>2</v>
      </c>
      <c r="C3006" s="234" t="s">
        <v>2373</v>
      </c>
      <c r="D3006" s="191" t="s">
        <v>2173</v>
      </c>
      <c r="E3006" s="182">
        <v>2</v>
      </c>
      <c r="F3006" s="257">
        <f>'BASIC DATA'!D359</f>
        <v>30</v>
      </c>
      <c r="G3006" s="783">
        <f>ROUND(E3006*F3006,2)</f>
        <v>60</v>
      </c>
      <c r="H3006" s="147"/>
      <c r="I3006" s="31"/>
    </row>
    <row r="3007" spans="2:10">
      <c r="B3007" s="154"/>
      <c r="C3007" s="330" t="s">
        <v>2380</v>
      </c>
      <c r="D3007" s="330"/>
      <c r="E3007" s="330"/>
      <c r="F3007" s="245" t="s">
        <v>1698</v>
      </c>
      <c r="G3007" s="778">
        <f>SUM(G3005:G3006)</f>
        <v>3510</v>
      </c>
      <c r="H3007" s="147"/>
      <c r="I3007" s="31"/>
    </row>
    <row r="3008" spans="2:10">
      <c r="B3008" s="1162" t="s">
        <v>2381</v>
      </c>
      <c r="C3008" s="1162"/>
      <c r="D3008" s="1162"/>
      <c r="E3008" s="1162"/>
      <c r="F3008" s="1162"/>
      <c r="G3008" s="1162"/>
      <c r="H3008" s="1163"/>
      <c r="I3008" s="1163"/>
    </row>
    <row r="3009" spans="2:9">
      <c r="B3009" s="1271"/>
      <c r="C3009" s="1271"/>
      <c r="D3009" s="1271"/>
      <c r="E3009" s="1271"/>
      <c r="F3009" s="1271"/>
      <c r="G3009" s="1271"/>
      <c r="H3009" s="1163"/>
      <c r="I3009" s="1163"/>
    </row>
    <row r="3010" spans="2:9">
      <c r="B3010" s="95" t="s">
        <v>2369</v>
      </c>
      <c r="C3010" s="232" t="s">
        <v>2378</v>
      </c>
      <c r="D3010" s="95" t="s">
        <v>2370</v>
      </c>
      <c r="E3010" s="95" t="s">
        <v>1166</v>
      </c>
      <c r="F3010" s="95" t="s">
        <v>6664</v>
      </c>
      <c r="G3010" s="157" t="s">
        <v>6665</v>
      </c>
      <c r="H3010" s="147"/>
      <c r="I3010" s="31"/>
    </row>
    <row r="3011" spans="2:9">
      <c r="B3011" s="191"/>
      <c r="C3011" s="174"/>
      <c r="D3011" s="191"/>
      <c r="E3011" s="114"/>
      <c r="F3011" s="114" t="s">
        <v>3856</v>
      </c>
      <c r="G3011" s="114" t="s">
        <v>3857</v>
      </c>
    </row>
    <row r="3012" spans="2:9">
      <c r="B3012" s="105">
        <v>1</v>
      </c>
      <c r="C3012" s="232" t="s">
        <v>4206</v>
      </c>
      <c r="D3012" s="210" t="s">
        <v>1172</v>
      </c>
      <c r="E3012" s="190">
        <v>0.5</v>
      </c>
      <c r="F3012" s="190">
        <f>'BASIC DATA'!C473</f>
        <v>450</v>
      </c>
      <c r="G3012" s="155">
        <f>ROUND(E3012*F3012,2)</f>
        <v>225</v>
      </c>
    </row>
    <row r="3013" spans="2:9">
      <c r="B3013" s="105">
        <v>2</v>
      </c>
      <c r="C3013" s="234" t="s">
        <v>2697</v>
      </c>
      <c r="D3013" s="210" t="s">
        <v>1172</v>
      </c>
      <c r="E3013" s="190">
        <v>2</v>
      </c>
      <c r="F3013" s="207">
        <f>'BASIC DATA'!C552</f>
        <v>350</v>
      </c>
      <c r="G3013" s="155">
        <f>ROUND(E3013*F3013,2)</f>
        <v>700</v>
      </c>
    </row>
    <row r="3014" spans="2:9">
      <c r="B3014" s="184"/>
      <c r="C3014" s="330" t="s">
        <v>1174</v>
      </c>
      <c r="D3014" s="330"/>
      <c r="E3014" s="330"/>
      <c r="F3014" s="208" t="s">
        <v>1698</v>
      </c>
      <c r="G3014" s="209">
        <f>SUM(G3012:G3013)</f>
        <v>925</v>
      </c>
    </row>
    <row r="3015" spans="2:9">
      <c r="B3015" s="60" t="s">
        <v>5948</v>
      </c>
      <c r="C3015" s="31"/>
      <c r="D3015" s="31"/>
      <c r="E3015" s="85">
        <f>ROUND(G3014/E2995,1)</f>
        <v>1.1000000000000001</v>
      </c>
      <c r="F3015" s="200"/>
      <c r="G3015" s="85"/>
    </row>
    <row r="3016" spans="2:9">
      <c r="B3016" s="60" t="s">
        <v>3163</v>
      </c>
      <c r="C3016" s="31"/>
      <c r="D3016" s="198">
        <f>'BASIC DATA'!$C$577</f>
        <v>0.13614999999999999</v>
      </c>
      <c r="E3016" s="85">
        <f>ROUND(E3015*D3016,1)</f>
        <v>0.1</v>
      </c>
      <c r="F3016" s="200"/>
      <c r="G3016" s="85"/>
    </row>
    <row r="3017" spans="2:9">
      <c r="B3017" s="60" t="s">
        <v>5949</v>
      </c>
      <c r="C3017" s="31"/>
      <c r="D3017" s="31"/>
      <c r="E3017" s="199">
        <f>SUM(E3015:E3016)</f>
        <v>1.2000000000000002</v>
      </c>
      <c r="F3017" s="200"/>
      <c r="G3017" s="85"/>
    </row>
    <row r="3018" spans="2:9">
      <c r="B3018" s="31"/>
      <c r="C3018" s="30"/>
      <c r="D3018" s="30"/>
      <c r="E3018" s="30"/>
      <c r="F3018" s="200"/>
      <c r="G3018" s="85"/>
    </row>
    <row r="3019" spans="2:9" ht="36">
      <c r="B3019" s="161" t="s">
        <v>1175</v>
      </c>
      <c r="C3019" s="48"/>
      <c r="D3019" s="48"/>
      <c r="E3019" s="48"/>
      <c r="F3019" s="48"/>
      <c r="G3019" s="48"/>
      <c r="H3019" s="48"/>
      <c r="I3019" s="48"/>
    </row>
    <row r="3020" spans="2:9">
      <c r="B3020" s="47" t="s">
        <v>354</v>
      </c>
      <c r="C3020" s="48"/>
      <c r="D3020" s="48"/>
      <c r="E3020" s="48"/>
      <c r="F3020" s="363" t="s">
        <v>1698</v>
      </c>
      <c r="G3020" s="779">
        <f>G3001</f>
        <v>0</v>
      </c>
    </row>
    <row r="3021" spans="2:9">
      <c r="B3021" s="47" t="s">
        <v>1186</v>
      </c>
      <c r="C3021" s="48"/>
      <c r="D3021" s="48"/>
      <c r="E3021" s="48"/>
      <c r="F3021" s="363" t="s">
        <v>1698</v>
      </c>
      <c r="G3021" s="779">
        <f>G3007</f>
        <v>3510</v>
      </c>
    </row>
    <row r="3022" spans="2:9">
      <c r="B3022" s="47" t="s">
        <v>2660</v>
      </c>
      <c r="C3022" s="48"/>
      <c r="D3022" s="48"/>
      <c r="E3022" s="48"/>
      <c r="F3022" s="363" t="s">
        <v>1698</v>
      </c>
      <c r="G3022" s="779">
        <f>G3014</f>
        <v>925</v>
      </c>
    </row>
    <row r="3023" spans="2:9">
      <c r="B3023" s="47" t="s">
        <v>1518</v>
      </c>
      <c r="C3023" s="48"/>
      <c r="D3023" s="48"/>
      <c r="E3023" s="48"/>
      <c r="F3023" s="363" t="s">
        <v>1698</v>
      </c>
      <c r="G3023" s="780">
        <f>SUM(G3020:G3022)</f>
        <v>4435</v>
      </c>
    </row>
    <row r="3024" spans="2:9" ht="18.75">
      <c r="B3024" s="1207" t="s">
        <v>8375</v>
      </c>
      <c r="C3024" s="1207"/>
      <c r="D3024" s="368">
        <f>'BASIC DATA'!$C$577</f>
        <v>0.13614999999999999</v>
      </c>
      <c r="E3024" s="48"/>
      <c r="F3024" s="363" t="s">
        <v>4108</v>
      </c>
      <c r="G3024" s="86">
        <f>G3023*D3024</f>
        <v>603.82524999999998</v>
      </c>
    </row>
    <row r="3025" spans="1:7">
      <c r="B3025" s="47" t="s">
        <v>1191</v>
      </c>
      <c r="C3025" s="48"/>
      <c r="D3025" s="362">
        <v>807</v>
      </c>
      <c r="E3025" s="362" t="s">
        <v>3477</v>
      </c>
      <c r="F3025" s="363" t="s">
        <v>1698</v>
      </c>
      <c r="G3025" s="781">
        <f>SUM(G3023:G3024)</f>
        <v>5038.8252499999999</v>
      </c>
    </row>
    <row r="3026" spans="1:7">
      <c r="B3026" s="162" t="s">
        <v>1585</v>
      </c>
      <c r="C3026" s="48"/>
      <c r="D3026" s="27" t="s">
        <v>1397</v>
      </c>
      <c r="E3026" s="43"/>
      <c r="F3026" s="363" t="s">
        <v>1698</v>
      </c>
      <c r="G3026" s="404">
        <f>ROUND(G3025/E2995,1)</f>
        <v>6.2</v>
      </c>
    </row>
    <row r="3027" spans="1:7"/>
    <row r="3028" spans="1:7">
      <c r="A3028" s="27" t="s">
        <v>7947</v>
      </c>
      <c r="B3028" s="79" t="s">
        <v>7948</v>
      </c>
    </row>
    <row r="3029" spans="1:7">
      <c r="A3029" s="785" t="s">
        <v>7950</v>
      </c>
    </row>
    <row r="3030" spans="1:7">
      <c r="A3030" s="785" t="s">
        <v>7949</v>
      </c>
      <c r="B3030" s="26"/>
    </row>
    <row r="3031" spans="1:7">
      <c r="A3031" s="27" t="s">
        <v>7969</v>
      </c>
      <c r="B3031" s="79" t="s">
        <v>7951</v>
      </c>
    </row>
    <row r="3032" spans="1:7"/>
    <row r="3033" spans="1:7">
      <c r="C3033" s="79" t="s">
        <v>2367</v>
      </c>
    </row>
    <row r="3034" spans="1:7">
      <c r="B3034" s="26"/>
      <c r="E3034" s="26" t="s">
        <v>7953</v>
      </c>
      <c r="F3034" s="170">
        <v>2000</v>
      </c>
      <c r="G3034" s="26" t="s">
        <v>5860</v>
      </c>
    </row>
    <row r="3035" spans="1:7">
      <c r="B3035" s="89" t="s">
        <v>7952</v>
      </c>
      <c r="C3035" s="174"/>
      <c r="D3035" s="174"/>
      <c r="E3035" s="174"/>
      <c r="F3035" s="174"/>
      <c r="G3035" s="174"/>
    </row>
    <row r="3036" spans="1:7" ht="36">
      <c r="B3036" s="114" t="s">
        <v>7243</v>
      </c>
      <c r="C3036" s="191" t="s">
        <v>4443</v>
      </c>
      <c r="D3036" s="191" t="s">
        <v>2370</v>
      </c>
      <c r="E3036" s="191" t="s">
        <v>1166</v>
      </c>
      <c r="F3036" s="414" t="s">
        <v>6247</v>
      </c>
      <c r="G3036" s="414" t="s">
        <v>6248</v>
      </c>
    </row>
    <row r="3037" spans="1:7">
      <c r="B3037" s="36">
        <v>1</v>
      </c>
      <c r="C3037" s="38" t="s">
        <v>6976</v>
      </c>
      <c r="D3037" s="38"/>
      <c r="E3037" s="38">
        <v>0</v>
      </c>
      <c r="F3037" s="38">
        <v>0</v>
      </c>
      <c r="G3037" s="38">
        <v>0</v>
      </c>
    </row>
    <row r="3038" spans="1:7">
      <c r="B3038" s="1268" t="s">
        <v>7954</v>
      </c>
      <c r="C3038" s="1268"/>
      <c r="D3038" s="1268"/>
      <c r="E3038" s="1268"/>
      <c r="F3038" s="38" t="s">
        <v>4108</v>
      </c>
      <c r="G3038" s="765">
        <v>0</v>
      </c>
    </row>
    <row r="3039" spans="1:7"/>
    <row r="3040" spans="1:7">
      <c r="B3040" s="89" t="s">
        <v>6246</v>
      </c>
      <c r="C3040" s="174"/>
      <c r="D3040" s="174"/>
      <c r="E3040" s="174"/>
      <c r="F3040" s="174"/>
      <c r="G3040" s="174"/>
    </row>
    <row r="3041" spans="2:7" ht="36">
      <c r="B3041" s="114" t="s">
        <v>7243</v>
      </c>
      <c r="C3041" s="191" t="s">
        <v>2378</v>
      </c>
      <c r="D3041" s="191" t="s">
        <v>2370</v>
      </c>
      <c r="E3041" s="191" t="s">
        <v>1166</v>
      </c>
      <c r="F3041" s="414" t="s">
        <v>6247</v>
      </c>
      <c r="G3041" s="414" t="s">
        <v>6248</v>
      </c>
    </row>
    <row r="3042" spans="2:7">
      <c r="B3042" s="36">
        <v>1</v>
      </c>
      <c r="C3042" s="38" t="s">
        <v>6976</v>
      </c>
      <c r="D3042" s="38"/>
      <c r="E3042" s="38">
        <v>0</v>
      </c>
      <c r="F3042" s="38">
        <v>0</v>
      </c>
      <c r="G3042" s="38">
        <v>0</v>
      </c>
    </row>
    <row r="3043" spans="2:7">
      <c r="B3043" s="1268" t="s">
        <v>2380</v>
      </c>
      <c r="C3043" s="1268"/>
      <c r="D3043" s="1268"/>
      <c r="E3043" s="1268"/>
      <c r="F3043" s="38" t="s">
        <v>4108</v>
      </c>
      <c r="G3043" s="765">
        <v>0</v>
      </c>
    </row>
    <row r="3044" spans="2:7"/>
    <row r="3045" spans="2:7">
      <c r="B3045" s="89" t="s">
        <v>6252</v>
      </c>
      <c r="C3045" s="174"/>
      <c r="D3045" s="174"/>
      <c r="E3045" s="174"/>
      <c r="F3045" s="174"/>
      <c r="G3045" s="174"/>
    </row>
    <row r="3046" spans="2:7" ht="36">
      <c r="B3046" s="114" t="s">
        <v>7243</v>
      </c>
      <c r="C3046" s="191" t="s">
        <v>2378</v>
      </c>
      <c r="D3046" s="191" t="s">
        <v>2370</v>
      </c>
      <c r="E3046" s="191" t="s">
        <v>1166</v>
      </c>
      <c r="F3046" s="414" t="s">
        <v>6247</v>
      </c>
      <c r="G3046" s="414" t="s">
        <v>6248</v>
      </c>
    </row>
    <row r="3047" spans="2:7">
      <c r="B3047" s="36">
        <v>1</v>
      </c>
      <c r="C3047" s="38" t="s">
        <v>7955</v>
      </c>
      <c r="D3047" s="38" t="s">
        <v>1172</v>
      </c>
      <c r="E3047" s="38">
        <v>3.5</v>
      </c>
      <c r="F3047" s="67">
        <f>'BASIC DATA'!$C$473</f>
        <v>450</v>
      </c>
      <c r="G3047" s="38">
        <f>E3047*F3047</f>
        <v>1575</v>
      </c>
    </row>
    <row r="3048" spans="2:7">
      <c r="B3048" s="36">
        <v>2</v>
      </c>
      <c r="C3048" s="38" t="s">
        <v>4647</v>
      </c>
      <c r="D3048" s="38" t="s">
        <v>1172</v>
      </c>
      <c r="E3048" s="38">
        <v>28</v>
      </c>
      <c r="F3048" s="67">
        <f>'BASIC DATA'!$C$552</f>
        <v>350</v>
      </c>
      <c r="G3048" s="38">
        <f>E3048*F3048</f>
        <v>9800</v>
      </c>
    </row>
    <row r="3049" spans="2:7">
      <c r="B3049" s="1268" t="s">
        <v>7956</v>
      </c>
      <c r="C3049" s="1268"/>
      <c r="D3049" s="1268"/>
      <c r="E3049" s="1268"/>
      <c r="F3049" s="38" t="s">
        <v>4108</v>
      </c>
      <c r="G3049" s="765">
        <f>SUM(G3047:G3048)</f>
        <v>11375</v>
      </c>
    </row>
    <row r="3050" spans="2:7"/>
    <row r="3051" spans="2:7">
      <c r="B3051" s="325" t="s">
        <v>1175</v>
      </c>
    </row>
    <row r="3052" spans="2:7">
      <c r="B3052" s="27" t="s">
        <v>7957</v>
      </c>
      <c r="F3052" s="26" t="s">
        <v>4108</v>
      </c>
      <c r="G3052" s="68">
        <f>G3038</f>
        <v>0</v>
      </c>
    </row>
    <row r="3053" spans="2:7">
      <c r="B3053" s="27" t="s">
        <v>7958</v>
      </c>
      <c r="F3053" s="26" t="s">
        <v>4108</v>
      </c>
      <c r="G3053" s="68">
        <f>G3043</f>
        <v>0</v>
      </c>
    </row>
    <row r="3054" spans="2:7">
      <c r="B3054" s="27" t="s">
        <v>7959</v>
      </c>
      <c r="F3054" s="26" t="s">
        <v>4108</v>
      </c>
      <c r="G3054" s="68">
        <f>G3049</f>
        <v>11375</v>
      </c>
    </row>
    <row r="3055" spans="2:7">
      <c r="B3055" s="27"/>
      <c r="D3055" s="26" t="s">
        <v>1518</v>
      </c>
      <c r="G3055" s="205">
        <f>SUM(G3052:G3054)</f>
        <v>11375</v>
      </c>
    </row>
    <row r="3056" spans="2:7">
      <c r="B3056" s="27" t="s">
        <v>7960</v>
      </c>
      <c r="E3056" s="201">
        <f>'BASIC DATA'!$C$577</f>
        <v>0.13614999999999999</v>
      </c>
      <c r="G3056" s="26">
        <f>G3055*E3056</f>
        <v>1548.70625</v>
      </c>
    </row>
    <row r="3057" spans="1:7">
      <c r="B3057" s="27" t="s">
        <v>7961</v>
      </c>
      <c r="G3057" s="211">
        <f>SUM(G3055:G3056)</f>
        <v>12923.706249999999</v>
      </c>
    </row>
    <row r="3058" spans="1:7">
      <c r="C3058" s="170" t="s">
        <v>7962</v>
      </c>
      <c r="D3058" s="26" t="s">
        <v>7963</v>
      </c>
      <c r="G3058" s="170">
        <f>ROUND(G3057/F3034,1)</f>
        <v>6.5</v>
      </c>
    </row>
    <row r="3059" spans="1:7"/>
    <row r="3060" spans="1:7">
      <c r="A3060" s="27" t="s">
        <v>7970</v>
      </c>
      <c r="B3060" s="79" t="s">
        <v>7964</v>
      </c>
    </row>
    <row r="3061" spans="1:7"/>
    <row r="3062" spans="1:7">
      <c r="C3062" s="79" t="s">
        <v>2367</v>
      </c>
    </row>
    <row r="3063" spans="1:7">
      <c r="B3063" s="26"/>
      <c r="E3063" s="26" t="s">
        <v>7953</v>
      </c>
      <c r="F3063" s="170">
        <v>2000</v>
      </c>
      <c r="G3063" s="26" t="s">
        <v>5860</v>
      </c>
    </row>
    <row r="3064" spans="1:7">
      <c r="B3064" s="89" t="s">
        <v>7952</v>
      </c>
      <c r="C3064" s="174"/>
      <c r="D3064" s="174"/>
      <c r="E3064" s="174"/>
      <c r="F3064" s="174"/>
      <c r="G3064" s="174"/>
    </row>
    <row r="3065" spans="1:7" ht="36">
      <c r="B3065" s="114" t="s">
        <v>7243</v>
      </c>
      <c r="C3065" s="191" t="s">
        <v>4443</v>
      </c>
      <c r="D3065" s="191" t="s">
        <v>2370</v>
      </c>
      <c r="E3065" s="191" t="s">
        <v>1166</v>
      </c>
      <c r="F3065" s="414" t="s">
        <v>6247</v>
      </c>
      <c r="G3065" s="414" t="s">
        <v>6248</v>
      </c>
    </row>
    <row r="3066" spans="1:7">
      <c r="B3066" s="36">
        <v>1</v>
      </c>
      <c r="C3066" s="38" t="s">
        <v>6976</v>
      </c>
      <c r="D3066" s="38"/>
      <c r="E3066" s="38">
        <v>0</v>
      </c>
      <c r="F3066" s="38">
        <v>0</v>
      </c>
      <c r="G3066" s="38">
        <v>0</v>
      </c>
    </row>
    <row r="3067" spans="1:7">
      <c r="B3067" s="1268" t="s">
        <v>7954</v>
      </c>
      <c r="C3067" s="1268"/>
      <c r="D3067" s="1268"/>
      <c r="E3067" s="1268"/>
      <c r="F3067" s="38" t="s">
        <v>4108</v>
      </c>
      <c r="G3067" s="765">
        <v>0</v>
      </c>
    </row>
    <row r="3068" spans="1:7"/>
    <row r="3069" spans="1:7">
      <c r="B3069" s="89" t="s">
        <v>6246</v>
      </c>
      <c r="C3069" s="174"/>
      <c r="D3069" s="174"/>
      <c r="E3069" s="174"/>
      <c r="F3069" s="174"/>
      <c r="G3069" s="174"/>
    </row>
    <row r="3070" spans="1:7" ht="36">
      <c r="B3070" s="114" t="s">
        <v>7243</v>
      </c>
      <c r="C3070" s="191" t="s">
        <v>2378</v>
      </c>
      <c r="D3070" s="191" t="s">
        <v>2370</v>
      </c>
      <c r="E3070" s="191" t="s">
        <v>1166</v>
      </c>
      <c r="F3070" s="414" t="s">
        <v>6247</v>
      </c>
      <c r="G3070" s="414" t="s">
        <v>6248</v>
      </c>
    </row>
    <row r="3071" spans="1:7">
      <c r="B3071" s="36">
        <v>1</v>
      </c>
      <c r="C3071" s="38" t="s">
        <v>6976</v>
      </c>
      <c r="D3071" s="38"/>
      <c r="E3071" s="38">
        <v>0</v>
      </c>
      <c r="F3071" s="38">
        <v>0</v>
      </c>
      <c r="G3071" s="38">
        <v>0</v>
      </c>
    </row>
    <row r="3072" spans="1:7">
      <c r="B3072" s="1268" t="s">
        <v>2380</v>
      </c>
      <c r="C3072" s="1268"/>
      <c r="D3072" s="1268"/>
      <c r="E3072" s="1268"/>
      <c r="F3072" s="38" t="s">
        <v>4108</v>
      </c>
      <c r="G3072" s="765">
        <v>0</v>
      </c>
    </row>
    <row r="3073" spans="2:7"/>
    <row r="3074" spans="2:7">
      <c r="B3074" s="89" t="s">
        <v>6252</v>
      </c>
      <c r="C3074" s="174"/>
      <c r="D3074" s="174"/>
      <c r="E3074" s="174"/>
      <c r="F3074" s="174"/>
      <c r="G3074" s="174"/>
    </row>
    <row r="3075" spans="2:7" ht="36">
      <c r="B3075" s="114" t="s">
        <v>7243</v>
      </c>
      <c r="C3075" s="191" t="s">
        <v>2378</v>
      </c>
      <c r="D3075" s="191" t="s">
        <v>2370</v>
      </c>
      <c r="E3075" s="191" t="s">
        <v>1166</v>
      </c>
      <c r="F3075" s="414" t="s">
        <v>6247</v>
      </c>
      <c r="G3075" s="414" t="s">
        <v>6248</v>
      </c>
    </row>
    <row r="3076" spans="2:7">
      <c r="B3076" s="36">
        <v>1</v>
      </c>
      <c r="C3076" s="38" t="s">
        <v>7955</v>
      </c>
      <c r="D3076" s="38" t="s">
        <v>1172</v>
      </c>
      <c r="E3076" s="38">
        <v>5</v>
      </c>
      <c r="F3076" s="67">
        <f>'BASIC DATA'!$C$473</f>
        <v>450</v>
      </c>
      <c r="G3076" s="38">
        <f>E3076*F3076</f>
        <v>2250</v>
      </c>
    </row>
    <row r="3077" spans="2:7">
      <c r="B3077" s="36">
        <v>2</v>
      </c>
      <c r="C3077" s="38" t="s">
        <v>4647</v>
      </c>
      <c r="D3077" s="38" t="s">
        <v>1172</v>
      </c>
      <c r="E3077" s="38">
        <v>38</v>
      </c>
      <c r="F3077" s="67">
        <f>'BASIC DATA'!$C$552</f>
        <v>350</v>
      </c>
      <c r="G3077" s="38">
        <f>E3077*F3077</f>
        <v>13300</v>
      </c>
    </row>
    <row r="3078" spans="2:7">
      <c r="B3078" s="1268" t="s">
        <v>7956</v>
      </c>
      <c r="C3078" s="1268"/>
      <c r="D3078" s="1268"/>
      <c r="E3078" s="1268"/>
      <c r="F3078" s="38" t="s">
        <v>4108</v>
      </c>
      <c r="G3078" s="765">
        <f>SUM(G3076:G3077)</f>
        <v>15550</v>
      </c>
    </row>
    <row r="3079" spans="2:7"/>
    <row r="3080" spans="2:7">
      <c r="B3080" s="325" t="s">
        <v>1175</v>
      </c>
    </row>
    <row r="3081" spans="2:7">
      <c r="B3081" s="27" t="s">
        <v>7957</v>
      </c>
      <c r="F3081" s="26" t="s">
        <v>4108</v>
      </c>
      <c r="G3081" s="68">
        <f>G3067</f>
        <v>0</v>
      </c>
    </row>
    <row r="3082" spans="2:7">
      <c r="B3082" s="27" t="s">
        <v>7958</v>
      </c>
      <c r="F3082" s="26" t="s">
        <v>4108</v>
      </c>
      <c r="G3082" s="68">
        <f>G3072</f>
        <v>0</v>
      </c>
    </row>
    <row r="3083" spans="2:7">
      <c r="B3083" s="27" t="s">
        <v>7959</v>
      </c>
      <c r="F3083" s="26" t="s">
        <v>4108</v>
      </c>
      <c r="G3083" s="68">
        <f>G3078</f>
        <v>15550</v>
      </c>
    </row>
    <row r="3084" spans="2:7">
      <c r="B3084" s="27"/>
      <c r="D3084" s="26" t="s">
        <v>1518</v>
      </c>
      <c r="G3084" s="205">
        <f>SUM(G3081:G3083)</f>
        <v>15550</v>
      </c>
    </row>
    <row r="3085" spans="2:7">
      <c r="B3085" s="27" t="s">
        <v>7960</v>
      </c>
      <c r="E3085" s="201">
        <f>'BASIC DATA'!$C$577</f>
        <v>0.13614999999999999</v>
      </c>
      <c r="G3085" s="26">
        <f>G3084*E3085</f>
        <v>2117.1324999999997</v>
      </c>
    </row>
    <row r="3086" spans="2:7">
      <c r="B3086" s="27" t="s">
        <v>7961</v>
      </c>
      <c r="G3086" s="211">
        <f>SUM(G3084:G3085)</f>
        <v>17667.1325</v>
      </c>
    </row>
    <row r="3087" spans="2:7">
      <c r="C3087" s="170" t="s">
        <v>7962</v>
      </c>
      <c r="D3087" s="26" t="s">
        <v>7963</v>
      </c>
      <c r="G3087" s="170">
        <f>ROUND(G3086/F3063,1)</f>
        <v>8.8000000000000007</v>
      </c>
    </row>
    <row r="3088" spans="2:7"/>
    <row r="3089" spans="1:7">
      <c r="A3089" s="27" t="s">
        <v>7971</v>
      </c>
      <c r="B3089" s="79" t="s">
        <v>7965</v>
      </c>
    </row>
    <row r="3090" spans="1:7"/>
    <row r="3091" spans="1:7">
      <c r="C3091" s="79" t="s">
        <v>2367</v>
      </c>
    </row>
    <row r="3092" spans="1:7">
      <c r="B3092" s="26"/>
      <c r="E3092" s="26" t="s">
        <v>7953</v>
      </c>
      <c r="F3092" s="170">
        <v>2000</v>
      </c>
      <c r="G3092" s="26" t="s">
        <v>5860</v>
      </c>
    </row>
    <row r="3093" spans="1:7">
      <c r="B3093" s="89" t="s">
        <v>7952</v>
      </c>
      <c r="C3093" s="174"/>
      <c r="D3093" s="174"/>
      <c r="E3093" s="174"/>
      <c r="F3093" s="174"/>
      <c r="G3093" s="174"/>
    </row>
    <row r="3094" spans="1:7" ht="36">
      <c r="B3094" s="114" t="s">
        <v>7243</v>
      </c>
      <c r="C3094" s="191" t="s">
        <v>4443</v>
      </c>
      <c r="D3094" s="191" t="s">
        <v>2370</v>
      </c>
      <c r="E3094" s="191" t="s">
        <v>1166</v>
      </c>
      <c r="F3094" s="414" t="s">
        <v>6247</v>
      </c>
      <c r="G3094" s="414" t="s">
        <v>6248</v>
      </c>
    </row>
    <row r="3095" spans="1:7">
      <c r="B3095" s="36">
        <v>1</v>
      </c>
      <c r="C3095" s="38" t="s">
        <v>6976</v>
      </c>
      <c r="D3095" s="38"/>
      <c r="E3095" s="38">
        <v>0</v>
      </c>
      <c r="F3095" s="38">
        <v>0</v>
      </c>
      <c r="G3095" s="38">
        <v>0</v>
      </c>
    </row>
    <row r="3096" spans="1:7">
      <c r="B3096" s="1268" t="s">
        <v>7954</v>
      </c>
      <c r="C3096" s="1268"/>
      <c r="D3096" s="1268"/>
      <c r="E3096" s="1268"/>
      <c r="F3096" s="38" t="s">
        <v>4108</v>
      </c>
      <c r="G3096" s="765">
        <v>0</v>
      </c>
    </row>
    <row r="3097" spans="1:7"/>
    <row r="3098" spans="1:7">
      <c r="B3098" s="89" t="s">
        <v>6246</v>
      </c>
      <c r="C3098" s="174"/>
      <c r="D3098" s="174"/>
      <c r="E3098" s="174"/>
      <c r="F3098" s="174"/>
      <c r="G3098" s="174"/>
    </row>
    <row r="3099" spans="1:7" ht="36">
      <c r="B3099" s="114" t="s">
        <v>7243</v>
      </c>
      <c r="C3099" s="191" t="s">
        <v>2378</v>
      </c>
      <c r="D3099" s="191" t="s">
        <v>2370</v>
      </c>
      <c r="E3099" s="191" t="s">
        <v>1166</v>
      </c>
      <c r="F3099" s="414" t="s">
        <v>6247</v>
      </c>
      <c r="G3099" s="414" t="s">
        <v>6248</v>
      </c>
    </row>
    <row r="3100" spans="1:7">
      <c r="B3100" s="36">
        <v>1</v>
      </c>
      <c r="C3100" s="38" t="s">
        <v>6976</v>
      </c>
      <c r="D3100" s="38"/>
      <c r="E3100" s="38">
        <v>0</v>
      </c>
      <c r="F3100" s="38">
        <v>0</v>
      </c>
      <c r="G3100" s="38">
        <v>0</v>
      </c>
    </row>
    <row r="3101" spans="1:7">
      <c r="B3101" s="1268" t="s">
        <v>2380</v>
      </c>
      <c r="C3101" s="1268"/>
      <c r="D3101" s="1268"/>
      <c r="E3101" s="1268"/>
      <c r="F3101" s="38" t="s">
        <v>4108</v>
      </c>
      <c r="G3101" s="765">
        <v>0</v>
      </c>
    </row>
    <row r="3102" spans="1:7"/>
    <row r="3103" spans="1:7">
      <c r="B3103" s="89" t="s">
        <v>6252</v>
      </c>
      <c r="C3103" s="174"/>
      <c r="D3103" s="174"/>
      <c r="E3103" s="174"/>
      <c r="F3103" s="174"/>
      <c r="G3103" s="174"/>
    </row>
    <row r="3104" spans="1:7" ht="36">
      <c r="B3104" s="114" t="s">
        <v>7243</v>
      </c>
      <c r="C3104" s="191" t="s">
        <v>2378</v>
      </c>
      <c r="D3104" s="191" t="s">
        <v>2370</v>
      </c>
      <c r="E3104" s="191" t="s">
        <v>1166</v>
      </c>
      <c r="F3104" s="414" t="s">
        <v>6247</v>
      </c>
      <c r="G3104" s="414" t="s">
        <v>6248</v>
      </c>
    </row>
    <row r="3105" spans="1:7">
      <c r="B3105" s="36">
        <v>1</v>
      </c>
      <c r="C3105" s="38" t="s">
        <v>7955</v>
      </c>
      <c r="D3105" s="38" t="s">
        <v>1172</v>
      </c>
      <c r="E3105" s="38">
        <v>3</v>
      </c>
      <c r="F3105" s="67">
        <f>'BASIC DATA'!$C$473</f>
        <v>450</v>
      </c>
      <c r="G3105" s="38">
        <f>E3105*F3105</f>
        <v>1350</v>
      </c>
    </row>
    <row r="3106" spans="1:7">
      <c r="B3106" s="36">
        <v>2</v>
      </c>
      <c r="C3106" s="38" t="s">
        <v>4647</v>
      </c>
      <c r="D3106" s="38" t="s">
        <v>1172</v>
      </c>
      <c r="E3106" s="38">
        <v>26</v>
      </c>
      <c r="F3106" s="67">
        <f>'BASIC DATA'!$C$552</f>
        <v>350</v>
      </c>
      <c r="G3106" s="38">
        <f>E3106*F3106</f>
        <v>9100</v>
      </c>
    </row>
    <row r="3107" spans="1:7">
      <c r="B3107" s="1268" t="s">
        <v>7956</v>
      </c>
      <c r="C3107" s="1268"/>
      <c r="D3107" s="1268"/>
      <c r="E3107" s="1268"/>
      <c r="F3107" s="38" t="s">
        <v>4108</v>
      </c>
      <c r="G3107" s="765">
        <f>SUM(G3105:G3106)</f>
        <v>10450</v>
      </c>
    </row>
    <row r="3108" spans="1:7"/>
    <row r="3109" spans="1:7">
      <c r="B3109" s="325" t="s">
        <v>1175</v>
      </c>
    </row>
    <row r="3110" spans="1:7">
      <c r="B3110" s="27" t="s">
        <v>7957</v>
      </c>
      <c r="F3110" s="26" t="s">
        <v>4108</v>
      </c>
      <c r="G3110" s="68">
        <f>G3096</f>
        <v>0</v>
      </c>
    </row>
    <row r="3111" spans="1:7">
      <c r="B3111" s="27" t="s">
        <v>7958</v>
      </c>
      <c r="F3111" s="26" t="s">
        <v>4108</v>
      </c>
      <c r="G3111" s="68">
        <f>G3101</f>
        <v>0</v>
      </c>
    </row>
    <row r="3112" spans="1:7">
      <c r="B3112" s="27" t="s">
        <v>7959</v>
      </c>
      <c r="F3112" s="26" t="s">
        <v>4108</v>
      </c>
      <c r="G3112" s="68">
        <f>G3107</f>
        <v>10450</v>
      </c>
    </row>
    <row r="3113" spans="1:7">
      <c r="B3113" s="27"/>
      <c r="D3113" s="26" t="s">
        <v>1518</v>
      </c>
      <c r="G3113" s="205">
        <f>SUM(G3110:G3112)</f>
        <v>10450</v>
      </c>
    </row>
    <row r="3114" spans="1:7">
      <c r="B3114" s="27" t="s">
        <v>7960</v>
      </c>
      <c r="E3114" s="201">
        <f>'BASIC DATA'!$C$577</f>
        <v>0.13614999999999999</v>
      </c>
      <c r="G3114" s="26">
        <f>G3113*E3114</f>
        <v>1422.7674999999999</v>
      </c>
    </row>
    <row r="3115" spans="1:7">
      <c r="B3115" s="27" t="s">
        <v>7961</v>
      </c>
      <c r="G3115" s="211">
        <f>SUM(G3113:G3114)</f>
        <v>11872.7675</v>
      </c>
    </row>
    <row r="3116" spans="1:7">
      <c r="C3116" s="170" t="s">
        <v>7962</v>
      </c>
      <c r="D3116" s="26" t="s">
        <v>7963</v>
      </c>
      <c r="G3116" s="170">
        <f>ROUND(G3115/F3092,1)</f>
        <v>5.9</v>
      </c>
    </row>
    <row r="3117" spans="1:7"/>
    <row r="3118" spans="1:7">
      <c r="A3118" s="27" t="s">
        <v>7972</v>
      </c>
      <c r="B3118" s="79" t="s">
        <v>7966</v>
      </c>
    </row>
    <row r="3119" spans="1:7"/>
    <row r="3120" spans="1:7">
      <c r="C3120" s="79" t="s">
        <v>2367</v>
      </c>
    </row>
    <row r="3121" spans="2:7">
      <c r="B3121" s="26"/>
      <c r="E3121" s="26" t="s">
        <v>7953</v>
      </c>
      <c r="F3121" s="170">
        <v>2000</v>
      </c>
      <c r="G3121" s="26" t="s">
        <v>5860</v>
      </c>
    </row>
    <row r="3122" spans="2:7">
      <c r="B3122" s="89" t="s">
        <v>7952</v>
      </c>
      <c r="C3122" s="174"/>
      <c r="D3122" s="174"/>
      <c r="E3122" s="174"/>
      <c r="F3122" s="174"/>
      <c r="G3122" s="174"/>
    </row>
    <row r="3123" spans="2:7" ht="36">
      <c r="B3123" s="114" t="s">
        <v>7243</v>
      </c>
      <c r="C3123" s="191" t="s">
        <v>4443</v>
      </c>
      <c r="D3123" s="191" t="s">
        <v>2370</v>
      </c>
      <c r="E3123" s="191" t="s">
        <v>1166</v>
      </c>
      <c r="F3123" s="414" t="s">
        <v>6247</v>
      </c>
      <c r="G3123" s="414" t="s">
        <v>6248</v>
      </c>
    </row>
    <row r="3124" spans="2:7">
      <c r="B3124" s="36">
        <v>1</v>
      </c>
      <c r="C3124" s="38" t="s">
        <v>6976</v>
      </c>
      <c r="D3124" s="38"/>
      <c r="E3124" s="38">
        <v>0</v>
      </c>
      <c r="F3124" s="38">
        <v>0</v>
      </c>
      <c r="G3124" s="38">
        <v>0</v>
      </c>
    </row>
    <row r="3125" spans="2:7">
      <c r="B3125" s="1268" t="s">
        <v>7954</v>
      </c>
      <c r="C3125" s="1268"/>
      <c r="D3125" s="1268"/>
      <c r="E3125" s="1268"/>
      <c r="F3125" s="38" t="s">
        <v>4108</v>
      </c>
      <c r="G3125" s="765">
        <v>0</v>
      </c>
    </row>
    <row r="3126" spans="2:7"/>
    <row r="3127" spans="2:7">
      <c r="B3127" s="89" t="s">
        <v>6246</v>
      </c>
      <c r="C3127" s="174"/>
      <c r="D3127" s="174"/>
      <c r="E3127" s="174"/>
      <c r="F3127" s="174"/>
      <c r="G3127" s="174"/>
    </row>
    <row r="3128" spans="2:7" ht="36">
      <c r="B3128" s="114" t="s">
        <v>7243</v>
      </c>
      <c r="C3128" s="191" t="s">
        <v>2378</v>
      </c>
      <c r="D3128" s="191" t="s">
        <v>2370</v>
      </c>
      <c r="E3128" s="191" t="s">
        <v>1166</v>
      </c>
      <c r="F3128" s="414" t="s">
        <v>6247</v>
      </c>
      <c r="G3128" s="414" t="s">
        <v>6248</v>
      </c>
    </row>
    <row r="3129" spans="2:7">
      <c r="B3129" s="36">
        <v>1</v>
      </c>
      <c r="C3129" s="38" t="s">
        <v>6976</v>
      </c>
      <c r="D3129" s="38"/>
      <c r="E3129" s="38">
        <v>0</v>
      </c>
      <c r="F3129" s="38">
        <v>0</v>
      </c>
      <c r="G3129" s="38">
        <v>0</v>
      </c>
    </row>
    <row r="3130" spans="2:7">
      <c r="B3130" s="1268" t="s">
        <v>2380</v>
      </c>
      <c r="C3130" s="1268"/>
      <c r="D3130" s="1268"/>
      <c r="E3130" s="1268"/>
      <c r="F3130" s="38" t="s">
        <v>4108</v>
      </c>
      <c r="G3130" s="765">
        <v>0</v>
      </c>
    </row>
    <row r="3131" spans="2:7"/>
    <row r="3132" spans="2:7">
      <c r="B3132" s="89" t="s">
        <v>6252</v>
      </c>
      <c r="C3132" s="174"/>
      <c r="D3132" s="174"/>
      <c r="E3132" s="174"/>
      <c r="F3132" s="174"/>
      <c r="G3132" s="174"/>
    </row>
    <row r="3133" spans="2:7" ht="36">
      <c r="B3133" s="114" t="s">
        <v>7243</v>
      </c>
      <c r="C3133" s="191" t="s">
        <v>2378</v>
      </c>
      <c r="D3133" s="191" t="s">
        <v>2370</v>
      </c>
      <c r="E3133" s="191" t="s">
        <v>1166</v>
      </c>
      <c r="F3133" s="414" t="s">
        <v>6247</v>
      </c>
      <c r="G3133" s="414" t="s">
        <v>6248</v>
      </c>
    </row>
    <row r="3134" spans="2:7">
      <c r="B3134" s="36">
        <v>1</v>
      </c>
      <c r="C3134" s="38" t="s">
        <v>7955</v>
      </c>
      <c r="D3134" s="38" t="s">
        <v>1172</v>
      </c>
      <c r="E3134" s="38">
        <v>2.5</v>
      </c>
      <c r="F3134" s="67">
        <f>'BASIC DATA'!$C$473</f>
        <v>450</v>
      </c>
      <c r="G3134" s="38">
        <f>E3134*F3134</f>
        <v>1125</v>
      </c>
    </row>
    <row r="3135" spans="2:7">
      <c r="B3135" s="36">
        <v>2</v>
      </c>
      <c r="C3135" s="38" t="s">
        <v>4647</v>
      </c>
      <c r="D3135" s="38" t="s">
        <v>1172</v>
      </c>
      <c r="E3135" s="38">
        <v>22</v>
      </c>
      <c r="F3135" s="67">
        <f>'BASIC DATA'!$C$552</f>
        <v>350</v>
      </c>
      <c r="G3135" s="38">
        <f>E3135*F3135</f>
        <v>7700</v>
      </c>
    </row>
    <row r="3136" spans="2:7">
      <c r="B3136" s="1268" t="s">
        <v>7956</v>
      </c>
      <c r="C3136" s="1268"/>
      <c r="D3136" s="1268"/>
      <c r="E3136" s="1268"/>
      <c r="F3136" s="38" t="s">
        <v>4108</v>
      </c>
      <c r="G3136" s="765">
        <f>SUM(G3134:G3135)</f>
        <v>8825</v>
      </c>
    </row>
    <row r="3137" spans="1:7"/>
    <row r="3138" spans="1:7">
      <c r="B3138" s="325" t="s">
        <v>1175</v>
      </c>
    </row>
    <row r="3139" spans="1:7">
      <c r="B3139" s="27" t="s">
        <v>7957</v>
      </c>
      <c r="F3139" s="26" t="s">
        <v>4108</v>
      </c>
      <c r="G3139" s="68">
        <f>G3125</f>
        <v>0</v>
      </c>
    </row>
    <row r="3140" spans="1:7">
      <c r="B3140" s="27" t="s">
        <v>7958</v>
      </c>
      <c r="F3140" s="26" t="s">
        <v>4108</v>
      </c>
      <c r="G3140" s="68">
        <f>G3130</f>
        <v>0</v>
      </c>
    </row>
    <row r="3141" spans="1:7">
      <c r="B3141" s="27" t="s">
        <v>7959</v>
      </c>
      <c r="F3141" s="26" t="s">
        <v>4108</v>
      </c>
      <c r="G3141" s="68">
        <f>G3136</f>
        <v>8825</v>
      </c>
    </row>
    <row r="3142" spans="1:7">
      <c r="B3142" s="27"/>
      <c r="D3142" s="26" t="s">
        <v>1518</v>
      </c>
      <c r="G3142" s="205">
        <f>SUM(G3139:G3141)</f>
        <v>8825</v>
      </c>
    </row>
    <row r="3143" spans="1:7">
      <c r="B3143" s="27" t="s">
        <v>7960</v>
      </c>
      <c r="E3143" s="201">
        <f>'BASIC DATA'!$C$577</f>
        <v>0.13614999999999999</v>
      </c>
      <c r="G3143" s="26">
        <f>G3142*E3143</f>
        <v>1201.5237499999998</v>
      </c>
    </row>
    <row r="3144" spans="1:7">
      <c r="B3144" s="27" t="s">
        <v>7961</v>
      </c>
      <c r="G3144" s="211">
        <f>SUM(G3142:G3143)</f>
        <v>10026.52375</v>
      </c>
    </row>
    <row r="3145" spans="1:7">
      <c r="C3145" s="170" t="s">
        <v>7962</v>
      </c>
      <c r="D3145" s="26" t="s">
        <v>7963</v>
      </c>
      <c r="G3145" s="170">
        <f>ROUND(G3144/F3121,1)</f>
        <v>5</v>
      </c>
    </row>
    <row r="3146" spans="1:7"/>
    <row r="3147" spans="1:7">
      <c r="A3147" s="27" t="s">
        <v>7973</v>
      </c>
      <c r="B3147" s="79" t="s">
        <v>7967</v>
      </c>
    </row>
    <row r="3148" spans="1:7"/>
    <row r="3149" spans="1:7">
      <c r="C3149" s="79" t="s">
        <v>2367</v>
      </c>
    </row>
    <row r="3150" spans="1:7">
      <c r="B3150" s="26"/>
      <c r="E3150" s="26" t="s">
        <v>7953</v>
      </c>
      <c r="F3150" s="170">
        <v>2000</v>
      </c>
      <c r="G3150" s="26" t="s">
        <v>5860</v>
      </c>
    </row>
    <row r="3151" spans="1:7">
      <c r="B3151" s="89" t="s">
        <v>7952</v>
      </c>
      <c r="C3151" s="174"/>
      <c r="D3151" s="174"/>
      <c r="E3151" s="174"/>
      <c r="F3151" s="174"/>
      <c r="G3151" s="174"/>
    </row>
    <row r="3152" spans="1:7" ht="36">
      <c r="B3152" s="114" t="s">
        <v>7243</v>
      </c>
      <c r="C3152" s="191" t="s">
        <v>4443</v>
      </c>
      <c r="D3152" s="191" t="s">
        <v>2370</v>
      </c>
      <c r="E3152" s="191" t="s">
        <v>1166</v>
      </c>
      <c r="F3152" s="414" t="s">
        <v>6247</v>
      </c>
      <c r="G3152" s="414" t="s">
        <v>6248</v>
      </c>
    </row>
    <row r="3153" spans="2:7">
      <c r="B3153" s="36">
        <v>1</v>
      </c>
      <c r="C3153" s="38" t="s">
        <v>6976</v>
      </c>
      <c r="D3153" s="38"/>
      <c r="E3153" s="38">
        <v>0</v>
      </c>
      <c r="F3153" s="38">
        <v>0</v>
      </c>
      <c r="G3153" s="38">
        <v>0</v>
      </c>
    </row>
    <row r="3154" spans="2:7">
      <c r="B3154" s="1268" t="s">
        <v>7954</v>
      </c>
      <c r="C3154" s="1268"/>
      <c r="D3154" s="1268"/>
      <c r="E3154" s="1268"/>
      <c r="F3154" s="38" t="s">
        <v>4108</v>
      </c>
      <c r="G3154" s="765">
        <v>0</v>
      </c>
    </row>
    <row r="3155" spans="2:7"/>
    <row r="3156" spans="2:7">
      <c r="B3156" s="89" t="s">
        <v>6246</v>
      </c>
      <c r="C3156" s="174"/>
      <c r="D3156" s="174"/>
      <c r="E3156" s="174"/>
      <c r="F3156" s="174"/>
      <c r="G3156" s="174"/>
    </row>
    <row r="3157" spans="2:7" ht="36">
      <c r="B3157" s="114" t="s">
        <v>7243</v>
      </c>
      <c r="C3157" s="191" t="s">
        <v>2378</v>
      </c>
      <c r="D3157" s="191" t="s">
        <v>2370</v>
      </c>
      <c r="E3157" s="191" t="s">
        <v>1166</v>
      </c>
      <c r="F3157" s="414" t="s">
        <v>6247</v>
      </c>
      <c r="G3157" s="414" t="s">
        <v>6248</v>
      </c>
    </row>
    <row r="3158" spans="2:7">
      <c r="B3158" s="36">
        <v>1</v>
      </c>
      <c r="C3158" s="38" t="s">
        <v>6976</v>
      </c>
      <c r="D3158" s="38"/>
      <c r="E3158" s="38">
        <v>0</v>
      </c>
      <c r="F3158" s="38">
        <v>0</v>
      </c>
      <c r="G3158" s="38">
        <v>0</v>
      </c>
    </row>
    <row r="3159" spans="2:7">
      <c r="B3159" s="1268" t="s">
        <v>2380</v>
      </c>
      <c r="C3159" s="1268"/>
      <c r="D3159" s="1268"/>
      <c r="E3159" s="1268"/>
      <c r="F3159" s="38" t="s">
        <v>4108</v>
      </c>
      <c r="G3159" s="765">
        <v>0</v>
      </c>
    </row>
    <row r="3160" spans="2:7"/>
    <row r="3161" spans="2:7">
      <c r="B3161" s="89" t="s">
        <v>6252</v>
      </c>
      <c r="C3161" s="174"/>
      <c r="D3161" s="174"/>
      <c r="E3161" s="174"/>
      <c r="F3161" s="174"/>
      <c r="G3161" s="174"/>
    </row>
    <row r="3162" spans="2:7" ht="36">
      <c r="B3162" s="114" t="s">
        <v>7243</v>
      </c>
      <c r="C3162" s="191" t="s">
        <v>2378</v>
      </c>
      <c r="D3162" s="191" t="s">
        <v>2370</v>
      </c>
      <c r="E3162" s="191" t="s">
        <v>1166</v>
      </c>
      <c r="F3162" s="414" t="s">
        <v>6247</v>
      </c>
      <c r="G3162" s="414" t="s">
        <v>6248</v>
      </c>
    </row>
    <row r="3163" spans="2:7">
      <c r="B3163" s="36">
        <v>1</v>
      </c>
      <c r="C3163" s="38" t="s">
        <v>7955</v>
      </c>
      <c r="D3163" s="38" t="s">
        <v>1172</v>
      </c>
      <c r="E3163" s="38">
        <v>3</v>
      </c>
      <c r="F3163" s="67">
        <f>'BASIC DATA'!$C$473</f>
        <v>450</v>
      </c>
      <c r="G3163" s="38">
        <f>E3163*F3163</f>
        <v>1350</v>
      </c>
    </row>
    <row r="3164" spans="2:7">
      <c r="B3164" s="36">
        <v>2</v>
      </c>
      <c r="C3164" s="38" t="s">
        <v>4647</v>
      </c>
      <c r="D3164" s="38" t="s">
        <v>1172</v>
      </c>
      <c r="E3164" s="38">
        <v>26</v>
      </c>
      <c r="F3164" s="67">
        <f>'BASIC DATA'!$C$552</f>
        <v>350</v>
      </c>
      <c r="G3164" s="38">
        <f>E3164*F3164</f>
        <v>9100</v>
      </c>
    </row>
    <row r="3165" spans="2:7">
      <c r="B3165" s="1268" t="s">
        <v>7956</v>
      </c>
      <c r="C3165" s="1268"/>
      <c r="D3165" s="1268"/>
      <c r="E3165" s="1268"/>
      <c r="F3165" s="38" t="s">
        <v>4108</v>
      </c>
      <c r="G3165" s="765">
        <f>SUM(G3163:G3164)</f>
        <v>10450</v>
      </c>
    </row>
    <row r="3166" spans="2:7"/>
    <row r="3167" spans="2:7">
      <c r="B3167" s="325" t="s">
        <v>1175</v>
      </c>
    </row>
    <row r="3168" spans="2:7">
      <c r="B3168" s="27" t="s">
        <v>7957</v>
      </c>
      <c r="F3168" s="26" t="s">
        <v>4108</v>
      </c>
      <c r="G3168" s="68">
        <f>G3154</f>
        <v>0</v>
      </c>
    </row>
    <row r="3169" spans="1:7">
      <c r="B3169" s="27" t="s">
        <v>7958</v>
      </c>
      <c r="F3169" s="26" t="s">
        <v>4108</v>
      </c>
      <c r="G3169" s="68">
        <f>G3159</f>
        <v>0</v>
      </c>
    </row>
    <row r="3170" spans="1:7">
      <c r="B3170" s="27" t="s">
        <v>7959</v>
      </c>
      <c r="F3170" s="26" t="s">
        <v>4108</v>
      </c>
      <c r="G3170" s="68">
        <f>G3165</f>
        <v>10450</v>
      </c>
    </row>
    <row r="3171" spans="1:7">
      <c r="B3171" s="27"/>
      <c r="D3171" s="26" t="s">
        <v>1518</v>
      </c>
      <c r="G3171" s="205">
        <f>SUM(G3168:G3170)</f>
        <v>10450</v>
      </c>
    </row>
    <row r="3172" spans="1:7">
      <c r="B3172" s="27" t="s">
        <v>7960</v>
      </c>
      <c r="E3172" s="201">
        <f>'BASIC DATA'!$C$577</f>
        <v>0.13614999999999999</v>
      </c>
      <c r="G3172" s="26">
        <f>G3171*E3172</f>
        <v>1422.7674999999999</v>
      </c>
    </row>
    <row r="3173" spans="1:7">
      <c r="B3173" s="27" t="s">
        <v>7961</v>
      </c>
      <c r="G3173" s="211">
        <f>SUM(G3171:G3172)</f>
        <v>11872.7675</v>
      </c>
    </row>
    <row r="3174" spans="1:7">
      <c r="C3174" s="170" t="s">
        <v>7962</v>
      </c>
      <c r="D3174" s="26" t="s">
        <v>7963</v>
      </c>
      <c r="G3174" s="170">
        <f>ROUND(G3173/F3150,1)</f>
        <v>5.9</v>
      </c>
    </row>
    <row r="3175" spans="1:7"/>
    <row r="3176" spans="1:7">
      <c r="A3176" s="27" t="s">
        <v>7974</v>
      </c>
      <c r="B3176" s="79" t="s">
        <v>7968</v>
      </c>
    </row>
    <row r="3177" spans="1:7"/>
    <row r="3178" spans="1:7">
      <c r="C3178" s="79" t="s">
        <v>2367</v>
      </c>
    </row>
    <row r="3179" spans="1:7">
      <c r="B3179" s="26"/>
      <c r="E3179" s="26" t="s">
        <v>7953</v>
      </c>
      <c r="F3179" s="170">
        <v>2000</v>
      </c>
      <c r="G3179" s="26" t="s">
        <v>5860</v>
      </c>
    </row>
    <row r="3180" spans="1:7">
      <c r="B3180" s="89" t="s">
        <v>7952</v>
      </c>
      <c r="C3180" s="174"/>
      <c r="D3180" s="174"/>
      <c r="E3180" s="174"/>
      <c r="F3180" s="174"/>
      <c r="G3180" s="174"/>
    </row>
    <row r="3181" spans="1:7" ht="36">
      <c r="B3181" s="114" t="s">
        <v>7243</v>
      </c>
      <c r="C3181" s="191" t="s">
        <v>4443</v>
      </c>
      <c r="D3181" s="191" t="s">
        <v>2370</v>
      </c>
      <c r="E3181" s="191" t="s">
        <v>1166</v>
      </c>
      <c r="F3181" s="414" t="s">
        <v>6247</v>
      </c>
      <c r="G3181" s="414" t="s">
        <v>6248</v>
      </c>
    </row>
    <row r="3182" spans="1:7">
      <c r="B3182" s="36">
        <v>1</v>
      </c>
      <c r="C3182" s="38" t="s">
        <v>6976</v>
      </c>
      <c r="D3182" s="38"/>
      <c r="E3182" s="38">
        <v>0</v>
      </c>
      <c r="F3182" s="38">
        <v>0</v>
      </c>
      <c r="G3182" s="38">
        <v>0</v>
      </c>
    </row>
    <row r="3183" spans="1:7">
      <c r="B3183" s="1268" t="s">
        <v>7954</v>
      </c>
      <c r="C3183" s="1268"/>
      <c r="D3183" s="1268"/>
      <c r="E3183" s="1268"/>
      <c r="F3183" s="38" t="s">
        <v>4108</v>
      </c>
      <c r="G3183" s="765">
        <v>0</v>
      </c>
    </row>
    <row r="3184" spans="1:7"/>
    <row r="3185" spans="2:7">
      <c r="B3185" s="89" t="s">
        <v>6246</v>
      </c>
      <c r="C3185" s="174"/>
      <c r="D3185" s="174"/>
      <c r="E3185" s="174"/>
      <c r="F3185" s="174"/>
      <c r="G3185" s="174"/>
    </row>
    <row r="3186" spans="2:7" ht="36">
      <c r="B3186" s="114" t="s">
        <v>7243</v>
      </c>
      <c r="C3186" s="191" t="s">
        <v>2378</v>
      </c>
      <c r="D3186" s="191" t="s">
        <v>2370</v>
      </c>
      <c r="E3186" s="191" t="s">
        <v>1166</v>
      </c>
      <c r="F3186" s="414" t="s">
        <v>6247</v>
      </c>
      <c r="G3186" s="414" t="s">
        <v>6248</v>
      </c>
    </row>
    <row r="3187" spans="2:7">
      <c r="B3187" s="36">
        <v>1</v>
      </c>
      <c r="C3187" s="38" t="s">
        <v>6976</v>
      </c>
      <c r="D3187" s="38"/>
      <c r="E3187" s="38">
        <v>0</v>
      </c>
      <c r="F3187" s="38">
        <v>0</v>
      </c>
      <c r="G3187" s="38">
        <v>0</v>
      </c>
    </row>
    <row r="3188" spans="2:7">
      <c r="B3188" s="1268" t="s">
        <v>2380</v>
      </c>
      <c r="C3188" s="1268"/>
      <c r="D3188" s="1268"/>
      <c r="E3188" s="1268"/>
      <c r="F3188" s="38" t="s">
        <v>4108</v>
      </c>
      <c r="G3188" s="765">
        <v>0</v>
      </c>
    </row>
    <row r="3189" spans="2:7"/>
    <row r="3190" spans="2:7">
      <c r="B3190" s="89" t="s">
        <v>6252</v>
      </c>
      <c r="C3190" s="174"/>
      <c r="D3190" s="174"/>
      <c r="E3190" s="174"/>
      <c r="F3190" s="174"/>
      <c r="G3190" s="174"/>
    </row>
    <row r="3191" spans="2:7" ht="36">
      <c r="B3191" s="114" t="s">
        <v>7243</v>
      </c>
      <c r="C3191" s="191" t="s">
        <v>2378</v>
      </c>
      <c r="D3191" s="191" t="s">
        <v>2370</v>
      </c>
      <c r="E3191" s="191" t="s">
        <v>1166</v>
      </c>
      <c r="F3191" s="414" t="s">
        <v>6247</v>
      </c>
      <c r="G3191" s="414" t="s">
        <v>6248</v>
      </c>
    </row>
    <row r="3192" spans="2:7">
      <c r="B3192" s="36">
        <v>1</v>
      </c>
      <c r="C3192" s="38" t="s">
        <v>7955</v>
      </c>
      <c r="D3192" s="38" t="s">
        <v>1172</v>
      </c>
      <c r="E3192" s="38">
        <v>1.2</v>
      </c>
      <c r="F3192" s="67">
        <f>'BASIC DATA'!$C$473</f>
        <v>450</v>
      </c>
      <c r="G3192" s="38">
        <f>E3192*F3192</f>
        <v>540</v>
      </c>
    </row>
    <row r="3193" spans="2:7">
      <c r="B3193" s="36">
        <v>2</v>
      </c>
      <c r="C3193" s="38" t="s">
        <v>4647</v>
      </c>
      <c r="D3193" s="38" t="s">
        <v>1172</v>
      </c>
      <c r="E3193" s="38">
        <v>8</v>
      </c>
      <c r="F3193" s="67">
        <f>'BASIC DATA'!$C$552</f>
        <v>350</v>
      </c>
      <c r="G3193" s="38">
        <f>E3193*F3193</f>
        <v>2800</v>
      </c>
    </row>
    <row r="3194" spans="2:7">
      <c r="B3194" s="1268" t="s">
        <v>7956</v>
      </c>
      <c r="C3194" s="1268"/>
      <c r="D3194" s="1268"/>
      <c r="E3194" s="1268"/>
      <c r="F3194" s="38" t="s">
        <v>4108</v>
      </c>
      <c r="G3194" s="765">
        <f>SUM(G3192:G3193)</f>
        <v>3340</v>
      </c>
    </row>
    <row r="3195" spans="2:7"/>
    <row r="3196" spans="2:7">
      <c r="B3196" s="325" t="s">
        <v>1175</v>
      </c>
    </row>
    <row r="3197" spans="2:7">
      <c r="B3197" s="27" t="s">
        <v>7957</v>
      </c>
      <c r="F3197" s="26" t="s">
        <v>4108</v>
      </c>
      <c r="G3197" s="68">
        <f>G3183</f>
        <v>0</v>
      </c>
    </row>
    <row r="3198" spans="2:7">
      <c r="B3198" s="27" t="s">
        <v>7958</v>
      </c>
      <c r="F3198" s="26" t="s">
        <v>4108</v>
      </c>
      <c r="G3198" s="68">
        <f>G3188</f>
        <v>0</v>
      </c>
    </row>
    <row r="3199" spans="2:7">
      <c r="B3199" s="27" t="s">
        <v>7959</v>
      </c>
      <c r="F3199" s="26" t="s">
        <v>4108</v>
      </c>
      <c r="G3199" s="68">
        <f>G3194</f>
        <v>3340</v>
      </c>
    </row>
    <row r="3200" spans="2:7">
      <c r="B3200" s="27"/>
      <c r="D3200" s="26" t="s">
        <v>1518</v>
      </c>
      <c r="G3200" s="205">
        <f>SUM(G3197:G3199)</f>
        <v>3340</v>
      </c>
    </row>
    <row r="3201" spans="2:7">
      <c r="B3201" s="27" t="s">
        <v>7960</v>
      </c>
      <c r="E3201" s="201">
        <f>'BASIC DATA'!$C$577</f>
        <v>0.13614999999999999</v>
      </c>
      <c r="G3201" s="26">
        <f>G3200*E3201</f>
        <v>454.74099999999999</v>
      </c>
    </row>
    <row r="3202" spans="2:7">
      <c r="B3202" s="27" t="s">
        <v>7961</v>
      </c>
      <c r="G3202" s="211">
        <f>SUM(G3200:G3201)</f>
        <v>3794.741</v>
      </c>
    </row>
    <row r="3203" spans="2:7">
      <c r="C3203" s="170" t="s">
        <v>7962</v>
      </c>
      <c r="D3203" s="26" t="s">
        <v>7963</v>
      </c>
      <c r="G3203" s="170">
        <f>ROUND(G3202/F3179,1)</f>
        <v>1.9</v>
      </c>
    </row>
    <row r="3204" spans="2:7"/>
    <row r="3205" spans="2:7"/>
    <row r="3206" spans="2:7"/>
    <row r="3207" spans="2:7"/>
    <row r="3208" spans="2:7"/>
    <row r="3209" spans="2:7"/>
    <row r="3210" spans="2:7"/>
    <row r="3211" spans="2:7"/>
    <row r="3212" spans="2:7"/>
    <row r="3213" spans="2:7"/>
    <row r="3214" spans="2:7"/>
    <row r="3215" spans="2:7"/>
    <row r="3216" spans="2:7"/>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sheetData>
  <sheetProtection selectLockedCells="1" selectUnlockedCells="1"/>
  <mergeCells count="102">
    <mergeCell ref="B3024:C3024"/>
    <mergeCell ref="B3008:I3009"/>
    <mergeCell ref="B3002:I3002"/>
    <mergeCell ref="B2991:J2991"/>
    <mergeCell ref="B2992:J2992"/>
    <mergeCell ref="B2994:J2994"/>
    <mergeCell ref="B2979:I2979"/>
    <mergeCell ref="B1060:C1060"/>
    <mergeCell ref="B1138:C1138"/>
    <mergeCell ref="B1284:C1284"/>
    <mergeCell ref="B2988:J2988"/>
    <mergeCell ref="B2989:J2989"/>
    <mergeCell ref="B2990:J2990"/>
    <mergeCell ref="B2902:D2902"/>
    <mergeCell ref="B2929:D2929"/>
    <mergeCell ref="B2930:D2930"/>
    <mergeCell ref="B2931:D2931"/>
    <mergeCell ref="B2892:J2892"/>
    <mergeCell ref="B2893:J2893"/>
    <mergeCell ref="B2894:J2894"/>
    <mergeCell ref="B2964:I2965"/>
    <mergeCell ref="B2951:I2951"/>
    <mergeCell ref="B2937:J2937"/>
    <mergeCell ref="B2938:J2938"/>
    <mergeCell ref="B2939:J2939"/>
    <mergeCell ref="B2940:J2940"/>
    <mergeCell ref="B2941:J2941"/>
    <mergeCell ref="B2943:J2943"/>
    <mergeCell ref="B2932:D2932"/>
    <mergeCell ref="B2933:D2933"/>
    <mergeCell ref="B2935:C2935"/>
    <mergeCell ref="B2478:C2478"/>
    <mergeCell ref="B2217:C2217"/>
    <mergeCell ref="B2340:C2340"/>
    <mergeCell ref="B2096:C2096"/>
    <mergeCell ref="B2382:C2382"/>
    <mergeCell ref="B1731:C1731"/>
    <mergeCell ref="B1976:C1976"/>
    <mergeCell ref="B1818:C1818"/>
    <mergeCell ref="B2934:D2934"/>
    <mergeCell ref="B2895:J2895"/>
    <mergeCell ref="B1860:C1860"/>
    <mergeCell ref="B2886:C2886"/>
    <mergeCell ref="B2704:C2704"/>
    <mergeCell ref="B2754:C2754"/>
    <mergeCell ref="B2804:C2804"/>
    <mergeCell ref="B2844:C2844"/>
    <mergeCell ref="B2528:C2528"/>
    <mergeCell ref="B2430:C2430"/>
    <mergeCell ref="B2928:I2928"/>
    <mergeCell ref="B2914:I2915"/>
    <mergeCell ref="B2896:J2896"/>
    <mergeCell ref="B2904:I2904"/>
    <mergeCell ref="B2890:J2890"/>
    <mergeCell ref="B2891:J2891"/>
    <mergeCell ref="B1217:C1217"/>
    <mergeCell ref="B1520:C1520"/>
    <mergeCell ref="B1391:C1391"/>
    <mergeCell ref="B1676:C1676"/>
    <mergeCell ref="B1453:C1453"/>
    <mergeCell ref="B443:C443"/>
    <mergeCell ref="B994:C994"/>
    <mergeCell ref="B486:C486"/>
    <mergeCell ref="B1777:C1777"/>
    <mergeCell ref="B1595:C1595"/>
    <mergeCell ref="B1336:C1336"/>
    <mergeCell ref="B3038:E3038"/>
    <mergeCell ref="B3043:E3043"/>
    <mergeCell ref="B3049:E3049"/>
    <mergeCell ref="B3067:E3067"/>
    <mergeCell ref="B3072:E3072"/>
    <mergeCell ref="B3078:E3078"/>
    <mergeCell ref="B49:C49"/>
    <mergeCell ref="B93:C93"/>
    <mergeCell ref="B138:C138"/>
    <mergeCell ref="B183:C183"/>
    <mergeCell ref="B358:C358"/>
    <mergeCell ref="B703:C703"/>
    <mergeCell ref="B617:C617"/>
    <mergeCell ref="B228:C228"/>
    <mergeCell ref="B274:C274"/>
    <mergeCell ref="B400:C400"/>
    <mergeCell ref="B662:C662"/>
    <mergeCell ref="B841:C841"/>
    <mergeCell ref="B572:C572"/>
    <mergeCell ref="B918:C918"/>
    <mergeCell ref="B789:C789"/>
    <mergeCell ref="B747:C747"/>
    <mergeCell ref="B317:C317"/>
    <mergeCell ref="B529:C529"/>
    <mergeCell ref="B3154:E3154"/>
    <mergeCell ref="B3159:E3159"/>
    <mergeCell ref="B3165:E3165"/>
    <mergeCell ref="B3183:E3183"/>
    <mergeCell ref="B3188:E3188"/>
    <mergeCell ref="B3194:E3194"/>
    <mergeCell ref="B3096:E3096"/>
    <mergeCell ref="B3101:E3101"/>
    <mergeCell ref="B3107:E3107"/>
    <mergeCell ref="B3125:E3125"/>
    <mergeCell ref="B3130:E3130"/>
    <mergeCell ref="B3136:E3136"/>
  </mergeCells>
  <phoneticPr fontId="5" type="noConversion"/>
  <pageMargins left="0.5" right="0.5" top="0.54" bottom="0.73" header="0.5" footer="0.44"/>
  <pageSetup paperSize="9" scale="61" firstPageNumber="318" orientation="portrait" useFirstPageNumber="1" r:id="rId1"/>
  <headerFooter alignWithMargins="0">
    <oddHeader>&amp;R&amp;9Preliminary and Maintenance Works - Item Unit Rates 2012-13</oddHeader>
    <oddFooter>&amp;R&amp;P</oddFooter>
  </headerFooter>
</worksheet>
</file>

<file path=xl/worksheets/sheet19.xml><?xml version="1.0" encoding="utf-8"?>
<worksheet xmlns="http://schemas.openxmlformats.org/spreadsheetml/2006/main" xmlns:r="http://schemas.openxmlformats.org/officeDocument/2006/relationships">
  <sheetPr codeName="Sheet19"/>
  <dimension ref="A1"/>
  <sheetViews>
    <sheetView workbookViewId="0">
      <selection activeCell="S26" sqref="S26"/>
    </sheetView>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dimension ref="B3:H36"/>
  <sheetViews>
    <sheetView view="pageBreakPreview" topLeftCell="A16" zoomScaleSheetLayoutView="100" workbookViewId="0">
      <selection activeCell="E31" sqref="E31"/>
    </sheetView>
  </sheetViews>
  <sheetFormatPr defaultRowHeight="12.75"/>
  <cols>
    <col min="1" max="2" width="9.140625" style="1054"/>
    <col min="3" max="3" width="26.5703125" style="1054" customWidth="1"/>
    <col min="4" max="4" width="14.28515625" style="1054" customWidth="1"/>
    <col min="5" max="5" width="11.28515625" style="1054" customWidth="1"/>
    <col min="6" max="6" width="10.28515625" style="1054" customWidth="1"/>
    <col min="7" max="7" width="10" style="1054" customWidth="1"/>
    <col min="8" max="16384" width="9.140625" style="1054"/>
  </cols>
  <sheetData>
    <row r="3" spans="2:8" ht="36" customHeight="1">
      <c r="B3" s="1173" t="s">
        <v>9849</v>
      </c>
      <c r="C3" s="1173"/>
      <c r="D3" s="1173"/>
      <c r="E3" s="1173"/>
      <c r="F3" s="1173"/>
      <c r="G3" s="1173"/>
      <c r="H3" s="1173"/>
    </row>
    <row r="4" spans="2:8" ht="14.25">
      <c r="B4" s="1055"/>
    </row>
    <row r="5" spans="2:8" ht="14.25">
      <c r="B5" s="1055"/>
    </row>
    <row r="6" spans="2:8" ht="31.5" customHeight="1">
      <c r="B6" s="1056" t="s">
        <v>2039</v>
      </c>
      <c r="C6" s="1174" t="s">
        <v>9850</v>
      </c>
      <c r="D6" s="1174"/>
    </row>
    <row r="7" spans="2:8" ht="39.75" customHeight="1">
      <c r="B7" s="1056"/>
      <c r="C7" s="1057" t="s">
        <v>9851</v>
      </c>
      <c r="D7" s="1058" t="s">
        <v>9852</v>
      </c>
    </row>
    <row r="8" spans="2:8" ht="14.25">
      <c r="B8" s="1059" t="s">
        <v>2367</v>
      </c>
    </row>
    <row r="9" spans="2:8" ht="14.25">
      <c r="B9" s="1060" t="s">
        <v>9853</v>
      </c>
    </row>
    <row r="10" spans="2:8" ht="15" customHeight="1">
      <c r="B10" s="1175" t="s">
        <v>4442</v>
      </c>
      <c r="C10" s="1175" t="s">
        <v>2378</v>
      </c>
      <c r="D10" s="1175" t="s">
        <v>2370</v>
      </c>
      <c r="E10" s="1175" t="s">
        <v>1166</v>
      </c>
      <c r="F10" s="1175" t="s">
        <v>2371</v>
      </c>
      <c r="G10" s="1175" t="s">
        <v>2372</v>
      </c>
    </row>
    <row r="11" spans="2:8" ht="13.5" customHeight="1">
      <c r="B11" s="1175"/>
      <c r="C11" s="1175"/>
      <c r="D11" s="1175"/>
      <c r="E11" s="1175"/>
      <c r="F11" s="1175"/>
      <c r="G11" s="1175"/>
    </row>
    <row r="12" spans="2:8" ht="14.25">
      <c r="B12" s="1062">
        <v>1</v>
      </c>
      <c r="C12" s="1062" t="s">
        <v>9854</v>
      </c>
      <c r="D12" s="1062" t="s">
        <v>2173</v>
      </c>
      <c r="E12" s="1062">
        <v>5</v>
      </c>
      <c r="F12" s="1062">
        <f>'BASIC DATA'!$D$359</f>
        <v>30</v>
      </c>
      <c r="G12" s="1062">
        <f>E12*F12</f>
        <v>150</v>
      </c>
    </row>
    <row r="13" spans="2:8" ht="14.25">
      <c r="B13" s="1061"/>
      <c r="C13" s="1061"/>
      <c r="D13" s="1061"/>
      <c r="E13" s="1061"/>
      <c r="F13" s="1061"/>
      <c r="G13" s="1061"/>
    </row>
    <row r="14" spans="2:8" ht="14.25">
      <c r="B14" s="1060" t="s">
        <v>1464</v>
      </c>
    </row>
    <row r="15" spans="2:8" ht="14.25">
      <c r="B15" s="1061" t="s">
        <v>4442</v>
      </c>
      <c r="C15" s="1061" t="s">
        <v>4443</v>
      </c>
      <c r="D15" s="1061" t="s">
        <v>2370</v>
      </c>
      <c r="E15" s="1061" t="s">
        <v>1166</v>
      </c>
      <c r="F15" s="1061" t="s">
        <v>2371</v>
      </c>
      <c r="G15" s="1061" t="s">
        <v>2372</v>
      </c>
    </row>
    <row r="16" spans="2:8" ht="14.25">
      <c r="B16" s="1062"/>
      <c r="C16" s="1062"/>
      <c r="D16" s="1062"/>
      <c r="E16" s="1062"/>
      <c r="F16" s="1062" t="s">
        <v>5785</v>
      </c>
      <c r="G16" s="1062">
        <v>0</v>
      </c>
    </row>
    <row r="17" spans="2:7" ht="17.25" customHeight="1">
      <c r="B17" s="1060" t="s">
        <v>9855</v>
      </c>
    </row>
    <row r="18" spans="2:7" ht="14.25">
      <c r="B18" s="1061" t="s">
        <v>4442</v>
      </c>
      <c r="C18" s="1061" t="s">
        <v>4443</v>
      </c>
      <c r="D18" s="1061" t="s">
        <v>2370</v>
      </c>
      <c r="E18" s="1061" t="s">
        <v>1166</v>
      </c>
      <c r="F18" s="1061" t="s">
        <v>2371</v>
      </c>
      <c r="G18" s="1061" t="s">
        <v>2372</v>
      </c>
    </row>
    <row r="19" spans="2:7" ht="14.25">
      <c r="B19" s="1062">
        <v>1</v>
      </c>
      <c r="C19" s="1063" t="s">
        <v>9856</v>
      </c>
      <c r="D19" s="1062" t="s">
        <v>9857</v>
      </c>
      <c r="E19" s="1062">
        <v>1</v>
      </c>
      <c r="F19" s="1062">
        <f>'BASIC DATA'!$C$473</f>
        <v>450</v>
      </c>
      <c r="G19" s="1062">
        <f>E19*F19</f>
        <v>450</v>
      </c>
    </row>
    <row r="20" spans="2:7" ht="32.25" customHeight="1">
      <c r="B20" s="1062">
        <v>2</v>
      </c>
      <c r="C20" s="1063" t="s">
        <v>9858</v>
      </c>
      <c r="D20" s="1062" t="s">
        <v>1172</v>
      </c>
      <c r="E20" s="1062">
        <v>14</v>
      </c>
      <c r="F20" s="1062">
        <f>'BASIC DATA'!$C$551</f>
        <v>350</v>
      </c>
      <c r="G20" s="1062">
        <f>E20*F20</f>
        <v>4900</v>
      </c>
    </row>
    <row r="21" spans="2:7" ht="35.25" customHeight="1">
      <c r="B21" s="1062">
        <v>3</v>
      </c>
      <c r="C21" s="1063" t="s">
        <v>9859</v>
      </c>
      <c r="D21" s="1062" t="s">
        <v>1172</v>
      </c>
      <c r="E21" s="1062">
        <v>5</v>
      </c>
      <c r="F21" s="1087">
        <f>'BASIC DATA'!$C$551</f>
        <v>350</v>
      </c>
      <c r="G21" s="1062">
        <f>E21*F21</f>
        <v>1750</v>
      </c>
    </row>
    <row r="22" spans="2:7" ht="15" customHeight="1">
      <c r="B22" s="1062"/>
      <c r="C22" s="1172" t="s">
        <v>9860</v>
      </c>
      <c r="D22" s="1172"/>
      <c r="E22" s="1172"/>
      <c r="F22" s="1172"/>
      <c r="G22" s="1062">
        <f>SUM(G19:G21)</f>
        <v>7100</v>
      </c>
    </row>
    <row r="23" spans="2:7" ht="14.25">
      <c r="B23" s="1055"/>
    </row>
    <row r="24" spans="2:7" ht="14.25">
      <c r="B24" s="1060" t="s">
        <v>1175</v>
      </c>
    </row>
    <row r="25" spans="2:7" ht="21" customHeight="1">
      <c r="B25" s="1063" t="s">
        <v>9861</v>
      </c>
      <c r="C25" s="1063" t="s">
        <v>9862</v>
      </c>
      <c r="D25" s="1064" t="s">
        <v>4108</v>
      </c>
      <c r="E25" s="1065">
        <f>G12</f>
        <v>150</v>
      </c>
    </row>
    <row r="26" spans="2:7" ht="19.5" customHeight="1">
      <c r="B26" s="1063" t="s">
        <v>9863</v>
      </c>
      <c r="C26" s="1063" t="s">
        <v>9864</v>
      </c>
      <c r="D26" s="1064" t="s">
        <v>4108</v>
      </c>
      <c r="E26" s="1065">
        <f>G16</f>
        <v>0</v>
      </c>
    </row>
    <row r="27" spans="2:7" ht="20.25" customHeight="1">
      <c r="B27" s="1063" t="s">
        <v>9865</v>
      </c>
      <c r="C27" s="1063" t="s">
        <v>9866</v>
      </c>
      <c r="D27" s="1064" t="s">
        <v>9867</v>
      </c>
      <c r="E27" s="1065">
        <f>G22</f>
        <v>7100</v>
      </c>
    </row>
    <row r="28" spans="2:7" ht="26.25" customHeight="1">
      <c r="B28" s="1063"/>
      <c r="C28" s="1063" t="s">
        <v>9868</v>
      </c>
      <c r="D28" s="1064" t="s">
        <v>4108</v>
      </c>
      <c r="E28" s="1066">
        <f>SUM(E25:E27)</f>
        <v>7250</v>
      </c>
    </row>
    <row r="29" spans="2:7" ht="18" customHeight="1">
      <c r="B29" s="1063"/>
      <c r="C29" s="1063" t="s">
        <v>9869</v>
      </c>
      <c r="D29" s="1064" t="s">
        <v>4108</v>
      </c>
      <c r="E29" s="1066">
        <f>E28/100</f>
        <v>72.5</v>
      </c>
    </row>
    <row r="30" spans="2:7" ht="15.75">
      <c r="B30" s="1063"/>
      <c r="C30" s="1067"/>
      <c r="D30" s="1067"/>
      <c r="E30" s="1068" t="s">
        <v>9957</v>
      </c>
    </row>
    <row r="31" spans="2:7" ht="15">
      <c r="B31" s="1069"/>
      <c r="C31" s="1070"/>
      <c r="D31" s="1070"/>
    </row>
    <row r="32" spans="2:7" ht="14.25">
      <c r="B32" s="1071"/>
    </row>
    <row r="33" spans="2:2" ht="14.25">
      <c r="B33" s="1071"/>
    </row>
    <row r="34" spans="2:2" ht="14.25">
      <c r="B34" s="1071"/>
    </row>
    <row r="35" spans="2:2" ht="14.25">
      <c r="B35" s="1072"/>
    </row>
    <row r="36" spans="2:2" ht="14.25">
      <c r="B36" s="1072"/>
    </row>
  </sheetData>
  <mergeCells count="9">
    <mergeCell ref="C22:F22"/>
    <mergeCell ref="B3:H3"/>
    <mergeCell ref="C6:D6"/>
    <mergeCell ref="B10:B11"/>
    <mergeCell ref="C10:C11"/>
    <mergeCell ref="D10:D11"/>
    <mergeCell ref="E10:E11"/>
    <mergeCell ref="F10:F11"/>
    <mergeCell ref="G10:G11"/>
  </mergeCells>
  <pageMargins left="0.7" right="0.7" top="0.75" bottom="0.75" header="0.3" footer="0.3"/>
  <pageSetup paperSize="9" scale="81" orientation="portrait" r:id="rId1"/>
</worksheet>
</file>

<file path=xl/worksheets/sheet20.xml><?xml version="1.0" encoding="utf-8"?>
<worksheet xmlns="http://schemas.openxmlformats.org/spreadsheetml/2006/main" xmlns:r="http://schemas.openxmlformats.org/officeDocument/2006/relationships">
  <sheetPr codeName="Sheet20"/>
  <dimension ref="B3:H36"/>
  <sheetViews>
    <sheetView topLeftCell="A25" workbookViewId="0">
      <selection activeCell="J29" sqref="J29"/>
    </sheetView>
  </sheetViews>
  <sheetFormatPr defaultRowHeight="12.75"/>
  <cols>
    <col min="3" max="3" width="27.42578125" customWidth="1"/>
    <col min="4" max="4" width="16" customWidth="1"/>
    <col min="5" max="5" width="13.28515625" customWidth="1"/>
  </cols>
  <sheetData>
    <row r="3" spans="2:8" ht="55.5" customHeight="1">
      <c r="B3" s="1334" t="s">
        <v>9849</v>
      </c>
      <c r="C3" s="1334"/>
      <c r="D3" s="1334"/>
      <c r="E3" s="1334"/>
      <c r="F3" s="1334"/>
      <c r="G3" s="1334"/>
      <c r="H3" s="1334"/>
    </row>
    <row r="4" spans="2:8" ht="14.25">
      <c r="B4" s="1140"/>
    </row>
    <row r="5" spans="2:8" ht="14.25">
      <c r="B5" s="1140"/>
    </row>
    <row r="6" spans="2:8" ht="14.25">
      <c r="B6" s="1141" t="s">
        <v>2039</v>
      </c>
      <c r="C6" s="1335" t="s">
        <v>9850</v>
      </c>
      <c r="D6" s="1335"/>
    </row>
    <row r="7" spans="2:8" ht="33.75" customHeight="1">
      <c r="B7" s="1141"/>
      <c r="C7" s="1142" t="s">
        <v>9851</v>
      </c>
      <c r="D7" s="1143" t="s">
        <v>9852</v>
      </c>
    </row>
    <row r="8" spans="2:8" ht="14.25">
      <c r="B8" s="1144" t="s">
        <v>2367</v>
      </c>
    </row>
    <row r="9" spans="2:8" ht="14.25">
      <c r="B9" s="1145" t="s">
        <v>9853</v>
      </c>
    </row>
    <row r="10" spans="2:8">
      <c r="B10" s="1336" t="s">
        <v>4442</v>
      </c>
      <c r="C10" s="1336" t="s">
        <v>2378</v>
      </c>
      <c r="D10" s="1336" t="s">
        <v>2370</v>
      </c>
      <c r="E10" s="1336" t="s">
        <v>1166</v>
      </c>
      <c r="F10" s="1336" t="s">
        <v>2371</v>
      </c>
      <c r="G10" s="1336" t="s">
        <v>2372</v>
      </c>
    </row>
    <row r="11" spans="2:8">
      <c r="B11" s="1336"/>
      <c r="C11" s="1336"/>
      <c r="D11" s="1336"/>
      <c r="E11" s="1336"/>
      <c r="F11" s="1336"/>
      <c r="G11" s="1336"/>
    </row>
    <row r="12" spans="2:8" ht="14.25">
      <c r="B12" s="1146">
        <v>1</v>
      </c>
      <c r="C12" s="1146" t="s">
        <v>9854</v>
      </c>
      <c r="D12" s="1146" t="s">
        <v>2173</v>
      </c>
      <c r="E12" s="1146">
        <v>5</v>
      </c>
      <c r="F12" s="1146">
        <f>'BASIC DATA'!$D$359</f>
        <v>30</v>
      </c>
      <c r="G12" s="1146">
        <f>E12*F12</f>
        <v>150</v>
      </c>
    </row>
    <row r="13" spans="2:8" ht="14.25">
      <c r="B13" s="1147"/>
      <c r="C13" s="1147"/>
      <c r="D13" s="1147"/>
      <c r="E13" s="1147"/>
      <c r="F13" s="1147"/>
      <c r="G13" s="1147"/>
    </row>
    <row r="14" spans="2:8" ht="14.25">
      <c r="B14" s="1145" t="s">
        <v>1464</v>
      </c>
    </row>
    <row r="15" spans="2:8" ht="28.5">
      <c r="B15" s="1147" t="s">
        <v>4442</v>
      </c>
      <c r="C15" s="1147" t="s">
        <v>4443</v>
      </c>
      <c r="D15" s="1147" t="s">
        <v>2370</v>
      </c>
      <c r="E15" s="1147" t="s">
        <v>1166</v>
      </c>
      <c r="F15" s="1147" t="s">
        <v>2371</v>
      </c>
      <c r="G15" s="1147" t="s">
        <v>2372</v>
      </c>
    </row>
    <row r="16" spans="2:8" ht="14.25">
      <c r="B16" s="1146"/>
      <c r="C16" s="1146"/>
      <c r="D16" s="1146"/>
      <c r="E16" s="1146"/>
      <c r="F16" s="1146" t="s">
        <v>5785</v>
      </c>
      <c r="G16" s="1146">
        <v>0</v>
      </c>
    </row>
    <row r="17" spans="2:7" ht="14.25">
      <c r="B17" s="1145" t="s">
        <v>9855</v>
      </c>
    </row>
    <row r="18" spans="2:7" ht="28.5">
      <c r="B18" s="1147" t="s">
        <v>4442</v>
      </c>
      <c r="C18" s="1147" t="s">
        <v>4443</v>
      </c>
      <c r="D18" s="1147" t="s">
        <v>2370</v>
      </c>
      <c r="E18" s="1147" t="s">
        <v>1166</v>
      </c>
      <c r="F18" s="1147" t="s">
        <v>2371</v>
      </c>
      <c r="G18" s="1147" t="s">
        <v>2372</v>
      </c>
    </row>
    <row r="19" spans="2:7" ht="14.25">
      <c r="B19" s="1146">
        <v>1</v>
      </c>
      <c r="C19" s="1148" t="s">
        <v>9856</v>
      </c>
      <c r="D19" s="1146" t="s">
        <v>9857</v>
      </c>
      <c r="E19" s="1146">
        <v>1</v>
      </c>
      <c r="F19" s="1146">
        <f>'BASIC DATA'!$C$473</f>
        <v>450</v>
      </c>
      <c r="G19" s="1146">
        <f>E19*F19</f>
        <v>450</v>
      </c>
    </row>
    <row r="20" spans="2:7" ht="28.5">
      <c r="B20" s="1146">
        <v>2</v>
      </c>
      <c r="C20" s="1148" t="s">
        <v>9858</v>
      </c>
      <c r="D20" s="1146" t="s">
        <v>1172</v>
      </c>
      <c r="E20" s="1146">
        <v>14</v>
      </c>
      <c r="F20" s="1146">
        <f>'BASIC DATA'!$C$551</f>
        <v>350</v>
      </c>
      <c r="G20" s="1146">
        <f t="shared" ref="G20:G21" si="0">E20*F20</f>
        <v>4900</v>
      </c>
    </row>
    <row r="21" spans="2:7" ht="28.5">
      <c r="B21" s="1146">
        <v>3</v>
      </c>
      <c r="C21" s="1148" t="s">
        <v>9859</v>
      </c>
      <c r="D21" s="1146" t="s">
        <v>1172</v>
      </c>
      <c r="E21" s="1146">
        <v>5</v>
      </c>
      <c r="F21" s="1146">
        <f>'BASIC DATA'!$C$551</f>
        <v>350</v>
      </c>
      <c r="G21" s="1146">
        <f t="shared" si="0"/>
        <v>1750</v>
      </c>
    </row>
    <row r="22" spans="2:7" ht="14.25">
      <c r="B22" s="1146"/>
      <c r="C22" s="1333" t="s">
        <v>9860</v>
      </c>
      <c r="D22" s="1333"/>
      <c r="E22" s="1333"/>
      <c r="F22" s="1333"/>
      <c r="G22" s="1146">
        <f>SUM(G19:G21)</f>
        <v>7100</v>
      </c>
    </row>
    <row r="23" spans="2:7" ht="14.25">
      <c r="B23" s="1140"/>
    </row>
    <row r="24" spans="2:7" ht="14.25">
      <c r="B24" s="1145" t="s">
        <v>1175</v>
      </c>
    </row>
    <row r="25" spans="2:7" ht="15">
      <c r="B25" s="1148" t="s">
        <v>9861</v>
      </c>
      <c r="C25" s="1148" t="s">
        <v>9862</v>
      </c>
      <c r="D25" s="1149" t="s">
        <v>4108</v>
      </c>
      <c r="E25" s="1150">
        <f>G12</f>
        <v>150</v>
      </c>
    </row>
    <row r="26" spans="2:7" ht="15">
      <c r="B26" s="1148" t="s">
        <v>9863</v>
      </c>
      <c r="C26" s="1148" t="s">
        <v>9864</v>
      </c>
      <c r="D26" s="1149" t="s">
        <v>4108</v>
      </c>
      <c r="E26" s="1150">
        <f>G16</f>
        <v>0</v>
      </c>
    </row>
    <row r="27" spans="2:7" ht="15">
      <c r="B27" s="1148" t="s">
        <v>9865</v>
      </c>
      <c r="C27" s="1148" t="s">
        <v>9866</v>
      </c>
      <c r="D27" s="1149" t="s">
        <v>9867</v>
      </c>
      <c r="E27" s="1150">
        <f>G22</f>
        <v>7100</v>
      </c>
    </row>
    <row r="28" spans="2:7" ht="28.5">
      <c r="B28" s="1148"/>
      <c r="C28" s="1148" t="s">
        <v>9868</v>
      </c>
      <c r="D28" s="1149" t="s">
        <v>4108</v>
      </c>
      <c r="E28" s="1151">
        <f>SUM(E25:E27)</f>
        <v>7250</v>
      </c>
    </row>
    <row r="29" spans="2:7" ht="28.5">
      <c r="B29" s="1148"/>
      <c r="C29" s="1148" t="s">
        <v>9869</v>
      </c>
      <c r="D29" s="1149" t="s">
        <v>4108</v>
      </c>
      <c r="E29" s="1151">
        <f>E28/100</f>
        <v>72.5</v>
      </c>
    </row>
    <row r="30" spans="2:7" ht="15.75">
      <c r="B30" s="1148"/>
      <c r="C30" s="1152"/>
      <c r="D30" s="1152"/>
      <c r="E30" s="1153" t="s">
        <v>9957</v>
      </c>
    </row>
    <row r="31" spans="2:7" ht="15">
      <c r="B31" s="1154"/>
      <c r="C31" s="1155"/>
      <c r="D31" s="1155"/>
    </row>
    <row r="32" spans="2:7" ht="14.25">
      <c r="B32" s="1156"/>
    </row>
    <row r="33" spans="2:2" ht="14.25">
      <c r="B33" s="1156"/>
    </row>
    <row r="34" spans="2:2" ht="14.25">
      <c r="B34" s="1156"/>
    </row>
    <row r="35" spans="2:2" ht="14.25">
      <c r="B35" s="1157"/>
    </row>
    <row r="36" spans="2:2" ht="14.25">
      <c r="B36" s="1157"/>
    </row>
  </sheetData>
  <mergeCells count="9">
    <mergeCell ref="C22:F22"/>
    <mergeCell ref="B3:H3"/>
    <mergeCell ref="C6:D6"/>
    <mergeCell ref="B10:B11"/>
    <mergeCell ref="C10:C11"/>
    <mergeCell ref="D10:D11"/>
    <mergeCell ref="E10:E11"/>
    <mergeCell ref="F10:F11"/>
    <mergeCell ref="G10:G11"/>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1"/>
  <dimension ref="A1:XFC835"/>
  <sheetViews>
    <sheetView showGridLines="0" view="pageBreakPreview" zoomScale="80" zoomScaleSheetLayoutView="80" workbookViewId="0">
      <selection activeCell="G1" sqref="G1"/>
    </sheetView>
  </sheetViews>
  <sheetFormatPr defaultColWidth="0" defaultRowHeight="15.75" zeroHeight="1"/>
  <cols>
    <col min="1" max="1" width="8" style="15" customWidth="1"/>
    <col min="2" max="2" width="42.5703125" style="1" customWidth="1"/>
    <col min="3" max="3" width="24.7109375" style="15" customWidth="1"/>
    <col min="4" max="4" width="19.7109375" style="1098" customWidth="1"/>
    <col min="5" max="5" width="18.5703125" style="925" customWidth="1"/>
    <col min="6" max="7" width="9.140625" style="1" customWidth="1"/>
    <col min="8" max="8" width="9.140625" style="1" hidden="1" customWidth="1"/>
    <col min="9" max="9" width="11.140625" style="1" hidden="1" customWidth="1"/>
    <col min="10" max="21" width="9.140625" style="1" hidden="1" customWidth="1"/>
    <col min="22" max="22" width="10.5703125" style="1" hidden="1" customWidth="1"/>
    <col min="23" max="27" width="9.140625" style="1" hidden="1" customWidth="1"/>
    <col min="28" max="28" width="20.140625" style="1" hidden="1" customWidth="1"/>
    <col min="29" max="31" width="9.140625" style="1" hidden="1" customWidth="1"/>
    <col min="32" max="32" width="15.140625" style="1" hidden="1" customWidth="1"/>
    <col min="33" max="295" width="0" style="1" hidden="1" customWidth="1"/>
    <col min="296" max="16383" width="9.140625" style="1" hidden="1"/>
    <col min="16384" max="16384" width="10.5703125" style="1" hidden="1"/>
  </cols>
  <sheetData>
    <row r="1" spans="1:19" ht="12.75">
      <c r="A1" s="1196" t="s">
        <v>2526</v>
      </c>
      <c r="B1" s="1196"/>
      <c r="C1" s="1196"/>
      <c r="D1" s="1196"/>
      <c r="E1" s="1196"/>
      <c r="F1" s="10"/>
      <c r="G1" s="10"/>
      <c r="H1" s="10"/>
      <c r="I1" s="10"/>
      <c r="J1" s="10"/>
      <c r="K1" s="10"/>
      <c r="L1" s="10"/>
      <c r="M1" s="10"/>
      <c r="N1" s="10"/>
      <c r="O1" s="10"/>
      <c r="P1" s="10"/>
      <c r="Q1" s="10"/>
      <c r="R1" s="10"/>
      <c r="S1" s="10"/>
    </row>
    <row r="2" spans="1:19" ht="12.75">
      <c r="A2" s="1203"/>
      <c r="B2" s="1203"/>
      <c r="C2" s="1203"/>
      <c r="D2" s="1203"/>
      <c r="E2" s="1203"/>
    </row>
    <row r="3" spans="1:19" ht="12.75">
      <c r="A3" s="1203"/>
      <c r="B3" s="1203"/>
      <c r="C3" s="1203"/>
      <c r="D3" s="1203"/>
      <c r="E3" s="1203"/>
    </row>
    <row r="4" spans="1:19" ht="12.75">
      <c r="A4" s="1196" t="s">
        <v>6305</v>
      </c>
      <c r="B4" s="1196"/>
      <c r="C4" s="1196"/>
      <c r="D4" s="1196"/>
      <c r="E4" s="1196"/>
      <c r="F4" s="10"/>
      <c r="G4" s="10"/>
      <c r="H4" s="10"/>
      <c r="I4" s="10"/>
      <c r="J4" s="10"/>
      <c r="K4" s="10"/>
      <c r="L4" s="10"/>
      <c r="M4" s="10"/>
      <c r="N4" s="10"/>
      <c r="O4" s="10"/>
      <c r="P4" s="10"/>
      <c r="Q4" s="10"/>
      <c r="R4" s="10"/>
      <c r="S4" s="10"/>
    </row>
    <row r="5" spans="1:19" ht="12.75">
      <c r="A5" s="1196"/>
      <c r="B5" s="1196"/>
      <c r="C5" s="1196"/>
      <c r="D5" s="1196"/>
      <c r="E5" s="1196"/>
      <c r="F5" s="2"/>
      <c r="G5" s="2"/>
      <c r="H5" s="2"/>
      <c r="I5" s="2"/>
      <c r="J5" s="2"/>
      <c r="K5" s="2"/>
      <c r="L5" s="2"/>
      <c r="M5" s="2"/>
      <c r="N5" s="2"/>
      <c r="O5" s="2"/>
      <c r="P5" s="2"/>
      <c r="Q5" s="2"/>
      <c r="R5" s="2"/>
      <c r="S5" s="2"/>
    </row>
    <row r="6" spans="1:19" ht="12.75">
      <c r="A6" s="1203" t="s">
        <v>4085</v>
      </c>
      <c r="B6" s="1203"/>
      <c r="C6" s="1203"/>
      <c r="D6" s="1203"/>
      <c r="E6" s="1203"/>
      <c r="F6" s="14"/>
      <c r="G6" s="14"/>
      <c r="H6" s="14"/>
      <c r="I6" s="14"/>
      <c r="J6" s="14"/>
      <c r="K6" s="14"/>
      <c r="L6" s="14"/>
      <c r="M6" s="14"/>
      <c r="N6" s="14"/>
      <c r="O6" s="14"/>
      <c r="P6" s="14"/>
      <c r="Q6" s="14"/>
      <c r="R6" s="14"/>
      <c r="S6" s="14"/>
    </row>
    <row r="7" spans="1:19" ht="12.75">
      <c r="A7" s="1203"/>
      <c r="B7" s="1203"/>
      <c r="C7" s="1203"/>
      <c r="D7" s="1203"/>
      <c r="E7" s="1203"/>
      <c r="F7" s="15"/>
      <c r="G7" s="15"/>
      <c r="H7" s="15"/>
      <c r="I7" s="15"/>
      <c r="J7" s="15"/>
      <c r="K7" s="15"/>
      <c r="L7" s="15"/>
      <c r="M7" s="15"/>
      <c r="N7" s="15"/>
      <c r="O7" s="15"/>
      <c r="P7" s="15"/>
      <c r="Q7" s="15"/>
      <c r="R7" s="15"/>
      <c r="S7" s="15"/>
    </row>
    <row r="8" spans="1:19" ht="12.75">
      <c r="A8" s="1196" t="s">
        <v>4086</v>
      </c>
      <c r="B8" s="1196"/>
      <c r="C8" s="1196"/>
      <c r="D8" s="1196"/>
      <c r="E8" s="1196"/>
      <c r="F8" s="10"/>
      <c r="G8" s="10"/>
      <c r="H8" s="10"/>
      <c r="I8" s="10"/>
      <c r="J8" s="10"/>
      <c r="K8" s="10"/>
      <c r="L8" s="10"/>
      <c r="M8" s="10"/>
      <c r="N8" s="10"/>
      <c r="O8" s="10"/>
      <c r="P8" s="10"/>
      <c r="Q8" s="10"/>
      <c r="R8" s="10"/>
      <c r="S8" s="10"/>
    </row>
    <row r="9" spans="1:19" ht="12.75">
      <c r="A9" s="1196"/>
      <c r="B9" s="1196"/>
      <c r="C9" s="1196"/>
      <c r="D9" s="1196"/>
      <c r="E9" s="1196"/>
      <c r="F9" s="2"/>
      <c r="G9" s="2"/>
      <c r="H9" s="2"/>
      <c r="I9" s="2"/>
      <c r="J9" s="2"/>
      <c r="K9" s="2"/>
      <c r="L9" s="2"/>
      <c r="M9" s="2"/>
      <c r="N9" s="2"/>
      <c r="O9" s="2"/>
      <c r="P9" s="2"/>
      <c r="Q9" s="2"/>
      <c r="R9" s="2"/>
      <c r="S9" s="2"/>
    </row>
    <row r="10" spans="1:19">
      <c r="A10" s="2"/>
      <c r="B10" s="2"/>
      <c r="C10" s="2"/>
      <c r="D10" s="1095"/>
      <c r="E10" s="923"/>
      <c r="F10" s="2"/>
      <c r="G10" s="2"/>
      <c r="H10" s="2"/>
      <c r="I10" s="2"/>
      <c r="J10" s="2"/>
      <c r="K10" s="2"/>
      <c r="L10" s="2"/>
      <c r="M10" s="2"/>
      <c r="N10" s="2"/>
      <c r="O10" s="2"/>
      <c r="P10" s="2"/>
      <c r="Q10" s="2"/>
      <c r="R10" s="2"/>
      <c r="S10" s="2"/>
    </row>
    <row r="11" spans="1:19" ht="12.75">
      <c r="A11" s="1195" t="s">
        <v>9883</v>
      </c>
      <c r="B11" s="1196"/>
      <c r="C11" s="1196"/>
      <c r="D11" s="1196"/>
      <c r="E11" s="1196"/>
      <c r="F11" s="10"/>
      <c r="G11" s="10"/>
      <c r="H11" s="10"/>
      <c r="I11" s="10"/>
      <c r="J11" s="10"/>
      <c r="K11" s="10"/>
      <c r="L11" s="10"/>
      <c r="M11" s="10"/>
      <c r="N11" s="10"/>
      <c r="O11" s="10"/>
      <c r="P11" s="10"/>
      <c r="Q11" s="10"/>
      <c r="R11" s="10"/>
      <c r="S11" s="10"/>
    </row>
    <row r="12" spans="1:19">
      <c r="A12" s="16"/>
      <c r="B12" s="16"/>
      <c r="C12" s="16"/>
      <c r="D12" s="1096"/>
      <c r="E12" s="924"/>
      <c r="F12" s="16"/>
      <c r="G12" s="16"/>
      <c r="H12" s="16"/>
      <c r="I12" s="16"/>
      <c r="J12" s="16"/>
      <c r="K12" s="16"/>
      <c r="L12" s="16"/>
      <c r="M12" s="16"/>
      <c r="N12" s="16"/>
      <c r="O12" s="16"/>
      <c r="P12" s="16"/>
      <c r="Q12" s="16"/>
      <c r="R12" s="16"/>
      <c r="S12" s="16"/>
    </row>
    <row r="13" spans="1:19" ht="12.75">
      <c r="B13" s="1196" t="s">
        <v>5925</v>
      </c>
      <c r="C13" s="1196"/>
      <c r="D13" s="1196"/>
      <c r="E13" s="1196"/>
      <c r="F13" s="2"/>
      <c r="G13" s="2"/>
      <c r="H13" s="2"/>
      <c r="I13" s="2"/>
      <c r="J13" s="2"/>
      <c r="K13" s="2"/>
      <c r="L13" s="2"/>
      <c r="M13" s="2"/>
      <c r="N13" s="2"/>
      <c r="O13" s="2"/>
      <c r="P13" s="2"/>
      <c r="Q13" s="2"/>
      <c r="R13" s="2"/>
      <c r="S13" s="2"/>
    </row>
    <row r="14" spans="1:19">
      <c r="B14" s="10"/>
      <c r="C14" s="2"/>
      <c r="D14" s="1097"/>
      <c r="E14" s="10"/>
      <c r="F14" s="2"/>
      <c r="G14" s="2"/>
      <c r="H14" s="2"/>
      <c r="I14" s="2"/>
      <c r="J14" s="2"/>
      <c r="K14" s="2"/>
      <c r="L14" s="2"/>
      <c r="M14" s="2"/>
      <c r="N14" s="2"/>
      <c r="O14" s="2"/>
      <c r="P14" s="2"/>
      <c r="Q14" s="2"/>
      <c r="R14" s="2"/>
      <c r="S14" s="2"/>
    </row>
    <row r="15" spans="1:19">
      <c r="B15" s="9"/>
      <c r="C15" s="2"/>
    </row>
    <row r="16" spans="1:19">
      <c r="B16" s="7" t="s">
        <v>5926</v>
      </c>
    </row>
    <row r="17" spans="1:40"/>
    <row r="18" spans="1:40">
      <c r="A18" s="15">
        <v>1</v>
      </c>
      <c r="B18" s="809" t="s">
        <v>5182</v>
      </c>
    </row>
    <row r="19" spans="1:40">
      <c r="A19" s="15">
        <v>2</v>
      </c>
      <c r="B19" s="809" t="s">
        <v>5927</v>
      </c>
    </row>
    <row r="20" spans="1:40">
      <c r="A20" s="15">
        <v>3</v>
      </c>
      <c r="B20" s="809" t="s">
        <v>5183</v>
      </c>
    </row>
    <row r="21" spans="1:40">
      <c r="A21" s="15">
        <v>4</v>
      </c>
      <c r="B21" s="810" t="s">
        <v>9615</v>
      </c>
    </row>
    <row r="22" spans="1:40">
      <c r="A22" s="15">
        <v>5</v>
      </c>
      <c r="B22" s="809" t="s">
        <v>5184</v>
      </c>
    </row>
    <row r="23" spans="1:40">
      <c r="B23" s="809" t="s">
        <v>5181</v>
      </c>
    </row>
    <row r="24" spans="1:40">
      <c r="A24" s="15">
        <v>6</v>
      </c>
      <c r="B24" s="809" t="s">
        <v>9901</v>
      </c>
    </row>
    <row r="25" spans="1:40"/>
    <row r="26" spans="1:40">
      <c r="A26" s="8" t="s">
        <v>3473</v>
      </c>
      <c r="B26" s="8" t="s">
        <v>3475</v>
      </c>
      <c r="C26" s="8" t="s">
        <v>3476</v>
      </c>
      <c r="D26" s="1099" t="s">
        <v>3484</v>
      </c>
    </row>
    <row r="27" spans="1:40" ht="16.5" thickBot="1">
      <c r="A27" s="8"/>
      <c r="B27" s="8"/>
      <c r="C27" s="8"/>
      <c r="D27" s="1099" t="s">
        <v>3485</v>
      </c>
    </row>
    <row r="28" spans="1:40" ht="16.5" thickBot="1">
      <c r="A28" s="8">
        <v>1</v>
      </c>
      <c r="B28" s="926" t="s">
        <v>5729</v>
      </c>
      <c r="C28" s="8" t="s">
        <v>3477</v>
      </c>
      <c r="D28" s="1100">
        <v>335</v>
      </c>
      <c r="E28" s="928"/>
      <c r="F28" s="929"/>
      <c r="G28" s="929"/>
      <c r="H28" s="929"/>
      <c r="I28" s="929"/>
      <c r="J28" s="930"/>
      <c r="AN28" s="931"/>
    </row>
    <row r="29" spans="1:40" ht="16.5" thickBot="1">
      <c r="A29" s="8">
        <v>2</v>
      </c>
      <c r="B29" s="926" t="s">
        <v>9311</v>
      </c>
      <c r="C29" s="8" t="s">
        <v>1791</v>
      </c>
      <c r="D29" s="1101">
        <v>46</v>
      </c>
      <c r="E29" s="928"/>
      <c r="F29" s="929"/>
      <c r="G29" s="929"/>
      <c r="H29" s="929"/>
      <c r="I29" s="929"/>
      <c r="J29" s="930"/>
      <c r="AN29" s="925"/>
    </row>
    <row r="30" spans="1:40" ht="16.5" thickBot="1">
      <c r="A30" s="8">
        <v>3</v>
      </c>
      <c r="B30" s="926" t="s">
        <v>5730</v>
      </c>
      <c r="C30" s="8" t="s">
        <v>1791</v>
      </c>
      <c r="D30" s="1101">
        <v>60</v>
      </c>
      <c r="E30" s="928"/>
      <c r="F30" s="929"/>
      <c r="G30" s="929"/>
      <c r="H30" s="929"/>
      <c r="I30" s="929"/>
      <c r="J30" s="930"/>
      <c r="AN30" s="925"/>
    </row>
    <row r="31" spans="1:40" ht="16.5" thickBot="1">
      <c r="A31" s="8">
        <v>4</v>
      </c>
      <c r="B31" s="926" t="s">
        <v>9902</v>
      </c>
      <c r="C31" s="8" t="s">
        <v>3479</v>
      </c>
      <c r="D31" s="1101">
        <v>320</v>
      </c>
      <c r="E31" s="928"/>
      <c r="F31" s="929"/>
      <c r="G31" s="929"/>
      <c r="H31" s="929"/>
      <c r="I31" s="929"/>
      <c r="J31" s="930"/>
      <c r="AN31" s="925"/>
    </row>
    <row r="32" spans="1:40" ht="48" thickBot="1">
      <c r="A32" s="8">
        <v>5</v>
      </c>
      <c r="B32" s="926" t="s">
        <v>9693</v>
      </c>
      <c r="C32" s="8" t="s">
        <v>3480</v>
      </c>
      <c r="D32" s="1102">
        <v>5350</v>
      </c>
      <c r="E32" s="1090" t="s">
        <v>9961</v>
      </c>
      <c r="F32" s="929"/>
      <c r="G32" s="929"/>
      <c r="H32" s="929"/>
      <c r="I32" s="929"/>
      <c r="J32" s="930"/>
      <c r="AN32" s="931"/>
    </row>
    <row r="33" spans="1:40" ht="16.5" thickBot="1">
      <c r="A33" s="8">
        <v>6</v>
      </c>
      <c r="B33" s="932" t="s">
        <v>6899</v>
      </c>
      <c r="C33" s="933" t="s">
        <v>1791</v>
      </c>
      <c r="D33" s="1100">
        <v>63</v>
      </c>
      <c r="E33" s="928"/>
      <c r="F33" s="929"/>
      <c r="G33" s="929"/>
      <c r="H33" s="929"/>
      <c r="I33" s="929"/>
      <c r="J33" s="930"/>
      <c r="AN33" s="931"/>
    </row>
    <row r="34" spans="1:40" ht="32.25" thickBot="1">
      <c r="A34" s="8">
        <v>7</v>
      </c>
      <c r="B34" s="932" t="s">
        <v>9312</v>
      </c>
      <c r="C34" s="933" t="s">
        <v>3477</v>
      </c>
      <c r="D34" s="1101">
        <v>900</v>
      </c>
      <c r="E34" s="928"/>
      <c r="F34" s="929"/>
      <c r="G34" s="929"/>
      <c r="H34" s="929"/>
      <c r="I34" s="929"/>
      <c r="J34" s="934"/>
      <c r="AN34" s="925"/>
    </row>
    <row r="35" spans="1:40" ht="32.25" thickBot="1">
      <c r="A35" s="8">
        <v>8</v>
      </c>
      <c r="B35" s="932" t="s">
        <v>9313</v>
      </c>
      <c r="C35" s="933" t="s">
        <v>3477</v>
      </c>
      <c r="D35" s="1101">
        <v>1225</v>
      </c>
      <c r="E35" s="928"/>
      <c r="F35" s="929"/>
      <c r="G35" s="929"/>
      <c r="H35" s="929"/>
      <c r="I35" s="929"/>
      <c r="J35" s="934"/>
      <c r="AN35" s="925"/>
    </row>
    <row r="36" spans="1:40" ht="32.25" thickBot="1">
      <c r="A36" s="8">
        <v>9</v>
      </c>
      <c r="B36" s="932" t="s">
        <v>9314</v>
      </c>
      <c r="C36" s="933" t="s">
        <v>3477</v>
      </c>
      <c r="D36" s="1101">
        <v>1175</v>
      </c>
      <c r="E36" s="928"/>
      <c r="F36" s="929"/>
      <c r="G36" s="929"/>
      <c r="H36" s="929"/>
      <c r="I36" s="929"/>
      <c r="J36" s="934"/>
      <c r="S36" s="925"/>
      <c r="AN36" s="925"/>
    </row>
    <row r="37" spans="1:40" ht="32.25" thickBot="1">
      <c r="A37" s="8">
        <v>10</v>
      </c>
      <c r="B37" s="932" t="s">
        <v>9315</v>
      </c>
      <c r="C37" s="933" t="s">
        <v>3477</v>
      </c>
      <c r="D37" s="1101">
        <v>650</v>
      </c>
      <c r="E37" s="928"/>
      <c r="F37" s="929"/>
      <c r="G37" s="929"/>
      <c r="H37" s="929"/>
      <c r="I37" s="929"/>
      <c r="J37" s="934"/>
      <c r="AN37" s="925"/>
    </row>
    <row r="38" spans="1:40" ht="91.5" customHeight="1">
      <c r="A38" s="8"/>
      <c r="B38" s="1200" t="s">
        <v>9903</v>
      </c>
      <c r="C38" s="1200"/>
      <c r="D38" s="1200"/>
      <c r="E38" s="928"/>
      <c r="F38" s="929"/>
      <c r="G38" s="929"/>
      <c r="H38" s="929"/>
      <c r="I38" s="929"/>
      <c r="J38" s="935"/>
      <c r="AN38" s="925"/>
    </row>
    <row r="39" spans="1:40" ht="16.5" thickBot="1">
      <c r="A39" s="8">
        <v>11</v>
      </c>
      <c r="B39" s="932" t="s">
        <v>6998</v>
      </c>
      <c r="C39" s="933" t="s">
        <v>3481</v>
      </c>
      <c r="D39" s="1082">
        <v>45</v>
      </c>
      <c r="E39" s="928"/>
      <c r="F39" s="929"/>
      <c r="G39" s="929"/>
      <c r="H39" s="929"/>
      <c r="I39" s="929"/>
      <c r="J39" s="930"/>
      <c r="AN39" s="925"/>
    </row>
    <row r="40" spans="1:40" ht="16.5" thickBot="1">
      <c r="A40" s="8">
        <v>12</v>
      </c>
      <c r="B40" s="932" t="s">
        <v>6999</v>
      </c>
      <c r="C40" s="933" t="s">
        <v>3478</v>
      </c>
      <c r="D40" s="1100">
        <v>695</v>
      </c>
      <c r="E40" s="928"/>
      <c r="F40" s="929"/>
      <c r="G40" s="929"/>
      <c r="H40" s="929"/>
      <c r="I40" s="929"/>
      <c r="J40" s="930"/>
      <c r="AN40" s="925"/>
    </row>
    <row r="41" spans="1:40" ht="32.25" thickBot="1">
      <c r="A41" s="8">
        <v>13</v>
      </c>
      <c r="B41" s="932" t="s">
        <v>9904</v>
      </c>
      <c r="C41" s="933" t="s">
        <v>3481</v>
      </c>
      <c r="D41" s="1101">
        <v>23</v>
      </c>
      <c r="E41" s="928"/>
      <c r="F41" s="929"/>
      <c r="G41" s="929"/>
      <c r="H41" s="929"/>
      <c r="I41" s="929"/>
      <c r="J41" s="930"/>
      <c r="AN41" s="925"/>
    </row>
    <row r="42" spans="1:40" ht="32.25" thickBot="1">
      <c r="A42" s="8">
        <v>14</v>
      </c>
      <c r="B42" s="932" t="s">
        <v>9905</v>
      </c>
      <c r="C42" s="933" t="s">
        <v>3481</v>
      </c>
      <c r="D42" s="1101">
        <v>26</v>
      </c>
      <c r="E42" s="928"/>
      <c r="F42" s="929"/>
      <c r="G42" s="929"/>
      <c r="H42" s="929"/>
      <c r="I42" s="929"/>
      <c r="J42" s="930"/>
      <c r="AN42" s="925"/>
    </row>
    <row r="43" spans="1:40" ht="16.5" thickBot="1">
      <c r="A43" s="8">
        <v>15</v>
      </c>
      <c r="B43" s="932" t="s">
        <v>5701</v>
      </c>
      <c r="C43" s="933" t="s">
        <v>9316</v>
      </c>
      <c r="D43" s="1101">
        <v>130</v>
      </c>
      <c r="E43" s="928"/>
      <c r="F43" s="929"/>
      <c r="G43" s="929"/>
      <c r="H43" s="929"/>
      <c r="I43" s="929"/>
      <c r="J43" s="930"/>
      <c r="AN43" s="925"/>
    </row>
    <row r="44" spans="1:40" ht="16.5" thickBot="1">
      <c r="A44" s="8">
        <v>16</v>
      </c>
      <c r="B44" s="932" t="s">
        <v>9317</v>
      </c>
      <c r="C44" s="933" t="s">
        <v>3483</v>
      </c>
      <c r="D44" s="1101">
        <v>8</v>
      </c>
      <c r="E44" s="928"/>
      <c r="F44" s="929"/>
      <c r="G44" s="929"/>
      <c r="H44" s="929"/>
      <c r="I44" s="929"/>
      <c r="J44" s="930"/>
      <c r="AN44" s="925"/>
    </row>
    <row r="45" spans="1:40" ht="16.5" thickBot="1">
      <c r="A45" s="8">
        <v>17</v>
      </c>
      <c r="B45" s="932" t="s">
        <v>5702</v>
      </c>
      <c r="C45" s="933" t="s">
        <v>3481</v>
      </c>
      <c r="D45" s="1101">
        <v>19</v>
      </c>
      <c r="E45" s="928"/>
      <c r="F45" s="929"/>
      <c r="G45" s="929"/>
      <c r="H45" s="929"/>
      <c r="I45" s="929"/>
      <c r="J45" s="930"/>
      <c r="AN45" s="925"/>
    </row>
    <row r="46" spans="1:40" ht="16.5" thickBot="1">
      <c r="A46" s="8">
        <v>18</v>
      </c>
      <c r="B46" s="932" t="s">
        <v>5703</v>
      </c>
      <c r="C46" s="933" t="s">
        <v>3483</v>
      </c>
      <c r="D46" s="1101">
        <v>9</v>
      </c>
      <c r="E46" s="928"/>
      <c r="F46" s="929"/>
      <c r="G46" s="929"/>
      <c r="H46" s="929"/>
      <c r="I46" s="929"/>
      <c r="J46" s="930"/>
      <c r="AN46" s="925"/>
    </row>
    <row r="47" spans="1:40" ht="16.5" thickBot="1">
      <c r="A47" s="8">
        <v>19</v>
      </c>
      <c r="B47" s="932" t="s">
        <v>5704</v>
      </c>
      <c r="C47" s="933" t="s">
        <v>3483</v>
      </c>
      <c r="D47" s="1101">
        <v>40</v>
      </c>
      <c r="E47" s="928"/>
      <c r="F47" s="929"/>
      <c r="G47" s="929"/>
      <c r="H47" s="929"/>
      <c r="I47" s="929"/>
      <c r="J47" s="930"/>
      <c r="AN47" s="925"/>
    </row>
    <row r="48" spans="1:40" ht="16.5" thickBot="1">
      <c r="A48" s="8">
        <v>20</v>
      </c>
      <c r="B48" s="932" t="s">
        <v>5705</v>
      </c>
      <c r="C48" s="933" t="s">
        <v>3481</v>
      </c>
      <c r="D48" s="1101">
        <v>20</v>
      </c>
      <c r="E48" s="928"/>
      <c r="F48" s="929"/>
      <c r="G48" s="929"/>
      <c r="H48" s="929"/>
      <c r="I48" s="929"/>
      <c r="J48" s="930"/>
      <c r="AN48" s="925"/>
    </row>
    <row r="49" spans="1:40" ht="16.5" thickBot="1">
      <c r="A49" s="8">
        <v>21</v>
      </c>
      <c r="B49" s="932" t="s">
        <v>5706</v>
      </c>
      <c r="C49" s="933" t="s">
        <v>3481</v>
      </c>
      <c r="D49" s="1101">
        <v>11</v>
      </c>
      <c r="E49" s="928"/>
      <c r="F49" s="929"/>
      <c r="G49" s="929"/>
      <c r="H49" s="929"/>
      <c r="I49" s="929"/>
      <c r="J49" s="930"/>
      <c r="AN49" s="925"/>
    </row>
    <row r="50" spans="1:40" ht="16.5" thickBot="1">
      <c r="A50" s="8">
        <v>22</v>
      </c>
      <c r="B50" s="932" t="s">
        <v>5707</v>
      </c>
      <c r="C50" s="933" t="s">
        <v>3481</v>
      </c>
      <c r="D50" s="1101">
        <v>7</v>
      </c>
      <c r="E50" s="928"/>
      <c r="F50" s="929"/>
      <c r="G50" s="929"/>
      <c r="H50" s="929"/>
      <c r="I50" s="929"/>
      <c r="J50" s="930"/>
      <c r="AN50" s="925"/>
    </row>
    <row r="51" spans="1:40" ht="16.5" thickBot="1">
      <c r="A51" s="8">
        <v>23</v>
      </c>
      <c r="B51" s="932" t="s">
        <v>5708</v>
      </c>
      <c r="C51" s="933" t="s">
        <v>3481</v>
      </c>
      <c r="D51" s="1101">
        <v>5</v>
      </c>
      <c r="E51" s="928"/>
      <c r="F51" s="929"/>
      <c r="G51" s="929"/>
      <c r="H51" s="929"/>
      <c r="I51" s="929"/>
      <c r="J51" s="930"/>
      <c r="AN51" s="925"/>
    </row>
    <row r="52" spans="1:40" ht="16.5" thickBot="1">
      <c r="A52" s="8">
        <v>24</v>
      </c>
      <c r="B52" s="932" t="s">
        <v>5709</v>
      </c>
      <c r="C52" s="933" t="s">
        <v>3478</v>
      </c>
      <c r="D52" s="1101">
        <v>48</v>
      </c>
      <c r="E52" s="928"/>
      <c r="F52" s="929"/>
      <c r="G52" s="929"/>
      <c r="H52" s="929"/>
      <c r="I52" s="929"/>
      <c r="J52" s="930"/>
      <c r="AN52" s="925"/>
    </row>
    <row r="53" spans="1:40" ht="16.5" thickBot="1">
      <c r="A53" s="8">
        <v>25</v>
      </c>
      <c r="B53" s="932" t="s">
        <v>7229</v>
      </c>
      <c r="C53" s="933" t="s">
        <v>3478</v>
      </c>
      <c r="D53" s="1101">
        <v>73</v>
      </c>
      <c r="E53" s="928"/>
      <c r="F53" s="929"/>
      <c r="G53" s="929"/>
      <c r="H53" s="929"/>
      <c r="I53" s="929"/>
      <c r="J53" s="930"/>
      <c r="AN53" s="925"/>
    </row>
    <row r="54" spans="1:40" ht="32.25" thickBot="1">
      <c r="A54" s="8">
        <v>26</v>
      </c>
      <c r="B54" s="926" t="s">
        <v>3474</v>
      </c>
      <c r="C54" s="933" t="s">
        <v>3478</v>
      </c>
      <c r="D54" s="1101">
        <v>70</v>
      </c>
      <c r="E54" s="928"/>
      <c r="F54" s="929"/>
      <c r="G54" s="929"/>
      <c r="H54" s="929"/>
      <c r="I54" s="929"/>
      <c r="J54" s="930"/>
      <c r="AN54" s="925"/>
    </row>
    <row r="55" spans="1:40" ht="47.25">
      <c r="A55" s="20" t="s">
        <v>7869</v>
      </c>
      <c r="B55" s="936" t="s">
        <v>9318</v>
      </c>
      <c r="C55" s="933" t="s">
        <v>3477</v>
      </c>
      <c r="D55" s="1052">
        <v>95</v>
      </c>
      <c r="E55" s="928"/>
      <c r="F55" s="929"/>
      <c r="G55" s="929"/>
      <c r="H55" s="929"/>
      <c r="I55" s="929"/>
      <c r="J55" s="930"/>
      <c r="AN55" s="925"/>
    </row>
    <row r="56" spans="1:40" ht="31.5">
      <c r="A56" s="20" t="s">
        <v>7870</v>
      </c>
      <c r="B56" s="932" t="s">
        <v>9319</v>
      </c>
      <c r="C56" s="933" t="s">
        <v>3477</v>
      </c>
      <c r="D56" s="1052">
        <v>95</v>
      </c>
      <c r="E56" s="928"/>
      <c r="F56" s="929"/>
      <c r="G56" s="929"/>
      <c r="H56" s="929"/>
      <c r="I56" s="929"/>
      <c r="J56" s="930"/>
      <c r="AN56" s="925"/>
    </row>
    <row r="57" spans="1:40" ht="62.25" customHeight="1" thickBot="1">
      <c r="A57" s="8">
        <v>28</v>
      </c>
      <c r="B57" s="1053" t="s">
        <v>9880</v>
      </c>
      <c r="C57" s="933" t="s">
        <v>3477</v>
      </c>
      <c r="D57" s="1052">
        <v>165</v>
      </c>
      <c r="E57" s="928"/>
      <c r="F57" s="929"/>
      <c r="G57" s="929"/>
      <c r="H57" s="929"/>
      <c r="I57" s="929"/>
      <c r="J57" s="930"/>
      <c r="AN57" s="925"/>
    </row>
    <row r="58" spans="1:40" ht="16.5" thickBot="1">
      <c r="A58" s="8">
        <v>29</v>
      </c>
      <c r="B58" s="926" t="s">
        <v>7230</v>
      </c>
      <c r="C58" s="933" t="s">
        <v>3479</v>
      </c>
      <c r="D58" s="1100">
        <v>110</v>
      </c>
      <c r="E58" s="928"/>
      <c r="F58" s="929"/>
      <c r="G58" s="929"/>
      <c r="H58" s="929"/>
      <c r="I58" s="929"/>
      <c r="J58" s="930"/>
      <c r="AN58" s="925"/>
    </row>
    <row r="59" spans="1:40" ht="16.5" thickBot="1">
      <c r="A59" s="8">
        <v>30</v>
      </c>
      <c r="B59" s="926" t="s">
        <v>6304</v>
      </c>
      <c r="C59" s="933" t="s">
        <v>3479</v>
      </c>
      <c r="D59" s="1101">
        <v>130</v>
      </c>
      <c r="E59" s="928"/>
      <c r="F59" s="929"/>
      <c r="G59" s="929"/>
      <c r="H59" s="929"/>
      <c r="I59" s="929"/>
      <c r="J59" s="930"/>
      <c r="AN59" s="925"/>
    </row>
    <row r="60" spans="1:40" ht="16.5" thickBot="1">
      <c r="A60" s="8">
        <v>31</v>
      </c>
      <c r="B60" s="926" t="s">
        <v>3486</v>
      </c>
      <c r="C60" s="933" t="s">
        <v>3479</v>
      </c>
      <c r="D60" s="1101">
        <v>150</v>
      </c>
      <c r="E60" s="928"/>
      <c r="F60" s="929"/>
      <c r="G60" s="929"/>
      <c r="H60" s="929"/>
      <c r="I60" s="929"/>
      <c r="J60" s="930"/>
      <c r="AN60" s="925"/>
    </row>
    <row r="61" spans="1:40" ht="16.5" thickBot="1">
      <c r="A61" s="8">
        <v>32</v>
      </c>
      <c r="B61" s="926" t="s">
        <v>3487</v>
      </c>
      <c r="C61" s="933" t="s">
        <v>3483</v>
      </c>
      <c r="D61" s="1101">
        <v>735</v>
      </c>
      <c r="E61" s="928"/>
      <c r="F61" s="929"/>
      <c r="G61" s="929"/>
      <c r="H61" s="929"/>
      <c r="I61" s="929"/>
      <c r="J61" s="930"/>
      <c r="AN61" s="925"/>
    </row>
    <row r="62" spans="1:40" ht="16.5" thickBot="1">
      <c r="A62" s="8">
        <v>33</v>
      </c>
      <c r="B62" s="926" t="s">
        <v>3488</v>
      </c>
      <c r="C62" s="933" t="s">
        <v>3483</v>
      </c>
      <c r="D62" s="1101">
        <v>100</v>
      </c>
      <c r="E62" s="928"/>
      <c r="F62" s="929"/>
      <c r="G62" s="929"/>
      <c r="H62" s="929"/>
      <c r="I62" s="929"/>
      <c r="J62" s="930"/>
      <c r="AN62" s="925"/>
    </row>
    <row r="63" spans="1:40" ht="16.5" thickBot="1">
      <c r="A63" s="8">
        <v>34</v>
      </c>
      <c r="B63" s="926" t="s">
        <v>3489</v>
      </c>
      <c r="C63" s="933" t="s">
        <v>3483</v>
      </c>
      <c r="D63" s="1101">
        <v>160</v>
      </c>
      <c r="E63" s="928"/>
      <c r="F63" s="929"/>
      <c r="G63" s="929"/>
      <c r="H63" s="929"/>
      <c r="I63" s="929"/>
      <c r="J63" s="930"/>
      <c r="AN63" s="925"/>
    </row>
    <row r="64" spans="1:40" ht="16.5" thickBot="1">
      <c r="A64" s="8">
        <v>35</v>
      </c>
      <c r="B64" s="926" t="s">
        <v>3490</v>
      </c>
      <c r="C64" s="933" t="s">
        <v>3483</v>
      </c>
      <c r="D64" s="1101">
        <v>270</v>
      </c>
      <c r="E64" s="928"/>
      <c r="F64" s="929"/>
      <c r="G64" s="929"/>
      <c r="H64" s="929"/>
      <c r="I64" s="929"/>
      <c r="J64" s="930"/>
      <c r="AN64" s="925"/>
    </row>
    <row r="65" spans="1:40" ht="16.5" thickBot="1">
      <c r="A65" s="8">
        <v>36</v>
      </c>
      <c r="B65" s="926" t="s">
        <v>3491</v>
      </c>
      <c r="C65" s="933" t="s">
        <v>3483</v>
      </c>
      <c r="D65" s="1100">
        <v>310</v>
      </c>
      <c r="E65" s="928"/>
      <c r="F65" s="929"/>
      <c r="G65" s="929"/>
      <c r="H65" s="929"/>
      <c r="I65" s="929"/>
      <c r="J65" s="930"/>
      <c r="AN65" s="925"/>
    </row>
    <row r="66" spans="1:40" ht="16.5" thickBot="1">
      <c r="A66" s="8">
        <v>37</v>
      </c>
      <c r="B66" s="926" t="s">
        <v>3492</v>
      </c>
      <c r="C66" s="933" t="s">
        <v>3483</v>
      </c>
      <c r="D66" s="1101">
        <v>500</v>
      </c>
      <c r="E66" s="928"/>
      <c r="F66" s="929"/>
      <c r="G66" s="929"/>
      <c r="H66" s="929"/>
      <c r="I66" s="929"/>
      <c r="J66" s="930"/>
      <c r="AN66" s="925"/>
    </row>
    <row r="67" spans="1:40" ht="16.5" thickBot="1">
      <c r="A67" s="8">
        <v>38</v>
      </c>
      <c r="B67" s="926" t="s">
        <v>5106</v>
      </c>
      <c r="C67" s="933" t="s">
        <v>3478</v>
      </c>
      <c r="D67" s="1101">
        <v>100</v>
      </c>
      <c r="E67" s="928"/>
      <c r="F67" s="929"/>
      <c r="G67" s="929"/>
      <c r="H67" s="929"/>
      <c r="I67" s="929"/>
      <c r="J67" s="930"/>
      <c r="AN67" s="925"/>
    </row>
    <row r="68" spans="1:40" ht="16.5" thickBot="1">
      <c r="A68" s="8">
        <v>39</v>
      </c>
      <c r="B68" s="926" t="s">
        <v>6759</v>
      </c>
      <c r="C68" s="933" t="s">
        <v>3480</v>
      </c>
      <c r="D68" s="1101">
        <v>63000</v>
      </c>
      <c r="E68" s="928"/>
      <c r="F68" s="929"/>
      <c r="G68" s="929"/>
      <c r="H68" s="929"/>
      <c r="I68" s="929"/>
      <c r="J68" s="930"/>
      <c r="AN68" s="925"/>
    </row>
    <row r="69" spans="1:40" ht="16.5" thickBot="1">
      <c r="A69" s="8">
        <v>40</v>
      </c>
      <c r="B69" s="926" t="s">
        <v>6760</v>
      </c>
      <c r="C69" s="933" t="s">
        <v>3479</v>
      </c>
      <c r="D69" s="1103">
        <v>28</v>
      </c>
      <c r="E69" s="928"/>
      <c r="F69" s="929"/>
      <c r="G69" s="929"/>
      <c r="H69" s="929"/>
      <c r="I69" s="929"/>
      <c r="J69" s="930"/>
      <c r="AN69" s="925"/>
    </row>
    <row r="70" spans="1:40" ht="16.5" thickBot="1">
      <c r="A70" s="8">
        <v>41</v>
      </c>
      <c r="B70" s="926" t="s">
        <v>9906</v>
      </c>
      <c r="C70" s="933" t="s">
        <v>3481</v>
      </c>
      <c r="D70" s="1100">
        <v>260</v>
      </c>
      <c r="E70" s="928"/>
      <c r="F70" s="929"/>
      <c r="G70" s="929"/>
      <c r="H70" s="929"/>
      <c r="I70" s="929"/>
      <c r="J70" s="930"/>
      <c r="AN70" s="925"/>
    </row>
    <row r="71" spans="1:40" ht="16.5" thickBot="1">
      <c r="A71" s="8">
        <v>42</v>
      </c>
      <c r="B71" s="926" t="s">
        <v>6761</v>
      </c>
      <c r="C71" s="933" t="s">
        <v>3478</v>
      </c>
      <c r="D71" s="1101">
        <v>72</v>
      </c>
      <c r="E71" s="928"/>
      <c r="F71" s="929"/>
      <c r="G71" s="929"/>
      <c r="H71" s="929"/>
      <c r="I71" s="929"/>
      <c r="J71" s="930"/>
      <c r="AN71" s="925"/>
    </row>
    <row r="72" spans="1:40" ht="16.5" thickBot="1">
      <c r="A72" s="8">
        <v>43</v>
      </c>
      <c r="B72" s="926" t="s">
        <v>6762</v>
      </c>
      <c r="C72" s="933" t="s">
        <v>3477</v>
      </c>
      <c r="D72" s="1101">
        <v>54000</v>
      </c>
      <c r="E72" s="928"/>
      <c r="F72" s="929"/>
      <c r="G72" s="929"/>
      <c r="H72" s="929"/>
      <c r="I72" s="929"/>
      <c r="J72" s="930"/>
      <c r="AN72" s="925"/>
    </row>
    <row r="73" spans="1:40" ht="16.5" thickBot="1">
      <c r="A73" s="8">
        <v>44</v>
      </c>
      <c r="B73" s="926" t="s">
        <v>6156</v>
      </c>
      <c r="C73" s="933" t="s">
        <v>3483</v>
      </c>
      <c r="D73" s="1101">
        <v>275</v>
      </c>
      <c r="E73" s="928"/>
      <c r="F73" s="929"/>
      <c r="G73" s="929"/>
      <c r="H73" s="929"/>
      <c r="I73" s="929"/>
      <c r="J73" s="930"/>
      <c r="AN73" s="925"/>
    </row>
    <row r="74" spans="1:40" ht="16.5" thickBot="1">
      <c r="A74" s="8">
        <v>45</v>
      </c>
      <c r="B74" s="926" t="s">
        <v>6157</v>
      </c>
      <c r="C74" s="933" t="s">
        <v>3483</v>
      </c>
      <c r="D74" s="1101">
        <v>600</v>
      </c>
      <c r="E74" s="928"/>
      <c r="F74" s="929"/>
      <c r="G74" s="929"/>
      <c r="H74" s="929"/>
      <c r="I74" s="929"/>
      <c r="J74" s="930"/>
      <c r="AN74" s="925"/>
    </row>
    <row r="75" spans="1:40" ht="16.5" thickBot="1">
      <c r="A75" s="8">
        <v>46</v>
      </c>
      <c r="B75" s="926" t="s">
        <v>3493</v>
      </c>
      <c r="C75" s="933" t="s">
        <v>3481</v>
      </c>
      <c r="D75" s="1100">
        <v>37</v>
      </c>
      <c r="E75" s="928"/>
      <c r="F75" s="929"/>
      <c r="G75" s="929"/>
      <c r="H75" s="929"/>
      <c r="I75" s="929"/>
      <c r="J75" s="930"/>
      <c r="AN75" s="925"/>
    </row>
    <row r="76" spans="1:40" ht="16.5" thickBot="1">
      <c r="A76" s="8">
        <v>47</v>
      </c>
      <c r="B76" s="926" t="s">
        <v>5073</v>
      </c>
      <c r="C76" s="933" t="s">
        <v>3477</v>
      </c>
      <c r="D76" s="1101">
        <v>23000</v>
      </c>
      <c r="E76" s="928"/>
      <c r="F76" s="929"/>
      <c r="G76" s="929"/>
      <c r="H76" s="929"/>
      <c r="I76" s="929"/>
      <c r="J76" s="930"/>
      <c r="AN76" s="925"/>
    </row>
    <row r="77" spans="1:40" ht="16.5" thickBot="1">
      <c r="A77" s="8">
        <v>48</v>
      </c>
      <c r="B77" s="926" t="s">
        <v>9907</v>
      </c>
      <c r="C77" s="933" t="s">
        <v>3481</v>
      </c>
      <c r="D77" s="1101">
        <v>12</v>
      </c>
      <c r="E77" s="928"/>
      <c r="F77" s="929"/>
      <c r="G77" s="929"/>
      <c r="H77" s="929"/>
      <c r="I77" s="929"/>
      <c r="J77" s="930"/>
      <c r="AN77" s="925"/>
    </row>
    <row r="78" spans="1:40" ht="16.5" thickBot="1">
      <c r="A78" s="8">
        <v>49</v>
      </c>
      <c r="B78" s="926" t="s">
        <v>9908</v>
      </c>
      <c r="C78" s="933" t="s">
        <v>3481</v>
      </c>
      <c r="D78" s="1101">
        <v>15</v>
      </c>
      <c r="E78" s="928"/>
      <c r="F78" s="929"/>
      <c r="G78" s="929"/>
      <c r="H78" s="929"/>
      <c r="I78" s="929"/>
      <c r="J78" s="930"/>
      <c r="AN78" s="925"/>
    </row>
    <row r="79" spans="1:40" ht="16.5" thickBot="1">
      <c r="A79" s="8">
        <v>50</v>
      </c>
      <c r="B79" s="926" t="s">
        <v>9909</v>
      </c>
      <c r="C79" s="933" t="s">
        <v>3481</v>
      </c>
      <c r="D79" s="1101">
        <v>17</v>
      </c>
      <c r="E79" s="928"/>
      <c r="F79" s="929"/>
      <c r="G79" s="929"/>
      <c r="H79" s="929"/>
      <c r="I79" s="929"/>
      <c r="J79" s="930"/>
      <c r="AN79" s="925"/>
    </row>
    <row r="80" spans="1:40" ht="16.5" thickBot="1">
      <c r="A80" s="8">
        <v>51</v>
      </c>
      <c r="B80" s="926" t="s">
        <v>9910</v>
      </c>
      <c r="C80" s="933" t="s">
        <v>3481</v>
      </c>
      <c r="D80" s="1100">
        <v>480</v>
      </c>
      <c r="E80" s="928"/>
      <c r="F80" s="929"/>
      <c r="G80" s="929"/>
      <c r="H80" s="929"/>
      <c r="I80" s="929"/>
      <c r="J80" s="930"/>
      <c r="AN80" s="925"/>
    </row>
    <row r="81" spans="1:40" ht="32.25" thickBot="1">
      <c r="A81" s="8">
        <v>52</v>
      </c>
      <c r="B81" s="926" t="s">
        <v>5186</v>
      </c>
      <c r="C81" s="933" t="s">
        <v>3479</v>
      </c>
      <c r="D81" s="1101">
        <v>92</v>
      </c>
      <c r="E81" s="928"/>
      <c r="F81" s="929"/>
      <c r="G81" s="929"/>
      <c r="H81" s="929"/>
      <c r="I81" s="929"/>
      <c r="J81" s="930"/>
      <c r="AN81" s="925"/>
    </row>
    <row r="82" spans="1:40" ht="32.25" thickBot="1">
      <c r="A82" s="8">
        <v>53</v>
      </c>
      <c r="B82" s="932" t="s">
        <v>5187</v>
      </c>
      <c r="C82" s="933" t="s">
        <v>3479</v>
      </c>
      <c r="D82" s="1101">
        <v>135</v>
      </c>
      <c r="E82" s="928"/>
      <c r="F82" s="929"/>
      <c r="G82" s="929"/>
      <c r="H82" s="929"/>
      <c r="I82" s="929"/>
      <c r="J82" s="930"/>
      <c r="AN82" s="925"/>
    </row>
    <row r="83" spans="1:40" ht="32.25" thickBot="1">
      <c r="A83" s="8">
        <v>54</v>
      </c>
      <c r="B83" s="932" t="s">
        <v>2570</v>
      </c>
      <c r="C83" s="933" t="s">
        <v>3479</v>
      </c>
      <c r="D83" s="1101">
        <v>185</v>
      </c>
      <c r="E83" s="928"/>
      <c r="F83" s="929"/>
      <c r="G83" s="929"/>
      <c r="H83" s="929"/>
      <c r="I83" s="929"/>
      <c r="J83" s="930"/>
      <c r="AN83" s="925"/>
    </row>
    <row r="84" spans="1:40" ht="16.5" thickBot="1">
      <c r="A84" s="8">
        <v>55</v>
      </c>
      <c r="B84" s="932" t="s">
        <v>955</v>
      </c>
      <c r="C84" s="933" t="s">
        <v>3478</v>
      </c>
      <c r="D84" s="1101">
        <v>80</v>
      </c>
      <c r="E84" s="928"/>
      <c r="F84" s="929"/>
      <c r="G84" s="929"/>
      <c r="H84" s="929"/>
      <c r="I84" s="929"/>
      <c r="J84" s="930"/>
      <c r="AN84" s="925"/>
    </row>
    <row r="85" spans="1:40" ht="32.25" thickBot="1">
      <c r="A85" s="8">
        <v>56</v>
      </c>
      <c r="B85" s="932" t="s">
        <v>9320</v>
      </c>
      <c r="C85" s="933" t="s">
        <v>3477</v>
      </c>
      <c r="D85" s="1104">
        <v>165</v>
      </c>
      <c r="E85" s="928"/>
      <c r="F85" s="929"/>
      <c r="G85" s="929"/>
      <c r="H85" s="929"/>
      <c r="I85" s="929"/>
      <c r="J85" s="930"/>
      <c r="AN85" s="931"/>
    </row>
    <row r="86" spans="1:40" ht="16.5" thickBot="1">
      <c r="A86" s="8">
        <v>57</v>
      </c>
      <c r="B86" s="932" t="s">
        <v>957</v>
      </c>
      <c r="C86" s="933" t="s">
        <v>9316</v>
      </c>
      <c r="D86" s="1101">
        <v>80</v>
      </c>
      <c r="E86" s="928"/>
      <c r="F86" s="929"/>
      <c r="G86" s="929"/>
      <c r="H86" s="929"/>
      <c r="I86" s="929"/>
      <c r="J86" s="930"/>
      <c r="AN86" s="925"/>
    </row>
    <row r="87" spans="1:40" ht="16.5" thickBot="1">
      <c r="A87" s="8">
        <v>58</v>
      </c>
      <c r="B87" s="932" t="s">
        <v>958</v>
      </c>
      <c r="C87" s="933" t="s">
        <v>3477</v>
      </c>
      <c r="D87" s="1101">
        <v>42</v>
      </c>
      <c r="E87" s="928"/>
      <c r="F87" s="929"/>
      <c r="G87" s="929"/>
      <c r="H87" s="929"/>
      <c r="I87" s="929"/>
      <c r="J87" s="930"/>
      <c r="AN87" s="925"/>
    </row>
    <row r="88" spans="1:40" ht="16.5" thickBot="1">
      <c r="A88" s="8">
        <v>59</v>
      </c>
      <c r="B88" s="932" t="s">
        <v>959</v>
      </c>
      <c r="C88" s="933" t="s">
        <v>3483</v>
      </c>
      <c r="D88" s="1101">
        <v>45</v>
      </c>
      <c r="E88" s="928"/>
      <c r="F88" s="929"/>
      <c r="G88" s="929"/>
      <c r="H88" s="929"/>
      <c r="I88" s="929"/>
      <c r="J88" s="930"/>
      <c r="AN88" s="931"/>
    </row>
    <row r="89" spans="1:40" ht="16.5" thickBot="1">
      <c r="A89" s="8">
        <v>60</v>
      </c>
      <c r="B89" s="932" t="s">
        <v>960</v>
      </c>
      <c r="C89" s="933" t="s">
        <v>3483</v>
      </c>
      <c r="D89" s="1101">
        <v>470</v>
      </c>
      <c r="E89" s="928"/>
      <c r="F89" s="929"/>
      <c r="G89" s="929"/>
      <c r="H89" s="929"/>
      <c r="I89" s="929"/>
      <c r="J89" s="930"/>
      <c r="AN89" s="925"/>
    </row>
    <row r="90" spans="1:40" ht="16.5" thickBot="1">
      <c r="A90" s="8">
        <v>61</v>
      </c>
      <c r="B90" s="932" t="s">
        <v>3218</v>
      </c>
      <c r="C90" s="933" t="s">
        <v>3483</v>
      </c>
      <c r="D90" s="1103">
        <v>170</v>
      </c>
      <c r="E90" s="928"/>
      <c r="F90" s="929"/>
      <c r="G90" s="929"/>
      <c r="H90" s="929"/>
      <c r="I90" s="929"/>
      <c r="J90" s="930"/>
      <c r="AN90" s="925"/>
    </row>
    <row r="91" spans="1:40" ht="48" thickBot="1">
      <c r="A91" s="8">
        <v>62</v>
      </c>
      <c r="B91" s="932" t="s">
        <v>9962</v>
      </c>
      <c r="C91" s="933" t="s">
        <v>3480</v>
      </c>
      <c r="D91" s="1073">
        <v>34000</v>
      </c>
      <c r="E91" s="1090" t="s">
        <v>9881</v>
      </c>
      <c r="F91" s="929"/>
      <c r="G91" s="929"/>
      <c r="H91" s="929"/>
      <c r="I91" s="929"/>
      <c r="J91" s="930"/>
      <c r="K91" s="925"/>
      <c r="L91" s="925"/>
      <c r="M91" s="925"/>
      <c r="N91" s="925"/>
      <c r="O91" s="925"/>
      <c r="P91" s="925"/>
      <c r="Q91" s="925"/>
      <c r="R91" s="925"/>
      <c r="S91" s="925"/>
    </row>
    <row r="92" spans="1:40" ht="16.5" thickBot="1">
      <c r="A92" s="8">
        <v>63</v>
      </c>
      <c r="B92" s="932" t="s">
        <v>962</v>
      </c>
      <c r="C92" s="933" t="s">
        <v>3481</v>
      </c>
      <c r="D92" s="1100">
        <v>50</v>
      </c>
      <c r="E92" s="928"/>
      <c r="F92" s="929"/>
      <c r="G92" s="929"/>
      <c r="H92" s="929"/>
      <c r="I92" s="929"/>
      <c r="J92" s="930"/>
      <c r="K92" s="925"/>
      <c r="L92" s="925"/>
      <c r="M92" s="925"/>
      <c r="N92" s="925"/>
      <c r="O92" s="925"/>
      <c r="P92" s="925"/>
      <c r="Q92" s="925"/>
      <c r="R92" s="925"/>
      <c r="S92" s="925"/>
      <c r="AN92" s="925"/>
    </row>
    <row r="93" spans="1:40" ht="48" thickBot="1">
      <c r="A93" s="8">
        <v>64</v>
      </c>
      <c r="B93" s="926" t="s">
        <v>9911</v>
      </c>
      <c r="C93" s="933" t="s">
        <v>3481</v>
      </c>
      <c r="D93" s="1101">
        <v>23</v>
      </c>
      <c r="E93" s="928"/>
      <c r="F93" s="929"/>
      <c r="G93" s="929"/>
      <c r="H93" s="929"/>
      <c r="I93" s="929"/>
      <c r="J93" s="930"/>
      <c r="K93" s="925"/>
      <c r="L93" s="925"/>
      <c r="M93" s="925"/>
      <c r="N93" s="925"/>
      <c r="O93" s="925"/>
      <c r="P93" s="925"/>
      <c r="Q93" s="925"/>
      <c r="R93" s="925"/>
      <c r="S93" s="925"/>
      <c r="AN93" s="925"/>
    </row>
    <row r="94" spans="1:40" ht="32.25" thickBot="1">
      <c r="A94" s="8">
        <v>65</v>
      </c>
      <c r="B94" s="926" t="s">
        <v>9912</v>
      </c>
      <c r="C94" s="933" t="s">
        <v>3479</v>
      </c>
      <c r="D94" s="1101">
        <v>235</v>
      </c>
      <c r="E94" s="928"/>
      <c r="F94" s="929"/>
      <c r="G94" s="929"/>
      <c r="H94" s="929"/>
      <c r="I94" s="929"/>
      <c r="J94" s="930"/>
      <c r="K94" s="925"/>
      <c r="L94" s="925"/>
      <c r="M94" s="925"/>
      <c r="N94" s="925"/>
      <c r="O94" s="925"/>
      <c r="P94" s="925"/>
      <c r="Q94" s="925"/>
      <c r="R94" s="925"/>
      <c r="S94" s="925"/>
      <c r="AN94" s="925"/>
    </row>
    <row r="95" spans="1:40" ht="48" thickBot="1">
      <c r="A95" s="8">
        <v>66</v>
      </c>
      <c r="B95" s="926" t="s">
        <v>9913</v>
      </c>
      <c r="C95" s="933" t="s">
        <v>3477</v>
      </c>
      <c r="D95" s="1101">
        <v>185</v>
      </c>
      <c r="E95" s="928"/>
      <c r="F95" s="929"/>
      <c r="G95" s="929"/>
      <c r="H95" s="929"/>
      <c r="I95" s="929"/>
      <c r="J95" s="930"/>
      <c r="K95" s="925"/>
      <c r="L95" s="925"/>
      <c r="M95" s="925"/>
      <c r="N95" s="925"/>
      <c r="O95" s="925"/>
      <c r="P95" s="925"/>
      <c r="Q95" s="925"/>
      <c r="R95" s="925"/>
      <c r="S95" s="925"/>
      <c r="AN95" s="925"/>
    </row>
    <row r="96" spans="1:40" ht="32.25" thickBot="1">
      <c r="A96" s="8">
        <v>67</v>
      </c>
      <c r="B96" s="926" t="s">
        <v>9914</v>
      </c>
      <c r="C96" s="933" t="s">
        <v>3477</v>
      </c>
      <c r="D96" s="1101">
        <v>350</v>
      </c>
      <c r="E96" s="928"/>
      <c r="F96" s="929"/>
      <c r="G96" s="929"/>
      <c r="H96" s="929"/>
      <c r="I96" s="929"/>
      <c r="J96" s="930"/>
      <c r="K96" s="925"/>
      <c r="L96" s="925"/>
      <c r="M96" s="925"/>
      <c r="N96" s="925"/>
      <c r="O96" s="925"/>
      <c r="P96" s="925"/>
      <c r="Q96" s="925"/>
      <c r="R96" s="925"/>
      <c r="S96" s="925"/>
      <c r="AN96" s="925"/>
    </row>
    <row r="97" spans="1:40" ht="47.25">
      <c r="A97" s="8">
        <v>68</v>
      </c>
      <c r="B97" s="926" t="s">
        <v>9694</v>
      </c>
      <c r="C97" s="933" t="s">
        <v>3480</v>
      </c>
      <c r="D97" s="1073">
        <v>37500</v>
      </c>
      <c r="E97" s="1090" t="s">
        <v>9882</v>
      </c>
      <c r="F97" s="929"/>
      <c r="G97" s="929"/>
      <c r="H97" s="929"/>
      <c r="I97" s="929"/>
      <c r="J97" s="930"/>
      <c r="K97" s="925"/>
      <c r="L97" s="925"/>
      <c r="M97" s="925"/>
      <c r="N97" s="925"/>
      <c r="O97" s="925"/>
      <c r="P97" s="925"/>
      <c r="Q97" s="925"/>
      <c r="R97" s="925"/>
      <c r="S97" s="925"/>
      <c r="AN97" s="925"/>
    </row>
    <row r="98" spans="1:40" s="7" customFormat="1" ht="48" thickBot="1">
      <c r="A98" s="8">
        <v>69</v>
      </c>
      <c r="B98" s="926" t="s">
        <v>9770</v>
      </c>
      <c r="C98" s="933" t="s">
        <v>3480</v>
      </c>
      <c r="D98" s="1052">
        <v>37400</v>
      </c>
      <c r="E98" s="1090" t="s">
        <v>9882</v>
      </c>
      <c r="F98" s="929"/>
      <c r="G98" s="929"/>
      <c r="H98" s="929"/>
      <c r="I98" s="929"/>
      <c r="J98" s="12"/>
      <c r="K98" s="925"/>
      <c r="L98" s="925"/>
      <c r="M98" s="925"/>
      <c r="N98" s="925"/>
      <c r="O98" s="925"/>
      <c r="P98" s="925"/>
      <c r="Q98" s="925"/>
      <c r="R98" s="925"/>
      <c r="S98" s="925"/>
      <c r="AN98" s="931"/>
    </row>
    <row r="99" spans="1:40" ht="32.25" thickBot="1">
      <c r="A99" s="8">
        <v>70</v>
      </c>
      <c r="B99" s="926" t="s">
        <v>9321</v>
      </c>
      <c r="C99" s="933" t="s">
        <v>3478</v>
      </c>
      <c r="D99" s="1100">
        <v>55</v>
      </c>
      <c r="E99" s="928"/>
      <c r="F99" s="929"/>
      <c r="G99" s="929"/>
      <c r="H99" s="929"/>
      <c r="I99" s="929"/>
      <c r="J99" s="930"/>
      <c r="K99" s="925"/>
      <c r="L99" s="925"/>
      <c r="M99" s="925"/>
      <c r="N99" s="925"/>
      <c r="O99" s="925"/>
      <c r="P99" s="925"/>
      <c r="Q99" s="925"/>
      <c r="R99" s="925"/>
      <c r="S99" s="925"/>
      <c r="AN99" s="931"/>
    </row>
    <row r="100" spans="1:40" ht="16.5" thickBot="1">
      <c r="A100" s="8">
        <v>71</v>
      </c>
      <c r="B100" s="926" t="s">
        <v>5308</v>
      </c>
      <c r="C100" s="933" t="s">
        <v>9316</v>
      </c>
      <c r="D100" s="1101">
        <v>260</v>
      </c>
      <c r="E100" s="928"/>
      <c r="F100" s="929"/>
      <c r="G100" s="929"/>
      <c r="H100" s="929"/>
      <c r="I100" s="929"/>
      <c r="J100" s="930"/>
      <c r="K100" s="925"/>
      <c r="L100" s="925"/>
      <c r="M100" s="925"/>
      <c r="N100" s="925"/>
      <c r="O100" s="925"/>
      <c r="P100" s="925"/>
      <c r="Q100" s="925"/>
      <c r="R100" s="925"/>
      <c r="S100" s="925"/>
      <c r="AN100" s="925"/>
    </row>
    <row r="101" spans="1:40" ht="16.5" thickBot="1">
      <c r="A101" s="8">
        <v>72</v>
      </c>
      <c r="B101" s="926" t="s">
        <v>1304</v>
      </c>
      <c r="C101" s="933" t="s">
        <v>1791</v>
      </c>
      <c r="D101" s="1101">
        <v>360</v>
      </c>
      <c r="E101" s="928"/>
      <c r="F101" s="929"/>
      <c r="G101" s="929"/>
      <c r="H101" s="929"/>
      <c r="I101" s="929"/>
      <c r="J101" s="12"/>
      <c r="K101" s="925"/>
      <c r="L101" s="925"/>
      <c r="M101" s="925"/>
      <c r="N101" s="925"/>
      <c r="O101" s="925"/>
      <c r="P101" s="925"/>
      <c r="Q101" s="925"/>
      <c r="R101" s="925"/>
      <c r="S101" s="925"/>
      <c r="AN101" s="925"/>
    </row>
    <row r="102" spans="1:40" ht="16.5" thickBot="1">
      <c r="A102" s="8">
        <v>73</v>
      </c>
      <c r="B102" s="926" t="s">
        <v>9322</v>
      </c>
      <c r="C102" s="933" t="s">
        <v>3479</v>
      </c>
      <c r="D102" s="1101">
        <v>415</v>
      </c>
      <c r="E102" s="928"/>
      <c r="F102" s="929"/>
      <c r="G102" s="929"/>
      <c r="H102" s="929"/>
      <c r="I102" s="929"/>
      <c r="J102" s="930"/>
      <c r="K102" s="925"/>
      <c r="L102" s="925"/>
      <c r="M102" s="925"/>
      <c r="N102" s="925"/>
      <c r="O102" s="925"/>
      <c r="P102" s="925"/>
      <c r="Q102" s="925"/>
      <c r="R102" s="925"/>
      <c r="S102" s="925"/>
    </row>
    <row r="103" spans="1:40" ht="16.5" thickBot="1">
      <c r="A103" s="8">
        <v>74</v>
      </c>
      <c r="B103" s="926" t="s">
        <v>9323</v>
      </c>
      <c r="C103" s="933" t="s">
        <v>3479</v>
      </c>
      <c r="D103" s="1101">
        <v>630</v>
      </c>
      <c r="E103" s="928"/>
      <c r="F103" s="929"/>
      <c r="G103" s="929"/>
      <c r="H103" s="929"/>
      <c r="I103" s="929"/>
      <c r="J103" s="930"/>
      <c r="K103" s="925"/>
      <c r="L103" s="925"/>
      <c r="M103" s="925"/>
      <c r="N103" s="925"/>
      <c r="O103" s="925"/>
      <c r="P103" s="925"/>
      <c r="Q103" s="925"/>
      <c r="R103" s="925"/>
      <c r="S103" s="925"/>
      <c r="AN103" s="925"/>
    </row>
    <row r="104" spans="1:40" ht="30.75" customHeight="1" thickBot="1">
      <c r="A104" s="8">
        <v>75</v>
      </c>
      <c r="B104" s="926" t="s">
        <v>9915</v>
      </c>
      <c r="C104" s="933" t="s">
        <v>3481</v>
      </c>
      <c r="D104" s="1101">
        <v>22</v>
      </c>
      <c r="E104" s="928"/>
      <c r="F104" s="929"/>
      <c r="G104" s="929"/>
      <c r="H104" s="929"/>
      <c r="I104" s="929"/>
      <c r="J104" s="930"/>
      <c r="K104" s="925"/>
      <c r="L104" s="925"/>
      <c r="M104" s="925"/>
      <c r="N104" s="925"/>
      <c r="O104" s="925"/>
      <c r="P104" s="925"/>
      <c r="Q104" s="925"/>
      <c r="R104" s="925"/>
      <c r="S104" s="925"/>
      <c r="AN104" s="925"/>
    </row>
    <row r="105" spans="1:40" ht="48" thickBot="1">
      <c r="A105" s="8">
        <v>76</v>
      </c>
      <c r="B105" s="926" t="s">
        <v>9916</v>
      </c>
      <c r="C105" s="933" t="s">
        <v>3481</v>
      </c>
      <c r="D105" s="1100">
        <v>39</v>
      </c>
      <c r="E105" s="928"/>
      <c r="F105" s="929"/>
      <c r="G105" s="929"/>
      <c r="H105" s="929"/>
      <c r="I105" s="929"/>
      <c r="J105" s="930"/>
      <c r="K105" s="925"/>
      <c r="L105" s="925"/>
      <c r="M105" s="925"/>
      <c r="N105" s="925"/>
      <c r="O105" s="925"/>
      <c r="P105" s="925"/>
      <c r="Q105" s="925"/>
      <c r="R105" s="925"/>
      <c r="S105" s="925"/>
      <c r="AN105" s="925"/>
    </row>
    <row r="106" spans="1:40" ht="48" thickBot="1">
      <c r="A106" s="8">
        <v>77</v>
      </c>
      <c r="B106" s="926" t="s">
        <v>9917</v>
      </c>
      <c r="C106" s="933" t="s">
        <v>3481</v>
      </c>
      <c r="D106" s="1101">
        <v>59</v>
      </c>
      <c r="E106" s="928"/>
      <c r="F106" s="929"/>
      <c r="G106" s="929"/>
      <c r="H106" s="929"/>
      <c r="I106" s="929"/>
      <c r="J106" s="930"/>
      <c r="K106" s="925"/>
      <c r="L106" s="925"/>
      <c r="M106" s="925"/>
      <c r="N106" s="925"/>
      <c r="O106" s="925"/>
      <c r="P106" s="925"/>
      <c r="Q106" s="925"/>
      <c r="R106" s="925"/>
      <c r="S106" s="925"/>
      <c r="AN106" s="925"/>
    </row>
    <row r="107" spans="1:40" ht="48" thickBot="1">
      <c r="A107" s="8">
        <v>78</v>
      </c>
      <c r="B107" s="926" t="s">
        <v>9918</v>
      </c>
      <c r="C107" s="933" t="s">
        <v>3477</v>
      </c>
      <c r="D107" s="1101">
        <v>155</v>
      </c>
      <c r="E107" s="928"/>
      <c r="F107" s="929"/>
      <c r="G107" s="929"/>
      <c r="H107" s="929"/>
      <c r="I107" s="929"/>
      <c r="J107" s="930"/>
      <c r="K107" s="925"/>
      <c r="L107" s="925"/>
      <c r="M107" s="925"/>
      <c r="N107" s="925"/>
      <c r="O107" s="925"/>
      <c r="P107" s="925"/>
      <c r="Q107" s="925"/>
      <c r="R107" s="925"/>
      <c r="S107" s="925"/>
      <c r="AN107" s="925"/>
    </row>
    <row r="108" spans="1:40" ht="48" thickBot="1">
      <c r="A108" s="8">
        <v>79</v>
      </c>
      <c r="B108" s="926" t="s">
        <v>9919</v>
      </c>
      <c r="C108" s="933" t="s">
        <v>3477</v>
      </c>
      <c r="D108" s="1101">
        <v>318</v>
      </c>
      <c r="E108" s="928"/>
      <c r="F108" s="929"/>
      <c r="G108" s="929"/>
      <c r="H108" s="929"/>
      <c r="I108" s="929"/>
      <c r="J108" s="930"/>
      <c r="K108" s="925"/>
      <c r="L108" s="925"/>
      <c r="M108" s="925"/>
      <c r="N108" s="925"/>
      <c r="O108" s="925"/>
      <c r="P108" s="925"/>
      <c r="Q108" s="925"/>
      <c r="R108" s="925"/>
      <c r="S108" s="925"/>
      <c r="AN108" s="925"/>
    </row>
    <row r="109" spans="1:40" ht="16.5" thickBot="1">
      <c r="A109" s="8">
        <v>80</v>
      </c>
      <c r="B109" s="926" t="s">
        <v>3921</v>
      </c>
      <c r="C109" s="933" t="s">
        <v>3478</v>
      </c>
      <c r="D109" s="1101">
        <v>80</v>
      </c>
      <c r="E109" s="928"/>
      <c r="F109" s="929"/>
      <c r="G109" s="929"/>
      <c r="H109" s="929"/>
      <c r="I109" s="929"/>
      <c r="J109" s="930"/>
      <c r="K109" s="925"/>
      <c r="L109" s="925"/>
      <c r="M109" s="925"/>
      <c r="N109" s="925"/>
      <c r="O109" s="925"/>
      <c r="P109" s="925"/>
      <c r="Q109" s="925"/>
      <c r="R109" s="925"/>
      <c r="S109" s="925"/>
      <c r="AN109" s="925"/>
    </row>
    <row r="110" spans="1:40" ht="16.5" thickBot="1">
      <c r="A110" s="8">
        <v>81</v>
      </c>
      <c r="B110" s="926" t="s">
        <v>3922</v>
      </c>
      <c r="C110" s="933" t="s">
        <v>3481</v>
      </c>
      <c r="D110" s="1100">
        <v>13</v>
      </c>
      <c r="E110" s="928"/>
      <c r="F110" s="929"/>
      <c r="G110" s="929"/>
      <c r="H110" s="929"/>
      <c r="I110" s="929"/>
      <c r="J110" s="930"/>
      <c r="K110" s="925"/>
      <c r="L110" s="925"/>
      <c r="M110" s="925"/>
      <c r="N110" s="925"/>
      <c r="O110" s="925"/>
      <c r="P110" s="925"/>
      <c r="Q110" s="925"/>
      <c r="R110" s="925"/>
      <c r="S110" s="925"/>
      <c r="AN110" s="925"/>
    </row>
    <row r="111" spans="1:40" ht="16.5" thickBot="1">
      <c r="A111" s="8">
        <v>82</v>
      </c>
      <c r="B111" s="926" t="s">
        <v>3851</v>
      </c>
      <c r="C111" s="933" t="s">
        <v>3481</v>
      </c>
      <c r="D111" s="1101">
        <v>41</v>
      </c>
      <c r="E111" s="928"/>
      <c r="F111" s="929"/>
      <c r="G111" s="929"/>
      <c r="H111" s="929"/>
      <c r="I111" s="929"/>
      <c r="J111" s="930"/>
      <c r="K111" s="925"/>
      <c r="L111" s="925"/>
      <c r="M111" s="925"/>
      <c r="N111" s="925"/>
      <c r="O111" s="925"/>
      <c r="P111" s="925"/>
      <c r="Q111" s="925"/>
      <c r="R111" s="925"/>
      <c r="S111" s="925"/>
      <c r="AN111" s="925"/>
    </row>
    <row r="112" spans="1:40" s="7" customFormat="1" ht="16.5" thickBot="1">
      <c r="A112" s="8">
        <v>83</v>
      </c>
      <c r="B112" s="926" t="s">
        <v>3852</v>
      </c>
      <c r="C112" s="933" t="s">
        <v>3479</v>
      </c>
      <c r="D112" s="1100">
        <v>235</v>
      </c>
      <c r="E112" s="928"/>
      <c r="F112" s="929"/>
      <c r="G112" s="929"/>
      <c r="H112" s="929"/>
      <c r="I112" s="929"/>
      <c r="J112" s="930"/>
      <c r="K112" s="925"/>
      <c r="L112" s="925"/>
      <c r="M112" s="925"/>
      <c r="N112" s="925"/>
      <c r="O112" s="925"/>
      <c r="P112" s="925"/>
      <c r="Q112" s="925"/>
      <c r="R112" s="925"/>
      <c r="S112" s="925"/>
      <c r="AN112" s="925"/>
    </row>
    <row r="113" spans="1:40" s="7" customFormat="1" ht="16.5" thickBot="1">
      <c r="A113" s="8">
        <v>84</v>
      </c>
      <c r="B113" s="926" t="s">
        <v>3853</v>
      </c>
      <c r="C113" s="933" t="s">
        <v>9316</v>
      </c>
      <c r="D113" s="1101">
        <v>180</v>
      </c>
      <c r="E113" s="928"/>
      <c r="F113" s="929"/>
      <c r="G113" s="929"/>
      <c r="H113" s="929"/>
      <c r="I113" s="929"/>
      <c r="J113" s="930"/>
      <c r="K113" s="925"/>
      <c r="L113" s="925"/>
      <c r="M113" s="925"/>
      <c r="N113" s="925"/>
      <c r="O113" s="925"/>
      <c r="P113" s="925"/>
      <c r="Q113" s="925"/>
      <c r="R113" s="925"/>
      <c r="S113" s="925"/>
      <c r="AN113" s="925"/>
    </row>
    <row r="114" spans="1:40" s="7" customFormat="1" ht="16.5" thickBot="1">
      <c r="A114" s="8">
        <v>85</v>
      </c>
      <c r="B114" s="926" t="s">
        <v>2757</v>
      </c>
      <c r="C114" s="933" t="s">
        <v>9316</v>
      </c>
      <c r="D114" s="1101">
        <v>620</v>
      </c>
      <c r="E114" s="928"/>
      <c r="F114" s="929"/>
      <c r="G114" s="929"/>
      <c r="H114" s="929"/>
      <c r="I114" s="929"/>
      <c r="J114" s="930"/>
    </row>
    <row r="115" spans="1:40" s="7" customFormat="1" ht="16.5" thickBot="1">
      <c r="A115" s="8">
        <v>86</v>
      </c>
      <c r="B115" s="926" t="s">
        <v>9324</v>
      </c>
      <c r="C115" s="933" t="s">
        <v>9316</v>
      </c>
      <c r="D115" s="1101">
        <v>260</v>
      </c>
      <c r="E115" s="928"/>
      <c r="F115" s="929"/>
      <c r="G115" s="929"/>
      <c r="H115" s="929"/>
      <c r="I115" s="929"/>
      <c r="J115" s="930"/>
    </row>
    <row r="116" spans="1:40" s="7" customFormat="1" ht="16.5" thickBot="1">
      <c r="A116" s="8">
        <v>87</v>
      </c>
      <c r="B116" s="926" t="s">
        <v>6075</v>
      </c>
      <c r="C116" s="933" t="s">
        <v>9316</v>
      </c>
      <c r="D116" s="1101">
        <v>223</v>
      </c>
      <c r="E116" s="928"/>
      <c r="F116" s="929"/>
      <c r="G116" s="929"/>
      <c r="H116" s="929"/>
      <c r="I116" s="929"/>
      <c r="J116" s="930"/>
    </row>
    <row r="117" spans="1:40" ht="16.5" thickBot="1">
      <c r="A117" s="8">
        <v>88</v>
      </c>
      <c r="B117" s="926" t="s">
        <v>1717</v>
      </c>
      <c r="C117" s="933" t="s">
        <v>9316</v>
      </c>
      <c r="D117" s="1101">
        <v>185</v>
      </c>
      <c r="E117" s="928"/>
      <c r="F117" s="929"/>
      <c r="G117" s="929"/>
      <c r="H117" s="929"/>
      <c r="I117" s="929"/>
      <c r="J117" s="930"/>
      <c r="K117" s="7"/>
      <c r="L117" s="7"/>
      <c r="M117" s="7"/>
      <c r="N117" s="7"/>
      <c r="O117" s="7"/>
      <c r="P117" s="7"/>
      <c r="Q117" s="7"/>
      <c r="R117" s="7"/>
      <c r="S117" s="7"/>
    </row>
    <row r="118" spans="1:40" ht="12.75" customHeight="1" thickBot="1">
      <c r="A118" s="938" t="s">
        <v>9394</v>
      </c>
      <c r="B118" s="926" t="s">
        <v>9742</v>
      </c>
      <c r="C118" s="933" t="s">
        <v>3483</v>
      </c>
      <c r="D118" s="1100">
        <v>230</v>
      </c>
      <c r="E118" s="928"/>
      <c r="F118" s="929"/>
      <c r="G118" s="929"/>
      <c r="H118" s="929"/>
      <c r="I118" s="929"/>
      <c r="J118" s="930"/>
    </row>
    <row r="119" spans="1:40" ht="12.75" customHeight="1" thickBot="1">
      <c r="A119" s="938" t="s">
        <v>9395</v>
      </c>
      <c r="B119" s="926" t="s">
        <v>9741</v>
      </c>
      <c r="C119" s="933" t="s">
        <v>3483</v>
      </c>
      <c r="D119" s="1101">
        <v>480</v>
      </c>
      <c r="E119" s="928"/>
      <c r="F119" s="929"/>
      <c r="G119" s="929"/>
      <c r="H119" s="929"/>
      <c r="I119" s="929"/>
      <c r="J119" s="930"/>
    </row>
    <row r="120" spans="1:40" ht="12.75" customHeight="1" thickBot="1">
      <c r="A120" s="8">
        <v>90</v>
      </c>
      <c r="B120" s="926" t="s">
        <v>7840</v>
      </c>
      <c r="C120" s="933" t="s">
        <v>1791</v>
      </c>
      <c r="D120" s="1100">
        <v>185</v>
      </c>
      <c r="E120" s="928"/>
      <c r="F120" s="929"/>
      <c r="G120" s="929"/>
      <c r="H120" s="929"/>
      <c r="I120" s="929"/>
      <c r="J120" s="930"/>
    </row>
    <row r="121" spans="1:40" ht="12.75" customHeight="1" thickBot="1">
      <c r="A121" s="8">
        <v>91</v>
      </c>
      <c r="B121" s="939" t="s">
        <v>9392</v>
      </c>
      <c r="C121" s="933" t="s">
        <v>9316</v>
      </c>
      <c r="D121" s="1101">
        <v>480</v>
      </c>
      <c r="E121" s="929"/>
      <c r="F121" s="929"/>
      <c r="G121" s="929"/>
      <c r="H121" s="929"/>
      <c r="I121" s="929"/>
      <c r="J121" s="930"/>
    </row>
    <row r="122" spans="1:40" ht="12.75" customHeight="1" thickBot="1">
      <c r="A122" s="8">
        <v>92</v>
      </c>
      <c r="B122" s="939" t="s">
        <v>9393</v>
      </c>
      <c r="C122" s="933" t="s">
        <v>9316</v>
      </c>
      <c r="D122" s="1101">
        <v>300</v>
      </c>
      <c r="E122" s="929"/>
      <c r="F122" s="929"/>
      <c r="G122" s="929"/>
      <c r="H122" s="929"/>
      <c r="I122" s="929"/>
      <c r="J122" s="930"/>
    </row>
    <row r="123" spans="1:40" ht="12.75" customHeight="1">
      <c r="A123" s="940"/>
      <c r="B123" s="941"/>
      <c r="C123" s="942"/>
      <c r="D123" s="942"/>
      <c r="E123" s="929"/>
      <c r="F123" s="929"/>
      <c r="G123" s="929"/>
      <c r="H123" s="929"/>
      <c r="I123" s="929"/>
      <c r="J123" s="930"/>
    </row>
    <row r="124" spans="1:40">
      <c r="A124" s="1"/>
      <c r="D124" s="1105"/>
      <c r="E124" s="929"/>
      <c r="F124" s="929"/>
      <c r="G124" s="929"/>
      <c r="H124" s="929"/>
      <c r="I124" s="929"/>
      <c r="J124" s="943"/>
    </row>
    <row r="125" spans="1:40">
      <c r="A125" s="2"/>
      <c r="B125" s="7"/>
      <c r="C125" s="2"/>
      <c r="E125" s="929"/>
      <c r="F125" s="929"/>
      <c r="G125" s="18"/>
      <c r="H125" s="18"/>
      <c r="I125" s="929"/>
      <c r="J125" s="943"/>
      <c r="K125" s="7"/>
      <c r="L125" s="7"/>
      <c r="M125" s="7"/>
      <c r="N125" s="7"/>
      <c r="O125" s="7"/>
      <c r="P125" s="7"/>
      <c r="Q125" s="7"/>
      <c r="R125" s="7"/>
      <c r="S125" s="7"/>
    </row>
    <row r="126" spans="1:40">
      <c r="B126" s="2" t="s">
        <v>3954</v>
      </c>
      <c r="C126" s="2"/>
      <c r="D126" s="1095"/>
      <c r="E126" s="923"/>
      <c r="F126" s="2"/>
      <c r="G126" s="2"/>
      <c r="H126" s="2"/>
      <c r="I126" s="2"/>
      <c r="J126" s="2"/>
      <c r="K126" s="2"/>
      <c r="L126" s="2"/>
      <c r="M126" s="2"/>
      <c r="N126" s="2"/>
      <c r="O126" s="2"/>
      <c r="P126" s="2"/>
      <c r="Q126" s="2"/>
      <c r="R126" s="2"/>
      <c r="S126" s="2"/>
    </row>
    <row r="127" spans="1:40">
      <c r="B127" s="1093" t="s">
        <v>9884</v>
      </c>
      <c r="C127" s="2"/>
      <c r="D127" s="1095"/>
      <c r="E127" s="923"/>
      <c r="F127" s="2"/>
      <c r="G127" s="2"/>
      <c r="H127" s="2"/>
      <c r="I127" s="2"/>
      <c r="J127" s="2"/>
      <c r="K127" s="2"/>
      <c r="L127" s="2"/>
      <c r="M127" s="2"/>
      <c r="N127" s="2"/>
      <c r="O127" s="2"/>
      <c r="P127" s="2"/>
      <c r="Q127" s="2"/>
      <c r="R127" s="2"/>
      <c r="S127" s="2"/>
    </row>
    <row r="128" spans="1:40">
      <c r="B128" s="7"/>
    </row>
    <row r="129" spans="1:18">
      <c r="B129" s="7" t="s">
        <v>3955</v>
      </c>
    </row>
    <row r="130" spans="1:18">
      <c r="A130" s="15" t="s">
        <v>1535</v>
      </c>
      <c r="B130" s="1" t="s">
        <v>3956</v>
      </c>
    </row>
    <row r="131" spans="1:18">
      <c r="B131" s="1" t="s">
        <v>1533</v>
      </c>
    </row>
    <row r="132" spans="1:18">
      <c r="B132" s="1" t="s">
        <v>1534</v>
      </c>
    </row>
    <row r="133" spans="1:18" hidden="1">
      <c r="B133" s="3"/>
      <c r="C133" s="20" t="s">
        <v>1536</v>
      </c>
      <c r="D133" s="1106" t="s">
        <v>1538</v>
      </c>
      <c r="E133" s="944" t="s">
        <v>1514</v>
      </c>
      <c r="F133" s="945" t="s">
        <v>1518</v>
      </c>
      <c r="G133" s="946"/>
      <c r="H133" s="946"/>
      <c r="I133" s="946"/>
      <c r="J133" s="946"/>
      <c r="K133" s="946"/>
      <c r="L133" s="946"/>
      <c r="M133" s="946"/>
      <c r="N133" s="946"/>
      <c r="O133" s="946"/>
      <c r="P133" s="946"/>
      <c r="Q133" s="946"/>
      <c r="R133" s="946"/>
    </row>
    <row r="134" spans="1:18" hidden="1">
      <c r="B134" s="3"/>
      <c r="C134" s="20" t="s">
        <v>1537</v>
      </c>
      <c r="D134" s="1106" t="s">
        <v>1539</v>
      </c>
      <c r="E134" s="944" t="s">
        <v>1515</v>
      </c>
      <c r="F134" s="945" t="s">
        <v>1519</v>
      </c>
      <c r="G134" s="946"/>
      <c r="H134" s="946"/>
      <c r="I134" s="946"/>
      <c r="J134" s="946"/>
      <c r="K134" s="946"/>
      <c r="L134" s="946"/>
      <c r="M134" s="946"/>
      <c r="N134" s="946"/>
      <c r="O134" s="946"/>
      <c r="P134" s="946"/>
      <c r="Q134" s="946"/>
      <c r="R134" s="946"/>
    </row>
    <row r="135" spans="1:18" hidden="1">
      <c r="B135" s="3"/>
      <c r="C135" s="20"/>
      <c r="D135" s="1106" t="s">
        <v>1540</v>
      </c>
      <c r="E135" s="944" t="s">
        <v>1516</v>
      </c>
      <c r="F135" s="945" t="s">
        <v>1520</v>
      </c>
      <c r="G135" s="946"/>
      <c r="H135" s="946"/>
      <c r="I135" s="946"/>
      <c r="J135" s="946"/>
      <c r="K135" s="946"/>
      <c r="L135" s="946"/>
      <c r="M135" s="946"/>
      <c r="N135" s="946"/>
      <c r="O135" s="946"/>
      <c r="P135" s="946"/>
      <c r="Q135" s="946"/>
      <c r="R135" s="946"/>
    </row>
    <row r="136" spans="1:18" hidden="1">
      <c r="B136" s="3"/>
      <c r="C136" s="20" t="s">
        <v>3478</v>
      </c>
      <c r="D136" s="1106" t="s">
        <v>1513</v>
      </c>
      <c r="E136" s="944" t="s">
        <v>1517</v>
      </c>
      <c r="F136" s="945" t="s">
        <v>3478</v>
      </c>
      <c r="G136" s="946"/>
      <c r="H136" s="946"/>
      <c r="I136" s="946"/>
      <c r="J136" s="946"/>
      <c r="K136" s="946"/>
      <c r="L136" s="946"/>
      <c r="M136" s="946"/>
      <c r="N136" s="946"/>
      <c r="O136" s="946"/>
      <c r="P136" s="946"/>
      <c r="Q136" s="946"/>
      <c r="R136" s="946"/>
    </row>
    <row r="137" spans="1:18" hidden="1">
      <c r="B137" s="3"/>
      <c r="C137" s="20">
        <v>1</v>
      </c>
      <c r="D137" s="1106">
        <v>2</v>
      </c>
      <c r="E137" s="947">
        <v>3</v>
      </c>
      <c r="F137" s="945">
        <v>4</v>
      </c>
      <c r="G137" s="946"/>
      <c r="H137" s="946"/>
      <c r="I137" s="946"/>
      <c r="J137" s="946"/>
      <c r="K137" s="946"/>
      <c r="L137" s="946"/>
      <c r="M137" s="946"/>
      <c r="N137" s="946"/>
      <c r="O137" s="946"/>
      <c r="P137" s="946"/>
      <c r="Q137" s="946"/>
      <c r="R137" s="946"/>
    </row>
    <row r="138" spans="1:18" hidden="1">
      <c r="B138" s="3"/>
      <c r="C138" s="20"/>
      <c r="D138" s="1106"/>
      <c r="E138" s="944"/>
      <c r="F138" s="945"/>
      <c r="G138" s="946"/>
      <c r="H138" s="946"/>
      <c r="I138" s="946"/>
      <c r="J138" s="946"/>
      <c r="K138" s="946"/>
      <c r="L138" s="946"/>
      <c r="M138" s="946"/>
      <c r="N138" s="946"/>
      <c r="O138" s="946"/>
      <c r="P138" s="946"/>
      <c r="Q138" s="946"/>
      <c r="R138" s="946"/>
    </row>
    <row r="139" spans="1:18" hidden="1">
      <c r="B139" s="3" t="s">
        <v>4092</v>
      </c>
      <c r="C139" s="948">
        <v>17</v>
      </c>
      <c r="D139" s="1106">
        <v>56.25</v>
      </c>
      <c r="E139" s="944">
        <f>SUM(C139:D139)*$D$349</f>
        <v>0</v>
      </c>
      <c r="F139" s="949">
        <f>SUM(C139:E139)</f>
        <v>73.25</v>
      </c>
      <c r="G139" s="950"/>
      <c r="H139" s="950"/>
      <c r="I139" s="950"/>
      <c r="J139" s="950"/>
      <c r="K139" s="950"/>
      <c r="L139" s="950"/>
      <c r="M139" s="950"/>
      <c r="N139" s="950"/>
      <c r="O139" s="950"/>
      <c r="P139" s="950"/>
      <c r="Q139" s="950"/>
      <c r="R139" s="950"/>
    </row>
    <row r="140" spans="1:18" hidden="1">
      <c r="B140" s="3" t="s">
        <v>4811</v>
      </c>
      <c r="C140" s="948">
        <v>17</v>
      </c>
      <c r="D140" s="1106">
        <v>64.69</v>
      </c>
      <c r="E140" s="944">
        <f>SUM(C140:D140)*$D$349</f>
        <v>0</v>
      </c>
      <c r="F140" s="945">
        <v>95</v>
      </c>
      <c r="G140" s="946"/>
      <c r="H140" s="946"/>
      <c r="I140" s="946"/>
      <c r="J140" s="946"/>
      <c r="K140" s="946"/>
      <c r="L140" s="946"/>
      <c r="M140" s="946"/>
      <c r="N140" s="946"/>
      <c r="O140" s="946"/>
      <c r="P140" s="946"/>
      <c r="Q140" s="946"/>
      <c r="R140" s="946"/>
    </row>
    <row r="141" spans="1:18" hidden="1">
      <c r="B141" s="3" t="s">
        <v>4812</v>
      </c>
      <c r="C141" s="948">
        <v>17</v>
      </c>
      <c r="D141" s="1106">
        <v>73.13</v>
      </c>
      <c r="E141" s="944">
        <f>SUM(C141:D141)*$D$349</f>
        <v>0</v>
      </c>
      <c r="F141" s="945">
        <v>105</v>
      </c>
      <c r="G141" s="946"/>
      <c r="H141" s="946"/>
      <c r="I141" s="946"/>
      <c r="J141" s="946"/>
      <c r="K141" s="946"/>
      <c r="L141" s="946"/>
      <c r="M141" s="946"/>
      <c r="N141" s="946"/>
      <c r="O141" s="946"/>
      <c r="P141" s="946"/>
      <c r="Q141" s="946"/>
      <c r="R141" s="946"/>
    </row>
    <row r="142" spans="1:18" hidden="1">
      <c r="B142" s="3" t="s">
        <v>4813</v>
      </c>
      <c r="C142" s="20"/>
      <c r="D142" s="1106"/>
      <c r="E142" s="944"/>
      <c r="F142" s="945"/>
      <c r="G142" s="946"/>
      <c r="H142" s="946"/>
      <c r="I142" s="946"/>
      <c r="J142" s="946"/>
      <c r="K142" s="946"/>
      <c r="L142" s="946"/>
      <c r="M142" s="946"/>
      <c r="N142" s="946"/>
      <c r="O142" s="946"/>
      <c r="P142" s="946"/>
      <c r="Q142" s="946"/>
      <c r="R142" s="946"/>
    </row>
    <row r="143" spans="1:18" hidden="1">
      <c r="B143" s="3" t="s">
        <v>6158</v>
      </c>
      <c r="C143" s="20"/>
      <c r="D143" s="1106"/>
      <c r="E143" s="944"/>
      <c r="F143" s="945"/>
      <c r="G143" s="946"/>
      <c r="H143" s="946"/>
      <c r="I143" s="946"/>
      <c r="J143" s="946"/>
      <c r="K143" s="946"/>
      <c r="L143" s="946"/>
      <c r="M143" s="946"/>
      <c r="N143" s="946"/>
      <c r="O143" s="946"/>
      <c r="P143" s="946"/>
      <c r="Q143" s="946"/>
      <c r="R143" s="946"/>
    </row>
    <row r="144" spans="1:18" hidden="1">
      <c r="B144" s="3" t="s">
        <v>6159</v>
      </c>
      <c r="C144" s="948">
        <v>24</v>
      </c>
      <c r="D144" s="1106">
        <v>84.38</v>
      </c>
      <c r="E144" s="944">
        <f>SUM(C144:D144)*$D$349</f>
        <v>0</v>
      </c>
      <c r="F144" s="945">
        <v>130</v>
      </c>
      <c r="G144" s="946"/>
      <c r="H144" s="946"/>
      <c r="I144" s="946"/>
      <c r="J144" s="946"/>
      <c r="K144" s="946"/>
      <c r="L144" s="946"/>
      <c r="M144" s="946"/>
      <c r="N144" s="946"/>
      <c r="O144" s="946"/>
      <c r="P144" s="946"/>
      <c r="Q144" s="946"/>
      <c r="R144" s="946"/>
    </row>
    <row r="145" spans="1:37" hidden="1">
      <c r="B145" s="3" t="s">
        <v>6160</v>
      </c>
      <c r="C145" s="20"/>
      <c r="D145" s="1106"/>
      <c r="E145" s="944"/>
      <c r="F145" s="945"/>
      <c r="G145" s="946"/>
      <c r="H145" s="946"/>
      <c r="I145" s="946"/>
      <c r="J145" s="946"/>
      <c r="K145" s="946"/>
      <c r="L145" s="946"/>
      <c r="M145" s="946"/>
      <c r="N145" s="946"/>
      <c r="O145" s="946"/>
      <c r="P145" s="946"/>
      <c r="Q145" s="946"/>
      <c r="R145" s="946"/>
    </row>
    <row r="146" spans="1:37" hidden="1">
      <c r="B146" s="3" t="s">
        <v>6161</v>
      </c>
      <c r="C146" s="948">
        <v>60</v>
      </c>
      <c r="D146" s="1106">
        <v>61.88</v>
      </c>
      <c r="E146" s="944">
        <f>SUM(C146:D146)*$D$349</f>
        <v>0</v>
      </c>
      <c r="F146" s="945">
        <v>145</v>
      </c>
      <c r="G146" s="946"/>
      <c r="H146" s="946"/>
      <c r="I146" s="946"/>
      <c r="J146" s="946"/>
      <c r="K146" s="946"/>
      <c r="L146" s="946"/>
      <c r="M146" s="946"/>
      <c r="N146" s="946"/>
      <c r="O146" s="946"/>
      <c r="P146" s="946"/>
      <c r="Q146" s="946"/>
      <c r="R146" s="946"/>
    </row>
    <row r="147" spans="1:37" hidden="1">
      <c r="B147" s="3" t="s">
        <v>6162</v>
      </c>
      <c r="C147" s="948">
        <v>80</v>
      </c>
      <c r="D147" s="1106">
        <v>67.5</v>
      </c>
      <c r="E147" s="944">
        <f>SUM(C147:D147)*$D$349</f>
        <v>0</v>
      </c>
      <c r="F147" s="945">
        <v>175</v>
      </c>
      <c r="G147" s="946"/>
      <c r="H147" s="946"/>
      <c r="I147" s="946"/>
      <c r="J147" s="946"/>
      <c r="K147" s="946"/>
      <c r="L147" s="946"/>
      <c r="M147" s="946"/>
      <c r="N147" s="946"/>
      <c r="O147" s="946"/>
      <c r="P147" s="946"/>
      <c r="Q147" s="946"/>
      <c r="R147" s="946"/>
    </row>
    <row r="148" spans="1:37" hidden="1">
      <c r="B148" s="3"/>
      <c r="C148" s="948"/>
      <c r="D148" s="1106"/>
      <c r="E148" s="944"/>
      <c r="F148" s="945"/>
      <c r="G148" s="946"/>
      <c r="H148" s="946"/>
      <c r="I148" s="946"/>
      <c r="J148" s="946"/>
      <c r="K148" s="946"/>
      <c r="L148" s="946"/>
      <c r="M148" s="946"/>
      <c r="N148" s="946"/>
      <c r="O148" s="946"/>
      <c r="P148" s="946"/>
      <c r="Q148" s="946"/>
      <c r="R148" s="946"/>
    </row>
    <row r="149" spans="1:37" hidden="1">
      <c r="B149" s="3"/>
      <c r="C149" s="948"/>
      <c r="D149" s="1106"/>
      <c r="E149" s="944"/>
      <c r="F149" s="945"/>
      <c r="G149" s="946"/>
      <c r="H149" s="946"/>
      <c r="I149" s="946"/>
      <c r="J149" s="946"/>
      <c r="K149" s="946"/>
      <c r="L149" s="946"/>
      <c r="M149" s="946"/>
      <c r="N149" s="946"/>
      <c r="O149" s="946"/>
      <c r="P149" s="946"/>
      <c r="Q149" s="946"/>
      <c r="R149" s="946"/>
    </row>
    <row r="150" spans="1:37" hidden="1">
      <c r="B150" s="3" t="s">
        <v>5398</v>
      </c>
      <c r="C150" s="948"/>
      <c r="D150" s="1106"/>
      <c r="E150" s="944"/>
      <c r="F150" s="945"/>
      <c r="G150" s="946"/>
      <c r="H150" s="946"/>
      <c r="I150" s="946"/>
      <c r="J150" s="946"/>
      <c r="K150" s="946"/>
      <c r="L150" s="946"/>
      <c r="M150" s="946"/>
      <c r="N150" s="946"/>
      <c r="O150" s="946"/>
      <c r="P150" s="946"/>
      <c r="Q150" s="946"/>
      <c r="R150" s="946"/>
    </row>
    <row r="151" spans="1:37" hidden="1">
      <c r="B151" s="3" t="s">
        <v>5399</v>
      </c>
      <c r="C151" s="948">
        <v>175</v>
      </c>
      <c r="D151" s="1106">
        <v>146.25</v>
      </c>
      <c r="E151" s="944">
        <f>SUM(C151:D151)*$D$349</f>
        <v>0</v>
      </c>
      <c r="F151" s="945">
        <v>380</v>
      </c>
      <c r="G151" s="946"/>
      <c r="H151" s="946"/>
      <c r="I151" s="946"/>
      <c r="J151" s="946"/>
      <c r="K151" s="946"/>
      <c r="L151" s="946"/>
      <c r="M151" s="946"/>
      <c r="N151" s="946"/>
      <c r="O151" s="946"/>
      <c r="P151" s="946"/>
      <c r="Q151" s="946"/>
      <c r="R151" s="946"/>
    </row>
    <row r="152" spans="1:37" hidden="1">
      <c r="A152" s="15" t="s">
        <v>5400</v>
      </c>
      <c r="B152" s="1" t="s">
        <v>5402</v>
      </c>
      <c r="E152" s="1"/>
      <c r="G152" s="946"/>
      <c r="H152" s="946"/>
      <c r="I152" s="946"/>
      <c r="J152" s="946"/>
      <c r="K152" s="946"/>
      <c r="L152" s="946"/>
      <c r="M152" s="946"/>
      <c r="N152" s="946"/>
      <c r="O152" s="946"/>
      <c r="P152" s="946"/>
      <c r="Q152" s="946"/>
      <c r="R152" s="946"/>
    </row>
    <row r="153" spans="1:37">
      <c r="A153" s="15" t="s">
        <v>5400</v>
      </c>
      <c r="B153" s="1" t="s">
        <v>5403</v>
      </c>
      <c r="E153" s="1"/>
      <c r="G153" s="946"/>
      <c r="H153" s="946"/>
      <c r="I153" s="946"/>
      <c r="J153" s="946"/>
      <c r="K153" s="946"/>
      <c r="L153" s="946"/>
      <c r="M153" s="946"/>
      <c r="N153" s="946"/>
      <c r="O153" s="946"/>
      <c r="P153" s="946"/>
      <c r="Q153" s="946"/>
      <c r="R153" s="946"/>
    </row>
    <row r="154" spans="1:37">
      <c r="A154" s="1"/>
      <c r="AJ154" s="17"/>
    </row>
    <row r="155" spans="1:37">
      <c r="A155" s="1"/>
      <c r="AJ155" s="17"/>
    </row>
    <row r="156" spans="1:37">
      <c r="AJ156" s="17"/>
    </row>
    <row r="157" spans="1:37">
      <c r="A157" s="8" t="s">
        <v>3473</v>
      </c>
      <c r="B157" s="8" t="s">
        <v>3475</v>
      </c>
      <c r="C157" s="8" t="s">
        <v>3476</v>
      </c>
      <c r="D157" s="1107" t="s">
        <v>3484</v>
      </c>
    </row>
    <row r="158" spans="1:37" ht="16.5" thickBot="1">
      <c r="A158" s="20"/>
      <c r="B158" s="3"/>
      <c r="C158" s="20"/>
      <c r="D158" s="1107" t="s">
        <v>3485</v>
      </c>
    </row>
    <row r="159" spans="1:37" ht="16.5" thickBot="1">
      <c r="A159" s="20">
        <v>1</v>
      </c>
      <c r="B159" s="932" t="s">
        <v>5404</v>
      </c>
      <c r="C159" s="952" t="s">
        <v>1791</v>
      </c>
      <c r="D159" s="1100">
        <v>235</v>
      </c>
      <c r="E159" s="23"/>
      <c r="F159" s="953"/>
      <c r="G159" s="953"/>
      <c r="H159" s="953"/>
      <c r="I159" s="12"/>
      <c r="J159" s="930"/>
      <c r="K159" s="954"/>
      <c r="AK159" s="925"/>
    </row>
    <row r="160" spans="1:37" ht="16.5" thickBot="1">
      <c r="A160" s="20">
        <v>2</v>
      </c>
      <c r="B160" s="932" t="s">
        <v>4397</v>
      </c>
      <c r="C160" s="952" t="s">
        <v>1791</v>
      </c>
      <c r="D160" s="1101">
        <v>450</v>
      </c>
      <c r="E160" s="23"/>
      <c r="F160" s="953"/>
      <c r="G160" s="953"/>
      <c r="H160" s="953"/>
      <c r="I160" s="12"/>
      <c r="J160" s="930"/>
      <c r="K160" s="954"/>
      <c r="AK160" s="925"/>
    </row>
    <row r="161" spans="1:37" ht="16.5" thickBot="1">
      <c r="A161" s="20">
        <v>3</v>
      </c>
      <c r="B161" s="932" t="s">
        <v>4398</v>
      </c>
      <c r="C161" s="952" t="s">
        <v>1791</v>
      </c>
      <c r="D161" s="1101">
        <v>140</v>
      </c>
      <c r="E161" s="23"/>
      <c r="F161" s="953"/>
      <c r="G161" s="953"/>
      <c r="H161" s="953"/>
      <c r="I161" s="12"/>
      <c r="J161" s="930"/>
      <c r="K161" s="954"/>
      <c r="AK161" s="925"/>
    </row>
    <row r="162" spans="1:37" ht="16.5" thickBot="1">
      <c r="A162" s="20">
        <v>4</v>
      </c>
      <c r="B162" s="932" t="s">
        <v>4399</v>
      </c>
      <c r="C162" s="952" t="s">
        <v>1791</v>
      </c>
      <c r="D162" s="1101">
        <v>365</v>
      </c>
      <c r="E162" s="23"/>
      <c r="F162" s="953"/>
      <c r="G162" s="953"/>
      <c r="H162" s="953"/>
      <c r="I162" s="12"/>
      <c r="J162" s="930"/>
      <c r="K162" s="954"/>
      <c r="AK162" s="925"/>
    </row>
    <row r="163" spans="1:37" ht="32.25" thickBot="1">
      <c r="A163" s="20">
        <v>5</v>
      </c>
      <c r="B163" s="932" t="s">
        <v>9325</v>
      </c>
      <c r="C163" s="952" t="s">
        <v>1791</v>
      </c>
      <c r="D163" s="1101">
        <v>970</v>
      </c>
      <c r="E163" s="23"/>
      <c r="F163" s="953"/>
      <c r="G163" s="953"/>
      <c r="H163" s="953"/>
      <c r="I163" s="12"/>
      <c r="J163" s="930"/>
      <c r="K163" s="954"/>
      <c r="AK163" s="925"/>
    </row>
    <row r="164" spans="1:37" ht="16.5" thickBot="1">
      <c r="A164" s="20">
        <v>6</v>
      </c>
      <c r="B164" s="955" t="s">
        <v>7</v>
      </c>
      <c r="C164" s="952" t="s">
        <v>1791</v>
      </c>
      <c r="D164" s="1108">
        <v>85</v>
      </c>
      <c r="E164" s="23"/>
      <c r="F164" s="953"/>
      <c r="G164" s="953"/>
      <c r="H164" s="953"/>
      <c r="I164" s="12"/>
      <c r="J164" s="930"/>
      <c r="K164" s="954"/>
      <c r="AK164" s="925"/>
    </row>
    <row r="165" spans="1:37" ht="16.5" thickBot="1">
      <c r="A165" s="20">
        <v>7</v>
      </c>
      <c r="B165" s="955" t="s">
        <v>8</v>
      </c>
      <c r="C165" s="952" t="s">
        <v>1791</v>
      </c>
      <c r="D165" s="1108">
        <v>235</v>
      </c>
      <c r="E165" s="23"/>
      <c r="F165" s="953"/>
      <c r="G165" s="953"/>
      <c r="H165" s="953"/>
      <c r="I165" s="12"/>
      <c r="J165" s="930"/>
      <c r="K165" s="954"/>
      <c r="AK165" s="925"/>
    </row>
    <row r="166" spans="1:37" ht="16.5" thickBot="1">
      <c r="A166" s="20">
        <v>8</v>
      </c>
      <c r="B166" s="955" t="s">
        <v>9</v>
      </c>
      <c r="C166" s="952" t="s">
        <v>1791</v>
      </c>
      <c r="D166" s="1108">
        <v>225</v>
      </c>
      <c r="E166" s="23"/>
      <c r="F166" s="953"/>
      <c r="G166" s="953"/>
      <c r="H166" s="953"/>
      <c r="I166" s="12"/>
      <c r="J166" s="930"/>
      <c r="K166" s="954"/>
      <c r="AK166" s="925"/>
    </row>
    <row r="167" spans="1:37" ht="32.25" thickBot="1">
      <c r="A167" s="20">
        <v>9</v>
      </c>
      <c r="B167" s="932" t="s">
        <v>10</v>
      </c>
      <c r="C167" s="952" t="s">
        <v>1791</v>
      </c>
      <c r="D167" s="1109">
        <v>190</v>
      </c>
      <c r="E167" s="23"/>
      <c r="F167" s="953"/>
      <c r="G167" s="953"/>
      <c r="H167" s="953"/>
      <c r="I167" s="12"/>
      <c r="J167" s="930"/>
      <c r="K167" s="954"/>
      <c r="AK167" s="931"/>
    </row>
    <row r="168" spans="1:37" ht="32.25" thickBot="1">
      <c r="A168" s="20">
        <v>10</v>
      </c>
      <c r="B168" s="932" t="s">
        <v>11</v>
      </c>
      <c r="C168" s="952" t="s">
        <v>9316</v>
      </c>
      <c r="D168" s="1101">
        <v>130</v>
      </c>
      <c r="E168" s="23"/>
      <c r="F168" s="953"/>
      <c r="G168" s="953"/>
      <c r="H168" s="953"/>
      <c r="I168" s="12"/>
      <c r="J168" s="930"/>
      <c r="K168" s="954"/>
      <c r="AK168" s="925"/>
    </row>
    <row r="169" spans="1:37" ht="16.5" thickBot="1">
      <c r="A169" s="20">
        <v>11</v>
      </c>
      <c r="B169" s="932" t="s">
        <v>12</v>
      </c>
      <c r="C169" s="952" t="s">
        <v>9316</v>
      </c>
      <c r="D169" s="1101">
        <v>215</v>
      </c>
      <c r="E169" s="23"/>
      <c r="F169" s="953"/>
      <c r="G169" s="953"/>
      <c r="H169" s="953"/>
      <c r="I169" s="12"/>
      <c r="J169" s="930"/>
      <c r="K169" s="954"/>
      <c r="AK169" s="925"/>
    </row>
    <row r="170" spans="1:37" ht="16.5" thickBot="1">
      <c r="A170" s="20">
        <v>12</v>
      </c>
      <c r="B170" s="932" t="s">
        <v>13</v>
      </c>
      <c r="C170" s="933" t="s">
        <v>1791</v>
      </c>
      <c r="D170" s="1101">
        <v>280</v>
      </c>
      <c r="E170" s="23"/>
      <c r="F170" s="953"/>
      <c r="G170" s="953"/>
      <c r="H170" s="953"/>
      <c r="I170" s="12"/>
      <c r="J170" s="930"/>
      <c r="K170" s="954"/>
      <c r="AK170" s="925"/>
    </row>
    <row r="171" spans="1:37" ht="16.5" thickBot="1">
      <c r="A171" s="20">
        <v>13</v>
      </c>
      <c r="B171" s="955" t="s">
        <v>14</v>
      </c>
      <c r="C171" s="952" t="s">
        <v>1791</v>
      </c>
      <c r="D171" s="1101">
        <v>175</v>
      </c>
      <c r="E171" s="23"/>
      <c r="F171" s="953"/>
      <c r="G171" s="953"/>
      <c r="H171" s="953"/>
      <c r="I171" s="12"/>
      <c r="J171" s="930"/>
      <c r="K171" s="954"/>
      <c r="AK171" s="925"/>
    </row>
    <row r="172" spans="1:37" ht="16.5" thickBot="1">
      <c r="A172" s="20">
        <v>14</v>
      </c>
      <c r="B172" s="955" t="s">
        <v>15</v>
      </c>
      <c r="C172" s="952" t="s">
        <v>3483</v>
      </c>
      <c r="D172" s="1101">
        <v>185</v>
      </c>
      <c r="E172" s="23"/>
      <c r="F172" s="953"/>
      <c r="G172" s="953"/>
      <c r="H172" s="953"/>
      <c r="I172" s="12"/>
      <c r="J172" s="930"/>
      <c r="K172" s="954"/>
      <c r="AK172" s="925"/>
    </row>
    <row r="173" spans="1:37" ht="16.5" thickBot="1">
      <c r="A173" s="20">
        <v>15</v>
      </c>
      <c r="B173" s="955" t="s">
        <v>6391</v>
      </c>
      <c r="C173" s="952" t="s">
        <v>3483</v>
      </c>
      <c r="D173" s="1101">
        <v>150</v>
      </c>
      <c r="E173" s="23"/>
      <c r="F173" s="953"/>
      <c r="G173" s="953"/>
      <c r="H173" s="953"/>
      <c r="I173" s="12"/>
      <c r="J173" s="930"/>
      <c r="K173" s="954"/>
    </row>
    <row r="174" spans="1:37" ht="16.5" thickBot="1">
      <c r="A174" s="20">
        <v>16</v>
      </c>
      <c r="B174" s="955" t="s">
        <v>9771</v>
      </c>
      <c r="C174" s="952" t="s">
        <v>3483</v>
      </c>
      <c r="D174" s="1109">
        <v>780</v>
      </c>
      <c r="E174" s="23"/>
      <c r="F174" s="953"/>
      <c r="G174" s="953"/>
      <c r="H174" s="953"/>
      <c r="I174" s="12"/>
      <c r="J174" s="930"/>
      <c r="K174" s="954"/>
      <c r="AK174" s="925"/>
    </row>
    <row r="175" spans="1:37" ht="48" thickBot="1">
      <c r="A175" s="20">
        <v>17</v>
      </c>
      <c r="B175" s="932" t="s">
        <v>9772</v>
      </c>
      <c r="C175" s="952" t="s">
        <v>3483</v>
      </c>
      <c r="D175" s="1108">
        <v>1670</v>
      </c>
      <c r="E175" s="23"/>
      <c r="F175" s="953"/>
      <c r="G175" s="953"/>
      <c r="H175" s="953"/>
      <c r="I175" s="12"/>
      <c r="J175" s="930"/>
      <c r="K175" s="954"/>
      <c r="AK175" s="925"/>
    </row>
    <row r="176" spans="1:37" ht="32.25" thickBot="1">
      <c r="A176" s="20">
        <v>18</v>
      </c>
      <c r="B176" s="932" t="s">
        <v>9773</v>
      </c>
      <c r="C176" s="952" t="s">
        <v>3483</v>
      </c>
      <c r="D176" s="1108">
        <v>1210</v>
      </c>
      <c r="E176" s="23"/>
      <c r="F176" s="953"/>
      <c r="G176" s="953"/>
      <c r="H176" s="953"/>
      <c r="I176" s="12"/>
      <c r="J176" s="930"/>
      <c r="K176" s="954"/>
      <c r="AK176" s="925"/>
    </row>
    <row r="177" spans="1:37" ht="32.25" thickBot="1">
      <c r="A177" s="20">
        <v>19</v>
      </c>
      <c r="B177" s="932" t="s">
        <v>9774</v>
      </c>
      <c r="C177" s="952" t="s">
        <v>3483</v>
      </c>
      <c r="D177" s="1108">
        <v>1600</v>
      </c>
      <c r="E177" s="23"/>
      <c r="F177" s="953"/>
      <c r="G177" s="953"/>
      <c r="H177" s="953"/>
      <c r="I177" s="12"/>
      <c r="J177" s="930"/>
      <c r="K177" s="954"/>
      <c r="AK177" s="925"/>
    </row>
    <row r="178" spans="1:37" ht="32.25" thickBot="1">
      <c r="A178" s="20">
        <v>20</v>
      </c>
      <c r="B178" s="932" t="s">
        <v>9775</v>
      </c>
      <c r="C178" s="933" t="s">
        <v>3481</v>
      </c>
      <c r="D178" s="1109">
        <v>1630</v>
      </c>
      <c r="E178" s="23"/>
      <c r="F178" s="953"/>
      <c r="G178" s="953"/>
      <c r="H178" s="953"/>
      <c r="I178" s="12"/>
      <c r="J178" s="930"/>
      <c r="K178" s="954"/>
      <c r="AK178" s="925"/>
    </row>
    <row r="179" spans="1:37" ht="32.25" thickBot="1">
      <c r="A179" s="20">
        <v>21</v>
      </c>
      <c r="B179" s="932" t="s">
        <v>9776</v>
      </c>
      <c r="C179" s="952" t="s">
        <v>3481</v>
      </c>
      <c r="D179" s="1108">
        <v>1150</v>
      </c>
      <c r="E179" s="23"/>
      <c r="F179" s="953"/>
      <c r="G179" s="953"/>
      <c r="H179" s="953"/>
      <c r="I179" s="12"/>
      <c r="J179" s="930"/>
      <c r="K179" s="954"/>
      <c r="AK179" s="925"/>
    </row>
    <row r="180" spans="1:37" ht="16.5" thickBot="1">
      <c r="A180" s="20">
        <v>22</v>
      </c>
      <c r="B180" s="932" t="s">
        <v>516</v>
      </c>
      <c r="C180" s="933" t="s">
        <v>1791</v>
      </c>
      <c r="D180" s="1101">
        <v>275</v>
      </c>
      <c r="E180" s="23"/>
      <c r="F180" s="953"/>
      <c r="G180" s="953"/>
      <c r="H180" s="953"/>
      <c r="I180" s="12"/>
      <c r="J180" s="930"/>
      <c r="K180" s="954"/>
      <c r="AK180" s="925"/>
    </row>
    <row r="181" spans="1:37" ht="32.25" thickBot="1">
      <c r="A181" s="20">
        <v>23</v>
      </c>
      <c r="B181" s="932" t="s">
        <v>1202</v>
      </c>
      <c r="C181" s="952" t="s">
        <v>3481</v>
      </c>
      <c r="D181" s="1101">
        <v>15</v>
      </c>
      <c r="E181" s="23"/>
      <c r="F181" s="953"/>
      <c r="G181" s="953"/>
      <c r="H181" s="953"/>
      <c r="I181" s="12"/>
      <c r="J181" s="930"/>
      <c r="K181" s="954"/>
      <c r="AK181" s="925"/>
    </row>
    <row r="182" spans="1:37" ht="32.25" thickBot="1">
      <c r="A182" s="20">
        <v>24</v>
      </c>
      <c r="B182" s="932" t="s">
        <v>3564</v>
      </c>
      <c r="C182" s="952" t="s">
        <v>3481</v>
      </c>
      <c r="D182" s="1101">
        <v>23</v>
      </c>
      <c r="E182" s="23"/>
      <c r="F182" s="953"/>
      <c r="G182" s="953"/>
      <c r="H182" s="953"/>
      <c r="I182" s="12"/>
      <c r="J182" s="930"/>
      <c r="K182" s="954"/>
      <c r="AK182" s="925"/>
    </row>
    <row r="183" spans="1:37" ht="16.5" thickBot="1">
      <c r="A183" s="20">
        <v>25</v>
      </c>
      <c r="B183" s="955" t="s">
        <v>9326</v>
      </c>
      <c r="C183" s="952" t="s">
        <v>1791</v>
      </c>
      <c r="D183" s="1101">
        <v>200</v>
      </c>
      <c r="E183" s="23"/>
      <c r="F183" s="953"/>
      <c r="G183" s="953"/>
      <c r="H183" s="953"/>
      <c r="I183" s="12"/>
      <c r="J183" s="930"/>
      <c r="K183" s="954"/>
      <c r="AK183" s="925"/>
    </row>
    <row r="184" spans="1:37" ht="16.5" thickBot="1">
      <c r="A184" s="20">
        <v>26</v>
      </c>
      <c r="B184" s="955" t="s">
        <v>3565</v>
      </c>
      <c r="C184" s="952" t="s">
        <v>1791</v>
      </c>
      <c r="D184" s="1101">
        <v>178</v>
      </c>
      <c r="E184" s="23"/>
      <c r="F184" s="953"/>
      <c r="G184" s="953"/>
      <c r="H184" s="953"/>
      <c r="I184" s="12"/>
      <c r="J184" s="930"/>
      <c r="K184" s="954"/>
      <c r="AK184" s="925"/>
    </row>
    <row r="185" spans="1:37" ht="16.5" thickBot="1">
      <c r="A185" s="20">
        <v>27</v>
      </c>
      <c r="B185" s="955" t="s">
        <v>9327</v>
      </c>
      <c r="C185" s="952" t="s">
        <v>9316</v>
      </c>
      <c r="D185" s="1101">
        <v>700</v>
      </c>
      <c r="E185" s="23"/>
      <c r="F185" s="953"/>
      <c r="G185" s="953"/>
      <c r="H185" s="953"/>
      <c r="I185" s="12"/>
      <c r="J185" s="930"/>
      <c r="K185" s="954"/>
      <c r="AK185" s="925"/>
    </row>
    <row r="186" spans="1:37">
      <c r="B186" s="7"/>
      <c r="F186" s="953"/>
      <c r="G186" s="953"/>
      <c r="H186" s="953"/>
      <c r="I186" s="12"/>
      <c r="J186" s="930"/>
      <c r="K186" s="954"/>
      <c r="AK186" s="925"/>
    </row>
    <row r="187" spans="1:37">
      <c r="B187" s="7"/>
      <c r="F187" s="953"/>
      <c r="G187" s="953"/>
      <c r="H187" s="953"/>
      <c r="I187" s="12"/>
      <c r="J187" s="930"/>
      <c r="K187" s="954"/>
      <c r="AK187" s="925"/>
    </row>
    <row r="188" spans="1:37">
      <c r="B188" s="7"/>
      <c r="F188" s="953"/>
      <c r="G188" s="953"/>
      <c r="H188" s="953"/>
      <c r="I188" s="12"/>
      <c r="J188" s="930"/>
      <c r="K188" s="954"/>
      <c r="AK188" s="925"/>
    </row>
    <row r="189" spans="1:37">
      <c r="B189" s="2" t="s">
        <v>6512</v>
      </c>
      <c r="C189" s="2"/>
      <c r="D189" s="1095"/>
      <c r="E189" s="923"/>
      <c r="F189" s="953"/>
      <c r="G189" s="953"/>
      <c r="H189" s="953"/>
      <c r="I189" s="12"/>
      <c r="J189" s="930"/>
      <c r="K189" s="954"/>
      <c r="AK189" s="925"/>
    </row>
    <row r="190" spans="1:37">
      <c r="B190" s="1093" t="s">
        <v>9884</v>
      </c>
      <c r="F190" s="953"/>
      <c r="G190" s="953"/>
      <c r="H190" s="953"/>
      <c r="I190" s="12"/>
      <c r="J190" s="930"/>
      <c r="K190" s="954"/>
      <c r="AK190" s="925"/>
    </row>
    <row r="191" spans="1:37">
      <c r="F191" s="953"/>
      <c r="G191" s="953"/>
      <c r="H191" s="953"/>
      <c r="I191" s="12"/>
      <c r="J191" s="930"/>
      <c r="K191" s="954"/>
      <c r="AK191" s="925"/>
    </row>
    <row r="192" spans="1:37">
      <c r="A192" s="11" t="s">
        <v>7872</v>
      </c>
      <c r="F192" s="953"/>
      <c r="G192" s="953"/>
      <c r="H192" s="953"/>
      <c r="I192" s="12"/>
      <c r="J192" s="930"/>
      <c r="K192" s="954"/>
      <c r="AK192" s="925"/>
    </row>
    <row r="193" spans="1:37">
      <c r="F193" s="953"/>
      <c r="G193" s="953"/>
      <c r="H193" s="953"/>
      <c r="I193" s="12"/>
      <c r="J193" s="930"/>
      <c r="K193" s="954"/>
      <c r="AK193" s="925"/>
    </row>
    <row r="194" spans="1:37">
      <c r="F194" s="953"/>
      <c r="G194" s="953"/>
      <c r="H194" s="953"/>
      <c r="I194" s="12"/>
      <c r="J194" s="930"/>
      <c r="K194" s="954"/>
      <c r="AK194" s="925"/>
    </row>
    <row r="195" spans="1:37">
      <c r="F195" s="953"/>
      <c r="G195" s="953"/>
      <c r="H195" s="953"/>
      <c r="I195" s="12"/>
      <c r="J195" s="930"/>
      <c r="K195" s="954"/>
      <c r="AK195" s="925"/>
    </row>
    <row r="196" spans="1:37">
      <c r="AJ196" s="17"/>
    </row>
    <row r="197" spans="1:37">
      <c r="B197" s="2" t="s">
        <v>3224</v>
      </c>
      <c r="C197" s="2"/>
      <c r="D197" s="1095"/>
      <c r="E197" s="923"/>
      <c r="F197" s="2"/>
      <c r="G197" s="2"/>
      <c r="H197" s="2"/>
      <c r="I197" s="2"/>
      <c r="J197" s="2"/>
      <c r="K197" s="2"/>
      <c r="L197" s="2"/>
      <c r="M197" s="2"/>
      <c r="N197" s="2"/>
      <c r="O197" s="2"/>
      <c r="P197" s="2"/>
      <c r="Q197" s="2"/>
      <c r="R197" s="2"/>
      <c r="S197" s="2"/>
      <c r="AJ197" s="17"/>
    </row>
    <row r="198" spans="1:37">
      <c r="B198" s="1093" t="s">
        <v>9884</v>
      </c>
      <c r="C198" s="2"/>
      <c r="D198" s="1095"/>
      <c r="E198" s="923"/>
      <c r="F198" s="2"/>
      <c r="G198" s="2"/>
      <c r="H198" s="2"/>
      <c r="I198" s="2"/>
      <c r="J198" s="2"/>
      <c r="K198" s="2"/>
      <c r="L198" s="2"/>
      <c r="M198" s="2"/>
      <c r="N198" s="2"/>
      <c r="O198" s="2"/>
      <c r="P198" s="2"/>
      <c r="Q198" s="2"/>
      <c r="R198" s="2"/>
      <c r="S198" s="2"/>
      <c r="AJ198" s="17"/>
    </row>
    <row r="199" spans="1:37">
      <c r="B199" s="2"/>
      <c r="C199" s="2"/>
      <c r="D199" s="1095"/>
      <c r="AJ199" s="17"/>
    </row>
    <row r="200" spans="1:37">
      <c r="B200" s="7" t="s">
        <v>3225</v>
      </c>
      <c r="AJ200" s="17"/>
    </row>
    <row r="201" spans="1:37">
      <c r="AJ201" s="17"/>
    </row>
    <row r="202" spans="1:37">
      <c r="A202" s="15">
        <v>1</v>
      </c>
      <c r="B202" s="809" t="s">
        <v>3226</v>
      </c>
      <c r="AJ202" s="17"/>
    </row>
    <row r="203" spans="1:37">
      <c r="B203" s="809" t="s">
        <v>6313</v>
      </c>
      <c r="AJ203" s="17"/>
    </row>
    <row r="204" spans="1:37">
      <c r="A204" s="15">
        <v>2</v>
      </c>
      <c r="B204" s="809" t="s">
        <v>2115</v>
      </c>
      <c r="AJ204" s="17"/>
    </row>
    <row r="205" spans="1:37">
      <c r="A205" s="15">
        <v>3</v>
      </c>
      <c r="B205" s="809" t="s">
        <v>6132</v>
      </c>
      <c r="AJ205" s="17"/>
    </row>
    <row r="206" spans="1:37">
      <c r="B206" s="809" t="s">
        <v>3551</v>
      </c>
      <c r="AJ206" s="17"/>
    </row>
    <row r="207" spans="1:37">
      <c r="A207" s="15">
        <v>4</v>
      </c>
      <c r="B207" s="809" t="s">
        <v>5411</v>
      </c>
      <c r="AJ207" s="17"/>
    </row>
    <row r="208" spans="1:37">
      <c r="B208" s="809" t="s">
        <v>5412</v>
      </c>
      <c r="AJ208" s="17"/>
    </row>
    <row r="209" spans="1:37">
      <c r="B209" s="809" t="s">
        <v>5413</v>
      </c>
      <c r="AJ209" s="17"/>
    </row>
    <row r="210" spans="1:37">
      <c r="B210" s="809" t="s">
        <v>5414</v>
      </c>
      <c r="AJ210" s="17"/>
    </row>
    <row r="211" spans="1:37">
      <c r="AJ211" s="17"/>
    </row>
    <row r="212" spans="1:37">
      <c r="A212" s="8" t="s">
        <v>3167</v>
      </c>
      <c r="B212" s="4" t="s">
        <v>3168</v>
      </c>
      <c r="C212" s="8" t="s">
        <v>3476</v>
      </c>
      <c r="D212" s="1107" t="s">
        <v>5415</v>
      </c>
    </row>
    <row r="213" spans="1:37">
      <c r="A213" s="8"/>
      <c r="B213" s="4"/>
      <c r="C213" s="8"/>
      <c r="D213" s="1107" t="s">
        <v>3166</v>
      </c>
    </row>
    <row r="214" spans="1:37">
      <c r="A214" s="8"/>
      <c r="B214" s="4"/>
      <c r="C214" s="8"/>
      <c r="D214" s="1107"/>
    </row>
    <row r="215" spans="1:37">
      <c r="A215" s="8"/>
      <c r="B215" s="4"/>
      <c r="C215" s="8"/>
      <c r="D215" s="1107"/>
    </row>
    <row r="216" spans="1:37" ht="31.5">
      <c r="A216" s="8">
        <v>1</v>
      </c>
      <c r="B216" s="926" t="s">
        <v>3169</v>
      </c>
      <c r="C216" s="952" t="s">
        <v>3481</v>
      </c>
      <c r="D216" s="1082">
        <v>2150000</v>
      </c>
      <c r="E216" s="929"/>
      <c r="F216" s="929"/>
      <c r="G216" s="929"/>
      <c r="H216" s="929"/>
      <c r="I216" s="930"/>
      <c r="J216" s="954"/>
    </row>
    <row r="217" spans="1:37">
      <c r="A217" s="8"/>
      <c r="B217" s="926" t="s">
        <v>9328</v>
      </c>
      <c r="C217" s="952"/>
      <c r="D217" s="937">
        <v>86000</v>
      </c>
      <c r="E217" s="929"/>
      <c r="F217" s="929"/>
      <c r="G217" s="929"/>
      <c r="H217" s="929"/>
      <c r="I217" s="930"/>
      <c r="J217" s="954"/>
      <c r="AK217" s="954"/>
    </row>
    <row r="218" spans="1:37">
      <c r="A218" s="8">
        <v>2</v>
      </c>
      <c r="B218" s="956" t="s">
        <v>3170</v>
      </c>
      <c r="C218" s="952" t="s">
        <v>3481</v>
      </c>
      <c r="D218" s="952">
        <v>710000</v>
      </c>
      <c r="E218" s="929"/>
      <c r="F218" s="929"/>
      <c r="G218" s="929"/>
      <c r="H218" s="929"/>
      <c r="I218" s="930"/>
      <c r="J218" s="954"/>
    </row>
    <row r="219" spans="1:37">
      <c r="A219" s="8">
        <v>3</v>
      </c>
      <c r="B219" s="956" t="s">
        <v>3171</v>
      </c>
      <c r="C219" s="952" t="s">
        <v>3481</v>
      </c>
      <c r="D219" s="1082">
        <v>950000</v>
      </c>
      <c r="E219" s="929"/>
      <c r="F219" s="929"/>
      <c r="G219" s="929"/>
      <c r="H219" s="929"/>
      <c r="I219" s="957"/>
      <c r="J219" s="954"/>
    </row>
    <row r="220" spans="1:37">
      <c r="A220" s="8">
        <v>4</v>
      </c>
      <c r="B220" s="926" t="s">
        <v>3172</v>
      </c>
      <c r="C220" s="952" t="s">
        <v>3481</v>
      </c>
      <c r="D220" s="1082">
        <v>865000</v>
      </c>
      <c r="E220" s="929"/>
      <c r="F220" s="929"/>
      <c r="G220" s="929"/>
      <c r="H220" s="929"/>
      <c r="I220" s="930"/>
      <c r="J220" s="954"/>
    </row>
    <row r="221" spans="1:37">
      <c r="A221" s="8">
        <v>5</v>
      </c>
      <c r="B221" s="926" t="s">
        <v>3173</v>
      </c>
      <c r="C221" s="952" t="s">
        <v>3481</v>
      </c>
      <c r="D221" s="1082">
        <v>1085000</v>
      </c>
      <c r="E221" s="929"/>
      <c r="F221" s="929"/>
      <c r="G221" s="929"/>
      <c r="H221" s="929"/>
      <c r="I221" s="930"/>
      <c r="J221" s="954"/>
    </row>
    <row r="222" spans="1:37">
      <c r="A222" s="8">
        <v>6</v>
      </c>
      <c r="B222" s="926" t="s">
        <v>858</v>
      </c>
      <c r="C222" s="952" t="s">
        <v>3481</v>
      </c>
      <c r="D222" s="1082">
        <v>1120000</v>
      </c>
      <c r="E222" s="929"/>
      <c r="F222" s="929"/>
      <c r="G222" s="929"/>
      <c r="H222" s="929"/>
      <c r="I222" s="930"/>
      <c r="J222" s="954"/>
    </row>
    <row r="223" spans="1:37">
      <c r="A223" s="8">
        <v>7</v>
      </c>
      <c r="B223" s="926" t="s">
        <v>859</v>
      </c>
      <c r="C223" s="952" t="s">
        <v>3481</v>
      </c>
      <c r="D223" s="1082">
        <v>1370000</v>
      </c>
      <c r="E223" s="929"/>
      <c r="F223" s="929"/>
      <c r="G223" s="929"/>
      <c r="H223" s="929"/>
      <c r="I223" s="930"/>
      <c r="J223" s="954"/>
    </row>
    <row r="224" spans="1:37">
      <c r="A224" s="8">
        <v>8</v>
      </c>
      <c r="B224" s="926" t="s">
        <v>6666</v>
      </c>
      <c r="C224" s="952" t="s">
        <v>3481</v>
      </c>
      <c r="D224" s="1082">
        <v>5475000</v>
      </c>
      <c r="E224" s="929"/>
      <c r="F224" s="929"/>
      <c r="G224" s="929"/>
      <c r="H224" s="929"/>
      <c r="I224" s="930"/>
      <c r="J224" s="954"/>
    </row>
    <row r="225" spans="1:37" ht="31.5">
      <c r="A225" s="8">
        <v>9</v>
      </c>
      <c r="B225" s="926" t="s">
        <v>9777</v>
      </c>
      <c r="C225" s="952" t="s">
        <v>3481</v>
      </c>
      <c r="D225" s="1082">
        <v>1200000</v>
      </c>
      <c r="E225" s="929"/>
      <c r="F225" s="929"/>
      <c r="G225" s="929"/>
      <c r="H225" s="929"/>
      <c r="I225" s="930"/>
      <c r="J225" s="954"/>
    </row>
    <row r="226" spans="1:37" ht="31.5">
      <c r="A226" s="8">
        <v>10</v>
      </c>
      <c r="B226" s="926" t="s">
        <v>9778</v>
      </c>
      <c r="C226" s="952" t="s">
        <v>3481</v>
      </c>
      <c r="D226" s="1082">
        <v>4245000</v>
      </c>
      <c r="E226" s="929"/>
      <c r="F226" s="929"/>
      <c r="G226" s="929"/>
      <c r="H226" s="929"/>
      <c r="I226" s="930"/>
      <c r="J226" s="954"/>
    </row>
    <row r="227" spans="1:37" ht="31.5">
      <c r="A227" s="8">
        <v>11</v>
      </c>
      <c r="B227" s="926" t="s">
        <v>9779</v>
      </c>
      <c r="C227" s="952" t="s">
        <v>3481</v>
      </c>
      <c r="D227" s="1082">
        <v>6500000</v>
      </c>
      <c r="E227" s="929"/>
      <c r="F227" s="929"/>
      <c r="G227" s="929"/>
      <c r="H227" s="929"/>
      <c r="I227" s="958"/>
      <c r="J227" s="954"/>
    </row>
    <row r="228" spans="1:37">
      <c r="A228" s="8">
        <v>12</v>
      </c>
      <c r="B228" s="926" t="s">
        <v>6911</v>
      </c>
      <c r="C228" s="952" t="s">
        <v>3481</v>
      </c>
      <c r="D228" s="1082">
        <v>530000</v>
      </c>
      <c r="E228" s="929"/>
      <c r="F228" s="929"/>
      <c r="G228" s="929"/>
      <c r="H228" s="929"/>
      <c r="I228" s="930"/>
      <c r="J228" s="954"/>
    </row>
    <row r="229" spans="1:37">
      <c r="A229" s="8">
        <v>13</v>
      </c>
      <c r="B229" s="926" t="s">
        <v>1872</v>
      </c>
      <c r="C229" s="952" t="s">
        <v>3481</v>
      </c>
      <c r="D229" s="937">
        <v>30000</v>
      </c>
      <c r="E229" s="929"/>
      <c r="F229" s="929"/>
      <c r="G229" s="929"/>
      <c r="H229" s="929"/>
      <c r="I229" s="930"/>
      <c r="J229" s="954"/>
      <c r="AK229" s="7"/>
    </row>
    <row r="230" spans="1:37">
      <c r="A230" s="8">
        <v>14</v>
      </c>
      <c r="B230" s="926" t="s">
        <v>6912</v>
      </c>
      <c r="C230" s="952" t="s">
        <v>3481</v>
      </c>
      <c r="D230" s="937">
        <v>56000</v>
      </c>
      <c r="E230" s="929"/>
      <c r="F230" s="929"/>
      <c r="G230" s="929"/>
      <c r="H230" s="929"/>
      <c r="I230" s="930"/>
      <c r="J230" s="954"/>
      <c r="K230" s="12"/>
      <c r="L230" s="12"/>
      <c r="M230" s="12"/>
      <c r="N230" s="12"/>
      <c r="O230" s="12"/>
      <c r="P230" s="12"/>
      <c r="Q230" s="12"/>
      <c r="R230" s="12"/>
      <c r="S230" s="18"/>
    </row>
    <row r="231" spans="1:37">
      <c r="A231" s="8">
        <v>15</v>
      </c>
      <c r="B231" s="926" t="s">
        <v>6913</v>
      </c>
      <c r="C231" s="952" t="s">
        <v>3481</v>
      </c>
      <c r="D231" s="937">
        <v>15500</v>
      </c>
      <c r="E231" s="929"/>
      <c r="F231" s="929"/>
      <c r="G231" s="929"/>
      <c r="H231" s="929"/>
      <c r="I231" s="930"/>
      <c r="J231" s="954"/>
    </row>
    <row r="232" spans="1:37">
      <c r="A232" s="8">
        <v>16</v>
      </c>
      <c r="B232" s="926" t="s">
        <v>6914</v>
      </c>
      <c r="C232" s="952" t="s">
        <v>3481</v>
      </c>
      <c r="D232" s="1082">
        <v>150000</v>
      </c>
      <c r="E232" s="929"/>
      <c r="F232" s="929"/>
      <c r="G232" s="929"/>
      <c r="H232" s="929"/>
      <c r="I232" s="930"/>
      <c r="J232" s="954"/>
    </row>
    <row r="233" spans="1:37">
      <c r="A233" s="8">
        <v>17</v>
      </c>
      <c r="B233" s="926" t="s">
        <v>9329</v>
      </c>
      <c r="C233" s="952" t="s">
        <v>3481</v>
      </c>
      <c r="D233" s="1082">
        <v>145000</v>
      </c>
      <c r="E233" s="929"/>
      <c r="F233" s="929"/>
      <c r="G233" s="929"/>
      <c r="H233" s="929"/>
      <c r="I233" s="930"/>
      <c r="J233" s="954"/>
    </row>
    <row r="234" spans="1:37">
      <c r="A234" s="8">
        <v>18</v>
      </c>
      <c r="B234" s="926" t="s">
        <v>6916</v>
      </c>
      <c r="C234" s="952" t="s">
        <v>3481</v>
      </c>
      <c r="D234" s="1082">
        <v>260000</v>
      </c>
      <c r="E234" s="929"/>
      <c r="F234" s="929"/>
      <c r="G234" s="929"/>
      <c r="H234" s="929"/>
      <c r="I234" s="930"/>
      <c r="J234" s="954"/>
    </row>
    <row r="235" spans="1:37">
      <c r="A235" s="8">
        <v>19</v>
      </c>
      <c r="B235" s="926" t="s">
        <v>9330</v>
      </c>
      <c r="C235" s="952" t="s">
        <v>3481</v>
      </c>
      <c r="D235" s="1082">
        <v>255000</v>
      </c>
      <c r="E235" s="929"/>
      <c r="F235" s="929"/>
      <c r="G235" s="929"/>
      <c r="H235" s="929"/>
      <c r="I235" s="930"/>
      <c r="J235" s="954"/>
    </row>
    <row r="236" spans="1:37">
      <c r="A236" s="8">
        <v>20</v>
      </c>
      <c r="B236" s="926" t="s">
        <v>9331</v>
      </c>
      <c r="C236" s="952" t="s">
        <v>3481</v>
      </c>
      <c r="D236" s="1082">
        <v>2361000</v>
      </c>
      <c r="E236" s="929"/>
      <c r="F236" s="929"/>
      <c r="G236" s="929"/>
      <c r="H236" s="929"/>
      <c r="I236" s="930"/>
      <c r="J236" s="954"/>
    </row>
    <row r="237" spans="1:37">
      <c r="A237" s="8">
        <v>21</v>
      </c>
      <c r="B237" s="926" t="s">
        <v>2940</v>
      </c>
      <c r="C237" s="952" t="s">
        <v>3481</v>
      </c>
      <c r="D237" s="1082">
        <v>3855000</v>
      </c>
      <c r="E237" s="929"/>
      <c r="F237" s="929"/>
      <c r="G237" s="929"/>
      <c r="H237" s="929"/>
      <c r="I237" s="930"/>
      <c r="J237" s="954"/>
    </row>
    <row r="238" spans="1:37">
      <c r="A238" s="8"/>
      <c r="B238" s="926" t="s">
        <v>9332</v>
      </c>
      <c r="C238" s="952"/>
      <c r="D238" s="937">
        <v>86000</v>
      </c>
      <c r="E238" s="929"/>
      <c r="F238" s="929"/>
      <c r="G238" s="929"/>
      <c r="H238" s="929"/>
      <c r="I238" s="930"/>
      <c r="J238" s="954"/>
      <c r="AK238" s="954"/>
    </row>
    <row r="239" spans="1:37">
      <c r="A239" s="8">
        <v>22</v>
      </c>
      <c r="B239" s="926" t="s">
        <v>2941</v>
      </c>
      <c r="C239" s="952" t="s">
        <v>3481</v>
      </c>
      <c r="D239" s="1082">
        <v>1100000</v>
      </c>
      <c r="E239" s="929"/>
      <c r="F239" s="929"/>
      <c r="G239" s="929"/>
      <c r="H239" s="929"/>
      <c r="I239" s="930"/>
      <c r="J239" s="954"/>
    </row>
    <row r="240" spans="1:37">
      <c r="A240" s="8">
        <v>23</v>
      </c>
      <c r="B240" s="926" t="s">
        <v>2942</v>
      </c>
      <c r="C240" s="952" t="s">
        <v>3481</v>
      </c>
      <c r="D240" s="1082">
        <v>495000</v>
      </c>
      <c r="E240" s="929"/>
      <c r="F240" s="929"/>
      <c r="G240" s="929"/>
      <c r="H240" s="929"/>
      <c r="I240" s="930"/>
      <c r="J240" s="954"/>
    </row>
    <row r="241" spans="1:37">
      <c r="A241" s="8">
        <v>24</v>
      </c>
      <c r="B241" s="926" t="s">
        <v>1374</v>
      </c>
      <c r="C241" s="952" t="s">
        <v>3481</v>
      </c>
      <c r="D241" s="1082">
        <v>640000</v>
      </c>
      <c r="E241" s="929"/>
      <c r="F241" s="929"/>
      <c r="G241" s="929"/>
      <c r="H241" s="929"/>
      <c r="I241" s="930"/>
      <c r="J241" s="954"/>
    </row>
    <row r="242" spans="1:37">
      <c r="A242" s="8">
        <v>25</v>
      </c>
      <c r="B242" s="926" t="s">
        <v>1375</v>
      </c>
      <c r="C242" s="952" t="s">
        <v>3481</v>
      </c>
      <c r="D242" s="1082">
        <v>2120000</v>
      </c>
      <c r="E242" s="929"/>
      <c r="F242" s="929"/>
      <c r="G242" s="929"/>
      <c r="H242" s="929"/>
      <c r="I242" s="930"/>
      <c r="J242" s="954"/>
    </row>
    <row r="243" spans="1:37" ht="22.5" customHeight="1">
      <c r="A243" s="8">
        <v>26</v>
      </c>
      <c r="B243" s="926" t="s">
        <v>1376</v>
      </c>
      <c r="C243" s="952" t="s">
        <v>3481</v>
      </c>
      <c r="D243" s="937">
        <v>40000</v>
      </c>
      <c r="E243" s="929"/>
      <c r="F243" s="929"/>
      <c r="G243" s="929"/>
      <c r="H243" s="929"/>
      <c r="I243" s="930"/>
      <c r="J243" s="954"/>
    </row>
    <row r="244" spans="1:37">
      <c r="A244" s="8">
        <v>27</v>
      </c>
      <c r="B244" s="926" t="s">
        <v>1377</v>
      </c>
      <c r="C244" s="952" t="s">
        <v>3481</v>
      </c>
      <c r="D244" s="937">
        <v>24500</v>
      </c>
      <c r="E244" s="929"/>
      <c r="F244" s="929"/>
      <c r="G244" s="929"/>
      <c r="H244" s="929"/>
      <c r="I244" s="930"/>
      <c r="J244" s="954"/>
    </row>
    <row r="245" spans="1:37">
      <c r="A245" s="8">
        <v>28</v>
      </c>
      <c r="B245" s="926" t="s">
        <v>1156</v>
      </c>
      <c r="C245" s="952" t="s">
        <v>3481</v>
      </c>
      <c r="D245" s="937">
        <v>60000</v>
      </c>
      <c r="E245" s="929"/>
      <c r="F245" s="929"/>
      <c r="G245" s="929"/>
      <c r="H245" s="929"/>
      <c r="I245" s="930"/>
      <c r="J245" s="954"/>
    </row>
    <row r="246" spans="1:37">
      <c r="A246" s="8">
        <v>29</v>
      </c>
      <c r="B246" s="926" t="s">
        <v>1157</v>
      </c>
      <c r="C246" s="952" t="s">
        <v>3481</v>
      </c>
      <c r="D246" s="937">
        <v>55000</v>
      </c>
      <c r="E246" s="929"/>
      <c r="F246" s="929"/>
      <c r="G246" s="929"/>
      <c r="H246" s="929"/>
      <c r="I246" s="930"/>
      <c r="J246" s="954"/>
    </row>
    <row r="247" spans="1:37">
      <c r="A247" s="8">
        <v>30</v>
      </c>
      <c r="B247" s="926" t="s">
        <v>1158</v>
      </c>
      <c r="C247" s="952" t="s">
        <v>3481</v>
      </c>
      <c r="D247" s="1082">
        <v>190000</v>
      </c>
      <c r="E247" s="929"/>
      <c r="F247" s="929"/>
      <c r="G247" s="929"/>
      <c r="H247" s="929"/>
      <c r="I247" s="930"/>
      <c r="J247" s="954"/>
    </row>
    <row r="248" spans="1:37">
      <c r="A248" s="8">
        <v>31</v>
      </c>
      <c r="B248" s="926" t="s">
        <v>2079</v>
      </c>
      <c r="C248" s="952" t="s">
        <v>3481</v>
      </c>
      <c r="D248" s="1082">
        <v>100000</v>
      </c>
      <c r="E248" s="929"/>
      <c r="F248" s="929"/>
      <c r="G248" s="929"/>
      <c r="H248" s="929"/>
      <c r="I248" s="930"/>
      <c r="J248" s="954"/>
    </row>
    <row r="249" spans="1:37">
      <c r="A249" s="8">
        <v>32</v>
      </c>
      <c r="B249" s="926" t="s">
        <v>2080</v>
      </c>
      <c r="C249" s="952" t="s">
        <v>3481</v>
      </c>
      <c r="D249" s="1082">
        <v>1058000</v>
      </c>
      <c r="E249" s="929"/>
      <c r="F249" s="929"/>
      <c r="G249" s="929"/>
      <c r="H249" s="929"/>
      <c r="I249" s="930"/>
      <c r="J249" s="954"/>
    </row>
    <row r="250" spans="1:37">
      <c r="A250" s="8">
        <v>33</v>
      </c>
      <c r="B250" s="926" t="s">
        <v>2245</v>
      </c>
      <c r="C250" s="952" t="s">
        <v>3481</v>
      </c>
      <c r="D250" s="1082">
        <v>1302000</v>
      </c>
      <c r="E250" s="929"/>
      <c r="F250" s="929"/>
      <c r="G250" s="929"/>
      <c r="H250" s="929"/>
      <c r="I250" s="930"/>
      <c r="J250" s="954"/>
    </row>
    <row r="251" spans="1:37">
      <c r="A251" s="8"/>
      <c r="B251" s="926" t="s">
        <v>9328</v>
      </c>
      <c r="C251" s="952"/>
      <c r="D251" s="937">
        <v>86000</v>
      </c>
      <c r="E251" s="929"/>
      <c r="F251" s="929"/>
      <c r="G251" s="929"/>
      <c r="H251" s="929"/>
      <c r="I251" s="930"/>
      <c r="J251" s="954"/>
      <c r="AK251" s="954"/>
    </row>
    <row r="252" spans="1:37">
      <c r="A252" s="8">
        <v>34</v>
      </c>
      <c r="B252" s="926" t="s">
        <v>2246</v>
      </c>
      <c r="C252" s="952" t="s">
        <v>3481</v>
      </c>
      <c r="D252" s="1082">
        <v>1450000</v>
      </c>
      <c r="E252" s="929"/>
      <c r="F252" s="929"/>
      <c r="G252" s="929"/>
      <c r="H252" s="929"/>
      <c r="I252" s="930"/>
      <c r="J252" s="954"/>
    </row>
    <row r="253" spans="1:37">
      <c r="A253" s="8"/>
      <c r="B253" s="926" t="s">
        <v>9328</v>
      </c>
      <c r="C253" s="952"/>
      <c r="D253" s="937">
        <v>86000</v>
      </c>
      <c r="E253" s="929"/>
      <c r="F253" s="929"/>
      <c r="G253" s="929"/>
      <c r="H253" s="929"/>
      <c r="I253" s="930"/>
      <c r="J253" s="954"/>
      <c r="AK253" s="954"/>
    </row>
    <row r="254" spans="1:37">
      <c r="A254" s="8">
        <v>35</v>
      </c>
      <c r="B254" s="926" t="s">
        <v>2247</v>
      </c>
      <c r="C254" s="952" t="s">
        <v>3481</v>
      </c>
      <c r="D254" s="1082">
        <v>475000</v>
      </c>
      <c r="E254" s="929"/>
      <c r="F254" s="929"/>
      <c r="G254" s="929"/>
      <c r="H254" s="929"/>
      <c r="I254" s="930"/>
      <c r="J254" s="954"/>
    </row>
    <row r="255" spans="1:37">
      <c r="A255" s="8">
        <v>36</v>
      </c>
      <c r="B255" s="926" t="s">
        <v>2248</v>
      </c>
      <c r="C255" s="952" t="s">
        <v>3481</v>
      </c>
      <c r="D255" s="1082">
        <v>102000</v>
      </c>
      <c r="E255" s="929"/>
      <c r="F255" s="929"/>
      <c r="G255" s="929"/>
      <c r="H255" s="929"/>
      <c r="I255" s="930"/>
      <c r="J255" s="954"/>
    </row>
    <row r="256" spans="1:37">
      <c r="A256" s="8">
        <v>37</v>
      </c>
      <c r="B256" s="926" t="s">
        <v>6241</v>
      </c>
      <c r="C256" s="952" t="s">
        <v>3481</v>
      </c>
      <c r="D256" s="1082">
        <v>280000</v>
      </c>
      <c r="E256" s="929"/>
      <c r="F256" s="929"/>
      <c r="G256" s="929"/>
      <c r="H256" s="929"/>
      <c r="I256" s="930"/>
      <c r="J256" s="954"/>
    </row>
    <row r="257" spans="1:10">
      <c r="A257" s="8">
        <v>38</v>
      </c>
      <c r="B257" s="926" t="s">
        <v>6242</v>
      </c>
      <c r="C257" s="952" t="s">
        <v>3481</v>
      </c>
      <c r="D257" s="1082">
        <v>2280000</v>
      </c>
      <c r="E257" s="929"/>
      <c r="F257" s="929"/>
      <c r="G257" s="929"/>
      <c r="H257" s="929"/>
      <c r="I257" s="930"/>
      <c r="J257" s="954"/>
    </row>
    <row r="258" spans="1:10">
      <c r="A258" s="8">
        <v>39</v>
      </c>
      <c r="B258" s="926" t="s">
        <v>6243</v>
      </c>
      <c r="C258" s="952" t="s">
        <v>3481</v>
      </c>
      <c r="D258" s="937">
        <v>65000</v>
      </c>
      <c r="E258" s="929"/>
      <c r="F258" s="929"/>
      <c r="G258" s="929"/>
      <c r="H258" s="929"/>
      <c r="I258" s="930"/>
      <c r="J258" s="954"/>
    </row>
    <row r="259" spans="1:10">
      <c r="A259" s="8">
        <v>40</v>
      </c>
      <c r="B259" s="926" t="s">
        <v>4476</v>
      </c>
      <c r="C259" s="952" t="s">
        <v>3481</v>
      </c>
      <c r="D259" s="937">
        <v>20000</v>
      </c>
      <c r="E259" s="929"/>
      <c r="F259" s="929"/>
      <c r="G259" s="929"/>
      <c r="H259" s="929"/>
      <c r="I259" s="930"/>
      <c r="J259" s="954"/>
    </row>
    <row r="260" spans="1:10">
      <c r="A260" s="8">
        <v>41</v>
      </c>
      <c r="B260" s="926" t="s">
        <v>1776</v>
      </c>
      <c r="C260" s="952" t="s">
        <v>3481</v>
      </c>
      <c r="D260" s="937">
        <v>21000</v>
      </c>
      <c r="E260" s="929"/>
      <c r="F260" s="929"/>
      <c r="G260" s="929"/>
      <c r="H260" s="929"/>
      <c r="I260" s="930"/>
      <c r="J260" s="954"/>
    </row>
    <row r="261" spans="1:10">
      <c r="A261" s="8">
        <v>42</v>
      </c>
      <c r="B261" s="926" t="s">
        <v>1777</v>
      </c>
      <c r="C261" s="952" t="s">
        <v>3481</v>
      </c>
      <c r="D261" s="937">
        <v>21500</v>
      </c>
      <c r="E261" s="929"/>
      <c r="F261" s="929"/>
      <c r="G261" s="929"/>
      <c r="H261" s="929"/>
      <c r="I261" s="930"/>
      <c r="J261" s="954"/>
    </row>
    <row r="262" spans="1:10">
      <c r="A262" s="8">
        <v>43</v>
      </c>
      <c r="B262" s="926" t="s">
        <v>1778</v>
      </c>
      <c r="C262" s="952" t="s">
        <v>3481</v>
      </c>
      <c r="D262" s="937">
        <v>25500</v>
      </c>
      <c r="E262" s="929"/>
      <c r="F262" s="929"/>
      <c r="G262" s="929"/>
      <c r="H262" s="929"/>
      <c r="I262" s="930"/>
      <c r="J262" s="954"/>
    </row>
    <row r="263" spans="1:10">
      <c r="A263" s="8">
        <v>44</v>
      </c>
      <c r="B263" s="926" t="s">
        <v>1779</v>
      </c>
      <c r="C263" s="952" t="s">
        <v>3481</v>
      </c>
      <c r="D263" s="1082">
        <v>780000</v>
      </c>
      <c r="E263" s="929"/>
      <c r="F263" s="929"/>
      <c r="G263" s="929"/>
      <c r="H263" s="929"/>
      <c r="I263" s="930"/>
      <c r="J263" s="954"/>
    </row>
    <row r="264" spans="1:10">
      <c r="A264" s="8">
        <v>45</v>
      </c>
      <c r="B264" s="926" t="s">
        <v>9333</v>
      </c>
      <c r="C264" s="952" t="s">
        <v>3481</v>
      </c>
      <c r="D264" s="1082">
        <v>425000</v>
      </c>
      <c r="E264" s="929"/>
      <c r="F264" s="929"/>
      <c r="G264" s="929"/>
      <c r="H264" s="929"/>
      <c r="I264" s="930"/>
      <c r="J264" s="954"/>
    </row>
    <row r="265" spans="1:10">
      <c r="A265" s="8">
        <v>46</v>
      </c>
      <c r="B265" s="926" t="s">
        <v>6058</v>
      </c>
      <c r="C265" s="952" t="s">
        <v>3481</v>
      </c>
      <c r="D265" s="1082">
        <v>580000</v>
      </c>
      <c r="E265" s="929"/>
      <c r="F265" s="929"/>
      <c r="G265" s="929"/>
      <c r="H265" s="929"/>
      <c r="I265" s="930"/>
      <c r="J265" s="954"/>
    </row>
    <row r="266" spans="1:10">
      <c r="A266" s="8">
        <v>47</v>
      </c>
      <c r="B266" s="926" t="s">
        <v>6059</v>
      </c>
      <c r="C266" s="952" t="s">
        <v>3481</v>
      </c>
      <c r="D266" s="937">
        <v>85000</v>
      </c>
      <c r="E266" s="929"/>
      <c r="F266" s="929"/>
      <c r="G266" s="929"/>
      <c r="H266" s="929"/>
      <c r="I266" s="930"/>
      <c r="J266" s="954"/>
    </row>
    <row r="267" spans="1:10">
      <c r="A267" s="8">
        <v>48</v>
      </c>
      <c r="B267" s="926" t="s">
        <v>6060</v>
      </c>
      <c r="C267" s="952" t="s">
        <v>3481</v>
      </c>
      <c r="D267" s="937">
        <v>16000</v>
      </c>
      <c r="E267" s="929"/>
      <c r="F267" s="929"/>
      <c r="G267" s="929"/>
      <c r="H267" s="929"/>
      <c r="I267" s="930"/>
      <c r="J267" s="954"/>
    </row>
    <row r="268" spans="1:10">
      <c r="A268" s="8">
        <v>49</v>
      </c>
      <c r="B268" s="926" t="s">
        <v>6061</v>
      </c>
      <c r="C268" s="952" t="s">
        <v>3481</v>
      </c>
      <c r="D268" s="937">
        <v>52000</v>
      </c>
      <c r="E268" s="929"/>
      <c r="F268" s="929"/>
      <c r="G268" s="929"/>
      <c r="H268" s="929"/>
      <c r="I268" s="930"/>
      <c r="J268" s="954"/>
    </row>
    <row r="269" spans="1:10">
      <c r="A269" s="8">
        <v>50</v>
      </c>
      <c r="B269" s="926" t="s">
        <v>6062</v>
      </c>
      <c r="C269" s="952" t="s">
        <v>3481</v>
      </c>
      <c r="D269" s="1082">
        <v>850000</v>
      </c>
      <c r="E269" s="929"/>
      <c r="F269" s="929"/>
      <c r="G269" s="929"/>
      <c r="H269" s="929"/>
      <c r="I269" s="930"/>
      <c r="J269" s="954"/>
    </row>
    <row r="270" spans="1:10">
      <c r="A270" s="8">
        <v>51</v>
      </c>
      <c r="B270" s="926" t="s">
        <v>6063</v>
      </c>
      <c r="C270" s="952" t="s">
        <v>3481</v>
      </c>
      <c r="D270" s="1082">
        <v>3750000</v>
      </c>
      <c r="E270" s="929"/>
      <c r="F270" s="929"/>
      <c r="G270" s="929"/>
      <c r="H270" s="929"/>
      <c r="I270" s="930"/>
      <c r="J270" s="954"/>
    </row>
    <row r="271" spans="1:10">
      <c r="A271" s="8">
        <v>52</v>
      </c>
      <c r="B271" s="926" t="s">
        <v>6064</v>
      </c>
      <c r="C271" s="952" t="s">
        <v>3481</v>
      </c>
      <c r="D271" s="1082">
        <v>6380000</v>
      </c>
      <c r="E271" s="929"/>
      <c r="F271" s="929"/>
      <c r="G271" s="929"/>
      <c r="H271" s="929"/>
      <c r="I271" s="930"/>
      <c r="J271" s="954"/>
    </row>
    <row r="272" spans="1:10">
      <c r="A272" s="8">
        <v>53</v>
      </c>
      <c r="B272" s="926" t="s">
        <v>9334</v>
      </c>
      <c r="C272" s="952" t="s">
        <v>3481</v>
      </c>
      <c r="D272" s="1082">
        <v>653000</v>
      </c>
      <c r="E272" s="929"/>
      <c r="F272" s="929"/>
      <c r="G272" s="929"/>
      <c r="H272" s="929"/>
      <c r="I272" s="930"/>
      <c r="J272" s="954"/>
    </row>
    <row r="273" spans="1:37">
      <c r="A273" s="8">
        <v>54</v>
      </c>
      <c r="B273" s="926" t="s">
        <v>4325</v>
      </c>
      <c r="C273" s="952" t="s">
        <v>3481</v>
      </c>
      <c r="D273" s="1082">
        <v>1625000</v>
      </c>
      <c r="E273" s="929"/>
      <c r="F273" s="929"/>
      <c r="G273" s="929"/>
      <c r="H273" s="929"/>
      <c r="I273" s="930"/>
      <c r="J273" s="954"/>
    </row>
    <row r="274" spans="1:37">
      <c r="A274" s="8"/>
      <c r="B274" s="926" t="s">
        <v>9328</v>
      </c>
      <c r="C274" s="952"/>
      <c r="D274" s="937">
        <v>86000</v>
      </c>
      <c r="E274" s="929"/>
      <c r="F274" s="929"/>
      <c r="G274" s="929"/>
      <c r="H274" s="929"/>
      <c r="I274" s="930"/>
      <c r="J274" s="954"/>
      <c r="AK274" s="954"/>
    </row>
    <row r="275" spans="1:37">
      <c r="A275" s="8">
        <v>55</v>
      </c>
      <c r="B275" s="926" t="s">
        <v>4326</v>
      </c>
      <c r="C275" s="952" t="s">
        <v>3481</v>
      </c>
      <c r="D275" s="1082">
        <v>240000</v>
      </c>
      <c r="E275" s="929"/>
      <c r="F275" s="929"/>
      <c r="G275" s="929"/>
      <c r="H275" s="929"/>
      <c r="I275" s="930"/>
      <c r="J275" s="954"/>
    </row>
    <row r="276" spans="1:37">
      <c r="A276" s="8">
        <v>56</v>
      </c>
      <c r="B276" s="926" t="s">
        <v>4327</v>
      </c>
      <c r="C276" s="952" t="s">
        <v>3481</v>
      </c>
      <c r="D276" s="1082">
        <v>7475000</v>
      </c>
      <c r="E276" s="929"/>
      <c r="F276" s="929"/>
      <c r="G276" s="929"/>
      <c r="H276" s="929"/>
      <c r="I276" s="930"/>
      <c r="J276" s="954"/>
    </row>
    <row r="277" spans="1:37">
      <c r="A277" s="8">
        <v>57</v>
      </c>
      <c r="B277" s="926" t="s">
        <v>253</v>
      </c>
      <c r="C277" s="952" t="s">
        <v>3481</v>
      </c>
      <c r="D277" s="1082">
        <v>425000</v>
      </c>
      <c r="E277" s="929"/>
      <c r="F277" s="929"/>
      <c r="G277" s="929"/>
      <c r="H277" s="929"/>
      <c r="I277" s="930"/>
      <c r="J277" s="954"/>
    </row>
    <row r="278" spans="1:37">
      <c r="A278" s="8">
        <v>58</v>
      </c>
      <c r="B278" s="926" t="s">
        <v>254</v>
      </c>
      <c r="C278" s="952" t="s">
        <v>3481</v>
      </c>
      <c r="D278" s="1082">
        <v>1475000</v>
      </c>
      <c r="E278" s="959"/>
      <c r="F278" s="959"/>
      <c r="G278" s="959"/>
      <c r="H278" s="959"/>
      <c r="I278" s="957"/>
      <c r="J278" s="954"/>
    </row>
    <row r="279" spans="1:37">
      <c r="A279" s="8"/>
      <c r="B279" s="926" t="s">
        <v>9328</v>
      </c>
      <c r="C279" s="952"/>
      <c r="D279" s="937">
        <v>86000</v>
      </c>
      <c r="E279" s="929"/>
      <c r="F279" s="929"/>
      <c r="G279" s="929"/>
      <c r="H279" s="929"/>
      <c r="I279" s="930"/>
      <c r="J279" s="954"/>
      <c r="AK279" s="954"/>
    </row>
    <row r="280" spans="1:37" ht="31.5">
      <c r="A280" s="8">
        <v>59</v>
      </c>
      <c r="B280" s="926" t="s">
        <v>9335</v>
      </c>
      <c r="C280" s="952" t="s">
        <v>3481</v>
      </c>
      <c r="D280" s="1082">
        <v>1960000</v>
      </c>
      <c r="E280" s="929"/>
      <c r="F280" s="929"/>
      <c r="G280" s="929"/>
      <c r="H280" s="929"/>
      <c r="I280" s="957"/>
      <c r="J280" s="954"/>
    </row>
    <row r="281" spans="1:37">
      <c r="A281" s="8"/>
      <c r="B281" s="926" t="s">
        <v>9328</v>
      </c>
      <c r="C281" s="952"/>
      <c r="D281" s="937">
        <v>86000</v>
      </c>
      <c r="E281" s="929"/>
      <c r="F281" s="929"/>
      <c r="G281" s="929"/>
      <c r="H281" s="929"/>
      <c r="I281" s="930"/>
      <c r="J281" s="954"/>
      <c r="AK281" s="954"/>
    </row>
    <row r="282" spans="1:37">
      <c r="A282" s="8">
        <v>60</v>
      </c>
      <c r="B282" s="926" t="s">
        <v>255</v>
      </c>
      <c r="C282" s="952" t="s">
        <v>3481</v>
      </c>
      <c r="D282" s="937">
        <v>56000</v>
      </c>
      <c r="E282" s="929"/>
      <c r="F282" s="929"/>
      <c r="G282" s="929"/>
      <c r="H282" s="929"/>
      <c r="I282" s="930"/>
      <c r="J282" s="954"/>
    </row>
    <row r="283" spans="1:37">
      <c r="A283" s="8">
        <v>61</v>
      </c>
      <c r="B283" s="926" t="s">
        <v>256</v>
      </c>
      <c r="C283" s="952" t="s">
        <v>3481</v>
      </c>
      <c r="D283" s="1082">
        <v>260000</v>
      </c>
      <c r="E283" s="929"/>
      <c r="F283" s="929"/>
      <c r="G283" s="929"/>
      <c r="H283" s="929"/>
      <c r="I283" s="930"/>
      <c r="J283" s="954"/>
    </row>
    <row r="284" spans="1:37">
      <c r="A284" s="8">
        <v>62</v>
      </c>
      <c r="B284" s="926" t="s">
        <v>257</v>
      </c>
      <c r="C284" s="952" t="s">
        <v>3481</v>
      </c>
      <c r="D284" s="1082">
        <v>2950000</v>
      </c>
      <c r="E284" s="929"/>
      <c r="F284" s="929"/>
      <c r="G284" s="929"/>
      <c r="H284" s="929"/>
      <c r="I284" s="12"/>
      <c r="J284" s="954"/>
    </row>
    <row r="285" spans="1:37">
      <c r="A285" s="8">
        <v>63</v>
      </c>
      <c r="B285" s="926" t="s">
        <v>6285</v>
      </c>
      <c r="C285" s="952" t="s">
        <v>3481</v>
      </c>
      <c r="D285" s="1082">
        <v>650000</v>
      </c>
      <c r="E285" s="929"/>
      <c r="F285" s="929"/>
      <c r="G285" s="929"/>
      <c r="H285" s="929"/>
      <c r="I285" s="930"/>
      <c r="J285" s="954"/>
    </row>
    <row r="286" spans="1:37">
      <c r="A286" s="8">
        <v>64</v>
      </c>
      <c r="B286" s="926" t="s">
        <v>9336</v>
      </c>
      <c r="C286" s="952" t="s">
        <v>3481</v>
      </c>
      <c r="D286" s="1082">
        <v>1422000</v>
      </c>
      <c r="E286" s="929"/>
      <c r="F286" s="929"/>
      <c r="G286" s="929"/>
      <c r="H286" s="929"/>
      <c r="I286" s="930"/>
      <c r="J286" s="954"/>
    </row>
    <row r="287" spans="1:37">
      <c r="A287" s="8"/>
      <c r="B287" s="926" t="s">
        <v>9328</v>
      </c>
      <c r="C287" s="952"/>
      <c r="D287" s="937">
        <v>86000</v>
      </c>
      <c r="E287" s="929"/>
      <c r="F287" s="929"/>
      <c r="G287" s="929"/>
      <c r="H287" s="929"/>
      <c r="I287" s="930"/>
      <c r="J287" s="954"/>
      <c r="AK287" s="954"/>
    </row>
    <row r="288" spans="1:37">
      <c r="A288" s="8">
        <v>65</v>
      </c>
      <c r="B288" s="926" t="s">
        <v>1338</v>
      </c>
      <c r="C288" s="952" t="s">
        <v>3481</v>
      </c>
      <c r="D288" s="937">
        <v>48000</v>
      </c>
      <c r="E288" s="929"/>
      <c r="F288" s="929"/>
      <c r="G288" s="929"/>
      <c r="H288" s="929"/>
      <c r="I288" s="930"/>
      <c r="J288" s="954"/>
    </row>
    <row r="289" spans="1:37">
      <c r="A289" s="8">
        <v>66</v>
      </c>
      <c r="B289" s="926" t="s">
        <v>1339</v>
      </c>
      <c r="C289" s="952" t="s">
        <v>3481</v>
      </c>
      <c r="D289" s="1082">
        <v>375000</v>
      </c>
      <c r="E289" s="929"/>
      <c r="F289" s="929"/>
      <c r="G289" s="929"/>
      <c r="H289" s="929"/>
      <c r="I289" s="930"/>
      <c r="J289" s="954"/>
    </row>
    <row r="290" spans="1:37">
      <c r="A290" s="8">
        <v>67</v>
      </c>
      <c r="B290" s="926" t="s">
        <v>9338</v>
      </c>
      <c r="C290" s="952" t="s">
        <v>3481</v>
      </c>
      <c r="D290" s="1082">
        <v>14484250</v>
      </c>
      <c r="E290" s="929"/>
      <c r="F290" s="929"/>
      <c r="G290" s="929"/>
      <c r="H290" s="929"/>
      <c r="I290" s="930"/>
      <c r="J290" s="954"/>
    </row>
    <row r="291" spans="1:37">
      <c r="A291" s="8"/>
      <c r="B291" s="926" t="s">
        <v>9328</v>
      </c>
      <c r="C291" s="952"/>
      <c r="D291" s="1082">
        <v>185220</v>
      </c>
      <c r="E291" s="929"/>
      <c r="F291" s="929"/>
      <c r="G291" s="929"/>
      <c r="H291" s="929"/>
      <c r="I291" s="930"/>
      <c r="J291" s="954"/>
    </row>
    <row r="292" spans="1:37">
      <c r="A292" s="8">
        <v>68</v>
      </c>
      <c r="B292" s="926" t="s">
        <v>9337</v>
      </c>
      <c r="C292" s="952" t="s">
        <v>3481</v>
      </c>
      <c r="D292" s="1082">
        <v>10390875</v>
      </c>
      <c r="E292" s="929"/>
      <c r="F292" s="929"/>
      <c r="G292" s="929"/>
      <c r="H292" s="929"/>
      <c r="I292" s="930"/>
      <c r="J292" s="954"/>
    </row>
    <row r="293" spans="1:37">
      <c r="A293" s="8"/>
      <c r="B293" s="926" t="s">
        <v>9328</v>
      </c>
      <c r="C293" s="952"/>
      <c r="D293" s="1082">
        <v>185220</v>
      </c>
      <c r="E293" s="929"/>
      <c r="F293" s="929"/>
      <c r="G293" s="929"/>
      <c r="H293" s="929"/>
      <c r="I293" s="930"/>
      <c r="J293" s="954"/>
    </row>
    <row r="294" spans="1:37">
      <c r="A294" s="8">
        <v>69</v>
      </c>
      <c r="B294" s="926" t="s">
        <v>9294</v>
      </c>
      <c r="C294" s="952" t="s">
        <v>3481</v>
      </c>
      <c r="D294" s="1082">
        <v>487770</v>
      </c>
      <c r="E294" s="960"/>
      <c r="F294" s="960"/>
      <c r="G294" s="960"/>
      <c r="H294" s="960"/>
      <c r="I294" s="930"/>
      <c r="J294" s="954"/>
    </row>
    <row r="295" spans="1:37">
      <c r="A295" s="8">
        <v>70</v>
      </c>
      <c r="B295" s="926" t="s">
        <v>9748</v>
      </c>
      <c r="C295" s="952" t="s">
        <v>3481</v>
      </c>
      <c r="D295" s="1082">
        <v>3404430</v>
      </c>
    </row>
    <row r="296" spans="1:37"/>
    <row r="297" spans="1:37">
      <c r="B297" s="2" t="s">
        <v>1340</v>
      </c>
      <c r="C297" s="2"/>
      <c r="D297" s="1095"/>
      <c r="E297" s="923"/>
      <c r="F297" s="2"/>
      <c r="G297" s="2"/>
      <c r="H297" s="2"/>
      <c r="I297" s="2"/>
      <c r="J297" s="2"/>
      <c r="K297" s="2"/>
      <c r="L297" s="2"/>
      <c r="M297" s="2"/>
      <c r="N297" s="2"/>
      <c r="O297" s="2"/>
      <c r="P297" s="2"/>
      <c r="Q297" s="2"/>
      <c r="R297" s="2"/>
      <c r="S297" s="2"/>
    </row>
    <row r="298" spans="1:37">
      <c r="B298" s="1093" t="s">
        <v>9884</v>
      </c>
      <c r="C298" s="2"/>
      <c r="D298" s="1095"/>
      <c r="E298" s="923"/>
      <c r="F298" s="2"/>
      <c r="G298" s="2"/>
      <c r="H298" s="2"/>
      <c r="I298" s="2"/>
      <c r="J298" s="2"/>
      <c r="K298" s="2"/>
      <c r="L298" s="2"/>
      <c r="M298" s="2"/>
      <c r="N298" s="2"/>
      <c r="O298" s="2"/>
      <c r="P298" s="2"/>
      <c r="Q298" s="2"/>
      <c r="R298" s="2"/>
      <c r="S298" s="2"/>
    </row>
    <row r="299" spans="1:37"/>
    <row r="300" spans="1:37">
      <c r="A300" s="8" t="s">
        <v>3473</v>
      </c>
      <c r="B300" s="8" t="s">
        <v>3475</v>
      </c>
      <c r="C300" s="8" t="s">
        <v>3476</v>
      </c>
      <c r="D300" s="1107" t="s">
        <v>3484</v>
      </c>
    </row>
    <row r="301" spans="1:37" ht="16.5" thickBot="1">
      <c r="A301" s="20"/>
      <c r="B301" s="3"/>
      <c r="C301" s="20"/>
      <c r="D301" s="1107" t="s">
        <v>3485</v>
      </c>
    </row>
    <row r="302" spans="1:37" ht="16.5" thickBot="1">
      <c r="A302" s="20">
        <v>1</v>
      </c>
      <c r="B302" s="926" t="s">
        <v>2520</v>
      </c>
      <c r="C302" s="952" t="s">
        <v>3481</v>
      </c>
      <c r="D302" s="1100">
        <v>10500</v>
      </c>
      <c r="E302" s="1201"/>
      <c r="F302" s="1202"/>
      <c r="G302" s="1202"/>
      <c r="H302" s="1202"/>
      <c r="I302" s="930"/>
      <c r="J302" s="954"/>
      <c r="AK302" s="925"/>
    </row>
    <row r="303" spans="1:37" ht="16.5" thickBot="1">
      <c r="A303" s="20">
        <v>2</v>
      </c>
      <c r="B303" s="926" t="s">
        <v>2521</v>
      </c>
      <c r="C303" s="952" t="s">
        <v>3481</v>
      </c>
      <c r="D303" s="1101">
        <v>10600</v>
      </c>
      <c r="E303" s="1201"/>
      <c r="F303" s="1202"/>
      <c r="G303" s="1202"/>
      <c r="H303" s="1202"/>
      <c r="I303" s="930"/>
      <c r="J303" s="954"/>
      <c r="AK303" s="925"/>
    </row>
    <row r="304" spans="1:37" ht="16.5" thickBot="1">
      <c r="A304" s="20">
        <v>3</v>
      </c>
      <c r="B304" s="926" t="s">
        <v>3841</v>
      </c>
      <c r="C304" s="952" t="s">
        <v>3481</v>
      </c>
      <c r="D304" s="1101">
        <v>12720</v>
      </c>
      <c r="E304" s="1201"/>
      <c r="F304" s="1202"/>
      <c r="G304" s="1202"/>
      <c r="H304" s="1202"/>
      <c r="I304" s="930"/>
      <c r="J304" s="954"/>
      <c r="AK304" s="925"/>
    </row>
    <row r="305" spans="1:37" ht="16.5" thickBot="1">
      <c r="A305" s="20">
        <v>4</v>
      </c>
      <c r="B305" s="926" t="s">
        <v>3842</v>
      </c>
      <c r="C305" s="952" t="s">
        <v>3481</v>
      </c>
      <c r="D305" s="1101">
        <v>13568</v>
      </c>
      <c r="E305" s="1201"/>
      <c r="F305" s="1202"/>
      <c r="G305" s="1202"/>
      <c r="H305" s="1202"/>
      <c r="I305" s="930"/>
      <c r="J305" s="954"/>
      <c r="AK305" s="925"/>
    </row>
    <row r="306" spans="1:37" ht="16.5" thickBot="1">
      <c r="A306" s="20">
        <v>5</v>
      </c>
      <c r="B306" s="926" t="s">
        <v>3843</v>
      </c>
      <c r="C306" s="952" t="s">
        <v>3483</v>
      </c>
      <c r="D306" s="1101">
        <v>2120</v>
      </c>
      <c r="E306" s="1201"/>
      <c r="F306" s="1202"/>
      <c r="G306" s="1202"/>
      <c r="H306" s="1202"/>
      <c r="I306" s="930"/>
      <c r="J306" s="954"/>
      <c r="AK306" s="925"/>
    </row>
    <row r="307" spans="1:37" ht="16.5" thickBot="1">
      <c r="A307" s="20">
        <v>6</v>
      </c>
      <c r="B307" s="926" t="s">
        <v>3865</v>
      </c>
      <c r="C307" s="952" t="s">
        <v>3481</v>
      </c>
      <c r="D307" s="1101">
        <v>4028</v>
      </c>
      <c r="E307" s="1201"/>
      <c r="F307" s="1202"/>
      <c r="G307" s="1202"/>
      <c r="H307" s="1202"/>
      <c r="I307" s="930"/>
      <c r="J307" s="954"/>
      <c r="AK307" s="925"/>
    </row>
    <row r="308" spans="1:37" ht="16.5" thickBot="1">
      <c r="A308" s="20">
        <v>7</v>
      </c>
      <c r="B308" s="926" t="s">
        <v>3866</v>
      </c>
      <c r="C308" s="952" t="s">
        <v>3481</v>
      </c>
      <c r="D308" s="1101">
        <v>6254</v>
      </c>
      <c r="E308" s="1201"/>
      <c r="F308" s="1202"/>
      <c r="G308" s="1202"/>
      <c r="H308" s="1202"/>
      <c r="I308" s="930"/>
      <c r="J308" s="954"/>
      <c r="AK308" s="925"/>
    </row>
    <row r="309" spans="1:37" ht="16.5" thickBot="1">
      <c r="A309" s="20">
        <v>8</v>
      </c>
      <c r="B309" s="926" t="s">
        <v>9339</v>
      </c>
      <c r="C309" s="952" t="s">
        <v>3481</v>
      </c>
      <c r="D309" s="1101">
        <v>700</v>
      </c>
      <c r="E309" s="1201"/>
      <c r="F309" s="1202"/>
      <c r="G309" s="1202"/>
      <c r="H309" s="1202"/>
      <c r="I309" s="930"/>
      <c r="J309" s="954"/>
      <c r="AK309" s="925"/>
    </row>
    <row r="310" spans="1:37" ht="16.5" thickBot="1">
      <c r="A310" s="20">
        <v>9</v>
      </c>
      <c r="B310" s="926" t="s">
        <v>3867</v>
      </c>
      <c r="C310" s="952" t="s">
        <v>3481</v>
      </c>
      <c r="D310" s="1101">
        <v>28080</v>
      </c>
      <c r="E310" s="1201"/>
      <c r="F310" s="1202"/>
      <c r="G310" s="1202"/>
      <c r="H310" s="1202"/>
      <c r="I310" s="930"/>
      <c r="J310" s="954"/>
      <c r="AK310" s="925"/>
    </row>
    <row r="311" spans="1:37" ht="16.5" thickBot="1">
      <c r="A311" s="20">
        <v>10</v>
      </c>
      <c r="B311" s="926" t="s">
        <v>3868</v>
      </c>
      <c r="C311" s="952" t="s">
        <v>3480</v>
      </c>
      <c r="D311" s="1101">
        <v>51500</v>
      </c>
      <c r="E311" s="1201"/>
      <c r="F311" s="1202"/>
      <c r="G311" s="1202"/>
      <c r="H311" s="1202"/>
      <c r="I311" s="930"/>
      <c r="J311" s="954"/>
      <c r="AK311" s="925"/>
    </row>
    <row r="312" spans="1:37" ht="16.5" thickBot="1">
      <c r="A312" s="20">
        <v>11</v>
      </c>
      <c r="B312" s="926" t="s">
        <v>3869</v>
      </c>
      <c r="C312" s="952" t="s">
        <v>3481</v>
      </c>
      <c r="D312" s="1101">
        <v>5150</v>
      </c>
      <c r="E312" s="1201"/>
      <c r="F312" s="1202"/>
      <c r="G312" s="1202"/>
      <c r="H312" s="1202"/>
      <c r="I312" s="930"/>
      <c r="J312" s="954"/>
      <c r="AK312" s="925"/>
    </row>
    <row r="313" spans="1:37" ht="16.5" thickBot="1">
      <c r="A313" s="20">
        <v>12</v>
      </c>
      <c r="B313" s="926" t="s">
        <v>9340</v>
      </c>
      <c r="C313" s="952" t="s">
        <v>3481</v>
      </c>
      <c r="D313" s="1101">
        <v>5000</v>
      </c>
      <c r="E313" s="1201"/>
      <c r="F313" s="1202"/>
      <c r="G313" s="1202"/>
      <c r="H313" s="1202"/>
      <c r="I313" s="930"/>
      <c r="J313" s="954"/>
      <c r="AK313" s="925"/>
    </row>
    <row r="314" spans="1:37" ht="16.5" thickBot="1">
      <c r="A314" s="20">
        <v>13</v>
      </c>
      <c r="B314" s="926" t="s">
        <v>9341</v>
      </c>
      <c r="C314" s="952" t="s">
        <v>3481</v>
      </c>
      <c r="D314" s="1101">
        <v>10000</v>
      </c>
      <c r="E314" s="1201"/>
      <c r="F314" s="1202"/>
      <c r="G314" s="1202"/>
      <c r="H314" s="1202"/>
      <c r="I314" s="930"/>
      <c r="J314" s="954"/>
      <c r="AK314" s="925"/>
    </row>
    <row r="315" spans="1:37" ht="16.5" thickBot="1">
      <c r="A315" s="20">
        <v>14</v>
      </c>
      <c r="B315" s="926" t="s">
        <v>9342</v>
      </c>
      <c r="C315" s="952" t="s">
        <v>3481</v>
      </c>
      <c r="D315" s="1101">
        <v>12000</v>
      </c>
      <c r="E315" s="1201"/>
      <c r="F315" s="1202"/>
      <c r="G315" s="1202"/>
      <c r="H315" s="1202"/>
      <c r="I315" s="930"/>
      <c r="J315" s="954"/>
      <c r="AK315" s="925"/>
    </row>
    <row r="316" spans="1:37" ht="16.5" thickBot="1">
      <c r="A316" s="20">
        <v>15</v>
      </c>
      <c r="B316" s="926" t="s">
        <v>3870</v>
      </c>
      <c r="C316" s="952" t="s">
        <v>3223</v>
      </c>
      <c r="D316" s="1101">
        <v>18000</v>
      </c>
      <c r="E316" s="1201"/>
      <c r="F316" s="1202"/>
      <c r="G316" s="1202"/>
      <c r="H316" s="1202"/>
      <c r="I316" s="930"/>
      <c r="J316" s="954"/>
      <c r="AK316" s="925"/>
    </row>
    <row r="317" spans="1:37" ht="16.5" thickBot="1">
      <c r="A317" s="20">
        <v>16</v>
      </c>
      <c r="B317" s="926" t="s">
        <v>3871</v>
      </c>
      <c r="C317" s="952" t="s">
        <v>3483</v>
      </c>
      <c r="D317" s="1101">
        <v>265</v>
      </c>
      <c r="E317" s="1201"/>
      <c r="F317" s="1202"/>
      <c r="G317" s="1202"/>
      <c r="H317" s="1202"/>
      <c r="I317" s="930"/>
      <c r="J317" s="954"/>
      <c r="AK317" s="925"/>
    </row>
    <row r="318" spans="1:37" ht="16.5" thickBot="1">
      <c r="A318" s="20">
        <v>17</v>
      </c>
      <c r="B318" s="926" t="s">
        <v>9780</v>
      </c>
      <c r="C318" s="952" t="s">
        <v>3477</v>
      </c>
      <c r="D318" s="1101">
        <v>35</v>
      </c>
      <c r="E318" s="1201"/>
      <c r="F318" s="1202"/>
      <c r="G318" s="1202"/>
      <c r="H318" s="1202"/>
      <c r="I318" s="930"/>
      <c r="J318" s="954"/>
    </row>
    <row r="319" spans="1:37">
      <c r="B319" s="19"/>
      <c r="E319" s="961"/>
    </row>
    <row r="320" spans="1:37">
      <c r="E320" s="961"/>
    </row>
    <row r="321" spans="1:20">
      <c r="B321" s="2" t="s">
        <v>3872</v>
      </c>
      <c r="C321" s="2"/>
      <c r="D321" s="1095"/>
      <c r="E321" s="962"/>
      <c r="F321" s="2"/>
      <c r="G321" s="2"/>
      <c r="H321" s="2"/>
      <c r="I321" s="2"/>
      <c r="J321" s="2"/>
      <c r="K321" s="2"/>
      <c r="L321" s="2"/>
      <c r="M321" s="2"/>
      <c r="N321" s="2"/>
      <c r="O321" s="2"/>
      <c r="P321" s="2"/>
      <c r="Q321" s="2"/>
      <c r="R321" s="2"/>
      <c r="S321" s="2"/>
      <c r="T321" s="2"/>
    </row>
    <row r="322" spans="1:20">
      <c r="B322" s="2"/>
      <c r="C322" s="2"/>
      <c r="D322" s="1095"/>
      <c r="E322" s="961"/>
    </row>
    <row r="323" spans="1:20" ht="31.5">
      <c r="A323" s="20">
        <v>1</v>
      </c>
      <c r="B323" s="926" t="s">
        <v>252</v>
      </c>
      <c r="C323" s="952" t="s">
        <v>3481</v>
      </c>
      <c r="D323" s="1176" t="s">
        <v>9695</v>
      </c>
      <c r="E323" s="935"/>
      <c r="F323" s="935"/>
      <c r="G323" s="935"/>
      <c r="H323" s="935"/>
      <c r="I323" s="930"/>
      <c r="J323" s="954"/>
    </row>
    <row r="324" spans="1:20" ht="31.5">
      <c r="A324" s="20">
        <v>2</v>
      </c>
      <c r="B324" s="926" t="s">
        <v>6622</v>
      </c>
      <c r="C324" s="952" t="s">
        <v>3481</v>
      </c>
      <c r="D324" s="1177"/>
      <c r="E324" s="935"/>
      <c r="F324" s="935"/>
      <c r="G324" s="935"/>
      <c r="H324" s="935"/>
      <c r="I324" s="930"/>
      <c r="J324" s="954"/>
    </row>
    <row r="325" spans="1:20" ht="31.5">
      <c r="A325" s="20">
        <v>3</v>
      </c>
      <c r="B325" s="926" t="s">
        <v>6623</v>
      </c>
      <c r="C325" s="952" t="s">
        <v>3481</v>
      </c>
      <c r="D325" s="1177"/>
      <c r="E325" s="935"/>
      <c r="F325" s="935"/>
      <c r="G325" s="935"/>
      <c r="H325" s="935"/>
      <c r="I325" s="930"/>
      <c r="J325" s="954"/>
    </row>
    <row r="326" spans="1:20">
      <c r="A326" s="20">
        <v>4</v>
      </c>
      <c r="B326" s="926" t="s">
        <v>4159</v>
      </c>
      <c r="C326" s="952" t="s">
        <v>3223</v>
      </c>
      <c r="D326" s="1177"/>
      <c r="E326" s="935"/>
      <c r="F326" s="935"/>
      <c r="G326" s="935"/>
      <c r="H326" s="935"/>
      <c r="I326" s="930"/>
      <c r="J326" s="954"/>
    </row>
    <row r="327" spans="1:20">
      <c r="A327" s="20">
        <v>5</v>
      </c>
      <c r="B327" s="926" t="s">
        <v>691</v>
      </c>
      <c r="C327" s="952" t="s">
        <v>3223</v>
      </c>
      <c r="D327" s="1177"/>
      <c r="E327" s="935"/>
      <c r="F327" s="935"/>
      <c r="G327" s="935"/>
      <c r="H327" s="935"/>
      <c r="I327" s="930"/>
      <c r="J327" s="954"/>
    </row>
    <row r="328" spans="1:20">
      <c r="A328" s="20">
        <v>6</v>
      </c>
      <c r="B328" s="926" t="s">
        <v>708</v>
      </c>
      <c r="C328" s="952" t="s">
        <v>3223</v>
      </c>
      <c r="D328" s="1177"/>
      <c r="E328" s="935"/>
      <c r="F328" s="935"/>
      <c r="G328" s="935"/>
      <c r="H328" s="935"/>
      <c r="I328" s="930"/>
      <c r="J328" s="954"/>
    </row>
    <row r="329" spans="1:20">
      <c r="A329" s="20">
        <v>7</v>
      </c>
      <c r="B329" s="926" t="s">
        <v>709</v>
      </c>
      <c r="C329" s="952" t="s">
        <v>3483</v>
      </c>
      <c r="D329" s="1177"/>
      <c r="E329" s="935"/>
      <c r="F329" s="935"/>
      <c r="G329" s="935"/>
      <c r="H329" s="935"/>
      <c r="I329" s="930"/>
      <c r="J329" s="954"/>
    </row>
    <row r="330" spans="1:20">
      <c r="A330" s="20">
        <v>8</v>
      </c>
      <c r="B330" s="926" t="s">
        <v>710</v>
      </c>
      <c r="C330" s="952" t="s">
        <v>3483</v>
      </c>
      <c r="D330" s="1178"/>
      <c r="E330" s="935"/>
      <c r="F330" s="935"/>
      <c r="G330" s="935"/>
      <c r="H330" s="935"/>
      <c r="I330" s="930"/>
      <c r="J330" s="954"/>
    </row>
    <row r="331" spans="1:20">
      <c r="E331" s="961"/>
    </row>
    <row r="332" spans="1:20">
      <c r="E332" s="961"/>
    </row>
    <row r="333" spans="1:20">
      <c r="B333" s="11" t="s">
        <v>711</v>
      </c>
      <c r="C333" s="2"/>
      <c r="D333" s="1095"/>
      <c r="E333" s="962"/>
      <c r="F333" s="2"/>
      <c r="G333" s="2"/>
      <c r="H333" s="2"/>
      <c r="I333" s="2"/>
      <c r="J333" s="2"/>
      <c r="K333" s="2"/>
      <c r="L333" s="2"/>
      <c r="M333" s="2"/>
      <c r="N333" s="2"/>
      <c r="O333" s="2"/>
      <c r="P333" s="2"/>
      <c r="Q333" s="2"/>
      <c r="R333" s="2"/>
      <c r="S333" s="2"/>
      <c r="T333" s="2"/>
    </row>
    <row r="334" spans="1:20">
      <c r="B334" s="1093" t="s">
        <v>9884</v>
      </c>
      <c r="C334" s="2"/>
      <c r="D334" s="1095"/>
      <c r="E334" s="962"/>
      <c r="F334" s="2"/>
      <c r="G334" s="2"/>
      <c r="H334" s="2"/>
      <c r="I334" s="2"/>
      <c r="J334" s="2"/>
      <c r="K334" s="2"/>
      <c r="L334" s="2"/>
      <c r="M334" s="2"/>
      <c r="N334" s="2"/>
      <c r="O334" s="2"/>
      <c r="P334" s="2"/>
      <c r="Q334" s="2"/>
      <c r="R334" s="2"/>
      <c r="S334" s="2"/>
      <c r="T334" s="2"/>
    </row>
    <row r="335" spans="1:20">
      <c r="E335" s="961"/>
    </row>
    <row r="336" spans="1:20">
      <c r="A336" s="15">
        <v>1</v>
      </c>
      <c r="B336" s="809" t="s">
        <v>712</v>
      </c>
      <c r="E336" s="961"/>
    </row>
    <row r="337" spans="1:37">
      <c r="B337" s="809" t="s">
        <v>1170</v>
      </c>
      <c r="E337" s="961"/>
    </row>
    <row r="338" spans="1:37">
      <c r="B338" s="809" t="s">
        <v>2948</v>
      </c>
      <c r="E338" s="961"/>
    </row>
    <row r="339" spans="1:37">
      <c r="A339" s="15">
        <v>2</v>
      </c>
      <c r="B339" s="809" t="s">
        <v>4475</v>
      </c>
      <c r="E339" s="961"/>
    </row>
    <row r="340" spans="1:37">
      <c r="B340" s="809" t="s">
        <v>1053</v>
      </c>
      <c r="E340" s="961"/>
    </row>
    <row r="341" spans="1:37">
      <c r="A341" s="15">
        <v>3</v>
      </c>
      <c r="B341" s="809" t="s">
        <v>9743</v>
      </c>
      <c r="E341" s="961"/>
    </row>
    <row r="342" spans="1:37">
      <c r="A342" s="15">
        <v>4</v>
      </c>
      <c r="B342" s="809" t="s">
        <v>824</v>
      </c>
      <c r="E342" s="961"/>
    </row>
    <row r="343" spans="1:37" ht="16.5" thickBot="1">
      <c r="A343" s="8" t="s">
        <v>3473</v>
      </c>
      <c r="B343" s="8" t="s">
        <v>3475</v>
      </c>
      <c r="C343" s="8" t="s">
        <v>3476</v>
      </c>
      <c r="D343" s="1107" t="s">
        <v>3484</v>
      </c>
      <c r="E343" s="961"/>
    </row>
    <row r="344" spans="1:37" ht="16.5" thickBot="1">
      <c r="A344" s="20">
        <v>1</v>
      </c>
      <c r="B344" s="956" t="s">
        <v>825</v>
      </c>
      <c r="C344" s="952" t="s">
        <v>3483</v>
      </c>
      <c r="D344" s="1100">
        <v>185</v>
      </c>
      <c r="E344" s="963"/>
      <c r="F344" s="935"/>
      <c r="G344" s="935"/>
      <c r="H344" s="935"/>
      <c r="I344" s="930"/>
      <c r="J344" s="954"/>
      <c r="AK344" s="925"/>
    </row>
    <row r="345" spans="1:37" ht="16.5" thickBot="1">
      <c r="A345" s="20">
        <v>2</v>
      </c>
      <c r="B345" s="956" t="s">
        <v>4837</v>
      </c>
      <c r="C345" s="952" t="s">
        <v>3483</v>
      </c>
      <c r="D345" s="1101">
        <v>300</v>
      </c>
      <c r="E345" s="963"/>
      <c r="F345" s="935"/>
      <c r="G345" s="935"/>
      <c r="H345" s="935"/>
      <c r="I345" s="930"/>
      <c r="J345" s="954"/>
    </row>
    <row r="346" spans="1:37" ht="32.25" thickBot="1">
      <c r="A346" s="20">
        <v>3</v>
      </c>
      <c r="B346" s="926" t="s">
        <v>9887</v>
      </c>
      <c r="C346" s="933" t="s">
        <v>2168</v>
      </c>
      <c r="D346" s="1101">
        <v>371</v>
      </c>
      <c r="E346" s="963"/>
      <c r="F346" s="935"/>
      <c r="G346" s="935"/>
      <c r="H346" s="935"/>
      <c r="I346" s="930"/>
      <c r="J346" s="954"/>
      <c r="AK346" s="925"/>
    </row>
    <row r="347" spans="1:37" ht="16.5" thickBot="1">
      <c r="A347" s="20">
        <v>4</v>
      </c>
      <c r="B347" s="926" t="s">
        <v>826</v>
      </c>
      <c r="C347" s="933" t="s">
        <v>9316</v>
      </c>
      <c r="D347" s="1103">
        <v>57.7</v>
      </c>
      <c r="E347" s="1094" t="s">
        <v>9885</v>
      </c>
      <c r="F347" s="935"/>
      <c r="G347" s="935"/>
      <c r="H347" s="935"/>
      <c r="I347" s="930"/>
      <c r="J347" s="954"/>
      <c r="AK347" s="931"/>
    </row>
    <row r="348" spans="1:37" ht="31.5">
      <c r="A348" s="20">
        <v>5</v>
      </c>
      <c r="B348" s="926" t="s">
        <v>9886</v>
      </c>
      <c r="C348" s="933" t="s">
        <v>2169</v>
      </c>
      <c r="D348" s="1082">
        <v>6.26</v>
      </c>
      <c r="E348" s="963"/>
      <c r="F348" s="935"/>
      <c r="G348" s="935"/>
      <c r="H348" s="935"/>
      <c r="I348" s="930"/>
      <c r="J348" s="954"/>
      <c r="AK348" s="925"/>
    </row>
    <row r="349" spans="1:37">
      <c r="A349" s="20">
        <v>6</v>
      </c>
      <c r="B349" s="926" t="s">
        <v>2166</v>
      </c>
      <c r="C349" s="933" t="s">
        <v>1517</v>
      </c>
      <c r="D349" s="964">
        <v>0</v>
      </c>
      <c r="E349" s="963"/>
      <c r="F349" s="935"/>
      <c r="G349" s="935"/>
      <c r="H349" s="935"/>
      <c r="I349" s="965"/>
      <c r="J349" s="954"/>
      <c r="AK349" s="931"/>
    </row>
    <row r="350" spans="1:37">
      <c r="A350" s="20">
        <v>7</v>
      </c>
      <c r="B350" s="926" t="s">
        <v>2167</v>
      </c>
      <c r="C350" s="933" t="s">
        <v>2170</v>
      </c>
      <c r="D350" s="964">
        <v>0.01</v>
      </c>
      <c r="E350" s="963"/>
      <c r="F350" s="935"/>
      <c r="G350" s="935"/>
      <c r="H350" s="935"/>
      <c r="I350" s="965"/>
      <c r="J350" s="954"/>
      <c r="AK350" s="925"/>
    </row>
    <row r="351" spans="1:37" ht="16.5" thickBot="1">
      <c r="A351" s="20">
        <v>8</v>
      </c>
      <c r="B351" s="926" t="s">
        <v>2479</v>
      </c>
      <c r="C351" s="933" t="s">
        <v>2170</v>
      </c>
      <c r="D351" s="966">
        <v>0.11</v>
      </c>
      <c r="E351" s="963"/>
      <c r="F351" s="935"/>
      <c r="G351" s="935"/>
      <c r="H351" s="935"/>
      <c r="I351" s="965"/>
      <c r="J351" s="954"/>
      <c r="AK351" s="925"/>
    </row>
    <row r="352" spans="1:37" ht="16.5" thickBot="1">
      <c r="A352" s="20">
        <v>9</v>
      </c>
      <c r="B352" s="926" t="s">
        <v>2480</v>
      </c>
      <c r="C352" s="933" t="s">
        <v>9316</v>
      </c>
      <c r="D352" s="1104">
        <v>260</v>
      </c>
      <c r="E352" s="963"/>
      <c r="F352" s="935"/>
      <c r="G352" s="935"/>
      <c r="H352" s="935"/>
      <c r="I352" s="930"/>
      <c r="J352" s="954"/>
      <c r="AK352" s="925"/>
    </row>
    <row r="353" spans="1:37" ht="16.5" thickBot="1">
      <c r="A353" s="20">
        <v>10</v>
      </c>
      <c r="B353" s="926" t="s">
        <v>2481</v>
      </c>
      <c r="C353" s="933" t="s">
        <v>9316</v>
      </c>
      <c r="D353" s="1103">
        <v>68.45</v>
      </c>
      <c r="E353" s="1094" t="s">
        <v>9885</v>
      </c>
      <c r="F353" s="935"/>
      <c r="G353" s="935"/>
      <c r="H353" s="935"/>
      <c r="I353" s="930"/>
      <c r="J353" s="954"/>
      <c r="AK353" s="931"/>
    </row>
    <row r="354" spans="1:37" ht="16.5" thickBot="1">
      <c r="A354" s="20">
        <v>11</v>
      </c>
      <c r="B354" s="926" t="s">
        <v>2482</v>
      </c>
      <c r="C354" s="933" t="s">
        <v>1791</v>
      </c>
      <c r="D354" s="1101">
        <v>100</v>
      </c>
      <c r="E354" s="963"/>
      <c r="F354" s="935"/>
      <c r="G354" s="935"/>
      <c r="H354" s="935"/>
      <c r="I354" s="930"/>
      <c r="J354" s="954"/>
      <c r="AK354" s="925"/>
    </row>
    <row r="355" spans="1:37" ht="16.5" thickBot="1">
      <c r="A355" s="20">
        <v>12</v>
      </c>
      <c r="B355" s="926" t="s">
        <v>162</v>
      </c>
      <c r="C355" s="933" t="s">
        <v>2172</v>
      </c>
      <c r="D355" s="937" t="s">
        <v>9888</v>
      </c>
      <c r="E355" s="963"/>
      <c r="F355" s="935"/>
      <c r="G355" s="935"/>
      <c r="H355" s="935"/>
      <c r="I355" s="930"/>
      <c r="J355" s="954"/>
      <c r="AK355" s="925"/>
    </row>
    <row r="356" spans="1:37" ht="16.5" thickBot="1">
      <c r="A356" s="20">
        <v>13</v>
      </c>
      <c r="B356" s="926" t="s">
        <v>1307</v>
      </c>
      <c r="C356" s="933" t="s">
        <v>1791</v>
      </c>
      <c r="D356" s="1100">
        <v>94</v>
      </c>
      <c r="E356" s="963"/>
      <c r="F356" s="935"/>
      <c r="G356" s="935"/>
      <c r="H356" s="935"/>
      <c r="I356" s="930"/>
      <c r="J356" s="954"/>
      <c r="AK356" s="925"/>
    </row>
    <row r="357" spans="1:37" ht="16.5" thickBot="1">
      <c r="A357" s="20">
        <v>14</v>
      </c>
      <c r="B357" s="926" t="s">
        <v>1308</v>
      </c>
      <c r="C357" s="933" t="s">
        <v>9316</v>
      </c>
      <c r="D357" s="1101">
        <v>50</v>
      </c>
      <c r="E357" s="963"/>
      <c r="F357" s="935"/>
      <c r="G357" s="935"/>
      <c r="H357" s="935"/>
      <c r="I357" s="930"/>
      <c r="J357" s="954"/>
      <c r="AK357" s="925"/>
    </row>
    <row r="358" spans="1:37" ht="16.5" thickBot="1">
      <c r="A358" s="20">
        <v>15</v>
      </c>
      <c r="B358" s="926" t="s">
        <v>1309</v>
      </c>
      <c r="C358" s="933" t="s">
        <v>1791</v>
      </c>
      <c r="D358" s="1101">
        <v>24</v>
      </c>
      <c r="E358" s="963"/>
      <c r="F358" s="935"/>
      <c r="G358" s="935"/>
      <c r="H358" s="935"/>
      <c r="I358" s="930"/>
      <c r="J358" s="954"/>
      <c r="AK358" s="925"/>
    </row>
    <row r="359" spans="1:37" ht="16.5" thickBot="1">
      <c r="A359" s="20">
        <v>16</v>
      </c>
      <c r="B359" s="926" t="s">
        <v>9343</v>
      </c>
      <c r="C359" s="933" t="s">
        <v>2173</v>
      </c>
      <c r="D359" s="1101">
        <v>30</v>
      </c>
      <c r="E359" s="963"/>
      <c r="F359" s="935"/>
      <c r="G359" s="935"/>
      <c r="H359" s="935"/>
      <c r="I359" s="930"/>
      <c r="J359" s="954"/>
      <c r="AK359" s="925"/>
    </row>
    <row r="360" spans="1:37" ht="16.5" thickBot="1">
      <c r="A360" s="20">
        <v>17</v>
      </c>
      <c r="B360" s="926" t="s">
        <v>2171</v>
      </c>
      <c r="C360" s="933" t="s">
        <v>3483</v>
      </c>
      <c r="D360" s="1101">
        <v>185</v>
      </c>
      <c r="E360" s="963"/>
      <c r="F360" s="935"/>
      <c r="G360" s="935"/>
      <c r="H360" s="935"/>
      <c r="I360" s="930"/>
      <c r="J360" s="954"/>
      <c r="AK360" s="925"/>
    </row>
    <row r="361" spans="1:37" ht="16.5" thickBot="1">
      <c r="A361" s="20">
        <v>18</v>
      </c>
      <c r="B361" s="926" t="s">
        <v>2200</v>
      </c>
      <c r="C361" s="933" t="s">
        <v>2173</v>
      </c>
      <c r="D361" s="1101">
        <v>16</v>
      </c>
      <c r="E361" s="963"/>
      <c r="F361" s="935"/>
      <c r="G361" s="935"/>
      <c r="H361" s="935"/>
      <c r="I361" s="930"/>
      <c r="J361" s="954"/>
    </row>
    <row r="362" spans="1:37" ht="16.5" thickBot="1">
      <c r="A362" s="20">
        <v>19</v>
      </c>
      <c r="B362" s="926" t="s">
        <v>5001</v>
      </c>
      <c r="C362" s="933" t="s">
        <v>2173</v>
      </c>
      <c r="D362" s="1101">
        <v>17</v>
      </c>
      <c r="E362" s="963"/>
      <c r="F362" s="935"/>
      <c r="G362" s="935"/>
      <c r="H362" s="935"/>
      <c r="I362" s="930"/>
      <c r="J362" s="954"/>
    </row>
    <row r="363" spans="1:37" ht="16.5" thickBot="1">
      <c r="A363" s="20">
        <v>20</v>
      </c>
      <c r="B363" s="926" t="s">
        <v>5002</v>
      </c>
      <c r="C363" s="933" t="s">
        <v>2173</v>
      </c>
      <c r="D363" s="1101">
        <v>17</v>
      </c>
      <c r="E363" s="963"/>
      <c r="F363" s="935"/>
      <c r="G363" s="935"/>
      <c r="H363" s="935"/>
      <c r="I363" s="930"/>
      <c r="J363" s="954"/>
    </row>
    <row r="364" spans="1:37" ht="16.5" thickBot="1">
      <c r="A364" s="20">
        <v>21</v>
      </c>
      <c r="B364" s="926" t="s">
        <v>5003</v>
      </c>
      <c r="C364" s="933" t="s">
        <v>2173</v>
      </c>
      <c r="D364" s="1101">
        <v>17</v>
      </c>
      <c r="E364" s="963"/>
      <c r="F364" s="935"/>
      <c r="G364" s="935"/>
      <c r="H364" s="935"/>
      <c r="I364" s="930"/>
      <c r="J364" s="954"/>
    </row>
    <row r="365" spans="1:37" ht="16.5" thickBot="1">
      <c r="A365" s="20">
        <v>22</v>
      </c>
      <c r="B365" s="926" t="s">
        <v>3692</v>
      </c>
      <c r="C365" s="933" t="s">
        <v>2173</v>
      </c>
      <c r="D365" s="1101">
        <v>17</v>
      </c>
      <c r="E365" s="963"/>
      <c r="F365" s="935"/>
      <c r="G365" s="935"/>
      <c r="H365" s="935"/>
      <c r="I365" s="930"/>
      <c r="J365" s="954"/>
    </row>
    <row r="366" spans="1:37" ht="16.5" thickBot="1">
      <c r="A366" s="20">
        <v>23</v>
      </c>
      <c r="B366" s="926" t="s">
        <v>3699</v>
      </c>
      <c r="C366" s="933" t="s">
        <v>2173</v>
      </c>
      <c r="D366" s="1101">
        <v>17</v>
      </c>
      <c r="E366" s="963"/>
      <c r="F366" s="935"/>
      <c r="G366" s="935"/>
      <c r="H366" s="935"/>
      <c r="I366" s="930"/>
      <c r="J366" s="954"/>
    </row>
    <row r="367" spans="1:37">
      <c r="A367" s="20">
        <v>24</v>
      </c>
      <c r="B367" s="926" t="s">
        <v>1363</v>
      </c>
      <c r="C367" s="933" t="s">
        <v>2173</v>
      </c>
      <c r="D367" s="1082" t="s">
        <v>7873</v>
      </c>
      <c r="E367" s="963"/>
      <c r="F367" s="935"/>
      <c r="G367" s="935"/>
      <c r="H367" s="935"/>
      <c r="I367" s="930"/>
      <c r="J367" s="954"/>
    </row>
    <row r="368" spans="1:37">
      <c r="A368" s="20">
        <v>25</v>
      </c>
      <c r="B368" s="926" t="s">
        <v>4071</v>
      </c>
      <c r="C368" s="933" t="s">
        <v>2173</v>
      </c>
      <c r="D368" s="1082" t="s">
        <v>7873</v>
      </c>
      <c r="E368" s="963"/>
      <c r="F368" s="935"/>
      <c r="G368" s="935"/>
      <c r="H368" s="935"/>
      <c r="I368" s="930"/>
      <c r="J368" s="954"/>
    </row>
    <row r="369" spans="1:37">
      <c r="A369" s="20">
        <v>26</v>
      </c>
      <c r="B369" s="926" t="s">
        <v>2889</v>
      </c>
      <c r="C369" s="933" t="s">
        <v>2173</v>
      </c>
      <c r="D369" s="1082" t="s">
        <v>7873</v>
      </c>
      <c r="E369" s="963"/>
      <c r="F369" s="935"/>
      <c r="G369" s="935"/>
      <c r="H369" s="935"/>
      <c r="I369" s="930"/>
      <c r="J369" s="954"/>
    </row>
    <row r="370" spans="1:37" ht="32.25" thickBot="1">
      <c r="A370" s="20">
        <v>27</v>
      </c>
      <c r="B370" s="926" t="s">
        <v>9344</v>
      </c>
      <c r="C370" s="933" t="s">
        <v>2173</v>
      </c>
      <c r="D370" s="1082" t="s">
        <v>7873</v>
      </c>
      <c r="E370" s="963"/>
      <c r="F370" s="935"/>
      <c r="G370" s="935"/>
      <c r="H370" s="935"/>
      <c r="I370" s="930"/>
      <c r="J370" s="954"/>
    </row>
    <row r="371" spans="1:37" ht="32.25" thickBot="1">
      <c r="A371" s="20">
        <v>28</v>
      </c>
      <c r="B371" s="926" t="s">
        <v>9345</v>
      </c>
      <c r="C371" s="933" t="s">
        <v>3481</v>
      </c>
      <c r="D371" s="1100">
        <v>14500</v>
      </c>
      <c r="E371" s="963"/>
      <c r="F371" s="935"/>
      <c r="G371" s="935"/>
      <c r="H371" s="935"/>
      <c r="I371" s="930"/>
      <c r="J371" s="954"/>
      <c r="AK371" s="931"/>
    </row>
    <row r="372" spans="1:37" ht="16.5" thickBot="1">
      <c r="A372" s="20">
        <v>29</v>
      </c>
      <c r="B372" s="926" t="s">
        <v>5980</v>
      </c>
      <c r="C372" s="933" t="s">
        <v>1791</v>
      </c>
      <c r="D372" s="1101">
        <v>275</v>
      </c>
      <c r="E372" s="963"/>
      <c r="F372" s="935"/>
      <c r="G372" s="935"/>
      <c r="H372" s="935"/>
      <c r="I372" s="930"/>
      <c r="J372" s="954"/>
      <c r="AK372" s="931"/>
    </row>
    <row r="373" spans="1:37" ht="32.25" thickBot="1">
      <c r="A373" s="20">
        <v>30</v>
      </c>
      <c r="B373" s="926" t="s">
        <v>3526</v>
      </c>
      <c r="C373" s="933" t="s">
        <v>3481</v>
      </c>
      <c r="D373" s="1101">
        <v>7800</v>
      </c>
      <c r="E373" s="963"/>
      <c r="F373" s="935"/>
      <c r="G373" s="935"/>
      <c r="H373" s="935"/>
      <c r="I373" s="930"/>
      <c r="J373" s="954"/>
      <c r="AK373" s="931"/>
    </row>
    <row r="374" spans="1:37" ht="16.5" thickBot="1">
      <c r="A374" s="20">
        <v>31</v>
      </c>
      <c r="B374" s="926" t="s">
        <v>3529</v>
      </c>
      <c r="C374" s="933" t="s">
        <v>2173</v>
      </c>
      <c r="D374" s="1101">
        <v>150</v>
      </c>
      <c r="E374" s="963"/>
      <c r="F374" s="935"/>
      <c r="G374" s="935"/>
      <c r="H374" s="935"/>
      <c r="I374" s="930"/>
      <c r="J374" s="954"/>
    </row>
    <row r="375" spans="1:37">
      <c r="E375" s="961"/>
    </row>
    <row r="376" spans="1:37">
      <c r="E376" s="961"/>
    </row>
    <row r="377" spans="1:37">
      <c r="B377" s="2" t="s">
        <v>3528</v>
      </c>
      <c r="C377" s="2"/>
      <c r="D377" s="1095"/>
      <c r="E377" s="962"/>
      <c r="F377" s="2"/>
      <c r="G377" s="2"/>
      <c r="H377" s="2"/>
      <c r="I377" s="2"/>
      <c r="J377" s="2"/>
      <c r="K377" s="2"/>
      <c r="L377" s="2"/>
      <c r="M377" s="2"/>
      <c r="N377" s="2"/>
      <c r="O377" s="2"/>
      <c r="P377" s="2"/>
      <c r="Q377" s="2"/>
      <c r="R377" s="2"/>
      <c r="S377" s="2"/>
      <c r="T377" s="2"/>
    </row>
    <row r="378" spans="1:37">
      <c r="B378" s="1093" t="s">
        <v>9884</v>
      </c>
      <c r="C378" s="2"/>
      <c r="D378" s="1095"/>
      <c r="E378" s="962"/>
      <c r="F378" s="2"/>
      <c r="G378" s="2"/>
      <c r="H378" s="2"/>
      <c r="I378" s="2"/>
      <c r="J378" s="2"/>
      <c r="K378" s="2"/>
      <c r="L378" s="2"/>
      <c r="M378" s="2"/>
      <c r="N378" s="2"/>
      <c r="O378" s="2"/>
      <c r="P378" s="2"/>
      <c r="Q378" s="2"/>
      <c r="R378" s="2"/>
      <c r="S378" s="2"/>
      <c r="T378" s="2"/>
    </row>
    <row r="379" spans="1:37">
      <c r="E379" s="961"/>
    </row>
    <row r="380" spans="1:37">
      <c r="A380" s="8" t="s">
        <v>3473</v>
      </c>
      <c r="B380" s="8" t="s">
        <v>3475</v>
      </c>
      <c r="C380" s="8" t="s">
        <v>3476</v>
      </c>
      <c r="D380" s="1107" t="s">
        <v>6034</v>
      </c>
      <c r="E380" s="961"/>
    </row>
    <row r="381" spans="1:37" ht="16.5" thickBot="1">
      <c r="A381" s="20"/>
      <c r="B381" s="20"/>
      <c r="C381" s="20"/>
      <c r="D381" s="1107"/>
      <c r="E381" s="961"/>
    </row>
    <row r="382" spans="1:37" ht="16.5" thickBot="1">
      <c r="A382" s="20">
        <v>1</v>
      </c>
      <c r="B382" s="926" t="s">
        <v>5977</v>
      </c>
      <c r="C382" s="952" t="s">
        <v>3481</v>
      </c>
      <c r="D382" s="1088">
        <v>224400</v>
      </c>
      <c r="E382" s="963"/>
      <c r="F382" s="935"/>
      <c r="G382" s="935"/>
      <c r="H382" s="935"/>
      <c r="I382" s="967"/>
      <c r="J382" s="954"/>
      <c r="AK382" s="968"/>
    </row>
    <row r="383" spans="1:37" ht="16.5" thickBot="1">
      <c r="A383" s="20">
        <v>2</v>
      </c>
      <c r="B383" s="926" t="s">
        <v>9346</v>
      </c>
      <c r="C383" s="952" t="s">
        <v>3481</v>
      </c>
      <c r="D383" s="1089">
        <v>121000</v>
      </c>
      <c r="E383" s="963"/>
      <c r="F383" s="935"/>
      <c r="G383" s="935"/>
      <c r="H383" s="935"/>
      <c r="I383" s="930"/>
      <c r="J383" s="954"/>
    </row>
    <row r="384" spans="1:37" ht="16.5" thickBot="1">
      <c r="A384" s="20">
        <v>3</v>
      </c>
      <c r="B384" s="926" t="s">
        <v>9347</v>
      </c>
      <c r="C384" s="952" t="s">
        <v>3481</v>
      </c>
      <c r="D384" s="1089">
        <v>85800</v>
      </c>
      <c r="E384" s="963"/>
      <c r="F384" s="935"/>
      <c r="G384" s="935"/>
      <c r="H384" s="935"/>
      <c r="I384" s="930"/>
      <c r="J384" s="954"/>
    </row>
    <row r="385" spans="1:20" ht="16.5" thickBot="1">
      <c r="A385" s="20">
        <v>4</v>
      </c>
      <c r="B385" s="926" t="s">
        <v>9348</v>
      </c>
      <c r="C385" s="952" t="s">
        <v>3481</v>
      </c>
      <c r="D385" s="1089">
        <v>72600</v>
      </c>
      <c r="E385" s="963"/>
      <c r="F385" s="935"/>
      <c r="G385" s="935"/>
      <c r="H385" s="935"/>
      <c r="I385" s="930"/>
      <c r="J385" s="954"/>
    </row>
    <row r="386" spans="1:20" ht="16.5" thickBot="1">
      <c r="A386" s="20">
        <v>5</v>
      </c>
      <c r="B386" s="926" t="s">
        <v>9349</v>
      </c>
      <c r="C386" s="933" t="s">
        <v>3481</v>
      </c>
      <c r="D386" s="1089">
        <v>33000</v>
      </c>
      <c r="E386" s="963"/>
      <c r="F386" s="935"/>
      <c r="G386" s="935"/>
      <c r="H386" s="935"/>
      <c r="I386" s="930"/>
      <c r="J386" s="954"/>
    </row>
    <row r="387" spans="1:20" ht="16.5" thickBot="1">
      <c r="A387" s="20">
        <v>6</v>
      </c>
      <c r="B387" s="926" t="s">
        <v>9350</v>
      </c>
      <c r="C387" s="933" t="s">
        <v>3481</v>
      </c>
      <c r="D387" s="1089">
        <v>23100</v>
      </c>
      <c r="E387" s="963"/>
      <c r="F387" s="935"/>
      <c r="G387" s="935"/>
      <c r="H387" s="935"/>
      <c r="I387" s="930"/>
      <c r="J387" s="954"/>
    </row>
    <row r="388" spans="1:20" ht="16.5" thickBot="1">
      <c r="A388" s="20">
        <v>7</v>
      </c>
      <c r="B388" s="926" t="s">
        <v>9351</v>
      </c>
      <c r="C388" s="952" t="s">
        <v>3481</v>
      </c>
      <c r="D388" s="1089">
        <v>12100</v>
      </c>
      <c r="E388" s="963"/>
      <c r="F388" s="935"/>
      <c r="G388" s="935"/>
      <c r="H388" s="935"/>
      <c r="I388" s="930"/>
      <c r="J388" s="954"/>
    </row>
    <row r="389" spans="1:20" ht="16.5" thickBot="1">
      <c r="A389" s="20">
        <v>8</v>
      </c>
      <c r="B389" s="926" t="s">
        <v>5978</v>
      </c>
      <c r="C389" s="952" t="s">
        <v>1791</v>
      </c>
      <c r="D389" s="1089">
        <v>180</v>
      </c>
      <c r="E389" s="963"/>
      <c r="F389" s="935"/>
      <c r="G389" s="935"/>
      <c r="H389" s="935"/>
      <c r="I389" s="930"/>
      <c r="J389" s="954"/>
    </row>
    <row r="390" spans="1:20" ht="16.5" thickBot="1">
      <c r="A390" s="20">
        <v>9</v>
      </c>
      <c r="B390" s="926" t="s">
        <v>5979</v>
      </c>
      <c r="C390" s="952" t="s">
        <v>3481</v>
      </c>
      <c r="D390" s="1089">
        <v>28820</v>
      </c>
      <c r="E390" s="963"/>
      <c r="F390" s="935"/>
      <c r="G390" s="935"/>
      <c r="H390" s="935"/>
      <c r="I390" s="930"/>
      <c r="J390" s="954"/>
    </row>
    <row r="391" spans="1:20" ht="16.5" thickBot="1">
      <c r="A391" s="20">
        <v>10</v>
      </c>
      <c r="B391" s="926" t="s">
        <v>6185</v>
      </c>
      <c r="C391" s="952" t="s">
        <v>3481</v>
      </c>
      <c r="D391" s="1089">
        <v>195800</v>
      </c>
      <c r="E391" s="963"/>
      <c r="F391" s="935"/>
      <c r="G391" s="935"/>
      <c r="H391" s="935"/>
      <c r="I391" s="930"/>
      <c r="J391" s="954"/>
    </row>
    <row r="392" spans="1:20" ht="16.5" thickBot="1">
      <c r="A392" s="20">
        <v>11</v>
      </c>
      <c r="B392" s="926" t="s">
        <v>6186</v>
      </c>
      <c r="C392" s="952" t="s">
        <v>3481</v>
      </c>
      <c r="D392" s="1089">
        <v>35200</v>
      </c>
      <c r="E392" s="963"/>
      <c r="F392" s="935"/>
      <c r="G392" s="935"/>
      <c r="H392" s="935"/>
      <c r="I392" s="930"/>
      <c r="J392" s="954"/>
    </row>
    <row r="393" spans="1:20" ht="16.5" thickBot="1">
      <c r="A393" s="20">
        <v>12</v>
      </c>
      <c r="B393" s="926" t="s">
        <v>6400</v>
      </c>
      <c r="C393" s="952" t="s">
        <v>2173</v>
      </c>
      <c r="D393" s="1089">
        <v>50380</v>
      </c>
      <c r="E393" s="963"/>
      <c r="F393" s="935"/>
      <c r="G393" s="935"/>
      <c r="H393" s="935"/>
      <c r="I393" s="930"/>
      <c r="J393" s="954"/>
    </row>
    <row r="394" spans="1:20" ht="16.5" thickBot="1">
      <c r="A394" s="20">
        <v>13</v>
      </c>
      <c r="B394" s="926" t="s">
        <v>6187</v>
      </c>
      <c r="C394" s="952" t="s">
        <v>3481</v>
      </c>
      <c r="D394" s="1089">
        <v>4620</v>
      </c>
      <c r="E394" s="963"/>
      <c r="F394" s="935"/>
      <c r="G394" s="935"/>
      <c r="H394" s="935"/>
      <c r="I394" s="930"/>
      <c r="J394" s="954"/>
    </row>
    <row r="395" spans="1:20">
      <c r="E395" s="961"/>
    </row>
    <row r="396" spans="1:20">
      <c r="B396" s="2" t="s">
        <v>5536</v>
      </c>
      <c r="C396" s="2"/>
      <c r="D396" s="1095"/>
      <c r="E396" s="962"/>
      <c r="F396" s="2"/>
      <c r="G396" s="2"/>
      <c r="H396" s="2"/>
      <c r="I396" s="2"/>
      <c r="J396" s="2"/>
      <c r="K396" s="2"/>
      <c r="L396" s="2"/>
      <c r="M396" s="2"/>
      <c r="N396" s="2"/>
      <c r="O396" s="2"/>
      <c r="P396" s="2"/>
      <c r="Q396" s="2"/>
      <c r="R396" s="2"/>
      <c r="S396" s="2"/>
      <c r="T396" s="2"/>
    </row>
    <row r="397" spans="1:20">
      <c r="B397" s="1093" t="s">
        <v>9884</v>
      </c>
      <c r="C397" s="2"/>
      <c r="D397" s="1095"/>
      <c r="E397" s="923"/>
      <c r="F397" s="2"/>
      <c r="G397" s="2"/>
      <c r="H397" s="2"/>
      <c r="I397" s="2"/>
      <c r="J397" s="2"/>
      <c r="K397" s="2"/>
      <c r="L397" s="2"/>
      <c r="M397" s="2"/>
      <c r="N397" s="2"/>
      <c r="O397" s="2"/>
      <c r="P397" s="2"/>
      <c r="Q397" s="2"/>
      <c r="R397" s="2"/>
      <c r="S397" s="2"/>
      <c r="T397" s="2"/>
    </row>
    <row r="398" spans="1:20" ht="25.5">
      <c r="B398" s="813" t="s">
        <v>1288</v>
      </c>
      <c r="C398" s="13" t="s">
        <v>5910</v>
      </c>
      <c r="D398" s="1095">
        <v>30</v>
      </c>
      <c r="E398" s="923"/>
      <c r="F398" s="2"/>
      <c r="G398" s="2"/>
      <c r="H398" s="2"/>
      <c r="I398" s="2"/>
      <c r="J398" s="2"/>
      <c r="K398" s="2"/>
      <c r="L398" s="2"/>
      <c r="M398" s="2"/>
      <c r="N398" s="2"/>
      <c r="O398" s="2"/>
      <c r="P398" s="2"/>
      <c r="Q398" s="2"/>
      <c r="R398" s="2"/>
      <c r="S398" s="2"/>
      <c r="T398" s="2"/>
    </row>
    <row r="399" spans="1:20" ht="39">
      <c r="B399" s="1136" t="s">
        <v>9899</v>
      </c>
      <c r="C399" s="13" t="s">
        <v>7589</v>
      </c>
      <c r="D399" s="1095">
        <v>50</v>
      </c>
      <c r="E399" s="969" t="s">
        <v>9900</v>
      </c>
      <c r="F399" s="2"/>
      <c r="G399" s="2"/>
      <c r="H399" s="2"/>
      <c r="I399" s="2"/>
      <c r="J399" s="2"/>
      <c r="K399" s="2"/>
      <c r="L399" s="2"/>
      <c r="M399" s="2"/>
      <c r="N399" s="2"/>
      <c r="O399" s="2"/>
      <c r="P399" s="2"/>
      <c r="Q399" s="2"/>
      <c r="R399" s="2"/>
      <c r="S399" s="2"/>
      <c r="T399" s="2"/>
    </row>
    <row r="400" spans="1:20" ht="25.5">
      <c r="B400" s="1136" t="s">
        <v>9899</v>
      </c>
      <c r="C400" s="13" t="s">
        <v>5910</v>
      </c>
      <c r="D400" s="1095">
        <v>75</v>
      </c>
      <c r="E400" s="923"/>
      <c r="F400" s="2"/>
      <c r="G400" s="2"/>
      <c r="H400" s="2"/>
      <c r="I400" s="2"/>
      <c r="J400" s="2"/>
      <c r="K400" s="2"/>
      <c r="L400" s="2"/>
      <c r="M400" s="2"/>
      <c r="N400" s="2"/>
      <c r="O400" s="2"/>
      <c r="P400" s="2"/>
      <c r="Q400" s="2"/>
      <c r="R400" s="2"/>
      <c r="S400" s="2"/>
      <c r="T400" s="2"/>
    </row>
    <row r="401" spans="1:21" ht="47.25">
      <c r="A401" s="6" t="s">
        <v>4442</v>
      </c>
      <c r="B401" s="6" t="s">
        <v>4229</v>
      </c>
      <c r="C401" s="6" t="s">
        <v>2370</v>
      </c>
      <c r="D401" s="1110" t="s">
        <v>7590</v>
      </c>
      <c r="E401" s="971" t="s">
        <v>7591</v>
      </c>
      <c r="F401" s="972"/>
      <c r="G401" s="13"/>
      <c r="H401" s="13"/>
      <c r="I401" s="13"/>
      <c r="J401" s="13"/>
      <c r="K401" s="13"/>
      <c r="L401" s="13"/>
      <c r="M401" s="13"/>
      <c r="N401" s="13"/>
      <c r="O401" s="13"/>
      <c r="P401" s="13"/>
      <c r="Q401" s="13"/>
      <c r="R401" s="13"/>
      <c r="S401" s="13"/>
      <c r="T401" s="13"/>
      <c r="U401" s="13"/>
    </row>
    <row r="402" spans="1:21">
      <c r="A402" s="6">
        <v>1</v>
      </c>
      <c r="B402" s="6">
        <v>2</v>
      </c>
      <c r="C402" s="6">
        <v>3</v>
      </c>
      <c r="D402" s="1111">
        <v>4</v>
      </c>
      <c r="E402" s="973">
        <v>5</v>
      </c>
      <c r="F402" s="972"/>
      <c r="G402" s="13"/>
      <c r="H402" s="13"/>
      <c r="I402" s="13"/>
      <c r="J402" s="13"/>
      <c r="K402" s="13"/>
      <c r="L402" s="13"/>
      <c r="M402" s="13"/>
      <c r="N402" s="13"/>
      <c r="O402" s="13"/>
      <c r="P402" s="13"/>
      <c r="Q402" s="13"/>
      <c r="R402" s="13"/>
      <c r="S402" s="13"/>
      <c r="T402" s="13"/>
      <c r="U402" s="13"/>
    </row>
    <row r="403" spans="1:21">
      <c r="A403" s="974">
        <v>1</v>
      </c>
      <c r="B403" s="814" t="s">
        <v>9920</v>
      </c>
      <c r="C403" s="975" t="s">
        <v>778</v>
      </c>
      <c r="D403" s="1110">
        <v>75</v>
      </c>
      <c r="E403" s="976">
        <v>50</v>
      </c>
      <c r="F403" s="977"/>
      <c r="G403" s="978"/>
      <c r="H403" s="978"/>
      <c r="I403" s="978"/>
      <c r="J403" s="978"/>
      <c r="K403" s="978"/>
      <c r="L403" s="978"/>
      <c r="M403" s="978"/>
      <c r="N403" s="978"/>
      <c r="O403" s="978"/>
      <c r="P403" s="978"/>
      <c r="Q403" s="978"/>
      <c r="R403" s="978"/>
      <c r="S403" s="978"/>
      <c r="T403" s="978"/>
      <c r="U403" s="978"/>
    </row>
    <row r="404" spans="1:21">
      <c r="A404" s="974">
        <v>2</v>
      </c>
      <c r="B404" s="815" t="s">
        <v>9921</v>
      </c>
      <c r="C404" s="975" t="s">
        <v>778</v>
      </c>
      <c r="D404" s="1110">
        <v>75</v>
      </c>
      <c r="E404" s="976">
        <v>50</v>
      </c>
      <c r="F404" s="977"/>
      <c r="G404" s="978"/>
      <c r="H404" s="978"/>
      <c r="I404" s="978"/>
      <c r="J404" s="978"/>
      <c r="K404" s="978"/>
      <c r="L404" s="978"/>
      <c r="M404" s="978"/>
      <c r="N404" s="978"/>
      <c r="O404" s="978"/>
      <c r="P404" s="978"/>
      <c r="Q404" s="978"/>
      <c r="R404" s="978"/>
      <c r="S404" s="978"/>
      <c r="T404" s="978"/>
      <c r="U404" s="978"/>
    </row>
    <row r="405" spans="1:21">
      <c r="A405" s="974">
        <v>3</v>
      </c>
      <c r="B405" s="814" t="s">
        <v>779</v>
      </c>
      <c r="C405" s="975" t="s">
        <v>778</v>
      </c>
      <c r="D405" s="1110">
        <v>75</v>
      </c>
      <c r="E405" s="976">
        <v>50</v>
      </c>
      <c r="F405" s="977"/>
      <c r="G405" s="978"/>
      <c r="H405" s="978"/>
      <c r="I405" s="978"/>
      <c r="J405" s="978"/>
      <c r="K405" s="978"/>
      <c r="L405" s="978"/>
      <c r="M405" s="978"/>
      <c r="N405" s="978"/>
      <c r="O405" s="978"/>
      <c r="P405" s="978"/>
      <c r="Q405" s="978"/>
      <c r="R405" s="978"/>
      <c r="S405" s="978"/>
      <c r="T405" s="978"/>
      <c r="U405" s="978"/>
    </row>
    <row r="406" spans="1:21">
      <c r="A406" s="974" t="s">
        <v>780</v>
      </c>
      <c r="B406" s="814" t="s">
        <v>9922</v>
      </c>
      <c r="C406" s="975" t="s">
        <v>4646</v>
      </c>
      <c r="D406" s="1110" t="s">
        <v>107</v>
      </c>
      <c r="E406" s="976">
        <v>110</v>
      </c>
      <c r="F406" s="977"/>
      <c r="G406" s="978"/>
      <c r="H406" s="978"/>
      <c r="I406" s="978"/>
      <c r="J406" s="978"/>
      <c r="K406" s="978"/>
      <c r="L406" s="978"/>
      <c r="M406" s="978"/>
      <c r="N406" s="978"/>
      <c r="O406" s="978"/>
      <c r="P406" s="978"/>
      <c r="Q406" s="978"/>
      <c r="R406" s="978"/>
      <c r="S406" s="978"/>
      <c r="T406" s="978"/>
      <c r="U406" s="978"/>
    </row>
    <row r="407" spans="1:21">
      <c r="A407" s="979">
        <v>4</v>
      </c>
      <c r="B407" s="816" t="s">
        <v>9923</v>
      </c>
      <c r="C407" s="975" t="s">
        <v>4646</v>
      </c>
      <c r="E407" s="970">
        <v>80</v>
      </c>
      <c r="F407" s="980"/>
      <c r="G407" s="981"/>
      <c r="H407" s="981"/>
      <c r="I407" s="981"/>
      <c r="J407" s="981"/>
      <c r="K407" s="981"/>
      <c r="L407" s="981"/>
      <c r="M407" s="981"/>
      <c r="N407" s="981"/>
      <c r="O407" s="981"/>
      <c r="P407" s="981"/>
      <c r="Q407" s="981"/>
      <c r="R407" s="981"/>
      <c r="S407" s="981"/>
      <c r="T407" s="981"/>
      <c r="U407" s="981"/>
    </row>
    <row r="408" spans="1:21">
      <c r="A408" s="982">
        <v>5</v>
      </c>
      <c r="B408" s="817" t="s">
        <v>4948</v>
      </c>
      <c r="C408" s="975" t="s">
        <v>4646</v>
      </c>
      <c r="D408" s="1110"/>
      <c r="E408" s="976">
        <v>100</v>
      </c>
      <c r="F408" s="980"/>
      <c r="G408" s="981"/>
      <c r="H408" s="981"/>
      <c r="I408" s="981"/>
      <c r="J408" s="981"/>
      <c r="K408" s="981"/>
      <c r="L408" s="981"/>
      <c r="M408" s="981"/>
      <c r="N408" s="981"/>
      <c r="O408" s="981"/>
      <c r="P408" s="981"/>
      <c r="Q408" s="981"/>
      <c r="R408" s="981"/>
      <c r="S408" s="981"/>
      <c r="T408" s="981"/>
      <c r="U408" s="981"/>
    </row>
    <row r="409" spans="1:21">
      <c r="A409" s="982">
        <v>6</v>
      </c>
      <c r="B409" s="817" t="s">
        <v>4949</v>
      </c>
      <c r="C409" s="975" t="s">
        <v>778</v>
      </c>
      <c r="D409" s="1110">
        <v>250</v>
      </c>
      <c r="E409" s="976">
        <v>100</v>
      </c>
      <c r="F409" s="977"/>
      <c r="G409" s="978"/>
      <c r="H409" s="978"/>
      <c r="I409" s="978"/>
      <c r="J409" s="978"/>
      <c r="K409" s="978"/>
      <c r="L409" s="978"/>
      <c r="M409" s="978"/>
      <c r="N409" s="978"/>
      <c r="O409" s="978"/>
      <c r="P409" s="978"/>
      <c r="Q409" s="978"/>
      <c r="R409" s="978"/>
      <c r="S409" s="978"/>
      <c r="T409" s="978"/>
      <c r="U409" s="978"/>
    </row>
    <row r="410" spans="1:21">
      <c r="A410" s="979">
        <v>7</v>
      </c>
      <c r="B410" s="1137" t="s">
        <v>9939</v>
      </c>
      <c r="C410" s="975" t="s">
        <v>4646</v>
      </c>
      <c r="D410" s="1110"/>
      <c r="E410" s="976">
        <v>50</v>
      </c>
      <c r="F410" s="977"/>
      <c r="G410" s="978"/>
      <c r="H410" s="978"/>
      <c r="I410" s="978"/>
      <c r="J410" s="978"/>
      <c r="K410" s="978"/>
      <c r="L410" s="978"/>
      <c r="M410" s="978"/>
      <c r="N410" s="978"/>
      <c r="O410" s="978"/>
      <c r="P410" s="978"/>
      <c r="Q410" s="978"/>
      <c r="R410" s="978"/>
      <c r="S410" s="978"/>
      <c r="T410" s="978"/>
      <c r="U410" s="978"/>
    </row>
    <row r="411" spans="1:21">
      <c r="A411" s="982">
        <v>8</v>
      </c>
      <c r="B411" s="1137" t="s">
        <v>9940</v>
      </c>
      <c r="C411" s="975" t="s">
        <v>778</v>
      </c>
      <c r="D411" s="1110">
        <v>30</v>
      </c>
      <c r="E411" s="976">
        <v>20</v>
      </c>
      <c r="F411" s="977"/>
      <c r="G411" s="978"/>
      <c r="H411" s="978"/>
      <c r="I411" s="978"/>
      <c r="J411" s="978"/>
      <c r="K411" s="978"/>
      <c r="L411" s="978"/>
      <c r="M411" s="978"/>
      <c r="N411" s="978"/>
      <c r="O411" s="978"/>
      <c r="P411" s="978"/>
      <c r="Q411" s="978"/>
      <c r="R411" s="978"/>
      <c r="S411" s="978"/>
      <c r="T411" s="978"/>
      <c r="U411" s="978"/>
    </row>
    <row r="412" spans="1:21">
      <c r="A412" s="982">
        <v>9</v>
      </c>
      <c r="B412" s="1137" t="s">
        <v>9941</v>
      </c>
      <c r="C412" s="975" t="s">
        <v>5928</v>
      </c>
      <c r="D412" s="1122">
        <v>50</v>
      </c>
      <c r="E412" s="927"/>
      <c r="F412" s="983"/>
      <c r="G412" s="984"/>
      <c r="H412" s="984"/>
      <c r="I412" s="984"/>
      <c r="J412" s="984"/>
      <c r="K412" s="984"/>
      <c r="L412" s="984"/>
      <c r="M412" s="984"/>
      <c r="N412" s="984"/>
      <c r="O412" s="984"/>
      <c r="P412" s="984"/>
      <c r="Q412" s="984"/>
      <c r="R412" s="984"/>
      <c r="S412" s="984"/>
      <c r="T412" s="984"/>
      <c r="U412" s="954"/>
    </row>
    <row r="413" spans="1:21">
      <c r="A413" s="982">
        <v>10</v>
      </c>
      <c r="B413" s="817" t="s">
        <v>6887</v>
      </c>
      <c r="C413" s="1138" t="s">
        <v>9942</v>
      </c>
      <c r="D413" s="1110">
        <v>75</v>
      </c>
      <c r="E413" s="927">
        <v>50</v>
      </c>
      <c r="F413" s="985"/>
      <c r="G413" s="940"/>
      <c r="H413" s="940"/>
      <c r="I413" s="940"/>
      <c r="J413" s="940"/>
      <c r="K413" s="940"/>
      <c r="L413" s="940"/>
      <c r="M413" s="940"/>
      <c r="N413" s="940"/>
      <c r="O413" s="940"/>
      <c r="P413" s="940"/>
      <c r="Q413" s="940"/>
      <c r="R413" s="940"/>
      <c r="S413" s="940"/>
      <c r="T413" s="940"/>
      <c r="U413" s="940"/>
    </row>
    <row r="414" spans="1:21">
      <c r="A414" s="982">
        <v>11</v>
      </c>
      <c r="B414" s="1137" t="s">
        <v>9943</v>
      </c>
      <c r="C414" s="1138" t="s">
        <v>9942</v>
      </c>
      <c r="D414" s="1110">
        <v>75</v>
      </c>
      <c r="E414" s="927">
        <v>50</v>
      </c>
      <c r="F414" s="983"/>
      <c r="G414" s="984"/>
      <c r="H414" s="984"/>
      <c r="I414" s="984"/>
      <c r="J414" s="984"/>
      <c r="K414" s="984"/>
      <c r="L414" s="984"/>
      <c r="M414" s="984"/>
      <c r="N414" s="984"/>
      <c r="O414" s="984"/>
      <c r="P414" s="984"/>
      <c r="Q414" s="984"/>
      <c r="R414" s="984"/>
      <c r="S414" s="984"/>
      <c r="T414" s="984"/>
      <c r="U414" s="954"/>
    </row>
    <row r="415" spans="1:21">
      <c r="A415" s="982">
        <v>12</v>
      </c>
      <c r="B415" s="818" t="s">
        <v>9400</v>
      </c>
      <c r="C415" s="975" t="s">
        <v>4646</v>
      </c>
      <c r="D415" s="1110"/>
      <c r="E415" s="986">
        <v>150</v>
      </c>
      <c r="F415" s="987"/>
      <c r="G415" s="988"/>
      <c r="H415" s="988"/>
      <c r="I415" s="988"/>
      <c r="J415" s="988"/>
      <c r="K415" s="988"/>
      <c r="L415" s="988"/>
      <c r="M415" s="988"/>
      <c r="N415" s="988"/>
      <c r="O415" s="988"/>
      <c r="P415" s="988"/>
      <c r="Q415" s="988"/>
      <c r="R415" s="988"/>
      <c r="S415" s="988"/>
      <c r="T415" s="988"/>
      <c r="U415" s="988"/>
    </row>
    <row r="416" spans="1:21">
      <c r="A416" s="974">
        <v>13</v>
      </c>
      <c r="B416" s="814" t="s">
        <v>6847</v>
      </c>
      <c r="C416" s="975" t="s">
        <v>4646</v>
      </c>
      <c r="D416" s="1110"/>
      <c r="E416" s="976">
        <v>150</v>
      </c>
      <c r="F416" s="977"/>
      <c r="G416" s="978"/>
      <c r="H416" s="978"/>
      <c r="I416" s="978"/>
      <c r="J416" s="978"/>
      <c r="K416" s="978"/>
      <c r="L416" s="978"/>
      <c r="M416" s="978"/>
      <c r="N416" s="978"/>
      <c r="O416" s="978"/>
      <c r="P416" s="978"/>
      <c r="Q416" s="978"/>
      <c r="R416" s="978"/>
      <c r="S416" s="978"/>
      <c r="T416" s="978"/>
      <c r="U416" s="978"/>
    </row>
    <row r="417" spans="1:21">
      <c r="A417" s="974">
        <v>14</v>
      </c>
      <c r="B417" s="814" t="s">
        <v>6848</v>
      </c>
      <c r="C417" s="1138" t="s">
        <v>9942</v>
      </c>
      <c r="D417" s="1110">
        <v>30</v>
      </c>
      <c r="E417" s="927">
        <v>20</v>
      </c>
      <c r="F417" s="983"/>
      <c r="G417" s="984"/>
      <c r="H417" s="984"/>
      <c r="I417" s="984"/>
      <c r="J417" s="984"/>
      <c r="K417" s="984"/>
      <c r="L417" s="984"/>
      <c r="M417" s="984"/>
      <c r="N417" s="984"/>
      <c r="O417" s="984"/>
      <c r="P417" s="984"/>
      <c r="Q417" s="984"/>
      <c r="R417" s="984"/>
      <c r="S417" s="984"/>
      <c r="T417" s="984"/>
      <c r="U417" s="954"/>
    </row>
    <row r="418" spans="1:21">
      <c r="A418" s="989">
        <v>15</v>
      </c>
      <c r="B418" s="815" t="s">
        <v>9924</v>
      </c>
      <c r="C418" s="975" t="s">
        <v>6432</v>
      </c>
      <c r="D418" s="1099"/>
      <c r="E418" s="927"/>
      <c r="F418" s="985"/>
      <c r="G418" s="940"/>
      <c r="H418" s="940"/>
      <c r="I418" s="940"/>
      <c r="J418" s="940"/>
      <c r="K418" s="940"/>
      <c r="L418" s="940"/>
      <c r="M418" s="940"/>
      <c r="N418" s="940"/>
      <c r="O418" s="940"/>
      <c r="P418" s="940"/>
      <c r="Q418" s="940"/>
      <c r="R418" s="940"/>
      <c r="S418" s="940"/>
      <c r="T418" s="940"/>
      <c r="U418" s="940"/>
    </row>
    <row r="419" spans="1:21">
      <c r="A419" s="990" t="s">
        <v>6849</v>
      </c>
      <c r="B419" s="814" t="s">
        <v>6429</v>
      </c>
      <c r="C419" s="1138" t="s">
        <v>9944</v>
      </c>
      <c r="D419" s="1110">
        <v>8</v>
      </c>
      <c r="E419" s="976">
        <v>100</v>
      </c>
      <c r="F419" s="977"/>
      <c r="G419" s="978"/>
      <c r="H419" s="978"/>
      <c r="I419" s="978"/>
      <c r="J419" s="978"/>
      <c r="K419" s="978"/>
      <c r="L419" s="978"/>
      <c r="M419" s="978"/>
      <c r="N419" s="978"/>
      <c r="O419" s="978"/>
      <c r="P419" s="978"/>
      <c r="Q419" s="978"/>
      <c r="R419" s="978"/>
      <c r="S419" s="978"/>
      <c r="T419" s="978"/>
      <c r="U419" s="978"/>
    </row>
    <row r="420" spans="1:21">
      <c r="A420" s="990" t="s">
        <v>6428</v>
      </c>
      <c r="B420" s="814" t="s">
        <v>6430</v>
      </c>
      <c r="C420" s="1138" t="s">
        <v>9944</v>
      </c>
      <c r="D420" s="1122">
        <v>8</v>
      </c>
      <c r="E420" s="976">
        <v>100</v>
      </c>
      <c r="F420" s="977"/>
      <c r="G420" s="978"/>
      <c r="H420" s="978"/>
      <c r="I420" s="978"/>
      <c r="J420" s="978"/>
      <c r="K420" s="978"/>
      <c r="L420" s="978"/>
      <c r="M420" s="978"/>
      <c r="N420" s="978"/>
      <c r="O420" s="978"/>
      <c r="P420" s="978"/>
      <c r="Q420" s="978"/>
      <c r="R420" s="978"/>
      <c r="S420" s="978"/>
      <c r="T420" s="978"/>
      <c r="U420" s="978"/>
    </row>
    <row r="421" spans="1:21">
      <c r="A421" s="990" t="s">
        <v>2047</v>
      </c>
      <c r="B421" s="814" t="s">
        <v>6431</v>
      </c>
      <c r="C421" s="1138" t="s">
        <v>9944</v>
      </c>
      <c r="D421" s="1122">
        <v>8</v>
      </c>
      <c r="E421" s="976">
        <v>100</v>
      </c>
      <c r="F421" s="977"/>
      <c r="G421" s="978"/>
      <c r="H421" s="978"/>
      <c r="I421" s="978"/>
      <c r="J421" s="978"/>
      <c r="K421" s="978"/>
      <c r="L421" s="978"/>
      <c r="M421" s="978"/>
      <c r="N421" s="978"/>
      <c r="O421" s="978"/>
      <c r="P421" s="978"/>
      <c r="Q421" s="978"/>
      <c r="R421" s="978"/>
      <c r="S421" s="978"/>
      <c r="T421" s="978"/>
      <c r="U421" s="978"/>
    </row>
    <row r="422" spans="1:21" ht="63" customHeight="1">
      <c r="A422" s="982">
        <v>16</v>
      </c>
      <c r="B422" s="814" t="s">
        <v>331</v>
      </c>
      <c r="C422" s="1138" t="s">
        <v>107</v>
      </c>
      <c r="D422" s="1204" t="s">
        <v>9892</v>
      </c>
      <c r="E422" s="1188"/>
      <c r="F422" s="977"/>
      <c r="G422" s="978"/>
      <c r="H422" s="978"/>
      <c r="I422" s="978"/>
      <c r="J422" s="978"/>
      <c r="K422" s="978"/>
      <c r="L422" s="978"/>
      <c r="M422" s="978"/>
      <c r="N422" s="978"/>
      <c r="O422" s="978"/>
      <c r="P422" s="978"/>
      <c r="Q422" s="978"/>
      <c r="R422" s="978"/>
      <c r="S422" s="978"/>
      <c r="T422" s="978"/>
      <c r="U422" s="978"/>
    </row>
    <row r="423" spans="1:21">
      <c r="A423" s="992" t="s">
        <v>9401</v>
      </c>
      <c r="B423" s="795"/>
      <c r="C423" s="981"/>
      <c r="D423" s="1112"/>
      <c r="E423" s="993"/>
      <c r="F423" s="978"/>
      <c r="G423" s="978"/>
      <c r="H423" s="978"/>
      <c r="I423" s="978"/>
      <c r="J423" s="978"/>
      <c r="K423" s="978"/>
      <c r="L423" s="978"/>
      <c r="M423" s="978"/>
      <c r="N423" s="978"/>
      <c r="O423" s="978"/>
      <c r="P423" s="978"/>
      <c r="Q423" s="978"/>
      <c r="R423" s="978"/>
      <c r="S423" s="978"/>
      <c r="T423" s="978"/>
      <c r="U423" s="978"/>
    </row>
    <row r="424" spans="1:21">
      <c r="A424" s="994"/>
      <c r="B424" s="795"/>
      <c r="C424" s="981"/>
      <c r="D424" s="1112"/>
      <c r="E424" s="993"/>
      <c r="F424" s="978"/>
      <c r="G424" s="978"/>
      <c r="H424" s="978"/>
      <c r="I424" s="978"/>
      <c r="J424" s="978"/>
      <c r="K424" s="978"/>
      <c r="L424" s="978"/>
      <c r="M424" s="978"/>
      <c r="N424" s="978"/>
      <c r="O424" s="978"/>
      <c r="P424" s="978"/>
      <c r="Q424" s="978"/>
      <c r="R424" s="978"/>
      <c r="S424" s="978"/>
      <c r="T424" s="978"/>
      <c r="U424" s="978"/>
    </row>
    <row r="425" spans="1:21" ht="47.25">
      <c r="A425" s="796" t="s">
        <v>9402</v>
      </c>
      <c r="B425" s="3" t="s">
        <v>2370</v>
      </c>
      <c r="C425" s="995" t="s">
        <v>9947</v>
      </c>
      <c r="D425" s="996" t="s">
        <v>9948</v>
      </c>
      <c r="E425" s="1113" t="s">
        <v>9949</v>
      </c>
      <c r="F425" s="997" t="s">
        <v>9950</v>
      </c>
      <c r="G425" s="978"/>
      <c r="H425" s="978"/>
      <c r="I425" s="978"/>
      <c r="J425" s="978"/>
      <c r="K425" s="978"/>
      <c r="L425" s="978"/>
      <c r="M425" s="978"/>
      <c r="N425" s="978"/>
      <c r="O425" s="978"/>
      <c r="P425" s="978"/>
      <c r="Q425" s="978"/>
      <c r="R425" s="978"/>
      <c r="S425" s="978"/>
      <c r="T425" s="978"/>
      <c r="U425" s="978"/>
    </row>
    <row r="426" spans="1:21" ht="63.75">
      <c r="A426" s="998" t="s">
        <v>9403</v>
      </c>
      <c r="B426" s="3" t="s">
        <v>9945</v>
      </c>
      <c r="C426" s="975">
        <v>4000</v>
      </c>
      <c r="D426" s="991">
        <v>3200</v>
      </c>
      <c r="E426" s="1114">
        <v>3000</v>
      </c>
      <c r="F426" s="970">
        <v>1350</v>
      </c>
      <c r="G426" s="978"/>
      <c r="H426" s="978"/>
      <c r="I426" s="978"/>
      <c r="J426" s="978"/>
      <c r="K426" s="978"/>
      <c r="L426" s="978"/>
      <c r="M426" s="978"/>
      <c r="N426" s="978"/>
      <c r="O426" s="978"/>
      <c r="P426" s="978"/>
      <c r="Q426" s="978"/>
      <c r="R426" s="978"/>
      <c r="S426" s="978"/>
      <c r="T426" s="978"/>
      <c r="U426" s="978"/>
    </row>
    <row r="427" spans="1:21" ht="89.25">
      <c r="A427" s="998" t="s">
        <v>9404</v>
      </c>
      <c r="B427" s="3" t="s">
        <v>9945</v>
      </c>
      <c r="C427" s="975">
        <v>3000</v>
      </c>
      <c r="D427" s="991">
        <v>2500</v>
      </c>
      <c r="E427" s="1114">
        <v>2350</v>
      </c>
      <c r="F427" s="970">
        <v>1000</v>
      </c>
      <c r="G427" s="978"/>
      <c r="H427" s="978"/>
      <c r="I427" s="978"/>
      <c r="J427" s="978"/>
      <c r="K427" s="978"/>
      <c r="L427" s="978"/>
      <c r="M427" s="978"/>
      <c r="N427" s="978"/>
      <c r="O427" s="978"/>
      <c r="P427" s="978"/>
      <c r="Q427" s="978"/>
      <c r="R427" s="978"/>
      <c r="S427" s="978"/>
      <c r="T427" s="978"/>
      <c r="U427" s="978"/>
    </row>
    <row r="428" spans="1:21" ht="280.5">
      <c r="A428" s="998" t="s">
        <v>9405</v>
      </c>
      <c r="B428" s="3" t="s">
        <v>9945</v>
      </c>
      <c r="C428" s="975">
        <v>3000</v>
      </c>
      <c r="D428" s="991">
        <v>2500</v>
      </c>
      <c r="E428" s="1114">
        <v>2350</v>
      </c>
      <c r="F428" s="970">
        <v>1000</v>
      </c>
      <c r="G428" s="978"/>
      <c r="H428" s="978"/>
      <c r="I428" s="978"/>
      <c r="J428" s="978"/>
      <c r="K428" s="978"/>
      <c r="L428" s="978"/>
      <c r="M428" s="978"/>
      <c r="N428" s="978"/>
      <c r="O428" s="978"/>
      <c r="P428" s="978"/>
      <c r="Q428" s="978"/>
      <c r="R428" s="978"/>
      <c r="S428" s="978"/>
      <c r="T428" s="978"/>
      <c r="U428" s="978"/>
    </row>
    <row r="429" spans="1:21" ht="63.75">
      <c r="A429" s="998" t="s">
        <v>9406</v>
      </c>
      <c r="B429" s="3" t="s">
        <v>9945</v>
      </c>
      <c r="C429" s="975">
        <v>2350</v>
      </c>
      <c r="D429" s="991">
        <v>2150</v>
      </c>
      <c r="E429" s="1114">
        <v>2000</v>
      </c>
      <c r="F429" s="970">
        <v>1000</v>
      </c>
      <c r="G429" s="978"/>
      <c r="H429" s="978"/>
      <c r="I429" s="978"/>
      <c r="J429" s="978"/>
      <c r="K429" s="978"/>
      <c r="L429" s="978"/>
      <c r="M429" s="978"/>
      <c r="N429" s="978"/>
      <c r="O429" s="978"/>
      <c r="P429" s="978"/>
      <c r="Q429" s="978"/>
      <c r="R429" s="978"/>
      <c r="S429" s="978"/>
      <c r="T429" s="978"/>
      <c r="U429" s="978"/>
    </row>
    <row r="430" spans="1:21">
      <c r="A430" s="994"/>
      <c r="B430" s="795"/>
      <c r="C430" s="981"/>
      <c r="D430" s="1112"/>
      <c r="E430" s="993"/>
      <c r="F430" s="978"/>
      <c r="G430" s="978"/>
      <c r="H430" s="978"/>
      <c r="I430" s="978"/>
      <c r="J430" s="978"/>
      <c r="K430" s="978"/>
      <c r="L430" s="978"/>
      <c r="M430" s="978"/>
      <c r="N430" s="978"/>
      <c r="O430" s="978"/>
      <c r="P430" s="978"/>
      <c r="Q430" s="978"/>
      <c r="R430" s="978"/>
      <c r="S430" s="978"/>
      <c r="T430" s="978"/>
      <c r="U430" s="978"/>
    </row>
    <row r="431" spans="1:21">
      <c r="A431" s="994"/>
      <c r="B431" s="795"/>
      <c r="C431" s="981"/>
      <c r="D431" s="1112"/>
      <c r="E431" s="993"/>
      <c r="F431" s="978"/>
      <c r="G431" s="978"/>
      <c r="H431" s="978"/>
      <c r="I431" s="978"/>
      <c r="J431" s="978"/>
      <c r="K431" s="978"/>
      <c r="L431" s="978"/>
      <c r="M431" s="978"/>
      <c r="N431" s="978"/>
      <c r="O431" s="978"/>
      <c r="P431" s="978"/>
      <c r="Q431" s="978"/>
      <c r="R431" s="978"/>
      <c r="S431" s="978"/>
      <c r="T431" s="978"/>
      <c r="U431" s="978"/>
    </row>
    <row r="432" spans="1:21">
      <c r="A432" s="994"/>
      <c r="B432" s="795"/>
      <c r="C432" s="999" t="s">
        <v>9407</v>
      </c>
      <c r="D432" s="1112"/>
      <c r="E432" s="993"/>
      <c r="F432" s="978"/>
      <c r="G432" s="978"/>
      <c r="H432" s="978"/>
      <c r="I432" s="978"/>
      <c r="J432" s="978"/>
      <c r="K432" s="978"/>
      <c r="L432" s="978"/>
      <c r="M432" s="978"/>
      <c r="N432" s="978"/>
      <c r="O432" s="978"/>
      <c r="P432" s="978"/>
      <c r="Q432" s="978"/>
      <c r="R432" s="978"/>
      <c r="S432" s="978"/>
      <c r="T432" s="978"/>
      <c r="U432" s="978"/>
    </row>
    <row r="433" spans="1:21">
      <c r="A433" s="994"/>
      <c r="B433" s="795"/>
      <c r="C433" s="1000" t="s">
        <v>9408</v>
      </c>
      <c r="D433" s="1112"/>
      <c r="E433" s="993"/>
      <c r="F433" s="978"/>
      <c r="G433" s="978"/>
      <c r="H433" s="978"/>
      <c r="I433" s="978"/>
      <c r="J433" s="978"/>
      <c r="K433" s="978"/>
      <c r="L433" s="978"/>
      <c r="M433" s="978"/>
      <c r="N433" s="978"/>
      <c r="O433" s="978"/>
      <c r="P433" s="978"/>
      <c r="Q433" s="978"/>
      <c r="R433" s="978"/>
      <c r="S433" s="978"/>
      <c r="T433" s="978"/>
      <c r="U433" s="978"/>
    </row>
    <row r="434" spans="1:21">
      <c r="A434" s="994"/>
      <c r="B434" s="795"/>
      <c r="C434" s="1000" t="s">
        <v>9409</v>
      </c>
      <c r="D434" s="1112"/>
      <c r="E434" s="993"/>
      <c r="F434" s="978"/>
      <c r="G434" s="978"/>
      <c r="H434" s="978"/>
      <c r="I434" s="978"/>
      <c r="J434" s="978"/>
      <c r="K434" s="978"/>
      <c r="L434" s="978"/>
      <c r="M434" s="978"/>
      <c r="N434" s="978"/>
      <c r="O434" s="978"/>
      <c r="P434" s="978"/>
      <c r="Q434" s="978"/>
      <c r="R434" s="978"/>
      <c r="S434" s="978"/>
      <c r="T434" s="978"/>
      <c r="U434" s="978"/>
    </row>
    <row r="435" spans="1:21" ht="26.25">
      <c r="A435" s="1001" t="s">
        <v>7243</v>
      </c>
      <c r="B435" s="796" t="s">
        <v>9410</v>
      </c>
      <c r="C435" s="995" t="s">
        <v>9946</v>
      </c>
      <c r="D435" s="1112"/>
      <c r="E435" s="993"/>
      <c r="F435" s="978"/>
      <c r="G435" s="978"/>
      <c r="H435" s="978"/>
      <c r="I435" s="978"/>
      <c r="J435" s="978"/>
      <c r="K435" s="978"/>
      <c r="L435" s="978"/>
      <c r="M435" s="978"/>
      <c r="N435" s="978"/>
      <c r="O435" s="978"/>
      <c r="P435" s="978"/>
      <c r="Q435" s="978"/>
      <c r="R435" s="978"/>
      <c r="S435" s="978"/>
      <c r="T435" s="978"/>
      <c r="U435" s="978"/>
    </row>
    <row r="436" spans="1:21">
      <c r="A436" s="1002" t="s">
        <v>9411</v>
      </c>
      <c r="B436" s="819" t="s">
        <v>9415</v>
      </c>
      <c r="C436" s="1139">
        <v>100000</v>
      </c>
      <c r="D436" s="1112"/>
      <c r="E436" s="993"/>
      <c r="F436" s="978"/>
      <c r="G436" s="978"/>
      <c r="H436" s="978"/>
      <c r="I436" s="978"/>
      <c r="J436" s="978"/>
      <c r="K436" s="978"/>
      <c r="L436" s="978"/>
      <c r="M436" s="978"/>
      <c r="N436" s="978"/>
      <c r="O436" s="978"/>
      <c r="P436" s="978"/>
      <c r="Q436" s="978"/>
      <c r="R436" s="978"/>
      <c r="S436" s="978"/>
      <c r="T436" s="978"/>
      <c r="U436" s="978"/>
    </row>
    <row r="437" spans="1:21">
      <c r="A437" s="1002" t="s">
        <v>9412</v>
      </c>
      <c r="B437" s="819" t="s">
        <v>9416</v>
      </c>
      <c r="C437" s="1139">
        <v>100000</v>
      </c>
      <c r="D437" s="1112"/>
      <c r="E437" s="993"/>
      <c r="F437" s="978"/>
      <c r="G437" s="978"/>
      <c r="H437" s="978"/>
      <c r="I437" s="978"/>
      <c r="J437" s="978"/>
      <c r="K437" s="978"/>
      <c r="L437" s="978"/>
      <c r="M437" s="978"/>
      <c r="N437" s="978"/>
      <c r="O437" s="978"/>
      <c r="P437" s="978"/>
      <c r="Q437" s="978"/>
      <c r="R437" s="978"/>
      <c r="S437" s="978"/>
      <c r="T437" s="978"/>
      <c r="U437" s="978"/>
    </row>
    <row r="438" spans="1:21" ht="102.75">
      <c r="A438" s="1002" t="s">
        <v>9413</v>
      </c>
      <c r="B438" s="819" t="s">
        <v>9925</v>
      </c>
      <c r="C438" s="1139">
        <v>50000</v>
      </c>
      <c r="D438" s="1112"/>
      <c r="E438" s="993"/>
      <c r="F438" s="978"/>
      <c r="G438" s="978"/>
      <c r="H438" s="978"/>
      <c r="I438" s="978"/>
      <c r="J438" s="978"/>
      <c r="K438" s="978"/>
      <c r="L438" s="978"/>
      <c r="M438" s="978"/>
      <c r="N438" s="978"/>
      <c r="O438" s="978"/>
      <c r="P438" s="978"/>
      <c r="Q438" s="978"/>
      <c r="R438" s="978"/>
      <c r="S438" s="978"/>
      <c r="T438" s="978"/>
      <c r="U438" s="978"/>
    </row>
    <row r="439" spans="1:21" ht="64.5">
      <c r="A439" s="1002" t="s">
        <v>9414</v>
      </c>
      <c r="B439" s="819" t="s">
        <v>9926</v>
      </c>
      <c r="C439" s="1139">
        <v>40000</v>
      </c>
      <c r="D439" s="1112"/>
      <c r="E439" s="993"/>
      <c r="F439" s="978"/>
      <c r="G439" s="978"/>
      <c r="H439" s="978"/>
      <c r="I439" s="978"/>
      <c r="J439" s="978"/>
      <c r="K439" s="978"/>
      <c r="L439" s="978"/>
      <c r="M439" s="978"/>
      <c r="N439" s="978"/>
      <c r="O439" s="978"/>
      <c r="P439" s="978"/>
      <c r="Q439" s="978"/>
      <c r="R439" s="978"/>
      <c r="S439" s="978"/>
      <c r="T439" s="978"/>
      <c r="U439" s="978"/>
    </row>
    <row r="440" spans="1:21">
      <c r="A440" s="994"/>
      <c r="B440" s="795"/>
      <c r="C440" s="981"/>
      <c r="D440" s="1112"/>
      <c r="E440" s="993"/>
      <c r="F440" s="978"/>
      <c r="G440" s="978"/>
      <c r="H440" s="978"/>
      <c r="I440" s="978"/>
      <c r="J440" s="978"/>
      <c r="K440" s="978"/>
      <c r="L440" s="978"/>
      <c r="M440" s="978"/>
      <c r="N440" s="978"/>
      <c r="O440" s="978"/>
      <c r="P440" s="978"/>
      <c r="Q440" s="978"/>
      <c r="R440" s="978"/>
      <c r="S440" s="978"/>
      <c r="T440" s="978"/>
      <c r="U440" s="978"/>
    </row>
    <row r="441" spans="1:21">
      <c r="A441" s="1003" t="s">
        <v>1237</v>
      </c>
      <c r="B441" s="1" t="s">
        <v>9953</v>
      </c>
      <c r="C441" s="981"/>
      <c r="D441" s="1112"/>
      <c r="E441" s="993"/>
      <c r="F441" s="978"/>
      <c r="G441" s="978"/>
      <c r="H441" s="978"/>
      <c r="I441" s="978"/>
      <c r="J441" s="978"/>
      <c r="K441" s="978"/>
      <c r="L441" s="978"/>
      <c r="M441" s="978"/>
      <c r="N441" s="978"/>
      <c r="O441" s="978"/>
      <c r="P441" s="978"/>
      <c r="Q441" s="978"/>
      <c r="R441" s="978"/>
      <c r="S441" s="978"/>
      <c r="T441" s="978"/>
      <c r="U441" s="978"/>
    </row>
    <row r="442" spans="1:21">
      <c r="A442" s="994"/>
      <c r="B442" s="797" t="s">
        <v>9951</v>
      </c>
      <c r="C442" s="981"/>
      <c r="D442" s="1112"/>
      <c r="E442" s="993"/>
      <c r="F442" s="978"/>
      <c r="G442" s="978"/>
      <c r="H442" s="978"/>
      <c r="I442" s="978"/>
      <c r="J442" s="978"/>
      <c r="K442" s="978"/>
      <c r="L442" s="978"/>
      <c r="M442" s="978"/>
      <c r="N442" s="978"/>
      <c r="O442" s="978"/>
      <c r="P442" s="978"/>
      <c r="Q442" s="978"/>
      <c r="R442" s="978"/>
      <c r="S442" s="978"/>
      <c r="T442" s="978"/>
      <c r="U442" s="978"/>
    </row>
    <row r="443" spans="1:21">
      <c r="A443" s="994"/>
      <c r="B443" s="797" t="s">
        <v>9952</v>
      </c>
      <c r="C443" s="981"/>
      <c r="D443" s="1112"/>
      <c r="E443" s="993"/>
      <c r="F443" s="978"/>
      <c r="G443" s="978"/>
      <c r="H443" s="978"/>
      <c r="I443" s="978"/>
      <c r="J443" s="978"/>
      <c r="K443" s="978"/>
      <c r="L443" s="978"/>
      <c r="M443" s="978"/>
      <c r="N443" s="978"/>
      <c r="O443" s="978"/>
      <c r="P443" s="978"/>
      <c r="Q443" s="978"/>
      <c r="R443" s="978"/>
      <c r="S443" s="978"/>
      <c r="T443" s="978"/>
      <c r="U443" s="978"/>
    </row>
    <row r="444" spans="1:21">
      <c r="A444" s="13"/>
      <c r="B444" s="13"/>
      <c r="C444" s="13"/>
      <c r="D444" s="1115"/>
      <c r="E444" s="931"/>
      <c r="F444" s="7"/>
      <c r="G444" s="7"/>
      <c r="H444" s="7"/>
      <c r="I444" s="7"/>
      <c r="J444" s="7"/>
      <c r="K444" s="7"/>
      <c r="L444" s="7"/>
      <c r="M444" s="7"/>
      <c r="N444" s="7"/>
      <c r="O444" s="7"/>
      <c r="P444" s="7"/>
      <c r="Q444" s="7"/>
      <c r="R444" s="7"/>
      <c r="S444" s="7"/>
      <c r="T444" s="7"/>
    </row>
    <row r="445" spans="1:21" ht="12.75">
      <c r="B445" s="1196" t="s">
        <v>1169</v>
      </c>
      <c r="C445" s="1196"/>
      <c r="D445" s="1196"/>
      <c r="E445" s="1196"/>
      <c r="F445" s="2"/>
      <c r="G445" s="2"/>
      <c r="H445" s="2"/>
      <c r="I445" s="2"/>
      <c r="J445" s="2"/>
      <c r="K445" s="2"/>
      <c r="L445" s="2"/>
      <c r="M445" s="2"/>
      <c r="N445" s="2"/>
      <c r="O445" s="2"/>
      <c r="P445" s="2"/>
      <c r="Q445" s="2"/>
      <c r="R445" s="2"/>
      <c r="S445" s="2"/>
      <c r="T445" s="2"/>
    </row>
    <row r="446" spans="1:21" ht="12.75">
      <c r="B446" s="1195" t="s">
        <v>9889</v>
      </c>
      <c r="C446" s="1196"/>
      <c r="D446" s="1196"/>
      <c r="E446" s="1196"/>
      <c r="F446" s="2"/>
      <c r="G446" s="2"/>
      <c r="H446" s="2"/>
      <c r="I446" s="2"/>
      <c r="J446" s="2"/>
      <c r="K446" s="2"/>
      <c r="L446" s="2"/>
      <c r="M446" s="2"/>
      <c r="N446" s="2"/>
      <c r="O446" s="2"/>
      <c r="P446" s="2"/>
      <c r="Q446" s="2"/>
      <c r="R446" s="2"/>
      <c r="S446" s="2"/>
      <c r="T446" s="2"/>
    </row>
    <row r="447" spans="1:21"/>
    <row r="448" spans="1:21">
      <c r="B448" s="7" t="s">
        <v>233</v>
      </c>
    </row>
    <row r="449" spans="1:43"/>
    <row r="450" spans="1:43">
      <c r="A450" s="15">
        <v>1</v>
      </c>
      <c r="B450" s="809" t="s">
        <v>234</v>
      </c>
    </row>
    <row r="451" spans="1:43">
      <c r="A451" s="15">
        <v>2</v>
      </c>
      <c r="B451" s="809" t="s">
        <v>800</v>
      </c>
    </row>
    <row r="452" spans="1:43">
      <c r="B452" s="809" t="s">
        <v>6524</v>
      </c>
    </row>
    <row r="453" spans="1:43">
      <c r="B453" s="809" t="s">
        <v>6525</v>
      </c>
    </row>
    <row r="454" spans="1:43">
      <c r="A454" s="15" t="s">
        <v>1535</v>
      </c>
      <c r="B454" s="809" t="s">
        <v>6526</v>
      </c>
      <c r="D454" s="1095" t="s">
        <v>1697</v>
      </c>
      <c r="E454" s="925">
        <v>2491</v>
      </c>
    </row>
    <row r="455" spans="1:43">
      <c r="A455" s="15" t="s">
        <v>5400</v>
      </c>
      <c r="B455" s="809" t="s">
        <v>6527</v>
      </c>
      <c r="D455" s="1095" t="s">
        <v>1697</v>
      </c>
      <c r="E455" s="925">
        <v>1309</v>
      </c>
    </row>
    <row r="456" spans="1:43">
      <c r="A456" s="15" t="s">
        <v>5401</v>
      </c>
      <c r="B456" s="809" t="s">
        <v>1692</v>
      </c>
      <c r="D456" s="1095" t="s">
        <v>1698</v>
      </c>
      <c r="E456" s="925">
        <v>0.03</v>
      </c>
    </row>
    <row r="457" spans="1:43">
      <c r="A457" s="15" t="s">
        <v>1696</v>
      </c>
      <c r="B457" s="809" t="s">
        <v>1693</v>
      </c>
      <c r="C457" s="15" t="s">
        <v>1694</v>
      </c>
      <c r="D457" s="1095" t="s">
        <v>1697</v>
      </c>
      <c r="E457" s="925">
        <v>1182</v>
      </c>
    </row>
    <row r="458" spans="1:43">
      <c r="B458" s="809" t="s">
        <v>1695</v>
      </c>
    </row>
    <row r="459" spans="1:43">
      <c r="C459" s="15" t="s">
        <v>1698</v>
      </c>
      <c r="D459" s="1098">
        <v>40.9</v>
      </c>
      <c r="E459" s="925" t="s">
        <v>1699</v>
      </c>
      <c r="F459" s="1004"/>
      <c r="G459" s="1004"/>
      <c r="H459" s="1004"/>
      <c r="I459" s="1004"/>
      <c r="J459" s="1004"/>
      <c r="K459" s="1004"/>
      <c r="L459" s="1004"/>
      <c r="M459" s="1004"/>
      <c r="N459" s="1004"/>
      <c r="O459" s="1004"/>
      <c r="P459" s="1004"/>
      <c r="Q459" s="1004"/>
      <c r="R459" s="1004"/>
      <c r="S459" s="1004"/>
      <c r="T459" s="1004"/>
    </row>
    <row r="460" spans="1:43">
      <c r="A460" s="984" t="s">
        <v>5036</v>
      </c>
    </row>
    <row r="461" spans="1:43">
      <c r="A461" s="8" t="s">
        <v>3473</v>
      </c>
      <c r="B461" s="4" t="s">
        <v>1700</v>
      </c>
      <c r="C461" s="8" t="s">
        <v>2332</v>
      </c>
      <c r="E461" s="1005"/>
      <c r="F461" s="11"/>
      <c r="G461" s="11"/>
      <c r="H461" s="11"/>
      <c r="I461" s="11"/>
      <c r="J461" s="11"/>
      <c r="K461" s="11"/>
      <c r="L461" s="11"/>
      <c r="M461" s="11"/>
      <c r="N461" s="11"/>
      <c r="O461" s="11"/>
      <c r="P461" s="11"/>
      <c r="Q461" s="11"/>
      <c r="R461" s="11"/>
      <c r="S461" s="11"/>
      <c r="T461" s="11"/>
      <c r="U461" s="7"/>
    </row>
    <row r="462" spans="1:43">
      <c r="A462" s="8"/>
      <c r="B462" s="4"/>
      <c r="C462" s="8" t="s">
        <v>3166</v>
      </c>
      <c r="E462" s="923"/>
      <c r="F462" s="2"/>
      <c r="G462" s="2"/>
      <c r="H462" s="2"/>
      <c r="I462" s="2"/>
      <c r="J462" s="2"/>
      <c r="K462" s="2"/>
      <c r="L462" s="2"/>
      <c r="M462" s="2"/>
      <c r="N462" s="2"/>
      <c r="O462" s="2"/>
      <c r="P462" s="2"/>
      <c r="Q462" s="2"/>
      <c r="R462" s="2"/>
      <c r="S462" s="2"/>
      <c r="T462" s="2"/>
      <c r="U462" s="7"/>
    </row>
    <row r="463" spans="1:43" ht="16.5" thickBot="1">
      <c r="A463" s="8" t="s">
        <v>3834</v>
      </c>
      <c r="B463" s="1006" t="s">
        <v>3835</v>
      </c>
      <c r="C463" s="952"/>
    </row>
    <row r="464" spans="1:43" ht="16.5" thickBot="1">
      <c r="A464" s="1007">
        <v>1</v>
      </c>
      <c r="B464" s="926" t="s">
        <v>3836</v>
      </c>
      <c r="C464" s="1088">
        <v>555</v>
      </c>
      <c r="D464" s="1116"/>
      <c r="E464" s="943"/>
      <c r="F464" s="21"/>
      <c r="G464" s="21"/>
      <c r="H464" s="21"/>
      <c r="I464" s="21"/>
      <c r="J464" s="21"/>
      <c r="K464" s="21"/>
      <c r="L464" s="21"/>
      <c r="M464" s="21"/>
      <c r="N464" s="21"/>
      <c r="O464" s="21"/>
      <c r="P464" s="21"/>
      <c r="Q464" s="21"/>
      <c r="R464" s="21"/>
      <c r="S464" s="21"/>
      <c r="T464" s="1008"/>
      <c r="U464" s="961"/>
      <c r="AQ464" s="7"/>
    </row>
    <row r="465" spans="1:43" ht="16.5" thickBot="1">
      <c r="A465" s="1007">
        <v>2</v>
      </c>
      <c r="B465" s="926" t="s">
        <v>1227</v>
      </c>
      <c r="C465" s="1089">
        <v>445</v>
      </c>
      <c r="D465" s="1116"/>
      <c r="E465" s="943"/>
      <c r="F465" s="21"/>
      <c r="G465" s="21"/>
      <c r="H465" s="21"/>
      <c r="I465" s="21"/>
      <c r="J465" s="21"/>
      <c r="K465" s="21"/>
      <c r="L465" s="21"/>
      <c r="M465" s="21"/>
      <c r="N465" s="21"/>
      <c r="O465" s="21"/>
      <c r="P465" s="21"/>
      <c r="Q465" s="21"/>
      <c r="R465" s="21"/>
      <c r="S465" s="21"/>
      <c r="T465" s="1008"/>
      <c r="U465" s="961"/>
      <c r="AQ465" s="7"/>
    </row>
    <row r="466" spans="1:43" ht="16.5" thickBot="1">
      <c r="A466" s="1007">
        <v>3</v>
      </c>
      <c r="B466" s="926" t="s">
        <v>4608</v>
      </c>
      <c r="C466" s="1089">
        <v>510</v>
      </c>
      <c r="D466" s="1116"/>
      <c r="E466" s="943"/>
      <c r="F466" s="21"/>
      <c r="G466" s="21"/>
      <c r="H466" s="21"/>
      <c r="I466" s="21"/>
      <c r="J466" s="21"/>
      <c r="K466" s="21"/>
      <c r="L466" s="21"/>
      <c r="M466" s="21"/>
      <c r="N466" s="21"/>
      <c r="O466" s="21"/>
      <c r="P466" s="21"/>
      <c r="Q466" s="21"/>
      <c r="R466" s="21"/>
      <c r="S466" s="21"/>
      <c r="T466" s="1008"/>
      <c r="U466" s="961"/>
      <c r="AQ466" s="931"/>
    </row>
    <row r="467" spans="1:43" ht="16.5" thickBot="1">
      <c r="A467" s="1007">
        <v>4</v>
      </c>
      <c r="B467" s="926" t="s">
        <v>2464</v>
      </c>
      <c r="C467" s="1089">
        <v>475</v>
      </c>
      <c r="D467" s="1116"/>
      <c r="E467" s="943"/>
      <c r="F467" s="21"/>
      <c r="G467" s="21"/>
      <c r="H467" s="21"/>
      <c r="I467" s="21"/>
      <c r="J467" s="21"/>
      <c r="K467" s="21"/>
      <c r="L467" s="21"/>
      <c r="M467" s="21"/>
      <c r="N467" s="21"/>
      <c r="O467" s="21"/>
      <c r="P467" s="21"/>
      <c r="Q467" s="21"/>
      <c r="R467" s="21"/>
      <c r="S467" s="21"/>
      <c r="T467" s="1008"/>
      <c r="U467" s="961"/>
      <c r="AQ467" s="931"/>
    </row>
    <row r="468" spans="1:43" ht="16.5" thickBot="1">
      <c r="A468" s="1007">
        <v>5</v>
      </c>
      <c r="B468" s="926" t="s">
        <v>2465</v>
      </c>
      <c r="C468" s="1089">
        <v>515</v>
      </c>
      <c r="D468" s="1116"/>
      <c r="E468" s="943"/>
      <c r="F468" s="21"/>
      <c r="G468" s="21"/>
      <c r="H468" s="21"/>
      <c r="I468" s="21"/>
      <c r="J468" s="21"/>
      <c r="K468" s="21"/>
      <c r="L468" s="21"/>
      <c r="M468" s="21"/>
      <c r="N468" s="21"/>
      <c r="O468" s="21"/>
      <c r="P468" s="21"/>
      <c r="Q468" s="21"/>
      <c r="R468" s="21"/>
      <c r="S468" s="21"/>
      <c r="T468" s="1008"/>
      <c r="U468" s="961"/>
      <c r="AQ468" s="931"/>
    </row>
    <row r="469" spans="1:43" ht="16.5" thickBot="1">
      <c r="A469" s="1007">
        <v>6</v>
      </c>
      <c r="B469" s="926" t="s">
        <v>2466</v>
      </c>
      <c r="C469" s="1089">
        <v>475</v>
      </c>
      <c r="D469" s="1116"/>
      <c r="E469" s="943"/>
      <c r="F469" s="21"/>
      <c r="G469" s="21"/>
      <c r="H469" s="21"/>
      <c r="I469" s="21"/>
      <c r="J469" s="21"/>
      <c r="K469" s="21"/>
      <c r="L469" s="21"/>
      <c r="M469" s="21"/>
      <c r="N469" s="21"/>
      <c r="O469" s="21"/>
      <c r="P469" s="21"/>
      <c r="Q469" s="21"/>
      <c r="R469" s="21"/>
      <c r="S469" s="21"/>
      <c r="T469" s="1008"/>
      <c r="U469" s="961"/>
      <c r="AQ469" s="931"/>
    </row>
    <row r="470" spans="1:43" ht="16.5" thickBot="1">
      <c r="A470" s="1007">
        <v>7</v>
      </c>
      <c r="B470" s="926" t="s">
        <v>2467</v>
      </c>
      <c r="C470" s="1089">
        <v>445</v>
      </c>
      <c r="D470" s="1116"/>
      <c r="E470" s="943"/>
      <c r="F470" s="21"/>
      <c r="G470" s="21"/>
      <c r="H470" s="21"/>
      <c r="I470" s="21"/>
      <c r="J470" s="21"/>
      <c r="K470" s="21"/>
      <c r="L470" s="21"/>
      <c r="M470" s="21"/>
      <c r="N470" s="21"/>
      <c r="O470" s="21"/>
      <c r="P470" s="21"/>
      <c r="Q470" s="21"/>
      <c r="R470" s="21"/>
      <c r="S470" s="21"/>
      <c r="T470" s="1008"/>
      <c r="U470" s="961"/>
      <c r="AQ470" s="931"/>
    </row>
    <row r="471" spans="1:43" ht="16.5" thickBot="1">
      <c r="A471" s="1007">
        <v>8</v>
      </c>
      <c r="B471" s="926" t="s">
        <v>2468</v>
      </c>
      <c r="C471" s="1089">
        <v>510</v>
      </c>
      <c r="D471" s="1116"/>
      <c r="E471" s="943"/>
      <c r="F471" s="21"/>
      <c r="G471" s="21"/>
      <c r="H471" s="21"/>
      <c r="I471" s="21"/>
      <c r="J471" s="21"/>
      <c r="K471" s="21"/>
      <c r="L471" s="21"/>
      <c r="M471" s="21"/>
      <c r="N471" s="21"/>
      <c r="O471" s="21"/>
      <c r="P471" s="21"/>
      <c r="Q471" s="21"/>
      <c r="R471" s="21"/>
      <c r="S471" s="21"/>
      <c r="T471" s="1008"/>
      <c r="U471" s="961"/>
      <c r="AQ471" s="931"/>
    </row>
    <row r="472" spans="1:43" ht="16.5" thickBot="1">
      <c r="A472" s="1007">
        <v>9</v>
      </c>
      <c r="B472" s="926" t="s">
        <v>2469</v>
      </c>
      <c r="C472" s="1089">
        <v>425</v>
      </c>
      <c r="D472" s="1116"/>
      <c r="E472" s="943"/>
      <c r="F472" s="21"/>
      <c r="G472" s="21"/>
      <c r="H472" s="21"/>
      <c r="I472" s="21"/>
      <c r="J472" s="21"/>
      <c r="K472" s="21"/>
      <c r="L472" s="21"/>
      <c r="M472" s="21"/>
      <c r="N472" s="21"/>
      <c r="O472" s="21"/>
      <c r="P472" s="21"/>
      <c r="Q472" s="21"/>
      <c r="R472" s="21"/>
      <c r="S472" s="943"/>
      <c r="T472" s="1008"/>
      <c r="U472" s="961"/>
      <c r="AQ472" s="931"/>
    </row>
    <row r="473" spans="1:43" ht="32.25" thickBot="1">
      <c r="A473" s="1007">
        <v>10</v>
      </c>
      <c r="B473" s="926" t="s">
        <v>9297</v>
      </c>
      <c r="C473" s="1089">
        <v>450</v>
      </c>
      <c r="D473" s="1116"/>
      <c r="E473" s="943"/>
      <c r="F473" s="21"/>
      <c r="G473" s="21"/>
      <c r="H473" s="21"/>
      <c r="I473" s="21"/>
      <c r="J473" s="21"/>
      <c r="K473" s="21"/>
      <c r="L473" s="21"/>
      <c r="M473" s="21"/>
      <c r="N473" s="21"/>
      <c r="O473" s="21"/>
      <c r="P473" s="21"/>
      <c r="Q473" s="21"/>
      <c r="R473" s="21"/>
      <c r="S473" s="21"/>
      <c r="T473" s="1008"/>
      <c r="U473" s="961"/>
      <c r="AQ473" s="931"/>
    </row>
    <row r="474" spans="1:43" ht="16.5" thickBot="1">
      <c r="A474" s="1007">
        <v>11</v>
      </c>
      <c r="B474" s="926" t="s">
        <v>2470</v>
      </c>
      <c r="C474" s="1089">
        <v>445</v>
      </c>
      <c r="D474" s="1116"/>
      <c r="E474" s="943"/>
      <c r="F474" s="21"/>
      <c r="G474" s="21"/>
      <c r="H474" s="21"/>
      <c r="I474" s="21"/>
      <c r="J474" s="21"/>
      <c r="K474" s="21"/>
      <c r="L474" s="21"/>
      <c r="M474" s="21"/>
      <c r="N474" s="21"/>
      <c r="O474" s="21"/>
      <c r="P474" s="21"/>
      <c r="Q474" s="21"/>
      <c r="R474" s="21"/>
      <c r="S474" s="21"/>
      <c r="T474" s="1008"/>
      <c r="U474" s="961"/>
      <c r="AQ474" s="931"/>
    </row>
    <row r="475" spans="1:43" ht="16.5" thickBot="1">
      <c r="A475" s="1007">
        <v>12</v>
      </c>
      <c r="B475" s="926" t="s">
        <v>2471</v>
      </c>
      <c r="C475" s="1089">
        <v>475</v>
      </c>
      <c r="D475" s="1116"/>
      <c r="E475" s="943"/>
      <c r="F475" s="21"/>
      <c r="G475" s="21"/>
      <c r="H475" s="21"/>
      <c r="I475" s="21"/>
      <c r="J475" s="21"/>
      <c r="K475" s="21"/>
      <c r="L475" s="21"/>
      <c r="M475" s="21"/>
      <c r="N475" s="21"/>
      <c r="O475" s="21"/>
      <c r="P475" s="21"/>
      <c r="Q475" s="21"/>
      <c r="R475" s="21"/>
      <c r="S475" s="21"/>
      <c r="T475" s="1008"/>
      <c r="U475" s="961"/>
      <c r="AQ475" s="931"/>
    </row>
    <row r="476" spans="1:43" ht="16.5" thickBot="1">
      <c r="A476" s="1007">
        <v>13</v>
      </c>
      <c r="B476" s="926" t="s">
        <v>2472</v>
      </c>
      <c r="C476" s="1089">
        <v>445</v>
      </c>
      <c r="D476" s="1116"/>
      <c r="E476" s="943"/>
      <c r="F476" s="21"/>
      <c r="G476" s="21"/>
      <c r="H476" s="21"/>
      <c r="I476" s="21"/>
      <c r="J476" s="21"/>
      <c r="K476" s="21"/>
      <c r="L476" s="21"/>
      <c r="M476" s="21"/>
      <c r="N476" s="21"/>
      <c r="O476" s="21"/>
      <c r="P476" s="21"/>
      <c r="Q476" s="21"/>
      <c r="R476" s="21"/>
      <c r="S476" s="21"/>
      <c r="T476" s="1008"/>
      <c r="U476" s="961"/>
      <c r="AQ476" s="931"/>
    </row>
    <row r="477" spans="1:43" ht="16.5" thickBot="1">
      <c r="A477" s="1007">
        <v>14</v>
      </c>
      <c r="B477" s="926" t="s">
        <v>2473</v>
      </c>
      <c r="C477" s="1089">
        <v>510</v>
      </c>
      <c r="D477" s="1116"/>
      <c r="E477" s="943"/>
      <c r="F477" s="21"/>
      <c r="G477" s="21"/>
      <c r="H477" s="21"/>
      <c r="I477" s="21"/>
      <c r="J477" s="21"/>
      <c r="K477" s="21"/>
      <c r="L477" s="21"/>
      <c r="M477" s="21"/>
      <c r="N477" s="21"/>
      <c r="O477" s="21"/>
      <c r="P477" s="21"/>
      <c r="Q477" s="21"/>
      <c r="R477" s="21"/>
      <c r="S477" s="21"/>
      <c r="T477" s="1008"/>
      <c r="U477" s="961"/>
      <c r="AQ477" s="931"/>
    </row>
    <row r="478" spans="1:43" ht="16.5" thickBot="1">
      <c r="A478" s="1007">
        <v>15</v>
      </c>
      <c r="B478" s="926" t="s">
        <v>2474</v>
      </c>
      <c r="C478" s="1089">
        <v>510</v>
      </c>
      <c r="D478" s="1116"/>
      <c r="E478" s="943"/>
      <c r="F478" s="21"/>
      <c r="G478" s="21"/>
      <c r="H478" s="21"/>
      <c r="I478" s="21"/>
      <c r="J478" s="21"/>
      <c r="K478" s="21"/>
      <c r="L478" s="21"/>
      <c r="M478" s="21"/>
      <c r="N478" s="21"/>
      <c r="O478" s="21"/>
      <c r="P478" s="21"/>
      <c r="Q478" s="21"/>
      <c r="R478" s="21"/>
      <c r="S478" s="21"/>
      <c r="T478" s="1008"/>
      <c r="U478" s="961"/>
      <c r="AQ478" s="931"/>
    </row>
    <row r="479" spans="1:43" ht="16.5" thickBot="1">
      <c r="A479" s="1007">
        <v>16</v>
      </c>
      <c r="B479" s="926" t="s">
        <v>2475</v>
      </c>
      <c r="C479" s="1089">
        <v>445</v>
      </c>
      <c r="D479" s="1116"/>
      <c r="E479" s="943"/>
      <c r="F479" s="21"/>
      <c r="G479" s="21"/>
      <c r="H479" s="21"/>
      <c r="I479" s="21"/>
      <c r="J479" s="21"/>
      <c r="K479" s="21"/>
      <c r="L479" s="21"/>
      <c r="M479" s="21"/>
      <c r="N479" s="21"/>
      <c r="O479" s="21"/>
      <c r="P479" s="21"/>
      <c r="Q479" s="21"/>
      <c r="R479" s="21"/>
      <c r="S479" s="1008"/>
      <c r="T479" s="1008"/>
      <c r="U479" s="961"/>
      <c r="AQ479" s="931"/>
    </row>
    <row r="480" spans="1:43" ht="16.5" thickBot="1">
      <c r="A480" s="1007">
        <v>17</v>
      </c>
      <c r="B480" s="926" t="s">
        <v>2476</v>
      </c>
      <c r="C480" s="1089">
        <v>445</v>
      </c>
      <c r="D480" s="1116"/>
      <c r="E480" s="943"/>
      <c r="F480" s="21"/>
      <c r="G480" s="21"/>
      <c r="H480" s="21"/>
      <c r="I480" s="21"/>
      <c r="J480" s="21"/>
      <c r="K480" s="21"/>
      <c r="L480" s="21"/>
      <c r="M480" s="21"/>
      <c r="N480" s="21"/>
      <c r="O480" s="21"/>
      <c r="P480" s="21"/>
      <c r="Q480" s="21"/>
      <c r="R480" s="21"/>
      <c r="S480" s="1008"/>
      <c r="T480" s="1008"/>
      <c r="U480" s="961"/>
      <c r="AQ480" s="931"/>
    </row>
    <row r="481" spans="1:43" ht="16.5" thickBot="1">
      <c r="A481" s="1007">
        <v>18</v>
      </c>
      <c r="B481" s="926" t="s">
        <v>5929</v>
      </c>
      <c r="C481" s="1089">
        <v>445</v>
      </c>
      <c r="D481" s="1116"/>
      <c r="E481" s="943"/>
      <c r="F481" s="21"/>
      <c r="G481" s="21"/>
      <c r="H481" s="21"/>
      <c r="I481" s="21"/>
      <c r="J481" s="21"/>
      <c r="K481" s="21"/>
      <c r="L481" s="21"/>
      <c r="M481" s="21"/>
      <c r="N481" s="21"/>
      <c r="O481" s="21"/>
      <c r="P481" s="21"/>
      <c r="Q481" s="21"/>
      <c r="R481" s="21"/>
      <c r="S481" s="1008"/>
      <c r="T481" s="1008"/>
      <c r="U481" s="961"/>
      <c r="AQ481" s="931"/>
    </row>
    <row r="482" spans="1:43" ht="16.5" thickBot="1">
      <c r="A482" s="1007">
        <v>19</v>
      </c>
      <c r="B482" s="926" t="s">
        <v>5416</v>
      </c>
      <c r="C482" s="1089">
        <v>510</v>
      </c>
      <c r="D482" s="1116"/>
      <c r="E482" s="943"/>
      <c r="F482" s="21"/>
      <c r="G482" s="21"/>
      <c r="H482" s="21"/>
      <c r="I482" s="21"/>
      <c r="J482" s="21"/>
      <c r="K482" s="21"/>
      <c r="L482" s="21"/>
      <c r="M482" s="21"/>
      <c r="N482" s="21"/>
      <c r="O482" s="21"/>
      <c r="P482" s="21"/>
      <c r="Q482" s="21"/>
      <c r="R482" s="21"/>
      <c r="S482" s="1008"/>
      <c r="T482" s="1008"/>
      <c r="U482" s="961"/>
      <c r="AQ482" s="931"/>
    </row>
    <row r="483" spans="1:43" ht="16.5" thickBot="1">
      <c r="A483" s="1007">
        <v>20</v>
      </c>
      <c r="B483" s="926" t="s">
        <v>5417</v>
      </c>
      <c r="C483" s="1089">
        <v>510</v>
      </c>
      <c r="D483" s="1116"/>
      <c r="E483" s="943"/>
      <c r="F483" s="21"/>
      <c r="G483" s="21"/>
      <c r="H483" s="21"/>
      <c r="I483" s="21"/>
      <c r="J483" s="21"/>
      <c r="K483" s="21"/>
      <c r="L483" s="21"/>
      <c r="M483" s="21"/>
      <c r="N483" s="21"/>
      <c r="O483" s="21"/>
      <c r="P483" s="21"/>
      <c r="Q483" s="21"/>
      <c r="R483" s="21"/>
      <c r="S483" s="1008"/>
      <c r="T483" s="1008"/>
      <c r="U483" s="961"/>
      <c r="AQ483" s="931"/>
    </row>
    <row r="484" spans="1:43" ht="16.5" thickBot="1">
      <c r="A484" s="1007">
        <v>21</v>
      </c>
      <c r="B484" s="926" t="s">
        <v>5418</v>
      </c>
      <c r="C484" s="1089">
        <v>445</v>
      </c>
      <c r="D484" s="1116"/>
      <c r="E484" s="943"/>
      <c r="F484" s="21"/>
      <c r="G484" s="21"/>
      <c r="H484" s="21"/>
      <c r="I484" s="21"/>
      <c r="J484" s="21"/>
      <c r="K484" s="21"/>
      <c r="L484" s="21"/>
      <c r="M484" s="21"/>
      <c r="N484" s="21"/>
      <c r="O484" s="21"/>
      <c r="P484" s="21"/>
      <c r="Q484" s="21"/>
      <c r="R484" s="21"/>
      <c r="S484" s="1008"/>
      <c r="T484" s="1008"/>
      <c r="U484" s="961"/>
      <c r="AQ484" s="931"/>
    </row>
    <row r="485" spans="1:43" ht="16.5" thickBot="1">
      <c r="A485" s="1007">
        <v>22</v>
      </c>
      <c r="B485" s="926" t="s">
        <v>6940</v>
      </c>
      <c r="C485" s="1089">
        <v>445</v>
      </c>
      <c r="D485" s="1116"/>
      <c r="E485" s="943"/>
      <c r="F485" s="21"/>
      <c r="G485" s="21"/>
      <c r="H485" s="21"/>
      <c r="I485" s="21"/>
      <c r="J485" s="21"/>
      <c r="K485" s="21"/>
      <c r="L485" s="21"/>
      <c r="M485" s="21"/>
      <c r="N485" s="21"/>
      <c r="O485" s="21"/>
      <c r="P485" s="21"/>
      <c r="Q485" s="21"/>
      <c r="R485" s="21"/>
      <c r="S485" s="1008"/>
      <c r="T485" s="1008"/>
      <c r="U485" s="961"/>
      <c r="AQ485" s="931"/>
    </row>
    <row r="486" spans="1:43" ht="16.5" thickBot="1">
      <c r="A486" s="1007">
        <v>23</v>
      </c>
      <c r="B486" s="926" t="s">
        <v>6410</v>
      </c>
      <c r="C486" s="1089">
        <v>445</v>
      </c>
      <c r="D486" s="1116"/>
      <c r="E486" s="943"/>
      <c r="F486" s="21"/>
      <c r="G486" s="21"/>
      <c r="H486" s="21"/>
      <c r="I486" s="21"/>
      <c r="J486" s="21"/>
      <c r="K486" s="21"/>
      <c r="L486" s="21"/>
      <c r="M486" s="21"/>
      <c r="N486" s="21"/>
      <c r="O486" s="21"/>
      <c r="P486" s="21"/>
      <c r="Q486" s="21"/>
      <c r="R486" s="21"/>
      <c r="S486" s="1008"/>
      <c r="T486" s="1008"/>
      <c r="U486" s="961"/>
      <c r="AQ486" s="931"/>
    </row>
    <row r="487" spans="1:43" ht="16.5" thickBot="1">
      <c r="A487" s="1007">
        <v>24</v>
      </c>
      <c r="B487" s="926" t="s">
        <v>6411</v>
      </c>
      <c r="C487" s="1089">
        <v>445</v>
      </c>
      <c r="D487" s="1116"/>
      <c r="E487" s="943"/>
      <c r="F487" s="21"/>
      <c r="G487" s="21"/>
      <c r="H487" s="21"/>
      <c r="I487" s="21"/>
      <c r="J487" s="21"/>
      <c r="K487" s="21"/>
      <c r="L487" s="21"/>
      <c r="M487" s="21"/>
      <c r="N487" s="21"/>
      <c r="O487" s="21"/>
      <c r="P487" s="21"/>
      <c r="Q487" s="21"/>
      <c r="R487" s="21"/>
      <c r="S487" s="1008"/>
      <c r="T487" s="1008"/>
      <c r="U487" s="961"/>
      <c r="AQ487" s="931"/>
    </row>
    <row r="488" spans="1:43" ht="16.5" thickBot="1">
      <c r="A488" s="1007">
        <v>25</v>
      </c>
      <c r="B488" s="926" t="s">
        <v>2259</v>
      </c>
      <c r="C488" s="1089">
        <v>510</v>
      </c>
      <c r="D488" s="1116"/>
      <c r="E488" s="943"/>
      <c r="F488" s="21"/>
      <c r="G488" s="21"/>
      <c r="H488" s="21"/>
      <c r="I488" s="21"/>
      <c r="J488" s="21"/>
      <c r="K488" s="21"/>
      <c r="L488" s="21"/>
      <c r="M488" s="21"/>
      <c r="N488" s="21"/>
      <c r="O488" s="21"/>
      <c r="P488" s="21"/>
      <c r="Q488" s="21"/>
      <c r="R488" s="21"/>
      <c r="S488" s="1008"/>
      <c r="T488" s="1008"/>
      <c r="U488" s="961"/>
      <c r="AQ488" s="931"/>
    </row>
    <row r="489" spans="1:43" ht="16.5" thickBot="1">
      <c r="A489" s="1007">
        <v>26</v>
      </c>
      <c r="B489" s="926" t="s">
        <v>5988</v>
      </c>
      <c r="C489" s="1089">
        <v>445</v>
      </c>
      <c r="D489" s="1116"/>
      <c r="E489" s="943"/>
      <c r="F489" s="21"/>
      <c r="G489" s="21"/>
      <c r="H489" s="21"/>
      <c r="I489" s="21"/>
      <c r="J489" s="21"/>
      <c r="K489" s="21"/>
      <c r="L489" s="21"/>
      <c r="M489" s="21"/>
      <c r="N489" s="21"/>
      <c r="O489" s="21"/>
      <c r="P489" s="21"/>
      <c r="Q489" s="21"/>
      <c r="R489" s="21"/>
      <c r="S489" s="1008"/>
      <c r="T489" s="1008"/>
      <c r="U489" s="961"/>
      <c r="AQ489" s="931"/>
    </row>
    <row r="490" spans="1:43" ht="16.5" thickBot="1">
      <c r="A490" s="1007">
        <v>27</v>
      </c>
      <c r="B490" s="926" t="s">
        <v>5989</v>
      </c>
      <c r="C490" s="1089">
        <v>445</v>
      </c>
      <c r="D490" s="1116"/>
      <c r="E490" s="943"/>
      <c r="F490" s="21"/>
      <c r="G490" s="21"/>
      <c r="H490" s="21"/>
      <c r="I490" s="21"/>
      <c r="J490" s="21"/>
      <c r="K490" s="21"/>
      <c r="L490" s="21"/>
      <c r="M490" s="21"/>
      <c r="N490" s="21"/>
      <c r="O490" s="21"/>
      <c r="P490" s="21"/>
      <c r="Q490" s="21"/>
      <c r="R490" s="21"/>
      <c r="S490" s="21"/>
      <c r="T490" s="1008"/>
      <c r="U490" s="961"/>
      <c r="AQ490" s="931"/>
    </row>
    <row r="491" spans="1:43" ht="16.5" thickBot="1">
      <c r="A491" s="1007">
        <v>28</v>
      </c>
      <c r="B491" s="926" t="s">
        <v>2938</v>
      </c>
      <c r="C491" s="1088">
        <v>510</v>
      </c>
      <c r="D491" s="1116"/>
      <c r="E491" s="943"/>
      <c r="F491" s="1008"/>
      <c r="G491" s="1008"/>
      <c r="H491" s="1008"/>
      <c r="I491" s="1008"/>
      <c r="J491" s="1008"/>
      <c r="K491" s="1008"/>
      <c r="L491" s="1008"/>
      <c r="M491" s="1008"/>
      <c r="N491" s="1008"/>
      <c r="O491" s="1008"/>
      <c r="P491" s="1008"/>
      <c r="Q491" s="1008"/>
      <c r="R491" s="1008"/>
      <c r="S491" s="21"/>
      <c r="T491" s="1008"/>
      <c r="U491" s="961"/>
      <c r="AQ491" s="931"/>
    </row>
    <row r="492" spans="1:43" ht="16.5" thickBot="1">
      <c r="A492" s="1007">
        <v>29</v>
      </c>
      <c r="B492" s="926" t="s">
        <v>2939</v>
      </c>
      <c r="C492" s="1089">
        <v>445</v>
      </c>
      <c r="D492" s="1116"/>
      <c r="E492" s="943"/>
      <c r="F492" s="1008"/>
      <c r="G492" s="1008"/>
      <c r="H492" s="1008"/>
      <c r="I492" s="1008"/>
      <c r="J492" s="1008"/>
      <c r="K492" s="1008"/>
      <c r="L492" s="1008"/>
      <c r="M492" s="1008"/>
      <c r="N492" s="1008"/>
      <c r="O492" s="1008"/>
      <c r="P492" s="1008"/>
      <c r="Q492" s="1008"/>
      <c r="R492" s="1008"/>
      <c r="S492" s="1008"/>
      <c r="T492" s="1008"/>
      <c r="U492" s="961"/>
      <c r="AQ492" s="931"/>
    </row>
    <row r="493" spans="1:43" ht="16.5" thickBot="1">
      <c r="A493" s="1007">
        <v>30</v>
      </c>
      <c r="B493" s="926" t="s">
        <v>687</v>
      </c>
      <c r="C493" s="1089">
        <v>445</v>
      </c>
      <c r="D493" s="1116"/>
      <c r="E493" s="943"/>
      <c r="F493" s="1008"/>
      <c r="G493" s="1008"/>
      <c r="H493" s="1008"/>
      <c r="I493" s="1008"/>
      <c r="J493" s="1008"/>
      <c r="K493" s="1008"/>
      <c r="L493" s="1008"/>
      <c r="M493" s="1008"/>
      <c r="N493" s="1008"/>
      <c r="O493" s="1008"/>
      <c r="P493" s="1008"/>
      <c r="Q493" s="1008"/>
      <c r="R493" s="1008"/>
      <c r="S493" s="1008"/>
      <c r="T493" s="1008"/>
      <c r="U493" s="961"/>
      <c r="AQ493" s="931"/>
    </row>
    <row r="494" spans="1:43" ht="16.5" thickBot="1">
      <c r="A494" s="1007">
        <v>31</v>
      </c>
      <c r="B494" s="926" t="s">
        <v>3820</v>
      </c>
      <c r="C494" s="1089">
        <v>510</v>
      </c>
      <c r="D494" s="1116"/>
      <c r="E494" s="943"/>
      <c r="F494" s="1008"/>
      <c r="G494" s="1008"/>
      <c r="H494" s="1008"/>
      <c r="I494" s="1008"/>
      <c r="J494" s="1008"/>
      <c r="K494" s="1008"/>
      <c r="L494" s="1008"/>
      <c r="M494" s="1008"/>
      <c r="N494" s="1008"/>
      <c r="O494" s="1008"/>
      <c r="P494" s="1008"/>
      <c r="Q494" s="1008"/>
      <c r="R494" s="1008"/>
      <c r="S494" s="1008"/>
      <c r="T494" s="1008"/>
      <c r="U494" s="961"/>
      <c r="AQ494" s="931"/>
    </row>
    <row r="495" spans="1:43" ht="16.5" thickBot="1">
      <c r="A495" s="1007">
        <v>32</v>
      </c>
      <c r="B495" s="926" t="s">
        <v>3821</v>
      </c>
      <c r="C495" s="1089">
        <v>445</v>
      </c>
      <c r="D495" s="1116"/>
      <c r="E495" s="943"/>
      <c r="F495" s="1008"/>
      <c r="G495" s="1008"/>
      <c r="H495" s="1008"/>
      <c r="I495" s="1008"/>
      <c r="J495" s="1008"/>
      <c r="K495" s="1008"/>
      <c r="L495" s="1008"/>
      <c r="M495" s="1008"/>
      <c r="N495" s="1008"/>
      <c r="O495" s="1008"/>
      <c r="P495" s="1008"/>
      <c r="Q495" s="1008"/>
      <c r="R495" s="1008"/>
      <c r="S495" s="1008"/>
      <c r="T495" s="1008"/>
      <c r="U495" s="961"/>
      <c r="AQ495" s="931"/>
    </row>
    <row r="496" spans="1:43" ht="16.5" thickBot="1">
      <c r="A496" s="1007">
        <v>33</v>
      </c>
      <c r="B496" s="926" t="s">
        <v>9298</v>
      </c>
      <c r="C496" s="1089">
        <v>445</v>
      </c>
      <c r="D496" s="1116"/>
      <c r="E496" s="943"/>
      <c r="F496" s="1008"/>
      <c r="G496" s="1008"/>
      <c r="H496" s="1008"/>
      <c r="I496" s="1008"/>
      <c r="J496" s="1008"/>
      <c r="K496" s="1008"/>
      <c r="L496" s="1008"/>
      <c r="M496" s="1008"/>
      <c r="N496" s="1008"/>
      <c r="O496" s="1008"/>
      <c r="P496" s="1008"/>
      <c r="Q496" s="1008"/>
      <c r="R496" s="1008"/>
      <c r="S496" s="21"/>
      <c r="T496" s="1008"/>
      <c r="U496" s="961"/>
      <c r="AQ496" s="931"/>
    </row>
    <row r="497" spans="1:43" ht="16.5" thickBot="1">
      <c r="A497" s="1007">
        <v>34</v>
      </c>
      <c r="B497" s="926" t="s">
        <v>3822</v>
      </c>
      <c r="C497" s="1089">
        <v>510</v>
      </c>
      <c r="D497" s="1116"/>
      <c r="E497" s="943"/>
      <c r="F497" s="1008"/>
      <c r="G497" s="1008"/>
      <c r="H497" s="1008"/>
      <c r="I497" s="1008"/>
      <c r="J497" s="1008"/>
      <c r="K497" s="1008"/>
      <c r="L497" s="1008"/>
      <c r="M497" s="1008"/>
      <c r="N497" s="1008"/>
      <c r="O497" s="1008"/>
      <c r="P497" s="1008"/>
      <c r="Q497" s="1008"/>
      <c r="R497" s="1008"/>
      <c r="S497" s="21"/>
      <c r="T497" s="1008"/>
      <c r="U497" s="961"/>
      <c r="AQ497" s="931"/>
    </row>
    <row r="498" spans="1:43" ht="16.5" thickBot="1">
      <c r="A498" s="1007">
        <v>35</v>
      </c>
      <c r="B498" s="926" t="s">
        <v>3823</v>
      </c>
      <c r="C498" s="1089">
        <v>510</v>
      </c>
      <c r="D498" s="1116"/>
      <c r="E498" s="943"/>
      <c r="F498" s="1008"/>
      <c r="G498" s="1008"/>
      <c r="H498" s="1008"/>
      <c r="I498" s="1008"/>
      <c r="J498" s="1008"/>
      <c r="K498" s="1008"/>
      <c r="L498" s="1008"/>
      <c r="M498" s="1008"/>
      <c r="N498" s="1008"/>
      <c r="O498" s="1008"/>
      <c r="P498" s="1008"/>
      <c r="Q498" s="1008"/>
      <c r="R498" s="1008"/>
      <c r="S498" s="21"/>
      <c r="T498" s="1008"/>
      <c r="U498" s="961"/>
      <c r="AQ498" s="931"/>
    </row>
    <row r="499" spans="1:43" ht="16.5" thickBot="1">
      <c r="A499" s="1007">
        <v>36</v>
      </c>
      <c r="B499" s="926" t="s">
        <v>7874</v>
      </c>
      <c r="C499" s="1089">
        <v>510</v>
      </c>
      <c r="D499" s="1116"/>
      <c r="E499" s="943"/>
      <c r="F499" s="1008"/>
      <c r="G499" s="1008"/>
      <c r="H499" s="1008"/>
      <c r="I499" s="1008"/>
      <c r="J499" s="1008"/>
      <c r="K499" s="1008"/>
      <c r="L499" s="1008"/>
      <c r="M499" s="1008"/>
      <c r="N499" s="1008"/>
      <c r="O499" s="1008"/>
      <c r="P499" s="1008"/>
      <c r="Q499" s="1008"/>
      <c r="R499" s="1008"/>
      <c r="S499" s="21"/>
      <c r="T499" s="1008"/>
      <c r="U499" s="961"/>
      <c r="AQ499" s="931"/>
    </row>
    <row r="500" spans="1:43" ht="16.5" thickBot="1">
      <c r="A500" s="1007">
        <v>37</v>
      </c>
      <c r="B500" s="926" t="s">
        <v>2803</v>
      </c>
      <c r="C500" s="1089">
        <v>445</v>
      </c>
      <c r="D500" s="1116"/>
      <c r="E500" s="943"/>
      <c r="F500" s="1008"/>
      <c r="G500" s="1008"/>
      <c r="H500" s="1008"/>
      <c r="I500" s="1008"/>
      <c r="J500" s="1008"/>
      <c r="K500" s="1008"/>
      <c r="L500" s="1008"/>
      <c r="M500" s="1008"/>
      <c r="N500" s="1008"/>
      <c r="O500" s="1008"/>
      <c r="P500" s="1008"/>
      <c r="Q500" s="1008"/>
      <c r="R500" s="1008"/>
      <c r="S500" s="21"/>
      <c r="T500" s="1008"/>
      <c r="U500" s="961"/>
      <c r="AQ500" s="931"/>
    </row>
    <row r="501" spans="1:43" ht="16.5" thickBot="1">
      <c r="A501" s="1007">
        <v>38</v>
      </c>
      <c r="B501" s="926" t="s">
        <v>2801</v>
      </c>
      <c r="C501" s="1089">
        <v>445</v>
      </c>
      <c r="D501" s="1116"/>
      <c r="E501" s="943"/>
      <c r="F501" s="1008"/>
      <c r="G501" s="1008"/>
      <c r="H501" s="1008"/>
      <c r="I501" s="1008"/>
      <c r="J501" s="1008"/>
      <c r="K501" s="1008"/>
      <c r="L501" s="1008"/>
      <c r="M501" s="1008"/>
      <c r="N501" s="1008"/>
      <c r="O501" s="1008"/>
      <c r="P501" s="1008"/>
      <c r="Q501" s="1008"/>
      <c r="R501" s="1008"/>
      <c r="S501" s="21"/>
      <c r="T501" s="1008"/>
      <c r="U501" s="961"/>
      <c r="AQ501" s="931"/>
    </row>
    <row r="502" spans="1:43" ht="16.5" thickBot="1">
      <c r="A502" s="1007">
        <v>39</v>
      </c>
      <c r="B502" s="926" t="s">
        <v>9927</v>
      </c>
      <c r="C502" s="1089">
        <v>445</v>
      </c>
      <c r="D502" s="1116"/>
      <c r="E502" s="943"/>
      <c r="F502" s="1008"/>
      <c r="G502" s="1008"/>
      <c r="H502" s="1008"/>
      <c r="I502" s="1008"/>
      <c r="J502" s="1008"/>
      <c r="K502" s="1008"/>
      <c r="L502" s="1008"/>
      <c r="M502" s="1008"/>
      <c r="N502" s="1008"/>
      <c r="O502" s="1008"/>
      <c r="P502" s="1008"/>
      <c r="Q502" s="1008"/>
      <c r="R502" s="1008"/>
      <c r="S502" s="21"/>
      <c r="T502" s="1008"/>
      <c r="U502" s="961"/>
      <c r="AQ502" s="931"/>
    </row>
    <row r="503" spans="1:43" ht="16.5" thickBot="1">
      <c r="A503" s="1007">
        <v>40</v>
      </c>
      <c r="B503" s="926" t="s">
        <v>6452</v>
      </c>
      <c r="C503" s="1089">
        <v>550</v>
      </c>
      <c r="D503" s="1116"/>
      <c r="E503" s="943"/>
      <c r="F503" s="1008"/>
      <c r="G503" s="1008"/>
      <c r="H503" s="1008"/>
      <c r="I503" s="1008"/>
      <c r="J503" s="1008"/>
      <c r="K503" s="1008"/>
      <c r="L503" s="1008"/>
      <c r="M503" s="1008"/>
      <c r="N503" s="1008"/>
      <c r="O503" s="1008"/>
      <c r="P503" s="1008"/>
      <c r="Q503" s="1008"/>
      <c r="R503" s="1008"/>
      <c r="S503" s="21"/>
      <c r="T503" s="1008"/>
      <c r="U503" s="961"/>
      <c r="AQ503" s="931"/>
    </row>
    <row r="504" spans="1:43" ht="16.5" thickBot="1">
      <c r="A504" s="1007">
        <v>41</v>
      </c>
      <c r="B504" s="926" t="s">
        <v>6453</v>
      </c>
      <c r="C504" s="1089">
        <v>445</v>
      </c>
      <c r="D504" s="1116"/>
      <c r="E504" s="943"/>
      <c r="F504" s="1008"/>
      <c r="G504" s="1008"/>
      <c r="H504" s="1008"/>
      <c r="I504" s="1008"/>
      <c r="J504" s="1008"/>
      <c r="K504" s="1008"/>
      <c r="L504" s="1008"/>
      <c r="M504" s="1008"/>
      <c r="N504" s="1008"/>
      <c r="O504" s="1008"/>
      <c r="P504" s="1008"/>
      <c r="Q504" s="1008"/>
      <c r="R504" s="1008"/>
      <c r="S504" s="21"/>
      <c r="T504" s="1008"/>
      <c r="U504" s="961"/>
      <c r="AQ504" s="931"/>
    </row>
    <row r="505" spans="1:43" ht="16.5" thickBot="1">
      <c r="A505" s="1007">
        <v>42</v>
      </c>
      <c r="B505" s="926" t="s">
        <v>3527</v>
      </c>
      <c r="C505" s="1089">
        <v>510</v>
      </c>
      <c r="D505" s="1116"/>
      <c r="E505" s="943"/>
      <c r="F505" s="1008"/>
      <c r="G505" s="1008"/>
      <c r="H505" s="1008"/>
      <c r="I505" s="1008"/>
      <c r="J505" s="1008"/>
      <c r="K505" s="1008"/>
      <c r="L505" s="1008"/>
      <c r="M505" s="1008"/>
      <c r="N505" s="1008"/>
      <c r="O505" s="1008"/>
      <c r="P505" s="1008"/>
      <c r="Q505" s="1008"/>
      <c r="R505" s="1008"/>
      <c r="S505" s="21"/>
      <c r="T505" s="1008"/>
      <c r="U505" s="961"/>
      <c r="AQ505" s="7"/>
    </row>
    <row r="506" spans="1:43" ht="16.5" thickBot="1">
      <c r="A506" s="20" t="s">
        <v>2462</v>
      </c>
      <c r="B506" s="1006" t="s">
        <v>6454</v>
      </c>
      <c r="C506" s="1009"/>
      <c r="D506" s="1117"/>
    </row>
    <row r="507" spans="1:43" ht="16.5" thickBot="1">
      <c r="A507" s="1007">
        <v>1</v>
      </c>
      <c r="B507" s="926" t="s">
        <v>6455</v>
      </c>
      <c r="C507" s="1088">
        <v>400</v>
      </c>
      <c r="D507" s="1116"/>
      <c r="E507" s="940"/>
      <c r="F507" s="21"/>
      <c r="G507" s="21"/>
      <c r="H507" s="21"/>
      <c r="I507" s="21"/>
      <c r="J507" s="21"/>
      <c r="K507" s="21"/>
      <c r="L507" s="21"/>
      <c r="M507" s="21"/>
      <c r="N507" s="21"/>
      <c r="O507" s="21"/>
      <c r="P507" s="21"/>
      <c r="Q507" s="21"/>
      <c r="R507" s="21"/>
      <c r="S507" s="21"/>
      <c r="T507" s="21"/>
      <c r="U507" s="961"/>
      <c r="AQ507" s="931"/>
    </row>
    <row r="508" spans="1:43" ht="16.5" thickBot="1">
      <c r="A508" s="1007">
        <v>2</v>
      </c>
      <c r="B508" s="926" t="s">
        <v>6456</v>
      </c>
      <c r="C508" s="1089">
        <v>400</v>
      </c>
      <c r="D508" s="1116"/>
      <c r="E508" s="940"/>
      <c r="F508" s="21"/>
      <c r="G508" s="21"/>
      <c r="H508" s="21"/>
      <c r="I508" s="21"/>
      <c r="J508" s="21"/>
      <c r="K508" s="21"/>
      <c r="L508" s="21"/>
      <c r="M508" s="21"/>
      <c r="N508" s="21"/>
      <c r="O508" s="21"/>
      <c r="P508" s="21"/>
      <c r="Q508" s="21"/>
      <c r="R508" s="21"/>
      <c r="S508" s="21"/>
      <c r="T508" s="21"/>
      <c r="U508" s="961"/>
      <c r="AQ508" s="931"/>
    </row>
    <row r="509" spans="1:43" ht="16.5" thickBot="1">
      <c r="A509" s="1007">
        <v>3</v>
      </c>
      <c r="B509" s="926" t="s">
        <v>6457</v>
      </c>
      <c r="C509" s="1089">
        <v>415</v>
      </c>
      <c r="D509" s="1116"/>
      <c r="E509" s="940"/>
      <c r="F509" s="21"/>
      <c r="G509" s="21"/>
      <c r="H509" s="21"/>
      <c r="I509" s="21"/>
      <c r="J509" s="21"/>
      <c r="K509" s="21"/>
      <c r="L509" s="21"/>
      <c r="M509" s="21"/>
      <c r="N509" s="21"/>
      <c r="O509" s="21"/>
      <c r="P509" s="21"/>
      <c r="Q509" s="21"/>
      <c r="R509" s="21"/>
      <c r="S509" s="21"/>
      <c r="T509" s="21"/>
      <c r="U509" s="961"/>
      <c r="AQ509" s="931"/>
    </row>
    <row r="510" spans="1:43" ht="16.5" thickBot="1">
      <c r="A510" s="1007">
        <v>4</v>
      </c>
      <c r="B510" s="926" t="s">
        <v>6359</v>
      </c>
      <c r="C510" s="1089">
        <v>400</v>
      </c>
      <c r="D510" s="1116"/>
      <c r="E510" s="940"/>
      <c r="F510" s="21"/>
      <c r="G510" s="21"/>
      <c r="H510" s="21"/>
      <c r="I510" s="21"/>
      <c r="J510" s="21"/>
      <c r="K510" s="21"/>
      <c r="L510" s="21"/>
      <c r="M510" s="21"/>
      <c r="N510" s="21"/>
      <c r="O510" s="21"/>
      <c r="P510" s="21"/>
      <c r="Q510" s="21"/>
      <c r="R510" s="21"/>
      <c r="S510" s="21"/>
      <c r="T510" s="21"/>
      <c r="U510" s="961"/>
      <c r="AQ510" s="931"/>
    </row>
    <row r="511" spans="1:43" ht="16.5" thickBot="1">
      <c r="A511" s="1007">
        <v>5</v>
      </c>
      <c r="B511" s="926" t="s">
        <v>684</v>
      </c>
      <c r="C511" s="1089">
        <v>465</v>
      </c>
      <c r="D511" s="1116"/>
      <c r="E511" s="940"/>
      <c r="F511" s="21"/>
      <c r="G511" s="21"/>
      <c r="H511" s="21"/>
      <c r="I511" s="21"/>
      <c r="J511" s="21"/>
      <c r="K511" s="21"/>
      <c r="L511" s="21"/>
      <c r="M511" s="21"/>
      <c r="N511" s="21"/>
      <c r="O511" s="21"/>
      <c r="P511" s="21"/>
      <c r="Q511" s="21"/>
      <c r="R511" s="21"/>
      <c r="S511" s="21"/>
      <c r="T511" s="21"/>
      <c r="U511" s="961"/>
      <c r="AQ511" s="931"/>
    </row>
    <row r="512" spans="1:43" ht="16.5" thickBot="1">
      <c r="A512" s="1007">
        <v>6</v>
      </c>
      <c r="B512" s="926" t="s">
        <v>1743</v>
      </c>
      <c r="C512" s="1089">
        <v>435</v>
      </c>
      <c r="D512" s="1116"/>
      <c r="E512" s="940"/>
      <c r="F512" s="21"/>
      <c r="G512" s="21"/>
      <c r="H512" s="21"/>
      <c r="I512" s="21"/>
      <c r="J512" s="21"/>
      <c r="K512" s="21"/>
      <c r="L512" s="21"/>
      <c r="M512" s="21"/>
      <c r="N512" s="21"/>
      <c r="O512" s="21"/>
      <c r="P512" s="21"/>
      <c r="Q512" s="21"/>
      <c r="R512" s="21"/>
      <c r="S512" s="21"/>
      <c r="T512" s="21"/>
      <c r="U512" s="961"/>
      <c r="AQ512" s="931"/>
    </row>
    <row r="513" spans="1:43" ht="16.5" thickBot="1">
      <c r="A513" s="1007">
        <v>7</v>
      </c>
      <c r="B513" s="926" t="s">
        <v>1744</v>
      </c>
      <c r="C513" s="1089">
        <v>400</v>
      </c>
      <c r="D513" s="1116"/>
      <c r="E513" s="940"/>
      <c r="F513" s="21"/>
      <c r="G513" s="21"/>
      <c r="H513" s="21"/>
      <c r="I513" s="21"/>
      <c r="J513" s="21"/>
      <c r="K513" s="21"/>
      <c r="L513" s="21"/>
      <c r="M513" s="21"/>
      <c r="N513" s="21"/>
      <c r="O513" s="21"/>
      <c r="P513" s="21"/>
      <c r="Q513" s="21"/>
      <c r="R513" s="21"/>
      <c r="S513" s="21"/>
      <c r="T513" s="21"/>
      <c r="U513" s="961"/>
      <c r="AQ513" s="931"/>
    </row>
    <row r="514" spans="1:43" ht="16.5" thickBot="1">
      <c r="A514" s="1007">
        <v>8</v>
      </c>
      <c r="B514" s="926" t="s">
        <v>9299</v>
      </c>
      <c r="C514" s="1089">
        <v>400</v>
      </c>
      <c r="D514" s="1116"/>
      <c r="E514" s="940"/>
      <c r="F514" s="21"/>
      <c r="G514" s="21"/>
      <c r="H514" s="21"/>
      <c r="I514" s="21"/>
      <c r="J514" s="21"/>
      <c r="K514" s="21"/>
      <c r="L514" s="21"/>
      <c r="M514" s="21"/>
      <c r="N514" s="21"/>
      <c r="O514" s="21"/>
      <c r="P514" s="21"/>
      <c r="Q514" s="21"/>
      <c r="R514" s="21"/>
      <c r="S514" s="21"/>
      <c r="T514" s="21"/>
      <c r="U514" s="961"/>
      <c r="AQ514" s="931"/>
    </row>
    <row r="515" spans="1:43" ht="16.5" thickBot="1">
      <c r="A515" s="1007">
        <v>9</v>
      </c>
      <c r="B515" s="926" t="s">
        <v>2810</v>
      </c>
      <c r="C515" s="1089">
        <v>400</v>
      </c>
      <c r="D515" s="1116"/>
      <c r="E515" s="940"/>
      <c r="F515" s="21"/>
      <c r="G515" s="21"/>
      <c r="H515" s="21"/>
      <c r="I515" s="21"/>
      <c r="J515" s="21"/>
      <c r="K515" s="21"/>
      <c r="L515" s="21"/>
      <c r="M515" s="21"/>
      <c r="N515" s="21"/>
      <c r="O515" s="21"/>
      <c r="P515" s="21"/>
      <c r="Q515" s="21"/>
      <c r="R515" s="21"/>
      <c r="S515" s="21"/>
      <c r="T515" s="21"/>
      <c r="U515" s="961"/>
      <c r="AQ515" s="931"/>
    </row>
    <row r="516" spans="1:43" ht="16.5" thickBot="1">
      <c r="A516" s="1007">
        <v>10</v>
      </c>
      <c r="B516" s="926" t="s">
        <v>9300</v>
      </c>
      <c r="C516" s="1089">
        <v>400</v>
      </c>
      <c r="D516" s="1116"/>
      <c r="E516" s="940"/>
      <c r="F516" s="21"/>
      <c r="G516" s="21"/>
      <c r="H516" s="21"/>
      <c r="I516" s="21"/>
      <c r="J516" s="21"/>
      <c r="K516" s="21"/>
      <c r="L516" s="21"/>
      <c r="M516" s="21"/>
      <c r="N516" s="21"/>
      <c r="O516" s="21"/>
      <c r="P516" s="21"/>
      <c r="Q516" s="21"/>
      <c r="R516" s="21"/>
      <c r="S516" s="21"/>
      <c r="T516" s="21"/>
      <c r="U516" s="961"/>
      <c r="AQ516" s="931"/>
    </row>
    <row r="517" spans="1:43" ht="16.5" thickBot="1">
      <c r="A517" s="1007">
        <v>11</v>
      </c>
      <c r="B517" s="926" t="s">
        <v>6974</v>
      </c>
      <c r="C517" s="1089">
        <v>400</v>
      </c>
      <c r="D517" s="1116"/>
      <c r="E517" s="940"/>
      <c r="F517" s="21"/>
      <c r="G517" s="21"/>
      <c r="H517" s="21"/>
      <c r="I517" s="21"/>
      <c r="J517" s="21"/>
      <c r="K517" s="21"/>
      <c r="L517" s="21"/>
      <c r="M517" s="21"/>
      <c r="N517" s="21"/>
      <c r="O517" s="21"/>
      <c r="P517" s="21"/>
      <c r="Q517" s="21"/>
      <c r="R517" s="21"/>
      <c r="S517" s="21"/>
      <c r="T517" s="21"/>
      <c r="U517" s="961"/>
      <c r="AQ517" s="931"/>
    </row>
    <row r="518" spans="1:43" ht="16.5" thickBot="1">
      <c r="A518" s="1007">
        <v>12</v>
      </c>
      <c r="B518" s="926" t="s">
        <v>6975</v>
      </c>
      <c r="C518" s="1089">
        <v>400</v>
      </c>
      <c r="D518" s="1116"/>
      <c r="E518" s="940"/>
      <c r="F518" s="21"/>
      <c r="G518" s="21"/>
      <c r="H518" s="21"/>
      <c r="I518" s="21"/>
      <c r="J518" s="21"/>
      <c r="K518" s="21"/>
      <c r="L518" s="21"/>
      <c r="M518" s="21"/>
      <c r="N518" s="21"/>
      <c r="O518" s="21"/>
      <c r="P518" s="21"/>
      <c r="Q518" s="21"/>
      <c r="R518" s="21"/>
      <c r="S518" s="21"/>
      <c r="T518" s="21"/>
      <c r="U518" s="961"/>
      <c r="AQ518" s="931"/>
    </row>
    <row r="519" spans="1:43" ht="16.5" thickBot="1">
      <c r="A519" s="1007">
        <v>13</v>
      </c>
      <c r="B519" s="926" t="s">
        <v>2415</v>
      </c>
      <c r="C519" s="1089">
        <v>400</v>
      </c>
      <c r="D519" s="1116"/>
      <c r="E519" s="940"/>
      <c r="F519" s="21"/>
      <c r="G519" s="21"/>
      <c r="H519" s="21"/>
      <c r="I519" s="21"/>
      <c r="J519" s="21"/>
      <c r="K519" s="21"/>
      <c r="L519" s="21"/>
      <c r="M519" s="21"/>
      <c r="N519" s="21"/>
      <c r="O519" s="21"/>
      <c r="P519" s="21"/>
      <c r="Q519" s="21"/>
      <c r="R519" s="21"/>
      <c r="S519" s="21"/>
      <c r="T519" s="21"/>
      <c r="U519" s="961"/>
      <c r="AQ519" s="931"/>
    </row>
    <row r="520" spans="1:43" ht="16.5" thickBot="1">
      <c r="A520" s="1007">
        <v>14</v>
      </c>
      <c r="B520" s="926" t="s">
        <v>2416</v>
      </c>
      <c r="C520" s="1089">
        <v>400</v>
      </c>
      <c r="D520" s="1116"/>
      <c r="E520" s="940"/>
      <c r="F520" s="21"/>
      <c r="G520" s="21"/>
      <c r="H520" s="21"/>
      <c r="I520" s="21"/>
      <c r="J520" s="21"/>
      <c r="K520" s="21"/>
      <c r="L520" s="21"/>
      <c r="M520" s="21"/>
      <c r="N520" s="21"/>
      <c r="O520" s="21"/>
      <c r="P520" s="21"/>
      <c r="Q520" s="21"/>
      <c r="R520" s="21"/>
      <c r="S520" s="21"/>
      <c r="T520" s="21"/>
      <c r="U520" s="961"/>
      <c r="AQ520" s="931"/>
    </row>
    <row r="521" spans="1:43" ht="16.5" thickBot="1">
      <c r="A521" s="1007">
        <v>15</v>
      </c>
      <c r="B521" s="926" t="s">
        <v>2417</v>
      </c>
      <c r="C521" s="1088">
        <v>400</v>
      </c>
      <c r="D521" s="1116"/>
      <c r="E521" s="940"/>
      <c r="F521" s="21"/>
      <c r="G521" s="21"/>
      <c r="H521" s="21"/>
      <c r="I521" s="21"/>
      <c r="J521" s="21"/>
      <c r="K521" s="21"/>
      <c r="L521" s="21"/>
      <c r="M521" s="21"/>
      <c r="N521" s="21"/>
      <c r="O521" s="21"/>
      <c r="P521" s="21"/>
      <c r="Q521" s="21"/>
      <c r="R521" s="21"/>
      <c r="S521" s="21"/>
      <c r="T521" s="21"/>
      <c r="U521" s="961"/>
      <c r="AQ521" s="931"/>
    </row>
    <row r="522" spans="1:43" ht="16.5" thickBot="1">
      <c r="A522" s="1007">
        <v>16</v>
      </c>
      <c r="B522" s="926" t="s">
        <v>2420</v>
      </c>
      <c r="C522" s="1089">
        <v>400</v>
      </c>
      <c r="D522" s="1116"/>
      <c r="E522" s="940"/>
      <c r="F522" s="21"/>
      <c r="G522" s="21"/>
      <c r="H522" s="21"/>
      <c r="I522" s="21"/>
      <c r="J522" s="21"/>
      <c r="K522" s="21"/>
      <c r="L522" s="21"/>
      <c r="M522" s="21"/>
      <c r="N522" s="21"/>
      <c r="O522" s="21"/>
      <c r="P522" s="21"/>
      <c r="Q522" s="21"/>
      <c r="R522" s="21"/>
      <c r="S522" s="21"/>
      <c r="T522" s="21"/>
      <c r="U522" s="961"/>
      <c r="AQ522" s="931"/>
    </row>
    <row r="523" spans="1:43" ht="16.5" thickBot="1">
      <c r="A523" s="1007">
        <v>17</v>
      </c>
      <c r="B523" s="926" t="s">
        <v>2421</v>
      </c>
      <c r="C523" s="1089">
        <v>400</v>
      </c>
      <c r="D523" s="1116"/>
      <c r="E523" s="940"/>
      <c r="F523" s="21"/>
      <c r="G523" s="21"/>
      <c r="H523" s="21"/>
      <c r="I523" s="21"/>
      <c r="J523" s="21"/>
      <c r="K523" s="21"/>
      <c r="L523" s="21"/>
      <c r="M523" s="21"/>
      <c r="N523" s="21"/>
      <c r="O523" s="21"/>
      <c r="P523" s="21"/>
      <c r="Q523" s="21"/>
      <c r="R523" s="21"/>
      <c r="S523" s="21"/>
      <c r="T523" s="21"/>
      <c r="U523" s="961"/>
      <c r="AQ523" s="931"/>
    </row>
    <row r="524" spans="1:43" ht="16.5" thickBot="1">
      <c r="A524" s="1007">
        <v>18</v>
      </c>
      <c r="B524" s="926" t="s">
        <v>3971</v>
      </c>
      <c r="C524" s="1089">
        <v>400</v>
      </c>
      <c r="D524" s="1116"/>
      <c r="E524" s="940"/>
      <c r="F524" s="21"/>
      <c r="G524" s="21"/>
      <c r="H524" s="21"/>
      <c r="I524" s="21"/>
      <c r="J524" s="21"/>
      <c r="K524" s="21"/>
      <c r="L524" s="21"/>
      <c r="M524" s="21"/>
      <c r="N524" s="21"/>
      <c r="O524" s="21"/>
      <c r="P524" s="21"/>
      <c r="Q524" s="21"/>
      <c r="R524" s="21"/>
      <c r="S524" s="21"/>
      <c r="T524" s="21"/>
      <c r="U524" s="961"/>
      <c r="AQ524" s="931"/>
    </row>
    <row r="525" spans="1:43" ht="16.5" thickBot="1">
      <c r="A525" s="1007">
        <v>19</v>
      </c>
      <c r="B525" s="926" t="s">
        <v>3972</v>
      </c>
      <c r="C525" s="1089">
        <v>400</v>
      </c>
      <c r="D525" s="1116"/>
      <c r="E525" s="940"/>
      <c r="F525" s="21"/>
      <c r="G525" s="21"/>
      <c r="H525" s="21"/>
      <c r="I525" s="21"/>
      <c r="J525" s="21"/>
      <c r="K525" s="21"/>
      <c r="L525" s="21"/>
      <c r="M525" s="21"/>
      <c r="N525" s="21"/>
      <c r="O525" s="21"/>
      <c r="P525" s="21"/>
      <c r="Q525" s="21"/>
      <c r="R525" s="21"/>
      <c r="S525" s="21"/>
      <c r="T525" s="21"/>
      <c r="U525" s="961"/>
      <c r="AQ525" s="931"/>
    </row>
    <row r="526" spans="1:43" ht="16.5" thickBot="1">
      <c r="A526" s="1007">
        <v>20</v>
      </c>
      <c r="B526" s="926" t="s">
        <v>3973</v>
      </c>
      <c r="C526" s="1089">
        <v>400</v>
      </c>
      <c r="D526" s="1116"/>
      <c r="E526" s="940"/>
      <c r="F526" s="21"/>
      <c r="G526" s="21"/>
      <c r="H526" s="21"/>
      <c r="I526" s="21"/>
      <c r="J526" s="21"/>
      <c r="K526" s="21"/>
      <c r="L526" s="21"/>
      <c r="M526" s="21"/>
      <c r="N526" s="21"/>
      <c r="O526" s="21"/>
      <c r="P526" s="21"/>
      <c r="Q526" s="21"/>
      <c r="R526" s="21"/>
      <c r="S526" s="21"/>
      <c r="T526" s="21"/>
      <c r="U526" s="961"/>
      <c r="AQ526" s="931"/>
    </row>
    <row r="527" spans="1:43" ht="16.5" thickBot="1">
      <c r="A527" s="1007">
        <v>21</v>
      </c>
      <c r="B527" s="926" t="s">
        <v>3293</v>
      </c>
      <c r="C527" s="1089">
        <v>400</v>
      </c>
      <c r="D527" s="1116"/>
      <c r="E527" s="940"/>
      <c r="F527" s="21"/>
      <c r="G527" s="21"/>
      <c r="H527" s="21"/>
      <c r="I527" s="21"/>
      <c r="J527" s="21"/>
      <c r="K527" s="21"/>
      <c r="L527" s="21"/>
      <c r="M527" s="21"/>
      <c r="N527" s="21"/>
      <c r="O527" s="21"/>
      <c r="P527" s="21"/>
      <c r="Q527" s="21"/>
      <c r="R527" s="21"/>
      <c r="S527" s="21"/>
      <c r="T527" s="21"/>
      <c r="U527" s="961"/>
      <c r="AQ527" s="931"/>
    </row>
    <row r="528" spans="1:43" ht="16.5" thickBot="1">
      <c r="A528" s="1007">
        <v>22</v>
      </c>
      <c r="B528" s="926" t="s">
        <v>2763</v>
      </c>
      <c r="C528" s="1089">
        <v>400</v>
      </c>
      <c r="D528" s="1116"/>
      <c r="E528" s="940"/>
      <c r="F528" s="21"/>
      <c r="G528" s="21"/>
      <c r="H528" s="21"/>
      <c r="I528" s="21"/>
      <c r="J528" s="21"/>
      <c r="K528" s="21"/>
      <c r="L528" s="21"/>
      <c r="M528" s="21"/>
      <c r="N528" s="21"/>
      <c r="O528" s="21"/>
      <c r="P528" s="21"/>
      <c r="Q528" s="21"/>
      <c r="R528" s="21"/>
      <c r="S528" s="21"/>
      <c r="T528" s="21"/>
      <c r="U528" s="961"/>
      <c r="AQ528" s="931"/>
    </row>
    <row r="529" spans="1:43" ht="16.5" thickBot="1">
      <c r="A529" s="1007">
        <v>23</v>
      </c>
      <c r="B529" s="926" t="s">
        <v>9301</v>
      </c>
      <c r="C529" s="1089">
        <v>400</v>
      </c>
      <c r="D529" s="1116"/>
      <c r="E529" s="940"/>
      <c r="F529" s="21"/>
      <c r="G529" s="21"/>
      <c r="H529" s="21"/>
      <c r="I529" s="21"/>
      <c r="J529" s="21"/>
      <c r="K529" s="21"/>
      <c r="L529" s="21"/>
      <c r="M529" s="21"/>
      <c r="N529" s="21"/>
      <c r="O529" s="21"/>
      <c r="P529" s="21"/>
      <c r="Q529" s="21"/>
      <c r="R529" s="21"/>
      <c r="S529" s="21"/>
      <c r="T529" s="21"/>
      <c r="U529" s="961"/>
      <c r="AQ529" s="931"/>
    </row>
    <row r="530" spans="1:43" ht="16.5" thickBot="1">
      <c r="A530" s="1007">
        <v>24</v>
      </c>
      <c r="B530" s="926" t="s">
        <v>1512</v>
      </c>
      <c r="C530" s="1089">
        <v>400</v>
      </c>
      <c r="D530" s="1116"/>
      <c r="E530" s="940"/>
      <c r="F530" s="21"/>
      <c r="G530" s="21"/>
      <c r="H530" s="21"/>
      <c r="I530" s="21"/>
      <c r="J530" s="21"/>
      <c r="K530" s="21"/>
      <c r="L530" s="21"/>
      <c r="M530" s="21"/>
      <c r="N530" s="21"/>
      <c r="O530" s="21"/>
      <c r="P530" s="21"/>
      <c r="Q530" s="21"/>
      <c r="R530" s="21"/>
      <c r="S530" s="21"/>
      <c r="T530" s="21"/>
      <c r="U530" s="961"/>
      <c r="AQ530" s="931"/>
    </row>
    <row r="531" spans="1:43" ht="16.5" thickBot="1">
      <c r="A531" s="1007">
        <v>25</v>
      </c>
      <c r="B531" s="926" t="s">
        <v>344</v>
      </c>
      <c r="C531" s="1089">
        <v>400</v>
      </c>
      <c r="D531" s="1116"/>
      <c r="E531" s="940"/>
      <c r="F531" s="21"/>
      <c r="G531" s="21"/>
      <c r="H531" s="21"/>
      <c r="I531" s="21"/>
      <c r="J531" s="21"/>
      <c r="K531" s="21"/>
      <c r="L531" s="21"/>
      <c r="M531" s="21"/>
      <c r="N531" s="21"/>
      <c r="O531" s="21"/>
      <c r="P531" s="21"/>
      <c r="Q531" s="21"/>
      <c r="R531" s="21"/>
      <c r="S531" s="21"/>
      <c r="T531" s="21"/>
      <c r="U531" s="961"/>
      <c r="AQ531" s="931"/>
    </row>
    <row r="532" spans="1:43" ht="16.5" thickBot="1">
      <c r="A532" s="1007">
        <v>26</v>
      </c>
      <c r="B532" s="926" t="s">
        <v>744</v>
      </c>
      <c r="C532" s="1089">
        <v>400</v>
      </c>
      <c r="D532" s="1116"/>
      <c r="E532" s="940"/>
      <c r="F532" s="21"/>
      <c r="G532" s="21"/>
      <c r="H532" s="21"/>
      <c r="I532" s="21"/>
      <c r="J532" s="21"/>
      <c r="K532" s="21"/>
      <c r="L532" s="21"/>
      <c r="M532" s="21"/>
      <c r="N532" s="21"/>
      <c r="O532" s="21"/>
      <c r="P532" s="21"/>
      <c r="Q532" s="21"/>
      <c r="R532" s="21"/>
      <c r="S532" s="21"/>
      <c r="T532" s="21"/>
      <c r="U532" s="961"/>
      <c r="AQ532" s="931"/>
    </row>
    <row r="533" spans="1:43" ht="16.5" thickBot="1">
      <c r="A533" s="1007">
        <v>27</v>
      </c>
      <c r="B533" s="926" t="s">
        <v>745</v>
      </c>
      <c r="C533" s="1089">
        <v>400</v>
      </c>
      <c r="D533" s="1116"/>
      <c r="E533" s="940"/>
      <c r="F533" s="21"/>
      <c r="G533" s="21"/>
      <c r="H533" s="21"/>
      <c r="I533" s="21"/>
      <c r="J533" s="21"/>
      <c r="K533" s="21"/>
      <c r="L533" s="21"/>
      <c r="M533" s="21"/>
      <c r="N533" s="21"/>
      <c r="O533" s="21"/>
      <c r="P533" s="21"/>
      <c r="Q533" s="21"/>
      <c r="R533" s="21"/>
      <c r="S533" s="21"/>
      <c r="T533" s="21"/>
      <c r="U533" s="961"/>
      <c r="AQ533" s="931"/>
    </row>
    <row r="534" spans="1:43" ht="16.5" thickBot="1">
      <c r="A534" s="1007">
        <v>28</v>
      </c>
      <c r="B534" s="926" t="s">
        <v>746</v>
      </c>
      <c r="C534" s="1089">
        <v>400</v>
      </c>
      <c r="D534" s="1116"/>
      <c r="E534" s="940"/>
      <c r="F534" s="21"/>
      <c r="G534" s="21"/>
      <c r="H534" s="21"/>
      <c r="I534" s="21"/>
      <c r="J534" s="21"/>
      <c r="K534" s="21"/>
      <c r="L534" s="21"/>
      <c r="M534" s="21"/>
      <c r="N534" s="21"/>
      <c r="O534" s="21"/>
      <c r="P534" s="21"/>
      <c r="Q534" s="21"/>
      <c r="R534" s="21"/>
      <c r="S534" s="21"/>
      <c r="T534" s="21"/>
      <c r="U534" s="961"/>
      <c r="AQ534" s="931"/>
    </row>
    <row r="535" spans="1:43" ht="16.5" thickBot="1">
      <c r="A535" s="1007">
        <v>29</v>
      </c>
      <c r="B535" s="926" t="s">
        <v>747</v>
      </c>
      <c r="C535" s="1089">
        <v>400</v>
      </c>
      <c r="D535" s="1116"/>
      <c r="E535" s="940"/>
      <c r="F535" s="21"/>
      <c r="G535" s="21"/>
      <c r="H535" s="21"/>
      <c r="I535" s="21"/>
      <c r="J535" s="21"/>
      <c r="K535" s="21"/>
      <c r="L535" s="21"/>
      <c r="M535" s="21"/>
      <c r="N535" s="21"/>
      <c r="O535" s="21"/>
      <c r="P535" s="21"/>
      <c r="Q535" s="21"/>
      <c r="R535" s="21"/>
      <c r="S535" s="21"/>
      <c r="T535" s="21"/>
      <c r="U535" s="961"/>
      <c r="AQ535" s="931"/>
    </row>
    <row r="536" spans="1:43" ht="16.5" thickBot="1">
      <c r="A536" s="1007">
        <v>30</v>
      </c>
      <c r="B536" s="926" t="s">
        <v>748</v>
      </c>
      <c r="C536" s="1089">
        <v>400</v>
      </c>
      <c r="D536" s="1116"/>
      <c r="E536" s="940"/>
      <c r="F536" s="21"/>
      <c r="G536" s="21"/>
      <c r="H536" s="21"/>
      <c r="I536" s="21"/>
      <c r="J536" s="21"/>
      <c r="K536" s="21"/>
      <c r="L536" s="21"/>
      <c r="M536" s="21"/>
      <c r="N536" s="21"/>
      <c r="O536" s="21"/>
      <c r="P536" s="21"/>
      <c r="Q536" s="21"/>
      <c r="R536" s="21"/>
      <c r="S536" s="21"/>
      <c r="T536" s="21"/>
      <c r="U536" s="961"/>
      <c r="AQ536" s="931"/>
    </row>
    <row r="537" spans="1:43" ht="16.5" thickBot="1">
      <c r="A537" s="1007">
        <v>31</v>
      </c>
      <c r="B537" s="926" t="s">
        <v>749</v>
      </c>
      <c r="C537" s="1089">
        <v>400</v>
      </c>
      <c r="D537" s="1116"/>
      <c r="E537" s="940"/>
      <c r="F537" s="21"/>
      <c r="G537" s="21"/>
      <c r="H537" s="21"/>
      <c r="I537" s="21"/>
      <c r="J537" s="21"/>
      <c r="K537" s="21"/>
      <c r="L537" s="21"/>
      <c r="M537" s="21"/>
      <c r="N537" s="21"/>
      <c r="O537" s="21"/>
      <c r="P537" s="21"/>
      <c r="Q537" s="21"/>
      <c r="R537" s="21"/>
      <c r="S537" s="21"/>
      <c r="T537" s="21"/>
      <c r="U537" s="961"/>
      <c r="AQ537" s="931"/>
    </row>
    <row r="538" spans="1:43" ht="16.5" thickBot="1">
      <c r="A538" s="1007">
        <v>32</v>
      </c>
      <c r="B538" s="926" t="s">
        <v>9302</v>
      </c>
      <c r="C538" s="1089">
        <v>400</v>
      </c>
      <c r="D538" s="1116"/>
      <c r="E538" s="940"/>
      <c r="F538" s="21"/>
      <c r="G538" s="21"/>
      <c r="H538" s="21"/>
      <c r="I538" s="21"/>
      <c r="J538" s="21"/>
      <c r="K538" s="21"/>
      <c r="L538" s="21"/>
      <c r="M538" s="21"/>
      <c r="N538" s="21"/>
      <c r="O538" s="21"/>
      <c r="P538" s="21"/>
      <c r="Q538" s="21"/>
      <c r="R538" s="21"/>
      <c r="S538" s="21"/>
      <c r="T538" s="21"/>
      <c r="U538" s="961"/>
      <c r="AQ538" s="931"/>
    </row>
    <row r="539" spans="1:43" ht="16.5" thickBot="1">
      <c r="A539" s="1007">
        <v>33</v>
      </c>
      <c r="B539" s="926" t="s">
        <v>2477</v>
      </c>
      <c r="C539" s="1089">
        <v>400</v>
      </c>
      <c r="D539" s="1116"/>
      <c r="E539" s="940"/>
      <c r="F539" s="21"/>
      <c r="G539" s="21"/>
      <c r="H539" s="21"/>
      <c r="I539" s="21"/>
      <c r="J539" s="21"/>
      <c r="K539" s="21"/>
      <c r="L539" s="21"/>
      <c r="M539" s="21"/>
      <c r="N539" s="21"/>
      <c r="O539" s="21"/>
      <c r="P539" s="21"/>
      <c r="Q539" s="21"/>
      <c r="R539" s="21"/>
      <c r="S539" s="21"/>
      <c r="T539" s="21"/>
      <c r="U539" s="961"/>
      <c r="AQ539" s="931"/>
    </row>
    <row r="540" spans="1:43" ht="16.5" thickBot="1">
      <c r="A540" s="1007">
        <v>34</v>
      </c>
      <c r="B540" s="926" t="s">
        <v>2478</v>
      </c>
      <c r="C540" s="1089">
        <v>400</v>
      </c>
      <c r="D540" s="1116"/>
      <c r="E540" s="940"/>
      <c r="F540" s="21"/>
      <c r="G540" s="21"/>
      <c r="H540" s="21"/>
      <c r="I540" s="21"/>
      <c r="J540" s="21"/>
      <c r="K540" s="21"/>
      <c r="L540" s="21"/>
      <c r="M540" s="21"/>
      <c r="N540" s="21"/>
      <c r="O540" s="21"/>
      <c r="P540" s="21"/>
      <c r="Q540" s="21"/>
      <c r="R540" s="21"/>
      <c r="S540" s="21"/>
      <c r="T540" s="21"/>
      <c r="U540" s="961"/>
      <c r="AQ540" s="931"/>
    </row>
    <row r="541" spans="1:43" ht="16.5" thickBot="1">
      <c r="A541" s="1007">
        <v>35</v>
      </c>
      <c r="B541" s="926" t="s">
        <v>9303</v>
      </c>
      <c r="C541" s="1089">
        <v>400</v>
      </c>
      <c r="D541" s="1116"/>
      <c r="E541" s="940"/>
      <c r="F541" s="21"/>
      <c r="G541" s="21"/>
      <c r="H541" s="21"/>
      <c r="I541" s="21"/>
      <c r="J541" s="21"/>
      <c r="K541" s="21"/>
      <c r="L541" s="21"/>
      <c r="M541" s="21"/>
      <c r="N541" s="21"/>
      <c r="O541" s="21"/>
      <c r="P541" s="21"/>
      <c r="Q541" s="21"/>
      <c r="R541" s="21"/>
      <c r="S541" s="21"/>
      <c r="T541" s="21"/>
      <c r="U541" s="961"/>
      <c r="AQ541" s="931"/>
    </row>
    <row r="542" spans="1:43" ht="16.5" thickBot="1">
      <c r="A542" s="1007">
        <v>36</v>
      </c>
      <c r="B542" s="926" t="s">
        <v>1366</v>
      </c>
      <c r="C542" s="1089">
        <v>400</v>
      </c>
      <c r="D542" s="1116"/>
      <c r="E542" s="940"/>
      <c r="F542" s="21"/>
      <c r="G542" s="21"/>
      <c r="H542" s="21"/>
      <c r="I542" s="21"/>
      <c r="J542" s="21"/>
      <c r="K542" s="21"/>
      <c r="L542" s="21"/>
      <c r="M542" s="21"/>
      <c r="N542" s="21"/>
      <c r="O542" s="21"/>
      <c r="P542" s="21"/>
      <c r="Q542" s="21"/>
      <c r="R542" s="21"/>
      <c r="S542" s="21"/>
      <c r="T542" s="21"/>
      <c r="U542" s="961"/>
      <c r="AQ542" s="931"/>
    </row>
    <row r="543" spans="1:43" ht="16.5" thickBot="1">
      <c r="A543" s="1007">
        <v>37</v>
      </c>
      <c r="B543" s="926" t="s">
        <v>1367</v>
      </c>
      <c r="C543" s="1089">
        <v>400</v>
      </c>
      <c r="D543" s="1116"/>
      <c r="E543" s="940"/>
      <c r="F543" s="21"/>
      <c r="G543" s="21"/>
      <c r="H543" s="21"/>
      <c r="I543" s="21"/>
      <c r="J543" s="21"/>
      <c r="K543" s="21"/>
      <c r="L543" s="21"/>
      <c r="M543" s="21"/>
      <c r="N543" s="21"/>
      <c r="O543" s="21"/>
      <c r="P543" s="21"/>
      <c r="Q543" s="21"/>
      <c r="R543" s="21"/>
      <c r="S543" s="21"/>
      <c r="T543" s="21"/>
      <c r="U543" s="961"/>
      <c r="AQ543" s="931"/>
    </row>
    <row r="544" spans="1:43" ht="16.5" thickBot="1">
      <c r="A544" s="1007">
        <v>38</v>
      </c>
      <c r="B544" s="926" t="s">
        <v>1368</v>
      </c>
      <c r="C544" s="1089">
        <v>400</v>
      </c>
      <c r="D544" s="1116"/>
      <c r="E544" s="940"/>
      <c r="F544" s="21"/>
      <c r="G544" s="21"/>
      <c r="H544" s="21"/>
      <c r="I544" s="21"/>
      <c r="J544" s="21"/>
      <c r="K544" s="21"/>
      <c r="L544" s="21"/>
      <c r="M544" s="21"/>
      <c r="N544" s="21"/>
      <c r="O544" s="21"/>
      <c r="P544" s="21"/>
      <c r="Q544" s="21"/>
      <c r="R544" s="21"/>
      <c r="S544" s="21"/>
      <c r="T544" s="21"/>
      <c r="U544" s="961"/>
      <c r="AQ544" s="931"/>
    </row>
    <row r="545" spans="1:43" ht="16.5" thickBot="1">
      <c r="A545" s="1007">
        <v>39</v>
      </c>
      <c r="B545" s="926" t="s">
        <v>9928</v>
      </c>
      <c r="C545" s="1089">
        <v>400</v>
      </c>
      <c r="D545" s="1116"/>
      <c r="E545" s="940"/>
      <c r="F545" s="21"/>
      <c r="G545" s="21"/>
      <c r="H545" s="21"/>
      <c r="I545" s="21"/>
      <c r="J545" s="21"/>
      <c r="K545" s="21"/>
      <c r="L545" s="21"/>
      <c r="M545" s="21"/>
      <c r="N545" s="21"/>
      <c r="O545" s="21"/>
      <c r="P545" s="21"/>
      <c r="Q545" s="21"/>
      <c r="R545" s="21"/>
      <c r="S545" s="21"/>
      <c r="T545" s="21"/>
      <c r="U545" s="961"/>
      <c r="AQ545" s="931"/>
    </row>
    <row r="546" spans="1:43" ht="16.5" thickBot="1">
      <c r="A546" s="1007">
        <v>40</v>
      </c>
      <c r="B546" s="926" t="s">
        <v>9929</v>
      </c>
      <c r="C546" s="1089">
        <v>400</v>
      </c>
      <c r="D546" s="1116"/>
      <c r="E546" s="940"/>
      <c r="F546" s="21"/>
      <c r="G546" s="21"/>
      <c r="H546" s="21"/>
      <c r="I546" s="21"/>
      <c r="J546" s="21"/>
      <c r="K546" s="21"/>
      <c r="L546" s="21"/>
      <c r="M546" s="21"/>
      <c r="N546" s="21"/>
      <c r="O546" s="21"/>
      <c r="P546" s="21"/>
      <c r="Q546" s="21"/>
      <c r="R546" s="21"/>
      <c r="S546" s="21"/>
      <c r="T546" s="21"/>
      <c r="U546" s="961"/>
      <c r="AQ546" s="931"/>
    </row>
    <row r="547" spans="1:43" ht="16.5" thickBot="1">
      <c r="A547" s="1007">
        <v>41</v>
      </c>
      <c r="B547" s="926" t="s">
        <v>9304</v>
      </c>
      <c r="C547" s="1089">
        <v>400</v>
      </c>
      <c r="D547" s="1116"/>
      <c r="E547" s="940"/>
      <c r="F547" s="21"/>
      <c r="G547" s="21"/>
      <c r="H547" s="21"/>
      <c r="I547" s="21"/>
      <c r="J547" s="21"/>
      <c r="K547" s="21"/>
      <c r="L547" s="21"/>
      <c r="M547" s="21"/>
      <c r="N547" s="21"/>
      <c r="O547" s="21"/>
      <c r="P547" s="21"/>
      <c r="Q547" s="21"/>
      <c r="R547" s="21"/>
      <c r="S547" s="21"/>
      <c r="T547" s="21"/>
      <c r="U547" s="961"/>
      <c r="AQ547" s="931"/>
    </row>
    <row r="548" spans="1:43">
      <c r="A548" s="20" t="s">
        <v>2418</v>
      </c>
      <c r="B548" s="1006" t="s">
        <v>1369</v>
      </c>
      <c r="C548" s="952"/>
      <c r="D548" s="1117"/>
      <c r="AQ548" s="7"/>
    </row>
    <row r="549" spans="1:43">
      <c r="A549" s="1007">
        <v>1</v>
      </c>
      <c r="B549" s="926" t="s">
        <v>1370</v>
      </c>
      <c r="C549" s="952">
        <v>350</v>
      </c>
      <c r="D549" s="1116"/>
      <c r="E549" s="940"/>
      <c r="F549" s="21"/>
      <c r="G549" s="21"/>
      <c r="H549" s="21"/>
      <c r="I549" s="21"/>
      <c r="J549" s="21"/>
      <c r="K549" s="21"/>
      <c r="L549" s="21"/>
      <c r="M549" s="21"/>
      <c r="N549" s="21"/>
      <c r="O549" s="21"/>
      <c r="P549" s="21"/>
      <c r="Q549" s="21"/>
      <c r="R549" s="21"/>
      <c r="S549" s="21"/>
      <c r="T549" s="21"/>
      <c r="U549" s="925"/>
      <c r="AQ549" s="931"/>
    </row>
    <row r="550" spans="1:43">
      <c r="A550" s="1007">
        <v>2</v>
      </c>
      <c r="B550" s="926" t="s">
        <v>1033</v>
      </c>
      <c r="C550" s="952">
        <v>350</v>
      </c>
      <c r="D550" s="1116"/>
      <c r="E550" s="940"/>
      <c r="F550" s="21"/>
      <c r="G550" s="21"/>
      <c r="H550" s="21"/>
      <c r="I550" s="21"/>
      <c r="J550" s="21"/>
      <c r="K550" s="21"/>
      <c r="L550" s="21"/>
      <c r="M550" s="21"/>
      <c r="N550" s="21"/>
      <c r="O550" s="21"/>
      <c r="P550" s="21"/>
      <c r="Q550" s="21"/>
      <c r="R550" s="21"/>
      <c r="S550" s="21"/>
      <c r="T550" s="21"/>
      <c r="U550" s="925"/>
      <c r="AQ550" s="931"/>
    </row>
    <row r="551" spans="1:43">
      <c r="A551" s="1007">
        <v>3</v>
      </c>
      <c r="B551" s="1006" t="s">
        <v>9305</v>
      </c>
      <c r="C551" s="952">
        <v>350</v>
      </c>
      <c r="D551" s="1116"/>
      <c r="E551" s="940"/>
      <c r="F551" s="21"/>
      <c r="G551" s="21"/>
      <c r="H551" s="21"/>
      <c r="I551" s="21"/>
      <c r="J551" s="21"/>
      <c r="K551" s="21"/>
      <c r="L551" s="21"/>
      <c r="M551" s="21"/>
      <c r="N551" s="21"/>
      <c r="O551" s="21"/>
      <c r="P551" s="21"/>
      <c r="Q551" s="21"/>
      <c r="R551" s="21"/>
      <c r="S551" s="21"/>
      <c r="T551" s="21"/>
      <c r="U551" s="925"/>
      <c r="AQ551" s="931"/>
    </row>
    <row r="552" spans="1:43">
      <c r="A552" s="1007">
        <v>4</v>
      </c>
      <c r="B552" s="1006" t="s">
        <v>9306</v>
      </c>
      <c r="C552" s="952">
        <v>350</v>
      </c>
      <c r="D552" s="1116"/>
      <c r="E552" s="940"/>
      <c r="F552" s="21"/>
      <c r="G552" s="21"/>
      <c r="H552" s="21"/>
      <c r="I552" s="21"/>
      <c r="J552" s="21"/>
      <c r="K552" s="21"/>
      <c r="L552" s="21"/>
      <c r="M552" s="21"/>
      <c r="N552" s="21"/>
      <c r="O552" s="21"/>
      <c r="P552" s="21"/>
      <c r="Q552" s="21"/>
      <c r="R552" s="21"/>
      <c r="S552" s="21"/>
      <c r="T552" s="21"/>
      <c r="U552" s="925"/>
      <c r="AQ552" s="931"/>
    </row>
    <row r="553" spans="1:43">
      <c r="A553" s="1007">
        <v>5</v>
      </c>
      <c r="B553" s="926" t="s">
        <v>385</v>
      </c>
      <c r="C553" s="952">
        <v>350</v>
      </c>
      <c r="D553" s="1116"/>
      <c r="E553" s="940"/>
      <c r="F553" s="21"/>
      <c r="G553" s="21"/>
      <c r="H553" s="21"/>
      <c r="I553" s="21"/>
      <c r="J553" s="21"/>
      <c r="K553" s="21"/>
      <c r="L553" s="21"/>
      <c r="M553" s="21"/>
      <c r="N553" s="21"/>
      <c r="O553" s="21"/>
      <c r="P553" s="21"/>
      <c r="Q553" s="21"/>
      <c r="R553" s="21"/>
      <c r="S553" s="21"/>
      <c r="T553" s="21"/>
      <c r="U553" s="925"/>
      <c r="AQ553" s="931"/>
    </row>
    <row r="554" spans="1:43" ht="16.5" thickBot="1">
      <c r="A554" s="20" t="s">
        <v>2419</v>
      </c>
      <c r="B554" s="1006" t="s">
        <v>386</v>
      </c>
      <c r="C554" s="952"/>
      <c r="D554" s="1116"/>
      <c r="E554" s="940"/>
      <c r="F554" s="21"/>
      <c r="G554" s="21"/>
      <c r="H554" s="21"/>
      <c r="I554" s="21"/>
      <c r="J554" s="21"/>
      <c r="K554" s="21"/>
      <c r="L554" s="21"/>
      <c r="M554" s="21"/>
      <c r="N554" s="21"/>
      <c r="O554" s="21"/>
      <c r="P554" s="21"/>
      <c r="Q554" s="21"/>
      <c r="R554" s="21"/>
      <c r="S554" s="21"/>
      <c r="T554" s="21"/>
      <c r="AQ554" s="7"/>
    </row>
    <row r="555" spans="1:43" ht="16.5" thickBot="1">
      <c r="A555" s="1007">
        <v>1</v>
      </c>
      <c r="B555" s="926" t="s">
        <v>9307</v>
      </c>
      <c r="C555" s="1088">
        <v>420</v>
      </c>
      <c r="D555" s="1116"/>
      <c r="E555" s="940"/>
      <c r="F555" s="21"/>
      <c r="G555" s="21"/>
      <c r="H555" s="21"/>
      <c r="I555" s="21"/>
      <c r="J555" s="21"/>
      <c r="K555" s="21"/>
      <c r="L555" s="21"/>
      <c r="M555" s="21"/>
      <c r="N555" s="21"/>
      <c r="O555" s="21"/>
      <c r="P555" s="21"/>
      <c r="Q555" s="21"/>
      <c r="R555" s="21"/>
      <c r="S555" s="21"/>
      <c r="T555" s="21"/>
      <c r="U555" s="961"/>
      <c r="AQ555" s="931"/>
    </row>
    <row r="556" spans="1:43" ht="16.5" thickBot="1">
      <c r="A556" s="1007">
        <v>2</v>
      </c>
      <c r="B556" s="926" t="s">
        <v>9308</v>
      </c>
      <c r="C556" s="1089">
        <v>420</v>
      </c>
      <c r="D556" s="1116"/>
      <c r="E556" s="940"/>
      <c r="F556" s="21"/>
      <c r="G556" s="21"/>
      <c r="H556" s="21"/>
      <c r="I556" s="21"/>
      <c r="J556" s="21"/>
      <c r="K556" s="21"/>
      <c r="L556" s="21"/>
      <c r="M556" s="21"/>
      <c r="N556" s="21"/>
      <c r="O556" s="21"/>
      <c r="P556" s="21"/>
      <c r="Q556" s="21"/>
      <c r="R556" s="21"/>
      <c r="S556" s="21"/>
      <c r="T556" s="21"/>
      <c r="U556" s="961"/>
      <c r="AQ556" s="931"/>
    </row>
    <row r="557" spans="1:43" ht="16.5" thickBot="1">
      <c r="A557" s="1007">
        <v>3</v>
      </c>
      <c r="B557" s="926" t="s">
        <v>1023</v>
      </c>
      <c r="C557" s="1089">
        <v>420</v>
      </c>
      <c r="D557" s="1116"/>
      <c r="E557" s="940"/>
      <c r="F557" s="21"/>
      <c r="G557" s="21"/>
      <c r="H557" s="21"/>
      <c r="I557" s="21"/>
      <c r="J557" s="21"/>
      <c r="K557" s="21"/>
      <c r="L557" s="21"/>
      <c r="M557" s="21"/>
      <c r="N557" s="21"/>
      <c r="O557" s="21"/>
      <c r="P557" s="21"/>
      <c r="Q557" s="21"/>
      <c r="R557" s="21"/>
      <c r="S557" s="21"/>
      <c r="T557" s="21"/>
      <c r="U557" s="961"/>
      <c r="AQ557" s="931"/>
    </row>
    <row r="558" spans="1:43" ht="16.5" thickBot="1">
      <c r="A558" s="1007">
        <v>4</v>
      </c>
      <c r="B558" s="926" t="s">
        <v>1024</v>
      </c>
      <c r="C558" s="1089">
        <v>645</v>
      </c>
      <c r="D558" s="1116"/>
      <c r="E558" s="940"/>
      <c r="F558" s="21"/>
      <c r="G558" s="21"/>
      <c r="H558" s="21"/>
      <c r="I558" s="21"/>
      <c r="J558" s="21"/>
      <c r="K558" s="21"/>
      <c r="L558" s="21"/>
      <c r="M558" s="21"/>
      <c r="N558" s="21"/>
      <c r="O558" s="21"/>
      <c r="P558" s="21"/>
      <c r="Q558" s="21"/>
      <c r="R558" s="21"/>
      <c r="S558" s="21"/>
      <c r="T558" s="21"/>
      <c r="U558" s="961"/>
      <c r="AQ558" s="931"/>
    </row>
    <row r="559" spans="1:43" ht="16.5" thickBot="1">
      <c r="A559" s="1007">
        <v>5</v>
      </c>
      <c r="B559" s="926" t="s">
        <v>1025</v>
      </c>
      <c r="C559" s="1089">
        <v>520</v>
      </c>
      <c r="D559" s="1116"/>
      <c r="E559" s="940"/>
      <c r="F559" s="21"/>
      <c r="G559" s="21"/>
      <c r="H559" s="21"/>
      <c r="I559" s="21"/>
      <c r="J559" s="21"/>
      <c r="K559" s="21"/>
      <c r="L559" s="21"/>
      <c r="M559" s="21"/>
      <c r="N559" s="21"/>
      <c r="O559" s="21"/>
      <c r="P559" s="21"/>
      <c r="Q559" s="21"/>
      <c r="R559" s="21"/>
      <c r="S559" s="21"/>
      <c r="T559" s="21"/>
      <c r="U559" s="961"/>
      <c r="AQ559" s="931"/>
    </row>
    <row r="560" spans="1:43" ht="16.5" thickBot="1">
      <c r="A560" s="1007">
        <v>6</v>
      </c>
      <c r="B560" s="926" t="s">
        <v>1662</v>
      </c>
      <c r="C560" s="1089">
        <v>520</v>
      </c>
      <c r="D560" s="1116"/>
      <c r="E560" s="940"/>
      <c r="F560" s="21"/>
      <c r="G560" s="21"/>
      <c r="H560" s="21"/>
      <c r="I560" s="21"/>
      <c r="J560" s="21"/>
      <c r="K560" s="21"/>
      <c r="L560" s="21"/>
      <c r="M560" s="21"/>
      <c r="N560" s="21"/>
      <c r="O560" s="21"/>
      <c r="P560" s="21"/>
      <c r="Q560" s="21"/>
      <c r="R560" s="21"/>
      <c r="S560" s="21"/>
      <c r="T560" s="21"/>
      <c r="U560" s="961"/>
      <c r="AQ560" s="931"/>
    </row>
    <row r="561" spans="1:43" ht="16.5" thickBot="1">
      <c r="A561" s="1007">
        <v>7</v>
      </c>
      <c r="B561" s="926" t="s">
        <v>1663</v>
      </c>
      <c r="C561" s="1089">
        <v>860</v>
      </c>
      <c r="D561" s="1116"/>
      <c r="E561" s="940"/>
      <c r="F561" s="21"/>
      <c r="G561" s="21"/>
      <c r="H561" s="21"/>
      <c r="I561" s="21"/>
      <c r="J561" s="21"/>
      <c r="K561" s="21"/>
      <c r="L561" s="21"/>
      <c r="M561" s="21"/>
      <c r="N561" s="21"/>
      <c r="O561" s="21"/>
      <c r="P561" s="21"/>
      <c r="Q561" s="21"/>
      <c r="R561" s="21"/>
      <c r="S561" s="21"/>
      <c r="T561" s="21"/>
      <c r="U561" s="961"/>
      <c r="AQ561" s="931"/>
    </row>
    <row r="562" spans="1:43" ht="16.5" thickBot="1">
      <c r="A562" s="1007">
        <v>8</v>
      </c>
      <c r="B562" s="926" t="s">
        <v>1664</v>
      </c>
      <c r="C562" s="1089">
        <v>425</v>
      </c>
      <c r="D562" s="1116"/>
      <c r="E562" s="940"/>
      <c r="F562" s="21"/>
      <c r="G562" s="21"/>
      <c r="H562" s="21"/>
      <c r="I562" s="21"/>
      <c r="J562" s="21"/>
      <c r="K562" s="21"/>
      <c r="L562" s="21"/>
      <c r="M562" s="21"/>
      <c r="N562" s="21"/>
      <c r="O562" s="21"/>
      <c r="P562" s="21"/>
      <c r="Q562" s="21"/>
      <c r="R562" s="21"/>
      <c r="S562" s="21"/>
      <c r="T562" s="21"/>
      <c r="U562" s="961"/>
      <c r="AQ562" s="931"/>
    </row>
    <row r="563" spans="1:43" ht="16.5" thickBot="1">
      <c r="A563" s="1007">
        <v>9</v>
      </c>
      <c r="B563" s="926" t="s">
        <v>3030</v>
      </c>
      <c r="C563" s="1089">
        <v>520</v>
      </c>
      <c r="D563" s="1116"/>
      <c r="E563" s="940"/>
      <c r="F563" s="21"/>
      <c r="G563" s="21"/>
      <c r="H563" s="21"/>
      <c r="I563" s="21"/>
      <c r="J563" s="21"/>
      <c r="K563" s="21"/>
      <c r="L563" s="21"/>
      <c r="M563" s="21"/>
      <c r="N563" s="21"/>
      <c r="O563" s="21"/>
      <c r="P563" s="21"/>
      <c r="Q563" s="21"/>
      <c r="R563" s="21"/>
      <c r="S563" s="21"/>
      <c r="T563" s="21"/>
      <c r="U563" s="961"/>
      <c r="AQ563" s="931"/>
    </row>
    <row r="564" spans="1:43" ht="16.5" thickBot="1">
      <c r="A564" s="1007">
        <v>10</v>
      </c>
      <c r="B564" s="926" t="s">
        <v>3031</v>
      </c>
      <c r="C564" s="1089">
        <v>405</v>
      </c>
      <c r="D564" s="1116"/>
      <c r="E564" s="940"/>
      <c r="F564" s="21"/>
      <c r="G564" s="21"/>
      <c r="H564" s="21"/>
      <c r="I564" s="21"/>
      <c r="J564" s="21"/>
      <c r="K564" s="21"/>
      <c r="L564" s="21"/>
      <c r="M564" s="21"/>
      <c r="N564" s="21"/>
      <c r="O564" s="21"/>
      <c r="P564" s="21"/>
      <c r="Q564" s="21"/>
      <c r="R564" s="21"/>
      <c r="S564" s="21"/>
      <c r="T564" s="21"/>
      <c r="U564" s="961"/>
      <c r="AQ564" s="931"/>
    </row>
    <row r="565" spans="1:43" ht="16.5" thickBot="1">
      <c r="A565" s="1007">
        <v>11</v>
      </c>
      <c r="B565" s="926" t="s">
        <v>1121</v>
      </c>
      <c r="C565" s="1089">
        <v>565</v>
      </c>
      <c r="D565" s="1116"/>
      <c r="E565" s="940"/>
      <c r="F565" s="21"/>
      <c r="G565" s="21"/>
      <c r="H565" s="21"/>
      <c r="I565" s="21"/>
      <c r="J565" s="21"/>
      <c r="K565" s="21"/>
      <c r="L565" s="21"/>
      <c r="M565" s="21"/>
      <c r="N565" s="21"/>
      <c r="O565" s="21"/>
      <c r="P565" s="21"/>
      <c r="Q565" s="21"/>
      <c r="R565" s="21"/>
      <c r="S565" s="21"/>
      <c r="T565" s="21"/>
      <c r="U565" s="961"/>
      <c r="AQ565" s="931"/>
    </row>
    <row r="566" spans="1:43" ht="16.5" thickBot="1">
      <c r="A566" s="1007">
        <v>12</v>
      </c>
      <c r="B566" s="926" t="s">
        <v>1122</v>
      </c>
      <c r="C566" s="1089">
        <v>510</v>
      </c>
      <c r="D566" s="1116"/>
      <c r="E566" s="940"/>
      <c r="F566" s="21"/>
      <c r="G566" s="21"/>
      <c r="H566" s="21"/>
      <c r="I566" s="21"/>
      <c r="J566" s="21"/>
      <c r="K566" s="21"/>
      <c r="L566" s="21"/>
      <c r="M566" s="21"/>
      <c r="N566" s="21"/>
      <c r="O566" s="21"/>
      <c r="P566" s="21"/>
      <c r="Q566" s="21"/>
      <c r="R566" s="21"/>
      <c r="S566" s="21"/>
      <c r="T566" s="21"/>
      <c r="U566" s="961"/>
      <c r="AQ566" s="931"/>
    </row>
    <row r="567" spans="1:43" ht="16.5" thickBot="1">
      <c r="A567" s="1007">
        <v>13</v>
      </c>
      <c r="B567" s="926" t="s">
        <v>9309</v>
      </c>
      <c r="C567" s="1089">
        <v>510</v>
      </c>
      <c r="D567" s="1116"/>
      <c r="E567" s="940"/>
      <c r="F567" s="21"/>
      <c r="G567" s="21"/>
      <c r="H567" s="21"/>
      <c r="I567" s="21"/>
      <c r="J567" s="21"/>
      <c r="K567" s="21"/>
      <c r="L567" s="21"/>
      <c r="M567" s="21"/>
      <c r="N567" s="21"/>
      <c r="O567" s="21"/>
      <c r="P567" s="21"/>
      <c r="Q567" s="21"/>
      <c r="R567" s="21"/>
      <c r="S567" s="21"/>
      <c r="T567" s="21"/>
      <c r="U567" s="961"/>
      <c r="AQ567" s="931"/>
    </row>
    <row r="568" spans="1:43" ht="48" thickBot="1">
      <c r="A568" s="1010">
        <v>14</v>
      </c>
      <c r="B568" s="926" t="s">
        <v>9310</v>
      </c>
      <c r="C568" s="1089">
        <v>690</v>
      </c>
      <c r="D568" s="1118"/>
      <c r="E568" s="21"/>
      <c r="F568" s="21"/>
      <c r="G568" s="21"/>
      <c r="H568" s="21"/>
      <c r="I568" s="21"/>
      <c r="J568" s="21"/>
      <c r="K568" s="21"/>
      <c r="L568" s="21"/>
      <c r="M568" s="21"/>
      <c r="N568" s="21"/>
      <c r="O568" s="21"/>
      <c r="P568" s="21"/>
      <c r="Q568" s="21"/>
      <c r="R568" s="21"/>
      <c r="S568" s="1008"/>
      <c r="T568" s="1011"/>
      <c r="U568" s="961"/>
      <c r="AQ568" s="931"/>
    </row>
    <row r="569" spans="1:43" ht="16.5" thickBot="1">
      <c r="A569" s="1010">
        <v>15</v>
      </c>
      <c r="B569" s="926" t="s">
        <v>7833</v>
      </c>
      <c r="C569" s="1089">
        <v>505</v>
      </c>
      <c r="D569" s="1118"/>
      <c r="E569" s="21"/>
      <c r="F569" s="21"/>
      <c r="G569" s="21"/>
      <c r="H569" s="21"/>
      <c r="I569" s="21"/>
      <c r="J569" s="21"/>
      <c r="K569" s="21"/>
      <c r="L569" s="21"/>
      <c r="M569" s="21"/>
      <c r="N569" s="21"/>
      <c r="O569" s="21"/>
      <c r="P569" s="21"/>
      <c r="Q569" s="21"/>
      <c r="R569" s="21"/>
      <c r="S569" s="1008"/>
      <c r="T569" s="1011"/>
      <c r="U569" s="961"/>
      <c r="AQ569" s="931"/>
    </row>
    <row r="570" spans="1:43" ht="16.5" thickBot="1">
      <c r="A570" s="1010">
        <v>16</v>
      </c>
      <c r="B570" s="926" t="s">
        <v>7834</v>
      </c>
      <c r="C570" s="1089">
        <v>690</v>
      </c>
      <c r="D570" s="1119"/>
      <c r="E570" s="21"/>
      <c r="F570" s="21"/>
      <c r="G570" s="21"/>
      <c r="H570" s="21"/>
      <c r="I570" s="21"/>
      <c r="J570" s="21"/>
      <c r="K570" s="21"/>
      <c r="L570" s="21"/>
      <c r="M570" s="21"/>
      <c r="N570" s="21"/>
      <c r="O570" s="21"/>
      <c r="P570" s="21"/>
      <c r="Q570" s="21"/>
      <c r="R570" s="21"/>
      <c r="S570" s="1012"/>
      <c r="T570" s="1012"/>
      <c r="U570" s="961"/>
      <c r="AQ570" s="931"/>
    </row>
    <row r="571" spans="1:43" s="954" customFormat="1" ht="32.25" customHeight="1">
      <c r="A571" s="12"/>
      <c r="B571" s="1191" t="s">
        <v>9745</v>
      </c>
      <c r="C571" s="1192"/>
      <c r="D571" s="1120"/>
      <c r="E571" s="1013"/>
      <c r="F571" s="1013"/>
      <c r="G571" s="1013"/>
      <c r="H571" s="1013"/>
      <c r="I571" s="1013"/>
      <c r="J571" s="1013"/>
      <c r="K571" s="1013"/>
      <c r="L571" s="1013"/>
      <c r="M571" s="1013"/>
      <c r="N571" s="1013"/>
      <c r="O571" s="1013"/>
      <c r="P571" s="1013"/>
      <c r="Q571" s="1013"/>
      <c r="R571" s="1013"/>
      <c r="S571" s="1013"/>
      <c r="T571" s="1013"/>
      <c r="U571" s="961"/>
      <c r="AQ571" s="968"/>
    </row>
    <row r="572" spans="1:43" ht="105.75" customHeight="1">
      <c r="A572" s="12"/>
      <c r="B572" s="1198" t="s">
        <v>9744</v>
      </c>
      <c r="C572" s="1199"/>
      <c r="D572" s="1119"/>
      <c r="E572" s="21"/>
      <c r="F572" s="21"/>
      <c r="G572" s="21"/>
      <c r="H572" s="21"/>
      <c r="I572" s="21"/>
      <c r="J572" s="21"/>
      <c r="K572" s="21"/>
      <c r="L572" s="21"/>
      <c r="M572" s="21"/>
      <c r="N572" s="21"/>
      <c r="O572" s="21"/>
      <c r="P572" s="21"/>
      <c r="Q572" s="21"/>
      <c r="R572" s="21"/>
      <c r="S572" s="1012"/>
      <c r="T572" s="1012"/>
      <c r="U572" s="961"/>
      <c r="AQ572" s="931"/>
    </row>
    <row r="573" spans="1:43">
      <c r="A573" s="12"/>
      <c r="B573" s="18"/>
      <c r="C573" s="962"/>
      <c r="D573" s="1119"/>
      <c r="E573" s="21"/>
      <c r="F573" s="21"/>
      <c r="G573" s="21"/>
      <c r="H573" s="21"/>
      <c r="I573" s="21"/>
      <c r="J573" s="21"/>
      <c r="K573" s="21"/>
      <c r="L573" s="21"/>
      <c r="M573" s="21"/>
      <c r="N573" s="21"/>
      <c r="O573" s="21"/>
      <c r="P573" s="21"/>
      <c r="Q573" s="21"/>
      <c r="R573" s="21"/>
      <c r="S573" s="1012"/>
      <c r="T573" s="1012"/>
      <c r="U573" s="961"/>
      <c r="AQ573" s="931"/>
    </row>
    <row r="574" spans="1:43">
      <c r="A574" s="12"/>
      <c r="B574" s="18"/>
      <c r="C574" s="962"/>
      <c r="D574" s="1119"/>
      <c r="E574" s="21"/>
      <c r="F574" s="21"/>
      <c r="G574" s="21"/>
      <c r="H574" s="21"/>
      <c r="I574" s="21"/>
      <c r="J574" s="21"/>
      <c r="K574" s="21"/>
      <c r="L574" s="21"/>
      <c r="M574" s="21"/>
      <c r="N574" s="21"/>
      <c r="O574" s="21"/>
      <c r="P574" s="21"/>
      <c r="Q574" s="21"/>
      <c r="R574" s="21"/>
      <c r="S574" s="1012"/>
      <c r="T574" s="1012"/>
      <c r="U574" s="961"/>
      <c r="AQ574" s="931"/>
    </row>
    <row r="575" spans="1:43"/>
    <row r="576" spans="1:43" hidden="1">
      <c r="B576" s="7" t="s">
        <v>5537</v>
      </c>
    </row>
    <row r="577" spans="2:43" ht="26.25" hidden="1">
      <c r="B577" s="820" t="s">
        <v>7034</v>
      </c>
      <c r="C577" s="1014">
        <v>0.13614999999999999</v>
      </c>
    </row>
    <row r="578" spans="2:43" hidden="1">
      <c r="B578" s="811" t="s">
        <v>7035</v>
      </c>
      <c r="C578" s="1015">
        <v>0.05</v>
      </c>
    </row>
    <row r="579" spans="2:43" hidden="1">
      <c r="B579" s="811" t="s">
        <v>5200</v>
      </c>
      <c r="C579" s="1015">
        <v>5.0000000000000001E-3</v>
      </c>
    </row>
    <row r="580" spans="2:43" hidden="1">
      <c r="B580" s="811" t="s">
        <v>1067</v>
      </c>
      <c r="C580" s="1016">
        <v>0.02</v>
      </c>
    </row>
    <row r="581" spans="2:43" hidden="1">
      <c r="B581" s="811" t="s">
        <v>1035</v>
      </c>
      <c r="C581" s="1015">
        <v>5.0000000000000001E-3</v>
      </c>
    </row>
    <row r="582" spans="2:43" hidden="1">
      <c r="B582" s="811" t="s">
        <v>1036</v>
      </c>
      <c r="C582" s="1016">
        <v>0.01</v>
      </c>
    </row>
    <row r="583" spans="2:43" hidden="1">
      <c r="B583" s="818" t="s">
        <v>4629</v>
      </c>
      <c r="C583" s="1016">
        <v>0.9</v>
      </c>
    </row>
    <row r="584" spans="2:43" hidden="1">
      <c r="B584" s="818" t="s">
        <v>4630</v>
      </c>
      <c r="C584" s="1016">
        <v>0.9</v>
      </c>
    </row>
    <row r="585" spans="2:43" hidden="1">
      <c r="B585" s="818" t="s">
        <v>3242</v>
      </c>
      <c r="C585" s="1016">
        <v>0.1</v>
      </c>
    </row>
    <row r="586" spans="2:43" hidden="1">
      <c r="B586" s="818" t="s">
        <v>3243</v>
      </c>
      <c r="C586" s="1016">
        <v>0.1</v>
      </c>
    </row>
    <row r="587" spans="2:43" hidden="1">
      <c r="B587" s="811" t="s">
        <v>2709</v>
      </c>
      <c r="C587" s="1016">
        <v>0.15</v>
      </c>
    </row>
    <row r="588" spans="2:43" hidden="1">
      <c r="B588" s="811" t="s">
        <v>5143</v>
      </c>
      <c r="C588" s="1016">
        <v>0.05</v>
      </c>
    </row>
    <row r="589" spans="2:43" hidden="1">
      <c r="B589" s="811" t="s">
        <v>3409</v>
      </c>
      <c r="C589" s="1015">
        <v>2.5000000000000001E-2</v>
      </c>
    </row>
    <row r="590" spans="2:43" hidden="1">
      <c r="B590" s="811" t="s">
        <v>3410</v>
      </c>
      <c r="C590" s="1015">
        <v>2.5000000000000001E-2</v>
      </c>
    </row>
    <row r="591" spans="2:43" hidden="1">
      <c r="B591" s="811" t="s">
        <v>6459</v>
      </c>
      <c r="C591" s="1015">
        <v>2.5000000000000001E-2</v>
      </c>
    </row>
    <row r="592" spans="2:43" hidden="1">
      <c r="B592" s="812" t="s">
        <v>7036</v>
      </c>
      <c r="C592" s="1016">
        <v>0.1</v>
      </c>
      <c r="AQ592" s="1017"/>
    </row>
    <row r="593" spans="1:5" ht="26.25" hidden="1">
      <c r="B593" s="820" t="s">
        <v>7037</v>
      </c>
      <c r="C593" s="1016">
        <v>0</v>
      </c>
    </row>
    <row r="594" spans="1:5" hidden="1">
      <c r="B594" s="811" t="s">
        <v>3054</v>
      </c>
      <c r="C594" s="1016">
        <v>0.03</v>
      </c>
    </row>
    <row r="595" spans="1:5" hidden="1">
      <c r="B595" s="811" t="s">
        <v>2313</v>
      </c>
      <c r="C595" s="1016">
        <v>0.01</v>
      </c>
    </row>
    <row r="596" spans="1:5" hidden="1">
      <c r="B596" s="811" t="s">
        <v>2314</v>
      </c>
      <c r="C596" s="1015">
        <v>4.4999999999999998E-2</v>
      </c>
    </row>
    <row r="597" spans="1:5" hidden="1">
      <c r="B597" s="811" t="s">
        <v>2315</v>
      </c>
      <c r="C597" s="1015">
        <v>1.6E-2</v>
      </c>
    </row>
    <row r="598" spans="1:5" hidden="1">
      <c r="B598" s="811" t="s">
        <v>1259</v>
      </c>
      <c r="C598" s="1015">
        <v>2.5000000000000001E-2</v>
      </c>
    </row>
    <row r="599" spans="1:5" hidden="1">
      <c r="B599" s="811" t="s">
        <v>4386</v>
      </c>
      <c r="C599" s="1016">
        <v>0.03</v>
      </c>
    </row>
    <row r="600" spans="1:5" hidden="1">
      <c r="B600" s="811" t="s">
        <v>3151</v>
      </c>
      <c r="C600" s="1016">
        <v>0.04</v>
      </c>
    </row>
    <row r="601" spans="1:5"/>
    <row r="602" spans="1:5">
      <c r="C602" s="16"/>
      <c r="D602" s="1117"/>
    </row>
    <row r="603" spans="1:5">
      <c r="A603" s="1"/>
      <c r="E603" s="1"/>
    </row>
    <row r="604" spans="1:5" ht="12.75">
      <c r="A604" s="1197" t="s">
        <v>7242</v>
      </c>
      <c r="B604" s="1197"/>
      <c r="C604" s="1197"/>
      <c r="D604" s="1197"/>
    </row>
    <row r="605" spans="1:5">
      <c r="A605" s="5" t="s">
        <v>7243</v>
      </c>
      <c r="B605" s="5" t="s">
        <v>2378</v>
      </c>
      <c r="C605" s="5" t="s">
        <v>2370</v>
      </c>
      <c r="D605" s="1121" t="s">
        <v>2371</v>
      </c>
    </row>
    <row r="606" spans="1:5">
      <c r="A606" s="5"/>
      <c r="B606" s="5"/>
      <c r="C606" s="5"/>
      <c r="D606" s="1121"/>
    </row>
    <row r="607" spans="1:5" ht="31.5">
      <c r="A607" s="5" t="s">
        <v>7244</v>
      </c>
      <c r="B607" s="932" t="s">
        <v>9930</v>
      </c>
      <c r="C607" s="933" t="s">
        <v>2113</v>
      </c>
      <c r="D607" s="1082">
        <v>147</v>
      </c>
    </row>
    <row r="608" spans="1:5" ht="31.5">
      <c r="A608" s="5" t="s">
        <v>7245</v>
      </c>
      <c r="B608" s="932" t="s">
        <v>7875</v>
      </c>
      <c r="C608" s="933" t="s">
        <v>2113</v>
      </c>
      <c r="D608" s="1082">
        <v>164</v>
      </c>
    </row>
    <row r="609" spans="1:4" ht="47.25">
      <c r="A609" s="5" t="s">
        <v>7246</v>
      </c>
      <c r="B609" s="926" t="s">
        <v>9352</v>
      </c>
      <c r="C609" s="933" t="s">
        <v>2113</v>
      </c>
      <c r="D609" s="1082" t="s">
        <v>9781</v>
      </c>
    </row>
    <row r="610" spans="1:4" ht="47.25">
      <c r="A610" s="5" t="s">
        <v>7247</v>
      </c>
      <c r="B610" s="926" t="s">
        <v>9353</v>
      </c>
      <c r="C610" s="933" t="s">
        <v>2113</v>
      </c>
      <c r="D610" s="1082" t="s">
        <v>9782</v>
      </c>
    </row>
    <row r="611" spans="1:4" ht="47.25">
      <c r="A611" s="5" t="s">
        <v>7248</v>
      </c>
      <c r="B611" s="926" t="s">
        <v>9354</v>
      </c>
      <c r="C611" s="933" t="s">
        <v>2113</v>
      </c>
      <c r="D611" s="1082" t="s">
        <v>9783</v>
      </c>
    </row>
    <row r="612" spans="1:4" ht="47.25">
      <c r="A612" s="5" t="s">
        <v>7249</v>
      </c>
      <c r="B612" s="932" t="s">
        <v>9355</v>
      </c>
      <c r="C612" s="933" t="s">
        <v>2113</v>
      </c>
      <c r="D612" s="1082" t="s">
        <v>9784</v>
      </c>
    </row>
    <row r="613" spans="1:4" ht="12.75" customHeight="1">
      <c r="A613" s="5" t="s">
        <v>7250</v>
      </c>
      <c r="B613" s="932" t="s">
        <v>9803</v>
      </c>
      <c r="C613" s="933" t="s">
        <v>2113</v>
      </c>
      <c r="D613" s="1082">
        <v>103</v>
      </c>
    </row>
    <row r="614" spans="1:4" ht="31.5">
      <c r="A614" s="5" t="s">
        <v>7251</v>
      </c>
      <c r="B614" s="932" t="s">
        <v>7876</v>
      </c>
      <c r="C614" s="933" t="s">
        <v>2113</v>
      </c>
      <c r="D614" s="1082" t="s">
        <v>7835</v>
      </c>
    </row>
    <row r="615" spans="1:4" ht="31.5">
      <c r="A615" s="5" t="s">
        <v>7252</v>
      </c>
      <c r="B615" s="932" t="s">
        <v>9804</v>
      </c>
      <c r="C615" s="933" t="s">
        <v>2113</v>
      </c>
      <c r="D615" s="1082">
        <v>92</v>
      </c>
    </row>
    <row r="616" spans="1:4">
      <c r="A616" s="5" t="s">
        <v>7253</v>
      </c>
      <c r="B616" s="932" t="s">
        <v>7877</v>
      </c>
      <c r="C616" s="933" t="s">
        <v>2113</v>
      </c>
      <c r="D616" s="1082">
        <v>72</v>
      </c>
    </row>
    <row r="617" spans="1:4" ht="108.75" customHeight="1">
      <c r="A617" s="1182" t="s">
        <v>9931</v>
      </c>
      <c r="B617" s="1183"/>
      <c r="C617" s="1183"/>
      <c r="D617" s="1184"/>
    </row>
    <row r="618" spans="1:4" ht="47.25">
      <c r="A618" s="5" t="s">
        <v>7254</v>
      </c>
      <c r="B618" s="932" t="s">
        <v>9821</v>
      </c>
      <c r="C618" s="933" t="s">
        <v>2113</v>
      </c>
      <c r="D618" s="1082">
        <v>345</v>
      </c>
    </row>
    <row r="619" spans="1:4" ht="36.75" customHeight="1">
      <c r="A619" s="5" t="s">
        <v>7255</v>
      </c>
      <c r="B619" s="932" t="s">
        <v>9805</v>
      </c>
      <c r="C619" s="933" t="s">
        <v>2113</v>
      </c>
      <c r="D619" s="1082">
        <v>667</v>
      </c>
    </row>
    <row r="620" spans="1:4" ht="47.25">
      <c r="A620" s="5" t="s">
        <v>4923</v>
      </c>
      <c r="B620" s="932" t="s">
        <v>9806</v>
      </c>
      <c r="C620" s="933" t="s">
        <v>2113</v>
      </c>
      <c r="D620" s="1082">
        <v>685</v>
      </c>
    </row>
    <row r="621" spans="1:4" ht="47.25">
      <c r="A621" s="5" t="s">
        <v>4924</v>
      </c>
      <c r="B621" s="932" t="s">
        <v>9807</v>
      </c>
      <c r="C621" s="933" t="s">
        <v>2113</v>
      </c>
      <c r="D621" s="1082">
        <v>711</v>
      </c>
    </row>
    <row r="622" spans="1:4" ht="47.25">
      <c r="A622" s="5" t="s">
        <v>4925</v>
      </c>
      <c r="B622" s="932" t="s">
        <v>9808</v>
      </c>
      <c r="C622" s="933" t="s">
        <v>2113</v>
      </c>
      <c r="D622" s="1082">
        <v>592</v>
      </c>
    </row>
    <row r="623" spans="1:4" ht="47.25">
      <c r="A623" s="5" t="s">
        <v>4926</v>
      </c>
      <c r="B623" s="932" t="s">
        <v>9809</v>
      </c>
      <c r="C623" s="933" t="s">
        <v>2113</v>
      </c>
      <c r="D623" s="1082">
        <v>582</v>
      </c>
    </row>
    <row r="624" spans="1:4" ht="47.25">
      <c r="A624" s="5" t="s">
        <v>6149</v>
      </c>
      <c r="B624" s="932" t="s">
        <v>9810</v>
      </c>
      <c r="C624" s="933" t="s">
        <v>2113</v>
      </c>
      <c r="D624" s="1082">
        <v>510</v>
      </c>
    </row>
    <row r="625" spans="1:4" ht="47.25">
      <c r="A625" s="5" t="s">
        <v>6150</v>
      </c>
      <c r="B625" s="932" t="s">
        <v>9811</v>
      </c>
      <c r="C625" s="933" t="s">
        <v>9356</v>
      </c>
      <c r="D625" s="1082">
        <v>489</v>
      </c>
    </row>
    <row r="626" spans="1:4" ht="31.5">
      <c r="A626" s="5" t="s">
        <v>6151</v>
      </c>
      <c r="B626" s="932" t="s">
        <v>9812</v>
      </c>
      <c r="C626" s="933" t="s">
        <v>2113</v>
      </c>
      <c r="D626" s="1082">
        <v>489</v>
      </c>
    </row>
    <row r="627" spans="1:4" ht="47.25">
      <c r="A627" s="5" t="s">
        <v>6152</v>
      </c>
      <c r="B627" s="932" t="s">
        <v>9932</v>
      </c>
      <c r="C627" s="933" t="s">
        <v>2113</v>
      </c>
      <c r="D627" s="1082">
        <v>357</v>
      </c>
    </row>
    <row r="628" spans="1:4" ht="47.25">
      <c r="A628" s="5" t="s">
        <v>6153</v>
      </c>
      <c r="B628" s="932" t="s">
        <v>9813</v>
      </c>
      <c r="C628" s="933" t="s">
        <v>2113</v>
      </c>
      <c r="D628" s="1082">
        <v>438</v>
      </c>
    </row>
    <row r="629" spans="1:4" ht="47.25">
      <c r="A629" s="5" t="s">
        <v>6154</v>
      </c>
      <c r="B629" s="932" t="s">
        <v>9814</v>
      </c>
      <c r="C629" s="933" t="s">
        <v>9356</v>
      </c>
      <c r="D629" s="1082">
        <v>474</v>
      </c>
    </row>
    <row r="630" spans="1:4" ht="47.25">
      <c r="A630" s="5" t="s">
        <v>6155</v>
      </c>
      <c r="B630" s="932" t="s">
        <v>9815</v>
      </c>
      <c r="C630" s="933" t="s">
        <v>2113</v>
      </c>
      <c r="D630" s="1082">
        <v>474</v>
      </c>
    </row>
    <row r="631" spans="1:4" ht="47.25">
      <c r="A631" s="5" t="s">
        <v>5437</v>
      </c>
      <c r="B631" s="932" t="s">
        <v>9816</v>
      </c>
      <c r="C631" s="933" t="s">
        <v>2113</v>
      </c>
      <c r="D631" s="1082">
        <v>561</v>
      </c>
    </row>
    <row r="632" spans="1:4" ht="27" customHeight="1">
      <c r="A632" s="5" t="s">
        <v>5438</v>
      </c>
      <c r="B632" s="932" t="s">
        <v>9817</v>
      </c>
      <c r="C632" s="933" t="s">
        <v>2113</v>
      </c>
      <c r="D632" s="1082">
        <v>619</v>
      </c>
    </row>
    <row r="633" spans="1:4" ht="47.25">
      <c r="A633" s="5" t="s">
        <v>5439</v>
      </c>
      <c r="B633" s="932" t="s">
        <v>9818</v>
      </c>
      <c r="C633" s="933" t="s">
        <v>2113</v>
      </c>
      <c r="D633" s="1082">
        <v>620</v>
      </c>
    </row>
    <row r="634" spans="1:4" ht="47.25">
      <c r="A634" s="5" t="s">
        <v>5440</v>
      </c>
      <c r="B634" s="932" t="s">
        <v>9819</v>
      </c>
      <c r="C634" s="933" t="s">
        <v>2113</v>
      </c>
      <c r="D634" s="1082">
        <v>685</v>
      </c>
    </row>
    <row r="635" spans="1:4" ht="47.25">
      <c r="A635" s="5" t="s">
        <v>5441</v>
      </c>
      <c r="B635" s="932" t="s">
        <v>9820</v>
      </c>
      <c r="C635" s="933" t="s">
        <v>2113</v>
      </c>
      <c r="D635" s="1082">
        <v>850</v>
      </c>
    </row>
    <row r="636" spans="1:4" ht="31.5">
      <c r="A636" s="5" t="s">
        <v>5442</v>
      </c>
      <c r="B636" s="932" t="s">
        <v>9822</v>
      </c>
      <c r="C636" s="933" t="s">
        <v>2113</v>
      </c>
      <c r="D636" s="1082">
        <v>557</v>
      </c>
    </row>
    <row r="637" spans="1:4" ht="31.5">
      <c r="A637" s="5" t="s">
        <v>5443</v>
      </c>
      <c r="B637" s="932" t="s">
        <v>9823</v>
      </c>
      <c r="C637" s="933" t="s">
        <v>2113</v>
      </c>
      <c r="D637" s="1082">
        <v>914</v>
      </c>
    </row>
    <row r="638" spans="1:4" ht="31.5">
      <c r="A638" s="5" t="s">
        <v>5444</v>
      </c>
      <c r="B638" s="932" t="s">
        <v>9824</v>
      </c>
      <c r="C638" s="933" t="s">
        <v>2113</v>
      </c>
      <c r="D638" s="1082">
        <v>1040</v>
      </c>
    </row>
    <row r="639" spans="1:4" ht="31.5">
      <c r="A639" s="5" t="s">
        <v>5445</v>
      </c>
      <c r="B639" s="932" t="s">
        <v>9825</v>
      </c>
      <c r="C639" s="933" t="s">
        <v>2113</v>
      </c>
      <c r="D639" s="1082">
        <v>667</v>
      </c>
    </row>
    <row r="640" spans="1:4" ht="47.25">
      <c r="A640" s="5" t="s">
        <v>5446</v>
      </c>
      <c r="B640" s="932" t="s">
        <v>9826</v>
      </c>
      <c r="C640" s="933" t="s">
        <v>2113</v>
      </c>
      <c r="D640" s="1082" t="s">
        <v>9785</v>
      </c>
    </row>
    <row r="641" spans="1:4" ht="31.5">
      <c r="A641" s="5" t="s">
        <v>5447</v>
      </c>
      <c r="B641" s="932" t="s">
        <v>9827</v>
      </c>
      <c r="C641" s="933" t="s">
        <v>2113</v>
      </c>
      <c r="D641" s="1082">
        <v>914</v>
      </c>
    </row>
    <row r="642" spans="1:4" ht="31.5">
      <c r="A642" s="5" t="s">
        <v>5448</v>
      </c>
      <c r="B642" s="932" t="s">
        <v>9828</v>
      </c>
      <c r="C642" s="933" t="s">
        <v>2113</v>
      </c>
      <c r="D642" s="1082">
        <v>872</v>
      </c>
    </row>
    <row r="643" spans="1:4" ht="31.5">
      <c r="A643" s="5" t="s">
        <v>5449</v>
      </c>
      <c r="B643" s="932" t="s">
        <v>9829</v>
      </c>
      <c r="C643" s="933" t="s">
        <v>2113</v>
      </c>
      <c r="D643" s="1082">
        <v>714</v>
      </c>
    </row>
    <row r="644" spans="1:4" ht="31.5">
      <c r="A644" s="5" t="s">
        <v>5450</v>
      </c>
      <c r="B644" s="932" t="s">
        <v>9830</v>
      </c>
      <c r="C644" s="933" t="s">
        <v>2113</v>
      </c>
      <c r="D644" s="1082">
        <v>662</v>
      </c>
    </row>
    <row r="645" spans="1:4" ht="47.25">
      <c r="A645" s="5" t="s">
        <v>5451</v>
      </c>
      <c r="B645" s="932" t="s">
        <v>9831</v>
      </c>
      <c r="C645" s="933" t="s">
        <v>2113</v>
      </c>
      <c r="D645" s="1082" t="s">
        <v>9786</v>
      </c>
    </row>
    <row r="646" spans="1:4" ht="47.25">
      <c r="A646" s="5" t="s">
        <v>5452</v>
      </c>
      <c r="B646" s="932" t="s">
        <v>9832</v>
      </c>
      <c r="C646" s="933" t="s">
        <v>2113</v>
      </c>
      <c r="D646" s="1082" t="s">
        <v>9787</v>
      </c>
    </row>
    <row r="647" spans="1:4" ht="31.5">
      <c r="A647" s="5" t="s">
        <v>5453</v>
      </c>
      <c r="B647" s="932" t="s">
        <v>9833</v>
      </c>
      <c r="C647" s="933" t="s">
        <v>2113</v>
      </c>
      <c r="D647" s="1082">
        <v>704</v>
      </c>
    </row>
    <row r="648" spans="1:4" ht="31.5">
      <c r="A648" s="5" t="s">
        <v>5454</v>
      </c>
      <c r="B648" s="932" t="s">
        <v>9834</v>
      </c>
      <c r="C648" s="933" t="s">
        <v>2113</v>
      </c>
      <c r="D648" s="1082">
        <v>798</v>
      </c>
    </row>
    <row r="649" spans="1:4" ht="31.5">
      <c r="A649" s="5" t="s">
        <v>5455</v>
      </c>
      <c r="B649" s="932" t="s">
        <v>9835</v>
      </c>
      <c r="C649" s="933" t="s">
        <v>2113</v>
      </c>
      <c r="D649" s="1082">
        <v>919</v>
      </c>
    </row>
    <row r="650" spans="1:4" ht="31.5">
      <c r="A650" s="5" t="s">
        <v>5456</v>
      </c>
      <c r="B650" s="932" t="s">
        <v>9836</v>
      </c>
      <c r="C650" s="933" t="s">
        <v>2113</v>
      </c>
      <c r="D650" s="1082">
        <v>1029</v>
      </c>
    </row>
    <row r="651" spans="1:4" ht="47.25">
      <c r="A651" s="5" t="s">
        <v>5457</v>
      </c>
      <c r="B651" s="932" t="s">
        <v>9837</v>
      </c>
      <c r="C651" s="933" t="s">
        <v>2113</v>
      </c>
      <c r="D651" s="1082" t="s">
        <v>9788</v>
      </c>
    </row>
    <row r="652" spans="1:4" ht="31.5">
      <c r="A652" s="5" t="s">
        <v>5458</v>
      </c>
      <c r="B652" s="932" t="s">
        <v>9838</v>
      </c>
      <c r="C652" s="933" t="s">
        <v>2113</v>
      </c>
      <c r="D652" s="1082">
        <v>1129</v>
      </c>
    </row>
    <row r="653" spans="1:4" ht="31.5">
      <c r="A653" s="5" t="s">
        <v>5459</v>
      </c>
      <c r="B653" s="932" t="s">
        <v>9839</v>
      </c>
      <c r="C653" s="933" t="s">
        <v>2113</v>
      </c>
      <c r="D653" s="1082">
        <v>1040</v>
      </c>
    </row>
    <row r="654" spans="1:4" ht="31.5">
      <c r="A654" s="5" t="s">
        <v>5460</v>
      </c>
      <c r="B654" s="932" t="s">
        <v>9840</v>
      </c>
      <c r="C654" s="933" t="s">
        <v>2113</v>
      </c>
      <c r="D654" s="1082">
        <v>1103</v>
      </c>
    </row>
    <row r="655" spans="1:4" ht="31.5">
      <c r="A655" s="5" t="s">
        <v>5461</v>
      </c>
      <c r="B655" s="932" t="s">
        <v>9841</v>
      </c>
      <c r="C655" s="933" t="s">
        <v>2113</v>
      </c>
      <c r="D655" s="1082">
        <v>1145</v>
      </c>
    </row>
    <row r="656" spans="1:4" ht="31.5">
      <c r="A656" s="5" t="s">
        <v>5462</v>
      </c>
      <c r="B656" s="932" t="s">
        <v>9842</v>
      </c>
      <c r="C656" s="933" t="s">
        <v>2113</v>
      </c>
      <c r="D656" s="1082">
        <v>735</v>
      </c>
    </row>
    <row r="657" spans="1:4" ht="31.5">
      <c r="A657" s="5" t="s">
        <v>5463</v>
      </c>
      <c r="B657" s="932" t="s">
        <v>9843</v>
      </c>
      <c r="C657" s="933" t="s">
        <v>2113</v>
      </c>
      <c r="D657" s="1082">
        <v>935</v>
      </c>
    </row>
    <row r="658" spans="1:4" ht="31.5">
      <c r="A658" s="5" t="s">
        <v>5464</v>
      </c>
      <c r="B658" s="932" t="s">
        <v>9844</v>
      </c>
      <c r="C658" s="933" t="s">
        <v>2113</v>
      </c>
      <c r="D658" s="1082">
        <v>1097</v>
      </c>
    </row>
    <row r="659" spans="1:4" ht="31.5">
      <c r="A659" s="5" t="s">
        <v>5465</v>
      </c>
      <c r="B659" s="932" t="s">
        <v>9845</v>
      </c>
      <c r="C659" s="933" t="s">
        <v>2113</v>
      </c>
      <c r="D659" s="1082">
        <v>1365</v>
      </c>
    </row>
    <row r="660" spans="1:4" ht="31.5">
      <c r="A660" s="5" t="s">
        <v>5466</v>
      </c>
      <c r="B660" s="932" t="s">
        <v>9846</v>
      </c>
      <c r="C660" s="933" t="s">
        <v>2113</v>
      </c>
      <c r="D660" s="1082">
        <v>1313</v>
      </c>
    </row>
    <row r="661" spans="1:4" ht="31.5">
      <c r="A661" s="5" t="s">
        <v>5467</v>
      </c>
      <c r="B661" s="932" t="s">
        <v>9847</v>
      </c>
      <c r="C661" s="933" t="s">
        <v>2113</v>
      </c>
      <c r="D661" s="1082">
        <v>845</v>
      </c>
    </row>
    <row r="662" spans="1:4">
      <c r="A662" s="5" t="s">
        <v>5468</v>
      </c>
      <c r="B662" s="932" t="s">
        <v>5469</v>
      </c>
      <c r="C662" s="933" t="s">
        <v>9357</v>
      </c>
      <c r="D662" s="1082" t="s">
        <v>7836</v>
      </c>
    </row>
    <row r="663" spans="1:4">
      <c r="A663" s="5" t="s">
        <v>5471</v>
      </c>
      <c r="B663" s="932" t="s">
        <v>5472</v>
      </c>
      <c r="C663" s="933" t="s">
        <v>9358</v>
      </c>
      <c r="D663" s="1082">
        <v>474</v>
      </c>
    </row>
    <row r="664" spans="1:4">
      <c r="A664" s="5" t="s">
        <v>5474</v>
      </c>
      <c r="B664" s="932" t="s">
        <v>7878</v>
      </c>
      <c r="C664" s="933" t="s">
        <v>9358</v>
      </c>
      <c r="D664" s="1082">
        <v>330</v>
      </c>
    </row>
    <row r="665" spans="1:4">
      <c r="A665" s="5" t="s">
        <v>5475</v>
      </c>
      <c r="B665" s="932" t="s">
        <v>7879</v>
      </c>
      <c r="C665" s="933" t="s">
        <v>5860</v>
      </c>
      <c r="D665" s="1082">
        <v>381</v>
      </c>
    </row>
    <row r="666" spans="1:4">
      <c r="A666" s="5" t="s">
        <v>5476</v>
      </c>
      <c r="B666" s="932" t="s">
        <v>9359</v>
      </c>
      <c r="C666" s="1051" t="s">
        <v>9375</v>
      </c>
      <c r="D666" s="937">
        <v>70931</v>
      </c>
    </row>
    <row r="667" spans="1:4" ht="63">
      <c r="A667" s="5" t="s">
        <v>5477</v>
      </c>
      <c r="B667" s="932" t="s">
        <v>7880</v>
      </c>
      <c r="C667" s="933" t="s">
        <v>5860</v>
      </c>
      <c r="D667" s="1082">
        <v>968</v>
      </c>
    </row>
    <row r="668" spans="1:4" ht="31.5">
      <c r="A668" s="5" t="s">
        <v>5478</v>
      </c>
      <c r="B668" s="932" t="s">
        <v>7881</v>
      </c>
      <c r="C668" s="933" t="s">
        <v>9360</v>
      </c>
      <c r="D668" s="1082" t="s">
        <v>7837</v>
      </c>
    </row>
    <row r="669" spans="1:4">
      <c r="A669" s="5" t="s">
        <v>5480</v>
      </c>
      <c r="B669" s="932" t="s">
        <v>5481</v>
      </c>
      <c r="C669" s="933" t="s">
        <v>1791</v>
      </c>
      <c r="D669" s="1082">
        <v>80</v>
      </c>
    </row>
    <row r="670" spans="1:4">
      <c r="A670" s="5" t="s">
        <v>5482</v>
      </c>
      <c r="B670" s="932" t="s">
        <v>5483</v>
      </c>
      <c r="C670" s="933" t="s">
        <v>9360</v>
      </c>
      <c r="D670" s="1082">
        <v>570</v>
      </c>
    </row>
    <row r="671" spans="1:4" ht="31.5">
      <c r="A671" s="5" t="s">
        <v>5484</v>
      </c>
      <c r="B671" s="932" t="s">
        <v>5485</v>
      </c>
      <c r="C671" s="933" t="s">
        <v>9360</v>
      </c>
      <c r="D671" s="1082">
        <v>785</v>
      </c>
    </row>
    <row r="672" spans="1:4" ht="63">
      <c r="A672" s="5" t="s">
        <v>5486</v>
      </c>
      <c r="B672" s="932" t="s">
        <v>7882</v>
      </c>
      <c r="C672" s="933" t="s">
        <v>9361</v>
      </c>
      <c r="D672" s="1179" t="s">
        <v>9362</v>
      </c>
    </row>
    <row r="673" spans="1:4" ht="31.5" customHeight="1">
      <c r="A673" s="5" t="s">
        <v>5487</v>
      </c>
      <c r="B673" s="932" t="s">
        <v>7883</v>
      </c>
      <c r="C673" s="933" t="s">
        <v>9360</v>
      </c>
      <c r="D673" s="1180"/>
    </row>
    <row r="674" spans="1:4" ht="94.5">
      <c r="A674" s="5" t="s">
        <v>5488</v>
      </c>
      <c r="B674" s="932" t="s">
        <v>9363</v>
      </c>
      <c r="C674" s="933" t="s">
        <v>9360</v>
      </c>
      <c r="D674" s="1180"/>
    </row>
    <row r="675" spans="1:4" ht="31.5">
      <c r="A675" s="5" t="s">
        <v>5489</v>
      </c>
      <c r="B675" s="932" t="s">
        <v>5642</v>
      </c>
      <c r="C675" s="933" t="s">
        <v>9360</v>
      </c>
      <c r="D675" s="1180"/>
    </row>
    <row r="676" spans="1:4" ht="31.5">
      <c r="A676" s="5" t="s">
        <v>5643</v>
      </c>
      <c r="B676" s="932" t="s">
        <v>5644</v>
      </c>
      <c r="C676" s="933" t="s">
        <v>9360</v>
      </c>
      <c r="D676" s="1181"/>
    </row>
    <row r="677" spans="1:4">
      <c r="A677" s="5" t="s">
        <v>5645</v>
      </c>
      <c r="B677" s="932" t="s">
        <v>9364</v>
      </c>
      <c r="C677" s="933" t="s">
        <v>1791</v>
      </c>
      <c r="D677" s="1082">
        <v>7.5</v>
      </c>
    </row>
    <row r="678" spans="1:4" ht="47.25">
      <c r="A678" s="5" t="s">
        <v>5646</v>
      </c>
      <c r="B678" s="932" t="s">
        <v>5730</v>
      </c>
      <c r="C678" s="933" t="s">
        <v>1791</v>
      </c>
      <c r="D678" s="1082" t="s">
        <v>9789</v>
      </c>
    </row>
    <row r="679" spans="1:4">
      <c r="A679" s="5" t="s">
        <v>5647</v>
      </c>
      <c r="B679" s="932" t="s">
        <v>5648</v>
      </c>
      <c r="C679" s="1051" t="s">
        <v>9375</v>
      </c>
      <c r="D679" s="1193" t="s">
        <v>7838</v>
      </c>
    </row>
    <row r="680" spans="1:4">
      <c r="A680" s="5" t="s">
        <v>5649</v>
      </c>
      <c r="B680" s="932" t="s">
        <v>7884</v>
      </c>
      <c r="C680" s="1051" t="s">
        <v>9375</v>
      </c>
      <c r="D680" s="1193"/>
    </row>
    <row r="681" spans="1:4">
      <c r="A681" s="5" t="s">
        <v>5650</v>
      </c>
      <c r="B681" s="932" t="s">
        <v>7885</v>
      </c>
      <c r="C681" s="1051" t="s">
        <v>9375</v>
      </c>
      <c r="D681" s="1193"/>
    </row>
    <row r="682" spans="1:4">
      <c r="A682" s="5" t="s">
        <v>5651</v>
      </c>
      <c r="B682" s="932" t="s">
        <v>5652</v>
      </c>
      <c r="C682" s="1051" t="s">
        <v>9375</v>
      </c>
      <c r="D682" s="1193"/>
    </row>
    <row r="683" spans="1:4">
      <c r="A683" s="5" t="s">
        <v>5653</v>
      </c>
      <c r="B683" s="932" t="s">
        <v>7886</v>
      </c>
      <c r="C683" s="1051" t="s">
        <v>9375</v>
      </c>
      <c r="D683" s="1193"/>
    </row>
    <row r="684" spans="1:4">
      <c r="A684" s="5" t="s">
        <v>5654</v>
      </c>
      <c r="B684" s="932" t="s">
        <v>9365</v>
      </c>
      <c r="C684" s="1051" t="s">
        <v>9375</v>
      </c>
      <c r="D684" s="1193"/>
    </row>
    <row r="685" spans="1:4">
      <c r="A685" s="5" t="s">
        <v>5655</v>
      </c>
      <c r="B685" s="932" t="s">
        <v>5656</v>
      </c>
      <c r="C685" s="933" t="s">
        <v>3481</v>
      </c>
      <c r="D685" s="1082" t="s">
        <v>7839</v>
      </c>
    </row>
    <row r="686" spans="1:4">
      <c r="A686" s="5" t="s">
        <v>5657</v>
      </c>
      <c r="B686" s="932" t="s">
        <v>7887</v>
      </c>
      <c r="C686" s="933" t="s">
        <v>1791</v>
      </c>
      <c r="D686" s="1082">
        <v>54</v>
      </c>
    </row>
    <row r="687" spans="1:4" ht="47.25">
      <c r="A687" s="5" t="s">
        <v>5658</v>
      </c>
      <c r="B687" s="932" t="s">
        <v>5853</v>
      </c>
      <c r="C687" s="1051" t="s">
        <v>9375</v>
      </c>
      <c r="D687" s="1082" t="s">
        <v>9790</v>
      </c>
    </row>
    <row r="688" spans="1:4" ht="47.25">
      <c r="A688" s="5" t="s">
        <v>5659</v>
      </c>
      <c r="B688" s="932" t="s">
        <v>7888</v>
      </c>
      <c r="C688" s="1051" t="s">
        <v>9375</v>
      </c>
      <c r="D688" s="1082" t="s">
        <v>9791</v>
      </c>
    </row>
    <row r="689" spans="1:4">
      <c r="A689" s="5" t="s">
        <v>5660</v>
      </c>
      <c r="B689" s="932" t="s">
        <v>7889</v>
      </c>
      <c r="C689" s="933" t="s">
        <v>9360</v>
      </c>
      <c r="D689" s="1082">
        <v>165</v>
      </c>
    </row>
    <row r="690" spans="1:4">
      <c r="A690" s="5" t="s">
        <v>5661</v>
      </c>
      <c r="B690" s="932" t="s">
        <v>5662</v>
      </c>
      <c r="C690" s="933" t="s">
        <v>5860</v>
      </c>
      <c r="D690" s="1082">
        <v>541</v>
      </c>
    </row>
    <row r="691" spans="1:4">
      <c r="A691" s="5" t="s">
        <v>5663</v>
      </c>
      <c r="B691" s="932" t="s">
        <v>5664</v>
      </c>
      <c r="C691" s="933" t="s">
        <v>3481</v>
      </c>
      <c r="D691" s="1082">
        <v>82</v>
      </c>
    </row>
    <row r="692" spans="1:4">
      <c r="A692" s="5" t="s">
        <v>5665</v>
      </c>
      <c r="B692" s="932" t="s">
        <v>5666</v>
      </c>
      <c r="C692" s="933" t="s">
        <v>1791</v>
      </c>
      <c r="D692" s="1082">
        <v>327.5</v>
      </c>
    </row>
    <row r="693" spans="1:4">
      <c r="A693" s="5" t="s">
        <v>5667</v>
      </c>
      <c r="B693" s="932" t="s">
        <v>5668</v>
      </c>
      <c r="C693" s="1051" t="s">
        <v>9375</v>
      </c>
      <c r="D693" s="937">
        <v>59225</v>
      </c>
    </row>
    <row r="694" spans="1:4" ht="31.5">
      <c r="A694" s="5" t="s">
        <v>5669</v>
      </c>
      <c r="B694" s="932" t="s">
        <v>7890</v>
      </c>
      <c r="C694" s="933" t="s">
        <v>1791</v>
      </c>
      <c r="D694" s="1082">
        <v>206</v>
      </c>
    </row>
    <row r="695" spans="1:4" ht="31.5">
      <c r="A695" s="5" t="s">
        <v>5670</v>
      </c>
      <c r="B695" s="932" t="s">
        <v>7891</v>
      </c>
      <c r="C695" s="933" t="s">
        <v>2113</v>
      </c>
      <c r="D695" s="1082">
        <v>194</v>
      </c>
    </row>
    <row r="696" spans="1:4">
      <c r="A696" s="5" t="s">
        <v>5671</v>
      </c>
      <c r="B696" s="932" t="s">
        <v>9366</v>
      </c>
      <c r="C696" s="1051" t="s">
        <v>9358</v>
      </c>
      <c r="D696" s="1082">
        <v>130</v>
      </c>
    </row>
    <row r="697" spans="1:4" ht="47.25">
      <c r="A697" s="5" t="s">
        <v>5672</v>
      </c>
      <c r="B697" s="932" t="s">
        <v>9367</v>
      </c>
      <c r="C697" s="933" t="s">
        <v>3481</v>
      </c>
      <c r="D697" s="1082" t="s">
        <v>7892</v>
      </c>
    </row>
    <row r="698" spans="1:4" ht="47.25">
      <c r="A698" s="5" t="s">
        <v>5673</v>
      </c>
      <c r="B698" s="932" t="s">
        <v>9368</v>
      </c>
      <c r="C698" s="933" t="s">
        <v>2113</v>
      </c>
      <c r="D698" s="1082">
        <v>50</v>
      </c>
    </row>
    <row r="699" spans="1:4" ht="63">
      <c r="A699" s="5" t="s">
        <v>5674</v>
      </c>
      <c r="B699" s="932" t="s">
        <v>5675</v>
      </c>
      <c r="C699" s="933" t="s">
        <v>9357</v>
      </c>
      <c r="D699" s="1082" t="s">
        <v>7892</v>
      </c>
    </row>
    <row r="700" spans="1:4" ht="32.25" thickBot="1">
      <c r="A700" s="5" t="s">
        <v>5676</v>
      </c>
      <c r="B700" s="932" t="s">
        <v>5677</v>
      </c>
      <c r="C700" s="933" t="s">
        <v>9369</v>
      </c>
      <c r="D700" s="1082" t="s">
        <v>9792</v>
      </c>
    </row>
    <row r="701" spans="1:4" ht="32.25" thickBot="1">
      <c r="A701" s="5" t="s">
        <v>5678</v>
      </c>
      <c r="B701" s="932" t="s">
        <v>6415</v>
      </c>
      <c r="C701" s="933" t="s">
        <v>1791</v>
      </c>
      <c r="D701" s="1092">
        <v>361</v>
      </c>
    </row>
    <row r="702" spans="1:4" ht="16.5" thickBot="1">
      <c r="A702" s="5" t="s">
        <v>6416</v>
      </c>
      <c r="B702" s="932" t="s">
        <v>6417</v>
      </c>
      <c r="C702" s="933" t="s">
        <v>1791</v>
      </c>
      <c r="D702" s="1091">
        <v>118</v>
      </c>
    </row>
    <row r="703" spans="1:4" ht="16.5" thickBot="1">
      <c r="A703" s="5" t="s">
        <v>6418</v>
      </c>
      <c r="B703" s="932" t="s">
        <v>9370</v>
      </c>
      <c r="C703" s="933" t="s">
        <v>1791</v>
      </c>
      <c r="D703" s="1091">
        <v>613</v>
      </c>
    </row>
    <row r="704" spans="1:4" ht="16.5" thickBot="1">
      <c r="A704" s="5" t="s">
        <v>6419</v>
      </c>
      <c r="B704" s="932" t="s">
        <v>6420</v>
      </c>
      <c r="C704" s="933" t="s">
        <v>1791</v>
      </c>
      <c r="D704" s="1091">
        <v>633</v>
      </c>
    </row>
    <row r="705" spans="1:4" ht="16.5" thickBot="1">
      <c r="A705" s="5" t="s">
        <v>6421</v>
      </c>
      <c r="B705" s="932" t="s">
        <v>6422</v>
      </c>
      <c r="C705" s="933" t="s">
        <v>3481</v>
      </c>
      <c r="D705" s="1091">
        <v>25</v>
      </c>
    </row>
    <row r="706" spans="1:4" ht="16.5" thickBot="1">
      <c r="A706" s="5" t="s">
        <v>6423</v>
      </c>
      <c r="B706" s="932" t="s">
        <v>9371</v>
      </c>
      <c r="C706" s="933" t="s">
        <v>3481</v>
      </c>
      <c r="D706" s="1092">
        <v>40</v>
      </c>
    </row>
    <row r="707" spans="1:4" ht="16.5" thickBot="1">
      <c r="A707" s="5" t="s">
        <v>6424</v>
      </c>
      <c r="B707" s="932" t="s">
        <v>7893</v>
      </c>
      <c r="C707" s="933" t="s">
        <v>9360</v>
      </c>
      <c r="D707" s="1091">
        <v>195</v>
      </c>
    </row>
    <row r="708" spans="1:4" ht="48" thickBot="1">
      <c r="A708" s="5" t="s">
        <v>6425</v>
      </c>
      <c r="B708" s="932" t="s">
        <v>7894</v>
      </c>
      <c r="C708" s="933" t="s">
        <v>5860</v>
      </c>
      <c r="D708" s="1091">
        <v>180</v>
      </c>
    </row>
    <row r="709" spans="1:4" ht="32.25" thickBot="1">
      <c r="A709" s="5" t="s">
        <v>5222</v>
      </c>
      <c r="B709" s="932" t="s">
        <v>7895</v>
      </c>
      <c r="C709" s="933" t="s">
        <v>1791</v>
      </c>
      <c r="D709" s="1091">
        <v>932</v>
      </c>
    </row>
    <row r="710" spans="1:4" ht="25.5" customHeight="1" thickBot="1">
      <c r="A710" s="5" t="s">
        <v>5223</v>
      </c>
      <c r="B710" s="932" t="s">
        <v>9372</v>
      </c>
      <c r="C710" s="933" t="s">
        <v>1791</v>
      </c>
      <c r="D710" s="1091">
        <v>73</v>
      </c>
    </row>
    <row r="711" spans="1:4" ht="47.25">
      <c r="A711" s="5" t="s">
        <v>5224</v>
      </c>
      <c r="B711" s="932" t="s">
        <v>5225</v>
      </c>
      <c r="C711" s="933" t="s">
        <v>5860</v>
      </c>
      <c r="D711" s="1082" t="s">
        <v>7892</v>
      </c>
    </row>
    <row r="712" spans="1:4" ht="31.5">
      <c r="A712" s="5" t="s">
        <v>5226</v>
      </c>
      <c r="B712" s="932" t="s">
        <v>7896</v>
      </c>
      <c r="C712" s="933" t="s">
        <v>5860</v>
      </c>
      <c r="D712" s="1082" t="s">
        <v>9793</v>
      </c>
    </row>
    <row r="713" spans="1:4" ht="31.5">
      <c r="A713" s="5"/>
      <c r="B713" s="932" t="s">
        <v>7897</v>
      </c>
      <c r="C713" s="933" t="s">
        <v>5860</v>
      </c>
      <c r="D713" s="1082" t="s">
        <v>9794</v>
      </c>
    </row>
    <row r="714" spans="1:4" ht="31.5">
      <c r="A714" s="5"/>
      <c r="B714" s="932" t="s">
        <v>7898</v>
      </c>
      <c r="C714" s="933" t="s">
        <v>5860</v>
      </c>
      <c r="D714" s="1082" t="s">
        <v>9795</v>
      </c>
    </row>
    <row r="715" spans="1:4" ht="47.25">
      <c r="A715" s="5" t="s">
        <v>5227</v>
      </c>
      <c r="B715" s="932" t="s">
        <v>7899</v>
      </c>
      <c r="C715" s="933" t="s">
        <v>5860</v>
      </c>
      <c r="D715" s="1082" t="s">
        <v>7892</v>
      </c>
    </row>
    <row r="716" spans="1:4" ht="31.5">
      <c r="A716" s="5" t="s">
        <v>5228</v>
      </c>
      <c r="B716" s="932" t="s">
        <v>7900</v>
      </c>
      <c r="C716" s="933" t="s">
        <v>5860</v>
      </c>
      <c r="D716" s="1082" t="s">
        <v>9796</v>
      </c>
    </row>
    <row r="717" spans="1:4" ht="31.5">
      <c r="A717" s="5"/>
      <c r="B717" s="932" t="s">
        <v>7901</v>
      </c>
      <c r="C717" s="933" t="s">
        <v>5860</v>
      </c>
      <c r="D717" s="1082" t="s">
        <v>9797</v>
      </c>
    </row>
    <row r="718" spans="1:4" ht="31.5">
      <c r="A718" s="5"/>
      <c r="B718" s="932" t="s">
        <v>7902</v>
      </c>
      <c r="C718" s="933" t="s">
        <v>5860</v>
      </c>
      <c r="D718" s="1082" t="s">
        <v>9798</v>
      </c>
    </row>
    <row r="719" spans="1:4" ht="47.25">
      <c r="A719" s="5" t="s">
        <v>5229</v>
      </c>
      <c r="B719" s="932" t="s">
        <v>7903</v>
      </c>
      <c r="C719" s="933" t="s">
        <v>5860</v>
      </c>
      <c r="D719" s="1082" t="s">
        <v>7892</v>
      </c>
    </row>
    <row r="720" spans="1:4">
      <c r="A720" s="5" t="s">
        <v>5230</v>
      </c>
      <c r="B720" s="932" t="s">
        <v>5231</v>
      </c>
      <c r="C720" s="933" t="s">
        <v>9360</v>
      </c>
      <c r="D720" s="1082">
        <v>23</v>
      </c>
    </row>
    <row r="721" spans="1:4" ht="87.75" customHeight="1">
      <c r="A721" s="5" t="s">
        <v>5232</v>
      </c>
      <c r="B721" s="932" t="s">
        <v>5233</v>
      </c>
      <c r="C721" s="933" t="s">
        <v>2374</v>
      </c>
      <c r="D721" s="1082" t="s">
        <v>9848</v>
      </c>
    </row>
    <row r="722" spans="1:4">
      <c r="A722" s="5" t="s">
        <v>5234</v>
      </c>
      <c r="B722" s="926" t="s">
        <v>5235</v>
      </c>
      <c r="C722" s="933" t="s">
        <v>1791</v>
      </c>
      <c r="D722" s="1082">
        <v>6</v>
      </c>
    </row>
    <row r="723" spans="1:4">
      <c r="A723" s="5" t="s">
        <v>5236</v>
      </c>
      <c r="B723" s="1018" t="s">
        <v>7904</v>
      </c>
      <c r="C723" s="1019" t="s">
        <v>1791</v>
      </c>
      <c r="D723" s="1082">
        <v>8</v>
      </c>
    </row>
    <row r="724" spans="1:4">
      <c r="A724" s="22" t="s">
        <v>5237</v>
      </c>
      <c r="B724" s="1020" t="s">
        <v>5238</v>
      </c>
      <c r="C724" s="1021" t="s">
        <v>9357</v>
      </c>
      <c r="D724" s="1189" t="s">
        <v>470</v>
      </c>
    </row>
    <row r="725" spans="1:4">
      <c r="A725" s="22" t="s">
        <v>5239</v>
      </c>
      <c r="B725" s="1022" t="s">
        <v>5240</v>
      </c>
      <c r="C725" s="1023" t="s">
        <v>9357</v>
      </c>
      <c r="D725" s="1190"/>
    </row>
    <row r="726" spans="1:4" ht="15.75" customHeight="1">
      <c r="A726" s="22" t="s">
        <v>5241</v>
      </c>
      <c r="B726" s="1020" t="s">
        <v>9373</v>
      </c>
      <c r="C726" s="1021" t="s">
        <v>3481</v>
      </c>
      <c r="D726" s="1186" t="s">
        <v>471</v>
      </c>
    </row>
    <row r="727" spans="1:4">
      <c r="A727" s="22" t="s">
        <v>5242</v>
      </c>
      <c r="B727" s="1020" t="s">
        <v>5243</v>
      </c>
      <c r="C727" s="1021" t="s">
        <v>9357</v>
      </c>
      <c r="D727" s="1194"/>
    </row>
    <row r="728" spans="1:4" ht="26.25" customHeight="1">
      <c r="A728" s="22" t="s">
        <v>5244</v>
      </c>
      <c r="B728" s="1020" t="s">
        <v>5245</v>
      </c>
      <c r="C728" s="1021" t="s">
        <v>9358</v>
      </c>
      <c r="D728" s="1194"/>
    </row>
    <row r="729" spans="1:4" ht="26.25" customHeight="1">
      <c r="A729" s="22" t="s">
        <v>5246</v>
      </c>
      <c r="B729" s="1020" t="s">
        <v>9374</v>
      </c>
      <c r="C729" s="1021" t="s">
        <v>9375</v>
      </c>
      <c r="D729" s="1125">
        <v>40000</v>
      </c>
    </row>
    <row r="730" spans="1:4" ht="26.25" customHeight="1">
      <c r="A730" s="22" t="s">
        <v>5247</v>
      </c>
      <c r="B730" s="1020" t="s">
        <v>5248</v>
      </c>
      <c r="C730" s="1021" t="s">
        <v>1791</v>
      </c>
      <c r="D730" s="1125">
        <v>75</v>
      </c>
    </row>
    <row r="731" spans="1:4" ht="31.5">
      <c r="A731" s="5" t="s">
        <v>5249</v>
      </c>
      <c r="B731" s="926" t="s">
        <v>5250</v>
      </c>
      <c r="C731" s="933" t="s">
        <v>5860</v>
      </c>
      <c r="D731" s="1082">
        <v>90</v>
      </c>
    </row>
    <row r="732" spans="1:4">
      <c r="A732" s="5" t="s">
        <v>5251</v>
      </c>
      <c r="B732" s="926" t="s">
        <v>5252</v>
      </c>
      <c r="C732" s="933" t="s">
        <v>9358</v>
      </c>
      <c r="D732" s="1082">
        <v>65</v>
      </c>
    </row>
    <row r="733" spans="1:4">
      <c r="A733" s="5" t="s">
        <v>5253</v>
      </c>
      <c r="B733" s="926" t="s">
        <v>5254</v>
      </c>
      <c r="C733" s="933" t="s">
        <v>1791</v>
      </c>
      <c r="D733" s="1082" t="s">
        <v>7835</v>
      </c>
    </row>
    <row r="734" spans="1:4" ht="47.25">
      <c r="A734" s="5" t="s">
        <v>5255</v>
      </c>
      <c r="B734" s="926" t="s">
        <v>5254</v>
      </c>
      <c r="C734" s="933" t="s">
        <v>1791</v>
      </c>
      <c r="D734" s="1082" t="s">
        <v>471</v>
      </c>
    </row>
    <row r="735" spans="1:4" ht="47.25">
      <c r="A735" s="5" t="s">
        <v>5256</v>
      </c>
      <c r="B735" s="926" t="s">
        <v>7905</v>
      </c>
      <c r="C735" s="933" t="s">
        <v>1791</v>
      </c>
      <c r="D735" s="1082" t="s">
        <v>472</v>
      </c>
    </row>
    <row r="736" spans="1:4">
      <c r="A736" s="5" t="s">
        <v>5257</v>
      </c>
      <c r="B736" s="1018" t="s">
        <v>5258</v>
      </c>
      <c r="C736" s="1019" t="s">
        <v>9375</v>
      </c>
      <c r="D736" s="1024">
        <v>46865</v>
      </c>
    </row>
    <row r="737" spans="1:4" ht="141.75">
      <c r="A737" s="5" t="s">
        <v>5259</v>
      </c>
      <c r="B737" s="1018" t="s">
        <v>7906</v>
      </c>
      <c r="C737" s="1019" t="s">
        <v>9357</v>
      </c>
      <c r="D737" s="1019" t="s">
        <v>471</v>
      </c>
    </row>
    <row r="738" spans="1:4" ht="16.5" customHeight="1" thickBot="1">
      <c r="A738" s="5" t="s">
        <v>7258</v>
      </c>
      <c r="B738" s="1018" t="s">
        <v>7907</v>
      </c>
      <c r="C738" s="1019" t="s">
        <v>9357</v>
      </c>
      <c r="D738" s="1019" t="s">
        <v>471</v>
      </c>
    </row>
    <row r="739" spans="1:4" ht="16.5" thickBot="1">
      <c r="A739" s="5" t="s">
        <v>7259</v>
      </c>
      <c r="B739" s="1018" t="s">
        <v>7260</v>
      </c>
      <c r="C739" s="1019" t="s">
        <v>9360</v>
      </c>
      <c r="D739" s="1092">
        <v>20</v>
      </c>
    </row>
    <row r="740" spans="1:4" ht="16.5" thickBot="1">
      <c r="A740" s="5" t="s">
        <v>7261</v>
      </c>
      <c r="B740" s="926" t="s">
        <v>9376</v>
      </c>
      <c r="C740" s="1019" t="s">
        <v>1791</v>
      </c>
      <c r="D740" s="1091">
        <v>100</v>
      </c>
    </row>
    <row r="741" spans="1:4" ht="16.5" thickBot="1">
      <c r="A741" s="5" t="s">
        <v>7262</v>
      </c>
      <c r="B741" s="926" t="s">
        <v>7263</v>
      </c>
      <c r="C741" s="1019" t="s">
        <v>9358</v>
      </c>
      <c r="D741" s="1091">
        <v>255</v>
      </c>
    </row>
    <row r="742" spans="1:4">
      <c r="A742" s="5" t="s">
        <v>7264</v>
      </c>
      <c r="B742" s="926" t="s">
        <v>7265</v>
      </c>
      <c r="C742" s="1025" t="s">
        <v>9358</v>
      </c>
      <c r="D742" s="1187" t="s">
        <v>471</v>
      </c>
    </row>
    <row r="743" spans="1:4">
      <c r="A743" s="5" t="s">
        <v>7266</v>
      </c>
      <c r="B743" s="926" t="s">
        <v>7267</v>
      </c>
      <c r="C743" s="1025" t="s">
        <v>5860</v>
      </c>
      <c r="D743" s="1187"/>
    </row>
    <row r="744" spans="1:4">
      <c r="A744" s="5" t="s">
        <v>7268</v>
      </c>
      <c r="B744" s="1018" t="s">
        <v>9377</v>
      </c>
      <c r="C744" s="1026" t="s">
        <v>9357</v>
      </c>
      <c r="D744" s="1187"/>
    </row>
    <row r="745" spans="1:4" ht="31.5">
      <c r="A745" s="22" t="s">
        <v>7269</v>
      </c>
      <c r="B745" s="1020" t="s">
        <v>7270</v>
      </c>
      <c r="C745" s="1021" t="s">
        <v>9357</v>
      </c>
      <c r="D745" s="1188"/>
    </row>
    <row r="746" spans="1:4" ht="47.25">
      <c r="A746" s="5" t="s">
        <v>7271</v>
      </c>
      <c r="B746" s="926" t="s">
        <v>7272</v>
      </c>
      <c r="C746" s="933" t="s">
        <v>1791</v>
      </c>
      <c r="D746" s="1123" t="s">
        <v>471</v>
      </c>
    </row>
    <row r="747" spans="1:4" ht="31.5">
      <c r="A747" s="5" t="s">
        <v>7273</v>
      </c>
      <c r="B747" s="926" t="s">
        <v>7908</v>
      </c>
      <c r="C747" s="933" t="s">
        <v>9357</v>
      </c>
      <c r="D747" s="1121" t="s">
        <v>7836</v>
      </c>
    </row>
    <row r="748" spans="1:4" ht="25.5" customHeight="1">
      <c r="A748" s="5" t="s">
        <v>7274</v>
      </c>
      <c r="B748" s="926" t="s">
        <v>7275</v>
      </c>
      <c r="C748" s="933" t="s">
        <v>5860</v>
      </c>
      <c r="D748" s="1124">
        <v>55</v>
      </c>
    </row>
    <row r="749" spans="1:4" ht="25.5" customHeight="1">
      <c r="A749" s="5" t="s">
        <v>7276</v>
      </c>
      <c r="B749" s="926" t="s">
        <v>9378</v>
      </c>
      <c r="C749" s="933" t="s">
        <v>9360</v>
      </c>
      <c r="D749" s="1185" t="s">
        <v>471</v>
      </c>
    </row>
    <row r="750" spans="1:4" ht="25.5" customHeight="1">
      <c r="A750" s="5" t="s">
        <v>7277</v>
      </c>
      <c r="B750" s="926" t="s">
        <v>7278</v>
      </c>
      <c r="C750" s="933" t="s">
        <v>9357</v>
      </c>
      <c r="D750" s="1185"/>
    </row>
    <row r="751" spans="1:4" ht="31.5">
      <c r="A751" s="5" t="s">
        <v>7279</v>
      </c>
      <c r="B751" s="926" t="s">
        <v>7909</v>
      </c>
      <c r="C751" s="933" t="s">
        <v>5860</v>
      </c>
      <c r="D751" s="1158">
        <v>275</v>
      </c>
    </row>
    <row r="752" spans="1:4" ht="33" customHeight="1">
      <c r="A752" s="5" t="s">
        <v>7280</v>
      </c>
      <c r="B752" s="926" t="s">
        <v>9933</v>
      </c>
      <c r="C752" s="933" t="s">
        <v>2113</v>
      </c>
      <c r="D752" s="1158" t="s">
        <v>471</v>
      </c>
    </row>
    <row r="753" spans="1:4" ht="30" customHeight="1">
      <c r="A753" s="5" t="s">
        <v>7281</v>
      </c>
      <c r="B753" s="1018" t="s">
        <v>7910</v>
      </c>
      <c r="C753" s="1019" t="s">
        <v>9357</v>
      </c>
      <c r="D753" s="1185" t="s">
        <v>471</v>
      </c>
    </row>
    <row r="754" spans="1:4" ht="25.5" customHeight="1">
      <c r="A754" s="5" t="s">
        <v>7282</v>
      </c>
      <c r="B754" s="926" t="s">
        <v>7283</v>
      </c>
      <c r="C754" s="933" t="s">
        <v>5860</v>
      </c>
      <c r="D754" s="1185"/>
    </row>
    <row r="755" spans="1:4" ht="47.25">
      <c r="A755" s="5" t="s">
        <v>7284</v>
      </c>
      <c r="B755" s="1018" t="s">
        <v>7285</v>
      </c>
      <c r="C755" s="1019" t="s">
        <v>1791</v>
      </c>
      <c r="D755" s="1121" t="s">
        <v>471</v>
      </c>
    </row>
    <row r="756" spans="1:4" ht="12.75" customHeight="1">
      <c r="A756" s="5" t="s">
        <v>7286</v>
      </c>
      <c r="B756" s="926" t="s">
        <v>9959</v>
      </c>
      <c r="C756" s="933" t="s">
        <v>1791</v>
      </c>
      <c r="D756" s="1121">
        <v>190</v>
      </c>
    </row>
    <row r="757" spans="1:4">
      <c r="A757" s="5" t="s">
        <v>7287</v>
      </c>
      <c r="B757" s="926" t="s">
        <v>7288</v>
      </c>
      <c r="C757" s="933" t="s">
        <v>1791</v>
      </c>
      <c r="D757" s="1121">
        <v>35</v>
      </c>
    </row>
    <row r="758" spans="1:4" ht="31.5">
      <c r="A758" s="5" t="s">
        <v>7289</v>
      </c>
      <c r="B758" s="1018" t="s">
        <v>9934</v>
      </c>
      <c r="C758" s="1019" t="s">
        <v>2113</v>
      </c>
      <c r="D758" s="1121">
        <v>252</v>
      </c>
    </row>
    <row r="759" spans="1:4" ht="31.5">
      <c r="A759" s="5" t="s">
        <v>7290</v>
      </c>
      <c r="B759" s="926" t="s">
        <v>9379</v>
      </c>
      <c r="C759" s="933" t="s">
        <v>9357</v>
      </c>
      <c r="D759" s="1185" t="s">
        <v>470</v>
      </c>
    </row>
    <row r="760" spans="1:4" ht="12.75" customHeight="1">
      <c r="A760" s="5" t="s">
        <v>7291</v>
      </c>
      <c r="B760" s="926" t="s">
        <v>9380</v>
      </c>
      <c r="C760" s="933" t="s">
        <v>9357</v>
      </c>
      <c r="D760" s="1185"/>
    </row>
    <row r="761" spans="1:4" ht="12.75" customHeight="1">
      <c r="A761" s="5" t="s">
        <v>7292</v>
      </c>
      <c r="B761" s="926" t="s">
        <v>7911</v>
      </c>
      <c r="C761" s="1019" t="s">
        <v>9357</v>
      </c>
      <c r="D761" s="1185"/>
    </row>
    <row r="762" spans="1:4" ht="25.5" customHeight="1">
      <c r="A762" s="5" t="s">
        <v>7293</v>
      </c>
      <c r="B762" s="1018" t="s">
        <v>7294</v>
      </c>
      <c r="C762" s="1019" t="s">
        <v>1791</v>
      </c>
      <c r="D762" s="1185" t="s">
        <v>471</v>
      </c>
    </row>
    <row r="763" spans="1:4" ht="31.5">
      <c r="A763" s="5" t="s">
        <v>7295</v>
      </c>
      <c r="B763" s="1018" t="s">
        <v>7296</v>
      </c>
      <c r="C763" s="1019" t="s">
        <v>9357</v>
      </c>
      <c r="D763" s="1185"/>
    </row>
    <row r="764" spans="1:4" ht="47.25">
      <c r="A764" s="22" t="s">
        <v>7297</v>
      </c>
      <c r="B764" s="1020" t="s">
        <v>7912</v>
      </c>
      <c r="C764" s="1021" t="s">
        <v>9357</v>
      </c>
      <c r="D764" s="1185"/>
    </row>
    <row r="765" spans="1:4" ht="47.25">
      <c r="A765" s="22" t="s">
        <v>7298</v>
      </c>
      <c r="B765" s="1020" t="s">
        <v>7913</v>
      </c>
      <c r="C765" s="1021" t="s">
        <v>9357</v>
      </c>
      <c r="D765" s="1185"/>
    </row>
    <row r="766" spans="1:4" ht="31.5">
      <c r="A766" s="22" t="s">
        <v>7299</v>
      </c>
      <c r="B766" s="1020" t="s">
        <v>7300</v>
      </c>
      <c r="C766" s="1021" t="s">
        <v>9357</v>
      </c>
      <c r="D766" s="1185"/>
    </row>
    <row r="767" spans="1:4" ht="31.5">
      <c r="A767" s="22" t="s">
        <v>7301</v>
      </c>
      <c r="B767" s="1022" t="s">
        <v>9381</v>
      </c>
      <c r="C767" s="1023" t="s">
        <v>9357</v>
      </c>
      <c r="D767" s="1186"/>
    </row>
    <row r="768" spans="1:4" ht="12.75" customHeight="1">
      <c r="A768" s="22" t="s">
        <v>7302</v>
      </c>
      <c r="B768" s="926" t="s">
        <v>2482</v>
      </c>
      <c r="C768" s="5" t="s">
        <v>4935</v>
      </c>
      <c r="D768" s="1121">
        <v>7</v>
      </c>
    </row>
    <row r="769" spans="1:4" ht="63">
      <c r="A769" s="22" t="s">
        <v>7303</v>
      </c>
      <c r="B769" s="926" t="s">
        <v>7304</v>
      </c>
      <c r="C769" s="1126" t="s">
        <v>476</v>
      </c>
      <c r="D769" s="1127" t="s">
        <v>9890</v>
      </c>
    </row>
    <row r="770" spans="1:4" ht="47.25">
      <c r="A770" s="22" t="s">
        <v>7305</v>
      </c>
      <c r="B770" s="926" t="s">
        <v>9382</v>
      </c>
      <c r="C770" s="5" t="s">
        <v>4935</v>
      </c>
      <c r="D770" s="1121" t="s">
        <v>471</v>
      </c>
    </row>
    <row r="771" spans="1:4">
      <c r="A771" s="22" t="s">
        <v>7306</v>
      </c>
      <c r="B771" s="926" t="s">
        <v>7307</v>
      </c>
      <c r="C771" s="5" t="s">
        <v>5479</v>
      </c>
      <c r="D771" s="1110">
        <v>80</v>
      </c>
    </row>
    <row r="772" spans="1:4">
      <c r="A772" s="22" t="s">
        <v>7308</v>
      </c>
      <c r="B772" s="926" t="s">
        <v>7914</v>
      </c>
      <c r="C772" s="5" t="s">
        <v>3478</v>
      </c>
      <c r="D772" s="1110">
        <v>18</v>
      </c>
    </row>
    <row r="773" spans="1:4" ht="31.5">
      <c r="A773" s="22" t="s">
        <v>7309</v>
      </c>
      <c r="B773" s="926" t="s">
        <v>9383</v>
      </c>
      <c r="C773" s="5" t="s">
        <v>3477</v>
      </c>
      <c r="D773" s="1110" t="s">
        <v>9696</v>
      </c>
    </row>
    <row r="774" spans="1:4" ht="47.25">
      <c r="A774" s="22" t="s">
        <v>7310</v>
      </c>
      <c r="B774" s="926" t="s">
        <v>7311</v>
      </c>
      <c r="C774" s="5" t="s">
        <v>3479</v>
      </c>
      <c r="D774" s="1121" t="s">
        <v>471</v>
      </c>
    </row>
    <row r="775" spans="1:4" ht="47.25">
      <c r="A775" s="22" t="s">
        <v>7312</v>
      </c>
      <c r="B775" s="926" t="s">
        <v>7313</v>
      </c>
      <c r="C775" s="5" t="s">
        <v>5470</v>
      </c>
      <c r="D775" s="1121" t="s">
        <v>471</v>
      </c>
    </row>
    <row r="776" spans="1:4">
      <c r="A776" s="22" t="s">
        <v>7314</v>
      </c>
      <c r="B776" s="926" t="s">
        <v>7315</v>
      </c>
      <c r="C776" s="5" t="s">
        <v>4935</v>
      </c>
      <c r="D776" s="1121">
        <v>15</v>
      </c>
    </row>
    <row r="777" spans="1:4" ht="47.25">
      <c r="A777" s="22" t="s">
        <v>7316</v>
      </c>
      <c r="B777" s="926" t="s">
        <v>7317</v>
      </c>
      <c r="C777" s="5" t="s">
        <v>3477</v>
      </c>
      <c r="D777" s="1121" t="s">
        <v>471</v>
      </c>
    </row>
    <row r="778" spans="1:4">
      <c r="A778" s="22" t="s">
        <v>7318</v>
      </c>
      <c r="B778" s="926" t="s">
        <v>6462</v>
      </c>
      <c r="C778" s="5" t="s">
        <v>4935</v>
      </c>
      <c r="D778" s="1121" t="s">
        <v>7839</v>
      </c>
    </row>
    <row r="779" spans="1:4" ht="47.25">
      <c r="A779" s="22" t="s">
        <v>6463</v>
      </c>
      <c r="B779" s="926" t="s">
        <v>9935</v>
      </c>
      <c r="C779" s="5" t="s">
        <v>3477</v>
      </c>
      <c r="D779" s="1121">
        <v>2236</v>
      </c>
    </row>
    <row r="780" spans="1:4" ht="63">
      <c r="A780" s="22" t="s">
        <v>6464</v>
      </c>
      <c r="B780" s="926" t="s">
        <v>9384</v>
      </c>
      <c r="C780" s="5" t="s">
        <v>4935</v>
      </c>
      <c r="D780" s="1121" t="s">
        <v>473</v>
      </c>
    </row>
    <row r="781" spans="1:4" ht="63">
      <c r="A781" s="22" t="s">
        <v>6465</v>
      </c>
      <c r="B781" s="926" t="s">
        <v>9385</v>
      </c>
      <c r="C781" s="5" t="s">
        <v>4935</v>
      </c>
      <c r="D781" s="1121" t="s">
        <v>473</v>
      </c>
    </row>
    <row r="782" spans="1:4" ht="47.25">
      <c r="A782" s="22" t="s">
        <v>6466</v>
      </c>
      <c r="B782" s="926" t="s">
        <v>6467</v>
      </c>
      <c r="C782" s="5" t="s">
        <v>5479</v>
      </c>
      <c r="D782" s="1121" t="s">
        <v>474</v>
      </c>
    </row>
    <row r="783" spans="1:4" ht="47.25">
      <c r="A783" s="22" t="s">
        <v>6468</v>
      </c>
      <c r="B783" s="926" t="s">
        <v>6469</v>
      </c>
      <c r="C783" s="5" t="s">
        <v>3478</v>
      </c>
      <c r="D783" s="1121" t="s">
        <v>474</v>
      </c>
    </row>
    <row r="784" spans="1:4" ht="31.5">
      <c r="A784" s="22" t="s">
        <v>6470</v>
      </c>
      <c r="B784" s="926" t="s">
        <v>6625</v>
      </c>
      <c r="C784" s="5" t="s">
        <v>5470</v>
      </c>
      <c r="D784" s="1110">
        <v>288</v>
      </c>
    </row>
    <row r="785" spans="1:4" ht="31.5">
      <c r="A785" s="22" t="s">
        <v>6626</v>
      </c>
      <c r="B785" s="926" t="s">
        <v>6627</v>
      </c>
      <c r="C785" s="5" t="s">
        <v>5470</v>
      </c>
      <c r="D785" s="1110">
        <v>561</v>
      </c>
    </row>
    <row r="786" spans="1:4">
      <c r="A786" s="22" t="s">
        <v>6628</v>
      </c>
      <c r="B786" s="926" t="s">
        <v>9386</v>
      </c>
      <c r="C786" s="5" t="s">
        <v>3478</v>
      </c>
      <c r="D786" s="1110">
        <v>185</v>
      </c>
    </row>
    <row r="787" spans="1:4">
      <c r="A787" s="22" t="s">
        <v>6629</v>
      </c>
      <c r="B787" s="926" t="s">
        <v>6630</v>
      </c>
      <c r="C787" s="5" t="s">
        <v>3478</v>
      </c>
      <c r="D787" s="1110">
        <v>211</v>
      </c>
    </row>
    <row r="788" spans="1:4" ht="45" customHeight="1">
      <c r="A788" s="22" t="s">
        <v>6631</v>
      </c>
      <c r="B788" s="926" t="s">
        <v>6632</v>
      </c>
      <c r="C788" s="5" t="s">
        <v>5470</v>
      </c>
      <c r="D788" s="1121" t="s">
        <v>471</v>
      </c>
    </row>
    <row r="789" spans="1:4" ht="47.25">
      <c r="A789" s="22" t="s">
        <v>6471</v>
      </c>
      <c r="B789" s="926" t="s">
        <v>7915</v>
      </c>
      <c r="C789" s="5" t="s">
        <v>3480</v>
      </c>
      <c r="D789" s="1121" t="s">
        <v>9791</v>
      </c>
    </row>
    <row r="790" spans="1:4" ht="47.25">
      <c r="A790" s="22" t="s">
        <v>6472</v>
      </c>
      <c r="B790" s="926" t="s">
        <v>9387</v>
      </c>
      <c r="C790" s="5" t="s">
        <v>3478</v>
      </c>
      <c r="D790" s="1121" t="s">
        <v>9799</v>
      </c>
    </row>
    <row r="791" spans="1:4" ht="38.25" customHeight="1">
      <c r="A791" s="22" t="s">
        <v>6473</v>
      </c>
      <c r="B791" s="926" t="s">
        <v>7916</v>
      </c>
      <c r="C791" s="5" t="s">
        <v>3479</v>
      </c>
      <c r="D791" s="1121" t="s">
        <v>471</v>
      </c>
    </row>
    <row r="792" spans="1:4" ht="39" customHeight="1">
      <c r="A792" s="22" t="s">
        <v>6474</v>
      </c>
      <c r="B792" s="926" t="s">
        <v>9936</v>
      </c>
      <c r="C792" s="5" t="s">
        <v>4935</v>
      </c>
      <c r="D792" s="1110" t="s">
        <v>9800</v>
      </c>
    </row>
    <row r="793" spans="1:4" ht="47.25">
      <c r="A793" s="22"/>
      <c r="B793" s="817" t="s">
        <v>9937</v>
      </c>
      <c r="C793" s="5" t="s">
        <v>4935</v>
      </c>
      <c r="D793" s="1110" t="s">
        <v>9801</v>
      </c>
    </row>
    <row r="794" spans="1:4" ht="47.25">
      <c r="A794" s="22"/>
      <c r="B794" s="817" t="s">
        <v>9938</v>
      </c>
      <c r="C794" s="5" t="s">
        <v>4935</v>
      </c>
      <c r="D794" s="1110" t="s">
        <v>9802</v>
      </c>
    </row>
    <row r="795" spans="1:4" ht="13.5" customHeight="1">
      <c r="A795" s="22" t="s">
        <v>6475</v>
      </c>
      <c r="B795" s="926" t="s">
        <v>9388</v>
      </c>
      <c r="C795" s="5" t="s">
        <v>5479</v>
      </c>
      <c r="D795" s="1110">
        <v>54</v>
      </c>
    </row>
    <row r="796" spans="1:4" ht="13.5" customHeight="1">
      <c r="A796" s="22" t="s">
        <v>6476</v>
      </c>
      <c r="B796" s="926" t="s">
        <v>6477</v>
      </c>
      <c r="C796" s="5" t="s">
        <v>4935</v>
      </c>
      <c r="D796" s="1185" t="s">
        <v>7839</v>
      </c>
    </row>
    <row r="797" spans="1:4">
      <c r="A797" s="22" t="s">
        <v>6478</v>
      </c>
      <c r="B797" s="926" t="s">
        <v>6479</v>
      </c>
      <c r="C797" s="5" t="s">
        <v>3477</v>
      </c>
      <c r="D797" s="1185"/>
    </row>
    <row r="798" spans="1:4" ht="47.25">
      <c r="A798" s="22" t="s">
        <v>6480</v>
      </c>
      <c r="B798" s="926" t="s">
        <v>6481</v>
      </c>
      <c r="C798" s="5" t="s">
        <v>5479</v>
      </c>
      <c r="D798" s="1121" t="s">
        <v>471</v>
      </c>
    </row>
    <row r="799" spans="1:4" ht="47.25">
      <c r="A799" s="22" t="s">
        <v>6482</v>
      </c>
      <c r="B799" s="926" t="s">
        <v>6483</v>
      </c>
      <c r="C799" s="5" t="s">
        <v>5479</v>
      </c>
      <c r="D799" s="1121" t="s">
        <v>471</v>
      </c>
    </row>
    <row r="800" spans="1:4" ht="13.5" customHeight="1">
      <c r="A800" s="22" t="s">
        <v>6484</v>
      </c>
      <c r="B800" s="926" t="s">
        <v>7917</v>
      </c>
      <c r="C800" s="5" t="s">
        <v>3480</v>
      </c>
      <c r="D800" s="1110">
        <v>2616</v>
      </c>
    </row>
    <row r="801" spans="1:4" ht="28.5" customHeight="1">
      <c r="A801" s="913" t="s">
        <v>9697</v>
      </c>
      <c r="B801" s="926" t="s">
        <v>9698</v>
      </c>
      <c r="C801" s="5" t="s">
        <v>6485</v>
      </c>
      <c r="D801" s="1110">
        <v>103</v>
      </c>
    </row>
    <row r="802" spans="1:4" ht="13.5" customHeight="1">
      <c r="A802" s="913" t="s">
        <v>2047</v>
      </c>
      <c r="B802" s="926" t="s">
        <v>9699</v>
      </c>
      <c r="C802" s="5" t="s">
        <v>6485</v>
      </c>
      <c r="D802" s="1110">
        <v>77</v>
      </c>
    </row>
    <row r="803" spans="1:4" ht="18.75" customHeight="1">
      <c r="A803" s="22" t="s">
        <v>6486</v>
      </c>
      <c r="B803" s="926" t="s">
        <v>6487</v>
      </c>
      <c r="C803" s="5" t="s">
        <v>5473</v>
      </c>
      <c r="D803" s="1121" t="s">
        <v>7839</v>
      </c>
    </row>
    <row r="804" spans="1:4" ht="13.5" customHeight="1">
      <c r="A804" s="22" t="s">
        <v>6488</v>
      </c>
      <c r="B804" s="926" t="s">
        <v>9389</v>
      </c>
      <c r="C804" s="5" t="s">
        <v>3478</v>
      </c>
      <c r="D804" s="1110">
        <v>155</v>
      </c>
    </row>
    <row r="805" spans="1:4" ht="21" customHeight="1">
      <c r="A805" s="22" t="s">
        <v>6489</v>
      </c>
      <c r="B805" s="926" t="s">
        <v>6490</v>
      </c>
      <c r="C805" s="5" t="s">
        <v>3478</v>
      </c>
      <c r="D805" s="1110">
        <v>252</v>
      </c>
    </row>
    <row r="806" spans="1:4" ht="13.5" customHeight="1">
      <c r="A806" s="22" t="s">
        <v>6491</v>
      </c>
      <c r="B806" s="926" t="s">
        <v>6492</v>
      </c>
      <c r="C806" s="5" t="s">
        <v>4935</v>
      </c>
      <c r="D806" s="1121" t="s">
        <v>7839</v>
      </c>
    </row>
    <row r="807" spans="1:4" ht="18.75" customHeight="1">
      <c r="A807" s="22" t="s">
        <v>6493</v>
      </c>
      <c r="B807" s="926" t="s">
        <v>6494</v>
      </c>
      <c r="C807" s="5" t="s">
        <v>4935</v>
      </c>
      <c r="D807" s="1121" t="s">
        <v>7839</v>
      </c>
    </row>
    <row r="808" spans="1:4" ht="13.5" customHeight="1">
      <c r="A808" s="22" t="s">
        <v>6495</v>
      </c>
      <c r="B808" s="926" t="s">
        <v>6496</v>
      </c>
      <c r="C808" s="5" t="s">
        <v>3477</v>
      </c>
      <c r="D808" s="1110">
        <v>1265</v>
      </c>
    </row>
    <row r="809" spans="1:4" ht="13.5" customHeight="1">
      <c r="A809" s="22" t="s">
        <v>6497</v>
      </c>
      <c r="B809" s="926" t="s">
        <v>6498</v>
      </c>
      <c r="C809" s="5" t="s">
        <v>4935</v>
      </c>
      <c r="D809" s="1110">
        <v>75</v>
      </c>
    </row>
    <row r="810" spans="1:4" ht="13.5" customHeight="1">
      <c r="A810" s="22" t="s">
        <v>6499</v>
      </c>
      <c r="B810" s="926" t="s">
        <v>6500</v>
      </c>
      <c r="C810" s="5" t="s">
        <v>6501</v>
      </c>
      <c r="D810" s="1099">
        <v>1.6</v>
      </c>
    </row>
    <row r="811" spans="1:4" ht="18.75" customHeight="1">
      <c r="A811" s="22" t="s">
        <v>6502</v>
      </c>
      <c r="B811" s="926" t="s">
        <v>6503</v>
      </c>
      <c r="C811" s="5" t="s">
        <v>3479</v>
      </c>
      <c r="D811" s="1121" t="s">
        <v>7839</v>
      </c>
    </row>
    <row r="812" spans="1:4" ht="13.5" customHeight="1">
      <c r="A812" s="22" t="s">
        <v>7939</v>
      </c>
      <c r="B812" s="926" t="s">
        <v>9390</v>
      </c>
      <c r="C812" s="5" t="s">
        <v>3479</v>
      </c>
      <c r="D812" s="1121" t="s">
        <v>7839</v>
      </c>
    </row>
    <row r="813" spans="1:4" ht="13.5" customHeight="1">
      <c r="A813" s="22"/>
      <c r="B813" s="821" t="s">
        <v>7940</v>
      </c>
      <c r="C813" s="5"/>
      <c r="D813" s="1121"/>
    </row>
    <row r="814" spans="1:4" ht="13.5" customHeight="1">
      <c r="A814" s="22">
        <v>1</v>
      </c>
      <c r="B814" s="926" t="s">
        <v>7918</v>
      </c>
      <c r="C814" s="5" t="s">
        <v>475</v>
      </c>
      <c r="D814" s="1110">
        <v>4.2</v>
      </c>
    </row>
    <row r="815" spans="1:4" ht="69.75" customHeight="1">
      <c r="A815" s="22">
        <v>2</v>
      </c>
      <c r="B815" s="926" t="s">
        <v>7919</v>
      </c>
      <c r="C815" s="5" t="s">
        <v>476</v>
      </c>
      <c r="D815" s="1110">
        <v>8.5</v>
      </c>
    </row>
    <row r="816" spans="1:4" ht="50.25" customHeight="1">
      <c r="A816" s="22">
        <v>3</v>
      </c>
      <c r="B816" s="926" t="s">
        <v>9391</v>
      </c>
      <c r="C816" s="5" t="s">
        <v>3477</v>
      </c>
      <c r="D816" s="1110">
        <v>145</v>
      </c>
    </row>
    <row r="817" spans="1:4" ht="31.5">
      <c r="A817" s="22">
        <v>4</v>
      </c>
      <c r="B817" s="926" t="s">
        <v>7920</v>
      </c>
      <c r="C817" s="5" t="s">
        <v>3479</v>
      </c>
      <c r="D817" s="1110">
        <v>1.75</v>
      </c>
    </row>
    <row r="818" spans="1:4">
      <c r="A818" s="22">
        <v>5</v>
      </c>
      <c r="B818" s="926" t="s">
        <v>477</v>
      </c>
      <c r="C818" s="5" t="s">
        <v>3482</v>
      </c>
      <c r="D818" s="1110">
        <v>100</v>
      </c>
    </row>
    <row r="819" spans="1:4" hidden="1"/>
    <row r="820" spans="1:4" hidden="1"/>
    <row r="821" spans="1:4" hidden="1"/>
    <row r="822" spans="1:4" hidden="1"/>
    <row r="823" spans="1:4" hidden="1"/>
    <row r="824" spans="1:4" hidden="1"/>
    <row r="825" spans="1:4" hidden="1"/>
    <row r="826" spans="1:4" hidden="1"/>
    <row r="827" spans="1:4" hidden="1"/>
    <row r="828" spans="1:4" hidden="1"/>
    <row r="829" spans="1:4" hidden="1"/>
    <row r="830" spans="1:4" hidden="1"/>
    <row r="831" spans="1:4" hidden="1"/>
    <row r="832" spans="1:4" hidden="1"/>
    <row r="833" spans="1:4" hidden="1"/>
    <row r="834" spans="1:4">
      <c r="A834" s="22">
        <v>6</v>
      </c>
      <c r="B834" s="1018" t="s">
        <v>9746</v>
      </c>
      <c r="C834" s="1128" t="s">
        <v>3482</v>
      </c>
      <c r="D834" s="1129">
        <v>260</v>
      </c>
    </row>
    <row r="835" spans="1:4" ht="26.25" customHeight="1">
      <c r="A835" s="1">
        <v>7</v>
      </c>
      <c r="B835" s="1130" t="s">
        <v>9891</v>
      </c>
      <c r="C835" s="1131" t="s">
        <v>3478</v>
      </c>
      <c r="D835" s="1131">
        <v>120</v>
      </c>
    </row>
  </sheetData>
  <mergeCells count="47">
    <mergeCell ref="E315:H315"/>
    <mergeCell ref="A5:E5"/>
    <mergeCell ref="B445:E445"/>
    <mergeCell ref="E318:H318"/>
    <mergeCell ref="E317:H317"/>
    <mergeCell ref="E316:H316"/>
    <mergeCell ref="E314:H314"/>
    <mergeCell ref="E308:H308"/>
    <mergeCell ref="E313:H313"/>
    <mergeCell ref="E312:H312"/>
    <mergeCell ref="E311:H311"/>
    <mergeCell ref="E310:H310"/>
    <mergeCell ref="D422:E422"/>
    <mergeCell ref="E302:H302"/>
    <mergeCell ref="E309:H309"/>
    <mergeCell ref="E304:H304"/>
    <mergeCell ref="A1:E1"/>
    <mergeCell ref="A2:E2"/>
    <mergeCell ref="A3:E3"/>
    <mergeCell ref="A4:E4"/>
    <mergeCell ref="B13:E13"/>
    <mergeCell ref="A6:E6"/>
    <mergeCell ref="A7:E7"/>
    <mergeCell ref="A8:E8"/>
    <mergeCell ref="A9:E9"/>
    <mergeCell ref="A11:E11"/>
    <mergeCell ref="B38:D38"/>
    <mergeCell ref="E305:H305"/>
    <mergeCell ref="E303:H303"/>
    <mergeCell ref="E306:H306"/>
    <mergeCell ref="E307:H307"/>
    <mergeCell ref="D323:D330"/>
    <mergeCell ref="D672:D676"/>
    <mergeCell ref="A617:D617"/>
    <mergeCell ref="D796:D797"/>
    <mergeCell ref="D753:D754"/>
    <mergeCell ref="D759:D761"/>
    <mergeCell ref="D762:D767"/>
    <mergeCell ref="D742:D745"/>
    <mergeCell ref="D724:D725"/>
    <mergeCell ref="B571:C571"/>
    <mergeCell ref="D679:D684"/>
    <mergeCell ref="D726:D728"/>
    <mergeCell ref="D749:D750"/>
    <mergeCell ref="B446:E446"/>
    <mergeCell ref="A604:D604"/>
    <mergeCell ref="B572:C572"/>
  </mergeCells>
  <phoneticPr fontId="5" type="noConversion"/>
  <printOptions horizontalCentered="1"/>
  <pageMargins left="0.70866141732283472" right="0.70866141732283472" top="0.74803149606299213" bottom="0.74803149606299213" header="0.31496062992125984" footer="0.31496062992125984"/>
  <pageSetup paperSize="9" firstPageNumber="50" orientation="landscape" useFirstPageNumber="1" r:id="rId1"/>
  <headerFooter alignWithMargins="0">
    <oddHeader>&amp;R&amp;9Basic Data (Annexure II)-2016-17</oddHeader>
    <oddFooter>&amp;R&amp;P</oddFooter>
  </headerFooter>
  <rowBreaks count="7" manualBreakCount="7">
    <brk id="64" max="16383" man="1"/>
    <brk id="117" max="16383" man="1"/>
    <brk id="267" max="29" man="1"/>
    <brk id="295" max="29" man="1"/>
    <brk id="369" max="16383" man="1"/>
    <brk id="484" max="16383" man="1"/>
    <brk id="539" max="16383" man="1"/>
  </rowBreaks>
  <drawing r:id="rId2"/>
</worksheet>
</file>

<file path=xl/worksheets/sheet4.xml><?xml version="1.0" encoding="utf-8"?>
<worksheet xmlns="http://schemas.openxmlformats.org/spreadsheetml/2006/main" xmlns:r="http://schemas.openxmlformats.org/officeDocument/2006/relationships">
  <sheetPr codeName="Sheet10"/>
  <dimension ref="A1:IU1342"/>
  <sheetViews>
    <sheetView showGridLines="0" tabSelected="1" view="pageBreakPreview" zoomScale="75" zoomScaleNormal="70" zoomScaleSheetLayoutView="75" workbookViewId="0">
      <selection activeCell="JA16" sqref="JA16"/>
    </sheetView>
  </sheetViews>
  <sheetFormatPr defaultColWidth="4.42578125" defaultRowHeight="18" zeroHeight="1"/>
  <cols>
    <col min="1" max="1" width="20.5703125" style="24" customWidth="1"/>
    <col min="2" max="2" width="7.7109375" style="25" customWidth="1"/>
    <col min="3" max="3" width="91.85546875" style="26" customWidth="1"/>
    <col min="4" max="4" width="15.140625" style="27" customWidth="1"/>
    <col min="5" max="5" width="16.42578125" style="25" customWidth="1"/>
    <col min="6" max="6" width="22.42578125" style="25" customWidth="1"/>
    <col min="7" max="255" width="9.140625" style="26" hidden="1" customWidth="1"/>
    <col min="256" max="16384" width="4.42578125" style="26"/>
  </cols>
  <sheetData>
    <row r="1" spans="1:6"/>
    <row r="2" spans="1:6">
      <c r="C2" s="28" t="s">
        <v>161</v>
      </c>
    </row>
    <row r="3" spans="1:6">
      <c r="B3" s="29" t="s">
        <v>36</v>
      </c>
      <c r="C3" s="28" t="s">
        <v>9893</v>
      </c>
      <c r="D3" s="30"/>
      <c r="E3" s="30"/>
      <c r="F3" s="31"/>
    </row>
    <row r="4" spans="1:6">
      <c r="A4" s="826" t="s">
        <v>159</v>
      </c>
      <c r="C4" s="33"/>
      <c r="D4" s="30"/>
      <c r="E4" s="30"/>
      <c r="F4" s="31"/>
    </row>
    <row r="5" spans="1:6">
      <c r="A5" s="826" t="s">
        <v>160</v>
      </c>
      <c r="C5" s="33"/>
      <c r="D5" s="30"/>
      <c r="E5" s="30"/>
      <c r="F5" s="31"/>
    </row>
    <row r="6" spans="1:6">
      <c r="A6" s="828" t="s">
        <v>9666</v>
      </c>
    </row>
    <row r="7" spans="1:6" ht="54">
      <c r="A7" s="34" t="s">
        <v>3591</v>
      </c>
      <c r="B7" s="34" t="s">
        <v>3592</v>
      </c>
      <c r="C7" s="35" t="s">
        <v>3593</v>
      </c>
      <c r="D7" s="35" t="s">
        <v>2370</v>
      </c>
      <c r="E7" s="35" t="s">
        <v>2371</v>
      </c>
      <c r="F7" s="34" t="s">
        <v>5168</v>
      </c>
    </row>
    <row r="8" spans="1:6">
      <c r="A8" s="34">
        <v>1</v>
      </c>
      <c r="B8" s="35">
        <v>2</v>
      </c>
      <c r="C8" s="36">
        <v>3</v>
      </c>
      <c r="D8" s="36">
        <v>4</v>
      </c>
      <c r="E8" s="35">
        <v>5</v>
      </c>
      <c r="F8" s="35">
        <v>6</v>
      </c>
    </row>
    <row r="9" spans="1:6">
      <c r="A9" s="37" t="s">
        <v>3594</v>
      </c>
      <c r="B9" s="35"/>
      <c r="C9" s="38"/>
      <c r="D9" s="39"/>
      <c r="E9" s="35"/>
      <c r="F9" s="35"/>
    </row>
    <row r="10" spans="1:6">
      <c r="A10" s="835" t="s">
        <v>7039</v>
      </c>
      <c r="B10" s="35"/>
      <c r="C10" s="836" t="s">
        <v>37</v>
      </c>
      <c r="D10" s="39"/>
      <c r="E10" s="35"/>
      <c r="F10" s="35"/>
    </row>
    <row r="11" spans="1:6">
      <c r="A11" s="835"/>
      <c r="B11" s="35"/>
      <c r="C11" s="836"/>
      <c r="D11" s="39"/>
      <c r="E11" s="35"/>
      <c r="F11" s="35"/>
    </row>
    <row r="12" spans="1:6">
      <c r="A12" s="829" t="s">
        <v>7040</v>
      </c>
      <c r="B12" s="35"/>
      <c r="C12" s="837" t="s">
        <v>3595</v>
      </c>
      <c r="D12" s="39"/>
      <c r="E12" s="35"/>
      <c r="F12" s="35"/>
    </row>
    <row r="13" spans="1:6" ht="90">
      <c r="A13" s="829" t="s">
        <v>7041</v>
      </c>
      <c r="B13" s="34">
        <v>1</v>
      </c>
      <c r="C13" s="838" t="s">
        <v>8052</v>
      </c>
      <c r="D13" s="35" t="s">
        <v>3477</v>
      </c>
      <c r="E13" s="41">
        <f>'dam and allied works'!I142</f>
        <v>121.3</v>
      </c>
      <c r="F13" s="41"/>
    </row>
    <row r="14" spans="1:6">
      <c r="A14" s="829"/>
      <c r="B14" s="35"/>
      <c r="C14" s="838" t="s">
        <v>9673</v>
      </c>
      <c r="D14" s="35" t="s">
        <v>3477</v>
      </c>
      <c r="E14" s="41"/>
      <c r="F14" s="41">
        <f>'dam and allied works'!G133</f>
        <v>26.1</v>
      </c>
    </row>
    <row r="15" spans="1:6">
      <c r="A15" s="829"/>
      <c r="B15" s="35"/>
      <c r="C15" s="833"/>
      <c r="D15" s="39"/>
      <c r="E15" s="35"/>
      <c r="F15" s="35"/>
    </row>
    <row r="16" spans="1:6" ht="90">
      <c r="A16" s="829" t="s">
        <v>7042</v>
      </c>
      <c r="B16" s="34">
        <v>2</v>
      </c>
      <c r="C16" s="838" t="s">
        <v>8053</v>
      </c>
      <c r="D16" s="35" t="s">
        <v>3477</v>
      </c>
      <c r="E16" s="41">
        <f>'dam and allied works'!I231</f>
        <v>160.6</v>
      </c>
      <c r="F16" s="41"/>
    </row>
    <row r="17" spans="1:6">
      <c r="A17" s="829"/>
      <c r="B17" s="35"/>
      <c r="C17" s="833" t="s">
        <v>9673</v>
      </c>
      <c r="D17" s="35" t="s">
        <v>3477</v>
      </c>
      <c r="E17" s="41"/>
      <c r="F17" s="41">
        <f>'dam and allied works'!G221</f>
        <v>34</v>
      </c>
    </row>
    <row r="18" spans="1:6">
      <c r="A18" s="829"/>
      <c r="B18" s="35"/>
      <c r="C18" s="833"/>
      <c r="D18" s="39"/>
      <c r="E18" s="35"/>
      <c r="F18" s="35"/>
    </row>
    <row r="19" spans="1:6" ht="90">
      <c r="A19" s="829" t="s">
        <v>7043</v>
      </c>
      <c r="B19" s="34">
        <v>3</v>
      </c>
      <c r="C19" s="838" t="s">
        <v>8054</v>
      </c>
      <c r="D19" s="35" t="s">
        <v>3477</v>
      </c>
      <c r="E19" s="41">
        <f>'dam and allied works'!I332</f>
        <v>239.2</v>
      </c>
      <c r="F19" s="41"/>
    </row>
    <row r="20" spans="1:6">
      <c r="A20" s="829"/>
      <c r="B20" s="35"/>
      <c r="C20" s="833" t="s">
        <v>9673</v>
      </c>
      <c r="D20" s="35" t="s">
        <v>3477</v>
      </c>
      <c r="E20" s="41"/>
      <c r="F20" s="41">
        <f>'dam and allied works'!G322</f>
        <v>60.2</v>
      </c>
    </row>
    <row r="21" spans="1:6">
      <c r="A21" s="829"/>
      <c r="B21" s="35"/>
      <c r="C21" s="833"/>
      <c r="D21" s="39"/>
      <c r="E21" s="35"/>
      <c r="F21" s="35"/>
    </row>
    <row r="22" spans="1:6" ht="126">
      <c r="A22" s="829" t="s">
        <v>9760</v>
      </c>
      <c r="B22" s="35">
        <v>4</v>
      </c>
      <c r="C22" s="362" t="s">
        <v>9676</v>
      </c>
      <c r="D22" s="35" t="s">
        <v>3477</v>
      </c>
      <c r="E22" s="41">
        <f>'dam and allied works'!$I$469</f>
        <v>366.6</v>
      </c>
      <c r="F22" s="35"/>
    </row>
    <row r="23" spans="1:6">
      <c r="A23" s="829"/>
      <c r="B23" s="35"/>
      <c r="C23" s="833" t="s">
        <v>9673</v>
      </c>
      <c r="D23" s="35"/>
      <c r="E23" s="35"/>
      <c r="F23" s="41">
        <f>'dam and allied works'!$G$459</f>
        <v>71.099999999999994</v>
      </c>
    </row>
    <row r="24" spans="1:6">
      <c r="A24" s="829"/>
      <c r="B24" s="35"/>
      <c r="C24" s="833"/>
      <c r="D24" s="35" t="s">
        <v>3477</v>
      </c>
      <c r="E24" s="35"/>
      <c r="F24" s="35"/>
    </row>
    <row r="25" spans="1:6" ht="90">
      <c r="A25" s="829" t="s">
        <v>2020</v>
      </c>
      <c r="B25" s="34">
        <v>5</v>
      </c>
      <c r="C25" s="838" t="s">
        <v>8055</v>
      </c>
      <c r="D25" s="35" t="s">
        <v>3477</v>
      </c>
      <c r="E25" s="41">
        <f>'dam and allied works'!I613</f>
        <v>422.9</v>
      </c>
      <c r="F25" s="41"/>
    </row>
    <row r="26" spans="1:6">
      <c r="A26" s="829"/>
      <c r="B26" s="35"/>
      <c r="C26" s="833" t="s">
        <v>9673</v>
      </c>
      <c r="D26" s="35" t="s">
        <v>3477</v>
      </c>
      <c r="E26" s="41"/>
      <c r="F26" s="41">
        <f>'dam and allied works'!G603</f>
        <v>116.2</v>
      </c>
    </row>
    <row r="27" spans="1:6">
      <c r="A27" s="829"/>
      <c r="B27" s="35"/>
      <c r="C27" s="833"/>
      <c r="D27" s="39"/>
      <c r="E27" s="35"/>
      <c r="F27" s="35"/>
    </row>
    <row r="28" spans="1:6" ht="108">
      <c r="A28" s="829" t="s">
        <v>2018</v>
      </c>
      <c r="B28" s="34">
        <v>6</v>
      </c>
      <c r="C28" s="838" t="s">
        <v>8056</v>
      </c>
      <c r="D28" s="35" t="s">
        <v>3477</v>
      </c>
      <c r="E28" s="41">
        <f>'dam and allied works'!I794</f>
        <v>665.4</v>
      </c>
      <c r="F28" s="41"/>
    </row>
    <row r="29" spans="1:6">
      <c r="A29" s="829"/>
      <c r="B29" s="35"/>
      <c r="C29" s="833" t="s">
        <v>9673</v>
      </c>
      <c r="D29" s="35" t="s">
        <v>3477</v>
      </c>
      <c r="E29" s="41"/>
      <c r="F29" s="41">
        <f>'dam and allied works'!G785</f>
        <v>127.9</v>
      </c>
    </row>
    <row r="30" spans="1:6">
      <c r="A30" s="829"/>
      <c r="B30" s="35"/>
      <c r="C30" s="833"/>
      <c r="D30" s="39"/>
      <c r="E30" s="35"/>
      <c r="F30" s="35"/>
    </row>
    <row r="31" spans="1:6" ht="342">
      <c r="A31" s="829" t="s">
        <v>2019</v>
      </c>
      <c r="B31" s="34">
        <v>7</v>
      </c>
      <c r="C31" s="838" t="s">
        <v>8057</v>
      </c>
      <c r="D31" s="35" t="s">
        <v>3477</v>
      </c>
      <c r="E31" s="41">
        <f>'dam and allied works'!I963</f>
        <v>898.3</v>
      </c>
      <c r="F31" s="41"/>
    </row>
    <row r="32" spans="1:6">
      <c r="A32" s="829"/>
      <c r="B32" s="35"/>
      <c r="C32" s="833" t="s">
        <v>9673</v>
      </c>
      <c r="D32" s="35" t="s">
        <v>3477</v>
      </c>
      <c r="E32" s="41"/>
      <c r="F32" s="41">
        <f>'dam and allied works'!G954</f>
        <v>335.7</v>
      </c>
    </row>
    <row r="33" spans="1:6">
      <c r="A33" s="829"/>
      <c r="B33" s="35"/>
      <c r="C33" s="833"/>
      <c r="D33" s="39"/>
      <c r="E33" s="35"/>
      <c r="F33" s="35"/>
    </row>
    <row r="34" spans="1:6" ht="72">
      <c r="A34" s="829" t="s">
        <v>7047</v>
      </c>
      <c r="B34" s="34">
        <v>8</v>
      </c>
      <c r="C34" s="838" t="s">
        <v>8058</v>
      </c>
      <c r="D34" s="35" t="s">
        <v>3479</v>
      </c>
      <c r="E34" s="41">
        <f>'dam and allied works'!I1011</f>
        <v>36.799999999999997</v>
      </c>
      <c r="F34" s="41"/>
    </row>
    <row r="35" spans="1:6">
      <c r="A35" s="829"/>
      <c r="B35" s="35"/>
      <c r="C35" s="833" t="s">
        <v>9673</v>
      </c>
      <c r="D35" s="35" t="s">
        <v>3479</v>
      </c>
      <c r="E35" s="41"/>
      <c r="F35" s="41">
        <f>'dam and allied works'!G1002</f>
        <v>30.9</v>
      </c>
    </row>
    <row r="36" spans="1:6">
      <c r="A36" s="829"/>
      <c r="B36" s="35"/>
      <c r="C36" s="833"/>
      <c r="D36" s="39"/>
      <c r="E36" s="35"/>
      <c r="F36" s="35"/>
    </row>
    <row r="37" spans="1:6" ht="54">
      <c r="A37" s="829" t="s">
        <v>7048</v>
      </c>
      <c r="B37" s="34">
        <v>9</v>
      </c>
      <c r="C37" s="838" t="s">
        <v>8059</v>
      </c>
      <c r="D37" s="35" t="s">
        <v>3479</v>
      </c>
      <c r="E37" s="41">
        <f>'dam and allied works'!I1053</f>
        <v>26.1</v>
      </c>
      <c r="F37" s="41"/>
    </row>
    <row r="38" spans="1:6">
      <c r="A38" s="829"/>
      <c r="B38" s="35"/>
      <c r="C38" s="833" t="s">
        <v>9673</v>
      </c>
      <c r="D38" s="35" t="s">
        <v>3479</v>
      </c>
      <c r="E38" s="41"/>
      <c r="F38" s="41">
        <f>'dam and allied works'!G1044</f>
        <v>26.1</v>
      </c>
    </row>
    <row r="39" spans="1:6">
      <c r="A39" s="829"/>
      <c r="B39" s="35"/>
      <c r="C39" s="833"/>
      <c r="D39" s="39"/>
      <c r="E39" s="35"/>
      <c r="F39" s="35"/>
    </row>
    <row r="40" spans="1:6" ht="162">
      <c r="A40" s="829" t="s">
        <v>7049</v>
      </c>
      <c r="B40" s="34">
        <v>10</v>
      </c>
      <c r="C40" s="838" t="s">
        <v>8060</v>
      </c>
      <c r="D40" s="35" t="s">
        <v>3483</v>
      </c>
      <c r="E40" s="41">
        <f>'dam and allied works'!I1126</f>
        <v>195.3</v>
      </c>
      <c r="F40" s="41"/>
    </row>
    <row r="41" spans="1:6">
      <c r="A41" s="829"/>
      <c r="B41" s="35" t="s">
        <v>6607</v>
      </c>
      <c r="C41" s="833" t="s">
        <v>5298</v>
      </c>
      <c r="D41" s="35" t="s">
        <v>3483</v>
      </c>
      <c r="E41" s="41">
        <f>'dam and allied works'!I1131</f>
        <v>214.8</v>
      </c>
      <c r="F41" s="41"/>
    </row>
    <row r="42" spans="1:6">
      <c r="A42" s="829"/>
      <c r="B42" s="35"/>
      <c r="C42" s="833" t="s">
        <v>5304</v>
      </c>
      <c r="D42" s="35" t="s">
        <v>3483</v>
      </c>
      <c r="E42" s="41">
        <f>'dam and allied works'!I1136</f>
        <v>236.3</v>
      </c>
      <c r="F42" s="41"/>
    </row>
    <row r="43" spans="1:6">
      <c r="A43" s="829"/>
      <c r="B43" s="35"/>
      <c r="C43" s="833" t="s">
        <v>5422</v>
      </c>
      <c r="D43" s="35" t="s">
        <v>3483</v>
      </c>
      <c r="E43" s="41">
        <f>'dam and allied works'!I1141</f>
        <v>259.89999999999998</v>
      </c>
      <c r="F43" s="41"/>
    </row>
    <row r="44" spans="1:6">
      <c r="A44" s="829"/>
      <c r="B44" s="35"/>
      <c r="C44" s="833" t="s">
        <v>5352</v>
      </c>
      <c r="D44" s="35" t="s">
        <v>3483</v>
      </c>
      <c r="E44" s="41">
        <f>'dam and allied works'!I1146</f>
        <v>285.89999999999998</v>
      </c>
      <c r="F44" s="41"/>
    </row>
    <row r="45" spans="1:6">
      <c r="A45" s="829"/>
      <c r="B45" s="35"/>
      <c r="C45" s="833" t="s">
        <v>2395</v>
      </c>
      <c r="D45" s="35" t="s">
        <v>3483</v>
      </c>
      <c r="E45" s="41">
        <f>'dam and allied works'!I1151</f>
        <v>314.5</v>
      </c>
      <c r="F45" s="41"/>
    </row>
    <row r="46" spans="1:6">
      <c r="A46" s="829"/>
      <c r="B46" s="35"/>
      <c r="C46" s="833" t="s">
        <v>6697</v>
      </c>
      <c r="D46" s="35" t="s">
        <v>3483</v>
      </c>
      <c r="E46" s="41">
        <f>'dam and allied works'!I1156</f>
        <v>346</v>
      </c>
      <c r="F46" s="41"/>
    </row>
    <row r="47" spans="1:6">
      <c r="A47" s="829"/>
      <c r="B47" s="35"/>
      <c r="C47" s="833" t="s">
        <v>1450</v>
      </c>
      <c r="D47" s="35" t="s">
        <v>3483</v>
      </c>
      <c r="E47" s="41">
        <f>'dam and allied works'!I1161</f>
        <v>380.6</v>
      </c>
      <c r="F47" s="41"/>
    </row>
    <row r="48" spans="1:6">
      <c r="A48" s="829"/>
      <c r="B48" s="35"/>
      <c r="C48" s="833" t="s">
        <v>9673</v>
      </c>
      <c r="D48" s="35" t="s">
        <v>3483</v>
      </c>
      <c r="E48" s="41"/>
      <c r="F48" s="41">
        <f>'dam and allied works'!G1115</f>
        <v>50.8</v>
      </c>
    </row>
    <row r="49" spans="1:6">
      <c r="A49" s="829"/>
      <c r="B49" s="35"/>
      <c r="C49" s="833"/>
      <c r="D49" s="39"/>
      <c r="E49" s="35"/>
      <c r="F49" s="35"/>
    </row>
    <row r="50" spans="1:6" ht="54">
      <c r="A50" s="829" t="s">
        <v>7050</v>
      </c>
      <c r="B50" s="35">
        <v>11</v>
      </c>
      <c r="C50" s="838" t="s">
        <v>8061</v>
      </c>
      <c r="D50" s="35" t="s">
        <v>3483</v>
      </c>
      <c r="E50" s="41">
        <f>'dam and allied works'!I1223</f>
        <v>47.4</v>
      </c>
      <c r="F50" s="41"/>
    </row>
    <row r="51" spans="1:6">
      <c r="A51" s="829"/>
      <c r="B51" s="35"/>
      <c r="C51" s="833" t="s">
        <v>9673</v>
      </c>
      <c r="D51" s="35" t="s">
        <v>3483</v>
      </c>
      <c r="E51" s="41"/>
      <c r="F51" s="41">
        <f>'dam and allied works'!G1214</f>
        <v>20</v>
      </c>
    </row>
    <row r="52" spans="1:6">
      <c r="A52" s="829"/>
      <c r="B52" s="35"/>
      <c r="C52" s="833"/>
      <c r="D52" s="39"/>
      <c r="E52" s="35"/>
      <c r="F52" s="35"/>
    </row>
    <row r="53" spans="1:6" ht="90">
      <c r="A53" s="829" t="s">
        <v>2021</v>
      </c>
      <c r="B53" s="35">
        <v>12</v>
      </c>
      <c r="C53" s="838" t="s">
        <v>8062</v>
      </c>
      <c r="D53" s="35" t="s">
        <v>3480</v>
      </c>
      <c r="E53" s="41">
        <f>'dam and allied works'!I1276</f>
        <v>10229.1</v>
      </c>
      <c r="F53" s="41"/>
    </row>
    <row r="54" spans="1:6">
      <c r="A54" s="829"/>
      <c r="B54" s="35"/>
      <c r="C54" s="833" t="s">
        <v>9673</v>
      </c>
      <c r="D54" s="35" t="s">
        <v>3480</v>
      </c>
      <c r="E54" s="41"/>
      <c r="F54" s="41">
        <f>'dam and allied works'!G1266</f>
        <v>3219.5</v>
      </c>
    </row>
    <row r="55" spans="1:6">
      <c r="A55" s="829"/>
      <c r="B55" s="35"/>
      <c r="C55" s="833"/>
      <c r="D55" s="39"/>
      <c r="E55" s="35"/>
      <c r="F55" s="35"/>
    </row>
    <row r="56" spans="1:6" ht="72">
      <c r="A56" s="829" t="s">
        <v>2022</v>
      </c>
      <c r="B56" s="35">
        <v>13</v>
      </c>
      <c r="C56" s="838" t="s">
        <v>8063</v>
      </c>
      <c r="D56" s="35" t="s">
        <v>3480</v>
      </c>
      <c r="E56" s="41">
        <f>'dam and allied works'!I1335</f>
        <v>11315.2</v>
      </c>
      <c r="F56" s="41"/>
    </row>
    <row r="57" spans="1:6">
      <c r="A57" s="829"/>
      <c r="B57" s="35"/>
      <c r="C57" s="833" t="s">
        <v>9673</v>
      </c>
      <c r="D57" s="35" t="s">
        <v>3480</v>
      </c>
      <c r="E57" s="41"/>
      <c r="F57" s="41">
        <f>'dam and allied works'!G1325</f>
        <v>4150.1000000000004</v>
      </c>
    </row>
    <row r="58" spans="1:6">
      <c r="A58" s="829"/>
      <c r="B58" s="35"/>
      <c r="C58" s="833"/>
      <c r="D58" s="39"/>
      <c r="E58" s="35"/>
      <c r="F58" s="35"/>
    </row>
    <row r="59" spans="1:6" ht="144">
      <c r="A59" s="829" t="s">
        <v>7053</v>
      </c>
      <c r="B59" s="35">
        <v>14</v>
      </c>
      <c r="C59" s="838" t="s">
        <v>8064</v>
      </c>
      <c r="D59" s="35" t="s">
        <v>3481</v>
      </c>
      <c r="E59" s="41">
        <f>'dam and allied works'!I1404</f>
        <v>841</v>
      </c>
      <c r="F59" s="41"/>
    </row>
    <row r="60" spans="1:6">
      <c r="A60" s="829"/>
      <c r="B60" s="35"/>
      <c r="C60" s="833" t="s">
        <v>9673</v>
      </c>
      <c r="D60" s="35" t="s">
        <v>3481</v>
      </c>
      <c r="E60" s="41"/>
      <c r="F60" s="41">
        <f>'dam and allied works'!G1392</f>
        <v>119.2</v>
      </c>
    </row>
    <row r="61" spans="1:6">
      <c r="A61" s="829"/>
      <c r="B61" s="35"/>
      <c r="C61" s="833"/>
      <c r="D61" s="39"/>
      <c r="E61" s="35"/>
      <c r="F61" s="35"/>
    </row>
    <row r="62" spans="1:6" ht="126">
      <c r="A62" s="829" t="s">
        <v>7054</v>
      </c>
      <c r="B62" s="35">
        <v>15</v>
      </c>
      <c r="C62" s="838" t="s">
        <v>8065</v>
      </c>
      <c r="D62" s="35" t="s">
        <v>3481</v>
      </c>
      <c r="E62" s="41">
        <f>'dam and allied works'!I1473</f>
        <v>780.5</v>
      </c>
      <c r="F62" s="41"/>
    </row>
    <row r="63" spans="1:6">
      <c r="A63" s="829"/>
      <c r="B63" s="35"/>
      <c r="C63" s="833" t="s">
        <v>9673</v>
      </c>
      <c r="D63" s="35" t="s">
        <v>3481</v>
      </c>
      <c r="E63" s="41"/>
      <c r="F63" s="41">
        <f>'dam and allied works'!G1462</f>
        <v>134.9</v>
      </c>
    </row>
    <row r="64" spans="1:6">
      <c r="A64" s="829"/>
      <c r="B64" s="35"/>
      <c r="C64" s="833"/>
      <c r="D64" s="39"/>
      <c r="E64" s="35"/>
      <c r="F64" s="35"/>
    </row>
    <row r="65" spans="1:6">
      <c r="A65" s="829" t="s">
        <v>7055</v>
      </c>
      <c r="B65" s="35"/>
      <c r="C65" s="837" t="s">
        <v>2816</v>
      </c>
      <c r="D65" s="39"/>
      <c r="E65" s="35"/>
      <c r="F65" s="35"/>
    </row>
    <row r="66" spans="1:6">
      <c r="A66" s="829"/>
      <c r="B66" s="35"/>
      <c r="C66" s="833"/>
      <c r="D66" s="39"/>
      <c r="E66" s="35"/>
      <c r="F66" s="35"/>
    </row>
    <row r="67" spans="1:6" ht="90">
      <c r="A67" s="829" t="s">
        <v>7056</v>
      </c>
      <c r="B67" s="35">
        <v>16</v>
      </c>
      <c r="C67" s="839" t="s">
        <v>8066</v>
      </c>
      <c r="D67" s="39" t="s">
        <v>3480</v>
      </c>
      <c r="E67" s="41">
        <f>'dam and allied works'!H1517</f>
        <v>45332.18</v>
      </c>
      <c r="F67" s="35"/>
    </row>
    <row r="68" spans="1:6">
      <c r="A68" s="829"/>
      <c r="B68" s="35"/>
      <c r="C68" s="833" t="s">
        <v>9673</v>
      </c>
      <c r="D68" s="39" t="s">
        <v>3480</v>
      </c>
      <c r="E68" s="35"/>
      <c r="F68" s="41">
        <f>'dam and allied works'!G1508</f>
        <v>3981.1</v>
      </c>
    </row>
    <row r="69" spans="1:6">
      <c r="A69" s="829"/>
      <c r="B69" s="35"/>
      <c r="C69" s="833"/>
      <c r="D69" s="39"/>
      <c r="E69" s="35"/>
      <c r="F69" s="41"/>
    </row>
    <row r="70" spans="1:6" ht="90">
      <c r="A70" s="829" t="s">
        <v>7064</v>
      </c>
      <c r="B70" s="35">
        <v>17</v>
      </c>
      <c r="C70" s="839" t="s">
        <v>8067</v>
      </c>
      <c r="D70" s="39" t="s">
        <v>3480</v>
      </c>
      <c r="E70" s="41">
        <f>'dam and allied works'!H1560</f>
        <v>46991.855000000003</v>
      </c>
      <c r="F70" s="41"/>
    </row>
    <row r="71" spans="1:6">
      <c r="A71" s="829"/>
      <c r="B71" s="35"/>
      <c r="C71" s="833" t="s">
        <v>9673</v>
      </c>
      <c r="D71" s="39" t="s">
        <v>3480</v>
      </c>
      <c r="E71" s="35"/>
      <c r="F71" s="41">
        <f>'dam and allied works'!G1550</f>
        <v>5245</v>
      </c>
    </row>
    <row r="72" spans="1:6">
      <c r="A72" s="829"/>
      <c r="B72" s="35"/>
      <c r="C72" s="833"/>
      <c r="D72" s="39"/>
      <c r="E72" s="35"/>
      <c r="F72" s="35"/>
    </row>
    <row r="73" spans="1:6" ht="162">
      <c r="A73" s="829" t="s">
        <v>7072</v>
      </c>
      <c r="B73" s="35">
        <v>18</v>
      </c>
      <c r="C73" s="838" t="s">
        <v>8068</v>
      </c>
      <c r="D73" s="35" t="s">
        <v>3477</v>
      </c>
      <c r="E73" s="41">
        <f>'dam and allied works'!I1756</f>
        <v>3668.4</v>
      </c>
      <c r="F73" s="41"/>
    </row>
    <row r="74" spans="1:6">
      <c r="A74" s="829"/>
      <c r="B74" s="35"/>
      <c r="C74" s="833" t="s">
        <v>9673</v>
      </c>
      <c r="D74" s="35" t="s">
        <v>3477</v>
      </c>
      <c r="E74" s="41"/>
      <c r="F74" s="41">
        <f>'dam and allied works'!G1740</f>
        <v>187.4</v>
      </c>
    </row>
    <row r="75" spans="1:6">
      <c r="A75" s="829"/>
      <c r="B75" s="35"/>
      <c r="C75" s="833"/>
      <c r="D75" s="35"/>
      <c r="E75" s="41"/>
      <c r="F75" s="41"/>
    </row>
    <row r="76" spans="1:6" ht="162">
      <c r="A76" s="829" t="s">
        <v>7662</v>
      </c>
      <c r="B76" s="35">
        <v>19</v>
      </c>
      <c r="C76" s="838" t="s">
        <v>8069</v>
      </c>
      <c r="D76" s="35" t="s">
        <v>3477</v>
      </c>
      <c r="E76" s="41">
        <f>'dam and allied works'!I1901</f>
        <v>3925.6</v>
      </c>
      <c r="F76" s="41"/>
    </row>
    <row r="77" spans="1:6">
      <c r="A77" s="829"/>
      <c r="B77" s="35"/>
      <c r="C77" s="833" t="s">
        <v>9673</v>
      </c>
      <c r="D77" s="35" t="s">
        <v>3477</v>
      </c>
      <c r="E77" s="41"/>
      <c r="F77" s="41">
        <f>'dam and allied works'!G1885</f>
        <v>187.4</v>
      </c>
    </row>
    <row r="78" spans="1:6">
      <c r="A78" s="829"/>
      <c r="B78" s="35"/>
      <c r="C78" s="833"/>
      <c r="D78" s="39"/>
      <c r="E78" s="35"/>
      <c r="F78" s="35"/>
    </row>
    <row r="79" spans="1:6" ht="162">
      <c r="A79" s="829" t="s">
        <v>7073</v>
      </c>
      <c r="B79" s="35">
        <v>20</v>
      </c>
      <c r="C79" s="838" t="s">
        <v>8070</v>
      </c>
      <c r="D79" s="35" t="s">
        <v>5336</v>
      </c>
      <c r="E79" s="41">
        <f>'dam and allied works'!I2020</f>
        <v>3463.5</v>
      </c>
      <c r="F79" s="41"/>
    </row>
    <row r="80" spans="1:6">
      <c r="A80" s="829"/>
      <c r="B80" s="35"/>
      <c r="C80" s="833" t="s">
        <v>9673</v>
      </c>
      <c r="D80" s="35" t="s">
        <v>5336</v>
      </c>
      <c r="E80" s="41"/>
      <c r="F80" s="41">
        <f>'dam and allied works'!G2004</f>
        <v>187.4</v>
      </c>
    </row>
    <row r="81" spans="1:6">
      <c r="A81" s="829"/>
      <c r="B81" s="35"/>
      <c r="C81" s="833"/>
      <c r="D81" s="39"/>
      <c r="E81" s="35"/>
      <c r="F81" s="35"/>
    </row>
    <row r="82" spans="1:6" ht="180">
      <c r="A82" s="829" t="s">
        <v>7074</v>
      </c>
      <c r="B82" s="35">
        <v>21</v>
      </c>
      <c r="C82" s="838" t="s">
        <v>8071</v>
      </c>
      <c r="D82" s="35" t="s">
        <v>5336</v>
      </c>
      <c r="E82" s="41">
        <f>'dam and allied works'!I2144</f>
        <v>4902.6000000000004</v>
      </c>
      <c r="F82" s="41"/>
    </row>
    <row r="83" spans="1:6">
      <c r="A83" s="829"/>
      <c r="B83" s="35"/>
      <c r="C83" s="833" t="s">
        <v>9673</v>
      </c>
      <c r="D83" s="35" t="s">
        <v>5336</v>
      </c>
      <c r="E83" s="41"/>
      <c r="F83" s="41">
        <f>'dam and allied works'!G2128</f>
        <v>372.1</v>
      </c>
    </row>
    <row r="84" spans="1:6">
      <c r="A84" s="829"/>
      <c r="B84" s="35"/>
      <c r="C84" s="833"/>
      <c r="D84" s="35"/>
      <c r="E84" s="41"/>
      <c r="F84" s="41"/>
    </row>
    <row r="85" spans="1:6" ht="180">
      <c r="A85" s="829" t="s">
        <v>7660</v>
      </c>
      <c r="B85" s="35">
        <v>22</v>
      </c>
      <c r="C85" s="840" t="s">
        <v>8072</v>
      </c>
      <c r="D85" s="35" t="s">
        <v>5336</v>
      </c>
      <c r="E85" s="41">
        <f>'dam and allied works'!I2267</f>
        <v>5249.1</v>
      </c>
      <c r="F85" s="41"/>
    </row>
    <row r="86" spans="1:6">
      <c r="A86" s="829"/>
      <c r="B86" s="35"/>
      <c r="C86" s="833" t="s">
        <v>9673</v>
      </c>
      <c r="D86" s="35" t="s">
        <v>5336</v>
      </c>
      <c r="E86" s="41"/>
      <c r="F86" s="41">
        <f>'dam and allied works'!G2251</f>
        <v>372.1</v>
      </c>
    </row>
    <row r="87" spans="1:6">
      <c r="A87" s="829"/>
      <c r="B87" s="35"/>
      <c r="C87" s="833"/>
      <c r="D87" s="35"/>
      <c r="E87" s="41"/>
      <c r="F87" s="41"/>
    </row>
    <row r="88" spans="1:6" ht="186">
      <c r="A88" s="829" t="s">
        <v>7661</v>
      </c>
      <c r="B88" s="35">
        <v>23</v>
      </c>
      <c r="C88" s="841" t="s">
        <v>8073</v>
      </c>
      <c r="D88" s="35" t="s">
        <v>5336</v>
      </c>
      <c r="E88" s="41">
        <f>'dam and allied works'!I2389</f>
        <v>5361.1</v>
      </c>
      <c r="F88" s="41"/>
    </row>
    <row r="89" spans="1:6">
      <c r="A89" s="829"/>
      <c r="B89" s="35"/>
      <c r="C89" s="833" t="s">
        <v>9673</v>
      </c>
      <c r="D89" s="35" t="s">
        <v>5336</v>
      </c>
      <c r="E89" s="41"/>
      <c r="F89" s="41">
        <f>'dam and allied works'!G2373</f>
        <v>372.1</v>
      </c>
    </row>
    <row r="90" spans="1:6">
      <c r="A90" s="829"/>
      <c r="B90" s="35"/>
      <c r="C90" s="833"/>
      <c r="D90" s="39"/>
      <c r="E90" s="35"/>
      <c r="F90" s="35"/>
    </row>
    <row r="91" spans="1:6" ht="162">
      <c r="A91" s="829" t="s">
        <v>7075</v>
      </c>
      <c r="B91" s="35">
        <v>24</v>
      </c>
      <c r="C91" s="838" t="s">
        <v>8074</v>
      </c>
      <c r="D91" s="35" t="s">
        <v>5336</v>
      </c>
      <c r="E91" s="41">
        <f>'dam and allied works'!I2490</f>
        <v>4597.3999999999996</v>
      </c>
      <c r="F91" s="41"/>
    </row>
    <row r="92" spans="1:6">
      <c r="A92" s="829"/>
      <c r="B92" s="35"/>
      <c r="C92" s="833" t="s">
        <v>9673</v>
      </c>
      <c r="D92" s="35" t="s">
        <v>5336</v>
      </c>
      <c r="E92" s="41"/>
      <c r="F92" s="41">
        <f>'dam and allied works'!G2478</f>
        <v>1341.2</v>
      </c>
    </row>
    <row r="93" spans="1:6">
      <c r="A93" s="829"/>
      <c r="B93" s="35"/>
      <c r="C93" s="833"/>
      <c r="D93" s="39"/>
      <c r="E93" s="35"/>
      <c r="F93" s="35"/>
    </row>
    <row r="94" spans="1:6" ht="180">
      <c r="A94" s="829" t="s">
        <v>7076</v>
      </c>
      <c r="B94" s="35">
        <v>25</v>
      </c>
      <c r="C94" s="838" t="s">
        <v>8075</v>
      </c>
      <c r="D94" s="35" t="s">
        <v>5336</v>
      </c>
      <c r="E94" s="41">
        <f>'dam and allied works'!I2604</f>
        <v>4485.7</v>
      </c>
      <c r="F94" s="41"/>
    </row>
    <row r="95" spans="1:6">
      <c r="A95" s="829"/>
      <c r="B95" s="35"/>
      <c r="C95" s="833" t="s">
        <v>9673</v>
      </c>
      <c r="D95" s="35" t="s">
        <v>5336</v>
      </c>
      <c r="E95" s="41"/>
      <c r="F95" s="41">
        <f>'dam and allied works'!G2592</f>
        <v>1310.2</v>
      </c>
    </row>
    <row r="96" spans="1:6">
      <c r="A96" s="829"/>
      <c r="B96" s="35"/>
      <c r="C96" s="833"/>
      <c r="D96" s="39"/>
      <c r="E96" s="35"/>
      <c r="F96" s="35"/>
    </row>
    <row r="97" spans="1:6" ht="144">
      <c r="A97" s="829" t="s">
        <v>7339</v>
      </c>
      <c r="B97" s="35">
        <v>26</v>
      </c>
      <c r="C97" s="838" t="s">
        <v>8076</v>
      </c>
      <c r="D97" s="35" t="s">
        <v>5336</v>
      </c>
      <c r="E97" s="41">
        <f>'dam and allied works'!I2708</f>
        <v>4207.5</v>
      </c>
      <c r="F97" s="41"/>
    </row>
    <row r="98" spans="1:6">
      <c r="A98" s="829"/>
      <c r="B98" s="35"/>
      <c r="C98" s="833" t="s">
        <v>9673</v>
      </c>
      <c r="D98" s="35" t="s">
        <v>5336</v>
      </c>
      <c r="E98" s="41"/>
      <c r="F98" s="41">
        <f>'dam and allied works'!G2696</f>
        <v>1214.4000000000001</v>
      </c>
    </row>
    <row r="99" spans="1:6">
      <c r="A99" s="829"/>
      <c r="B99" s="35"/>
      <c r="C99" s="833"/>
      <c r="D99" s="39"/>
      <c r="E99" s="35"/>
      <c r="F99" s="35"/>
    </row>
    <row r="100" spans="1:6" ht="162">
      <c r="A100" s="829" t="s">
        <v>7340</v>
      </c>
      <c r="B100" s="35">
        <v>27</v>
      </c>
      <c r="C100" s="838" t="s">
        <v>8077</v>
      </c>
      <c r="D100" s="35" t="s">
        <v>5336</v>
      </c>
      <c r="E100" s="41">
        <f>'dam and allied works'!I2810</f>
        <v>4470.6000000000004</v>
      </c>
      <c r="F100" s="41"/>
    </row>
    <row r="101" spans="1:6">
      <c r="A101" s="829"/>
      <c r="B101" s="35"/>
      <c r="C101" s="833" t="s">
        <v>9673</v>
      </c>
      <c r="D101" s="35" t="s">
        <v>5336</v>
      </c>
      <c r="E101" s="41"/>
      <c r="F101" s="41">
        <f>'dam and allied works'!G2798</f>
        <v>1243.5999999999999</v>
      </c>
    </row>
    <row r="102" spans="1:6">
      <c r="A102" s="829"/>
      <c r="B102" s="35"/>
      <c r="C102" s="833"/>
      <c r="D102" s="39"/>
      <c r="E102" s="35"/>
      <c r="F102" s="35"/>
    </row>
    <row r="103" spans="1:6" ht="180">
      <c r="A103" s="829" t="s">
        <v>7341</v>
      </c>
      <c r="B103" s="35">
        <v>28</v>
      </c>
      <c r="C103" s="838" t="s">
        <v>8078</v>
      </c>
      <c r="D103" s="35" t="s">
        <v>5336</v>
      </c>
      <c r="E103" s="41">
        <f>'dam and allied works'!I2914</f>
        <v>6262.7</v>
      </c>
      <c r="F103" s="41"/>
    </row>
    <row r="104" spans="1:6">
      <c r="A104" s="829"/>
      <c r="B104" s="35"/>
      <c r="C104" s="833" t="s">
        <v>9673</v>
      </c>
      <c r="D104" s="35" t="s">
        <v>5336</v>
      </c>
      <c r="E104" s="41"/>
      <c r="F104" s="41">
        <f>'dam and allied works'!G2902</f>
        <v>1760.9</v>
      </c>
    </row>
    <row r="105" spans="1:6">
      <c r="A105" s="829"/>
      <c r="B105" s="35"/>
      <c r="C105" s="833"/>
      <c r="D105" s="39"/>
      <c r="E105" s="35"/>
      <c r="F105" s="35"/>
    </row>
    <row r="106" spans="1:6" ht="108">
      <c r="A106" s="829" t="s">
        <v>7342</v>
      </c>
      <c r="B106" s="35">
        <v>29</v>
      </c>
      <c r="C106" s="838" t="s">
        <v>8079</v>
      </c>
      <c r="D106" s="35" t="s">
        <v>3483</v>
      </c>
      <c r="E106" s="41">
        <f>'dam and allied works'!I2986</f>
        <v>2470.6999999999998</v>
      </c>
      <c r="F106" s="41"/>
    </row>
    <row r="107" spans="1:6">
      <c r="A107" s="829"/>
      <c r="B107" s="35"/>
      <c r="C107" s="833" t="s">
        <v>9673</v>
      </c>
      <c r="D107" s="35" t="s">
        <v>3483</v>
      </c>
      <c r="E107" s="41"/>
      <c r="F107" s="41">
        <f>'dam and allied works'!G2975</f>
        <v>604.4</v>
      </c>
    </row>
    <row r="108" spans="1:6">
      <c r="A108" s="829"/>
      <c r="B108" s="35"/>
      <c r="C108" s="833"/>
      <c r="D108" s="39"/>
      <c r="E108" s="35"/>
      <c r="F108" s="35"/>
    </row>
    <row r="109" spans="1:6" ht="252">
      <c r="A109" s="829" t="s">
        <v>2023</v>
      </c>
      <c r="B109" s="35">
        <v>30</v>
      </c>
      <c r="C109" s="838" t="s">
        <v>8080</v>
      </c>
      <c r="D109" s="35" t="s">
        <v>3483</v>
      </c>
      <c r="E109" s="41">
        <f>'dam and allied works'!I3119</f>
        <v>2328.3000000000002</v>
      </c>
      <c r="F109" s="41"/>
    </row>
    <row r="110" spans="1:6">
      <c r="A110" s="829"/>
      <c r="B110" s="35"/>
      <c r="C110" s="833" t="s">
        <v>9673</v>
      </c>
      <c r="D110" s="35" t="s">
        <v>3483</v>
      </c>
      <c r="E110" s="41"/>
      <c r="F110" s="41">
        <f>'dam and allied works'!G3107</f>
        <v>749.7</v>
      </c>
    </row>
    <row r="111" spans="1:6">
      <c r="A111" s="829"/>
      <c r="B111" s="35"/>
      <c r="C111" s="833"/>
      <c r="D111" s="39"/>
      <c r="E111" s="35"/>
      <c r="F111" s="35"/>
    </row>
    <row r="112" spans="1:6" ht="252">
      <c r="A112" s="829" t="s">
        <v>2024</v>
      </c>
      <c r="B112" s="35">
        <v>31</v>
      </c>
      <c r="C112" s="838" t="s">
        <v>8081</v>
      </c>
      <c r="D112" s="35" t="s">
        <v>3483</v>
      </c>
      <c r="E112" s="41">
        <f>'dam and allied works'!I3256</f>
        <v>2376.3000000000002</v>
      </c>
      <c r="F112" s="41"/>
    </row>
    <row r="113" spans="1:6">
      <c r="A113" s="829"/>
      <c r="B113" s="35"/>
      <c r="C113" s="833" t="s">
        <v>9673</v>
      </c>
      <c r="D113" s="35" t="s">
        <v>3483</v>
      </c>
      <c r="E113" s="41"/>
      <c r="F113" s="41">
        <f>'dam and allied works'!G3244</f>
        <v>795.5</v>
      </c>
    </row>
    <row r="114" spans="1:6">
      <c r="A114" s="829"/>
      <c r="B114" s="35"/>
      <c r="C114" s="833"/>
      <c r="D114" s="39"/>
      <c r="E114" s="35"/>
      <c r="F114" s="35"/>
    </row>
    <row r="115" spans="1:6" ht="162">
      <c r="A115" s="829" t="s">
        <v>7345</v>
      </c>
      <c r="B115" s="35">
        <v>32</v>
      </c>
      <c r="C115" s="838" t="s">
        <v>8082</v>
      </c>
      <c r="D115" s="35" t="s">
        <v>3477</v>
      </c>
      <c r="E115" s="41">
        <f>'dam and allied works'!I3349</f>
        <v>5244.6</v>
      </c>
      <c r="F115" s="41"/>
    </row>
    <row r="116" spans="1:6">
      <c r="A116" s="829"/>
      <c r="B116" s="35"/>
      <c r="C116" s="833" t="s">
        <v>9673</v>
      </c>
      <c r="D116" s="35" t="s">
        <v>3477</v>
      </c>
      <c r="E116" s="41"/>
      <c r="F116" s="41">
        <f>'dam and allied works'!G3337</f>
        <v>1509.7</v>
      </c>
    </row>
    <row r="117" spans="1:6">
      <c r="A117" s="829"/>
      <c r="B117" s="35"/>
      <c r="C117" s="833"/>
      <c r="D117" s="39"/>
      <c r="E117" s="35"/>
      <c r="F117" s="35"/>
    </row>
    <row r="118" spans="1:6" ht="90">
      <c r="A118" s="829" t="s">
        <v>7346</v>
      </c>
      <c r="B118" s="35">
        <v>33</v>
      </c>
      <c r="C118" s="838" t="s">
        <v>8083</v>
      </c>
      <c r="D118" s="35" t="s">
        <v>3477</v>
      </c>
      <c r="E118" s="41">
        <f>'dam and allied works'!I3456</f>
        <v>67.400000000000006</v>
      </c>
      <c r="F118" s="41"/>
    </row>
    <row r="119" spans="1:6">
      <c r="A119" s="829"/>
      <c r="B119" s="35"/>
      <c r="C119" s="833" t="s">
        <v>9673</v>
      </c>
      <c r="D119" s="35" t="s">
        <v>3477</v>
      </c>
      <c r="E119" s="41"/>
      <c r="F119" s="41">
        <f>'dam and allied works'!G3447</f>
        <v>14.3</v>
      </c>
    </row>
    <row r="120" spans="1:6">
      <c r="A120" s="829"/>
      <c r="B120" s="35"/>
      <c r="C120" s="833"/>
      <c r="D120" s="39"/>
      <c r="E120" s="35"/>
      <c r="F120" s="35"/>
    </row>
    <row r="121" spans="1:6" ht="72">
      <c r="A121" s="829" t="s">
        <v>7347</v>
      </c>
      <c r="B121" s="35">
        <v>34</v>
      </c>
      <c r="C121" s="838" t="s">
        <v>8084</v>
      </c>
      <c r="D121" s="35" t="s">
        <v>3481</v>
      </c>
      <c r="E121" s="41">
        <f>'dam and allied works'!I3501</f>
        <v>374.2</v>
      </c>
      <c r="F121" s="41"/>
    </row>
    <row r="122" spans="1:6">
      <c r="A122" s="829"/>
      <c r="B122" s="35"/>
      <c r="C122" s="833" t="s">
        <v>9673</v>
      </c>
      <c r="D122" s="35" t="s">
        <v>3481</v>
      </c>
      <c r="E122" s="41"/>
      <c r="F122" s="41">
        <f>'dam and allied works'!G3492</f>
        <v>321.89999999999998</v>
      </c>
    </row>
    <row r="123" spans="1:6">
      <c r="A123" s="829"/>
      <c r="B123" s="35"/>
      <c r="C123" s="833"/>
      <c r="D123" s="39"/>
      <c r="E123" s="35"/>
      <c r="F123" s="35"/>
    </row>
    <row r="124" spans="1:6" ht="108">
      <c r="A124" s="829" t="s">
        <v>7348</v>
      </c>
      <c r="B124" s="35">
        <v>35</v>
      </c>
      <c r="C124" s="838" t="s">
        <v>8085</v>
      </c>
      <c r="D124" s="35" t="s">
        <v>3483</v>
      </c>
      <c r="E124" s="41">
        <f>'dam and allied works'!I3553</f>
        <v>383.8</v>
      </c>
      <c r="F124" s="41"/>
    </row>
    <row r="125" spans="1:6">
      <c r="A125" s="829"/>
      <c r="B125" s="35"/>
      <c r="C125" s="833" t="s">
        <v>9673</v>
      </c>
      <c r="D125" s="35" t="s">
        <v>3483</v>
      </c>
      <c r="E125" s="41"/>
      <c r="F125" s="41">
        <f>'dam and allied works'!G3541</f>
        <v>71</v>
      </c>
    </row>
    <row r="126" spans="1:6">
      <c r="A126" s="829"/>
      <c r="B126" s="35"/>
      <c r="C126" s="833"/>
      <c r="D126" s="39"/>
      <c r="E126" s="35"/>
      <c r="F126" s="35"/>
    </row>
    <row r="127" spans="1:6" ht="126">
      <c r="A127" s="829" t="s">
        <v>7349</v>
      </c>
      <c r="B127" s="35">
        <v>36</v>
      </c>
      <c r="C127" s="838" t="s">
        <v>8086</v>
      </c>
      <c r="D127" s="35" t="s">
        <v>3483</v>
      </c>
      <c r="E127" s="41">
        <f>'dam and allied works'!I3614</f>
        <v>1708.3</v>
      </c>
      <c r="F127" s="41"/>
    </row>
    <row r="128" spans="1:6">
      <c r="A128" s="829"/>
      <c r="B128" s="35"/>
      <c r="C128" s="833" t="s">
        <v>9673</v>
      </c>
      <c r="D128" s="35" t="s">
        <v>3483</v>
      </c>
      <c r="E128" s="41"/>
      <c r="F128" s="41">
        <f>'dam and allied works'!G3604</f>
        <v>332.1</v>
      </c>
    </row>
    <row r="129" spans="1:6">
      <c r="A129" s="829"/>
      <c r="B129" s="35"/>
      <c r="C129" s="833"/>
      <c r="D129" s="39"/>
      <c r="E129" s="35"/>
      <c r="F129" s="35"/>
    </row>
    <row r="130" spans="1:6">
      <c r="A130" s="822" t="s">
        <v>7402</v>
      </c>
      <c r="B130" s="35"/>
      <c r="C130" s="837" t="s">
        <v>281</v>
      </c>
      <c r="D130" s="39"/>
      <c r="E130" s="35"/>
      <c r="F130" s="35"/>
    </row>
    <row r="131" spans="1:6">
      <c r="A131" s="829"/>
      <c r="B131" s="35"/>
      <c r="C131" s="833"/>
      <c r="D131" s="39"/>
      <c r="E131" s="35"/>
      <c r="F131" s="35"/>
    </row>
    <row r="132" spans="1:6" ht="108">
      <c r="A132" s="830" t="s">
        <v>2025</v>
      </c>
      <c r="B132" s="35">
        <v>37</v>
      </c>
      <c r="C132" s="838" t="s">
        <v>8087</v>
      </c>
      <c r="D132" s="35" t="s">
        <v>3477</v>
      </c>
      <c r="E132" s="41">
        <f>'dam and allied works'!I3694</f>
        <v>2810</v>
      </c>
      <c r="F132" s="41"/>
    </row>
    <row r="133" spans="1:6">
      <c r="A133" s="829"/>
      <c r="B133" s="35"/>
      <c r="C133" s="833" t="s">
        <v>9673</v>
      </c>
      <c r="D133" s="35" t="s">
        <v>3477</v>
      </c>
      <c r="E133" s="41"/>
      <c r="F133" s="41">
        <f>'dam and allied works'!G3682</f>
        <v>1138.5</v>
      </c>
    </row>
    <row r="134" spans="1:6">
      <c r="A134" s="829"/>
      <c r="B134" s="35"/>
      <c r="C134" s="833"/>
      <c r="D134" s="39"/>
      <c r="E134" s="35"/>
      <c r="F134" s="35"/>
    </row>
    <row r="135" spans="1:6" ht="108">
      <c r="A135" s="830" t="s">
        <v>2026</v>
      </c>
      <c r="B135" s="35">
        <v>38</v>
      </c>
      <c r="C135" s="838" t="s">
        <v>8088</v>
      </c>
      <c r="D135" s="39" t="s">
        <v>3477</v>
      </c>
      <c r="E135" s="41">
        <f>'dam and allied works'!I3764</f>
        <v>2524.3000000000002</v>
      </c>
      <c r="F135" s="41"/>
    </row>
    <row r="136" spans="1:6">
      <c r="A136" s="829"/>
      <c r="B136" s="35"/>
      <c r="C136" s="833" t="s">
        <v>9673</v>
      </c>
      <c r="D136" s="39" t="s">
        <v>3477</v>
      </c>
      <c r="E136" s="41"/>
      <c r="F136" s="41">
        <f>'dam and allied works'!G3752</f>
        <v>1138.5</v>
      </c>
    </row>
    <row r="137" spans="1:6">
      <c r="A137" s="829"/>
      <c r="B137" s="35"/>
      <c r="C137" s="833"/>
      <c r="D137" s="39"/>
      <c r="E137" s="35"/>
      <c r="F137" s="35"/>
    </row>
    <row r="138" spans="1:6" ht="144">
      <c r="A138" s="830" t="s">
        <v>2027</v>
      </c>
      <c r="B138" s="35">
        <v>39</v>
      </c>
      <c r="C138" s="838" t="s">
        <v>8089</v>
      </c>
      <c r="D138" s="35" t="s">
        <v>3477</v>
      </c>
      <c r="E138" s="41">
        <f>'dam and allied works'!I3844</f>
        <v>3032.4</v>
      </c>
      <c r="F138" s="41"/>
    </row>
    <row r="139" spans="1:6">
      <c r="A139" s="829"/>
      <c r="B139" s="35"/>
      <c r="C139" s="833" t="s">
        <v>9673</v>
      </c>
      <c r="D139" s="39" t="s">
        <v>3477</v>
      </c>
      <c r="E139" s="41"/>
      <c r="F139" s="41">
        <f>'dam and allied works'!G3832</f>
        <v>1265.8</v>
      </c>
    </row>
    <row r="140" spans="1:6">
      <c r="A140" s="829"/>
      <c r="B140" s="35"/>
      <c r="C140" s="833"/>
      <c r="D140" s="39"/>
      <c r="E140" s="35"/>
      <c r="F140" s="35"/>
    </row>
    <row r="141" spans="1:6" ht="126">
      <c r="A141" s="830" t="s">
        <v>2028</v>
      </c>
      <c r="B141" s="35">
        <v>40</v>
      </c>
      <c r="C141" s="838" t="s">
        <v>8090</v>
      </c>
      <c r="D141" s="35" t="s">
        <v>3477</v>
      </c>
      <c r="E141" s="41">
        <f>'dam and allied works'!I3923</f>
        <v>2764.9</v>
      </c>
      <c r="F141" s="41"/>
    </row>
    <row r="142" spans="1:6">
      <c r="A142" s="829"/>
      <c r="B142" s="35"/>
      <c r="C142" s="833" t="s">
        <v>9673</v>
      </c>
      <c r="D142" s="39" t="s">
        <v>3477</v>
      </c>
      <c r="E142" s="41"/>
      <c r="F142" s="41">
        <f>'dam and allied works'!G3911</f>
        <v>1265.8</v>
      </c>
    </row>
    <row r="143" spans="1:6">
      <c r="A143" s="829"/>
      <c r="B143" s="35"/>
      <c r="C143" s="833"/>
      <c r="D143" s="39"/>
      <c r="E143" s="35"/>
      <c r="F143" s="35"/>
    </row>
    <row r="144" spans="1:6" ht="144">
      <c r="A144" s="830" t="s">
        <v>2029</v>
      </c>
      <c r="B144" s="35">
        <v>41</v>
      </c>
      <c r="C144" s="838" t="s">
        <v>8091</v>
      </c>
      <c r="D144" s="35" t="s">
        <v>3477</v>
      </c>
      <c r="E144" s="41">
        <f>'dam and allied works'!I4007</f>
        <v>3253.5</v>
      </c>
      <c r="F144" s="41"/>
    </row>
    <row r="145" spans="1:6">
      <c r="A145" s="829"/>
      <c r="B145" s="35"/>
      <c r="C145" s="833" t="s">
        <v>9673</v>
      </c>
      <c r="D145" s="39" t="s">
        <v>3477</v>
      </c>
      <c r="E145" s="41"/>
      <c r="F145" s="41">
        <f>'dam and allied works'!G3995</f>
        <v>1548.9</v>
      </c>
    </row>
    <row r="146" spans="1:6">
      <c r="A146" s="829"/>
      <c r="B146" s="35"/>
      <c r="C146" s="833"/>
      <c r="D146" s="39"/>
      <c r="E146" s="35"/>
      <c r="F146" s="35"/>
    </row>
    <row r="147" spans="1:6" ht="144">
      <c r="A147" s="829" t="s">
        <v>7355</v>
      </c>
      <c r="B147" s="35">
        <v>42</v>
      </c>
      <c r="C147" s="838" t="s">
        <v>8092</v>
      </c>
      <c r="D147" s="35" t="s">
        <v>3477</v>
      </c>
      <c r="E147" s="41">
        <f>'dam and allied works'!I4090</f>
        <v>2998.2</v>
      </c>
      <c r="F147" s="41"/>
    </row>
    <row r="148" spans="1:6">
      <c r="A148" s="829"/>
      <c r="B148" s="35"/>
      <c r="C148" s="833" t="s">
        <v>9673</v>
      </c>
      <c r="D148" s="35" t="s">
        <v>3477</v>
      </c>
      <c r="E148" s="41"/>
      <c r="F148" s="41">
        <f>'dam and allied works'!G4078</f>
        <v>1548.9</v>
      </c>
    </row>
    <row r="149" spans="1:6">
      <c r="A149" s="829"/>
      <c r="B149" s="35"/>
      <c r="C149" s="833"/>
      <c r="D149" s="39"/>
      <c r="E149" s="35"/>
      <c r="F149" s="35"/>
    </row>
    <row r="150" spans="1:6" ht="90">
      <c r="A150" s="829" t="s">
        <v>7356</v>
      </c>
      <c r="B150" s="35">
        <v>43</v>
      </c>
      <c r="C150" s="838" t="s">
        <v>8093</v>
      </c>
      <c r="D150" s="35" t="s">
        <v>3479</v>
      </c>
      <c r="E150" s="41">
        <f>'dam and allied works'!I4137</f>
        <v>119.6</v>
      </c>
      <c r="F150" s="41"/>
    </row>
    <row r="151" spans="1:6">
      <c r="A151" s="829"/>
      <c r="B151" s="35"/>
      <c r="C151" s="833" t="s">
        <v>9673</v>
      </c>
      <c r="D151" s="35" t="s">
        <v>3479</v>
      </c>
      <c r="E151" s="41"/>
      <c r="F151" s="41">
        <f>'dam and allied works'!G4126</f>
        <v>90.3</v>
      </c>
    </row>
    <row r="152" spans="1:6">
      <c r="A152" s="829"/>
      <c r="B152" s="35"/>
      <c r="C152" s="833"/>
      <c r="D152" s="39"/>
      <c r="E152" s="35"/>
      <c r="F152" s="35"/>
    </row>
    <row r="153" spans="1:6" ht="90">
      <c r="A153" s="829" t="s">
        <v>7357</v>
      </c>
      <c r="B153" s="35">
        <v>44</v>
      </c>
      <c r="C153" s="838" t="s">
        <v>8094</v>
      </c>
      <c r="D153" s="35" t="s">
        <v>3479</v>
      </c>
      <c r="E153" s="41">
        <f>'dam and allied works'!I4186</f>
        <v>111.5</v>
      </c>
      <c r="F153" s="41"/>
    </row>
    <row r="154" spans="1:6">
      <c r="A154" s="829"/>
      <c r="B154" s="35"/>
      <c r="C154" s="833" t="s">
        <v>9673</v>
      </c>
      <c r="D154" s="35" t="s">
        <v>3479</v>
      </c>
      <c r="E154" s="41"/>
      <c r="F154" s="41">
        <f>'dam and allied works'!G4175</f>
        <v>90.3</v>
      </c>
    </row>
    <row r="155" spans="1:6">
      <c r="A155" s="829"/>
      <c r="B155" s="35"/>
      <c r="C155" s="833"/>
      <c r="D155" s="39"/>
      <c r="E155" s="35"/>
      <c r="F155" s="35"/>
    </row>
    <row r="156" spans="1:6">
      <c r="A156" s="830" t="s">
        <v>7403</v>
      </c>
      <c r="B156" s="35"/>
      <c r="C156" s="837" t="s">
        <v>690</v>
      </c>
      <c r="D156" s="39"/>
      <c r="E156" s="35"/>
      <c r="F156" s="35"/>
    </row>
    <row r="157" spans="1:6">
      <c r="A157" s="829"/>
      <c r="B157" s="35"/>
      <c r="C157" s="833"/>
      <c r="D157" s="39"/>
      <c r="E157" s="35"/>
      <c r="F157" s="35"/>
    </row>
    <row r="158" spans="1:6" ht="90">
      <c r="A158" s="829" t="s">
        <v>7358</v>
      </c>
      <c r="B158" s="35">
        <v>45</v>
      </c>
      <c r="C158" s="838" t="s">
        <v>8095</v>
      </c>
      <c r="D158" s="35" t="s">
        <v>3479</v>
      </c>
      <c r="E158" s="41">
        <f>'dam and allied works'!I4278</f>
        <v>459.5</v>
      </c>
      <c r="F158" s="41"/>
    </row>
    <row r="159" spans="1:6">
      <c r="A159" s="829"/>
      <c r="B159" s="35"/>
      <c r="C159" s="833" t="s">
        <v>9673</v>
      </c>
      <c r="D159" s="35" t="s">
        <v>3479</v>
      </c>
      <c r="E159" s="41"/>
      <c r="F159" s="41">
        <f>'dam and allied works'!G4265</f>
        <v>178.6</v>
      </c>
    </row>
    <row r="160" spans="1:6">
      <c r="A160" s="829"/>
      <c r="B160" s="35"/>
      <c r="C160" s="833"/>
      <c r="D160" s="39"/>
      <c r="E160" s="35"/>
      <c r="F160" s="35"/>
    </row>
    <row r="161" spans="1:6" ht="144">
      <c r="A161" s="829" t="s">
        <v>7359</v>
      </c>
      <c r="B161" s="35">
        <v>46</v>
      </c>
      <c r="C161" s="838" t="s">
        <v>8096</v>
      </c>
      <c r="D161" s="35" t="s">
        <v>3483</v>
      </c>
      <c r="E161" s="41">
        <f>'dam and allied works'!I4336</f>
        <v>15597.7</v>
      </c>
      <c r="F161" s="41"/>
    </row>
    <row r="162" spans="1:6">
      <c r="A162" s="829"/>
      <c r="B162" s="35"/>
      <c r="C162" s="833" t="s">
        <v>9673</v>
      </c>
      <c r="D162" s="35" t="s">
        <v>3483</v>
      </c>
      <c r="E162" s="41"/>
      <c r="F162" s="41">
        <f>'dam and allied works'!G4327</f>
        <v>188.9</v>
      </c>
    </row>
    <row r="163" spans="1:6">
      <c r="A163" s="829"/>
      <c r="B163" s="35"/>
      <c r="C163" s="833"/>
      <c r="D163" s="39"/>
      <c r="E163" s="35"/>
      <c r="F163" s="35"/>
    </row>
    <row r="164" spans="1:6" ht="144">
      <c r="A164" s="829" t="s">
        <v>7360</v>
      </c>
      <c r="B164" s="35">
        <v>47</v>
      </c>
      <c r="C164" s="838" t="s">
        <v>8097</v>
      </c>
      <c r="D164" s="35" t="s">
        <v>3483</v>
      </c>
      <c r="E164" s="41">
        <f>'dam and allied works'!I4394</f>
        <v>2453.1999999999998</v>
      </c>
      <c r="F164" s="41"/>
    </row>
    <row r="165" spans="1:6">
      <c r="A165" s="829"/>
      <c r="B165" s="35"/>
      <c r="C165" s="833" t="s">
        <v>9673</v>
      </c>
      <c r="D165" s="35" t="s">
        <v>3483</v>
      </c>
      <c r="E165" s="41"/>
      <c r="F165" s="41">
        <f>'dam and allied works'!G4385</f>
        <v>125.7</v>
      </c>
    </row>
    <row r="166" spans="1:6">
      <c r="A166" s="829"/>
      <c r="B166" s="35"/>
      <c r="C166" s="833"/>
      <c r="D166" s="39"/>
      <c r="E166" s="35"/>
      <c r="F166" s="35"/>
    </row>
    <row r="167" spans="1:6" ht="72">
      <c r="A167" s="829" t="s">
        <v>7361</v>
      </c>
      <c r="B167" s="35">
        <v>48</v>
      </c>
      <c r="C167" s="838" t="s">
        <v>8098</v>
      </c>
      <c r="D167" s="35" t="s">
        <v>3483</v>
      </c>
      <c r="E167" s="41">
        <f>'dam and allied works'!I4444</f>
        <v>7246.5</v>
      </c>
      <c r="F167" s="41"/>
    </row>
    <row r="168" spans="1:6">
      <c r="A168" s="829"/>
      <c r="B168" s="35"/>
      <c r="C168" s="833" t="s">
        <v>9673</v>
      </c>
      <c r="D168" s="35" t="s">
        <v>3483</v>
      </c>
      <c r="E168" s="41"/>
      <c r="F168" s="41">
        <f>'dam and allied works'!G4435</f>
        <v>146.19999999999999</v>
      </c>
    </row>
    <row r="169" spans="1:6">
      <c r="A169" s="829"/>
      <c r="B169" s="35"/>
      <c r="C169" s="833"/>
      <c r="D169" s="39"/>
      <c r="E169" s="35"/>
      <c r="F169" s="35"/>
    </row>
    <row r="170" spans="1:6" ht="90">
      <c r="A170" s="829" t="s">
        <v>7362</v>
      </c>
      <c r="B170" s="35">
        <v>49</v>
      </c>
      <c r="C170" s="838" t="s">
        <v>8099</v>
      </c>
      <c r="D170" s="35" t="s">
        <v>3483</v>
      </c>
      <c r="E170" s="41">
        <f>'dam and allied works'!I4493</f>
        <v>222</v>
      </c>
      <c r="F170" s="41"/>
    </row>
    <row r="171" spans="1:6">
      <c r="A171" s="829"/>
      <c r="B171" s="35"/>
      <c r="C171" s="833" t="s">
        <v>9673</v>
      </c>
      <c r="D171" s="35" t="s">
        <v>3483</v>
      </c>
      <c r="E171" s="41"/>
      <c r="F171" s="41">
        <f>'dam and allied works'!G4484</f>
        <v>117.3</v>
      </c>
    </row>
    <row r="172" spans="1:6">
      <c r="A172" s="829"/>
      <c r="B172" s="35"/>
      <c r="C172" s="833"/>
      <c r="D172" s="39"/>
      <c r="E172" s="35"/>
      <c r="F172" s="35"/>
    </row>
    <row r="173" spans="1:6">
      <c r="A173" s="829" t="s">
        <v>5524</v>
      </c>
      <c r="B173" s="35"/>
      <c r="C173" s="837" t="s">
        <v>1642</v>
      </c>
      <c r="D173" s="39"/>
      <c r="E173" s="35"/>
      <c r="F173" s="35"/>
    </row>
    <row r="174" spans="1:6">
      <c r="A174" s="829"/>
      <c r="B174" s="35"/>
      <c r="C174" s="833"/>
      <c r="D174" s="39"/>
      <c r="E174" s="35"/>
      <c r="F174" s="35"/>
    </row>
    <row r="175" spans="1:6" ht="144">
      <c r="A175" s="829" t="s">
        <v>7363</v>
      </c>
      <c r="B175" s="35">
        <v>50</v>
      </c>
      <c r="C175" s="838" t="s">
        <v>9260</v>
      </c>
      <c r="D175" s="35" t="s">
        <v>3477</v>
      </c>
      <c r="E175" s="41">
        <f>'dam and allied works'!I4630</f>
        <v>138.5</v>
      </c>
      <c r="F175" s="41"/>
    </row>
    <row r="176" spans="1:6">
      <c r="A176" s="829"/>
      <c r="B176" s="35"/>
      <c r="C176" s="833" t="s">
        <v>9673</v>
      </c>
      <c r="D176" s="35" t="s">
        <v>3477</v>
      </c>
      <c r="E176" s="41"/>
      <c r="F176" s="41">
        <f>'dam and allied works'!G4621</f>
        <v>22.2</v>
      </c>
    </row>
    <row r="177" spans="1:6">
      <c r="A177" s="829"/>
      <c r="B177" s="35"/>
      <c r="C177" s="833"/>
      <c r="D177" s="39"/>
      <c r="E177" s="35"/>
      <c r="F177" s="35"/>
    </row>
    <row r="178" spans="1:6" ht="144">
      <c r="A178" s="829" t="s">
        <v>7364</v>
      </c>
      <c r="B178" s="35">
        <v>51</v>
      </c>
      <c r="C178" s="838" t="s">
        <v>9261</v>
      </c>
      <c r="D178" s="35" t="s">
        <v>3477</v>
      </c>
      <c r="E178" s="41">
        <f>'dam and allied works'!I4700</f>
        <v>148.69999999999999</v>
      </c>
      <c r="F178" s="41"/>
    </row>
    <row r="179" spans="1:6">
      <c r="A179" s="829"/>
      <c r="B179" s="35"/>
      <c r="C179" s="833" t="s">
        <v>9673</v>
      </c>
      <c r="D179" s="35" t="s">
        <v>3477</v>
      </c>
      <c r="E179" s="41"/>
      <c r="F179" s="41">
        <f>'dam and allied works'!G4691</f>
        <v>24.1</v>
      </c>
    </row>
    <row r="180" spans="1:6">
      <c r="A180" s="829"/>
      <c r="B180" s="35"/>
      <c r="C180" s="833"/>
      <c r="D180" s="39"/>
      <c r="E180" s="35"/>
      <c r="F180" s="35"/>
    </row>
    <row r="181" spans="1:6" ht="144">
      <c r="A181" s="829" t="s">
        <v>7365</v>
      </c>
      <c r="B181" s="35">
        <v>52</v>
      </c>
      <c r="C181" s="838" t="s">
        <v>9262</v>
      </c>
      <c r="D181" s="35" t="s">
        <v>3477</v>
      </c>
      <c r="E181" s="41">
        <f>'dam and allied works'!I4837</f>
        <v>149.19999999999999</v>
      </c>
      <c r="F181" s="41"/>
    </row>
    <row r="182" spans="1:6">
      <c r="A182" s="829"/>
      <c r="B182" s="35"/>
      <c r="C182" s="833" t="s">
        <v>9673</v>
      </c>
      <c r="D182" s="35" t="s">
        <v>3477</v>
      </c>
      <c r="E182" s="41"/>
      <c r="F182" s="41">
        <f>'dam and allied works'!G4828</f>
        <v>24</v>
      </c>
    </row>
    <row r="183" spans="1:6">
      <c r="A183" s="829"/>
      <c r="B183" s="35"/>
      <c r="C183" s="833"/>
      <c r="D183" s="39"/>
      <c r="E183" s="35"/>
      <c r="F183" s="35"/>
    </row>
    <row r="184" spans="1:6" ht="144">
      <c r="A184" s="829" t="s">
        <v>7366</v>
      </c>
      <c r="B184" s="35">
        <v>53</v>
      </c>
      <c r="C184" s="838" t="s">
        <v>9263</v>
      </c>
      <c r="D184" s="35" t="s">
        <v>3477</v>
      </c>
      <c r="E184" s="41">
        <f>'dam and allied works'!I4964</f>
        <v>125.4</v>
      </c>
      <c r="F184" s="41"/>
    </row>
    <row r="185" spans="1:6">
      <c r="A185" s="829"/>
      <c r="B185" s="35"/>
      <c r="C185" s="833" t="s">
        <v>9673</v>
      </c>
      <c r="D185" s="35" t="s">
        <v>3477</v>
      </c>
      <c r="E185" s="41"/>
      <c r="F185" s="41">
        <f>'dam and allied works'!G4955</f>
        <v>20.3</v>
      </c>
    </row>
    <row r="186" spans="1:6">
      <c r="A186" s="829"/>
      <c r="B186" s="35"/>
      <c r="C186" s="833"/>
      <c r="D186" s="35"/>
      <c r="E186" s="41"/>
      <c r="F186" s="41"/>
    </row>
    <row r="187" spans="1:6" ht="144">
      <c r="A187" s="829" t="s">
        <v>510</v>
      </c>
      <c r="B187" s="35">
        <v>54</v>
      </c>
      <c r="C187" s="838" t="s">
        <v>8100</v>
      </c>
      <c r="D187" s="35" t="s">
        <v>3477</v>
      </c>
      <c r="E187" s="41">
        <f>'dam and allied works'!I5094</f>
        <v>85.800000000000011</v>
      </c>
      <c r="F187" s="41"/>
    </row>
    <row r="188" spans="1:6">
      <c r="A188" s="829"/>
      <c r="B188" s="35"/>
      <c r="C188" s="833" t="s">
        <v>9673</v>
      </c>
      <c r="D188" s="35" t="s">
        <v>3477</v>
      </c>
      <c r="E188" s="41"/>
      <c r="F188" s="41">
        <f>'dam and allied works'!G5082</f>
        <v>20.3</v>
      </c>
    </row>
    <row r="189" spans="1:6">
      <c r="A189" s="829"/>
      <c r="B189" s="35"/>
      <c r="C189" s="833"/>
      <c r="D189" s="39"/>
      <c r="E189" s="35"/>
      <c r="F189" s="35"/>
    </row>
    <row r="190" spans="1:6" ht="144">
      <c r="A190" s="829" t="s">
        <v>7367</v>
      </c>
      <c r="B190" s="35">
        <v>55</v>
      </c>
      <c r="C190" s="838" t="s">
        <v>9264</v>
      </c>
      <c r="D190" s="35" t="s">
        <v>3477</v>
      </c>
      <c r="E190" s="41">
        <f>'dam and allied works'!I5227</f>
        <v>140.9</v>
      </c>
      <c r="F190" s="41"/>
    </row>
    <row r="191" spans="1:6">
      <c r="A191" s="829"/>
      <c r="B191" s="35"/>
      <c r="C191" s="833" t="s">
        <v>9673</v>
      </c>
      <c r="D191" s="35" t="s">
        <v>3477</v>
      </c>
      <c r="E191" s="41"/>
      <c r="F191" s="41">
        <f>'dam and allied works'!G5218</f>
        <v>22.5</v>
      </c>
    </row>
    <row r="192" spans="1:6">
      <c r="A192" s="829"/>
      <c r="B192" s="35"/>
      <c r="C192" s="833"/>
      <c r="D192" s="39"/>
      <c r="E192" s="35"/>
      <c r="F192" s="35"/>
    </row>
    <row r="193" spans="1:6" ht="126">
      <c r="A193" s="829" t="s">
        <v>7368</v>
      </c>
      <c r="B193" s="35">
        <v>56</v>
      </c>
      <c r="C193" s="838" t="s">
        <v>8101</v>
      </c>
      <c r="D193" s="35" t="s">
        <v>3477</v>
      </c>
      <c r="E193" s="41">
        <f>'dam and allied works'!I5311</f>
        <v>260.3</v>
      </c>
      <c r="F193" s="41"/>
    </row>
    <row r="194" spans="1:6">
      <c r="A194" s="829"/>
      <c r="B194" s="35"/>
      <c r="C194" s="833" t="s">
        <v>9673</v>
      </c>
      <c r="D194" s="35" t="s">
        <v>3477</v>
      </c>
      <c r="E194" s="41"/>
      <c r="F194" s="41">
        <f>'dam and allied works'!G5302</f>
        <v>123.2</v>
      </c>
    </row>
    <row r="195" spans="1:6">
      <c r="A195" s="829"/>
      <c r="B195" s="35"/>
      <c r="C195" s="833"/>
      <c r="D195" s="39"/>
      <c r="E195" s="35"/>
      <c r="F195" s="35"/>
    </row>
    <row r="196" spans="1:6" ht="90">
      <c r="A196" s="829" t="s">
        <v>7369</v>
      </c>
      <c r="B196" s="35">
        <v>57</v>
      </c>
      <c r="C196" s="838" t="s">
        <v>8102</v>
      </c>
      <c r="D196" s="35" t="s">
        <v>3477</v>
      </c>
      <c r="E196" s="41">
        <f>'dam and allied works'!I5445</f>
        <v>437.4</v>
      </c>
      <c r="F196" s="41"/>
    </row>
    <row r="197" spans="1:6">
      <c r="A197" s="829"/>
      <c r="B197" s="35"/>
      <c r="C197" s="833" t="s">
        <v>9673</v>
      </c>
      <c r="D197" s="35" t="s">
        <v>3477</v>
      </c>
      <c r="E197" s="41"/>
      <c r="F197" s="41">
        <f>'dam and allied works'!G5436</f>
        <v>111.7</v>
      </c>
    </row>
    <row r="198" spans="1:6">
      <c r="A198" s="829"/>
      <c r="B198" s="35"/>
      <c r="C198" s="833"/>
      <c r="D198" s="39"/>
      <c r="E198" s="35"/>
      <c r="F198" s="35"/>
    </row>
    <row r="199" spans="1:6" ht="72">
      <c r="A199" s="829" t="s">
        <v>7370</v>
      </c>
      <c r="B199" s="35">
        <v>58</v>
      </c>
      <c r="C199" s="838" t="s">
        <v>8103</v>
      </c>
      <c r="D199" s="35" t="s">
        <v>3477</v>
      </c>
      <c r="E199" s="41">
        <f>'dam and allied works'!I5539</f>
        <v>511.3</v>
      </c>
      <c r="F199" s="41"/>
    </row>
    <row r="200" spans="1:6">
      <c r="A200" s="829"/>
      <c r="B200" s="35"/>
      <c r="C200" s="833" t="s">
        <v>9673</v>
      </c>
      <c r="D200" s="35" t="s">
        <v>3477</v>
      </c>
      <c r="E200" s="41"/>
      <c r="F200" s="41">
        <f>'dam and allied works'!G5530</f>
        <v>211.6</v>
      </c>
    </row>
    <row r="201" spans="1:6">
      <c r="A201" s="829"/>
      <c r="B201" s="35"/>
      <c r="C201" s="833"/>
      <c r="D201" s="39"/>
      <c r="E201" s="35"/>
      <c r="F201" s="35"/>
    </row>
    <row r="202" spans="1:6" ht="144">
      <c r="A202" s="829" t="s">
        <v>7371</v>
      </c>
      <c r="B202" s="35">
        <v>59</v>
      </c>
      <c r="C202" s="838" t="s">
        <v>8104</v>
      </c>
      <c r="D202" s="35" t="s">
        <v>3477</v>
      </c>
      <c r="E202" s="41">
        <f>'dam and allied works'!I5611</f>
        <v>464.1</v>
      </c>
      <c r="F202" s="41"/>
    </row>
    <row r="203" spans="1:6">
      <c r="A203" s="829"/>
      <c r="B203" s="35"/>
      <c r="C203" s="833" t="s">
        <v>9673</v>
      </c>
      <c r="D203" s="35" t="s">
        <v>3477</v>
      </c>
      <c r="E203" s="41"/>
      <c r="F203" s="41">
        <f>'dam and allied works'!G5602</f>
        <v>147</v>
      </c>
    </row>
    <row r="204" spans="1:6">
      <c r="A204" s="829"/>
      <c r="B204" s="35"/>
      <c r="C204" s="833"/>
      <c r="D204" s="35"/>
      <c r="E204" s="41"/>
      <c r="F204" s="41"/>
    </row>
    <row r="205" spans="1:6" ht="90">
      <c r="A205" s="829" t="s">
        <v>9672</v>
      </c>
      <c r="B205" s="35">
        <v>60</v>
      </c>
      <c r="C205" s="839" t="s">
        <v>9289</v>
      </c>
      <c r="D205" s="35" t="s">
        <v>3477</v>
      </c>
      <c r="E205" s="41">
        <f>'dam and allied works'!I5656</f>
        <v>677.4</v>
      </c>
      <c r="F205" s="41"/>
    </row>
    <row r="206" spans="1:6">
      <c r="A206" s="829"/>
      <c r="B206" s="35"/>
      <c r="C206" s="833" t="s">
        <v>9673</v>
      </c>
      <c r="D206" s="35" t="s">
        <v>3477</v>
      </c>
      <c r="E206" s="41"/>
      <c r="F206" s="41">
        <f>'dam and allied works'!G5647</f>
        <v>147</v>
      </c>
    </row>
    <row r="207" spans="1:6">
      <c r="A207" s="829"/>
      <c r="B207" s="35"/>
      <c r="C207" s="833"/>
      <c r="D207" s="39"/>
      <c r="E207" s="35"/>
      <c r="F207" s="35"/>
    </row>
    <row r="208" spans="1:6" ht="54">
      <c r="A208" s="829" t="s">
        <v>7372</v>
      </c>
      <c r="B208" s="35">
        <v>61</v>
      </c>
      <c r="C208" s="838" t="s">
        <v>8105</v>
      </c>
      <c r="D208" s="35" t="s">
        <v>3483</v>
      </c>
      <c r="E208" s="41">
        <f>'dam and allied works'!I5701</f>
        <v>714.6</v>
      </c>
      <c r="F208" s="41"/>
    </row>
    <row r="209" spans="1:6">
      <c r="A209" s="829"/>
      <c r="B209" s="35"/>
      <c r="C209" s="833" t="s">
        <v>9673</v>
      </c>
      <c r="D209" s="35" t="s">
        <v>3483</v>
      </c>
      <c r="E209" s="41"/>
      <c r="F209" s="41">
        <f>'dam and allied works'!G5692</f>
        <v>32.9</v>
      </c>
    </row>
    <row r="210" spans="1:6">
      <c r="A210" s="829"/>
      <c r="B210" s="35"/>
      <c r="C210" s="833"/>
      <c r="D210" s="39"/>
      <c r="E210" s="35"/>
      <c r="F210" s="35"/>
    </row>
    <row r="211" spans="1:6">
      <c r="A211" s="829" t="s">
        <v>2030</v>
      </c>
      <c r="B211" s="35"/>
      <c r="C211" s="837" t="s">
        <v>2241</v>
      </c>
      <c r="D211" s="39"/>
      <c r="E211" s="35"/>
      <c r="F211" s="35"/>
    </row>
    <row r="212" spans="1:6">
      <c r="A212" s="829"/>
      <c r="B212" s="35"/>
      <c r="C212" s="833"/>
      <c r="D212" s="39"/>
      <c r="E212" s="35"/>
      <c r="F212" s="35"/>
    </row>
    <row r="213" spans="1:6" ht="216">
      <c r="A213" s="829" t="s">
        <v>7373</v>
      </c>
      <c r="B213" s="35">
        <v>62</v>
      </c>
      <c r="C213" s="838" t="s">
        <v>8106</v>
      </c>
      <c r="D213" s="35" t="s">
        <v>3481</v>
      </c>
      <c r="E213" s="41">
        <f>'dam and allied works'!I5827</f>
        <v>42855.7</v>
      </c>
      <c r="F213" s="41"/>
    </row>
    <row r="214" spans="1:6">
      <c r="A214" s="829"/>
      <c r="B214" s="35"/>
      <c r="C214" s="833" t="s">
        <v>9673</v>
      </c>
      <c r="D214" s="35" t="s">
        <v>3481</v>
      </c>
      <c r="E214" s="41"/>
      <c r="F214" s="41">
        <f>'dam and allied works'!G5814</f>
        <v>11180.9</v>
      </c>
    </row>
    <row r="215" spans="1:6">
      <c r="A215" s="829"/>
      <c r="B215" s="35"/>
      <c r="C215" s="833"/>
      <c r="D215" s="39"/>
      <c r="E215" s="35"/>
      <c r="F215" s="35"/>
    </row>
    <row r="216" spans="1:6" ht="108">
      <c r="A216" s="829" t="s">
        <v>7374</v>
      </c>
      <c r="B216" s="35">
        <v>63</v>
      </c>
      <c r="C216" s="838" t="s">
        <v>8107</v>
      </c>
      <c r="D216" s="35" t="s">
        <v>3477</v>
      </c>
      <c r="E216" s="41">
        <f>'dam and allied works'!I5896</f>
        <v>790.2</v>
      </c>
      <c r="F216" s="41"/>
    </row>
    <row r="217" spans="1:6">
      <c r="A217" s="829"/>
      <c r="B217" s="35"/>
      <c r="C217" s="833" t="s">
        <v>9673</v>
      </c>
      <c r="D217" s="35" t="s">
        <v>3477</v>
      </c>
      <c r="E217" s="41"/>
      <c r="F217" s="41">
        <f>'dam and allied works'!G5887</f>
        <v>156.19999999999999</v>
      </c>
    </row>
    <row r="218" spans="1:6">
      <c r="A218" s="829"/>
      <c r="B218" s="35"/>
      <c r="C218" s="833"/>
      <c r="D218" s="39"/>
      <c r="E218" s="35"/>
      <c r="F218" s="35"/>
    </row>
    <row r="219" spans="1:6" ht="126">
      <c r="A219" s="829" t="s">
        <v>7375</v>
      </c>
      <c r="B219" s="35">
        <v>64</v>
      </c>
      <c r="C219" s="838" t="s">
        <v>8108</v>
      </c>
      <c r="D219" s="35" t="s">
        <v>3477</v>
      </c>
      <c r="E219" s="41">
        <f>'dam and allied works'!I5963</f>
        <v>954.7</v>
      </c>
      <c r="F219" s="41"/>
    </row>
    <row r="220" spans="1:6">
      <c r="A220" s="829"/>
      <c r="B220" s="35"/>
      <c r="C220" s="833" t="s">
        <v>9673</v>
      </c>
      <c r="D220" s="35" t="s">
        <v>3477</v>
      </c>
      <c r="E220" s="41"/>
      <c r="F220" s="41">
        <f>'dam and allied works'!G5954</f>
        <v>156.19999999999999</v>
      </c>
    </row>
    <row r="221" spans="1:6">
      <c r="A221" s="829"/>
      <c r="B221" s="35"/>
      <c r="C221" s="833"/>
      <c r="D221" s="39"/>
      <c r="E221" s="35"/>
      <c r="F221" s="35"/>
    </row>
    <row r="222" spans="1:6" ht="108">
      <c r="A222" s="829" t="s">
        <v>7376</v>
      </c>
      <c r="B222" s="35">
        <v>65</v>
      </c>
      <c r="C222" s="838" t="s">
        <v>8109</v>
      </c>
      <c r="D222" s="35" t="s">
        <v>3477</v>
      </c>
      <c r="E222" s="41">
        <f>'dam and allied works'!I6031</f>
        <v>923.7</v>
      </c>
      <c r="F222" s="41"/>
    </row>
    <row r="223" spans="1:6">
      <c r="A223" s="829"/>
      <c r="B223" s="35"/>
      <c r="C223" s="833" t="s">
        <v>9673</v>
      </c>
      <c r="D223" s="35" t="s">
        <v>3477</v>
      </c>
      <c r="E223" s="41"/>
      <c r="F223" s="41">
        <f>'dam and allied works'!G6022</f>
        <v>140.30000000000001</v>
      </c>
    </row>
    <row r="224" spans="1:6">
      <c r="A224" s="829"/>
      <c r="B224" s="35"/>
      <c r="C224" s="833"/>
      <c r="D224" s="35"/>
      <c r="E224" s="41"/>
      <c r="F224" s="41"/>
    </row>
    <row r="225" spans="1:6" ht="90">
      <c r="A225" s="829" t="s">
        <v>511</v>
      </c>
      <c r="B225" s="35">
        <v>66</v>
      </c>
      <c r="C225" s="838" t="s">
        <v>8110</v>
      </c>
      <c r="D225" s="35" t="s">
        <v>3477</v>
      </c>
      <c r="E225" s="41">
        <f>'dam and allied works'!I6084</f>
        <v>1166.3</v>
      </c>
      <c r="F225" s="41"/>
    </row>
    <row r="226" spans="1:6">
      <c r="A226" s="829"/>
      <c r="B226" s="35"/>
      <c r="C226" s="833" t="s">
        <v>9673</v>
      </c>
      <c r="D226" s="35" t="s">
        <v>3477</v>
      </c>
      <c r="E226" s="41"/>
      <c r="F226" s="41">
        <f>'dam and allied works'!G6075</f>
        <v>52.8</v>
      </c>
    </row>
    <row r="227" spans="1:6">
      <c r="A227" s="829"/>
      <c r="B227" s="35"/>
      <c r="C227" s="833"/>
      <c r="D227" s="39"/>
      <c r="E227" s="35"/>
      <c r="F227" s="35"/>
    </row>
    <row r="228" spans="1:6" ht="108">
      <c r="A228" s="829" t="s">
        <v>7377</v>
      </c>
      <c r="B228" s="35">
        <v>67</v>
      </c>
      <c r="C228" s="838" t="s">
        <v>8111</v>
      </c>
      <c r="D228" s="35" t="s">
        <v>3479</v>
      </c>
      <c r="E228" s="41">
        <f>'dam and allied works'!I6147</f>
        <v>955.5</v>
      </c>
      <c r="F228" s="41"/>
    </row>
    <row r="229" spans="1:6">
      <c r="A229" s="829"/>
      <c r="B229" s="35"/>
      <c r="C229" s="833" t="s">
        <v>9673</v>
      </c>
      <c r="D229" s="35" t="s">
        <v>3479</v>
      </c>
      <c r="E229" s="41"/>
      <c r="F229" s="41">
        <f>'dam and allied works'!G6138</f>
        <v>60.8</v>
      </c>
    </row>
    <row r="230" spans="1:6">
      <c r="A230" s="829"/>
      <c r="B230" s="35"/>
      <c r="C230" s="833"/>
      <c r="D230" s="39"/>
      <c r="E230" s="35"/>
      <c r="F230" s="35"/>
    </row>
    <row r="231" spans="1:6" ht="72">
      <c r="A231" s="829" t="s">
        <v>7378</v>
      </c>
      <c r="B231" s="35">
        <v>68</v>
      </c>
      <c r="C231" s="838" t="s">
        <v>8112</v>
      </c>
      <c r="D231" s="35" t="s">
        <v>3477</v>
      </c>
      <c r="E231" s="41">
        <f>'dam and allied works'!I6195</f>
        <v>237.7</v>
      </c>
      <c r="F231" s="41"/>
    </row>
    <row r="232" spans="1:6">
      <c r="A232" s="829"/>
      <c r="B232" s="35"/>
      <c r="C232" s="833" t="s">
        <v>9673</v>
      </c>
      <c r="D232" s="35" t="s">
        <v>3477</v>
      </c>
      <c r="E232" s="41"/>
      <c r="F232" s="41">
        <f>'dam and allied works'!G6186</f>
        <v>124.4</v>
      </c>
    </row>
    <row r="233" spans="1:6">
      <c r="A233" s="829"/>
      <c r="B233" s="35"/>
      <c r="C233" s="833"/>
      <c r="D233" s="39"/>
      <c r="E233" s="35"/>
      <c r="F233" s="35"/>
    </row>
    <row r="234" spans="1:6" ht="108">
      <c r="A234" s="829" t="s">
        <v>7379</v>
      </c>
      <c r="B234" s="35">
        <v>69</v>
      </c>
      <c r="C234" s="838" t="s">
        <v>8113</v>
      </c>
      <c r="D234" s="35" t="s">
        <v>3477</v>
      </c>
      <c r="E234" s="41">
        <f>'dam and allied works'!I6264</f>
        <v>914.1</v>
      </c>
      <c r="F234" s="41"/>
    </row>
    <row r="235" spans="1:6">
      <c r="A235" s="829"/>
      <c r="B235" s="35"/>
      <c r="C235" s="833" t="s">
        <v>9673</v>
      </c>
      <c r="D235" s="35" t="s">
        <v>3477</v>
      </c>
      <c r="E235" s="41"/>
      <c r="F235" s="41">
        <f>'dam and allied works'!G6255</f>
        <v>164.2</v>
      </c>
    </row>
    <row r="236" spans="1:6">
      <c r="A236" s="829"/>
      <c r="B236" s="35"/>
      <c r="C236" s="833"/>
      <c r="D236" s="39"/>
      <c r="E236" s="35"/>
      <c r="F236" s="35"/>
    </row>
    <row r="237" spans="1:6" ht="126">
      <c r="A237" s="829" t="s">
        <v>7380</v>
      </c>
      <c r="B237" s="35">
        <v>70</v>
      </c>
      <c r="C237" s="838" t="s">
        <v>8114</v>
      </c>
      <c r="D237" s="35" t="s">
        <v>3479</v>
      </c>
      <c r="E237" s="41">
        <f>'dam and allied works'!I6337</f>
        <v>832.4</v>
      </c>
      <c r="F237" s="41"/>
    </row>
    <row r="238" spans="1:6">
      <c r="A238" s="829"/>
      <c r="B238" s="35"/>
      <c r="C238" s="833" t="s">
        <v>9673</v>
      </c>
      <c r="D238" s="35" t="s">
        <v>3479</v>
      </c>
      <c r="E238" s="41"/>
      <c r="F238" s="41">
        <f>'dam and allied works'!G6328</f>
        <v>181.8</v>
      </c>
    </row>
    <row r="239" spans="1:6">
      <c r="A239" s="829"/>
      <c r="B239" s="35"/>
      <c r="C239" s="833"/>
      <c r="D239" s="39"/>
      <c r="E239" s="35"/>
      <c r="F239" s="35"/>
    </row>
    <row r="240" spans="1:6" ht="126">
      <c r="A240" s="829" t="s">
        <v>7381</v>
      </c>
      <c r="B240" s="35">
        <v>71</v>
      </c>
      <c r="C240" s="838" t="s">
        <v>8115</v>
      </c>
      <c r="D240" s="35" t="s">
        <v>3479</v>
      </c>
      <c r="E240" s="41">
        <f>'dam and allied works'!I6410</f>
        <v>982</v>
      </c>
      <c r="F240" s="41"/>
    </row>
    <row r="241" spans="1:6">
      <c r="A241" s="829"/>
      <c r="B241" s="35"/>
      <c r="C241" s="833" t="s">
        <v>9673</v>
      </c>
      <c r="D241" s="35" t="s">
        <v>3479</v>
      </c>
      <c r="E241" s="41"/>
      <c r="F241" s="41">
        <f>'dam and allied works'!G6401</f>
        <v>205.6</v>
      </c>
    </row>
    <row r="242" spans="1:6">
      <c r="A242" s="829"/>
      <c r="B242" s="35"/>
      <c r="C242" s="833"/>
      <c r="D242" s="39"/>
      <c r="E242" s="35"/>
      <c r="F242" s="35"/>
    </row>
    <row r="243" spans="1:6" ht="108">
      <c r="A243" s="829" t="s">
        <v>7382</v>
      </c>
      <c r="B243" s="35">
        <v>72</v>
      </c>
      <c r="C243" s="838" t="s">
        <v>8116</v>
      </c>
      <c r="D243" s="35" t="s">
        <v>3479</v>
      </c>
      <c r="E243" s="41">
        <f>'dam and allied works'!I6480</f>
        <v>769</v>
      </c>
      <c r="F243" s="41"/>
    </row>
    <row r="244" spans="1:6">
      <c r="A244" s="829"/>
      <c r="B244" s="35"/>
      <c r="C244" s="833" t="s">
        <v>9673</v>
      </c>
      <c r="D244" s="35" t="s">
        <v>3479</v>
      </c>
      <c r="E244" s="41"/>
      <c r="F244" s="41">
        <f>'dam and allied works'!G6471</f>
        <v>139.19999999999999</v>
      </c>
    </row>
    <row r="245" spans="1:6">
      <c r="A245" s="829"/>
      <c r="B245" s="35"/>
      <c r="C245" s="833"/>
      <c r="D245" s="39"/>
      <c r="E245" s="35"/>
      <c r="F245" s="35"/>
    </row>
    <row r="246" spans="1:6" ht="108">
      <c r="A246" s="829" t="s">
        <v>7383</v>
      </c>
      <c r="B246" s="35">
        <v>73</v>
      </c>
      <c r="C246" s="838" t="s">
        <v>8117</v>
      </c>
      <c r="D246" s="35" t="s">
        <v>3479</v>
      </c>
      <c r="E246" s="41">
        <f>'dam and allied works'!I6551</f>
        <v>843.6</v>
      </c>
      <c r="F246" s="41"/>
    </row>
    <row r="247" spans="1:6">
      <c r="A247" s="829"/>
      <c r="B247" s="35"/>
      <c r="C247" s="833" t="s">
        <v>9673</v>
      </c>
      <c r="D247" s="35" t="s">
        <v>3479</v>
      </c>
      <c r="E247" s="41"/>
      <c r="F247" s="41">
        <f>'dam and allied works'!G6542</f>
        <v>151.69999999999999</v>
      </c>
    </row>
    <row r="248" spans="1:6">
      <c r="A248" s="829"/>
      <c r="B248" s="35"/>
      <c r="C248" s="833"/>
      <c r="D248" s="39"/>
      <c r="E248" s="35"/>
      <c r="F248" s="35"/>
    </row>
    <row r="249" spans="1:6" ht="108">
      <c r="A249" s="829" t="s">
        <v>7384</v>
      </c>
      <c r="B249" s="35">
        <v>74</v>
      </c>
      <c r="C249" s="838" t="s">
        <v>8118</v>
      </c>
      <c r="D249" s="35" t="s">
        <v>3479</v>
      </c>
      <c r="E249" s="41">
        <f>'dam and allied works'!I6622</f>
        <v>932.7</v>
      </c>
      <c r="F249" s="41"/>
    </row>
    <row r="250" spans="1:6">
      <c r="A250" s="829"/>
      <c r="B250" s="35"/>
      <c r="C250" s="833" t="s">
        <v>9673</v>
      </c>
      <c r="D250" s="35" t="s">
        <v>3479</v>
      </c>
      <c r="E250" s="41"/>
      <c r="F250" s="41">
        <f>'dam and allied works'!G6613</f>
        <v>176.7</v>
      </c>
    </row>
    <row r="251" spans="1:6">
      <c r="A251" s="829"/>
      <c r="B251" s="35"/>
      <c r="C251" s="833"/>
      <c r="D251" s="39"/>
      <c r="E251" s="35"/>
      <c r="F251" s="35"/>
    </row>
    <row r="252" spans="1:6" ht="90">
      <c r="A252" s="829" t="s">
        <v>7385</v>
      </c>
      <c r="B252" s="35">
        <v>75</v>
      </c>
      <c r="C252" s="838" t="s">
        <v>8119</v>
      </c>
      <c r="D252" s="35" t="s">
        <v>3479</v>
      </c>
      <c r="E252" s="41">
        <f>'dam and allied works'!I6679</f>
        <v>104.8</v>
      </c>
      <c r="F252" s="41"/>
    </row>
    <row r="253" spans="1:6">
      <c r="A253" s="829"/>
      <c r="B253" s="35"/>
      <c r="C253" s="838" t="s">
        <v>9673</v>
      </c>
      <c r="D253" s="35" t="s">
        <v>3479</v>
      </c>
      <c r="E253" s="41"/>
      <c r="F253" s="41">
        <f>'dam and allied works'!G6668</f>
        <v>70.2</v>
      </c>
    </row>
    <row r="254" spans="1:6">
      <c r="A254" s="829"/>
      <c r="B254" s="35"/>
      <c r="C254" s="838"/>
      <c r="D254" s="35"/>
      <c r="E254" s="35"/>
      <c r="F254" s="35"/>
    </row>
    <row r="255" spans="1:6" s="31" customFormat="1">
      <c r="A255" s="832" t="s">
        <v>763</v>
      </c>
      <c r="B255" s="35"/>
      <c r="C255" s="834"/>
      <c r="D255" s="39"/>
      <c r="E255" s="35"/>
      <c r="F255" s="35"/>
    </row>
    <row r="256" spans="1:6" s="31" customFormat="1">
      <c r="A256" s="832" t="s">
        <v>7386</v>
      </c>
      <c r="B256" s="35"/>
      <c r="C256" s="842" t="s">
        <v>3911</v>
      </c>
      <c r="D256" s="39"/>
      <c r="E256" s="35"/>
      <c r="F256" s="35"/>
    </row>
    <row r="257" spans="1:6">
      <c r="A257" s="829"/>
      <c r="B257" s="35"/>
      <c r="C257" s="833"/>
      <c r="D257" s="39"/>
      <c r="E257" s="35"/>
      <c r="F257" s="35"/>
    </row>
    <row r="258" spans="1:6">
      <c r="A258" s="829" t="s">
        <v>7387</v>
      </c>
      <c r="B258" s="35"/>
      <c r="C258" s="837" t="s">
        <v>764</v>
      </c>
      <c r="D258" s="39"/>
      <c r="E258" s="35"/>
      <c r="F258" s="35"/>
    </row>
    <row r="259" spans="1:6" ht="108">
      <c r="A259" s="829" t="s">
        <v>7388</v>
      </c>
      <c r="B259" s="35">
        <v>76</v>
      </c>
      <c r="C259" s="838" t="s">
        <v>8120</v>
      </c>
      <c r="D259" s="35" t="s">
        <v>3477</v>
      </c>
      <c r="E259" s="41">
        <f>'tunnel and allied works'!G249</f>
        <v>1731</v>
      </c>
      <c r="F259" s="41"/>
    </row>
    <row r="260" spans="1:6">
      <c r="A260" s="829"/>
      <c r="B260" s="35"/>
      <c r="C260" s="833" t="s">
        <v>9673</v>
      </c>
      <c r="D260" s="35" t="s">
        <v>3477</v>
      </c>
      <c r="E260" s="41"/>
      <c r="F260" s="41">
        <f>'tunnel and allied works'!E235</f>
        <v>642.29999999999995</v>
      </c>
    </row>
    <row r="261" spans="1:6">
      <c r="A261" s="829"/>
      <c r="B261" s="35"/>
      <c r="C261" s="833"/>
      <c r="D261" s="39"/>
      <c r="E261" s="35"/>
      <c r="F261" s="35"/>
    </row>
    <row r="262" spans="1:6" ht="108">
      <c r="A262" s="829" t="s">
        <v>7389</v>
      </c>
      <c r="B262" s="35">
        <v>77</v>
      </c>
      <c r="C262" s="838" t="s">
        <v>8121</v>
      </c>
      <c r="D262" s="35" t="s">
        <v>3477</v>
      </c>
      <c r="E262" s="41">
        <f>'tunnel and allied works'!G428</f>
        <v>2309.9</v>
      </c>
      <c r="F262" s="41"/>
    </row>
    <row r="263" spans="1:6">
      <c r="A263" s="829"/>
      <c r="B263" s="35"/>
      <c r="C263" s="833" t="s">
        <v>9673</v>
      </c>
      <c r="D263" s="35" t="s">
        <v>3477</v>
      </c>
      <c r="E263" s="41"/>
      <c r="F263" s="41">
        <f>'tunnel and allied works'!E414</f>
        <v>1289.0999999999999</v>
      </c>
    </row>
    <row r="264" spans="1:6">
      <c r="A264" s="829"/>
      <c r="B264" s="35"/>
      <c r="C264" s="833"/>
      <c r="D264" s="39"/>
      <c r="E264" s="35"/>
      <c r="F264" s="35"/>
    </row>
    <row r="265" spans="1:6" ht="108">
      <c r="A265" s="829" t="s">
        <v>7390</v>
      </c>
      <c r="B265" s="35">
        <v>78</v>
      </c>
      <c r="C265" s="838" t="s">
        <v>8122</v>
      </c>
      <c r="D265" s="35" t="s">
        <v>3477</v>
      </c>
      <c r="E265" s="41">
        <f>'tunnel and allied works'!G607</f>
        <v>1767.6</v>
      </c>
      <c r="F265" s="41"/>
    </row>
    <row r="266" spans="1:6">
      <c r="A266" s="829"/>
      <c r="B266" s="35"/>
      <c r="C266" s="833" t="s">
        <v>9673</v>
      </c>
      <c r="D266" s="35" t="s">
        <v>3477</v>
      </c>
      <c r="E266" s="41"/>
      <c r="F266" s="41">
        <f>'tunnel and allied works'!E593</f>
        <v>632.79999999999995</v>
      </c>
    </row>
    <row r="267" spans="1:6">
      <c r="A267" s="829"/>
      <c r="B267" s="35"/>
      <c r="C267" s="833"/>
      <c r="D267" s="39"/>
      <c r="E267" s="35"/>
      <c r="F267" s="35"/>
    </row>
    <row r="268" spans="1:6" ht="126">
      <c r="A268" s="829" t="s">
        <v>7391</v>
      </c>
      <c r="B268" s="35">
        <v>79</v>
      </c>
      <c r="C268" s="838" t="s">
        <v>8123</v>
      </c>
      <c r="D268" s="35" t="s">
        <v>3477</v>
      </c>
      <c r="E268" s="41">
        <f>'tunnel and allied works'!G777</f>
        <v>1820.9</v>
      </c>
      <c r="F268" s="41"/>
    </row>
    <row r="269" spans="1:6">
      <c r="A269" s="829"/>
      <c r="B269" s="35"/>
      <c r="C269" s="833" t="s">
        <v>9673</v>
      </c>
      <c r="D269" s="35" t="s">
        <v>3477</v>
      </c>
      <c r="E269" s="41"/>
      <c r="F269" s="41">
        <f>'tunnel and allied works'!E763</f>
        <v>653.5</v>
      </c>
    </row>
    <row r="270" spans="1:6">
      <c r="A270" s="829"/>
      <c r="B270" s="35"/>
      <c r="C270" s="833"/>
      <c r="D270" s="39"/>
      <c r="E270" s="35"/>
      <c r="F270" s="35"/>
    </row>
    <row r="271" spans="1:6" ht="198">
      <c r="A271" s="829" t="s">
        <v>7392</v>
      </c>
      <c r="B271" s="35">
        <v>80</v>
      </c>
      <c r="C271" s="838" t="s">
        <v>8124</v>
      </c>
      <c r="D271" s="35" t="s">
        <v>3477</v>
      </c>
      <c r="E271" s="41">
        <f>'tunnel and allied works'!G975</f>
        <v>1872.2</v>
      </c>
      <c r="F271" s="41"/>
    </row>
    <row r="272" spans="1:6">
      <c r="A272" s="829"/>
      <c r="B272" s="35"/>
      <c r="C272" s="833" t="s">
        <v>9673</v>
      </c>
      <c r="D272" s="35" t="s">
        <v>3477</v>
      </c>
      <c r="E272" s="41"/>
      <c r="F272" s="41">
        <f>'tunnel and allied works'!E961</f>
        <v>701.1</v>
      </c>
    </row>
    <row r="273" spans="1:6">
      <c r="A273" s="829"/>
      <c r="B273" s="35"/>
      <c r="C273" s="833"/>
      <c r="D273" s="39"/>
      <c r="E273" s="35"/>
      <c r="F273" s="35"/>
    </row>
    <row r="274" spans="1:6" ht="108">
      <c r="A274" s="829" t="s">
        <v>7393</v>
      </c>
      <c r="B274" s="35">
        <v>81</v>
      </c>
      <c r="C274" s="838" t="s">
        <v>8125</v>
      </c>
      <c r="D274" s="35" t="s">
        <v>3477</v>
      </c>
      <c r="E274" s="41">
        <f>'tunnel and allied works'!G1069</f>
        <v>362.2</v>
      </c>
      <c r="F274" s="41"/>
    </row>
    <row r="275" spans="1:6">
      <c r="A275" s="829"/>
      <c r="B275" s="35"/>
      <c r="C275" s="833" t="s">
        <v>9673</v>
      </c>
      <c r="D275" s="35" t="s">
        <v>3477</v>
      </c>
      <c r="E275" s="41"/>
      <c r="F275" s="41">
        <f>'tunnel and allied works'!E1055</f>
        <v>97.8</v>
      </c>
    </row>
    <row r="276" spans="1:6">
      <c r="A276" s="829"/>
      <c r="B276" s="35"/>
      <c r="C276" s="833"/>
      <c r="D276" s="39"/>
      <c r="E276" s="35"/>
      <c r="F276" s="35"/>
    </row>
    <row r="277" spans="1:6">
      <c r="A277" s="829" t="s">
        <v>5525</v>
      </c>
      <c r="B277" s="35"/>
      <c r="C277" s="837" t="s">
        <v>1658</v>
      </c>
      <c r="D277" s="39"/>
      <c r="E277" s="35"/>
      <c r="F277" s="35"/>
    </row>
    <row r="278" spans="1:6">
      <c r="A278" s="829"/>
      <c r="B278" s="35"/>
      <c r="C278" s="833"/>
      <c r="D278" s="39"/>
      <c r="E278" s="35"/>
      <c r="F278" s="35"/>
    </row>
    <row r="279" spans="1:6" ht="72">
      <c r="A279" s="829" t="s">
        <v>7394</v>
      </c>
      <c r="B279" s="35">
        <v>82</v>
      </c>
      <c r="C279" s="838" t="s">
        <v>8126</v>
      </c>
      <c r="D279" s="35" t="s">
        <v>2169</v>
      </c>
      <c r="E279" s="41">
        <f>'tunnel and allied works'!G1131</f>
        <v>21.2</v>
      </c>
      <c r="F279" s="41"/>
    </row>
    <row r="280" spans="1:6">
      <c r="A280" s="829"/>
      <c r="B280" s="35"/>
      <c r="C280" s="833" t="s">
        <v>9673</v>
      </c>
      <c r="D280" s="35" t="s">
        <v>2169</v>
      </c>
      <c r="E280" s="41"/>
      <c r="F280" s="41">
        <f>'tunnel and allied works'!E1117</f>
        <v>9.1</v>
      </c>
    </row>
    <row r="281" spans="1:6">
      <c r="A281" s="829"/>
      <c r="B281" s="35"/>
      <c r="C281" s="833"/>
      <c r="D281" s="39"/>
      <c r="E281" s="35"/>
      <c r="F281" s="35"/>
    </row>
    <row r="282" spans="1:6" ht="72">
      <c r="A282" s="829" t="s">
        <v>7395</v>
      </c>
      <c r="B282" s="35">
        <v>83</v>
      </c>
      <c r="C282" s="838" t="s">
        <v>8127</v>
      </c>
      <c r="D282" s="35" t="s">
        <v>3479</v>
      </c>
      <c r="E282" s="41">
        <f>'tunnel and allied works'!G1223</f>
        <v>572.20000000000005</v>
      </c>
      <c r="F282" s="41"/>
    </row>
    <row r="283" spans="1:6">
      <c r="A283" s="829"/>
      <c r="B283" s="35"/>
      <c r="C283" s="833" t="s">
        <v>9673</v>
      </c>
      <c r="D283" s="35" t="s">
        <v>3479</v>
      </c>
      <c r="E283" s="41"/>
      <c r="F283" s="41">
        <f>'tunnel and allied works'!E1207</f>
        <v>202.2</v>
      </c>
    </row>
    <row r="284" spans="1:6">
      <c r="A284" s="829"/>
      <c r="B284" s="35"/>
      <c r="C284" s="833"/>
      <c r="D284" s="39"/>
      <c r="E284" s="35"/>
      <c r="F284" s="35"/>
    </row>
    <row r="285" spans="1:6" ht="108">
      <c r="A285" s="829" t="s">
        <v>7663</v>
      </c>
      <c r="B285" s="35">
        <v>84</v>
      </c>
      <c r="C285" s="838" t="s">
        <v>9616</v>
      </c>
      <c r="D285" s="35" t="s">
        <v>3479</v>
      </c>
      <c r="E285" s="41">
        <f>'tunnel and allied works'!G1322</f>
        <v>1480.3</v>
      </c>
      <c r="F285" s="35"/>
    </row>
    <row r="286" spans="1:6">
      <c r="A286" s="829"/>
      <c r="B286" s="35"/>
      <c r="C286" s="833" t="s">
        <v>9673</v>
      </c>
      <c r="D286" s="35" t="s">
        <v>3479</v>
      </c>
      <c r="E286" s="35"/>
      <c r="F286" s="41">
        <f>'tunnel and allied works'!E1305</f>
        <v>202.2</v>
      </c>
    </row>
    <row r="287" spans="1:6">
      <c r="A287" s="829"/>
      <c r="B287" s="35"/>
      <c r="C287" s="833"/>
      <c r="D287" s="39"/>
      <c r="E287" s="35"/>
      <c r="F287" s="35"/>
    </row>
    <row r="288" spans="1:6">
      <c r="A288" s="829" t="s">
        <v>5526</v>
      </c>
      <c r="B288" s="35"/>
      <c r="C288" s="837" t="s">
        <v>6515</v>
      </c>
      <c r="D288" s="39"/>
      <c r="E288" s="35"/>
      <c r="F288" s="35"/>
    </row>
    <row r="289" spans="1:6">
      <c r="A289" s="829"/>
      <c r="B289" s="35"/>
      <c r="C289" s="833"/>
      <c r="D289" s="39"/>
      <c r="E289" s="35"/>
      <c r="F289" s="35"/>
    </row>
    <row r="290" spans="1:6" ht="108">
      <c r="A290" s="829" t="s">
        <v>7396</v>
      </c>
      <c r="B290" s="35">
        <v>85</v>
      </c>
      <c r="C290" s="838" t="s">
        <v>8128</v>
      </c>
      <c r="D290" s="35" t="s">
        <v>3483</v>
      </c>
      <c r="E290" s="41">
        <f>'tunnel and allied works'!G1438</f>
        <v>1024.3</v>
      </c>
      <c r="F290" s="41"/>
    </row>
    <row r="291" spans="1:6">
      <c r="A291" s="829"/>
      <c r="B291" s="35"/>
      <c r="C291" s="833" t="s">
        <v>9673</v>
      </c>
      <c r="D291" s="35" t="s">
        <v>3483</v>
      </c>
      <c r="E291" s="41"/>
      <c r="F291" s="41">
        <f>'tunnel and allied works'!E1423</f>
        <v>341.4</v>
      </c>
    </row>
    <row r="292" spans="1:6">
      <c r="A292" s="829"/>
      <c r="B292" s="35"/>
      <c r="C292" s="833"/>
      <c r="D292" s="39"/>
      <c r="E292" s="35"/>
      <c r="F292" s="35"/>
    </row>
    <row r="293" spans="1:6" ht="108">
      <c r="A293" s="829" t="s">
        <v>7397</v>
      </c>
      <c r="B293" s="35">
        <v>86</v>
      </c>
      <c r="C293" s="838" t="s">
        <v>8129</v>
      </c>
      <c r="D293" s="35" t="s">
        <v>3483</v>
      </c>
      <c r="E293" s="41">
        <f>'tunnel and allied works'!G1548</f>
        <v>977</v>
      </c>
      <c r="F293" s="41"/>
    </row>
    <row r="294" spans="1:6">
      <c r="A294" s="829"/>
      <c r="B294" s="35"/>
      <c r="C294" s="833" t="s">
        <v>9673</v>
      </c>
      <c r="D294" s="35" t="s">
        <v>3483</v>
      </c>
      <c r="E294" s="41"/>
      <c r="F294" s="41">
        <f>'tunnel and allied works'!E1533</f>
        <v>314</v>
      </c>
    </row>
    <row r="295" spans="1:6">
      <c r="A295" s="829"/>
      <c r="B295" s="35"/>
      <c r="C295" s="833"/>
      <c r="D295" s="39"/>
      <c r="E295" s="35"/>
      <c r="F295" s="35"/>
    </row>
    <row r="296" spans="1:6" ht="90">
      <c r="A296" s="829" t="s">
        <v>7398</v>
      </c>
      <c r="B296" s="35">
        <v>87</v>
      </c>
      <c r="C296" s="838" t="s">
        <v>8130</v>
      </c>
      <c r="D296" s="35" t="s">
        <v>3480</v>
      </c>
      <c r="E296" s="41">
        <f>'tunnel and allied works'!G1677</f>
        <v>85555.1</v>
      </c>
      <c r="F296" s="41"/>
    </row>
    <row r="297" spans="1:6">
      <c r="A297" s="829"/>
      <c r="B297" s="35"/>
      <c r="C297" s="833" t="s">
        <v>9673</v>
      </c>
      <c r="D297" s="35" t="s">
        <v>3480</v>
      </c>
      <c r="E297" s="41"/>
      <c r="F297" s="41">
        <f>'tunnel and allied works'!E1662</f>
        <v>18569.2</v>
      </c>
    </row>
    <row r="298" spans="1:6">
      <c r="A298" s="829"/>
      <c r="B298" s="35"/>
      <c r="C298" s="833"/>
      <c r="D298" s="39"/>
      <c r="E298" s="35"/>
      <c r="F298" s="35"/>
    </row>
    <row r="299" spans="1:6" ht="90">
      <c r="A299" s="829" t="s">
        <v>7399</v>
      </c>
      <c r="B299" s="35">
        <v>88</v>
      </c>
      <c r="C299" s="838" t="s">
        <v>8131</v>
      </c>
      <c r="D299" s="35" t="s">
        <v>3480</v>
      </c>
      <c r="E299" s="41">
        <f>'tunnel and allied works'!G1798</f>
        <v>22938.2</v>
      </c>
      <c r="F299" s="41"/>
    </row>
    <row r="300" spans="1:6">
      <c r="A300" s="829"/>
      <c r="B300" s="35"/>
      <c r="C300" s="833" t="s">
        <v>9673</v>
      </c>
      <c r="D300" s="35" t="s">
        <v>3480</v>
      </c>
      <c r="E300" s="41"/>
      <c r="F300" s="41">
        <f>'tunnel and allied works'!E1781</f>
        <v>9309.2000000000007</v>
      </c>
    </row>
    <row r="301" spans="1:6">
      <c r="A301" s="829"/>
      <c r="B301" s="35"/>
      <c r="C301" s="833"/>
      <c r="D301" s="39"/>
      <c r="E301" s="35"/>
      <c r="F301" s="35"/>
    </row>
    <row r="302" spans="1:6" ht="72">
      <c r="A302" s="829" t="s">
        <v>7400</v>
      </c>
      <c r="B302" s="35">
        <v>89</v>
      </c>
      <c r="C302" s="838" t="s">
        <v>8132</v>
      </c>
      <c r="D302" s="35" t="s">
        <v>3477</v>
      </c>
      <c r="E302" s="41">
        <f>'tunnel and allied works'!G1851</f>
        <v>32978.400000000001</v>
      </c>
      <c r="F302" s="41"/>
    </row>
    <row r="303" spans="1:6">
      <c r="A303" s="829"/>
      <c r="B303" s="35"/>
      <c r="C303" s="833" t="s">
        <v>9673</v>
      </c>
      <c r="D303" s="35" t="s">
        <v>3477</v>
      </c>
      <c r="E303" s="41"/>
      <c r="F303" s="41">
        <f>'tunnel and allied works'!E1837</f>
        <v>1649.2</v>
      </c>
    </row>
    <row r="304" spans="1:6">
      <c r="A304" s="829"/>
      <c r="B304" s="35"/>
      <c r="C304" s="833"/>
      <c r="D304" s="39"/>
      <c r="E304" s="35"/>
      <c r="F304" s="35"/>
    </row>
    <row r="305" spans="1:6">
      <c r="A305" s="829" t="s">
        <v>5527</v>
      </c>
      <c r="B305" s="35"/>
      <c r="C305" s="837" t="s">
        <v>228</v>
      </c>
      <c r="D305" s="39"/>
      <c r="E305" s="35"/>
      <c r="F305" s="35"/>
    </row>
    <row r="306" spans="1:6">
      <c r="A306" s="829"/>
      <c r="B306" s="35"/>
      <c r="C306" s="833"/>
      <c r="D306" s="39"/>
      <c r="E306" s="35"/>
      <c r="F306" s="35"/>
    </row>
    <row r="307" spans="1:6" ht="144">
      <c r="A307" s="829" t="s">
        <v>7401</v>
      </c>
      <c r="B307" s="35">
        <v>90</v>
      </c>
      <c r="C307" s="838" t="s">
        <v>8133</v>
      </c>
      <c r="D307" s="35" t="s">
        <v>3477</v>
      </c>
      <c r="E307" s="41">
        <f>'tunnel and allied works'!G1925</f>
        <v>2131.4</v>
      </c>
      <c r="F307" s="41"/>
    </row>
    <row r="308" spans="1:6">
      <c r="A308" s="829"/>
      <c r="B308" s="35"/>
      <c r="C308" s="833" t="s">
        <v>9673</v>
      </c>
      <c r="D308" s="35" t="s">
        <v>3477</v>
      </c>
      <c r="E308" s="41"/>
      <c r="F308" s="41">
        <f>'tunnel and allied works'!E1908</f>
        <v>872.6</v>
      </c>
    </row>
    <row r="309" spans="1:6">
      <c r="A309" s="829"/>
      <c r="B309" s="35"/>
      <c r="C309" s="833"/>
      <c r="D309" s="39"/>
      <c r="E309" s="35"/>
      <c r="F309" s="35"/>
    </row>
    <row r="310" spans="1:6">
      <c r="A310" s="829" t="s">
        <v>5528</v>
      </c>
      <c r="B310" s="35"/>
      <c r="C310" s="837" t="s">
        <v>2991</v>
      </c>
      <c r="D310" s="39"/>
      <c r="E310" s="35"/>
      <c r="F310" s="35"/>
    </row>
    <row r="311" spans="1:6">
      <c r="A311" s="829"/>
      <c r="B311" s="35"/>
      <c r="C311" s="833"/>
      <c r="D311" s="39"/>
      <c r="E311" s="35"/>
      <c r="F311" s="35"/>
    </row>
    <row r="312" spans="1:6" ht="108">
      <c r="A312" s="829" t="s">
        <v>7410</v>
      </c>
      <c r="B312" s="35">
        <v>91</v>
      </c>
      <c r="C312" s="838" t="s">
        <v>8134</v>
      </c>
      <c r="D312" s="35" t="s">
        <v>3480</v>
      </c>
      <c r="E312" s="41">
        <f>'tunnel and allied works'!G1995</f>
        <v>58584.1</v>
      </c>
      <c r="F312" s="41"/>
    </row>
    <row r="313" spans="1:6">
      <c r="A313" s="829"/>
      <c r="B313" s="35"/>
      <c r="C313" s="833" t="s">
        <v>9673</v>
      </c>
      <c r="D313" s="35" t="s">
        <v>3480</v>
      </c>
      <c r="E313" s="41"/>
      <c r="F313" s="41">
        <f>'tunnel and allied works'!E1980</f>
        <v>11639.9</v>
      </c>
    </row>
    <row r="314" spans="1:6">
      <c r="A314" s="829"/>
      <c r="B314" s="35"/>
      <c r="C314" s="833"/>
      <c r="D314" s="39"/>
      <c r="E314" s="35"/>
      <c r="F314" s="35"/>
    </row>
    <row r="315" spans="1:6" ht="180">
      <c r="A315" s="829" t="s">
        <v>7411</v>
      </c>
      <c r="B315" s="35">
        <v>92</v>
      </c>
      <c r="C315" s="838" t="s">
        <v>8135</v>
      </c>
      <c r="D315" s="35" t="s">
        <v>3477</v>
      </c>
      <c r="E315" s="41">
        <f>'tunnel and allied works'!G2096</f>
        <v>5259.2</v>
      </c>
      <c r="F315" s="41"/>
    </row>
    <row r="316" spans="1:6">
      <c r="A316" s="829"/>
      <c r="B316" s="35"/>
      <c r="C316" s="833" t="s">
        <v>9673</v>
      </c>
      <c r="D316" s="35" t="s">
        <v>3477</v>
      </c>
      <c r="E316" s="41"/>
      <c r="F316" s="41">
        <f>'tunnel and allied works'!E2079</f>
        <v>864</v>
      </c>
    </row>
    <row r="317" spans="1:6">
      <c r="A317" s="829"/>
      <c r="B317" s="35"/>
      <c r="C317" s="833"/>
      <c r="D317" s="39"/>
      <c r="E317" s="35"/>
      <c r="F317" s="35"/>
    </row>
    <row r="318" spans="1:6" ht="180">
      <c r="A318" s="829" t="s">
        <v>7412</v>
      </c>
      <c r="B318" s="35">
        <v>93</v>
      </c>
      <c r="C318" s="838" t="s">
        <v>8136</v>
      </c>
      <c r="D318" s="35" t="s">
        <v>3477</v>
      </c>
      <c r="E318" s="41">
        <f>'tunnel and allied works'!G2255</f>
        <v>6452.6</v>
      </c>
      <c r="F318" s="41"/>
    </row>
    <row r="319" spans="1:6">
      <c r="A319" s="829"/>
      <c r="B319" s="35"/>
      <c r="C319" s="838" t="s">
        <v>9673</v>
      </c>
      <c r="D319" s="35" t="s">
        <v>3477</v>
      </c>
      <c r="E319" s="41"/>
      <c r="F319" s="41">
        <f>'tunnel and allied works'!E2238</f>
        <v>1075.9000000000001</v>
      </c>
    </row>
    <row r="320" spans="1:6">
      <c r="A320" s="829"/>
      <c r="B320" s="35"/>
      <c r="C320" s="838"/>
      <c r="D320" s="39"/>
      <c r="E320" s="35"/>
      <c r="F320" s="35"/>
    </row>
    <row r="321" spans="1:6" ht="180">
      <c r="A321" s="829" t="s">
        <v>7413</v>
      </c>
      <c r="B321" s="35">
        <v>94</v>
      </c>
      <c r="C321" s="838" t="s">
        <v>8137</v>
      </c>
      <c r="D321" s="35" t="s">
        <v>3477</v>
      </c>
      <c r="E321" s="41">
        <f>'tunnel and allied works'!G2444</f>
        <v>7191.7</v>
      </c>
      <c r="F321" s="41"/>
    </row>
    <row r="322" spans="1:6">
      <c r="A322" s="829"/>
      <c r="B322" s="35"/>
      <c r="C322" s="833" t="s">
        <v>9673</v>
      </c>
      <c r="D322" s="35" t="s">
        <v>3477</v>
      </c>
      <c r="E322" s="41"/>
      <c r="F322" s="41">
        <f>'tunnel and allied works'!E2427</f>
        <v>890.6</v>
      </c>
    </row>
    <row r="323" spans="1:6">
      <c r="A323" s="829"/>
      <c r="B323" s="35"/>
      <c r="C323" s="833"/>
      <c r="D323" s="39"/>
      <c r="E323" s="35"/>
      <c r="F323" s="35"/>
    </row>
    <row r="324" spans="1:6">
      <c r="A324" s="829" t="s">
        <v>7414</v>
      </c>
      <c r="B324" s="35"/>
      <c r="C324" s="837" t="s">
        <v>3461</v>
      </c>
      <c r="D324" s="39"/>
      <c r="E324" s="35"/>
      <c r="F324" s="35"/>
    </row>
    <row r="325" spans="1:6">
      <c r="A325" s="829"/>
      <c r="B325" s="35"/>
      <c r="C325" s="833"/>
      <c r="D325" s="39"/>
      <c r="E325" s="35"/>
      <c r="F325" s="35"/>
    </row>
    <row r="326" spans="1:6" ht="90">
      <c r="A326" s="829" t="s">
        <v>7415</v>
      </c>
      <c r="B326" s="35">
        <v>95</v>
      </c>
      <c r="C326" s="838" t="s">
        <v>8138</v>
      </c>
      <c r="D326" s="35" t="s">
        <v>3483</v>
      </c>
      <c r="E326" s="41">
        <f>'tunnel and allied works'!G2527</f>
        <v>384.6</v>
      </c>
      <c r="F326" s="41"/>
    </row>
    <row r="327" spans="1:6">
      <c r="A327" s="829"/>
      <c r="B327" s="35"/>
      <c r="C327" s="833" t="s">
        <v>9673</v>
      </c>
      <c r="D327" s="35" t="s">
        <v>3483</v>
      </c>
      <c r="E327" s="41"/>
      <c r="F327" s="41">
        <f>'tunnel and allied works'!E2513</f>
        <v>163.5</v>
      </c>
    </row>
    <row r="328" spans="1:6">
      <c r="A328" s="829"/>
      <c r="B328" s="35"/>
      <c r="C328" s="833"/>
      <c r="D328" s="39"/>
      <c r="E328" s="35"/>
      <c r="F328" s="35"/>
    </row>
    <row r="329" spans="1:6" ht="90">
      <c r="A329" s="829" t="s">
        <v>7416</v>
      </c>
      <c r="B329" s="35">
        <v>96</v>
      </c>
      <c r="C329" s="838" t="s">
        <v>8139</v>
      </c>
      <c r="D329" s="35" t="s">
        <v>3480</v>
      </c>
      <c r="E329" s="41">
        <f>'tunnel and allied works'!G2600</f>
        <v>10815.2</v>
      </c>
      <c r="F329" s="41"/>
    </row>
    <row r="330" spans="1:6">
      <c r="A330" s="829"/>
      <c r="B330" s="35"/>
      <c r="C330" s="833" t="s">
        <v>9673</v>
      </c>
      <c r="D330" s="35" t="s">
        <v>3480</v>
      </c>
      <c r="E330" s="41"/>
      <c r="F330" s="41">
        <f>'tunnel and allied works'!E2585</f>
        <v>2520</v>
      </c>
    </row>
    <row r="331" spans="1:6">
      <c r="A331" s="829"/>
      <c r="B331" s="35"/>
      <c r="C331" s="833"/>
      <c r="D331" s="39"/>
      <c r="E331" s="35"/>
      <c r="F331" s="35"/>
    </row>
    <row r="332" spans="1:6" ht="72">
      <c r="A332" s="829" t="s">
        <v>7417</v>
      </c>
      <c r="B332" s="35">
        <v>97</v>
      </c>
      <c r="C332" s="839" t="s">
        <v>8140</v>
      </c>
      <c r="D332" s="35" t="s">
        <v>3483</v>
      </c>
      <c r="E332" s="41">
        <f>'tunnel and allied works'!G2676</f>
        <v>347.4</v>
      </c>
      <c r="F332" s="41"/>
    </row>
    <row r="333" spans="1:6">
      <c r="A333" s="829"/>
      <c r="B333" s="35"/>
      <c r="C333" s="833" t="s">
        <v>9673</v>
      </c>
      <c r="D333" s="35" t="s">
        <v>3483</v>
      </c>
      <c r="E333" s="41"/>
      <c r="F333" s="41">
        <f>'tunnel and allied works'!E2662</f>
        <v>67.7</v>
      </c>
    </row>
    <row r="334" spans="1:6">
      <c r="A334" s="829"/>
      <c r="B334" s="35"/>
      <c r="C334" s="833"/>
      <c r="D334" s="38"/>
      <c r="E334" s="38"/>
      <c r="F334" s="38"/>
    </row>
    <row r="335" spans="1:6">
      <c r="A335" s="829"/>
      <c r="B335" s="35"/>
      <c r="C335" s="833"/>
      <c r="D335" s="39"/>
      <c r="E335" s="35"/>
      <c r="F335" s="35"/>
    </row>
    <row r="336" spans="1:6" s="31" customFormat="1">
      <c r="A336" s="832" t="s">
        <v>3660</v>
      </c>
      <c r="B336" s="35"/>
      <c r="C336" s="831"/>
      <c r="D336" s="45"/>
      <c r="E336" s="45"/>
      <c r="F336" s="45"/>
    </row>
    <row r="337" spans="1:6" s="31" customFormat="1">
      <c r="A337" s="832" t="s">
        <v>7418</v>
      </c>
      <c r="B337" s="35"/>
      <c r="C337" s="842" t="s">
        <v>2074</v>
      </c>
      <c r="D337" s="45"/>
      <c r="E337" s="45"/>
      <c r="F337" s="45"/>
    </row>
    <row r="338" spans="1:6">
      <c r="A338" s="829"/>
      <c r="B338" s="35"/>
      <c r="C338" s="833"/>
      <c r="D338" s="39"/>
      <c r="E338" s="35"/>
      <c r="F338" s="35"/>
    </row>
    <row r="339" spans="1:6">
      <c r="A339" s="829" t="s">
        <v>7419</v>
      </c>
      <c r="B339" s="35"/>
      <c r="C339" s="837" t="s">
        <v>340</v>
      </c>
      <c r="D339" s="39"/>
      <c r="E339" s="35"/>
      <c r="F339" s="35"/>
    </row>
    <row r="340" spans="1:6" ht="108">
      <c r="A340" s="829" t="s">
        <v>7420</v>
      </c>
      <c r="B340" s="35">
        <v>98</v>
      </c>
      <c r="C340" s="838" t="s">
        <v>8141</v>
      </c>
      <c r="D340" s="35" t="s">
        <v>3477</v>
      </c>
      <c r="E340" s="41">
        <f>'canal and allied works'!G138</f>
        <v>95.6</v>
      </c>
      <c r="F340" s="41"/>
    </row>
    <row r="341" spans="1:6">
      <c r="A341" s="829"/>
      <c r="B341" s="35"/>
      <c r="C341" s="833" t="s">
        <v>9673</v>
      </c>
      <c r="D341" s="35" t="s">
        <v>3477</v>
      </c>
      <c r="E341" s="41"/>
      <c r="F341" s="41">
        <f>'canal and allied works'!E129</f>
        <v>26.2</v>
      </c>
    </row>
    <row r="342" spans="1:6">
      <c r="A342" s="829"/>
      <c r="B342" s="35"/>
      <c r="C342" s="833"/>
      <c r="D342" s="39"/>
      <c r="E342" s="35"/>
      <c r="F342" s="35"/>
    </row>
    <row r="343" spans="1:6" ht="144">
      <c r="A343" s="829" t="s">
        <v>7421</v>
      </c>
      <c r="B343" s="35">
        <v>99</v>
      </c>
      <c r="C343" s="838" t="s">
        <v>8142</v>
      </c>
      <c r="D343" s="35" t="s">
        <v>3477</v>
      </c>
      <c r="E343" s="41">
        <f>'canal and allied works'!G191</f>
        <v>52</v>
      </c>
      <c r="F343" s="41"/>
    </row>
    <row r="344" spans="1:6">
      <c r="A344" s="829"/>
      <c r="B344" s="35"/>
      <c r="C344" s="833" t="s">
        <v>9673</v>
      </c>
      <c r="D344" s="35" t="s">
        <v>3477</v>
      </c>
      <c r="E344" s="41"/>
      <c r="F344" s="41">
        <f>'canal and allied works'!E182</f>
        <v>21.4</v>
      </c>
    </row>
    <row r="345" spans="1:6">
      <c r="A345" s="829"/>
      <c r="B345" s="35"/>
      <c r="C345" s="833"/>
      <c r="D345" s="39"/>
      <c r="E345" s="35"/>
      <c r="F345" s="35"/>
    </row>
    <row r="346" spans="1:6" ht="126">
      <c r="A346" s="829" t="s">
        <v>7422</v>
      </c>
      <c r="B346" s="35">
        <v>100</v>
      </c>
      <c r="C346" s="838" t="s">
        <v>8143</v>
      </c>
      <c r="D346" s="35" t="s">
        <v>3477</v>
      </c>
      <c r="E346" s="41">
        <f>'canal and allied works'!G271</f>
        <v>129.9</v>
      </c>
      <c r="F346" s="41"/>
    </row>
    <row r="347" spans="1:6">
      <c r="A347" s="829"/>
      <c r="B347" s="35"/>
      <c r="C347" s="833" t="s">
        <v>9673</v>
      </c>
      <c r="D347" s="35" t="s">
        <v>3477</v>
      </c>
      <c r="E347" s="41"/>
      <c r="F347" s="41">
        <f>'canal and allied works'!E262</f>
        <v>38.9</v>
      </c>
    </row>
    <row r="348" spans="1:6">
      <c r="A348" s="829"/>
      <c r="B348" s="35"/>
      <c r="C348" s="833"/>
      <c r="D348" s="39"/>
      <c r="E348" s="35"/>
      <c r="F348" s="35"/>
    </row>
    <row r="349" spans="1:6" ht="144">
      <c r="A349" s="829" t="s">
        <v>7423</v>
      </c>
      <c r="B349" s="35">
        <v>101</v>
      </c>
      <c r="C349" s="838" t="s">
        <v>8144</v>
      </c>
      <c r="D349" s="35" t="s">
        <v>3477</v>
      </c>
      <c r="E349" s="41">
        <f>'canal and allied works'!G326</f>
        <v>85.9</v>
      </c>
      <c r="F349" s="41"/>
    </row>
    <row r="350" spans="1:6">
      <c r="A350" s="829"/>
      <c r="B350" s="35"/>
      <c r="C350" s="833" t="s">
        <v>9673</v>
      </c>
      <c r="D350" s="35" t="s">
        <v>3477</v>
      </c>
      <c r="E350" s="41"/>
      <c r="F350" s="41">
        <f>'canal and allied works'!E317</f>
        <v>35.1</v>
      </c>
    </row>
    <row r="351" spans="1:6">
      <c r="A351" s="829"/>
      <c r="B351" s="35"/>
      <c r="C351" s="833"/>
      <c r="D351" s="39"/>
      <c r="E351" s="35"/>
      <c r="F351" s="35"/>
    </row>
    <row r="352" spans="1:6" ht="108">
      <c r="A352" s="829" t="s">
        <v>7424</v>
      </c>
      <c r="B352" s="35">
        <v>102</v>
      </c>
      <c r="C352" s="838" t="s">
        <v>8145</v>
      </c>
      <c r="D352" s="35" t="s">
        <v>3477</v>
      </c>
      <c r="E352" s="41">
        <f>'canal and allied works'!G450</f>
        <v>198.8</v>
      </c>
      <c r="F352" s="41"/>
    </row>
    <row r="353" spans="1:6">
      <c r="A353" s="829"/>
      <c r="B353" s="35"/>
      <c r="C353" s="833" t="s">
        <v>9673</v>
      </c>
      <c r="D353" s="35" t="s">
        <v>3477</v>
      </c>
      <c r="E353" s="41"/>
      <c r="F353" s="41">
        <f>'canal and allied works'!E441</f>
        <v>70.2</v>
      </c>
    </row>
    <row r="354" spans="1:6">
      <c r="A354" s="829"/>
      <c r="B354" s="35"/>
      <c r="C354" s="833"/>
      <c r="D354" s="39"/>
      <c r="E354" s="35"/>
      <c r="F354" s="35"/>
    </row>
    <row r="355" spans="1:6" ht="216">
      <c r="A355" s="829" t="s">
        <v>2031</v>
      </c>
      <c r="B355" s="35">
        <v>103</v>
      </c>
      <c r="C355" s="838" t="s">
        <v>8146</v>
      </c>
      <c r="D355" s="35" t="s">
        <v>3477</v>
      </c>
      <c r="E355" s="41">
        <f>'canal and allied works'!G648</f>
        <v>488.5</v>
      </c>
      <c r="F355" s="41"/>
    </row>
    <row r="356" spans="1:6">
      <c r="A356" s="829"/>
      <c r="B356" s="35"/>
      <c r="C356" s="833" t="s">
        <v>9673</v>
      </c>
      <c r="D356" s="35" t="s">
        <v>3477</v>
      </c>
      <c r="E356" s="41"/>
      <c r="F356" s="41">
        <f>'canal and allied works'!E639</f>
        <v>150.19999999999999</v>
      </c>
    </row>
    <row r="357" spans="1:6">
      <c r="A357" s="829"/>
      <c r="B357" s="35"/>
      <c r="C357" s="833"/>
      <c r="D357" s="39"/>
      <c r="E357" s="35"/>
      <c r="F357" s="35"/>
    </row>
    <row r="358" spans="1:6" ht="252">
      <c r="A358" s="829" t="s">
        <v>2032</v>
      </c>
      <c r="B358" s="35">
        <v>104</v>
      </c>
      <c r="C358" s="838" t="s">
        <v>8147</v>
      </c>
      <c r="D358" s="35" t="s">
        <v>3477</v>
      </c>
      <c r="E358" s="41">
        <f>'canal and allied works'!G888</f>
        <v>605.20000000000005</v>
      </c>
      <c r="F358" s="41"/>
    </row>
    <row r="359" spans="1:6">
      <c r="A359" s="829"/>
      <c r="B359" s="35"/>
      <c r="C359" s="833" t="s">
        <v>9673</v>
      </c>
      <c r="D359" s="35" t="s">
        <v>3477</v>
      </c>
      <c r="E359" s="41"/>
      <c r="F359" s="41">
        <f>'canal and allied works'!E877</f>
        <v>148.5</v>
      </c>
    </row>
    <row r="360" spans="1:6">
      <c r="A360" s="829"/>
      <c r="B360" s="35"/>
      <c r="C360" s="833"/>
      <c r="D360" s="39"/>
      <c r="E360" s="35"/>
      <c r="F360" s="35"/>
    </row>
    <row r="361" spans="1:6" ht="324">
      <c r="A361" s="829" t="s">
        <v>2033</v>
      </c>
      <c r="B361" s="35">
        <v>105</v>
      </c>
      <c r="C361" s="838" t="s">
        <v>8148</v>
      </c>
      <c r="D361" s="35" t="s">
        <v>3477</v>
      </c>
      <c r="E361" s="41">
        <f>'canal and allied works'!G1024</f>
        <v>1080.9000000000001</v>
      </c>
      <c r="F361" s="41"/>
    </row>
    <row r="362" spans="1:6">
      <c r="A362" s="829"/>
      <c r="B362" s="35"/>
      <c r="C362" s="833" t="s">
        <v>9673</v>
      </c>
      <c r="D362" s="35" t="s">
        <v>3477</v>
      </c>
      <c r="E362" s="41"/>
      <c r="F362" s="41">
        <f>'canal and allied works'!E1013</f>
        <v>395.8</v>
      </c>
    </row>
    <row r="363" spans="1:6">
      <c r="A363" s="829"/>
      <c r="B363" s="35"/>
      <c r="C363" s="833"/>
      <c r="D363" s="39"/>
      <c r="E363" s="35"/>
      <c r="F363" s="35"/>
    </row>
    <row r="364" spans="1:6" ht="216">
      <c r="A364" s="829" t="s">
        <v>2034</v>
      </c>
      <c r="B364" s="35">
        <v>106</v>
      </c>
      <c r="C364" s="838" t="s">
        <v>8149</v>
      </c>
      <c r="D364" s="35" t="s">
        <v>3477</v>
      </c>
      <c r="E364" s="41">
        <f>'canal and allied works'!G1242</f>
        <v>299.39999999999998</v>
      </c>
      <c r="F364" s="41"/>
    </row>
    <row r="365" spans="1:6">
      <c r="A365" s="829"/>
      <c r="B365" s="35"/>
      <c r="C365" s="833" t="s">
        <v>9673</v>
      </c>
      <c r="D365" s="35" t="s">
        <v>3477</v>
      </c>
      <c r="E365" s="41"/>
      <c r="F365" s="41">
        <f>'canal and allied works'!E1233</f>
        <v>47.4</v>
      </c>
    </row>
    <row r="366" spans="1:6">
      <c r="A366" s="829"/>
      <c r="B366" s="35"/>
      <c r="C366" s="833"/>
      <c r="D366" s="39"/>
      <c r="E366" s="35"/>
      <c r="F366" s="35"/>
    </row>
    <row r="367" spans="1:6" ht="252">
      <c r="A367" s="829" t="s">
        <v>2035</v>
      </c>
      <c r="B367" s="35">
        <v>107</v>
      </c>
      <c r="C367" s="838" t="s">
        <v>8150</v>
      </c>
      <c r="D367" s="35" t="s">
        <v>3477</v>
      </c>
      <c r="E367" s="41">
        <f>'canal and allied works'!G1501</f>
        <v>449.1</v>
      </c>
      <c r="F367" s="41"/>
    </row>
    <row r="368" spans="1:6">
      <c r="A368" s="829"/>
      <c r="B368" s="35"/>
      <c r="C368" s="833" t="s">
        <v>9673</v>
      </c>
      <c r="D368" s="35" t="s">
        <v>3477</v>
      </c>
      <c r="E368" s="41"/>
      <c r="F368" s="41">
        <f>'canal and allied works'!E1490</f>
        <v>54.2</v>
      </c>
    </row>
    <row r="369" spans="1:6">
      <c r="A369" s="829"/>
      <c r="B369" s="35"/>
      <c r="C369" s="833"/>
      <c r="D369" s="39"/>
      <c r="E369" s="35"/>
      <c r="F369" s="35"/>
    </row>
    <row r="370" spans="1:6" ht="324">
      <c r="A370" s="829" t="s">
        <v>2036</v>
      </c>
      <c r="B370" s="35">
        <v>108</v>
      </c>
      <c r="C370" s="838" t="s">
        <v>8151</v>
      </c>
      <c r="D370" s="35" t="s">
        <v>3477</v>
      </c>
      <c r="E370" s="41">
        <f>'canal and allied works'!G1674</f>
        <v>734.3</v>
      </c>
      <c r="F370" s="41"/>
    </row>
    <row r="371" spans="1:6">
      <c r="A371" s="829"/>
      <c r="B371" s="35"/>
      <c r="C371" s="833" t="s">
        <v>9673</v>
      </c>
      <c r="D371" s="35" t="s">
        <v>3477</v>
      </c>
      <c r="E371" s="41"/>
      <c r="F371" s="41">
        <f>'canal and allied works'!E1663</f>
        <v>122</v>
      </c>
    </row>
    <row r="372" spans="1:6">
      <c r="A372" s="829"/>
      <c r="B372" s="35"/>
      <c r="C372" s="833"/>
      <c r="D372" s="39"/>
      <c r="E372" s="35"/>
      <c r="F372" s="35"/>
    </row>
    <row r="373" spans="1:6">
      <c r="A373" s="829" t="s">
        <v>7431</v>
      </c>
      <c r="B373" s="35"/>
      <c r="C373" s="837" t="s">
        <v>1635</v>
      </c>
      <c r="D373" s="39"/>
      <c r="E373" s="35"/>
      <c r="F373" s="35"/>
    </row>
    <row r="374" spans="1:6">
      <c r="A374" s="829"/>
      <c r="B374" s="35"/>
      <c r="C374" s="833"/>
      <c r="D374" s="39"/>
      <c r="E374" s="35"/>
      <c r="F374" s="35"/>
    </row>
    <row r="375" spans="1:6" ht="144">
      <c r="A375" s="829" t="s">
        <v>7432</v>
      </c>
      <c r="B375" s="35">
        <v>109</v>
      </c>
      <c r="C375" s="838" t="s">
        <v>9265</v>
      </c>
      <c r="D375" s="35" t="s">
        <v>3477</v>
      </c>
      <c r="E375" s="41">
        <f>'canal and allied works'!G1793</f>
        <v>197.7</v>
      </c>
      <c r="F375" s="41"/>
    </row>
    <row r="376" spans="1:6">
      <c r="A376" s="829"/>
      <c r="B376" s="35"/>
      <c r="C376" s="833" t="s">
        <v>9673</v>
      </c>
      <c r="D376" s="35" t="s">
        <v>3477</v>
      </c>
      <c r="E376" s="41"/>
      <c r="F376" s="41">
        <f>'canal and allied works'!E1784</f>
        <v>35.700000000000003</v>
      </c>
    </row>
    <row r="377" spans="1:6">
      <c r="A377" s="829"/>
      <c r="B377" s="35"/>
      <c r="C377" s="833"/>
      <c r="D377" s="39"/>
      <c r="E377" s="35"/>
      <c r="F377" s="35"/>
    </row>
    <row r="378" spans="1:6" ht="144">
      <c r="A378" s="829" t="s">
        <v>7433</v>
      </c>
      <c r="B378" s="35">
        <v>110</v>
      </c>
      <c r="C378" s="844" t="s">
        <v>9266</v>
      </c>
      <c r="D378" s="35" t="s">
        <v>3477</v>
      </c>
      <c r="E378" s="41">
        <f>'canal and allied works'!G1879</f>
        <v>191</v>
      </c>
      <c r="F378" s="41"/>
    </row>
    <row r="379" spans="1:6">
      <c r="A379" s="829"/>
      <c r="B379" s="35"/>
      <c r="C379" s="833" t="s">
        <v>9673</v>
      </c>
      <c r="D379" s="35" t="s">
        <v>3477</v>
      </c>
      <c r="E379" s="41"/>
      <c r="F379" s="41">
        <f>'canal and allied works'!F1870</f>
        <v>35</v>
      </c>
    </row>
    <row r="380" spans="1:6">
      <c r="A380" s="829"/>
      <c r="B380" s="35"/>
      <c r="C380" s="833"/>
      <c r="D380" s="39"/>
      <c r="E380" s="35"/>
      <c r="F380" s="35"/>
    </row>
    <row r="381" spans="1:6" ht="144">
      <c r="A381" s="829" t="s">
        <v>7434</v>
      </c>
      <c r="B381" s="35">
        <v>111</v>
      </c>
      <c r="C381" s="838" t="s">
        <v>9267</v>
      </c>
      <c r="D381" s="35" t="s">
        <v>3477</v>
      </c>
      <c r="E381" s="41">
        <f>'canal and allied works'!G1998</f>
        <v>197.5</v>
      </c>
      <c r="F381" s="41"/>
    </row>
    <row r="382" spans="1:6">
      <c r="A382" s="829"/>
      <c r="B382" s="35"/>
      <c r="C382" s="833" t="s">
        <v>9673</v>
      </c>
      <c r="D382" s="35" t="s">
        <v>3477</v>
      </c>
      <c r="E382" s="41"/>
      <c r="F382" s="41">
        <f>'canal and allied works'!F1989</f>
        <v>35.700000000000003</v>
      </c>
    </row>
    <row r="383" spans="1:6">
      <c r="A383" s="829"/>
      <c r="B383" s="35"/>
      <c r="C383" s="833"/>
      <c r="D383" s="39"/>
      <c r="E383" s="35"/>
      <c r="F383" s="35"/>
    </row>
    <row r="384" spans="1:6" ht="144">
      <c r="A384" s="829" t="s">
        <v>7435</v>
      </c>
      <c r="B384" s="35">
        <v>112</v>
      </c>
      <c r="C384" s="838" t="s">
        <v>9268</v>
      </c>
      <c r="D384" s="35" t="s">
        <v>3477</v>
      </c>
      <c r="E384" s="41">
        <f>'canal and allied works'!G2083</f>
        <v>193.5</v>
      </c>
      <c r="F384" s="41"/>
    </row>
    <row r="385" spans="1:6">
      <c r="A385" s="829"/>
      <c r="B385" s="35"/>
      <c r="C385" s="833" t="s">
        <v>9673</v>
      </c>
      <c r="D385" s="35" t="s">
        <v>3477</v>
      </c>
      <c r="E385" s="41"/>
      <c r="F385" s="41">
        <f>'canal and allied works'!E2074</f>
        <v>37.5</v>
      </c>
    </row>
    <row r="386" spans="1:6">
      <c r="A386" s="829"/>
      <c r="B386" s="35"/>
      <c r="C386" s="833"/>
      <c r="D386" s="39"/>
      <c r="E386" s="35"/>
      <c r="F386" s="35"/>
    </row>
    <row r="387" spans="1:6" ht="144">
      <c r="A387" s="829" t="s">
        <v>7436</v>
      </c>
      <c r="B387" s="35">
        <v>113</v>
      </c>
      <c r="C387" s="838" t="s">
        <v>9269</v>
      </c>
      <c r="D387" s="35" t="s">
        <v>3477</v>
      </c>
      <c r="E387" s="41">
        <f>'canal and allied works'!G2183</f>
        <v>179.9</v>
      </c>
      <c r="F387" s="41"/>
    </row>
    <row r="388" spans="1:6">
      <c r="A388" s="829"/>
      <c r="B388" s="35"/>
      <c r="C388" s="833" t="s">
        <v>9673</v>
      </c>
      <c r="D388" s="35" t="s">
        <v>3477</v>
      </c>
      <c r="E388" s="41"/>
      <c r="F388" s="41">
        <f>'canal and allied works'!E2174</f>
        <v>32.4</v>
      </c>
    </row>
    <row r="389" spans="1:6">
      <c r="A389" s="829"/>
      <c r="B389" s="35"/>
      <c r="C389" s="833"/>
      <c r="D389" s="39"/>
      <c r="E389" s="35"/>
      <c r="F389" s="35"/>
    </row>
    <row r="390" spans="1:6" ht="144">
      <c r="A390" s="829" t="s">
        <v>7437</v>
      </c>
      <c r="B390" s="35">
        <v>114</v>
      </c>
      <c r="C390" s="838" t="s">
        <v>9270</v>
      </c>
      <c r="D390" s="35" t="s">
        <v>3477</v>
      </c>
      <c r="E390" s="41">
        <f>'canal and allied works'!G2301</f>
        <v>170.6</v>
      </c>
      <c r="F390" s="41"/>
    </row>
    <row r="391" spans="1:6">
      <c r="A391" s="829"/>
      <c r="B391" s="35"/>
      <c r="C391" s="833" t="s">
        <v>9673</v>
      </c>
      <c r="D391" s="35" t="s">
        <v>3477</v>
      </c>
      <c r="E391" s="41"/>
      <c r="F391" s="41">
        <f>'canal and allied works'!E2292</f>
        <v>29.4</v>
      </c>
    </row>
    <row r="392" spans="1:6">
      <c r="A392" s="829"/>
      <c r="B392" s="35"/>
      <c r="C392" s="833"/>
      <c r="D392" s="39"/>
      <c r="E392" s="35"/>
      <c r="F392" s="35"/>
    </row>
    <row r="393" spans="1:6" ht="144">
      <c r="A393" s="829" t="s">
        <v>7438</v>
      </c>
      <c r="B393" s="35">
        <v>115</v>
      </c>
      <c r="C393" s="838" t="s">
        <v>9271</v>
      </c>
      <c r="D393" s="35" t="s">
        <v>3477</v>
      </c>
      <c r="E393" s="41">
        <f>'canal and allied works'!G2386</f>
        <v>164.7</v>
      </c>
      <c r="F393" s="41"/>
    </row>
    <row r="394" spans="1:6">
      <c r="A394" s="829"/>
      <c r="B394" s="35"/>
      <c r="C394" s="833" t="s">
        <v>9673</v>
      </c>
      <c r="D394" s="35" t="s">
        <v>3477</v>
      </c>
      <c r="E394" s="41"/>
      <c r="F394" s="41">
        <f>'canal and allied works'!E2377</f>
        <v>28.7</v>
      </c>
    </row>
    <row r="395" spans="1:6">
      <c r="A395" s="829"/>
      <c r="B395" s="35"/>
      <c r="C395" s="833"/>
      <c r="D395" s="39"/>
      <c r="E395" s="35"/>
      <c r="F395" s="35"/>
    </row>
    <row r="396" spans="1:6" ht="144">
      <c r="A396" s="829" t="s">
        <v>5529</v>
      </c>
      <c r="B396" s="35">
        <v>116</v>
      </c>
      <c r="C396" s="838" t="s">
        <v>9272</v>
      </c>
      <c r="D396" s="35" t="s">
        <v>3477</v>
      </c>
      <c r="E396" s="41">
        <f>'canal and allied works'!G2463</f>
        <v>154.69999999999999</v>
      </c>
      <c r="F396" s="41"/>
    </row>
    <row r="397" spans="1:6">
      <c r="A397" s="829"/>
      <c r="B397" s="35"/>
      <c r="C397" s="833" t="s">
        <v>9673</v>
      </c>
      <c r="D397" s="35" t="s">
        <v>3477</v>
      </c>
      <c r="E397" s="41"/>
      <c r="F397" s="41">
        <f>'canal and allied works'!E2454</f>
        <v>26.5</v>
      </c>
    </row>
    <row r="398" spans="1:6">
      <c r="A398" s="829"/>
      <c r="B398" s="35"/>
      <c r="C398" s="833"/>
      <c r="D398" s="39"/>
      <c r="E398" s="35"/>
      <c r="F398" s="35"/>
    </row>
    <row r="399" spans="1:6">
      <c r="A399" s="829" t="s">
        <v>7439</v>
      </c>
      <c r="B399" s="35"/>
      <c r="C399" s="837" t="s">
        <v>1371</v>
      </c>
      <c r="D399" s="39"/>
      <c r="E399" s="35"/>
      <c r="F399" s="35"/>
    </row>
    <row r="400" spans="1:6">
      <c r="A400" s="829"/>
      <c r="B400" s="35"/>
      <c r="C400" s="833"/>
      <c r="D400" s="39"/>
      <c r="E400" s="35"/>
      <c r="F400" s="35"/>
    </row>
    <row r="401" spans="1:6" ht="144">
      <c r="A401" s="829" t="s">
        <v>7440</v>
      </c>
      <c r="B401" s="35">
        <v>117</v>
      </c>
      <c r="C401" s="838" t="s">
        <v>9273</v>
      </c>
      <c r="D401" s="35" t="s">
        <v>3477</v>
      </c>
      <c r="E401" s="41">
        <f>'canal and allied works'!G2584</f>
        <v>149.9</v>
      </c>
      <c r="F401" s="41"/>
    </row>
    <row r="402" spans="1:6">
      <c r="A402" s="829"/>
      <c r="B402" s="35"/>
      <c r="C402" s="833" t="s">
        <v>9673</v>
      </c>
      <c r="D402" s="35" t="s">
        <v>3477</v>
      </c>
      <c r="E402" s="41"/>
      <c r="F402" s="41">
        <f>'canal and allied works'!E2575</f>
        <v>27.3</v>
      </c>
    </row>
    <row r="403" spans="1:6">
      <c r="A403" s="829"/>
      <c r="B403" s="35"/>
      <c r="C403" s="833"/>
      <c r="D403" s="39"/>
      <c r="E403" s="35"/>
      <c r="F403" s="35"/>
    </row>
    <row r="404" spans="1:6" ht="144">
      <c r="A404" s="829" t="s">
        <v>7441</v>
      </c>
      <c r="B404" s="35">
        <v>118</v>
      </c>
      <c r="C404" s="838" t="s">
        <v>9274</v>
      </c>
      <c r="D404" s="35" t="s">
        <v>3477</v>
      </c>
      <c r="E404" s="41">
        <f>'canal and allied works'!G2669</f>
        <v>144.69999999999999</v>
      </c>
      <c r="F404" s="41"/>
    </row>
    <row r="405" spans="1:6">
      <c r="A405" s="829"/>
      <c r="B405" s="35"/>
      <c r="C405" s="833" t="s">
        <v>9673</v>
      </c>
      <c r="D405" s="35" t="s">
        <v>3477</v>
      </c>
      <c r="E405" s="41"/>
      <c r="F405" s="41">
        <f>'canal and allied works'!E2660</f>
        <v>26.8</v>
      </c>
    </row>
    <row r="406" spans="1:6">
      <c r="A406" s="829"/>
      <c r="B406" s="35"/>
      <c r="C406" s="833"/>
      <c r="D406" s="39"/>
      <c r="E406" s="35"/>
      <c r="F406" s="35"/>
    </row>
    <row r="407" spans="1:6" ht="144">
      <c r="A407" s="829" t="s">
        <v>7442</v>
      </c>
      <c r="B407" s="35">
        <v>119</v>
      </c>
      <c r="C407" s="838" t="s">
        <v>9275</v>
      </c>
      <c r="D407" s="35" t="s">
        <v>3477</v>
      </c>
      <c r="E407" s="41">
        <f>'canal and allied works'!G2791</f>
        <v>145.69999999999999</v>
      </c>
      <c r="F407" s="41"/>
    </row>
    <row r="408" spans="1:6">
      <c r="A408" s="829"/>
      <c r="B408" s="35"/>
      <c r="C408" s="833" t="s">
        <v>9673</v>
      </c>
      <c r="D408" s="35" t="s">
        <v>3477</v>
      </c>
      <c r="E408" s="41"/>
      <c r="F408" s="41">
        <f>'canal and allied works'!E2782</f>
        <v>26.5</v>
      </c>
    </row>
    <row r="409" spans="1:6">
      <c r="A409" s="829"/>
      <c r="B409" s="35"/>
      <c r="C409" s="833"/>
      <c r="D409" s="39"/>
      <c r="E409" s="35"/>
      <c r="F409" s="35"/>
    </row>
    <row r="410" spans="1:6" ht="144">
      <c r="A410" s="829" t="s">
        <v>7443</v>
      </c>
      <c r="B410" s="35">
        <v>120</v>
      </c>
      <c r="C410" s="838" t="s">
        <v>9276</v>
      </c>
      <c r="D410" s="35" t="s">
        <v>3477</v>
      </c>
      <c r="E410" s="41">
        <f>'canal and allied works'!G2877</f>
        <v>140.30000000000001</v>
      </c>
      <c r="F410" s="41"/>
    </row>
    <row r="411" spans="1:6">
      <c r="A411" s="829"/>
      <c r="B411" s="35"/>
      <c r="C411" s="833" t="s">
        <v>9673</v>
      </c>
      <c r="D411" s="35" t="s">
        <v>3477</v>
      </c>
      <c r="E411" s="41"/>
      <c r="F411" s="41">
        <f>'canal and allied works'!F2868</f>
        <v>25.9</v>
      </c>
    </row>
    <row r="412" spans="1:6">
      <c r="A412" s="829"/>
      <c r="B412" s="35"/>
      <c r="C412" s="833"/>
      <c r="D412" s="39"/>
      <c r="E412" s="35"/>
      <c r="F412" s="35"/>
    </row>
    <row r="413" spans="1:6" ht="144">
      <c r="A413" s="829" t="s">
        <v>7444</v>
      </c>
      <c r="B413" s="35">
        <v>121</v>
      </c>
      <c r="C413" s="838" t="s">
        <v>9277</v>
      </c>
      <c r="D413" s="35" t="s">
        <v>3477</v>
      </c>
      <c r="E413" s="41">
        <f>'canal and allied works'!G2973</f>
        <v>131.4</v>
      </c>
      <c r="F413" s="41"/>
    </row>
    <row r="414" spans="1:6">
      <c r="A414" s="829"/>
      <c r="B414" s="35"/>
      <c r="C414" s="833" t="s">
        <v>9673</v>
      </c>
      <c r="D414" s="35" t="s">
        <v>3477</v>
      </c>
      <c r="E414" s="41"/>
      <c r="F414" s="41">
        <f>'canal and allied works'!E2964</f>
        <v>23.9</v>
      </c>
    </row>
    <row r="415" spans="1:6">
      <c r="A415" s="829"/>
      <c r="B415" s="35"/>
      <c r="C415" s="833"/>
      <c r="D415" s="39"/>
      <c r="E415" s="35"/>
      <c r="F415" s="35"/>
    </row>
    <row r="416" spans="1:6">
      <c r="A416" s="829" t="s">
        <v>7445</v>
      </c>
      <c r="B416" s="35"/>
      <c r="C416" s="837" t="s">
        <v>1747</v>
      </c>
      <c r="D416" s="39"/>
      <c r="E416" s="35"/>
      <c r="F416" s="35"/>
    </row>
    <row r="417" spans="1:6">
      <c r="A417" s="829"/>
      <c r="B417" s="35"/>
      <c r="C417" s="833"/>
      <c r="D417" s="39"/>
      <c r="E417" s="35"/>
      <c r="F417" s="35"/>
    </row>
    <row r="418" spans="1:6" ht="144">
      <c r="A418" s="829" t="s">
        <v>7446</v>
      </c>
      <c r="B418" s="35">
        <v>122</v>
      </c>
      <c r="C418" s="838" t="s">
        <v>9278</v>
      </c>
      <c r="D418" s="35" t="s">
        <v>3477</v>
      </c>
      <c r="E418" s="41">
        <f>'canal and allied works'!G3058</f>
        <v>67</v>
      </c>
      <c r="F418" s="41"/>
    </row>
    <row r="419" spans="1:6">
      <c r="A419" s="829"/>
      <c r="B419" s="35"/>
      <c r="C419" s="833" t="s">
        <v>9673</v>
      </c>
      <c r="D419" s="35" t="s">
        <v>3477</v>
      </c>
      <c r="E419" s="41"/>
      <c r="F419" s="41">
        <f>'canal and allied works'!E3049</f>
        <v>11</v>
      </c>
    </row>
    <row r="420" spans="1:6">
      <c r="A420" s="829"/>
      <c r="B420" s="35"/>
      <c r="C420" s="833"/>
      <c r="D420" s="39"/>
      <c r="E420" s="35"/>
      <c r="F420" s="35"/>
    </row>
    <row r="421" spans="1:6" ht="144">
      <c r="A421" s="829" t="s">
        <v>7447</v>
      </c>
      <c r="B421" s="35">
        <v>123</v>
      </c>
      <c r="C421" s="838" t="s">
        <v>9279</v>
      </c>
      <c r="D421" s="35" t="s">
        <v>3477</v>
      </c>
      <c r="E421" s="41">
        <f>'canal and allied works'!G3136</f>
        <v>61.8</v>
      </c>
      <c r="F421" s="41"/>
    </row>
    <row r="422" spans="1:6">
      <c r="A422" s="829"/>
      <c r="B422" s="35"/>
      <c r="C422" s="833" t="s">
        <v>9673</v>
      </c>
      <c r="D422" s="35" t="s">
        <v>3477</v>
      </c>
      <c r="E422" s="41"/>
      <c r="F422" s="41">
        <f>'canal and allied works'!E3127</f>
        <v>11.2</v>
      </c>
    </row>
    <row r="423" spans="1:6">
      <c r="A423" s="829"/>
      <c r="B423" s="35"/>
      <c r="C423" s="833"/>
      <c r="D423" s="39"/>
      <c r="E423" s="35"/>
      <c r="F423" s="35"/>
    </row>
    <row r="424" spans="1:6" ht="144">
      <c r="A424" s="829" t="s">
        <v>7448</v>
      </c>
      <c r="B424" s="35">
        <v>124</v>
      </c>
      <c r="C424" s="838" t="s">
        <v>9280</v>
      </c>
      <c r="D424" s="35" t="s">
        <v>3477</v>
      </c>
      <c r="E424" s="41">
        <f>'canal and allied works'!G3220</f>
        <v>67</v>
      </c>
      <c r="F424" s="41"/>
    </row>
    <row r="425" spans="1:6">
      <c r="A425" s="829"/>
      <c r="B425" s="35"/>
      <c r="C425" s="838" t="s">
        <v>9673</v>
      </c>
      <c r="D425" s="35" t="s">
        <v>3477</v>
      </c>
      <c r="E425" s="41"/>
      <c r="F425" s="41">
        <f>'canal and allied works'!E3211</f>
        <v>11</v>
      </c>
    </row>
    <row r="426" spans="1:6">
      <c r="A426" s="829"/>
      <c r="B426" s="35"/>
      <c r="C426" s="838"/>
      <c r="D426" s="39"/>
      <c r="E426" s="35"/>
      <c r="F426" s="35"/>
    </row>
    <row r="427" spans="1:6" ht="144">
      <c r="A427" s="829" t="s">
        <v>7449</v>
      </c>
      <c r="B427" s="35">
        <v>125</v>
      </c>
      <c r="C427" s="838" t="s">
        <v>9281</v>
      </c>
      <c r="D427" s="35" t="s">
        <v>3477</v>
      </c>
      <c r="E427" s="41">
        <f>'canal and allied works'!G3298</f>
        <v>61.8</v>
      </c>
      <c r="F427" s="41"/>
    </row>
    <row r="428" spans="1:6">
      <c r="A428" s="829"/>
      <c r="B428" s="35"/>
      <c r="C428" s="833" t="s">
        <v>9673</v>
      </c>
      <c r="D428" s="35" t="s">
        <v>3477</v>
      </c>
      <c r="E428" s="41"/>
      <c r="F428" s="41">
        <f>'canal and allied works'!E3289</f>
        <v>11.2</v>
      </c>
    </row>
    <row r="429" spans="1:6">
      <c r="A429" s="829"/>
      <c r="B429" s="35"/>
      <c r="C429" s="833"/>
      <c r="D429" s="39"/>
      <c r="E429" s="35"/>
      <c r="F429" s="35"/>
    </row>
    <row r="430" spans="1:6" ht="144">
      <c r="A430" s="829" t="s">
        <v>7450</v>
      </c>
      <c r="B430" s="35">
        <v>126</v>
      </c>
      <c r="C430" s="838" t="s">
        <v>9282</v>
      </c>
      <c r="D430" s="35" t="s">
        <v>3477</v>
      </c>
      <c r="E430" s="41">
        <f>'canal and allied works'!G3369</f>
        <v>51.3</v>
      </c>
      <c r="F430" s="41"/>
    </row>
    <row r="431" spans="1:6">
      <c r="A431" s="829"/>
      <c r="B431" s="35"/>
      <c r="C431" s="833" t="s">
        <v>9673</v>
      </c>
      <c r="D431" s="35" t="s">
        <v>3477</v>
      </c>
      <c r="E431" s="41"/>
      <c r="F431" s="41">
        <f>'canal and allied works'!E3360</f>
        <v>8.1999999999999993</v>
      </c>
    </row>
    <row r="432" spans="1:6">
      <c r="A432" s="829"/>
      <c r="B432" s="35"/>
      <c r="C432" s="833"/>
      <c r="D432" s="39"/>
      <c r="E432" s="35"/>
      <c r="F432" s="35"/>
    </row>
    <row r="433" spans="1:6" ht="126">
      <c r="A433" s="829" t="s">
        <v>7451</v>
      </c>
      <c r="B433" s="35">
        <v>127</v>
      </c>
      <c r="C433" s="838" t="s">
        <v>8152</v>
      </c>
      <c r="D433" s="35" t="s">
        <v>3477</v>
      </c>
      <c r="E433" s="41">
        <f>'canal and allied works'!G3424</f>
        <v>313.39999999999998</v>
      </c>
      <c r="F433" s="41"/>
    </row>
    <row r="434" spans="1:6">
      <c r="A434" s="829"/>
      <c r="B434" s="35"/>
      <c r="C434" s="833" t="s">
        <v>9673</v>
      </c>
      <c r="D434" s="35" t="s">
        <v>3477</v>
      </c>
      <c r="E434" s="41"/>
      <c r="F434" s="41">
        <f>'canal and allied works'!E3415</f>
        <v>309.3</v>
      </c>
    </row>
    <row r="435" spans="1:6">
      <c r="A435" s="829"/>
      <c r="B435" s="35"/>
      <c r="C435" s="833"/>
      <c r="D435" s="39"/>
      <c r="E435" s="35"/>
      <c r="F435" s="35"/>
    </row>
    <row r="436" spans="1:6">
      <c r="A436" s="829" t="s">
        <v>7452</v>
      </c>
      <c r="B436" s="35"/>
      <c r="C436" s="837" t="s">
        <v>3596</v>
      </c>
      <c r="D436" s="39"/>
      <c r="E436" s="35"/>
      <c r="F436" s="35"/>
    </row>
    <row r="437" spans="1:6">
      <c r="A437" s="829"/>
      <c r="B437" s="35"/>
      <c r="C437" s="833"/>
      <c r="D437" s="39"/>
      <c r="E437" s="35"/>
      <c r="F437" s="35"/>
    </row>
    <row r="438" spans="1:6" ht="54">
      <c r="A438" s="829" t="s">
        <v>7453</v>
      </c>
      <c r="B438" s="35">
        <v>128</v>
      </c>
      <c r="C438" s="838" t="s">
        <v>8153</v>
      </c>
      <c r="D438" s="35" t="s">
        <v>3477</v>
      </c>
      <c r="E438" s="41">
        <f>'canal and allied works'!G3467</f>
        <v>563.5</v>
      </c>
      <c r="F438" s="41"/>
    </row>
    <row r="439" spans="1:6">
      <c r="A439" s="829"/>
      <c r="B439" s="35"/>
      <c r="C439" s="833" t="s">
        <v>9673</v>
      </c>
      <c r="D439" s="35" t="s">
        <v>3477</v>
      </c>
      <c r="E439" s="41"/>
      <c r="F439" s="41">
        <f>'canal and allied works'!E3458</f>
        <v>159.1</v>
      </c>
    </row>
    <row r="440" spans="1:6">
      <c r="A440" s="829"/>
      <c r="B440" s="35"/>
      <c r="C440" s="833"/>
      <c r="D440" s="39"/>
      <c r="E440" s="35"/>
      <c r="F440" s="35"/>
    </row>
    <row r="441" spans="1:6" ht="54">
      <c r="A441" s="829" t="s">
        <v>7454</v>
      </c>
      <c r="B441" s="35">
        <v>129</v>
      </c>
      <c r="C441" s="838" t="s">
        <v>8154</v>
      </c>
      <c r="D441" s="35" t="s">
        <v>3477</v>
      </c>
      <c r="E441" s="41">
        <f>'canal and allied works'!G3509</f>
        <v>595.29999999999995</v>
      </c>
      <c r="F441" s="41"/>
    </row>
    <row r="442" spans="1:6">
      <c r="A442" s="829"/>
      <c r="B442" s="35"/>
      <c r="C442" s="833" t="s">
        <v>9673</v>
      </c>
      <c r="D442" s="35" t="s">
        <v>3477</v>
      </c>
      <c r="E442" s="41"/>
      <c r="F442" s="41">
        <f>'canal and allied works'!E3500</f>
        <v>159.1</v>
      </c>
    </row>
    <row r="443" spans="1:6">
      <c r="A443" s="829"/>
      <c r="B443" s="35"/>
      <c r="C443" s="833"/>
      <c r="D443" s="39"/>
      <c r="E443" s="35"/>
      <c r="F443" s="35"/>
    </row>
    <row r="444" spans="1:6" ht="54">
      <c r="A444" s="829" t="s">
        <v>7455</v>
      </c>
      <c r="B444" s="35">
        <v>130</v>
      </c>
      <c r="C444" s="838" t="s">
        <v>8155</v>
      </c>
      <c r="D444" s="35" t="s">
        <v>3479</v>
      </c>
      <c r="E444" s="41">
        <f>'canal and allied works'!G3552</f>
        <v>46.9</v>
      </c>
      <c r="F444" s="41"/>
    </row>
    <row r="445" spans="1:6">
      <c r="A445" s="829"/>
      <c r="B445" s="35"/>
      <c r="C445" s="833" t="s">
        <v>9673</v>
      </c>
      <c r="D445" s="35" t="s">
        <v>3479</v>
      </c>
      <c r="E445" s="41"/>
      <c r="F445" s="41">
        <f>'canal and allied works'!E3543</f>
        <v>19.899999999999999</v>
      </c>
    </row>
    <row r="446" spans="1:6">
      <c r="A446" s="829"/>
      <c r="B446" s="35"/>
      <c r="C446" s="833"/>
      <c r="D446" s="35"/>
      <c r="E446" s="41"/>
      <c r="F446" s="41"/>
    </row>
    <row r="447" spans="1:6" ht="54">
      <c r="A447" s="829" t="s">
        <v>512</v>
      </c>
      <c r="B447" s="35">
        <v>131</v>
      </c>
      <c r="C447" s="838" t="s">
        <v>8156</v>
      </c>
      <c r="D447" s="35" t="s">
        <v>3477</v>
      </c>
      <c r="E447" s="41">
        <f>'canal and allied works'!G3594</f>
        <v>187.5</v>
      </c>
      <c r="F447" s="41"/>
    </row>
    <row r="448" spans="1:6">
      <c r="A448" s="829"/>
      <c r="B448" s="35"/>
      <c r="C448" s="833" t="s">
        <v>9673</v>
      </c>
      <c r="D448" s="35" t="s">
        <v>3477</v>
      </c>
      <c r="E448" s="41"/>
      <c r="F448" s="41">
        <f>'canal and allied works'!E3585</f>
        <v>79.5</v>
      </c>
    </row>
    <row r="449" spans="1:6">
      <c r="A449" s="829"/>
      <c r="B449" s="35"/>
      <c r="C449" s="833"/>
      <c r="D449" s="39"/>
      <c r="E449" s="35"/>
      <c r="F449" s="35"/>
    </row>
    <row r="450" spans="1:6" ht="72">
      <c r="A450" s="829" t="s">
        <v>7456</v>
      </c>
      <c r="B450" s="35">
        <v>132</v>
      </c>
      <c r="C450" s="838" t="s">
        <v>8157</v>
      </c>
      <c r="D450" s="35" t="s">
        <v>3477</v>
      </c>
      <c r="E450" s="41">
        <f>'canal and allied works'!G3656</f>
        <v>534.1</v>
      </c>
      <c r="F450" s="41"/>
    </row>
    <row r="451" spans="1:6">
      <c r="A451" s="829"/>
      <c r="B451" s="35"/>
      <c r="C451" s="833" t="s">
        <v>9673</v>
      </c>
      <c r="D451" s="35" t="s">
        <v>3477</v>
      </c>
      <c r="E451" s="41"/>
      <c r="F451" s="41">
        <f>'canal and allied works'!E3647</f>
        <v>112.5</v>
      </c>
    </row>
    <row r="452" spans="1:6">
      <c r="A452" s="829"/>
      <c r="B452" s="35"/>
      <c r="C452" s="833"/>
      <c r="D452" s="39"/>
      <c r="E452" s="35"/>
      <c r="F452" s="35"/>
    </row>
    <row r="453" spans="1:6" ht="90">
      <c r="A453" s="829" t="s">
        <v>7457</v>
      </c>
      <c r="B453" s="35">
        <v>133</v>
      </c>
      <c r="C453" s="838" t="s">
        <v>8158</v>
      </c>
      <c r="D453" s="35" t="s">
        <v>3477</v>
      </c>
      <c r="E453" s="41">
        <f>'canal and allied works'!G3719</f>
        <v>532.6</v>
      </c>
      <c r="F453" s="41"/>
    </row>
    <row r="454" spans="1:6">
      <c r="A454" s="829"/>
      <c r="B454" s="35"/>
      <c r="C454" s="833" t="s">
        <v>9673</v>
      </c>
      <c r="D454" s="35" t="s">
        <v>3477</v>
      </c>
      <c r="E454" s="41"/>
      <c r="F454" s="41">
        <f>'canal and allied works'!E3710</f>
        <v>148.30000000000001</v>
      </c>
    </row>
    <row r="455" spans="1:6">
      <c r="A455" s="829"/>
      <c r="B455" s="35"/>
      <c r="C455" s="833"/>
      <c r="D455" s="39"/>
      <c r="E455" s="35"/>
      <c r="F455" s="35"/>
    </row>
    <row r="456" spans="1:6" ht="72">
      <c r="A456" s="829" t="s">
        <v>7458</v>
      </c>
      <c r="B456" s="35">
        <v>134</v>
      </c>
      <c r="C456" s="838" t="s">
        <v>8159</v>
      </c>
      <c r="D456" s="35" t="s">
        <v>3483</v>
      </c>
      <c r="E456" s="41">
        <f>'canal and allied works'!G3759</f>
        <v>265.10000000000002</v>
      </c>
      <c r="F456" s="35"/>
    </row>
    <row r="457" spans="1:6">
      <c r="A457" s="829"/>
      <c r="B457" s="35"/>
      <c r="C457" s="833">
        <v>133</v>
      </c>
      <c r="D457" s="35" t="s">
        <v>3483</v>
      </c>
      <c r="E457" s="41"/>
      <c r="F457" s="41">
        <f>'canal and allied works'!E3750</f>
        <v>28.1</v>
      </c>
    </row>
    <row r="458" spans="1:6">
      <c r="A458" s="829"/>
      <c r="B458" s="35"/>
      <c r="C458" s="833"/>
      <c r="D458" s="39"/>
      <c r="E458" s="35"/>
      <c r="F458" s="35"/>
    </row>
    <row r="459" spans="1:6" ht="72">
      <c r="A459" s="829" t="s">
        <v>7459</v>
      </c>
      <c r="B459" s="35">
        <v>135</v>
      </c>
      <c r="C459" s="838" t="s">
        <v>8160</v>
      </c>
      <c r="D459" s="35" t="s">
        <v>142</v>
      </c>
      <c r="E459" s="41">
        <f>'canal and allied works'!G3815</f>
        <v>272.2</v>
      </c>
      <c r="F459" s="41"/>
    </row>
    <row r="460" spans="1:6">
      <c r="A460" s="829"/>
      <c r="B460" s="35"/>
      <c r="C460" s="833" t="s">
        <v>9673</v>
      </c>
      <c r="D460" s="35" t="s">
        <v>142</v>
      </c>
      <c r="E460" s="41"/>
      <c r="F460" s="41">
        <f>'canal and allied works'!E3806</f>
        <v>119.3</v>
      </c>
    </row>
    <row r="461" spans="1:6">
      <c r="A461" s="829"/>
      <c r="B461" s="35"/>
      <c r="C461" s="833"/>
      <c r="D461" s="39"/>
      <c r="E461" s="35"/>
      <c r="F461" s="35"/>
    </row>
    <row r="462" spans="1:6" ht="108">
      <c r="A462" s="829" t="s">
        <v>7460</v>
      </c>
      <c r="B462" s="35">
        <v>136</v>
      </c>
      <c r="C462" s="838" t="s">
        <v>8161</v>
      </c>
      <c r="D462" s="35" t="s">
        <v>3477</v>
      </c>
      <c r="E462" s="41">
        <f>'canal and allied works'!G3875</f>
        <v>732.8</v>
      </c>
      <c r="F462" s="41"/>
    </row>
    <row r="463" spans="1:6">
      <c r="A463" s="829"/>
      <c r="B463" s="35"/>
      <c r="C463" s="833" t="s">
        <v>9673</v>
      </c>
      <c r="D463" s="35" t="s">
        <v>3477</v>
      </c>
      <c r="E463" s="41"/>
      <c r="F463" s="41">
        <f>'canal and allied works'!E3866</f>
        <v>148.30000000000001</v>
      </c>
    </row>
    <row r="464" spans="1:6">
      <c r="A464" s="829"/>
      <c r="B464" s="35"/>
      <c r="C464" s="833"/>
      <c r="D464" s="39"/>
      <c r="E464" s="35"/>
      <c r="F464" s="35"/>
    </row>
    <row r="465" spans="1:6" ht="144">
      <c r="A465" s="829" t="s">
        <v>7461</v>
      </c>
      <c r="B465" s="35">
        <v>137</v>
      </c>
      <c r="C465" s="838" t="s">
        <v>8162</v>
      </c>
      <c r="D465" s="35" t="s">
        <v>3477</v>
      </c>
      <c r="E465" s="41">
        <f>'canal and allied works'!G3946</f>
        <v>1055.3</v>
      </c>
      <c r="F465" s="41"/>
    </row>
    <row r="466" spans="1:6">
      <c r="A466" s="829"/>
      <c r="B466" s="35"/>
      <c r="C466" s="833" t="s">
        <v>9673</v>
      </c>
      <c r="D466" s="35" t="s">
        <v>3477</v>
      </c>
      <c r="E466" s="41"/>
      <c r="F466" s="41">
        <f>'canal and allied works'!E3937</f>
        <v>138.5</v>
      </c>
    </row>
    <row r="467" spans="1:6">
      <c r="A467" s="829"/>
      <c r="B467" s="35"/>
      <c r="C467" s="833"/>
      <c r="D467" s="39"/>
      <c r="E467" s="35"/>
      <c r="F467" s="35"/>
    </row>
    <row r="468" spans="1:6" ht="126">
      <c r="A468" s="829" t="s">
        <v>2037</v>
      </c>
      <c r="B468" s="35">
        <v>138</v>
      </c>
      <c r="C468" s="839" t="s">
        <v>8163</v>
      </c>
      <c r="D468" s="35" t="s">
        <v>3479</v>
      </c>
      <c r="E468" s="41">
        <f>'canal and allied works'!G4008</f>
        <v>603</v>
      </c>
      <c r="F468" s="41"/>
    </row>
    <row r="469" spans="1:6">
      <c r="A469" s="829"/>
      <c r="B469" s="35"/>
      <c r="C469" s="833" t="s">
        <v>9673</v>
      </c>
      <c r="D469" s="35" t="s">
        <v>3479</v>
      </c>
      <c r="E469" s="41"/>
      <c r="F469" s="41">
        <f>'canal and allied works'!E3999</f>
        <v>32.9</v>
      </c>
    </row>
    <row r="470" spans="1:6">
      <c r="A470" s="829"/>
      <c r="B470" s="35"/>
      <c r="C470" s="833"/>
      <c r="D470" s="39"/>
      <c r="E470" s="35"/>
      <c r="F470" s="35"/>
    </row>
    <row r="471" spans="1:6" ht="126">
      <c r="A471" s="829" t="s">
        <v>2038</v>
      </c>
      <c r="B471" s="35">
        <v>139</v>
      </c>
      <c r="C471" s="839" t="s">
        <v>8164</v>
      </c>
      <c r="D471" s="35" t="s">
        <v>3479</v>
      </c>
      <c r="E471" s="41">
        <f>'canal and allied works'!G4056</f>
        <v>650.70000000000005</v>
      </c>
      <c r="F471" s="41"/>
    </row>
    <row r="472" spans="1:6">
      <c r="A472" s="829"/>
      <c r="B472" s="35"/>
      <c r="C472" s="838" t="s">
        <v>9673</v>
      </c>
      <c r="D472" s="35" t="s">
        <v>3479</v>
      </c>
      <c r="E472" s="41"/>
      <c r="F472" s="41">
        <f>'canal and allied works'!E4047</f>
        <v>32.9</v>
      </c>
    </row>
    <row r="473" spans="1:6">
      <c r="A473" s="829"/>
      <c r="B473" s="35"/>
      <c r="C473" s="838"/>
      <c r="D473" s="39"/>
      <c r="E473" s="35"/>
      <c r="F473" s="35"/>
    </row>
    <row r="474" spans="1:6">
      <c r="A474" s="829" t="s">
        <v>7464</v>
      </c>
      <c r="B474" s="35"/>
      <c r="C474" s="837" t="s">
        <v>1447</v>
      </c>
      <c r="D474" s="39"/>
      <c r="E474" s="35"/>
      <c r="F474" s="35"/>
    </row>
    <row r="475" spans="1:6">
      <c r="A475" s="829"/>
      <c r="B475" s="35"/>
      <c r="C475" s="833"/>
      <c r="D475" s="39"/>
      <c r="E475" s="35"/>
      <c r="F475" s="35"/>
    </row>
    <row r="476" spans="1:6" ht="90">
      <c r="A476" s="829" t="s">
        <v>7465</v>
      </c>
      <c r="B476" s="35">
        <v>140</v>
      </c>
      <c r="C476" s="838" t="s">
        <v>8165</v>
      </c>
      <c r="D476" s="35" t="s">
        <v>3477</v>
      </c>
      <c r="E476" s="41">
        <f>'canal and allied works'!G4105</f>
        <v>480</v>
      </c>
      <c r="F476" s="41"/>
    </row>
    <row r="477" spans="1:6">
      <c r="A477" s="829"/>
      <c r="B477" s="35"/>
      <c r="C477" s="834" t="s">
        <v>9673</v>
      </c>
      <c r="D477" s="35" t="s">
        <v>3477</v>
      </c>
      <c r="E477" s="41"/>
      <c r="F477" s="41">
        <f>'canal and allied works'!E4096</f>
        <v>59.1</v>
      </c>
    </row>
    <row r="478" spans="1:6">
      <c r="A478" s="829"/>
      <c r="B478" s="35"/>
      <c r="C478" s="834"/>
      <c r="D478" s="39"/>
      <c r="E478" s="35"/>
      <c r="F478" s="35"/>
    </row>
    <row r="479" spans="1:6" ht="144">
      <c r="A479" s="829" t="s">
        <v>7466</v>
      </c>
      <c r="B479" s="35">
        <v>141</v>
      </c>
      <c r="C479" s="839" t="s">
        <v>8166</v>
      </c>
      <c r="D479" s="35" t="s">
        <v>3477</v>
      </c>
      <c r="E479" s="41">
        <f>'canal and allied works'!G4157</f>
        <v>283.8</v>
      </c>
      <c r="F479" s="41"/>
    </row>
    <row r="480" spans="1:6">
      <c r="A480" s="829"/>
      <c r="B480" s="35"/>
      <c r="C480" s="833" t="s">
        <v>9673</v>
      </c>
      <c r="D480" s="35" t="s">
        <v>3477</v>
      </c>
      <c r="E480" s="41"/>
      <c r="F480" s="41">
        <f>'canal and allied works'!E4148</f>
        <v>76.099999999999994</v>
      </c>
    </row>
    <row r="481" spans="1:6">
      <c r="A481" s="829"/>
      <c r="B481" s="35"/>
      <c r="C481" s="833"/>
      <c r="D481" s="39"/>
      <c r="E481" s="35"/>
      <c r="F481" s="35"/>
    </row>
    <row r="482" spans="1:6">
      <c r="A482" s="829" t="s">
        <v>7467</v>
      </c>
      <c r="B482" s="35"/>
      <c r="C482" s="837" t="s">
        <v>899</v>
      </c>
      <c r="D482" s="39"/>
      <c r="E482" s="35"/>
      <c r="F482" s="35"/>
    </row>
    <row r="483" spans="1:6">
      <c r="A483" s="829"/>
      <c r="B483" s="35"/>
      <c r="C483" s="833"/>
      <c r="D483" s="39"/>
      <c r="E483" s="35"/>
      <c r="F483" s="35"/>
    </row>
    <row r="484" spans="1:6" ht="90">
      <c r="A484" s="829" t="s">
        <v>7468</v>
      </c>
      <c r="B484" s="35">
        <v>142</v>
      </c>
      <c r="C484" s="838" t="s">
        <v>8167</v>
      </c>
      <c r="D484" s="35" t="s">
        <v>3477</v>
      </c>
      <c r="E484" s="41">
        <f>'canal and allied works'!G4281</f>
        <v>216.8</v>
      </c>
      <c r="F484" s="41"/>
    </row>
    <row r="485" spans="1:6">
      <c r="A485" s="829"/>
      <c r="B485" s="35"/>
      <c r="C485" s="833" t="s">
        <v>9673</v>
      </c>
      <c r="D485" s="35" t="s">
        <v>3477</v>
      </c>
      <c r="E485" s="41"/>
      <c r="F485" s="41">
        <f>'canal and allied works'!E4272</f>
        <v>71</v>
      </c>
    </row>
    <row r="486" spans="1:6">
      <c r="A486" s="829"/>
      <c r="B486" s="35"/>
      <c r="C486" s="833"/>
      <c r="D486" s="39"/>
      <c r="E486" s="35"/>
      <c r="F486" s="35"/>
    </row>
    <row r="487" spans="1:6" ht="90">
      <c r="A487" s="829" t="s">
        <v>7469</v>
      </c>
      <c r="B487" s="35">
        <v>143</v>
      </c>
      <c r="C487" s="838" t="s">
        <v>8168</v>
      </c>
      <c r="D487" s="35" t="s">
        <v>3477</v>
      </c>
      <c r="E487" s="41">
        <f>'canal and allied works'!G4369</f>
        <v>211.9</v>
      </c>
      <c r="F487" s="41"/>
    </row>
    <row r="488" spans="1:6">
      <c r="A488" s="829"/>
      <c r="B488" s="35"/>
      <c r="C488" s="833" t="s">
        <v>9673</v>
      </c>
      <c r="D488" s="35" t="s">
        <v>3477</v>
      </c>
      <c r="E488" s="41"/>
      <c r="F488" s="41">
        <f>'canal and allied works'!E4360</f>
        <v>70.099999999999994</v>
      </c>
    </row>
    <row r="489" spans="1:6">
      <c r="A489" s="829"/>
      <c r="B489" s="35"/>
      <c r="C489" s="833"/>
      <c r="D489" s="39"/>
      <c r="E489" s="35"/>
      <c r="F489" s="35"/>
    </row>
    <row r="490" spans="1:6" ht="126">
      <c r="A490" s="829" t="s">
        <v>7470</v>
      </c>
      <c r="B490" s="35">
        <v>144</v>
      </c>
      <c r="C490" s="838" t="s">
        <v>8169</v>
      </c>
      <c r="D490" s="35" t="s">
        <v>3477</v>
      </c>
      <c r="E490" s="41">
        <f>'canal and allied works'!G4463</f>
        <v>110.1</v>
      </c>
      <c r="F490" s="41"/>
    </row>
    <row r="491" spans="1:6">
      <c r="A491" s="829"/>
      <c r="B491" s="35"/>
      <c r="C491" s="833" t="s">
        <v>9673</v>
      </c>
      <c r="D491" s="35" t="s">
        <v>3477</v>
      </c>
      <c r="E491" s="41"/>
      <c r="F491" s="41">
        <f>'canal and allied works'!E4454</f>
        <v>54.1</v>
      </c>
    </row>
    <row r="492" spans="1:6">
      <c r="A492" s="829"/>
      <c r="B492" s="35"/>
      <c r="C492" s="833"/>
      <c r="D492" s="39"/>
      <c r="E492" s="35"/>
      <c r="F492" s="35"/>
    </row>
    <row r="493" spans="1:6" ht="72">
      <c r="A493" s="829" t="s">
        <v>7471</v>
      </c>
      <c r="B493" s="35">
        <v>145</v>
      </c>
      <c r="C493" s="838" t="s">
        <v>8170</v>
      </c>
      <c r="D493" s="35" t="s">
        <v>3481</v>
      </c>
      <c r="E493" s="41">
        <f>'canal and allied works'!G4507</f>
        <v>98.6</v>
      </c>
      <c r="F493" s="41"/>
    </row>
    <row r="494" spans="1:6">
      <c r="A494" s="829"/>
      <c r="B494" s="35"/>
      <c r="C494" s="833" t="s">
        <v>9673</v>
      </c>
      <c r="D494" s="35" t="s">
        <v>3481</v>
      </c>
      <c r="E494" s="41"/>
      <c r="F494" s="41">
        <f>'canal and allied works'!E4498</f>
        <v>72.5</v>
      </c>
    </row>
    <row r="495" spans="1:6">
      <c r="A495" s="829"/>
      <c r="B495" s="35"/>
      <c r="C495" s="833"/>
      <c r="D495" s="39"/>
      <c r="E495" s="35"/>
      <c r="F495" s="35"/>
    </row>
    <row r="496" spans="1:6" ht="108">
      <c r="A496" s="829" t="s">
        <v>7472</v>
      </c>
      <c r="B496" s="35">
        <v>146</v>
      </c>
      <c r="C496" s="838" t="s">
        <v>8171</v>
      </c>
      <c r="D496" s="35" t="s">
        <v>3478</v>
      </c>
      <c r="E496" s="41">
        <f>'canal and allied works'!G4556</f>
        <v>49.6</v>
      </c>
      <c r="F496" s="41"/>
    </row>
    <row r="497" spans="1:6">
      <c r="A497" s="829"/>
      <c r="B497" s="35"/>
      <c r="C497" s="838" t="s">
        <v>9673</v>
      </c>
      <c r="D497" s="35" t="s">
        <v>3478</v>
      </c>
      <c r="E497" s="41"/>
      <c r="F497" s="41">
        <f>'canal and allied works'!E4547</f>
        <v>8.1999999999999993</v>
      </c>
    </row>
    <row r="498" spans="1:6">
      <c r="A498" s="829"/>
      <c r="B498" s="35"/>
      <c r="C498" s="838"/>
      <c r="D498" s="39"/>
      <c r="E498" s="35"/>
      <c r="F498" s="35"/>
    </row>
    <row r="499" spans="1:6" ht="216">
      <c r="A499" s="829" t="s">
        <v>7473</v>
      </c>
      <c r="B499" s="35">
        <v>147</v>
      </c>
      <c r="C499" s="838" t="s">
        <v>8172</v>
      </c>
      <c r="D499" s="35" t="s">
        <v>3479</v>
      </c>
      <c r="E499" s="41">
        <f>'canal and allied works'!G4689</f>
        <v>409.9</v>
      </c>
      <c r="F499" s="35"/>
    </row>
    <row r="500" spans="1:6">
      <c r="A500" s="829"/>
      <c r="B500" s="35"/>
      <c r="C500" s="833" t="s">
        <v>9673</v>
      </c>
      <c r="D500" s="35" t="s">
        <v>3479</v>
      </c>
      <c r="E500" s="41"/>
      <c r="F500" s="41">
        <f>'canal and allied works'!E4673</f>
        <v>32.200000000000003</v>
      </c>
    </row>
    <row r="501" spans="1:6">
      <c r="A501" s="829"/>
      <c r="B501" s="35"/>
      <c r="C501" s="833"/>
      <c r="D501" s="39"/>
      <c r="E501" s="35"/>
      <c r="F501" s="35"/>
    </row>
    <row r="502" spans="1:6" ht="216">
      <c r="A502" s="829" t="s">
        <v>7474</v>
      </c>
      <c r="B502" s="35">
        <v>148</v>
      </c>
      <c r="C502" s="838" t="s">
        <v>8173</v>
      </c>
      <c r="D502" s="35" t="s">
        <v>3479</v>
      </c>
      <c r="E502" s="41">
        <f>'canal and allied works'!G4823</f>
        <v>426.9</v>
      </c>
      <c r="F502" s="35"/>
    </row>
    <row r="503" spans="1:6">
      <c r="A503" s="829"/>
      <c r="B503" s="35"/>
      <c r="C503" s="833" t="s">
        <v>9673</v>
      </c>
      <c r="D503" s="35" t="s">
        <v>3479</v>
      </c>
      <c r="E503" s="41"/>
      <c r="F503" s="41">
        <f>'canal and allied works'!E4807</f>
        <v>32.200000000000003</v>
      </c>
    </row>
    <row r="504" spans="1:6">
      <c r="A504" s="829"/>
      <c r="B504" s="35"/>
      <c r="C504" s="833"/>
      <c r="D504" s="39"/>
      <c r="E504" s="35"/>
      <c r="F504" s="35"/>
    </row>
    <row r="505" spans="1:6" ht="216">
      <c r="A505" s="829" t="s">
        <v>7475</v>
      </c>
      <c r="B505" s="35">
        <v>149</v>
      </c>
      <c r="C505" s="838" t="s">
        <v>8174</v>
      </c>
      <c r="D505" s="35" t="s">
        <v>3479</v>
      </c>
      <c r="E505" s="41">
        <f>'canal and allied works'!G4951</f>
        <v>516.70000000000005</v>
      </c>
      <c r="F505" s="35"/>
    </row>
    <row r="506" spans="1:6">
      <c r="A506" s="829"/>
      <c r="B506" s="35"/>
      <c r="C506" s="833" t="s">
        <v>9673</v>
      </c>
      <c r="D506" s="35" t="s">
        <v>3479</v>
      </c>
      <c r="E506" s="41"/>
      <c r="F506" s="41">
        <f>'canal and allied works'!E4935</f>
        <v>37.4</v>
      </c>
    </row>
    <row r="507" spans="1:6">
      <c r="A507" s="829"/>
      <c r="B507" s="35"/>
      <c r="C507" s="833"/>
      <c r="D507" s="39"/>
      <c r="E507" s="35"/>
      <c r="F507" s="35"/>
    </row>
    <row r="508" spans="1:6" ht="162">
      <c r="A508" s="829" t="s">
        <v>7476</v>
      </c>
      <c r="B508" s="35">
        <v>150</v>
      </c>
      <c r="C508" s="839" t="s">
        <v>8175</v>
      </c>
      <c r="D508" s="35" t="s">
        <v>2226</v>
      </c>
      <c r="E508" s="41">
        <f>'canal and allied works'!G5006</f>
        <v>9431.2999999999993</v>
      </c>
      <c r="F508" s="41"/>
    </row>
    <row r="509" spans="1:6">
      <c r="A509" s="829"/>
      <c r="B509" s="35"/>
      <c r="C509" s="833" t="s">
        <v>9673</v>
      </c>
      <c r="D509" s="35" t="s">
        <v>2226</v>
      </c>
      <c r="E509" s="41"/>
      <c r="F509" s="41">
        <f>'canal and allied works'!E4997</f>
        <v>7026.4</v>
      </c>
    </row>
    <row r="510" spans="1:6">
      <c r="A510" s="829"/>
      <c r="B510" s="35"/>
      <c r="C510" s="833"/>
      <c r="D510" s="39"/>
      <c r="E510" s="35"/>
      <c r="F510" s="35"/>
    </row>
    <row r="511" spans="1:6" ht="216">
      <c r="A511" s="829" t="s">
        <v>7477</v>
      </c>
      <c r="B511" s="35">
        <v>151</v>
      </c>
      <c r="C511" s="838" t="s">
        <v>8176</v>
      </c>
      <c r="D511" s="35" t="s">
        <v>3477</v>
      </c>
      <c r="E511" s="41">
        <f>'canal and allied works'!G5164</f>
        <v>4489.1000000000004</v>
      </c>
      <c r="F511" s="41"/>
    </row>
    <row r="512" spans="1:6">
      <c r="A512" s="829"/>
      <c r="B512" s="35"/>
      <c r="C512" s="833" t="s">
        <v>9673</v>
      </c>
      <c r="D512" s="35" t="s">
        <v>3477</v>
      </c>
      <c r="E512" s="41"/>
      <c r="F512" s="41">
        <f>'canal and allied works'!E5155</f>
        <v>1260.5999999999999</v>
      </c>
    </row>
    <row r="513" spans="1:6">
      <c r="A513" s="829"/>
      <c r="B513" s="35"/>
      <c r="C513" s="833"/>
      <c r="D513" s="39"/>
      <c r="E513" s="35"/>
      <c r="F513" s="35"/>
    </row>
    <row r="514" spans="1:6" ht="180">
      <c r="A514" s="829" t="s">
        <v>7478</v>
      </c>
      <c r="B514" s="35">
        <v>152</v>
      </c>
      <c r="C514" s="838" t="s">
        <v>8177</v>
      </c>
      <c r="D514" s="35" t="s">
        <v>3477</v>
      </c>
      <c r="E514" s="41">
        <f>'canal and allied works'!G5249</f>
        <v>4633.1000000000004</v>
      </c>
      <c r="F514" s="41"/>
    </row>
    <row r="515" spans="1:6">
      <c r="A515" s="829"/>
      <c r="B515" s="35"/>
      <c r="C515" s="833" t="s">
        <v>9673</v>
      </c>
      <c r="D515" s="35" t="s">
        <v>3477</v>
      </c>
      <c r="E515" s="41"/>
      <c r="F515" s="41">
        <f>'canal and allied works'!E5240</f>
        <v>1297.9000000000001</v>
      </c>
    </row>
    <row r="516" spans="1:6">
      <c r="A516" s="829"/>
      <c r="B516" s="35"/>
      <c r="C516" s="833"/>
      <c r="D516" s="39"/>
      <c r="E516" s="35"/>
      <c r="F516" s="35"/>
    </row>
    <row r="517" spans="1:6" ht="180">
      <c r="A517" s="829" t="s">
        <v>7479</v>
      </c>
      <c r="B517" s="35">
        <v>153</v>
      </c>
      <c r="C517" s="838" t="s">
        <v>8178</v>
      </c>
      <c r="D517" s="35" t="s">
        <v>3479</v>
      </c>
      <c r="E517" s="41">
        <f>'canal and allied works'!G5378</f>
        <v>495.7</v>
      </c>
      <c r="F517" s="41"/>
    </row>
    <row r="518" spans="1:6">
      <c r="A518" s="829"/>
      <c r="B518" s="35"/>
      <c r="C518" s="833" t="s">
        <v>9673</v>
      </c>
      <c r="D518" s="35" t="s">
        <v>3479</v>
      </c>
      <c r="E518" s="41"/>
      <c r="F518" s="41">
        <f>'canal and allied works'!E5362</f>
        <v>37.4</v>
      </c>
    </row>
    <row r="519" spans="1:6">
      <c r="A519" s="829"/>
      <c r="B519" s="35"/>
      <c r="C519" s="833"/>
      <c r="D519" s="39"/>
      <c r="E519" s="35"/>
      <c r="F519" s="35"/>
    </row>
    <row r="520" spans="1:6" ht="180">
      <c r="A520" s="829" t="s">
        <v>7480</v>
      </c>
      <c r="B520" s="35">
        <v>154</v>
      </c>
      <c r="C520" s="838" t="s">
        <v>8179</v>
      </c>
      <c r="D520" s="35" t="s">
        <v>3477</v>
      </c>
      <c r="E520" s="41">
        <f>'canal and allied works'!G5467</f>
        <v>4503.8</v>
      </c>
      <c r="F520" s="41"/>
    </row>
    <row r="521" spans="1:6">
      <c r="A521" s="829"/>
      <c r="B521" s="35"/>
      <c r="C521" s="833" t="s">
        <v>9673</v>
      </c>
      <c r="D521" s="35" t="s">
        <v>3477</v>
      </c>
      <c r="E521" s="41"/>
      <c r="F521" s="41">
        <f>'canal and allied works'!E5458</f>
        <v>1297.9000000000001</v>
      </c>
    </row>
    <row r="522" spans="1:6">
      <c r="A522" s="829"/>
      <c r="B522" s="35"/>
      <c r="C522" s="833"/>
      <c r="D522" s="39"/>
      <c r="E522" s="35"/>
      <c r="F522" s="35"/>
    </row>
    <row r="523" spans="1:6" ht="180">
      <c r="A523" s="829" t="s">
        <v>7481</v>
      </c>
      <c r="B523" s="35">
        <v>155</v>
      </c>
      <c r="C523" s="838" t="s">
        <v>8180</v>
      </c>
      <c r="D523" s="35" t="s">
        <v>3477</v>
      </c>
      <c r="E523" s="41">
        <f>'canal and allied works'!G5557</f>
        <v>4891.1000000000004</v>
      </c>
      <c r="F523" s="41"/>
    </row>
    <row r="524" spans="1:6">
      <c r="A524" s="829"/>
      <c r="B524" s="35"/>
      <c r="C524" s="833" t="s">
        <v>9673</v>
      </c>
      <c r="D524" s="35" t="s">
        <v>3477</v>
      </c>
      <c r="E524" s="41"/>
      <c r="F524" s="41">
        <f>'canal and allied works'!E5548</f>
        <v>1373</v>
      </c>
    </row>
    <row r="525" spans="1:6">
      <c r="A525" s="829"/>
      <c r="B525" s="35"/>
      <c r="C525" s="833"/>
      <c r="D525" s="39"/>
      <c r="E525" s="35"/>
      <c r="F525" s="35"/>
    </row>
    <row r="526" spans="1:6" ht="180">
      <c r="A526" s="829" t="s">
        <v>7482</v>
      </c>
      <c r="B526" s="35">
        <v>156</v>
      </c>
      <c r="C526" s="838" t="s">
        <v>8181</v>
      </c>
      <c r="D526" s="35" t="s">
        <v>3477</v>
      </c>
      <c r="E526" s="41">
        <f>'canal and allied works'!G5646</f>
        <v>5009.5</v>
      </c>
      <c r="F526" s="41"/>
    </row>
    <row r="527" spans="1:6">
      <c r="A527" s="829"/>
      <c r="B527" s="35"/>
      <c r="C527" s="833" t="s">
        <v>9673</v>
      </c>
      <c r="D527" s="35" t="s">
        <v>3477</v>
      </c>
      <c r="E527" s="41"/>
      <c r="F527" s="41">
        <f>'canal and allied works'!E5637</f>
        <v>1450</v>
      </c>
    </row>
    <row r="528" spans="1:6">
      <c r="A528" s="829"/>
      <c r="B528" s="35"/>
      <c r="C528" s="833"/>
      <c r="D528" s="39"/>
      <c r="E528" s="35"/>
      <c r="F528" s="35"/>
    </row>
    <row r="529" spans="1:6" ht="216">
      <c r="A529" s="829" t="s">
        <v>7483</v>
      </c>
      <c r="B529" s="35">
        <v>157</v>
      </c>
      <c r="C529" s="845" t="s">
        <v>8182</v>
      </c>
      <c r="D529" s="35" t="s">
        <v>3479</v>
      </c>
      <c r="E529" s="41">
        <f>'canal and allied works'!G5775</f>
        <v>685.2</v>
      </c>
      <c r="F529" s="41"/>
    </row>
    <row r="530" spans="1:6">
      <c r="A530" s="829"/>
      <c r="B530" s="35"/>
      <c r="C530" s="833" t="s">
        <v>9673</v>
      </c>
      <c r="D530" s="35" t="s">
        <v>3479</v>
      </c>
      <c r="E530" s="41"/>
      <c r="F530" s="41">
        <f>'canal and allied works'!E5759</f>
        <v>37.4</v>
      </c>
    </row>
    <row r="531" spans="1:6">
      <c r="A531" s="829"/>
      <c r="B531" s="35"/>
      <c r="C531" s="833"/>
      <c r="D531" s="39"/>
      <c r="E531" s="35"/>
      <c r="F531" s="35"/>
    </row>
    <row r="532" spans="1:6" ht="144">
      <c r="A532" s="829" t="s">
        <v>7484</v>
      </c>
      <c r="B532" s="35">
        <v>158</v>
      </c>
      <c r="C532" s="838" t="s">
        <v>8183</v>
      </c>
      <c r="D532" s="35" t="s">
        <v>3483</v>
      </c>
      <c r="E532" s="41">
        <f>'canal and allied works'!G5885</f>
        <v>904.3</v>
      </c>
      <c r="F532" s="41"/>
    </row>
    <row r="533" spans="1:6">
      <c r="A533" s="829"/>
      <c r="B533" s="35"/>
      <c r="C533" s="833" t="s">
        <v>9673</v>
      </c>
      <c r="D533" s="35" t="s">
        <v>3483</v>
      </c>
      <c r="E533" s="41"/>
      <c r="F533" s="41">
        <f>'canal and allied works'!E5872</f>
        <v>286.89999999999998</v>
      </c>
    </row>
    <row r="534" spans="1:6">
      <c r="A534" s="829"/>
      <c r="B534" s="35"/>
      <c r="C534" s="833"/>
      <c r="D534" s="39"/>
      <c r="E534" s="35"/>
      <c r="F534" s="35"/>
    </row>
    <row r="535" spans="1:6" ht="72">
      <c r="A535" s="829" t="s">
        <v>7485</v>
      </c>
      <c r="B535" s="35">
        <v>159</v>
      </c>
      <c r="C535" s="838" t="s">
        <v>8184</v>
      </c>
      <c r="D535" s="35" t="s">
        <v>3481</v>
      </c>
      <c r="E535" s="41">
        <f>'canal and allied works'!G5928</f>
        <v>128.69999999999999</v>
      </c>
      <c r="F535" s="35"/>
    </row>
    <row r="536" spans="1:6">
      <c r="A536" s="829"/>
      <c r="B536" s="35"/>
      <c r="C536" s="833" t="s">
        <v>9673</v>
      </c>
      <c r="D536" s="35" t="s">
        <v>3481</v>
      </c>
      <c r="E536" s="41"/>
      <c r="F536" s="41">
        <f>'canal and allied works'!E5919</f>
        <v>48.9</v>
      </c>
    </row>
    <row r="537" spans="1:6">
      <c r="A537" s="829"/>
      <c r="B537" s="35"/>
      <c r="C537" s="833"/>
      <c r="D537" s="39"/>
      <c r="E537" s="35"/>
      <c r="F537" s="35"/>
    </row>
    <row r="538" spans="1:6" ht="72">
      <c r="A538" s="829" t="s">
        <v>7486</v>
      </c>
      <c r="B538" s="35">
        <v>160</v>
      </c>
      <c r="C538" s="838" t="s">
        <v>8185</v>
      </c>
      <c r="D538" s="35" t="s">
        <v>3481</v>
      </c>
      <c r="E538" s="41">
        <f>'canal and allied works'!G5970</f>
        <v>179.2</v>
      </c>
      <c r="F538" s="35"/>
    </row>
    <row r="539" spans="1:6">
      <c r="A539" s="829"/>
      <c r="B539" s="35"/>
      <c r="C539" s="833" t="s">
        <v>9673</v>
      </c>
      <c r="D539" s="35" t="s">
        <v>3481</v>
      </c>
      <c r="E539" s="41"/>
      <c r="F539" s="41">
        <f>'canal and allied works'!E5961</f>
        <v>48.9</v>
      </c>
    </row>
    <row r="540" spans="1:6">
      <c r="A540" s="829"/>
      <c r="B540" s="35"/>
      <c r="C540" s="833"/>
      <c r="D540" s="39"/>
      <c r="E540" s="35"/>
      <c r="F540" s="35"/>
    </row>
    <row r="541" spans="1:6" ht="72">
      <c r="A541" s="829" t="s">
        <v>7487</v>
      </c>
      <c r="B541" s="35">
        <v>161</v>
      </c>
      <c r="C541" s="838" t="s">
        <v>8186</v>
      </c>
      <c r="D541" s="35" t="s">
        <v>3481</v>
      </c>
      <c r="E541" s="41">
        <f>'canal and allied works'!G6012</f>
        <v>212.5</v>
      </c>
      <c r="F541" s="41"/>
    </row>
    <row r="542" spans="1:6">
      <c r="A542" s="829"/>
      <c r="B542" s="35"/>
      <c r="C542" s="833" t="s">
        <v>9673</v>
      </c>
      <c r="D542" s="35" t="s">
        <v>3481</v>
      </c>
      <c r="E542" s="41"/>
      <c r="F542" s="41">
        <f>'canal and allied works'!E6003</f>
        <v>48.9</v>
      </c>
    </row>
    <row r="543" spans="1:6">
      <c r="A543" s="829"/>
      <c r="B543" s="35"/>
      <c r="C543" s="833"/>
      <c r="D543" s="39"/>
      <c r="E543" s="35"/>
      <c r="F543" s="35"/>
    </row>
    <row r="544" spans="1:6" ht="72">
      <c r="A544" s="829" t="s">
        <v>7488</v>
      </c>
      <c r="B544" s="35">
        <v>162</v>
      </c>
      <c r="C544" s="838" t="s">
        <v>8187</v>
      </c>
      <c r="D544" s="35" t="s">
        <v>3481</v>
      </c>
      <c r="E544" s="41">
        <f>'canal and allied works'!G6054</f>
        <v>275.5</v>
      </c>
      <c r="F544" s="41"/>
    </row>
    <row r="545" spans="1:7">
      <c r="A545" s="829"/>
      <c r="B545" s="35"/>
      <c r="C545" s="833" t="s">
        <v>9673</v>
      </c>
      <c r="D545" s="35" t="s">
        <v>3481</v>
      </c>
      <c r="E545" s="41"/>
      <c r="F545" s="41">
        <f>'canal and allied works'!E6045</f>
        <v>48.9</v>
      </c>
    </row>
    <row r="546" spans="1:7">
      <c r="A546" s="829"/>
      <c r="B546" s="35"/>
      <c r="C546" s="833"/>
      <c r="D546" s="39"/>
      <c r="E546" s="35"/>
      <c r="F546" s="35"/>
    </row>
    <row r="547" spans="1:7" ht="72">
      <c r="A547" s="829" t="s">
        <v>7489</v>
      </c>
      <c r="B547" s="35">
        <v>163</v>
      </c>
      <c r="C547" s="838" t="s">
        <v>8188</v>
      </c>
      <c r="D547" s="35" t="s">
        <v>3481</v>
      </c>
      <c r="E547" s="41">
        <f>'canal and allied works'!G6096</f>
        <v>398.2</v>
      </c>
      <c r="F547" s="41"/>
    </row>
    <row r="548" spans="1:7">
      <c r="A548" s="829"/>
      <c r="B548" s="35"/>
      <c r="C548" s="833" t="s">
        <v>9673</v>
      </c>
      <c r="D548" s="35" t="s">
        <v>3481</v>
      </c>
      <c r="E548" s="41"/>
      <c r="F548" s="41">
        <f>'canal and allied works'!E6087</f>
        <v>48.9</v>
      </c>
    </row>
    <row r="549" spans="1:7">
      <c r="A549" s="829"/>
      <c r="B549" s="35"/>
      <c r="C549" s="833"/>
      <c r="D549" s="39"/>
      <c r="E549" s="35"/>
      <c r="F549" s="35"/>
    </row>
    <row r="550" spans="1:7" ht="54">
      <c r="A550" s="829" t="s">
        <v>7490</v>
      </c>
      <c r="B550" s="35">
        <v>164</v>
      </c>
      <c r="C550" s="838" t="s">
        <v>8189</v>
      </c>
      <c r="D550" s="35" t="s">
        <v>3481</v>
      </c>
      <c r="E550" s="41">
        <f>'canal and allied works'!G6133</f>
        <v>217.6</v>
      </c>
      <c r="F550" s="41"/>
      <c r="G550" s="47"/>
    </row>
    <row r="551" spans="1:7">
      <c r="A551" s="829"/>
      <c r="B551" s="35"/>
      <c r="C551" s="833" t="s">
        <v>9673</v>
      </c>
      <c r="D551" s="35" t="s">
        <v>3481</v>
      </c>
      <c r="E551" s="41"/>
      <c r="F551" s="41">
        <f>'canal and allied works'!E6124</f>
        <v>24.4</v>
      </c>
    </row>
    <row r="552" spans="1:7">
      <c r="A552" s="829"/>
      <c r="B552" s="35"/>
      <c r="C552" s="833"/>
      <c r="D552" s="39"/>
      <c r="E552" s="35"/>
      <c r="F552" s="35"/>
    </row>
    <row r="553" spans="1:7" ht="54">
      <c r="A553" s="829" t="s">
        <v>7491</v>
      </c>
      <c r="B553" s="35">
        <v>165</v>
      </c>
      <c r="C553" s="838" t="s">
        <v>8190</v>
      </c>
      <c r="D553" s="35" t="s">
        <v>3481</v>
      </c>
      <c r="E553" s="41">
        <f>'canal and allied works'!G6188</f>
        <v>272.3</v>
      </c>
      <c r="F553" s="41"/>
    </row>
    <row r="554" spans="1:7">
      <c r="A554" s="829"/>
      <c r="B554" s="35"/>
      <c r="C554" s="833" t="s">
        <v>9673</v>
      </c>
      <c r="D554" s="35" t="s">
        <v>3481</v>
      </c>
      <c r="E554" s="41"/>
      <c r="F554" s="41">
        <f>'canal and allied works'!E6179</f>
        <v>98.8</v>
      </c>
    </row>
    <row r="555" spans="1:7">
      <c r="A555" s="829"/>
      <c r="B555" s="35"/>
      <c r="C555" s="833"/>
      <c r="D555" s="39"/>
      <c r="E555" s="35"/>
      <c r="F555" s="35"/>
    </row>
    <row r="556" spans="1:7" ht="90">
      <c r="A556" s="829" t="s">
        <v>7492</v>
      </c>
      <c r="B556" s="35">
        <v>166</v>
      </c>
      <c r="C556" s="838" t="s">
        <v>8191</v>
      </c>
      <c r="D556" s="35" t="s">
        <v>3481</v>
      </c>
      <c r="E556" s="41">
        <f>'canal and allied works'!G6232</f>
        <v>27.6</v>
      </c>
      <c r="F556" s="41"/>
    </row>
    <row r="557" spans="1:7">
      <c r="A557" s="829"/>
      <c r="B557" s="35"/>
      <c r="C557" s="833" t="s">
        <v>9673</v>
      </c>
      <c r="D557" s="35" t="s">
        <v>3481</v>
      </c>
      <c r="E557" s="41"/>
      <c r="F557" s="41">
        <f>'canal and allied works'!E6223</f>
        <v>8.5</v>
      </c>
    </row>
    <row r="558" spans="1:7">
      <c r="A558" s="829"/>
      <c r="B558" s="35"/>
      <c r="C558" s="833"/>
      <c r="D558" s="39"/>
      <c r="E558" s="35"/>
      <c r="F558" s="35"/>
    </row>
    <row r="559" spans="1:7" ht="90">
      <c r="A559" s="829" t="s">
        <v>7493</v>
      </c>
      <c r="B559" s="35">
        <v>167</v>
      </c>
      <c r="C559" s="838" t="s">
        <v>8192</v>
      </c>
      <c r="D559" s="35" t="s">
        <v>3479</v>
      </c>
      <c r="E559" s="41">
        <f>'canal and allied works'!G6291</f>
        <v>369.3</v>
      </c>
      <c r="F559" s="41"/>
    </row>
    <row r="560" spans="1:7">
      <c r="A560" s="829"/>
      <c r="B560" s="35"/>
      <c r="C560" s="833" t="s">
        <v>9673</v>
      </c>
      <c r="D560" s="35" t="s">
        <v>3479</v>
      </c>
      <c r="E560" s="41"/>
      <c r="F560" s="41">
        <f>'canal and allied works'!E6282</f>
        <v>74.099999999999994</v>
      </c>
    </row>
    <row r="561" spans="1:6">
      <c r="A561" s="829"/>
      <c r="B561" s="35"/>
      <c r="C561" s="833"/>
      <c r="D561" s="39"/>
      <c r="E561" s="35"/>
      <c r="F561" s="35"/>
    </row>
    <row r="562" spans="1:6" ht="72">
      <c r="A562" s="829" t="s">
        <v>7494</v>
      </c>
      <c r="B562" s="35">
        <v>168</v>
      </c>
      <c r="C562" s="838" t="s">
        <v>8193</v>
      </c>
      <c r="D562" s="35" t="s">
        <v>3479</v>
      </c>
      <c r="E562" s="41">
        <f>'canal and allied works'!G6345</f>
        <v>86.5</v>
      </c>
      <c r="F562" s="41"/>
    </row>
    <row r="563" spans="1:6">
      <c r="A563" s="829"/>
      <c r="B563" s="35"/>
      <c r="C563" s="833" t="s">
        <v>9673</v>
      </c>
      <c r="D563" s="35" t="s">
        <v>3479</v>
      </c>
      <c r="E563" s="41"/>
      <c r="F563" s="41">
        <f>'canal and allied works'!E6336</f>
        <v>69</v>
      </c>
    </row>
    <row r="564" spans="1:6">
      <c r="A564" s="829"/>
      <c r="B564" s="35"/>
      <c r="C564" s="833"/>
      <c r="D564" s="39"/>
      <c r="E564" s="35"/>
      <c r="F564" s="35"/>
    </row>
    <row r="565" spans="1:6" ht="90">
      <c r="A565" s="829" t="s">
        <v>7495</v>
      </c>
      <c r="B565" s="35">
        <v>169</v>
      </c>
      <c r="C565" s="838" t="s">
        <v>8194</v>
      </c>
      <c r="D565" s="35" t="s">
        <v>3483</v>
      </c>
      <c r="E565" s="41">
        <f>'canal and allied works'!G6404</f>
        <v>51</v>
      </c>
      <c r="F565" s="41"/>
    </row>
    <row r="566" spans="1:6">
      <c r="A566" s="829"/>
      <c r="B566" s="35"/>
      <c r="C566" s="833" t="s">
        <v>9673</v>
      </c>
      <c r="D566" s="35" t="s">
        <v>3483</v>
      </c>
      <c r="E566" s="41"/>
      <c r="F566" s="41">
        <f>'canal and allied works'!E6395</f>
        <v>46.2</v>
      </c>
    </row>
    <row r="567" spans="1:6">
      <c r="A567" s="829"/>
      <c r="B567" s="35"/>
      <c r="C567" s="833"/>
      <c r="D567" s="39"/>
      <c r="E567" s="35"/>
      <c r="F567" s="35"/>
    </row>
    <row r="568" spans="1:6" ht="36">
      <c r="A568" s="829" t="s">
        <v>7496</v>
      </c>
      <c r="B568" s="35">
        <v>170</v>
      </c>
      <c r="C568" s="838" t="s">
        <v>8195</v>
      </c>
      <c r="D568" s="35" t="s">
        <v>3481</v>
      </c>
      <c r="E568" s="41">
        <f>'canal and allied works'!G6446</f>
        <v>194.8</v>
      </c>
      <c r="F568" s="41"/>
    </row>
    <row r="569" spans="1:6">
      <c r="A569" s="829"/>
      <c r="B569" s="35"/>
      <c r="C569" s="833" t="s">
        <v>9673</v>
      </c>
      <c r="D569" s="35" t="s">
        <v>3481</v>
      </c>
      <c r="E569" s="41"/>
      <c r="F569" s="41">
        <f>'canal and allied works'!E6437</f>
        <v>194.7</v>
      </c>
    </row>
    <row r="570" spans="1:6">
      <c r="A570" s="829"/>
      <c r="B570" s="35"/>
      <c r="C570" s="833"/>
      <c r="D570" s="39"/>
      <c r="E570" s="35"/>
      <c r="F570" s="35"/>
    </row>
    <row r="571" spans="1:6" ht="90">
      <c r="A571" s="829" t="s">
        <v>7497</v>
      </c>
      <c r="B571" s="35">
        <v>171</v>
      </c>
      <c r="C571" s="838" t="s">
        <v>8196</v>
      </c>
      <c r="D571" s="35" t="s">
        <v>3479</v>
      </c>
      <c r="E571" s="41">
        <f>'canal and allied works'!G6510</f>
        <v>127.9</v>
      </c>
      <c r="F571" s="41"/>
    </row>
    <row r="572" spans="1:6">
      <c r="A572" s="829"/>
      <c r="B572" s="35"/>
      <c r="C572" s="833" t="s">
        <v>9673</v>
      </c>
      <c r="D572" s="35" t="s">
        <v>3479</v>
      </c>
      <c r="E572" s="41"/>
      <c r="F572" s="41">
        <f>'canal and allied works'!E6501</f>
        <v>12</v>
      </c>
    </row>
    <row r="573" spans="1:6" ht="54">
      <c r="A573" s="829"/>
      <c r="B573" s="35"/>
      <c r="C573" s="838" t="s">
        <v>8197</v>
      </c>
      <c r="D573" s="35" t="s">
        <v>3479</v>
      </c>
      <c r="E573" s="41">
        <f>'canal and allied works'!G6647</f>
        <v>17.600000000000001</v>
      </c>
      <c r="F573" s="41"/>
    </row>
    <row r="574" spans="1:6">
      <c r="A574" s="829"/>
      <c r="B574" s="35"/>
      <c r="C574" s="833" t="s">
        <v>9673</v>
      </c>
      <c r="D574" s="35" t="s">
        <v>3479</v>
      </c>
      <c r="E574" s="41"/>
      <c r="F574" s="41">
        <f>'canal and allied works'!E6542</f>
        <v>9.5</v>
      </c>
    </row>
    <row r="575" spans="1:6">
      <c r="A575" s="829"/>
      <c r="B575" s="35"/>
      <c r="C575" s="833"/>
      <c r="D575" s="39"/>
      <c r="E575" s="35"/>
      <c r="F575" s="35"/>
    </row>
    <row r="576" spans="1:6" ht="90">
      <c r="A576" s="829" t="s">
        <v>7498</v>
      </c>
      <c r="B576" s="35">
        <v>172</v>
      </c>
      <c r="C576" s="839" t="s">
        <v>8198</v>
      </c>
      <c r="D576" s="35" t="s">
        <v>3479</v>
      </c>
      <c r="E576" s="41">
        <f>'canal and allied works'!G6595</f>
        <v>186.5</v>
      </c>
      <c r="F576" s="41"/>
    </row>
    <row r="577" spans="1:6">
      <c r="A577" s="829"/>
      <c r="B577" s="35"/>
      <c r="C577" s="833" t="s">
        <v>9673</v>
      </c>
      <c r="D577" s="35" t="s">
        <v>3479</v>
      </c>
      <c r="E577" s="41"/>
      <c r="F577" s="41">
        <f>'canal and allied works'!E6586</f>
        <v>16.899999999999999</v>
      </c>
    </row>
    <row r="578" spans="1:6">
      <c r="A578" s="829"/>
      <c r="B578" s="35"/>
      <c r="C578" s="833"/>
      <c r="D578" s="39"/>
      <c r="E578" s="35"/>
      <c r="F578" s="35"/>
    </row>
    <row r="579" spans="1:6" ht="90">
      <c r="A579" s="829" t="s">
        <v>7499</v>
      </c>
      <c r="B579" s="35">
        <v>173</v>
      </c>
      <c r="C579" s="839" t="s">
        <v>8199</v>
      </c>
      <c r="D579" s="35" t="s">
        <v>3479</v>
      </c>
      <c r="E579" s="41">
        <f>'canal and allied works'!G6643</f>
        <v>254.7</v>
      </c>
      <c r="F579" s="41"/>
    </row>
    <row r="580" spans="1:6">
      <c r="A580" s="829"/>
      <c r="B580" s="35"/>
      <c r="C580" s="833" t="s">
        <v>9673</v>
      </c>
      <c r="D580" s="35" t="s">
        <v>3479</v>
      </c>
      <c r="E580" s="41"/>
      <c r="F580" s="41">
        <f>'canal and allied works'!E6634</f>
        <v>22.6</v>
      </c>
    </row>
    <row r="581" spans="1:6">
      <c r="A581" s="829"/>
      <c r="B581" s="35"/>
      <c r="C581" s="833"/>
      <c r="D581" s="39"/>
      <c r="E581" s="35"/>
      <c r="F581" s="35"/>
    </row>
    <row r="582" spans="1:6" ht="54">
      <c r="A582" s="829" t="s">
        <v>7500</v>
      </c>
      <c r="B582" s="35">
        <v>174</v>
      </c>
      <c r="C582" s="838" t="s">
        <v>8200</v>
      </c>
      <c r="D582" s="35" t="s">
        <v>3483</v>
      </c>
      <c r="E582" s="41">
        <f>'canal and allied works'!G6689</f>
        <v>191.2</v>
      </c>
      <c r="F582" s="41"/>
    </row>
    <row r="583" spans="1:6">
      <c r="A583" s="829"/>
      <c r="B583" s="35"/>
      <c r="C583" s="833" t="s">
        <v>9673</v>
      </c>
      <c r="D583" s="35" t="s">
        <v>3483</v>
      </c>
      <c r="E583" s="41"/>
      <c r="F583" s="41">
        <f>'canal and allied works'!E6680</f>
        <v>8.5</v>
      </c>
    </row>
    <row r="584" spans="1:6">
      <c r="A584" s="829"/>
      <c r="B584" s="35"/>
      <c r="C584" s="833"/>
      <c r="D584" s="39"/>
      <c r="E584" s="35"/>
      <c r="F584" s="35"/>
    </row>
    <row r="585" spans="1:6" ht="54">
      <c r="A585" s="829" t="s">
        <v>7501</v>
      </c>
      <c r="B585" s="35">
        <v>175</v>
      </c>
      <c r="C585" s="838" t="s">
        <v>8201</v>
      </c>
      <c r="D585" s="35" t="s">
        <v>3483</v>
      </c>
      <c r="E585" s="41">
        <f>'canal and allied works'!G6731</f>
        <v>80.099999999999994</v>
      </c>
      <c r="F585" s="41"/>
    </row>
    <row r="586" spans="1:6">
      <c r="A586" s="829"/>
      <c r="B586" s="35"/>
      <c r="C586" s="833" t="s">
        <v>9673</v>
      </c>
      <c r="D586" s="35" t="s">
        <v>3483</v>
      </c>
      <c r="E586" s="41"/>
      <c r="F586" s="41">
        <f>'canal and allied works'!E6722</f>
        <v>8.5</v>
      </c>
    </row>
    <row r="587" spans="1:6">
      <c r="A587" s="829"/>
      <c r="B587" s="35"/>
      <c r="C587" s="833"/>
      <c r="D587" s="39"/>
      <c r="E587" s="35"/>
      <c r="F587" s="35"/>
    </row>
    <row r="588" spans="1:6" ht="54">
      <c r="A588" s="829" t="s">
        <v>7502</v>
      </c>
      <c r="B588" s="35">
        <v>176</v>
      </c>
      <c r="C588" s="838" t="s">
        <v>8202</v>
      </c>
      <c r="D588" s="35" t="s">
        <v>3483</v>
      </c>
      <c r="E588" s="41">
        <f>'canal and allied works'!G6773</f>
        <v>118</v>
      </c>
      <c r="F588" s="41"/>
    </row>
    <row r="589" spans="1:6">
      <c r="A589" s="829"/>
      <c r="B589" s="35"/>
      <c r="C589" s="833" t="s">
        <v>9673</v>
      </c>
      <c r="D589" s="35" t="s">
        <v>3483</v>
      </c>
      <c r="E589" s="41"/>
      <c r="F589" s="41">
        <f>'canal and allied works'!E6764</f>
        <v>8.5</v>
      </c>
    </row>
    <row r="590" spans="1:6">
      <c r="A590" s="829"/>
      <c r="B590" s="35"/>
      <c r="C590" s="833"/>
      <c r="D590" s="39"/>
      <c r="E590" s="35"/>
      <c r="F590" s="35"/>
    </row>
    <row r="591" spans="1:6" ht="54">
      <c r="A591" s="829" t="s">
        <v>7503</v>
      </c>
      <c r="B591" s="35">
        <v>177</v>
      </c>
      <c r="C591" s="838" t="s">
        <v>8203</v>
      </c>
      <c r="D591" s="35" t="s">
        <v>3483</v>
      </c>
      <c r="E591" s="41">
        <f>'canal and allied works'!G6816</f>
        <v>24.6</v>
      </c>
      <c r="F591" s="41"/>
    </row>
    <row r="592" spans="1:6">
      <c r="A592" s="829"/>
      <c r="B592" s="35"/>
      <c r="C592" s="833" t="s">
        <v>9673</v>
      </c>
      <c r="D592" s="35" t="s">
        <v>3483</v>
      </c>
      <c r="E592" s="41"/>
      <c r="F592" s="41">
        <f>'canal and allied works'!E6807</f>
        <v>6.2</v>
      </c>
    </row>
    <row r="593" spans="1:8">
      <c r="A593" s="829"/>
      <c r="B593" s="35"/>
      <c r="C593" s="833"/>
      <c r="D593" s="39"/>
      <c r="E593" s="35"/>
      <c r="F593" s="35"/>
    </row>
    <row r="594" spans="1:8" ht="144">
      <c r="A594" s="829" t="s">
        <v>7504</v>
      </c>
      <c r="B594" s="35">
        <v>178</v>
      </c>
      <c r="C594" s="838" t="s">
        <v>8204</v>
      </c>
      <c r="D594" s="35" t="s">
        <v>3481</v>
      </c>
      <c r="E594" s="41">
        <f>'canal and allied works'!G6905</f>
        <v>94.2</v>
      </c>
      <c r="F594" s="41"/>
    </row>
    <row r="595" spans="1:8">
      <c r="A595" s="829"/>
      <c r="B595" s="35"/>
      <c r="C595" s="833" t="s">
        <v>9673</v>
      </c>
      <c r="D595" s="35" t="s">
        <v>3481</v>
      </c>
      <c r="E595" s="41"/>
      <c r="F595" s="41">
        <f>'canal and allied works'!E6896</f>
        <v>27</v>
      </c>
    </row>
    <row r="596" spans="1:8">
      <c r="A596" s="829"/>
      <c r="B596" s="35"/>
      <c r="C596" s="833"/>
      <c r="D596" s="39"/>
      <c r="E596" s="35"/>
      <c r="F596" s="35"/>
    </row>
    <row r="597" spans="1:8" ht="144">
      <c r="A597" s="829" t="s">
        <v>7505</v>
      </c>
      <c r="B597" s="35">
        <v>179</v>
      </c>
      <c r="C597" s="838" t="s">
        <v>8205</v>
      </c>
      <c r="D597" s="35" t="s">
        <v>3481</v>
      </c>
      <c r="E597" s="41">
        <f>'canal and allied works'!G6994</f>
        <v>66.8</v>
      </c>
      <c r="F597" s="41"/>
    </row>
    <row r="598" spans="1:8">
      <c r="A598" s="829"/>
      <c r="B598" s="35"/>
      <c r="C598" s="833" t="s">
        <v>9673</v>
      </c>
      <c r="D598" s="35" t="s">
        <v>3481</v>
      </c>
      <c r="E598" s="41"/>
      <c r="F598" s="41">
        <f>'canal and allied works'!E6985</f>
        <v>27</v>
      </c>
    </row>
    <row r="599" spans="1:8">
      <c r="A599" s="829"/>
      <c r="B599" s="35"/>
      <c r="C599" s="833"/>
      <c r="D599" s="39"/>
      <c r="E599" s="35"/>
      <c r="F599" s="35"/>
    </row>
    <row r="600" spans="1:8" ht="126">
      <c r="A600" s="829" t="s">
        <v>7506</v>
      </c>
      <c r="B600" s="35">
        <v>180</v>
      </c>
      <c r="C600" s="838" t="s">
        <v>8206</v>
      </c>
      <c r="D600" s="35" t="s">
        <v>3481</v>
      </c>
      <c r="E600" s="41">
        <f>'canal and allied works'!G7081</f>
        <v>34.6</v>
      </c>
      <c r="F600" s="41"/>
    </row>
    <row r="601" spans="1:8">
      <c r="A601" s="829"/>
      <c r="B601" s="35"/>
      <c r="C601" s="833" t="s">
        <v>9673</v>
      </c>
      <c r="D601" s="35" t="s">
        <v>3481</v>
      </c>
      <c r="E601" s="41"/>
      <c r="F601" s="41">
        <f>'canal and allied works'!E7072</f>
        <v>17.399999999999999</v>
      </c>
    </row>
    <row r="602" spans="1:8">
      <c r="A602" s="829"/>
      <c r="B602" s="35"/>
      <c r="C602" s="833"/>
      <c r="D602" s="39"/>
      <c r="E602" s="35"/>
      <c r="F602" s="35"/>
    </row>
    <row r="603" spans="1:8" ht="126">
      <c r="A603" s="829" t="s">
        <v>7507</v>
      </c>
      <c r="B603" s="35">
        <v>181</v>
      </c>
      <c r="C603" s="838" t="s">
        <v>8207</v>
      </c>
      <c r="D603" s="35" t="s">
        <v>3481</v>
      </c>
      <c r="E603" s="41">
        <f>'canal and allied works'!G7168</f>
        <v>26.9</v>
      </c>
      <c r="F603" s="41"/>
    </row>
    <row r="604" spans="1:8">
      <c r="A604" s="829"/>
      <c r="B604" s="35"/>
      <c r="C604" s="833" t="s">
        <v>9673</v>
      </c>
      <c r="D604" s="35" t="s">
        <v>3481</v>
      </c>
      <c r="E604" s="41"/>
      <c r="F604" s="41">
        <f>'canal and allied works'!E7159</f>
        <v>17.399999999999999</v>
      </c>
    </row>
    <row r="605" spans="1:8">
      <c r="A605" s="829"/>
      <c r="B605" s="35"/>
      <c r="C605" s="833"/>
      <c r="D605" s="39"/>
      <c r="E605" s="35"/>
      <c r="F605" s="35"/>
    </row>
    <row r="606" spans="1:8" ht="144">
      <c r="A606" s="829" t="s">
        <v>7508</v>
      </c>
      <c r="B606" s="35">
        <v>182</v>
      </c>
      <c r="C606" s="838" t="s">
        <v>8208</v>
      </c>
      <c r="D606" s="35" t="s">
        <v>3481</v>
      </c>
      <c r="E606" s="41">
        <f>'canal and allied works'!G7263</f>
        <v>80.400000000000006</v>
      </c>
      <c r="F606" s="35"/>
      <c r="G606" s="48"/>
      <c r="H606" s="48"/>
    </row>
    <row r="607" spans="1:8">
      <c r="A607" s="829"/>
      <c r="B607" s="35"/>
      <c r="C607" s="833" t="s">
        <v>9673</v>
      </c>
      <c r="D607" s="35" t="s">
        <v>3481</v>
      </c>
      <c r="E607" s="41"/>
      <c r="F607" s="41">
        <f>'canal and allied works'!E7254</f>
        <v>17.2</v>
      </c>
      <c r="G607" s="43"/>
      <c r="H607" s="43"/>
    </row>
    <row r="608" spans="1:8">
      <c r="A608" s="829"/>
      <c r="B608" s="35"/>
      <c r="C608" s="833"/>
      <c r="D608" s="39"/>
      <c r="E608" s="35"/>
      <c r="F608" s="35"/>
      <c r="G608" s="43"/>
      <c r="H608" s="43"/>
    </row>
    <row r="609" spans="1:8" ht="126">
      <c r="A609" s="829" t="s">
        <v>7509</v>
      </c>
      <c r="B609" s="35">
        <v>183</v>
      </c>
      <c r="C609" s="838" t="s">
        <v>8209</v>
      </c>
      <c r="D609" s="35" t="s">
        <v>3481</v>
      </c>
      <c r="E609" s="41">
        <f>'canal and allied works'!G7349</f>
        <v>36.700000000000003</v>
      </c>
      <c r="F609" s="41"/>
    </row>
    <row r="610" spans="1:8">
      <c r="A610" s="829"/>
      <c r="B610" s="35"/>
      <c r="C610" s="833" t="s">
        <v>9673</v>
      </c>
      <c r="D610" s="35" t="s">
        <v>3481</v>
      </c>
      <c r="E610" s="41"/>
      <c r="F610" s="41">
        <f>'canal and allied works'!E7340</f>
        <v>17.399999999999999</v>
      </c>
    </row>
    <row r="611" spans="1:8">
      <c r="A611" s="829"/>
      <c r="B611" s="35"/>
      <c r="C611" s="833"/>
      <c r="D611" s="39"/>
      <c r="E611" s="35"/>
      <c r="F611" s="35"/>
    </row>
    <row r="612" spans="1:8" ht="126">
      <c r="A612" s="829" t="s">
        <v>7510</v>
      </c>
      <c r="B612" s="35">
        <v>184</v>
      </c>
      <c r="C612" s="838" t="s">
        <v>8210</v>
      </c>
      <c r="D612" s="35" t="s">
        <v>3481</v>
      </c>
      <c r="E612" s="41">
        <f>'canal and allied works'!G7436</f>
        <v>26.3</v>
      </c>
      <c r="F612" s="41"/>
    </row>
    <row r="613" spans="1:8">
      <c r="A613" s="829"/>
      <c r="B613" s="35"/>
      <c r="C613" s="833" t="s">
        <v>9673</v>
      </c>
      <c r="D613" s="35" t="s">
        <v>3481</v>
      </c>
      <c r="E613" s="41"/>
      <c r="F613" s="41">
        <f>'canal and allied works'!E7427</f>
        <v>17.399999999999999</v>
      </c>
    </row>
    <row r="614" spans="1:8">
      <c r="A614" s="829"/>
      <c r="B614" s="35"/>
      <c r="C614" s="833"/>
      <c r="D614" s="39"/>
      <c r="E614" s="35"/>
      <c r="F614" s="35"/>
    </row>
    <row r="615" spans="1:8" ht="126">
      <c r="A615" s="829" t="s">
        <v>7511</v>
      </c>
      <c r="B615" s="35">
        <v>185</v>
      </c>
      <c r="C615" s="838" t="s">
        <v>8211</v>
      </c>
      <c r="D615" s="35" t="s">
        <v>3477</v>
      </c>
      <c r="E615" s="41">
        <f>'canal and allied works'!G7504</f>
        <v>1966.9</v>
      </c>
      <c r="F615" s="41"/>
    </row>
    <row r="616" spans="1:8">
      <c r="A616" s="829"/>
      <c r="B616" s="35"/>
      <c r="C616" s="833" t="s">
        <v>9673</v>
      </c>
      <c r="D616" s="35" t="s">
        <v>3477</v>
      </c>
      <c r="E616" s="41"/>
      <c r="F616" s="41">
        <f>'canal and allied works'!E7495</f>
        <v>664.5</v>
      </c>
    </row>
    <row r="617" spans="1:8">
      <c r="A617" s="829"/>
      <c r="B617" s="35"/>
      <c r="C617" s="833"/>
      <c r="D617" s="39"/>
      <c r="E617" s="35"/>
      <c r="F617" s="35"/>
    </row>
    <row r="618" spans="1:8" ht="108">
      <c r="A618" s="829" t="s">
        <v>7512</v>
      </c>
      <c r="B618" s="35">
        <v>186</v>
      </c>
      <c r="C618" s="838" t="s">
        <v>8212</v>
      </c>
      <c r="D618" s="35" t="s">
        <v>3477</v>
      </c>
      <c r="E618" s="41">
        <f>'canal and allied works'!G7568</f>
        <v>3297.5</v>
      </c>
      <c r="F618" s="41"/>
      <c r="G618" s="49"/>
      <c r="H618" s="49"/>
    </row>
    <row r="619" spans="1:8">
      <c r="A619" s="829"/>
      <c r="B619" s="35"/>
      <c r="C619" s="838" t="s">
        <v>9673</v>
      </c>
      <c r="D619" s="35" t="s">
        <v>3477</v>
      </c>
      <c r="E619" s="41"/>
      <c r="F619" s="41">
        <f>'canal and allied works'!E7559</f>
        <v>2186.4</v>
      </c>
    </row>
    <row r="620" spans="1:8">
      <c r="A620" s="829"/>
      <c r="B620" s="35"/>
      <c r="C620" s="838"/>
      <c r="D620" s="39"/>
      <c r="E620" s="35"/>
      <c r="F620" s="35"/>
    </row>
    <row r="621" spans="1:8" ht="108">
      <c r="A621" s="829" t="s">
        <v>7513</v>
      </c>
      <c r="B621" s="35">
        <v>187</v>
      </c>
      <c r="C621" s="838" t="s">
        <v>8213</v>
      </c>
      <c r="D621" s="35" t="s">
        <v>3477</v>
      </c>
      <c r="E621" s="41">
        <f>'canal and allied works'!G7639</f>
        <v>1841.4</v>
      </c>
      <c r="F621" s="41"/>
    </row>
    <row r="622" spans="1:8">
      <c r="A622" s="829"/>
      <c r="B622" s="35"/>
      <c r="C622" s="833" t="s">
        <v>9673</v>
      </c>
      <c r="D622" s="35" t="s">
        <v>3477</v>
      </c>
      <c r="E622" s="41"/>
      <c r="F622" s="41">
        <f>'canal and allied works'!E7630</f>
        <v>749.7</v>
      </c>
    </row>
    <row r="623" spans="1:8">
      <c r="A623" s="829"/>
      <c r="B623" s="35"/>
      <c r="C623" s="833"/>
      <c r="D623" s="39"/>
      <c r="E623" s="35"/>
      <c r="F623" s="35"/>
    </row>
    <row r="624" spans="1:8" ht="108">
      <c r="A624" s="829" t="s">
        <v>1467</v>
      </c>
      <c r="B624" s="35">
        <v>188</v>
      </c>
      <c r="C624" s="838" t="s">
        <v>8214</v>
      </c>
      <c r="D624" s="35" t="s">
        <v>3477</v>
      </c>
      <c r="E624" s="41">
        <f>'canal and allied works'!G7703</f>
        <v>3094.3</v>
      </c>
      <c r="F624" s="41"/>
      <c r="G624" s="49"/>
      <c r="H624" s="49"/>
    </row>
    <row r="625" spans="1:6">
      <c r="A625" s="829"/>
      <c r="B625" s="35"/>
      <c r="C625" s="833" t="s">
        <v>9673</v>
      </c>
      <c r="D625" s="35" t="s">
        <v>3477</v>
      </c>
      <c r="E625" s="41"/>
      <c r="F625" s="41">
        <f>'canal and allied works'!E7694</f>
        <v>2186.4</v>
      </c>
    </row>
    <row r="626" spans="1:6">
      <c r="A626" s="829"/>
      <c r="B626" s="35"/>
      <c r="C626" s="833"/>
      <c r="D626" s="39"/>
      <c r="E626" s="35"/>
      <c r="F626" s="35"/>
    </row>
    <row r="627" spans="1:6">
      <c r="A627" s="829" t="s">
        <v>7514</v>
      </c>
      <c r="B627" s="35"/>
      <c r="C627" s="837" t="s">
        <v>5530</v>
      </c>
      <c r="D627" s="39"/>
      <c r="E627" s="35"/>
      <c r="F627" s="35"/>
    </row>
    <row r="628" spans="1:6">
      <c r="A628" s="829"/>
      <c r="B628" s="35"/>
      <c r="C628" s="833"/>
      <c r="D628" s="39"/>
      <c r="E628" s="35"/>
      <c r="F628" s="35"/>
    </row>
    <row r="629" spans="1:6" ht="90">
      <c r="A629" s="829" t="s">
        <v>7515</v>
      </c>
      <c r="B629" s="35">
        <v>189</v>
      </c>
      <c r="C629" s="838" t="s">
        <v>8215</v>
      </c>
      <c r="D629" s="35" t="s">
        <v>3479</v>
      </c>
      <c r="E629" s="41">
        <f>'canal and allied works'!G7757</f>
        <v>199.7</v>
      </c>
      <c r="F629" s="41"/>
    </row>
    <row r="630" spans="1:6">
      <c r="A630" s="829"/>
      <c r="B630" s="35"/>
      <c r="C630" s="833" t="s">
        <v>9673</v>
      </c>
      <c r="D630" s="35" t="s">
        <v>3479</v>
      </c>
      <c r="E630" s="41"/>
      <c r="F630" s="41">
        <f>'canal and allied works'!E7748</f>
        <v>51.7</v>
      </c>
    </row>
    <row r="631" spans="1:6">
      <c r="A631" s="829"/>
      <c r="B631" s="35"/>
      <c r="C631" s="849" t="s">
        <v>8216</v>
      </c>
      <c r="D631" s="35" t="s">
        <v>3479</v>
      </c>
      <c r="E631" s="41">
        <f>'canal and allied works'!G7797</f>
        <v>49.6</v>
      </c>
      <c r="F631" s="41"/>
    </row>
    <row r="632" spans="1:6">
      <c r="A632" s="829"/>
      <c r="B632" s="35"/>
      <c r="C632" s="833" t="s">
        <v>9673</v>
      </c>
      <c r="D632" s="35" t="s">
        <v>3479</v>
      </c>
      <c r="E632" s="41"/>
      <c r="F632" s="41">
        <f>'canal and allied works'!E7788</f>
        <v>15.9</v>
      </c>
    </row>
    <row r="633" spans="1:6">
      <c r="A633" s="829"/>
      <c r="B633" s="35"/>
      <c r="C633" s="833"/>
      <c r="D633" s="39"/>
      <c r="E633" s="35"/>
      <c r="F633" s="35"/>
    </row>
    <row r="634" spans="1:6" ht="90">
      <c r="A634" s="829" t="s">
        <v>513</v>
      </c>
      <c r="B634" s="35">
        <v>190</v>
      </c>
      <c r="C634" s="838" t="s">
        <v>8217</v>
      </c>
      <c r="D634" s="35" t="s">
        <v>3479</v>
      </c>
      <c r="E634" s="41">
        <f>'canal and allied works'!G7848</f>
        <v>189.9</v>
      </c>
      <c r="F634" s="35"/>
    </row>
    <row r="635" spans="1:6">
      <c r="A635" s="829"/>
      <c r="B635" s="35"/>
      <c r="C635" s="833" t="s">
        <v>9673</v>
      </c>
      <c r="D635" s="35" t="s">
        <v>3479</v>
      </c>
      <c r="E635" s="35"/>
      <c r="F635" s="41">
        <f>'canal and allied works'!E7839</f>
        <v>51.7</v>
      </c>
    </row>
    <row r="636" spans="1:6">
      <c r="A636" s="829"/>
      <c r="B636" s="35"/>
      <c r="C636" s="833"/>
      <c r="D636" s="39"/>
      <c r="E636" s="35"/>
      <c r="F636" s="35"/>
    </row>
    <row r="637" spans="1:6" ht="72">
      <c r="A637" s="829" t="s">
        <v>7516</v>
      </c>
      <c r="B637" s="35">
        <v>191</v>
      </c>
      <c r="C637" s="838" t="s">
        <v>8218</v>
      </c>
      <c r="D637" s="35" t="s">
        <v>3479</v>
      </c>
      <c r="E637" s="41">
        <f>'canal and allied works'!G7894</f>
        <v>222.8</v>
      </c>
      <c r="F637" s="41"/>
    </row>
    <row r="638" spans="1:6">
      <c r="A638" s="829"/>
      <c r="B638" s="35"/>
      <c r="C638" s="838" t="s">
        <v>9673</v>
      </c>
      <c r="D638" s="35" t="s">
        <v>3479</v>
      </c>
      <c r="E638" s="41"/>
      <c r="F638" s="41">
        <f>'canal and allied works'!E7885</f>
        <v>123.4</v>
      </c>
    </row>
    <row r="639" spans="1:6">
      <c r="A639" s="829"/>
      <c r="B639" s="35"/>
      <c r="C639" s="833"/>
      <c r="D639" s="39"/>
      <c r="E639" s="35"/>
      <c r="F639" s="35"/>
    </row>
    <row r="640" spans="1:6" ht="72">
      <c r="A640" s="829" t="s">
        <v>514</v>
      </c>
      <c r="B640" s="35">
        <v>192</v>
      </c>
      <c r="C640" s="838" t="s">
        <v>8219</v>
      </c>
      <c r="D640" s="35" t="s">
        <v>3479</v>
      </c>
      <c r="E640" s="41">
        <f>'canal and allied works'!G7943</f>
        <v>165.4</v>
      </c>
      <c r="F640" s="35"/>
    </row>
    <row r="641" spans="1:6">
      <c r="A641" s="829"/>
      <c r="B641" s="35"/>
      <c r="C641" s="838" t="s">
        <v>9673</v>
      </c>
      <c r="D641" s="35" t="s">
        <v>3479</v>
      </c>
      <c r="E641" s="35"/>
      <c r="F641" s="41">
        <f>'canal and allied works'!E7934</f>
        <v>111.1</v>
      </c>
    </row>
    <row r="642" spans="1:6">
      <c r="A642" s="829"/>
      <c r="B642" s="35"/>
      <c r="C642" s="833"/>
      <c r="D642" s="39"/>
      <c r="E642" s="35"/>
      <c r="F642" s="35"/>
    </row>
    <row r="643" spans="1:6" ht="90">
      <c r="A643" s="829" t="s">
        <v>7517</v>
      </c>
      <c r="B643" s="35">
        <v>193</v>
      </c>
      <c r="C643" s="838" t="s">
        <v>8220</v>
      </c>
      <c r="D643" s="35" t="s">
        <v>3479</v>
      </c>
      <c r="E643" s="41">
        <f>'canal and allied works'!G7993</f>
        <v>218.9</v>
      </c>
      <c r="F643" s="41"/>
    </row>
    <row r="644" spans="1:6">
      <c r="A644" s="829"/>
      <c r="B644" s="35"/>
      <c r="C644" s="838" t="s">
        <v>9673</v>
      </c>
      <c r="D644" s="35" t="s">
        <v>3479</v>
      </c>
      <c r="E644" s="41"/>
      <c r="F644" s="41">
        <f>'canal and allied works'!E7984</f>
        <v>51.7</v>
      </c>
    </row>
    <row r="645" spans="1:6">
      <c r="A645" s="829"/>
      <c r="B645" s="35"/>
      <c r="C645" s="833"/>
      <c r="D645" s="39"/>
      <c r="E645" s="35"/>
      <c r="F645" s="35"/>
    </row>
    <row r="646" spans="1:6" ht="72">
      <c r="A646" s="829" t="s">
        <v>7518</v>
      </c>
      <c r="B646" s="35">
        <v>194</v>
      </c>
      <c r="C646" s="838" t="s">
        <v>8221</v>
      </c>
      <c r="D646" s="35" t="s">
        <v>3479</v>
      </c>
      <c r="E646" s="41">
        <f>'canal and allied works'!G8042</f>
        <v>267.3</v>
      </c>
      <c r="F646" s="41"/>
    </row>
    <row r="647" spans="1:6">
      <c r="A647" s="829"/>
      <c r="B647" s="35"/>
      <c r="C647" s="833" t="s">
        <v>9673</v>
      </c>
      <c r="D647" s="35" t="s">
        <v>3479</v>
      </c>
      <c r="E647" s="41"/>
      <c r="F647" s="41">
        <f>'canal and allied works'!E8033</f>
        <v>148.19999999999999</v>
      </c>
    </row>
    <row r="648" spans="1:6">
      <c r="A648" s="829"/>
      <c r="B648" s="35"/>
      <c r="C648" s="849"/>
      <c r="D648" s="35"/>
      <c r="E648" s="41"/>
      <c r="F648" s="41"/>
    </row>
    <row r="649" spans="1:6" ht="90">
      <c r="A649" s="829" t="s">
        <v>7519</v>
      </c>
      <c r="B649" s="35">
        <v>195</v>
      </c>
      <c r="C649" s="838" t="s">
        <v>8222</v>
      </c>
      <c r="D649" s="35" t="s">
        <v>3479</v>
      </c>
      <c r="E649" s="41">
        <f>'canal and allied works'!G8095</f>
        <v>332.7</v>
      </c>
      <c r="F649" s="41"/>
    </row>
    <row r="650" spans="1:6">
      <c r="A650" s="829"/>
      <c r="B650" s="35"/>
      <c r="C650" s="849" t="s">
        <v>9673</v>
      </c>
      <c r="D650" s="35" t="s">
        <v>3479</v>
      </c>
      <c r="E650" s="41"/>
      <c r="F650" s="41">
        <f>'canal and allied works'!E8086</f>
        <v>72.7</v>
      </c>
    </row>
    <row r="651" spans="1:6">
      <c r="A651" s="829"/>
      <c r="B651" s="35"/>
      <c r="C651" s="849"/>
      <c r="D651" s="35"/>
      <c r="E651" s="41"/>
      <c r="F651" s="41"/>
    </row>
    <row r="652" spans="1:6" ht="72">
      <c r="A652" s="829" t="s">
        <v>7520</v>
      </c>
      <c r="B652" s="35">
        <v>196</v>
      </c>
      <c r="C652" s="838" t="s">
        <v>8223</v>
      </c>
      <c r="D652" s="35" t="s">
        <v>3479</v>
      </c>
      <c r="E652" s="41">
        <f>'canal and allied works'!G8144</f>
        <v>401</v>
      </c>
      <c r="F652" s="41"/>
    </row>
    <row r="653" spans="1:6">
      <c r="A653" s="829"/>
      <c r="B653" s="35"/>
      <c r="C653" s="833" t="s">
        <v>9673</v>
      </c>
      <c r="D653" s="35" t="s">
        <v>3479</v>
      </c>
      <c r="E653" s="41"/>
      <c r="F653" s="41">
        <f>'canal and allied works'!E8135</f>
        <v>222.1</v>
      </c>
    </row>
    <row r="654" spans="1:6">
      <c r="A654" s="829"/>
      <c r="B654" s="35"/>
      <c r="C654" s="833"/>
      <c r="D654" s="35"/>
      <c r="E654" s="41"/>
      <c r="F654" s="41"/>
    </row>
    <row r="655" spans="1:6" ht="90">
      <c r="A655" s="829" t="s">
        <v>7521</v>
      </c>
      <c r="B655" s="35">
        <v>197</v>
      </c>
      <c r="C655" s="838" t="s">
        <v>8224</v>
      </c>
      <c r="D655" s="35" t="s">
        <v>3479</v>
      </c>
      <c r="E655" s="41">
        <f>'canal and allied works'!G8208</f>
        <v>460</v>
      </c>
      <c r="F655" s="41"/>
    </row>
    <row r="656" spans="1:6">
      <c r="A656" s="829"/>
      <c r="B656" s="35"/>
      <c r="C656" s="849" t="s">
        <v>9673</v>
      </c>
      <c r="D656" s="35" t="s">
        <v>3479</v>
      </c>
      <c r="E656" s="41"/>
      <c r="F656" s="41">
        <f>'canal and allied works'!E8199</f>
        <v>88.6</v>
      </c>
    </row>
    <row r="657" spans="1:6">
      <c r="A657" s="829"/>
      <c r="B657" s="35"/>
      <c r="C657" s="849"/>
      <c r="D657" s="35"/>
      <c r="E657" s="41"/>
      <c r="F657" s="41"/>
    </row>
    <row r="658" spans="1:6" ht="54">
      <c r="A658" s="829" t="s">
        <v>7522</v>
      </c>
      <c r="B658" s="35">
        <v>198</v>
      </c>
      <c r="C658" s="838" t="s">
        <v>8225</v>
      </c>
      <c r="D658" s="35" t="s">
        <v>3479</v>
      </c>
      <c r="E658" s="41">
        <f>'canal and allied works'!G8260</f>
        <v>356.3</v>
      </c>
      <c r="F658" s="41"/>
    </row>
    <row r="659" spans="1:6">
      <c r="A659" s="829"/>
      <c r="B659" s="35"/>
      <c r="C659" s="833" t="s">
        <v>9673</v>
      </c>
      <c r="D659" s="35" t="s">
        <v>3479</v>
      </c>
      <c r="E659" s="41"/>
      <c r="F659" s="41">
        <f>'canal and allied works'!E8251</f>
        <v>19.5</v>
      </c>
    </row>
    <row r="660" spans="1:6">
      <c r="A660" s="829"/>
      <c r="B660" s="35"/>
      <c r="C660" s="833"/>
      <c r="D660" s="35"/>
      <c r="E660" s="41"/>
      <c r="F660" s="41"/>
    </row>
    <row r="661" spans="1:6" ht="108">
      <c r="A661" s="829" t="s">
        <v>7523</v>
      </c>
      <c r="B661" s="35">
        <v>199</v>
      </c>
      <c r="C661" s="838" t="s">
        <v>8226</v>
      </c>
      <c r="D661" s="35" t="s">
        <v>3479</v>
      </c>
      <c r="E661" s="41">
        <f>'canal and allied works'!G8313</f>
        <v>324.10000000000002</v>
      </c>
      <c r="F661" s="41"/>
    </row>
    <row r="662" spans="1:6">
      <c r="A662" s="829"/>
      <c r="B662" s="35"/>
      <c r="C662" s="833" t="s">
        <v>9673</v>
      </c>
      <c r="D662" s="35" t="s">
        <v>3479</v>
      </c>
      <c r="E662" s="41"/>
      <c r="F662" s="41">
        <f>'canal and allied works'!E8304</f>
        <v>51.7</v>
      </c>
    </row>
    <row r="663" spans="1:6">
      <c r="A663" s="829"/>
      <c r="B663" s="35"/>
      <c r="C663" s="833"/>
      <c r="D663" s="35"/>
      <c r="E663" s="41"/>
      <c r="F663" s="41"/>
    </row>
    <row r="664" spans="1:6" ht="108">
      <c r="A664" s="829" t="s">
        <v>7524</v>
      </c>
      <c r="B664" s="35">
        <v>200</v>
      </c>
      <c r="C664" s="838" t="s">
        <v>8227</v>
      </c>
      <c r="D664" s="35" t="s">
        <v>3479</v>
      </c>
      <c r="E664" s="41">
        <f>'canal and allied works'!G8368</f>
        <v>329.2</v>
      </c>
      <c r="F664" s="41"/>
    </row>
    <row r="665" spans="1:6">
      <c r="A665" s="829"/>
      <c r="B665" s="35"/>
      <c r="C665" s="833" t="s">
        <v>9673</v>
      </c>
      <c r="D665" s="35" t="s">
        <v>3479</v>
      </c>
      <c r="E665" s="41"/>
      <c r="F665" s="41">
        <f>'canal and allied works'!E8359</f>
        <v>72.7</v>
      </c>
    </row>
    <row r="666" spans="1:6">
      <c r="A666" s="829"/>
      <c r="B666" s="35"/>
      <c r="C666" s="833"/>
      <c r="D666" s="35"/>
      <c r="E666" s="41"/>
      <c r="F666" s="41"/>
    </row>
    <row r="667" spans="1:6" ht="126">
      <c r="A667" s="829" t="s">
        <v>7525</v>
      </c>
      <c r="B667" s="35">
        <v>201</v>
      </c>
      <c r="C667" s="838" t="s">
        <v>8228</v>
      </c>
      <c r="D667" s="35" t="s">
        <v>3479</v>
      </c>
      <c r="E667" s="41">
        <f>'canal and allied works'!G8437</f>
        <v>553.6</v>
      </c>
      <c r="F667" s="41"/>
    </row>
    <row r="668" spans="1:6">
      <c r="A668" s="829"/>
      <c r="B668" s="35"/>
      <c r="C668" s="833" t="s">
        <v>9673</v>
      </c>
      <c r="D668" s="35" t="s">
        <v>3479</v>
      </c>
      <c r="E668" s="41"/>
      <c r="F668" s="41">
        <f>'canal and allied works'!E8428</f>
        <v>84.6</v>
      </c>
    </row>
    <row r="669" spans="1:6">
      <c r="A669" s="829"/>
      <c r="B669" s="35"/>
      <c r="C669" s="833"/>
      <c r="D669" s="35"/>
      <c r="E669" s="41"/>
      <c r="F669" s="41"/>
    </row>
    <row r="670" spans="1:6" ht="126">
      <c r="A670" s="829" t="s">
        <v>7526</v>
      </c>
      <c r="B670" s="35">
        <v>202</v>
      </c>
      <c r="C670" s="838" t="s">
        <v>8229</v>
      </c>
      <c r="D670" s="35" t="s">
        <v>3479</v>
      </c>
      <c r="E670" s="41">
        <f>'canal and allied works'!G8507</f>
        <v>649.1</v>
      </c>
      <c r="F670" s="41"/>
    </row>
    <row r="671" spans="1:6">
      <c r="A671" s="829"/>
      <c r="B671" s="35"/>
      <c r="C671" s="838" t="s">
        <v>9673</v>
      </c>
      <c r="D671" s="35" t="s">
        <v>3479</v>
      </c>
      <c r="E671" s="41"/>
      <c r="F671" s="41">
        <f>'canal and allied works'!E8498</f>
        <v>116.1</v>
      </c>
    </row>
    <row r="672" spans="1:6">
      <c r="A672" s="829"/>
      <c r="B672" s="35"/>
      <c r="C672" s="838"/>
      <c r="D672" s="35"/>
      <c r="E672" s="41"/>
      <c r="F672" s="41"/>
    </row>
    <row r="673" spans="1:11" ht="54">
      <c r="A673" s="829" t="s">
        <v>7527</v>
      </c>
      <c r="B673" s="35">
        <v>203</v>
      </c>
      <c r="C673" s="838" t="s">
        <v>8230</v>
      </c>
      <c r="D673" s="35" t="s">
        <v>3479</v>
      </c>
      <c r="E673" s="41">
        <f>'canal and allied works'!G8563</f>
        <v>100.7</v>
      </c>
      <c r="F673" s="41"/>
    </row>
    <row r="674" spans="1:11">
      <c r="A674" s="829"/>
      <c r="B674" s="35"/>
      <c r="C674" s="838" t="s">
        <v>9673</v>
      </c>
      <c r="D674" s="35" t="s">
        <v>3479</v>
      </c>
      <c r="E674" s="41"/>
      <c r="F674" s="41">
        <f>'canal and allied works'!E8554</f>
        <v>66.8</v>
      </c>
    </row>
    <row r="675" spans="1:11">
      <c r="A675" s="829"/>
      <c r="B675" s="35"/>
      <c r="C675" s="833"/>
      <c r="D675" s="39"/>
      <c r="E675" s="35"/>
      <c r="F675" s="35"/>
    </row>
    <row r="676" spans="1:11" ht="90">
      <c r="A676" s="829" t="s">
        <v>7528</v>
      </c>
      <c r="B676" s="35">
        <v>204</v>
      </c>
      <c r="C676" s="838" t="s">
        <v>8231</v>
      </c>
      <c r="D676" s="35" t="s">
        <v>3479</v>
      </c>
      <c r="E676" s="41">
        <f>'canal and allied works'!G8608</f>
        <v>70.2</v>
      </c>
      <c r="F676" s="35"/>
    </row>
    <row r="677" spans="1:11">
      <c r="A677" s="829"/>
      <c r="B677" s="35"/>
      <c r="C677" s="833" t="s">
        <v>9673</v>
      </c>
      <c r="D677" s="35" t="s">
        <v>3479</v>
      </c>
      <c r="E677" s="41"/>
      <c r="F677" s="41">
        <f>'canal and allied works'!E8599</f>
        <v>38.4</v>
      </c>
    </row>
    <row r="678" spans="1:11">
      <c r="A678" s="829"/>
      <c r="B678" s="35"/>
      <c r="C678" s="833"/>
      <c r="D678" s="39"/>
      <c r="E678" s="35"/>
      <c r="F678" s="35"/>
    </row>
    <row r="679" spans="1:11">
      <c r="A679" s="832" t="s">
        <v>1420</v>
      </c>
      <c r="B679" s="35"/>
      <c r="C679" s="833"/>
      <c r="D679" s="38"/>
      <c r="E679" s="35"/>
      <c r="F679" s="35"/>
    </row>
    <row r="680" spans="1:11">
      <c r="A680" s="832" t="s">
        <v>7529</v>
      </c>
      <c r="B680" s="35"/>
      <c r="C680" s="842" t="s">
        <v>1266</v>
      </c>
      <c r="D680" s="38"/>
      <c r="E680" s="35"/>
      <c r="F680" s="35"/>
    </row>
    <row r="681" spans="1:11">
      <c r="A681" s="829"/>
      <c r="B681" s="35"/>
      <c r="C681" s="833"/>
      <c r="D681" s="38"/>
      <c r="E681" s="35"/>
      <c r="F681" s="35"/>
    </row>
    <row r="682" spans="1:11">
      <c r="A682" s="829" t="s">
        <v>7530</v>
      </c>
      <c r="B682" s="35"/>
      <c r="C682" s="837" t="s">
        <v>1421</v>
      </c>
      <c r="D682" s="39"/>
      <c r="E682" s="35"/>
      <c r="F682" s="35"/>
    </row>
    <row r="683" spans="1:11" ht="126">
      <c r="A683" s="829" t="s">
        <v>7531</v>
      </c>
      <c r="B683" s="35">
        <v>205</v>
      </c>
      <c r="C683" s="839" t="s">
        <v>8232</v>
      </c>
      <c r="D683" s="35" t="s">
        <v>3477</v>
      </c>
      <c r="E683" s="41">
        <f>'canal cross drainage works'!G103</f>
        <v>251.4</v>
      </c>
      <c r="F683" s="41"/>
    </row>
    <row r="684" spans="1:11">
      <c r="A684" s="829"/>
      <c r="B684" s="35"/>
      <c r="C684" s="839" t="s">
        <v>9673</v>
      </c>
      <c r="D684" s="35" t="s">
        <v>3477</v>
      </c>
      <c r="E684" s="41"/>
      <c r="F684" s="41">
        <f>'canal cross drainage works'!E94</f>
        <v>251.4</v>
      </c>
    </row>
    <row r="685" spans="1:11">
      <c r="A685" s="829"/>
      <c r="B685" s="35"/>
      <c r="C685" s="838"/>
      <c r="D685" s="38"/>
      <c r="E685" s="35"/>
      <c r="F685" s="35"/>
    </row>
    <row r="686" spans="1:11" s="57" customFormat="1" ht="144">
      <c r="A686" s="829" t="s">
        <v>7532</v>
      </c>
      <c r="B686" s="35">
        <v>206</v>
      </c>
      <c r="C686" s="850" t="s">
        <v>8233</v>
      </c>
      <c r="D686" s="35" t="s">
        <v>3477</v>
      </c>
      <c r="E686" s="52">
        <f>'canal cross drainage works'!G143</f>
        <v>93.9</v>
      </c>
      <c r="F686" s="53"/>
      <c r="G686" s="54"/>
      <c r="H686" s="54"/>
      <c r="I686" s="55"/>
      <c r="J686" s="56"/>
      <c r="K686" s="56"/>
    </row>
    <row r="687" spans="1:11" s="57" customFormat="1">
      <c r="A687" s="851"/>
      <c r="B687" s="53"/>
      <c r="C687" s="852" t="s">
        <v>9673</v>
      </c>
      <c r="D687" s="35" t="s">
        <v>3477</v>
      </c>
      <c r="E687" s="41"/>
      <c r="F687" s="41">
        <f>'canal cross drainage works'!E134</f>
        <v>20.7</v>
      </c>
      <c r="G687" s="55"/>
    </row>
    <row r="688" spans="1:11" s="57" customFormat="1">
      <c r="A688" s="851"/>
      <c r="B688" s="53"/>
      <c r="C688" s="852"/>
      <c r="D688" s="59"/>
      <c r="E688" s="35"/>
      <c r="F688" s="35"/>
      <c r="G688" s="55"/>
    </row>
    <row r="689" spans="1:18" ht="144">
      <c r="A689" s="829" t="s">
        <v>7533</v>
      </c>
      <c r="B689" s="35">
        <v>207</v>
      </c>
      <c r="C689" s="839" t="s">
        <v>8234</v>
      </c>
      <c r="D689" s="35" t="s">
        <v>3477</v>
      </c>
      <c r="E689" s="41">
        <f>'canal cross drainage works'!G186</f>
        <v>365</v>
      </c>
      <c r="F689" s="41"/>
    </row>
    <row r="690" spans="1:18">
      <c r="A690" s="829"/>
      <c r="B690" s="35"/>
      <c r="C690" s="833" t="s">
        <v>9673</v>
      </c>
      <c r="D690" s="35" t="s">
        <v>3477</v>
      </c>
      <c r="E690" s="41"/>
      <c r="F690" s="41">
        <f>'canal cross drainage works'!E177</f>
        <v>365</v>
      </c>
    </row>
    <row r="691" spans="1:18">
      <c r="A691" s="829"/>
      <c r="B691" s="35"/>
      <c r="C691" s="833"/>
      <c r="D691" s="38"/>
      <c r="E691" s="35"/>
      <c r="F691" s="35"/>
    </row>
    <row r="692" spans="1:18" ht="144">
      <c r="A692" s="829" t="s">
        <v>7534</v>
      </c>
      <c r="B692" s="35">
        <v>208</v>
      </c>
      <c r="C692" s="839" t="s">
        <v>8235</v>
      </c>
      <c r="D692" s="35" t="s">
        <v>3477</v>
      </c>
      <c r="E692" s="41">
        <f>'canal cross drainage works'!G228</f>
        <v>120.6</v>
      </c>
      <c r="F692" s="35"/>
    </row>
    <row r="693" spans="1:18" s="57" customFormat="1">
      <c r="A693" s="851"/>
      <c r="B693" s="35"/>
      <c r="C693" s="833" t="s">
        <v>9673</v>
      </c>
      <c r="D693" s="35" t="s">
        <v>3477</v>
      </c>
      <c r="E693" s="52"/>
      <c r="F693" s="52">
        <f>'canal cross drainage works'!E219</f>
        <v>23</v>
      </c>
      <c r="G693" s="54"/>
      <c r="H693" s="54"/>
      <c r="I693" s="55"/>
      <c r="J693" s="60"/>
      <c r="K693" s="61"/>
      <c r="L693" s="61"/>
      <c r="M693" s="61"/>
      <c r="N693" s="61"/>
      <c r="O693" s="61"/>
      <c r="P693" s="61"/>
      <c r="Q693" s="61"/>
      <c r="R693" s="61"/>
    </row>
    <row r="694" spans="1:18" s="57" customFormat="1">
      <c r="A694" s="851"/>
      <c r="B694" s="35"/>
      <c r="C694" s="833"/>
      <c r="D694" s="38"/>
      <c r="E694" s="53"/>
      <c r="F694" s="53"/>
      <c r="G694" s="54"/>
      <c r="H694" s="54"/>
      <c r="I694" s="55"/>
      <c r="J694" s="60"/>
      <c r="K694" s="61"/>
      <c r="L694" s="61"/>
      <c r="M694" s="61"/>
      <c r="N694" s="61"/>
      <c r="O694" s="61"/>
      <c r="P694" s="61"/>
      <c r="Q694" s="61"/>
      <c r="R694" s="61"/>
    </row>
    <row r="695" spans="1:18" ht="126">
      <c r="A695" s="829" t="s">
        <v>7535</v>
      </c>
      <c r="B695" s="35">
        <v>209</v>
      </c>
      <c r="C695" s="838" t="s">
        <v>8236</v>
      </c>
      <c r="D695" s="35" t="s">
        <v>3477</v>
      </c>
      <c r="E695" s="41">
        <f>'canal cross drainage works'!G308</f>
        <v>362.6</v>
      </c>
      <c r="F695" s="41"/>
      <c r="G695" s="31"/>
      <c r="H695" s="31"/>
      <c r="I695" s="31"/>
      <c r="J695" s="31"/>
    </row>
    <row r="696" spans="1:18">
      <c r="A696" s="829"/>
      <c r="B696" s="35"/>
      <c r="C696" s="833" t="s">
        <v>9673</v>
      </c>
      <c r="D696" s="35" t="s">
        <v>3477</v>
      </c>
      <c r="E696" s="41"/>
      <c r="F696" s="41">
        <f>'canal cross drainage works'!E299</f>
        <v>283.7</v>
      </c>
      <c r="G696" s="31"/>
      <c r="H696" s="31"/>
      <c r="I696" s="31"/>
      <c r="J696" s="31"/>
    </row>
    <row r="697" spans="1:18">
      <c r="A697" s="829"/>
      <c r="B697" s="35"/>
      <c r="C697" s="833"/>
      <c r="D697" s="39"/>
      <c r="E697" s="35"/>
      <c r="F697" s="35"/>
      <c r="G697" s="31"/>
      <c r="H697" s="31"/>
      <c r="I697" s="31"/>
      <c r="J697" s="31"/>
    </row>
    <row r="698" spans="1:18" ht="126">
      <c r="A698" s="829" t="s">
        <v>7536</v>
      </c>
      <c r="B698" s="35">
        <v>210</v>
      </c>
      <c r="C698" s="839" t="s">
        <v>8237</v>
      </c>
      <c r="D698" s="35" t="s">
        <v>3477</v>
      </c>
      <c r="E698" s="41">
        <f>'canal cross drainage works'!G396</f>
        <v>551.20000000000005</v>
      </c>
      <c r="F698" s="41"/>
    </row>
    <row r="699" spans="1:18">
      <c r="A699" s="829"/>
      <c r="B699" s="35"/>
      <c r="C699" s="833" t="s">
        <v>9673</v>
      </c>
      <c r="D699" s="35" t="s">
        <v>3477</v>
      </c>
      <c r="E699" s="41"/>
      <c r="F699" s="41">
        <f>'canal cross drainage works'!E387</f>
        <v>351.9</v>
      </c>
    </row>
    <row r="700" spans="1:18">
      <c r="A700" s="829"/>
      <c r="B700" s="35"/>
      <c r="C700" s="833"/>
      <c r="D700" s="39"/>
      <c r="E700" s="35"/>
      <c r="F700" s="35"/>
    </row>
    <row r="701" spans="1:18" ht="144">
      <c r="A701" s="829" t="s">
        <v>7537</v>
      </c>
      <c r="B701" s="35">
        <v>211</v>
      </c>
      <c r="C701" s="839" t="s">
        <v>8238</v>
      </c>
      <c r="D701" s="35" t="s">
        <v>3477</v>
      </c>
      <c r="E701" s="41">
        <f>'canal cross drainage works'!G438</f>
        <v>1004</v>
      </c>
      <c r="F701" s="35"/>
      <c r="G701" s="31"/>
      <c r="H701" s="31"/>
    </row>
    <row r="702" spans="1:18" s="57" customFormat="1">
      <c r="A702" s="854"/>
      <c r="B702" s="35"/>
      <c r="C702" s="838" t="s">
        <v>9673</v>
      </c>
      <c r="D702" s="35" t="s">
        <v>3477</v>
      </c>
      <c r="E702" s="41"/>
      <c r="F702" s="41">
        <f>'canal cross drainage works'!E429</f>
        <v>352.8</v>
      </c>
      <c r="G702" s="55"/>
      <c r="H702" s="56"/>
      <c r="J702" s="61"/>
      <c r="K702" s="61"/>
      <c r="L702" s="61"/>
      <c r="M702" s="61"/>
      <c r="N702" s="61"/>
      <c r="O702" s="61"/>
      <c r="P702" s="61"/>
      <c r="Q702" s="61"/>
      <c r="R702" s="61"/>
    </row>
    <row r="703" spans="1:18" s="57" customFormat="1">
      <c r="A703" s="854"/>
      <c r="B703" s="35"/>
      <c r="C703" s="838"/>
      <c r="D703" s="38"/>
      <c r="E703" s="35"/>
      <c r="F703" s="35"/>
      <c r="G703" s="55"/>
      <c r="H703" s="56"/>
      <c r="J703" s="61"/>
      <c r="K703" s="61"/>
      <c r="L703" s="61"/>
      <c r="M703" s="61"/>
      <c r="N703" s="61"/>
      <c r="O703" s="61"/>
      <c r="P703" s="61"/>
      <c r="Q703" s="61"/>
      <c r="R703" s="61"/>
    </row>
    <row r="704" spans="1:18" ht="108">
      <c r="A704" s="829" t="s">
        <v>7538</v>
      </c>
      <c r="B704" s="35">
        <v>212</v>
      </c>
      <c r="C704" s="838" t="s">
        <v>8239</v>
      </c>
      <c r="D704" s="35" t="s">
        <v>3481</v>
      </c>
      <c r="E704" s="41">
        <f>'canal cross drainage works'!G503</f>
        <v>793.4</v>
      </c>
      <c r="F704" s="41"/>
      <c r="G704" s="31"/>
      <c r="H704" s="31"/>
    </row>
    <row r="705" spans="1:6">
      <c r="A705" s="829"/>
      <c r="B705" s="35"/>
      <c r="C705" s="833" t="s">
        <v>9673</v>
      </c>
      <c r="D705" s="35" t="s">
        <v>3481</v>
      </c>
      <c r="E705" s="41"/>
      <c r="F705" s="41">
        <f>'canal cross drainage works'!E494</f>
        <v>218.5</v>
      </c>
    </row>
    <row r="706" spans="1:6">
      <c r="A706" s="829"/>
      <c r="B706" s="35"/>
      <c r="C706" s="833"/>
      <c r="D706" s="39"/>
      <c r="E706" s="35"/>
      <c r="F706" s="35"/>
    </row>
    <row r="707" spans="1:6">
      <c r="A707" s="829" t="s">
        <v>7539</v>
      </c>
      <c r="B707" s="35"/>
      <c r="C707" s="837" t="s">
        <v>464</v>
      </c>
      <c r="D707" s="39"/>
      <c r="E707" s="35"/>
      <c r="F707" s="35"/>
    </row>
    <row r="708" spans="1:6">
      <c r="A708" s="829"/>
      <c r="B708" s="35"/>
      <c r="C708" s="833"/>
      <c r="D708" s="39"/>
      <c r="E708" s="35"/>
      <c r="F708" s="35"/>
    </row>
    <row r="709" spans="1:6" ht="90">
      <c r="A709" s="829" t="s">
        <v>7540</v>
      </c>
      <c r="B709" s="35">
        <v>213</v>
      </c>
      <c r="C709" s="838" t="s">
        <v>8240</v>
      </c>
      <c r="D709" s="35" t="s">
        <v>3478</v>
      </c>
      <c r="E709" s="41">
        <f>'canal cross drainage works'!G555</f>
        <v>49.9</v>
      </c>
      <c r="F709" s="41"/>
    </row>
    <row r="710" spans="1:6">
      <c r="A710" s="829"/>
      <c r="B710" s="35"/>
      <c r="C710" s="833" t="s">
        <v>9673</v>
      </c>
      <c r="D710" s="35" t="s">
        <v>3478</v>
      </c>
      <c r="E710" s="41"/>
      <c r="F710" s="41">
        <f>'canal cross drainage works'!E546</f>
        <v>8.6</v>
      </c>
    </row>
    <row r="711" spans="1:6">
      <c r="A711" s="829"/>
      <c r="B711" s="35"/>
      <c r="C711" s="833"/>
      <c r="D711" s="39"/>
      <c r="E711" s="35"/>
      <c r="F711" s="35"/>
    </row>
    <row r="712" spans="1:6" ht="90">
      <c r="A712" s="829" t="s">
        <v>7541</v>
      </c>
      <c r="B712" s="35">
        <v>214</v>
      </c>
      <c r="C712" s="838" t="s">
        <v>8241</v>
      </c>
      <c r="D712" s="35" t="s">
        <v>3478</v>
      </c>
      <c r="E712" s="41">
        <f>'canal cross drainage works'!G627</f>
        <v>67.3</v>
      </c>
      <c r="F712" s="41"/>
    </row>
    <row r="713" spans="1:6">
      <c r="A713" s="829"/>
      <c r="B713" s="35"/>
      <c r="C713" s="833" t="s">
        <v>9673</v>
      </c>
      <c r="D713" s="35" t="s">
        <v>3478</v>
      </c>
      <c r="E713" s="41"/>
      <c r="F713" s="41">
        <f>'canal cross drainage works'!E618</f>
        <v>10.199999999999999</v>
      </c>
    </row>
    <row r="714" spans="1:6">
      <c r="A714" s="829"/>
      <c r="B714" s="35"/>
      <c r="C714" s="833"/>
      <c r="D714" s="39"/>
      <c r="E714" s="35"/>
      <c r="F714" s="35"/>
    </row>
    <row r="715" spans="1:6" ht="162">
      <c r="A715" s="829" t="s">
        <v>7542</v>
      </c>
      <c r="B715" s="35">
        <v>215</v>
      </c>
      <c r="C715" s="838" t="s">
        <v>8242</v>
      </c>
      <c r="D715" s="35" t="s">
        <v>3477</v>
      </c>
      <c r="E715" s="41">
        <f>'canal cross drainage works'!G778</f>
        <v>4604.6000000000004</v>
      </c>
      <c r="F715" s="41"/>
    </row>
    <row r="716" spans="1:6">
      <c r="A716" s="829"/>
      <c r="B716" s="35"/>
      <c r="C716" s="833" t="s">
        <v>9673</v>
      </c>
      <c r="D716" s="35" t="s">
        <v>3477</v>
      </c>
      <c r="E716" s="41"/>
      <c r="F716" s="41">
        <f>'canal cross drainage works'!E769</f>
        <v>1306.0999999999999</v>
      </c>
    </row>
    <row r="717" spans="1:6">
      <c r="A717" s="829"/>
      <c r="B717" s="35"/>
      <c r="C717" s="833"/>
      <c r="D717" s="39"/>
      <c r="E717" s="35"/>
      <c r="F717" s="35"/>
    </row>
    <row r="718" spans="1:6" ht="162">
      <c r="A718" s="829" t="s">
        <v>7543</v>
      </c>
      <c r="B718" s="35">
        <v>216</v>
      </c>
      <c r="C718" s="838" t="s">
        <v>8243</v>
      </c>
      <c r="D718" s="35" t="s">
        <v>3477</v>
      </c>
      <c r="E718" s="41">
        <f>'canal cross drainage works'!G862</f>
        <v>4589.8999999999996</v>
      </c>
      <c r="F718" s="41"/>
    </row>
    <row r="719" spans="1:6">
      <c r="A719" s="829"/>
      <c r="B719" s="35"/>
      <c r="C719" s="833" t="s">
        <v>9673</v>
      </c>
      <c r="D719" s="35" t="s">
        <v>3477</v>
      </c>
      <c r="E719" s="41"/>
      <c r="F719" s="41">
        <f>'canal cross drainage works'!E853</f>
        <v>1360.4</v>
      </c>
    </row>
    <row r="720" spans="1:6">
      <c r="A720" s="829"/>
      <c r="B720" s="35"/>
      <c r="C720" s="833"/>
      <c r="D720" s="39"/>
      <c r="E720" s="35"/>
      <c r="F720" s="35"/>
    </row>
    <row r="721" spans="1:6" ht="162">
      <c r="A721" s="829" t="s">
        <v>7544</v>
      </c>
      <c r="B721" s="35">
        <v>217</v>
      </c>
      <c r="C721" s="838" t="s">
        <v>8244</v>
      </c>
      <c r="D721" s="35" t="s">
        <v>3477</v>
      </c>
      <c r="E721" s="41">
        <f>'canal cross drainage works'!G943</f>
        <v>4284.6000000000004</v>
      </c>
      <c r="F721" s="41"/>
    </row>
    <row r="722" spans="1:6">
      <c r="A722" s="829"/>
      <c r="B722" s="35"/>
      <c r="C722" s="833" t="s">
        <v>9673</v>
      </c>
      <c r="D722" s="35" t="s">
        <v>3477</v>
      </c>
      <c r="E722" s="41"/>
      <c r="F722" s="41">
        <f>'canal cross drainage works'!E934</f>
        <v>1248.3</v>
      </c>
    </row>
    <row r="723" spans="1:6">
      <c r="A723" s="829"/>
      <c r="B723" s="35"/>
      <c r="C723" s="833"/>
      <c r="D723" s="39"/>
      <c r="E723" s="35"/>
      <c r="F723" s="35"/>
    </row>
    <row r="724" spans="1:6" ht="162">
      <c r="A724" s="829" t="s">
        <v>7545</v>
      </c>
      <c r="B724" s="35">
        <v>218</v>
      </c>
      <c r="C724" s="838" t="s">
        <v>8245</v>
      </c>
      <c r="D724" s="35" t="s">
        <v>3477</v>
      </c>
      <c r="E724" s="41">
        <f>'canal cross drainage works'!G1026</f>
        <v>4388.8</v>
      </c>
      <c r="F724" s="41"/>
    </row>
    <row r="725" spans="1:6">
      <c r="A725" s="829"/>
      <c r="B725" s="35"/>
      <c r="C725" s="833" t="s">
        <v>9673</v>
      </c>
      <c r="D725" s="35" t="s">
        <v>3477</v>
      </c>
      <c r="E725" s="41"/>
      <c r="F725" s="41">
        <f>'canal cross drainage works'!E1017</f>
        <v>1351.7</v>
      </c>
    </row>
    <row r="726" spans="1:6">
      <c r="A726" s="829"/>
      <c r="B726" s="35"/>
      <c r="C726" s="833"/>
      <c r="D726" s="39"/>
      <c r="E726" s="35"/>
      <c r="F726" s="35"/>
    </row>
    <row r="727" spans="1:6" ht="162">
      <c r="A727" s="829" t="s">
        <v>7546</v>
      </c>
      <c r="B727" s="35">
        <v>219</v>
      </c>
      <c r="C727" s="838" t="s">
        <v>8246</v>
      </c>
      <c r="D727" s="35" t="s">
        <v>3477</v>
      </c>
      <c r="E727" s="41">
        <f>'canal cross drainage works'!G1108</f>
        <v>5000.5</v>
      </c>
      <c r="F727" s="41"/>
    </row>
    <row r="728" spans="1:6">
      <c r="A728" s="829"/>
      <c r="B728" s="35"/>
      <c r="C728" s="833" t="s">
        <v>9673</v>
      </c>
      <c r="D728" s="35" t="s">
        <v>3477</v>
      </c>
      <c r="E728" s="41"/>
      <c r="F728" s="41">
        <f>'canal cross drainage works'!E1099</f>
        <v>1373</v>
      </c>
    </row>
    <row r="729" spans="1:6">
      <c r="A729" s="829"/>
      <c r="B729" s="35"/>
      <c r="C729" s="833"/>
      <c r="D729" s="39"/>
      <c r="E729" s="35"/>
      <c r="F729" s="35"/>
    </row>
    <row r="730" spans="1:6" ht="162">
      <c r="A730" s="829" t="s">
        <v>7547</v>
      </c>
      <c r="B730" s="35">
        <v>220</v>
      </c>
      <c r="C730" s="838" t="s">
        <v>8247</v>
      </c>
      <c r="D730" s="35" t="s">
        <v>3477</v>
      </c>
      <c r="E730" s="41">
        <f>'canal cross drainage works'!G1191</f>
        <v>5419.2</v>
      </c>
      <c r="F730" s="41"/>
    </row>
    <row r="731" spans="1:6">
      <c r="A731" s="829"/>
      <c r="B731" s="35"/>
      <c r="C731" s="833" t="s">
        <v>9673</v>
      </c>
      <c r="D731" s="35" t="s">
        <v>3477</v>
      </c>
      <c r="E731" s="41"/>
      <c r="F731" s="41">
        <f>'canal cross drainage works'!E1182</f>
        <v>1367.9</v>
      </c>
    </row>
    <row r="732" spans="1:6">
      <c r="A732" s="829"/>
      <c r="B732" s="35"/>
      <c r="C732" s="833"/>
      <c r="D732" s="39"/>
      <c r="E732" s="35"/>
      <c r="F732" s="35"/>
    </row>
    <row r="733" spans="1:6" ht="162">
      <c r="A733" s="829" t="s">
        <v>7548</v>
      </c>
      <c r="B733" s="35">
        <v>221</v>
      </c>
      <c r="C733" s="838" t="s">
        <v>8248</v>
      </c>
      <c r="D733" s="35" t="s">
        <v>3477</v>
      </c>
      <c r="E733" s="41">
        <f>'canal cross drainage works'!G1273</f>
        <v>5414.9</v>
      </c>
      <c r="F733" s="41"/>
    </row>
    <row r="734" spans="1:6">
      <c r="A734" s="829"/>
      <c r="B734" s="35"/>
      <c r="C734" s="833" t="s">
        <v>9673</v>
      </c>
      <c r="D734" s="35" t="s">
        <v>3477</v>
      </c>
      <c r="E734" s="41"/>
      <c r="F734" s="41">
        <f>'canal cross drainage works'!E1264</f>
        <v>1452.9</v>
      </c>
    </row>
    <row r="735" spans="1:6">
      <c r="A735" s="829"/>
      <c r="B735" s="35"/>
      <c r="C735" s="833"/>
      <c r="D735" s="39"/>
      <c r="E735" s="35"/>
      <c r="F735" s="35"/>
    </row>
    <row r="736" spans="1:6" ht="162">
      <c r="A736" s="829" t="s">
        <v>7549</v>
      </c>
      <c r="B736" s="35">
        <v>222</v>
      </c>
      <c r="C736" s="838" t="s">
        <v>8249</v>
      </c>
      <c r="D736" s="35" t="s">
        <v>3477</v>
      </c>
      <c r="E736" s="41">
        <f>'canal cross drainage works'!G1355</f>
        <v>5101.5</v>
      </c>
      <c r="F736" s="41"/>
    </row>
    <row r="737" spans="1:6">
      <c r="A737" s="829"/>
      <c r="B737" s="35"/>
      <c r="C737" s="833" t="s">
        <v>9673</v>
      </c>
      <c r="D737" s="35" t="s">
        <v>3477</v>
      </c>
      <c r="E737" s="41"/>
      <c r="F737" s="41">
        <f>'canal cross drainage works'!E1346</f>
        <v>1455.5</v>
      </c>
    </row>
    <row r="738" spans="1:6">
      <c r="A738" s="829"/>
      <c r="B738" s="35"/>
      <c r="C738" s="833"/>
      <c r="D738" s="39"/>
      <c r="E738" s="35"/>
      <c r="F738" s="35"/>
    </row>
    <row r="739" spans="1:6" ht="162">
      <c r="A739" s="829" t="s">
        <v>7550</v>
      </c>
      <c r="B739" s="35">
        <v>223</v>
      </c>
      <c r="C739" s="838" t="s">
        <v>8250</v>
      </c>
      <c r="D739" s="35" t="s">
        <v>3477</v>
      </c>
      <c r="E739" s="41">
        <f>'canal cross drainage works'!G1437</f>
        <v>4600.5</v>
      </c>
      <c r="F739" s="41"/>
    </row>
    <row r="740" spans="1:6">
      <c r="A740" s="829"/>
      <c r="B740" s="35"/>
      <c r="C740" s="833" t="s">
        <v>9673</v>
      </c>
      <c r="D740" s="35" t="s">
        <v>3477</v>
      </c>
      <c r="E740" s="41"/>
      <c r="F740" s="41">
        <f>'canal cross drainage works'!E1428</f>
        <v>1352.9</v>
      </c>
    </row>
    <row r="741" spans="1:6">
      <c r="A741" s="829"/>
      <c r="B741" s="35"/>
      <c r="C741" s="833"/>
      <c r="D741" s="39"/>
      <c r="E741" s="35"/>
      <c r="F741" s="35"/>
    </row>
    <row r="742" spans="1:6" ht="198">
      <c r="A742" s="829" t="s">
        <v>7551</v>
      </c>
      <c r="B742" s="35">
        <v>224</v>
      </c>
      <c r="C742" s="838" t="s">
        <v>8251</v>
      </c>
      <c r="D742" s="35" t="s">
        <v>3477</v>
      </c>
      <c r="E742" s="41">
        <f>'canal cross drainage works'!G1515</f>
        <v>6673.5</v>
      </c>
      <c r="F742" s="41"/>
    </row>
    <row r="743" spans="1:6">
      <c r="A743" s="829"/>
      <c r="B743" s="35"/>
      <c r="C743" s="833" t="s">
        <v>9673</v>
      </c>
      <c r="D743" s="35" t="s">
        <v>3477</v>
      </c>
      <c r="E743" s="41"/>
      <c r="F743" s="41">
        <f>'canal cross drainage works'!E1506</f>
        <v>1755.4</v>
      </c>
    </row>
    <row r="744" spans="1:6">
      <c r="A744" s="829"/>
      <c r="B744" s="35"/>
      <c r="C744" s="833"/>
      <c r="D744" s="39"/>
      <c r="E744" s="35"/>
      <c r="F744" s="35"/>
    </row>
    <row r="745" spans="1:6" ht="216">
      <c r="A745" s="829" t="s">
        <v>7552</v>
      </c>
      <c r="B745" s="35">
        <v>225</v>
      </c>
      <c r="C745" s="839" t="s">
        <v>8252</v>
      </c>
      <c r="D745" s="35" t="s">
        <v>3477</v>
      </c>
      <c r="E745" s="41">
        <f>'canal cross drainage works'!G1594</f>
        <v>6069.1</v>
      </c>
      <c r="F745" s="41"/>
    </row>
    <row r="746" spans="1:6">
      <c r="A746" s="829"/>
      <c r="B746" s="35"/>
      <c r="C746" s="833" t="s">
        <v>9673</v>
      </c>
      <c r="D746" s="35" t="s">
        <v>3477</v>
      </c>
      <c r="E746" s="41"/>
      <c r="F746" s="41">
        <f>'canal cross drainage works'!E1585</f>
        <v>1604.6</v>
      </c>
    </row>
    <row r="747" spans="1:6">
      <c r="A747" s="829"/>
      <c r="B747" s="35"/>
      <c r="C747" s="833"/>
      <c r="D747" s="39"/>
      <c r="E747" s="35"/>
      <c r="F747" s="35"/>
    </row>
    <row r="748" spans="1:6" ht="126">
      <c r="A748" s="829" t="s">
        <v>7553</v>
      </c>
      <c r="B748" s="35">
        <v>226</v>
      </c>
      <c r="C748" s="838" t="s">
        <v>8253</v>
      </c>
      <c r="D748" s="35" t="s">
        <v>3477</v>
      </c>
      <c r="E748" s="41">
        <f>'canal cross drainage works'!G1665</f>
        <v>4675.3999999999996</v>
      </c>
      <c r="F748" s="41"/>
    </row>
    <row r="749" spans="1:6">
      <c r="A749" s="829"/>
      <c r="B749" s="35"/>
      <c r="C749" s="833" t="s">
        <v>9673</v>
      </c>
      <c r="D749" s="35" t="s">
        <v>3477</v>
      </c>
      <c r="E749" s="41"/>
      <c r="F749" s="41">
        <f>'canal cross drainage works'!E1656</f>
        <v>1267</v>
      </c>
    </row>
    <row r="750" spans="1:6">
      <c r="A750" s="829"/>
      <c r="B750" s="35"/>
      <c r="C750" s="833"/>
      <c r="D750" s="39"/>
      <c r="E750" s="35"/>
      <c r="F750" s="35"/>
    </row>
    <row r="751" spans="1:6" ht="198">
      <c r="A751" s="829" t="s">
        <v>7554</v>
      </c>
      <c r="B751" s="35">
        <v>227</v>
      </c>
      <c r="C751" s="838" t="s">
        <v>8254</v>
      </c>
      <c r="D751" s="35" t="s">
        <v>3477</v>
      </c>
      <c r="E751" s="41">
        <f>'canal cross drainage works'!G1736</f>
        <v>4322.8</v>
      </c>
      <c r="F751" s="41"/>
    </row>
    <row r="752" spans="1:6">
      <c r="A752" s="829"/>
      <c r="B752" s="35"/>
      <c r="C752" s="833" t="s">
        <v>9673</v>
      </c>
      <c r="D752" s="35" t="s">
        <v>3477</v>
      </c>
      <c r="E752" s="41"/>
      <c r="F752" s="41">
        <f>'canal cross drainage works'!E1727</f>
        <v>1242.3</v>
      </c>
    </row>
    <row r="753" spans="1:6">
      <c r="A753" s="829"/>
      <c r="B753" s="35"/>
      <c r="C753" s="833"/>
      <c r="D753" s="39"/>
      <c r="E753" s="35"/>
      <c r="F753" s="35"/>
    </row>
    <row r="754" spans="1:6" ht="198">
      <c r="A754" s="829" t="s">
        <v>7555</v>
      </c>
      <c r="B754" s="35">
        <v>228</v>
      </c>
      <c r="C754" s="839" t="s">
        <v>8255</v>
      </c>
      <c r="D754" s="35" t="s">
        <v>3477</v>
      </c>
      <c r="E754" s="41">
        <f>'canal cross drainage works'!G1813</f>
        <v>4792.7</v>
      </c>
      <c r="F754" s="41"/>
    </row>
    <row r="755" spans="1:6">
      <c r="A755" s="829"/>
      <c r="B755" s="35"/>
      <c r="C755" s="833" t="s">
        <v>9673</v>
      </c>
      <c r="D755" s="35" t="s">
        <v>3477</v>
      </c>
      <c r="E755" s="41"/>
      <c r="F755" s="41">
        <f>'canal cross drainage works'!E1804</f>
        <v>1264.0999999999999</v>
      </c>
    </row>
    <row r="756" spans="1:6">
      <c r="A756" s="829"/>
      <c r="B756" s="35"/>
      <c r="C756" s="833"/>
      <c r="D756" s="39"/>
      <c r="E756" s="35"/>
      <c r="F756" s="35"/>
    </row>
    <row r="757" spans="1:6" ht="216">
      <c r="A757" s="829" t="s">
        <v>7556</v>
      </c>
      <c r="B757" s="35">
        <v>229</v>
      </c>
      <c r="C757" s="839" t="s">
        <v>8256</v>
      </c>
      <c r="D757" s="35" t="s">
        <v>3477</v>
      </c>
      <c r="E757" s="41">
        <f>'canal cross drainage works'!G1897</f>
        <v>5540.2</v>
      </c>
      <c r="F757" s="41"/>
    </row>
    <row r="758" spans="1:6">
      <c r="A758" s="829"/>
      <c r="B758" s="35"/>
      <c r="C758" s="833" t="s">
        <v>9673</v>
      </c>
      <c r="D758" s="35" t="s">
        <v>3477</v>
      </c>
      <c r="E758" s="41"/>
      <c r="F758" s="41">
        <f>'canal cross drainage works'!E1888</f>
        <v>1678.2</v>
      </c>
    </row>
    <row r="759" spans="1:6">
      <c r="A759" s="829"/>
      <c r="B759" s="35"/>
      <c r="C759" s="833"/>
      <c r="D759" s="39"/>
      <c r="E759" s="35"/>
      <c r="F759" s="35"/>
    </row>
    <row r="760" spans="1:6" ht="216">
      <c r="A760" s="829" t="s">
        <v>7557</v>
      </c>
      <c r="B760" s="35">
        <v>230</v>
      </c>
      <c r="C760" s="839" t="s">
        <v>8257</v>
      </c>
      <c r="D760" s="35" t="s">
        <v>3477</v>
      </c>
      <c r="E760" s="41">
        <f>'canal cross drainage works'!G1980</f>
        <v>5339</v>
      </c>
      <c r="F760" s="41"/>
    </row>
    <row r="761" spans="1:6">
      <c r="A761" s="829"/>
      <c r="B761" s="35"/>
      <c r="C761" s="833" t="s">
        <v>9673</v>
      </c>
      <c r="D761" s="35" t="s">
        <v>3477</v>
      </c>
      <c r="E761" s="41"/>
      <c r="F761" s="41">
        <f>'canal cross drainage works'!E1971</f>
        <v>1668.7</v>
      </c>
    </row>
    <row r="762" spans="1:6">
      <c r="A762" s="829"/>
      <c r="B762" s="35"/>
      <c r="C762" s="833"/>
      <c r="D762" s="39"/>
      <c r="E762" s="35"/>
      <c r="F762" s="35"/>
    </row>
    <row r="763" spans="1:6" ht="216">
      <c r="A763" s="829" t="s">
        <v>7558</v>
      </c>
      <c r="B763" s="35">
        <v>231</v>
      </c>
      <c r="C763" s="839" t="s">
        <v>8258</v>
      </c>
      <c r="D763" s="35" t="s">
        <v>3477</v>
      </c>
      <c r="E763" s="41">
        <f>'canal cross drainage works'!G2062</f>
        <v>5219.2</v>
      </c>
      <c r="F763" s="41"/>
    </row>
    <row r="764" spans="1:6">
      <c r="A764" s="829"/>
      <c r="B764" s="35"/>
      <c r="C764" s="833" t="s">
        <v>9673</v>
      </c>
      <c r="D764" s="35" t="s">
        <v>3477</v>
      </c>
      <c r="E764" s="41"/>
      <c r="F764" s="41">
        <f>'canal cross drainage works'!E2053</f>
        <v>1543.5</v>
      </c>
    </row>
    <row r="765" spans="1:6">
      <c r="A765" s="829"/>
      <c r="B765" s="35"/>
      <c r="C765" s="833"/>
      <c r="D765" s="39"/>
      <c r="E765" s="35"/>
      <c r="F765" s="35"/>
    </row>
    <row r="766" spans="1:6" ht="216">
      <c r="A766" s="829" t="s">
        <v>7559</v>
      </c>
      <c r="B766" s="35">
        <v>232</v>
      </c>
      <c r="C766" s="839" t="s">
        <v>8259</v>
      </c>
      <c r="D766" s="35" t="s">
        <v>3477</v>
      </c>
      <c r="E766" s="41">
        <f>'canal cross drainage works'!G2144</f>
        <v>5986.8</v>
      </c>
      <c r="F766" s="41"/>
    </row>
    <row r="767" spans="1:6">
      <c r="A767" s="829"/>
      <c r="B767" s="35"/>
      <c r="C767" s="833" t="s">
        <v>9673</v>
      </c>
      <c r="D767" s="35" t="s">
        <v>3477</v>
      </c>
      <c r="E767" s="41"/>
      <c r="F767" s="41">
        <f>'canal cross drainage works'!E2135</f>
        <v>1597.9</v>
      </c>
    </row>
    <row r="768" spans="1:6">
      <c r="A768" s="829"/>
      <c r="B768" s="35"/>
      <c r="C768" s="833"/>
      <c r="D768" s="39"/>
      <c r="E768" s="35"/>
      <c r="F768" s="35"/>
    </row>
    <row r="769" spans="1:6" ht="252">
      <c r="A769" s="829" t="s">
        <v>7560</v>
      </c>
      <c r="B769" s="35">
        <v>233</v>
      </c>
      <c r="C769" s="839" t="s">
        <v>8260</v>
      </c>
      <c r="D769" s="35" t="s">
        <v>3477</v>
      </c>
      <c r="E769" s="41">
        <f>'canal cross drainage works'!G2231</f>
        <v>5288.9</v>
      </c>
      <c r="F769" s="41"/>
    </row>
    <row r="770" spans="1:6">
      <c r="A770" s="829"/>
      <c r="B770" s="35"/>
      <c r="C770" s="833" t="s">
        <v>9673</v>
      </c>
      <c r="D770" s="35" t="s">
        <v>3477</v>
      </c>
      <c r="E770" s="41"/>
      <c r="F770" s="41">
        <f>'canal cross drainage works'!E2222</f>
        <v>1496.7</v>
      </c>
    </row>
    <row r="771" spans="1:6">
      <c r="A771" s="829"/>
      <c r="B771" s="35"/>
      <c r="C771" s="833"/>
      <c r="D771" s="39"/>
      <c r="E771" s="35"/>
      <c r="F771" s="35"/>
    </row>
    <row r="772" spans="1:6" ht="198">
      <c r="A772" s="829" t="s">
        <v>7561</v>
      </c>
      <c r="B772" s="35">
        <v>234</v>
      </c>
      <c r="C772" s="839" t="s">
        <v>8261</v>
      </c>
      <c r="D772" s="35" t="s">
        <v>3477</v>
      </c>
      <c r="E772" s="41">
        <f>'canal cross drainage works'!G2314</f>
        <v>5007.8999999999996</v>
      </c>
      <c r="F772" s="41"/>
    </row>
    <row r="773" spans="1:6">
      <c r="A773" s="829"/>
      <c r="B773" s="35"/>
      <c r="C773" s="833" t="s">
        <v>9673</v>
      </c>
      <c r="D773" s="35" t="s">
        <v>3477</v>
      </c>
      <c r="E773" s="41"/>
      <c r="F773" s="41">
        <f>'canal cross drainage works'!E2305</f>
        <v>1413.7</v>
      </c>
    </row>
    <row r="774" spans="1:6">
      <c r="A774" s="829"/>
      <c r="B774" s="35"/>
      <c r="C774" s="833"/>
      <c r="D774" s="39"/>
      <c r="E774" s="35"/>
      <c r="F774" s="35"/>
    </row>
    <row r="775" spans="1:6" ht="216">
      <c r="A775" s="829" t="s">
        <v>7562</v>
      </c>
      <c r="B775" s="35">
        <v>235</v>
      </c>
      <c r="C775" s="839" t="s">
        <v>8262</v>
      </c>
      <c r="D775" s="35" t="s">
        <v>3477</v>
      </c>
      <c r="E775" s="41">
        <f>'canal cross drainage works'!G2396</f>
        <v>4987.6000000000004</v>
      </c>
      <c r="F775" s="41"/>
    </row>
    <row r="776" spans="1:6">
      <c r="A776" s="829"/>
      <c r="B776" s="35"/>
      <c r="C776" s="833" t="s">
        <v>9673</v>
      </c>
      <c r="D776" s="35" t="s">
        <v>3477</v>
      </c>
      <c r="E776" s="41"/>
      <c r="F776" s="41">
        <f>'canal cross drainage works'!E2387</f>
        <v>1467.1</v>
      </c>
    </row>
    <row r="777" spans="1:6">
      <c r="A777" s="829"/>
      <c r="B777" s="35"/>
      <c r="C777" s="833"/>
      <c r="D777" s="39"/>
      <c r="E777" s="35"/>
      <c r="F777" s="35"/>
    </row>
    <row r="778" spans="1:6" ht="216">
      <c r="A778" s="829" t="s">
        <v>7563</v>
      </c>
      <c r="B778" s="35">
        <v>236</v>
      </c>
      <c r="C778" s="839" t="s">
        <v>8263</v>
      </c>
      <c r="D778" s="35" t="s">
        <v>3477</v>
      </c>
      <c r="E778" s="41">
        <f>'canal cross drainage works'!G2475</f>
        <v>8073.5</v>
      </c>
      <c r="F778" s="41"/>
    </row>
    <row r="779" spans="1:6">
      <c r="A779" s="829"/>
      <c r="B779" s="35"/>
      <c r="C779" s="833" t="s">
        <v>9673</v>
      </c>
      <c r="D779" s="35" t="s">
        <v>3477</v>
      </c>
      <c r="E779" s="41"/>
      <c r="F779" s="41">
        <f>'canal cross drainage works'!E2466</f>
        <v>2100.6</v>
      </c>
    </row>
    <row r="780" spans="1:6">
      <c r="A780" s="829"/>
      <c r="B780" s="35"/>
      <c r="C780" s="833"/>
      <c r="D780" s="39"/>
      <c r="E780" s="35"/>
      <c r="F780" s="35"/>
    </row>
    <row r="781" spans="1:6" ht="216">
      <c r="A781" s="829" t="s">
        <v>7564</v>
      </c>
      <c r="B781" s="35">
        <v>237</v>
      </c>
      <c r="C781" s="839" t="s">
        <v>8264</v>
      </c>
      <c r="D781" s="35" t="s">
        <v>3477</v>
      </c>
      <c r="E781" s="41">
        <f>'canal cross drainage works'!G2555</f>
        <v>7105.8</v>
      </c>
      <c r="F781" s="41"/>
    </row>
    <row r="782" spans="1:6">
      <c r="A782" s="829"/>
      <c r="B782" s="35"/>
      <c r="C782" s="833" t="s">
        <v>9673</v>
      </c>
      <c r="D782" s="35" t="s">
        <v>3477</v>
      </c>
      <c r="E782" s="41"/>
      <c r="F782" s="41">
        <f>'canal cross drainage works'!E2546</f>
        <v>1917.6</v>
      </c>
    </row>
    <row r="783" spans="1:6">
      <c r="A783" s="829"/>
      <c r="B783" s="35"/>
      <c r="C783" s="833"/>
      <c r="D783" s="39"/>
      <c r="E783" s="35"/>
      <c r="F783" s="35"/>
    </row>
    <row r="784" spans="1:6" ht="216">
      <c r="A784" s="829" t="s">
        <v>7565</v>
      </c>
      <c r="B784" s="35">
        <v>238</v>
      </c>
      <c r="C784" s="839" t="s">
        <v>8265</v>
      </c>
      <c r="D784" s="35" t="s">
        <v>3477</v>
      </c>
      <c r="E784" s="41">
        <f>'canal cross drainage works'!G2633</f>
        <v>4707.1000000000004</v>
      </c>
      <c r="F784" s="41"/>
    </row>
    <row r="785" spans="1:7">
      <c r="A785" s="829"/>
      <c r="B785" s="35"/>
      <c r="C785" s="833" t="s">
        <v>9673</v>
      </c>
      <c r="D785" s="35" t="s">
        <v>3477</v>
      </c>
      <c r="E785" s="41"/>
      <c r="F785" s="41">
        <f>'canal cross drainage works'!E2624</f>
        <v>1296.3</v>
      </c>
    </row>
    <row r="786" spans="1:7">
      <c r="A786" s="829"/>
      <c r="B786" s="35"/>
      <c r="C786" s="833"/>
      <c r="D786" s="39"/>
      <c r="E786" s="35"/>
      <c r="F786" s="35"/>
    </row>
    <row r="787" spans="1:7" ht="198">
      <c r="A787" s="829" t="s">
        <v>7566</v>
      </c>
      <c r="B787" s="35">
        <v>239</v>
      </c>
      <c r="C787" s="839" t="s">
        <v>8266</v>
      </c>
      <c r="D787" s="35" t="s">
        <v>3477</v>
      </c>
      <c r="E787" s="41">
        <f>'canal cross drainage works'!G2713</f>
        <v>6488.2</v>
      </c>
      <c r="F787" s="41"/>
    </row>
    <row r="788" spans="1:7">
      <c r="A788" s="829"/>
      <c r="B788" s="35"/>
      <c r="C788" s="833" t="s">
        <v>9673</v>
      </c>
      <c r="D788" s="35" t="s">
        <v>3477</v>
      </c>
      <c r="E788" s="41"/>
      <c r="F788" s="41">
        <f>'canal cross drainage works'!E2704</f>
        <v>1779.6</v>
      </c>
    </row>
    <row r="789" spans="1:7">
      <c r="A789" s="829"/>
      <c r="B789" s="35"/>
      <c r="C789" s="833"/>
      <c r="D789" s="39"/>
      <c r="E789" s="35"/>
      <c r="F789" s="35"/>
    </row>
    <row r="790" spans="1:7">
      <c r="A790" s="829" t="s">
        <v>7567</v>
      </c>
      <c r="B790" s="35"/>
      <c r="C790" s="837" t="s">
        <v>1472</v>
      </c>
      <c r="D790" s="39"/>
      <c r="E790" s="35"/>
      <c r="F790" s="35"/>
    </row>
    <row r="791" spans="1:7" s="61" customFormat="1">
      <c r="A791" s="829"/>
      <c r="B791" s="35"/>
      <c r="C791" s="833"/>
      <c r="D791" s="39"/>
      <c r="E791" s="35"/>
      <c r="F791" s="35"/>
      <c r="G791" s="62"/>
    </row>
    <row r="792" spans="1:7" ht="126">
      <c r="A792" s="829" t="s">
        <v>7568</v>
      </c>
      <c r="B792" s="35">
        <v>240</v>
      </c>
      <c r="C792" s="856" t="s">
        <v>8267</v>
      </c>
      <c r="D792" s="35" t="s">
        <v>1473</v>
      </c>
      <c r="E792" s="41">
        <f>'canal cross drainage works'!F2739</f>
        <v>3847.7</v>
      </c>
      <c r="F792" s="41"/>
    </row>
    <row r="793" spans="1:7">
      <c r="A793" s="829"/>
      <c r="B793" s="35"/>
      <c r="C793" s="833" t="s">
        <v>9673</v>
      </c>
      <c r="D793" s="35" t="s">
        <v>1473</v>
      </c>
      <c r="E793" s="41"/>
      <c r="F793" s="41">
        <f>'canal cross drainage works'!E2742</f>
        <v>1758.8</v>
      </c>
    </row>
    <row r="794" spans="1:7">
      <c r="A794" s="829"/>
      <c r="B794" s="35"/>
      <c r="C794" s="837" t="s">
        <v>1474</v>
      </c>
      <c r="D794" s="35" t="s">
        <v>1473</v>
      </c>
      <c r="E794" s="41">
        <f>'canal cross drainage works'!E2762</f>
        <v>5432.7</v>
      </c>
      <c r="F794" s="41"/>
    </row>
    <row r="795" spans="1:7">
      <c r="A795" s="829"/>
      <c r="B795" s="35"/>
      <c r="C795" s="833" t="s">
        <v>9673</v>
      </c>
      <c r="D795" s="35" t="s">
        <v>1473</v>
      </c>
      <c r="E795" s="41"/>
      <c r="F795" s="41">
        <f>'canal cross drainage works'!E2766</f>
        <v>2299.3000000000002</v>
      </c>
    </row>
    <row r="796" spans="1:7">
      <c r="A796" s="829"/>
      <c r="B796" s="35"/>
      <c r="C796" s="833"/>
      <c r="D796" s="39"/>
      <c r="E796" s="35"/>
      <c r="F796" s="35"/>
    </row>
    <row r="797" spans="1:7" ht="72">
      <c r="A797" s="829" t="s">
        <v>7569</v>
      </c>
      <c r="B797" s="35">
        <v>241</v>
      </c>
      <c r="C797" s="838" t="s">
        <v>8268</v>
      </c>
      <c r="D797" s="35" t="s">
        <v>3477</v>
      </c>
      <c r="E797" s="41">
        <f>'canal cross drainage works'!G2809</f>
        <v>227.9</v>
      </c>
      <c r="F797" s="41"/>
    </row>
    <row r="798" spans="1:7">
      <c r="A798" s="829"/>
      <c r="B798" s="35"/>
      <c r="C798" s="833" t="s">
        <v>9673</v>
      </c>
      <c r="D798" s="35" t="s">
        <v>3477</v>
      </c>
      <c r="E798" s="41"/>
      <c r="F798" s="41">
        <f>'canal cross drainage works'!E2800</f>
        <v>114.5</v>
      </c>
    </row>
    <row r="799" spans="1:7">
      <c r="A799" s="829"/>
      <c r="B799" s="35"/>
      <c r="C799" s="833"/>
      <c r="D799" s="39"/>
      <c r="E799" s="35"/>
      <c r="F799" s="35"/>
    </row>
    <row r="800" spans="1:7">
      <c r="A800" s="829" t="s">
        <v>7570</v>
      </c>
      <c r="B800" s="35"/>
      <c r="C800" s="837" t="s">
        <v>228</v>
      </c>
      <c r="D800" s="39"/>
      <c r="E800" s="35"/>
      <c r="F800" s="35"/>
    </row>
    <row r="801" spans="1:6">
      <c r="A801" s="829"/>
      <c r="B801" s="35"/>
      <c r="C801" s="833"/>
      <c r="D801" s="39"/>
      <c r="E801" s="35"/>
      <c r="F801" s="35"/>
    </row>
    <row r="802" spans="1:6" ht="126">
      <c r="A802" s="829" t="s">
        <v>7571</v>
      </c>
      <c r="B802" s="35">
        <v>242</v>
      </c>
      <c r="C802" s="838" t="s">
        <v>8269</v>
      </c>
      <c r="D802" s="35" t="s">
        <v>3477</v>
      </c>
      <c r="E802" s="41">
        <f>'canal cross drainage works'!G2871</f>
        <v>2211.4</v>
      </c>
      <c r="F802" s="41"/>
    </row>
    <row r="803" spans="1:6">
      <c r="A803" s="829"/>
      <c r="B803" s="35"/>
      <c r="C803" s="833" t="s">
        <v>9673</v>
      </c>
      <c r="D803" s="35" t="s">
        <v>3477</v>
      </c>
      <c r="E803" s="41"/>
      <c r="F803" s="41">
        <f>'canal cross drainage works'!E2862</f>
        <v>815.5</v>
      </c>
    </row>
    <row r="804" spans="1:6">
      <c r="A804" s="829"/>
      <c r="B804" s="35"/>
      <c r="C804" s="833"/>
      <c r="D804" s="39"/>
      <c r="E804" s="35"/>
      <c r="F804" s="35"/>
    </row>
    <row r="805" spans="1:6" ht="126">
      <c r="A805" s="829" t="s">
        <v>7572</v>
      </c>
      <c r="B805" s="35">
        <v>243</v>
      </c>
      <c r="C805" s="838" t="s">
        <v>8270</v>
      </c>
      <c r="D805" s="35" t="s">
        <v>3477</v>
      </c>
      <c r="E805" s="41">
        <f>'canal cross drainage works'!G2936</f>
        <v>2264.5</v>
      </c>
      <c r="F805" s="41"/>
    </row>
    <row r="806" spans="1:6">
      <c r="A806" s="829"/>
      <c r="B806" s="35"/>
      <c r="C806" s="833" t="s">
        <v>9673</v>
      </c>
      <c r="D806" s="35" t="s">
        <v>3477</v>
      </c>
      <c r="E806" s="41"/>
      <c r="F806" s="41">
        <f>'canal cross drainage works'!E2927</f>
        <v>836</v>
      </c>
    </row>
    <row r="807" spans="1:6">
      <c r="A807" s="829"/>
      <c r="B807" s="35"/>
      <c r="C807" s="833"/>
      <c r="D807" s="39"/>
      <c r="E807" s="35"/>
      <c r="F807" s="35"/>
    </row>
    <row r="808" spans="1:6" ht="144">
      <c r="A808" s="829" t="s">
        <v>7573</v>
      </c>
      <c r="B808" s="35">
        <v>244</v>
      </c>
      <c r="C808" s="838" t="s">
        <v>8271</v>
      </c>
      <c r="D808" s="35" t="s">
        <v>3477</v>
      </c>
      <c r="E808" s="41">
        <f>'canal cross drainage works'!G3006</f>
        <v>2772.3</v>
      </c>
      <c r="F808" s="41"/>
    </row>
    <row r="809" spans="1:6">
      <c r="A809" s="829"/>
      <c r="B809" s="35"/>
      <c r="C809" s="833" t="s">
        <v>9673</v>
      </c>
      <c r="D809" s="35" t="s">
        <v>3477</v>
      </c>
      <c r="E809" s="41"/>
      <c r="F809" s="41">
        <f>'canal cross drainage works'!E2997</f>
        <v>934.9</v>
      </c>
    </row>
    <row r="810" spans="1:6">
      <c r="A810" s="829"/>
      <c r="B810" s="35"/>
      <c r="C810" s="833"/>
      <c r="D810" s="39"/>
      <c r="E810" s="35"/>
      <c r="F810" s="35"/>
    </row>
    <row r="811" spans="1:6" ht="144">
      <c r="A811" s="829" t="s">
        <v>7574</v>
      </c>
      <c r="B811" s="35">
        <v>245</v>
      </c>
      <c r="C811" s="838" t="s">
        <v>8272</v>
      </c>
      <c r="D811" s="35" t="s">
        <v>3477</v>
      </c>
      <c r="E811" s="41">
        <f>'canal cross drainage works'!G3076</f>
        <v>2912.1</v>
      </c>
      <c r="F811" s="41"/>
    </row>
    <row r="812" spans="1:6">
      <c r="A812" s="829"/>
      <c r="B812" s="35"/>
      <c r="C812" s="833" t="s">
        <v>9673</v>
      </c>
      <c r="D812" s="35" t="s">
        <v>3477</v>
      </c>
      <c r="E812" s="41"/>
      <c r="F812" s="41">
        <f>'canal cross drainage works'!E3067</f>
        <v>1074.7</v>
      </c>
    </row>
    <row r="813" spans="1:6">
      <c r="A813" s="829"/>
      <c r="B813" s="35"/>
      <c r="C813" s="833"/>
      <c r="D813" s="39"/>
      <c r="E813" s="35"/>
      <c r="F813" s="35"/>
    </row>
    <row r="814" spans="1:6" ht="90">
      <c r="A814" s="829" t="s">
        <v>7575</v>
      </c>
      <c r="B814" s="35">
        <v>246</v>
      </c>
      <c r="C814" s="838" t="s">
        <v>8273</v>
      </c>
      <c r="D814" s="35" t="s">
        <v>3479</v>
      </c>
      <c r="E814" s="41">
        <f>'canal cross drainage works'!G3125</f>
        <v>125.3</v>
      </c>
      <c r="F814" s="41"/>
    </row>
    <row r="815" spans="1:6">
      <c r="A815" s="829"/>
      <c r="B815" s="35"/>
      <c r="C815" s="833">
        <v>246</v>
      </c>
      <c r="D815" s="35" t="s">
        <v>3479</v>
      </c>
      <c r="E815" s="41"/>
      <c r="F815" s="41">
        <f>'canal cross drainage works'!E3116</f>
        <v>95.4</v>
      </c>
    </row>
    <row r="816" spans="1:6">
      <c r="A816" s="829"/>
      <c r="B816" s="35"/>
      <c r="C816" s="833"/>
      <c r="D816" s="39"/>
      <c r="E816" s="35"/>
      <c r="F816" s="35"/>
    </row>
    <row r="817" spans="1:6" ht="90">
      <c r="A817" s="829" t="s">
        <v>7576</v>
      </c>
      <c r="B817" s="35">
        <v>247</v>
      </c>
      <c r="C817" s="838" t="s">
        <v>8274</v>
      </c>
      <c r="D817" s="35" t="s">
        <v>3479</v>
      </c>
      <c r="E817" s="41">
        <f>'canal cross drainage works'!G3174</f>
        <v>116.9</v>
      </c>
      <c r="F817" s="41"/>
    </row>
    <row r="818" spans="1:6">
      <c r="A818" s="829"/>
      <c r="B818" s="35"/>
      <c r="C818" s="833" t="s">
        <v>9673</v>
      </c>
      <c r="D818" s="35" t="s">
        <v>3479</v>
      </c>
      <c r="E818" s="41"/>
      <c r="F818" s="41">
        <f>'canal cross drainage works'!E3165</f>
        <v>95.4</v>
      </c>
    </row>
    <row r="819" spans="1:6">
      <c r="A819" s="829"/>
      <c r="B819" s="35"/>
      <c r="C819" s="833"/>
      <c r="D819" s="38"/>
      <c r="E819" s="35"/>
      <c r="F819" s="35"/>
    </row>
    <row r="820" spans="1:6" ht="72">
      <c r="A820" s="829" t="s">
        <v>7577</v>
      </c>
      <c r="B820" s="35">
        <v>248</v>
      </c>
      <c r="C820" s="838" t="s">
        <v>8275</v>
      </c>
      <c r="D820" s="35" t="s">
        <v>3479</v>
      </c>
      <c r="E820" s="41">
        <f>'canal cross drainage works'!G3220</f>
        <v>176.9</v>
      </c>
      <c r="F820" s="41"/>
    </row>
    <row r="821" spans="1:6">
      <c r="A821" s="829"/>
      <c r="B821" s="35"/>
      <c r="C821" s="833" t="s">
        <v>9673</v>
      </c>
      <c r="D821" s="35" t="s">
        <v>3479</v>
      </c>
      <c r="E821" s="41"/>
      <c r="F821" s="41">
        <f>'canal cross drainage works'!E3211</f>
        <v>135.19999999999999</v>
      </c>
    </row>
    <row r="822" spans="1:6">
      <c r="A822" s="829"/>
      <c r="B822" s="35"/>
      <c r="C822" s="833"/>
      <c r="D822" s="39"/>
      <c r="E822" s="35"/>
      <c r="F822" s="35"/>
    </row>
    <row r="823" spans="1:6" ht="72">
      <c r="A823" s="829" t="s">
        <v>7578</v>
      </c>
      <c r="B823" s="35">
        <v>249</v>
      </c>
      <c r="C823" s="838" t="s">
        <v>8276</v>
      </c>
      <c r="D823" s="35" t="s">
        <v>3479</v>
      </c>
      <c r="E823" s="41">
        <f>'canal cross drainage works'!G3266</f>
        <v>167.1</v>
      </c>
      <c r="F823" s="41"/>
    </row>
    <row r="824" spans="1:6">
      <c r="A824" s="829"/>
      <c r="B824" s="35"/>
      <c r="C824" s="833" t="s">
        <v>9673</v>
      </c>
      <c r="D824" s="35" t="s">
        <v>3479</v>
      </c>
      <c r="E824" s="41"/>
      <c r="F824" s="41">
        <f>'canal cross drainage works'!E3257</f>
        <v>135.19999999999999</v>
      </c>
    </row>
    <row r="825" spans="1:6">
      <c r="A825" s="829"/>
      <c r="B825" s="35"/>
      <c r="C825" s="833"/>
      <c r="D825" s="39"/>
      <c r="E825" s="35"/>
      <c r="F825" s="35"/>
    </row>
    <row r="826" spans="1:6" ht="72">
      <c r="A826" s="829" t="s">
        <v>7579</v>
      </c>
      <c r="B826" s="35">
        <v>250</v>
      </c>
      <c r="C826" s="838" t="s">
        <v>8277</v>
      </c>
      <c r="D826" s="35" t="s">
        <v>3479</v>
      </c>
      <c r="E826" s="41">
        <f>'canal cross drainage works'!G3316</f>
        <v>250</v>
      </c>
      <c r="F826" s="41"/>
    </row>
    <row r="827" spans="1:6">
      <c r="A827" s="829"/>
      <c r="B827" s="35"/>
      <c r="C827" s="833" t="s">
        <v>9673</v>
      </c>
      <c r="D827" s="35" t="s">
        <v>3479</v>
      </c>
      <c r="E827" s="41"/>
      <c r="F827" s="41">
        <f>'canal cross drainage works'!E3307</f>
        <v>180.4</v>
      </c>
    </row>
    <row r="828" spans="1:6">
      <c r="A828" s="829"/>
      <c r="B828" s="35"/>
      <c r="C828" s="833"/>
      <c r="D828" s="39"/>
      <c r="E828" s="35"/>
      <c r="F828" s="35"/>
    </row>
    <row r="829" spans="1:6" ht="72">
      <c r="A829" s="829" t="s">
        <v>7580</v>
      </c>
      <c r="B829" s="35">
        <v>251</v>
      </c>
      <c r="C829" s="838" t="s">
        <v>8278</v>
      </c>
      <c r="D829" s="35" t="s">
        <v>3479</v>
      </c>
      <c r="E829" s="41">
        <f>'canal cross drainage works'!G3366</f>
        <v>233.7</v>
      </c>
      <c r="F829" s="41"/>
    </row>
    <row r="830" spans="1:6">
      <c r="A830" s="829"/>
      <c r="B830" s="35"/>
      <c r="C830" s="833" t="s">
        <v>9673</v>
      </c>
      <c r="D830" s="35" t="s">
        <v>3479</v>
      </c>
      <c r="E830" s="41"/>
      <c r="F830" s="41">
        <f>'canal cross drainage works'!E3357</f>
        <v>180.4</v>
      </c>
    </row>
    <row r="831" spans="1:6">
      <c r="A831" s="829"/>
      <c r="B831" s="35"/>
      <c r="C831" s="833"/>
      <c r="D831" s="39"/>
      <c r="E831" s="35"/>
      <c r="F831" s="35"/>
    </row>
    <row r="832" spans="1:6">
      <c r="A832" s="829" t="s">
        <v>7581</v>
      </c>
      <c r="B832" s="35"/>
      <c r="C832" s="837" t="s">
        <v>1413</v>
      </c>
      <c r="D832" s="39"/>
      <c r="E832" s="35"/>
      <c r="F832" s="35"/>
    </row>
    <row r="833" spans="1:6">
      <c r="A833" s="829"/>
      <c r="B833" s="35"/>
      <c r="C833" s="833"/>
      <c r="D833" s="39"/>
      <c r="E833" s="35"/>
      <c r="F833" s="35"/>
    </row>
    <row r="834" spans="1:6" ht="108">
      <c r="A834" s="829" t="s">
        <v>7582</v>
      </c>
      <c r="B834" s="35">
        <v>252</v>
      </c>
      <c r="C834" s="838" t="s">
        <v>8279</v>
      </c>
      <c r="D834" s="35" t="s">
        <v>3479</v>
      </c>
      <c r="E834" s="41">
        <f>'canal cross drainage works'!G3415</f>
        <v>628.9</v>
      </c>
      <c r="F834" s="41"/>
    </row>
    <row r="835" spans="1:6">
      <c r="A835" s="829"/>
      <c r="B835" s="35"/>
      <c r="C835" s="833" t="s">
        <v>9673</v>
      </c>
      <c r="D835" s="35" t="s">
        <v>3479</v>
      </c>
      <c r="E835" s="41"/>
      <c r="F835" s="41">
        <f>'canal cross drainage works'!E3406</f>
        <v>196</v>
      </c>
    </row>
    <row r="836" spans="1:6">
      <c r="A836" s="829"/>
      <c r="B836" s="35"/>
      <c r="C836" s="833"/>
      <c r="D836" s="39"/>
      <c r="E836" s="35"/>
      <c r="F836" s="35"/>
    </row>
    <row r="837" spans="1:6" ht="108">
      <c r="A837" s="829" t="s">
        <v>7583</v>
      </c>
      <c r="B837" s="35">
        <v>253</v>
      </c>
      <c r="C837" s="838" t="s">
        <v>8280</v>
      </c>
      <c r="D837" s="35" t="s">
        <v>3479</v>
      </c>
      <c r="E837" s="41">
        <f>'canal cross drainage works'!G3463</f>
        <v>785.7</v>
      </c>
      <c r="F837" s="41"/>
    </row>
    <row r="838" spans="1:6">
      <c r="A838" s="829"/>
      <c r="B838" s="35"/>
      <c r="C838" s="833" t="s">
        <v>9673</v>
      </c>
      <c r="D838" s="35" t="s">
        <v>3479</v>
      </c>
      <c r="E838" s="41"/>
      <c r="F838" s="41">
        <f>'canal cross drainage works'!E3454</f>
        <v>352.8</v>
      </c>
    </row>
    <row r="839" spans="1:6">
      <c r="A839" s="829"/>
      <c r="B839" s="35"/>
      <c r="C839" s="833"/>
      <c r="D839" s="39"/>
      <c r="E839" s="35"/>
      <c r="F839" s="35"/>
    </row>
    <row r="840" spans="1:6" ht="108">
      <c r="A840" s="829" t="s">
        <v>7584</v>
      </c>
      <c r="B840" s="35">
        <v>254</v>
      </c>
      <c r="C840" s="838" t="s">
        <v>8281</v>
      </c>
      <c r="D840" s="35" t="s">
        <v>3479</v>
      </c>
      <c r="E840" s="41">
        <f>'canal cross drainage works'!G3511</f>
        <v>988</v>
      </c>
      <c r="F840" s="41"/>
    </row>
    <row r="841" spans="1:6">
      <c r="A841" s="829"/>
      <c r="B841" s="35"/>
      <c r="C841" s="833" t="s">
        <v>9673</v>
      </c>
      <c r="D841" s="35" t="s">
        <v>3479</v>
      </c>
      <c r="E841" s="41"/>
      <c r="F841" s="41">
        <f>'canal cross drainage works'!E3502</f>
        <v>555</v>
      </c>
    </row>
    <row r="842" spans="1:6">
      <c r="A842" s="829"/>
      <c r="B842" s="35"/>
      <c r="C842" s="833"/>
      <c r="D842" s="39"/>
      <c r="E842" s="35"/>
      <c r="F842" s="35"/>
    </row>
    <row r="843" spans="1:6" ht="144">
      <c r="A843" s="829" t="s">
        <v>7585</v>
      </c>
      <c r="B843" s="35">
        <v>255</v>
      </c>
      <c r="C843" s="838" t="s">
        <v>8282</v>
      </c>
      <c r="D843" s="35" t="s">
        <v>3477</v>
      </c>
      <c r="E843" s="41">
        <f>'canal cross drainage works'!G3585</f>
        <v>6222.4</v>
      </c>
      <c r="F843" s="41"/>
    </row>
    <row r="844" spans="1:6">
      <c r="A844" s="829"/>
      <c r="B844" s="35"/>
      <c r="C844" s="833" t="s">
        <v>9673</v>
      </c>
      <c r="D844" s="35" t="s">
        <v>3477</v>
      </c>
      <c r="E844" s="41"/>
      <c r="F844" s="41">
        <f>'canal cross drainage works'!E3576</f>
        <v>1689.2</v>
      </c>
    </row>
    <row r="845" spans="1:6">
      <c r="A845" s="829"/>
      <c r="B845" s="35"/>
      <c r="C845" s="833"/>
      <c r="D845" s="39"/>
      <c r="E845" s="35"/>
      <c r="F845" s="35"/>
    </row>
    <row r="846" spans="1:6" ht="162">
      <c r="A846" s="829" t="s">
        <v>7142</v>
      </c>
      <c r="B846" s="35">
        <v>256</v>
      </c>
      <c r="C846" s="838" t="s">
        <v>8283</v>
      </c>
      <c r="D846" s="35" t="s">
        <v>3483</v>
      </c>
      <c r="E846" s="41">
        <f>'canal cross drainage works'!G3650</f>
        <v>1287.5</v>
      </c>
      <c r="F846" s="41"/>
    </row>
    <row r="847" spans="1:6">
      <c r="A847" s="829"/>
      <c r="B847" s="35"/>
      <c r="C847" s="833" t="s">
        <v>9673</v>
      </c>
      <c r="D847" s="35" t="s">
        <v>3483</v>
      </c>
      <c r="E847" s="41"/>
      <c r="F847" s="41">
        <f>'canal cross drainage works'!E3641</f>
        <v>187.5</v>
      </c>
    </row>
    <row r="848" spans="1:6">
      <c r="A848" s="829"/>
      <c r="B848" s="35"/>
      <c r="C848" s="833"/>
      <c r="D848" s="39"/>
      <c r="E848" s="35"/>
      <c r="F848" s="35"/>
    </row>
    <row r="849" spans="1:6">
      <c r="A849" s="829" t="s">
        <v>7143</v>
      </c>
      <c r="B849" s="35"/>
      <c r="C849" s="837" t="s">
        <v>2227</v>
      </c>
      <c r="D849" s="39"/>
      <c r="E849" s="35"/>
      <c r="F849" s="35"/>
    </row>
    <row r="850" spans="1:6">
      <c r="A850" s="829"/>
      <c r="B850" s="35"/>
      <c r="C850" s="833"/>
      <c r="D850" s="38"/>
      <c r="E850" s="35"/>
      <c r="F850" s="35"/>
    </row>
    <row r="851" spans="1:6" ht="108">
      <c r="A851" s="829" t="s">
        <v>7144</v>
      </c>
      <c r="B851" s="35">
        <v>257</v>
      </c>
      <c r="C851" s="838" t="s">
        <v>8284</v>
      </c>
      <c r="D851" s="35" t="s">
        <v>4424</v>
      </c>
      <c r="E851" s="41">
        <f>'canal cross drainage works'!G3701</f>
        <v>330.8</v>
      </c>
      <c r="F851" s="41"/>
    </row>
    <row r="852" spans="1:6">
      <c r="A852" s="829"/>
      <c r="B852" s="35"/>
      <c r="C852" s="838" t="s">
        <v>9673</v>
      </c>
      <c r="D852" s="35" t="s">
        <v>4424</v>
      </c>
      <c r="E852" s="41"/>
      <c r="F852" s="41">
        <f>'canal cross drainage works'!E3692</f>
        <v>261.3</v>
      </c>
    </row>
    <row r="853" spans="1:6">
      <c r="A853" s="829"/>
      <c r="B853" s="35"/>
      <c r="C853" s="833"/>
      <c r="D853" s="39"/>
      <c r="E853" s="35"/>
      <c r="F853" s="35"/>
    </row>
    <row r="854" spans="1:6" ht="108">
      <c r="A854" s="829" t="s">
        <v>7145</v>
      </c>
      <c r="B854" s="35">
        <v>258</v>
      </c>
      <c r="C854" s="838" t="s">
        <v>8285</v>
      </c>
      <c r="D854" s="35" t="s">
        <v>4424</v>
      </c>
      <c r="E854" s="41">
        <f>'canal cross drainage works'!G3752</f>
        <v>381.6</v>
      </c>
      <c r="F854" s="41"/>
    </row>
    <row r="855" spans="1:6">
      <c r="A855" s="829"/>
      <c r="B855" s="35"/>
      <c r="C855" s="833" t="s">
        <v>9673</v>
      </c>
      <c r="D855" s="35" t="s">
        <v>4424</v>
      </c>
      <c r="E855" s="41"/>
      <c r="F855" s="41">
        <f>'canal cross drainage works'!E3743</f>
        <v>261.3</v>
      </c>
    </row>
    <row r="856" spans="1:6">
      <c r="A856" s="829"/>
      <c r="B856" s="35"/>
      <c r="C856" s="833"/>
      <c r="D856" s="39"/>
      <c r="E856" s="35"/>
      <c r="F856" s="35"/>
    </row>
    <row r="857" spans="1:6" ht="108">
      <c r="A857" s="829" t="s">
        <v>7146</v>
      </c>
      <c r="B857" s="35">
        <v>259</v>
      </c>
      <c r="C857" s="838" t="s">
        <v>8286</v>
      </c>
      <c r="D857" s="35" t="s">
        <v>4424</v>
      </c>
      <c r="E857" s="41">
        <f>'canal cross drainage works'!G3803</f>
        <v>497.2</v>
      </c>
      <c r="F857" s="41"/>
    </row>
    <row r="858" spans="1:6">
      <c r="A858" s="829"/>
      <c r="B858" s="35"/>
      <c r="C858" s="833" t="s">
        <v>9673</v>
      </c>
      <c r="D858" s="35" t="s">
        <v>4424</v>
      </c>
      <c r="E858" s="41"/>
      <c r="F858" s="41">
        <f>'canal cross drainage works'!E3794</f>
        <v>323.8</v>
      </c>
    </row>
    <row r="859" spans="1:6">
      <c r="A859" s="829"/>
      <c r="B859" s="35"/>
      <c r="C859" s="833"/>
      <c r="D859" s="39"/>
      <c r="E859" s="35"/>
      <c r="F859" s="35"/>
    </row>
    <row r="860" spans="1:6" ht="108">
      <c r="A860" s="829" t="s">
        <v>7147</v>
      </c>
      <c r="B860" s="35">
        <v>260</v>
      </c>
      <c r="C860" s="838" t="s">
        <v>8287</v>
      </c>
      <c r="D860" s="35" t="s">
        <v>4424</v>
      </c>
      <c r="E860" s="41">
        <f>'canal cross drainage works'!G3854</f>
        <v>545.20000000000005</v>
      </c>
      <c r="F860" s="41"/>
    </row>
    <row r="861" spans="1:6">
      <c r="A861" s="829"/>
      <c r="B861" s="35"/>
      <c r="C861" s="833" t="s">
        <v>9673</v>
      </c>
      <c r="D861" s="35" t="s">
        <v>4424</v>
      </c>
      <c r="E861" s="41"/>
      <c r="F861" s="41">
        <f>'canal cross drainage works'!E3845</f>
        <v>323.8</v>
      </c>
    </row>
    <row r="862" spans="1:6">
      <c r="A862" s="829"/>
      <c r="B862" s="35"/>
      <c r="C862" s="833"/>
      <c r="D862" s="39"/>
      <c r="E862" s="35"/>
      <c r="F862" s="35"/>
    </row>
    <row r="863" spans="1:6" ht="108">
      <c r="A863" s="829" t="s">
        <v>7148</v>
      </c>
      <c r="B863" s="35">
        <v>261</v>
      </c>
      <c r="C863" s="838" t="s">
        <v>8288</v>
      </c>
      <c r="D863" s="35" t="s">
        <v>4424</v>
      </c>
      <c r="E863" s="41">
        <f>'canal cross drainage works'!G3905</f>
        <v>659.7</v>
      </c>
      <c r="F863" s="41"/>
    </row>
    <row r="864" spans="1:6">
      <c r="A864" s="829"/>
      <c r="B864" s="35"/>
      <c r="C864" s="833" t="s">
        <v>9673</v>
      </c>
      <c r="D864" s="35" t="s">
        <v>4424</v>
      </c>
      <c r="E864" s="41"/>
      <c r="F864" s="41">
        <f>'canal cross drainage works'!E3896</f>
        <v>386.3</v>
      </c>
    </row>
    <row r="865" spans="1:6">
      <c r="A865" s="829"/>
      <c r="B865" s="35"/>
      <c r="C865" s="833"/>
      <c r="D865" s="38"/>
      <c r="E865" s="35"/>
      <c r="F865" s="35"/>
    </row>
    <row r="866" spans="1:6" ht="108">
      <c r="A866" s="829" t="s">
        <v>7149</v>
      </c>
      <c r="B866" s="35">
        <v>262</v>
      </c>
      <c r="C866" s="838" t="s">
        <v>8289</v>
      </c>
      <c r="D866" s="35" t="s">
        <v>4424</v>
      </c>
      <c r="E866" s="41">
        <f>'canal cross drainage works'!G3956</f>
        <v>693.6</v>
      </c>
      <c r="F866" s="41"/>
    </row>
    <row r="867" spans="1:6">
      <c r="A867" s="829"/>
      <c r="B867" s="35"/>
      <c r="C867" s="833" t="s">
        <v>9673</v>
      </c>
      <c r="D867" s="35" t="s">
        <v>4424</v>
      </c>
      <c r="E867" s="41"/>
      <c r="F867" s="41">
        <f>'canal cross drainage works'!E3947</f>
        <v>386.3</v>
      </c>
    </row>
    <row r="868" spans="1:6">
      <c r="A868" s="829"/>
      <c r="B868" s="35"/>
      <c r="C868" s="833"/>
      <c r="D868" s="39"/>
      <c r="E868" s="35"/>
      <c r="F868" s="35"/>
    </row>
    <row r="869" spans="1:6" ht="108">
      <c r="A869" s="829" t="s">
        <v>7150</v>
      </c>
      <c r="B869" s="35">
        <v>263</v>
      </c>
      <c r="C869" s="838" t="s">
        <v>8290</v>
      </c>
      <c r="D869" s="35" t="s">
        <v>4424</v>
      </c>
      <c r="E869" s="41">
        <f>'canal cross drainage works'!G4008</f>
        <v>767.2</v>
      </c>
      <c r="F869" s="41"/>
    </row>
    <row r="870" spans="1:6">
      <c r="A870" s="829"/>
      <c r="B870" s="35"/>
      <c r="C870" s="833" t="s">
        <v>9673</v>
      </c>
      <c r="D870" s="35" t="s">
        <v>4424</v>
      </c>
      <c r="E870" s="41"/>
      <c r="F870" s="41">
        <f>'canal cross drainage works'!E3999</f>
        <v>426.1</v>
      </c>
    </row>
    <row r="871" spans="1:6">
      <c r="A871" s="829"/>
      <c r="B871" s="35"/>
      <c r="C871" s="833"/>
      <c r="D871" s="39"/>
      <c r="E871" s="35"/>
      <c r="F871" s="35"/>
    </row>
    <row r="872" spans="1:6" ht="108">
      <c r="A872" s="829" t="s">
        <v>7151</v>
      </c>
      <c r="B872" s="35">
        <v>264</v>
      </c>
      <c r="C872" s="838" t="s">
        <v>8291</v>
      </c>
      <c r="D872" s="35" t="s">
        <v>4424</v>
      </c>
      <c r="E872" s="41">
        <f>'canal cross drainage works'!G4059</f>
        <v>816.7</v>
      </c>
      <c r="F872" s="41"/>
    </row>
    <row r="873" spans="1:6">
      <c r="A873" s="829"/>
      <c r="B873" s="35"/>
      <c r="C873" s="833" t="s">
        <v>9673</v>
      </c>
      <c r="D873" s="35" t="s">
        <v>4424</v>
      </c>
      <c r="E873" s="41"/>
      <c r="F873" s="41">
        <f>'canal cross drainage works'!E4050</f>
        <v>426.1</v>
      </c>
    </row>
    <row r="874" spans="1:6">
      <c r="A874" s="829"/>
      <c r="B874" s="35"/>
      <c r="C874" s="833"/>
      <c r="D874" s="39"/>
      <c r="E874" s="35"/>
      <c r="F874" s="35"/>
    </row>
    <row r="875" spans="1:6" ht="108">
      <c r="A875" s="829" t="s">
        <v>7152</v>
      </c>
      <c r="B875" s="35">
        <v>265</v>
      </c>
      <c r="C875" s="838" t="s">
        <v>8292</v>
      </c>
      <c r="D875" s="35" t="s">
        <v>4424</v>
      </c>
      <c r="E875" s="41">
        <f>'canal cross drainage works'!G4110</f>
        <v>967.3</v>
      </c>
      <c r="F875" s="41"/>
    </row>
    <row r="876" spans="1:6">
      <c r="A876" s="829"/>
      <c r="B876" s="35"/>
      <c r="C876" s="833" t="s">
        <v>9673</v>
      </c>
      <c r="D876" s="35" t="s">
        <v>4424</v>
      </c>
      <c r="E876" s="41"/>
      <c r="F876" s="41">
        <f>'canal cross drainage works'!E4101</f>
        <v>511.3</v>
      </c>
    </row>
    <row r="877" spans="1:6">
      <c r="A877" s="829"/>
      <c r="B877" s="35"/>
      <c r="C877" s="833"/>
      <c r="D877" s="39"/>
      <c r="E877" s="35"/>
      <c r="F877" s="35"/>
    </row>
    <row r="878" spans="1:6">
      <c r="A878" s="829" t="s">
        <v>7153</v>
      </c>
      <c r="B878" s="35"/>
      <c r="C878" s="837" t="s">
        <v>548</v>
      </c>
      <c r="D878" s="39"/>
      <c r="E878" s="35"/>
      <c r="F878" s="35"/>
    </row>
    <row r="879" spans="1:6">
      <c r="A879" s="829"/>
      <c r="B879" s="35"/>
      <c r="C879" s="833"/>
      <c r="D879" s="39"/>
      <c r="E879" s="35"/>
      <c r="F879" s="35"/>
    </row>
    <row r="880" spans="1:6" ht="72">
      <c r="A880" s="829" t="s">
        <v>7154</v>
      </c>
      <c r="B880" s="35">
        <v>266</v>
      </c>
      <c r="C880" s="838" t="s">
        <v>8293</v>
      </c>
      <c r="D880" s="35" t="s">
        <v>3477</v>
      </c>
      <c r="E880" s="41">
        <f>'canal cross drainage works'!G4159</f>
        <v>634.5</v>
      </c>
      <c r="F880" s="41"/>
    </row>
    <row r="881" spans="1:6">
      <c r="A881" s="829"/>
      <c r="B881" s="35"/>
      <c r="C881" s="833" t="s">
        <v>9673</v>
      </c>
      <c r="D881" s="35" t="s">
        <v>3477</v>
      </c>
      <c r="E881" s="41"/>
      <c r="F881" s="41">
        <f>'canal cross drainage works'!E4150</f>
        <v>230.1</v>
      </c>
    </row>
    <row r="882" spans="1:6">
      <c r="A882" s="829"/>
      <c r="B882" s="35"/>
      <c r="C882" s="833"/>
      <c r="D882" s="39"/>
      <c r="E882" s="35"/>
      <c r="F882" s="35"/>
    </row>
    <row r="883" spans="1:6" ht="90">
      <c r="A883" s="829" t="s">
        <v>7155</v>
      </c>
      <c r="B883" s="35">
        <v>267</v>
      </c>
      <c r="C883" s="838" t="s">
        <v>8294</v>
      </c>
      <c r="D883" s="35" t="s">
        <v>3477</v>
      </c>
      <c r="E883" s="41">
        <f>'canal cross drainage works'!G4206</f>
        <v>515.5</v>
      </c>
      <c r="F883" s="41"/>
    </row>
    <row r="884" spans="1:6">
      <c r="A884" s="829"/>
      <c r="B884" s="35"/>
      <c r="C884" s="833" t="s">
        <v>9673</v>
      </c>
      <c r="D884" s="35" t="s">
        <v>3477</v>
      </c>
      <c r="E884" s="41"/>
      <c r="F884" s="41">
        <f>'canal cross drainage works'!E4197</f>
        <v>290.60000000000002</v>
      </c>
    </row>
    <row r="885" spans="1:6">
      <c r="A885" s="829"/>
      <c r="B885" s="35"/>
      <c r="C885" s="833"/>
      <c r="D885" s="39"/>
      <c r="E885" s="35"/>
      <c r="F885" s="35"/>
    </row>
    <row r="886" spans="1:6" ht="90">
      <c r="A886" s="829" t="s">
        <v>7156</v>
      </c>
      <c r="B886" s="35">
        <v>268</v>
      </c>
      <c r="C886" s="838" t="s">
        <v>8295</v>
      </c>
      <c r="D886" s="35" t="s">
        <v>3477</v>
      </c>
      <c r="E886" s="41">
        <f>'canal cross drainage works'!G4254</f>
        <v>358.3</v>
      </c>
      <c r="F886" s="41"/>
    </row>
    <row r="887" spans="1:6">
      <c r="A887" s="829"/>
      <c r="B887" s="35"/>
      <c r="C887" s="833" t="s">
        <v>9673</v>
      </c>
      <c r="D887" s="35" t="s">
        <v>3477</v>
      </c>
      <c r="E887" s="41"/>
      <c r="F887" s="41">
        <f>'canal cross drainage works'!E4245</f>
        <v>115.7</v>
      </c>
    </row>
    <row r="888" spans="1:6">
      <c r="A888" s="829"/>
      <c r="B888" s="35"/>
      <c r="C888" s="833"/>
      <c r="D888" s="39"/>
      <c r="E888" s="35"/>
      <c r="F888" s="35"/>
    </row>
    <row r="889" spans="1:6" ht="126">
      <c r="A889" s="829" t="s">
        <v>7157</v>
      </c>
      <c r="B889" s="35">
        <v>269</v>
      </c>
      <c r="C889" s="838" t="s">
        <v>8296</v>
      </c>
      <c r="D889" s="35" t="s">
        <v>3481</v>
      </c>
      <c r="E889" s="41">
        <f>'canal cross drainage works'!G4307</f>
        <v>1440.9</v>
      </c>
      <c r="F889" s="41"/>
    </row>
    <row r="890" spans="1:6">
      <c r="A890" s="829"/>
      <c r="B890" s="35"/>
      <c r="C890" s="833" t="s">
        <v>9673</v>
      </c>
      <c r="D890" s="35" t="s">
        <v>3481</v>
      </c>
      <c r="E890" s="41"/>
      <c r="F890" s="41">
        <f>'canal cross drainage works'!E4298</f>
        <v>485.7</v>
      </c>
    </row>
    <row r="891" spans="1:6">
      <c r="A891" s="829"/>
      <c r="B891" s="35"/>
      <c r="C891" s="833"/>
      <c r="D891" s="39"/>
      <c r="E891" s="35"/>
      <c r="F891" s="35"/>
    </row>
    <row r="892" spans="1:6" ht="126">
      <c r="A892" s="829" t="s">
        <v>7158</v>
      </c>
      <c r="B892" s="35">
        <v>270</v>
      </c>
      <c r="C892" s="838" t="s">
        <v>8297</v>
      </c>
      <c r="D892" s="35" t="s">
        <v>3481</v>
      </c>
      <c r="E892" s="41">
        <f>'canal cross drainage works'!G4357</f>
        <v>1048.5999999999999</v>
      </c>
      <c r="F892" s="41"/>
    </row>
    <row r="893" spans="1:6">
      <c r="A893" s="829"/>
      <c r="B893" s="35"/>
      <c r="C893" s="838" t="s">
        <v>9673</v>
      </c>
      <c r="D893" s="35" t="s">
        <v>3481</v>
      </c>
      <c r="E893" s="41"/>
      <c r="F893" s="41">
        <f>'canal cross drainage works'!E4349</f>
        <v>413.3</v>
      </c>
    </row>
    <row r="894" spans="1:6">
      <c r="A894" s="829"/>
      <c r="B894" s="35"/>
      <c r="C894" s="833"/>
      <c r="D894" s="39"/>
      <c r="E894" s="35"/>
      <c r="F894" s="35"/>
    </row>
    <row r="895" spans="1:6">
      <c r="A895" s="832" t="s">
        <v>1456</v>
      </c>
      <c r="B895" s="35"/>
      <c r="C895" s="833"/>
      <c r="D895" s="38"/>
      <c r="E895" s="35"/>
      <c r="F895" s="35"/>
    </row>
    <row r="896" spans="1:6">
      <c r="A896" s="832" t="s">
        <v>7159</v>
      </c>
      <c r="B896" s="35"/>
      <c r="C896" s="842" t="s">
        <v>1457</v>
      </c>
      <c r="D896" s="38"/>
      <c r="E896" s="35"/>
      <c r="F896" s="35"/>
    </row>
    <row r="897" spans="1:6">
      <c r="A897" s="829"/>
      <c r="B897" s="35"/>
      <c r="C897" s="833"/>
      <c r="D897" s="38"/>
      <c r="E897" s="35"/>
      <c r="F897" s="35"/>
    </row>
    <row r="898" spans="1:6" ht="180">
      <c r="A898" s="829" t="s">
        <v>7161</v>
      </c>
      <c r="B898" s="35">
        <v>271</v>
      </c>
      <c r="C898" s="839" t="s">
        <v>8298</v>
      </c>
      <c r="D898" s="35" t="s">
        <v>3480</v>
      </c>
      <c r="E898" s="41">
        <f>'gate hoist and allied works'!$G$170</f>
        <v>142934.20000000001</v>
      </c>
      <c r="F898" s="41"/>
    </row>
    <row r="899" spans="1:6">
      <c r="A899" s="829"/>
      <c r="B899" s="35"/>
      <c r="C899" s="839" t="s">
        <v>9673</v>
      </c>
      <c r="D899" s="35" t="s">
        <v>3480</v>
      </c>
      <c r="E899" s="41"/>
      <c r="F899" s="41">
        <f>'gate hoist and allied works'!$E$154</f>
        <v>47166</v>
      </c>
    </row>
    <row r="900" spans="1:6">
      <c r="A900" s="829"/>
      <c r="B900" s="35"/>
      <c r="C900" s="833"/>
      <c r="D900" s="39"/>
      <c r="E900" s="35"/>
      <c r="F900" s="35"/>
    </row>
    <row r="901" spans="1:6" ht="180">
      <c r="A901" s="829" t="s">
        <v>7162</v>
      </c>
      <c r="B901" s="35">
        <v>272</v>
      </c>
      <c r="C901" s="839" t="s">
        <v>8299</v>
      </c>
      <c r="D901" s="35" t="s">
        <v>3480</v>
      </c>
      <c r="E901" s="41">
        <f>'gate hoist and allied works'!$G$286</f>
        <v>131718.39999999999</v>
      </c>
      <c r="F901" s="41"/>
    </row>
    <row r="902" spans="1:6">
      <c r="A902" s="829"/>
      <c r="B902" s="35"/>
      <c r="C902" s="833" t="s">
        <v>9673</v>
      </c>
      <c r="D902" s="35" t="s">
        <v>3480</v>
      </c>
      <c r="E902" s="41"/>
      <c r="F902" s="41">
        <f>'gate hoist and allied works'!$E$270</f>
        <v>36058.6</v>
      </c>
    </row>
    <row r="903" spans="1:6">
      <c r="A903" s="829"/>
      <c r="B903" s="35"/>
      <c r="C903" s="833"/>
      <c r="D903" s="39"/>
      <c r="E903" s="35"/>
      <c r="F903" s="35"/>
    </row>
    <row r="904" spans="1:6" ht="216">
      <c r="A904" s="829" t="s">
        <v>7163</v>
      </c>
      <c r="B904" s="35">
        <v>273</v>
      </c>
      <c r="C904" s="839" t="s">
        <v>8300</v>
      </c>
      <c r="D904" s="34" t="s">
        <v>520</v>
      </c>
      <c r="E904" s="41">
        <f>'gate hoist and allied works'!$G$501</f>
        <v>43069.7</v>
      </c>
      <c r="F904" s="41"/>
    </row>
    <row r="905" spans="1:6" ht="36">
      <c r="A905" s="829"/>
      <c r="B905" s="35"/>
      <c r="C905" s="833" t="s">
        <v>9673</v>
      </c>
      <c r="D905" s="63" t="s">
        <v>520</v>
      </c>
      <c r="E905" s="41"/>
      <c r="F905" s="41">
        <f>'gate hoist and allied works'!$E$483</f>
        <v>2891.6</v>
      </c>
    </row>
    <row r="906" spans="1:6">
      <c r="A906" s="829"/>
      <c r="B906" s="35"/>
      <c r="C906" s="833"/>
      <c r="D906" s="39"/>
      <c r="E906" s="35"/>
      <c r="F906" s="35"/>
    </row>
    <row r="907" spans="1:6" ht="162">
      <c r="A907" s="829" t="s">
        <v>7164</v>
      </c>
      <c r="B907" s="35">
        <v>274</v>
      </c>
      <c r="C907" s="839" t="s">
        <v>8301</v>
      </c>
      <c r="D907" s="35" t="s">
        <v>3483</v>
      </c>
      <c r="E907" s="41">
        <f>'gate hoist and allied works'!$G$594</f>
        <v>99196.5</v>
      </c>
      <c r="F907" s="41"/>
    </row>
    <row r="908" spans="1:6">
      <c r="A908" s="829"/>
      <c r="B908" s="35"/>
      <c r="C908" s="833" t="s">
        <v>9673</v>
      </c>
      <c r="D908" s="35" t="s">
        <v>3483</v>
      </c>
      <c r="E908" s="41"/>
      <c r="F908" s="41">
        <f>'gate hoist and allied works'!$E$578</f>
        <v>34366.800000000003</v>
      </c>
    </row>
    <row r="909" spans="1:6">
      <c r="A909" s="829"/>
      <c r="B909" s="35"/>
      <c r="C909" s="833"/>
      <c r="D909" s="39"/>
      <c r="E909" s="35"/>
      <c r="F909" s="35"/>
    </row>
    <row r="910" spans="1:6" ht="180">
      <c r="A910" s="829" t="s">
        <v>7166</v>
      </c>
      <c r="B910" s="35">
        <v>275</v>
      </c>
      <c r="C910" s="839" t="s">
        <v>8302</v>
      </c>
      <c r="D910" s="35" t="s">
        <v>3480</v>
      </c>
      <c r="E910" s="41">
        <f>'gate hoist and allied works'!$G$694</f>
        <v>159095.5</v>
      </c>
      <c r="F910" s="41"/>
    </row>
    <row r="911" spans="1:6">
      <c r="A911" s="829"/>
      <c r="B911" s="35"/>
      <c r="C911" s="833" t="s">
        <v>9673</v>
      </c>
      <c r="D911" s="35" t="s">
        <v>3480</v>
      </c>
      <c r="E911" s="41"/>
      <c r="F911" s="41">
        <f>'gate hoist and allied works'!$E$678</f>
        <v>56162.299999999996</v>
      </c>
    </row>
    <row r="912" spans="1:6">
      <c r="A912" s="829"/>
      <c r="B912" s="35"/>
      <c r="C912" s="833"/>
      <c r="D912" s="39"/>
      <c r="E912" s="35"/>
      <c r="F912" s="35"/>
    </row>
    <row r="913" spans="1:6" ht="216">
      <c r="A913" s="829" t="s">
        <v>7167</v>
      </c>
      <c r="B913" s="35">
        <v>276</v>
      </c>
      <c r="C913" s="839" t="s">
        <v>8303</v>
      </c>
      <c r="D913" s="35" t="s">
        <v>3480</v>
      </c>
      <c r="E913" s="41">
        <f>'gate hoist and allied works'!$G$797</f>
        <v>130832.9</v>
      </c>
      <c r="F913" s="35"/>
    </row>
    <row r="914" spans="1:6">
      <c r="A914" s="829"/>
      <c r="B914" s="35"/>
      <c r="C914" s="839" t="s">
        <v>9673</v>
      </c>
      <c r="D914" s="35" t="s">
        <v>3480</v>
      </c>
      <c r="E914" s="41"/>
      <c r="F914" s="41">
        <f>'gate hoist and allied works'!$E$781</f>
        <v>41339.300000000003</v>
      </c>
    </row>
    <row r="915" spans="1:6">
      <c r="A915" s="829"/>
      <c r="B915" s="35"/>
      <c r="C915" s="834"/>
      <c r="D915" s="39"/>
      <c r="E915" s="35"/>
      <c r="F915" s="35"/>
    </row>
    <row r="916" spans="1:6" ht="162">
      <c r="A916" s="829" t="s">
        <v>7168</v>
      </c>
      <c r="B916" s="35">
        <v>277</v>
      </c>
      <c r="C916" s="839" t="s">
        <v>8304</v>
      </c>
      <c r="D916" s="35" t="s">
        <v>3480</v>
      </c>
      <c r="E916" s="41">
        <f>'gate hoist and allied works'!$G$958</f>
        <v>112246.2</v>
      </c>
      <c r="F916" s="41"/>
    </row>
    <row r="917" spans="1:6">
      <c r="A917" s="829"/>
      <c r="B917" s="35"/>
      <c r="C917" s="833" t="s">
        <v>9673</v>
      </c>
      <c r="D917" s="35" t="s">
        <v>3480</v>
      </c>
      <c r="E917" s="41"/>
      <c r="F917" s="41">
        <f>'gate hoist and allied works'!$E$942</f>
        <v>21049.9</v>
      </c>
    </row>
    <row r="918" spans="1:6">
      <c r="A918" s="829"/>
      <c r="B918" s="35"/>
      <c r="C918" s="833"/>
      <c r="D918" s="39"/>
      <c r="E918" s="35"/>
      <c r="F918" s="35"/>
    </row>
    <row r="919" spans="1:6" ht="234">
      <c r="A919" s="829" t="s">
        <v>7169</v>
      </c>
      <c r="B919" s="35">
        <v>278</v>
      </c>
      <c r="C919" s="839" t="s">
        <v>8305</v>
      </c>
      <c r="D919" s="64" t="s">
        <v>520</v>
      </c>
      <c r="E919" s="41">
        <f>'gate hoist and allied works'!$G$1170</f>
        <v>233333.4</v>
      </c>
      <c r="F919" s="41"/>
    </row>
    <row r="920" spans="1:6" ht="36">
      <c r="A920" s="829"/>
      <c r="B920" s="35"/>
      <c r="C920" s="833" t="s">
        <v>9673</v>
      </c>
      <c r="D920" s="65" t="s">
        <v>520</v>
      </c>
      <c r="E920" s="41"/>
      <c r="F920" s="41">
        <f>'gate hoist and allied works'!$E$1152</f>
        <v>21246.5</v>
      </c>
    </row>
    <row r="921" spans="1:6">
      <c r="A921" s="829"/>
      <c r="B921" s="35"/>
      <c r="C921" s="833"/>
      <c r="D921" s="39"/>
      <c r="E921" s="35"/>
      <c r="F921" s="35"/>
    </row>
    <row r="922" spans="1:6" ht="162">
      <c r="A922" s="829" t="s">
        <v>7170</v>
      </c>
      <c r="B922" s="35">
        <v>279</v>
      </c>
      <c r="C922" s="839" t="s">
        <v>8306</v>
      </c>
      <c r="D922" s="35" t="s">
        <v>3483</v>
      </c>
      <c r="E922" s="41">
        <f>'gate hoist and allied works'!$G$1304</f>
        <v>7241.9</v>
      </c>
      <c r="F922" s="41"/>
    </row>
    <row r="923" spans="1:6">
      <c r="A923" s="829"/>
      <c r="B923" s="35"/>
      <c r="C923" s="833" t="s">
        <v>9673</v>
      </c>
      <c r="D923" s="35" t="s">
        <v>3483</v>
      </c>
      <c r="E923" s="41"/>
      <c r="F923" s="41">
        <f>'gate hoist and allied works'!$E$1288</f>
        <v>523</v>
      </c>
    </row>
    <row r="924" spans="1:6">
      <c r="A924" s="829"/>
      <c r="B924" s="35"/>
      <c r="C924" s="833"/>
      <c r="D924" s="39"/>
      <c r="E924" s="35"/>
      <c r="F924" s="35"/>
    </row>
    <row r="925" spans="1:6" ht="198">
      <c r="A925" s="829" t="s">
        <v>7171</v>
      </c>
      <c r="B925" s="35">
        <v>280</v>
      </c>
      <c r="C925" s="839" t="s">
        <v>8307</v>
      </c>
      <c r="D925" s="35" t="s">
        <v>3480</v>
      </c>
      <c r="E925" s="41">
        <f>'gate hoist and allied works'!$G$1416</f>
        <v>131572.1</v>
      </c>
      <c r="F925" s="41"/>
    </row>
    <row r="926" spans="1:6">
      <c r="A926" s="829"/>
      <c r="B926" s="35"/>
      <c r="C926" s="833" t="s">
        <v>9673</v>
      </c>
      <c r="D926" s="35" t="s">
        <v>3480</v>
      </c>
      <c r="E926" s="41"/>
      <c r="F926" s="41">
        <f>'gate hoist and allied works'!$E$1400</f>
        <v>39314.299999999996</v>
      </c>
    </row>
    <row r="927" spans="1:6">
      <c r="A927" s="829"/>
      <c r="B927" s="35"/>
      <c r="C927" s="833"/>
      <c r="D927" s="39"/>
      <c r="E927" s="35"/>
      <c r="F927" s="35"/>
    </row>
    <row r="928" spans="1:6" ht="216">
      <c r="A928" s="829" t="s">
        <v>7172</v>
      </c>
      <c r="B928" s="35">
        <v>281</v>
      </c>
      <c r="C928" s="839" t="s">
        <v>8308</v>
      </c>
      <c r="D928" s="34" t="s">
        <v>2992</v>
      </c>
      <c r="E928" s="41">
        <f>'gate hoist and allied works'!$G$1620</f>
        <v>72473.100000000006</v>
      </c>
      <c r="F928" s="41"/>
    </row>
    <row r="929" spans="1:6" ht="36">
      <c r="A929" s="829"/>
      <c r="B929" s="35"/>
      <c r="C929" s="833" t="s">
        <v>9673</v>
      </c>
      <c r="D929" s="65" t="s">
        <v>2992</v>
      </c>
      <c r="E929" s="41"/>
      <c r="F929" s="41">
        <f>'gate hoist and allied works'!$E$1602</f>
        <v>2764.9</v>
      </c>
    </row>
    <row r="930" spans="1:6">
      <c r="A930" s="829"/>
      <c r="B930" s="35"/>
      <c r="C930" s="833"/>
      <c r="D930" s="39"/>
      <c r="E930" s="35"/>
      <c r="F930" s="35"/>
    </row>
    <row r="931" spans="1:6" ht="198">
      <c r="A931" s="829" t="s">
        <v>7173</v>
      </c>
      <c r="B931" s="35">
        <v>282</v>
      </c>
      <c r="C931" s="839" t="s">
        <v>8309</v>
      </c>
      <c r="D931" s="35" t="s">
        <v>3480</v>
      </c>
      <c r="E931" s="41">
        <f>'gate hoist and allied works'!$G$1713</f>
        <v>113219.8</v>
      </c>
      <c r="F931" s="41"/>
    </row>
    <row r="932" spans="1:6">
      <c r="A932" s="829"/>
      <c r="B932" s="35"/>
      <c r="C932" s="833" t="s">
        <v>9673</v>
      </c>
      <c r="D932" s="35" t="s">
        <v>3480</v>
      </c>
      <c r="E932" s="41"/>
      <c r="F932" s="41">
        <f>'gate hoist and allied works'!$E$1697</f>
        <v>35595.4</v>
      </c>
    </row>
    <row r="933" spans="1:6">
      <c r="A933" s="829"/>
      <c r="B933" s="35"/>
      <c r="C933" s="833"/>
      <c r="D933" s="35"/>
      <c r="E933" s="35"/>
      <c r="F933" s="35"/>
    </row>
    <row r="934" spans="1:6" ht="216">
      <c r="A934" s="829" t="s">
        <v>7174</v>
      </c>
      <c r="B934" s="35">
        <v>283</v>
      </c>
      <c r="C934" s="839" t="s">
        <v>8310</v>
      </c>
      <c r="D934" s="34" t="s">
        <v>520</v>
      </c>
      <c r="E934" s="41">
        <f>'gate hoist and allied works'!$G$1913</f>
        <v>35877.1</v>
      </c>
      <c r="F934" s="41"/>
    </row>
    <row r="935" spans="1:6" ht="36">
      <c r="A935" s="829"/>
      <c r="B935" s="35"/>
      <c r="C935" s="833" t="s">
        <v>9673</v>
      </c>
      <c r="D935" s="34" t="s">
        <v>520</v>
      </c>
      <c r="E935" s="41"/>
      <c r="F935" s="41">
        <f>'gate hoist and allied works'!$E$1895</f>
        <v>1172.7</v>
      </c>
    </row>
    <row r="936" spans="1:6">
      <c r="A936" s="829"/>
      <c r="B936" s="35"/>
      <c r="C936" s="833"/>
      <c r="D936" s="39"/>
      <c r="E936" s="35"/>
      <c r="F936" s="35"/>
    </row>
    <row r="937" spans="1:6" ht="198">
      <c r="A937" s="829" t="s">
        <v>7175</v>
      </c>
      <c r="B937" s="35">
        <v>284</v>
      </c>
      <c r="C937" s="839" t="s">
        <v>8311</v>
      </c>
      <c r="D937" s="34" t="s">
        <v>520</v>
      </c>
      <c r="E937" s="41">
        <f>'gate hoist and allied works'!$G$2065</f>
        <v>33670.9</v>
      </c>
      <c r="F937" s="41"/>
    </row>
    <row r="938" spans="1:6" ht="36">
      <c r="A938" s="829"/>
      <c r="B938" s="35"/>
      <c r="C938" s="831" t="s">
        <v>9673</v>
      </c>
      <c r="D938" s="34" t="s">
        <v>520</v>
      </c>
      <c r="E938" s="41"/>
      <c r="F938" s="41">
        <f>'gate hoist and allied works'!$E$2047</f>
        <v>5306.4</v>
      </c>
    </row>
    <row r="939" spans="1:6">
      <c r="A939" s="829"/>
      <c r="B939" s="35"/>
      <c r="C939" s="833"/>
      <c r="D939" s="39"/>
      <c r="E939" s="35"/>
      <c r="F939" s="35"/>
    </row>
    <row r="940" spans="1:6" ht="180">
      <c r="A940" s="829" t="s">
        <v>7176</v>
      </c>
      <c r="B940" s="35">
        <v>285</v>
      </c>
      <c r="C940" s="839" t="s">
        <v>8312</v>
      </c>
      <c r="D940" s="34" t="s">
        <v>520</v>
      </c>
      <c r="E940" s="41">
        <f>'gate hoist and allied works'!$G$2263</f>
        <v>75881.3</v>
      </c>
      <c r="F940" s="35"/>
    </row>
    <row r="941" spans="1:6" ht="36">
      <c r="A941" s="829"/>
      <c r="B941" s="35"/>
      <c r="C941" s="834" t="s">
        <v>9673</v>
      </c>
      <c r="D941" s="34" t="s">
        <v>520</v>
      </c>
      <c r="E941" s="41"/>
      <c r="F941" s="41">
        <f>'gate hoist and allied works'!$E$2245</f>
        <v>7095.3</v>
      </c>
    </row>
    <row r="942" spans="1:6">
      <c r="A942" s="829"/>
      <c r="B942" s="35"/>
      <c r="C942" s="833"/>
      <c r="D942" s="39"/>
      <c r="E942" s="35"/>
      <c r="F942" s="35"/>
    </row>
    <row r="943" spans="1:6" ht="216">
      <c r="A943" s="829" t="s">
        <v>9761</v>
      </c>
      <c r="B943" s="35">
        <v>286</v>
      </c>
      <c r="C943" s="847" t="s">
        <v>9577</v>
      </c>
      <c r="D943" s="35" t="s">
        <v>9375</v>
      </c>
      <c r="E943" s="41">
        <f>'gate hoist and allied works'!$G$2351</f>
        <v>124482.9</v>
      </c>
      <c r="F943" s="35"/>
    </row>
    <row r="944" spans="1:6">
      <c r="A944" s="829"/>
      <c r="B944" s="35"/>
      <c r="C944" s="839" t="s">
        <v>9673</v>
      </c>
      <c r="D944" s="35" t="s">
        <v>9375</v>
      </c>
      <c r="E944" s="35"/>
      <c r="F944" s="41">
        <f>'gate hoist and allied works'!$E$2335</f>
        <v>26508.199999999997</v>
      </c>
    </row>
    <row r="945" spans="1:6">
      <c r="A945" s="829"/>
      <c r="B945" s="35"/>
      <c r="C945" s="879"/>
      <c r="D945" s="35"/>
      <c r="E945" s="35"/>
      <c r="F945" s="41"/>
    </row>
    <row r="946" spans="1:6" ht="180">
      <c r="A946" s="829" t="s">
        <v>9762</v>
      </c>
      <c r="B946" s="35">
        <v>287</v>
      </c>
      <c r="C946" s="847" t="s">
        <v>9578</v>
      </c>
      <c r="D946" s="35" t="s">
        <v>9375</v>
      </c>
      <c r="E946" s="41">
        <f>'gate hoist and allied works'!$G$2434</f>
        <v>75583.100000000006</v>
      </c>
      <c r="F946" s="35"/>
    </row>
    <row r="947" spans="1:6">
      <c r="A947" s="829"/>
      <c r="B947" s="35"/>
      <c r="C947" s="839" t="s">
        <v>9673</v>
      </c>
      <c r="D947" s="35" t="s">
        <v>9375</v>
      </c>
      <c r="E947" s="35"/>
      <c r="F947" s="41">
        <f>'gate hoist and allied works'!$E$2418</f>
        <v>22068.1</v>
      </c>
    </row>
    <row r="948" spans="1:6">
      <c r="A948" s="829"/>
      <c r="B948" s="35"/>
      <c r="C948" s="839"/>
      <c r="D948" s="35"/>
      <c r="E948" s="35"/>
      <c r="F948" s="41"/>
    </row>
    <row r="949" spans="1:6" ht="180">
      <c r="A949" s="829" t="s">
        <v>9763</v>
      </c>
      <c r="B949" s="35">
        <v>288</v>
      </c>
      <c r="C949" s="847" t="s">
        <v>9579</v>
      </c>
      <c r="D949" s="35" t="s">
        <v>9375</v>
      </c>
      <c r="E949" s="41">
        <f>'gate hoist and allied works'!$G$2517</f>
        <v>199256.1</v>
      </c>
      <c r="F949" s="35"/>
    </row>
    <row r="950" spans="1:6">
      <c r="A950" s="829"/>
      <c r="B950" s="35"/>
      <c r="C950" s="839" t="s">
        <v>9673</v>
      </c>
      <c r="D950" s="35" t="s">
        <v>9375</v>
      </c>
      <c r="E950" s="35"/>
      <c r="F950" s="41">
        <f>'gate hoist and allied works'!$E$2501</f>
        <v>11234.699999999999</v>
      </c>
    </row>
    <row r="951" spans="1:6">
      <c r="A951" s="829"/>
      <c r="B951" s="35"/>
      <c r="C951" s="839"/>
      <c r="D951" s="35"/>
      <c r="E951" s="35"/>
      <c r="F951" s="41"/>
    </row>
    <row r="952" spans="1:6">
      <c r="A952" s="829" t="s">
        <v>7177</v>
      </c>
      <c r="B952" s="35"/>
      <c r="C952" s="837" t="s">
        <v>1352</v>
      </c>
      <c r="D952" s="39"/>
      <c r="E952" s="35"/>
      <c r="F952" s="35"/>
    </row>
    <row r="953" spans="1:6" ht="90">
      <c r="A953" s="829" t="s">
        <v>7178</v>
      </c>
      <c r="B953" s="35">
        <v>289</v>
      </c>
      <c r="C953" s="839" t="s">
        <v>8313</v>
      </c>
      <c r="D953" s="35" t="s">
        <v>3479</v>
      </c>
      <c r="E953" s="41">
        <f>'gate hoist and allied works'!$G$2596</f>
        <v>269.39999999999998</v>
      </c>
      <c r="F953" s="41"/>
    </row>
    <row r="954" spans="1:6">
      <c r="A954" s="829"/>
      <c r="B954" s="35"/>
      <c r="C954" s="839" t="s">
        <v>9673</v>
      </c>
      <c r="D954" s="35" t="s">
        <v>3479</v>
      </c>
      <c r="E954" s="41"/>
      <c r="F954" s="41">
        <f>'gate hoist and allied works'!$E$2583</f>
        <v>98.7</v>
      </c>
    </row>
    <row r="955" spans="1:6">
      <c r="A955" s="829"/>
      <c r="B955" s="35"/>
      <c r="C955" s="839"/>
      <c r="D955" s="39"/>
      <c r="E955" s="35"/>
      <c r="F955" s="35"/>
    </row>
    <row r="956" spans="1:6" ht="198">
      <c r="A956" s="829" t="s">
        <v>7179</v>
      </c>
      <c r="B956" s="35">
        <v>290</v>
      </c>
      <c r="C956" s="847" t="s">
        <v>9580</v>
      </c>
      <c r="D956" s="35" t="s">
        <v>3479</v>
      </c>
      <c r="E956" s="41">
        <f>'gate hoist and allied works'!$G$2661</f>
        <v>507.6</v>
      </c>
      <c r="F956" s="41"/>
    </row>
    <row r="957" spans="1:6">
      <c r="A957" s="829"/>
      <c r="B957" s="35"/>
      <c r="C957" s="834" t="s">
        <v>9673</v>
      </c>
      <c r="D957" s="35" t="s">
        <v>3479</v>
      </c>
      <c r="E957" s="41"/>
      <c r="F957" s="41">
        <f>'gate hoist and allied works'!$E$2648</f>
        <v>209.79999999999998</v>
      </c>
    </row>
    <row r="958" spans="1:6">
      <c r="A958" s="829"/>
      <c r="B958" s="35"/>
      <c r="C958" s="834"/>
      <c r="D958" s="39"/>
      <c r="E958" s="35"/>
      <c r="F958" s="35"/>
    </row>
    <row r="959" spans="1:6" ht="108">
      <c r="A959" s="829" t="s">
        <v>7180</v>
      </c>
      <c r="B959" s="35">
        <v>291</v>
      </c>
      <c r="C959" s="847" t="s">
        <v>9581</v>
      </c>
      <c r="D959" s="35" t="s">
        <v>3479</v>
      </c>
      <c r="E959" s="41">
        <f>'gate hoist and allied works'!$G$2720</f>
        <v>364.4</v>
      </c>
      <c r="F959" s="41"/>
    </row>
    <row r="960" spans="1:6">
      <c r="A960" s="829"/>
      <c r="B960" s="35"/>
      <c r="C960" s="834" t="s">
        <v>9673</v>
      </c>
      <c r="D960" s="35" t="s">
        <v>3479</v>
      </c>
      <c r="E960" s="41"/>
      <c r="F960" s="41">
        <f>'gate hoist and allied works'!$E$2707</f>
        <v>161</v>
      </c>
    </row>
    <row r="961" spans="1:6">
      <c r="A961" s="829"/>
      <c r="B961" s="35"/>
      <c r="C961" s="834"/>
      <c r="D961" s="39"/>
      <c r="E961" s="35"/>
      <c r="F961" s="35"/>
    </row>
    <row r="962" spans="1:6" ht="108">
      <c r="A962" s="829" t="s">
        <v>7181</v>
      </c>
      <c r="B962" s="35">
        <v>292</v>
      </c>
      <c r="C962" s="847" t="s">
        <v>9583</v>
      </c>
      <c r="D962" s="35" t="s">
        <v>3479</v>
      </c>
      <c r="E962" s="41">
        <f>'gate hoist and allied works'!$G$2781</f>
        <v>457</v>
      </c>
      <c r="F962" s="41"/>
    </row>
    <row r="963" spans="1:6">
      <c r="A963" s="829"/>
      <c r="B963" s="35"/>
      <c r="C963" s="834" t="s">
        <v>9673</v>
      </c>
      <c r="D963" s="35" t="s">
        <v>3479</v>
      </c>
      <c r="E963" s="41"/>
      <c r="F963" s="41">
        <f>'gate hoist and allied works'!$E$2768</f>
        <v>209.79999999999998</v>
      </c>
    </row>
    <row r="964" spans="1:6">
      <c r="A964" s="829"/>
      <c r="B964" s="35"/>
      <c r="C964" s="834"/>
      <c r="D964" s="39"/>
      <c r="E964" s="35"/>
      <c r="F964" s="35"/>
    </row>
    <row r="965" spans="1:6" ht="108">
      <c r="A965" s="829" t="s">
        <v>7182</v>
      </c>
      <c r="B965" s="35">
        <v>293</v>
      </c>
      <c r="C965" s="847" t="s">
        <v>9584</v>
      </c>
      <c r="D965" s="35" t="s">
        <v>3479</v>
      </c>
      <c r="E965" s="41">
        <f>'gate hoist and allied works'!$G$2840</f>
        <v>413.1</v>
      </c>
      <c r="F965" s="41"/>
    </row>
    <row r="966" spans="1:6">
      <c r="A966" s="829"/>
      <c r="B966" s="35"/>
      <c r="C966" s="834" t="s">
        <v>9673</v>
      </c>
      <c r="D966" s="35" t="s">
        <v>3479</v>
      </c>
      <c r="E966" s="41"/>
      <c r="F966" s="41">
        <f>'gate hoist and allied works'!$E$2827</f>
        <v>209.79999999999998</v>
      </c>
    </row>
    <row r="967" spans="1:6">
      <c r="A967" s="829"/>
      <c r="B967" s="35"/>
      <c r="C967" s="834"/>
      <c r="D967" s="39"/>
      <c r="E967" s="35"/>
      <c r="F967" s="35"/>
    </row>
    <row r="968" spans="1:6">
      <c r="A968" s="829" t="s">
        <v>7183</v>
      </c>
      <c r="B968" s="35"/>
      <c r="C968" s="837" t="s">
        <v>1644</v>
      </c>
      <c r="D968" s="39"/>
      <c r="E968" s="35"/>
      <c r="F968" s="35"/>
    </row>
    <row r="969" spans="1:6">
      <c r="A969" s="829"/>
      <c r="B969" s="35"/>
      <c r="C969" s="833"/>
      <c r="D969" s="39"/>
      <c r="E969" s="35"/>
      <c r="F969" s="35"/>
    </row>
    <row r="970" spans="1:6" ht="180">
      <c r="A970" s="829" t="s">
        <v>7184</v>
      </c>
      <c r="B970" s="35">
        <v>294</v>
      </c>
      <c r="C970" s="847" t="s">
        <v>9585</v>
      </c>
      <c r="D970" s="35" t="s">
        <v>3479</v>
      </c>
      <c r="E970" s="41">
        <f>'gate hoist and allied works'!$G$2906</f>
        <v>583.20000000000005</v>
      </c>
      <c r="F970" s="41"/>
    </row>
    <row r="971" spans="1:6">
      <c r="A971" s="829"/>
      <c r="B971" s="35"/>
      <c r="C971" s="834" t="s">
        <v>9673</v>
      </c>
      <c r="D971" s="35" t="s">
        <v>3479</v>
      </c>
      <c r="E971" s="41"/>
      <c r="F971" s="41">
        <f>'gate hoist and allied works'!$E$2893</f>
        <v>209.79999999999998</v>
      </c>
    </row>
    <row r="972" spans="1:6">
      <c r="A972" s="829"/>
      <c r="B972" s="35"/>
      <c r="C972" s="834"/>
      <c r="D972" s="39"/>
      <c r="E972" s="35"/>
      <c r="F972" s="35"/>
    </row>
    <row r="973" spans="1:6">
      <c r="A973" s="829" t="s">
        <v>7185</v>
      </c>
      <c r="B973" s="35"/>
      <c r="C973" s="839" t="s">
        <v>9764</v>
      </c>
      <c r="D973" s="35"/>
      <c r="E973" s="41"/>
      <c r="F973" s="41"/>
    </row>
    <row r="974" spans="1:6">
      <c r="A974" s="829"/>
      <c r="B974" s="35"/>
      <c r="C974" s="834"/>
      <c r="D974" s="35"/>
      <c r="E974" s="41"/>
      <c r="F974" s="41"/>
    </row>
    <row r="975" spans="1:6">
      <c r="A975" s="829"/>
      <c r="B975" s="35"/>
      <c r="C975" s="834"/>
      <c r="D975" s="39"/>
      <c r="E975" s="35"/>
      <c r="F975" s="35"/>
    </row>
    <row r="976" spans="1:6" ht="216">
      <c r="A976" s="829" t="s">
        <v>7186</v>
      </c>
      <c r="B976" s="35">
        <v>295</v>
      </c>
      <c r="C976" s="847" t="s">
        <v>9586</v>
      </c>
      <c r="D976" s="35" t="s">
        <v>3479</v>
      </c>
      <c r="E976" s="41">
        <f>'gate hoist and allied works'!$G$2974</f>
        <v>429.4</v>
      </c>
      <c r="F976" s="41"/>
    </row>
    <row r="977" spans="1:6">
      <c r="A977" s="829"/>
      <c r="B977" s="35"/>
      <c r="C977" s="843" t="s">
        <v>9673</v>
      </c>
      <c r="D977" s="35" t="s">
        <v>3479</v>
      </c>
      <c r="E977" s="41"/>
      <c r="F977" s="41">
        <f>'gate hoist and allied works'!$E$2961</f>
        <v>209.79999999999998</v>
      </c>
    </row>
    <row r="978" spans="1:6">
      <c r="A978" s="829"/>
      <c r="B978" s="35"/>
      <c r="C978" s="843"/>
      <c r="D978" s="39"/>
      <c r="E978" s="35"/>
      <c r="F978" s="35"/>
    </row>
    <row r="979" spans="1:6" ht="108">
      <c r="A979" s="829" t="s">
        <v>7187</v>
      </c>
      <c r="B979" s="35">
        <v>296</v>
      </c>
      <c r="C979" s="847" t="s">
        <v>9587</v>
      </c>
      <c r="D979" s="35" t="s">
        <v>3479</v>
      </c>
      <c r="E979" s="41">
        <f>'gate hoist and allied works'!$G$3036</f>
        <v>485.7</v>
      </c>
      <c r="F979" s="41"/>
    </row>
    <row r="980" spans="1:6">
      <c r="A980" s="829"/>
      <c r="B980" s="35"/>
      <c r="C980" s="839" t="s">
        <v>9673</v>
      </c>
      <c r="D980" s="35" t="s">
        <v>3479</v>
      </c>
      <c r="E980" s="41"/>
      <c r="F980" s="41">
        <f>'gate hoist and allied works'!$E$3023</f>
        <v>141.5</v>
      </c>
    </row>
    <row r="981" spans="1:6">
      <c r="A981" s="829"/>
      <c r="B981" s="35"/>
      <c r="C981" s="833"/>
      <c r="D981" s="39"/>
      <c r="E981" s="35"/>
      <c r="F981" s="35"/>
    </row>
    <row r="982" spans="1:6">
      <c r="A982" s="829"/>
      <c r="B982" s="35"/>
      <c r="C982" s="833"/>
      <c r="D982" s="39"/>
      <c r="E982" s="35"/>
      <c r="F982" s="35"/>
    </row>
    <row r="983" spans="1:6">
      <c r="A983" s="829"/>
      <c r="B983" s="35"/>
      <c r="C983" s="833"/>
      <c r="D983" s="39"/>
      <c r="E983" s="35"/>
      <c r="F983" s="35"/>
    </row>
    <row r="984" spans="1:6">
      <c r="A984" s="832" t="s">
        <v>1223</v>
      </c>
      <c r="B984" s="35"/>
      <c r="C984" s="833"/>
      <c r="D984" s="39"/>
      <c r="E984" s="35"/>
      <c r="F984" s="35"/>
    </row>
    <row r="985" spans="1:6">
      <c r="A985" s="832" t="s">
        <v>7188</v>
      </c>
      <c r="B985" s="35"/>
      <c r="C985" s="842" t="s">
        <v>1224</v>
      </c>
      <c r="D985" s="39"/>
      <c r="E985" s="35"/>
      <c r="F985" s="35"/>
    </row>
    <row r="986" spans="1:6">
      <c r="A986" s="829"/>
      <c r="B986" s="35"/>
      <c r="C986" s="833"/>
      <c r="D986" s="39"/>
      <c r="E986" s="35"/>
      <c r="F986" s="35"/>
    </row>
    <row r="987" spans="1:6">
      <c r="A987" s="829" t="s">
        <v>7189</v>
      </c>
      <c r="B987" s="35"/>
      <c r="C987" s="837" t="s">
        <v>1225</v>
      </c>
      <c r="D987" s="39"/>
      <c r="E987" s="35"/>
      <c r="F987" s="35"/>
    </row>
    <row r="988" spans="1:6" ht="54">
      <c r="A988" s="829" t="s">
        <v>7190</v>
      </c>
      <c r="B988" s="35">
        <v>297</v>
      </c>
      <c r="C988" s="838" t="s">
        <v>8314</v>
      </c>
      <c r="D988" s="35" t="s">
        <v>3479</v>
      </c>
      <c r="E988" s="41">
        <f>'preliminary and maintanance'!$G$100</f>
        <v>1.4</v>
      </c>
      <c r="F988" s="41"/>
    </row>
    <row r="989" spans="1:6">
      <c r="A989" s="829"/>
      <c r="B989" s="35"/>
      <c r="C989" s="833" t="s">
        <v>9673</v>
      </c>
      <c r="D989" s="35" t="s">
        <v>3479</v>
      </c>
      <c r="E989" s="41"/>
      <c r="F989" s="41">
        <f>'preliminary and maintanance'!$E$91</f>
        <v>1.5</v>
      </c>
    </row>
    <row r="990" spans="1:6">
      <c r="A990" s="829"/>
      <c r="B990" s="35"/>
      <c r="C990" s="833"/>
      <c r="D990" s="39"/>
      <c r="E990" s="35"/>
      <c r="F990" s="35"/>
    </row>
    <row r="991" spans="1:6" ht="54">
      <c r="A991" s="829" t="s">
        <v>7191</v>
      </c>
      <c r="B991" s="35">
        <v>298</v>
      </c>
      <c r="C991" s="838" t="s">
        <v>8315</v>
      </c>
      <c r="D991" s="35" t="s">
        <v>3479</v>
      </c>
      <c r="E991" s="41">
        <f>'preliminary and maintanance'!$G$144</f>
        <v>2.2000000000000002</v>
      </c>
      <c r="F991" s="41"/>
    </row>
    <row r="992" spans="1:6">
      <c r="A992" s="829"/>
      <c r="B992" s="35"/>
      <c r="C992" s="833" t="s">
        <v>9673</v>
      </c>
      <c r="D992" s="35" t="s">
        <v>3479</v>
      </c>
      <c r="E992" s="41"/>
      <c r="F992" s="41">
        <f>'preliminary and maintanance'!$E$135</f>
        <v>2.2999999999999998</v>
      </c>
    </row>
    <row r="993" spans="1:6">
      <c r="A993" s="829"/>
      <c r="B993" s="35"/>
      <c r="C993" s="833"/>
      <c r="D993" s="39"/>
      <c r="E993" s="35"/>
      <c r="F993" s="35"/>
    </row>
    <row r="994" spans="1:6" ht="54">
      <c r="A994" s="829" t="s">
        <v>7192</v>
      </c>
      <c r="B994" s="35">
        <v>299</v>
      </c>
      <c r="C994" s="838" t="s">
        <v>8316</v>
      </c>
      <c r="D994" s="35" t="s">
        <v>3481</v>
      </c>
      <c r="E994" s="41">
        <f>'preliminary and maintanance'!$G$189</f>
        <v>51.3</v>
      </c>
      <c r="F994" s="41"/>
    </row>
    <row r="995" spans="1:6">
      <c r="A995" s="829"/>
      <c r="B995" s="35"/>
      <c r="C995" s="833" t="s">
        <v>9673</v>
      </c>
      <c r="D995" s="35" t="s">
        <v>3481</v>
      </c>
      <c r="E995" s="41"/>
      <c r="F995" s="41">
        <f>'preliminary and maintanance'!$E$180</f>
        <v>51.2</v>
      </c>
    </row>
    <row r="996" spans="1:6">
      <c r="A996" s="829"/>
      <c r="B996" s="35"/>
      <c r="C996" s="833"/>
      <c r="D996" s="39"/>
      <c r="E996" s="35"/>
      <c r="F996" s="35"/>
    </row>
    <row r="997" spans="1:6">
      <c r="A997" s="829"/>
      <c r="B997" s="35"/>
      <c r="C997" s="833"/>
      <c r="D997" s="39"/>
      <c r="E997" s="35"/>
      <c r="F997" s="35"/>
    </row>
    <row r="998" spans="1:6" ht="72">
      <c r="A998" s="829" t="s">
        <v>7193</v>
      </c>
      <c r="B998" s="35">
        <v>300</v>
      </c>
      <c r="C998" s="838" t="s">
        <v>8317</v>
      </c>
      <c r="D998" s="35" t="s">
        <v>3481</v>
      </c>
      <c r="E998" s="41">
        <f>'preliminary and maintanance'!$G$234</f>
        <v>115.4</v>
      </c>
      <c r="F998" s="41"/>
    </row>
    <row r="999" spans="1:6">
      <c r="A999" s="829"/>
      <c r="B999" s="35"/>
      <c r="C999" s="833" t="s">
        <v>9673</v>
      </c>
      <c r="D999" s="35" t="s">
        <v>3481</v>
      </c>
      <c r="E999" s="41"/>
      <c r="F999" s="41">
        <f>'preliminary and maintanance'!$E$225</f>
        <v>115.4</v>
      </c>
    </row>
    <row r="1000" spans="1:6">
      <c r="A1000" s="829"/>
      <c r="B1000" s="35"/>
      <c r="C1000" s="833"/>
      <c r="D1000" s="39"/>
      <c r="E1000" s="35"/>
      <c r="F1000" s="35"/>
    </row>
    <row r="1001" spans="1:6" ht="72">
      <c r="A1001" s="829" t="s">
        <v>7194</v>
      </c>
      <c r="B1001" s="35">
        <v>301</v>
      </c>
      <c r="C1001" s="838" t="s">
        <v>8318</v>
      </c>
      <c r="D1001" s="35" t="s">
        <v>3481</v>
      </c>
      <c r="E1001" s="41">
        <f>'preliminary and maintanance'!$G$279</f>
        <v>369.2</v>
      </c>
      <c r="F1001" s="41"/>
    </row>
    <row r="1002" spans="1:6">
      <c r="A1002" s="829"/>
      <c r="B1002" s="35"/>
      <c r="C1002" s="833" t="s">
        <v>9673</v>
      </c>
      <c r="D1002" s="35" t="s">
        <v>3481</v>
      </c>
      <c r="E1002" s="41"/>
      <c r="F1002" s="41">
        <f>'preliminary and maintanance'!$E$270</f>
        <v>369.2</v>
      </c>
    </row>
    <row r="1003" spans="1:6">
      <c r="A1003" s="829"/>
      <c r="B1003" s="35"/>
      <c r="C1003" s="833"/>
      <c r="D1003" s="39"/>
      <c r="E1003" s="35"/>
      <c r="F1003" s="35"/>
    </row>
    <row r="1004" spans="1:6" ht="36">
      <c r="A1004" s="829" t="s">
        <v>7195</v>
      </c>
      <c r="B1004" s="35">
        <v>302</v>
      </c>
      <c r="C1004" s="838" t="s">
        <v>8319</v>
      </c>
      <c r="D1004" s="35" t="s">
        <v>3481</v>
      </c>
      <c r="E1004" s="41">
        <f>'preliminary and maintanance'!$G$325</f>
        <v>65.8</v>
      </c>
      <c r="F1004" s="41"/>
    </row>
    <row r="1005" spans="1:6">
      <c r="A1005" s="829"/>
      <c r="B1005" s="35"/>
      <c r="C1005" s="833" t="s">
        <v>9673</v>
      </c>
      <c r="D1005" s="35" t="s">
        <v>3481</v>
      </c>
      <c r="E1005" s="41"/>
      <c r="F1005" s="41">
        <f>'preliminary and maintanance'!$E$316</f>
        <v>65.8</v>
      </c>
    </row>
    <row r="1006" spans="1:6">
      <c r="A1006" s="829"/>
      <c r="B1006" s="35"/>
      <c r="C1006" s="833"/>
      <c r="D1006" s="39"/>
      <c r="E1006" s="35"/>
      <c r="F1006" s="35"/>
    </row>
    <row r="1007" spans="1:6" ht="36">
      <c r="A1007" s="829" t="s">
        <v>7196</v>
      </c>
      <c r="B1007" s="35">
        <v>303</v>
      </c>
      <c r="C1007" s="838" t="s">
        <v>8320</v>
      </c>
      <c r="D1007" s="35" t="s">
        <v>3481</v>
      </c>
      <c r="E1007" s="41">
        <f>'preliminary and maintanance'!$G$368</f>
        <v>15</v>
      </c>
      <c r="F1007" s="41"/>
    </row>
    <row r="1008" spans="1:6">
      <c r="A1008" s="829"/>
      <c r="B1008" s="35"/>
      <c r="C1008" s="833" t="s">
        <v>9673</v>
      </c>
      <c r="D1008" s="35" t="s">
        <v>3481</v>
      </c>
      <c r="E1008" s="41"/>
      <c r="F1008" s="41">
        <f>'preliminary and maintanance'!$E$359</f>
        <v>15</v>
      </c>
    </row>
    <row r="1009" spans="1:6">
      <c r="A1009" s="829"/>
      <c r="B1009" s="35"/>
      <c r="C1009" s="833"/>
      <c r="D1009" s="39"/>
      <c r="E1009" s="35"/>
      <c r="F1009" s="35"/>
    </row>
    <row r="1010" spans="1:6" ht="54">
      <c r="A1010" s="829" t="s">
        <v>7197</v>
      </c>
      <c r="B1010" s="35">
        <v>304</v>
      </c>
      <c r="C1010" s="838" t="s">
        <v>8321</v>
      </c>
      <c r="D1010" s="35" t="s">
        <v>3481</v>
      </c>
      <c r="E1010" s="41">
        <f>'preliminary and maintanance'!$G$409</f>
        <v>14.5</v>
      </c>
      <c r="F1010" s="41"/>
    </row>
    <row r="1011" spans="1:6">
      <c r="A1011" s="829"/>
      <c r="B1011" s="35"/>
      <c r="C1011" s="833" t="s">
        <v>9673</v>
      </c>
      <c r="D1011" s="35" t="s">
        <v>3481</v>
      </c>
      <c r="E1011" s="41"/>
      <c r="F1011" s="41">
        <f>'preliminary and maintanance'!$E$400</f>
        <v>14.5</v>
      </c>
    </row>
    <row r="1012" spans="1:6">
      <c r="A1012" s="829"/>
      <c r="B1012" s="35"/>
      <c r="C1012" s="833"/>
      <c r="D1012" s="39"/>
      <c r="E1012" s="35"/>
      <c r="F1012" s="35"/>
    </row>
    <row r="1013" spans="1:6" ht="54">
      <c r="A1013" s="829" t="s">
        <v>7198</v>
      </c>
      <c r="B1013" s="35">
        <v>305</v>
      </c>
      <c r="C1013" s="838" t="s">
        <v>8322</v>
      </c>
      <c r="D1013" s="35" t="s">
        <v>3481</v>
      </c>
      <c r="E1013" s="41">
        <f>'preliminary and maintanance'!$G$451</f>
        <v>29</v>
      </c>
      <c r="F1013" s="41"/>
    </row>
    <row r="1014" spans="1:6">
      <c r="A1014" s="829"/>
      <c r="B1014" s="35"/>
      <c r="C1014" s="833" t="s">
        <v>9673</v>
      </c>
      <c r="D1014" s="35" t="s">
        <v>3481</v>
      </c>
      <c r="E1014" s="41"/>
      <c r="F1014" s="41">
        <f>'preliminary and maintanance'!$E$442</f>
        <v>29</v>
      </c>
    </row>
    <row r="1015" spans="1:6">
      <c r="A1015" s="829"/>
      <c r="B1015" s="35"/>
      <c r="C1015" s="833"/>
      <c r="D1015" s="39"/>
      <c r="E1015" s="35"/>
      <c r="F1015" s="35"/>
    </row>
    <row r="1016" spans="1:6" ht="54">
      <c r="A1016" s="829" t="s">
        <v>7199</v>
      </c>
      <c r="B1016" s="35">
        <v>306</v>
      </c>
      <c r="C1016" s="838" t="s">
        <v>8323</v>
      </c>
      <c r="D1016" s="35" t="s">
        <v>3481</v>
      </c>
      <c r="E1016" s="41">
        <f>'preliminary and maintanance'!$G$494</f>
        <v>97.4</v>
      </c>
      <c r="F1016" s="41"/>
    </row>
    <row r="1017" spans="1:6">
      <c r="A1017" s="829"/>
      <c r="B1017" s="35"/>
      <c r="C1017" s="833" t="s">
        <v>9673</v>
      </c>
      <c r="D1017" s="35" t="s">
        <v>3481</v>
      </c>
      <c r="E1017" s="41"/>
      <c r="F1017" s="41">
        <f>'preliminary and maintanance'!$E$485</f>
        <v>94.3</v>
      </c>
    </row>
    <row r="1018" spans="1:6">
      <c r="A1018" s="829"/>
      <c r="B1018" s="35"/>
      <c r="C1018" s="833"/>
      <c r="D1018" s="39"/>
      <c r="E1018" s="35"/>
      <c r="F1018" s="35"/>
    </row>
    <row r="1019" spans="1:6" ht="54">
      <c r="A1019" s="829" t="s">
        <v>7200</v>
      </c>
      <c r="B1019" s="35">
        <v>307</v>
      </c>
      <c r="C1019" s="838" t="s">
        <v>8324</v>
      </c>
      <c r="D1019" s="35" t="s">
        <v>3481</v>
      </c>
      <c r="E1019" s="41">
        <f>'preliminary and maintanance'!$G$537</f>
        <v>340.8</v>
      </c>
      <c r="F1019" s="41"/>
    </row>
    <row r="1020" spans="1:6">
      <c r="A1020" s="829"/>
      <c r="B1020" s="35"/>
      <c r="C1020" s="833" t="s">
        <v>9673</v>
      </c>
      <c r="D1020" s="35" t="s">
        <v>3481</v>
      </c>
      <c r="E1020" s="41"/>
      <c r="F1020" s="41">
        <f>'preliminary and maintanance'!$E$528</f>
        <v>330.20000000000005</v>
      </c>
    </row>
    <row r="1021" spans="1:6">
      <c r="A1021" s="829"/>
      <c r="B1021" s="35"/>
      <c r="C1021" s="833"/>
      <c r="D1021" s="39"/>
      <c r="E1021" s="35"/>
      <c r="F1021" s="35"/>
    </row>
    <row r="1022" spans="1:6" ht="54">
      <c r="A1022" s="829" t="s">
        <v>7201</v>
      </c>
      <c r="B1022" s="35">
        <v>308</v>
      </c>
      <c r="C1022" s="838" t="s">
        <v>8325</v>
      </c>
      <c r="D1022" s="35" t="s">
        <v>3481</v>
      </c>
      <c r="E1022" s="41">
        <f>'preliminary and maintanance'!$G$580</f>
        <v>681.7</v>
      </c>
      <c r="F1022" s="41"/>
    </row>
    <row r="1023" spans="1:6">
      <c r="A1023" s="829"/>
      <c r="B1023" s="35"/>
      <c r="C1023" s="833" t="s">
        <v>9673</v>
      </c>
      <c r="D1023" s="35" t="s">
        <v>3481</v>
      </c>
      <c r="E1023" s="41"/>
      <c r="F1023" s="41">
        <f>'preliminary and maintanance'!$E$571</f>
        <v>660.4</v>
      </c>
    </row>
    <row r="1024" spans="1:6">
      <c r="A1024" s="829"/>
      <c r="B1024" s="35"/>
      <c r="C1024" s="833"/>
      <c r="D1024" s="35"/>
      <c r="E1024" s="35"/>
      <c r="F1024" s="35"/>
    </row>
    <row r="1025" spans="1:6" ht="54">
      <c r="A1025" s="829" t="s">
        <v>7202</v>
      </c>
      <c r="B1025" s="35">
        <v>309</v>
      </c>
      <c r="C1025" s="838" t="s">
        <v>8326</v>
      </c>
      <c r="D1025" s="35" t="s">
        <v>3481</v>
      </c>
      <c r="E1025" s="41">
        <f>'preliminary and maintanance'!$G$623</f>
        <v>1363.4</v>
      </c>
      <c r="F1025" s="41"/>
    </row>
    <row r="1026" spans="1:6">
      <c r="A1026" s="829"/>
      <c r="B1026" s="35"/>
      <c r="C1026" s="833" t="s">
        <v>9673</v>
      </c>
      <c r="D1026" s="35" t="s">
        <v>3481</v>
      </c>
      <c r="E1026" s="41"/>
      <c r="F1026" s="41">
        <f>'preliminary and maintanance'!$E$614</f>
        <v>1320.8</v>
      </c>
    </row>
    <row r="1027" spans="1:6">
      <c r="A1027" s="829"/>
      <c r="B1027" s="35"/>
      <c r="C1027" s="833"/>
      <c r="D1027" s="39"/>
      <c r="E1027" s="35"/>
      <c r="F1027" s="35"/>
    </row>
    <row r="1028" spans="1:6" ht="54">
      <c r="A1028" s="829" t="s">
        <v>7203</v>
      </c>
      <c r="B1028" s="35">
        <v>310</v>
      </c>
      <c r="C1028" s="838" t="s">
        <v>8327</v>
      </c>
      <c r="D1028" s="35" t="s">
        <v>3481</v>
      </c>
      <c r="E1028" s="41">
        <f>'preliminary and maintanance'!$G$668</f>
        <v>2201.3000000000002</v>
      </c>
      <c r="F1028" s="41"/>
    </row>
    <row r="1029" spans="1:6">
      <c r="A1029" s="829"/>
      <c r="B1029" s="35"/>
      <c r="C1029" s="833" t="s">
        <v>9673</v>
      </c>
      <c r="D1029" s="35" t="s">
        <v>3481</v>
      </c>
      <c r="E1029" s="41"/>
      <c r="F1029" s="41">
        <f>'preliminary and maintanance'!$E$659</f>
        <v>2116.1</v>
      </c>
    </row>
    <row r="1030" spans="1:6">
      <c r="A1030" s="829"/>
      <c r="B1030" s="35"/>
      <c r="C1030" s="833"/>
      <c r="D1030" s="39"/>
      <c r="E1030" s="35"/>
      <c r="F1030" s="35"/>
    </row>
    <row r="1031" spans="1:6" ht="72">
      <c r="A1031" s="829" t="s">
        <v>7204</v>
      </c>
      <c r="B1031" s="35">
        <v>311</v>
      </c>
      <c r="C1031" s="839" t="s">
        <v>8328</v>
      </c>
      <c r="D1031" s="35" t="s">
        <v>3481</v>
      </c>
      <c r="E1031" s="41">
        <f>'preliminary and maintanance'!$G$713</f>
        <v>772.6</v>
      </c>
      <c r="F1031" s="41"/>
    </row>
    <row r="1032" spans="1:6">
      <c r="A1032" s="829"/>
      <c r="B1032" s="35"/>
      <c r="C1032" s="833" t="s">
        <v>9673</v>
      </c>
      <c r="D1032" s="35" t="s">
        <v>3481</v>
      </c>
      <c r="E1032" s="41"/>
      <c r="F1032" s="41">
        <f>'preliminary and maintanance'!$E$704</f>
        <v>747</v>
      </c>
    </row>
    <row r="1033" spans="1:6">
      <c r="A1033" s="829"/>
      <c r="B1033" s="35"/>
      <c r="C1033" s="833"/>
      <c r="D1033" s="39"/>
      <c r="E1033" s="35"/>
      <c r="F1033" s="35"/>
    </row>
    <row r="1034" spans="1:6" ht="36">
      <c r="A1034" s="829" t="s">
        <v>7205</v>
      </c>
      <c r="B1034" s="35">
        <v>312</v>
      </c>
      <c r="C1034" s="838" t="s">
        <v>8329</v>
      </c>
      <c r="D1034" s="35" t="s">
        <v>3479</v>
      </c>
      <c r="E1034" s="41">
        <f>'preliminary and maintanance'!$G$754</f>
        <v>5.3</v>
      </c>
      <c r="F1034" s="41"/>
    </row>
    <row r="1035" spans="1:6">
      <c r="A1035" s="829"/>
      <c r="B1035" s="35"/>
      <c r="C1035" s="833" t="s">
        <v>9673</v>
      </c>
      <c r="D1035" s="35" t="s">
        <v>3479</v>
      </c>
      <c r="E1035" s="41"/>
      <c r="F1035" s="41">
        <f>'preliminary and maintanance'!$E$745</f>
        <v>5.3</v>
      </c>
    </row>
    <row r="1036" spans="1:6">
      <c r="A1036" s="829"/>
      <c r="B1036" s="35"/>
      <c r="C1036" s="833"/>
      <c r="D1036" s="39"/>
      <c r="E1036" s="35"/>
      <c r="F1036" s="35"/>
    </row>
    <row r="1037" spans="1:6">
      <c r="A1037" s="829" t="s">
        <v>7206</v>
      </c>
      <c r="B1037" s="35"/>
      <c r="C1037" s="837" t="s">
        <v>2176</v>
      </c>
      <c r="D1037" s="39"/>
      <c r="E1037" s="35"/>
      <c r="F1037" s="35"/>
    </row>
    <row r="1038" spans="1:6">
      <c r="A1038" s="829"/>
      <c r="B1038" s="35"/>
      <c r="C1038" s="833"/>
      <c r="D1038" s="39"/>
      <c r="E1038" s="35"/>
      <c r="F1038" s="35"/>
    </row>
    <row r="1039" spans="1:6" ht="72">
      <c r="A1039" s="829" t="s">
        <v>7207</v>
      </c>
      <c r="B1039" s="35">
        <v>313</v>
      </c>
      <c r="C1039" s="838" t="s">
        <v>8330</v>
      </c>
      <c r="D1039" s="35" t="s">
        <v>3477</v>
      </c>
      <c r="E1039" s="41">
        <f>'preliminary and maintanance'!$G$798</f>
        <v>264.2</v>
      </c>
      <c r="F1039" s="41"/>
    </row>
    <row r="1040" spans="1:6">
      <c r="A1040" s="829"/>
      <c r="B1040" s="35"/>
      <c r="C1040" s="833" t="s">
        <v>9673</v>
      </c>
      <c r="D1040" s="35" t="s">
        <v>3477</v>
      </c>
      <c r="E1040" s="41"/>
      <c r="F1040" s="41">
        <f>'preliminary and maintanance'!$E$789</f>
        <v>264.2</v>
      </c>
    </row>
    <row r="1041" spans="1:8" s="61" customFormat="1">
      <c r="A1041" s="851"/>
      <c r="B1041" s="66"/>
      <c r="C1041" s="849"/>
      <c r="D1041" s="66"/>
      <c r="E1041" s="66"/>
      <c r="F1041" s="66"/>
    </row>
    <row r="1042" spans="1:8">
      <c r="A1042" s="829"/>
      <c r="B1042" s="35"/>
      <c r="C1042" s="833"/>
      <c r="D1042" s="39"/>
      <c r="E1042" s="35"/>
      <c r="F1042" s="35"/>
    </row>
    <row r="1043" spans="1:8" ht="54">
      <c r="A1043" s="829" t="s">
        <v>7208</v>
      </c>
      <c r="B1043" s="35">
        <v>314</v>
      </c>
      <c r="C1043" s="838" t="s">
        <v>8331</v>
      </c>
      <c r="D1043" s="35" t="s">
        <v>3477</v>
      </c>
      <c r="E1043" s="41">
        <f>'preliminary and maintanance'!$G$840</f>
        <v>369.2</v>
      </c>
      <c r="F1043" s="41"/>
    </row>
    <row r="1044" spans="1:8">
      <c r="A1044" s="829"/>
      <c r="B1044" s="35"/>
      <c r="C1044" s="833" t="s">
        <v>9673</v>
      </c>
      <c r="D1044" s="35" t="s">
        <v>3477</v>
      </c>
      <c r="E1044" s="41"/>
      <c r="F1044" s="41">
        <f>'preliminary and maintanance'!$E$831</f>
        <v>369.2</v>
      </c>
    </row>
    <row r="1045" spans="1:8" s="61" customFormat="1">
      <c r="A1045" s="851"/>
      <c r="B1045" s="66"/>
      <c r="C1045" s="849"/>
      <c r="D1045" s="66"/>
      <c r="E1045" s="66"/>
      <c r="F1045" s="66"/>
    </row>
    <row r="1046" spans="1:8">
      <c r="A1046" s="829"/>
      <c r="B1046" s="35"/>
      <c r="C1046" s="833"/>
      <c r="D1046" s="39"/>
      <c r="E1046" s="35"/>
      <c r="F1046" s="35"/>
    </row>
    <row r="1047" spans="1:8" ht="108">
      <c r="A1047" s="829" t="s">
        <v>5490</v>
      </c>
      <c r="B1047" s="35">
        <v>315</v>
      </c>
      <c r="C1047" s="838" t="s">
        <v>8332</v>
      </c>
      <c r="D1047" s="35" t="s">
        <v>817</v>
      </c>
      <c r="E1047" s="41">
        <f>'preliminary and maintanance'!$G$892</f>
        <v>318.10000000000002</v>
      </c>
      <c r="F1047" s="41"/>
    </row>
    <row r="1048" spans="1:8">
      <c r="A1048" s="829"/>
      <c r="B1048" s="35"/>
      <c r="C1048" s="833" t="s">
        <v>9673</v>
      </c>
      <c r="D1048" s="35" t="s">
        <v>817</v>
      </c>
      <c r="E1048" s="41"/>
      <c r="F1048" s="41">
        <f>'preliminary and maintanance'!$E$883</f>
        <v>255.6</v>
      </c>
    </row>
    <row r="1049" spans="1:8">
      <c r="A1049" s="829"/>
      <c r="B1049" s="35"/>
      <c r="C1049" s="833"/>
      <c r="D1049" s="39"/>
      <c r="E1049" s="35"/>
      <c r="F1049" s="35"/>
    </row>
    <row r="1050" spans="1:8" ht="198">
      <c r="A1050" s="829" t="s">
        <v>5491</v>
      </c>
      <c r="B1050" s="35">
        <v>316</v>
      </c>
      <c r="C1050" s="839" t="s">
        <v>8333</v>
      </c>
      <c r="D1050" s="35" t="s">
        <v>3483</v>
      </c>
      <c r="E1050" s="41">
        <f>'preliminary and maintanance'!$G$969</f>
        <v>1206.5</v>
      </c>
      <c r="F1050" s="41"/>
    </row>
    <row r="1051" spans="1:8">
      <c r="A1051" s="829"/>
      <c r="B1051" s="35"/>
      <c r="C1051" s="833" t="s">
        <v>9673</v>
      </c>
      <c r="D1051" s="35" t="s">
        <v>3483</v>
      </c>
      <c r="E1051" s="41"/>
      <c r="F1051" s="41">
        <f>'preliminary and maintanance'!$E$960</f>
        <v>456.7</v>
      </c>
    </row>
    <row r="1052" spans="1:8">
      <c r="A1052" s="829"/>
      <c r="B1052" s="35"/>
      <c r="C1052" s="833"/>
      <c r="D1052" s="38"/>
      <c r="E1052" s="35"/>
      <c r="F1052" s="67"/>
    </row>
    <row r="1053" spans="1:8">
      <c r="A1053" s="829"/>
      <c r="B1053" s="35"/>
      <c r="C1053" s="833"/>
      <c r="D1053" s="38"/>
      <c r="E1053" s="38"/>
      <c r="F1053" s="38"/>
      <c r="H1053" s="68"/>
    </row>
    <row r="1054" spans="1:8" ht="198">
      <c r="A1054" s="829" t="s">
        <v>5492</v>
      </c>
      <c r="B1054" s="35">
        <v>317</v>
      </c>
      <c r="C1054" s="839" t="s">
        <v>9680</v>
      </c>
      <c r="D1054" s="35" t="s">
        <v>3483</v>
      </c>
      <c r="E1054" s="41">
        <f>'preliminary and maintanance'!$G$1045</f>
        <v>6062.2</v>
      </c>
      <c r="F1054" s="41"/>
    </row>
    <row r="1055" spans="1:8">
      <c r="A1055" s="829"/>
      <c r="B1055" s="35"/>
      <c r="C1055" s="833" t="s">
        <v>9673</v>
      </c>
      <c r="D1055" s="35" t="s">
        <v>3483</v>
      </c>
      <c r="E1055" s="41"/>
      <c r="F1055" s="41">
        <f>'preliminary and maintanance'!$E$1036</f>
        <v>1798.4</v>
      </c>
    </row>
    <row r="1056" spans="1:8">
      <c r="A1056" s="829"/>
      <c r="B1056" s="35"/>
      <c r="C1056" s="833"/>
      <c r="D1056" s="39"/>
      <c r="E1056" s="35"/>
      <c r="F1056" s="35"/>
    </row>
    <row r="1057" spans="1:6" ht="239.25" customHeight="1">
      <c r="A1057" s="829" t="s">
        <v>9765</v>
      </c>
      <c r="B1057" s="35">
        <v>318</v>
      </c>
      <c r="C1057" s="847" t="s">
        <v>9570</v>
      </c>
      <c r="D1057" s="35" t="s">
        <v>3483</v>
      </c>
      <c r="E1057" s="41">
        <f>'preliminary and maintanance'!$G$1111</f>
        <v>3879.9</v>
      </c>
      <c r="F1057" s="35"/>
    </row>
    <row r="1058" spans="1:6">
      <c r="A1058" s="829"/>
      <c r="B1058" s="35"/>
      <c r="C1058" s="833" t="s">
        <v>9673</v>
      </c>
      <c r="D1058" s="35" t="s">
        <v>3483</v>
      </c>
      <c r="F1058" s="41">
        <f>'preliminary and maintanance'!$E$1102</f>
        <v>1073.0999999999999</v>
      </c>
    </row>
    <row r="1059" spans="1:6">
      <c r="A1059" s="829"/>
      <c r="B1059" s="35"/>
      <c r="C1059" s="833"/>
      <c r="D1059" s="39"/>
      <c r="E1059" s="35"/>
      <c r="F1059" s="35"/>
    </row>
    <row r="1060" spans="1:6" ht="252">
      <c r="A1060" s="829" t="s">
        <v>9766</v>
      </c>
      <c r="B1060" s="35">
        <v>319</v>
      </c>
      <c r="C1060" s="847" t="s">
        <v>9571</v>
      </c>
      <c r="D1060" s="35" t="s">
        <v>3483</v>
      </c>
      <c r="E1060" s="41">
        <f>'preliminary and maintanance'!$G$1189</f>
        <v>4667.3999999999996</v>
      </c>
      <c r="F1060" s="35"/>
    </row>
    <row r="1061" spans="1:6">
      <c r="A1061" s="829"/>
      <c r="B1061" s="35"/>
      <c r="C1061" s="833" t="s">
        <v>9673</v>
      </c>
      <c r="D1061" s="35" t="s">
        <v>3483</v>
      </c>
      <c r="F1061" s="41">
        <f>'preliminary and maintanance'!$E$1180</f>
        <v>1073.7</v>
      </c>
    </row>
    <row r="1062" spans="1:6">
      <c r="A1062" s="829"/>
      <c r="B1062" s="35"/>
      <c r="C1062" s="833"/>
      <c r="D1062" s="39"/>
      <c r="E1062" s="35"/>
      <c r="F1062" s="35"/>
    </row>
    <row r="1063" spans="1:6" ht="198">
      <c r="A1063" s="829" t="s">
        <v>5493</v>
      </c>
      <c r="B1063" s="35">
        <v>320</v>
      </c>
      <c r="C1063" s="839" t="s">
        <v>9681</v>
      </c>
      <c r="D1063" s="35" t="s">
        <v>3483</v>
      </c>
      <c r="E1063" s="41">
        <f>'preliminary and maintanance'!$G$1268</f>
        <v>5901.6</v>
      </c>
      <c r="F1063" s="41"/>
    </row>
    <row r="1064" spans="1:6">
      <c r="A1064" s="829"/>
      <c r="B1064" s="35"/>
      <c r="C1064" s="833" t="s">
        <v>9673</v>
      </c>
      <c r="D1064" s="35" t="s">
        <v>3483</v>
      </c>
      <c r="E1064" s="41"/>
      <c r="F1064" s="41">
        <f>'preliminary and maintanance'!$E$1259</f>
        <v>1798.4</v>
      </c>
    </row>
    <row r="1065" spans="1:6">
      <c r="A1065" s="829"/>
      <c r="B1065" s="35"/>
      <c r="C1065" s="833"/>
      <c r="D1065" s="39"/>
      <c r="E1065" s="35"/>
      <c r="F1065" s="35"/>
    </row>
    <row r="1066" spans="1:6" ht="234">
      <c r="A1066" s="829" t="s">
        <v>9767</v>
      </c>
      <c r="B1066" s="35">
        <v>321</v>
      </c>
      <c r="C1066" s="839" t="s">
        <v>9572</v>
      </c>
      <c r="D1066" s="35" t="s">
        <v>3483</v>
      </c>
      <c r="E1066" s="41">
        <f>'preliminary and maintanance'!$G$1335</f>
        <v>3652.1</v>
      </c>
      <c r="F1066" s="35"/>
    </row>
    <row r="1067" spans="1:6">
      <c r="A1067" s="829"/>
      <c r="B1067" s="35"/>
      <c r="C1067" s="833" t="s">
        <v>9673</v>
      </c>
      <c r="D1067" s="35" t="s">
        <v>3483</v>
      </c>
      <c r="F1067" s="41">
        <f>'preliminary and maintanance'!$E$1326</f>
        <v>1073.0999999999999</v>
      </c>
    </row>
    <row r="1068" spans="1:6">
      <c r="A1068" s="829"/>
      <c r="B1068" s="35"/>
      <c r="C1068" s="833"/>
      <c r="D1068" s="39"/>
      <c r="E1068" s="35"/>
      <c r="F1068" s="35"/>
    </row>
    <row r="1069" spans="1:6" ht="72">
      <c r="A1069" s="829" t="s">
        <v>5494</v>
      </c>
      <c r="B1069" s="35">
        <v>322</v>
      </c>
      <c r="C1069" s="838" t="s">
        <v>8334</v>
      </c>
      <c r="D1069" s="35" t="s">
        <v>3481</v>
      </c>
      <c r="E1069" s="41">
        <f>'preliminary and maintanance'!$G$1385</f>
        <v>159.30000000000001</v>
      </c>
      <c r="F1069" s="41"/>
    </row>
    <row r="1070" spans="1:6">
      <c r="A1070" s="829"/>
      <c r="B1070" s="35"/>
      <c r="C1070" s="833" t="s">
        <v>9673</v>
      </c>
      <c r="D1070" s="35" t="s">
        <v>3481</v>
      </c>
      <c r="E1070" s="41"/>
      <c r="F1070" s="41">
        <f>'preliminary and maintanance'!$E$1376</f>
        <v>122.8</v>
      </c>
    </row>
    <row r="1071" spans="1:6">
      <c r="A1071" s="829"/>
      <c r="B1071" s="35"/>
      <c r="C1071" s="833"/>
      <c r="D1071" s="39"/>
      <c r="E1071" s="35"/>
      <c r="F1071" s="35"/>
    </row>
    <row r="1072" spans="1:6" ht="72">
      <c r="A1072" s="829" t="s">
        <v>5495</v>
      </c>
      <c r="B1072" s="35">
        <v>323</v>
      </c>
      <c r="C1072" s="838" t="s">
        <v>8335</v>
      </c>
      <c r="D1072" s="35" t="s">
        <v>3481</v>
      </c>
      <c r="E1072" s="41">
        <f>'preliminary and maintanance'!$G$1438</f>
        <v>510.5</v>
      </c>
      <c r="F1072" s="41"/>
    </row>
    <row r="1073" spans="1:6">
      <c r="A1073" s="829"/>
      <c r="B1073" s="35"/>
      <c r="C1073" s="833" t="s">
        <v>9673</v>
      </c>
      <c r="D1073" s="35" t="s">
        <v>3481</v>
      </c>
      <c r="E1073" s="41"/>
      <c r="F1073" s="41">
        <f>'preliminary and maintanance'!$E$1429</f>
        <v>361.9</v>
      </c>
    </row>
    <row r="1074" spans="1:6" s="61" customFormat="1">
      <c r="A1074" s="851" t="s">
        <v>1237</v>
      </c>
      <c r="B1074" s="66"/>
      <c r="C1074" s="849" t="s">
        <v>2239</v>
      </c>
      <c r="D1074" s="50"/>
      <c r="E1074" s="50"/>
      <c r="F1074" s="50"/>
    </row>
    <row r="1075" spans="1:6" s="61" customFormat="1">
      <c r="A1075" s="851"/>
      <c r="B1075" s="66"/>
      <c r="C1075" s="849" t="s">
        <v>796</v>
      </c>
      <c r="D1075" s="69" t="s">
        <v>3481</v>
      </c>
      <c r="E1075" s="70">
        <v>4</v>
      </c>
      <c r="F1075" s="70"/>
    </row>
    <row r="1076" spans="1:6">
      <c r="A1076" s="829"/>
      <c r="B1076" s="35"/>
      <c r="C1076" s="833"/>
      <c r="D1076" s="39"/>
      <c r="E1076" s="35"/>
      <c r="F1076" s="35"/>
    </row>
    <row r="1077" spans="1:6" ht="108">
      <c r="A1077" s="829" t="s">
        <v>5496</v>
      </c>
      <c r="B1077" s="35">
        <v>324</v>
      </c>
      <c r="C1077" s="838" t="s">
        <v>8336</v>
      </c>
      <c r="D1077" s="35" t="s">
        <v>3481</v>
      </c>
      <c r="E1077" s="41">
        <f>'preliminary and maintanance'!$G$1498</f>
        <v>6286</v>
      </c>
      <c r="F1077" s="41"/>
    </row>
    <row r="1078" spans="1:6">
      <c r="A1078" s="829"/>
      <c r="B1078" s="35"/>
      <c r="C1078" s="833" t="s">
        <v>9673</v>
      </c>
      <c r="D1078" s="35" t="s">
        <v>3481</v>
      </c>
      <c r="E1078" s="41"/>
      <c r="F1078" s="41">
        <f>'preliminary and maintanance'!$E$1489</f>
        <v>3206.8</v>
      </c>
    </row>
    <row r="1079" spans="1:6">
      <c r="A1079" s="829"/>
      <c r="B1079" s="35"/>
      <c r="C1079" s="833"/>
      <c r="D1079" s="39"/>
      <c r="E1079" s="35"/>
      <c r="F1079" s="35"/>
    </row>
    <row r="1080" spans="1:6">
      <c r="A1080" s="829" t="s">
        <v>5497</v>
      </c>
      <c r="B1080" s="35"/>
      <c r="C1080" s="837" t="s">
        <v>1414</v>
      </c>
      <c r="D1080" s="39"/>
      <c r="E1080" s="35"/>
      <c r="F1080" s="35"/>
    </row>
    <row r="1081" spans="1:6">
      <c r="A1081" s="829"/>
      <c r="B1081" s="35"/>
      <c r="C1081" s="833"/>
      <c r="D1081" s="39"/>
      <c r="E1081" s="35"/>
      <c r="F1081" s="35"/>
    </row>
    <row r="1082" spans="1:6" ht="54">
      <c r="A1082" s="829" t="s">
        <v>5498</v>
      </c>
      <c r="B1082" s="35">
        <v>325</v>
      </c>
      <c r="C1082" s="838" t="s">
        <v>8337</v>
      </c>
      <c r="D1082" s="35" t="s">
        <v>3477</v>
      </c>
      <c r="E1082" s="41">
        <f>'preliminary and maintanance'!$G$1565</f>
        <v>212.6</v>
      </c>
      <c r="F1082" s="41"/>
    </row>
    <row r="1083" spans="1:6">
      <c r="A1083" s="829"/>
      <c r="B1083" s="35"/>
      <c r="C1083" s="838" t="s">
        <v>9673</v>
      </c>
      <c r="D1083" s="35" t="s">
        <v>3477</v>
      </c>
      <c r="E1083" s="41"/>
      <c r="F1083" s="41">
        <f>'preliminary and maintanance'!$E$1556</f>
        <v>212.6</v>
      </c>
    </row>
    <row r="1084" spans="1:6">
      <c r="A1084" s="829"/>
      <c r="B1084" s="35"/>
      <c r="C1084" s="833"/>
      <c r="D1084" s="39"/>
      <c r="E1084" s="35"/>
      <c r="F1084" s="35"/>
    </row>
    <row r="1085" spans="1:6" ht="144">
      <c r="A1085" s="829" t="s">
        <v>5499</v>
      </c>
      <c r="B1085" s="35">
        <v>326</v>
      </c>
      <c r="C1085" s="838" t="s">
        <v>8338</v>
      </c>
      <c r="D1085" s="35" t="s">
        <v>3479</v>
      </c>
      <c r="E1085" s="41">
        <f>'preliminary and maintanance'!$G$1639</f>
        <v>175.6</v>
      </c>
      <c r="F1085" s="41"/>
    </row>
    <row r="1086" spans="1:6">
      <c r="A1086" s="829"/>
      <c r="B1086" s="35"/>
      <c r="C1086" s="833" t="s">
        <v>9673</v>
      </c>
      <c r="D1086" s="35" t="s">
        <v>3479</v>
      </c>
      <c r="E1086" s="41"/>
      <c r="F1086" s="41">
        <f>'preliminary and maintanance'!$E$1630</f>
        <v>159.1</v>
      </c>
    </row>
    <row r="1087" spans="1:6">
      <c r="A1087" s="829"/>
      <c r="B1087" s="35"/>
      <c r="C1087" s="833"/>
      <c r="D1087" s="39"/>
      <c r="E1087" s="35"/>
      <c r="F1087" s="35"/>
    </row>
    <row r="1088" spans="1:6" ht="126">
      <c r="A1088" s="829" t="s">
        <v>5500</v>
      </c>
      <c r="B1088" s="35">
        <v>327</v>
      </c>
      <c r="C1088" s="838" t="s">
        <v>8339</v>
      </c>
      <c r="D1088" s="35" t="s">
        <v>3477</v>
      </c>
      <c r="E1088" s="41">
        <f>'preliminary and maintanance'!$G$1719</f>
        <v>238.4</v>
      </c>
      <c r="F1088" s="41"/>
    </row>
    <row r="1089" spans="1:6">
      <c r="A1089" s="829"/>
      <c r="B1089" s="35"/>
      <c r="C1089" s="833" t="s">
        <v>9673</v>
      </c>
      <c r="D1089" s="35" t="s">
        <v>3477</v>
      </c>
      <c r="E1089" s="41"/>
      <c r="F1089" s="41">
        <f>'preliminary and maintanance'!$E$1710</f>
        <v>227.8</v>
      </c>
    </row>
    <row r="1090" spans="1:6">
      <c r="A1090" s="829"/>
      <c r="B1090" s="35"/>
      <c r="C1090" s="833"/>
      <c r="D1090" s="39"/>
      <c r="E1090" s="35"/>
      <c r="F1090" s="35"/>
    </row>
    <row r="1091" spans="1:6" ht="54">
      <c r="A1091" s="829" t="s">
        <v>5501</v>
      </c>
      <c r="B1091" s="35">
        <v>328</v>
      </c>
      <c r="C1091" s="838" t="s">
        <v>8340</v>
      </c>
      <c r="D1091" s="35" t="s">
        <v>3479</v>
      </c>
      <c r="E1091" s="41">
        <f>'preliminary and maintanance'!$G$1773</f>
        <v>61</v>
      </c>
      <c r="F1091" s="41"/>
    </row>
    <row r="1092" spans="1:6">
      <c r="A1092" s="829"/>
      <c r="B1092" s="35"/>
      <c r="C1092" s="833" t="s">
        <v>9673</v>
      </c>
      <c r="D1092" s="35" t="s">
        <v>3479</v>
      </c>
      <c r="E1092" s="41"/>
      <c r="F1092" s="41">
        <f>'preliminary and maintanance'!$E$1764</f>
        <v>54.5</v>
      </c>
    </row>
    <row r="1093" spans="1:6">
      <c r="A1093" s="829"/>
      <c r="B1093" s="35"/>
      <c r="C1093" s="833"/>
      <c r="D1093" s="39"/>
      <c r="E1093" s="35"/>
      <c r="F1093" s="35"/>
    </row>
    <row r="1094" spans="1:6" ht="54">
      <c r="A1094" s="829" t="s">
        <v>5502</v>
      </c>
      <c r="B1094" s="35">
        <v>329</v>
      </c>
      <c r="C1094" s="838" t="s">
        <v>8341</v>
      </c>
      <c r="D1094" s="35" t="s">
        <v>3479</v>
      </c>
      <c r="E1094" s="41">
        <f>'preliminary and maintanance'!$G$1819</f>
        <v>56.2</v>
      </c>
      <c r="F1094" s="41"/>
    </row>
    <row r="1095" spans="1:6">
      <c r="A1095" s="829"/>
      <c r="B1095" s="35"/>
      <c r="C1095" s="833" t="s">
        <v>9673</v>
      </c>
      <c r="D1095" s="35" t="s">
        <v>3479</v>
      </c>
      <c r="E1095" s="41"/>
      <c r="F1095" s="41">
        <f>'preliminary and maintanance'!$E$1810</f>
        <v>56.2</v>
      </c>
    </row>
    <row r="1096" spans="1:6">
      <c r="A1096" s="829"/>
      <c r="B1096" s="35"/>
      <c r="C1096" s="833"/>
      <c r="D1096" s="39"/>
      <c r="E1096" s="35"/>
      <c r="F1096" s="35"/>
    </row>
    <row r="1097" spans="1:6" ht="54">
      <c r="A1097" s="829" t="s">
        <v>5503</v>
      </c>
      <c r="B1097" s="35">
        <v>330</v>
      </c>
      <c r="C1097" s="838" t="s">
        <v>8342</v>
      </c>
      <c r="D1097" s="35" t="s">
        <v>3481</v>
      </c>
      <c r="E1097" s="41">
        <f>'preliminary and maintanance'!$G$1860</f>
        <v>72.599999999999994</v>
      </c>
      <c r="F1097" s="41"/>
    </row>
    <row r="1098" spans="1:6">
      <c r="A1098" s="829"/>
      <c r="B1098" s="35"/>
      <c r="C1098" s="833" t="s">
        <v>9673</v>
      </c>
      <c r="D1098" s="35" t="s">
        <v>3481</v>
      </c>
      <c r="E1098" s="41"/>
      <c r="F1098" s="41">
        <f>'preliminary and maintanance'!$E$1851</f>
        <v>72.599999999999994</v>
      </c>
    </row>
    <row r="1099" spans="1:6">
      <c r="A1099" s="829"/>
      <c r="B1099" s="35"/>
      <c r="C1099" s="833"/>
      <c r="D1099" s="39"/>
      <c r="E1099" s="35"/>
      <c r="F1099" s="35"/>
    </row>
    <row r="1100" spans="1:6" ht="72">
      <c r="A1100" s="829" t="s">
        <v>5504</v>
      </c>
      <c r="B1100" s="35">
        <v>331</v>
      </c>
      <c r="C1100" s="838" t="s">
        <v>8343</v>
      </c>
      <c r="D1100" s="35" t="s">
        <v>3481</v>
      </c>
      <c r="E1100" s="41">
        <f>'preliminary and maintanance'!$G$1902</f>
        <v>163.30000000000001</v>
      </c>
      <c r="F1100" s="41"/>
    </row>
    <row r="1101" spans="1:6">
      <c r="A1101" s="829"/>
      <c r="B1101" s="35"/>
      <c r="C1101" s="833" t="s">
        <v>9673</v>
      </c>
      <c r="D1101" s="35" t="s">
        <v>3481</v>
      </c>
      <c r="E1101" s="41"/>
      <c r="F1101" s="41">
        <f>'preliminary and maintanance'!$E$1893</f>
        <v>163.30000000000001</v>
      </c>
    </row>
    <row r="1102" spans="1:6">
      <c r="A1102" s="829"/>
      <c r="B1102" s="35"/>
      <c r="C1102" s="833"/>
      <c r="D1102" s="39"/>
      <c r="E1102" s="35"/>
      <c r="F1102" s="35"/>
    </row>
    <row r="1103" spans="1:6" ht="144">
      <c r="A1103" s="829" t="s">
        <v>5505</v>
      </c>
      <c r="B1103" s="35">
        <v>332</v>
      </c>
      <c r="C1103" s="838" t="s">
        <v>8344</v>
      </c>
      <c r="D1103" s="35" t="s">
        <v>3477</v>
      </c>
      <c r="E1103" s="41">
        <f>'preliminary and maintanance'!$G$2017</f>
        <v>185.3</v>
      </c>
      <c r="F1103" s="41"/>
    </row>
    <row r="1104" spans="1:6">
      <c r="A1104" s="829"/>
      <c r="B1104" s="35"/>
      <c r="C1104" s="833" t="s">
        <v>9673</v>
      </c>
      <c r="D1104" s="35" t="s">
        <v>3477</v>
      </c>
      <c r="E1104" s="41"/>
      <c r="F1104" s="41">
        <f>'preliminary and maintanance'!$E$2008</f>
        <v>32.299999999999997</v>
      </c>
    </row>
    <row r="1105" spans="1:6">
      <c r="A1105" s="829"/>
      <c r="B1105" s="35"/>
      <c r="C1105" s="833"/>
      <c r="D1105" s="39"/>
      <c r="E1105" s="35"/>
      <c r="F1105" s="35"/>
    </row>
    <row r="1106" spans="1:6" ht="144">
      <c r="A1106" s="829" t="s">
        <v>5506</v>
      </c>
      <c r="B1106" s="35">
        <v>333</v>
      </c>
      <c r="C1106" s="838" t="s">
        <v>8345</v>
      </c>
      <c r="D1106" s="35" t="s">
        <v>3477</v>
      </c>
      <c r="E1106" s="41">
        <f>'preliminary and maintanance'!$G$2136</f>
        <v>212.3</v>
      </c>
      <c r="F1106" s="41"/>
    </row>
    <row r="1107" spans="1:6">
      <c r="A1107" s="829"/>
      <c r="B1107" s="35"/>
      <c r="C1107" s="833" t="s">
        <v>9673</v>
      </c>
      <c r="D1107" s="35" t="s">
        <v>3477</v>
      </c>
      <c r="E1107" s="41"/>
      <c r="F1107" s="41">
        <f>'preliminary and maintanance'!$E$2127</f>
        <v>38.6</v>
      </c>
    </row>
    <row r="1108" spans="1:6">
      <c r="A1108" s="829"/>
      <c r="B1108" s="35"/>
      <c r="C1108" s="833"/>
      <c r="D1108" s="39"/>
      <c r="E1108" s="35"/>
      <c r="F1108" s="35"/>
    </row>
    <row r="1109" spans="1:6" ht="144">
      <c r="A1109" s="829" t="s">
        <v>5507</v>
      </c>
      <c r="B1109" s="35">
        <v>334</v>
      </c>
      <c r="C1109" s="838" t="s">
        <v>8346</v>
      </c>
      <c r="D1109" s="35" t="s">
        <v>3477</v>
      </c>
      <c r="E1109" s="41">
        <f>'preliminary and maintanance'!$G$2256</f>
        <v>168.5</v>
      </c>
      <c r="F1109" s="41"/>
    </row>
    <row r="1110" spans="1:6">
      <c r="A1110" s="829"/>
      <c r="B1110" s="35"/>
      <c r="C1110" s="833" t="s">
        <v>9673</v>
      </c>
      <c r="D1110" s="35" t="s">
        <v>3477</v>
      </c>
      <c r="E1110" s="41"/>
      <c r="F1110" s="41">
        <f>'preliminary and maintanance'!$E$2247</f>
        <v>30.8</v>
      </c>
    </row>
    <row r="1111" spans="1:6">
      <c r="A1111" s="829"/>
      <c r="B1111" s="35"/>
      <c r="C1111" s="833"/>
      <c r="D1111" s="39"/>
      <c r="E1111" s="35"/>
      <c r="F1111" s="35"/>
    </row>
    <row r="1112" spans="1:6" ht="144">
      <c r="A1112" s="829" t="s">
        <v>5508</v>
      </c>
      <c r="B1112" s="35">
        <v>335</v>
      </c>
      <c r="C1112" s="838" t="s">
        <v>8347</v>
      </c>
      <c r="D1112" s="35" t="s">
        <v>3477</v>
      </c>
      <c r="E1112" s="41">
        <f>'preliminary and maintanance'!$G$2378</f>
        <v>192.2</v>
      </c>
      <c r="F1112" s="41"/>
    </row>
    <row r="1113" spans="1:6">
      <c r="A1113" s="829"/>
      <c r="B1113" s="35"/>
      <c r="C1113" s="833" t="s">
        <v>9673</v>
      </c>
      <c r="D1113" s="35" t="s">
        <v>3477</v>
      </c>
      <c r="E1113" s="41"/>
      <c r="F1113" s="41">
        <f>'preliminary and maintanance'!$E$2369</f>
        <v>36.5</v>
      </c>
    </row>
    <row r="1114" spans="1:6">
      <c r="A1114" s="829"/>
      <c r="B1114" s="35"/>
      <c r="C1114" s="833"/>
      <c r="D1114" s="39"/>
      <c r="E1114" s="35"/>
      <c r="F1114" s="35"/>
    </row>
    <row r="1115" spans="1:6" ht="54">
      <c r="A1115" s="829" t="s">
        <v>5509</v>
      </c>
      <c r="B1115" s="35">
        <v>336</v>
      </c>
      <c r="C1115" s="838" t="s">
        <v>8348</v>
      </c>
      <c r="D1115" s="35" t="s">
        <v>3479</v>
      </c>
      <c r="E1115" s="41">
        <f>'preliminary and maintanance'!$G$2420</f>
        <v>3.7</v>
      </c>
      <c r="F1115" s="41"/>
    </row>
    <row r="1116" spans="1:6">
      <c r="A1116" s="829"/>
      <c r="B1116" s="35"/>
      <c r="C1116" s="833" t="s">
        <v>9673</v>
      </c>
      <c r="D1116" s="35" t="s">
        <v>3479</v>
      </c>
      <c r="E1116" s="41"/>
      <c r="F1116" s="41">
        <f>'preliminary and maintanance'!$E$2411</f>
        <v>3.7</v>
      </c>
    </row>
    <row r="1117" spans="1:6">
      <c r="A1117" s="829"/>
      <c r="B1117" s="35"/>
      <c r="C1117" s="833"/>
      <c r="D1117" s="39"/>
      <c r="E1117" s="35"/>
      <c r="F1117" s="35"/>
    </row>
    <row r="1118" spans="1:6" ht="72">
      <c r="A1118" s="829" t="s">
        <v>5510</v>
      </c>
      <c r="B1118" s="35">
        <v>337</v>
      </c>
      <c r="C1118" s="838" t="s">
        <v>8349</v>
      </c>
      <c r="D1118" s="35" t="s">
        <v>3483</v>
      </c>
      <c r="E1118" s="41">
        <f>'preliminary and maintanance'!$G$2468</f>
        <v>41.1</v>
      </c>
      <c r="F1118" s="41"/>
    </row>
    <row r="1119" spans="1:6">
      <c r="A1119" s="829"/>
      <c r="B1119" s="35"/>
      <c r="C1119" s="833" t="s">
        <v>9673</v>
      </c>
      <c r="D1119" s="35" t="s">
        <v>3483</v>
      </c>
      <c r="E1119" s="41"/>
      <c r="F1119" s="41">
        <f>'preliminary and maintanance'!$E$2459</f>
        <v>32.9</v>
      </c>
    </row>
    <row r="1120" spans="1:6">
      <c r="A1120" s="829"/>
      <c r="B1120" s="35"/>
      <c r="C1120" s="833"/>
      <c r="D1120" s="39"/>
      <c r="E1120" s="35"/>
      <c r="F1120" s="35"/>
    </row>
    <row r="1121" spans="1:6" ht="54">
      <c r="A1121" s="829" t="s">
        <v>5511</v>
      </c>
      <c r="B1121" s="35">
        <v>338</v>
      </c>
      <c r="C1121" s="838" t="s">
        <v>8350</v>
      </c>
      <c r="D1121" s="35" t="s">
        <v>3483</v>
      </c>
      <c r="E1121" s="41">
        <f>'preliminary and maintanance'!$G$2516</f>
        <v>36.5</v>
      </c>
      <c r="F1121" s="41"/>
    </row>
    <row r="1122" spans="1:6">
      <c r="A1122" s="829"/>
      <c r="B1122" s="35"/>
      <c r="C1122" s="833" t="s">
        <v>9673</v>
      </c>
      <c r="D1122" s="35" t="s">
        <v>3483</v>
      </c>
      <c r="E1122" s="41"/>
      <c r="F1122" s="41">
        <f>'preliminary and maintanance'!$E$2507</f>
        <v>23.9</v>
      </c>
    </row>
    <row r="1123" spans="1:6">
      <c r="A1123" s="829"/>
      <c r="B1123" s="35"/>
      <c r="C1123" s="833"/>
      <c r="D1123" s="39"/>
      <c r="E1123" s="35"/>
      <c r="F1123" s="35"/>
    </row>
    <row r="1124" spans="1:6">
      <c r="A1124" s="829" t="s">
        <v>5512</v>
      </c>
      <c r="B1124" s="35"/>
      <c r="C1124" s="838" t="s">
        <v>9870</v>
      </c>
      <c r="D1124" s="35"/>
      <c r="E1124" s="41"/>
      <c r="F1124" s="41"/>
    </row>
    <row r="1125" spans="1:6">
      <c r="A1125" s="829"/>
      <c r="B1125" s="35"/>
      <c r="C1125" s="833"/>
      <c r="D1125" s="35"/>
      <c r="E1125" s="41"/>
      <c r="F1125" s="41"/>
    </row>
    <row r="1126" spans="1:6">
      <c r="A1126" s="829"/>
      <c r="B1126" s="35"/>
      <c r="C1126" s="833"/>
      <c r="D1126" s="39"/>
      <c r="E1126" s="35"/>
      <c r="F1126" s="35"/>
    </row>
    <row r="1127" spans="1:6">
      <c r="A1127" s="829" t="s">
        <v>5513</v>
      </c>
      <c r="B1127" s="35"/>
      <c r="C1127" s="838" t="s">
        <v>9870</v>
      </c>
      <c r="D1127" s="35"/>
      <c r="E1127" s="41"/>
      <c r="F1127" s="41"/>
    </row>
    <row r="1128" spans="1:6">
      <c r="A1128" s="829"/>
      <c r="B1128" s="35"/>
      <c r="C1128" s="833"/>
      <c r="D1128" s="35"/>
      <c r="E1128" s="41"/>
      <c r="F1128" s="41"/>
    </row>
    <row r="1129" spans="1:6">
      <c r="A1129" s="829"/>
      <c r="B1129" s="35"/>
      <c r="C1129" s="833"/>
      <c r="D1129" s="39"/>
      <c r="E1129" s="35"/>
      <c r="F1129" s="35"/>
    </row>
    <row r="1130" spans="1:6">
      <c r="A1130" s="829" t="s">
        <v>5514</v>
      </c>
      <c r="B1130" s="35"/>
      <c r="C1130" s="838" t="s">
        <v>9870</v>
      </c>
      <c r="D1130" s="35"/>
      <c r="E1130" s="41"/>
      <c r="F1130" s="41"/>
    </row>
    <row r="1131" spans="1:6">
      <c r="A1131" s="829"/>
      <c r="B1131" s="35"/>
      <c r="C1131" s="833"/>
      <c r="D1131" s="35"/>
      <c r="E1131" s="41"/>
      <c r="F1131" s="41"/>
    </row>
    <row r="1132" spans="1:6">
      <c r="A1132" s="829"/>
      <c r="B1132" s="35"/>
      <c r="C1132" s="833"/>
      <c r="D1132" s="39"/>
      <c r="E1132" s="35"/>
      <c r="F1132" s="35"/>
    </row>
    <row r="1133" spans="1:6">
      <c r="A1133" s="829" t="s">
        <v>5515</v>
      </c>
      <c r="B1133" s="35"/>
      <c r="C1133" s="838" t="s">
        <v>9870</v>
      </c>
      <c r="D1133" s="35"/>
      <c r="E1133" s="41"/>
      <c r="F1133" s="41"/>
    </row>
    <row r="1134" spans="1:6">
      <c r="A1134" s="829"/>
      <c r="B1134" s="35"/>
      <c r="C1134" s="833"/>
      <c r="D1134" s="35"/>
      <c r="E1134" s="41"/>
      <c r="F1134" s="41"/>
    </row>
    <row r="1135" spans="1:6">
      <c r="A1135" s="829"/>
      <c r="B1135" s="35"/>
      <c r="C1135" s="833"/>
      <c r="D1135" s="39"/>
      <c r="E1135" s="35"/>
      <c r="F1135" s="35"/>
    </row>
    <row r="1136" spans="1:6">
      <c r="A1136" s="829" t="s">
        <v>5516</v>
      </c>
      <c r="B1136" s="35"/>
      <c r="C1136" s="838" t="s">
        <v>9870</v>
      </c>
      <c r="D1136" s="35"/>
      <c r="E1136" s="41"/>
      <c r="F1136" s="41"/>
    </row>
    <row r="1137" spans="1:21">
      <c r="A1137" s="829"/>
      <c r="B1137" s="35"/>
      <c r="C1137" s="833"/>
      <c r="D1137" s="35"/>
      <c r="E1137" s="41"/>
      <c r="F1137" s="41"/>
    </row>
    <row r="1138" spans="1:21" ht="72">
      <c r="A1138" s="829" t="s">
        <v>5517</v>
      </c>
      <c r="B1138" s="35">
        <v>339</v>
      </c>
      <c r="C1138" s="838" t="s">
        <v>8351</v>
      </c>
      <c r="D1138" s="35" t="s">
        <v>3477</v>
      </c>
      <c r="E1138" s="41">
        <f>'preliminary and maintanance'!$G$2556</f>
        <v>159.1</v>
      </c>
      <c r="F1138" s="41"/>
    </row>
    <row r="1139" spans="1:21">
      <c r="A1139" s="829"/>
      <c r="B1139" s="35"/>
      <c r="C1139" s="833" t="s">
        <v>9673</v>
      </c>
      <c r="D1139" s="35" t="s">
        <v>3477</v>
      </c>
      <c r="E1139" s="41"/>
      <c r="F1139" s="41">
        <f>'preliminary and maintanance'!$E$2547</f>
        <v>159.1</v>
      </c>
    </row>
    <row r="1140" spans="1:21">
      <c r="A1140" s="829"/>
      <c r="B1140" s="35"/>
      <c r="C1140" s="833"/>
      <c r="D1140" s="39"/>
      <c r="E1140" s="35"/>
      <c r="F1140" s="35"/>
    </row>
    <row r="1141" spans="1:21" ht="72">
      <c r="A1141" s="829" t="s">
        <v>5518</v>
      </c>
      <c r="B1141" s="35">
        <v>340</v>
      </c>
      <c r="C1141" s="838" t="s">
        <v>8352</v>
      </c>
      <c r="D1141" s="35" t="s">
        <v>3477</v>
      </c>
      <c r="E1141" s="41">
        <f>'preliminary and maintanance'!$G$2598</f>
        <v>198.8</v>
      </c>
      <c r="F1141" s="41"/>
    </row>
    <row r="1142" spans="1:21">
      <c r="A1142" s="829"/>
      <c r="B1142" s="35"/>
      <c r="C1142" s="838" t="s">
        <v>9673</v>
      </c>
      <c r="D1142" s="35" t="s">
        <v>3477</v>
      </c>
      <c r="E1142" s="41"/>
      <c r="F1142" s="41">
        <f>'preliminary and maintanance'!$E$2589</f>
        <v>198.8</v>
      </c>
    </row>
    <row r="1143" spans="1:21">
      <c r="A1143" s="829"/>
      <c r="B1143" s="35"/>
      <c r="C1143" s="838"/>
      <c r="D1143" s="35"/>
      <c r="E1143" s="41"/>
      <c r="F1143" s="41"/>
    </row>
    <row r="1144" spans="1:21" ht="108">
      <c r="A1144" s="829" t="s">
        <v>9574</v>
      </c>
      <c r="B1144" s="35">
        <v>341</v>
      </c>
      <c r="C1144" s="838" t="s">
        <v>8353</v>
      </c>
      <c r="D1144" s="35" t="s">
        <v>3477</v>
      </c>
      <c r="E1144" s="41">
        <f>'preliminary and maintanance'!$G$2644</f>
        <v>95.1</v>
      </c>
      <c r="F1144" s="1079"/>
      <c r="G1144" s="72"/>
      <c r="H1144" s="73"/>
      <c r="I1144" s="73"/>
      <c r="J1144" s="73"/>
      <c r="K1144" s="73"/>
      <c r="L1144" s="31"/>
      <c r="M1144" s="31"/>
      <c r="N1144" s="31"/>
      <c r="O1144" s="31"/>
      <c r="P1144" s="31"/>
      <c r="Q1144" s="31"/>
      <c r="R1144" s="31"/>
      <c r="S1144" s="31"/>
      <c r="T1144" s="31"/>
      <c r="U1144" s="31"/>
    </row>
    <row r="1145" spans="1:21">
      <c r="A1145" s="829"/>
      <c r="B1145" s="35"/>
      <c r="C1145" s="838" t="s">
        <v>9673</v>
      </c>
      <c r="D1145" s="35" t="s">
        <v>3477</v>
      </c>
      <c r="E1145" s="41"/>
      <c r="F1145" s="41">
        <f>'preliminary and maintanance'!$E$2635</f>
        <v>15.200000000000001</v>
      </c>
    </row>
    <row r="1146" spans="1:21">
      <c r="A1146" s="829"/>
      <c r="B1146" s="35"/>
      <c r="C1146" s="838"/>
      <c r="D1146" s="35"/>
      <c r="E1146" s="41"/>
      <c r="F1146" s="41"/>
    </row>
    <row r="1147" spans="1:21" ht="108">
      <c r="A1147" s="829" t="s">
        <v>9575</v>
      </c>
      <c r="B1147" s="35">
        <v>342</v>
      </c>
      <c r="C1147" s="838" t="s">
        <v>8354</v>
      </c>
      <c r="D1147" s="35" t="s">
        <v>3477</v>
      </c>
      <c r="E1147" s="41">
        <f>'preliminary and maintanance'!$G$2694</f>
        <v>45.8</v>
      </c>
      <c r="F1147" s="41"/>
    </row>
    <row r="1148" spans="1:21">
      <c r="A1148" s="829"/>
      <c r="B1148" s="35"/>
      <c r="C1148" s="838" t="s">
        <v>9673</v>
      </c>
      <c r="D1148" s="35"/>
      <c r="E1148" s="41"/>
      <c r="F1148" s="41">
        <f>'preliminary and maintanance'!$E$2685</f>
        <v>7.4</v>
      </c>
    </row>
    <row r="1149" spans="1:21">
      <c r="A1149" s="829"/>
      <c r="B1149" s="35"/>
      <c r="C1149" s="838"/>
      <c r="D1149" s="35"/>
      <c r="E1149" s="41"/>
      <c r="F1149" s="41"/>
    </row>
    <row r="1150" spans="1:21" ht="90">
      <c r="A1150" s="829" t="s">
        <v>7664</v>
      </c>
      <c r="B1150" s="35">
        <v>343</v>
      </c>
      <c r="C1150" s="838" t="s">
        <v>8355</v>
      </c>
      <c r="D1150" s="35" t="s">
        <v>3477</v>
      </c>
      <c r="E1150" s="41">
        <f>'preliminary and maintanance'!$G$2733</f>
        <v>6.2</v>
      </c>
      <c r="F1150" s="41"/>
    </row>
    <row r="1151" spans="1:21">
      <c r="A1151" s="829"/>
      <c r="B1151" s="35"/>
      <c r="C1151" s="838" t="s">
        <v>9673</v>
      </c>
      <c r="D1151" s="35" t="s">
        <v>3477</v>
      </c>
      <c r="E1151" s="41"/>
      <c r="F1151" s="41">
        <f>'preliminary and maintanance'!$E$2724</f>
        <v>1.2000000000000002</v>
      </c>
    </row>
    <row r="1152" spans="1:21">
      <c r="A1152" s="829"/>
      <c r="B1152" s="35"/>
      <c r="C1152" s="838"/>
      <c r="D1152" s="35"/>
      <c r="E1152" s="41"/>
      <c r="F1152" s="41"/>
    </row>
    <row r="1153" spans="1:8" ht="36">
      <c r="A1153" s="829" t="s">
        <v>9678</v>
      </c>
      <c r="B1153" s="26"/>
      <c r="C1153" s="836" t="s">
        <v>7948</v>
      </c>
      <c r="D1153" s="35"/>
      <c r="E1153" s="41"/>
      <c r="F1153" s="41"/>
    </row>
    <row r="1154" spans="1:8" ht="36">
      <c r="A1154" s="829" t="s">
        <v>7969</v>
      </c>
      <c r="B1154" s="35">
        <v>344</v>
      </c>
      <c r="C1154" s="834" t="s">
        <v>7951</v>
      </c>
      <c r="D1154" s="35" t="s">
        <v>5860</v>
      </c>
      <c r="E1154" s="41">
        <f>'preliminary and maintanance'!$G$2765</f>
        <v>6.5</v>
      </c>
      <c r="F1154" s="41"/>
    </row>
    <row r="1155" spans="1:8" ht="36">
      <c r="A1155" s="829" t="s">
        <v>7970</v>
      </c>
      <c r="B1155" s="35">
        <v>345</v>
      </c>
      <c r="C1155" s="834" t="s">
        <v>7964</v>
      </c>
      <c r="D1155" s="35" t="s">
        <v>5860</v>
      </c>
      <c r="E1155" s="41">
        <f>'preliminary and maintanance'!$G$2794</f>
        <v>8.8000000000000007</v>
      </c>
      <c r="F1155" s="41"/>
    </row>
    <row r="1156" spans="1:8" ht="36">
      <c r="A1156" s="829" t="s">
        <v>9677</v>
      </c>
      <c r="B1156" s="35">
        <v>346</v>
      </c>
      <c r="C1156" s="834" t="s">
        <v>7965</v>
      </c>
      <c r="D1156" s="35" t="s">
        <v>5860</v>
      </c>
      <c r="E1156" s="41">
        <f>'preliminary and maintanance'!$G$2823</f>
        <v>5.9</v>
      </c>
      <c r="F1156" s="41"/>
    </row>
    <row r="1157" spans="1:8" ht="36">
      <c r="A1157" s="829" t="s">
        <v>7972</v>
      </c>
      <c r="B1157" s="35">
        <v>347</v>
      </c>
      <c r="C1157" s="834" t="s">
        <v>7966</v>
      </c>
      <c r="D1157" s="35" t="s">
        <v>5860</v>
      </c>
      <c r="E1157" s="41">
        <f>'preliminary and maintanance'!$G$2852</f>
        <v>5</v>
      </c>
      <c r="F1157" s="41"/>
    </row>
    <row r="1158" spans="1:8" ht="36">
      <c r="A1158" s="829" t="s">
        <v>7973</v>
      </c>
      <c r="B1158" s="35">
        <v>348</v>
      </c>
      <c r="C1158" s="834" t="s">
        <v>7967</v>
      </c>
      <c r="D1158" s="35" t="s">
        <v>5860</v>
      </c>
      <c r="E1158" s="41">
        <f>'preliminary and maintanance'!$G$2881</f>
        <v>5.9</v>
      </c>
      <c r="F1158" s="41"/>
    </row>
    <row r="1159" spans="1:8" ht="72">
      <c r="A1159" s="829" t="s">
        <v>9675</v>
      </c>
      <c r="B1159" s="35">
        <v>349</v>
      </c>
      <c r="C1159" s="834" t="s">
        <v>7968</v>
      </c>
      <c r="D1159" s="35" t="s">
        <v>5860</v>
      </c>
      <c r="E1159" s="41">
        <f>'preliminary and maintanance'!$G$2910</f>
        <v>1.9</v>
      </c>
      <c r="F1159" s="41"/>
    </row>
    <row r="1160" spans="1:8">
      <c r="A1160" s="829"/>
      <c r="B1160" s="35"/>
      <c r="C1160" s="833"/>
      <c r="D1160" s="39"/>
      <c r="E1160" s="35"/>
      <c r="F1160" s="35"/>
    </row>
    <row r="1161" spans="1:8" ht="108">
      <c r="A1161" s="829" t="s">
        <v>9768</v>
      </c>
      <c r="B1161" s="35">
        <v>350</v>
      </c>
      <c r="C1161" s="839" t="s">
        <v>9573</v>
      </c>
      <c r="D1161" s="35" t="s">
        <v>5860</v>
      </c>
      <c r="E1161" s="41">
        <f>'preliminary and maintanance'!$F$2956</f>
        <v>419</v>
      </c>
      <c r="F1161" s="41"/>
    </row>
    <row r="1162" spans="1:8">
      <c r="A1162" s="829"/>
      <c r="B1162" s="35"/>
      <c r="C1162" s="833" t="s">
        <v>9673</v>
      </c>
      <c r="D1162" s="35" t="s">
        <v>5860</v>
      </c>
      <c r="E1162" s="41"/>
      <c r="F1162" s="41">
        <f>'preliminary and maintanance'!$F$2942</f>
        <v>170.42250000000001</v>
      </c>
    </row>
    <row r="1163" spans="1:8" ht="22.5" customHeight="1">
      <c r="A1163" s="829"/>
      <c r="B1163" s="35"/>
      <c r="C1163" s="839"/>
      <c r="D1163" s="35"/>
      <c r="E1163" s="839"/>
      <c r="F1163" s="839"/>
      <c r="G1163" s="879"/>
      <c r="H1163" s="879"/>
    </row>
    <row r="1164" spans="1:8">
      <c r="A1164" s="832" t="s">
        <v>5531</v>
      </c>
      <c r="B1164" s="35"/>
      <c r="C1164" s="857" t="s">
        <v>9290</v>
      </c>
      <c r="D1164" s="39"/>
      <c r="E1164" s="35"/>
      <c r="F1164" s="35"/>
    </row>
    <row r="1165" spans="1:8">
      <c r="A1165" s="829"/>
      <c r="B1165" s="35"/>
      <c r="C1165" s="858" t="s">
        <v>2741</v>
      </c>
      <c r="D1165" s="39"/>
      <c r="E1165" s="35"/>
      <c r="F1165" s="35"/>
    </row>
    <row r="1166" spans="1:8">
      <c r="A1166" s="829"/>
      <c r="B1166" s="35"/>
      <c r="C1166" s="833"/>
      <c r="D1166" s="39"/>
      <c r="E1166" s="35"/>
      <c r="F1166" s="35"/>
    </row>
    <row r="1167" spans="1:8" ht="126">
      <c r="A1167" s="829" t="s">
        <v>5532</v>
      </c>
      <c r="B1167" s="35">
        <v>351</v>
      </c>
      <c r="C1167" s="838" t="s">
        <v>8356</v>
      </c>
      <c r="D1167" s="35" t="s">
        <v>3477</v>
      </c>
      <c r="E1167" s="41">
        <f>com!F10</f>
        <v>116.7</v>
      </c>
      <c r="F1167" s="35"/>
    </row>
    <row r="1168" spans="1:8">
      <c r="A1168" s="829"/>
      <c r="B1168" s="35"/>
      <c r="C1168" s="833"/>
      <c r="D1168" s="39"/>
      <c r="E1168" s="35"/>
      <c r="F1168" s="35"/>
    </row>
    <row r="1169" spans="1:6" ht="126">
      <c r="A1169" s="829" t="s">
        <v>5533</v>
      </c>
      <c r="B1169" s="35">
        <v>352</v>
      </c>
      <c r="C1169" s="838" t="s">
        <v>8357</v>
      </c>
      <c r="D1169" s="35" t="s">
        <v>3477</v>
      </c>
      <c r="E1169" s="35">
        <f>com!F17</f>
        <v>140</v>
      </c>
      <c r="F1169" s="35"/>
    </row>
    <row r="1170" spans="1:6">
      <c r="A1170" s="829"/>
      <c r="B1170" s="35"/>
      <c r="C1170" s="833"/>
      <c r="D1170" s="39"/>
      <c r="E1170" s="35"/>
      <c r="F1170" s="35"/>
    </row>
    <row r="1171" spans="1:6" ht="126">
      <c r="A1171" s="829" t="s">
        <v>5534</v>
      </c>
      <c r="B1171" s="35">
        <v>353</v>
      </c>
      <c r="C1171" s="838" t="s">
        <v>8358</v>
      </c>
      <c r="D1171" s="35" t="s">
        <v>3477</v>
      </c>
      <c r="E1171" s="41">
        <f>com!F24</f>
        <v>263.2</v>
      </c>
      <c r="F1171" s="35"/>
    </row>
    <row r="1172" spans="1:6">
      <c r="A1172" s="829"/>
      <c r="B1172" s="35"/>
      <c r="C1172" s="833"/>
      <c r="D1172" s="39"/>
      <c r="E1172" s="41"/>
      <c r="F1172" s="41"/>
    </row>
    <row r="1173" spans="1:6" ht="126">
      <c r="A1173" s="829" t="s">
        <v>5535</v>
      </c>
      <c r="B1173" s="35">
        <v>354</v>
      </c>
      <c r="C1173" s="838" t="s">
        <v>8359</v>
      </c>
      <c r="D1173" s="35" t="s">
        <v>3477</v>
      </c>
      <c r="E1173" s="41">
        <f>com!F31</f>
        <v>522.4</v>
      </c>
      <c r="F1173" s="35"/>
    </row>
    <row r="1174" spans="1:6">
      <c r="A1174" s="74"/>
      <c r="B1174" s="29"/>
      <c r="C1174" s="75"/>
      <c r="D1174" s="76"/>
      <c r="E1174" s="29"/>
      <c r="F1174" s="29"/>
    </row>
    <row r="1175" spans="1:6"/>
    <row r="1176" spans="1:6"/>
    <row r="1177" spans="1:6"/>
    <row r="1178" spans="1:6"/>
    <row r="1179" spans="1:6"/>
    <row r="1180" spans="1:6"/>
    <row r="1181" spans="1:6"/>
    <row r="1182" spans="1:6"/>
    <row r="1183" spans="1:6"/>
    <row r="1184" spans="1:6"/>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spans="3:6"/>
    <row r="1250" spans="3:6"/>
    <row r="1251" spans="3:6"/>
    <row r="1252" spans="3:6"/>
    <row r="1253" spans="3:6"/>
    <row r="1254" spans="3:6"/>
    <row r="1255" spans="3:6"/>
    <row r="1256" spans="3:6"/>
    <row r="1257" spans="3:6"/>
    <row r="1258" spans="3:6">
      <c r="D1258" s="76"/>
    </row>
    <row r="1259" spans="3:6">
      <c r="C1259" s="31"/>
      <c r="E1259" s="29"/>
      <c r="F1259" s="29"/>
    </row>
    <row r="1260" spans="3:6"/>
    <row r="1261" spans="3:6"/>
    <row r="1262" spans="3:6"/>
    <row r="1263" spans="3:6"/>
    <row r="1264" spans="3:6"/>
    <row r="1265" spans="3:6"/>
    <row r="1266" spans="3:6"/>
    <row r="1267" spans="3:6"/>
    <row r="1268" spans="3:6">
      <c r="C1268" s="31"/>
    </row>
    <row r="1269" spans="3:6"/>
    <row r="1270" spans="3:6"/>
    <row r="1271" spans="3:6"/>
    <row r="1272" spans="3:6"/>
    <row r="1273" spans="3:6"/>
    <row r="1274" spans="3:6"/>
    <row r="1275" spans="3:6">
      <c r="D1275" s="76"/>
    </row>
    <row r="1276" spans="3:6">
      <c r="C1276" s="31"/>
      <c r="E1276" s="29"/>
      <c r="F1276" s="29"/>
    </row>
    <row r="1277" spans="3:6"/>
    <row r="1278" spans="3:6"/>
    <row r="1279" spans="3:6"/>
    <row r="1280" spans="3:6"/>
    <row r="1281" spans="3:6"/>
    <row r="1282" spans="3:6"/>
    <row r="1283" spans="3:6"/>
    <row r="1284" spans="3:6">
      <c r="D1284" s="76"/>
    </row>
    <row r="1285" spans="3:6">
      <c r="C1285" s="31"/>
      <c r="E1285" s="29"/>
      <c r="F1285" s="29"/>
    </row>
    <row r="1286" spans="3:6"/>
    <row r="1287" spans="3:6"/>
    <row r="1288" spans="3:6"/>
    <row r="1289" spans="3:6"/>
    <row r="1290" spans="3:6"/>
    <row r="1291" spans="3:6"/>
    <row r="1292" spans="3:6">
      <c r="C1292" s="31"/>
    </row>
    <row r="1293" spans="3:6"/>
    <row r="1294" spans="3:6"/>
    <row r="1295" spans="3:6"/>
    <row r="1296" spans="3: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sheetData>
  <phoneticPr fontId="5" type="noConversion"/>
  <printOptions horizontalCentered="1"/>
  <pageMargins left="0.51181102362204722" right="0.51181102362204722" top="0.78740157480314965" bottom="0.47244094488188981" header="0.51181102362204722" footer="0.39370078740157483"/>
  <pageSetup paperSize="9" scale="53" orientation="portrait" useFirstPageNumber="1" r:id="rId1"/>
  <headerFooter alignWithMargins="0">
    <oddHeader>&amp;R&amp;12Abstract of  work items_UNit Rates for the year 2016-17</oddHeader>
    <oddFooter>&amp;R&amp;18&amp;P</oddFooter>
  </headerFooter>
</worksheet>
</file>

<file path=xl/worksheets/sheet5.xml><?xml version="1.0" encoding="utf-8"?>
<worksheet xmlns="http://schemas.openxmlformats.org/spreadsheetml/2006/main" xmlns:r="http://schemas.openxmlformats.org/officeDocument/2006/relationships">
  <sheetPr codeName="Sheet11"/>
  <dimension ref="A1:J5284"/>
  <sheetViews>
    <sheetView showGridLines="0" view="pageBreakPreview" zoomScale="60" zoomScaleNormal="60" workbookViewId="0">
      <selection activeCell="F46" sqref="F46"/>
    </sheetView>
  </sheetViews>
  <sheetFormatPr defaultColWidth="0" defaultRowHeight="18" zeroHeight="1"/>
  <cols>
    <col min="1" max="1" width="18.85546875" style="27" customWidth="1"/>
    <col min="2" max="2" width="12.5703125" style="27" customWidth="1"/>
    <col min="3" max="3" width="26" style="27" customWidth="1"/>
    <col min="4" max="4" width="20" style="27" customWidth="1"/>
    <col min="5" max="5" width="20.28515625" style="27" customWidth="1"/>
    <col min="6" max="6" width="17" style="27" customWidth="1"/>
    <col min="7" max="7" width="19.5703125" style="27" customWidth="1"/>
    <col min="8" max="8" width="19" style="27" bestFit="1" customWidth="1"/>
    <col min="9" max="10" width="9.140625" style="27" customWidth="1"/>
    <col min="11" max="16384" width="0" style="27" hidden="1"/>
  </cols>
  <sheetData>
    <row r="1" spans="1:9">
      <c r="A1" s="77" t="s">
        <v>6019</v>
      </c>
      <c r="B1" s="1160" t="s">
        <v>2987</v>
      </c>
      <c r="C1" s="1160"/>
      <c r="D1" s="1160"/>
      <c r="E1" s="1160"/>
      <c r="F1" s="1160"/>
      <c r="G1" s="1160"/>
      <c r="H1" s="1160"/>
      <c r="I1" s="47"/>
    </row>
    <row r="2" spans="1:9">
      <c r="D2" s="79" t="s">
        <v>6018</v>
      </c>
    </row>
    <row r="3" spans="1:9">
      <c r="E3" s="1083" t="s">
        <v>9894</v>
      </c>
    </row>
    <row r="4" spans="1:9"/>
    <row r="5" spans="1:9">
      <c r="A5" s="27" t="s">
        <v>6019</v>
      </c>
      <c r="B5" s="870">
        <v>1</v>
      </c>
      <c r="C5" s="823" t="s">
        <v>9716</v>
      </c>
      <c r="D5" s="823"/>
      <c r="E5" s="823"/>
    </row>
    <row r="6" spans="1:9">
      <c r="C6" s="823" t="s">
        <v>9717</v>
      </c>
      <c r="D6" s="823"/>
      <c r="E6" s="823"/>
    </row>
    <row r="7" spans="1:9">
      <c r="B7" s="171">
        <v>2</v>
      </c>
      <c r="C7" s="823" t="s">
        <v>9718</v>
      </c>
      <c r="D7" s="823"/>
      <c r="E7" s="823"/>
    </row>
    <row r="8" spans="1:9">
      <c r="B8" s="823"/>
      <c r="C8" s="823" t="s">
        <v>9717</v>
      </c>
      <c r="D8" s="823"/>
      <c r="E8" s="823"/>
    </row>
    <row r="9" spans="1:9">
      <c r="B9" s="171">
        <v>3</v>
      </c>
      <c r="C9" s="823" t="s">
        <v>9719</v>
      </c>
      <c r="D9" s="823"/>
      <c r="E9" s="823"/>
    </row>
    <row r="10" spans="1:9">
      <c r="B10" s="823"/>
      <c r="C10" s="823" t="s">
        <v>9720</v>
      </c>
      <c r="D10" s="823"/>
      <c r="E10" s="823"/>
    </row>
    <row r="11" spans="1:9">
      <c r="B11" s="823"/>
      <c r="C11" s="823"/>
      <c r="D11" s="823"/>
      <c r="E11" s="823"/>
    </row>
    <row r="12" spans="1:9">
      <c r="B12" s="171">
        <v>4</v>
      </c>
      <c r="C12" s="823" t="s">
        <v>9721</v>
      </c>
      <c r="D12" s="823"/>
      <c r="E12" s="823"/>
    </row>
    <row r="13" spans="1:9">
      <c r="B13" s="823"/>
      <c r="C13" s="823" t="s">
        <v>9722</v>
      </c>
      <c r="D13" s="823"/>
      <c r="E13" s="823"/>
    </row>
    <row r="14" spans="1:9">
      <c r="B14" s="171">
        <v>5</v>
      </c>
      <c r="C14" s="846" t="s">
        <v>9723</v>
      </c>
      <c r="D14" s="846"/>
      <c r="E14" s="846"/>
    </row>
    <row r="15" spans="1:9">
      <c r="B15" s="171"/>
      <c r="C15" s="823" t="s">
        <v>9724</v>
      </c>
      <c r="D15" s="823"/>
      <c r="E15" s="823"/>
    </row>
    <row r="16" spans="1:9">
      <c r="B16" s="171">
        <v>6</v>
      </c>
      <c r="C16" s="823" t="s">
        <v>9725</v>
      </c>
      <c r="D16" s="823"/>
      <c r="E16" s="823"/>
    </row>
    <row r="17" spans="2:10">
      <c r="B17" s="171">
        <v>7</v>
      </c>
      <c r="C17" s="823" t="s">
        <v>9726</v>
      </c>
      <c r="D17" s="823"/>
      <c r="E17" s="823"/>
    </row>
    <row r="18" spans="2:10">
      <c r="B18" s="171">
        <v>8</v>
      </c>
      <c r="C18" s="823" t="s">
        <v>9727</v>
      </c>
      <c r="D18" s="823"/>
      <c r="E18" s="823"/>
    </row>
    <row r="19" spans="2:10">
      <c r="B19" s="171"/>
      <c r="C19" s="823" t="s">
        <v>9728</v>
      </c>
      <c r="D19" s="823"/>
      <c r="E19" s="823"/>
    </row>
    <row r="20" spans="2:10">
      <c r="B20" s="171">
        <v>9</v>
      </c>
      <c r="C20" s="823" t="s">
        <v>9729</v>
      </c>
      <c r="D20" s="823"/>
      <c r="E20" s="823"/>
    </row>
    <row r="21" spans="2:10">
      <c r="B21" s="171"/>
      <c r="C21" s="823" t="s">
        <v>9730</v>
      </c>
      <c r="D21" s="823"/>
      <c r="E21" s="823"/>
    </row>
    <row r="22" spans="2:10">
      <c r="B22" s="171">
        <v>10</v>
      </c>
      <c r="C22" s="823" t="s">
        <v>9731</v>
      </c>
      <c r="D22" s="823"/>
      <c r="E22" s="823"/>
    </row>
    <row r="23" spans="2:10">
      <c r="B23" s="171"/>
      <c r="C23" s="823" t="s">
        <v>9732</v>
      </c>
      <c r="D23" s="823"/>
      <c r="E23" s="823"/>
    </row>
    <row r="24" spans="2:10">
      <c r="B24" s="171">
        <v>11</v>
      </c>
      <c r="C24" s="823" t="s">
        <v>9733</v>
      </c>
      <c r="D24" s="823"/>
      <c r="E24" s="823"/>
    </row>
    <row r="25" spans="2:10">
      <c r="B25" s="171"/>
      <c r="C25" s="823" t="s">
        <v>2593</v>
      </c>
      <c r="D25" s="823"/>
      <c r="E25" s="823"/>
    </row>
    <row r="26" spans="2:10" ht="19.5">
      <c r="B26" s="171">
        <v>12</v>
      </c>
      <c r="C26" s="917" t="s">
        <v>9756</v>
      </c>
      <c r="D26" s="823"/>
      <c r="E26" s="823"/>
    </row>
    <row r="27" spans="2:10" ht="19.5">
      <c r="B27" s="171">
        <v>13</v>
      </c>
      <c r="C27" s="917" t="s">
        <v>9740</v>
      </c>
      <c r="D27" s="823"/>
      <c r="E27" s="823"/>
    </row>
    <row r="28" spans="2:10" ht="19.5">
      <c r="B28" s="171"/>
      <c r="C28" s="918" t="s">
        <v>9736</v>
      </c>
      <c r="D28" s="823"/>
      <c r="E28" s="823"/>
    </row>
    <row r="29" spans="2:10" ht="19.5">
      <c r="C29" s="919" t="s">
        <v>9737</v>
      </c>
      <c r="E29" s="80"/>
    </row>
    <row r="30" spans="2:10" ht="19.5">
      <c r="C30" s="919" t="s">
        <v>9738</v>
      </c>
      <c r="E30" s="80"/>
    </row>
    <row r="31" spans="2:10" ht="19.5">
      <c r="C31" s="919" t="s">
        <v>9739</v>
      </c>
      <c r="E31" s="80"/>
    </row>
    <row r="32" spans="2:10" s="1076" customFormat="1" ht="94.5" customHeight="1">
      <c r="B32" s="1077">
        <v>14</v>
      </c>
      <c r="C32" s="1205" t="s">
        <v>9879</v>
      </c>
      <c r="D32" s="1205"/>
      <c r="E32" s="1205"/>
      <c r="F32" s="1205"/>
      <c r="G32" s="1205"/>
      <c r="H32" s="1205"/>
      <c r="I32" s="1205"/>
      <c r="J32" s="1205"/>
    </row>
    <row r="33" spans="1:6" s="1076" customFormat="1" ht="19.5">
      <c r="C33" s="919"/>
      <c r="E33" s="80"/>
    </row>
    <row r="34" spans="1:6">
      <c r="A34" s="27" t="s">
        <v>6021</v>
      </c>
      <c r="B34" s="867" t="s">
        <v>9734</v>
      </c>
    </row>
    <row r="35" spans="1:6">
      <c r="C35" s="1083" t="s">
        <v>9894</v>
      </c>
    </row>
    <row r="36" spans="1:6" ht="8.25" customHeight="1"/>
    <row r="37" spans="1:6">
      <c r="B37" s="1164" t="s">
        <v>3473</v>
      </c>
      <c r="C37" s="1167" t="s">
        <v>4506</v>
      </c>
      <c r="D37" s="1167" t="s">
        <v>6414</v>
      </c>
      <c r="E37" s="1167" t="s">
        <v>9877</v>
      </c>
      <c r="F37" s="1167" t="s">
        <v>3251</v>
      </c>
    </row>
    <row r="38" spans="1:6">
      <c r="B38" s="1165"/>
      <c r="C38" s="1167"/>
      <c r="D38" s="1167"/>
      <c r="E38" s="1167"/>
      <c r="F38" s="1167"/>
    </row>
    <row r="39" spans="1:6">
      <c r="B39" s="1165"/>
      <c r="C39" s="1167"/>
      <c r="D39" s="1167"/>
      <c r="E39" s="1167"/>
      <c r="F39" s="1167"/>
    </row>
    <row r="40" spans="1:6">
      <c r="B40" s="1165"/>
      <c r="C40" s="1167"/>
      <c r="D40" s="1167"/>
      <c r="E40" s="1167"/>
      <c r="F40" s="1167"/>
    </row>
    <row r="41" spans="1:6">
      <c r="B41" s="1165"/>
      <c r="C41" s="1167"/>
      <c r="D41" s="1167"/>
      <c r="E41" s="1167"/>
      <c r="F41" s="1167"/>
    </row>
    <row r="42" spans="1:6">
      <c r="B42" s="1165"/>
      <c r="C42" s="1167"/>
      <c r="D42" s="1167"/>
      <c r="E42" s="1167"/>
      <c r="F42" s="1167"/>
    </row>
    <row r="43" spans="1:6">
      <c r="B43" s="1166"/>
      <c r="C43" s="1167"/>
      <c r="D43" s="1167"/>
      <c r="E43" s="1167"/>
      <c r="F43" s="1167"/>
    </row>
    <row r="44" spans="1:6" s="78" customFormat="1">
      <c r="B44" s="36">
        <v>1</v>
      </c>
      <c r="C44" s="36">
        <v>2</v>
      </c>
      <c r="D44" s="36">
        <v>3</v>
      </c>
      <c r="E44" s="36">
        <v>4</v>
      </c>
      <c r="F44" s="36">
        <v>5</v>
      </c>
    </row>
    <row r="45" spans="1:6" ht="54">
      <c r="B45" s="36">
        <v>1</v>
      </c>
      <c r="C45" s="65" t="s">
        <v>3252</v>
      </c>
      <c r="D45" s="36" t="s">
        <v>3253</v>
      </c>
      <c r="E45" s="36" t="s">
        <v>3253</v>
      </c>
      <c r="F45" s="1159" t="s">
        <v>3253</v>
      </c>
    </row>
    <row r="46" spans="1:6">
      <c r="B46" s="36">
        <v>2</v>
      </c>
      <c r="C46" s="36" t="s">
        <v>3254</v>
      </c>
      <c r="D46" s="82">
        <f>leadcharges!$G$156</f>
        <v>56.8</v>
      </c>
      <c r="E46" s="82">
        <f>leadcharges!$G$188</f>
        <v>33.1</v>
      </c>
      <c r="F46" s="82">
        <f>leadcharges!$G$222</f>
        <v>72.3</v>
      </c>
    </row>
    <row r="47" spans="1:6">
      <c r="B47" s="36">
        <v>3</v>
      </c>
      <c r="C47" s="36" t="s">
        <v>3255</v>
      </c>
      <c r="D47" s="82">
        <f>leadcharges!$G$167</f>
        <v>113.6</v>
      </c>
      <c r="E47" s="82">
        <f>leadcharges!$F$199</f>
        <v>66.3</v>
      </c>
      <c r="F47" s="82">
        <f>leadcharges!$G$233</f>
        <v>144.6</v>
      </c>
    </row>
    <row r="48" spans="1:6" ht="1.5" customHeight="1"/>
    <row r="49" spans="1:9">
      <c r="B49" s="27" t="s">
        <v>3256</v>
      </c>
    </row>
    <row r="50" spans="1:9">
      <c r="B50" s="27" t="s">
        <v>880</v>
      </c>
    </row>
    <row r="51" spans="1:9">
      <c r="B51" s="27" t="s">
        <v>8035</v>
      </c>
    </row>
    <row r="52" spans="1:9">
      <c r="B52" s="1161" t="s">
        <v>9757</v>
      </c>
      <c r="C52" s="1161"/>
      <c r="D52" s="1161"/>
      <c r="E52" s="1161"/>
      <c r="F52" s="1161"/>
      <c r="G52" s="1161"/>
    </row>
    <row r="53" spans="1:9" ht="8.25" customHeight="1"/>
    <row r="54" spans="1:9">
      <c r="A54" s="27" t="s">
        <v>6022</v>
      </c>
      <c r="B54" s="867" t="s">
        <v>892</v>
      </c>
      <c r="C54" s="823"/>
      <c r="D54" s="823"/>
      <c r="E54" s="823"/>
      <c r="F54" s="823"/>
      <c r="G54" s="823"/>
    </row>
    <row r="55" spans="1:9" ht="18" customHeight="1">
      <c r="B55" s="1168" t="s">
        <v>9735</v>
      </c>
      <c r="C55" s="1168"/>
      <c r="D55" s="1168"/>
      <c r="E55" s="1168"/>
      <c r="F55" s="1168"/>
      <c r="G55" s="1168"/>
    </row>
    <row r="56" spans="1:9" ht="5.25" customHeight="1"/>
    <row r="57" spans="1:9">
      <c r="C57" s="27" t="s">
        <v>4263</v>
      </c>
    </row>
    <row r="58" spans="1:9" ht="5.25" customHeight="1"/>
    <row r="59" spans="1:9" ht="195.75" customHeight="1">
      <c r="B59" s="35" t="s">
        <v>3473</v>
      </c>
      <c r="C59" s="35" t="s">
        <v>4264</v>
      </c>
      <c r="D59" s="829" t="s">
        <v>4265</v>
      </c>
      <c r="E59" s="829" t="s">
        <v>4266</v>
      </c>
      <c r="F59" s="1078" t="s">
        <v>4267</v>
      </c>
      <c r="G59" s="1074" t="s">
        <v>4268</v>
      </c>
      <c r="H59" s="829" t="s">
        <v>4269</v>
      </c>
      <c r="I59" s="829" t="s">
        <v>7929</v>
      </c>
    </row>
    <row r="60" spans="1:9" s="78" customFormat="1">
      <c r="B60" s="36">
        <v>1</v>
      </c>
      <c r="C60" s="36">
        <v>2</v>
      </c>
      <c r="D60" s="36">
        <v>3</v>
      </c>
      <c r="E60" s="36">
        <v>4</v>
      </c>
      <c r="F60" s="36">
        <v>5</v>
      </c>
      <c r="G60" s="36">
        <v>6</v>
      </c>
      <c r="H60" s="36">
        <v>7</v>
      </c>
      <c r="I60" s="105">
        <v>8</v>
      </c>
    </row>
    <row r="61" spans="1:9">
      <c r="B61" s="36">
        <v>1</v>
      </c>
      <c r="C61" s="36" t="s">
        <v>4270</v>
      </c>
      <c r="D61" s="83">
        <f>leadcharges!$G$249</f>
        <v>31.5</v>
      </c>
      <c r="E61" s="83">
        <f>leadcharges!$G$321</f>
        <v>30.4</v>
      </c>
      <c r="F61" s="83">
        <f>leadcharges!$G$393</f>
        <v>19</v>
      </c>
      <c r="G61" s="83">
        <f>leadcharges!$G$465</f>
        <v>44.7</v>
      </c>
      <c r="H61" s="83">
        <f>leadcharges!$G$537</f>
        <v>18.7</v>
      </c>
      <c r="I61" s="84">
        <f>leadcharges!$G$609</f>
        <v>50.7</v>
      </c>
    </row>
    <row r="62" spans="1:9">
      <c r="B62" s="36">
        <v>2</v>
      </c>
      <c r="C62" s="36" t="s">
        <v>4271</v>
      </c>
      <c r="D62" s="82">
        <f>leadcharges!$G$259</f>
        <v>44.1</v>
      </c>
      <c r="E62" s="82">
        <f>leadcharges!$G$331</f>
        <v>42.5</v>
      </c>
      <c r="F62" s="82">
        <f>leadcharges!$G$403</f>
        <v>26.6</v>
      </c>
      <c r="G62" s="82">
        <f>leadcharges!$G$475</f>
        <v>62.6</v>
      </c>
      <c r="H62" s="83">
        <f>leadcharges!$G$547</f>
        <v>26.2</v>
      </c>
      <c r="I62" s="84">
        <f>leadcharges!$G$619</f>
        <v>70.900000000000006</v>
      </c>
    </row>
    <row r="63" spans="1:9">
      <c r="B63" s="36">
        <v>3</v>
      </c>
      <c r="C63" s="36" t="s">
        <v>4272</v>
      </c>
      <c r="D63" s="82">
        <f>leadcharges!$G$269</f>
        <v>58.8</v>
      </c>
      <c r="E63" s="82">
        <f>leadcharges!$G$341</f>
        <v>58.8</v>
      </c>
      <c r="F63" s="82">
        <f>leadcharges!$G$413</f>
        <v>36.700000000000003</v>
      </c>
      <c r="G63" s="82">
        <f>leadcharges!$G$485</f>
        <v>86.5</v>
      </c>
      <c r="H63" s="83">
        <f>leadcharges!$G$557</f>
        <v>35</v>
      </c>
      <c r="I63" s="84">
        <f>leadcharges!$G$629</f>
        <v>94.5</v>
      </c>
    </row>
    <row r="64" spans="1:9">
      <c r="B64" s="36">
        <v>4</v>
      </c>
      <c r="C64" s="36" t="s">
        <v>4273</v>
      </c>
      <c r="D64" s="82">
        <f>leadcharges!$G$279</f>
        <v>71.400000000000006</v>
      </c>
      <c r="E64" s="82">
        <f>leadcharges!$G$351</f>
        <v>71.400000000000006</v>
      </c>
      <c r="F64" s="82">
        <f>leadcharges!$G$423</f>
        <v>44.6</v>
      </c>
      <c r="G64" s="82">
        <f>leadcharges!$G$495</f>
        <v>105</v>
      </c>
      <c r="H64" s="83">
        <f>leadcharges!$G$567</f>
        <v>42.5</v>
      </c>
      <c r="I64" s="84">
        <f>leadcharges!$G$639</f>
        <v>114.8</v>
      </c>
    </row>
    <row r="65" spans="1:9">
      <c r="B65" s="36">
        <v>5</v>
      </c>
      <c r="C65" s="36" t="s">
        <v>4274</v>
      </c>
      <c r="D65" s="82">
        <f>leadcharges!$G$289</f>
        <v>84</v>
      </c>
      <c r="E65" s="82">
        <f>leadcharges!$G$361</f>
        <v>84</v>
      </c>
      <c r="F65" s="82">
        <f>leadcharges!$G$433</f>
        <v>52.5</v>
      </c>
      <c r="G65" s="82">
        <f>leadcharges!$G$505</f>
        <v>123.5</v>
      </c>
      <c r="H65" s="83">
        <f>leadcharges!$G$577</f>
        <v>50</v>
      </c>
      <c r="I65" s="84">
        <f>leadcharges!$G$649</f>
        <v>135.1</v>
      </c>
    </row>
    <row r="66" spans="1:9" ht="39" customHeight="1">
      <c r="B66" s="36">
        <v>6</v>
      </c>
      <c r="C66" s="65" t="s">
        <v>4275</v>
      </c>
      <c r="D66" s="82">
        <f>leadcharges!$G$299</f>
        <v>12.6</v>
      </c>
      <c r="E66" s="82">
        <f>leadcharges!$G$371</f>
        <v>12.6</v>
      </c>
      <c r="F66" s="82">
        <f>leadcharges!$G$443</f>
        <v>7.9</v>
      </c>
      <c r="G66" s="82">
        <f>leadcharges!$G$515</f>
        <v>18.5</v>
      </c>
      <c r="H66" s="83">
        <f>leadcharges!$G$587</f>
        <v>7.5</v>
      </c>
      <c r="I66" s="84">
        <f>leadcharges!$G$659</f>
        <v>20.3</v>
      </c>
    </row>
    <row r="67" spans="1:9" ht="37.5" customHeight="1">
      <c r="B67" s="36">
        <v>7</v>
      </c>
      <c r="C67" s="65" t="s">
        <v>4276</v>
      </c>
      <c r="D67" s="82">
        <f>leadcharges!$G$309</f>
        <v>10.5</v>
      </c>
      <c r="E67" s="82">
        <f>leadcharges!$G$381</f>
        <v>10.5</v>
      </c>
      <c r="F67" s="82">
        <f>leadcharges!$G$453</f>
        <v>6.6</v>
      </c>
      <c r="G67" s="82">
        <f>leadcharges!$G$525</f>
        <v>15.4</v>
      </c>
      <c r="H67" s="83">
        <f>leadcharges!$G$597</f>
        <v>6.3</v>
      </c>
      <c r="I67" s="84">
        <f>leadcharges!$G$669</f>
        <v>16.899999999999999</v>
      </c>
    </row>
    <row r="68" spans="1:9" ht="30.75" customHeight="1">
      <c r="B68" s="1162" t="s">
        <v>9758</v>
      </c>
      <c r="C68" s="1162"/>
      <c r="D68" s="1162"/>
      <c r="E68" s="1162"/>
      <c r="F68" s="1162"/>
      <c r="G68" s="1162"/>
      <c r="H68" s="1162"/>
    </row>
    <row r="69" spans="1:9">
      <c r="B69" s="76"/>
      <c r="C69" s="76"/>
      <c r="D69" s="85"/>
      <c r="E69" s="86"/>
      <c r="F69" s="86"/>
      <c r="G69" s="86"/>
      <c r="H69" s="85"/>
    </row>
    <row r="70" spans="1:9">
      <c r="B70" s="76"/>
      <c r="C70" s="76"/>
      <c r="D70" s="85"/>
      <c r="E70" s="86"/>
      <c r="F70" s="86"/>
      <c r="G70" s="86"/>
      <c r="H70" s="85"/>
    </row>
    <row r="71" spans="1:9">
      <c r="A71" s="27" t="s">
        <v>6023</v>
      </c>
      <c r="B71" s="877" t="s">
        <v>4277</v>
      </c>
      <c r="D71" s="85"/>
      <c r="E71" s="86"/>
      <c r="F71" s="86"/>
      <c r="G71" s="86"/>
      <c r="H71" s="85"/>
    </row>
    <row r="72" spans="1:9">
      <c r="B72" s="877"/>
      <c r="D72" s="85"/>
      <c r="E72" s="86"/>
      <c r="F72" s="86"/>
      <c r="G72" s="86"/>
      <c r="H72" s="85"/>
    </row>
    <row r="73" spans="1:9" ht="108">
      <c r="B73" s="35" t="s">
        <v>3473</v>
      </c>
      <c r="C73" s="34" t="s">
        <v>4278</v>
      </c>
      <c r="D73" s="829" t="s">
        <v>4279</v>
      </c>
      <c r="E73" s="829" t="s">
        <v>1636</v>
      </c>
      <c r="F73" s="829" t="s">
        <v>1637</v>
      </c>
      <c r="G73" s="829" t="s">
        <v>1638</v>
      </c>
      <c r="H73" s="829" t="s">
        <v>1639</v>
      </c>
    </row>
    <row r="74" spans="1:9" s="78" customFormat="1">
      <c r="B74" s="36">
        <v>1</v>
      </c>
      <c r="C74" s="36">
        <v>2</v>
      </c>
      <c r="D74" s="36">
        <v>3</v>
      </c>
      <c r="E74" s="36">
        <v>4</v>
      </c>
      <c r="F74" s="36">
        <v>5</v>
      </c>
      <c r="G74" s="36">
        <v>6</v>
      </c>
      <c r="H74" s="36">
        <v>7</v>
      </c>
    </row>
    <row r="75" spans="1:9">
      <c r="B75" s="36">
        <v>1</v>
      </c>
      <c r="C75" s="36" t="s">
        <v>1640</v>
      </c>
      <c r="D75" s="82">
        <f>leadcharges!$H$698</f>
        <v>17.3</v>
      </c>
      <c r="E75" s="82">
        <f>leadcharges!$H$685</f>
        <v>37.799999999999997</v>
      </c>
      <c r="F75" s="82">
        <f>leadcharges!$H$724</f>
        <v>62.4</v>
      </c>
      <c r="G75" s="82">
        <f>leadcharges!$H$737</f>
        <v>74.8</v>
      </c>
      <c r="H75" s="82">
        <f>leadcharges!$H$711</f>
        <v>52</v>
      </c>
    </row>
    <row r="76" spans="1:9">
      <c r="B76" s="36">
        <v>2</v>
      </c>
      <c r="C76" s="36" t="s">
        <v>1641</v>
      </c>
      <c r="D76" s="82">
        <f>leadcharges!$D$700</f>
        <v>8.65</v>
      </c>
      <c r="E76" s="82">
        <f>leadcharges!$D$687</f>
        <v>18.899999999999999</v>
      </c>
      <c r="F76" s="82">
        <f>leadcharges!$D$726</f>
        <v>62.4</v>
      </c>
      <c r="G76" s="82">
        <f>leadcharges!$D$739</f>
        <v>74.8</v>
      </c>
      <c r="H76" s="82">
        <f>leadcharges!$D$713</f>
        <v>52</v>
      </c>
    </row>
    <row r="77" spans="1:9">
      <c r="B77" s="1162" t="s">
        <v>9758</v>
      </c>
      <c r="C77" s="1162"/>
      <c r="D77" s="1162"/>
      <c r="E77" s="1162"/>
      <c r="F77" s="1162"/>
      <c r="G77" s="1162"/>
      <c r="H77" s="1162"/>
    </row>
    <row r="78" spans="1:9">
      <c r="B78" s="76"/>
      <c r="D78" s="85"/>
      <c r="E78" s="86"/>
      <c r="F78" s="86"/>
      <c r="G78" s="86"/>
      <c r="H78" s="85"/>
    </row>
    <row r="79" spans="1:9">
      <c r="A79" s="27" t="s">
        <v>6024</v>
      </c>
      <c r="B79" s="877" t="s">
        <v>1299</v>
      </c>
      <c r="D79" s="85"/>
      <c r="E79" s="86"/>
      <c r="F79" s="86"/>
      <c r="G79" s="86"/>
      <c r="H79" s="85"/>
    </row>
    <row r="80" spans="1:9">
      <c r="B80" s="877"/>
      <c r="D80" s="85"/>
      <c r="E80" s="86"/>
      <c r="F80" s="86"/>
      <c r="G80" s="86"/>
      <c r="H80" s="85"/>
    </row>
    <row r="81" spans="1:8" ht="108">
      <c r="B81" s="35" t="s">
        <v>3473</v>
      </c>
      <c r="C81" s="34" t="s">
        <v>4278</v>
      </c>
      <c r="D81" s="829" t="s">
        <v>4279</v>
      </c>
      <c r="E81" s="829" t="s">
        <v>1636</v>
      </c>
      <c r="F81" s="829" t="s">
        <v>1637</v>
      </c>
      <c r="G81" s="829" t="s">
        <v>1638</v>
      </c>
      <c r="H81" s="829" t="s">
        <v>1639</v>
      </c>
    </row>
    <row r="82" spans="1:8" s="78" customFormat="1">
      <c r="B82" s="36">
        <v>1</v>
      </c>
      <c r="C82" s="36">
        <v>2</v>
      </c>
      <c r="D82" s="36">
        <v>3</v>
      </c>
      <c r="E82" s="36">
        <v>4</v>
      </c>
      <c r="F82" s="36">
        <v>5</v>
      </c>
      <c r="G82" s="36">
        <v>6</v>
      </c>
      <c r="H82" s="36">
        <v>7</v>
      </c>
    </row>
    <row r="83" spans="1:8">
      <c r="B83" s="36">
        <v>1</v>
      </c>
      <c r="C83" s="36" t="s">
        <v>1640</v>
      </c>
      <c r="D83" s="82">
        <f>leadcharges!$H$785</f>
        <v>111</v>
      </c>
      <c r="E83" s="82">
        <f>leadcharges!$H$769</f>
        <v>129.9</v>
      </c>
      <c r="F83" s="82">
        <f>leadcharges!$H$827</f>
        <v>163.69999999999999</v>
      </c>
      <c r="G83" s="82">
        <f>leadcharges!$H$842</f>
        <v>176</v>
      </c>
      <c r="H83" s="82">
        <f>leadcharges!$H$812</f>
        <v>219.1</v>
      </c>
    </row>
    <row r="84" spans="1:8">
      <c r="B84" s="36">
        <v>2</v>
      </c>
      <c r="C84" s="36" t="s">
        <v>1641</v>
      </c>
      <c r="D84" s="82">
        <f>leadcharges!$H$798</f>
        <v>40</v>
      </c>
      <c r="E84" s="82">
        <f>leadcharges!$E$771</f>
        <v>64.95</v>
      </c>
      <c r="F84" s="82">
        <f>leadcharges!$D$829</f>
        <v>163.69999999999999</v>
      </c>
      <c r="G84" s="82">
        <f>leadcharges!$D$844</f>
        <v>176</v>
      </c>
      <c r="H84" s="82">
        <f>leadcharges!$D$814</f>
        <v>219.1</v>
      </c>
    </row>
    <row r="85" spans="1:8">
      <c r="B85" s="1162" t="s">
        <v>9759</v>
      </c>
      <c r="C85" s="1162"/>
      <c r="D85" s="1162"/>
      <c r="E85" s="1162"/>
      <c r="F85" s="1162"/>
      <c r="G85" s="1162"/>
      <c r="H85" s="1162"/>
    </row>
    <row r="86" spans="1:8">
      <c r="B86" s="76"/>
      <c r="C86" s="76"/>
      <c r="D86" s="85"/>
      <c r="E86" s="85"/>
      <c r="F86" s="85"/>
      <c r="G86" s="76"/>
      <c r="H86" s="85"/>
    </row>
    <row r="87" spans="1:8">
      <c r="A87" s="27" t="s">
        <v>6025</v>
      </c>
      <c r="B87" s="877" t="s">
        <v>1300</v>
      </c>
      <c r="C87" s="76"/>
      <c r="D87" s="76"/>
      <c r="E87" s="76"/>
      <c r="F87" s="76"/>
      <c r="G87" s="76"/>
      <c r="H87" s="76"/>
    </row>
    <row r="88" spans="1:8">
      <c r="B88" s="877"/>
      <c r="C88" s="89"/>
      <c r="D88" s="89"/>
      <c r="E88" s="89"/>
      <c r="F88" s="76"/>
      <c r="G88" s="76"/>
      <c r="H88" s="76"/>
    </row>
    <row r="89" spans="1:8" ht="108">
      <c r="B89" s="35" t="s">
        <v>3473</v>
      </c>
      <c r="C89" s="81" t="s">
        <v>4278</v>
      </c>
      <c r="D89" s="875" t="s">
        <v>4279</v>
      </c>
      <c r="E89" s="876" t="s">
        <v>1636</v>
      </c>
      <c r="F89" s="91"/>
      <c r="G89" s="86"/>
      <c r="H89" s="86"/>
    </row>
    <row r="90" spans="1:8" s="78" customFormat="1">
      <c r="B90" s="36">
        <v>1</v>
      </c>
      <c r="C90" s="36">
        <v>2</v>
      </c>
      <c r="D90" s="36">
        <v>3</v>
      </c>
      <c r="E90" s="92">
        <v>4</v>
      </c>
      <c r="F90" s="93"/>
      <c r="G90" s="33"/>
      <c r="H90" s="33"/>
    </row>
    <row r="91" spans="1:8">
      <c r="B91" s="36">
        <v>1</v>
      </c>
      <c r="C91" s="36" t="s">
        <v>1640</v>
      </c>
      <c r="D91" s="82">
        <f>leadcharges!$H$894</f>
        <v>52</v>
      </c>
      <c r="E91" s="82">
        <f>leadcharges!$H$870</f>
        <v>103.9</v>
      </c>
      <c r="F91" s="94"/>
      <c r="G91" s="85"/>
      <c r="H91" s="85"/>
    </row>
    <row r="92" spans="1:8">
      <c r="B92" s="36">
        <v>2</v>
      </c>
      <c r="C92" s="36" t="s">
        <v>1641</v>
      </c>
      <c r="D92" s="82">
        <f>leadcharges!$H$914</f>
        <v>15.9</v>
      </c>
      <c r="E92" s="82">
        <f>leadcharges!$H$914</f>
        <v>15.9</v>
      </c>
      <c r="F92" s="94"/>
      <c r="G92" s="76"/>
      <c r="H92" s="85"/>
    </row>
    <row r="93" spans="1:8">
      <c r="B93" s="1163" t="s">
        <v>9759</v>
      </c>
      <c r="C93" s="1163"/>
      <c r="D93" s="1163"/>
      <c r="E93" s="1163"/>
      <c r="F93" s="1163"/>
      <c r="G93" s="1163"/>
      <c r="H93" s="1163"/>
    </row>
    <row r="94" spans="1:8"/>
    <row r="95" spans="1:8">
      <c r="A95" s="27" t="s">
        <v>6026</v>
      </c>
      <c r="B95" s="867" t="s">
        <v>1301</v>
      </c>
    </row>
    <row r="96" spans="1:8">
      <c r="B96" s="877"/>
    </row>
    <row r="97" spans="1:8" ht="180">
      <c r="B97" s="35" t="s">
        <v>3473</v>
      </c>
      <c r="C97" s="34" t="s">
        <v>1302</v>
      </c>
      <c r="D97" s="829" t="s">
        <v>1483</v>
      </c>
      <c r="E97" s="1078" t="s">
        <v>9878</v>
      </c>
      <c r="F97" s="829" t="s">
        <v>1485</v>
      </c>
    </row>
    <row r="98" spans="1:8" s="78" customFormat="1">
      <c r="B98" s="36">
        <v>1</v>
      </c>
      <c r="C98" s="36">
        <v>2</v>
      </c>
      <c r="D98" s="36">
        <v>3</v>
      </c>
      <c r="E98" s="36">
        <v>4</v>
      </c>
      <c r="F98" s="36">
        <v>5</v>
      </c>
    </row>
    <row r="99" spans="1:8" ht="54">
      <c r="B99" s="95">
        <v>1</v>
      </c>
      <c r="C99" s="96" t="s">
        <v>549</v>
      </c>
      <c r="D99" s="95" t="s">
        <v>550</v>
      </c>
      <c r="E99" s="95" t="s">
        <v>550</v>
      </c>
      <c r="F99" s="97" t="s">
        <v>550</v>
      </c>
    </row>
    <row r="100" spans="1:8" ht="54">
      <c r="B100" s="36">
        <v>2</v>
      </c>
      <c r="C100" s="65" t="s">
        <v>433</v>
      </c>
      <c r="D100" s="82">
        <f>leadcharges!$G$942</f>
        <v>6.6</v>
      </c>
      <c r="E100" s="82">
        <f>leadcharges!$G$965</f>
        <v>4.8</v>
      </c>
      <c r="F100" s="98">
        <f>leadcharges!$G$989</f>
        <v>8.8000000000000007</v>
      </c>
    </row>
    <row r="101" spans="1:8" s="47" customFormat="1">
      <c r="A101" s="1160"/>
      <c r="B101" s="1161" t="s">
        <v>9758</v>
      </c>
      <c r="C101" s="1161"/>
      <c r="D101" s="1161"/>
      <c r="E101" s="1161"/>
      <c r="F101" s="1161"/>
      <c r="G101" s="1161"/>
      <c r="H101" s="1161"/>
    </row>
    <row r="102" spans="1:8" s="47" customFormat="1">
      <c r="A102" s="1160"/>
      <c r="B102" s="1161"/>
      <c r="C102" s="1161"/>
      <c r="D102" s="1161"/>
      <c r="E102" s="1161"/>
      <c r="F102" s="1161"/>
      <c r="G102" s="1161"/>
      <c r="H102" s="1161"/>
    </row>
    <row r="103" spans="1:8" s="76" customFormat="1" hidden="1"/>
    <row r="104" spans="1:8" s="76" customFormat="1" hidden="1"/>
    <row r="105" spans="1:8" s="76" customFormat="1" hidden="1"/>
    <row r="106" spans="1:8" s="76" customFormat="1" hidden="1"/>
    <row r="107" spans="1:8" s="76" customFormat="1" hidden="1"/>
    <row r="108" spans="1:8" s="76" customFormat="1" hidden="1">
      <c r="D108" s="85"/>
    </row>
    <row r="109" spans="1:8" s="76" customFormat="1" hidden="1">
      <c r="D109" s="85"/>
    </row>
    <row r="110" spans="1:8" s="76" customFormat="1" hidden="1">
      <c r="D110" s="85"/>
    </row>
    <row r="111" spans="1:8" s="76" customFormat="1" hidden="1">
      <c r="D111" s="85"/>
    </row>
    <row r="112" spans="1:8" s="76" customFormat="1" hidden="1"/>
    <row r="113" s="76" customFormat="1" hidden="1"/>
    <row r="114" s="76" customFormat="1" hidden="1"/>
    <row r="115" s="76" customFormat="1" hidden="1"/>
    <row r="116" s="76" customFormat="1" hidden="1"/>
    <row r="117" s="76" customFormat="1" hidden="1"/>
    <row r="118" s="76" customFormat="1" hidden="1"/>
    <row r="119" s="76" customFormat="1" hidden="1"/>
    <row r="120" s="76" customFormat="1" hidden="1"/>
    <row r="121" s="76" customFormat="1" hidden="1"/>
    <row r="122" s="76" customFormat="1" hidden="1"/>
    <row r="123" s="76" customFormat="1" hidden="1"/>
    <row r="124" s="76" customFormat="1" hidden="1"/>
    <row r="125" s="76" customFormat="1" hidden="1"/>
    <row r="126" s="76" customFormat="1" hidden="1"/>
    <row r="127" s="76" customFormat="1" hidden="1"/>
    <row r="128" s="76" customFormat="1" hidden="1"/>
    <row r="129" s="76" customFormat="1" hidden="1"/>
    <row r="130" s="76" customFormat="1" hidden="1"/>
    <row r="131" s="76" customFormat="1" hidden="1"/>
    <row r="132" s="76" customFormat="1" hidden="1"/>
    <row r="133" s="76" customFormat="1" hidden="1"/>
    <row r="134" s="76" customFormat="1" hidden="1"/>
    <row r="135" s="76" customFormat="1" hidden="1"/>
    <row r="136" s="76" customFormat="1" hidden="1"/>
    <row r="137" s="76" customFormat="1" hidden="1"/>
    <row r="138" s="76" customFormat="1" hidden="1"/>
    <row r="139" s="76" customFormat="1" hidden="1"/>
    <row r="140" s="76" customFormat="1" hidden="1"/>
    <row r="141" s="76" customFormat="1" hidden="1"/>
    <row r="142" s="76" customFormat="1" hidden="1"/>
    <row r="143" s="76" customFormat="1" hidden="1"/>
    <row r="144" s="76" customFormat="1" hidden="1"/>
    <row r="145" spans="2:7" s="76" customFormat="1" hidden="1"/>
    <row r="146" spans="2:7" s="76" customFormat="1" hidden="1"/>
    <row r="147" spans="2:7" s="76" customFormat="1" hidden="1">
      <c r="D147" s="85"/>
    </row>
    <row r="148" spans="2:7" s="76" customFormat="1" hidden="1"/>
    <row r="149" spans="2:7" s="76" customFormat="1" hidden="1"/>
    <row r="150" spans="2:7" s="76" customFormat="1" hidden="1">
      <c r="D150" s="85"/>
    </row>
    <row r="151" spans="2:7" s="76" customFormat="1" hidden="1">
      <c r="C151" s="86"/>
      <c r="F151" s="86"/>
      <c r="G151" s="86"/>
    </row>
    <row r="152" spans="2:7" s="76" customFormat="1" hidden="1">
      <c r="C152" s="85"/>
      <c r="D152" s="85"/>
    </row>
    <row r="153" spans="2:7" s="76" customFormat="1" hidden="1">
      <c r="B153" s="86"/>
      <c r="C153" s="86"/>
      <c r="D153" s="85"/>
    </row>
    <row r="154" spans="2:7" s="76" customFormat="1" hidden="1">
      <c r="C154" s="86"/>
      <c r="D154" s="99"/>
    </row>
    <row r="155" spans="2:7" s="76" customFormat="1" hidden="1"/>
    <row r="156" spans="2:7" s="76" customFormat="1" hidden="1"/>
    <row r="157" spans="2:7" s="76" customFormat="1" hidden="1"/>
    <row r="158" spans="2:7" s="76" customFormat="1" hidden="1">
      <c r="C158" s="85"/>
    </row>
    <row r="159" spans="2:7" s="76" customFormat="1" hidden="1">
      <c r="C159" s="86"/>
      <c r="D159" s="86"/>
    </row>
    <row r="160" spans="2:7" s="76" customFormat="1" hidden="1">
      <c r="C160" s="85"/>
      <c r="D160" s="85"/>
      <c r="E160" s="85"/>
    </row>
    <row r="161" spans="2:7" s="76" customFormat="1" hidden="1">
      <c r="B161" s="86"/>
      <c r="C161" s="86"/>
      <c r="D161" s="85"/>
      <c r="E161" s="86"/>
    </row>
    <row r="162" spans="2:7" s="76" customFormat="1" hidden="1">
      <c r="C162" s="86"/>
      <c r="F162" s="86"/>
      <c r="G162" s="86"/>
    </row>
    <row r="163" spans="2:7" s="76" customFormat="1" hidden="1">
      <c r="C163" s="85"/>
      <c r="D163" s="85"/>
    </row>
    <row r="164" spans="2:7" s="76" customFormat="1" hidden="1">
      <c r="B164" s="86"/>
      <c r="C164" s="86"/>
      <c r="D164" s="85"/>
    </row>
    <row r="165" spans="2:7" s="76" customFormat="1" hidden="1">
      <c r="C165" s="86"/>
      <c r="D165" s="99"/>
    </row>
    <row r="166" spans="2:7" s="76" customFormat="1" hidden="1"/>
    <row r="167" spans="2:7" s="76" customFormat="1" hidden="1"/>
    <row r="168" spans="2:7" s="76" customFormat="1" hidden="1"/>
    <row r="169" spans="2:7" s="76" customFormat="1" hidden="1"/>
    <row r="170" spans="2:7" s="76" customFormat="1" hidden="1"/>
    <row r="171" spans="2:7" s="76" customFormat="1" hidden="1"/>
    <row r="172" spans="2:7" s="76" customFormat="1" hidden="1"/>
    <row r="173" spans="2:7" s="76" customFormat="1" hidden="1"/>
    <row r="174" spans="2:7" s="76" customFormat="1" hidden="1"/>
    <row r="175" spans="2:7" s="76" customFormat="1" hidden="1"/>
    <row r="176" spans="2:7" s="76" customFormat="1" hidden="1"/>
    <row r="177" spans="3:7" s="76" customFormat="1" hidden="1"/>
    <row r="178" spans="3:7" s="76" customFormat="1" hidden="1"/>
    <row r="179" spans="3:7" s="76" customFormat="1" hidden="1">
      <c r="C179" s="85"/>
    </row>
    <row r="180" spans="3:7" s="76" customFormat="1" hidden="1"/>
    <row r="181" spans="3:7" s="76" customFormat="1" hidden="1"/>
    <row r="182" spans="3:7" s="76" customFormat="1" hidden="1"/>
    <row r="183" spans="3:7" s="76" customFormat="1" hidden="1">
      <c r="G183" s="86"/>
    </row>
    <row r="184" spans="3:7" s="76" customFormat="1" hidden="1">
      <c r="C184" s="85"/>
    </row>
    <row r="185" spans="3:7" s="76" customFormat="1" hidden="1">
      <c r="C185" s="86"/>
      <c r="D185" s="86"/>
    </row>
    <row r="186" spans="3:7" s="76" customFormat="1" hidden="1">
      <c r="C186" s="86"/>
      <c r="D186" s="100"/>
    </row>
    <row r="187" spans="3:7" s="76" customFormat="1" hidden="1">
      <c r="D187" s="85"/>
      <c r="E187" s="99"/>
    </row>
    <row r="188" spans="3:7" s="76" customFormat="1" hidden="1">
      <c r="D188" s="85"/>
      <c r="E188" s="99"/>
    </row>
    <row r="189" spans="3:7" s="76" customFormat="1" hidden="1">
      <c r="D189" s="85"/>
    </row>
    <row r="190" spans="3:7" s="76" customFormat="1" hidden="1">
      <c r="D190" s="85"/>
    </row>
    <row r="191" spans="3:7" s="76" customFormat="1" hidden="1"/>
    <row r="192" spans="3:7" s="76" customFormat="1" hidden="1"/>
    <row r="193" spans="3:7" s="76" customFormat="1" hidden="1"/>
    <row r="194" spans="3:7" s="76" customFormat="1" hidden="1">
      <c r="G194" s="86"/>
    </row>
    <row r="195" spans="3:7" s="76" customFormat="1" hidden="1">
      <c r="C195" s="85"/>
    </row>
    <row r="196" spans="3:7" s="76" customFormat="1" hidden="1">
      <c r="C196" s="86"/>
      <c r="D196" s="86"/>
    </row>
    <row r="197" spans="3:7" s="76" customFormat="1" hidden="1">
      <c r="C197" s="86"/>
      <c r="D197" s="100"/>
    </row>
    <row r="198" spans="3:7" s="76" customFormat="1" hidden="1">
      <c r="D198" s="85"/>
      <c r="E198" s="99"/>
    </row>
    <row r="199" spans="3:7" s="76" customFormat="1" hidden="1">
      <c r="D199" s="85"/>
      <c r="E199" s="99"/>
    </row>
    <row r="200" spans="3:7" s="76" customFormat="1" hidden="1">
      <c r="D200" s="85"/>
    </row>
    <row r="201" spans="3:7" s="76" customFormat="1" hidden="1">
      <c r="D201" s="85"/>
    </row>
    <row r="202" spans="3:7" s="76" customFormat="1" hidden="1"/>
    <row r="203" spans="3:7" s="76" customFormat="1" hidden="1"/>
    <row r="204" spans="3:7" s="76" customFormat="1" hidden="1"/>
    <row r="205" spans="3:7" s="76" customFormat="1" hidden="1"/>
    <row r="206" spans="3:7" s="76" customFormat="1" hidden="1"/>
    <row r="207" spans="3:7" s="76" customFormat="1" hidden="1"/>
    <row r="208" spans="3:7" s="76" customFormat="1" hidden="1"/>
    <row r="209" spans="3:7" s="76" customFormat="1" hidden="1"/>
    <row r="210" spans="3:7" s="76" customFormat="1" hidden="1"/>
    <row r="211" spans="3:7" s="76" customFormat="1" hidden="1"/>
    <row r="212" spans="3:7" s="76" customFormat="1" hidden="1"/>
    <row r="213" spans="3:7" s="76" customFormat="1" hidden="1"/>
    <row r="214" spans="3:7" s="76" customFormat="1" hidden="1"/>
    <row r="215" spans="3:7" s="76" customFormat="1" hidden="1"/>
    <row r="216" spans="3:7" s="76" customFormat="1" hidden="1"/>
    <row r="217" spans="3:7" s="76" customFormat="1" hidden="1">
      <c r="F217" s="86"/>
      <c r="G217" s="86"/>
    </row>
    <row r="218" spans="3:7" s="76" customFormat="1" hidden="1"/>
    <row r="219" spans="3:7" s="76" customFormat="1" hidden="1"/>
    <row r="220" spans="3:7" s="76" customFormat="1" hidden="1">
      <c r="C220" s="86"/>
      <c r="D220" s="100"/>
    </row>
    <row r="221" spans="3:7" s="76" customFormat="1" hidden="1"/>
    <row r="222" spans="3:7" s="76" customFormat="1" hidden="1"/>
    <row r="223" spans="3:7" s="76" customFormat="1" hidden="1"/>
    <row r="224" spans="3:7" s="76" customFormat="1" hidden="1"/>
    <row r="225" spans="3:8" s="76" customFormat="1" hidden="1"/>
    <row r="226" spans="3:8" s="76" customFormat="1" hidden="1"/>
    <row r="227" spans="3:8" s="76" customFormat="1" hidden="1"/>
    <row r="228" spans="3:8" s="76" customFormat="1" hidden="1">
      <c r="G228" s="86"/>
    </row>
    <row r="229" spans="3:8" s="76" customFormat="1" hidden="1"/>
    <row r="230" spans="3:8" s="76" customFormat="1" hidden="1"/>
    <row r="231" spans="3:8" s="76" customFormat="1" hidden="1">
      <c r="C231" s="86"/>
      <c r="D231" s="100"/>
    </row>
    <row r="232" spans="3:8" s="76" customFormat="1" hidden="1"/>
    <row r="233" spans="3:8" s="76" customFormat="1" hidden="1"/>
    <row r="234" spans="3:8" s="76" customFormat="1" hidden="1">
      <c r="H234" s="85"/>
    </row>
    <row r="235" spans="3:8" s="101" customFormat="1" hidden="1">
      <c r="H235" s="102"/>
    </row>
    <row r="236" spans="3:8" s="76" customFormat="1" hidden="1"/>
    <row r="237" spans="3:8" s="76" customFormat="1" hidden="1"/>
    <row r="238" spans="3:8" s="76" customFormat="1" hidden="1"/>
    <row r="239" spans="3:8" s="76" customFormat="1" hidden="1"/>
    <row r="240" spans="3:8" s="76" customFormat="1" hidden="1"/>
    <row r="241" spans="4:9" s="76" customFormat="1" hidden="1">
      <c r="F241" s="101"/>
      <c r="I241" s="101"/>
    </row>
    <row r="242" spans="4:9" s="76" customFormat="1" hidden="1">
      <c r="G242" s="86"/>
    </row>
    <row r="243" spans="4:9" s="76" customFormat="1" hidden="1">
      <c r="F243" s="85"/>
    </row>
    <row r="244" spans="4:9" s="76" customFormat="1" hidden="1">
      <c r="F244" s="85"/>
    </row>
    <row r="245" spans="4:9" s="76" customFormat="1" hidden="1">
      <c r="F245" s="85"/>
    </row>
    <row r="246" spans="4:9" s="76" customFormat="1" hidden="1"/>
    <row r="247" spans="4:9" s="76" customFormat="1" hidden="1">
      <c r="D247" s="99"/>
    </row>
    <row r="248" spans="4:9" s="76" customFormat="1" hidden="1"/>
    <row r="249" spans="4:9" s="76" customFormat="1" hidden="1"/>
    <row r="250" spans="4:9" s="76" customFormat="1" hidden="1"/>
    <row r="251" spans="4:9" s="76" customFormat="1" hidden="1">
      <c r="F251" s="101"/>
    </row>
    <row r="252" spans="4:9" s="76" customFormat="1" hidden="1">
      <c r="G252" s="86"/>
    </row>
    <row r="253" spans="4:9" s="76" customFormat="1" hidden="1">
      <c r="F253" s="85"/>
    </row>
    <row r="254" spans="4:9" s="76" customFormat="1" hidden="1">
      <c r="F254" s="85"/>
    </row>
    <row r="255" spans="4:9" s="76" customFormat="1" hidden="1">
      <c r="F255" s="85"/>
    </row>
    <row r="256" spans="4:9" s="76" customFormat="1" hidden="1"/>
    <row r="257" spans="4:7" s="76" customFormat="1" hidden="1">
      <c r="D257" s="99"/>
    </row>
    <row r="258" spans="4:7" s="76" customFormat="1" hidden="1"/>
    <row r="259" spans="4:7" s="76" customFormat="1" hidden="1"/>
    <row r="260" spans="4:7" s="76" customFormat="1" hidden="1"/>
    <row r="261" spans="4:7" s="76" customFormat="1" hidden="1"/>
    <row r="262" spans="4:7" s="76" customFormat="1" hidden="1">
      <c r="G262" s="86"/>
    </row>
    <row r="263" spans="4:7" s="76" customFormat="1" hidden="1">
      <c r="F263" s="85"/>
    </row>
    <row r="264" spans="4:7" s="76" customFormat="1" hidden="1">
      <c r="F264" s="85"/>
    </row>
    <row r="265" spans="4:7" s="76" customFormat="1" hidden="1">
      <c r="F265" s="85"/>
    </row>
    <row r="266" spans="4:7" s="76" customFormat="1" hidden="1"/>
    <row r="267" spans="4:7" s="76" customFormat="1" hidden="1">
      <c r="D267" s="99"/>
    </row>
    <row r="268" spans="4:7" s="76" customFormat="1" hidden="1"/>
    <row r="269" spans="4:7" s="76" customFormat="1" hidden="1"/>
    <row r="270" spans="4:7" s="76" customFormat="1" hidden="1"/>
    <row r="271" spans="4:7" s="76" customFormat="1" hidden="1"/>
    <row r="272" spans="4:7" s="76" customFormat="1" hidden="1">
      <c r="F272" s="86"/>
      <c r="G272" s="86"/>
    </row>
    <row r="273" spans="4:7" s="76" customFormat="1" hidden="1">
      <c r="F273" s="85"/>
    </row>
    <row r="274" spans="4:7" s="76" customFormat="1" hidden="1">
      <c r="F274" s="85"/>
    </row>
    <row r="275" spans="4:7" s="76" customFormat="1" hidden="1">
      <c r="F275" s="85"/>
    </row>
    <row r="276" spans="4:7" s="76" customFormat="1" hidden="1"/>
    <row r="277" spans="4:7" s="76" customFormat="1" hidden="1">
      <c r="D277" s="99"/>
    </row>
    <row r="278" spans="4:7" s="76" customFormat="1" hidden="1"/>
    <row r="279" spans="4:7" s="76" customFormat="1" hidden="1"/>
    <row r="280" spans="4:7" s="76" customFormat="1" hidden="1"/>
    <row r="281" spans="4:7" s="76" customFormat="1" hidden="1"/>
    <row r="282" spans="4:7" s="76" customFormat="1" hidden="1">
      <c r="F282" s="86"/>
      <c r="G282" s="86"/>
    </row>
    <row r="283" spans="4:7" s="76" customFormat="1" hidden="1">
      <c r="F283" s="85"/>
    </row>
    <row r="284" spans="4:7" s="76" customFormat="1" hidden="1">
      <c r="F284" s="85"/>
    </row>
    <row r="285" spans="4:7" s="76" customFormat="1" hidden="1">
      <c r="F285" s="85"/>
    </row>
    <row r="286" spans="4:7" s="76" customFormat="1" hidden="1"/>
    <row r="287" spans="4:7" s="76" customFormat="1" hidden="1">
      <c r="D287" s="99"/>
    </row>
    <row r="288" spans="4:7" s="76" customFormat="1" hidden="1"/>
    <row r="289" spans="4:7" s="76" customFormat="1" hidden="1"/>
    <row r="290" spans="4:7" s="76" customFormat="1" hidden="1"/>
    <row r="291" spans="4:7" s="76" customFormat="1" hidden="1"/>
    <row r="292" spans="4:7" s="76" customFormat="1" hidden="1">
      <c r="F292" s="86"/>
      <c r="G292" s="86"/>
    </row>
    <row r="293" spans="4:7" s="76" customFormat="1" hidden="1">
      <c r="F293" s="85"/>
    </row>
    <row r="294" spans="4:7" s="76" customFormat="1" hidden="1">
      <c r="F294" s="85"/>
    </row>
    <row r="295" spans="4:7" s="76" customFormat="1" hidden="1">
      <c r="F295" s="85"/>
    </row>
    <row r="296" spans="4:7" s="76" customFormat="1" hidden="1"/>
    <row r="297" spans="4:7" s="76" customFormat="1" hidden="1">
      <c r="D297" s="99"/>
    </row>
    <row r="298" spans="4:7" s="76" customFormat="1" hidden="1"/>
    <row r="299" spans="4:7" s="76" customFormat="1" hidden="1"/>
    <row r="300" spans="4:7" s="76" customFormat="1" hidden="1"/>
    <row r="301" spans="4:7" s="76" customFormat="1" hidden="1"/>
    <row r="302" spans="4:7" s="76" customFormat="1" hidden="1">
      <c r="F302" s="86"/>
      <c r="G302" s="86"/>
    </row>
    <row r="303" spans="4:7" s="76" customFormat="1" hidden="1">
      <c r="F303" s="85"/>
    </row>
    <row r="304" spans="4:7" s="76" customFormat="1" hidden="1">
      <c r="F304" s="85"/>
    </row>
    <row r="305" spans="4:7" s="76" customFormat="1" hidden="1">
      <c r="F305" s="85"/>
    </row>
    <row r="306" spans="4:7" s="76" customFormat="1" hidden="1"/>
    <row r="307" spans="4:7" s="76" customFormat="1" hidden="1">
      <c r="D307" s="99"/>
    </row>
    <row r="308" spans="4:7" s="76" customFormat="1" hidden="1"/>
    <row r="309" spans="4:7" s="76" customFormat="1" hidden="1"/>
    <row r="310" spans="4:7" s="76" customFormat="1" hidden="1"/>
    <row r="311" spans="4:7" s="76" customFormat="1" hidden="1"/>
    <row r="312" spans="4:7" s="76" customFormat="1" hidden="1"/>
    <row r="313" spans="4:7" s="76" customFormat="1" hidden="1">
      <c r="F313" s="101"/>
    </row>
    <row r="314" spans="4:7" s="76" customFormat="1" hidden="1">
      <c r="F314" s="86"/>
      <c r="G314" s="86"/>
    </row>
    <row r="315" spans="4:7" s="76" customFormat="1" hidden="1">
      <c r="F315" s="85"/>
    </row>
    <row r="316" spans="4:7" s="76" customFormat="1" hidden="1">
      <c r="F316" s="85"/>
    </row>
    <row r="317" spans="4:7" s="76" customFormat="1" hidden="1">
      <c r="F317" s="85"/>
    </row>
    <row r="318" spans="4:7" s="76" customFormat="1" hidden="1"/>
    <row r="319" spans="4:7" s="76" customFormat="1" hidden="1">
      <c r="D319" s="99"/>
    </row>
    <row r="320" spans="4:7" s="76" customFormat="1" hidden="1"/>
    <row r="321" spans="4:7" s="76" customFormat="1" hidden="1"/>
    <row r="322" spans="4:7" s="76" customFormat="1" hidden="1"/>
    <row r="323" spans="4:7" s="76" customFormat="1" hidden="1"/>
    <row r="324" spans="4:7" s="76" customFormat="1" hidden="1">
      <c r="F324" s="86"/>
      <c r="G324" s="86"/>
    </row>
    <row r="325" spans="4:7" s="76" customFormat="1" hidden="1">
      <c r="F325" s="85"/>
    </row>
    <row r="326" spans="4:7" s="76" customFormat="1" hidden="1">
      <c r="F326" s="85"/>
    </row>
    <row r="327" spans="4:7" s="76" customFormat="1" hidden="1">
      <c r="F327" s="85"/>
    </row>
    <row r="328" spans="4:7" s="76" customFormat="1" hidden="1"/>
    <row r="329" spans="4:7" s="76" customFormat="1" hidden="1">
      <c r="D329" s="99"/>
    </row>
    <row r="330" spans="4:7" s="76" customFormat="1" hidden="1"/>
    <row r="331" spans="4:7" s="76" customFormat="1" hidden="1"/>
    <row r="332" spans="4:7" s="76" customFormat="1" hidden="1"/>
    <row r="333" spans="4:7" s="76" customFormat="1" hidden="1"/>
    <row r="334" spans="4:7" s="76" customFormat="1" hidden="1">
      <c r="F334" s="86"/>
      <c r="G334" s="86"/>
    </row>
    <row r="335" spans="4:7" s="76" customFormat="1" hidden="1">
      <c r="F335" s="85"/>
    </row>
    <row r="336" spans="4:7" s="76" customFormat="1" hidden="1">
      <c r="F336" s="85"/>
    </row>
    <row r="337" spans="4:7" s="76" customFormat="1" hidden="1">
      <c r="F337" s="85"/>
    </row>
    <row r="338" spans="4:7" s="76" customFormat="1" hidden="1"/>
    <row r="339" spans="4:7" s="76" customFormat="1" hidden="1">
      <c r="D339" s="99"/>
    </row>
    <row r="340" spans="4:7" s="76" customFormat="1" hidden="1"/>
    <row r="341" spans="4:7" s="76" customFormat="1" hidden="1"/>
    <row r="342" spans="4:7" s="76" customFormat="1" hidden="1"/>
    <row r="343" spans="4:7" s="76" customFormat="1" hidden="1"/>
    <row r="344" spans="4:7" s="76" customFormat="1" hidden="1">
      <c r="F344" s="86"/>
      <c r="G344" s="86"/>
    </row>
    <row r="345" spans="4:7" s="76" customFormat="1" hidden="1">
      <c r="F345" s="85"/>
    </row>
    <row r="346" spans="4:7" s="76" customFormat="1" hidden="1">
      <c r="F346" s="85"/>
    </row>
    <row r="347" spans="4:7" s="76" customFormat="1" hidden="1">
      <c r="F347" s="85"/>
    </row>
    <row r="348" spans="4:7" s="76" customFormat="1" hidden="1"/>
    <row r="349" spans="4:7" s="76" customFormat="1" hidden="1">
      <c r="D349" s="99"/>
    </row>
    <row r="350" spans="4:7" s="76" customFormat="1" hidden="1"/>
    <row r="351" spans="4:7" s="76" customFormat="1" hidden="1"/>
    <row r="352" spans="4:7" s="76" customFormat="1" hidden="1"/>
    <row r="353" spans="4:7" s="76" customFormat="1" hidden="1"/>
    <row r="354" spans="4:7" s="76" customFormat="1" hidden="1">
      <c r="F354" s="86"/>
      <c r="G354" s="86"/>
    </row>
    <row r="355" spans="4:7" s="76" customFormat="1" hidden="1">
      <c r="F355" s="85"/>
    </row>
    <row r="356" spans="4:7" s="76" customFormat="1" hidden="1">
      <c r="F356" s="85"/>
    </row>
    <row r="357" spans="4:7" s="76" customFormat="1" hidden="1">
      <c r="F357" s="85"/>
    </row>
    <row r="358" spans="4:7" s="76" customFormat="1" hidden="1">
      <c r="F358" s="85"/>
    </row>
    <row r="359" spans="4:7" s="76" customFormat="1" hidden="1">
      <c r="D359" s="99"/>
    </row>
    <row r="360" spans="4:7" s="76" customFormat="1" hidden="1"/>
    <row r="361" spans="4:7" s="76" customFormat="1" hidden="1"/>
    <row r="362" spans="4:7" s="76" customFormat="1" hidden="1"/>
    <row r="363" spans="4:7" s="76" customFormat="1" hidden="1"/>
    <row r="364" spans="4:7" s="76" customFormat="1" hidden="1">
      <c r="F364" s="86"/>
      <c r="G364" s="86"/>
    </row>
    <row r="365" spans="4:7" s="76" customFormat="1" hidden="1">
      <c r="F365" s="85"/>
    </row>
    <row r="366" spans="4:7" s="76" customFormat="1" hidden="1">
      <c r="F366" s="85"/>
    </row>
    <row r="367" spans="4:7" s="76" customFormat="1" hidden="1">
      <c r="F367" s="85"/>
    </row>
    <row r="368" spans="4:7" s="76" customFormat="1" hidden="1"/>
    <row r="369" spans="4:7" s="76" customFormat="1" hidden="1">
      <c r="D369" s="99"/>
    </row>
    <row r="370" spans="4:7" s="76" customFormat="1" hidden="1"/>
    <row r="371" spans="4:7" s="76" customFormat="1" hidden="1"/>
    <row r="372" spans="4:7" s="76" customFormat="1" hidden="1"/>
    <row r="373" spans="4:7" s="76" customFormat="1" hidden="1"/>
    <row r="374" spans="4:7" s="76" customFormat="1" hidden="1">
      <c r="F374" s="86"/>
      <c r="G374" s="86"/>
    </row>
    <row r="375" spans="4:7" s="76" customFormat="1" hidden="1">
      <c r="F375" s="85"/>
    </row>
    <row r="376" spans="4:7" s="76" customFormat="1" hidden="1">
      <c r="F376" s="85"/>
    </row>
    <row r="377" spans="4:7" s="76" customFormat="1" hidden="1">
      <c r="F377" s="85"/>
    </row>
    <row r="378" spans="4:7" s="76" customFormat="1" hidden="1"/>
    <row r="379" spans="4:7" s="76" customFormat="1" hidden="1">
      <c r="D379" s="99"/>
    </row>
    <row r="380" spans="4:7" s="76" customFormat="1" hidden="1"/>
    <row r="381" spans="4:7" s="76" customFormat="1" hidden="1"/>
    <row r="382" spans="4:7" s="76" customFormat="1" hidden="1"/>
    <row r="383" spans="4:7" s="76" customFormat="1" hidden="1"/>
    <row r="384" spans="4:7" s="76" customFormat="1" hidden="1"/>
    <row r="385" spans="4:7" s="76" customFormat="1" hidden="1">
      <c r="F385" s="101"/>
    </row>
    <row r="386" spans="4:7" s="76" customFormat="1" hidden="1">
      <c r="F386" s="86"/>
      <c r="G386" s="86"/>
    </row>
    <row r="387" spans="4:7" s="76" customFormat="1" hidden="1">
      <c r="F387" s="85"/>
    </row>
    <row r="388" spans="4:7" s="76" customFormat="1" hidden="1">
      <c r="F388" s="85"/>
    </row>
    <row r="389" spans="4:7" s="76" customFormat="1" hidden="1">
      <c r="F389" s="85"/>
    </row>
    <row r="390" spans="4:7" s="76" customFormat="1" hidden="1"/>
    <row r="391" spans="4:7" s="76" customFormat="1" hidden="1">
      <c r="D391" s="99"/>
    </row>
    <row r="392" spans="4:7" s="76" customFormat="1" hidden="1"/>
    <row r="393" spans="4:7" s="76" customFormat="1" hidden="1"/>
    <row r="394" spans="4:7" s="76" customFormat="1" hidden="1"/>
    <row r="395" spans="4:7" s="76" customFormat="1" hidden="1">
      <c r="F395" s="101"/>
      <c r="G395" s="101"/>
    </row>
    <row r="396" spans="4:7" s="76" customFormat="1" hidden="1">
      <c r="F396" s="86"/>
      <c r="G396" s="86"/>
    </row>
    <row r="397" spans="4:7" s="76" customFormat="1" hidden="1">
      <c r="F397" s="85"/>
    </row>
    <row r="398" spans="4:7" s="76" customFormat="1" hidden="1">
      <c r="F398" s="85"/>
    </row>
    <row r="399" spans="4:7" s="76" customFormat="1" hidden="1">
      <c r="F399" s="85"/>
    </row>
    <row r="400" spans="4:7" s="76" customFormat="1" hidden="1"/>
    <row r="401" spans="4:7" s="76" customFormat="1" hidden="1">
      <c r="D401" s="99"/>
    </row>
    <row r="402" spans="4:7" s="76" customFormat="1" hidden="1"/>
    <row r="403" spans="4:7" s="76" customFormat="1" hidden="1"/>
    <row r="404" spans="4:7" s="76" customFormat="1" hidden="1"/>
    <row r="405" spans="4:7" s="76" customFormat="1" hidden="1">
      <c r="F405" s="101"/>
      <c r="G405" s="101"/>
    </row>
    <row r="406" spans="4:7" s="76" customFormat="1" hidden="1">
      <c r="F406" s="86"/>
      <c r="G406" s="86"/>
    </row>
    <row r="407" spans="4:7" s="76" customFormat="1" hidden="1">
      <c r="F407" s="85"/>
    </row>
    <row r="408" spans="4:7" s="76" customFormat="1" hidden="1">
      <c r="F408" s="85"/>
    </row>
    <row r="409" spans="4:7" s="76" customFormat="1" hidden="1">
      <c r="F409" s="85"/>
    </row>
    <row r="410" spans="4:7" s="76" customFormat="1" hidden="1"/>
    <row r="411" spans="4:7" s="76" customFormat="1" hidden="1">
      <c r="D411" s="99"/>
    </row>
    <row r="412" spans="4:7" s="76" customFormat="1" hidden="1"/>
    <row r="413" spans="4:7" s="76" customFormat="1" hidden="1"/>
    <row r="414" spans="4:7" s="76" customFormat="1" hidden="1"/>
    <row r="415" spans="4:7" s="76" customFormat="1" hidden="1">
      <c r="F415" s="101"/>
      <c r="G415" s="101"/>
    </row>
    <row r="416" spans="4:7" s="76" customFormat="1" hidden="1">
      <c r="F416" s="86"/>
      <c r="G416" s="86"/>
    </row>
    <row r="417" spans="4:7" s="76" customFormat="1" hidden="1">
      <c r="F417" s="85"/>
    </row>
    <row r="418" spans="4:7" s="76" customFormat="1" hidden="1">
      <c r="F418" s="85"/>
    </row>
    <row r="419" spans="4:7" s="76" customFormat="1" hidden="1">
      <c r="F419" s="85"/>
    </row>
    <row r="420" spans="4:7" s="76" customFormat="1" hidden="1"/>
    <row r="421" spans="4:7" s="76" customFormat="1" hidden="1">
      <c r="D421" s="99"/>
    </row>
    <row r="422" spans="4:7" s="76" customFormat="1" hidden="1"/>
    <row r="423" spans="4:7" s="76" customFormat="1" hidden="1"/>
    <row r="424" spans="4:7" s="76" customFormat="1" hidden="1"/>
    <row r="425" spans="4:7" s="76" customFormat="1" hidden="1">
      <c r="F425" s="101"/>
      <c r="G425" s="101"/>
    </row>
    <row r="426" spans="4:7" s="76" customFormat="1" hidden="1">
      <c r="F426" s="86"/>
      <c r="G426" s="86"/>
    </row>
    <row r="427" spans="4:7" s="76" customFormat="1" hidden="1">
      <c r="F427" s="85"/>
    </row>
    <row r="428" spans="4:7" s="76" customFormat="1" hidden="1">
      <c r="F428" s="85"/>
    </row>
    <row r="429" spans="4:7" s="76" customFormat="1" hidden="1">
      <c r="F429" s="85"/>
    </row>
    <row r="430" spans="4:7" s="76" customFormat="1" hidden="1"/>
    <row r="431" spans="4:7" s="76" customFormat="1" hidden="1">
      <c r="D431" s="99"/>
    </row>
    <row r="432" spans="4:7" s="76" customFormat="1" hidden="1"/>
    <row r="433" spans="4:7" s="76" customFormat="1" hidden="1"/>
    <row r="434" spans="4:7" s="76" customFormat="1" hidden="1"/>
    <row r="435" spans="4:7" s="76" customFormat="1" hidden="1">
      <c r="F435" s="101"/>
      <c r="G435" s="101"/>
    </row>
    <row r="436" spans="4:7" s="76" customFormat="1" hidden="1">
      <c r="F436" s="86"/>
      <c r="G436" s="86"/>
    </row>
    <row r="437" spans="4:7" s="76" customFormat="1" hidden="1">
      <c r="F437" s="85"/>
    </row>
    <row r="438" spans="4:7" s="76" customFormat="1" hidden="1">
      <c r="F438" s="85"/>
    </row>
    <row r="439" spans="4:7" s="76" customFormat="1" hidden="1">
      <c r="F439" s="85"/>
    </row>
    <row r="440" spans="4:7" s="76" customFormat="1" hidden="1"/>
    <row r="441" spans="4:7" s="76" customFormat="1" hidden="1">
      <c r="D441" s="99"/>
    </row>
    <row r="442" spans="4:7" s="76" customFormat="1" hidden="1"/>
    <row r="443" spans="4:7" s="76" customFormat="1" hidden="1"/>
    <row r="444" spans="4:7" s="76" customFormat="1" hidden="1"/>
    <row r="445" spans="4:7" s="76" customFormat="1" hidden="1">
      <c r="F445" s="101"/>
      <c r="G445" s="101"/>
    </row>
    <row r="446" spans="4:7" s="76" customFormat="1" hidden="1">
      <c r="F446" s="86"/>
      <c r="G446" s="86"/>
    </row>
    <row r="447" spans="4:7" s="76" customFormat="1" hidden="1">
      <c r="F447" s="85"/>
    </row>
    <row r="448" spans="4:7" s="76" customFormat="1" hidden="1">
      <c r="F448" s="85"/>
    </row>
    <row r="449" spans="4:7" s="76" customFormat="1" hidden="1">
      <c r="F449" s="85"/>
    </row>
    <row r="450" spans="4:7" s="76" customFormat="1" hidden="1"/>
    <row r="451" spans="4:7" s="76" customFormat="1" hidden="1">
      <c r="D451" s="99"/>
    </row>
    <row r="452" spans="4:7" s="76" customFormat="1" hidden="1"/>
    <row r="453" spans="4:7" s="76" customFormat="1" hidden="1"/>
    <row r="454" spans="4:7" s="76" customFormat="1" hidden="1"/>
    <row r="455" spans="4:7" s="76" customFormat="1" hidden="1"/>
    <row r="456" spans="4:7" s="76" customFormat="1" hidden="1"/>
    <row r="457" spans="4:7" s="76" customFormat="1" hidden="1">
      <c r="F457" s="101"/>
    </row>
    <row r="458" spans="4:7" s="76" customFormat="1" hidden="1">
      <c r="F458" s="86"/>
      <c r="G458" s="86"/>
    </row>
    <row r="459" spans="4:7" s="76" customFormat="1" hidden="1">
      <c r="F459" s="85"/>
    </row>
    <row r="460" spans="4:7" s="76" customFormat="1" hidden="1">
      <c r="F460" s="85"/>
    </row>
    <row r="461" spans="4:7" s="76" customFormat="1" hidden="1">
      <c r="F461" s="85"/>
    </row>
    <row r="462" spans="4:7" s="76" customFormat="1" hidden="1"/>
    <row r="463" spans="4:7" s="76" customFormat="1" hidden="1">
      <c r="D463" s="99"/>
    </row>
    <row r="464" spans="4:7" s="76" customFormat="1" hidden="1">
      <c r="D464" s="101"/>
    </row>
    <row r="465" spans="4:7" s="76" customFormat="1" hidden="1"/>
    <row r="466" spans="4:7" s="76" customFormat="1" hidden="1"/>
    <row r="467" spans="4:7" s="76" customFormat="1" hidden="1">
      <c r="F467" s="101"/>
    </row>
    <row r="468" spans="4:7" s="76" customFormat="1" hidden="1">
      <c r="F468" s="86"/>
      <c r="G468" s="86"/>
    </row>
    <row r="469" spans="4:7" s="76" customFormat="1" hidden="1">
      <c r="F469" s="85"/>
    </row>
    <row r="470" spans="4:7" s="76" customFormat="1" hidden="1">
      <c r="F470" s="85"/>
    </row>
    <row r="471" spans="4:7" s="76" customFormat="1" hidden="1">
      <c r="F471" s="85"/>
    </row>
    <row r="472" spans="4:7" s="76" customFormat="1" hidden="1"/>
    <row r="473" spans="4:7" s="76" customFormat="1" hidden="1">
      <c r="D473" s="99"/>
    </row>
    <row r="474" spans="4:7" s="76" customFormat="1" hidden="1">
      <c r="D474" s="101"/>
    </row>
    <row r="475" spans="4:7" s="76" customFormat="1" hidden="1"/>
    <row r="476" spans="4:7" s="76" customFormat="1" hidden="1"/>
    <row r="477" spans="4:7" s="76" customFormat="1" hidden="1">
      <c r="F477" s="101"/>
    </row>
    <row r="478" spans="4:7" s="76" customFormat="1" hidden="1">
      <c r="F478" s="86"/>
      <c r="G478" s="86"/>
    </row>
    <row r="479" spans="4:7" s="76" customFormat="1" hidden="1">
      <c r="F479" s="85"/>
    </row>
    <row r="480" spans="4:7" s="76" customFormat="1" hidden="1">
      <c r="F480" s="85"/>
    </row>
    <row r="481" spans="4:7" s="76" customFormat="1" hidden="1">
      <c r="F481" s="85"/>
    </row>
    <row r="482" spans="4:7" s="76" customFormat="1" hidden="1"/>
    <row r="483" spans="4:7" s="76" customFormat="1" hidden="1">
      <c r="D483" s="99"/>
    </row>
    <row r="484" spans="4:7" s="76" customFormat="1" hidden="1">
      <c r="D484" s="101"/>
    </row>
    <row r="485" spans="4:7" s="76" customFormat="1" hidden="1"/>
    <row r="486" spans="4:7" s="76" customFormat="1" hidden="1"/>
    <row r="487" spans="4:7" s="76" customFormat="1" hidden="1">
      <c r="F487" s="101"/>
    </row>
    <row r="488" spans="4:7" s="76" customFormat="1" hidden="1">
      <c r="F488" s="86"/>
      <c r="G488" s="86"/>
    </row>
    <row r="489" spans="4:7" s="76" customFormat="1" hidden="1">
      <c r="F489" s="85"/>
    </row>
    <row r="490" spans="4:7" s="76" customFormat="1" hidden="1">
      <c r="F490" s="85"/>
    </row>
    <row r="491" spans="4:7" s="76" customFormat="1" hidden="1">
      <c r="F491" s="85"/>
    </row>
    <row r="492" spans="4:7" s="76" customFormat="1" hidden="1"/>
    <row r="493" spans="4:7" s="76" customFormat="1" hidden="1">
      <c r="D493" s="99"/>
    </row>
    <row r="494" spans="4:7" s="76" customFormat="1" hidden="1">
      <c r="D494" s="101"/>
    </row>
    <row r="495" spans="4:7" s="76" customFormat="1" hidden="1"/>
    <row r="496" spans="4:7" s="76" customFormat="1" hidden="1"/>
    <row r="497" spans="4:7" s="76" customFormat="1" hidden="1">
      <c r="F497" s="101"/>
    </row>
    <row r="498" spans="4:7" s="76" customFormat="1" hidden="1">
      <c r="F498" s="86"/>
      <c r="G498" s="86"/>
    </row>
    <row r="499" spans="4:7" s="76" customFormat="1" hidden="1">
      <c r="F499" s="85"/>
    </row>
    <row r="500" spans="4:7" s="76" customFormat="1" hidden="1">
      <c r="F500" s="85"/>
    </row>
    <row r="501" spans="4:7" s="76" customFormat="1" hidden="1">
      <c r="F501" s="85"/>
    </row>
    <row r="502" spans="4:7" s="76" customFormat="1" hidden="1"/>
    <row r="503" spans="4:7" s="76" customFormat="1" hidden="1">
      <c r="D503" s="99"/>
    </row>
    <row r="504" spans="4:7" s="76" customFormat="1" hidden="1">
      <c r="D504" s="101"/>
    </row>
    <row r="505" spans="4:7" s="76" customFormat="1" hidden="1"/>
    <row r="506" spans="4:7" s="76" customFormat="1" hidden="1"/>
    <row r="507" spans="4:7" s="76" customFormat="1" hidden="1">
      <c r="F507" s="101"/>
    </row>
    <row r="508" spans="4:7" s="76" customFormat="1" hidden="1">
      <c r="F508" s="86"/>
      <c r="G508" s="86"/>
    </row>
    <row r="509" spans="4:7" s="76" customFormat="1" hidden="1">
      <c r="F509" s="85"/>
    </row>
    <row r="510" spans="4:7" s="76" customFormat="1" hidden="1">
      <c r="F510" s="85"/>
    </row>
    <row r="511" spans="4:7" s="76" customFormat="1" hidden="1">
      <c r="F511" s="85"/>
    </row>
    <row r="512" spans="4:7" s="76" customFormat="1" hidden="1"/>
    <row r="513" spans="4:7" s="76" customFormat="1" hidden="1">
      <c r="D513" s="99"/>
    </row>
    <row r="514" spans="4:7" s="76" customFormat="1" hidden="1">
      <c r="D514" s="101"/>
    </row>
    <row r="515" spans="4:7" s="76" customFormat="1" hidden="1"/>
    <row r="516" spans="4:7" s="76" customFormat="1" hidden="1"/>
    <row r="517" spans="4:7" s="76" customFormat="1" hidden="1">
      <c r="F517" s="101"/>
    </row>
    <row r="518" spans="4:7" s="76" customFormat="1" hidden="1">
      <c r="F518" s="86"/>
      <c r="G518" s="86"/>
    </row>
    <row r="519" spans="4:7" s="76" customFormat="1" hidden="1">
      <c r="F519" s="85"/>
    </row>
    <row r="520" spans="4:7" s="76" customFormat="1" hidden="1">
      <c r="F520" s="85"/>
    </row>
    <row r="521" spans="4:7" s="76" customFormat="1" hidden="1">
      <c r="F521" s="85"/>
    </row>
    <row r="522" spans="4:7" s="76" customFormat="1" hidden="1"/>
    <row r="523" spans="4:7" s="76" customFormat="1" hidden="1">
      <c r="D523" s="99"/>
    </row>
    <row r="524" spans="4:7" s="76" customFormat="1" hidden="1">
      <c r="D524" s="101"/>
    </row>
    <row r="525" spans="4:7" s="76" customFormat="1" hidden="1"/>
    <row r="526" spans="4:7" s="76" customFormat="1" hidden="1"/>
    <row r="527" spans="4:7" s="76" customFormat="1" hidden="1"/>
    <row r="528" spans="4:7" s="76" customFormat="1" hidden="1"/>
    <row r="529" spans="4:7" s="76" customFormat="1" hidden="1">
      <c r="F529" s="101"/>
    </row>
    <row r="530" spans="4:7" s="76" customFormat="1" hidden="1">
      <c r="F530" s="86"/>
      <c r="G530" s="86"/>
    </row>
    <row r="531" spans="4:7" s="76" customFormat="1" hidden="1"/>
    <row r="532" spans="4:7" s="76" customFormat="1" hidden="1"/>
    <row r="533" spans="4:7" s="76" customFormat="1" hidden="1"/>
    <row r="534" spans="4:7" s="76" customFormat="1" hidden="1"/>
    <row r="535" spans="4:7" s="76" customFormat="1" hidden="1">
      <c r="D535" s="99"/>
    </row>
    <row r="536" spans="4:7" s="76" customFormat="1" hidden="1">
      <c r="D536" s="101"/>
    </row>
    <row r="537" spans="4:7" s="76" customFormat="1" hidden="1"/>
    <row r="538" spans="4:7" s="76" customFormat="1" hidden="1"/>
    <row r="539" spans="4:7" s="76" customFormat="1" hidden="1">
      <c r="F539" s="101"/>
    </row>
    <row r="540" spans="4:7" s="76" customFormat="1" hidden="1">
      <c r="F540" s="86"/>
      <c r="G540" s="86"/>
    </row>
    <row r="541" spans="4:7" s="76" customFormat="1" hidden="1"/>
    <row r="542" spans="4:7" s="76" customFormat="1" hidden="1"/>
    <row r="543" spans="4:7" s="76" customFormat="1" hidden="1"/>
    <row r="544" spans="4:7" s="76" customFormat="1" hidden="1"/>
    <row r="545" spans="4:7" s="76" customFormat="1" hidden="1">
      <c r="D545" s="99"/>
    </row>
    <row r="546" spans="4:7" s="76" customFormat="1" hidden="1">
      <c r="D546" s="101"/>
    </row>
    <row r="547" spans="4:7" s="76" customFormat="1" hidden="1"/>
    <row r="548" spans="4:7" s="76" customFormat="1" hidden="1"/>
    <row r="549" spans="4:7" s="76" customFormat="1" hidden="1">
      <c r="F549" s="101"/>
    </row>
    <row r="550" spans="4:7" s="76" customFormat="1" hidden="1">
      <c r="F550" s="86"/>
      <c r="G550" s="86"/>
    </row>
    <row r="551" spans="4:7" s="76" customFormat="1" hidden="1"/>
    <row r="552" spans="4:7" s="76" customFormat="1" hidden="1"/>
    <row r="553" spans="4:7" s="76" customFormat="1" hidden="1"/>
    <row r="554" spans="4:7" s="76" customFormat="1" hidden="1"/>
    <row r="555" spans="4:7" s="76" customFormat="1" hidden="1">
      <c r="D555" s="99"/>
    </row>
    <row r="556" spans="4:7" s="76" customFormat="1" hidden="1">
      <c r="D556" s="101"/>
    </row>
    <row r="557" spans="4:7" s="76" customFormat="1" hidden="1"/>
    <row r="558" spans="4:7" s="76" customFormat="1" hidden="1"/>
    <row r="559" spans="4:7" s="76" customFormat="1" hidden="1">
      <c r="F559" s="101"/>
    </row>
    <row r="560" spans="4:7" s="76" customFormat="1" hidden="1">
      <c r="F560" s="86"/>
      <c r="G560" s="86"/>
    </row>
    <row r="561" spans="4:7" s="76" customFormat="1" hidden="1"/>
    <row r="562" spans="4:7" s="76" customFormat="1" hidden="1"/>
    <row r="563" spans="4:7" s="76" customFormat="1" hidden="1"/>
    <row r="564" spans="4:7" s="76" customFormat="1" hidden="1"/>
    <row r="565" spans="4:7" s="76" customFormat="1" hidden="1">
      <c r="D565" s="99"/>
    </row>
    <row r="566" spans="4:7" s="76" customFormat="1" hidden="1">
      <c r="D566" s="101"/>
    </row>
    <row r="567" spans="4:7" s="76" customFormat="1" hidden="1"/>
    <row r="568" spans="4:7" s="76" customFormat="1" hidden="1"/>
    <row r="569" spans="4:7" s="76" customFormat="1" hidden="1">
      <c r="F569" s="101"/>
    </row>
    <row r="570" spans="4:7" s="76" customFormat="1" hidden="1">
      <c r="F570" s="86"/>
      <c r="G570" s="86"/>
    </row>
    <row r="571" spans="4:7" s="76" customFormat="1" hidden="1"/>
    <row r="572" spans="4:7" s="76" customFormat="1" hidden="1"/>
    <row r="573" spans="4:7" s="76" customFormat="1" hidden="1"/>
    <row r="574" spans="4:7" s="76" customFormat="1" hidden="1"/>
    <row r="575" spans="4:7" s="76" customFormat="1" hidden="1">
      <c r="D575" s="99"/>
    </row>
    <row r="576" spans="4:7" s="76" customFormat="1" hidden="1">
      <c r="D576" s="101"/>
    </row>
    <row r="577" spans="4:7" s="76" customFormat="1" hidden="1"/>
    <row r="578" spans="4:7" s="76" customFormat="1" hidden="1"/>
    <row r="579" spans="4:7" s="76" customFormat="1" hidden="1">
      <c r="F579" s="101"/>
    </row>
    <row r="580" spans="4:7" s="76" customFormat="1" hidden="1">
      <c r="F580" s="86"/>
      <c r="G580" s="86"/>
    </row>
    <row r="581" spans="4:7" s="76" customFormat="1" hidden="1"/>
    <row r="582" spans="4:7" s="76" customFormat="1" hidden="1"/>
    <row r="583" spans="4:7" s="76" customFormat="1" hidden="1"/>
    <row r="584" spans="4:7" s="76" customFormat="1" hidden="1"/>
    <row r="585" spans="4:7" s="76" customFormat="1" hidden="1">
      <c r="D585" s="99"/>
    </row>
    <row r="586" spans="4:7" s="76" customFormat="1" hidden="1">
      <c r="D586" s="101"/>
    </row>
    <row r="587" spans="4:7" s="76" customFormat="1" hidden="1"/>
    <row r="588" spans="4:7" s="76" customFormat="1" hidden="1"/>
    <row r="589" spans="4:7" s="76" customFormat="1" hidden="1">
      <c r="F589" s="101"/>
    </row>
    <row r="590" spans="4:7" s="76" customFormat="1" hidden="1">
      <c r="F590" s="86"/>
      <c r="G590" s="86"/>
    </row>
    <row r="591" spans="4:7" s="76" customFormat="1" hidden="1"/>
    <row r="592" spans="4:7" s="76" customFormat="1" hidden="1"/>
    <row r="593" spans="2:8" s="76" customFormat="1" hidden="1"/>
    <row r="594" spans="2:8" s="76" customFormat="1" hidden="1"/>
    <row r="595" spans="2:8" s="76" customFormat="1" hidden="1">
      <c r="D595" s="99"/>
    </row>
    <row r="596" spans="2:8" s="76" customFormat="1" hidden="1">
      <c r="D596" s="101"/>
    </row>
    <row r="597" spans="2:8" s="76" customFormat="1" hidden="1"/>
    <row r="598" spans="2:8" s="76" customFormat="1" hidden="1"/>
    <row r="599" spans="2:8" s="76" customFormat="1" hidden="1"/>
    <row r="600" spans="2:8" s="76" customFormat="1" hidden="1">
      <c r="D600" s="85"/>
      <c r="E600" s="86"/>
      <c r="F600" s="86"/>
      <c r="G600" s="86"/>
      <c r="H600" s="85"/>
    </row>
    <row r="601" spans="2:8" s="76" customFormat="1" hidden="1">
      <c r="D601" s="85"/>
      <c r="E601" s="86"/>
      <c r="F601" s="86"/>
      <c r="G601" s="86"/>
      <c r="H601" s="85"/>
    </row>
    <row r="602" spans="2:8" s="76" customFormat="1" hidden="1">
      <c r="B602" s="33"/>
      <c r="D602" s="85"/>
    </row>
    <row r="603" spans="2:8" s="76" customFormat="1" hidden="1">
      <c r="D603" s="85"/>
      <c r="E603" s="103"/>
      <c r="F603" s="103"/>
      <c r="G603" s="103"/>
      <c r="H603" s="104"/>
    </row>
    <row r="604" spans="2:8" s="76" customFormat="1" hidden="1">
      <c r="D604" s="85"/>
      <c r="E604" s="86"/>
      <c r="F604" s="86"/>
      <c r="G604" s="86"/>
      <c r="H604" s="85"/>
    </row>
    <row r="605" spans="2:8" s="76" customFormat="1" hidden="1">
      <c r="D605" s="85"/>
      <c r="E605" s="86"/>
      <c r="F605" s="86"/>
      <c r="G605" s="86"/>
      <c r="H605" s="85"/>
    </row>
    <row r="606" spans="2:8" s="76" customFormat="1" hidden="1">
      <c r="D606" s="85"/>
      <c r="E606" s="86"/>
      <c r="F606" s="86"/>
      <c r="G606" s="86"/>
      <c r="H606" s="85"/>
    </row>
    <row r="607" spans="2:8" s="76" customFormat="1" hidden="1">
      <c r="D607" s="85"/>
      <c r="E607" s="86"/>
      <c r="F607" s="86"/>
      <c r="G607" s="86"/>
      <c r="H607" s="85"/>
    </row>
    <row r="608" spans="2:8" s="76" customFormat="1" hidden="1">
      <c r="D608" s="85"/>
      <c r="E608" s="86"/>
      <c r="F608" s="86"/>
      <c r="G608" s="86"/>
      <c r="H608" s="85"/>
    </row>
    <row r="609" spans="2:8" s="76" customFormat="1" hidden="1">
      <c r="D609" s="85"/>
      <c r="E609" s="86"/>
      <c r="F609" s="86"/>
      <c r="G609" s="86"/>
      <c r="H609" s="85"/>
    </row>
    <row r="610" spans="2:8" s="76" customFormat="1" hidden="1">
      <c r="D610" s="85"/>
      <c r="E610" s="86"/>
      <c r="F610" s="86"/>
      <c r="G610" s="86"/>
      <c r="H610" s="85"/>
    </row>
    <row r="611" spans="2:8" s="76" customFormat="1" hidden="1">
      <c r="D611" s="85"/>
      <c r="E611" s="86"/>
      <c r="F611" s="86"/>
      <c r="G611" s="86"/>
      <c r="H611" s="85"/>
    </row>
    <row r="612" spans="2:8" s="76" customFormat="1" hidden="1">
      <c r="C612" s="86"/>
      <c r="D612" s="99"/>
      <c r="E612" s="86"/>
      <c r="F612" s="86"/>
      <c r="G612" s="86"/>
      <c r="H612" s="85"/>
    </row>
    <row r="613" spans="2:8" s="76" customFormat="1" hidden="1">
      <c r="D613" s="85"/>
      <c r="E613" s="86"/>
      <c r="F613" s="86"/>
      <c r="G613" s="86"/>
      <c r="H613" s="85"/>
    </row>
    <row r="614" spans="2:8" s="76" customFormat="1" hidden="1">
      <c r="D614" s="85"/>
      <c r="E614" s="86"/>
      <c r="F614" s="86"/>
      <c r="G614" s="86"/>
      <c r="H614" s="85"/>
    </row>
    <row r="615" spans="2:8" s="76" customFormat="1" hidden="1">
      <c r="D615" s="85"/>
      <c r="E615" s="86"/>
      <c r="F615" s="86"/>
      <c r="G615" s="86"/>
      <c r="H615" s="85"/>
    </row>
    <row r="616" spans="2:8" s="76" customFormat="1" hidden="1">
      <c r="D616" s="85"/>
      <c r="E616" s="86"/>
      <c r="F616" s="86"/>
      <c r="G616" s="86"/>
      <c r="H616" s="85"/>
    </row>
    <row r="617" spans="2:8" s="76" customFormat="1" hidden="1">
      <c r="B617" s="33"/>
      <c r="C617" s="31"/>
      <c r="D617" s="85"/>
      <c r="E617" s="103"/>
      <c r="F617" s="103"/>
      <c r="G617" s="103"/>
      <c r="H617" s="103"/>
    </row>
    <row r="618" spans="2:8" s="76" customFormat="1" hidden="1">
      <c r="C618" s="31"/>
      <c r="D618" s="85"/>
      <c r="E618" s="86"/>
      <c r="F618" s="86"/>
      <c r="G618" s="86"/>
      <c r="H618" s="86"/>
    </row>
    <row r="619" spans="2:8" s="76" customFormat="1" hidden="1">
      <c r="D619" s="85"/>
      <c r="E619" s="86"/>
      <c r="F619" s="86"/>
      <c r="G619" s="86"/>
      <c r="H619" s="85"/>
    </row>
    <row r="620" spans="2:8" s="76" customFormat="1" hidden="1">
      <c r="D620" s="85"/>
      <c r="E620" s="86"/>
      <c r="F620" s="86"/>
      <c r="G620" s="86"/>
      <c r="H620" s="85"/>
    </row>
    <row r="621" spans="2:8" s="76" customFormat="1" hidden="1">
      <c r="D621" s="85"/>
      <c r="E621" s="86"/>
      <c r="F621" s="86"/>
      <c r="G621" s="86"/>
      <c r="H621" s="85"/>
    </row>
    <row r="622" spans="2:8" s="76" customFormat="1" hidden="1">
      <c r="D622" s="85"/>
      <c r="E622" s="86"/>
      <c r="F622" s="86"/>
      <c r="G622" s="86"/>
      <c r="H622" s="85"/>
    </row>
    <row r="623" spans="2:8" s="76" customFormat="1" hidden="1">
      <c r="D623" s="85"/>
      <c r="E623" s="86"/>
      <c r="F623" s="86"/>
      <c r="G623" s="86"/>
      <c r="H623" s="85"/>
    </row>
    <row r="624" spans="2:8" s="76" customFormat="1" hidden="1">
      <c r="D624" s="85"/>
      <c r="E624" s="86"/>
      <c r="F624" s="86"/>
      <c r="G624" s="86"/>
      <c r="H624" s="85"/>
    </row>
    <row r="625" spans="3:8" s="76" customFormat="1" hidden="1">
      <c r="C625" s="86"/>
      <c r="D625" s="99"/>
      <c r="E625" s="86"/>
      <c r="F625" s="86"/>
      <c r="G625" s="86"/>
      <c r="H625" s="85"/>
    </row>
    <row r="626" spans="3:8" s="76" customFormat="1" hidden="1">
      <c r="D626" s="85"/>
      <c r="E626" s="86"/>
      <c r="F626" s="86"/>
      <c r="G626" s="86"/>
      <c r="H626" s="85"/>
    </row>
    <row r="627" spans="3:8" s="76" customFormat="1" hidden="1">
      <c r="D627" s="85"/>
      <c r="E627" s="86"/>
      <c r="F627" s="86"/>
      <c r="G627" s="86"/>
      <c r="H627" s="85"/>
    </row>
    <row r="628" spans="3:8" s="76" customFormat="1" hidden="1">
      <c r="D628" s="85"/>
      <c r="E628" s="86"/>
      <c r="F628" s="86"/>
      <c r="G628" s="86"/>
      <c r="H628" s="85"/>
    </row>
    <row r="629" spans="3:8" s="76" customFormat="1" hidden="1">
      <c r="D629" s="85"/>
      <c r="E629" s="86"/>
      <c r="F629" s="86"/>
      <c r="G629" s="86"/>
      <c r="H629" s="85"/>
    </row>
    <row r="630" spans="3:8" s="76" customFormat="1" hidden="1">
      <c r="E630" s="33"/>
      <c r="F630" s="33"/>
      <c r="G630" s="33"/>
      <c r="H630" s="33"/>
    </row>
    <row r="631" spans="3:8" s="76" customFormat="1" hidden="1"/>
    <row r="632" spans="3:8" s="76" customFormat="1" hidden="1">
      <c r="D632" s="85"/>
      <c r="H632" s="85"/>
    </row>
    <row r="633" spans="3:8" s="76" customFormat="1" hidden="1">
      <c r="H633" s="85"/>
    </row>
    <row r="634" spans="3:8" s="76" customFormat="1" hidden="1"/>
    <row r="635" spans="3:8" s="76" customFormat="1" hidden="1">
      <c r="H635" s="85"/>
    </row>
    <row r="636" spans="3:8" s="76" customFormat="1" hidden="1">
      <c r="H636" s="85"/>
    </row>
    <row r="637" spans="3:8" s="76" customFormat="1" hidden="1">
      <c r="H637" s="85"/>
    </row>
    <row r="638" spans="3:8" s="76" customFormat="1" hidden="1">
      <c r="C638" s="86"/>
      <c r="D638" s="99"/>
      <c r="H638" s="85"/>
    </row>
    <row r="639" spans="3:8" s="76" customFormat="1" hidden="1">
      <c r="H639" s="85"/>
    </row>
    <row r="640" spans="3:8" s="76" customFormat="1" hidden="1">
      <c r="D640" s="85"/>
      <c r="E640" s="86"/>
      <c r="F640" s="86"/>
      <c r="G640" s="86"/>
      <c r="H640" s="85"/>
    </row>
    <row r="641" spans="2:8" s="76" customFormat="1" hidden="1">
      <c r="C641" s="86"/>
      <c r="D641" s="85"/>
      <c r="G641" s="85"/>
    </row>
    <row r="642" spans="2:8" s="76" customFormat="1" hidden="1">
      <c r="D642" s="85"/>
      <c r="E642" s="86"/>
      <c r="F642" s="86"/>
      <c r="G642" s="86"/>
      <c r="H642" s="85"/>
    </row>
    <row r="643" spans="2:8" s="76" customFormat="1" hidden="1">
      <c r="B643" s="33"/>
      <c r="E643" s="33"/>
      <c r="F643" s="33"/>
      <c r="G643" s="33"/>
      <c r="H643" s="33"/>
    </row>
    <row r="644" spans="2:8" s="76" customFormat="1" hidden="1"/>
    <row r="645" spans="2:8" s="76" customFormat="1" hidden="1">
      <c r="D645" s="85"/>
      <c r="H645" s="85"/>
    </row>
    <row r="646" spans="2:8" s="76" customFormat="1" hidden="1">
      <c r="H646" s="85"/>
    </row>
    <row r="647" spans="2:8" s="76" customFormat="1" hidden="1"/>
    <row r="648" spans="2:8" s="76" customFormat="1" hidden="1">
      <c r="H648" s="85"/>
    </row>
    <row r="649" spans="2:8" s="76" customFormat="1" hidden="1">
      <c r="H649" s="85"/>
    </row>
    <row r="650" spans="2:8" s="76" customFormat="1" hidden="1">
      <c r="H650" s="85"/>
    </row>
    <row r="651" spans="2:8" s="76" customFormat="1" hidden="1">
      <c r="C651" s="86"/>
      <c r="D651" s="99"/>
      <c r="H651" s="85"/>
    </row>
    <row r="652" spans="2:8" s="76" customFormat="1" hidden="1">
      <c r="H652" s="85"/>
    </row>
    <row r="653" spans="2:8" s="76" customFormat="1" hidden="1">
      <c r="D653" s="85"/>
      <c r="E653" s="86"/>
      <c r="F653" s="86"/>
      <c r="G653" s="86"/>
      <c r="H653" s="85"/>
    </row>
    <row r="654" spans="2:8" s="76" customFormat="1" hidden="1">
      <c r="D654" s="85"/>
      <c r="G654" s="85"/>
    </row>
    <row r="655" spans="2:8" s="76" customFormat="1" hidden="1">
      <c r="D655" s="85"/>
      <c r="E655" s="86"/>
      <c r="F655" s="86"/>
      <c r="G655" s="86"/>
      <c r="H655" s="85"/>
    </row>
    <row r="656" spans="2:8" s="76" customFormat="1" hidden="1">
      <c r="B656" s="33"/>
      <c r="E656" s="33"/>
      <c r="F656" s="33"/>
      <c r="G656" s="33"/>
      <c r="H656" s="33"/>
    </row>
    <row r="657" spans="2:8" s="76" customFormat="1" hidden="1"/>
    <row r="658" spans="2:8" s="76" customFormat="1" hidden="1">
      <c r="D658" s="85"/>
      <c r="H658" s="85"/>
    </row>
    <row r="659" spans="2:8" s="76" customFormat="1" hidden="1">
      <c r="H659" s="85"/>
    </row>
    <row r="660" spans="2:8" s="76" customFormat="1" hidden="1"/>
    <row r="661" spans="2:8" s="76" customFormat="1" hidden="1"/>
    <row r="662" spans="2:8" s="76" customFormat="1" hidden="1">
      <c r="H662" s="85"/>
    </row>
    <row r="663" spans="2:8" s="76" customFormat="1" hidden="1">
      <c r="H663" s="85"/>
    </row>
    <row r="664" spans="2:8" s="76" customFormat="1" hidden="1">
      <c r="C664" s="86"/>
      <c r="D664" s="99"/>
      <c r="H664" s="85"/>
    </row>
    <row r="665" spans="2:8" s="76" customFormat="1" hidden="1">
      <c r="H665" s="85"/>
    </row>
    <row r="666" spans="2:8" s="76" customFormat="1" hidden="1">
      <c r="H666" s="85"/>
    </row>
    <row r="667" spans="2:8" s="76" customFormat="1" hidden="1">
      <c r="D667" s="85"/>
      <c r="G667" s="85"/>
    </row>
    <row r="668" spans="2:8" s="76" customFormat="1" hidden="1">
      <c r="D668" s="85"/>
      <c r="E668" s="86"/>
      <c r="F668" s="86"/>
      <c r="G668" s="86"/>
      <c r="H668" s="85"/>
    </row>
    <row r="669" spans="2:8" s="76" customFormat="1" hidden="1">
      <c r="D669" s="85"/>
      <c r="E669" s="86"/>
      <c r="F669" s="86"/>
      <c r="G669" s="86"/>
      <c r="H669" s="85"/>
    </row>
    <row r="670" spans="2:8" s="76" customFormat="1" hidden="1">
      <c r="D670" s="85"/>
      <c r="E670" s="86"/>
      <c r="F670" s="86"/>
      <c r="G670" s="86"/>
      <c r="H670" s="85"/>
    </row>
    <row r="671" spans="2:8" s="76" customFormat="1" hidden="1">
      <c r="D671" s="85"/>
      <c r="E671" s="86"/>
      <c r="F671" s="86"/>
      <c r="G671" s="86"/>
      <c r="H671" s="85"/>
    </row>
    <row r="672" spans="2:8" s="76" customFormat="1" hidden="1">
      <c r="B672" s="33"/>
      <c r="D672" s="85"/>
    </row>
    <row r="673" spans="3:8" s="76" customFormat="1" hidden="1">
      <c r="D673" s="85"/>
    </row>
    <row r="674" spans="3:8" s="76" customFormat="1" hidden="1">
      <c r="D674" s="85"/>
      <c r="E674" s="33"/>
      <c r="F674" s="33"/>
      <c r="G674" s="33"/>
      <c r="H674" s="33"/>
    </row>
    <row r="675" spans="3:8" s="76" customFormat="1" hidden="1">
      <c r="D675" s="85"/>
      <c r="E675" s="86"/>
      <c r="F675" s="86"/>
      <c r="G675" s="86"/>
      <c r="H675" s="86"/>
    </row>
    <row r="676" spans="3:8" s="76" customFormat="1" hidden="1">
      <c r="D676" s="85"/>
      <c r="H676" s="85"/>
    </row>
    <row r="677" spans="3:8" s="76" customFormat="1" hidden="1">
      <c r="H677" s="85"/>
    </row>
    <row r="678" spans="3:8" s="76" customFormat="1" hidden="1">
      <c r="D678" s="85"/>
      <c r="E678" s="86"/>
      <c r="F678" s="86"/>
      <c r="G678" s="86"/>
      <c r="H678" s="85"/>
    </row>
    <row r="679" spans="3:8" s="76" customFormat="1" hidden="1">
      <c r="D679" s="85"/>
      <c r="E679" s="86"/>
      <c r="F679" s="86"/>
      <c r="G679" s="86"/>
      <c r="H679" s="85"/>
    </row>
    <row r="680" spans="3:8" s="76" customFormat="1" hidden="1">
      <c r="D680" s="85"/>
      <c r="E680" s="86"/>
      <c r="F680" s="86"/>
      <c r="G680" s="86"/>
      <c r="H680" s="85"/>
    </row>
    <row r="681" spans="3:8" s="76" customFormat="1" hidden="1">
      <c r="D681" s="85"/>
      <c r="H681" s="85"/>
    </row>
    <row r="682" spans="3:8" s="76" customFormat="1" hidden="1">
      <c r="G682" s="85"/>
      <c r="H682" s="85"/>
    </row>
    <row r="683" spans="3:8" s="76" customFormat="1" hidden="1">
      <c r="H683" s="85"/>
    </row>
    <row r="684" spans="3:8" s="76" customFormat="1" hidden="1">
      <c r="C684" s="86"/>
      <c r="D684" s="99"/>
      <c r="H684" s="85"/>
    </row>
    <row r="685" spans="3:8" s="76" customFormat="1" hidden="1">
      <c r="D685" s="85"/>
      <c r="H685" s="85"/>
    </row>
    <row r="686" spans="3:8" s="76" customFormat="1" hidden="1"/>
    <row r="687" spans="3:8" s="76" customFormat="1" hidden="1">
      <c r="D687" s="85"/>
      <c r="E687" s="86"/>
      <c r="F687" s="86"/>
      <c r="G687" s="86"/>
      <c r="H687" s="85"/>
    </row>
    <row r="688" spans="3:8" s="76" customFormat="1" hidden="1">
      <c r="G688" s="85"/>
    </row>
    <row r="689" spans="2:8" s="76" customFormat="1" hidden="1">
      <c r="G689" s="85"/>
    </row>
    <row r="690" spans="2:8" s="76" customFormat="1" hidden="1">
      <c r="B690" s="33"/>
      <c r="C690" s="31"/>
      <c r="D690" s="85"/>
      <c r="E690" s="33"/>
      <c r="F690" s="33"/>
      <c r="G690" s="33"/>
      <c r="H690" s="33"/>
    </row>
    <row r="691" spans="2:8" s="76" customFormat="1" hidden="1">
      <c r="C691" s="31"/>
      <c r="D691" s="85"/>
    </row>
    <row r="692" spans="2:8" s="76" customFormat="1" hidden="1">
      <c r="D692" s="85"/>
      <c r="H692" s="85"/>
    </row>
    <row r="693" spans="2:8" s="76" customFormat="1" hidden="1">
      <c r="H693" s="85"/>
    </row>
    <row r="694" spans="2:8" s="76" customFormat="1" hidden="1">
      <c r="D694" s="85"/>
      <c r="E694" s="86"/>
      <c r="F694" s="86"/>
      <c r="G694" s="86"/>
      <c r="H694" s="85"/>
    </row>
    <row r="695" spans="2:8" s="76" customFormat="1" hidden="1">
      <c r="D695" s="85"/>
      <c r="E695" s="86"/>
      <c r="F695" s="86"/>
      <c r="G695" s="86"/>
      <c r="H695" s="85"/>
    </row>
    <row r="696" spans="2:8" s="76" customFormat="1" hidden="1">
      <c r="D696" s="85"/>
      <c r="E696" s="86"/>
      <c r="F696" s="86"/>
      <c r="G696" s="86"/>
      <c r="H696" s="85"/>
    </row>
    <row r="697" spans="2:8" s="76" customFormat="1" hidden="1">
      <c r="D697" s="85"/>
      <c r="H697" s="85"/>
    </row>
    <row r="698" spans="2:8" s="76" customFormat="1" hidden="1">
      <c r="G698" s="85"/>
      <c r="H698" s="85"/>
    </row>
    <row r="699" spans="2:8" s="76" customFormat="1" hidden="1">
      <c r="H699" s="85"/>
    </row>
    <row r="700" spans="2:8" s="76" customFormat="1" hidden="1">
      <c r="C700" s="86"/>
      <c r="D700" s="99"/>
      <c r="H700" s="85"/>
    </row>
    <row r="701" spans="2:8" s="76" customFormat="1" hidden="1">
      <c r="D701" s="85"/>
      <c r="H701" s="85"/>
    </row>
    <row r="702" spans="2:8" s="76" customFormat="1" hidden="1">
      <c r="D702" s="85"/>
      <c r="E702" s="86"/>
      <c r="F702" s="86"/>
      <c r="G702" s="86"/>
      <c r="H702" s="85"/>
    </row>
    <row r="703" spans="2:8" s="76" customFormat="1" hidden="1">
      <c r="E703" s="33"/>
      <c r="F703" s="33"/>
      <c r="G703" s="33"/>
      <c r="H703" s="33"/>
    </row>
    <row r="704" spans="2:8" s="76" customFormat="1" hidden="1"/>
    <row r="705" spans="2:8" s="76" customFormat="1" hidden="1">
      <c r="D705" s="85"/>
      <c r="H705" s="85"/>
    </row>
    <row r="706" spans="2:8" s="76" customFormat="1" hidden="1">
      <c r="H706" s="85"/>
    </row>
    <row r="707" spans="2:8" s="76" customFormat="1" hidden="1"/>
    <row r="708" spans="2:8" s="76" customFormat="1" hidden="1">
      <c r="H708" s="85"/>
    </row>
    <row r="709" spans="2:8" s="76" customFormat="1" hidden="1">
      <c r="H709" s="85"/>
    </row>
    <row r="710" spans="2:8" s="76" customFormat="1" hidden="1">
      <c r="D710" s="85"/>
      <c r="H710" s="85"/>
    </row>
    <row r="711" spans="2:8" s="76" customFormat="1" hidden="1">
      <c r="G711" s="85"/>
      <c r="H711" s="85"/>
    </row>
    <row r="712" spans="2:8" s="76" customFormat="1" hidden="1">
      <c r="H712" s="85"/>
    </row>
    <row r="713" spans="2:8" s="76" customFormat="1" hidden="1">
      <c r="C713" s="86"/>
      <c r="D713" s="99"/>
      <c r="H713" s="85"/>
    </row>
    <row r="714" spans="2:8" s="76" customFormat="1" hidden="1">
      <c r="D714" s="85"/>
      <c r="H714" s="85"/>
    </row>
    <row r="715" spans="2:8" s="76" customFormat="1" hidden="1">
      <c r="G715" s="85"/>
    </row>
    <row r="716" spans="2:8" s="76" customFormat="1" hidden="1"/>
    <row r="717" spans="2:8" s="76" customFormat="1" hidden="1">
      <c r="B717" s="33"/>
      <c r="E717" s="33"/>
      <c r="F717" s="33"/>
      <c r="G717" s="33"/>
      <c r="H717" s="33"/>
    </row>
    <row r="718" spans="2:8" s="76" customFormat="1" hidden="1">
      <c r="B718" s="33"/>
    </row>
    <row r="719" spans="2:8" s="76" customFormat="1" hidden="1">
      <c r="D719" s="85"/>
      <c r="H719" s="85"/>
    </row>
    <row r="720" spans="2:8" s="76" customFormat="1" hidden="1">
      <c r="H720" s="85"/>
    </row>
    <row r="721" spans="2:8" s="76" customFormat="1" hidden="1"/>
    <row r="722" spans="2:8" s="76" customFormat="1" hidden="1">
      <c r="G722" s="85"/>
      <c r="H722" s="85"/>
    </row>
    <row r="723" spans="2:8" s="76" customFormat="1" hidden="1">
      <c r="H723" s="85"/>
    </row>
    <row r="724" spans="2:8" s="76" customFormat="1" hidden="1">
      <c r="D724" s="85"/>
      <c r="H724" s="85"/>
    </row>
    <row r="725" spans="2:8" s="76" customFormat="1" hidden="1">
      <c r="G725" s="85"/>
      <c r="H725" s="85"/>
    </row>
    <row r="726" spans="2:8" s="76" customFormat="1" hidden="1">
      <c r="H726" s="85"/>
    </row>
    <row r="727" spans="2:8" s="76" customFormat="1" hidden="1">
      <c r="C727" s="86"/>
      <c r="D727" s="99"/>
      <c r="H727" s="85"/>
    </row>
    <row r="728" spans="2:8" s="76" customFormat="1" hidden="1">
      <c r="D728" s="85"/>
      <c r="H728" s="85"/>
    </row>
    <row r="729" spans="2:8" s="76" customFormat="1" hidden="1">
      <c r="D729" s="85"/>
      <c r="H729" s="85"/>
    </row>
    <row r="730" spans="2:8" s="76" customFormat="1" hidden="1">
      <c r="G730" s="85"/>
    </row>
    <row r="731" spans="2:8" s="76" customFormat="1" hidden="1">
      <c r="G731" s="85"/>
    </row>
    <row r="732" spans="2:8" s="76" customFormat="1" hidden="1">
      <c r="B732" s="33"/>
      <c r="E732" s="33"/>
      <c r="F732" s="33"/>
      <c r="G732" s="33"/>
      <c r="H732" s="33"/>
    </row>
    <row r="733" spans="2:8" s="76" customFormat="1" hidden="1"/>
    <row r="734" spans="2:8" s="76" customFormat="1" hidden="1">
      <c r="D734" s="85"/>
      <c r="H734" s="85"/>
    </row>
    <row r="735" spans="2:8" s="76" customFormat="1" hidden="1">
      <c r="H735" s="85"/>
    </row>
    <row r="736" spans="2:8" s="76" customFormat="1" hidden="1"/>
    <row r="737" spans="2:8" s="76" customFormat="1" hidden="1">
      <c r="H737" s="85"/>
    </row>
    <row r="738" spans="2:8" s="76" customFormat="1" hidden="1">
      <c r="H738" s="85"/>
    </row>
    <row r="739" spans="2:8" s="76" customFormat="1" hidden="1">
      <c r="D739" s="85"/>
      <c r="H739" s="85"/>
    </row>
    <row r="740" spans="2:8" s="76" customFormat="1" hidden="1">
      <c r="G740" s="85"/>
      <c r="H740" s="85"/>
    </row>
    <row r="741" spans="2:8" s="76" customFormat="1" hidden="1">
      <c r="H741" s="85"/>
    </row>
    <row r="742" spans="2:8" s="76" customFormat="1" hidden="1">
      <c r="D742" s="99"/>
      <c r="H742" s="85"/>
    </row>
    <row r="743" spans="2:8" s="76" customFormat="1" hidden="1">
      <c r="D743" s="85"/>
      <c r="H743" s="85"/>
    </row>
    <row r="744" spans="2:8" s="76" customFormat="1" hidden="1">
      <c r="D744" s="85"/>
      <c r="H744" s="85"/>
    </row>
    <row r="745" spans="2:8" s="76" customFormat="1" hidden="1">
      <c r="G745" s="85"/>
    </row>
    <row r="746" spans="2:8" s="76" customFormat="1" hidden="1">
      <c r="D746" s="85"/>
      <c r="G746" s="85"/>
    </row>
    <row r="747" spans="2:8" s="76" customFormat="1" hidden="1">
      <c r="B747" s="33"/>
      <c r="E747" s="33"/>
      <c r="F747" s="33"/>
      <c r="G747" s="33"/>
      <c r="H747" s="33"/>
    </row>
    <row r="748" spans="2:8" s="76" customFormat="1" hidden="1"/>
    <row r="749" spans="2:8" s="76" customFormat="1" hidden="1">
      <c r="D749" s="85"/>
      <c r="H749" s="85"/>
    </row>
    <row r="750" spans="2:8" s="76" customFormat="1" hidden="1">
      <c r="H750" s="85"/>
    </row>
    <row r="751" spans="2:8" s="76" customFormat="1" hidden="1"/>
    <row r="752" spans="2:8" s="76" customFormat="1" hidden="1">
      <c r="H752" s="85"/>
    </row>
    <row r="753" spans="2:8" s="76" customFormat="1" hidden="1">
      <c r="H753" s="85"/>
    </row>
    <row r="754" spans="2:8" s="76" customFormat="1" hidden="1">
      <c r="D754" s="85"/>
      <c r="H754" s="85"/>
    </row>
    <row r="755" spans="2:8" s="76" customFormat="1" hidden="1">
      <c r="G755" s="85"/>
      <c r="H755" s="85"/>
    </row>
    <row r="756" spans="2:8" s="76" customFormat="1" hidden="1">
      <c r="H756" s="85"/>
    </row>
    <row r="757" spans="2:8" s="76" customFormat="1" hidden="1">
      <c r="C757" s="86"/>
      <c r="D757" s="99"/>
      <c r="H757" s="85"/>
    </row>
    <row r="758" spans="2:8" s="76" customFormat="1" hidden="1">
      <c r="D758" s="85"/>
      <c r="H758" s="85"/>
    </row>
    <row r="759" spans="2:8" s="76" customFormat="1" hidden="1">
      <c r="D759" s="85"/>
      <c r="H759" s="85"/>
    </row>
    <row r="760" spans="2:8" s="76" customFormat="1" hidden="1">
      <c r="G760" s="85"/>
    </row>
    <row r="761" spans="2:8" s="76" customFormat="1" hidden="1">
      <c r="G761" s="85"/>
    </row>
    <row r="762" spans="2:8" s="76" customFormat="1" hidden="1">
      <c r="G762" s="85"/>
    </row>
    <row r="763" spans="2:8" s="76" customFormat="1" hidden="1"/>
    <row r="764" spans="2:8" s="76" customFormat="1" hidden="1"/>
    <row r="765" spans="2:8" s="76" customFormat="1" hidden="1">
      <c r="B765" s="33"/>
    </row>
    <row r="766" spans="2:8" s="76" customFormat="1" hidden="1"/>
    <row r="767" spans="2:8" s="76" customFormat="1" hidden="1"/>
    <row r="768" spans="2:8" s="76" customFormat="1" hidden="1">
      <c r="E768" s="33"/>
      <c r="F768" s="33"/>
      <c r="G768" s="33"/>
      <c r="H768" s="33"/>
    </row>
    <row r="769" spans="7:7" s="76" customFormat="1" hidden="1"/>
    <row r="770" spans="7:7" s="76" customFormat="1" hidden="1"/>
    <row r="771" spans="7:7" s="76" customFormat="1" hidden="1"/>
    <row r="772" spans="7:7" s="76" customFormat="1" hidden="1"/>
    <row r="773" spans="7:7" s="76" customFormat="1" hidden="1"/>
    <row r="774" spans="7:7" s="76" customFormat="1" hidden="1"/>
    <row r="775" spans="7:7" s="76" customFormat="1" hidden="1"/>
    <row r="776" spans="7:7" s="76" customFormat="1" hidden="1"/>
    <row r="777" spans="7:7" s="76" customFormat="1" hidden="1"/>
    <row r="778" spans="7:7" s="76" customFormat="1" hidden="1"/>
    <row r="779" spans="7:7" s="76" customFormat="1" hidden="1"/>
    <row r="780" spans="7:7" s="76" customFormat="1" hidden="1"/>
    <row r="781" spans="7:7" s="76" customFormat="1" hidden="1"/>
    <row r="782" spans="7:7" s="76" customFormat="1" hidden="1">
      <c r="G782" s="85"/>
    </row>
    <row r="783" spans="7:7" s="76" customFormat="1" hidden="1">
      <c r="G783" s="85"/>
    </row>
    <row r="784" spans="7:7" s="76" customFormat="1" hidden="1"/>
    <row r="785" spans="2:8" s="76" customFormat="1" hidden="1"/>
    <row r="786" spans="2:8" s="76" customFormat="1" hidden="1">
      <c r="C786" s="86"/>
      <c r="D786" s="99"/>
    </row>
    <row r="787" spans="2:8" s="76" customFormat="1" hidden="1"/>
    <row r="788" spans="2:8" s="76" customFormat="1" hidden="1"/>
    <row r="789" spans="2:8" s="76" customFormat="1" hidden="1"/>
    <row r="790" spans="2:8" s="76" customFormat="1" hidden="1"/>
    <row r="791" spans="2:8" s="76" customFormat="1" hidden="1">
      <c r="B791" s="33"/>
      <c r="C791" s="31"/>
    </row>
    <row r="792" spans="2:8" s="76" customFormat="1" hidden="1">
      <c r="C792" s="31"/>
    </row>
    <row r="793" spans="2:8" s="76" customFormat="1" hidden="1">
      <c r="C793" s="31"/>
    </row>
    <row r="794" spans="2:8" s="76" customFormat="1" hidden="1">
      <c r="C794" s="31"/>
      <c r="E794" s="33"/>
      <c r="F794" s="33"/>
      <c r="G794" s="33"/>
      <c r="H794" s="33"/>
    </row>
    <row r="795" spans="2:8" s="76" customFormat="1" hidden="1"/>
    <row r="796" spans="2:8" s="76" customFormat="1" hidden="1"/>
    <row r="797" spans="2:8" s="76" customFormat="1" hidden="1">
      <c r="D797" s="85"/>
      <c r="H797" s="85"/>
    </row>
    <row r="798" spans="2:8" s="76" customFormat="1" hidden="1">
      <c r="H798" s="85"/>
    </row>
    <row r="799" spans="2:8" s="76" customFormat="1" hidden="1"/>
    <row r="800" spans="2:8" s="76" customFormat="1" hidden="1">
      <c r="F800" s="33"/>
    </row>
    <row r="801" spans="2:8" s="76" customFormat="1" hidden="1">
      <c r="F801" s="33"/>
    </row>
    <row r="802" spans="2:8" s="76" customFormat="1" hidden="1">
      <c r="F802" s="33"/>
    </row>
    <row r="803" spans="2:8" s="76" customFormat="1" hidden="1">
      <c r="F803" s="33"/>
    </row>
    <row r="804" spans="2:8" s="76" customFormat="1" hidden="1"/>
    <row r="805" spans="2:8" s="76" customFormat="1" hidden="1"/>
    <row r="806" spans="2:8" s="76" customFormat="1" hidden="1">
      <c r="F806" s="31"/>
      <c r="G806" s="75"/>
    </row>
    <row r="807" spans="2:8" s="76" customFormat="1" hidden="1">
      <c r="F807" s="31"/>
      <c r="G807" s="75"/>
    </row>
    <row r="808" spans="2:8" s="76" customFormat="1" hidden="1"/>
    <row r="809" spans="2:8" s="76" customFormat="1" hidden="1"/>
    <row r="810" spans="2:8" s="76" customFormat="1" hidden="1">
      <c r="C810" s="86"/>
      <c r="D810" s="99"/>
    </row>
    <row r="811" spans="2:8" s="76" customFormat="1" hidden="1"/>
    <row r="812" spans="2:8" s="76" customFormat="1" hidden="1"/>
    <row r="813" spans="2:8" s="76" customFormat="1" hidden="1">
      <c r="C813" s="31"/>
    </row>
    <row r="814" spans="2:8" s="76" customFormat="1" hidden="1">
      <c r="C814" s="31"/>
    </row>
    <row r="815" spans="2:8" s="76" customFormat="1" hidden="1">
      <c r="B815" s="33"/>
      <c r="C815" s="31"/>
      <c r="E815" s="33"/>
      <c r="F815" s="33"/>
      <c r="G815" s="33"/>
      <c r="H815" s="33"/>
    </row>
    <row r="816" spans="2:8" s="76" customFormat="1" hidden="1">
      <c r="C816" s="31"/>
    </row>
    <row r="817" spans="3:8" s="76" customFormat="1" hidden="1">
      <c r="C817" s="31"/>
    </row>
    <row r="818" spans="3:8" s="76" customFormat="1" hidden="1">
      <c r="C818" s="31"/>
    </row>
    <row r="819" spans="3:8" s="76" customFormat="1" hidden="1">
      <c r="C819" s="31"/>
    </row>
    <row r="820" spans="3:8" s="76" customFormat="1" hidden="1">
      <c r="D820" s="85"/>
      <c r="H820" s="85"/>
    </row>
    <row r="821" spans="3:8" s="76" customFormat="1" hidden="1">
      <c r="H821" s="85"/>
    </row>
    <row r="822" spans="3:8" s="76" customFormat="1" hidden="1">
      <c r="E822" s="31"/>
      <c r="F822" s="31"/>
    </row>
    <row r="823" spans="3:8" s="76" customFormat="1" hidden="1">
      <c r="E823" s="31"/>
      <c r="F823" s="31"/>
    </row>
    <row r="824" spans="3:8" s="76" customFormat="1" hidden="1">
      <c r="E824" s="31"/>
      <c r="F824" s="31"/>
    </row>
    <row r="825" spans="3:8" s="76" customFormat="1" hidden="1">
      <c r="E825" s="31"/>
      <c r="F825" s="31"/>
    </row>
    <row r="826" spans="3:8" s="76" customFormat="1" hidden="1">
      <c r="E826" s="31"/>
      <c r="F826" s="31"/>
    </row>
    <row r="827" spans="3:8" s="76" customFormat="1" hidden="1">
      <c r="E827" s="31"/>
      <c r="F827" s="31"/>
    </row>
    <row r="828" spans="3:8" s="76" customFormat="1" hidden="1">
      <c r="E828" s="31"/>
      <c r="F828" s="31"/>
      <c r="G828" s="75"/>
    </row>
    <row r="829" spans="3:8" s="76" customFormat="1" hidden="1"/>
    <row r="830" spans="3:8" s="76" customFormat="1" hidden="1">
      <c r="C830" s="86"/>
      <c r="D830" s="99"/>
    </row>
    <row r="831" spans="3:8" s="76" customFormat="1" hidden="1"/>
    <row r="832" spans="3:8" s="76" customFormat="1" hidden="1"/>
    <row r="833" s="76" customFormat="1" hidden="1"/>
    <row r="834" s="76" customFormat="1" hidden="1"/>
    <row r="835" s="76" customFormat="1" hidden="1"/>
    <row r="836" s="76" customFormat="1" hidden="1"/>
    <row r="837" s="76" customFormat="1" hidden="1"/>
    <row r="838" s="76" customFormat="1" hidden="1"/>
    <row r="839" s="76" customFormat="1" hidden="1"/>
    <row r="840" s="76" customFormat="1" hidden="1"/>
    <row r="841" s="76" customFormat="1" hidden="1"/>
    <row r="842" s="76" customFormat="1" hidden="1"/>
    <row r="843" s="76" customFormat="1" hidden="1"/>
    <row r="844" s="76" customFormat="1" hidden="1"/>
    <row r="845" s="76" customFormat="1" hidden="1"/>
    <row r="846" s="76" customFormat="1" hidden="1"/>
    <row r="847" s="76" customFormat="1" hidden="1"/>
    <row r="848" s="76" customFormat="1" hidden="1"/>
    <row r="849" spans="2:7" s="76" customFormat="1" hidden="1"/>
    <row r="850" spans="2:7" s="76" customFormat="1" hidden="1"/>
    <row r="851" spans="2:7" s="76" customFormat="1" hidden="1"/>
    <row r="852" spans="2:7" s="76" customFormat="1" hidden="1"/>
    <row r="853" spans="2:7" s="76" customFormat="1" hidden="1"/>
    <row r="854" spans="2:7" s="76" customFormat="1" hidden="1"/>
    <row r="855" spans="2:7" s="76" customFormat="1" hidden="1">
      <c r="F855" s="101"/>
    </row>
    <row r="856" spans="2:7" s="76" customFormat="1" hidden="1">
      <c r="B856" s="33"/>
      <c r="C856" s="33"/>
      <c r="D856" s="33"/>
      <c r="E856" s="33"/>
      <c r="F856" s="103"/>
      <c r="G856" s="103"/>
    </row>
    <row r="857" spans="2:7" s="76" customFormat="1" hidden="1">
      <c r="B857" s="33"/>
      <c r="C857" s="33"/>
      <c r="D857" s="33"/>
      <c r="E857" s="33"/>
      <c r="F857" s="33"/>
      <c r="G857" s="33"/>
    </row>
    <row r="858" spans="2:7" s="76" customFormat="1" hidden="1">
      <c r="E858" s="85"/>
      <c r="F858" s="85"/>
      <c r="G858" s="85"/>
    </row>
    <row r="859" spans="2:7" s="76" customFormat="1" hidden="1">
      <c r="C859" s="86"/>
      <c r="D859" s="99"/>
      <c r="E859" s="86"/>
      <c r="G859" s="85"/>
    </row>
    <row r="860" spans="2:7" s="76" customFormat="1" hidden="1">
      <c r="D860" s="86"/>
      <c r="E860" s="99"/>
      <c r="G860" s="85"/>
    </row>
    <row r="861" spans="2:7" s="76" customFormat="1" hidden="1">
      <c r="E861" s="99"/>
      <c r="G861" s="85"/>
    </row>
    <row r="862" spans="2:7" s="76" customFormat="1" hidden="1"/>
    <row r="863" spans="2:7" s="76" customFormat="1" hidden="1"/>
    <row r="864" spans="2:7" s="76" customFormat="1" hidden="1"/>
    <row r="865" s="76" customFormat="1" hidden="1"/>
    <row r="866" s="76" customFormat="1" hidden="1"/>
    <row r="867" s="76" customFormat="1" hidden="1"/>
    <row r="868" s="76" customFormat="1" hidden="1"/>
    <row r="869" s="76" customFormat="1" hidden="1"/>
    <row r="870" s="76" customFormat="1" hidden="1"/>
    <row r="871" s="76" customFormat="1" hidden="1"/>
    <row r="872" s="76" customFormat="1" hidden="1"/>
    <row r="873" s="76" customFormat="1" hidden="1"/>
    <row r="874" s="76" customFormat="1" hidden="1"/>
    <row r="875" s="76" customFormat="1" hidden="1"/>
    <row r="876" s="76" customFormat="1" hidden="1"/>
    <row r="877" s="76" customFormat="1" hidden="1"/>
    <row r="878" s="76" customFormat="1" hidden="1"/>
    <row r="879" s="76" customFormat="1" hidden="1"/>
    <row r="880" s="76" customFormat="1" hidden="1"/>
    <row r="881" spans="2:7" s="76" customFormat="1" hidden="1">
      <c r="F881" s="101"/>
    </row>
    <row r="882" spans="2:7" s="76" customFormat="1" hidden="1">
      <c r="B882" s="33"/>
      <c r="C882" s="33"/>
      <c r="D882" s="33"/>
      <c r="E882" s="33"/>
      <c r="F882" s="103"/>
      <c r="G882" s="103"/>
    </row>
    <row r="883" spans="2:7" s="76" customFormat="1" hidden="1">
      <c r="B883" s="33"/>
      <c r="C883" s="33"/>
      <c r="D883" s="33"/>
      <c r="E883" s="33"/>
      <c r="F883" s="33"/>
      <c r="G883" s="33"/>
    </row>
    <row r="884" spans="2:7" s="76" customFormat="1" hidden="1">
      <c r="E884" s="85"/>
      <c r="F884" s="85"/>
      <c r="G884" s="85"/>
    </row>
    <row r="885" spans="2:7" s="76" customFormat="1" hidden="1">
      <c r="C885" s="86"/>
      <c r="D885" s="99"/>
      <c r="E885" s="86"/>
      <c r="G885" s="85"/>
    </row>
    <row r="886" spans="2:7" s="76" customFormat="1" hidden="1">
      <c r="D886" s="86"/>
      <c r="E886" s="99"/>
      <c r="G886" s="85"/>
    </row>
    <row r="887" spans="2:7" s="76" customFormat="1" hidden="1">
      <c r="E887" s="99"/>
      <c r="G887" s="85"/>
    </row>
    <row r="888" spans="2:7" s="76" customFormat="1" hidden="1"/>
    <row r="889" spans="2:7" s="76" customFormat="1" hidden="1"/>
    <row r="890" spans="2:7" s="76" customFormat="1" hidden="1"/>
    <row r="891" spans="2:7" s="76" customFormat="1" hidden="1"/>
    <row r="892" spans="2:7" s="76" customFormat="1" hidden="1"/>
    <row r="893" spans="2:7" s="76" customFormat="1" hidden="1"/>
    <row r="894" spans="2:7" s="76" customFormat="1" hidden="1"/>
    <row r="895" spans="2:7" s="76" customFormat="1" hidden="1"/>
    <row r="896" spans="2:7" s="76" customFormat="1" hidden="1"/>
    <row r="897" spans="2:7" s="76" customFormat="1" hidden="1"/>
    <row r="898" spans="2:7" s="76" customFormat="1" hidden="1"/>
    <row r="899" spans="2:7" s="76" customFormat="1" hidden="1"/>
    <row r="900" spans="2:7" s="76" customFormat="1" hidden="1"/>
    <row r="901" spans="2:7" s="76" customFormat="1" hidden="1"/>
    <row r="902" spans="2:7" s="76" customFormat="1" hidden="1"/>
    <row r="903" spans="2:7" s="76" customFormat="1" hidden="1"/>
    <row r="904" spans="2:7" s="76" customFormat="1" hidden="1"/>
    <row r="905" spans="2:7" s="76" customFormat="1" hidden="1"/>
    <row r="906" spans="2:7" s="76" customFormat="1" hidden="1"/>
    <row r="907" spans="2:7" s="76" customFormat="1" hidden="1">
      <c r="F907" s="101"/>
    </row>
    <row r="908" spans="2:7" s="33" customFormat="1" hidden="1">
      <c r="F908" s="103"/>
      <c r="G908" s="103"/>
    </row>
    <row r="909" spans="2:7" s="76" customFormat="1" hidden="1">
      <c r="B909" s="33"/>
      <c r="C909" s="33"/>
      <c r="D909" s="33"/>
      <c r="E909" s="33"/>
      <c r="F909" s="33"/>
      <c r="G909" s="33"/>
    </row>
    <row r="910" spans="2:7" s="76" customFormat="1" hidden="1">
      <c r="E910" s="85"/>
      <c r="F910" s="85"/>
      <c r="G910" s="85"/>
    </row>
    <row r="911" spans="2:7" s="76" customFormat="1" hidden="1">
      <c r="C911" s="86"/>
      <c r="D911" s="99"/>
      <c r="E911" s="86"/>
      <c r="G911" s="85"/>
    </row>
    <row r="912" spans="2:7" s="76" customFormat="1" hidden="1">
      <c r="D912" s="86"/>
      <c r="E912" s="99"/>
      <c r="G912" s="85"/>
    </row>
    <row r="913" spans="5:7" s="76" customFormat="1" hidden="1">
      <c r="E913" s="99"/>
      <c r="G913" s="85"/>
    </row>
    <row r="914" spans="5:7" s="76" customFormat="1" hidden="1"/>
    <row r="915" spans="5:7" s="76" customFormat="1" hidden="1"/>
    <row r="916" spans="5:7" s="76" customFormat="1" hidden="1"/>
    <row r="917" spans="5:7" s="76" customFormat="1" hidden="1"/>
    <row r="918" spans="5:7" s="76" customFormat="1" hidden="1"/>
    <row r="919" spans="5:7" s="76" customFormat="1" hidden="1"/>
    <row r="920" spans="5:7" s="76" customFormat="1" hidden="1"/>
    <row r="921" spans="5:7" s="76" customFormat="1" hidden="1"/>
    <row r="922" spans="5:7" s="76" customFormat="1" hidden="1"/>
    <row r="923" spans="5:7" s="76" customFormat="1" hidden="1"/>
    <row r="924" spans="5:7" s="76" customFormat="1" hidden="1"/>
    <row r="925" spans="5:7" s="76" customFormat="1" hidden="1"/>
    <row r="926" spans="5:7" s="76" customFormat="1" hidden="1"/>
    <row r="927" spans="5:7" s="76" customFormat="1" hidden="1"/>
    <row r="928" spans="5:7" s="76" customFormat="1" hidden="1"/>
    <row r="929" s="76" customFormat="1" hidden="1"/>
    <row r="930" s="76" customFormat="1" hidden="1"/>
    <row r="931" s="76" customFormat="1" hidden="1"/>
    <row r="932" s="76" customFormat="1" hidden="1"/>
    <row r="933" s="76" customFormat="1" hidden="1"/>
    <row r="934" s="76" customFormat="1" hidden="1"/>
    <row r="935" s="76" customFormat="1" hidden="1"/>
    <row r="936" s="76" customFormat="1" hidden="1"/>
    <row r="937" s="76" customFormat="1" hidden="1"/>
    <row r="938" s="76" customFormat="1" hidden="1"/>
    <row r="939" s="76" customFormat="1" hidden="1"/>
    <row r="940" s="76" customFormat="1" hidden="1"/>
    <row r="941" s="76" customFormat="1" hidden="1"/>
    <row r="942" s="76" customFormat="1" hidden="1"/>
    <row r="943" s="76" customFormat="1" hidden="1"/>
    <row r="944" s="76" customFormat="1" hidden="1"/>
    <row r="945" s="76" customFormat="1" hidden="1"/>
    <row r="946" s="76" customFormat="1" hidden="1"/>
    <row r="947" s="76" customFormat="1" hidden="1"/>
    <row r="948" s="76" customFormat="1" hidden="1"/>
    <row r="949" s="76" customFormat="1" hidden="1"/>
    <row r="950" s="76" customFormat="1" hidden="1"/>
    <row r="951" s="76" customFormat="1" hidden="1"/>
    <row r="952" s="76" customFormat="1" hidden="1"/>
    <row r="953" s="76" customFormat="1" hidden="1"/>
    <row r="954" s="76" customFormat="1" hidden="1"/>
    <row r="955" s="76" customFormat="1" hidden="1"/>
    <row r="956" s="76" customFormat="1" hidden="1"/>
    <row r="957" s="76" customFormat="1" hidden="1"/>
    <row r="958" s="76" customFormat="1" hidden="1"/>
    <row r="959" s="76" customFormat="1" hidden="1"/>
    <row r="960" s="76" customFormat="1" hidden="1"/>
    <row r="961" s="76" customFormat="1" hidden="1"/>
    <row r="962" s="76" customFormat="1" hidden="1"/>
    <row r="963" s="76" customFormat="1" hidden="1"/>
    <row r="964" s="76" customFormat="1" hidden="1"/>
    <row r="965" s="76" customFormat="1" hidden="1"/>
    <row r="966" s="76" customFormat="1" hidden="1"/>
    <row r="967" s="76" customFormat="1" hidden="1"/>
    <row r="968" s="76" customFormat="1" hidden="1"/>
    <row r="969" s="76" customFormat="1" hidden="1"/>
    <row r="970" s="76" customFormat="1" hidden="1"/>
    <row r="971" s="76" customFormat="1" hidden="1"/>
    <row r="972" s="76" customFormat="1" hidden="1"/>
    <row r="973" s="76" customFormat="1" hidden="1"/>
    <row r="974" s="76" customFormat="1" hidden="1"/>
    <row r="975" s="76" customFormat="1" hidden="1"/>
    <row r="976" s="76" customFormat="1" hidden="1"/>
    <row r="977" s="76" customFormat="1" hidden="1"/>
    <row r="978" s="76" customFormat="1" hidden="1"/>
    <row r="979" s="76" customFormat="1" hidden="1"/>
    <row r="980" s="76" customFormat="1" hidden="1"/>
    <row r="981" s="76" customFormat="1" hidden="1"/>
    <row r="982" s="76" customFormat="1" hidden="1"/>
    <row r="983" s="76" customFormat="1" hidden="1"/>
    <row r="984" s="76" customFormat="1" hidden="1"/>
    <row r="985" s="76" customFormat="1" hidden="1"/>
    <row r="986" s="76" customFormat="1" hidden="1"/>
    <row r="987" s="76" customFormat="1" hidden="1"/>
    <row r="988" s="76" customFormat="1" hidden="1"/>
    <row r="989" s="76" customFormat="1" hidden="1"/>
    <row r="990" s="76" customFormat="1" hidden="1"/>
    <row r="991" s="76" customFormat="1" hidden="1"/>
    <row r="992" s="76" customFormat="1" hidden="1"/>
    <row r="993" s="76" customFormat="1" hidden="1"/>
    <row r="994" s="76" customFormat="1" hidden="1"/>
    <row r="995" s="76" customFormat="1" hidden="1"/>
    <row r="996" s="76" customFormat="1" hidden="1"/>
    <row r="997" s="76" customFormat="1" hidden="1"/>
    <row r="998" s="76" customFormat="1" hidden="1"/>
    <row r="999" s="76" customFormat="1" hidden="1"/>
    <row r="1000" s="76" customFormat="1" hidden="1"/>
    <row r="1001" s="76" customFormat="1" hidden="1"/>
    <row r="1002" s="76" customFormat="1" hidden="1"/>
    <row r="1003" s="76" customFormat="1" hidden="1"/>
    <row r="1004" s="76" customFormat="1" hidden="1"/>
    <row r="1005" s="76" customFormat="1" hidden="1"/>
    <row r="1006" s="76" customFormat="1" hidden="1"/>
    <row r="1007" s="76" customFormat="1" hidden="1"/>
    <row r="1008" s="76" customFormat="1" hidden="1"/>
    <row r="1009" s="76" customFormat="1" hidden="1"/>
    <row r="1010" s="76" customFormat="1" hidden="1"/>
    <row r="1011" s="76" customFormat="1" hidden="1"/>
    <row r="1012" s="76" customFormat="1" hidden="1"/>
    <row r="1013" s="76" customFormat="1" hidden="1"/>
    <row r="1014" s="76" customFormat="1" hidden="1"/>
    <row r="1015" s="76" customFormat="1" hidden="1"/>
    <row r="1016" s="76" customFormat="1" hidden="1"/>
    <row r="1017" s="76" customFormat="1" hidden="1"/>
    <row r="1018" s="76" customFormat="1" hidden="1"/>
    <row r="1019" s="76" customFormat="1" hidden="1"/>
    <row r="1020" s="76" customFormat="1" hidden="1"/>
    <row r="1021" s="76" customFormat="1" hidden="1"/>
    <row r="1022" s="76" customFormat="1" hidden="1"/>
    <row r="1023" s="76" customFormat="1" hidden="1"/>
    <row r="1024" s="76" customFormat="1" hidden="1"/>
    <row r="1025" s="76" customFormat="1" hidden="1"/>
    <row r="1026" s="76" customFormat="1" hidden="1"/>
    <row r="1027" s="76" customFormat="1" hidden="1"/>
    <row r="1028" s="76" customFormat="1" hidden="1"/>
    <row r="1029" s="76" customFormat="1" hidden="1"/>
    <row r="1030" s="76" customFormat="1" hidden="1"/>
    <row r="1031" s="76" customFormat="1" hidden="1"/>
    <row r="1032" s="76" customFormat="1" hidden="1"/>
    <row r="1033" s="76" customFormat="1" hidden="1"/>
    <row r="1034" s="76" customFormat="1" hidden="1"/>
    <row r="1035" s="76" customFormat="1" hidden="1"/>
    <row r="1036" s="76" customFormat="1" hidden="1"/>
    <row r="1037" s="76" customFormat="1" hidden="1"/>
    <row r="1038" s="76" customFormat="1" hidden="1"/>
    <row r="1039" s="76" customFormat="1" hidden="1"/>
    <row r="1040" s="76" customFormat="1" hidden="1"/>
    <row r="1041" s="76" customFormat="1" hidden="1"/>
    <row r="1042" s="76" customFormat="1" hidden="1"/>
    <row r="1043" s="76" customFormat="1" hidden="1"/>
    <row r="1044" s="76" customFormat="1" hidden="1"/>
    <row r="1045" s="76" customFormat="1" hidden="1"/>
    <row r="1046" s="76" customFormat="1" hidden="1"/>
    <row r="1047" s="76" customFormat="1" hidden="1"/>
    <row r="1048" s="76" customFormat="1" hidden="1"/>
    <row r="1049" s="76" customFormat="1" hidden="1"/>
    <row r="1050" s="76" customFormat="1" hidden="1"/>
    <row r="1051" s="76" customFormat="1" hidden="1"/>
    <row r="1052" s="76" customFormat="1" hidden="1"/>
    <row r="1053" s="76" customFormat="1" hidden="1"/>
    <row r="1054" s="76" customFormat="1" hidden="1"/>
    <row r="1055" s="76" customFormat="1" hidden="1"/>
    <row r="1056" s="76" customFormat="1" hidden="1"/>
    <row r="1057" s="76" customFormat="1" hidden="1"/>
    <row r="1058" s="76" customFormat="1" hidden="1"/>
    <row r="1059" s="76" customFormat="1" hidden="1"/>
    <row r="1060" s="76" customFormat="1" hidden="1"/>
    <row r="1061" s="76" customFormat="1" hidden="1"/>
    <row r="1062" s="76" customFormat="1" hidden="1"/>
    <row r="1063" s="76" customFormat="1" hidden="1"/>
    <row r="1064" s="76" customFormat="1" hidden="1"/>
    <row r="1065" s="76" customFormat="1" hidden="1"/>
    <row r="1066" s="76" customFormat="1" hidden="1"/>
    <row r="1067" s="76" customFormat="1" hidden="1"/>
    <row r="1068" s="76" customFormat="1" hidden="1"/>
    <row r="1069" s="76" customFormat="1" hidden="1"/>
    <row r="1070" s="76" customFormat="1" hidden="1"/>
    <row r="1071" s="76" customFormat="1" hidden="1"/>
    <row r="1072" s="76" customFormat="1" hidden="1"/>
    <row r="1073" s="76" customFormat="1" hidden="1"/>
    <row r="1074" s="76" customFormat="1" hidden="1"/>
    <row r="1075" s="76" customFormat="1" hidden="1"/>
    <row r="1076" s="76" customFormat="1" hidden="1"/>
    <row r="1077" s="76" customFormat="1" hidden="1"/>
    <row r="1078" s="76" customFormat="1" hidden="1"/>
    <row r="1079" s="76" customFormat="1" hidden="1"/>
    <row r="1080" s="76" customFormat="1"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row r="5273"/>
    <row r="5274"/>
    <row r="5275"/>
    <row r="5276"/>
    <row r="5277"/>
    <row r="5278"/>
    <row r="5279"/>
    <row r="5280"/>
    <row r="5281"/>
    <row r="5282"/>
    <row r="5283"/>
    <row r="5284"/>
  </sheetData>
  <mergeCells count="15">
    <mergeCell ref="A101:A102"/>
    <mergeCell ref="B101:H102"/>
    <mergeCell ref="B93:H93"/>
    <mergeCell ref="B52:G52"/>
    <mergeCell ref="B55:G55"/>
    <mergeCell ref="B68:H68"/>
    <mergeCell ref="B77:H77"/>
    <mergeCell ref="B85:H85"/>
    <mergeCell ref="B1:H1"/>
    <mergeCell ref="F37:F43"/>
    <mergeCell ref="B37:B43"/>
    <mergeCell ref="C37:C43"/>
    <mergeCell ref="D37:D43"/>
    <mergeCell ref="E37:E43"/>
    <mergeCell ref="C32:J32"/>
  </mergeCells>
  <phoneticPr fontId="5" type="noConversion"/>
  <printOptions horizontalCentered="1"/>
  <pageMargins left="0.23622047244094491" right="0.23622047244094491" top="0.6692913385826772" bottom="0.47244094488188981" header="0.23622047244094491" footer="0.43307086614173229"/>
  <pageSetup paperSize="9" scale="52" firstPageNumber="46" orientation="portrait" useFirstPageNumber="1" r:id="rId1"/>
  <headerFooter alignWithMargins="0">
    <oddHeader>&amp;RAbstract of leads and lifts - for the year 2016-17</oddHeader>
    <oddFooter>&amp;R&amp;18&amp;P</oddFooter>
  </headerFooter>
  <rowBreaks count="1" manualBreakCount="1">
    <brk id="67" max="16383" man="1"/>
  </rowBreaks>
</worksheet>
</file>

<file path=xl/worksheets/sheet6.xml><?xml version="1.0" encoding="utf-8"?>
<worksheet xmlns="http://schemas.openxmlformats.org/spreadsheetml/2006/main" xmlns:r="http://schemas.openxmlformats.org/officeDocument/2006/relationships">
  <sheetPr codeName="Sheet4"/>
  <dimension ref="A1:IU8096"/>
  <sheetViews>
    <sheetView showGridLines="0" view="pageBreakPreview" zoomScale="60" zoomScaleNormal="60" workbookViewId="0">
      <selection activeCell="J2" sqref="J2"/>
    </sheetView>
  </sheetViews>
  <sheetFormatPr defaultColWidth="0" defaultRowHeight="18" zeroHeight="1"/>
  <cols>
    <col min="1" max="1" width="27.140625" style="822" bestFit="1" customWidth="1"/>
    <col min="2" max="2" width="9.140625" style="26" customWidth="1"/>
    <col min="3" max="3" width="9.140625" style="27" customWidth="1"/>
    <col min="4" max="4" width="10.85546875" style="26" customWidth="1"/>
    <col min="5" max="5" width="32.28515625" style="26" customWidth="1"/>
    <col min="6" max="6" width="12.7109375" style="26" customWidth="1"/>
    <col min="7" max="7" width="29" style="26" customWidth="1"/>
    <col min="8" max="8" width="24.85546875" style="26" customWidth="1"/>
    <col min="9" max="9" width="14.85546875" style="26" customWidth="1"/>
    <col min="10" max="10" width="21.85546875" style="26" customWidth="1"/>
    <col min="11" max="255" width="9.140625" style="26" hidden="1" customWidth="1"/>
    <col min="256" max="16384" width="12.5703125" style="26" hidden="1"/>
  </cols>
  <sheetData>
    <row r="1" spans="1:10">
      <c r="A1" s="922"/>
      <c r="B1" s="163"/>
      <c r="C1" s="167"/>
      <c r="D1" s="163"/>
      <c r="E1" s="163" t="s">
        <v>1960</v>
      </c>
      <c r="F1" s="163"/>
      <c r="G1" s="163"/>
      <c r="H1" s="163"/>
      <c r="I1" s="163"/>
      <c r="J1" s="164"/>
    </row>
    <row r="2" spans="1:10">
      <c r="A2" s="860"/>
      <c r="B2" s="163"/>
      <c r="C2" s="167"/>
      <c r="D2" s="163"/>
      <c r="E2" s="163"/>
      <c r="F2" s="163"/>
      <c r="G2" s="163"/>
      <c r="H2" s="163"/>
      <c r="I2" s="163"/>
      <c r="J2" s="164"/>
    </row>
    <row r="3" spans="1:10">
      <c r="A3" s="862"/>
      <c r="B3" s="165"/>
      <c r="C3" s="167"/>
      <c r="D3" s="166" t="s">
        <v>7975</v>
      </c>
      <c r="E3" s="163"/>
      <c r="F3" s="166"/>
      <c r="G3" s="165"/>
      <c r="H3" s="165"/>
      <c r="I3" s="165"/>
      <c r="J3" s="109"/>
    </row>
    <row r="4" spans="1:10">
      <c r="A4" s="862"/>
      <c r="B4" s="165"/>
      <c r="C4" s="167"/>
      <c r="D4" s="164"/>
      <c r="E4" s="164"/>
      <c r="F4" s="164"/>
      <c r="G4" s="164"/>
      <c r="H4" s="163"/>
      <c r="I4" s="165"/>
      <c r="J4" s="109"/>
    </row>
    <row r="5" spans="1:10">
      <c r="A5" s="853"/>
      <c r="B5" s="61"/>
      <c r="C5" s="125"/>
      <c r="D5" s="168"/>
      <c r="E5" s="168"/>
      <c r="F5" s="168"/>
      <c r="G5" s="168"/>
      <c r="H5" s="168"/>
      <c r="I5" s="61"/>
      <c r="J5" s="62"/>
    </row>
    <row r="6" spans="1:10">
      <c r="C6" s="27" t="s">
        <v>1959</v>
      </c>
      <c r="D6" s="33"/>
      <c r="E6" s="33"/>
      <c r="F6" s="33"/>
      <c r="G6" s="33"/>
      <c r="H6" s="33"/>
      <c r="J6" s="78"/>
    </row>
    <row r="7" spans="1:10">
      <c r="D7" s="33"/>
      <c r="E7" s="33"/>
      <c r="F7" s="33"/>
      <c r="G7" s="33"/>
      <c r="H7" s="33"/>
      <c r="J7" s="78"/>
    </row>
    <row r="8" spans="1:10" ht="18.75" thickBot="1">
      <c r="E8" s="1080" t="s">
        <v>9895</v>
      </c>
      <c r="J8" s="78"/>
    </row>
    <row r="9" spans="1:10" ht="18.75" thickBot="1">
      <c r="A9" s="866" t="s">
        <v>7038</v>
      </c>
      <c r="J9" s="78"/>
    </row>
    <row r="10" spans="1:10">
      <c r="A10" s="822" t="s">
        <v>7039</v>
      </c>
      <c r="D10" s="79" t="s">
        <v>333</v>
      </c>
      <c r="E10" s="27"/>
      <c r="F10" s="27"/>
      <c r="G10" s="27"/>
      <c r="J10" s="78"/>
    </row>
    <row r="11" spans="1:10">
      <c r="D11" s="79"/>
      <c r="E11" s="27"/>
      <c r="F11" s="27"/>
      <c r="G11" s="27"/>
      <c r="J11" s="78"/>
    </row>
    <row r="12" spans="1:10" ht="23.25">
      <c r="A12" s="868" t="s">
        <v>9633</v>
      </c>
      <c r="J12" s="78"/>
    </row>
    <row r="13" spans="1:10">
      <c r="A13" s="869" t="s">
        <v>9603</v>
      </c>
      <c r="J13" s="78"/>
    </row>
    <row r="14" spans="1:10">
      <c r="A14" s="822" t="s">
        <v>9604</v>
      </c>
      <c r="J14" s="78"/>
    </row>
    <row r="15" spans="1:10">
      <c r="A15" s="822" t="s">
        <v>9605</v>
      </c>
      <c r="J15" s="78"/>
    </row>
    <row r="16" spans="1:10">
      <c r="A16" s="822" t="s">
        <v>9606</v>
      </c>
      <c r="J16" s="78"/>
    </row>
    <row r="17" spans="1:10">
      <c r="A17" s="822" t="s">
        <v>9607</v>
      </c>
      <c r="J17" s="78"/>
    </row>
    <row r="18" spans="1:10">
      <c r="J18" s="78"/>
    </row>
    <row r="19" spans="1:10">
      <c r="A19" s="869" t="s">
        <v>9608</v>
      </c>
      <c r="J19" s="78"/>
    </row>
    <row r="20" spans="1:10">
      <c r="A20" s="822" t="s">
        <v>9609</v>
      </c>
      <c r="J20" s="78"/>
    </row>
    <row r="21" spans="1:10">
      <c r="A21" s="846" t="s">
        <v>9659</v>
      </c>
      <c r="J21" s="78"/>
    </row>
    <row r="22" spans="1:10">
      <c r="A22" s="846" t="s">
        <v>9660</v>
      </c>
      <c r="J22" s="78"/>
    </row>
    <row r="23" spans="1:10">
      <c r="A23" s="846" t="s">
        <v>9873</v>
      </c>
      <c r="J23" s="78"/>
    </row>
    <row r="24" spans="1:10">
      <c r="A24" s="822" t="s">
        <v>9617</v>
      </c>
      <c r="J24" s="78"/>
    </row>
    <row r="25" spans="1:10">
      <c r="A25" s="822" t="s">
        <v>9629</v>
      </c>
      <c r="J25" s="78"/>
    </row>
    <row r="26" spans="1:10">
      <c r="A26" s="822" t="s">
        <v>9618</v>
      </c>
      <c r="J26" s="78"/>
    </row>
    <row r="27" spans="1:10">
      <c r="B27" s="26" t="s">
        <v>9619</v>
      </c>
      <c r="G27" s="26">
        <v>15</v>
      </c>
      <c r="H27" s="26" t="s">
        <v>9620</v>
      </c>
      <c r="J27" s="78"/>
    </row>
    <row r="28" spans="1:10">
      <c r="B28" s="26" t="s">
        <v>9621</v>
      </c>
      <c r="G28" s="26">
        <v>1</v>
      </c>
      <c r="H28" s="26" t="s">
        <v>9620</v>
      </c>
      <c r="J28" s="78"/>
    </row>
    <row r="29" spans="1:10">
      <c r="B29" s="26" t="s">
        <v>9622</v>
      </c>
      <c r="E29" s="26" t="s">
        <v>9623</v>
      </c>
      <c r="F29" s="26" t="s">
        <v>4108</v>
      </c>
      <c r="G29" s="68">
        <f>leadcharges!$D$69</f>
        <v>84</v>
      </c>
      <c r="J29" s="78"/>
    </row>
    <row r="30" spans="1:10">
      <c r="D30" s="26" t="s">
        <v>9624</v>
      </c>
      <c r="F30" s="26" t="s">
        <v>4108</v>
      </c>
      <c r="G30" s="26">
        <f>(15-5)*leadcharges!$D$70</f>
        <v>126</v>
      </c>
      <c r="J30" s="78"/>
    </row>
    <row r="31" spans="1:10">
      <c r="D31" s="26" t="s">
        <v>9625</v>
      </c>
      <c r="F31" s="26" t="s">
        <v>4108</v>
      </c>
      <c r="G31" s="68">
        <f>SUM(G29:G30)</f>
        <v>210</v>
      </c>
      <c r="J31" s="78"/>
    </row>
    <row r="32" spans="1:10">
      <c r="D32" s="26" t="s">
        <v>9626</v>
      </c>
      <c r="F32" s="26" t="s">
        <v>4108</v>
      </c>
      <c r="G32" s="68">
        <f>leadcharges!$D$65</f>
        <v>31.5</v>
      </c>
      <c r="H32" s="26" t="s">
        <v>9628</v>
      </c>
      <c r="J32" s="78"/>
    </row>
    <row r="33" spans="1:10">
      <c r="D33" s="26" t="s">
        <v>9627</v>
      </c>
      <c r="F33" s="26" t="s">
        <v>4108</v>
      </c>
      <c r="G33" s="68">
        <f>G31-G32</f>
        <v>178.5</v>
      </c>
      <c r="J33" s="78"/>
    </row>
    <row r="34" spans="1:10">
      <c r="J34" s="78"/>
    </row>
    <row r="35" spans="1:10">
      <c r="J35" s="78"/>
    </row>
    <row r="36" spans="1:10">
      <c r="A36" s="822" t="s">
        <v>9874</v>
      </c>
      <c r="J36" s="78"/>
    </row>
    <row r="37" spans="1:10">
      <c r="J37" s="78"/>
    </row>
    <row r="38" spans="1:10">
      <c r="A38" s="846" t="s">
        <v>9667</v>
      </c>
      <c r="J38" s="78"/>
    </row>
    <row r="39" spans="1:10">
      <c r="A39" s="846" t="s">
        <v>9630</v>
      </c>
      <c r="J39" s="78"/>
    </row>
    <row r="40" spans="1:10">
      <c r="A40" s="822" t="s">
        <v>9632</v>
      </c>
      <c r="J40" s="78"/>
    </row>
    <row r="41" spans="1:10">
      <c r="A41" s="822" t="s">
        <v>9618</v>
      </c>
      <c r="J41" s="78"/>
    </row>
    <row r="42" spans="1:10">
      <c r="B42" s="26" t="s">
        <v>9631</v>
      </c>
      <c r="G42" s="26">
        <v>15</v>
      </c>
      <c r="H42" s="26" t="s">
        <v>9620</v>
      </c>
      <c r="J42" s="78"/>
    </row>
    <row r="43" spans="1:10">
      <c r="B43" s="26" t="s">
        <v>9621</v>
      </c>
      <c r="G43" s="26">
        <v>1</v>
      </c>
      <c r="H43" s="26" t="s">
        <v>9620</v>
      </c>
      <c r="J43" s="78"/>
    </row>
    <row r="44" spans="1:10">
      <c r="B44" s="26" t="s">
        <v>9622</v>
      </c>
      <c r="E44" s="26" t="s">
        <v>9623</v>
      </c>
      <c r="F44" s="26" t="s">
        <v>4108</v>
      </c>
      <c r="G44" s="68">
        <f>leadcharges!$D$69</f>
        <v>84</v>
      </c>
      <c r="J44" s="78"/>
    </row>
    <row r="45" spans="1:10">
      <c r="D45" s="26" t="s">
        <v>9624</v>
      </c>
      <c r="F45" s="26" t="s">
        <v>4108</v>
      </c>
      <c r="G45" s="26">
        <f>(15-5)*leadcharges!$D$70</f>
        <v>126</v>
      </c>
      <c r="J45" s="78"/>
    </row>
    <row r="46" spans="1:10">
      <c r="D46" s="26" t="s">
        <v>9625</v>
      </c>
      <c r="F46" s="26" t="s">
        <v>4108</v>
      </c>
      <c r="G46" s="68">
        <f>SUM(G44:G45)</f>
        <v>210</v>
      </c>
      <c r="J46" s="78"/>
    </row>
    <row r="47" spans="1:10">
      <c r="D47" s="26" t="s">
        <v>9626</v>
      </c>
      <c r="F47" s="26" t="s">
        <v>4108</v>
      </c>
      <c r="G47" s="68">
        <f>leadcharges!$D$65</f>
        <v>31.5</v>
      </c>
      <c r="H47" s="26" t="s">
        <v>9628</v>
      </c>
      <c r="J47" s="78"/>
    </row>
    <row r="48" spans="1:10">
      <c r="D48" s="26" t="s">
        <v>9627</v>
      </c>
      <c r="F48" s="26" t="s">
        <v>4108</v>
      </c>
      <c r="G48" s="68">
        <f>G46-G47</f>
        <v>178.5</v>
      </c>
      <c r="J48" s="78"/>
    </row>
    <row r="49" spans="1:10">
      <c r="J49" s="78"/>
    </row>
    <row r="50" spans="1:10">
      <c r="A50" s="822" t="s">
        <v>9682</v>
      </c>
      <c r="J50" s="78"/>
    </row>
    <row r="51" spans="1:10">
      <c r="A51" s="822" t="s">
        <v>9683</v>
      </c>
      <c r="J51" s="78"/>
    </row>
    <row r="52" spans="1:10">
      <c r="J52" s="78"/>
    </row>
    <row r="53" spans="1:10">
      <c r="E53" s="170" t="s">
        <v>9658</v>
      </c>
      <c r="J53" s="78"/>
    </row>
    <row r="54" spans="1:10">
      <c r="J54" s="78"/>
    </row>
    <row r="55" spans="1:10">
      <c r="J55" s="78"/>
    </row>
    <row r="56" spans="1:10">
      <c r="A56" s="822" t="s">
        <v>7040</v>
      </c>
      <c r="B56" s="170" t="s">
        <v>3595</v>
      </c>
      <c r="J56" s="78"/>
    </row>
    <row r="57" spans="1:10">
      <c r="J57" s="78"/>
    </row>
    <row r="58" spans="1:10" ht="18.75">
      <c r="A58" s="822" t="s">
        <v>7041</v>
      </c>
      <c r="B58" s="26" t="s">
        <v>8372</v>
      </c>
      <c r="J58" s="78"/>
    </row>
    <row r="59" spans="1:10">
      <c r="B59" s="26" t="s">
        <v>8373</v>
      </c>
      <c r="J59" s="78"/>
    </row>
    <row r="60" spans="1:10">
      <c r="B60" s="26" t="s">
        <v>1912</v>
      </c>
      <c r="J60" s="78"/>
    </row>
    <row r="61" spans="1:10" ht="18.75">
      <c r="B61" s="26" t="s">
        <v>8374</v>
      </c>
      <c r="J61" s="78"/>
    </row>
    <row r="62" spans="1:10">
      <c r="B62" s="170" t="s">
        <v>2873</v>
      </c>
      <c r="J62" s="78"/>
    </row>
    <row r="63" spans="1:10" hidden="1">
      <c r="A63" s="822" t="s">
        <v>3984</v>
      </c>
      <c r="B63" s="26" t="s">
        <v>602</v>
      </c>
      <c r="G63" s="171" t="s">
        <v>1697</v>
      </c>
      <c r="H63" s="68">
        <v>0.85</v>
      </c>
      <c r="I63" s="26" t="s">
        <v>3477</v>
      </c>
      <c r="J63" s="78"/>
    </row>
    <row r="64" spans="1:10" hidden="1">
      <c r="B64" s="26" t="s">
        <v>603</v>
      </c>
      <c r="G64" s="171" t="s">
        <v>1697</v>
      </c>
      <c r="H64" s="68">
        <v>1</v>
      </c>
      <c r="I64" s="26" t="s">
        <v>3477</v>
      </c>
      <c r="J64" s="78"/>
    </row>
    <row r="65" spans="2:10" hidden="1">
      <c r="B65" s="26" t="s">
        <v>2981</v>
      </c>
      <c r="G65" s="171" t="s">
        <v>1697</v>
      </c>
      <c r="H65" s="68">
        <v>5</v>
      </c>
      <c r="I65" s="26" t="s">
        <v>3477</v>
      </c>
      <c r="J65" s="78"/>
    </row>
    <row r="66" spans="2:10" hidden="1">
      <c r="B66" s="26" t="s">
        <v>605</v>
      </c>
      <c r="G66" s="171" t="s">
        <v>2982</v>
      </c>
      <c r="H66" s="68">
        <v>1</v>
      </c>
      <c r="I66" s="26" t="s">
        <v>2983</v>
      </c>
      <c r="J66" s="78"/>
    </row>
    <row r="67" spans="2:10" hidden="1">
      <c r="B67" s="26" t="s">
        <v>4171</v>
      </c>
      <c r="G67" s="171" t="s">
        <v>1697</v>
      </c>
      <c r="H67" s="68">
        <v>15</v>
      </c>
      <c r="I67" s="26" t="s">
        <v>408</v>
      </c>
      <c r="J67" s="78"/>
    </row>
    <row r="68" spans="2:10" hidden="1">
      <c r="B68" s="26" t="s">
        <v>3736</v>
      </c>
      <c r="G68" s="171" t="s">
        <v>1697</v>
      </c>
      <c r="H68" s="68">
        <v>20</v>
      </c>
      <c r="I68" s="26" t="s">
        <v>3433</v>
      </c>
      <c r="J68" s="78"/>
    </row>
    <row r="69" spans="2:10" hidden="1">
      <c r="B69" s="26" t="s">
        <v>3985</v>
      </c>
      <c r="G69" s="171" t="s">
        <v>1697</v>
      </c>
      <c r="H69" s="68">
        <v>2</v>
      </c>
      <c r="I69" s="26" t="s">
        <v>1433</v>
      </c>
      <c r="J69" s="78"/>
    </row>
    <row r="70" spans="2:10" hidden="1">
      <c r="B70" s="26" t="s">
        <v>4030</v>
      </c>
      <c r="G70" s="171" t="s">
        <v>1697</v>
      </c>
      <c r="H70" s="68">
        <v>20</v>
      </c>
      <c r="I70" s="26" t="s">
        <v>3562</v>
      </c>
      <c r="J70" s="78"/>
    </row>
    <row r="71" spans="2:10" hidden="1">
      <c r="B71" s="26" t="s">
        <v>3737</v>
      </c>
      <c r="H71" s="68">
        <v>0.83</v>
      </c>
      <c r="I71" s="26" t="s">
        <v>6901</v>
      </c>
      <c r="J71" s="78"/>
    </row>
    <row r="72" spans="2:10" hidden="1">
      <c r="B72" s="26" t="s">
        <v>3738</v>
      </c>
      <c r="G72" s="171" t="s">
        <v>1697</v>
      </c>
      <c r="H72" s="68">
        <v>4.17</v>
      </c>
      <c r="I72" s="26" t="s">
        <v>6901</v>
      </c>
      <c r="J72" s="78"/>
    </row>
    <row r="73" spans="2:10" hidden="1">
      <c r="B73" s="26" t="s">
        <v>7221</v>
      </c>
      <c r="G73" s="171" t="s">
        <v>1602</v>
      </c>
      <c r="H73" s="68">
        <v>5</v>
      </c>
      <c r="I73" s="26" t="s">
        <v>4932</v>
      </c>
      <c r="J73" s="78"/>
    </row>
    <row r="74" spans="2:10" hidden="1">
      <c r="B74" s="26" t="s">
        <v>808</v>
      </c>
      <c r="G74" s="171" t="s">
        <v>1697</v>
      </c>
      <c r="H74" s="68">
        <v>1.67</v>
      </c>
      <c r="I74" s="26" t="s">
        <v>1433</v>
      </c>
      <c r="J74" s="78"/>
    </row>
    <row r="75" spans="2:10" hidden="1">
      <c r="B75" s="26" t="s">
        <v>1901</v>
      </c>
      <c r="J75" s="78"/>
    </row>
    <row r="76" spans="2:10" hidden="1">
      <c r="B76" s="26" t="s">
        <v>1902</v>
      </c>
      <c r="J76" s="78"/>
    </row>
    <row r="77" spans="2:10" hidden="1">
      <c r="B77" s="26" t="s">
        <v>1903</v>
      </c>
      <c r="J77" s="78"/>
    </row>
    <row r="78" spans="2:10" hidden="1">
      <c r="B78" s="26" t="s">
        <v>1262</v>
      </c>
      <c r="J78" s="78"/>
    </row>
    <row r="79" spans="2:10" hidden="1">
      <c r="B79" s="26" t="s">
        <v>1263</v>
      </c>
      <c r="J79" s="78"/>
    </row>
    <row r="80" spans="2:10" hidden="1">
      <c r="B80" s="26" t="s">
        <v>6658</v>
      </c>
      <c r="G80" s="171" t="s">
        <v>2806</v>
      </c>
      <c r="H80" s="68">
        <v>2</v>
      </c>
      <c r="I80" s="26" t="s">
        <v>1433</v>
      </c>
      <c r="J80" s="78"/>
    </row>
    <row r="81" spans="2:10" hidden="1">
      <c r="B81" s="26" t="s">
        <v>6659</v>
      </c>
      <c r="H81" s="68"/>
      <c r="J81" s="78"/>
    </row>
    <row r="82" spans="2:10" hidden="1">
      <c r="B82" s="26" t="s">
        <v>624</v>
      </c>
      <c r="G82" s="171" t="s">
        <v>1697</v>
      </c>
      <c r="H82" s="68">
        <v>2</v>
      </c>
      <c r="I82" s="26" t="s">
        <v>1433</v>
      </c>
      <c r="J82" s="78"/>
    </row>
    <row r="83" spans="2:10" hidden="1">
      <c r="B83" s="26" t="s">
        <v>762</v>
      </c>
      <c r="G83" s="171" t="s">
        <v>1697</v>
      </c>
      <c r="H83" s="68">
        <v>4</v>
      </c>
      <c r="I83" s="26" t="s">
        <v>1433</v>
      </c>
      <c r="J83" s="78"/>
    </row>
    <row r="84" spans="2:10" hidden="1">
      <c r="B84" s="26" t="s">
        <v>705</v>
      </c>
      <c r="G84" s="171" t="s">
        <v>1697</v>
      </c>
      <c r="H84" s="68">
        <v>2</v>
      </c>
      <c r="I84" s="26" t="s">
        <v>1433</v>
      </c>
      <c r="J84" s="78"/>
    </row>
    <row r="85" spans="2:10" hidden="1">
      <c r="B85" s="26" t="s">
        <v>3918</v>
      </c>
      <c r="G85" s="171" t="s">
        <v>1697</v>
      </c>
      <c r="H85" s="68">
        <v>3</v>
      </c>
      <c r="I85" s="26" t="s">
        <v>1433</v>
      </c>
      <c r="J85" s="78"/>
    </row>
    <row r="86" spans="2:10" hidden="1">
      <c r="B86" s="26" t="s">
        <v>263</v>
      </c>
      <c r="G86" s="172" t="s">
        <v>1697</v>
      </c>
      <c r="H86" s="173">
        <v>0.5</v>
      </c>
      <c r="I86" s="174" t="s">
        <v>1433</v>
      </c>
      <c r="J86" s="78"/>
    </row>
    <row r="87" spans="2:10" hidden="1">
      <c r="G87" s="26" t="s">
        <v>1518</v>
      </c>
      <c r="H87" s="68">
        <f>SUM(H82:H86)</f>
        <v>11.5</v>
      </c>
      <c r="I87" s="26" t="s">
        <v>1433</v>
      </c>
      <c r="J87" s="78"/>
    </row>
    <row r="88" spans="2:10" hidden="1">
      <c r="B88" s="26" t="s">
        <v>6660</v>
      </c>
      <c r="H88" s="68">
        <f>H87/H80</f>
        <v>5.75</v>
      </c>
      <c r="I88" s="26" t="s">
        <v>3436</v>
      </c>
      <c r="J88" s="78"/>
    </row>
    <row r="89" spans="2:10" hidden="1">
      <c r="B89" s="26" t="s">
        <v>6661</v>
      </c>
      <c r="H89" s="68">
        <v>18.13</v>
      </c>
      <c r="I89" s="26" t="s">
        <v>6901</v>
      </c>
      <c r="J89" s="78"/>
    </row>
    <row r="90" spans="2:10" hidden="1">
      <c r="B90" s="26" t="s">
        <v>6662</v>
      </c>
      <c r="H90" s="68">
        <v>834</v>
      </c>
      <c r="I90" s="26" t="s">
        <v>6901</v>
      </c>
      <c r="J90" s="78"/>
    </row>
    <row r="91" spans="2:10" hidden="1">
      <c r="B91" s="26" t="s">
        <v>6663</v>
      </c>
      <c r="J91" s="78"/>
    </row>
    <row r="92" spans="2:10" hidden="1">
      <c r="B92" s="26" t="s">
        <v>1264</v>
      </c>
      <c r="I92" s="68"/>
      <c r="J92" s="78"/>
    </row>
    <row r="93" spans="2:10" hidden="1">
      <c r="B93" s="26" t="s">
        <v>521</v>
      </c>
      <c r="J93" s="78"/>
    </row>
    <row r="94" spans="2:10" hidden="1">
      <c r="B94" s="26" t="s">
        <v>522</v>
      </c>
      <c r="H94" s="26">
        <v>880</v>
      </c>
      <c r="I94" s="26" t="s">
        <v>3477</v>
      </c>
      <c r="J94" s="78"/>
    </row>
    <row r="95" spans="2:10" hidden="1">
      <c r="B95" s="26" t="s">
        <v>5115</v>
      </c>
      <c r="J95" s="78"/>
    </row>
    <row r="96" spans="2:10" hidden="1">
      <c r="B96" s="26" t="s">
        <v>5116</v>
      </c>
      <c r="F96" s="26" t="s">
        <v>5336</v>
      </c>
      <c r="J96" s="78"/>
    </row>
    <row r="97" spans="1:10" hidden="1">
      <c r="B97" s="26" t="s">
        <v>296</v>
      </c>
      <c r="J97" s="78"/>
    </row>
    <row r="98" spans="1:10">
      <c r="J98" s="78"/>
    </row>
    <row r="99" spans="1:10">
      <c r="A99" s="822" t="s">
        <v>3984</v>
      </c>
      <c r="F99" s="170" t="s">
        <v>2367</v>
      </c>
      <c r="J99" s="78"/>
    </row>
    <row r="100" spans="1:10">
      <c r="J100" s="78"/>
    </row>
    <row r="101" spans="1:10">
      <c r="B101" s="170" t="s">
        <v>2368</v>
      </c>
      <c r="H101" s="171" t="s">
        <v>3476</v>
      </c>
      <c r="J101" s="78"/>
    </row>
    <row r="102" spans="1:10">
      <c r="B102" s="174"/>
      <c r="C102" s="89"/>
      <c r="D102" s="174"/>
      <c r="E102" s="174"/>
      <c r="F102" s="31"/>
      <c r="G102" s="31"/>
      <c r="H102" s="170">
        <f>H94</f>
        <v>880</v>
      </c>
      <c r="I102" s="26" t="s">
        <v>3477</v>
      </c>
      <c r="J102" s="78"/>
    </row>
    <row r="103" spans="1:10">
      <c r="B103" s="95" t="s">
        <v>2369</v>
      </c>
      <c r="C103" s="1223" t="s">
        <v>4443</v>
      </c>
      <c r="D103" s="1224"/>
      <c r="E103" s="1224"/>
      <c r="F103" s="95" t="s">
        <v>2370</v>
      </c>
      <c r="G103" s="95" t="s">
        <v>1166</v>
      </c>
      <c r="H103" s="175" t="s">
        <v>6664</v>
      </c>
      <c r="I103" s="95" t="s">
        <v>6665</v>
      </c>
      <c r="J103" s="78"/>
    </row>
    <row r="104" spans="1:10">
      <c r="B104" s="93"/>
      <c r="C104" s="139"/>
      <c r="D104" s="177"/>
      <c r="E104" s="177"/>
      <c r="F104" s="105"/>
      <c r="G104" s="105"/>
      <c r="H104" s="33" t="s">
        <v>3856</v>
      </c>
      <c r="I104" s="105" t="s">
        <v>3857</v>
      </c>
      <c r="J104" s="78"/>
    </row>
    <row r="105" spans="1:10">
      <c r="B105" s="157">
        <v>1</v>
      </c>
      <c r="C105" s="135"/>
      <c r="D105" s="31"/>
      <c r="E105" s="31" t="s">
        <v>6976</v>
      </c>
      <c r="F105" s="178"/>
      <c r="G105" s="179">
        <v>0</v>
      </c>
      <c r="H105" s="180">
        <v>0</v>
      </c>
      <c r="I105" s="84">
        <f>H105*G105</f>
        <v>0</v>
      </c>
      <c r="J105" s="78"/>
    </row>
    <row r="106" spans="1:10">
      <c r="B106" s="154"/>
      <c r="C106" s="139"/>
      <c r="D106" s="174"/>
      <c r="E106" s="174"/>
      <c r="F106" s="181"/>
      <c r="G106" s="182">
        <v>0</v>
      </c>
      <c r="H106" s="183">
        <v>0</v>
      </c>
      <c r="I106" s="84">
        <f>H106*G106</f>
        <v>0</v>
      </c>
      <c r="J106" s="78"/>
    </row>
    <row r="107" spans="1:10">
      <c r="B107" s="184"/>
      <c r="C107" s="89"/>
      <c r="D107" s="159"/>
      <c r="E107" s="159" t="s">
        <v>2376</v>
      </c>
      <c r="F107" s="174"/>
      <c r="G107" s="159"/>
      <c r="H107" s="159" t="s">
        <v>1698</v>
      </c>
      <c r="I107" s="185">
        <f>SUM(I105:I106)</f>
        <v>0</v>
      </c>
      <c r="J107" s="186"/>
    </row>
    <row r="108" spans="1:10">
      <c r="B108" s="31"/>
      <c r="C108" s="76"/>
      <c r="D108" s="31"/>
      <c r="E108" s="31"/>
      <c r="F108" s="31"/>
      <c r="G108" s="31"/>
      <c r="H108" s="31"/>
      <c r="I108" s="31"/>
      <c r="J108" s="33"/>
    </row>
    <row r="109" spans="1:10">
      <c r="B109" s="170" t="s">
        <v>2377</v>
      </c>
      <c r="J109" s="78"/>
    </row>
    <row r="110" spans="1:10">
      <c r="C110" s="89"/>
      <c r="J110" s="78"/>
    </row>
    <row r="111" spans="1:10">
      <c r="B111" s="157" t="s">
        <v>2369</v>
      </c>
      <c r="C111" s="135"/>
      <c r="D111" s="187" t="s">
        <v>2378</v>
      </c>
      <c r="E111" s="97"/>
      <c r="F111" s="175" t="s">
        <v>2370</v>
      </c>
      <c r="G111" s="95" t="s">
        <v>1166</v>
      </c>
      <c r="H111" s="95" t="s">
        <v>6664</v>
      </c>
      <c r="I111" s="97" t="s">
        <v>6665</v>
      </c>
      <c r="J111" s="78"/>
    </row>
    <row r="112" spans="1:10">
      <c r="B112" s="114"/>
      <c r="C112" s="139"/>
      <c r="D112" s="188"/>
      <c r="E112" s="115"/>
      <c r="F112" s="188"/>
      <c r="G112" s="114"/>
      <c r="H112" s="114" t="s">
        <v>3856</v>
      </c>
      <c r="I112" s="115" t="s">
        <v>3857</v>
      </c>
      <c r="J112" s="78"/>
    </row>
    <row r="113" spans="2:10">
      <c r="B113" s="105">
        <v>1</v>
      </c>
      <c r="C113" s="135" t="s">
        <v>298</v>
      </c>
      <c r="D113" s="31"/>
      <c r="E113" s="189"/>
      <c r="F113" s="31" t="s">
        <v>2374</v>
      </c>
      <c r="G113" s="190">
        <v>8</v>
      </c>
      <c r="H113" s="190">
        <f>'HIRE CHARGES'!$D$543</f>
        <v>1706.6</v>
      </c>
      <c r="I113" s="155">
        <f t="shared" ref="I113:I118" si="0">ROUND(H113*G113,2)</f>
        <v>13652.8</v>
      </c>
      <c r="J113" s="78"/>
    </row>
    <row r="114" spans="2:10">
      <c r="B114" s="105"/>
      <c r="C114" s="135" t="s">
        <v>2379</v>
      </c>
      <c r="D114" s="31"/>
      <c r="E114" s="189"/>
      <c r="F114" s="31" t="s">
        <v>2374</v>
      </c>
      <c r="G114" s="190">
        <v>8</v>
      </c>
      <c r="H114" s="190">
        <f>'HIRE CHARGES'!$E$543</f>
        <v>872.7</v>
      </c>
      <c r="I114" s="155">
        <f t="shared" si="0"/>
        <v>6981.6</v>
      </c>
      <c r="J114" s="78"/>
    </row>
    <row r="115" spans="2:10">
      <c r="B115" s="105">
        <v>2</v>
      </c>
      <c r="C115" s="135" t="s">
        <v>6700</v>
      </c>
      <c r="D115" s="31"/>
      <c r="E115" s="189"/>
      <c r="F115" s="31" t="s">
        <v>2374</v>
      </c>
      <c r="G115" s="190">
        <v>48</v>
      </c>
      <c r="H115" s="190">
        <f>'HIRE CHARGES'!$D$525</f>
        <v>580.69999999999993</v>
      </c>
      <c r="I115" s="155">
        <f t="shared" si="0"/>
        <v>27873.599999999999</v>
      </c>
      <c r="J115" s="78"/>
    </row>
    <row r="116" spans="2:10">
      <c r="B116" s="105"/>
      <c r="C116" s="135" t="s">
        <v>2379</v>
      </c>
      <c r="D116" s="31"/>
      <c r="E116" s="189"/>
      <c r="F116" s="31" t="s">
        <v>2374</v>
      </c>
      <c r="G116" s="190">
        <v>48</v>
      </c>
      <c r="H116" s="190">
        <f>'HIRE CHARGES'!$E$525</f>
        <v>399.9</v>
      </c>
      <c r="I116" s="155">
        <f t="shared" si="0"/>
        <v>19195.2</v>
      </c>
      <c r="J116" s="78"/>
    </row>
    <row r="117" spans="2:10">
      <c r="B117" s="105">
        <v>3</v>
      </c>
      <c r="C117" s="135" t="s">
        <v>5044</v>
      </c>
      <c r="D117" s="31"/>
      <c r="E117" s="189"/>
      <c r="F117" s="31" t="s">
        <v>2374</v>
      </c>
      <c r="G117" s="190">
        <v>8</v>
      </c>
      <c r="H117" s="190">
        <f>'HIRE CHARGES'!$D$545</f>
        <v>446.7</v>
      </c>
      <c r="I117" s="155">
        <f t="shared" si="0"/>
        <v>3573.6</v>
      </c>
      <c r="J117" s="78"/>
    </row>
    <row r="118" spans="2:10">
      <c r="B118" s="191"/>
      <c r="C118" s="139" t="s">
        <v>2379</v>
      </c>
      <c r="D118" s="174"/>
      <c r="E118" s="192"/>
      <c r="F118" s="174" t="s">
        <v>2374</v>
      </c>
      <c r="G118" s="182">
        <v>8</v>
      </c>
      <c r="H118" s="182">
        <f>'HIRE CHARGES'!$E$545</f>
        <v>299.89999999999998</v>
      </c>
      <c r="I118" s="155">
        <f t="shared" si="0"/>
        <v>2399.1999999999998</v>
      </c>
      <c r="J118" s="78"/>
    </row>
    <row r="119" spans="2:10">
      <c r="B119" s="184"/>
      <c r="C119" s="151"/>
      <c r="D119" s="159"/>
      <c r="E119" s="159" t="s">
        <v>2380</v>
      </c>
      <c r="F119" s="159"/>
      <c r="G119" s="159"/>
      <c r="H119" s="193" t="s">
        <v>1698</v>
      </c>
      <c r="I119" s="194">
        <f>ROUND(SUM(I113:I118),2)</f>
        <v>73676</v>
      </c>
      <c r="J119" s="186"/>
    </row>
    <row r="120" spans="2:10">
      <c r="B120" s="31"/>
      <c r="C120" s="76"/>
      <c r="D120" s="31"/>
      <c r="E120" s="31"/>
      <c r="F120" s="31"/>
      <c r="G120" s="31"/>
      <c r="H120" s="31"/>
      <c r="I120" s="31"/>
      <c r="J120" s="78"/>
    </row>
    <row r="121" spans="2:10">
      <c r="B121" s="170" t="s">
        <v>2381</v>
      </c>
      <c r="J121" s="78"/>
    </row>
    <row r="122" spans="2:10">
      <c r="J122" s="78"/>
    </row>
    <row r="123" spans="2:10">
      <c r="B123" s="107" t="s">
        <v>2369</v>
      </c>
      <c r="C123" s="131" t="s">
        <v>2378</v>
      </c>
      <c r="D123" s="187"/>
      <c r="E123" s="195"/>
      <c r="F123" s="195" t="s">
        <v>2370</v>
      </c>
      <c r="G123" s="107" t="s">
        <v>1166</v>
      </c>
      <c r="H123" s="107" t="s">
        <v>6664</v>
      </c>
      <c r="I123" s="195" t="s">
        <v>6665</v>
      </c>
      <c r="J123" s="78"/>
    </row>
    <row r="124" spans="2:10">
      <c r="B124" s="191"/>
      <c r="C124" s="139"/>
      <c r="D124" s="174"/>
      <c r="E124" s="192"/>
      <c r="F124" s="192"/>
      <c r="G124" s="191"/>
      <c r="H124" s="191" t="s">
        <v>3856</v>
      </c>
      <c r="I124" s="192" t="s">
        <v>3857</v>
      </c>
      <c r="J124" s="78"/>
    </row>
    <row r="125" spans="2:10">
      <c r="B125" s="95">
        <v>1</v>
      </c>
      <c r="C125" s="131" t="s">
        <v>300</v>
      </c>
      <c r="D125" s="187"/>
      <c r="E125" s="195"/>
      <c r="F125" s="195" t="s">
        <v>2374</v>
      </c>
      <c r="G125" s="196">
        <v>8</v>
      </c>
      <c r="H125" s="179">
        <f>'HIRE CHARGES'!$F$543</f>
        <v>236.6</v>
      </c>
      <c r="I125" s="155">
        <f>ROUND(H125*G125,2)</f>
        <v>1892.8</v>
      </c>
      <c r="J125" s="78"/>
    </row>
    <row r="126" spans="2:10">
      <c r="B126" s="105">
        <v>2</v>
      </c>
      <c r="C126" s="135" t="s">
        <v>4585</v>
      </c>
      <c r="D126" s="31"/>
      <c r="E126" s="189"/>
      <c r="F126" s="189" t="s">
        <v>2374</v>
      </c>
      <c r="G126" s="197">
        <v>48</v>
      </c>
      <c r="H126" s="190">
        <f>'HIRE CHARGES'!$F$525</f>
        <v>227.1</v>
      </c>
      <c r="I126" s="155">
        <f>ROUND(H126*G126,2)</f>
        <v>10900.8</v>
      </c>
      <c r="J126" s="78"/>
    </row>
    <row r="127" spans="2:10">
      <c r="B127" s="105">
        <v>3</v>
      </c>
      <c r="C127" s="135" t="s">
        <v>301</v>
      </c>
      <c r="D127" s="31"/>
      <c r="E127" s="189"/>
      <c r="F127" s="189" t="s">
        <v>2374</v>
      </c>
      <c r="G127" s="197">
        <v>8</v>
      </c>
      <c r="H127" s="190">
        <f>'HIRE CHARGES'!$F$545</f>
        <v>177.5</v>
      </c>
      <c r="I127" s="155">
        <f>ROUND(H127*G127,2)</f>
        <v>1420</v>
      </c>
      <c r="J127" s="78"/>
    </row>
    <row r="128" spans="2:10">
      <c r="B128" s="105">
        <v>4</v>
      </c>
      <c r="C128" s="135" t="s">
        <v>4206</v>
      </c>
      <c r="D128" s="31"/>
      <c r="E128" s="189"/>
      <c r="F128" s="189" t="s">
        <v>1172</v>
      </c>
      <c r="G128" s="197">
        <v>1</v>
      </c>
      <c r="H128" s="190">
        <f>'BASIC DATA'!$C$473</f>
        <v>450</v>
      </c>
      <c r="I128" s="155">
        <f>ROUND(H128*G128,2)</f>
        <v>450</v>
      </c>
      <c r="J128" s="78"/>
    </row>
    <row r="129" spans="2:10">
      <c r="B129" s="105">
        <v>5</v>
      </c>
      <c r="C129" s="135" t="s">
        <v>2697</v>
      </c>
      <c r="D129" s="31"/>
      <c r="E129" s="189"/>
      <c r="F129" s="189" t="s">
        <v>1172</v>
      </c>
      <c r="G129" s="197">
        <v>16</v>
      </c>
      <c r="H129" s="190">
        <f>'BASIC DATA'!$C$552</f>
        <v>350</v>
      </c>
      <c r="I129" s="155">
        <f>ROUND(H129*G129,2)</f>
        <v>5600</v>
      </c>
      <c r="J129" s="78"/>
    </row>
    <row r="130" spans="2:10">
      <c r="B130" s="184"/>
      <c r="C130" s="151"/>
      <c r="D130" s="159"/>
      <c r="E130" s="159"/>
      <c r="F130" s="159" t="s">
        <v>1174</v>
      </c>
      <c r="G130" s="159"/>
      <c r="H130" s="193" t="s">
        <v>1698</v>
      </c>
      <c r="I130" s="194">
        <f>ROUND(SUM(I125:I129),2)</f>
        <v>20263.599999999999</v>
      </c>
      <c r="J130" s="78"/>
    </row>
    <row r="131" spans="2:10">
      <c r="B131" s="60" t="s">
        <v>5948</v>
      </c>
      <c r="C131" s="76"/>
      <c r="D131" s="31"/>
      <c r="E131" s="31"/>
      <c r="F131" s="31"/>
      <c r="G131" s="85">
        <f>ROUND((I130/H102),1)</f>
        <v>23</v>
      </c>
      <c r="J131" s="78"/>
    </row>
    <row r="132" spans="2:10">
      <c r="B132" s="60" t="s">
        <v>3163</v>
      </c>
      <c r="C132" s="76"/>
      <c r="D132" s="31"/>
      <c r="E132" s="31"/>
      <c r="F132" s="922">
        <f>'BASIC DATA'!$C$577</f>
        <v>0.13614999999999999</v>
      </c>
      <c r="G132" s="85">
        <f>ROUND((G131*F132),1)</f>
        <v>3.1</v>
      </c>
      <c r="J132" s="78"/>
    </row>
    <row r="133" spans="2:10">
      <c r="B133" s="60" t="s">
        <v>5949</v>
      </c>
      <c r="C133" s="76"/>
      <c r="D133" s="31"/>
      <c r="E133" s="31"/>
      <c r="F133" s="31"/>
      <c r="G133" s="199">
        <f>ROUND((G132+G131),1)</f>
        <v>26.1</v>
      </c>
      <c r="J133" s="78"/>
    </row>
    <row r="134" spans="2:10">
      <c r="B134" s="31"/>
      <c r="C134" s="76"/>
      <c r="D134" s="31"/>
      <c r="E134" s="31"/>
      <c r="F134" s="31"/>
      <c r="G134" s="31"/>
      <c r="I134" s="200"/>
      <c r="J134" s="33"/>
    </row>
    <row r="135" spans="2:10">
      <c r="B135" s="170" t="s">
        <v>1175</v>
      </c>
      <c r="G135" s="31"/>
      <c r="J135" s="78"/>
    </row>
    <row r="136" spans="2:10">
      <c r="B136" s="26" t="s">
        <v>1176</v>
      </c>
      <c r="H136" s="171" t="s">
        <v>1698</v>
      </c>
      <c r="I136" s="117">
        <f>ROUND(I107,2)</f>
        <v>0</v>
      </c>
      <c r="J136" s="186"/>
    </row>
    <row r="137" spans="2:10">
      <c r="B137" s="26" t="s">
        <v>1186</v>
      </c>
      <c r="H137" s="171" t="s">
        <v>1698</v>
      </c>
      <c r="I137" s="117">
        <f>ROUND(I119,2)</f>
        <v>73676</v>
      </c>
      <c r="J137" s="186"/>
    </row>
    <row r="138" spans="2:10">
      <c r="B138" s="26" t="s">
        <v>2660</v>
      </c>
      <c r="H138" s="171" t="s">
        <v>1698</v>
      </c>
      <c r="I138" s="85">
        <f>ROUND(I130,2)</f>
        <v>20263.599999999999</v>
      </c>
      <c r="J138" s="78"/>
    </row>
    <row r="139" spans="2:10">
      <c r="F139" s="171" t="s">
        <v>1518</v>
      </c>
      <c r="H139" s="171" t="s">
        <v>1698</v>
      </c>
      <c r="I139" s="130">
        <f>ROUND(SUM(I136:I138),2)</f>
        <v>93939.6</v>
      </c>
      <c r="J139" s="186"/>
    </row>
    <row r="140" spans="2:10" ht="18.75">
      <c r="B140" s="1207" t="s">
        <v>8375</v>
      </c>
      <c r="C140" s="1207"/>
      <c r="D140" s="1207"/>
      <c r="E140" s="1207"/>
      <c r="F140" s="1207"/>
      <c r="G140" s="922">
        <f>'BASIC DATA'!$C$577</f>
        <v>0.13614999999999999</v>
      </c>
      <c r="H140" s="171" t="s">
        <v>4108</v>
      </c>
      <c r="I140" s="76">
        <f>ROUND(I139*G140,2)</f>
        <v>12789.88</v>
      </c>
      <c r="J140" s="78"/>
    </row>
    <row r="141" spans="2:10">
      <c r="B141" s="1206" t="s">
        <v>1191</v>
      </c>
      <c r="C141" s="1206"/>
      <c r="D141" s="1206"/>
      <c r="E141" s="1206"/>
      <c r="F141" s="202">
        <f>H102</f>
        <v>880</v>
      </c>
      <c r="G141" s="171" t="str">
        <f>I102</f>
        <v>cum</v>
      </c>
      <c r="H141" s="171" t="s">
        <v>1698</v>
      </c>
      <c r="I141" s="199">
        <f>ROUND((I140+I139),2)</f>
        <v>106729.48</v>
      </c>
      <c r="J141" s="186"/>
    </row>
    <row r="142" spans="2:10">
      <c r="B142" s="1161" t="s">
        <v>3884</v>
      </c>
      <c r="C142" s="1161"/>
      <c r="D142" s="1161"/>
      <c r="E142" s="203" t="str">
        <f>G141</f>
        <v>cum</v>
      </c>
      <c r="F142" s="26" t="s">
        <v>1385</v>
      </c>
      <c r="H142" s="171" t="s">
        <v>1698</v>
      </c>
      <c r="I142" s="204">
        <f>ROUND((I141/F141),1)</f>
        <v>121.3</v>
      </c>
      <c r="J142" s="78"/>
    </row>
    <row r="143" spans="2:10">
      <c r="J143" s="78"/>
    </row>
    <row r="144" spans="2:10">
      <c r="J144" s="78"/>
    </row>
    <row r="145" spans="1:10" ht="18.75">
      <c r="A145" s="822" t="s">
        <v>7042</v>
      </c>
      <c r="B145" s="26" t="s">
        <v>8376</v>
      </c>
      <c r="J145" s="78"/>
    </row>
    <row r="146" spans="1:10">
      <c r="B146" s="26" t="s">
        <v>8377</v>
      </c>
      <c r="J146" s="78"/>
    </row>
    <row r="147" spans="1:10">
      <c r="B147" s="47" t="s">
        <v>3046</v>
      </c>
      <c r="J147" s="78"/>
    </row>
    <row r="148" spans="1:10" ht="18.75">
      <c r="B148" s="26" t="s">
        <v>8378</v>
      </c>
      <c r="J148" s="78"/>
    </row>
    <row r="149" spans="1:10">
      <c r="B149" s="170" t="s">
        <v>1925</v>
      </c>
      <c r="J149" s="78"/>
    </row>
    <row r="150" spans="1:10" hidden="1">
      <c r="A150" s="822" t="s">
        <v>3984</v>
      </c>
      <c r="B150" s="26" t="s">
        <v>602</v>
      </c>
      <c r="G150" s="171" t="s">
        <v>1697</v>
      </c>
      <c r="H150" s="68">
        <v>0.85</v>
      </c>
      <c r="I150" s="26" t="s">
        <v>3477</v>
      </c>
      <c r="J150" s="78"/>
    </row>
    <row r="151" spans="1:10" hidden="1">
      <c r="B151" s="26" t="s">
        <v>603</v>
      </c>
      <c r="G151" s="171" t="s">
        <v>1697</v>
      </c>
      <c r="H151" s="68">
        <v>1</v>
      </c>
      <c r="I151" s="26" t="s">
        <v>3477</v>
      </c>
      <c r="J151" s="78"/>
    </row>
    <row r="152" spans="1:10" hidden="1">
      <c r="B152" s="26" t="s">
        <v>2981</v>
      </c>
      <c r="G152" s="171" t="s">
        <v>1697</v>
      </c>
      <c r="H152" s="68">
        <v>5</v>
      </c>
      <c r="I152" s="26" t="s">
        <v>3477</v>
      </c>
      <c r="J152" s="78"/>
    </row>
    <row r="153" spans="1:10" hidden="1">
      <c r="B153" s="26" t="s">
        <v>5277</v>
      </c>
      <c r="G153" s="171" t="s">
        <v>1697</v>
      </c>
      <c r="H153" s="68">
        <v>1</v>
      </c>
      <c r="I153" s="26" t="s">
        <v>3431</v>
      </c>
      <c r="J153" s="78"/>
    </row>
    <row r="154" spans="1:10" hidden="1">
      <c r="B154" s="26" t="s">
        <v>4171</v>
      </c>
      <c r="G154" s="171" t="s">
        <v>1697</v>
      </c>
      <c r="H154" s="68">
        <v>15</v>
      </c>
      <c r="I154" s="26" t="s">
        <v>6703</v>
      </c>
      <c r="J154" s="78"/>
    </row>
    <row r="155" spans="1:10" hidden="1">
      <c r="B155" s="26" t="s">
        <v>3736</v>
      </c>
      <c r="G155" s="171" t="s">
        <v>1697</v>
      </c>
      <c r="H155" s="68">
        <v>20</v>
      </c>
      <c r="I155" s="26" t="s">
        <v>6703</v>
      </c>
      <c r="J155" s="78"/>
    </row>
    <row r="156" spans="1:10" hidden="1">
      <c r="B156" s="26" t="s">
        <v>3985</v>
      </c>
      <c r="G156" s="171" t="s">
        <v>1697</v>
      </c>
      <c r="H156" s="68">
        <v>2</v>
      </c>
      <c r="I156" s="26" t="s">
        <v>2603</v>
      </c>
      <c r="J156" s="78"/>
    </row>
    <row r="157" spans="1:10" hidden="1">
      <c r="B157" s="26" t="s">
        <v>4030</v>
      </c>
      <c r="G157" s="171" t="s">
        <v>1697</v>
      </c>
      <c r="H157" s="68">
        <v>30</v>
      </c>
      <c r="I157" s="26" t="s">
        <v>3434</v>
      </c>
      <c r="J157" s="78"/>
    </row>
    <row r="158" spans="1:10" hidden="1">
      <c r="B158" s="26" t="s">
        <v>3739</v>
      </c>
      <c r="G158" s="171"/>
      <c r="H158" s="68">
        <v>0.77</v>
      </c>
      <c r="I158" s="26" t="s">
        <v>6901</v>
      </c>
      <c r="J158" s="78"/>
    </row>
    <row r="159" spans="1:10" hidden="1">
      <c r="B159" s="26" t="s">
        <v>2829</v>
      </c>
      <c r="G159" s="171" t="s">
        <v>1697</v>
      </c>
      <c r="H159" s="68">
        <v>3.85</v>
      </c>
      <c r="I159" s="26" t="s">
        <v>6901</v>
      </c>
      <c r="J159" s="78"/>
    </row>
    <row r="160" spans="1:10" hidden="1">
      <c r="B160" s="26" t="s">
        <v>6142</v>
      </c>
      <c r="G160" s="171" t="s">
        <v>1697</v>
      </c>
      <c r="H160" s="68">
        <v>5</v>
      </c>
      <c r="I160" s="26" t="s">
        <v>4932</v>
      </c>
      <c r="J160" s="78"/>
    </row>
    <row r="161" spans="2:10" hidden="1">
      <c r="B161" s="26" t="s">
        <v>6540</v>
      </c>
      <c r="G161" s="171" t="s">
        <v>1697</v>
      </c>
      <c r="H161" s="68">
        <v>2.5</v>
      </c>
      <c r="I161" s="26" t="s">
        <v>2603</v>
      </c>
      <c r="J161" s="78"/>
    </row>
    <row r="162" spans="2:10" hidden="1">
      <c r="B162" s="26" t="s">
        <v>1578</v>
      </c>
      <c r="H162" s="171"/>
      <c r="I162" s="68"/>
      <c r="J162" s="78"/>
    </row>
    <row r="163" spans="2:10" hidden="1">
      <c r="B163" s="26" t="s">
        <v>3047</v>
      </c>
      <c r="H163" s="171"/>
      <c r="I163" s="68"/>
      <c r="J163" s="78"/>
    </row>
    <row r="164" spans="2:10" hidden="1">
      <c r="B164" s="26" t="s">
        <v>3048</v>
      </c>
      <c r="H164" s="171"/>
      <c r="I164" s="68"/>
      <c r="J164" s="78"/>
    </row>
    <row r="165" spans="2:10" hidden="1">
      <c r="B165" s="26" t="s">
        <v>3049</v>
      </c>
      <c r="H165" s="171"/>
      <c r="I165" s="68"/>
      <c r="J165" s="78"/>
    </row>
    <row r="166" spans="2:10" hidden="1">
      <c r="B166" s="26" t="s">
        <v>1964</v>
      </c>
      <c r="H166" s="171"/>
      <c r="I166" s="68"/>
      <c r="J166" s="78"/>
    </row>
    <row r="167" spans="2:10" hidden="1">
      <c r="B167" s="26" t="s">
        <v>1965</v>
      </c>
      <c r="G167" s="171" t="s">
        <v>1697</v>
      </c>
      <c r="H167" s="68">
        <v>3</v>
      </c>
      <c r="I167" s="26" t="s">
        <v>2603</v>
      </c>
      <c r="J167" s="78"/>
    </row>
    <row r="168" spans="2:10" hidden="1">
      <c r="B168" s="26" t="s">
        <v>2795</v>
      </c>
      <c r="G168" s="171" t="s">
        <v>1697</v>
      </c>
      <c r="H168" s="68"/>
      <c r="J168" s="78"/>
    </row>
    <row r="169" spans="2:10" hidden="1">
      <c r="B169" s="26" t="s">
        <v>3258</v>
      </c>
      <c r="G169" s="171" t="s">
        <v>1697</v>
      </c>
      <c r="H169" s="68">
        <v>3</v>
      </c>
      <c r="I169" s="26" t="s">
        <v>2603</v>
      </c>
      <c r="J169" s="78"/>
    </row>
    <row r="170" spans="2:10" hidden="1">
      <c r="B170" s="26" t="s">
        <v>762</v>
      </c>
      <c r="G170" s="171" t="s">
        <v>1697</v>
      </c>
      <c r="H170" s="68">
        <v>4</v>
      </c>
      <c r="I170" s="26" t="s">
        <v>2603</v>
      </c>
      <c r="J170" s="78"/>
    </row>
    <row r="171" spans="2:10" hidden="1">
      <c r="B171" s="26" t="s">
        <v>705</v>
      </c>
      <c r="G171" s="171" t="s">
        <v>1697</v>
      </c>
      <c r="H171" s="68">
        <v>2</v>
      </c>
      <c r="I171" s="26" t="s">
        <v>2603</v>
      </c>
      <c r="J171" s="78"/>
    </row>
    <row r="172" spans="2:10" hidden="1">
      <c r="B172" s="26" t="s">
        <v>3918</v>
      </c>
      <c r="G172" s="171" t="s">
        <v>1697</v>
      </c>
      <c r="H172" s="68">
        <v>3</v>
      </c>
      <c r="I172" s="26" t="s">
        <v>2603</v>
      </c>
      <c r="J172" s="78"/>
    </row>
    <row r="173" spans="2:10" hidden="1">
      <c r="B173" s="26" t="s">
        <v>263</v>
      </c>
      <c r="G173" s="171" t="s">
        <v>1697</v>
      </c>
      <c r="H173" s="173">
        <v>0.5</v>
      </c>
      <c r="I173" s="26" t="s">
        <v>2603</v>
      </c>
      <c r="J173" s="78"/>
    </row>
    <row r="174" spans="2:10" hidden="1">
      <c r="F174" s="26" t="s">
        <v>1518</v>
      </c>
      <c r="G174" s="171" t="s">
        <v>1697</v>
      </c>
      <c r="H174" s="205">
        <f>SUM(H169:H173)</f>
        <v>12.5</v>
      </c>
      <c r="I174" s="26" t="s">
        <v>2603</v>
      </c>
      <c r="J174" s="78"/>
    </row>
    <row r="175" spans="2:10" hidden="1">
      <c r="B175" s="26" t="s">
        <v>2387</v>
      </c>
      <c r="H175" s="68">
        <f>H174/H167</f>
        <v>4.166666666666667</v>
      </c>
      <c r="I175" s="26" t="s">
        <v>2059</v>
      </c>
      <c r="J175" s="78"/>
    </row>
    <row r="176" spans="2:10" hidden="1">
      <c r="B176" s="26" t="s">
        <v>6547</v>
      </c>
      <c r="H176" s="68">
        <v>15.4</v>
      </c>
      <c r="I176" s="26" t="s">
        <v>3477</v>
      </c>
      <c r="J176" s="78"/>
    </row>
    <row r="177" spans="1:10" hidden="1">
      <c r="B177" s="26" t="s">
        <v>5942</v>
      </c>
      <c r="H177" s="68">
        <v>493</v>
      </c>
      <c r="I177" s="26" t="s">
        <v>6901</v>
      </c>
      <c r="J177" s="78"/>
    </row>
    <row r="178" spans="1:10" hidden="1">
      <c r="B178" s="26" t="s">
        <v>7024</v>
      </c>
      <c r="J178" s="78"/>
    </row>
    <row r="179" spans="1:10" hidden="1">
      <c r="B179" s="26" t="s">
        <v>1966</v>
      </c>
      <c r="J179" s="78"/>
    </row>
    <row r="180" spans="1:10" hidden="1">
      <c r="B180" s="26" t="s">
        <v>2211</v>
      </c>
      <c r="J180" s="78"/>
    </row>
    <row r="181" spans="1:10" hidden="1">
      <c r="B181" s="26" t="s">
        <v>2212</v>
      </c>
      <c r="H181" s="26">
        <v>520</v>
      </c>
      <c r="I181" s="26" t="s">
        <v>3477</v>
      </c>
      <c r="J181" s="78"/>
    </row>
    <row r="182" spans="1:10" hidden="1">
      <c r="B182" s="26" t="s">
        <v>5117</v>
      </c>
      <c r="J182" s="78"/>
    </row>
    <row r="183" spans="1:10" hidden="1">
      <c r="B183" s="26" t="s">
        <v>5118</v>
      </c>
      <c r="J183" s="78"/>
    </row>
    <row r="184" spans="1:10" hidden="1">
      <c r="B184" s="26" t="s">
        <v>2663</v>
      </c>
      <c r="J184" s="78"/>
    </row>
    <row r="185" spans="1:10">
      <c r="J185" s="78"/>
    </row>
    <row r="186" spans="1:10">
      <c r="A186" s="822" t="s">
        <v>3984</v>
      </c>
      <c r="F186" s="170" t="s">
        <v>2367</v>
      </c>
      <c r="J186" s="78"/>
    </row>
    <row r="187" spans="1:10">
      <c r="J187" s="78"/>
    </row>
    <row r="188" spans="1:10">
      <c r="B188" s="170" t="s">
        <v>2368</v>
      </c>
      <c r="H188" s="171" t="s">
        <v>297</v>
      </c>
      <c r="J188" s="78"/>
    </row>
    <row r="189" spans="1:10">
      <c r="C189" s="76"/>
      <c r="D189" s="31"/>
      <c r="E189" s="31"/>
      <c r="F189" s="31"/>
      <c r="G189" s="31"/>
      <c r="H189" s="170">
        <f>H181</f>
        <v>520</v>
      </c>
      <c r="I189" s="26" t="s">
        <v>3477</v>
      </c>
      <c r="J189" s="78"/>
    </row>
    <row r="190" spans="1:10">
      <c r="A190" s="865"/>
      <c r="B190" s="95" t="s">
        <v>2369</v>
      </c>
      <c r="C190" s="1208" t="s">
        <v>4443</v>
      </c>
      <c r="D190" s="1209"/>
      <c r="E190" s="1225"/>
      <c r="F190" s="97" t="s">
        <v>2370</v>
      </c>
      <c r="G190" s="95" t="s">
        <v>1166</v>
      </c>
      <c r="H190" s="97" t="s">
        <v>2371</v>
      </c>
      <c r="I190" s="97" t="s">
        <v>2372</v>
      </c>
      <c r="J190" s="78"/>
    </row>
    <row r="191" spans="1:10">
      <c r="A191" s="865"/>
      <c r="B191" s="114"/>
      <c r="C191" s="139"/>
      <c r="D191" s="188"/>
      <c r="E191" s="115"/>
      <c r="F191" s="115"/>
      <c r="G191" s="114"/>
      <c r="H191" s="115" t="s">
        <v>3485</v>
      </c>
      <c r="I191" s="115" t="s">
        <v>3485</v>
      </c>
      <c r="J191" s="78"/>
    </row>
    <row r="192" spans="1:10">
      <c r="B192" s="105">
        <v>1</v>
      </c>
      <c r="C192" s="135" t="s">
        <v>6976</v>
      </c>
      <c r="D192" s="31"/>
      <c r="E192" s="189"/>
      <c r="F192" s="189"/>
      <c r="G192" s="190">
        <v>0</v>
      </c>
      <c r="H192" s="207">
        <v>0</v>
      </c>
      <c r="I192" s="155">
        <f>H192*G192</f>
        <v>0</v>
      </c>
      <c r="J192" s="78"/>
    </row>
    <row r="193" spans="1:10">
      <c r="B193" s="191"/>
      <c r="C193" s="139"/>
      <c r="D193" s="174"/>
      <c r="E193" s="192"/>
      <c r="F193" s="192"/>
      <c r="G193" s="182">
        <v>0</v>
      </c>
      <c r="H193" s="181">
        <v>0</v>
      </c>
      <c r="I193" s="155">
        <f>H193*G193</f>
        <v>0</v>
      </c>
      <c r="J193" s="78"/>
    </row>
    <row r="194" spans="1:10">
      <c r="B194" s="184"/>
      <c r="C194" s="151"/>
      <c r="D194" s="159"/>
      <c r="E194" s="159"/>
      <c r="F194" s="159" t="s">
        <v>2376</v>
      </c>
      <c r="G194" s="159"/>
      <c r="H194" s="208" t="s">
        <v>1698</v>
      </c>
      <c r="I194" s="209">
        <f>SUM(I192:I193)</f>
        <v>0</v>
      </c>
      <c r="J194" s="78"/>
    </row>
    <row r="195" spans="1:10">
      <c r="C195" s="76"/>
      <c r="D195" s="31"/>
      <c r="E195" s="31"/>
      <c r="F195" s="31"/>
      <c r="G195" s="31"/>
      <c r="H195" s="31"/>
      <c r="I195" s="31"/>
      <c r="J195" s="33"/>
    </row>
    <row r="196" spans="1:10">
      <c r="B196" s="170" t="s">
        <v>2377</v>
      </c>
      <c r="J196" s="78"/>
    </row>
    <row r="197" spans="1:10">
      <c r="C197" s="76"/>
      <c r="D197" s="31"/>
      <c r="E197" s="31"/>
      <c r="F197" s="31"/>
      <c r="G197" s="31"/>
      <c r="H197" s="31"/>
      <c r="I197" s="31"/>
      <c r="J197" s="33"/>
    </row>
    <row r="198" spans="1:10">
      <c r="A198" s="865"/>
      <c r="B198" s="95" t="s">
        <v>2369</v>
      </c>
      <c r="C198" s="131" t="s">
        <v>2378</v>
      </c>
      <c r="D198" s="175"/>
      <c r="E198" s="97"/>
      <c r="F198" s="95" t="s">
        <v>2370</v>
      </c>
      <c r="G198" s="95" t="s">
        <v>1166</v>
      </c>
      <c r="H198" s="95" t="s">
        <v>6664</v>
      </c>
      <c r="I198" s="95" t="s">
        <v>6665</v>
      </c>
      <c r="J198" s="78"/>
    </row>
    <row r="199" spans="1:10">
      <c r="A199" s="865"/>
      <c r="B199" s="114"/>
      <c r="C199" s="139"/>
      <c r="D199" s="188"/>
      <c r="E199" s="115"/>
      <c r="F199" s="114"/>
      <c r="G199" s="114"/>
      <c r="H199" s="114" t="s">
        <v>3856</v>
      </c>
      <c r="I199" s="114" t="s">
        <v>3857</v>
      </c>
      <c r="J199" s="78"/>
    </row>
    <row r="200" spans="1:10">
      <c r="B200" s="95">
        <v>1</v>
      </c>
      <c r="C200" s="153" t="s">
        <v>298</v>
      </c>
      <c r="D200" s="107"/>
      <c r="E200" s="107"/>
      <c r="F200" s="107" t="s">
        <v>2374</v>
      </c>
      <c r="G200" s="179">
        <v>8</v>
      </c>
      <c r="H200" s="190">
        <f>'HIRE CHARGES'!$D$543</f>
        <v>1706.6</v>
      </c>
      <c r="I200" s="155">
        <f t="shared" ref="I200:I205" si="1">ROUND(H200*G200,2)</f>
        <v>13652.8</v>
      </c>
      <c r="J200" s="78"/>
    </row>
    <row r="201" spans="1:10">
      <c r="B201" s="105"/>
      <c r="C201" s="152" t="s">
        <v>2379</v>
      </c>
      <c r="D201" s="210"/>
      <c r="E201" s="210"/>
      <c r="F201" s="210" t="s">
        <v>2374</v>
      </c>
      <c r="G201" s="190">
        <v>8</v>
      </c>
      <c r="H201" s="190">
        <f>'HIRE CHARGES'!$E$543</f>
        <v>872.7</v>
      </c>
      <c r="I201" s="155">
        <f t="shared" si="1"/>
        <v>6981.6</v>
      </c>
      <c r="J201" s="78"/>
    </row>
    <row r="202" spans="1:10">
      <c r="B202" s="105">
        <v>2</v>
      </c>
      <c r="C202" s="152" t="s">
        <v>7025</v>
      </c>
      <c r="D202" s="210"/>
      <c r="E202" s="210"/>
      <c r="F202" s="210" t="s">
        <v>2374</v>
      </c>
      <c r="G202" s="190">
        <v>32</v>
      </c>
      <c r="H202" s="190">
        <f>'HIRE CHARGES'!$D$525</f>
        <v>580.69999999999993</v>
      </c>
      <c r="I202" s="155">
        <f t="shared" si="1"/>
        <v>18582.400000000001</v>
      </c>
      <c r="J202" s="78"/>
    </row>
    <row r="203" spans="1:10">
      <c r="B203" s="105"/>
      <c r="C203" s="152" t="s">
        <v>2379</v>
      </c>
      <c r="D203" s="210"/>
      <c r="E203" s="210"/>
      <c r="F203" s="210" t="s">
        <v>2374</v>
      </c>
      <c r="G203" s="190">
        <v>32</v>
      </c>
      <c r="H203" s="190">
        <f>'HIRE CHARGES'!$E$525</f>
        <v>399.9</v>
      </c>
      <c r="I203" s="155">
        <f t="shared" si="1"/>
        <v>12796.8</v>
      </c>
      <c r="J203" s="78"/>
    </row>
    <row r="204" spans="1:10">
      <c r="B204" s="105">
        <v>3</v>
      </c>
      <c r="C204" s="152" t="s">
        <v>7026</v>
      </c>
      <c r="D204" s="210"/>
      <c r="E204" s="210"/>
      <c r="F204" s="210" t="s">
        <v>2374</v>
      </c>
      <c r="G204" s="190">
        <v>8</v>
      </c>
      <c r="H204" s="190">
        <f>'HIRE CHARGES'!$D$545</f>
        <v>446.7</v>
      </c>
      <c r="I204" s="155">
        <f t="shared" si="1"/>
        <v>3573.6</v>
      </c>
      <c r="J204" s="78"/>
    </row>
    <row r="205" spans="1:10">
      <c r="B205" s="191"/>
      <c r="C205" s="116" t="s">
        <v>2379</v>
      </c>
      <c r="D205" s="191"/>
      <c r="E205" s="191"/>
      <c r="F205" s="191" t="s">
        <v>2374</v>
      </c>
      <c r="G205" s="182">
        <v>8</v>
      </c>
      <c r="H205" s="182">
        <f>'HIRE CHARGES'!$E$545</f>
        <v>299.89999999999998</v>
      </c>
      <c r="I205" s="155">
        <f t="shared" si="1"/>
        <v>2399.1999999999998</v>
      </c>
      <c r="J205" s="78"/>
    </row>
    <row r="206" spans="1:10">
      <c r="B206" s="184"/>
      <c r="C206" s="151"/>
      <c r="D206" s="159" t="s">
        <v>2380</v>
      </c>
      <c r="E206" s="159"/>
      <c r="F206" s="159"/>
      <c r="G206" s="159"/>
      <c r="H206" s="193" t="s">
        <v>1698</v>
      </c>
      <c r="I206" s="194">
        <f>ROUND(SUM(I200:I205),2)</f>
        <v>57986.400000000001</v>
      </c>
      <c r="J206" s="78"/>
    </row>
    <row r="207" spans="1:10">
      <c r="J207" s="78"/>
    </row>
    <row r="208" spans="1:10">
      <c r="B208" s="170" t="s">
        <v>2381</v>
      </c>
      <c r="J208" s="78"/>
    </row>
    <row r="209" spans="1:10">
      <c r="C209" s="76"/>
      <c r="D209" s="31"/>
      <c r="E209" s="31"/>
      <c r="F209" s="31"/>
      <c r="G209" s="31"/>
      <c r="H209" s="31"/>
      <c r="I209" s="31"/>
      <c r="J209" s="33"/>
    </row>
    <row r="210" spans="1:10">
      <c r="A210" s="865"/>
      <c r="B210" s="95" t="s">
        <v>2369</v>
      </c>
      <c r="C210" s="1223" t="s">
        <v>2378</v>
      </c>
      <c r="D210" s="1224"/>
      <c r="E210" s="1226"/>
      <c r="F210" s="97" t="s">
        <v>2370</v>
      </c>
      <c r="G210" s="95" t="s">
        <v>1166</v>
      </c>
      <c r="H210" s="95" t="s">
        <v>6664</v>
      </c>
      <c r="I210" s="97" t="s">
        <v>6665</v>
      </c>
      <c r="J210" s="78"/>
    </row>
    <row r="211" spans="1:10">
      <c r="A211" s="865"/>
      <c r="B211" s="114"/>
      <c r="C211" s="139"/>
      <c r="D211" s="188"/>
      <c r="E211" s="115"/>
      <c r="F211" s="115"/>
      <c r="G211" s="114"/>
      <c r="H211" s="114" t="s">
        <v>3856</v>
      </c>
      <c r="I211" s="115" t="s">
        <v>3857</v>
      </c>
      <c r="J211" s="78"/>
    </row>
    <row r="212" spans="1:10">
      <c r="B212" s="105">
        <v>1</v>
      </c>
      <c r="C212" s="76" t="s">
        <v>300</v>
      </c>
      <c r="D212" s="31"/>
      <c r="E212" s="189"/>
      <c r="F212" s="189" t="s">
        <v>2374</v>
      </c>
      <c r="G212" s="190">
        <v>8</v>
      </c>
      <c r="H212" s="179">
        <f>'HIRE CHARGES'!$F$543</f>
        <v>236.6</v>
      </c>
      <c r="I212" s="155">
        <f t="shared" ref="I212:I217" si="2">ROUND(H212*G212,2)</f>
        <v>1892.8</v>
      </c>
      <c r="J212" s="78"/>
    </row>
    <row r="213" spans="1:10">
      <c r="B213" s="105">
        <v>2</v>
      </c>
      <c r="C213" s="76" t="s">
        <v>4585</v>
      </c>
      <c r="D213" s="31"/>
      <c r="E213" s="189"/>
      <c r="F213" s="189" t="s">
        <v>2374</v>
      </c>
      <c r="G213" s="190">
        <v>32</v>
      </c>
      <c r="H213" s="190">
        <f>'HIRE CHARGES'!$F$525</f>
        <v>227.1</v>
      </c>
      <c r="I213" s="155">
        <f t="shared" si="2"/>
        <v>7267.2</v>
      </c>
      <c r="J213" s="78"/>
    </row>
    <row r="214" spans="1:10">
      <c r="B214" s="105">
        <v>3</v>
      </c>
      <c r="C214" s="76" t="s">
        <v>301</v>
      </c>
      <c r="D214" s="31"/>
      <c r="E214" s="189"/>
      <c r="F214" s="189" t="s">
        <v>2374</v>
      </c>
      <c r="G214" s="190">
        <v>8</v>
      </c>
      <c r="H214" s="190">
        <f>'HIRE CHARGES'!$F$545</f>
        <v>177.5</v>
      </c>
      <c r="I214" s="155">
        <f t="shared" si="2"/>
        <v>1420</v>
      </c>
      <c r="J214" s="78"/>
    </row>
    <row r="215" spans="1:10">
      <c r="B215" s="105">
        <v>4</v>
      </c>
      <c r="C215" s="76" t="s">
        <v>4206</v>
      </c>
      <c r="D215" s="31"/>
      <c r="E215" s="189"/>
      <c r="F215" s="189" t="s">
        <v>1172</v>
      </c>
      <c r="G215" s="190">
        <v>1</v>
      </c>
      <c r="H215" s="190">
        <f>'BASIC DATA'!$C$473</f>
        <v>450</v>
      </c>
      <c r="I215" s="155">
        <f t="shared" si="2"/>
        <v>450</v>
      </c>
      <c r="J215" s="78"/>
    </row>
    <row r="216" spans="1:10">
      <c r="B216" s="105">
        <v>5</v>
      </c>
      <c r="C216" s="76" t="s">
        <v>5603</v>
      </c>
      <c r="D216" s="31"/>
      <c r="E216" s="189"/>
      <c r="F216" s="189" t="s">
        <v>1172</v>
      </c>
      <c r="G216" s="190">
        <v>2.5</v>
      </c>
      <c r="H216" s="190">
        <f>'BASIC DATA'!$C$514</f>
        <v>400</v>
      </c>
      <c r="I216" s="155">
        <f t="shared" si="2"/>
        <v>1000</v>
      </c>
      <c r="J216" s="78"/>
    </row>
    <row r="217" spans="1:10">
      <c r="B217" s="105">
        <v>6</v>
      </c>
      <c r="C217" s="76" t="s">
        <v>2697</v>
      </c>
      <c r="D217" s="31"/>
      <c r="E217" s="189"/>
      <c r="F217" s="189" t="s">
        <v>1172</v>
      </c>
      <c r="G217" s="190">
        <v>10</v>
      </c>
      <c r="H217" s="190">
        <f>'BASIC DATA'!$C$552</f>
        <v>350</v>
      </c>
      <c r="I217" s="155">
        <f t="shared" si="2"/>
        <v>3500</v>
      </c>
      <c r="J217" s="78"/>
    </row>
    <row r="218" spans="1:10">
      <c r="B218" s="184"/>
      <c r="C218" s="151"/>
      <c r="D218" s="159"/>
      <c r="E218" s="159"/>
      <c r="F218" s="159" t="s">
        <v>1174</v>
      </c>
      <c r="G218" s="159"/>
      <c r="H218" s="193" t="s">
        <v>4108</v>
      </c>
      <c r="I218" s="194">
        <f>ROUND(SUM(I212:I217),2)</f>
        <v>15530</v>
      </c>
      <c r="J218" s="78"/>
    </row>
    <row r="219" spans="1:10">
      <c r="B219" s="60" t="s">
        <v>5948</v>
      </c>
      <c r="C219" s="76"/>
      <c r="D219" s="31"/>
      <c r="E219" s="31"/>
      <c r="F219" s="31"/>
      <c r="G219" s="85">
        <f>ROUND(I218/H189,1)</f>
        <v>29.9</v>
      </c>
      <c r="H219" s="85"/>
      <c r="J219" s="78"/>
    </row>
    <row r="220" spans="1:10">
      <c r="B220" s="60" t="s">
        <v>3163</v>
      </c>
      <c r="C220" s="76"/>
      <c r="D220" s="31"/>
      <c r="E220" s="31"/>
      <c r="F220" s="922">
        <f>'BASIC DATA'!$C$577</f>
        <v>0.13614999999999999</v>
      </c>
      <c r="G220" s="85">
        <f>ROUND(G219*F220,1)</f>
        <v>4.0999999999999996</v>
      </c>
      <c r="H220" s="85"/>
      <c r="J220" s="78"/>
    </row>
    <row r="221" spans="1:10">
      <c r="B221" s="60" t="s">
        <v>5949</v>
      </c>
      <c r="C221" s="76"/>
      <c r="D221" s="31"/>
      <c r="E221" s="31"/>
      <c r="F221" s="31"/>
      <c r="G221" s="199">
        <f>ROUND((G219+G220),1)</f>
        <v>34</v>
      </c>
      <c r="H221" s="85"/>
      <c r="J221" s="78"/>
    </row>
    <row r="222" spans="1:10">
      <c r="B222" s="31"/>
      <c r="C222" s="76"/>
      <c r="D222" s="31"/>
      <c r="E222" s="31"/>
      <c r="F222" s="31"/>
      <c r="G222" s="31"/>
      <c r="H222" s="31"/>
      <c r="I222" s="31"/>
      <c r="J222" s="33"/>
    </row>
    <row r="223" spans="1:10">
      <c r="B223" s="31"/>
      <c r="C223" s="76"/>
      <c r="D223" s="31"/>
      <c r="E223" s="31"/>
      <c r="F223" s="31"/>
      <c r="G223" s="31"/>
      <c r="H223" s="31"/>
      <c r="I223" s="31"/>
      <c r="J223" s="33"/>
    </row>
    <row r="224" spans="1:10">
      <c r="B224" s="170" t="s">
        <v>1175</v>
      </c>
      <c r="J224" s="78"/>
    </row>
    <row r="225" spans="1:10">
      <c r="B225" s="26" t="s">
        <v>1176</v>
      </c>
      <c r="H225" s="171" t="s">
        <v>1698</v>
      </c>
      <c r="I225" s="117">
        <f>I194</f>
        <v>0</v>
      </c>
      <c r="J225" s="78"/>
    </row>
    <row r="226" spans="1:10">
      <c r="B226" s="26" t="s">
        <v>1186</v>
      </c>
      <c r="H226" s="171" t="s">
        <v>1698</v>
      </c>
      <c r="I226" s="117">
        <f>I206</f>
        <v>57986.400000000001</v>
      </c>
      <c r="J226" s="78"/>
    </row>
    <row r="227" spans="1:10">
      <c r="B227" s="26" t="s">
        <v>2660</v>
      </c>
      <c r="H227" s="171" t="s">
        <v>1698</v>
      </c>
      <c r="I227" s="85">
        <f>I218</f>
        <v>15530</v>
      </c>
      <c r="J227" s="78"/>
    </row>
    <row r="228" spans="1:10">
      <c r="F228" s="171" t="s">
        <v>1518</v>
      </c>
      <c r="H228" s="171" t="s">
        <v>1698</v>
      </c>
      <c r="I228" s="130">
        <f>SUM(I225:I227)</f>
        <v>73516.399999999994</v>
      </c>
      <c r="J228" s="78"/>
    </row>
    <row r="229" spans="1:10" ht="18.75">
      <c r="B229" s="1207" t="s">
        <v>8375</v>
      </c>
      <c r="C229" s="1207"/>
      <c r="D229" s="1207"/>
      <c r="E229" s="1207"/>
      <c r="F229" s="1207"/>
      <c r="G229" s="922">
        <f>'BASIC DATA'!$C$577</f>
        <v>0.13614999999999999</v>
      </c>
      <c r="H229" s="171" t="s">
        <v>4108</v>
      </c>
      <c r="I229" s="76">
        <f>ROUND(I228*G229,2)</f>
        <v>10009.26</v>
      </c>
      <c r="J229" s="78"/>
    </row>
    <row r="230" spans="1:10">
      <c r="B230" s="1206" t="s">
        <v>1191</v>
      </c>
      <c r="C230" s="1206"/>
      <c r="D230" s="1206"/>
      <c r="E230" s="1206"/>
      <c r="F230" s="202">
        <f>H189</f>
        <v>520</v>
      </c>
      <c r="G230" s="171" t="str">
        <f>I189</f>
        <v>cum</v>
      </c>
      <c r="H230" s="171" t="s">
        <v>1698</v>
      </c>
      <c r="I230" s="199">
        <f>ROUND((I229+I228),2)</f>
        <v>83525.66</v>
      </c>
      <c r="J230" s="78"/>
    </row>
    <row r="231" spans="1:10">
      <c r="B231" s="1161" t="s">
        <v>3884</v>
      </c>
      <c r="C231" s="1161"/>
      <c r="D231" s="1161"/>
      <c r="E231" s="203" t="str">
        <f>G230</f>
        <v>cum</v>
      </c>
      <c r="F231" s="26" t="s">
        <v>1384</v>
      </c>
      <c r="H231" s="171" t="s">
        <v>1698</v>
      </c>
      <c r="I231" s="204">
        <f>ROUND((I230/F230),1)</f>
        <v>160.6</v>
      </c>
      <c r="J231" s="78"/>
    </row>
    <row r="232" spans="1:10">
      <c r="H232" s="171"/>
      <c r="I232" s="171"/>
      <c r="J232" s="186"/>
    </row>
    <row r="233" spans="1:10">
      <c r="J233" s="78"/>
    </row>
    <row r="234" spans="1:10" ht="18.75">
      <c r="A234" s="822" t="s">
        <v>7043</v>
      </c>
      <c r="B234" s="26" t="s">
        <v>8379</v>
      </c>
      <c r="J234" s="78"/>
    </row>
    <row r="235" spans="1:10">
      <c r="B235" s="26" t="s">
        <v>8380</v>
      </c>
      <c r="J235" s="78"/>
    </row>
    <row r="236" spans="1:10">
      <c r="B236" s="26" t="s">
        <v>6740</v>
      </c>
      <c r="J236" s="78"/>
    </row>
    <row r="237" spans="1:10" ht="18.75">
      <c r="B237" s="26" t="s">
        <v>8381</v>
      </c>
      <c r="J237" s="78"/>
    </row>
    <row r="238" spans="1:10">
      <c r="B238" s="170" t="s">
        <v>2511</v>
      </c>
      <c r="J238" s="78"/>
    </row>
    <row r="239" spans="1:10" hidden="1">
      <c r="A239" s="822" t="s">
        <v>3984</v>
      </c>
      <c r="B239" s="26" t="s">
        <v>6124</v>
      </c>
      <c r="J239" s="78"/>
    </row>
    <row r="240" spans="1:10" hidden="1">
      <c r="B240" s="26" t="s">
        <v>1471</v>
      </c>
      <c r="J240" s="78"/>
    </row>
    <row r="241" spans="2:10" hidden="1">
      <c r="B241" s="26" t="s">
        <v>6125</v>
      </c>
      <c r="G241" s="171" t="s">
        <v>1697</v>
      </c>
      <c r="H241" s="68">
        <v>493</v>
      </c>
      <c r="I241" s="26" t="s">
        <v>3477</v>
      </c>
      <c r="J241" s="78"/>
    </row>
    <row r="242" spans="2:10" hidden="1">
      <c r="B242" s="26" t="s">
        <v>6126</v>
      </c>
      <c r="G242" s="171" t="s">
        <v>1697</v>
      </c>
      <c r="H242" s="68">
        <v>27</v>
      </c>
      <c r="I242" s="26" t="s">
        <v>3477</v>
      </c>
      <c r="J242" s="78"/>
    </row>
    <row r="243" spans="2:10" hidden="1">
      <c r="B243" s="26" t="s">
        <v>6127</v>
      </c>
      <c r="G243" s="171" t="s">
        <v>1697</v>
      </c>
      <c r="H243" s="205">
        <f>SUM(H241:H242)</f>
        <v>520</v>
      </c>
      <c r="I243" s="26" t="s">
        <v>3477</v>
      </c>
      <c r="J243" s="78"/>
    </row>
    <row r="244" spans="2:10" hidden="1">
      <c r="B244" s="26" t="s">
        <v>6128</v>
      </c>
      <c r="J244" s="78"/>
    </row>
    <row r="245" spans="2:10" hidden="1">
      <c r="B245" s="26" t="s">
        <v>6129</v>
      </c>
      <c r="J245" s="78"/>
    </row>
    <row r="246" spans="2:10" hidden="1">
      <c r="B246" s="26" t="s">
        <v>3294</v>
      </c>
      <c r="J246" s="78"/>
    </row>
    <row r="247" spans="2:10" hidden="1">
      <c r="B247" s="26" t="s">
        <v>6130</v>
      </c>
      <c r="J247" s="78"/>
    </row>
    <row r="248" spans="2:10" hidden="1">
      <c r="B248" s="26" t="s">
        <v>3740</v>
      </c>
      <c r="J248" s="78"/>
    </row>
    <row r="249" spans="2:10" hidden="1">
      <c r="B249" s="26" t="s">
        <v>6131</v>
      </c>
      <c r="G249" s="171" t="s">
        <v>1697</v>
      </c>
      <c r="H249" s="68">
        <v>1.4</v>
      </c>
      <c r="I249" s="26" t="s">
        <v>2602</v>
      </c>
      <c r="J249" s="78"/>
    </row>
    <row r="250" spans="2:10" hidden="1">
      <c r="B250" s="26" t="s">
        <v>3742</v>
      </c>
      <c r="G250" s="171" t="s">
        <v>1697</v>
      </c>
      <c r="H250" s="68">
        <v>1.25</v>
      </c>
      <c r="I250" s="26" t="s">
        <v>2602</v>
      </c>
      <c r="J250" s="78"/>
    </row>
    <row r="251" spans="2:10" hidden="1">
      <c r="B251" s="26" t="s">
        <v>2572</v>
      </c>
      <c r="G251" s="171" t="s">
        <v>1697</v>
      </c>
      <c r="H251" s="68">
        <v>416</v>
      </c>
      <c r="I251" s="26" t="s">
        <v>3883</v>
      </c>
      <c r="J251" s="78"/>
    </row>
    <row r="252" spans="2:10" hidden="1">
      <c r="B252" s="26" t="s">
        <v>5419</v>
      </c>
      <c r="J252" s="78"/>
    </row>
    <row r="253" spans="2:10" hidden="1">
      <c r="B253" s="26" t="s">
        <v>5420</v>
      </c>
      <c r="J253" s="78"/>
    </row>
    <row r="254" spans="2:10" hidden="1">
      <c r="B254" s="26" t="s">
        <v>2796</v>
      </c>
      <c r="J254" s="78"/>
    </row>
    <row r="255" spans="2:10" hidden="1">
      <c r="B255" s="26" t="s">
        <v>2797</v>
      </c>
      <c r="J255" s="78"/>
    </row>
    <row r="256" spans="2:10" hidden="1">
      <c r="B256" s="26" t="s">
        <v>835</v>
      </c>
      <c r="G256" s="171" t="s">
        <v>1697</v>
      </c>
      <c r="H256" s="171" t="s">
        <v>2382</v>
      </c>
      <c r="I256" s="26" t="s">
        <v>3561</v>
      </c>
      <c r="J256" s="78"/>
    </row>
    <row r="257" spans="2:10" hidden="1">
      <c r="B257" s="26" t="s">
        <v>3341</v>
      </c>
      <c r="G257" s="171" t="s">
        <v>1697</v>
      </c>
      <c r="H257" s="68">
        <v>154</v>
      </c>
      <c r="I257" s="26" t="s">
        <v>3032</v>
      </c>
      <c r="J257" s="78"/>
    </row>
    <row r="258" spans="2:10" hidden="1">
      <c r="B258" s="26" t="s">
        <v>3342</v>
      </c>
      <c r="G258" s="171" t="s">
        <v>1697</v>
      </c>
      <c r="H258" s="68">
        <v>216</v>
      </c>
      <c r="I258" s="26" t="s">
        <v>2602</v>
      </c>
      <c r="J258" s="78"/>
    </row>
    <row r="259" spans="2:10" hidden="1">
      <c r="B259" s="26" t="s">
        <v>3343</v>
      </c>
      <c r="G259" s="171" t="s">
        <v>1697</v>
      </c>
      <c r="H259" s="68">
        <v>10</v>
      </c>
      <c r="I259" s="26" t="s">
        <v>2602</v>
      </c>
      <c r="J259" s="78"/>
    </row>
    <row r="260" spans="2:10" hidden="1">
      <c r="B260" s="26" t="s">
        <v>6710</v>
      </c>
      <c r="G260" s="171"/>
      <c r="H260" s="68">
        <v>5.4</v>
      </c>
      <c r="I260" s="26" t="s">
        <v>4665</v>
      </c>
      <c r="J260" s="78"/>
    </row>
    <row r="261" spans="2:10" hidden="1">
      <c r="B261" s="26" t="s">
        <v>2798</v>
      </c>
      <c r="J261" s="78"/>
    </row>
    <row r="262" spans="2:10" hidden="1">
      <c r="B262" s="26" t="s">
        <v>2799</v>
      </c>
      <c r="J262" s="78"/>
    </row>
    <row r="263" spans="2:10" hidden="1">
      <c r="B263" s="26" t="s">
        <v>6711</v>
      </c>
      <c r="G263" s="171" t="s">
        <v>1697</v>
      </c>
      <c r="H263" s="68">
        <v>104</v>
      </c>
      <c r="I263" s="26" t="s">
        <v>3033</v>
      </c>
      <c r="J263" s="78"/>
    </row>
    <row r="264" spans="2:10" hidden="1">
      <c r="B264" s="26" t="s">
        <v>3849</v>
      </c>
      <c r="G264" s="171" t="s">
        <v>1697</v>
      </c>
      <c r="H264" s="68">
        <v>154</v>
      </c>
      <c r="I264" s="26" t="s">
        <v>4041</v>
      </c>
      <c r="J264" s="78"/>
    </row>
    <row r="265" spans="2:10" hidden="1">
      <c r="B265" s="26" t="s">
        <v>5703</v>
      </c>
      <c r="G265" s="171" t="s">
        <v>1697</v>
      </c>
      <c r="H265" s="68">
        <v>320</v>
      </c>
      <c r="I265" s="26" t="s">
        <v>3034</v>
      </c>
      <c r="J265" s="78"/>
    </row>
    <row r="266" spans="2:10" hidden="1">
      <c r="B266" s="26" t="s">
        <v>2366</v>
      </c>
      <c r="H266" s="68"/>
      <c r="J266" s="78"/>
    </row>
    <row r="267" spans="2:10" hidden="1">
      <c r="B267" s="26" t="s">
        <v>288</v>
      </c>
      <c r="F267" s="68">
        <f>'BASIC DATA'!$D$307</f>
        <v>4028</v>
      </c>
      <c r="G267" s="171" t="s">
        <v>1698</v>
      </c>
      <c r="H267" s="68">
        <f>F267</f>
        <v>4028</v>
      </c>
      <c r="J267" s="78"/>
    </row>
    <row r="268" spans="2:10" hidden="1">
      <c r="B268" s="26" t="s">
        <v>6096</v>
      </c>
      <c r="G268" s="171" t="s">
        <v>1697</v>
      </c>
      <c r="H268" s="68">
        <v>200</v>
      </c>
      <c r="I268" s="26" t="s">
        <v>2602</v>
      </c>
      <c r="J268" s="78"/>
    </row>
    <row r="269" spans="2:10" hidden="1">
      <c r="B269" s="26" t="s">
        <v>6712</v>
      </c>
      <c r="G269" s="171" t="s">
        <v>1698</v>
      </c>
      <c r="H269" s="68">
        <f>ROUND(H267/H268,2)</f>
        <v>20.14</v>
      </c>
      <c r="J269" s="78"/>
    </row>
    <row r="270" spans="2:10" hidden="1">
      <c r="B270" s="26" t="s">
        <v>3686</v>
      </c>
      <c r="G270" s="171" t="s">
        <v>1697</v>
      </c>
      <c r="H270" s="68">
        <v>50</v>
      </c>
      <c r="I270" s="26" t="s">
        <v>2602</v>
      </c>
      <c r="J270" s="78"/>
    </row>
    <row r="271" spans="2:10" hidden="1">
      <c r="B271" s="26" t="s">
        <v>5135</v>
      </c>
      <c r="F271" s="68">
        <f>'BASIC DATA'!$D$344</f>
        <v>185</v>
      </c>
      <c r="G271" s="171" t="s">
        <v>1698</v>
      </c>
      <c r="H271" s="68">
        <f>F271*H270</f>
        <v>9250</v>
      </c>
      <c r="J271" s="78"/>
    </row>
    <row r="272" spans="2:10" hidden="1">
      <c r="B272" s="26" t="s">
        <v>5152</v>
      </c>
      <c r="G272" s="171" t="s">
        <v>1697</v>
      </c>
      <c r="H272" s="68">
        <v>800</v>
      </c>
      <c r="I272" s="26" t="s">
        <v>4665</v>
      </c>
      <c r="J272" s="78"/>
    </row>
    <row r="273" spans="1:10" hidden="1">
      <c r="B273" s="26" t="s">
        <v>6713</v>
      </c>
      <c r="G273" s="171" t="s">
        <v>1698</v>
      </c>
      <c r="H273" s="68">
        <f>H271/H272</f>
        <v>11.5625</v>
      </c>
      <c r="J273" s="78"/>
    </row>
    <row r="274" spans="1:10">
      <c r="A274" s="822" t="s">
        <v>3984</v>
      </c>
      <c r="F274" s="170" t="s">
        <v>2367</v>
      </c>
      <c r="J274" s="78"/>
    </row>
    <row r="275" spans="1:10">
      <c r="B275" s="170" t="s">
        <v>2368</v>
      </c>
      <c r="H275" s="171" t="s">
        <v>297</v>
      </c>
      <c r="J275" s="78"/>
    </row>
    <row r="276" spans="1:10">
      <c r="C276" s="89"/>
      <c r="H276" s="211">
        <f>H243</f>
        <v>520</v>
      </c>
      <c r="I276" s="26" t="s">
        <v>6714</v>
      </c>
      <c r="J276" s="78"/>
    </row>
    <row r="277" spans="1:10">
      <c r="A277" s="865"/>
      <c r="B277" s="95" t="s">
        <v>2369</v>
      </c>
      <c r="D277" s="157" t="s">
        <v>2378</v>
      </c>
      <c r="E277" s="175"/>
      <c r="F277" s="95" t="s">
        <v>2370</v>
      </c>
      <c r="G277" s="95" t="s">
        <v>1166</v>
      </c>
      <c r="H277" s="95" t="s">
        <v>6664</v>
      </c>
      <c r="I277" s="97" t="s">
        <v>6665</v>
      </c>
      <c r="J277" s="78"/>
    </row>
    <row r="278" spans="1:10">
      <c r="A278" s="865"/>
      <c r="B278" s="114"/>
      <c r="C278" s="139"/>
      <c r="D278" s="188"/>
      <c r="E278" s="188"/>
      <c r="F278" s="114"/>
      <c r="G278" s="114"/>
      <c r="H278" s="114" t="s">
        <v>3856</v>
      </c>
      <c r="I278" s="115" t="s">
        <v>3857</v>
      </c>
      <c r="J278" s="78"/>
    </row>
    <row r="279" spans="1:10">
      <c r="B279" s="95">
        <v>1</v>
      </c>
      <c r="C279" s="131" t="s">
        <v>6715</v>
      </c>
      <c r="D279" s="187"/>
      <c r="E279" s="187"/>
      <c r="F279" s="107" t="s">
        <v>3483</v>
      </c>
      <c r="G279" s="179">
        <v>216</v>
      </c>
      <c r="H279" s="212">
        <f>$H$269</f>
        <v>20.14</v>
      </c>
      <c r="I279" s="155">
        <f>ROUND(H279*G279,2)</f>
        <v>4350.24</v>
      </c>
      <c r="J279" s="78"/>
    </row>
    <row r="280" spans="1:10">
      <c r="B280" s="105"/>
      <c r="C280" s="135" t="s">
        <v>6716</v>
      </c>
      <c r="D280" s="31"/>
      <c r="E280" s="31"/>
      <c r="F280" s="213">
        <v>0.1</v>
      </c>
      <c r="G280" s="190"/>
      <c r="H280" s="214"/>
      <c r="I280" s="155">
        <f>ROUND(I279*0.1,2)</f>
        <v>435.02</v>
      </c>
      <c r="J280" s="78"/>
    </row>
    <row r="281" spans="1:10">
      <c r="B281" s="105">
        <v>2</v>
      </c>
      <c r="C281" s="135" t="s">
        <v>6717</v>
      </c>
      <c r="D281" s="31"/>
      <c r="E281" s="31"/>
      <c r="F281" s="210" t="s">
        <v>2374</v>
      </c>
      <c r="G281" s="190">
        <v>26</v>
      </c>
      <c r="H281" s="214">
        <f>$H$273</f>
        <v>11.5625</v>
      </c>
      <c r="I281" s="155">
        <f>ROUND(H281*G281,2)</f>
        <v>300.63</v>
      </c>
      <c r="J281" s="78"/>
    </row>
    <row r="282" spans="1:10">
      <c r="B282" s="105">
        <v>3</v>
      </c>
      <c r="C282" s="135" t="s">
        <v>6718</v>
      </c>
      <c r="D282" s="31"/>
      <c r="E282" s="31"/>
      <c r="F282" s="210" t="s">
        <v>3478</v>
      </c>
      <c r="G282" s="190">
        <v>104</v>
      </c>
      <c r="H282" s="214">
        <f>'BASIC DATA'!$D$54</f>
        <v>70</v>
      </c>
      <c r="I282" s="155">
        <f>ROUND(H282*G282,2)</f>
        <v>7280</v>
      </c>
      <c r="J282" s="78"/>
    </row>
    <row r="283" spans="1:10">
      <c r="B283" s="105">
        <v>4</v>
      </c>
      <c r="C283" s="135" t="s">
        <v>2060</v>
      </c>
      <c r="D283" s="31"/>
      <c r="E283" s="31"/>
      <c r="F283" s="210" t="s">
        <v>2059</v>
      </c>
      <c r="G283" s="190">
        <v>154</v>
      </c>
      <c r="H283" s="214">
        <f>'BASIC DATA'!$D$49</f>
        <v>11</v>
      </c>
      <c r="I283" s="155">
        <f>ROUND(H283*G283,2)</f>
        <v>1694</v>
      </c>
      <c r="J283" s="78"/>
    </row>
    <row r="284" spans="1:10">
      <c r="B284" s="105">
        <v>5</v>
      </c>
      <c r="C284" s="135" t="s">
        <v>6094</v>
      </c>
      <c r="D284" s="31"/>
      <c r="E284" s="31"/>
      <c r="F284" s="210" t="s">
        <v>3483</v>
      </c>
      <c r="G284" s="190">
        <v>320</v>
      </c>
      <c r="H284" s="214">
        <f>'BASIC DATA'!$D$46</f>
        <v>9</v>
      </c>
      <c r="I284" s="155">
        <f>ROUND(H284*G284,2)</f>
        <v>2880</v>
      </c>
      <c r="J284" s="78"/>
    </row>
    <row r="285" spans="1:10">
      <c r="B285" s="114">
        <v>6</v>
      </c>
      <c r="C285" s="139" t="s">
        <v>2373</v>
      </c>
      <c r="D285" s="174"/>
      <c r="E285" s="174"/>
      <c r="F285" s="191" t="s">
        <v>2173</v>
      </c>
      <c r="G285" s="182">
        <v>5</v>
      </c>
      <c r="H285" s="215">
        <f>'BASIC DATA'!$D$359</f>
        <v>30</v>
      </c>
      <c r="I285" s="155">
        <f>ROUND(H285*G285,2)</f>
        <v>150</v>
      </c>
      <c r="J285" s="78"/>
    </row>
    <row r="286" spans="1:10">
      <c r="B286" s="184"/>
      <c r="C286" s="129"/>
      <c r="D286" s="159" t="s">
        <v>2376</v>
      </c>
      <c r="E286" s="159"/>
      <c r="F286" s="159"/>
      <c r="G286" s="159"/>
      <c r="H286" s="216" t="s">
        <v>4108</v>
      </c>
      <c r="I286" s="194">
        <f>ROUND(SUM(I279:I285),2)</f>
        <v>17089.89</v>
      </c>
      <c r="J286" s="78"/>
    </row>
    <row r="287" spans="1:10">
      <c r="J287" s="78"/>
    </row>
    <row r="288" spans="1:10">
      <c r="B288" s="170" t="s">
        <v>2377</v>
      </c>
      <c r="J288" s="78"/>
    </row>
    <row r="289" spans="1:10">
      <c r="C289" s="89"/>
      <c r="J289" s="78"/>
    </row>
    <row r="290" spans="1:10">
      <c r="A290" s="865"/>
      <c r="B290" s="95" t="s">
        <v>2369</v>
      </c>
      <c r="D290" s="157" t="s">
        <v>2378</v>
      </c>
      <c r="E290" s="175"/>
      <c r="F290" s="95" t="s">
        <v>2370</v>
      </c>
      <c r="G290" s="95" t="s">
        <v>1166</v>
      </c>
      <c r="H290" s="97" t="s">
        <v>6664</v>
      </c>
      <c r="I290" s="97" t="s">
        <v>6665</v>
      </c>
      <c r="J290" s="78"/>
    </row>
    <row r="291" spans="1:10">
      <c r="B291" s="191"/>
      <c r="C291" s="139"/>
      <c r="D291" s="174"/>
      <c r="E291" s="174"/>
      <c r="F291" s="191"/>
      <c r="G291" s="191"/>
      <c r="H291" s="192" t="s">
        <v>3856</v>
      </c>
      <c r="I291" s="192" t="s">
        <v>3857</v>
      </c>
      <c r="J291" s="78"/>
    </row>
    <row r="292" spans="1:10">
      <c r="B292" s="95">
        <v>1</v>
      </c>
      <c r="C292" s="131" t="s">
        <v>298</v>
      </c>
      <c r="D292" s="187"/>
      <c r="E292" s="187"/>
      <c r="F292" s="107" t="s">
        <v>2374</v>
      </c>
      <c r="G292" s="179">
        <v>8</v>
      </c>
      <c r="H292" s="190">
        <f>'HIRE CHARGES'!$D$543</f>
        <v>1706.6</v>
      </c>
      <c r="I292" s="155">
        <f>ROUND(H292*G292,2)</f>
        <v>13652.8</v>
      </c>
      <c r="J292" s="78"/>
    </row>
    <row r="293" spans="1:10">
      <c r="B293" s="105"/>
      <c r="C293" s="135" t="s">
        <v>2379</v>
      </c>
      <c r="D293" s="31"/>
      <c r="E293" s="31"/>
      <c r="F293" s="210" t="s">
        <v>2374</v>
      </c>
      <c r="G293" s="190">
        <v>8</v>
      </c>
      <c r="H293" s="190">
        <f>'HIRE CHARGES'!$E$543</f>
        <v>872.7</v>
      </c>
      <c r="I293" s="155">
        <f t="shared" ref="I293:I301" si="3">ROUND(H293*G293,2)</f>
        <v>6981.6</v>
      </c>
      <c r="J293" s="78"/>
    </row>
    <row r="294" spans="1:10">
      <c r="B294" s="105">
        <v>2</v>
      </c>
      <c r="C294" s="135" t="s">
        <v>6719</v>
      </c>
      <c r="D294" s="31"/>
      <c r="E294" s="31"/>
      <c r="F294" s="210" t="s">
        <v>2374</v>
      </c>
      <c r="G294" s="190">
        <v>32</v>
      </c>
      <c r="H294" s="190">
        <f>'HIRE CHARGES'!$D$525</f>
        <v>580.69999999999993</v>
      </c>
      <c r="I294" s="155">
        <f t="shared" si="3"/>
        <v>18582.400000000001</v>
      </c>
      <c r="J294" s="78"/>
    </row>
    <row r="295" spans="1:10">
      <c r="B295" s="105"/>
      <c r="C295" s="135" t="s">
        <v>2379</v>
      </c>
      <c r="D295" s="31"/>
      <c r="E295" s="31"/>
      <c r="F295" s="210" t="s">
        <v>2374</v>
      </c>
      <c r="G295" s="190">
        <v>32</v>
      </c>
      <c r="H295" s="190">
        <f>'HIRE CHARGES'!$E$525</f>
        <v>399.9</v>
      </c>
      <c r="I295" s="155">
        <f t="shared" si="3"/>
        <v>12796.8</v>
      </c>
      <c r="J295" s="78"/>
    </row>
    <row r="296" spans="1:10">
      <c r="B296" s="105">
        <v>3</v>
      </c>
      <c r="C296" s="135" t="s">
        <v>5044</v>
      </c>
      <c r="D296" s="31"/>
      <c r="E296" s="31"/>
      <c r="F296" s="210" t="s">
        <v>2374</v>
      </c>
      <c r="G296" s="190">
        <v>8</v>
      </c>
      <c r="H296" s="190">
        <f>'HIRE CHARGES'!$D$545</f>
        <v>446.7</v>
      </c>
      <c r="I296" s="155">
        <f t="shared" si="3"/>
        <v>3573.6</v>
      </c>
      <c r="J296" s="78"/>
    </row>
    <row r="297" spans="1:10">
      <c r="B297" s="105"/>
      <c r="C297" s="135" t="s">
        <v>2379</v>
      </c>
      <c r="D297" s="31"/>
      <c r="E297" s="31"/>
      <c r="F297" s="210" t="s">
        <v>2374</v>
      </c>
      <c r="G297" s="190">
        <v>8</v>
      </c>
      <c r="H297" s="182">
        <f>'HIRE CHARGES'!$E$545</f>
        <v>299.89999999999998</v>
      </c>
      <c r="I297" s="155">
        <f t="shared" si="3"/>
        <v>2399.1999999999998</v>
      </c>
      <c r="J297" s="78"/>
    </row>
    <row r="298" spans="1:10">
      <c r="B298" s="105">
        <v>4</v>
      </c>
      <c r="C298" s="135" t="s">
        <v>6720</v>
      </c>
      <c r="D298" s="31"/>
      <c r="E298" s="31"/>
      <c r="F298" s="210" t="s">
        <v>2374</v>
      </c>
      <c r="G298" s="190">
        <v>13</v>
      </c>
      <c r="H298" s="207">
        <f>'HIRE CHARGES'!$D$497</f>
        <v>170.8</v>
      </c>
      <c r="I298" s="155">
        <f t="shared" si="3"/>
        <v>2220.4</v>
      </c>
      <c r="J298" s="78"/>
    </row>
    <row r="299" spans="1:10">
      <c r="B299" s="105"/>
      <c r="C299" s="135" t="s">
        <v>2379</v>
      </c>
      <c r="D299" s="31"/>
      <c r="E299" s="31"/>
      <c r="F299" s="210" t="s">
        <v>2374</v>
      </c>
      <c r="G299" s="190">
        <v>13</v>
      </c>
      <c r="H299" s="207">
        <f>'HIRE CHARGES'!$E$497</f>
        <v>315.2</v>
      </c>
      <c r="I299" s="155">
        <f t="shared" si="3"/>
        <v>4097.6000000000004</v>
      </c>
      <c r="J299" s="78"/>
    </row>
    <row r="300" spans="1:10">
      <c r="B300" s="105">
        <v>5</v>
      </c>
      <c r="C300" s="135" t="s">
        <v>6721</v>
      </c>
      <c r="D300" s="31"/>
      <c r="E300" s="31"/>
      <c r="F300" s="210" t="s">
        <v>2374</v>
      </c>
      <c r="G300" s="190">
        <v>26</v>
      </c>
      <c r="H300" s="207">
        <f>'HIRE CHARGES'!$D$530</f>
        <v>19.8</v>
      </c>
      <c r="I300" s="155">
        <f t="shared" si="3"/>
        <v>514.79999999999995</v>
      </c>
      <c r="J300" s="78"/>
    </row>
    <row r="301" spans="1:10">
      <c r="B301" s="191"/>
      <c r="C301" s="139" t="s">
        <v>2379</v>
      </c>
      <c r="D301" s="174"/>
      <c r="E301" s="174"/>
      <c r="F301" s="191" t="s">
        <v>2374</v>
      </c>
      <c r="G301" s="182">
        <v>26</v>
      </c>
      <c r="H301" s="181">
        <f>'HIRE CHARGES'!$E$530</f>
        <v>0</v>
      </c>
      <c r="I301" s="155">
        <f t="shared" si="3"/>
        <v>0</v>
      </c>
      <c r="J301" s="78"/>
    </row>
    <row r="302" spans="1:10">
      <c r="B302" s="184"/>
      <c r="C302" s="151"/>
      <c r="D302" s="159" t="s">
        <v>2380</v>
      </c>
      <c r="E302" s="159"/>
      <c r="F302" s="159"/>
      <c r="G302" s="159"/>
      <c r="H302" s="208" t="s">
        <v>1698</v>
      </c>
      <c r="I302" s="209">
        <f>ROUND(SUM(I292:I301),2)</f>
        <v>64819.199999999997</v>
      </c>
      <c r="J302" s="78"/>
    </row>
    <row r="303" spans="1:10">
      <c r="J303" s="78"/>
    </row>
    <row r="304" spans="1:10">
      <c r="B304" s="170" t="s">
        <v>2381</v>
      </c>
      <c r="J304" s="78"/>
    </row>
    <row r="305" spans="1:10">
      <c r="C305" s="89"/>
      <c r="J305" s="78"/>
    </row>
    <row r="306" spans="1:10">
      <c r="A306" s="865"/>
      <c r="B306" s="95" t="s">
        <v>2369</v>
      </c>
      <c r="D306" s="157" t="s">
        <v>2378</v>
      </c>
      <c r="E306" s="175"/>
      <c r="F306" s="97" t="s">
        <v>2370</v>
      </c>
      <c r="G306" s="95" t="s">
        <v>1166</v>
      </c>
      <c r="H306" s="97" t="s">
        <v>6664</v>
      </c>
      <c r="I306" s="97" t="s">
        <v>6665</v>
      </c>
      <c r="J306" s="78"/>
    </row>
    <row r="307" spans="1:10">
      <c r="A307" s="865"/>
      <c r="B307" s="114"/>
      <c r="C307" s="139"/>
      <c r="D307" s="188"/>
      <c r="E307" s="188"/>
      <c r="F307" s="115"/>
      <c r="G307" s="114"/>
      <c r="H307" s="115" t="s">
        <v>3856</v>
      </c>
      <c r="I307" s="115" t="s">
        <v>3857</v>
      </c>
      <c r="J307" s="78"/>
    </row>
    <row r="308" spans="1:10">
      <c r="B308" s="95">
        <v>1</v>
      </c>
      <c r="C308" s="131" t="s">
        <v>300</v>
      </c>
      <c r="D308" s="187"/>
      <c r="E308" s="187"/>
      <c r="F308" s="195" t="s">
        <v>2374</v>
      </c>
      <c r="G308" s="179">
        <v>8</v>
      </c>
      <c r="H308" s="179">
        <f>'HIRE CHARGES'!$F$543</f>
        <v>236.6</v>
      </c>
      <c r="I308" s="155">
        <f>ROUND(H308*G308,2)</f>
        <v>1892.8</v>
      </c>
      <c r="J308" s="78"/>
    </row>
    <row r="309" spans="1:10">
      <c r="B309" s="105">
        <v>2</v>
      </c>
      <c r="C309" s="135" t="s">
        <v>4585</v>
      </c>
      <c r="D309" s="31"/>
      <c r="E309" s="31"/>
      <c r="F309" s="189" t="s">
        <v>2374</v>
      </c>
      <c r="G309" s="190">
        <v>32</v>
      </c>
      <c r="H309" s="190">
        <f>'HIRE CHARGES'!$F$525</f>
        <v>227.1</v>
      </c>
      <c r="I309" s="155">
        <f t="shared" ref="I309:I318" si="4">ROUND(H309*G309,2)</f>
        <v>7267.2</v>
      </c>
      <c r="J309" s="78"/>
    </row>
    <row r="310" spans="1:10">
      <c r="B310" s="105">
        <v>3</v>
      </c>
      <c r="C310" s="135" t="s">
        <v>301</v>
      </c>
      <c r="D310" s="31"/>
      <c r="E310" s="31"/>
      <c r="F310" s="189" t="s">
        <v>2374</v>
      </c>
      <c r="G310" s="190">
        <v>8</v>
      </c>
      <c r="H310" s="190">
        <f>'HIRE CHARGES'!$F$545</f>
        <v>177.5</v>
      </c>
      <c r="I310" s="155">
        <f t="shared" si="4"/>
        <v>1420</v>
      </c>
      <c r="J310" s="78"/>
    </row>
    <row r="311" spans="1:10">
      <c r="B311" s="105">
        <v>4</v>
      </c>
      <c r="C311" s="135" t="s">
        <v>4606</v>
      </c>
      <c r="D311" s="31"/>
      <c r="E311" s="31"/>
      <c r="F311" s="189" t="s">
        <v>2374</v>
      </c>
      <c r="G311" s="190">
        <v>13</v>
      </c>
      <c r="H311" s="207">
        <f>'HIRE CHARGES'!$F$497</f>
        <v>164.8</v>
      </c>
      <c r="I311" s="155">
        <f t="shared" si="4"/>
        <v>2142.4</v>
      </c>
      <c r="J311" s="78"/>
    </row>
    <row r="312" spans="1:10">
      <c r="B312" s="105">
        <v>5</v>
      </c>
      <c r="C312" s="135" t="s">
        <v>4607</v>
      </c>
      <c r="D312" s="31"/>
      <c r="E312" s="31"/>
      <c r="F312" s="189" t="s">
        <v>2374</v>
      </c>
      <c r="G312" s="190">
        <v>26</v>
      </c>
      <c r="H312" s="207">
        <f>'HIRE CHARGES'!$F$530</f>
        <v>329.6</v>
      </c>
      <c r="I312" s="155">
        <f t="shared" si="4"/>
        <v>8569.6</v>
      </c>
      <c r="J312" s="78"/>
    </row>
    <row r="313" spans="1:10">
      <c r="B313" s="105">
        <v>6</v>
      </c>
      <c r="C313" s="135" t="s">
        <v>4206</v>
      </c>
      <c r="D313" s="31"/>
      <c r="E313" s="31"/>
      <c r="F313" s="189" t="s">
        <v>1172</v>
      </c>
      <c r="G313" s="190">
        <v>1</v>
      </c>
      <c r="H313" s="207">
        <f>'BASIC DATA'!$C$473</f>
        <v>450</v>
      </c>
      <c r="I313" s="155">
        <f t="shared" si="4"/>
        <v>450</v>
      </c>
      <c r="J313" s="78"/>
    </row>
    <row r="314" spans="1:10">
      <c r="B314" s="105">
        <v>7</v>
      </c>
      <c r="C314" s="135" t="s">
        <v>4608</v>
      </c>
      <c r="D314" s="31"/>
      <c r="E314" s="31"/>
      <c r="F314" s="189" t="s">
        <v>1172</v>
      </c>
      <c r="G314" s="190">
        <v>1</v>
      </c>
      <c r="H314" s="207">
        <f>'BASIC DATA'!$C$466</f>
        <v>510</v>
      </c>
      <c r="I314" s="155">
        <f t="shared" si="4"/>
        <v>510</v>
      </c>
      <c r="J314" s="78"/>
    </row>
    <row r="315" spans="1:10">
      <c r="B315" s="105">
        <v>8</v>
      </c>
      <c r="C315" s="135" t="s">
        <v>4609</v>
      </c>
      <c r="D315" s="31"/>
      <c r="E315" s="31"/>
      <c r="F315" s="189" t="s">
        <v>1172</v>
      </c>
      <c r="G315" s="190">
        <v>1</v>
      </c>
      <c r="H315" s="207">
        <f>'BASIC DATA'!$C$520</f>
        <v>400</v>
      </c>
      <c r="I315" s="155">
        <f t="shared" si="4"/>
        <v>400</v>
      </c>
      <c r="J315" s="78"/>
    </row>
    <row r="316" spans="1:10">
      <c r="B316" s="105">
        <v>9</v>
      </c>
      <c r="C316" s="135" t="s">
        <v>5603</v>
      </c>
      <c r="D316" s="31"/>
      <c r="E316" s="31"/>
      <c r="F316" s="189" t="s">
        <v>1172</v>
      </c>
      <c r="G316" s="190">
        <v>2.5</v>
      </c>
      <c r="H316" s="207">
        <f>'BASIC DATA'!$C$514</f>
        <v>400</v>
      </c>
      <c r="I316" s="155">
        <f t="shared" si="4"/>
        <v>1000</v>
      </c>
      <c r="J316" s="78"/>
    </row>
    <row r="317" spans="1:10">
      <c r="B317" s="105">
        <v>10</v>
      </c>
      <c r="C317" s="135" t="s">
        <v>1190</v>
      </c>
      <c r="D317" s="31"/>
      <c r="E317" s="31"/>
      <c r="F317" s="189" t="s">
        <v>1172</v>
      </c>
      <c r="G317" s="190">
        <v>1</v>
      </c>
      <c r="H317" s="207">
        <f>'BASIC DATA'!$C$546</f>
        <v>400</v>
      </c>
      <c r="I317" s="155">
        <f t="shared" si="4"/>
        <v>400</v>
      </c>
      <c r="J317" s="78"/>
    </row>
    <row r="318" spans="1:10">
      <c r="B318" s="105">
        <v>11</v>
      </c>
      <c r="C318" s="135" t="s">
        <v>2697</v>
      </c>
      <c r="D318" s="31"/>
      <c r="E318" s="31"/>
      <c r="F318" s="189" t="s">
        <v>1172</v>
      </c>
      <c r="G318" s="190">
        <v>10</v>
      </c>
      <c r="H318" s="190">
        <f>'BASIC DATA'!$C$552</f>
        <v>350</v>
      </c>
      <c r="I318" s="155">
        <f t="shared" si="4"/>
        <v>3500</v>
      </c>
      <c r="J318" s="78"/>
    </row>
    <row r="319" spans="1:10">
      <c r="B319" s="184"/>
      <c r="C319" s="151"/>
      <c r="D319" s="159"/>
      <c r="E319" s="159"/>
      <c r="F319" s="159" t="s">
        <v>1174</v>
      </c>
      <c r="G319" s="159"/>
      <c r="H319" s="208" t="s">
        <v>4108</v>
      </c>
      <c r="I319" s="209">
        <f>ROUND(SUM(I308:I318),2)</f>
        <v>27552</v>
      </c>
      <c r="J319" s="78"/>
    </row>
    <row r="320" spans="1:10">
      <c r="B320" s="60" t="s">
        <v>5948</v>
      </c>
      <c r="C320" s="76"/>
      <c r="D320" s="31"/>
      <c r="E320" s="31"/>
      <c r="F320" s="31"/>
      <c r="G320" s="85">
        <f>ROUND(I319/H276,1)</f>
        <v>53</v>
      </c>
      <c r="H320" s="85"/>
      <c r="J320" s="78"/>
    </row>
    <row r="321" spans="1:10">
      <c r="B321" s="60" t="s">
        <v>3163</v>
      </c>
      <c r="C321" s="76"/>
      <c r="D321" s="31"/>
      <c r="E321" s="31"/>
      <c r="F321" s="922">
        <f>'BASIC DATA'!$C$577</f>
        <v>0.13614999999999999</v>
      </c>
      <c r="G321" s="85">
        <f>ROUND(G320*F321,1)</f>
        <v>7.2</v>
      </c>
      <c r="H321" s="85"/>
      <c r="J321" s="78"/>
    </row>
    <row r="322" spans="1:10">
      <c r="B322" s="60" t="s">
        <v>5949</v>
      </c>
      <c r="C322" s="76"/>
      <c r="D322" s="31"/>
      <c r="E322" s="31"/>
      <c r="F322" s="31"/>
      <c r="G322" s="199">
        <f>ROUND((G320+G321),1)</f>
        <v>60.2</v>
      </c>
      <c r="H322" s="85"/>
      <c r="J322" s="78"/>
    </row>
    <row r="323" spans="1:10">
      <c r="B323" s="31"/>
      <c r="C323" s="76"/>
      <c r="D323" s="31"/>
      <c r="E323" s="31"/>
      <c r="F323" s="31"/>
      <c r="G323" s="31"/>
      <c r="H323" s="31"/>
      <c r="I323" s="200"/>
      <c r="J323" s="78"/>
    </row>
    <row r="324" spans="1:10">
      <c r="J324" s="78"/>
    </row>
    <row r="325" spans="1:10">
      <c r="B325" s="170" t="s">
        <v>1175</v>
      </c>
      <c r="J325" s="78"/>
    </row>
    <row r="326" spans="1:10">
      <c r="B326" s="26" t="s">
        <v>1176</v>
      </c>
      <c r="H326" s="171" t="s">
        <v>1698</v>
      </c>
      <c r="I326" s="117">
        <f>I286</f>
        <v>17089.89</v>
      </c>
      <c r="J326" s="78"/>
    </row>
    <row r="327" spans="1:10">
      <c r="B327" s="26" t="s">
        <v>1186</v>
      </c>
      <c r="H327" s="171" t="s">
        <v>1698</v>
      </c>
      <c r="I327" s="117">
        <f>I302</f>
        <v>64819.199999999997</v>
      </c>
      <c r="J327" s="78"/>
    </row>
    <row r="328" spans="1:10">
      <c r="B328" s="26" t="s">
        <v>2660</v>
      </c>
      <c r="H328" s="171" t="s">
        <v>1698</v>
      </c>
      <c r="I328" s="117">
        <f>I319</f>
        <v>27552</v>
      </c>
      <c r="J328" s="78"/>
    </row>
    <row r="329" spans="1:10">
      <c r="G329" s="171" t="s">
        <v>1518</v>
      </c>
      <c r="H329" s="171" t="s">
        <v>1698</v>
      </c>
      <c r="I329" s="130">
        <f>SUM(I326:I328)</f>
        <v>109461.09</v>
      </c>
      <c r="J329" s="78"/>
    </row>
    <row r="330" spans="1:10" ht="18.75">
      <c r="B330" s="1207" t="s">
        <v>8375</v>
      </c>
      <c r="C330" s="1207"/>
      <c r="D330" s="1207"/>
      <c r="E330" s="1207"/>
      <c r="F330" s="1207"/>
      <c r="G330" s="922">
        <f>'BASIC DATA'!$C$577</f>
        <v>0.13614999999999999</v>
      </c>
      <c r="H330" s="171" t="s">
        <v>4108</v>
      </c>
      <c r="I330" s="76">
        <f>ROUND(I329*G330,2)</f>
        <v>14903.13</v>
      </c>
      <c r="J330" s="78"/>
    </row>
    <row r="331" spans="1:10">
      <c r="B331" s="1206" t="s">
        <v>1191</v>
      </c>
      <c r="C331" s="1206"/>
      <c r="D331" s="1206"/>
      <c r="E331" s="1206"/>
      <c r="F331" s="202">
        <f>H276</f>
        <v>520</v>
      </c>
      <c r="G331" s="171" t="str">
        <f>I276</f>
        <v xml:space="preserve"> cum.</v>
      </c>
      <c r="H331" s="171" t="s">
        <v>1698</v>
      </c>
      <c r="I331" s="199">
        <f>I330+I329</f>
        <v>124364.22</v>
      </c>
      <c r="J331" s="78"/>
    </row>
    <row r="332" spans="1:10">
      <c r="B332" s="1161" t="s">
        <v>3884</v>
      </c>
      <c r="C332" s="1161"/>
      <c r="D332" s="1161"/>
      <c r="E332" s="203" t="str">
        <f>G331</f>
        <v xml:space="preserve"> cum.</v>
      </c>
      <c r="F332" s="26" t="s">
        <v>1384</v>
      </c>
      <c r="H332" s="171" t="s">
        <v>1698</v>
      </c>
      <c r="I332" s="204">
        <f>ROUND(I331/F331,1)</f>
        <v>239.2</v>
      </c>
      <c r="J332" s="78"/>
    </row>
    <row r="333" spans="1:10">
      <c r="J333" s="78"/>
    </row>
    <row r="334" spans="1:10" ht="36.75">
      <c r="A334" s="847" t="s">
        <v>9769</v>
      </c>
      <c r="B334" s="26" t="s">
        <v>9529</v>
      </c>
      <c r="J334" s="78"/>
    </row>
    <row r="335" spans="1:10">
      <c r="B335" s="26" t="s">
        <v>9530</v>
      </c>
      <c r="J335" s="78"/>
    </row>
    <row r="336" spans="1:10">
      <c r="B336" s="26" t="s">
        <v>9531</v>
      </c>
      <c r="J336" s="78"/>
    </row>
    <row r="337" spans="1:10">
      <c r="B337" s="26" t="s">
        <v>9532</v>
      </c>
      <c r="J337" s="78"/>
    </row>
    <row r="338" spans="1:10">
      <c r="B338" s="170"/>
      <c r="J338" s="78"/>
    </row>
    <row r="339" spans="1:10" hidden="1">
      <c r="A339" s="822" t="s">
        <v>3984</v>
      </c>
      <c r="B339" s="26" t="s">
        <v>6124</v>
      </c>
      <c r="J339" s="78"/>
    </row>
    <row r="340" spans="1:10" hidden="1">
      <c r="B340" s="26" t="s">
        <v>1471</v>
      </c>
      <c r="J340" s="78"/>
    </row>
    <row r="341" spans="1:10" hidden="1">
      <c r="B341" s="26" t="s">
        <v>6125</v>
      </c>
      <c r="G341" s="171" t="s">
        <v>1697</v>
      </c>
      <c r="H341" s="68">
        <v>493</v>
      </c>
      <c r="I341" s="26" t="s">
        <v>3477</v>
      </c>
      <c r="J341" s="78"/>
    </row>
    <row r="342" spans="1:10" hidden="1">
      <c r="B342" s="26" t="s">
        <v>6126</v>
      </c>
      <c r="G342" s="171" t="s">
        <v>1697</v>
      </c>
      <c r="H342" s="68">
        <v>27</v>
      </c>
      <c r="I342" s="26" t="s">
        <v>3477</v>
      </c>
      <c r="J342" s="78"/>
    </row>
    <row r="343" spans="1:10" hidden="1">
      <c r="B343" s="26" t="s">
        <v>6127</v>
      </c>
      <c r="G343" s="171" t="s">
        <v>1697</v>
      </c>
      <c r="H343" s="205">
        <f>SUM(H341:H342)</f>
        <v>520</v>
      </c>
      <c r="I343" s="26" t="s">
        <v>3477</v>
      </c>
      <c r="J343" s="78"/>
    </row>
    <row r="344" spans="1:10" hidden="1">
      <c r="B344" s="26" t="s">
        <v>6128</v>
      </c>
      <c r="J344" s="78"/>
    </row>
    <row r="345" spans="1:10" hidden="1">
      <c r="B345" s="26" t="s">
        <v>6129</v>
      </c>
      <c r="J345" s="78"/>
    </row>
    <row r="346" spans="1:10" hidden="1">
      <c r="B346" s="26" t="s">
        <v>3294</v>
      </c>
      <c r="J346" s="78"/>
    </row>
    <row r="347" spans="1:10" hidden="1">
      <c r="B347" s="26" t="s">
        <v>6130</v>
      </c>
      <c r="J347" s="78"/>
    </row>
    <row r="348" spans="1:10" hidden="1">
      <c r="B348" s="26" t="s">
        <v>3740</v>
      </c>
      <c r="J348" s="78"/>
    </row>
    <row r="349" spans="1:10" hidden="1">
      <c r="B349" s="26" t="s">
        <v>6131</v>
      </c>
      <c r="G349" s="171" t="s">
        <v>1697</v>
      </c>
      <c r="H349" s="68">
        <v>1.4</v>
      </c>
      <c r="I349" s="26" t="s">
        <v>2602</v>
      </c>
      <c r="J349" s="78"/>
    </row>
    <row r="350" spans="1:10" hidden="1">
      <c r="B350" s="26" t="s">
        <v>3742</v>
      </c>
      <c r="G350" s="171" t="s">
        <v>1697</v>
      </c>
      <c r="H350" s="68">
        <v>1.25</v>
      </c>
      <c r="I350" s="26" t="s">
        <v>2602</v>
      </c>
      <c r="J350" s="78"/>
    </row>
    <row r="351" spans="1:10" hidden="1">
      <c r="B351" s="26" t="s">
        <v>2572</v>
      </c>
      <c r="G351" s="171" t="s">
        <v>1697</v>
      </c>
      <c r="H351" s="68">
        <v>416</v>
      </c>
      <c r="I351" s="26" t="s">
        <v>3883</v>
      </c>
      <c r="J351" s="78"/>
    </row>
    <row r="352" spans="1:10" hidden="1">
      <c r="B352" s="26" t="s">
        <v>5419</v>
      </c>
      <c r="J352" s="78"/>
    </row>
    <row r="353" spans="2:10" hidden="1">
      <c r="B353" s="26" t="s">
        <v>5420</v>
      </c>
      <c r="J353" s="78"/>
    </row>
    <row r="354" spans="2:10" hidden="1">
      <c r="B354" s="26" t="s">
        <v>2796</v>
      </c>
      <c r="J354" s="78"/>
    </row>
    <row r="355" spans="2:10" hidden="1">
      <c r="B355" s="26" t="s">
        <v>2797</v>
      </c>
      <c r="J355" s="78"/>
    </row>
    <row r="356" spans="2:10" hidden="1">
      <c r="B356" s="26" t="s">
        <v>835</v>
      </c>
      <c r="G356" s="171" t="s">
        <v>1697</v>
      </c>
      <c r="H356" s="171" t="s">
        <v>2382</v>
      </c>
      <c r="I356" s="26" t="s">
        <v>3561</v>
      </c>
      <c r="J356" s="78"/>
    </row>
    <row r="357" spans="2:10" hidden="1">
      <c r="B357" s="26" t="s">
        <v>3341</v>
      </c>
      <c r="G357" s="171" t="s">
        <v>1697</v>
      </c>
      <c r="H357" s="68">
        <v>154</v>
      </c>
      <c r="I357" s="26" t="s">
        <v>3032</v>
      </c>
      <c r="J357" s="78"/>
    </row>
    <row r="358" spans="2:10" hidden="1">
      <c r="B358" s="26" t="s">
        <v>3342</v>
      </c>
      <c r="G358" s="171" t="s">
        <v>1697</v>
      </c>
      <c r="H358" s="68">
        <v>216</v>
      </c>
      <c r="I358" s="26" t="s">
        <v>2602</v>
      </c>
      <c r="J358" s="78"/>
    </row>
    <row r="359" spans="2:10" hidden="1">
      <c r="B359" s="26" t="s">
        <v>3343</v>
      </c>
      <c r="G359" s="171" t="s">
        <v>1697</v>
      </c>
      <c r="H359" s="68">
        <v>10</v>
      </c>
      <c r="I359" s="26" t="s">
        <v>2602</v>
      </c>
      <c r="J359" s="78"/>
    </row>
    <row r="360" spans="2:10" hidden="1">
      <c r="B360" s="26" t="s">
        <v>6710</v>
      </c>
      <c r="G360" s="171"/>
      <c r="H360" s="68">
        <v>5.4</v>
      </c>
      <c r="I360" s="26" t="s">
        <v>4665</v>
      </c>
      <c r="J360" s="78"/>
    </row>
    <row r="361" spans="2:10" hidden="1">
      <c r="B361" s="26" t="s">
        <v>2798</v>
      </c>
      <c r="J361" s="78"/>
    </row>
    <row r="362" spans="2:10" hidden="1">
      <c r="B362" s="26" t="s">
        <v>2799</v>
      </c>
      <c r="J362" s="78"/>
    </row>
    <row r="363" spans="2:10" hidden="1">
      <c r="B363" s="26" t="s">
        <v>6711</v>
      </c>
      <c r="G363" s="171" t="s">
        <v>1697</v>
      </c>
      <c r="H363" s="68">
        <v>104</v>
      </c>
      <c r="I363" s="26" t="s">
        <v>3033</v>
      </c>
      <c r="J363" s="78"/>
    </row>
    <row r="364" spans="2:10" hidden="1">
      <c r="B364" s="26" t="s">
        <v>3849</v>
      </c>
      <c r="G364" s="171" t="s">
        <v>1697</v>
      </c>
      <c r="H364" s="68">
        <v>154</v>
      </c>
      <c r="I364" s="26" t="s">
        <v>4041</v>
      </c>
      <c r="J364" s="78"/>
    </row>
    <row r="365" spans="2:10" hidden="1">
      <c r="B365" s="26" t="s">
        <v>5703</v>
      </c>
      <c r="G365" s="171" t="s">
        <v>1697</v>
      </c>
      <c r="H365" s="68">
        <v>320</v>
      </c>
      <c r="I365" s="26" t="s">
        <v>3034</v>
      </c>
      <c r="J365" s="78"/>
    </row>
    <row r="366" spans="2:10" hidden="1">
      <c r="B366" s="26" t="s">
        <v>2366</v>
      </c>
      <c r="H366" s="68"/>
      <c r="J366" s="78"/>
    </row>
    <row r="367" spans="2:10" hidden="1">
      <c r="B367" s="26" t="s">
        <v>288</v>
      </c>
      <c r="F367" s="68">
        <f>'BASIC DATA'!$D$307</f>
        <v>4028</v>
      </c>
      <c r="G367" s="171" t="s">
        <v>1698</v>
      </c>
      <c r="H367" s="68">
        <f>F367</f>
        <v>4028</v>
      </c>
      <c r="J367" s="78"/>
    </row>
    <row r="368" spans="2:10" hidden="1">
      <c r="B368" s="26" t="s">
        <v>6096</v>
      </c>
      <c r="G368" s="171" t="s">
        <v>1697</v>
      </c>
      <c r="H368" s="68">
        <v>200</v>
      </c>
      <c r="I368" s="26" t="s">
        <v>2602</v>
      </c>
      <c r="J368" s="78"/>
    </row>
    <row r="369" spans="2:10" hidden="1">
      <c r="B369" s="26" t="s">
        <v>6712</v>
      </c>
      <c r="G369" s="171" t="s">
        <v>1698</v>
      </c>
      <c r="H369" s="68">
        <f>ROUND(H367/H368,2)</f>
        <v>20.14</v>
      </c>
      <c r="J369" s="78"/>
    </row>
    <row r="370" spans="2:10" hidden="1">
      <c r="B370" s="26" t="s">
        <v>3686</v>
      </c>
      <c r="G370" s="171" t="s">
        <v>1697</v>
      </c>
      <c r="H370" s="68">
        <v>50</v>
      </c>
      <c r="I370" s="26" t="s">
        <v>2602</v>
      </c>
      <c r="J370" s="78"/>
    </row>
    <row r="371" spans="2:10" hidden="1">
      <c r="B371" s="26" t="s">
        <v>5135</v>
      </c>
      <c r="F371" s="68">
        <f>'BASIC DATA'!$D$344</f>
        <v>185</v>
      </c>
      <c r="G371" s="171" t="s">
        <v>1698</v>
      </c>
      <c r="H371" s="68">
        <f>F371*H370</f>
        <v>9250</v>
      </c>
      <c r="J371" s="78"/>
    </row>
    <row r="372" spans="2:10" hidden="1">
      <c r="B372" s="26" t="s">
        <v>5152</v>
      </c>
      <c r="G372" s="171" t="s">
        <v>1697</v>
      </c>
      <c r="H372" s="68">
        <v>800</v>
      </c>
      <c r="I372" s="26" t="s">
        <v>4665</v>
      </c>
      <c r="J372" s="78"/>
    </row>
    <row r="373" spans="2:10" hidden="1">
      <c r="B373" s="26" t="s">
        <v>6713</v>
      </c>
      <c r="G373" s="171" t="s">
        <v>1698</v>
      </c>
      <c r="H373" s="68">
        <f>H371/H372</f>
        <v>11.5625</v>
      </c>
      <c r="J373" s="78"/>
    </row>
    <row r="374" spans="2:10" hidden="1">
      <c r="G374" s="171"/>
      <c r="H374" s="68"/>
      <c r="J374" s="78"/>
    </row>
    <row r="375" spans="2:10" hidden="1">
      <c r="B375" s="26" t="s">
        <v>9533</v>
      </c>
      <c r="G375" s="171"/>
      <c r="H375" s="68"/>
      <c r="J375" s="78"/>
    </row>
    <row r="376" spans="2:10" hidden="1">
      <c r="B376" s="26" t="s">
        <v>9534</v>
      </c>
      <c r="G376" s="171"/>
      <c r="H376" s="68"/>
      <c r="J376" s="78"/>
    </row>
    <row r="377" spans="2:10" hidden="1">
      <c r="B377" s="170" t="s">
        <v>2548</v>
      </c>
      <c r="G377" s="171"/>
      <c r="H377" s="68"/>
      <c r="J377" s="78"/>
    </row>
    <row r="378" spans="2:10" hidden="1">
      <c r="B378" s="26" t="s">
        <v>9535</v>
      </c>
      <c r="G378" s="171"/>
      <c r="H378" s="68"/>
      <c r="J378" s="78"/>
    </row>
    <row r="379" spans="2:10" hidden="1">
      <c r="B379" s="26" t="s">
        <v>9536</v>
      </c>
      <c r="G379" s="171"/>
      <c r="H379" s="68"/>
      <c r="J379" s="78"/>
    </row>
    <row r="380" spans="2:10" hidden="1">
      <c r="G380" s="171"/>
      <c r="H380" s="68"/>
      <c r="J380" s="78"/>
    </row>
    <row r="381" spans="2:10" hidden="1">
      <c r="B381" s="26" t="s">
        <v>9537</v>
      </c>
      <c r="G381" s="171" t="s">
        <v>1697</v>
      </c>
      <c r="H381" s="26">
        <v>416</v>
      </c>
      <c r="I381" s="27" t="s">
        <v>5860</v>
      </c>
    </row>
    <row r="382" spans="2:10" hidden="1">
      <c r="B382" s="26" t="s">
        <v>9538</v>
      </c>
      <c r="G382" s="171" t="s">
        <v>1697</v>
      </c>
      <c r="H382" s="68">
        <v>42</v>
      </c>
      <c r="I382" s="26" t="s">
        <v>5860</v>
      </c>
      <c r="J382" s="78"/>
    </row>
    <row r="383" spans="2:10" hidden="1">
      <c r="B383" s="26" t="s">
        <v>9539</v>
      </c>
      <c r="G383" s="171" t="s">
        <v>1697</v>
      </c>
      <c r="H383" s="68">
        <v>45</v>
      </c>
      <c r="I383" s="26" t="s">
        <v>5860</v>
      </c>
      <c r="J383" s="78"/>
    </row>
    <row r="384" spans="2:10" hidden="1">
      <c r="F384" s="26" t="s">
        <v>1518</v>
      </c>
      <c r="G384" s="171" t="s">
        <v>1697</v>
      </c>
      <c r="H384" s="68">
        <f>SUM(H381:H383)</f>
        <v>503</v>
      </c>
      <c r="I384" s="26" t="s">
        <v>5860</v>
      </c>
      <c r="J384" s="78"/>
    </row>
    <row r="385" spans="1:10" hidden="1">
      <c r="G385" s="171" t="s">
        <v>9540</v>
      </c>
      <c r="H385" s="68">
        <v>500</v>
      </c>
      <c r="I385" s="26" t="s">
        <v>5860</v>
      </c>
      <c r="J385" s="78"/>
    </row>
    <row r="386" spans="1:10" hidden="1">
      <c r="D386" s="26" t="s">
        <v>6333</v>
      </c>
      <c r="G386" s="171" t="s">
        <v>1697</v>
      </c>
      <c r="H386" s="68">
        <v>154</v>
      </c>
      <c r="I386" s="26" t="s">
        <v>4041</v>
      </c>
      <c r="J386" s="78"/>
    </row>
    <row r="387" spans="1:10" hidden="1">
      <c r="B387" s="26" t="s">
        <v>9541</v>
      </c>
      <c r="G387" s="171" t="s">
        <v>1697</v>
      </c>
      <c r="H387" s="68">
        <v>36</v>
      </c>
      <c r="I387" s="26" t="s">
        <v>4041</v>
      </c>
      <c r="J387" s="78"/>
    </row>
    <row r="388" spans="1:10" hidden="1">
      <c r="F388" s="26" t="s">
        <v>1518</v>
      </c>
      <c r="G388" s="171" t="s">
        <v>1697</v>
      </c>
      <c r="H388" s="68">
        <f>SUM(H386:H387)</f>
        <v>190</v>
      </c>
      <c r="I388" s="26" t="s">
        <v>4041</v>
      </c>
      <c r="J388" s="78"/>
    </row>
    <row r="389" spans="1:10" hidden="1">
      <c r="B389" s="26" t="s">
        <v>9542</v>
      </c>
      <c r="G389" s="171"/>
      <c r="H389" s="68"/>
      <c r="J389" s="78"/>
    </row>
    <row r="390" spans="1:10" hidden="1">
      <c r="G390" s="171"/>
      <c r="H390" s="68"/>
      <c r="J390" s="78"/>
    </row>
    <row r="391" spans="1:10" hidden="1">
      <c r="B391" s="26" t="s">
        <v>5136</v>
      </c>
      <c r="F391" s="68">
        <f>'BASIC DATA'!$D$112</f>
        <v>235</v>
      </c>
      <c r="G391" s="171" t="s">
        <v>1698</v>
      </c>
      <c r="H391" s="68">
        <f>F391</f>
        <v>235</v>
      </c>
      <c r="J391" s="78"/>
    </row>
    <row r="392" spans="1:10" hidden="1">
      <c r="B392" s="26" t="s">
        <v>5137</v>
      </c>
      <c r="F392" s="201">
        <v>0.1</v>
      </c>
      <c r="G392" s="171"/>
      <c r="H392" s="68">
        <f>H391*F392</f>
        <v>23.5</v>
      </c>
      <c r="J392" s="78"/>
    </row>
    <row r="393" spans="1:10" hidden="1">
      <c r="F393" s="26" t="s">
        <v>1518</v>
      </c>
      <c r="G393" s="171" t="s">
        <v>1698</v>
      </c>
      <c r="H393" s="68">
        <f>H391-H392</f>
        <v>211.5</v>
      </c>
      <c r="J393" s="78"/>
    </row>
    <row r="394" spans="1:10" hidden="1">
      <c r="B394" s="26" t="s">
        <v>5138</v>
      </c>
      <c r="F394" s="201">
        <v>0.25</v>
      </c>
      <c r="G394" s="171" t="s">
        <v>1698</v>
      </c>
      <c r="H394" s="68">
        <f>H393*F394</f>
        <v>52.875</v>
      </c>
      <c r="J394" s="78"/>
    </row>
    <row r="395" spans="1:10" hidden="1">
      <c r="F395" s="26" t="s">
        <v>1518</v>
      </c>
      <c r="G395" s="171" t="s">
        <v>1698</v>
      </c>
      <c r="H395" s="68">
        <f>SUM(H392:H394)</f>
        <v>287.875</v>
      </c>
      <c r="J395" s="78"/>
    </row>
    <row r="396" spans="1:10" hidden="1">
      <c r="B396" s="26" t="s">
        <v>1763</v>
      </c>
      <c r="G396" s="171" t="s">
        <v>1697</v>
      </c>
      <c r="H396" s="68">
        <v>4</v>
      </c>
      <c r="I396" s="26" t="s">
        <v>3039</v>
      </c>
      <c r="J396" s="78"/>
    </row>
    <row r="397" spans="1:10" hidden="1">
      <c r="B397" s="26" t="s">
        <v>6335</v>
      </c>
      <c r="G397" s="171" t="s">
        <v>1698</v>
      </c>
      <c r="H397" s="68">
        <f>H395/H396</f>
        <v>71.96875</v>
      </c>
      <c r="J397" s="78"/>
    </row>
    <row r="398" spans="1:10" hidden="1">
      <c r="B398" s="26" t="s">
        <v>5139</v>
      </c>
      <c r="F398" s="68">
        <f>'BASIC DATA'!$D$51</f>
        <v>5</v>
      </c>
      <c r="G398" s="171" t="s">
        <v>1698</v>
      </c>
      <c r="H398" s="68">
        <f>F398</f>
        <v>5</v>
      </c>
      <c r="J398" s="78"/>
    </row>
    <row r="399" spans="1:10" hidden="1">
      <c r="B399" s="26" t="s">
        <v>400</v>
      </c>
      <c r="F399" s="68">
        <f>'BASIC DATA'!$D$56</f>
        <v>95</v>
      </c>
      <c r="G399" s="171" t="s">
        <v>1698</v>
      </c>
      <c r="H399" s="68">
        <f>0.025*F399</f>
        <v>2.375</v>
      </c>
      <c r="J399" s="78"/>
    </row>
    <row r="400" spans="1:10" hidden="1">
      <c r="A400" s="853"/>
      <c r="B400" s="61" t="s">
        <v>6336</v>
      </c>
      <c r="C400" s="125"/>
      <c r="D400" s="61"/>
      <c r="E400" s="61"/>
      <c r="F400" s="61"/>
      <c r="G400" s="222" t="s">
        <v>1698</v>
      </c>
      <c r="H400" s="223">
        <f>(abs_leadcharges!$D$61+abs_leadcharges!$D$75+abs_leadcharges!$D$76)</f>
        <v>57.449999999999996</v>
      </c>
      <c r="I400" s="61"/>
      <c r="J400" s="78"/>
    </row>
    <row r="401" spans="1:10" hidden="1">
      <c r="B401" s="26" t="s">
        <v>5740</v>
      </c>
      <c r="G401" s="171" t="s">
        <v>1698</v>
      </c>
      <c r="H401" s="68">
        <f>2*'BASIC DATA'!$C$552/100</f>
        <v>7</v>
      </c>
      <c r="J401" s="78"/>
    </row>
    <row r="402" spans="1:10" hidden="1">
      <c r="E402" s="26" t="s">
        <v>453</v>
      </c>
      <c r="G402" s="171" t="s">
        <v>1698</v>
      </c>
      <c r="H402" s="68">
        <f>SUM(H398:H401)</f>
        <v>71.824999999999989</v>
      </c>
      <c r="J402" s="78"/>
    </row>
    <row r="403" spans="1:10" hidden="1">
      <c r="B403" s="26" t="s">
        <v>454</v>
      </c>
      <c r="G403" s="171" t="s">
        <v>1697</v>
      </c>
      <c r="H403" s="68">
        <v>1</v>
      </c>
      <c r="I403" s="26" t="s">
        <v>3855</v>
      </c>
      <c r="J403" s="78"/>
    </row>
    <row r="404" spans="1:10" hidden="1">
      <c r="B404" s="26" t="s">
        <v>5212</v>
      </c>
      <c r="G404" s="171" t="s">
        <v>1698</v>
      </c>
      <c r="H404" s="68">
        <f>H402/H403</f>
        <v>71.824999999999989</v>
      </c>
      <c r="J404" s="78"/>
    </row>
    <row r="405" spans="1:10">
      <c r="G405" s="171"/>
      <c r="H405" s="68"/>
      <c r="J405" s="78"/>
    </row>
    <row r="406" spans="1:10">
      <c r="A406" s="822" t="s">
        <v>3984</v>
      </c>
      <c r="F406" s="170" t="s">
        <v>2367</v>
      </c>
      <c r="J406" s="78"/>
    </row>
    <row r="407" spans="1:10">
      <c r="B407" s="170" t="s">
        <v>2368</v>
      </c>
      <c r="H407" s="171" t="s">
        <v>297</v>
      </c>
      <c r="J407" s="78"/>
    </row>
    <row r="408" spans="1:10">
      <c r="C408" s="89"/>
      <c r="H408" s="211">
        <f>H343</f>
        <v>520</v>
      </c>
      <c r="I408" s="26" t="s">
        <v>6714</v>
      </c>
      <c r="J408" s="78"/>
    </row>
    <row r="409" spans="1:10">
      <c r="A409" s="865"/>
      <c r="B409" s="95" t="s">
        <v>2369</v>
      </c>
      <c r="D409" s="157" t="s">
        <v>2378</v>
      </c>
      <c r="E409" s="175"/>
      <c r="F409" s="95" t="s">
        <v>2370</v>
      </c>
      <c r="G409" s="95" t="s">
        <v>1166</v>
      </c>
      <c r="H409" s="95" t="s">
        <v>6664</v>
      </c>
      <c r="I409" s="97" t="s">
        <v>6665</v>
      </c>
      <c r="J409" s="78"/>
    </row>
    <row r="410" spans="1:10">
      <c r="A410" s="865"/>
      <c r="B410" s="114"/>
      <c r="C410" s="139"/>
      <c r="D410" s="188"/>
      <c r="E410" s="188"/>
      <c r="F410" s="114"/>
      <c r="G410" s="114"/>
      <c r="H410" s="114" t="s">
        <v>3856</v>
      </c>
      <c r="I410" s="115" t="s">
        <v>3857</v>
      </c>
      <c r="J410" s="78"/>
    </row>
    <row r="411" spans="1:10">
      <c r="B411" s="95">
        <v>1</v>
      </c>
      <c r="C411" s="131" t="s">
        <v>6715</v>
      </c>
      <c r="D411" s="187"/>
      <c r="E411" s="187"/>
      <c r="F411" s="107" t="s">
        <v>3483</v>
      </c>
      <c r="G411" s="179">
        <v>216</v>
      </c>
      <c r="H411" s="212">
        <f>$H$269</f>
        <v>20.14</v>
      </c>
      <c r="I411" s="155">
        <f>ROUND(H411*G411,2)</f>
        <v>4350.24</v>
      </c>
      <c r="J411" s="78"/>
    </row>
    <row r="412" spans="1:10">
      <c r="B412" s="105"/>
      <c r="C412" s="135" t="s">
        <v>6716</v>
      </c>
      <c r="D412" s="31"/>
      <c r="E412" s="31"/>
      <c r="F412" s="213">
        <v>0.1</v>
      </c>
      <c r="G412" s="190"/>
      <c r="H412" s="214"/>
      <c r="I412" s="155">
        <f>ROUND(I411*0.1,2)</f>
        <v>435.02</v>
      </c>
      <c r="J412" s="78"/>
    </row>
    <row r="413" spans="1:10">
      <c r="B413" s="105">
        <v>2</v>
      </c>
      <c r="C413" s="135" t="s">
        <v>6717</v>
      </c>
      <c r="D413" s="31"/>
      <c r="E413" s="31"/>
      <c r="F413" s="210" t="s">
        <v>2374</v>
      </c>
      <c r="G413" s="190">
        <v>26</v>
      </c>
      <c r="H413" s="214">
        <f>$H$273</f>
        <v>11.5625</v>
      </c>
      <c r="I413" s="155">
        <f t="shared" ref="I413:I419" si="5">ROUND(H413*G413,2)</f>
        <v>300.63</v>
      </c>
      <c r="J413" s="78"/>
    </row>
    <row r="414" spans="1:10">
      <c r="B414" s="105">
        <v>3</v>
      </c>
      <c r="C414" s="135" t="s">
        <v>133</v>
      </c>
      <c r="D414" s="31"/>
      <c r="E414" s="31"/>
      <c r="F414" s="210" t="s">
        <v>9543</v>
      </c>
      <c r="G414" s="190">
        <v>500</v>
      </c>
      <c r="H414" s="214">
        <f>H397</f>
        <v>71.96875</v>
      </c>
      <c r="I414" s="155">
        <f t="shared" si="5"/>
        <v>35984.379999999997</v>
      </c>
      <c r="J414" s="78"/>
    </row>
    <row r="415" spans="1:10">
      <c r="B415" s="105">
        <v>4</v>
      </c>
      <c r="C415" s="135" t="s">
        <v>9544</v>
      </c>
      <c r="D415" s="31"/>
      <c r="E415" s="31"/>
      <c r="F415" s="210" t="s">
        <v>4041</v>
      </c>
      <c r="G415" s="190">
        <v>190</v>
      </c>
      <c r="H415" s="214">
        <f>H404</f>
        <v>71.824999999999989</v>
      </c>
      <c r="I415" s="155">
        <f t="shared" si="5"/>
        <v>13646.75</v>
      </c>
      <c r="J415" s="78"/>
    </row>
    <row r="416" spans="1:10">
      <c r="B416" s="105">
        <v>3</v>
      </c>
      <c r="C416" s="135" t="s">
        <v>6718</v>
      </c>
      <c r="D416" s="31"/>
      <c r="E416" s="31"/>
      <c r="F416" s="210" t="s">
        <v>3478</v>
      </c>
      <c r="G416" s="190">
        <v>104</v>
      </c>
      <c r="H416" s="214">
        <f>'BASIC DATA'!$D$54</f>
        <v>70</v>
      </c>
      <c r="I416" s="155">
        <f t="shared" si="5"/>
        <v>7280</v>
      </c>
      <c r="J416" s="78"/>
    </row>
    <row r="417" spans="1:10">
      <c r="B417" s="105">
        <v>4</v>
      </c>
      <c r="C417" s="135" t="s">
        <v>837</v>
      </c>
      <c r="D417" s="31"/>
      <c r="E417" s="31"/>
      <c r="F417" s="210" t="s">
        <v>2059</v>
      </c>
      <c r="G417" s="190">
        <v>154</v>
      </c>
      <c r="H417" s="214">
        <f>'BASIC DATA'!$D$48</f>
        <v>20</v>
      </c>
      <c r="I417" s="155">
        <f t="shared" si="5"/>
        <v>3080</v>
      </c>
      <c r="J417" s="78"/>
    </row>
    <row r="418" spans="1:10">
      <c r="B418" s="105">
        <v>5</v>
      </c>
      <c r="C418" s="135" t="s">
        <v>6094</v>
      </c>
      <c r="D418" s="31"/>
      <c r="E418" s="31"/>
      <c r="F418" s="210" t="s">
        <v>3483</v>
      </c>
      <c r="G418" s="190">
        <v>320</v>
      </c>
      <c r="H418" s="214">
        <f>'BASIC DATA'!$D$46</f>
        <v>9</v>
      </c>
      <c r="I418" s="155">
        <f t="shared" si="5"/>
        <v>2880</v>
      </c>
      <c r="J418" s="78"/>
    </row>
    <row r="419" spans="1:10">
      <c r="B419" s="114">
        <v>6</v>
      </c>
      <c r="C419" s="139" t="s">
        <v>2373</v>
      </c>
      <c r="D419" s="174"/>
      <c r="E419" s="174"/>
      <c r="F419" s="191" t="s">
        <v>2173</v>
      </c>
      <c r="G419" s="182">
        <v>5</v>
      </c>
      <c r="H419" s="215">
        <f>'BASIC DATA'!$D$359</f>
        <v>30</v>
      </c>
      <c r="I419" s="155">
        <f t="shared" si="5"/>
        <v>150</v>
      </c>
      <c r="J419" s="78"/>
    </row>
    <row r="420" spans="1:10">
      <c r="B420" s="184"/>
      <c r="C420" s="129"/>
      <c r="D420" s="159" t="s">
        <v>2376</v>
      </c>
      <c r="E420" s="159"/>
      <c r="F420" s="159"/>
      <c r="G420" s="159"/>
      <c r="H420" s="216" t="s">
        <v>4108</v>
      </c>
      <c r="I420" s="194">
        <f>ROUND(SUM(I411:I419),2)</f>
        <v>68107.02</v>
      </c>
      <c r="J420" s="78"/>
    </row>
    <row r="421" spans="1:10">
      <c r="J421" s="78"/>
    </row>
    <row r="422" spans="1:10">
      <c r="B422" s="170" t="s">
        <v>2377</v>
      </c>
      <c r="J422" s="78"/>
    </row>
    <row r="423" spans="1:10">
      <c r="C423" s="89"/>
      <c r="J423" s="78"/>
    </row>
    <row r="424" spans="1:10">
      <c r="A424" s="865"/>
      <c r="B424" s="95" t="s">
        <v>2369</v>
      </c>
      <c r="D424" s="157" t="s">
        <v>2378</v>
      </c>
      <c r="E424" s="175"/>
      <c r="F424" s="95" t="s">
        <v>2370</v>
      </c>
      <c r="G424" s="95" t="s">
        <v>1166</v>
      </c>
      <c r="H424" s="97" t="s">
        <v>6664</v>
      </c>
      <c r="I424" s="97" t="s">
        <v>6665</v>
      </c>
      <c r="J424" s="78"/>
    </row>
    <row r="425" spans="1:10">
      <c r="B425" s="191"/>
      <c r="C425" s="139"/>
      <c r="D425" s="174"/>
      <c r="E425" s="174"/>
      <c r="F425" s="191"/>
      <c r="G425" s="191"/>
      <c r="H425" s="192" t="s">
        <v>3856</v>
      </c>
      <c r="I425" s="192" t="s">
        <v>3857</v>
      </c>
      <c r="J425" s="78"/>
    </row>
    <row r="426" spans="1:10">
      <c r="B426" s="95">
        <v>1</v>
      </c>
      <c r="C426" s="131" t="s">
        <v>298</v>
      </c>
      <c r="D426" s="187"/>
      <c r="E426" s="187"/>
      <c r="F426" s="107" t="s">
        <v>2374</v>
      </c>
      <c r="G426" s="179">
        <v>8</v>
      </c>
      <c r="H426" s="190">
        <f>'HIRE CHARGES'!$D$543</f>
        <v>1706.6</v>
      </c>
      <c r="I426" s="155">
        <f>ROUND(H426*G426,2)</f>
        <v>13652.8</v>
      </c>
      <c r="J426" s="78"/>
    </row>
    <row r="427" spans="1:10">
      <c r="B427" s="105"/>
      <c r="C427" s="135" t="s">
        <v>2379</v>
      </c>
      <c r="D427" s="31"/>
      <c r="E427" s="31"/>
      <c r="F427" s="210" t="s">
        <v>2374</v>
      </c>
      <c r="G427" s="190">
        <v>8</v>
      </c>
      <c r="H427" s="190">
        <f>'HIRE CHARGES'!$E$543</f>
        <v>872.7</v>
      </c>
      <c r="I427" s="155">
        <f t="shared" ref="I427:I437" si="6">ROUND(H427*G427,2)</f>
        <v>6981.6</v>
      </c>
      <c r="J427" s="78"/>
    </row>
    <row r="428" spans="1:10">
      <c r="B428" s="105">
        <v>2</v>
      </c>
      <c r="C428" s="135" t="s">
        <v>1502</v>
      </c>
      <c r="D428" s="31"/>
      <c r="E428" s="31"/>
      <c r="F428" s="210" t="s">
        <v>2374</v>
      </c>
      <c r="G428" s="190">
        <v>1</v>
      </c>
      <c r="H428" s="190">
        <f>'HIRE CHARGES'!$D$499</f>
        <v>1715.5</v>
      </c>
      <c r="I428" s="155">
        <f t="shared" si="6"/>
        <v>1715.5</v>
      </c>
      <c r="J428" s="78"/>
    </row>
    <row r="429" spans="1:10">
      <c r="B429" s="105"/>
      <c r="C429" s="135" t="s">
        <v>2379</v>
      </c>
      <c r="D429" s="31"/>
      <c r="E429" s="31"/>
      <c r="F429" s="210" t="s">
        <v>2374</v>
      </c>
      <c r="G429" s="190">
        <v>1</v>
      </c>
      <c r="H429" s="190">
        <f>'HIRE CHARGES'!$E$499</f>
        <v>610.5</v>
      </c>
      <c r="I429" s="155">
        <f t="shared" si="6"/>
        <v>610.5</v>
      </c>
      <c r="J429" s="78"/>
    </row>
    <row r="430" spans="1:10">
      <c r="B430" s="105">
        <v>3</v>
      </c>
      <c r="C430" s="135" t="s">
        <v>6719</v>
      </c>
      <c r="D430" s="31"/>
      <c r="E430" s="31"/>
      <c r="F430" s="210" t="s">
        <v>2374</v>
      </c>
      <c r="G430" s="190">
        <v>32</v>
      </c>
      <c r="H430" s="190">
        <f>'HIRE CHARGES'!$D$525</f>
        <v>580.69999999999993</v>
      </c>
      <c r="I430" s="155">
        <f t="shared" si="6"/>
        <v>18582.400000000001</v>
      </c>
      <c r="J430" s="78"/>
    </row>
    <row r="431" spans="1:10">
      <c r="B431" s="105"/>
      <c r="C431" s="135" t="s">
        <v>2379</v>
      </c>
      <c r="D431" s="31"/>
      <c r="E431" s="31"/>
      <c r="F431" s="210" t="s">
        <v>2374</v>
      </c>
      <c r="G431" s="190">
        <v>32</v>
      </c>
      <c r="H431" s="190">
        <f>'HIRE CHARGES'!$E$525</f>
        <v>399.9</v>
      </c>
      <c r="I431" s="155">
        <f t="shared" si="6"/>
        <v>12796.8</v>
      </c>
      <c r="J431" s="78"/>
    </row>
    <row r="432" spans="1:10">
      <c r="B432" s="105">
        <v>4</v>
      </c>
      <c r="C432" s="135" t="s">
        <v>5044</v>
      </c>
      <c r="D432" s="31"/>
      <c r="E432" s="31"/>
      <c r="F432" s="210" t="s">
        <v>2374</v>
      </c>
      <c r="G432" s="190">
        <v>8</v>
      </c>
      <c r="H432" s="190">
        <f>'HIRE CHARGES'!$D$545</f>
        <v>446.7</v>
      </c>
      <c r="I432" s="155">
        <f t="shared" si="6"/>
        <v>3573.6</v>
      </c>
      <c r="J432" s="78"/>
    </row>
    <row r="433" spans="1:10">
      <c r="B433" s="105"/>
      <c r="C433" s="135" t="s">
        <v>2379</v>
      </c>
      <c r="D433" s="31"/>
      <c r="E433" s="31"/>
      <c r="F433" s="210" t="s">
        <v>2374</v>
      </c>
      <c r="G433" s="190">
        <v>8</v>
      </c>
      <c r="H433" s="182">
        <f>'HIRE CHARGES'!$E$545</f>
        <v>299.89999999999998</v>
      </c>
      <c r="I433" s="155">
        <f t="shared" si="6"/>
        <v>2399.1999999999998</v>
      </c>
      <c r="J433" s="78"/>
    </row>
    <row r="434" spans="1:10">
      <c r="B434" s="105">
        <v>5</v>
      </c>
      <c r="C434" s="135" t="s">
        <v>6720</v>
      </c>
      <c r="D434" s="31"/>
      <c r="E434" s="31"/>
      <c r="F434" s="210" t="s">
        <v>2374</v>
      </c>
      <c r="G434" s="190">
        <v>13</v>
      </c>
      <c r="H434" s="207">
        <f>'HIRE CHARGES'!$D$497</f>
        <v>170.8</v>
      </c>
      <c r="I434" s="155">
        <f t="shared" si="6"/>
        <v>2220.4</v>
      </c>
      <c r="J434" s="78"/>
    </row>
    <row r="435" spans="1:10">
      <c r="B435" s="105"/>
      <c r="C435" s="135" t="s">
        <v>2379</v>
      </c>
      <c r="D435" s="31"/>
      <c r="E435" s="31"/>
      <c r="F435" s="210" t="s">
        <v>2374</v>
      </c>
      <c r="G435" s="190">
        <v>13</v>
      </c>
      <c r="H435" s="207">
        <f>'HIRE CHARGES'!$E$497</f>
        <v>315.2</v>
      </c>
      <c r="I435" s="155">
        <f t="shared" si="6"/>
        <v>4097.6000000000004</v>
      </c>
      <c r="J435" s="78"/>
    </row>
    <row r="436" spans="1:10">
      <c r="B436" s="105">
        <v>6</v>
      </c>
      <c r="C436" s="135" t="s">
        <v>6721</v>
      </c>
      <c r="D436" s="31"/>
      <c r="E436" s="31"/>
      <c r="F436" s="210" t="s">
        <v>2374</v>
      </c>
      <c r="G436" s="190">
        <v>26</v>
      </c>
      <c r="H436" s="207">
        <f>'HIRE CHARGES'!$D$530</f>
        <v>19.8</v>
      </c>
      <c r="I436" s="155">
        <f t="shared" si="6"/>
        <v>514.79999999999995</v>
      </c>
      <c r="J436" s="78"/>
    </row>
    <row r="437" spans="1:10">
      <c r="B437" s="191"/>
      <c r="C437" s="139" t="s">
        <v>2379</v>
      </c>
      <c r="D437" s="174"/>
      <c r="E437" s="174"/>
      <c r="F437" s="191" t="s">
        <v>2374</v>
      </c>
      <c r="G437" s="182">
        <v>26</v>
      </c>
      <c r="H437" s="181">
        <f>'HIRE CHARGES'!$E$530</f>
        <v>0</v>
      </c>
      <c r="I437" s="155">
        <f t="shared" si="6"/>
        <v>0</v>
      </c>
      <c r="J437" s="78"/>
    </row>
    <row r="438" spans="1:10">
      <c r="B438" s="184"/>
      <c r="C438" s="151"/>
      <c r="D438" s="159" t="s">
        <v>2380</v>
      </c>
      <c r="E438" s="159"/>
      <c r="F438" s="159"/>
      <c r="G438" s="159"/>
      <c r="H438" s="208" t="s">
        <v>1698</v>
      </c>
      <c r="I438" s="209">
        <f>ROUND(SUM(I426:I437),2)</f>
        <v>67145.2</v>
      </c>
      <c r="J438" s="78"/>
    </row>
    <row r="439" spans="1:10">
      <c r="J439" s="78"/>
    </row>
    <row r="440" spans="1:10">
      <c r="B440" s="170" t="s">
        <v>2381</v>
      </c>
      <c r="J440" s="78"/>
    </row>
    <row r="441" spans="1:10">
      <c r="C441" s="89"/>
      <c r="J441" s="78"/>
    </row>
    <row r="442" spans="1:10">
      <c r="A442" s="865"/>
      <c r="B442" s="95" t="s">
        <v>2369</v>
      </c>
      <c r="D442" s="157" t="s">
        <v>2378</v>
      </c>
      <c r="E442" s="175"/>
      <c r="F442" s="97" t="s">
        <v>2370</v>
      </c>
      <c r="G442" s="95" t="s">
        <v>1166</v>
      </c>
      <c r="H442" s="97" t="s">
        <v>6664</v>
      </c>
      <c r="I442" s="97" t="s">
        <v>6665</v>
      </c>
      <c r="J442" s="78"/>
    </row>
    <row r="443" spans="1:10">
      <c r="A443" s="865"/>
      <c r="B443" s="114"/>
      <c r="C443" s="139"/>
      <c r="D443" s="188"/>
      <c r="E443" s="188"/>
      <c r="F443" s="115"/>
      <c r="G443" s="114"/>
      <c r="H443" s="115" t="s">
        <v>3856</v>
      </c>
      <c r="I443" s="115" t="s">
        <v>3857</v>
      </c>
      <c r="J443" s="78"/>
    </row>
    <row r="444" spans="1:10">
      <c r="B444" s="95">
        <v>1</v>
      </c>
      <c r="C444" s="131" t="s">
        <v>300</v>
      </c>
      <c r="D444" s="187"/>
      <c r="E444" s="187"/>
      <c r="F444" s="195" t="s">
        <v>2374</v>
      </c>
      <c r="G444" s="179">
        <v>8</v>
      </c>
      <c r="H444" s="179">
        <f>'HIRE CHARGES'!$F$543</f>
        <v>236.6</v>
      </c>
      <c r="I444" s="155">
        <f>ROUND(H444*G444,2)</f>
        <v>1892.8</v>
      </c>
      <c r="J444" s="78"/>
    </row>
    <row r="445" spans="1:10">
      <c r="B445" s="105">
        <v>2</v>
      </c>
      <c r="C445" s="135" t="s">
        <v>839</v>
      </c>
      <c r="D445" s="31"/>
      <c r="E445" s="31"/>
      <c r="F445" s="195" t="s">
        <v>2374</v>
      </c>
      <c r="G445" s="190">
        <v>1</v>
      </c>
      <c r="H445" s="190">
        <f>'HIRE CHARGES'!$F$499</f>
        <v>236.6</v>
      </c>
      <c r="I445" s="155">
        <f>ROUND(H445*G445,2)</f>
        <v>236.6</v>
      </c>
      <c r="J445" s="78"/>
    </row>
    <row r="446" spans="1:10">
      <c r="B446" s="105">
        <v>3</v>
      </c>
      <c r="C446" s="135" t="s">
        <v>4585</v>
      </c>
      <c r="D446" s="31"/>
      <c r="E446" s="31"/>
      <c r="F446" s="189" t="s">
        <v>2374</v>
      </c>
      <c r="G446" s="190">
        <v>32</v>
      </c>
      <c r="H446" s="190">
        <f>'HIRE CHARGES'!$F$525</f>
        <v>227.1</v>
      </c>
      <c r="I446" s="155">
        <f t="shared" ref="I446:I455" si="7">ROUND(H446*G446,2)</f>
        <v>7267.2</v>
      </c>
      <c r="J446" s="78"/>
    </row>
    <row r="447" spans="1:10">
      <c r="B447" s="105">
        <v>4</v>
      </c>
      <c r="C447" s="135" t="s">
        <v>301</v>
      </c>
      <c r="D447" s="31"/>
      <c r="E447" s="31"/>
      <c r="F447" s="189" t="s">
        <v>2374</v>
      </c>
      <c r="G447" s="190">
        <v>8</v>
      </c>
      <c r="H447" s="190">
        <f>'HIRE CHARGES'!$F$545</f>
        <v>177.5</v>
      </c>
      <c r="I447" s="155">
        <f t="shared" si="7"/>
        <v>1420</v>
      </c>
      <c r="J447" s="78"/>
    </row>
    <row r="448" spans="1:10">
      <c r="B448" s="105">
        <v>5</v>
      </c>
      <c r="C448" s="135" t="s">
        <v>4606</v>
      </c>
      <c r="D448" s="31"/>
      <c r="E448" s="31"/>
      <c r="F448" s="189" t="s">
        <v>2374</v>
      </c>
      <c r="G448" s="190">
        <v>13</v>
      </c>
      <c r="H448" s="207">
        <f>'HIRE CHARGES'!$F$497</f>
        <v>164.8</v>
      </c>
      <c r="I448" s="155">
        <f t="shared" si="7"/>
        <v>2142.4</v>
      </c>
      <c r="J448" s="78"/>
    </row>
    <row r="449" spans="2:10">
      <c r="B449" s="105">
        <v>6</v>
      </c>
      <c r="C449" s="135" t="s">
        <v>4607</v>
      </c>
      <c r="D449" s="31"/>
      <c r="E449" s="31"/>
      <c r="F449" s="189" t="s">
        <v>2374</v>
      </c>
      <c r="G449" s="190">
        <v>26</v>
      </c>
      <c r="H449" s="207">
        <f>'HIRE CHARGES'!$F$530</f>
        <v>329.6</v>
      </c>
      <c r="I449" s="155">
        <f t="shared" si="7"/>
        <v>8569.6</v>
      </c>
      <c r="J449" s="78"/>
    </row>
    <row r="450" spans="2:10">
      <c r="B450" s="105">
        <v>7</v>
      </c>
      <c r="C450" s="135" t="s">
        <v>4206</v>
      </c>
      <c r="D450" s="31"/>
      <c r="E450" s="31"/>
      <c r="F450" s="189" t="s">
        <v>1172</v>
      </c>
      <c r="G450" s="190">
        <v>3</v>
      </c>
      <c r="H450" s="207">
        <f>'BASIC DATA'!$C$473</f>
        <v>450</v>
      </c>
      <c r="I450" s="155">
        <f t="shared" si="7"/>
        <v>1350</v>
      </c>
      <c r="J450" s="78"/>
    </row>
    <row r="451" spans="2:10">
      <c r="B451" s="105">
        <v>8</v>
      </c>
      <c r="C451" s="135" t="s">
        <v>4608</v>
      </c>
      <c r="D451" s="31"/>
      <c r="E451" s="31"/>
      <c r="F451" s="189" t="s">
        <v>1172</v>
      </c>
      <c r="G451" s="190">
        <v>1.5</v>
      </c>
      <c r="H451" s="207">
        <f>'BASIC DATA'!$C$466</f>
        <v>510</v>
      </c>
      <c r="I451" s="155">
        <f t="shared" si="7"/>
        <v>765</v>
      </c>
      <c r="J451" s="78"/>
    </row>
    <row r="452" spans="2:10">
      <c r="B452" s="105">
        <v>9</v>
      </c>
      <c r="C452" s="135" t="s">
        <v>4609</v>
      </c>
      <c r="D452" s="31"/>
      <c r="E452" s="31"/>
      <c r="F452" s="189" t="s">
        <v>1172</v>
      </c>
      <c r="G452" s="190">
        <v>2</v>
      </c>
      <c r="H452" s="207">
        <f>'BASIC DATA'!$C$520</f>
        <v>400</v>
      </c>
      <c r="I452" s="155">
        <f t="shared" si="7"/>
        <v>800</v>
      </c>
      <c r="J452" s="78"/>
    </row>
    <row r="453" spans="2:10">
      <c r="B453" s="105">
        <v>10</v>
      </c>
      <c r="C453" s="135" t="s">
        <v>5603</v>
      </c>
      <c r="D453" s="31"/>
      <c r="E453" s="31"/>
      <c r="F453" s="189" t="s">
        <v>1172</v>
      </c>
      <c r="G453" s="190">
        <v>2.5</v>
      </c>
      <c r="H453" s="207">
        <f>'BASIC DATA'!$C$514</f>
        <v>400</v>
      </c>
      <c r="I453" s="155">
        <f t="shared" si="7"/>
        <v>1000</v>
      </c>
      <c r="J453" s="78"/>
    </row>
    <row r="454" spans="2:10">
      <c r="B454" s="105">
        <v>11</v>
      </c>
      <c r="C454" s="135" t="s">
        <v>1190</v>
      </c>
      <c r="D454" s="31"/>
      <c r="E454" s="31"/>
      <c r="F454" s="189" t="s">
        <v>1172</v>
      </c>
      <c r="G454" s="190">
        <v>2</v>
      </c>
      <c r="H454" s="207">
        <f>'BASIC DATA'!$C$546</f>
        <v>400</v>
      </c>
      <c r="I454" s="155">
        <f t="shared" si="7"/>
        <v>800</v>
      </c>
      <c r="J454" s="78"/>
    </row>
    <row r="455" spans="2:10">
      <c r="B455" s="105">
        <v>12</v>
      </c>
      <c r="C455" s="135" t="s">
        <v>2697</v>
      </c>
      <c r="D455" s="31"/>
      <c r="E455" s="31"/>
      <c r="F455" s="189" t="s">
        <v>1172</v>
      </c>
      <c r="G455" s="190">
        <v>18</v>
      </c>
      <c r="H455" s="190">
        <f>'BASIC DATA'!$C$552</f>
        <v>350</v>
      </c>
      <c r="I455" s="155">
        <f t="shared" si="7"/>
        <v>6300</v>
      </c>
      <c r="J455" s="78"/>
    </row>
    <row r="456" spans="2:10">
      <c r="B456" s="184"/>
      <c r="C456" s="151"/>
      <c r="D456" s="159"/>
      <c r="E456" s="159"/>
      <c r="F456" s="159" t="s">
        <v>1174</v>
      </c>
      <c r="G456" s="159"/>
      <c r="H456" s="208" t="s">
        <v>4108</v>
      </c>
      <c r="I456" s="209">
        <f>ROUND(SUM(I444:I455),2)</f>
        <v>32543.599999999999</v>
      </c>
      <c r="J456" s="78"/>
    </row>
    <row r="457" spans="2:10">
      <c r="B457" s="60" t="s">
        <v>5948</v>
      </c>
      <c r="C457" s="76"/>
      <c r="D457" s="31"/>
      <c r="E457" s="31"/>
      <c r="F457" s="31"/>
      <c r="G457" s="85">
        <f>ROUND(I456/H408,1)</f>
        <v>62.6</v>
      </c>
      <c r="H457" s="85"/>
      <c r="J457" s="78"/>
    </row>
    <row r="458" spans="2:10">
      <c r="B458" s="60" t="s">
        <v>3163</v>
      </c>
      <c r="C458" s="76"/>
      <c r="D458" s="31"/>
      <c r="E458" s="31"/>
      <c r="F458" s="922">
        <f>'BASIC DATA'!$C$577</f>
        <v>0.13614999999999999</v>
      </c>
      <c r="G458" s="85">
        <f>ROUND(G457*F458,1)</f>
        <v>8.5</v>
      </c>
      <c r="H458" s="85"/>
      <c r="J458" s="78"/>
    </row>
    <row r="459" spans="2:10">
      <c r="B459" s="60" t="s">
        <v>5949</v>
      </c>
      <c r="C459" s="76"/>
      <c r="D459" s="31"/>
      <c r="E459" s="31"/>
      <c r="F459" s="31"/>
      <c r="G459" s="199">
        <f>ROUND((G457+G458),1)</f>
        <v>71.099999999999994</v>
      </c>
      <c r="H459" s="85"/>
      <c r="J459" s="78"/>
    </row>
    <row r="460" spans="2:10">
      <c r="B460" s="31"/>
      <c r="C460" s="76"/>
      <c r="D460" s="31"/>
      <c r="E460" s="31"/>
      <c r="F460" s="31"/>
      <c r="G460" s="31"/>
      <c r="H460" s="31"/>
      <c r="I460" s="200"/>
      <c r="J460" s="78"/>
    </row>
    <row r="461" spans="2:10">
      <c r="J461" s="78"/>
    </row>
    <row r="462" spans="2:10">
      <c r="B462" s="170" t="s">
        <v>1175</v>
      </c>
      <c r="J462" s="78"/>
    </row>
    <row r="463" spans="2:10">
      <c r="B463" s="26" t="s">
        <v>1176</v>
      </c>
      <c r="H463" s="171" t="s">
        <v>1698</v>
      </c>
      <c r="I463" s="117">
        <f>I420</f>
        <v>68107.02</v>
      </c>
      <c r="J463" s="78"/>
    </row>
    <row r="464" spans="2:10">
      <c r="B464" s="26" t="s">
        <v>1186</v>
      </c>
      <c r="H464" s="171" t="s">
        <v>1698</v>
      </c>
      <c r="I464" s="117">
        <f>I438</f>
        <v>67145.2</v>
      </c>
      <c r="J464" s="78"/>
    </row>
    <row r="465" spans="1:10">
      <c r="B465" s="26" t="s">
        <v>2660</v>
      </c>
      <c r="H465" s="171" t="s">
        <v>1698</v>
      </c>
      <c r="I465" s="117">
        <f>I456</f>
        <v>32543.599999999999</v>
      </c>
      <c r="J465" s="78"/>
    </row>
    <row r="466" spans="1:10">
      <c r="G466" s="171" t="s">
        <v>1518</v>
      </c>
      <c r="H466" s="171" t="s">
        <v>1698</v>
      </c>
      <c r="I466" s="130">
        <f>SUM(I463:I465)</f>
        <v>167795.82</v>
      </c>
      <c r="J466" s="78"/>
    </row>
    <row r="467" spans="1:10" ht="18.75">
      <c r="B467" s="1207" t="s">
        <v>8375</v>
      </c>
      <c r="C467" s="1207"/>
      <c r="D467" s="1207"/>
      <c r="E467" s="1207"/>
      <c r="F467" s="1207"/>
      <c r="G467" s="922">
        <f>'BASIC DATA'!$C$577</f>
        <v>0.13614999999999999</v>
      </c>
      <c r="H467" s="171" t="s">
        <v>4108</v>
      </c>
      <c r="I467" s="76">
        <f>ROUND(I466*G467,2)</f>
        <v>22845.4</v>
      </c>
      <c r="J467" s="78"/>
    </row>
    <row r="468" spans="1:10">
      <c r="B468" s="1206" t="s">
        <v>1191</v>
      </c>
      <c r="C468" s="1206"/>
      <c r="D468" s="1206"/>
      <c r="E468" s="1206"/>
      <c r="F468" s="202">
        <f>H408</f>
        <v>520</v>
      </c>
      <c r="G468" s="171" t="str">
        <f>I408</f>
        <v xml:space="preserve"> cum.</v>
      </c>
      <c r="H468" s="171" t="s">
        <v>1698</v>
      </c>
      <c r="I468" s="199">
        <f>I467+I466</f>
        <v>190641.22</v>
      </c>
      <c r="J468" s="78"/>
    </row>
    <row r="469" spans="1:10">
      <c r="B469" s="1161" t="s">
        <v>3884</v>
      </c>
      <c r="C469" s="1161"/>
      <c r="D469" s="1161"/>
      <c r="E469" s="203" t="str">
        <f>G468</f>
        <v xml:space="preserve"> cum.</v>
      </c>
      <c r="F469" s="26" t="s">
        <v>1384</v>
      </c>
      <c r="H469" s="171" t="s">
        <v>1698</v>
      </c>
      <c r="I469" s="204">
        <f>ROUND(I468/F468,1)</f>
        <v>366.6</v>
      </c>
      <c r="J469" s="78"/>
    </row>
    <row r="470" spans="1:10">
      <c r="J470" s="78"/>
    </row>
    <row r="471" spans="1:10">
      <c r="J471" s="78"/>
    </row>
    <row r="472" spans="1:10">
      <c r="J472" s="78"/>
    </row>
    <row r="473" spans="1:10" ht="18.75">
      <c r="A473" s="822" t="s">
        <v>7044</v>
      </c>
      <c r="B473" s="26" t="s">
        <v>8382</v>
      </c>
      <c r="J473" s="78"/>
    </row>
    <row r="474" spans="1:10">
      <c r="A474" s="822" t="s">
        <v>6935</v>
      </c>
      <c r="B474" s="26" t="s">
        <v>8383</v>
      </c>
      <c r="J474" s="78"/>
    </row>
    <row r="475" spans="1:10">
      <c r="B475" s="26" t="s">
        <v>5261</v>
      </c>
      <c r="J475" s="78"/>
    </row>
    <row r="476" spans="1:10">
      <c r="B476" s="26" t="s">
        <v>5262</v>
      </c>
      <c r="J476" s="78"/>
    </row>
    <row r="477" spans="1:10">
      <c r="B477" s="170" t="s">
        <v>4738</v>
      </c>
      <c r="J477" s="78"/>
    </row>
    <row r="478" spans="1:10" hidden="1">
      <c r="A478" s="822" t="s">
        <v>3984</v>
      </c>
      <c r="B478" s="26" t="s">
        <v>6124</v>
      </c>
      <c r="J478" s="78"/>
    </row>
    <row r="479" spans="1:10" hidden="1">
      <c r="B479" s="26" t="s">
        <v>602</v>
      </c>
      <c r="G479" s="171" t="s">
        <v>1697</v>
      </c>
      <c r="H479" s="26">
        <v>0.85</v>
      </c>
      <c r="I479" s="26" t="s">
        <v>3477</v>
      </c>
      <c r="J479" s="78"/>
    </row>
    <row r="480" spans="1:10" hidden="1">
      <c r="B480" s="26" t="s">
        <v>603</v>
      </c>
      <c r="G480" s="171" t="s">
        <v>1697</v>
      </c>
      <c r="H480" s="26">
        <v>1</v>
      </c>
      <c r="I480" s="26" t="s">
        <v>3477</v>
      </c>
      <c r="J480" s="78"/>
    </row>
    <row r="481" spans="2:10" hidden="1">
      <c r="B481" s="26" t="s">
        <v>2981</v>
      </c>
      <c r="G481" s="171" t="s">
        <v>1697</v>
      </c>
      <c r="H481" s="26">
        <v>5</v>
      </c>
      <c r="I481" s="26" t="s">
        <v>3477</v>
      </c>
      <c r="J481" s="78"/>
    </row>
    <row r="482" spans="2:10" hidden="1">
      <c r="B482" s="26" t="s">
        <v>2543</v>
      </c>
      <c r="G482" s="171" t="s">
        <v>3432</v>
      </c>
      <c r="H482" s="26">
        <v>1</v>
      </c>
      <c r="I482" s="26" t="s">
        <v>3430</v>
      </c>
      <c r="J482" s="78"/>
    </row>
    <row r="483" spans="2:10" hidden="1">
      <c r="B483" s="26" t="s">
        <v>4171</v>
      </c>
      <c r="G483" s="171" t="s">
        <v>1697</v>
      </c>
      <c r="H483" s="26">
        <v>15</v>
      </c>
      <c r="I483" s="26" t="s">
        <v>6703</v>
      </c>
      <c r="J483" s="78"/>
    </row>
    <row r="484" spans="2:10" hidden="1">
      <c r="B484" s="26" t="s">
        <v>3736</v>
      </c>
      <c r="G484" s="171" t="s">
        <v>1697</v>
      </c>
      <c r="H484" s="26">
        <v>20</v>
      </c>
      <c r="I484" s="26" t="s">
        <v>6703</v>
      </c>
      <c r="J484" s="78"/>
    </row>
    <row r="485" spans="2:10" hidden="1">
      <c r="B485" s="26" t="s">
        <v>3985</v>
      </c>
      <c r="G485" s="171" t="s">
        <v>1697</v>
      </c>
      <c r="H485" s="26">
        <v>2</v>
      </c>
      <c r="I485" s="26" t="s">
        <v>2603</v>
      </c>
      <c r="J485" s="78"/>
    </row>
    <row r="486" spans="2:10" hidden="1">
      <c r="B486" s="26" t="s">
        <v>4030</v>
      </c>
      <c r="G486" s="171" t="s">
        <v>1697</v>
      </c>
      <c r="H486" s="26">
        <v>45</v>
      </c>
      <c r="I486" s="26" t="s">
        <v>3562</v>
      </c>
      <c r="J486" s="78"/>
    </row>
    <row r="487" spans="2:10" hidden="1">
      <c r="B487" s="26" t="s">
        <v>3799</v>
      </c>
      <c r="G487" s="78"/>
      <c r="H487" s="26">
        <v>0.71</v>
      </c>
      <c r="I487" s="26" t="s">
        <v>6901</v>
      </c>
      <c r="J487" s="78"/>
    </row>
    <row r="488" spans="2:10" hidden="1">
      <c r="B488" s="26" t="s">
        <v>3800</v>
      </c>
      <c r="G488" s="78"/>
      <c r="H488" s="26">
        <v>3.57</v>
      </c>
      <c r="I488" s="26" t="s">
        <v>6901</v>
      </c>
      <c r="J488" s="78"/>
    </row>
    <row r="489" spans="2:10" hidden="1">
      <c r="B489" s="26" t="s">
        <v>3801</v>
      </c>
      <c r="G489" s="171" t="s">
        <v>3802</v>
      </c>
      <c r="H489" s="26">
        <v>5</v>
      </c>
      <c r="I489" s="26" t="s">
        <v>3435</v>
      </c>
      <c r="J489" s="78"/>
    </row>
    <row r="490" spans="2:10" hidden="1">
      <c r="B490" s="26" t="s">
        <v>3803</v>
      </c>
      <c r="G490" s="171" t="s">
        <v>1697</v>
      </c>
      <c r="H490" s="26">
        <v>3.75</v>
      </c>
      <c r="I490" s="26" t="s">
        <v>1433</v>
      </c>
      <c r="J490" s="78"/>
    </row>
    <row r="491" spans="2:10" hidden="1">
      <c r="B491" s="26" t="s">
        <v>6936</v>
      </c>
      <c r="J491" s="78"/>
    </row>
    <row r="492" spans="2:10" hidden="1">
      <c r="B492" s="26" t="s">
        <v>6937</v>
      </c>
      <c r="J492" s="78"/>
    </row>
    <row r="493" spans="2:10" hidden="1">
      <c r="B493" s="26" t="s">
        <v>6938</v>
      </c>
      <c r="J493" s="78"/>
    </row>
    <row r="494" spans="2:10" hidden="1">
      <c r="B494" s="26" t="s">
        <v>6939</v>
      </c>
      <c r="J494" s="78"/>
    </row>
    <row r="495" spans="2:10" hidden="1">
      <c r="B495" s="26" t="s">
        <v>1263</v>
      </c>
      <c r="J495" s="78"/>
    </row>
    <row r="496" spans="2:10" hidden="1">
      <c r="B496" s="26" t="s">
        <v>2552</v>
      </c>
      <c r="G496" s="171" t="s">
        <v>1697</v>
      </c>
      <c r="H496" s="68">
        <v>4.5</v>
      </c>
      <c r="I496" s="26" t="s">
        <v>2603</v>
      </c>
      <c r="J496" s="78"/>
    </row>
    <row r="497" spans="2:10" hidden="1">
      <c r="B497" s="26" t="s">
        <v>2553</v>
      </c>
      <c r="G497" s="171" t="s">
        <v>1697</v>
      </c>
      <c r="H497" s="68"/>
      <c r="J497" s="78"/>
    </row>
    <row r="498" spans="2:10" hidden="1">
      <c r="B498" s="26" t="s">
        <v>624</v>
      </c>
      <c r="G498" s="171" t="s">
        <v>1697</v>
      </c>
      <c r="H498" s="68">
        <v>4.5</v>
      </c>
      <c r="I498" s="26" t="s">
        <v>2603</v>
      </c>
      <c r="J498" s="78"/>
    </row>
    <row r="499" spans="2:10" hidden="1">
      <c r="B499" s="26" t="s">
        <v>762</v>
      </c>
      <c r="G499" s="171" t="s">
        <v>1697</v>
      </c>
      <c r="H499" s="68">
        <v>4</v>
      </c>
      <c r="I499" s="26" t="s">
        <v>2603</v>
      </c>
      <c r="J499" s="78"/>
    </row>
    <row r="500" spans="2:10" hidden="1">
      <c r="B500" s="26" t="s">
        <v>705</v>
      </c>
      <c r="G500" s="171" t="s">
        <v>1697</v>
      </c>
      <c r="H500" s="68">
        <v>2</v>
      </c>
      <c r="I500" s="26" t="s">
        <v>2603</v>
      </c>
      <c r="J500" s="78"/>
    </row>
    <row r="501" spans="2:10" hidden="1">
      <c r="B501" s="26" t="s">
        <v>3918</v>
      </c>
      <c r="G501" s="171" t="s">
        <v>1697</v>
      </c>
      <c r="H501" s="68">
        <v>3</v>
      </c>
      <c r="I501" s="26" t="s">
        <v>2603</v>
      </c>
      <c r="J501" s="78"/>
    </row>
    <row r="502" spans="2:10" hidden="1">
      <c r="B502" s="26" t="s">
        <v>263</v>
      </c>
      <c r="G502" s="171" t="s">
        <v>1697</v>
      </c>
      <c r="H502" s="68">
        <v>0.5</v>
      </c>
      <c r="I502" s="26" t="s">
        <v>2603</v>
      </c>
      <c r="J502" s="78"/>
    </row>
    <row r="503" spans="2:10" hidden="1">
      <c r="F503" s="26" t="s">
        <v>1518</v>
      </c>
      <c r="G503" s="171" t="s">
        <v>1697</v>
      </c>
      <c r="H503" s="68">
        <v>14</v>
      </c>
      <c r="I503" s="26" t="s">
        <v>2603</v>
      </c>
      <c r="J503" s="78"/>
    </row>
    <row r="504" spans="2:10" hidden="1">
      <c r="B504" s="26" t="s">
        <v>5333</v>
      </c>
      <c r="H504" s="68">
        <v>3</v>
      </c>
      <c r="I504" s="26" t="s">
        <v>2059</v>
      </c>
      <c r="J504" s="78"/>
    </row>
    <row r="505" spans="2:10" hidden="1">
      <c r="B505" s="26" t="s">
        <v>5334</v>
      </c>
      <c r="H505" s="68">
        <v>12.75</v>
      </c>
      <c r="I505" s="26" t="s">
        <v>3477</v>
      </c>
      <c r="J505" s="78"/>
    </row>
    <row r="506" spans="2:10" hidden="1">
      <c r="B506" s="26" t="s">
        <v>5335</v>
      </c>
      <c r="H506" s="68">
        <v>306</v>
      </c>
      <c r="I506" s="26" t="s">
        <v>3477</v>
      </c>
      <c r="J506" s="78"/>
    </row>
    <row r="507" spans="2:10" hidden="1">
      <c r="B507" s="26" t="s">
        <v>1966</v>
      </c>
      <c r="J507" s="78"/>
    </row>
    <row r="508" spans="2:10" hidden="1">
      <c r="B508" s="26" t="s">
        <v>1917</v>
      </c>
      <c r="J508" s="78"/>
    </row>
    <row r="509" spans="2:10" hidden="1">
      <c r="B509" s="26" t="s">
        <v>1918</v>
      </c>
      <c r="H509" s="68">
        <v>320</v>
      </c>
      <c r="I509" s="26" t="s">
        <v>3477</v>
      </c>
      <c r="J509" s="78"/>
    </row>
    <row r="510" spans="2:10" hidden="1">
      <c r="B510" s="26" t="s">
        <v>3295</v>
      </c>
      <c r="J510" s="78"/>
    </row>
    <row r="511" spans="2:10" hidden="1">
      <c r="B511" s="26" t="s">
        <v>1919</v>
      </c>
      <c r="H511" s="68"/>
      <c r="J511" s="78"/>
    </row>
    <row r="512" spans="2:10" hidden="1">
      <c r="B512" s="26" t="s">
        <v>1920</v>
      </c>
      <c r="H512" s="68"/>
      <c r="J512" s="78"/>
    </row>
    <row r="513" spans="2:10" hidden="1">
      <c r="B513" s="26" t="s">
        <v>5337</v>
      </c>
      <c r="J513" s="78"/>
    </row>
    <row r="514" spans="2:10" hidden="1">
      <c r="B514" s="26" t="s">
        <v>2952</v>
      </c>
      <c r="J514" s="78"/>
    </row>
    <row r="515" spans="2:10" hidden="1">
      <c r="B515" s="26" t="s">
        <v>2953</v>
      </c>
      <c r="J515" s="78"/>
    </row>
    <row r="516" spans="2:10" hidden="1">
      <c r="B516" s="26" t="s">
        <v>2954</v>
      </c>
      <c r="J516" s="78"/>
    </row>
    <row r="517" spans="2:10" hidden="1">
      <c r="B517" s="26" t="s">
        <v>979</v>
      </c>
      <c r="J517" s="78"/>
    </row>
    <row r="518" spans="2:10" hidden="1">
      <c r="B518" s="26" t="s">
        <v>6932</v>
      </c>
      <c r="J518" s="78"/>
    </row>
    <row r="519" spans="2:10" hidden="1">
      <c r="B519" s="26" t="s">
        <v>6933</v>
      </c>
      <c r="J519" s="78"/>
    </row>
    <row r="520" spans="2:10" hidden="1">
      <c r="B520" s="26" t="s">
        <v>6934</v>
      </c>
      <c r="J520" s="78"/>
    </row>
    <row r="521" spans="2:10" hidden="1">
      <c r="B521" s="26" t="s">
        <v>3838</v>
      </c>
      <c r="G521" s="78" t="s">
        <v>1697</v>
      </c>
      <c r="H521" s="68">
        <v>0.8</v>
      </c>
      <c r="I521" s="27" t="s">
        <v>2602</v>
      </c>
      <c r="J521" s="78"/>
    </row>
    <row r="522" spans="2:10" hidden="1">
      <c r="B522" s="26" t="s">
        <v>2485</v>
      </c>
      <c r="G522" s="78" t="s">
        <v>1697</v>
      </c>
      <c r="H522" s="68">
        <v>0.9</v>
      </c>
      <c r="I522" s="27" t="s">
        <v>2602</v>
      </c>
      <c r="J522" s="78"/>
    </row>
    <row r="523" spans="2:10" hidden="1">
      <c r="B523" s="26" t="s">
        <v>2486</v>
      </c>
      <c r="G523" s="78" t="s">
        <v>1697</v>
      </c>
      <c r="H523" s="68">
        <v>400</v>
      </c>
      <c r="I523" s="27" t="s">
        <v>3479</v>
      </c>
      <c r="J523" s="78"/>
    </row>
    <row r="524" spans="2:10" hidden="1">
      <c r="B524" s="26" t="s">
        <v>6300</v>
      </c>
      <c r="H524" s="68">
        <v>30</v>
      </c>
      <c r="I524" s="27" t="s">
        <v>2487</v>
      </c>
      <c r="J524" s="78"/>
    </row>
    <row r="525" spans="2:10" hidden="1">
      <c r="B525" s="26" t="s">
        <v>5694</v>
      </c>
      <c r="G525" s="78" t="s">
        <v>1697</v>
      </c>
      <c r="H525" s="68">
        <v>1.2</v>
      </c>
      <c r="I525" s="27" t="s">
        <v>2488</v>
      </c>
      <c r="J525" s="78"/>
    </row>
    <row r="526" spans="2:10" hidden="1">
      <c r="B526" s="26" t="s">
        <v>2489</v>
      </c>
      <c r="G526" s="78" t="s">
        <v>1697</v>
      </c>
      <c r="H526" s="68">
        <v>1</v>
      </c>
      <c r="I526" s="27" t="s">
        <v>2602</v>
      </c>
      <c r="J526" s="78"/>
    </row>
    <row r="527" spans="2:10" hidden="1">
      <c r="B527" s="26" t="s">
        <v>4333</v>
      </c>
      <c r="G527" s="78" t="s">
        <v>1697</v>
      </c>
      <c r="H527" s="68">
        <v>1.2</v>
      </c>
      <c r="I527" s="27" t="s">
        <v>2602</v>
      </c>
      <c r="J527" s="78"/>
    </row>
    <row r="528" spans="2:10" hidden="1">
      <c r="B528" s="26" t="s">
        <v>4334</v>
      </c>
      <c r="G528" s="78" t="s">
        <v>1697</v>
      </c>
      <c r="H528" s="217" t="s">
        <v>4335</v>
      </c>
      <c r="I528" s="27" t="s">
        <v>2602</v>
      </c>
      <c r="J528" s="78"/>
    </row>
    <row r="529" spans="2:10" hidden="1">
      <c r="B529" s="26" t="s">
        <v>4336</v>
      </c>
      <c r="G529" s="78" t="s">
        <v>1697</v>
      </c>
      <c r="H529" s="68">
        <v>333</v>
      </c>
      <c r="I529" s="27" t="s">
        <v>4041</v>
      </c>
      <c r="J529" s="78"/>
    </row>
    <row r="530" spans="2:10" hidden="1">
      <c r="B530" s="26" t="s">
        <v>4337</v>
      </c>
      <c r="G530" s="78" t="s">
        <v>1697</v>
      </c>
      <c r="H530" s="68">
        <v>300</v>
      </c>
      <c r="I530" s="27" t="s">
        <v>2602</v>
      </c>
      <c r="J530" s="78"/>
    </row>
    <row r="531" spans="2:10" hidden="1">
      <c r="B531" s="26" t="s">
        <v>7091</v>
      </c>
      <c r="H531" s="68">
        <v>10</v>
      </c>
      <c r="I531" s="27" t="s">
        <v>2602</v>
      </c>
      <c r="J531" s="78"/>
    </row>
    <row r="532" spans="2:10" hidden="1">
      <c r="F532" s="26" t="s">
        <v>1518</v>
      </c>
      <c r="G532" s="78" t="s">
        <v>1697</v>
      </c>
      <c r="H532" s="68">
        <v>310</v>
      </c>
      <c r="I532" s="27" t="s">
        <v>2602</v>
      </c>
      <c r="J532" s="78"/>
    </row>
    <row r="533" spans="2:10" hidden="1">
      <c r="B533" s="26" t="s">
        <v>7092</v>
      </c>
      <c r="G533" s="78" t="s">
        <v>1697</v>
      </c>
      <c r="H533" s="68">
        <v>8</v>
      </c>
      <c r="I533" s="27" t="s">
        <v>2602</v>
      </c>
      <c r="J533" s="78"/>
    </row>
    <row r="534" spans="2:10" hidden="1">
      <c r="B534" s="26" t="s">
        <v>7093</v>
      </c>
      <c r="G534" s="78" t="s">
        <v>1697</v>
      </c>
      <c r="H534" s="68">
        <v>9.69</v>
      </c>
      <c r="I534" s="27" t="s">
        <v>4665</v>
      </c>
      <c r="J534" s="78"/>
    </row>
    <row r="535" spans="2:10" hidden="1">
      <c r="B535" s="26" t="s">
        <v>7222</v>
      </c>
      <c r="H535" s="68">
        <v>12</v>
      </c>
      <c r="I535" s="27" t="s">
        <v>4665</v>
      </c>
      <c r="J535" s="78"/>
    </row>
    <row r="536" spans="2:10" hidden="1">
      <c r="B536" s="26" t="s">
        <v>5693</v>
      </c>
      <c r="I536" s="78"/>
      <c r="J536" s="78"/>
    </row>
    <row r="537" spans="2:10" hidden="1">
      <c r="B537" s="26" t="s">
        <v>4343</v>
      </c>
      <c r="H537" s="68">
        <v>92</v>
      </c>
      <c r="I537" s="27" t="s">
        <v>3478</v>
      </c>
      <c r="J537" s="78"/>
    </row>
    <row r="538" spans="2:10" hidden="1">
      <c r="B538" s="26" t="s">
        <v>4344</v>
      </c>
      <c r="H538" s="68">
        <v>3</v>
      </c>
      <c r="I538" s="27" t="s">
        <v>3478</v>
      </c>
      <c r="J538" s="78"/>
    </row>
    <row r="539" spans="2:10" hidden="1">
      <c r="B539" s="26" t="s">
        <v>4388</v>
      </c>
      <c r="H539" s="68">
        <v>95</v>
      </c>
      <c r="I539" s="27" t="s">
        <v>3478</v>
      </c>
      <c r="J539" s="78"/>
    </row>
    <row r="540" spans="2:10" hidden="1">
      <c r="B540" s="26" t="s">
        <v>4389</v>
      </c>
      <c r="H540" s="68">
        <v>10</v>
      </c>
      <c r="I540" s="27" t="s">
        <v>4041</v>
      </c>
      <c r="J540" s="78"/>
    </row>
    <row r="541" spans="2:10" hidden="1">
      <c r="B541" s="26" t="s">
        <v>4390</v>
      </c>
      <c r="H541" s="68">
        <v>333</v>
      </c>
      <c r="I541" s="27" t="s">
        <v>4041</v>
      </c>
      <c r="J541" s="78"/>
    </row>
    <row r="542" spans="2:10" hidden="1">
      <c r="B542" s="26" t="s">
        <v>6094</v>
      </c>
      <c r="H542" s="68">
        <v>450</v>
      </c>
      <c r="I542" s="27" t="s">
        <v>3483</v>
      </c>
      <c r="J542" s="78"/>
    </row>
    <row r="543" spans="2:10" hidden="1">
      <c r="B543" s="26" t="s">
        <v>2366</v>
      </c>
      <c r="J543" s="78"/>
    </row>
    <row r="544" spans="2:10" hidden="1">
      <c r="B544" s="26" t="s">
        <v>288</v>
      </c>
      <c r="F544" s="68">
        <f>'BASIC DATA'!$D$307</f>
        <v>4028</v>
      </c>
      <c r="G544" s="171" t="s">
        <v>4391</v>
      </c>
      <c r="H544" s="68">
        <f>F544</f>
        <v>4028</v>
      </c>
      <c r="J544" s="78"/>
    </row>
    <row r="545" spans="1:10" hidden="1">
      <c r="B545" s="26" t="s">
        <v>99</v>
      </c>
      <c r="G545" s="171" t="s">
        <v>1697</v>
      </c>
      <c r="H545" s="68">
        <v>150</v>
      </c>
      <c r="I545" s="26" t="s">
        <v>2602</v>
      </c>
      <c r="J545" s="78"/>
    </row>
    <row r="546" spans="1:10" hidden="1">
      <c r="B546" s="26" t="s">
        <v>6712</v>
      </c>
      <c r="G546" s="171" t="s">
        <v>4391</v>
      </c>
      <c r="H546" s="68">
        <f>H544/H545</f>
        <v>26.853333333333332</v>
      </c>
      <c r="J546" s="78"/>
    </row>
    <row r="547" spans="1:10" hidden="1">
      <c r="B547" s="26" t="s">
        <v>7594</v>
      </c>
      <c r="G547" s="171" t="s">
        <v>1697</v>
      </c>
      <c r="H547" s="68">
        <v>50</v>
      </c>
      <c r="I547" s="26" t="s">
        <v>2602</v>
      </c>
      <c r="J547" s="78"/>
    </row>
    <row r="548" spans="1:10" hidden="1">
      <c r="B548" s="26" t="s">
        <v>5135</v>
      </c>
      <c r="F548" s="68">
        <f>'BASIC DATA'!$D$344</f>
        <v>185</v>
      </c>
      <c r="G548" s="171" t="s">
        <v>4391</v>
      </c>
      <c r="H548" s="68">
        <f>F548*H547</f>
        <v>9250</v>
      </c>
      <c r="J548" s="78"/>
    </row>
    <row r="549" spans="1:10" hidden="1">
      <c r="B549" s="26" t="s">
        <v>5152</v>
      </c>
      <c r="G549" s="171" t="s">
        <v>1697</v>
      </c>
      <c r="H549" s="68">
        <v>800</v>
      </c>
      <c r="I549" s="26" t="s">
        <v>3428</v>
      </c>
      <c r="J549" s="78"/>
    </row>
    <row r="550" spans="1:10" hidden="1">
      <c r="B550" s="26" t="s">
        <v>6713</v>
      </c>
      <c r="G550" s="171" t="s">
        <v>4391</v>
      </c>
      <c r="H550" s="68">
        <f>H548/H549</f>
        <v>11.5625</v>
      </c>
      <c r="J550" s="78"/>
    </row>
    <row r="551" spans="1:10">
      <c r="J551" s="78"/>
    </row>
    <row r="552" spans="1:10">
      <c r="A552" s="822" t="s">
        <v>3984</v>
      </c>
      <c r="F552" s="170" t="s">
        <v>2367</v>
      </c>
      <c r="J552" s="78"/>
    </row>
    <row r="553" spans="1:10">
      <c r="J553" s="78"/>
    </row>
    <row r="554" spans="1:10">
      <c r="H554" s="171" t="s">
        <v>3476</v>
      </c>
      <c r="J554" s="78"/>
    </row>
    <row r="555" spans="1:10">
      <c r="B555" s="170" t="s">
        <v>2368</v>
      </c>
      <c r="C555" s="89"/>
      <c r="F555" s="174"/>
      <c r="H555" s="211">
        <f>H509</f>
        <v>320</v>
      </c>
      <c r="I555" s="26" t="s">
        <v>6901</v>
      </c>
      <c r="J555" s="78"/>
    </row>
    <row r="556" spans="1:10">
      <c r="A556" s="865"/>
      <c r="B556" s="95" t="s">
        <v>2369</v>
      </c>
      <c r="D556" s="157" t="s">
        <v>4443</v>
      </c>
      <c r="E556" s="97"/>
      <c r="F556" s="97" t="s">
        <v>2370</v>
      </c>
      <c r="G556" s="95" t="s">
        <v>1166</v>
      </c>
      <c r="H556" s="97" t="s">
        <v>6664</v>
      </c>
      <c r="I556" s="97" t="s">
        <v>6665</v>
      </c>
      <c r="J556" s="78"/>
    </row>
    <row r="557" spans="1:10">
      <c r="A557" s="865"/>
      <c r="B557" s="114"/>
      <c r="C557" s="139"/>
      <c r="D557" s="188"/>
      <c r="E557" s="115"/>
      <c r="F557" s="115"/>
      <c r="G557" s="114"/>
      <c r="H557" s="115" t="s">
        <v>3856</v>
      </c>
      <c r="I557" s="115" t="s">
        <v>3857</v>
      </c>
      <c r="J557" s="78"/>
    </row>
    <row r="558" spans="1:10">
      <c r="B558" s="95">
        <v>1</v>
      </c>
      <c r="C558" s="131" t="s">
        <v>4392</v>
      </c>
      <c r="D558" s="187"/>
      <c r="E558" s="195"/>
      <c r="F558" s="195" t="s">
        <v>3483</v>
      </c>
      <c r="G558" s="179">
        <v>310</v>
      </c>
      <c r="H558" s="218">
        <f>H546</f>
        <v>26.853333333333332</v>
      </c>
      <c r="I558" s="155">
        <f>ROUND(H558*G558,2)</f>
        <v>8324.5300000000007</v>
      </c>
      <c r="J558" s="78"/>
    </row>
    <row r="559" spans="1:10">
      <c r="B559" s="105"/>
      <c r="C559" s="135" t="s">
        <v>5125</v>
      </c>
      <c r="D559" s="31"/>
      <c r="E559" s="189"/>
      <c r="F559" s="219">
        <v>0.1</v>
      </c>
      <c r="G559" s="190"/>
      <c r="H559" s="220"/>
      <c r="I559" s="155">
        <f>ROUND(I558*0.1,2)</f>
        <v>832.45</v>
      </c>
      <c r="J559" s="78"/>
    </row>
    <row r="560" spans="1:10">
      <c r="B560" s="105">
        <v>2</v>
      </c>
      <c r="C560" s="135" t="s">
        <v>6717</v>
      </c>
      <c r="D560" s="31"/>
      <c r="E560" s="189"/>
      <c r="F560" s="189" t="s">
        <v>2374</v>
      </c>
      <c r="G560" s="190">
        <v>48</v>
      </c>
      <c r="H560" s="220">
        <f>H550</f>
        <v>11.5625</v>
      </c>
      <c r="I560" s="155">
        <f t="shared" ref="I560:I565" si="8">ROUND(H560*G560,2)</f>
        <v>555</v>
      </c>
      <c r="J560" s="78"/>
    </row>
    <row r="561" spans="1:10">
      <c r="B561" s="105">
        <v>3</v>
      </c>
      <c r="C561" s="135" t="s">
        <v>6718</v>
      </c>
      <c r="D561" s="31"/>
      <c r="E561" s="189"/>
      <c r="F561" s="189" t="s">
        <v>3478</v>
      </c>
      <c r="G561" s="190">
        <v>95</v>
      </c>
      <c r="H561" s="214">
        <f>'BASIC DATA'!$D$54</f>
        <v>70</v>
      </c>
      <c r="I561" s="155">
        <f t="shared" si="8"/>
        <v>6650</v>
      </c>
      <c r="J561" s="78"/>
    </row>
    <row r="562" spans="1:10">
      <c r="B562" s="105">
        <v>4</v>
      </c>
      <c r="C562" s="135" t="s">
        <v>2058</v>
      </c>
      <c r="D562" s="31"/>
      <c r="E562" s="189"/>
      <c r="F562" s="189" t="s">
        <v>2059</v>
      </c>
      <c r="G562" s="190">
        <v>10</v>
      </c>
      <c r="H562" s="220">
        <f>'BASIC DATA'!$D$50</f>
        <v>7</v>
      </c>
      <c r="I562" s="155">
        <f t="shared" si="8"/>
        <v>70</v>
      </c>
      <c r="J562" s="78"/>
    </row>
    <row r="563" spans="1:10">
      <c r="B563" s="105">
        <v>5</v>
      </c>
      <c r="C563" s="135" t="s">
        <v>2060</v>
      </c>
      <c r="D563" s="31"/>
      <c r="E563" s="189"/>
      <c r="F563" s="189" t="s">
        <v>2059</v>
      </c>
      <c r="G563" s="190">
        <v>333</v>
      </c>
      <c r="H563" s="214">
        <f>'BASIC DATA'!$D$49</f>
        <v>11</v>
      </c>
      <c r="I563" s="155">
        <f t="shared" si="8"/>
        <v>3663</v>
      </c>
      <c r="J563" s="78"/>
    </row>
    <row r="564" spans="1:10">
      <c r="B564" s="105">
        <v>6</v>
      </c>
      <c r="C564" s="135" t="s">
        <v>6094</v>
      </c>
      <c r="D564" s="31"/>
      <c r="E564" s="189"/>
      <c r="F564" s="189" t="s">
        <v>3483</v>
      </c>
      <c r="G564" s="190">
        <v>450</v>
      </c>
      <c r="H564" s="214">
        <f>'BASIC DATA'!$D$46</f>
        <v>9</v>
      </c>
      <c r="I564" s="155">
        <f t="shared" si="8"/>
        <v>4050</v>
      </c>
      <c r="J564" s="78"/>
    </row>
    <row r="565" spans="1:10">
      <c r="B565" s="114">
        <v>7</v>
      </c>
      <c r="C565" s="139" t="s">
        <v>2373</v>
      </c>
      <c r="D565" s="174"/>
      <c r="E565" s="192"/>
      <c r="F565" s="192" t="s">
        <v>2173</v>
      </c>
      <c r="G565" s="182">
        <v>5</v>
      </c>
      <c r="H565" s="215">
        <f>'BASIC DATA'!$D$359</f>
        <v>30</v>
      </c>
      <c r="I565" s="155">
        <f t="shared" si="8"/>
        <v>150</v>
      </c>
      <c r="J565" s="78"/>
    </row>
    <row r="566" spans="1:10">
      <c r="B566" s="184"/>
      <c r="C566" s="151"/>
      <c r="D566" s="159" t="s">
        <v>2376</v>
      </c>
      <c r="E566" s="159"/>
      <c r="F566" s="38"/>
      <c r="G566" s="159"/>
      <c r="H566" s="208" t="s">
        <v>1698</v>
      </c>
      <c r="I566" s="209">
        <f>SUM(I558:I565)</f>
        <v>24294.980000000003</v>
      </c>
      <c r="J566" s="78"/>
    </row>
    <row r="567" spans="1:10">
      <c r="J567" s="78"/>
    </row>
    <row r="568" spans="1:10">
      <c r="B568" s="170" t="s">
        <v>2377</v>
      </c>
      <c r="C568" s="89"/>
      <c r="J568" s="78"/>
    </row>
    <row r="569" spans="1:10">
      <c r="A569" s="865"/>
      <c r="B569" s="95" t="s">
        <v>2369</v>
      </c>
      <c r="D569" s="157" t="s">
        <v>2378</v>
      </c>
      <c r="E569" s="97"/>
      <c r="F569" s="97" t="s">
        <v>2370</v>
      </c>
      <c r="G569" s="95" t="s">
        <v>1166</v>
      </c>
      <c r="H569" s="97" t="s">
        <v>6664</v>
      </c>
      <c r="I569" s="97" t="s">
        <v>6665</v>
      </c>
      <c r="J569" s="78"/>
    </row>
    <row r="570" spans="1:10">
      <c r="A570" s="865"/>
      <c r="B570" s="114"/>
      <c r="C570" s="139"/>
      <c r="D570" s="188"/>
      <c r="E570" s="115"/>
      <c r="F570" s="115"/>
      <c r="G570" s="114"/>
      <c r="H570" s="115" t="s">
        <v>3856</v>
      </c>
      <c r="I570" s="115" t="s">
        <v>3857</v>
      </c>
      <c r="J570" s="78"/>
    </row>
    <row r="571" spans="1:10">
      <c r="B571" s="95">
        <v>1</v>
      </c>
      <c r="C571" s="131" t="s">
        <v>298</v>
      </c>
      <c r="D571" s="187"/>
      <c r="E571" s="195"/>
      <c r="F571" s="195" t="s">
        <v>2374</v>
      </c>
      <c r="G571" s="179">
        <v>8</v>
      </c>
      <c r="H571" s="190">
        <f>'HIRE CHARGES'!$D$543</f>
        <v>1706.6</v>
      </c>
      <c r="I571" s="155">
        <f>ROUND(H571*G571,2)</f>
        <v>13652.8</v>
      </c>
      <c r="J571" s="78"/>
    </row>
    <row r="572" spans="1:10">
      <c r="B572" s="105"/>
      <c r="C572" s="135" t="s">
        <v>2379</v>
      </c>
      <c r="D572" s="31"/>
      <c r="E572" s="189"/>
      <c r="F572" s="189" t="s">
        <v>2374</v>
      </c>
      <c r="G572" s="190">
        <v>8</v>
      </c>
      <c r="H572" s="190">
        <f>'HIRE CHARGES'!$E$543</f>
        <v>872.7</v>
      </c>
      <c r="I572" s="155">
        <f t="shared" ref="I572:I582" si="9">ROUND(H572*G572,2)</f>
        <v>6981.6</v>
      </c>
      <c r="J572" s="78"/>
    </row>
    <row r="573" spans="1:10">
      <c r="B573" s="105">
        <v>2</v>
      </c>
      <c r="C573" s="135" t="s">
        <v>4298</v>
      </c>
      <c r="D573" s="31"/>
      <c r="E573" s="189"/>
      <c r="F573" s="189" t="s">
        <v>2374</v>
      </c>
      <c r="G573" s="190">
        <v>24</v>
      </c>
      <c r="H573" s="190">
        <f>'HIRE CHARGES'!$D$525</f>
        <v>580.69999999999993</v>
      </c>
      <c r="I573" s="155">
        <f t="shared" si="9"/>
        <v>13936.8</v>
      </c>
      <c r="J573" s="78"/>
    </row>
    <row r="574" spans="1:10">
      <c r="B574" s="105"/>
      <c r="C574" s="135" t="s">
        <v>2379</v>
      </c>
      <c r="D574" s="31"/>
      <c r="E574" s="189"/>
      <c r="F574" s="189" t="s">
        <v>2374</v>
      </c>
      <c r="G574" s="190">
        <v>24</v>
      </c>
      <c r="H574" s="190">
        <f>'HIRE CHARGES'!$E$525</f>
        <v>399.9</v>
      </c>
      <c r="I574" s="155">
        <f t="shared" si="9"/>
        <v>9597.6</v>
      </c>
      <c r="J574" s="78"/>
    </row>
    <row r="575" spans="1:10">
      <c r="B575" s="105">
        <v>3</v>
      </c>
      <c r="C575" s="135" t="s">
        <v>5044</v>
      </c>
      <c r="D575" s="31"/>
      <c r="E575" s="189"/>
      <c r="F575" s="189" t="s">
        <v>2374</v>
      </c>
      <c r="G575" s="190">
        <v>4</v>
      </c>
      <c r="H575" s="190">
        <f>'HIRE CHARGES'!$D$545</f>
        <v>446.7</v>
      </c>
      <c r="I575" s="155">
        <f t="shared" si="9"/>
        <v>1786.8</v>
      </c>
      <c r="J575" s="78"/>
    </row>
    <row r="576" spans="1:10">
      <c r="B576" s="105"/>
      <c r="C576" s="135" t="s">
        <v>2379</v>
      </c>
      <c r="D576" s="31"/>
      <c r="E576" s="189"/>
      <c r="F576" s="189" t="s">
        <v>2374</v>
      </c>
      <c r="G576" s="190">
        <v>4</v>
      </c>
      <c r="H576" s="190">
        <f>'HIRE CHARGES'!$E$545</f>
        <v>299.89999999999998</v>
      </c>
      <c r="I576" s="155">
        <f t="shared" si="9"/>
        <v>1199.5999999999999</v>
      </c>
      <c r="J576" s="78"/>
    </row>
    <row r="577" spans="1:10">
      <c r="B577" s="105">
        <v>4</v>
      </c>
      <c r="C577" s="135" t="s">
        <v>1502</v>
      </c>
      <c r="D577" s="31"/>
      <c r="E577" s="189"/>
      <c r="F577" s="189" t="s">
        <v>2374</v>
      </c>
      <c r="G577" s="221">
        <v>1</v>
      </c>
      <c r="H577" s="190">
        <f>'HIRE CHARGES'!$D$499</f>
        <v>1715.5</v>
      </c>
      <c r="I577" s="155">
        <f t="shared" si="9"/>
        <v>1715.5</v>
      </c>
      <c r="J577" s="78"/>
    </row>
    <row r="578" spans="1:10">
      <c r="B578" s="105"/>
      <c r="C578" s="135" t="s">
        <v>2379</v>
      </c>
      <c r="D578" s="31"/>
      <c r="E578" s="189"/>
      <c r="F578" s="189" t="s">
        <v>2374</v>
      </c>
      <c r="G578" s="190">
        <v>1</v>
      </c>
      <c r="H578" s="207">
        <f>'HIRE CHARGES'!$E$499</f>
        <v>610.5</v>
      </c>
      <c r="I578" s="155">
        <f t="shared" si="9"/>
        <v>610.5</v>
      </c>
      <c r="J578" s="78"/>
    </row>
    <row r="579" spans="1:10">
      <c r="B579" s="105">
        <v>5</v>
      </c>
      <c r="C579" s="135" t="s">
        <v>4299</v>
      </c>
      <c r="D579" s="31"/>
      <c r="E579" s="189"/>
      <c r="F579" s="189" t="s">
        <v>2374</v>
      </c>
      <c r="G579" s="190">
        <v>24</v>
      </c>
      <c r="H579" s="207">
        <f>'HIRE CHARGES'!$D$497</f>
        <v>170.8</v>
      </c>
      <c r="I579" s="155">
        <f t="shared" si="9"/>
        <v>4099.2</v>
      </c>
      <c r="J579" s="78"/>
    </row>
    <row r="580" spans="1:10">
      <c r="B580" s="105"/>
      <c r="C580" s="135" t="s">
        <v>2379</v>
      </c>
      <c r="D580" s="31"/>
      <c r="E580" s="189"/>
      <c r="F580" s="189" t="s">
        <v>2374</v>
      </c>
      <c r="G580" s="190">
        <v>24</v>
      </c>
      <c r="H580" s="207">
        <f>'HIRE CHARGES'!$E$497</f>
        <v>315.2</v>
      </c>
      <c r="I580" s="155">
        <f t="shared" si="9"/>
        <v>7564.8</v>
      </c>
      <c r="J580" s="78"/>
    </row>
    <row r="581" spans="1:10">
      <c r="B581" s="105">
        <v>6</v>
      </c>
      <c r="C581" s="135" t="s">
        <v>6721</v>
      </c>
      <c r="D581" s="31"/>
      <c r="E581" s="189"/>
      <c r="F581" s="189" t="s">
        <v>2374</v>
      </c>
      <c r="G581" s="190">
        <v>48</v>
      </c>
      <c r="H581" s="207">
        <f>'HIRE CHARGES'!$D$530</f>
        <v>19.8</v>
      </c>
      <c r="I581" s="155">
        <f t="shared" si="9"/>
        <v>950.4</v>
      </c>
      <c r="J581" s="78"/>
    </row>
    <row r="582" spans="1:10">
      <c r="B582" s="191"/>
      <c r="C582" s="139" t="s">
        <v>2379</v>
      </c>
      <c r="D582" s="174"/>
      <c r="E582" s="192"/>
      <c r="F582" s="192" t="s">
        <v>2374</v>
      </c>
      <c r="G582" s="182">
        <v>48</v>
      </c>
      <c r="H582" s="181">
        <f>'HIRE CHARGES'!$E$530</f>
        <v>0</v>
      </c>
      <c r="I582" s="155">
        <f t="shared" si="9"/>
        <v>0</v>
      </c>
      <c r="J582" s="78"/>
    </row>
    <row r="583" spans="1:10">
      <c r="B583" s="184"/>
      <c r="C583" s="151"/>
      <c r="D583" s="159" t="s">
        <v>2380</v>
      </c>
      <c r="F583" s="159"/>
      <c r="G583" s="159"/>
      <c r="H583" s="206" t="s">
        <v>4108</v>
      </c>
      <c r="I583" s="209">
        <f>SUM(I571:I582)</f>
        <v>62095.6</v>
      </c>
      <c r="J583" s="78"/>
    </row>
    <row r="584" spans="1:10">
      <c r="J584" s="78"/>
    </row>
    <row r="585" spans="1:10">
      <c r="B585" s="170" t="s">
        <v>2381</v>
      </c>
      <c r="C585" s="89"/>
      <c r="J585" s="78"/>
    </row>
    <row r="586" spans="1:10">
      <c r="A586" s="865"/>
      <c r="B586" s="95" t="s">
        <v>2369</v>
      </c>
      <c r="D586" s="175" t="s">
        <v>2378</v>
      </c>
      <c r="E586" s="97"/>
      <c r="F586" s="97" t="s">
        <v>2370</v>
      </c>
      <c r="G586" s="95" t="s">
        <v>1166</v>
      </c>
      <c r="H586" s="97" t="s">
        <v>6664</v>
      </c>
      <c r="I586" s="97" t="s">
        <v>6665</v>
      </c>
      <c r="J586" s="78"/>
    </row>
    <row r="587" spans="1:10">
      <c r="A587" s="865"/>
      <c r="B587" s="114"/>
      <c r="C587" s="89"/>
      <c r="D587" s="188"/>
      <c r="E587" s="115"/>
      <c r="F587" s="115"/>
      <c r="G587" s="114"/>
      <c r="H587" s="115" t="s">
        <v>3856</v>
      </c>
      <c r="I587" s="115" t="s">
        <v>3857</v>
      </c>
      <c r="J587" s="78"/>
    </row>
    <row r="588" spans="1:10">
      <c r="B588" s="95">
        <v>1</v>
      </c>
      <c r="C588" s="148" t="s">
        <v>300</v>
      </c>
      <c r="D588" s="187"/>
      <c r="E588" s="195"/>
      <c r="F588" s="195" t="s">
        <v>2374</v>
      </c>
      <c r="G588" s="190">
        <v>8</v>
      </c>
      <c r="H588" s="179">
        <f>'HIRE CHARGES'!$F$543</f>
        <v>236.6</v>
      </c>
      <c r="I588" s="155">
        <f>ROUND(H588*G588,2)</f>
        <v>1892.8</v>
      </c>
      <c r="J588" s="78"/>
    </row>
    <row r="589" spans="1:10">
      <c r="B589" s="105">
        <v>2</v>
      </c>
      <c r="C589" s="76" t="s">
        <v>4585</v>
      </c>
      <c r="D589" s="31"/>
      <c r="E589" s="189"/>
      <c r="F589" s="189" t="s">
        <v>2374</v>
      </c>
      <c r="G589" s="190">
        <v>24</v>
      </c>
      <c r="H589" s="190">
        <f>'HIRE CHARGES'!$F$525</f>
        <v>227.1</v>
      </c>
      <c r="I589" s="155">
        <f t="shared" ref="I589:I599" si="10">ROUND(H589*G589,2)</f>
        <v>5450.4</v>
      </c>
      <c r="J589" s="78"/>
    </row>
    <row r="590" spans="1:10">
      <c r="B590" s="105">
        <v>3</v>
      </c>
      <c r="C590" s="76" t="s">
        <v>301</v>
      </c>
      <c r="D590" s="31"/>
      <c r="E590" s="189"/>
      <c r="F590" s="189" t="s">
        <v>2374</v>
      </c>
      <c r="G590" s="190">
        <v>4</v>
      </c>
      <c r="H590" s="190">
        <f>'HIRE CHARGES'!$F$545</f>
        <v>177.5</v>
      </c>
      <c r="I590" s="155">
        <f t="shared" si="10"/>
        <v>710</v>
      </c>
      <c r="J590" s="78"/>
    </row>
    <row r="591" spans="1:10">
      <c r="B591" s="105">
        <v>4</v>
      </c>
      <c r="C591" s="76" t="s">
        <v>2870</v>
      </c>
      <c r="D591" s="31"/>
      <c r="E591" s="189"/>
      <c r="F591" s="189" t="s">
        <v>2374</v>
      </c>
      <c r="G591" s="190">
        <v>1</v>
      </c>
      <c r="H591" s="207">
        <f>'HIRE CHARGES'!$F$499</f>
        <v>236.6</v>
      </c>
      <c r="I591" s="155">
        <f t="shared" si="10"/>
        <v>236.6</v>
      </c>
      <c r="J591" s="78"/>
    </row>
    <row r="592" spans="1:10">
      <c r="B592" s="105">
        <v>5</v>
      </c>
      <c r="C592" s="76" t="s">
        <v>4606</v>
      </c>
      <c r="D592" s="31"/>
      <c r="E592" s="189"/>
      <c r="F592" s="189" t="s">
        <v>2374</v>
      </c>
      <c r="G592" s="190">
        <v>24</v>
      </c>
      <c r="H592" s="207">
        <f>'HIRE CHARGES'!$F$497</f>
        <v>164.8</v>
      </c>
      <c r="I592" s="155">
        <f t="shared" si="10"/>
        <v>3955.2</v>
      </c>
      <c r="J592" s="78"/>
    </row>
    <row r="593" spans="2:10">
      <c r="B593" s="105">
        <v>6</v>
      </c>
      <c r="C593" s="76" t="s">
        <v>4607</v>
      </c>
      <c r="D593" s="31"/>
      <c r="E593" s="189"/>
      <c r="F593" s="189" t="s">
        <v>2374</v>
      </c>
      <c r="G593" s="190">
        <v>48</v>
      </c>
      <c r="H593" s="207">
        <f>'HIRE CHARGES'!$F$530</f>
        <v>329.6</v>
      </c>
      <c r="I593" s="155">
        <f t="shared" si="10"/>
        <v>15820.8</v>
      </c>
      <c r="J593" s="78"/>
    </row>
    <row r="594" spans="2:10">
      <c r="B594" s="105">
        <v>7</v>
      </c>
      <c r="C594" s="76" t="s">
        <v>4206</v>
      </c>
      <c r="D594" s="31"/>
      <c r="E594" s="189"/>
      <c r="F594" s="189" t="s">
        <v>1172</v>
      </c>
      <c r="G594" s="190">
        <v>1</v>
      </c>
      <c r="H594" s="207">
        <f>'BASIC DATA'!$C$473</f>
        <v>450</v>
      </c>
      <c r="I594" s="155">
        <f t="shared" si="10"/>
        <v>450</v>
      </c>
      <c r="J594" s="78"/>
    </row>
    <row r="595" spans="2:10">
      <c r="B595" s="105">
        <v>8</v>
      </c>
      <c r="C595" s="76" t="s">
        <v>4608</v>
      </c>
      <c r="D595" s="31"/>
      <c r="E595" s="189"/>
      <c r="F595" s="189" t="s">
        <v>1172</v>
      </c>
      <c r="G595" s="190">
        <v>1</v>
      </c>
      <c r="H595" s="207">
        <f>'BASIC DATA'!$C$466</f>
        <v>510</v>
      </c>
      <c r="I595" s="155">
        <f t="shared" si="10"/>
        <v>510</v>
      </c>
      <c r="J595" s="78"/>
    </row>
    <row r="596" spans="2:10">
      <c r="B596" s="105">
        <v>9</v>
      </c>
      <c r="C596" s="76" t="s">
        <v>4609</v>
      </c>
      <c r="D596" s="31"/>
      <c r="E596" s="189"/>
      <c r="F596" s="189" t="s">
        <v>1172</v>
      </c>
      <c r="G596" s="190">
        <v>1</v>
      </c>
      <c r="H596" s="207">
        <f>'BASIC DATA'!$C$520</f>
        <v>400</v>
      </c>
      <c r="I596" s="155">
        <f t="shared" si="10"/>
        <v>400</v>
      </c>
      <c r="J596" s="78"/>
    </row>
    <row r="597" spans="2:10">
      <c r="B597" s="105">
        <v>10</v>
      </c>
      <c r="C597" s="76" t="s">
        <v>5603</v>
      </c>
      <c r="D597" s="31"/>
      <c r="E597" s="189"/>
      <c r="F597" s="189" t="s">
        <v>1172</v>
      </c>
      <c r="G597" s="190">
        <v>1</v>
      </c>
      <c r="H597" s="207">
        <f>'BASIC DATA'!$C$514</f>
        <v>400</v>
      </c>
      <c r="I597" s="155">
        <f t="shared" si="10"/>
        <v>400</v>
      </c>
      <c r="J597" s="78"/>
    </row>
    <row r="598" spans="2:10">
      <c r="B598" s="105">
        <v>11</v>
      </c>
      <c r="C598" s="76" t="s">
        <v>1190</v>
      </c>
      <c r="D598" s="31"/>
      <c r="E598" s="189"/>
      <c r="F598" s="189" t="s">
        <v>1172</v>
      </c>
      <c r="G598" s="190">
        <v>2</v>
      </c>
      <c r="H598" s="207">
        <f>'BASIC DATA'!$C$546</f>
        <v>400</v>
      </c>
      <c r="I598" s="155">
        <f t="shared" si="10"/>
        <v>800</v>
      </c>
      <c r="J598" s="78"/>
    </row>
    <row r="599" spans="2:10">
      <c r="B599" s="105">
        <v>12</v>
      </c>
      <c r="C599" s="76" t="s">
        <v>2697</v>
      </c>
      <c r="D599" s="31"/>
      <c r="E599" s="189"/>
      <c r="F599" s="189" t="s">
        <v>1172</v>
      </c>
      <c r="G599" s="190">
        <v>6</v>
      </c>
      <c r="H599" s="190">
        <f>'BASIC DATA'!$C$552</f>
        <v>350</v>
      </c>
      <c r="I599" s="155">
        <f t="shared" si="10"/>
        <v>2100</v>
      </c>
      <c r="J599" s="78"/>
    </row>
    <row r="600" spans="2:10">
      <c r="B600" s="184"/>
      <c r="C600" s="151"/>
      <c r="D600" s="159" t="s">
        <v>1174</v>
      </c>
      <c r="E600" s="159"/>
      <c r="F600" s="184"/>
      <c r="G600" s="159"/>
      <c r="H600" s="208" t="s">
        <v>4108</v>
      </c>
      <c r="I600" s="209">
        <f>SUM(I588:I599)</f>
        <v>32725.8</v>
      </c>
      <c r="J600" s="78"/>
    </row>
    <row r="601" spans="2:10">
      <c r="B601" s="60" t="s">
        <v>5948</v>
      </c>
      <c r="C601" s="76"/>
      <c r="D601" s="31"/>
      <c r="E601" s="31"/>
      <c r="F601" s="31"/>
      <c r="G601" s="85">
        <f>ROUND(I600/H555,1)</f>
        <v>102.3</v>
      </c>
      <c r="H601" s="85"/>
      <c r="J601" s="78"/>
    </row>
    <row r="602" spans="2:10">
      <c r="B602" s="60" t="s">
        <v>3163</v>
      </c>
      <c r="C602" s="76"/>
      <c r="D602" s="31"/>
      <c r="E602" s="31"/>
      <c r="F602" s="922">
        <f>'BASIC DATA'!$C$577</f>
        <v>0.13614999999999999</v>
      </c>
      <c r="G602" s="85">
        <f>ROUND(G601*F602,1)</f>
        <v>13.9</v>
      </c>
      <c r="H602" s="85"/>
      <c r="J602" s="78"/>
    </row>
    <row r="603" spans="2:10">
      <c r="B603" s="60" t="s">
        <v>5949</v>
      </c>
      <c r="C603" s="76"/>
      <c r="D603" s="31"/>
      <c r="E603" s="31"/>
      <c r="F603" s="31"/>
      <c r="G603" s="199">
        <f>ROUND(G601+G602,1)</f>
        <v>116.2</v>
      </c>
      <c r="H603" s="85"/>
      <c r="J603" s="78"/>
    </row>
    <row r="604" spans="2:10">
      <c r="B604" s="31"/>
      <c r="C604" s="76"/>
      <c r="D604" s="31"/>
      <c r="E604" s="31"/>
      <c r="F604" s="31"/>
      <c r="G604" s="31"/>
      <c r="H604" s="31"/>
      <c r="I604" s="200"/>
      <c r="J604" s="78"/>
    </row>
    <row r="605" spans="2:10">
      <c r="J605" s="78"/>
    </row>
    <row r="606" spans="2:10">
      <c r="B606" s="170" t="s">
        <v>1175</v>
      </c>
      <c r="J606" s="78"/>
    </row>
    <row r="607" spans="2:10">
      <c r="B607" s="26" t="s">
        <v>1176</v>
      </c>
      <c r="H607" s="171" t="s">
        <v>1698</v>
      </c>
      <c r="I607" s="117">
        <f>I566</f>
        <v>24294.980000000003</v>
      </c>
      <c r="J607" s="78"/>
    </row>
    <row r="608" spans="2:10">
      <c r="B608" s="26" t="s">
        <v>1186</v>
      </c>
      <c r="H608" s="171" t="s">
        <v>1698</v>
      </c>
      <c r="I608" s="117">
        <f>I583</f>
        <v>62095.6</v>
      </c>
      <c r="J608" s="78"/>
    </row>
    <row r="609" spans="1:10">
      <c r="B609" s="26" t="s">
        <v>2660</v>
      </c>
      <c r="H609" s="171" t="s">
        <v>1698</v>
      </c>
      <c r="I609" s="85">
        <f>I600</f>
        <v>32725.8</v>
      </c>
      <c r="J609" s="78"/>
    </row>
    <row r="610" spans="1:10">
      <c r="G610" s="171" t="s">
        <v>1518</v>
      </c>
      <c r="H610" s="171" t="s">
        <v>1698</v>
      </c>
      <c r="I610" s="130">
        <f>SUM(I607:I609)</f>
        <v>119116.38</v>
      </c>
      <c r="J610" s="78"/>
    </row>
    <row r="611" spans="1:10" ht="18.75">
      <c r="B611" s="1207" t="s">
        <v>8375</v>
      </c>
      <c r="C611" s="1207"/>
      <c r="D611" s="1207"/>
      <c r="E611" s="1207"/>
      <c r="F611" s="1207"/>
      <c r="G611" s="922">
        <f>'BASIC DATA'!$C$577</f>
        <v>0.13614999999999999</v>
      </c>
      <c r="H611" s="171" t="s">
        <v>4108</v>
      </c>
      <c r="I611" s="76">
        <f>ROUND(I610*G611,2)</f>
        <v>16217.7</v>
      </c>
      <c r="J611" s="78"/>
    </row>
    <row r="612" spans="1:10">
      <c r="B612" s="1206" t="s">
        <v>1191</v>
      </c>
      <c r="C612" s="1206"/>
      <c r="D612" s="1206"/>
      <c r="E612" s="1206"/>
      <c r="F612" s="202">
        <f>H555</f>
        <v>320</v>
      </c>
      <c r="G612" s="171" t="str">
        <f>I555</f>
        <v xml:space="preserve"> cum</v>
      </c>
      <c r="H612" s="171" t="s">
        <v>1698</v>
      </c>
      <c r="I612" s="199">
        <f>I611+I610</f>
        <v>135334.08000000002</v>
      </c>
      <c r="J612" s="78"/>
    </row>
    <row r="613" spans="1:10">
      <c r="B613" s="1161" t="s">
        <v>3884</v>
      </c>
      <c r="C613" s="1161"/>
      <c r="D613" s="1161"/>
      <c r="E613" s="203" t="str">
        <f>G612</f>
        <v xml:space="preserve"> cum</v>
      </c>
      <c r="F613" s="26" t="s">
        <v>1383</v>
      </c>
      <c r="H613" s="171" t="s">
        <v>1698</v>
      </c>
      <c r="I613" s="204">
        <f>ROUND(I612/F612,1)</f>
        <v>422.9</v>
      </c>
      <c r="J613" s="78"/>
    </row>
    <row r="614" spans="1:10">
      <c r="H614" s="171"/>
      <c r="I614" s="171"/>
      <c r="J614" s="78"/>
    </row>
    <row r="615" spans="1:10">
      <c r="H615" s="27"/>
      <c r="I615" s="171"/>
      <c r="J615" s="78"/>
    </row>
    <row r="616" spans="1:10" ht="18.75">
      <c r="A616" s="822" t="s">
        <v>7045</v>
      </c>
      <c r="B616" s="26" t="s">
        <v>8384</v>
      </c>
      <c r="J616" s="78"/>
    </row>
    <row r="617" spans="1:10">
      <c r="A617" s="822" t="s">
        <v>2047</v>
      </c>
      <c r="B617" s="26" t="s">
        <v>8385</v>
      </c>
      <c r="J617" s="78"/>
    </row>
    <row r="618" spans="1:10">
      <c r="B618" s="26" t="s">
        <v>2240</v>
      </c>
      <c r="J618" s="78"/>
    </row>
    <row r="619" spans="1:10">
      <c r="B619" s="26" t="s">
        <v>2045</v>
      </c>
      <c r="J619" s="78"/>
    </row>
    <row r="620" spans="1:10">
      <c r="B620" s="26" t="s">
        <v>2046</v>
      </c>
      <c r="J620" s="78"/>
    </row>
    <row r="621" spans="1:10">
      <c r="B621" s="170" t="s">
        <v>5287</v>
      </c>
      <c r="J621" s="78"/>
    </row>
    <row r="622" spans="1:10" hidden="1">
      <c r="A622" s="822" t="s">
        <v>3984</v>
      </c>
      <c r="B622" s="26" t="s">
        <v>2048</v>
      </c>
      <c r="J622" s="78"/>
    </row>
    <row r="623" spans="1:10" hidden="1">
      <c r="B623" s="26" t="s">
        <v>3780</v>
      </c>
      <c r="J623" s="78"/>
    </row>
    <row r="624" spans="1:10" hidden="1">
      <c r="B624" s="26" t="s">
        <v>3711</v>
      </c>
      <c r="J624" s="78"/>
    </row>
    <row r="625" spans="2:10" hidden="1">
      <c r="B625" s="26" t="s">
        <v>3712</v>
      </c>
      <c r="J625" s="78"/>
    </row>
    <row r="626" spans="2:10" hidden="1">
      <c r="B626" s="26" t="s">
        <v>3713</v>
      </c>
      <c r="J626" s="78"/>
    </row>
    <row r="627" spans="2:10" hidden="1">
      <c r="B627" s="26" t="s">
        <v>1775</v>
      </c>
      <c r="J627" s="78"/>
    </row>
    <row r="628" spans="2:10" hidden="1">
      <c r="B628" s="26" t="s">
        <v>3714</v>
      </c>
      <c r="J628" s="78"/>
    </row>
    <row r="629" spans="2:10" hidden="1">
      <c r="B629" s="26" t="s">
        <v>6518</v>
      </c>
      <c r="J629" s="78"/>
    </row>
    <row r="630" spans="2:10" hidden="1">
      <c r="B630" s="26" t="s">
        <v>6519</v>
      </c>
      <c r="J630" s="78"/>
    </row>
    <row r="631" spans="2:10" hidden="1">
      <c r="B631" s="26" t="s">
        <v>6520</v>
      </c>
      <c r="J631" s="78"/>
    </row>
    <row r="632" spans="2:10" hidden="1">
      <c r="B632" s="26" t="s">
        <v>4347</v>
      </c>
      <c r="J632" s="78"/>
    </row>
    <row r="633" spans="2:10" hidden="1">
      <c r="B633" s="26" t="s">
        <v>432</v>
      </c>
      <c r="J633" s="78"/>
    </row>
    <row r="634" spans="2:10" hidden="1">
      <c r="B634" s="26" t="s">
        <v>3740</v>
      </c>
      <c r="J634" s="78"/>
    </row>
    <row r="635" spans="2:10" hidden="1">
      <c r="B635" s="26" t="s">
        <v>7118</v>
      </c>
      <c r="J635" s="78"/>
    </row>
    <row r="636" spans="2:10" hidden="1">
      <c r="B636" s="26" t="s">
        <v>4345</v>
      </c>
      <c r="J636" s="78"/>
    </row>
    <row r="637" spans="2:10" hidden="1">
      <c r="B637" s="26" t="s">
        <v>4346</v>
      </c>
      <c r="J637" s="78"/>
    </row>
    <row r="638" spans="2:10" hidden="1">
      <c r="B638" s="26" t="s">
        <v>4400</v>
      </c>
      <c r="G638" s="171" t="s">
        <v>1697</v>
      </c>
      <c r="H638" s="68">
        <v>1</v>
      </c>
      <c r="I638" s="26" t="s">
        <v>2602</v>
      </c>
      <c r="J638" s="78"/>
    </row>
    <row r="639" spans="2:10" hidden="1">
      <c r="B639" s="26" t="s">
        <v>4401</v>
      </c>
      <c r="G639" s="171" t="s">
        <v>1697</v>
      </c>
      <c r="H639" s="68">
        <v>1.2</v>
      </c>
      <c r="I639" s="26" t="s">
        <v>2602</v>
      </c>
      <c r="J639" s="78"/>
    </row>
    <row r="640" spans="2:10" hidden="1">
      <c r="B640" s="26" t="s">
        <v>1755</v>
      </c>
      <c r="G640" s="171" t="s">
        <v>1697</v>
      </c>
      <c r="H640" s="171" t="s">
        <v>4402</v>
      </c>
      <c r="I640" s="26" t="s">
        <v>2602</v>
      </c>
      <c r="J640" s="78"/>
    </row>
    <row r="641" spans="2:10" hidden="1">
      <c r="B641" s="26" t="s">
        <v>3741</v>
      </c>
      <c r="G641" s="171" t="s">
        <v>1697</v>
      </c>
      <c r="H641" s="68">
        <v>0.9</v>
      </c>
      <c r="I641" s="26" t="s">
        <v>2602</v>
      </c>
      <c r="J641" s="78"/>
    </row>
    <row r="642" spans="2:10" hidden="1">
      <c r="B642" s="26" t="s">
        <v>3742</v>
      </c>
      <c r="G642" s="171" t="s">
        <v>1697</v>
      </c>
      <c r="H642" s="68">
        <v>0.8</v>
      </c>
      <c r="I642" s="26" t="s">
        <v>2602</v>
      </c>
      <c r="J642" s="78"/>
    </row>
    <row r="643" spans="2:10" hidden="1">
      <c r="B643" s="26" t="s">
        <v>4418</v>
      </c>
      <c r="G643" s="171" t="s">
        <v>1697</v>
      </c>
      <c r="H643" s="68">
        <v>8</v>
      </c>
      <c r="I643" s="26" t="s">
        <v>2602</v>
      </c>
      <c r="J643" s="78"/>
    </row>
    <row r="644" spans="2:10" hidden="1">
      <c r="B644" s="26" t="s">
        <v>7077</v>
      </c>
      <c r="G644" s="171"/>
      <c r="J644" s="78"/>
    </row>
    <row r="645" spans="2:10" hidden="1">
      <c r="B645" s="26" t="s">
        <v>7078</v>
      </c>
      <c r="G645" s="171" t="s">
        <v>1697</v>
      </c>
      <c r="H645" s="68">
        <v>480</v>
      </c>
      <c r="I645" s="26" t="s">
        <v>3477</v>
      </c>
      <c r="J645" s="78"/>
    </row>
    <row r="646" spans="2:10" hidden="1">
      <c r="B646" s="26" t="s">
        <v>7079</v>
      </c>
      <c r="G646" s="171" t="s">
        <v>1697</v>
      </c>
      <c r="H646" s="68">
        <v>500</v>
      </c>
      <c r="I646" s="26" t="s">
        <v>2059</v>
      </c>
      <c r="J646" s="78"/>
    </row>
    <row r="647" spans="2:10" hidden="1">
      <c r="B647" s="26" t="s">
        <v>7080</v>
      </c>
      <c r="G647" s="171" t="s">
        <v>1697</v>
      </c>
      <c r="H647" s="68">
        <v>450</v>
      </c>
      <c r="I647" s="26" t="s">
        <v>2602</v>
      </c>
      <c r="J647" s="78"/>
    </row>
    <row r="648" spans="2:10" hidden="1">
      <c r="B648" s="26" t="s">
        <v>7081</v>
      </c>
      <c r="G648" s="171" t="s">
        <v>1697</v>
      </c>
      <c r="H648" s="68">
        <v>14</v>
      </c>
      <c r="I648" s="26" t="s">
        <v>2602</v>
      </c>
      <c r="J648" s="78"/>
    </row>
    <row r="649" spans="2:10" hidden="1">
      <c r="F649" s="26" t="s">
        <v>1518</v>
      </c>
      <c r="G649" s="171" t="s">
        <v>1697</v>
      </c>
      <c r="H649" s="68">
        <v>464</v>
      </c>
      <c r="I649" s="26" t="s">
        <v>2602</v>
      </c>
      <c r="J649" s="78"/>
    </row>
    <row r="650" spans="2:10" hidden="1">
      <c r="B650" s="26" t="s">
        <v>4619</v>
      </c>
      <c r="G650" s="171" t="s">
        <v>1697</v>
      </c>
      <c r="H650" s="68">
        <v>32</v>
      </c>
      <c r="I650" s="26" t="s">
        <v>2602</v>
      </c>
      <c r="J650" s="78"/>
    </row>
    <row r="651" spans="2:10" hidden="1">
      <c r="B651" s="26" t="s">
        <v>4620</v>
      </c>
      <c r="G651" s="171" t="s">
        <v>1697</v>
      </c>
      <c r="H651" s="68">
        <v>14.5</v>
      </c>
      <c r="I651" s="26" t="s">
        <v>4665</v>
      </c>
      <c r="J651" s="78"/>
    </row>
    <row r="652" spans="2:10" hidden="1">
      <c r="B652" s="26" t="s">
        <v>185</v>
      </c>
      <c r="J652" s="78"/>
    </row>
    <row r="653" spans="2:10" hidden="1">
      <c r="B653" s="26" t="s">
        <v>186</v>
      </c>
      <c r="J653" s="78"/>
    </row>
    <row r="654" spans="2:10" hidden="1">
      <c r="B654" s="26" t="s">
        <v>3629</v>
      </c>
      <c r="G654" s="171" t="s">
        <v>1697</v>
      </c>
      <c r="H654" s="68">
        <v>144</v>
      </c>
      <c r="I654" s="26" t="s">
        <v>3478</v>
      </c>
      <c r="J654" s="78"/>
    </row>
    <row r="655" spans="2:10" hidden="1">
      <c r="B655" s="26" t="s">
        <v>3630</v>
      </c>
      <c r="G655" s="171" t="s">
        <v>1697</v>
      </c>
      <c r="H655" s="68">
        <v>5</v>
      </c>
      <c r="I655" s="26" t="s">
        <v>3478</v>
      </c>
      <c r="J655" s="78"/>
    </row>
    <row r="656" spans="2:10" hidden="1">
      <c r="F656" s="26" t="s">
        <v>1518</v>
      </c>
      <c r="G656" s="171" t="s">
        <v>1697</v>
      </c>
      <c r="H656" s="68">
        <v>149</v>
      </c>
      <c r="I656" s="26" t="s">
        <v>3478</v>
      </c>
      <c r="J656" s="78"/>
    </row>
    <row r="657" spans="2:10" hidden="1">
      <c r="B657" s="26" t="s">
        <v>3631</v>
      </c>
      <c r="G657" s="171" t="s">
        <v>1697</v>
      </c>
      <c r="H657" s="68">
        <v>23</v>
      </c>
      <c r="I657" s="26" t="s">
        <v>2059</v>
      </c>
      <c r="J657" s="78"/>
    </row>
    <row r="658" spans="2:10" hidden="1">
      <c r="B658" s="26" t="s">
        <v>3880</v>
      </c>
      <c r="G658" s="171" t="s">
        <v>1697</v>
      </c>
      <c r="H658" s="68">
        <v>23</v>
      </c>
      <c r="I658" s="26" t="s">
        <v>2059</v>
      </c>
      <c r="J658" s="78"/>
    </row>
    <row r="659" spans="2:10" hidden="1">
      <c r="B659" s="26" t="s">
        <v>3632</v>
      </c>
      <c r="G659" s="171" t="s">
        <v>1697</v>
      </c>
      <c r="H659" s="68">
        <v>500</v>
      </c>
      <c r="I659" s="26" t="s">
        <v>2059</v>
      </c>
      <c r="J659" s="78"/>
    </row>
    <row r="660" spans="2:10" hidden="1">
      <c r="B660" s="26" t="s">
        <v>5703</v>
      </c>
      <c r="G660" s="171" t="s">
        <v>1697</v>
      </c>
      <c r="H660" s="68">
        <v>700</v>
      </c>
      <c r="I660" s="26" t="s">
        <v>3483</v>
      </c>
      <c r="J660" s="78"/>
    </row>
    <row r="661" spans="2:10" hidden="1">
      <c r="B661" s="26" t="s">
        <v>5959</v>
      </c>
      <c r="G661" s="171"/>
      <c r="J661" s="78"/>
    </row>
    <row r="662" spans="2:10" hidden="1">
      <c r="B662" s="26" t="s">
        <v>602</v>
      </c>
      <c r="G662" s="171" t="s">
        <v>1697</v>
      </c>
      <c r="H662" s="26">
        <v>0.85</v>
      </c>
      <c r="I662" s="26" t="s">
        <v>3477</v>
      </c>
      <c r="J662" s="78"/>
    </row>
    <row r="663" spans="2:10" hidden="1">
      <c r="B663" s="26" t="s">
        <v>603</v>
      </c>
      <c r="G663" s="171" t="s">
        <v>1697</v>
      </c>
      <c r="H663" s="68">
        <v>1</v>
      </c>
      <c r="I663" s="26" t="s">
        <v>3477</v>
      </c>
      <c r="J663" s="78"/>
    </row>
    <row r="664" spans="2:10" hidden="1">
      <c r="B664" s="26" t="s">
        <v>2981</v>
      </c>
      <c r="G664" s="171" t="s">
        <v>1697</v>
      </c>
      <c r="H664" s="68">
        <v>5</v>
      </c>
      <c r="I664" s="26" t="s">
        <v>3477</v>
      </c>
      <c r="J664" s="78"/>
    </row>
    <row r="665" spans="2:10" hidden="1">
      <c r="B665" s="26" t="s">
        <v>2543</v>
      </c>
      <c r="G665" s="171" t="s">
        <v>2982</v>
      </c>
      <c r="H665" s="68">
        <v>1</v>
      </c>
      <c r="I665" s="26" t="s">
        <v>3430</v>
      </c>
      <c r="J665" s="78"/>
    </row>
    <row r="666" spans="2:10" hidden="1">
      <c r="B666" s="26" t="s">
        <v>4171</v>
      </c>
      <c r="G666" s="171" t="s">
        <v>1697</v>
      </c>
      <c r="H666" s="68">
        <v>15</v>
      </c>
      <c r="I666" s="26" t="s">
        <v>6703</v>
      </c>
      <c r="J666" s="78"/>
    </row>
    <row r="667" spans="2:10" hidden="1">
      <c r="B667" s="26" t="s">
        <v>3736</v>
      </c>
      <c r="G667" s="171" t="s">
        <v>1697</v>
      </c>
      <c r="H667" s="68">
        <v>20</v>
      </c>
      <c r="I667" s="26" t="s">
        <v>6703</v>
      </c>
      <c r="J667" s="78"/>
    </row>
    <row r="668" spans="2:10" hidden="1">
      <c r="B668" s="26" t="s">
        <v>3985</v>
      </c>
      <c r="G668" s="171" t="s">
        <v>1697</v>
      </c>
      <c r="H668" s="68">
        <v>2</v>
      </c>
      <c r="I668" s="26" t="s">
        <v>2603</v>
      </c>
      <c r="J668" s="78"/>
    </row>
    <row r="669" spans="2:10" hidden="1">
      <c r="B669" s="26" t="s">
        <v>4030</v>
      </c>
      <c r="G669" s="171" t="s">
        <v>1697</v>
      </c>
      <c r="H669" s="68">
        <v>45</v>
      </c>
      <c r="I669" s="26" t="s">
        <v>3434</v>
      </c>
      <c r="J669" s="78"/>
    </row>
    <row r="670" spans="2:10" hidden="1">
      <c r="B670" s="26" t="s">
        <v>3799</v>
      </c>
      <c r="G670" s="171" t="s">
        <v>1697</v>
      </c>
      <c r="H670" s="68">
        <v>0.71</v>
      </c>
      <c r="I670" s="26" t="s">
        <v>6901</v>
      </c>
      <c r="J670" s="78"/>
    </row>
    <row r="671" spans="2:10" hidden="1">
      <c r="B671" s="26" t="s">
        <v>3633</v>
      </c>
      <c r="G671" s="171" t="s">
        <v>1697</v>
      </c>
      <c r="H671" s="68">
        <v>3.57</v>
      </c>
      <c r="I671" s="26" t="s">
        <v>6901</v>
      </c>
      <c r="J671" s="78"/>
    </row>
    <row r="672" spans="2:10" hidden="1">
      <c r="B672" s="26" t="s">
        <v>6136</v>
      </c>
      <c r="G672" s="171" t="s">
        <v>1697</v>
      </c>
      <c r="H672" s="68">
        <v>5</v>
      </c>
      <c r="I672" s="26" t="s">
        <v>3435</v>
      </c>
      <c r="J672" s="78"/>
    </row>
    <row r="673" spans="2:10" hidden="1">
      <c r="B673" s="26" t="s">
        <v>3803</v>
      </c>
      <c r="G673" s="171" t="s">
        <v>1697</v>
      </c>
      <c r="H673" s="68">
        <v>3.75</v>
      </c>
      <c r="I673" s="26" t="s">
        <v>1433</v>
      </c>
      <c r="J673" s="78"/>
    </row>
    <row r="674" spans="2:10" hidden="1">
      <c r="B674" s="26" t="s">
        <v>6936</v>
      </c>
      <c r="G674" s="171"/>
      <c r="J674" s="78"/>
    </row>
    <row r="675" spans="2:10" hidden="1">
      <c r="B675" s="26" t="s">
        <v>6937</v>
      </c>
      <c r="G675" s="171"/>
      <c r="J675" s="78"/>
    </row>
    <row r="676" spans="2:10" hidden="1">
      <c r="B676" s="26" t="s">
        <v>1903</v>
      </c>
      <c r="G676" s="171"/>
      <c r="J676" s="78"/>
    </row>
    <row r="677" spans="2:10" hidden="1">
      <c r="B677" s="26" t="s">
        <v>187</v>
      </c>
      <c r="G677" s="171"/>
      <c r="J677" s="78"/>
    </row>
    <row r="678" spans="2:10" hidden="1">
      <c r="B678" s="26" t="s">
        <v>1411</v>
      </c>
      <c r="G678" s="171"/>
      <c r="J678" s="78"/>
    </row>
    <row r="679" spans="2:10" hidden="1">
      <c r="B679" s="26" t="s">
        <v>2552</v>
      </c>
      <c r="G679" s="171" t="s">
        <v>1697</v>
      </c>
      <c r="H679" s="68">
        <v>4.5</v>
      </c>
      <c r="I679" s="26" t="s">
        <v>2603</v>
      </c>
      <c r="J679" s="78"/>
    </row>
    <row r="680" spans="2:10" hidden="1">
      <c r="B680" s="26" t="s">
        <v>5359</v>
      </c>
      <c r="G680" s="171" t="s">
        <v>1697</v>
      </c>
      <c r="H680" s="68"/>
      <c r="J680" s="78"/>
    </row>
    <row r="681" spans="2:10" hidden="1">
      <c r="B681" s="26" t="s">
        <v>624</v>
      </c>
      <c r="G681" s="171" t="s">
        <v>1697</v>
      </c>
      <c r="H681" s="68">
        <v>4.5</v>
      </c>
      <c r="I681" s="26" t="s">
        <v>1433</v>
      </c>
      <c r="J681" s="78"/>
    </row>
    <row r="682" spans="2:10" hidden="1">
      <c r="B682" s="26" t="s">
        <v>762</v>
      </c>
      <c r="G682" s="171" t="s">
        <v>1697</v>
      </c>
      <c r="H682" s="68">
        <v>4</v>
      </c>
      <c r="I682" s="26" t="s">
        <v>1433</v>
      </c>
      <c r="J682" s="78"/>
    </row>
    <row r="683" spans="2:10" hidden="1">
      <c r="B683" s="26" t="s">
        <v>705</v>
      </c>
      <c r="G683" s="171" t="s">
        <v>1697</v>
      </c>
      <c r="H683" s="68">
        <v>2</v>
      </c>
      <c r="I683" s="26" t="s">
        <v>1433</v>
      </c>
      <c r="J683" s="78"/>
    </row>
    <row r="684" spans="2:10" hidden="1">
      <c r="B684" s="26" t="s">
        <v>3918</v>
      </c>
      <c r="G684" s="171" t="s">
        <v>1697</v>
      </c>
      <c r="H684" s="68">
        <v>3</v>
      </c>
      <c r="I684" s="26" t="s">
        <v>1433</v>
      </c>
      <c r="J684" s="78"/>
    </row>
    <row r="685" spans="2:10" hidden="1">
      <c r="B685" s="26" t="s">
        <v>263</v>
      </c>
      <c r="G685" s="171" t="s">
        <v>1697</v>
      </c>
      <c r="H685" s="68">
        <v>0.5</v>
      </c>
      <c r="I685" s="26" t="s">
        <v>1433</v>
      </c>
      <c r="J685" s="78"/>
    </row>
    <row r="686" spans="2:10" hidden="1">
      <c r="F686" s="26" t="s">
        <v>1518</v>
      </c>
      <c r="G686" s="171" t="s">
        <v>1697</v>
      </c>
      <c r="H686" s="68">
        <v>14</v>
      </c>
      <c r="I686" s="26" t="s">
        <v>2603</v>
      </c>
      <c r="J686" s="78"/>
    </row>
    <row r="687" spans="2:10" hidden="1">
      <c r="B687" s="26" t="s">
        <v>5333</v>
      </c>
      <c r="G687" s="171" t="s">
        <v>1697</v>
      </c>
      <c r="H687" s="26">
        <v>3</v>
      </c>
      <c r="I687" s="26" t="s">
        <v>2059</v>
      </c>
      <c r="J687" s="78"/>
    </row>
    <row r="688" spans="2:10" hidden="1">
      <c r="B688" s="26" t="s">
        <v>5334</v>
      </c>
      <c r="G688" s="171"/>
      <c r="H688" s="26">
        <v>12.75</v>
      </c>
      <c r="I688" s="26" t="s">
        <v>3477</v>
      </c>
      <c r="J688" s="78"/>
    </row>
    <row r="689" spans="2:10" hidden="1">
      <c r="B689" s="26" t="s">
        <v>5360</v>
      </c>
      <c r="G689" s="171" t="s">
        <v>1697</v>
      </c>
      <c r="H689" s="26">
        <v>38.25</v>
      </c>
      <c r="I689" s="26" t="s">
        <v>3477</v>
      </c>
      <c r="J689" s="78"/>
    </row>
    <row r="690" spans="2:10" hidden="1">
      <c r="B690" s="26" t="s">
        <v>2184</v>
      </c>
      <c r="J690" s="78"/>
    </row>
    <row r="691" spans="2:10" hidden="1">
      <c r="B691" s="26" t="s">
        <v>2185</v>
      </c>
      <c r="J691" s="78"/>
    </row>
    <row r="692" spans="2:10" hidden="1">
      <c r="B692" s="26" t="s">
        <v>2186</v>
      </c>
      <c r="H692" s="68">
        <v>456</v>
      </c>
      <c r="I692" s="26" t="s">
        <v>5336</v>
      </c>
      <c r="J692" s="78"/>
    </row>
    <row r="693" spans="2:10" hidden="1">
      <c r="B693" s="26" t="s">
        <v>5361</v>
      </c>
      <c r="H693" s="26">
        <v>456</v>
      </c>
      <c r="I693" s="26" t="s">
        <v>6714</v>
      </c>
      <c r="J693" s="78"/>
    </row>
    <row r="694" spans="2:10" hidden="1">
      <c r="B694" s="26" t="s">
        <v>827</v>
      </c>
      <c r="J694" s="78"/>
    </row>
    <row r="695" spans="2:10" hidden="1">
      <c r="B695" s="26" t="s">
        <v>828</v>
      </c>
      <c r="J695" s="78"/>
    </row>
    <row r="696" spans="2:10" hidden="1">
      <c r="B696" s="26" t="s">
        <v>3296</v>
      </c>
      <c r="J696" s="78"/>
    </row>
    <row r="697" spans="2:10" hidden="1">
      <c r="B697" s="26" t="s">
        <v>4175</v>
      </c>
      <c r="J697" s="78"/>
    </row>
    <row r="698" spans="2:10" hidden="1">
      <c r="B698" s="26" t="s">
        <v>4176</v>
      </c>
      <c r="J698" s="78"/>
    </row>
    <row r="699" spans="2:10" hidden="1">
      <c r="B699" s="26" t="s">
        <v>2548</v>
      </c>
      <c r="J699" s="78"/>
    </row>
    <row r="700" spans="2:10" hidden="1">
      <c r="B700" s="26" t="s">
        <v>829</v>
      </c>
      <c r="J700" s="78"/>
    </row>
    <row r="701" spans="2:10" hidden="1">
      <c r="B701" s="26" t="s">
        <v>830</v>
      </c>
      <c r="J701" s="78"/>
    </row>
    <row r="702" spans="2:10" hidden="1">
      <c r="B702" s="26" t="s">
        <v>831</v>
      </c>
      <c r="J702" s="78"/>
    </row>
    <row r="703" spans="2:10" hidden="1">
      <c r="B703" s="26" t="s">
        <v>4177</v>
      </c>
      <c r="G703" s="171" t="s">
        <v>1697</v>
      </c>
      <c r="H703" s="68">
        <v>600</v>
      </c>
      <c r="I703" s="26" t="s">
        <v>3479</v>
      </c>
      <c r="J703" s="78"/>
    </row>
    <row r="704" spans="2:10" hidden="1">
      <c r="B704" s="26" t="s">
        <v>6331</v>
      </c>
      <c r="G704" s="171" t="s">
        <v>1697</v>
      </c>
      <c r="H704" s="68">
        <v>60</v>
      </c>
      <c r="I704" s="26" t="s">
        <v>3883</v>
      </c>
      <c r="J704" s="78"/>
    </row>
    <row r="705" spans="2:10" hidden="1">
      <c r="B705" s="26" t="s">
        <v>6332</v>
      </c>
      <c r="G705" s="171" t="s">
        <v>1697</v>
      </c>
      <c r="H705" s="68">
        <v>55</v>
      </c>
      <c r="I705" s="26" t="s">
        <v>3883</v>
      </c>
      <c r="J705" s="78"/>
    </row>
    <row r="706" spans="2:10" hidden="1">
      <c r="F706" s="26" t="s">
        <v>1518</v>
      </c>
      <c r="G706" s="171" t="s">
        <v>1697</v>
      </c>
      <c r="H706" s="68">
        <v>715</v>
      </c>
      <c r="I706" s="26" t="s">
        <v>3479</v>
      </c>
      <c r="J706" s="78"/>
    </row>
    <row r="707" spans="2:10" hidden="1">
      <c r="B707" s="26" t="s">
        <v>6333</v>
      </c>
      <c r="G707" s="171" t="s">
        <v>1697</v>
      </c>
      <c r="H707" s="68">
        <v>500</v>
      </c>
      <c r="I707" s="26" t="s">
        <v>4041</v>
      </c>
      <c r="J707" s="78"/>
    </row>
    <row r="708" spans="2:10" hidden="1">
      <c r="B708" s="26" t="s">
        <v>6334</v>
      </c>
      <c r="G708" s="171" t="s">
        <v>1697</v>
      </c>
      <c r="H708" s="68">
        <v>80</v>
      </c>
      <c r="I708" s="26" t="s">
        <v>4041</v>
      </c>
      <c r="J708" s="78"/>
    </row>
    <row r="709" spans="2:10" hidden="1">
      <c r="F709" s="26" t="s">
        <v>1518</v>
      </c>
      <c r="G709" s="171" t="s">
        <v>1697</v>
      </c>
      <c r="H709" s="68">
        <v>580</v>
      </c>
      <c r="I709" s="26" t="s">
        <v>3436</v>
      </c>
      <c r="J709" s="78"/>
    </row>
    <row r="710" spans="2:10" hidden="1">
      <c r="B710" s="26" t="s">
        <v>6446</v>
      </c>
      <c r="G710" s="171"/>
      <c r="J710" s="78"/>
    </row>
    <row r="711" spans="2:10" hidden="1">
      <c r="B711" s="26" t="s">
        <v>2366</v>
      </c>
      <c r="G711" s="171"/>
      <c r="J711" s="78"/>
    </row>
    <row r="712" spans="2:10" hidden="1">
      <c r="B712" s="26" t="s">
        <v>288</v>
      </c>
      <c r="F712" s="68">
        <f>'BASIC DATA'!$D$307</f>
        <v>4028</v>
      </c>
      <c r="G712" s="171" t="s">
        <v>1698</v>
      </c>
      <c r="H712" s="68">
        <f>F712</f>
        <v>4028</v>
      </c>
      <c r="J712" s="78"/>
    </row>
    <row r="713" spans="2:10" hidden="1">
      <c r="B713" s="26" t="s">
        <v>99</v>
      </c>
      <c r="G713" s="171" t="s">
        <v>1697</v>
      </c>
      <c r="H713" s="68">
        <v>150</v>
      </c>
      <c r="I713" s="26" t="s">
        <v>2602</v>
      </c>
      <c r="J713" s="78"/>
    </row>
    <row r="714" spans="2:10" hidden="1">
      <c r="B714" s="26" t="s">
        <v>6834</v>
      </c>
      <c r="G714" s="171" t="s">
        <v>1698</v>
      </c>
      <c r="H714" s="68">
        <f>H712/H713</f>
        <v>26.853333333333332</v>
      </c>
      <c r="J714" s="78"/>
    </row>
    <row r="715" spans="2:10" hidden="1">
      <c r="B715" s="26" t="s">
        <v>7594</v>
      </c>
      <c r="G715" s="171" t="s">
        <v>1697</v>
      </c>
      <c r="H715" s="68">
        <v>50</v>
      </c>
      <c r="I715" s="26" t="s">
        <v>2602</v>
      </c>
      <c r="J715" s="78"/>
    </row>
    <row r="716" spans="2:10" hidden="1">
      <c r="B716" s="26" t="s">
        <v>5135</v>
      </c>
      <c r="F716" s="68">
        <f>'BASIC DATA'!$D$344</f>
        <v>185</v>
      </c>
      <c r="G716" s="171" t="s">
        <v>1698</v>
      </c>
      <c r="H716" s="68">
        <f>F716*H715</f>
        <v>9250</v>
      </c>
      <c r="J716" s="78"/>
    </row>
    <row r="717" spans="2:10" hidden="1">
      <c r="B717" s="26" t="s">
        <v>5152</v>
      </c>
      <c r="G717" s="171" t="s">
        <v>1697</v>
      </c>
      <c r="H717" s="68">
        <v>800</v>
      </c>
      <c r="I717" s="26" t="s">
        <v>4665</v>
      </c>
      <c r="J717" s="78"/>
    </row>
    <row r="718" spans="2:10" hidden="1">
      <c r="B718" s="26" t="s">
        <v>6713</v>
      </c>
      <c r="G718" s="171" t="s">
        <v>1698</v>
      </c>
      <c r="H718" s="68">
        <f>H716/H717</f>
        <v>11.5625</v>
      </c>
      <c r="J718" s="78"/>
    </row>
    <row r="719" spans="2:10" hidden="1">
      <c r="B719" s="26" t="s">
        <v>5136</v>
      </c>
      <c r="F719" s="68">
        <f>'BASIC DATA'!$D$112</f>
        <v>235</v>
      </c>
      <c r="G719" s="171" t="s">
        <v>1698</v>
      </c>
      <c r="H719" s="68">
        <f>F719</f>
        <v>235</v>
      </c>
      <c r="J719" s="78"/>
    </row>
    <row r="720" spans="2:10" hidden="1">
      <c r="B720" s="26" t="s">
        <v>5137</v>
      </c>
      <c r="F720" s="201">
        <v>0.1</v>
      </c>
      <c r="G720" s="171"/>
      <c r="H720" s="68">
        <f>H719*F720</f>
        <v>23.5</v>
      </c>
      <c r="J720" s="78"/>
    </row>
    <row r="721" spans="1:10" hidden="1">
      <c r="F721" s="26" t="s">
        <v>1518</v>
      </c>
      <c r="G721" s="171" t="s">
        <v>1698</v>
      </c>
      <c r="H721" s="68">
        <f>H719-H720</f>
        <v>211.5</v>
      </c>
      <c r="J721" s="78"/>
    </row>
    <row r="722" spans="1:10" hidden="1">
      <c r="B722" s="26" t="s">
        <v>5138</v>
      </c>
      <c r="F722" s="201">
        <v>0.25</v>
      </c>
      <c r="G722" s="171" t="s">
        <v>1698</v>
      </c>
      <c r="H722" s="68">
        <f>H721*F722</f>
        <v>52.875</v>
      </c>
      <c r="J722" s="78"/>
    </row>
    <row r="723" spans="1:10" hidden="1">
      <c r="F723" s="26" t="s">
        <v>1518</v>
      </c>
      <c r="G723" s="171" t="s">
        <v>1698</v>
      </c>
      <c r="H723" s="68">
        <f>SUM(H720:H722)</f>
        <v>287.875</v>
      </c>
      <c r="J723" s="78"/>
    </row>
    <row r="724" spans="1:10" hidden="1">
      <c r="B724" s="26" t="s">
        <v>1763</v>
      </c>
      <c r="G724" s="171" t="s">
        <v>1697</v>
      </c>
      <c r="H724" s="68">
        <v>4</v>
      </c>
      <c r="I724" s="26" t="s">
        <v>3039</v>
      </c>
      <c r="J724" s="78"/>
    </row>
    <row r="725" spans="1:10" hidden="1">
      <c r="B725" s="26" t="s">
        <v>6335</v>
      </c>
      <c r="G725" s="171" t="s">
        <v>1698</v>
      </c>
      <c r="H725" s="68">
        <f>H723/H724</f>
        <v>71.96875</v>
      </c>
      <c r="J725" s="78"/>
    </row>
    <row r="726" spans="1:10" hidden="1">
      <c r="B726" s="26" t="s">
        <v>5139</v>
      </c>
      <c r="F726" s="68">
        <f>'BASIC DATA'!$D$51</f>
        <v>5</v>
      </c>
      <c r="G726" s="171" t="s">
        <v>1698</v>
      </c>
      <c r="H726" s="68">
        <f>F726</f>
        <v>5</v>
      </c>
      <c r="J726" s="78"/>
    </row>
    <row r="727" spans="1:10" hidden="1">
      <c r="B727" s="26" t="s">
        <v>400</v>
      </c>
      <c r="F727" s="68">
        <f>'BASIC DATA'!$D$56</f>
        <v>95</v>
      </c>
      <c r="G727" s="171" t="s">
        <v>1698</v>
      </c>
      <c r="H727" s="68">
        <f>0.025*F727</f>
        <v>2.375</v>
      </c>
      <c r="J727" s="78"/>
    </row>
    <row r="728" spans="1:10" hidden="1">
      <c r="A728" s="853"/>
      <c r="B728" s="61" t="s">
        <v>6336</v>
      </c>
      <c r="C728" s="125"/>
      <c r="D728" s="61"/>
      <c r="E728" s="61"/>
      <c r="F728" s="61"/>
      <c r="G728" s="222" t="s">
        <v>1698</v>
      </c>
      <c r="H728" s="223">
        <f>(abs_leadcharges!$D$61+abs_leadcharges!$D$75+abs_leadcharges!$D$76)</f>
        <v>57.449999999999996</v>
      </c>
      <c r="I728" s="61"/>
      <c r="J728" s="78"/>
    </row>
    <row r="729" spans="1:10" hidden="1">
      <c r="B729" s="26" t="s">
        <v>5740</v>
      </c>
      <c r="G729" s="171" t="s">
        <v>1698</v>
      </c>
      <c r="H729" s="68">
        <f>2*'BASIC DATA'!$C$552/100</f>
        <v>7</v>
      </c>
      <c r="J729" s="78"/>
    </row>
    <row r="730" spans="1:10" hidden="1">
      <c r="E730" s="26" t="s">
        <v>453</v>
      </c>
      <c r="G730" s="171" t="s">
        <v>1698</v>
      </c>
      <c r="H730" s="68">
        <f>SUM(H726:H729)</f>
        <v>71.824999999999989</v>
      </c>
      <c r="J730" s="78"/>
    </row>
    <row r="731" spans="1:10" hidden="1">
      <c r="B731" s="26" t="s">
        <v>454</v>
      </c>
      <c r="G731" s="171" t="s">
        <v>1697</v>
      </c>
      <c r="H731" s="68">
        <v>1</v>
      </c>
      <c r="I731" s="26" t="s">
        <v>3855</v>
      </c>
      <c r="J731" s="78"/>
    </row>
    <row r="732" spans="1:10" hidden="1">
      <c r="B732" s="26" t="s">
        <v>5212</v>
      </c>
      <c r="G732" s="171" t="s">
        <v>1698</v>
      </c>
      <c r="H732" s="68">
        <f>H730/H731</f>
        <v>71.824999999999989</v>
      </c>
      <c r="J732" s="78"/>
    </row>
    <row r="733" spans="1:10">
      <c r="J733" s="78"/>
    </row>
    <row r="734" spans="1:10">
      <c r="A734" s="822" t="s">
        <v>3984</v>
      </c>
      <c r="F734" s="170" t="s">
        <v>2367</v>
      </c>
      <c r="J734" s="78"/>
    </row>
    <row r="735" spans="1:10">
      <c r="H735" s="171" t="s">
        <v>297</v>
      </c>
      <c r="J735" s="78"/>
    </row>
    <row r="736" spans="1:10">
      <c r="B736" s="170" t="s">
        <v>2368</v>
      </c>
      <c r="C736" s="89"/>
      <c r="H736" s="211">
        <f>H645</f>
        <v>480</v>
      </c>
      <c r="I736" s="26" t="s">
        <v>3477</v>
      </c>
      <c r="J736" s="78"/>
    </row>
    <row r="737" spans="1:10">
      <c r="A737" s="865"/>
      <c r="B737" s="95" t="s">
        <v>2369</v>
      </c>
      <c r="D737" s="175" t="s">
        <v>4443</v>
      </c>
      <c r="E737" s="175"/>
      <c r="F737" s="95" t="s">
        <v>2370</v>
      </c>
      <c r="G737" s="95" t="s">
        <v>1166</v>
      </c>
      <c r="H737" s="95" t="s">
        <v>6664</v>
      </c>
      <c r="I737" s="95" t="s">
        <v>6665</v>
      </c>
      <c r="J737" s="78"/>
    </row>
    <row r="738" spans="1:10">
      <c r="A738" s="865"/>
      <c r="B738" s="114"/>
      <c r="C738" s="89"/>
      <c r="D738" s="188"/>
      <c r="E738" s="188"/>
      <c r="F738" s="114"/>
      <c r="G738" s="114"/>
      <c r="H738" s="114" t="s">
        <v>3856</v>
      </c>
      <c r="I738" s="114" t="s">
        <v>3857</v>
      </c>
      <c r="J738" s="78"/>
    </row>
    <row r="739" spans="1:10">
      <c r="B739" s="95">
        <v>1</v>
      </c>
      <c r="C739" s="148" t="s">
        <v>7933</v>
      </c>
      <c r="D739" s="175"/>
      <c r="E739" s="175"/>
      <c r="F739" s="95" t="s">
        <v>3483</v>
      </c>
      <c r="G739" s="179">
        <v>464</v>
      </c>
      <c r="H739" s="212">
        <f>H714</f>
        <v>26.853333333333332</v>
      </c>
      <c r="I739" s="155">
        <f>ROUND(H739*G739,2)</f>
        <v>12459.95</v>
      </c>
      <c r="J739" s="78"/>
    </row>
    <row r="740" spans="1:10">
      <c r="B740" s="105"/>
      <c r="C740" s="76" t="s">
        <v>5125</v>
      </c>
      <c r="D740" s="31"/>
      <c r="E740" s="31"/>
      <c r="F740" s="224">
        <v>0.1</v>
      </c>
      <c r="G740" s="190"/>
      <c r="H740" s="214"/>
      <c r="I740" s="155">
        <f>ROUND(I739*0.1,2)</f>
        <v>1246</v>
      </c>
      <c r="J740" s="78"/>
    </row>
    <row r="741" spans="1:10">
      <c r="B741" s="105">
        <v>2</v>
      </c>
      <c r="C741" s="76" t="s">
        <v>413</v>
      </c>
      <c r="D741" s="31"/>
      <c r="E741" s="31"/>
      <c r="F741" s="105" t="s">
        <v>2374</v>
      </c>
      <c r="G741" s="190">
        <v>70</v>
      </c>
      <c r="H741" s="214">
        <f>H718</f>
        <v>11.5625</v>
      </c>
      <c r="I741" s="155">
        <f t="shared" ref="I741:I748" si="11">ROUND(H741*G741,2)</f>
        <v>809.38</v>
      </c>
      <c r="J741" s="78"/>
    </row>
    <row r="742" spans="1:10">
      <c r="B742" s="105">
        <v>3</v>
      </c>
      <c r="C742" s="76" t="s">
        <v>133</v>
      </c>
      <c r="D742" s="31"/>
      <c r="E742" s="31"/>
      <c r="F742" s="105" t="s">
        <v>3479</v>
      </c>
      <c r="G742" s="190">
        <v>715</v>
      </c>
      <c r="H742" s="214">
        <f>H725</f>
        <v>71.96875</v>
      </c>
      <c r="I742" s="155">
        <f t="shared" si="11"/>
        <v>51457.66</v>
      </c>
      <c r="J742" s="78"/>
    </row>
    <row r="743" spans="1:10">
      <c r="B743" s="105">
        <v>4</v>
      </c>
      <c r="C743" s="76" t="s">
        <v>836</v>
      </c>
      <c r="D743" s="31"/>
      <c r="E743" s="31"/>
      <c r="F743" s="105" t="s">
        <v>2059</v>
      </c>
      <c r="G743" s="190">
        <v>580</v>
      </c>
      <c r="H743" s="214">
        <f>H732</f>
        <v>71.824999999999989</v>
      </c>
      <c r="I743" s="155">
        <f t="shared" si="11"/>
        <v>41658.5</v>
      </c>
      <c r="J743" s="78"/>
    </row>
    <row r="744" spans="1:10">
      <c r="B744" s="105">
        <v>5</v>
      </c>
      <c r="C744" s="76" t="s">
        <v>2148</v>
      </c>
      <c r="D744" s="31"/>
      <c r="E744" s="31"/>
      <c r="F744" s="105" t="s">
        <v>3478</v>
      </c>
      <c r="G744" s="190">
        <v>149</v>
      </c>
      <c r="H744" s="214">
        <f>'BASIC DATA'!$D$54</f>
        <v>70</v>
      </c>
      <c r="I744" s="155">
        <f t="shared" si="11"/>
        <v>10430</v>
      </c>
      <c r="J744" s="78"/>
    </row>
    <row r="745" spans="1:10">
      <c r="B745" s="105">
        <v>6</v>
      </c>
      <c r="C745" s="76" t="s">
        <v>2058</v>
      </c>
      <c r="D745" s="31"/>
      <c r="E745" s="31"/>
      <c r="F745" s="105" t="s">
        <v>2059</v>
      </c>
      <c r="G745" s="190">
        <v>23</v>
      </c>
      <c r="H745" s="220">
        <f>'BASIC DATA'!$D$50</f>
        <v>7</v>
      </c>
      <c r="I745" s="155">
        <f t="shared" si="11"/>
        <v>161</v>
      </c>
      <c r="J745" s="78"/>
    </row>
    <row r="746" spans="1:10">
      <c r="B746" s="105">
        <v>7</v>
      </c>
      <c r="C746" s="76" t="s">
        <v>837</v>
      </c>
      <c r="D746" s="31"/>
      <c r="E746" s="31"/>
      <c r="F746" s="105" t="s">
        <v>2059</v>
      </c>
      <c r="G746" s="190">
        <v>500</v>
      </c>
      <c r="H746" s="214">
        <f>'BASIC DATA'!$D$48</f>
        <v>20</v>
      </c>
      <c r="I746" s="155">
        <f t="shared" si="11"/>
        <v>10000</v>
      </c>
      <c r="J746" s="78"/>
    </row>
    <row r="747" spans="1:10">
      <c r="B747" s="105">
        <v>8</v>
      </c>
      <c r="C747" s="76" t="s">
        <v>6094</v>
      </c>
      <c r="D747" s="31"/>
      <c r="E747" s="31"/>
      <c r="F747" s="105" t="s">
        <v>3483</v>
      </c>
      <c r="G747" s="190">
        <v>700</v>
      </c>
      <c r="H747" s="214">
        <f>'BASIC DATA'!$D$46</f>
        <v>9</v>
      </c>
      <c r="I747" s="155">
        <f t="shared" si="11"/>
        <v>6300</v>
      </c>
      <c r="J747" s="78"/>
    </row>
    <row r="748" spans="1:10">
      <c r="B748" s="114">
        <v>9</v>
      </c>
      <c r="C748" s="89" t="s">
        <v>2373</v>
      </c>
      <c r="D748" s="174"/>
      <c r="E748" s="174"/>
      <c r="F748" s="114" t="s">
        <v>2173</v>
      </c>
      <c r="G748" s="182">
        <v>10</v>
      </c>
      <c r="H748" s="215">
        <f>'BASIC DATA'!$D$359</f>
        <v>30</v>
      </c>
      <c r="I748" s="155">
        <f t="shared" si="11"/>
        <v>300</v>
      </c>
      <c r="J748" s="78"/>
    </row>
    <row r="749" spans="1:10">
      <c r="B749" s="184"/>
      <c r="C749" s="151"/>
      <c r="D749" s="159"/>
      <c r="E749" s="159" t="s">
        <v>2376</v>
      </c>
      <c r="F749" s="159"/>
      <c r="G749" s="159"/>
      <c r="H749" s="208" t="s">
        <v>1698</v>
      </c>
      <c r="I749" s="209">
        <f>SUM(I739:I748)</f>
        <v>134822.49</v>
      </c>
      <c r="J749" s="78"/>
    </row>
    <row r="750" spans="1:10">
      <c r="J750" s="78"/>
    </row>
    <row r="751" spans="1:10">
      <c r="B751" s="170" t="s">
        <v>2377</v>
      </c>
      <c r="J751" s="78"/>
    </row>
    <row r="752" spans="1:10">
      <c r="A752" s="846"/>
      <c r="B752" s="225" t="s">
        <v>2369</v>
      </c>
      <c r="C752" s="1223" t="s">
        <v>4443</v>
      </c>
      <c r="D752" s="1224"/>
      <c r="E752" s="1226"/>
      <c r="F752" s="225" t="s">
        <v>2370</v>
      </c>
      <c r="G752" s="225" t="s">
        <v>1166</v>
      </c>
      <c r="H752" s="225" t="s">
        <v>6664</v>
      </c>
      <c r="I752" s="225" t="s">
        <v>6665</v>
      </c>
      <c r="J752" s="78"/>
    </row>
    <row r="753" spans="1:10">
      <c r="A753" s="846"/>
      <c r="B753" s="226"/>
      <c r="C753" s="1227"/>
      <c r="D753" s="1228"/>
      <c r="E753" s="1229"/>
      <c r="F753" s="226"/>
      <c r="G753" s="226"/>
      <c r="H753" s="226" t="s">
        <v>3856</v>
      </c>
      <c r="I753" s="226" t="s">
        <v>3857</v>
      </c>
      <c r="J753" s="78"/>
    </row>
    <row r="754" spans="1:10">
      <c r="B754" s="95">
        <v>1</v>
      </c>
      <c r="C754" s="148" t="s">
        <v>298</v>
      </c>
      <c r="D754" s="187"/>
      <c r="E754" s="187"/>
      <c r="F754" s="107" t="s">
        <v>2374</v>
      </c>
      <c r="G754" s="179">
        <v>12</v>
      </c>
      <c r="H754" s="190">
        <f>'HIRE CHARGES'!$D$543</f>
        <v>1706.6</v>
      </c>
      <c r="I754" s="155">
        <f>ROUND(H754*G754,2)</f>
        <v>20479.2</v>
      </c>
      <c r="J754" s="78"/>
    </row>
    <row r="755" spans="1:10">
      <c r="B755" s="105"/>
      <c r="C755" s="76" t="s">
        <v>2379</v>
      </c>
      <c r="D755" s="31"/>
      <c r="E755" s="31"/>
      <c r="F755" s="210" t="s">
        <v>2374</v>
      </c>
      <c r="G755" s="190">
        <v>12</v>
      </c>
      <c r="H755" s="190">
        <f>'HIRE CHARGES'!$E$543</f>
        <v>872.7</v>
      </c>
      <c r="I755" s="155">
        <f t="shared" ref="I755:I765" si="12">ROUND(H755*G755,2)</f>
        <v>10472.4</v>
      </c>
      <c r="J755" s="78"/>
    </row>
    <row r="756" spans="1:10">
      <c r="B756" s="105">
        <v>2</v>
      </c>
      <c r="C756" s="76" t="s">
        <v>1502</v>
      </c>
      <c r="D756" s="31"/>
      <c r="E756" s="31"/>
      <c r="F756" s="210" t="s">
        <v>2374</v>
      </c>
      <c r="G756" s="190">
        <v>2</v>
      </c>
      <c r="H756" s="190">
        <f>'HIRE CHARGES'!$D$499</f>
        <v>1715.5</v>
      </c>
      <c r="I756" s="155">
        <f t="shared" si="12"/>
        <v>3431</v>
      </c>
      <c r="J756" s="78"/>
    </row>
    <row r="757" spans="1:10">
      <c r="B757" s="105"/>
      <c r="C757" s="76" t="s">
        <v>2379</v>
      </c>
      <c r="D757" s="31"/>
      <c r="E757" s="31"/>
      <c r="F757" s="210" t="s">
        <v>2374</v>
      </c>
      <c r="G757" s="190">
        <v>2</v>
      </c>
      <c r="H757" s="207">
        <f>'HIRE CHARGES'!$E$499</f>
        <v>610.5</v>
      </c>
      <c r="I757" s="155">
        <f t="shared" si="12"/>
        <v>1221</v>
      </c>
      <c r="J757" s="78"/>
    </row>
    <row r="758" spans="1:10">
      <c r="B758" s="105">
        <v>3</v>
      </c>
      <c r="C758" s="76" t="s">
        <v>4298</v>
      </c>
      <c r="D758" s="31"/>
      <c r="E758" s="31"/>
      <c r="F758" s="210" t="s">
        <v>2374</v>
      </c>
      <c r="G758" s="190">
        <v>36</v>
      </c>
      <c r="H758" s="190">
        <f>'HIRE CHARGES'!$D$525</f>
        <v>580.69999999999993</v>
      </c>
      <c r="I758" s="155">
        <f t="shared" si="12"/>
        <v>20905.2</v>
      </c>
      <c r="J758" s="78"/>
    </row>
    <row r="759" spans="1:10">
      <c r="B759" s="105"/>
      <c r="C759" s="76" t="s">
        <v>2379</v>
      </c>
      <c r="D759" s="31"/>
      <c r="E759" s="31"/>
      <c r="F759" s="210" t="s">
        <v>2374</v>
      </c>
      <c r="G759" s="190">
        <v>36</v>
      </c>
      <c r="H759" s="190">
        <f>'HIRE CHARGES'!$E$525</f>
        <v>399.9</v>
      </c>
      <c r="I759" s="155">
        <f t="shared" si="12"/>
        <v>14396.4</v>
      </c>
      <c r="J759" s="78"/>
    </row>
    <row r="760" spans="1:10">
      <c r="B760" s="105">
        <v>4</v>
      </c>
      <c r="C760" s="76" t="s">
        <v>5044</v>
      </c>
      <c r="D760" s="31"/>
      <c r="E760" s="31"/>
      <c r="F760" s="210" t="s">
        <v>2374</v>
      </c>
      <c r="G760" s="190">
        <v>4</v>
      </c>
      <c r="H760" s="190">
        <f>'HIRE CHARGES'!$D$545</f>
        <v>446.7</v>
      </c>
      <c r="I760" s="155">
        <f t="shared" si="12"/>
        <v>1786.8</v>
      </c>
      <c r="J760" s="78"/>
    </row>
    <row r="761" spans="1:10">
      <c r="B761" s="105"/>
      <c r="C761" s="76" t="s">
        <v>2379</v>
      </c>
      <c r="D761" s="31"/>
      <c r="E761" s="31"/>
      <c r="F761" s="210" t="s">
        <v>2374</v>
      </c>
      <c r="G761" s="190">
        <v>4</v>
      </c>
      <c r="H761" s="182">
        <f>'HIRE CHARGES'!$E$545</f>
        <v>299.89999999999998</v>
      </c>
      <c r="I761" s="155">
        <f t="shared" si="12"/>
        <v>1199.5999999999999</v>
      </c>
      <c r="J761" s="78"/>
    </row>
    <row r="762" spans="1:10">
      <c r="B762" s="105">
        <v>5</v>
      </c>
      <c r="C762" s="76" t="s">
        <v>6720</v>
      </c>
      <c r="D762" s="31"/>
      <c r="E762" s="31"/>
      <c r="F762" s="210" t="s">
        <v>2374</v>
      </c>
      <c r="G762" s="190">
        <v>35</v>
      </c>
      <c r="H762" s="207">
        <f>'HIRE CHARGES'!$D$497</f>
        <v>170.8</v>
      </c>
      <c r="I762" s="155">
        <f t="shared" si="12"/>
        <v>5978</v>
      </c>
      <c r="J762" s="78"/>
    </row>
    <row r="763" spans="1:10">
      <c r="B763" s="105"/>
      <c r="C763" s="76" t="s">
        <v>2379</v>
      </c>
      <c r="D763" s="31"/>
      <c r="E763" s="31"/>
      <c r="F763" s="210" t="s">
        <v>2374</v>
      </c>
      <c r="G763" s="190">
        <v>35</v>
      </c>
      <c r="H763" s="207">
        <f>'HIRE CHARGES'!$E$497</f>
        <v>315.2</v>
      </c>
      <c r="I763" s="155">
        <f t="shared" si="12"/>
        <v>11032</v>
      </c>
      <c r="J763" s="78"/>
    </row>
    <row r="764" spans="1:10">
      <c r="B764" s="105">
        <v>6</v>
      </c>
      <c r="C764" s="76" t="s">
        <v>6721</v>
      </c>
      <c r="D764" s="31"/>
      <c r="E764" s="31"/>
      <c r="F764" s="210" t="s">
        <v>2374</v>
      </c>
      <c r="G764" s="190">
        <v>70</v>
      </c>
      <c r="H764" s="207">
        <f>'HIRE CHARGES'!$D$530</f>
        <v>19.8</v>
      </c>
      <c r="I764" s="155">
        <f t="shared" si="12"/>
        <v>1386</v>
      </c>
      <c r="J764" s="78"/>
    </row>
    <row r="765" spans="1:10">
      <c r="B765" s="191"/>
      <c r="C765" s="89" t="s">
        <v>2379</v>
      </c>
      <c r="D765" s="174"/>
      <c r="E765" s="174"/>
      <c r="F765" s="191" t="s">
        <v>2374</v>
      </c>
      <c r="G765" s="182">
        <v>70</v>
      </c>
      <c r="H765" s="181">
        <f>'HIRE CHARGES'!$E$530</f>
        <v>0</v>
      </c>
      <c r="I765" s="155">
        <f t="shared" si="12"/>
        <v>0</v>
      </c>
      <c r="J765" s="78"/>
    </row>
    <row r="766" spans="1:10">
      <c r="B766" s="184"/>
      <c r="C766" s="151"/>
      <c r="D766" s="159"/>
      <c r="E766" s="159" t="s">
        <v>2380</v>
      </c>
      <c r="F766" s="159"/>
      <c r="G766" s="159"/>
      <c r="H766" s="208" t="s">
        <v>1698</v>
      </c>
      <c r="I766" s="209">
        <f>SUM(I754:I765)</f>
        <v>92287.6</v>
      </c>
      <c r="J766" s="78"/>
    </row>
    <row r="767" spans="1:10">
      <c r="B767" s="170" t="s">
        <v>2381</v>
      </c>
      <c r="J767" s="78"/>
    </row>
    <row r="768" spans="1:10">
      <c r="A768" s="846"/>
      <c r="B768" s="225" t="s">
        <v>2369</v>
      </c>
      <c r="C768" s="148"/>
      <c r="D768" s="227" t="s">
        <v>2378</v>
      </c>
      <c r="E768" s="228"/>
      <c r="F768" s="225" t="s">
        <v>2370</v>
      </c>
      <c r="G768" s="225" t="s">
        <v>1166</v>
      </c>
      <c r="H768" s="225" t="s">
        <v>6664</v>
      </c>
      <c r="I768" s="225" t="s">
        <v>6665</v>
      </c>
      <c r="J768" s="78"/>
    </row>
    <row r="769" spans="1:10">
      <c r="A769" s="846"/>
      <c r="B769" s="226"/>
      <c r="C769" s="89"/>
      <c r="D769" s="177"/>
      <c r="E769" s="229"/>
      <c r="F769" s="226"/>
      <c r="G769" s="226"/>
      <c r="H769" s="226" t="s">
        <v>3856</v>
      </c>
      <c r="I769" s="226" t="s">
        <v>3857</v>
      </c>
      <c r="J769" s="78"/>
    </row>
    <row r="770" spans="1:10">
      <c r="B770" s="95">
        <v>1</v>
      </c>
      <c r="C770" s="148" t="s">
        <v>300</v>
      </c>
      <c r="D770" s="187"/>
      <c r="E770" s="187"/>
      <c r="F770" s="107" t="s">
        <v>2374</v>
      </c>
      <c r="G770" s="179">
        <v>12</v>
      </c>
      <c r="H770" s="179">
        <f>'HIRE CHARGES'!$F$543</f>
        <v>236.6</v>
      </c>
      <c r="I770" s="155">
        <f>ROUND(H770*G770,2)</f>
        <v>2839.2</v>
      </c>
      <c r="J770" s="78"/>
    </row>
    <row r="771" spans="1:10">
      <c r="B771" s="105">
        <v>2</v>
      </c>
      <c r="C771" s="76" t="s">
        <v>839</v>
      </c>
      <c r="D771" s="31"/>
      <c r="E771" s="31"/>
      <c r="F771" s="210" t="s">
        <v>2374</v>
      </c>
      <c r="G771" s="190">
        <v>2</v>
      </c>
      <c r="H771" s="207">
        <f>'HIRE CHARGES'!$F$499</f>
        <v>236.6</v>
      </c>
      <c r="I771" s="155">
        <f t="shared" ref="I771:I781" si="13">ROUND(H771*G771,2)</f>
        <v>473.2</v>
      </c>
      <c r="J771" s="78"/>
    </row>
    <row r="772" spans="1:10">
      <c r="B772" s="105">
        <v>3</v>
      </c>
      <c r="C772" s="76" t="s">
        <v>4585</v>
      </c>
      <c r="D772" s="31"/>
      <c r="E772" s="31"/>
      <c r="F772" s="210" t="s">
        <v>2374</v>
      </c>
      <c r="G772" s="190">
        <v>36</v>
      </c>
      <c r="H772" s="190">
        <f>'HIRE CHARGES'!$F$525</f>
        <v>227.1</v>
      </c>
      <c r="I772" s="155">
        <f t="shared" si="13"/>
        <v>8175.6</v>
      </c>
      <c r="J772" s="78"/>
    </row>
    <row r="773" spans="1:10">
      <c r="B773" s="105">
        <v>4</v>
      </c>
      <c r="C773" s="76" t="s">
        <v>301</v>
      </c>
      <c r="D773" s="31"/>
      <c r="E773" s="31"/>
      <c r="F773" s="210" t="s">
        <v>2374</v>
      </c>
      <c r="G773" s="190">
        <v>4</v>
      </c>
      <c r="H773" s="190">
        <f>'HIRE CHARGES'!$F$545</f>
        <v>177.5</v>
      </c>
      <c r="I773" s="155">
        <f t="shared" si="13"/>
        <v>710</v>
      </c>
      <c r="J773" s="78"/>
    </row>
    <row r="774" spans="1:10">
      <c r="B774" s="105">
        <v>5</v>
      </c>
      <c r="C774" s="76" t="s">
        <v>4606</v>
      </c>
      <c r="D774" s="31"/>
      <c r="E774" s="31"/>
      <c r="F774" s="210" t="s">
        <v>2374</v>
      </c>
      <c r="G774" s="190">
        <v>35</v>
      </c>
      <c r="H774" s="207">
        <f>'HIRE CHARGES'!$F$497</f>
        <v>164.8</v>
      </c>
      <c r="I774" s="155">
        <f t="shared" si="13"/>
        <v>5768</v>
      </c>
      <c r="J774" s="78"/>
    </row>
    <row r="775" spans="1:10">
      <c r="B775" s="105">
        <v>6</v>
      </c>
      <c r="C775" s="76" t="s">
        <v>4607</v>
      </c>
      <c r="D775" s="31"/>
      <c r="E775" s="31"/>
      <c r="F775" s="210" t="s">
        <v>2374</v>
      </c>
      <c r="G775" s="190">
        <v>70</v>
      </c>
      <c r="H775" s="207">
        <f>'HIRE CHARGES'!$F$530</f>
        <v>329.6</v>
      </c>
      <c r="I775" s="155">
        <f t="shared" si="13"/>
        <v>23072</v>
      </c>
      <c r="J775" s="78"/>
    </row>
    <row r="776" spans="1:10">
      <c r="B776" s="105">
        <v>7</v>
      </c>
      <c r="C776" s="76" t="s">
        <v>4206</v>
      </c>
      <c r="D776" s="31"/>
      <c r="E776" s="31"/>
      <c r="F776" s="210" t="s">
        <v>1172</v>
      </c>
      <c r="G776" s="190">
        <v>4.5</v>
      </c>
      <c r="H776" s="207">
        <f>'BASIC DATA'!$C$473</f>
        <v>450</v>
      </c>
      <c r="I776" s="155">
        <f t="shared" si="13"/>
        <v>2025</v>
      </c>
      <c r="J776" s="78"/>
    </row>
    <row r="777" spans="1:10">
      <c r="B777" s="105">
        <v>8</v>
      </c>
      <c r="C777" s="76" t="s">
        <v>4608</v>
      </c>
      <c r="D777" s="31"/>
      <c r="E777" s="31"/>
      <c r="F777" s="210" t="s">
        <v>1172</v>
      </c>
      <c r="G777" s="190">
        <v>1.5</v>
      </c>
      <c r="H777" s="207">
        <f>'BASIC DATA'!$C$466</f>
        <v>510</v>
      </c>
      <c r="I777" s="155">
        <f t="shared" si="13"/>
        <v>765</v>
      </c>
      <c r="J777" s="78"/>
    </row>
    <row r="778" spans="1:10">
      <c r="B778" s="105">
        <v>9</v>
      </c>
      <c r="C778" s="76" t="s">
        <v>4609</v>
      </c>
      <c r="D778" s="31"/>
      <c r="E778" s="31"/>
      <c r="F778" s="210" t="s">
        <v>1172</v>
      </c>
      <c r="G778" s="190">
        <v>3</v>
      </c>
      <c r="H778" s="207">
        <f>'BASIC DATA'!$C$520</f>
        <v>400</v>
      </c>
      <c r="I778" s="155">
        <f t="shared" si="13"/>
        <v>1200</v>
      </c>
      <c r="J778" s="78"/>
    </row>
    <row r="779" spans="1:10">
      <c r="B779" s="105">
        <v>10</v>
      </c>
      <c r="C779" s="76" t="s">
        <v>5603</v>
      </c>
      <c r="D779" s="31"/>
      <c r="E779" s="31"/>
      <c r="F779" s="210" t="s">
        <v>1172</v>
      </c>
      <c r="G779" s="190">
        <v>2.5</v>
      </c>
      <c r="H779" s="207">
        <f>'BASIC DATA'!$C$514</f>
        <v>400</v>
      </c>
      <c r="I779" s="155">
        <f t="shared" si="13"/>
        <v>1000</v>
      </c>
      <c r="J779" s="78"/>
    </row>
    <row r="780" spans="1:10">
      <c r="B780" s="105">
        <v>11</v>
      </c>
      <c r="C780" s="76" t="s">
        <v>1190</v>
      </c>
      <c r="D780" s="31"/>
      <c r="E780" s="31"/>
      <c r="F780" s="210" t="s">
        <v>1172</v>
      </c>
      <c r="G780" s="190">
        <v>2.5</v>
      </c>
      <c r="H780" s="207">
        <f>'BASIC DATA'!$C$546</f>
        <v>400</v>
      </c>
      <c r="I780" s="155">
        <f t="shared" si="13"/>
        <v>1000</v>
      </c>
      <c r="J780" s="78"/>
    </row>
    <row r="781" spans="1:10">
      <c r="B781" s="105">
        <v>13</v>
      </c>
      <c r="C781" s="76" t="s">
        <v>2697</v>
      </c>
      <c r="D781" s="31"/>
      <c r="E781" s="31"/>
      <c r="F781" s="210" t="s">
        <v>1172</v>
      </c>
      <c r="G781" s="190">
        <v>20</v>
      </c>
      <c r="H781" s="190">
        <f>'BASIC DATA'!$C$552</f>
        <v>350</v>
      </c>
      <c r="I781" s="155">
        <f t="shared" si="13"/>
        <v>7000</v>
      </c>
      <c r="J781" s="78"/>
    </row>
    <row r="782" spans="1:10">
      <c r="B782" s="184"/>
      <c r="C782" s="151"/>
      <c r="D782" s="159"/>
      <c r="E782" s="159"/>
      <c r="F782" s="159" t="s">
        <v>1174</v>
      </c>
      <c r="G782" s="159"/>
      <c r="H782" s="208" t="s">
        <v>4108</v>
      </c>
      <c r="I782" s="209">
        <f>SUM(I770:I781)</f>
        <v>54028</v>
      </c>
      <c r="J782" s="78"/>
    </row>
    <row r="783" spans="1:10">
      <c r="B783" s="60" t="s">
        <v>5948</v>
      </c>
      <c r="C783" s="76"/>
      <c r="D783" s="31"/>
      <c r="E783" s="31"/>
      <c r="F783" s="31"/>
      <c r="G783" s="85">
        <f>ROUND(I782/H736,1)</f>
        <v>112.6</v>
      </c>
      <c r="J783" s="78"/>
    </row>
    <row r="784" spans="1:10">
      <c r="B784" s="60" t="s">
        <v>3163</v>
      </c>
      <c r="C784" s="76"/>
      <c r="D784" s="31"/>
      <c r="E784" s="31"/>
      <c r="F784" s="922">
        <f>'BASIC DATA'!$C$577</f>
        <v>0.13614999999999999</v>
      </c>
      <c r="G784" s="85">
        <f>ROUND(G783*F784,1)</f>
        <v>15.3</v>
      </c>
      <c r="J784" s="78"/>
    </row>
    <row r="785" spans="1:10">
      <c r="B785" s="60" t="s">
        <v>5949</v>
      </c>
      <c r="C785" s="76"/>
      <c r="D785" s="31"/>
      <c r="E785" s="31"/>
      <c r="F785" s="31"/>
      <c r="G785" s="199">
        <f>ROUND((G784+G783),1)</f>
        <v>127.9</v>
      </c>
      <c r="J785" s="78"/>
    </row>
    <row r="786" spans="1:10">
      <c r="J786" s="78"/>
    </row>
    <row r="787" spans="1:10">
      <c r="B787" s="170" t="s">
        <v>1175</v>
      </c>
      <c r="J787" s="78"/>
    </row>
    <row r="788" spans="1:10">
      <c r="B788" s="26" t="s">
        <v>1176</v>
      </c>
      <c r="H788" s="171" t="s">
        <v>1698</v>
      </c>
      <c r="I788" s="117">
        <f>I749</f>
        <v>134822.49</v>
      </c>
      <c r="J788" s="78"/>
    </row>
    <row r="789" spans="1:10">
      <c r="B789" s="26" t="s">
        <v>1186</v>
      </c>
      <c r="H789" s="171" t="s">
        <v>1698</v>
      </c>
      <c r="I789" s="117">
        <f>I766</f>
        <v>92287.6</v>
      </c>
      <c r="J789" s="78"/>
    </row>
    <row r="790" spans="1:10">
      <c r="B790" s="26" t="s">
        <v>2660</v>
      </c>
      <c r="H790" s="171" t="s">
        <v>1698</v>
      </c>
      <c r="I790" s="117">
        <f>I782</f>
        <v>54028</v>
      </c>
      <c r="J790" s="78"/>
    </row>
    <row r="791" spans="1:10">
      <c r="G791" s="171" t="s">
        <v>1518</v>
      </c>
      <c r="H791" s="171" t="s">
        <v>1698</v>
      </c>
      <c r="I791" s="130">
        <f>SUM(I788:I790)</f>
        <v>281138.08999999997</v>
      </c>
      <c r="J791" s="78"/>
    </row>
    <row r="792" spans="1:10" ht="18.75">
      <c r="B792" s="1215" t="s">
        <v>8375</v>
      </c>
      <c r="C792" s="1215"/>
      <c r="D792" s="1215"/>
      <c r="E792" s="1215"/>
      <c r="F792" s="1215"/>
      <c r="G792" s="922">
        <f>'BASIC DATA'!$C$577</f>
        <v>0.13614999999999999</v>
      </c>
      <c r="H792" s="171" t="s">
        <v>4108</v>
      </c>
      <c r="I792" s="76">
        <f>ROUND(I791*G792,2)</f>
        <v>38276.949999999997</v>
      </c>
      <c r="J792" s="78"/>
    </row>
    <row r="793" spans="1:10">
      <c r="B793" s="1206" t="s">
        <v>1191</v>
      </c>
      <c r="C793" s="1206"/>
      <c r="D793" s="1206"/>
      <c r="E793" s="1206"/>
      <c r="F793" s="202">
        <f>H736</f>
        <v>480</v>
      </c>
      <c r="G793" s="171" t="str">
        <f>I736</f>
        <v>cum</v>
      </c>
      <c r="H793" s="171" t="s">
        <v>1698</v>
      </c>
      <c r="I793" s="199">
        <f>I792+I791</f>
        <v>319415.03999999998</v>
      </c>
      <c r="J793" s="78"/>
    </row>
    <row r="794" spans="1:10">
      <c r="B794" s="1161" t="s">
        <v>3884</v>
      </c>
      <c r="C794" s="1161"/>
      <c r="D794" s="203" t="str">
        <f>G793</f>
        <v>cum</v>
      </c>
      <c r="F794" s="26" t="s">
        <v>1382</v>
      </c>
      <c r="H794" s="171" t="s">
        <v>1698</v>
      </c>
      <c r="I794" s="204">
        <f>ROUND(I793/F793,1)</f>
        <v>665.4</v>
      </c>
      <c r="J794" s="78"/>
    </row>
    <row r="795" spans="1:10">
      <c r="H795" s="171"/>
      <c r="I795" s="68"/>
      <c r="J795" s="78"/>
    </row>
    <row r="796" spans="1:10">
      <c r="H796" s="171"/>
      <c r="I796" s="68"/>
      <c r="J796" s="78"/>
    </row>
    <row r="797" spans="1:10" ht="18.75">
      <c r="A797" s="822" t="s">
        <v>7046</v>
      </c>
      <c r="B797" s="26" t="s">
        <v>8386</v>
      </c>
      <c r="J797" s="78"/>
    </row>
    <row r="798" spans="1:10" ht="18.75">
      <c r="A798" s="822" t="s">
        <v>832</v>
      </c>
      <c r="B798" s="26" t="s">
        <v>8387</v>
      </c>
      <c r="J798" s="78"/>
    </row>
    <row r="799" spans="1:10">
      <c r="B799" s="26" t="s">
        <v>2273</v>
      </c>
      <c r="J799" s="78"/>
    </row>
    <row r="800" spans="1:10">
      <c r="B800" s="26" t="s">
        <v>2274</v>
      </c>
      <c r="J800" s="78"/>
    </row>
    <row r="801" spans="1:10">
      <c r="B801" s="26" t="s">
        <v>2275</v>
      </c>
      <c r="J801" s="78"/>
    </row>
    <row r="802" spans="1:10">
      <c r="B802" s="26" t="s">
        <v>8388</v>
      </c>
      <c r="J802" s="78"/>
    </row>
    <row r="803" spans="1:10">
      <c r="B803" s="170" t="s">
        <v>2276</v>
      </c>
      <c r="J803" s="78"/>
    </row>
    <row r="804" spans="1:10">
      <c r="A804" s="822" t="s">
        <v>2525</v>
      </c>
      <c r="B804" s="26" t="s">
        <v>972</v>
      </c>
      <c r="J804" s="78"/>
    </row>
    <row r="805" spans="1:10">
      <c r="B805" s="26" t="s">
        <v>973</v>
      </c>
      <c r="J805" s="78"/>
    </row>
    <row r="806" spans="1:10">
      <c r="B806" s="26" t="s">
        <v>7626</v>
      </c>
      <c r="J806" s="78"/>
    </row>
    <row r="807" spans="1:10">
      <c r="B807" s="26" t="s">
        <v>7624</v>
      </c>
      <c r="J807" s="78"/>
    </row>
    <row r="808" spans="1:10">
      <c r="B808" s="26" t="s">
        <v>974</v>
      </c>
      <c r="J808" s="78"/>
    </row>
    <row r="809" spans="1:10">
      <c r="B809" s="26" t="s">
        <v>975</v>
      </c>
      <c r="J809" s="78"/>
    </row>
    <row r="810" spans="1:10">
      <c r="B810" s="26" t="s">
        <v>976</v>
      </c>
      <c r="J810" s="78"/>
    </row>
    <row r="811" spans="1:10">
      <c r="B811" s="26" t="s">
        <v>7625</v>
      </c>
      <c r="J811" s="78"/>
    </row>
    <row r="812" spans="1:10">
      <c r="B812" s="26" t="s">
        <v>1444</v>
      </c>
      <c r="J812" s="78"/>
    </row>
    <row r="813" spans="1:10">
      <c r="B813" s="26" t="s">
        <v>1445</v>
      </c>
      <c r="J813" s="78"/>
    </row>
    <row r="814" spans="1:10" hidden="1">
      <c r="A814" s="822" t="s">
        <v>3984</v>
      </c>
      <c r="B814" s="26" t="s">
        <v>1446</v>
      </c>
      <c r="J814" s="78"/>
    </row>
    <row r="815" spans="1:10" hidden="1">
      <c r="B815" s="26" t="s">
        <v>6686</v>
      </c>
      <c r="J815" s="78"/>
    </row>
    <row r="816" spans="1:10" hidden="1">
      <c r="B816" s="26" t="s">
        <v>6687</v>
      </c>
      <c r="J816" s="78"/>
    </row>
    <row r="817" spans="2:10" hidden="1">
      <c r="B817" s="26" t="s">
        <v>6688</v>
      </c>
      <c r="J817" s="78"/>
    </row>
    <row r="818" spans="2:10" hidden="1">
      <c r="B818" s="26" t="s">
        <v>5288</v>
      </c>
      <c r="J818" s="78"/>
    </row>
    <row r="819" spans="2:10" hidden="1">
      <c r="B819" s="26" t="s">
        <v>1775</v>
      </c>
      <c r="J819" s="78"/>
    </row>
    <row r="820" spans="2:10" hidden="1">
      <c r="B820" s="26" t="s">
        <v>2854</v>
      </c>
      <c r="J820" s="78"/>
    </row>
    <row r="821" spans="2:10" hidden="1">
      <c r="B821" s="26" t="s">
        <v>4118</v>
      </c>
      <c r="J821" s="78"/>
    </row>
    <row r="822" spans="2:10" hidden="1">
      <c r="B822" s="26" t="s">
        <v>3714</v>
      </c>
      <c r="J822" s="78"/>
    </row>
    <row r="823" spans="2:10" hidden="1">
      <c r="B823" s="26" t="s">
        <v>6518</v>
      </c>
      <c r="J823" s="78"/>
    </row>
    <row r="824" spans="2:10" hidden="1">
      <c r="B824" s="26" t="s">
        <v>4119</v>
      </c>
      <c r="J824" s="78"/>
    </row>
    <row r="825" spans="2:10" hidden="1">
      <c r="B825" s="26" t="s">
        <v>4120</v>
      </c>
      <c r="J825" s="78"/>
    </row>
    <row r="826" spans="2:10" hidden="1">
      <c r="B826" s="26" t="s">
        <v>4347</v>
      </c>
      <c r="J826" s="78"/>
    </row>
    <row r="827" spans="2:10" hidden="1">
      <c r="B827" s="26" t="s">
        <v>432</v>
      </c>
      <c r="J827" s="78"/>
    </row>
    <row r="828" spans="2:10" hidden="1">
      <c r="B828" s="26" t="s">
        <v>2954</v>
      </c>
      <c r="J828" s="78"/>
    </row>
    <row r="829" spans="2:10" hidden="1">
      <c r="B829" s="26" t="s">
        <v>7077</v>
      </c>
      <c r="J829" s="78"/>
    </row>
    <row r="830" spans="2:10" hidden="1">
      <c r="B830" s="26" t="s">
        <v>4121</v>
      </c>
      <c r="J830" s="78"/>
    </row>
    <row r="831" spans="2:10" hidden="1">
      <c r="B831" s="26" t="s">
        <v>3333</v>
      </c>
      <c r="J831" s="78"/>
    </row>
    <row r="832" spans="2:10" hidden="1">
      <c r="B832" s="26" t="s">
        <v>3334</v>
      </c>
      <c r="J832" s="78"/>
    </row>
    <row r="833" spans="2:10" hidden="1">
      <c r="B833" s="26" t="s">
        <v>367</v>
      </c>
      <c r="J833" s="78"/>
    </row>
    <row r="834" spans="2:10" hidden="1">
      <c r="B834" s="26" t="s">
        <v>3335</v>
      </c>
      <c r="J834" s="78"/>
    </row>
    <row r="835" spans="2:10" hidden="1">
      <c r="B835" s="26" t="s">
        <v>3336</v>
      </c>
      <c r="J835" s="78"/>
    </row>
    <row r="836" spans="2:10" hidden="1">
      <c r="B836" s="26" t="s">
        <v>3337</v>
      </c>
      <c r="J836" s="78"/>
    </row>
    <row r="837" spans="2:10" hidden="1">
      <c r="B837" s="26" t="s">
        <v>3741</v>
      </c>
      <c r="G837" s="171" t="s">
        <v>1697</v>
      </c>
      <c r="H837" s="68">
        <v>0.9</v>
      </c>
      <c r="I837" s="26" t="s">
        <v>2602</v>
      </c>
      <c r="J837" s="78"/>
    </row>
    <row r="838" spans="2:10" hidden="1">
      <c r="B838" s="26" t="s">
        <v>368</v>
      </c>
      <c r="G838" s="171" t="s">
        <v>1697</v>
      </c>
      <c r="H838" s="68">
        <v>0.8</v>
      </c>
      <c r="I838" s="26" t="s">
        <v>2602</v>
      </c>
      <c r="J838" s="78"/>
    </row>
    <row r="839" spans="2:10" hidden="1">
      <c r="B839" s="26" t="s">
        <v>369</v>
      </c>
      <c r="E839" s="26" t="s">
        <v>1911</v>
      </c>
      <c r="G839" s="171" t="s">
        <v>1697</v>
      </c>
      <c r="H839" s="68">
        <v>40</v>
      </c>
      <c r="I839" s="26" t="s">
        <v>3477</v>
      </c>
      <c r="J839" s="78"/>
    </row>
    <row r="840" spans="2:10" hidden="1">
      <c r="B840" s="26" t="s">
        <v>2594</v>
      </c>
      <c r="G840" s="171" t="s">
        <v>1697</v>
      </c>
      <c r="J840" s="78"/>
    </row>
    <row r="841" spans="2:10" hidden="1">
      <c r="B841" s="26" t="s">
        <v>2595</v>
      </c>
      <c r="G841" s="171" t="s">
        <v>1697</v>
      </c>
      <c r="H841" s="26">
        <v>0.33</v>
      </c>
      <c r="I841" s="26" t="s">
        <v>2602</v>
      </c>
      <c r="J841" s="78"/>
    </row>
    <row r="842" spans="2:10" hidden="1">
      <c r="B842" s="26" t="s">
        <v>2596</v>
      </c>
      <c r="G842" s="171" t="s">
        <v>1697</v>
      </c>
      <c r="H842" s="68">
        <v>152</v>
      </c>
      <c r="I842" s="26" t="s">
        <v>2059</v>
      </c>
      <c r="J842" s="78"/>
    </row>
    <row r="843" spans="2:10" hidden="1">
      <c r="B843" s="26" t="s">
        <v>2597</v>
      </c>
      <c r="G843" s="171" t="s">
        <v>1697</v>
      </c>
      <c r="H843" s="26">
        <v>136.80000000000001</v>
      </c>
      <c r="I843" s="26" t="s">
        <v>2602</v>
      </c>
      <c r="J843" s="78"/>
    </row>
    <row r="844" spans="2:10" hidden="1">
      <c r="B844" s="26" t="s">
        <v>7081</v>
      </c>
      <c r="G844" s="171" t="s">
        <v>1697</v>
      </c>
      <c r="H844" s="68">
        <v>1.2</v>
      </c>
      <c r="I844" s="26" t="s">
        <v>2602</v>
      </c>
      <c r="J844" s="78"/>
    </row>
    <row r="845" spans="2:10" hidden="1">
      <c r="F845" s="26" t="s">
        <v>1518</v>
      </c>
      <c r="G845" s="171" t="s">
        <v>1697</v>
      </c>
      <c r="H845" s="68">
        <v>138</v>
      </c>
      <c r="I845" s="26" t="s">
        <v>2602</v>
      </c>
      <c r="J845" s="78"/>
    </row>
    <row r="846" spans="2:10" hidden="1">
      <c r="B846" s="26" t="s">
        <v>2598</v>
      </c>
      <c r="G846" s="171" t="s">
        <v>1697</v>
      </c>
      <c r="H846" s="68">
        <v>8</v>
      </c>
      <c r="I846" s="26" t="s">
        <v>4939</v>
      </c>
      <c r="J846" s="78"/>
    </row>
    <row r="847" spans="2:10" hidden="1">
      <c r="B847" s="26" t="s">
        <v>4619</v>
      </c>
      <c r="G847" s="171" t="s">
        <v>1697</v>
      </c>
      <c r="H847" s="68">
        <v>32</v>
      </c>
      <c r="I847" s="26" t="s">
        <v>2602</v>
      </c>
      <c r="J847" s="78"/>
    </row>
    <row r="848" spans="2:10" hidden="1">
      <c r="B848" s="26" t="s">
        <v>2599</v>
      </c>
      <c r="G848" s="171" t="s">
        <v>1697</v>
      </c>
      <c r="H848" s="68">
        <v>4.3</v>
      </c>
      <c r="I848" s="26" t="s">
        <v>3428</v>
      </c>
      <c r="J848" s="78"/>
    </row>
    <row r="849" spans="2:10" hidden="1">
      <c r="B849" s="26" t="s">
        <v>3338</v>
      </c>
      <c r="G849" s="171"/>
      <c r="J849" s="78"/>
    </row>
    <row r="850" spans="2:10" hidden="1">
      <c r="B850" s="26" t="s">
        <v>3339</v>
      </c>
      <c r="G850" s="171"/>
      <c r="J850" s="78"/>
    </row>
    <row r="851" spans="2:10" hidden="1">
      <c r="B851" s="26" t="s">
        <v>797</v>
      </c>
      <c r="G851" s="171" t="s">
        <v>1697</v>
      </c>
      <c r="H851" s="68">
        <v>10</v>
      </c>
      <c r="I851" s="26" t="s">
        <v>3478</v>
      </c>
      <c r="J851" s="78"/>
    </row>
    <row r="852" spans="2:10" hidden="1">
      <c r="B852" s="26" t="s">
        <v>3630</v>
      </c>
      <c r="G852" s="171" t="s">
        <v>1697</v>
      </c>
      <c r="H852" s="68">
        <v>0.5</v>
      </c>
      <c r="I852" s="26" t="s">
        <v>3478</v>
      </c>
      <c r="J852" s="78"/>
    </row>
    <row r="853" spans="2:10" hidden="1">
      <c r="F853" s="26" t="s">
        <v>1518</v>
      </c>
      <c r="G853" s="171" t="s">
        <v>1697</v>
      </c>
      <c r="H853" s="68">
        <v>10.5</v>
      </c>
      <c r="I853" s="26" t="s">
        <v>3478</v>
      </c>
      <c r="J853" s="78"/>
    </row>
    <row r="854" spans="2:10" hidden="1">
      <c r="B854" s="26" t="s">
        <v>3880</v>
      </c>
      <c r="G854" s="171" t="s">
        <v>1697</v>
      </c>
      <c r="H854" s="68">
        <v>2</v>
      </c>
      <c r="I854" s="26" t="s">
        <v>2059</v>
      </c>
      <c r="J854" s="78"/>
    </row>
    <row r="855" spans="2:10" hidden="1">
      <c r="B855" s="26" t="s">
        <v>4113</v>
      </c>
      <c r="G855" s="171"/>
      <c r="H855" s="68">
        <v>76</v>
      </c>
      <c r="I855" s="26" t="s">
        <v>2059</v>
      </c>
      <c r="J855" s="78"/>
    </row>
    <row r="856" spans="2:10" hidden="1">
      <c r="B856" s="26" t="s">
        <v>5703</v>
      </c>
      <c r="G856" s="171" t="s">
        <v>1697</v>
      </c>
      <c r="H856" s="68">
        <v>140</v>
      </c>
      <c r="I856" s="26" t="s">
        <v>3483</v>
      </c>
      <c r="J856" s="78"/>
    </row>
    <row r="857" spans="2:10" hidden="1">
      <c r="B857" s="26" t="s">
        <v>5959</v>
      </c>
      <c r="G857" s="171"/>
      <c r="J857" s="78"/>
    </row>
    <row r="858" spans="2:10" hidden="1">
      <c r="B858" s="26" t="s">
        <v>602</v>
      </c>
      <c r="G858" s="171" t="s">
        <v>1697</v>
      </c>
      <c r="H858" s="26">
        <v>0.85</v>
      </c>
      <c r="I858" s="26" t="s">
        <v>3477</v>
      </c>
      <c r="J858" s="78"/>
    </row>
    <row r="859" spans="2:10" hidden="1">
      <c r="B859" s="26" t="s">
        <v>603</v>
      </c>
      <c r="G859" s="171" t="s">
        <v>1697</v>
      </c>
      <c r="H859" s="68">
        <v>1</v>
      </c>
      <c r="I859" s="26" t="s">
        <v>3477</v>
      </c>
      <c r="J859" s="78"/>
    </row>
    <row r="860" spans="2:10" hidden="1">
      <c r="B860" s="26" t="s">
        <v>2981</v>
      </c>
      <c r="G860" s="171" t="s">
        <v>1697</v>
      </c>
      <c r="H860" s="68">
        <v>5</v>
      </c>
      <c r="I860" s="26" t="s">
        <v>3477</v>
      </c>
      <c r="J860" s="78"/>
    </row>
    <row r="861" spans="2:10" hidden="1">
      <c r="B861" s="26" t="s">
        <v>2543</v>
      </c>
      <c r="G861" s="171" t="s">
        <v>2982</v>
      </c>
      <c r="H861" s="68">
        <v>1</v>
      </c>
      <c r="I861" s="26" t="s">
        <v>3430</v>
      </c>
      <c r="J861" s="78"/>
    </row>
    <row r="862" spans="2:10" hidden="1">
      <c r="B862" s="26" t="s">
        <v>4171</v>
      </c>
      <c r="G862" s="171" t="s">
        <v>1697</v>
      </c>
      <c r="H862" s="68">
        <v>15</v>
      </c>
      <c r="I862" s="26" t="s">
        <v>6703</v>
      </c>
      <c r="J862" s="78"/>
    </row>
    <row r="863" spans="2:10" hidden="1">
      <c r="B863" s="26" t="s">
        <v>3736</v>
      </c>
      <c r="G863" s="171" t="s">
        <v>1697</v>
      </c>
      <c r="H863" s="68">
        <v>20</v>
      </c>
      <c r="I863" s="26" t="s">
        <v>6703</v>
      </c>
      <c r="J863" s="78"/>
    </row>
    <row r="864" spans="2:10" hidden="1">
      <c r="B864" s="26" t="s">
        <v>3985</v>
      </c>
      <c r="G864" s="171" t="s">
        <v>1697</v>
      </c>
      <c r="H864" s="68">
        <v>2</v>
      </c>
      <c r="I864" s="26" t="s">
        <v>1433</v>
      </c>
      <c r="J864" s="78"/>
    </row>
    <row r="865" spans="2:10" hidden="1">
      <c r="B865" s="26" t="s">
        <v>4030</v>
      </c>
      <c r="G865" s="171" t="s">
        <v>1697</v>
      </c>
      <c r="H865" s="68">
        <v>45</v>
      </c>
      <c r="I865" s="26" t="s">
        <v>3434</v>
      </c>
      <c r="J865" s="78"/>
    </row>
    <row r="866" spans="2:10" hidden="1">
      <c r="B866" s="26" t="s">
        <v>3799</v>
      </c>
      <c r="G866" s="171" t="s">
        <v>1697</v>
      </c>
      <c r="H866" s="26">
        <v>0.71</v>
      </c>
      <c r="I866" s="26" t="s">
        <v>6901</v>
      </c>
      <c r="J866" s="78"/>
    </row>
    <row r="867" spans="2:10" hidden="1">
      <c r="B867" s="26" t="s">
        <v>3633</v>
      </c>
      <c r="G867" s="171" t="s">
        <v>1697</v>
      </c>
      <c r="H867" s="26">
        <v>3.57</v>
      </c>
      <c r="I867" s="26" t="s">
        <v>3477</v>
      </c>
      <c r="J867" s="78"/>
    </row>
    <row r="868" spans="2:10" hidden="1">
      <c r="B868" s="26" t="s">
        <v>6136</v>
      </c>
      <c r="G868" s="171" t="s">
        <v>1697</v>
      </c>
      <c r="H868" s="68">
        <v>5</v>
      </c>
      <c r="I868" s="26" t="s">
        <v>3435</v>
      </c>
      <c r="J868" s="78"/>
    </row>
    <row r="869" spans="2:10" hidden="1">
      <c r="B869" s="26" t="s">
        <v>3803</v>
      </c>
      <c r="G869" s="171" t="s">
        <v>1697</v>
      </c>
      <c r="H869" s="26">
        <v>3.75</v>
      </c>
      <c r="I869" s="26" t="s">
        <v>2603</v>
      </c>
      <c r="J869" s="78"/>
    </row>
    <row r="870" spans="2:10" hidden="1">
      <c r="B870" s="26" t="s">
        <v>6936</v>
      </c>
      <c r="G870" s="171"/>
      <c r="J870" s="78"/>
    </row>
    <row r="871" spans="2:10" hidden="1">
      <c r="B871" s="26" t="s">
        <v>6937</v>
      </c>
      <c r="G871" s="171"/>
      <c r="J871" s="78"/>
    </row>
    <row r="872" spans="2:10" hidden="1">
      <c r="B872" s="26" t="s">
        <v>1903</v>
      </c>
      <c r="G872" s="171"/>
      <c r="J872" s="78"/>
    </row>
    <row r="873" spans="2:10" hidden="1">
      <c r="B873" s="26" t="s">
        <v>187</v>
      </c>
      <c r="G873" s="171"/>
      <c r="J873" s="78"/>
    </row>
    <row r="874" spans="2:10" hidden="1">
      <c r="B874" s="26" t="s">
        <v>1411</v>
      </c>
      <c r="G874" s="171"/>
      <c r="J874" s="78"/>
    </row>
    <row r="875" spans="2:10" hidden="1">
      <c r="B875" s="26" t="s">
        <v>2552</v>
      </c>
      <c r="G875" s="171" t="s">
        <v>1697</v>
      </c>
      <c r="H875" s="68">
        <v>4.5</v>
      </c>
      <c r="I875" s="26" t="s">
        <v>2603</v>
      </c>
      <c r="J875" s="78"/>
    </row>
    <row r="876" spans="2:10" hidden="1">
      <c r="B876" s="26" t="s">
        <v>5359</v>
      </c>
      <c r="G876" s="171" t="s">
        <v>1697</v>
      </c>
      <c r="J876" s="78"/>
    </row>
    <row r="877" spans="2:10" hidden="1">
      <c r="B877" s="26" t="s">
        <v>624</v>
      </c>
      <c r="G877" s="171" t="s">
        <v>1697</v>
      </c>
      <c r="H877" s="68">
        <v>4.5</v>
      </c>
      <c r="I877" s="26" t="s">
        <v>2603</v>
      </c>
      <c r="J877" s="78"/>
    </row>
    <row r="878" spans="2:10" hidden="1">
      <c r="B878" s="26" t="s">
        <v>762</v>
      </c>
      <c r="G878" s="171" t="s">
        <v>1697</v>
      </c>
      <c r="H878" s="68">
        <v>4</v>
      </c>
      <c r="I878" s="26" t="s">
        <v>2603</v>
      </c>
      <c r="J878" s="78"/>
    </row>
    <row r="879" spans="2:10" hidden="1">
      <c r="B879" s="26" t="s">
        <v>705</v>
      </c>
      <c r="G879" s="171" t="s">
        <v>1697</v>
      </c>
      <c r="H879" s="68">
        <v>2</v>
      </c>
      <c r="I879" s="26" t="s">
        <v>2603</v>
      </c>
      <c r="J879" s="78"/>
    </row>
    <row r="880" spans="2:10" hidden="1">
      <c r="B880" s="26" t="s">
        <v>3918</v>
      </c>
      <c r="G880" s="171" t="s">
        <v>1697</v>
      </c>
      <c r="H880" s="68">
        <v>3</v>
      </c>
      <c r="I880" s="26" t="s">
        <v>2603</v>
      </c>
      <c r="J880" s="78"/>
    </row>
    <row r="881" spans="2:10" hidden="1">
      <c r="B881" s="26" t="s">
        <v>263</v>
      </c>
      <c r="G881" s="171" t="s">
        <v>1697</v>
      </c>
      <c r="H881" s="68">
        <v>0.5</v>
      </c>
      <c r="I881" s="26" t="s">
        <v>2603</v>
      </c>
      <c r="J881" s="78"/>
    </row>
    <row r="882" spans="2:10" hidden="1">
      <c r="F882" s="26" t="s">
        <v>1518</v>
      </c>
      <c r="G882" s="171" t="s">
        <v>1697</v>
      </c>
      <c r="H882" s="68">
        <v>14</v>
      </c>
      <c r="I882" s="26" t="s">
        <v>2603</v>
      </c>
      <c r="J882" s="78"/>
    </row>
    <row r="883" spans="2:10" hidden="1">
      <c r="B883" s="26" t="s">
        <v>4114</v>
      </c>
      <c r="G883" s="171"/>
      <c r="H883" s="68">
        <v>3</v>
      </c>
      <c r="I883" s="26" t="s">
        <v>2059</v>
      </c>
      <c r="J883" s="78"/>
    </row>
    <row r="884" spans="2:10" hidden="1">
      <c r="B884" s="26" t="s">
        <v>4115</v>
      </c>
      <c r="G884" s="171"/>
      <c r="H884" s="26">
        <v>12.75</v>
      </c>
      <c r="I884" s="26" t="s">
        <v>6901</v>
      </c>
      <c r="J884" s="78"/>
    </row>
    <row r="885" spans="2:10" hidden="1">
      <c r="B885" s="26" t="s">
        <v>5360</v>
      </c>
      <c r="G885" s="171"/>
      <c r="H885" s="26">
        <v>38.25</v>
      </c>
      <c r="I885" s="26" t="s">
        <v>6901</v>
      </c>
      <c r="J885" s="78"/>
    </row>
    <row r="886" spans="2:10" hidden="1">
      <c r="B886" s="26" t="s">
        <v>4116</v>
      </c>
      <c r="G886" s="171"/>
      <c r="J886" s="78"/>
    </row>
    <row r="887" spans="2:10" hidden="1">
      <c r="B887" s="26" t="s">
        <v>5169</v>
      </c>
      <c r="G887" s="171"/>
      <c r="J887" s="78"/>
    </row>
    <row r="888" spans="2:10" hidden="1">
      <c r="B888" s="26" t="s">
        <v>5396</v>
      </c>
      <c r="G888" s="171"/>
      <c r="J888" s="78"/>
    </row>
    <row r="889" spans="2:10" hidden="1">
      <c r="B889" s="26" t="s">
        <v>2548</v>
      </c>
      <c r="G889" s="171"/>
      <c r="J889" s="78"/>
    </row>
    <row r="890" spans="2:10" hidden="1">
      <c r="B890" s="26" t="s">
        <v>3340</v>
      </c>
      <c r="G890" s="171"/>
      <c r="J890" s="78"/>
    </row>
    <row r="891" spans="2:10" hidden="1">
      <c r="B891" s="26" t="s">
        <v>2498</v>
      </c>
      <c r="G891" s="171"/>
      <c r="J891" s="78"/>
    </row>
    <row r="892" spans="2:10" hidden="1">
      <c r="B892" s="26" t="s">
        <v>5397</v>
      </c>
      <c r="G892" s="171" t="s">
        <v>1697</v>
      </c>
      <c r="H892" s="68">
        <v>55</v>
      </c>
      <c r="I892" s="26" t="s">
        <v>3479</v>
      </c>
      <c r="J892" s="78"/>
    </row>
    <row r="893" spans="2:10" hidden="1">
      <c r="B893" s="26" t="s">
        <v>4495</v>
      </c>
      <c r="G893" s="171" t="s">
        <v>1697</v>
      </c>
      <c r="H893" s="68">
        <v>80</v>
      </c>
      <c r="I893" s="26" t="s">
        <v>4041</v>
      </c>
      <c r="J893" s="78"/>
    </row>
    <row r="894" spans="2:10" hidden="1">
      <c r="B894" s="26" t="s">
        <v>5812</v>
      </c>
      <c r="G894" s="171"/>
      <c r="J894" s="78"/>
    </row>
    <row r="895" spans="2:10" hidden="1">
      <c r="B895" s="26" t="s">
        <v>4570</v>
      </c>
      <c r="G895" s="171"/>
      <c r="J895" s="78"/>
    </row>
    <row r="896" spans="2:10" hidden="1">
      <c r="B896" s="26" t="s">
        <v>4571</v>
      </c>
      <c r="G896" s="171"/>
      <c r="J896" s="78"/>
    </row>
    <row r="897" spans="1:10" hidden="1">
      <c r="B897" s="26" t="s">
        <v>4496</v>
      </c>
      <c r="G897" s="171"/>
      <c r="J897" s="78"/>
    </row>
    <row r="898" spans="1:10" hidden="1">
      <c r="B898" s="26" t="s">
        <v>288</v>
      </c>
      <c r="F898" s="68">
        <f>'BASIC DATA'!$D$307</f>
        <v>4028</v>
      </c>
      <c r="G898" s="171" t="s">
        <v>1698</v>
      </c>
      <c r="H898" s="68">
        <f>F898</f>
        <v>4028</v>
      </c>
      <c r="J898" s="78"/>
    </row>
    <row r="899" spans="1:10" hidden="1">
      <c r="B899" s="26" t="s">
        <v>99</v>
      </c>
      <c r="G899" s="171" t="s">
        <v>1697</v>
      </c>
      <c r="H899" s="68">
        <v>150</v>
      </c>
      <c r="I899" s="26" t="s">
        <v>2602</v>
      </c>
      <c r="J899" s="78"/>
    </row>
    <row r="900" spans="1:10" hidden="1">
      <c r="B900" s="26" t="s">
        <v>6834</v>
      </c>
      <c r="G900" s="171" t="s">
        <v>1698</v>
      </c>
      <c r="H900" s="68">
        <f>H898/H899</f>
        <v>26.853333333333332</v>
      </c>
      <c r="J900" s="78"/>
    </row>
    <row r="901" spans="1:10" hidden="1">
      <c r="B901" s="26" t="s">
        <v>7594</v>
      </c>
      <c r="G901" s="171" t="s">
        <v>1697</v>
      </c>
      <c r="H901" s="68">
        <v>50</v>
      </c>
      <c r="I901" s="26" t="s">
        <v>2602</v>
      </c>
      <c r="J901" s="78"/>
    </row>
    <row r="902" spans="1:10" hidden="1">
      <c r="B902" s="26" t="s">
        <v>401</v>
      </c>
      <c r="F902" s="68">
        <f>'BASIC DATA'!$D$344</f>
        <v>185</v>
      </c>
      <c r="G902" s="171" t="s">
        <v>1698</v>
      </c>
      <c r="H902" s="68">
        <f>F902*H901</f>
        <v>9250</v>
      </c>
      <c r="J902" s="78"/>
    </row>
    <row r="903" spans="1:10" hidden="1">
      <c r="B903" s="26" t="s">
        <v>5152</v>
      </c>
      <c r="G903" s="171" t="s">
        <v>1697</v>
      </c>
      <c r="H903" s="68">
        <v>800</v>
      </c>
      <c r="I903" s="26" t="s">
        <v>4665</v>
      </c>
      <c r="J903" s="78"/>
    </row>
    <row r="904" spans="1:10" hidden="1">
      <c r="B904" s="26" t="s">
        <v>6713</v>
      </c>
      <c r="G904" s="171" t="s">
        <v>1698</v>
      </c>
      <c r="H904" s="68">
        <f>H902/H903</f>
        <v>11.5625</v>
      </c>
      <c r="J904" s="78"/>
    </row>
    <row r="905" spans="1:10" hidden="1">
      <c r="H905" s="171"/>
      <c r="I905" s="68"/>
      <c r="J905" s="78"/>
    </row>
    <row r="906" spans="1:10">
      <c r="H906" s="171"/>
      <c r="I906" s="68"/>
      <c r="J906" s="78"/>
    </row>
    <row r="907" spans="1:10">
      <c r="A907" s="822" t="s">
        <v>3984</v>
      </c>
      <c r="E907" s="170" t="s">
        <v>2367</v>
      </c>
      <c r="H907" s="171"/>
      <c r="J907" s="78"/>
    </row>
    <row r="908" spans="1:10">
      <c r="H908" s="26" t="s">
        <v>297</v>
      </c>
      <c r="J908" s="78"/>
    </row>
    <row r="909" spans="1:10">
      <c r="B909" s="170" t="s">
        <v>2368</v>
      </c>
      <c r="C909" s="89"/>
      <c r="H909" s="211">
        <f>H839</f>
        <v>40</v>
      </c>
      <c r="I909" s="26" t="s">
        <v>3477</v>
      </c>
      <c r="J909" s="78"/>
    </row>
    <row r="910" spans="1:10">
      <c r="B910" s="95" t="s">
        <v>2369</v>
      </c>
      <c r="D910" s="157" t="s">
        <v>4443</v>
      </c>
      <c r="E910" s="97"/>
      <c r="F910" s="95" t="s">
        <v>2370</v>
      </c>
      <c r="G910" s="95" t="s">
        <v>1166</v>
      </c>
      <c r="H910" s="97" t="s">
        <v>6664</v>
      </c>
      <c r="I910" s="97" t="s">
        <v>6665</v>
      </c>
      <c r="J910" s="78"/>
    </row>
    <row r="911" spans="1:10">
      <c r="B911" s="191"/>
      <c r="C911" s="139"/>
      <c r="D911" s="174"/>
      <c r="E911" s="192"/>
      <c r="F911" s="191"/>
      <c r="G911" s="114"/>
      <c r="H911" s="115" t="s">
        <v>3856</v>
      </c>
      <c r="I911" s="115" t="s">
        <v>3857</v>
      </c>
      <c r="J911" s="78"/>
    </row>
    <row r="912" spans="1:10">
      <c r="B912" s="95">
        <v>1</v>
      </c>
      <c r="C912" s="131" t="s">
        <v>6263</v>
      </c>
      <c r="D912" s="187"/>
      <c r="E912" s="195"/>
      <c r="F912" s="107" t="s">
        <v>3483</v>
      </c>
      <c r="G912" s="179">
        <v>138</v>
      </c>
      <c r="H912" s="218">
        <f>H900</f>
        <v>26.853333333333332</v>
      </c>
      <c r="I912" s="155">
        <f>ROUND(H912*G912,2)</f>
        <v>3705.76</v>
      </c>
      <c r="J912" s="78"/>
    </row>
    <row r="913" spans="1:10">
      <c r="B913" s="105"/>
      <c r="C913" s="135" t="s">
        <v>5125</v>
      </c>
      <c r="D913" s="31"/>
      <c r="E913" s="189"/>
      <c r="F913" s="213">
        <v>0.1</v>
      </c>
      <c r="G913" s="190"/>
      <c r="H913" s="230"/>
      <c r="I913" s="155">
        <f>ROUND(I912*0.1,2)</f>
        <v>370.58</v>
      </c>
      <c r="J913" s="78"/>
    </row>
    <row r="914" spans="1:10">
      <c r="B914" s="105">
        <v>2</v>
      </c>
      <c r="C914" s="135" t="s">
        <v>413</v>
      </c>
      <c r="D914" s="31"/>
      <c r="E914" s="189"/>
      <c r="F914" s="210" t="s">
        <v>2374</v>
      </c>
      <c r="G914" s="190">
        <v>22</v>
      </c>
      <c r="H914" s="220">
        <f>H904</f>
        <v>11.5625</v>
      </c>
      <c r="I914" s="155">
        <f t="shared" ref="I914:I919" si="14">ROUND(H914*G914,2)</f>
        <v>254.38</v>
      </c>
      <c r="J914" s="78"/>
    </row>
    <row r="915" spans="1:10">
      <c r="B915" s="105">
        <v>3</v>
      </c>
      <c r="C915" s="135" t="s">
        <v>2148</v>
      </c>
      <c r="D915" s="31"/>
      <c r="E915" s="189"/>
      <c r="F915" s="210" t="s">
        <v>3478</v>
      </c>
      <c r="G915" s="190">
        <v>10.5</v>
      </c>
      <c r="H915" s="214">
        <f>'BASIC DATA'!$D$54</f>
        <v>70</v>
      </c>
      <c r="I915" s="155">
        <f t="shared" si="14"/>
        <v>735</v>
      </c>
      <c r="J915" s="78"/>
    </row>
    <row r="916" spans="1:10">
      <c r="B916" s="105">
        <v>4</v>
      </c>
      <c r="C916" s="135" t="s">
        <v>2058</v>
      </c>
      <c r="D916" s="31"/>
      <c r="E916" s="189"/>
      <c r="F916" s="210" t="s">
        <v>2059</v>
      </c>
      <c r="G916" s="190">
        <v>2</v>
      </c>
      <c r="H916" s="220">
        <f>'BASIC DATA'!$D$50</f>
        <v>7</v>
      </c>
      <c r="I916" s="155">
        <f t="shared" si="14"/>
        <v>14</v>
      </c>
      <c r="J916" s="78"/>
    </row>
    <row r="917" spans="1:10">
      <c r="B917" s="105">
        <v>5</v>
      </c>
      <c r="C917" s="135" t="s">
        <v>837</v>
      </c>
      <c r="D917" s="31"/>
      <c r="E917" s="189"/>
      <c r="F917" s="210" t="s">
        <v>2059</v>
      </c>
      <c r="G917" s="190">
        <v>76</v>
      </c>
      <c r="H917" s="214">
        <f>'BASIC DATA'!$D$48</f>
        <v>20</v>
      </c>
      <c r="I917" s="155">
        <f t="shared" si="14"/>
        <v>1520</v>
      </c>
      <c r="J917" s="78"/>
    </row>
    <row r="918" spans="1:10">
      <c r="B918" s="105">
        <v>6</v>
      </c>
      <c r="C918" s="135" t="s">
        <v>6094</v>
      </c>
      <c r="D918" s="31"/>
      <c r="E918" s="189"/>
      <c r="F918" s="210" t="s">
        <v>3483</v>
      </c>
      <c r="G918" s="190">
        <v>140</v>
      </c>
      <c r="H918" s="214">
        <f>'BASIC DATA'!$D$46</f>
        <v>9</v>
      </c>
      <c r="I918" s="155">
        <f t="shared" si="14"/>
        <v>1260</v>
      </c>
      <c r="J918" s="78"/>
    </row>
    <row r="919" spans="1:10">
      <c r="B919" s="114">
        <v>7</v>
      </c>
      <c r="C919" s="139" t="s">
        <v>2373</v>
      </c>
      <c r="D919" s="174"/>
      <c r="E919" s="192"/>
      <c r="F919" s="191" t="s">
        <v>2173</v>
      </c>
      <c r="G919" s="182">
        <v>2</v>
      </c>
      <c r="H919" s="215">
        <f>'BASIC DATA'!$D$359</f>
        <v>30</v>
      </c>
      <c r="I919" s="155">
        <f t="shared" si="14"/>
        <v>60</v>
      </c>
      <c r="J919" s="78"/>
    </row>
    <row r="920" spans="1:10">
      <c r="B920" s="184"/>
      <c r="C920" s="151"/>
      <c r="D920" s="159"/>
      <c r="E920" s="159" t="s">
        <v>2376</v>
      </c>
      <c r="F920" s="159"/>
      <c r="G920" s="159"/>
      <c r="H920" s="208" t="s">
        <v>4108</v>
      </c>
      <c r="I920" s="209">
        <f>SUM(I912:I919)</f>
        <v>7919.72</v>
      </c>
      <c r="J920" s="78"/>
    </row>
    <row r="921" spans="1:10">
      <c r="J921" s="78"/>
    </row>
    <row r="922" spans="1:10">
      <c r="B922" s="170" t="s">
        <v>2377</v>
      </c>
      <c r="C922" s="89"/>
      <c r="J922" s="78"/>
    </row>
    <row r="923" spans="1:10">
      <c r="A923" s="865"/>
      <c r="B923" s="95" t="s">
        <v>2369</v>
      </c>
      <c r="D923" s="157" t="s">
        <v>2378</v>
      </c>
      <c r="E923" s="97"/>
      <c r="F923" s="95" t="s">
        <v>2370</v>
      </c>
      <c r="G923" s="95" t="s">
        <v>1166</v>
      </c>
      <c r="H923" s="97" t="s">
        <v>6664</v>
      </c>
      <c r="I923" s="97" t="s">
        <v>6665</v>
      </c>
      <c r="J923" s="78"/>
    </row>
    <row r="924" spans="1:10">
      <c r="A924" s="865"/>
      <c r="B924" s="114"/>
      <c r="C924" s="139"/>
      <c r="D924" s="188"/>
      <c r="E924" s="115"/>
      <c r="F924" s="114"/>
      <c r="G924" s="114"/>
      <c r="H924" s="115" t="s">
        <v>3856</v>
      </c>
      <c r="I924" s="115" t="s">
        <v>3857</v>
      </c>
      <c r="J924" s="78"/>
    </row>
    <row r="925" spans="1:10">
      <c r="B925" s="95">
        <v>1</v>
      </c>
      <c r="C925" s="131" t="s">
        <v>298</v>
      </c>
      <c r="D925" s="187"/>
      <c r="E925" s="195"/>
      <c r="F925" s="107" t="s">
        <v>2374</v>
      </c>
      <c r="G925" s="179">
        <v>1</v>
      </c>
      <c r="H925" s="190">
        <f>'HIRE CHARGES'!$D$543</f>
        <v>1706.6</v>
      </c>
      <c r="I925" s="155">
        <f>ROUND(H925*G925,2)</f>
        <v>1706.6</v>
      </c>
      <c r="J925" s="78"/>
    </row>
    <row r="926" spans="1:10">
      <c r="B926" s="105"/>
      <c r="C926" s="135" t="s">
        <v>2379</v>
      </c>
      <c r="D926" s="31"/>
      <c r="E926" s="189"/>
      <c r="F926" s="210" t="s">
        <v>2374</v>
      </c>
      <c r="G926" s="190">
        <v>1</v>
      </c>
      <c r="H926" s="190">
        <f>'HIRE CHARGES'!$E$543</f>
        <v>872.7</v>
      </c>
      <c r="I926" s="155">
        <f t="shared" ref="I926:I934" si="15">ROUND(H926*G926,2)</f>
        <v>872.7</v>
      </c>
      <c r="J926" s="78"/>
    </row>
    <row r="927" spans="1:10">
      <c r="B927" s="105">
        <v>2</v>
      </c>
      <c r="C927" s="135" t="s">
        <v>1502</v>
      </c>
      <c r="D927" s="31"/>
      <c r="E927" s="189"/>
      <c r="F927" s="210" t="s">
        <v>2374</v>
      </c>
      <c r="G927" s="210">
        <v>0.25</v>
      </c>
      <c r="H927" s="190">
        <f>'HIRE CHARGES'!$D$499</f>
        <v>1715.5</v>
      </c>
      <c r="I927" s="155">
        <f t="shared" si="15"/>
        <v>428.88</v>
      </c>
      <c r="J927" s="78"/>
    </row>
    <row r="928" spans="1:10">
      <c r="B928" s="105"/>
      <c r="C928" s="135" t="s">
        <v>2379</v>
      </c>
      <c r="D928" s="31"/>
      <c r="E928" s="189"/>
      <c r="F928" s="210" t="s">
        <v>2374</v>
      </c>
      <c r="G928" s="210">
        <v>0.25</v>
      </c>
      <c r="H928" s="207">
        <f>'HIRE CHARGES'!$E$499</f>
        <v>610.5</v>
      </c>
      <c r="I928" s="155">
        <f t="shared" si="15"/>
        <v>152.63</v>
      </c>
      <c r="J928" s="78"/>
    </row>
    <row r="929" spans="1:10">
      <c r="B929" s="105">
        <v>3</v>
      </c>
      <c r="C929" s="135" t="s">
        <v>4298</v>
      </c>
      <c r="D929" s="31"/>
      <c r="E929" s="189"/>
      <c r="F929" s="210" t="s">
        <v>2374</v>
      </c>
      <c r="G929" s="190">
        <v>3</v>
      </c>
      <c r="H929" s="190">
        <f>'HIRE CHARGES'!$D$525</f>
        <v>580.69999999999993</v>
      </c>
      <c r="I929" s="155">
        <f t="shared" si="15"/>
        <v>1742.1</v>
      </c>
      <c r="J929" s="78"/>
    </row>
    <row r="930" spans="1:10">
      <c r="B930" s="105"/>
      <c r="C930" s="135" t="s">
        <v>2379</v>
      </c>
      <c r="D930" s="31"/>
      <c r="E930" s="189"/>
      <c r="F930" s="210" t="s">
        <v>2374</v>
      </c>
      <c r="G930" s="190">
        <v>3</v>
      </c>
      <c r="H930" s="190">
        <f>'HIRE CHARGES'!$E$525</f>
        <v>399.9</v>
      </c>
      <c r="I930" s="155">
        <f t="shared" si="15"/>
        <v>1199.7</v>
      </c>
      <c r="J930" s="78"/>
    </row>
    <row r="931" spans="1:10">
      <c r="B931" s="105">
        <v>4</v>
      </c>
      <c r="C931" s="135" t="s">
        <v>6720</v>
      </c>
      <c r="D931" s="31"/>
      <c r="E931" s="189"/>
      <c r="F931" s="210" t="s">
        <v>2374</v>
      </c>
      <c r="G931" s="190">
        <v>11</v>
      </c>
      <c r="H931" s="207">
        <f>'HIRE CHARGES'!$D$497</f>
        <v>170.8</v>
      </c>
      <c r="I931" s="155">
        <f t="shared" si="15"/>
        <v>1878.8</v>
      </c>
      <c r="J931" s="78"/>
    </row>
    <row r="932" spans="1:10">
      <c r="B932" s="105"/>
      <c r="C932" s="135" t="s">
        <v>2379</v>
      </c>
      <c r="D932" s="31"/>
      <c r="E932" s="189"/>
      <c r="F932" s="210" t="s">
        <v>2374</v>
      </c>
      <c r="G932" s="190">
        <v>11</v>
      </c>
      <c r="H932" s="207">
        <f>'HIRE CHARGES'!$E$497</f>
        <v>315.2</v>
      </c>
      <c r="I932" s="155">
        <f t="shared" si="15"/>
        <v>3467.2</v>
      </c>
      <c r="J932" s="78"/>
    </row>
    <row r="933" spans="1:10">
      <c r="B933" s="105">
        <v>5</v>
      </c>
      <c r="C933" s="135" t="s">
        <v>6721</v>
      </c>
      <c r="D933" s="31"/>
      <c r="E933" s="189"/>
      <c r="F933" s="210" t="s">
        <v>2374</v>
      </c>
      <c r="G933" s="190">
        <v>22</v>
      </c>
      <c r="H933" s="207">
        <f>'HIRE CHARGES'!$D$530</f>
        <v>19.8</v>
      </c>
      <c r="I933" s="155">
        <f t="shared" si="15"/>
        <v>435.6</v>
      </c>
      <c r="J933" s="78"/>
    </row>
    <row r="934" spans="1:10">
      <c r="B934" s="226"/>
      <c r="C934" s="139" t="s">
        <v>2379</v>
      </c>
      <c r="D934" s="174"/>
      <c r="E934" s="192"/>
      <c r="F934" s="191" t="s">
        <v>2374</v>
      </c>
      <c r="G934" s="182">
        <v>22</v>
      </c>
      <c r="H934" s="181">
        <f>'HIRE CHARGES'!$E$530</f>
        <v>0</v>
      </c>
      <c r="I934" s="155">
        <f t="shared" si="15"/>
        <v>0</v>
      </c>
      <c r="J934" s="78"/>
    </row>
    <row r="935" spans="1:10">
      <c r="B935" s="231"/>
      <c r="C935" s="151"/>
      <c r="D935" s="159"/>
      <c r="E935" s="159" t="s">
        <v>2380</v>
      </c>
      <c r="F935" s="159"/>
      <c r="G935" s="159"/>
      <c r="H935" s="208" t="s">
        <v>1698</v>
      </c>
      <c r="I935" s="209">
        <f>SUM(I925:I934)</f>
        <v>11884.210000000001</v>
      </c>
      <c r="J935" s="78"/>
    </row>
    <row r="936" spans="1:10">
      <c r="J936" s="78"/>
    </row>
    <row r="937" spans="1:10">
      <c r="B937" s="170" t="s">
        <v>2381</v>
      </c>
      <c r="C937" s="89"/>
      <c r="J937" s="78"/>
    </row>
    <row r="938" spans="1:10">
      <c r="A938" s="846"/>
      <c r="B938" s="232" t="s">
        <v>2369</v>
      </c>
      <c r="C938" s="135"/>
      <c r="D938" s="227" t="s">
        <v>2378</v>
      </c>
      <c r="E938" s="228"/>
      <c r="F938" s="225" t="s">
        <v>2370</v>
      </c>
      <c r="G938" s="225" t="s">
        <v>1166</v>
      </c>
      <c r="H938" s="228" t="s">
        <v>6664</v>
      </c>
      <c r="I938" s="228" t="s">
        <v>6665</v>
      </c>
      <c r="J938" s="78"/>
    </row>
    <row r="939" spans="1:10">
      <c r="A939" s="846"/>
      <c r="B939" s="226"/>
      <c r="C939" s="139"/>
      <c r="D939" s="177"/>
      <c r="E939" s="229"/>
      <c r="F939" s="226"/>
      <c r="G939" s="226"/>
      <c r="H939" s="229" t="s">
        <v>3856</v>
      </c>
      <c r="I939" s="229" t="s">
        <v>3857</v>
      </c>
      <c r="J939" s="78"/>
    </row>
    <row r="940" spans="1:10">
      <c r="B940" s="95">
        <v>1</v>
      </c>
      <c r="C940" s="131" t="s">
        <v>300</v>
      </c>
      <c r="D940" s="187"/>
      <c r="E940" s="195"/>
      <c r="F940" s="107" t="s">
        <v>2374</v>
      </c>
      <c r="G940" s="179">
        <v>1</v>
      </c>
      <c r="H940" s="190">
        <f>'HIRE CHARGES'!$F$543</f>
        <v>236.6</v>
      </c>
      <c r="I940" s="155">
        <f>ROUND(H940*G940,2)</f>
        <v>236.6</v>
      </c>
      <c r="J940" s="78"/>
    </row>
    <row r="941" spans="1:10">
      <c r="B941" s="105">
        <v>2</v>
      </c>
      <c r="C941" s="135" t="s">
        <v>839</v>
      </c>
      <c r="D941" s="31"/>
      <c r="E941" s="189"/>
      <c r="F941" s="210" t="s">
        <v>2374</v>
      </c>
      <c r="G941" s="190">
        <v>0.25</v>
      </c>
      <c r="H941" s="207">
        <f>'HIRE CHARGES'!$F$499</f>
        <v>236.6</v>
      </c>
      <c r="I941" s="155">
        <f t="shared" ref="I941:I950" si="16">ROUND(H941*G941,2)</f>
        <v>59.15</v>
      </c>
      <c r="J941" s="78"/>
    </row>
    <row r="942" spans="1:10">
      <c r="B942" s="105">
        <v>3</v>
      </c>
      <c r="C942" s="135" t="s">
        <v>4585</v>
      </c>
      <c r="D942" s="31"/>
      <c r="E942" s="189"/>
      <c r="F942" s="210" t="s">
        <v>2374</v>
      </c>
      <c r="G942" s="190">
        <v>3</v>
      </c>
      <c r="H942" s="190">
        <f>'HIRE CHARGES'!$F$525</f>
        <v>227.1</v>
      </c>
      <c r="I942" s="155">
        <f t="shared" si="16"/>
        <v>681.3</v>
      </c>
      <c r="J942" s="78"/>
    </row>
    <row r="943" spans="1:10">
      <c r="B943" s="105">
        <v>4</v>
      </c>
      <c r="C943" s="135" t="s">
        <v>4606</v>
      </c>
      <c r="D943" s="31"/>
      <c r="E943" s="189"/>
      <c r="F943" s="210" t="s">
        <v>2374</v>
      </c>
      <c r="G943" s="190">
        <v>11</v>
      </c>
      <c r="H943" s="207">
        <f>'HIRE CHARGES'!$F$497</f>
        <v>164.8</v>
      </c>
      <c r="I943" s="155">
        <f t="shared" si="16"/>
        <v>1812.8</v>
      </c>
      <c r="J943" s="78"/>
    </row>
    <row r="944" spans="1:10">
      <c r="B944" s="105">
        <v>5</v>
      </c>
      <c r="C944" s="135" t="s">
        <v>4607</v>
      </c>
      <c r="D944" s="31"/>
      <c r="E944" s="189"/>
      <c r="F944" s="210" t="s">
        <v>2374</v>
      </c>
      <c r="G944" s="190">
        <v>22</v>
      </c>
      <c r="H944" s="207">
        <f>'HIRE CHARGES'!$F$530</f>
        <v>329.6</v>
      </c>
      <c r="I944" s="155">
        <f t="shared" si="16"/>
        <v>7251.2</v>
      </c>
      <c r="J944" s="78"/>
    </row>
    <row r="945" spans="2:10">
      <c r="B945" s="105">
        <v>6</v>
      </c>
      <c r="C945" s="135" t="s">
        <v>4206</v>
      </c>
      <c r="D945" s="31"/>
      <c r="E945" s="189"/>
      <c r="F945" s="210" t="s">
        <v>1172</v>
      </c>
      <c r="G945" s="190">
        <v>0.5</v>
      </c>
      <c r="H945" s="207">
        <f>'BASIC DATA'!$C$473</f>
        <v>450</v>
      </c>
      <c r="I945" s="155">
        <f t="shared" si="16"/>
        <v>225</v>
      </c>
      <c r="J945" s="78"/>
    </row>
    <row r="946" spans="2:10">
      <c r="B946" s="105">
        <v>7</v>
      </c>
      <c r="C946" s="135" t="s">
        <v>4608</v>
      </c>
      <c r="D946" s="31"/>
      <c r="E946" s="189"/>
      <c r="F946" s="210" t="s">
        <v>1172</v>
      </c>
      <c r="G946" s="190">
        <v>0.5</v>
      </c>
      <c r="H946" s="207">
        <f>'BASIC DATA'!$C$466</f>
        <v>510</v>
      </c>
      <c r="I946" s="155">
        <f t="shared" si="16"/>
        <v>255</v>
      </c>
      <c r="J946" s="78"/>
    </row>
    <row r="947" spans="2:10">
      <c r="B947" s="105">
        <v>8</v>
      </c>
      <c r="C947" s="135" t="s">
        <v>4609</v>
      </c>
      <c r="D947" s="31"/>
      <c r="E947" s="189"/>
      <c r="F947" s="210" t="s">
        <v>1172</v>
      </c>
      <c r="G947" s="190">
        <v>0.5</v>
      </c>
      <c r="H947" s="207">
        <f>'BASIC DATA'!$C$520</f>
        <v>400</v>
      </c>
      <c r="I947" s="155">
        <f t="shared" si="16"/>
        <v>200</v>
      </c>
      <c r="J947" s="78"/>
    </row>
    <row r="948" spans="2:10">
      <c r="B948" s="105">
        <v>9</v>
      </c>
      <c r="C948" s="135" t="s">
        <v>5603</v>
      </c>
      <c r="D948" s="31"/>
      <c r="E948" s="189"/>
      <c r="F948" s="210" t="s">
        <v>1172</v>
      </c>
      <c r="G948" s="190">
        <v>0.5</v>
      </c>
      <c r="H948" s="207">
        <f>'BASIC DATA'!$C$514</f>
        <v>400</v>
      </c>
      <c r="I948" s="155">
        <f t="shared" si="16"/>
        <v>200</v>
      </c>
      <c r="J948" s="78"/>
    </row>
    <row r="949" spans="2:10">
      <c r="B949" s="105">
        <v>10</v>
      </c>
      <c r="C949" s="135" t="s">
        <v>1190</v>
      </c>
      <c r="D949" s="31"/>
      <c r="E949" s="189"/>
      <c r="F949" s="210" t="s">
        <v>1172</v>
      </c>
      <c r="G949" s="190">
        <v>0.5</v>
      </c>
      <c r="H949" s="207">
        <f>'BASIC DATA'!$C$546</f>
        <v>400</v>
      </c>
      <c r="I949" s="155">
        <f t="shared" si="16"/>
        <v>200</v>
      </c>
      <c r="J949" s="78"/>
    </row>
    <row r="950" spans="2:10">
      <c r="B950" s="105">
        <v>11</v>
      </c>
      <c r="C950" s="135" t="s">
        <v>2697</v>
      </c>
      <c r="D950" s="31"/>
      <c r="E950" s="189"/>
      <c r="F950" s="210" t="s">
        <v>1172</v>
      </c>
      <c r="G950" s="190">
        <v>2</v>
      </c>
      <c r="H950" s="190">
        <f>'BASIC DATA'!$C$552</f>
        <v>350</v>
      </c>
      <c r="I950" s="155">
        <f t="shared" si="16"/>
        <v>700</v>
      </c>
      <c r="J950" s="78"/>
    </row>
    <row r="951" spans="2:10">
      <c r="B951" s="184"/>
      <c r="C951" s="151"/>
      <c r="D951" s="159"/>
      <c r="E951" s="159" t="s">
        <v>1174</v>
      </c>
      <c r="F951" s="159"/>
      <c r="G951" s="159"/>
      <c r="H951" s="208" t="s">
        <v>4108</v>
      </c>
      <c r="I951" s="209">
        <f>SUM(I940:I950)</f>
        <v>11821.05</v>
      </c>
      <c r="J951" s="78"/>
    </row>
    <row r="952" spans="2:10">
      <c r="B952" s="60" t="s">
        <v>5948</v>
      </c>
      <c r="C952" s="76"/>
      <c r="D952" s="31"/>
      <c r="E952" s="31"/>
      <c r="F952" s="31"/>
      <c r="G952" s="85">
        <f>ROUND(I951/H909,1)</f>
        <v>295.5</v>
      </c>
      <c r="J952" s="78"/>
    </row>
    <row r="953" spans="2:10">
      <c r="B953" s="60" t="s">
        <v>3163</v>
      </c>
      <c r="C953" s="76"/>
      <c r="D953" s="31"/>
      <c r="E953" s="31"/>
      <c r="F953" s="922">
        <f>'BASIC DATA'!$C$577</f>
        <v>0.13614999999999999</v>
      </c>
      <c r="G953" s="85">
        <f>ROUND(G952*F953,1)</f>
        <v>40.200000000000003</v>
      </c>
      <c r="J953" s="78"/>
    </row>
    <row r="954" spans="2:10">
      <c r="B954" s="60" t="s">
        <v>5949</v>
      </c>
      <c r="C954" s="76"/>
      <c r="D954" s="31"/>
      <c r="E954" s="31"/>
      <c r="F954" s="31"/>
      <c r="G954" s="199">
        <f>ROUND(G953+G952,1)</f>
        <v>335.7</v>
      </c>
      <c r="J954" s="78"/>
    </row>
    <row r="955" spans="2:10">
      <c r="B955" s="31"/>
      <c r="C955" s="76"/>
      <c r="D955" s="31"/>
      <c r="E955" s="31"/>
      <c r="F955" s="31"/>
      <c r="G955" s="31"/>
      <c r="H955" s="200"/>
      <c r="I955" s="31"/>
      <c r="J955" s="78"/>
    </row>
    <row r="956" spans="2:10">
      <c r="B956" s="170" t="s">
        <v>1175</v>
      </c>
      <c r="H956" s="171"/>
      <c r="J956" s="78"/>
    </row>
    <row r="957" spans="2:10">
      <c r="B957" s="26" t="s">
        <v>1176</v>
      </c>
      <c r="H957" s="171" t="s">
        <v>1698</v>
      </c>
      <c r="I957" s="117">
        <f>I920</f>
        <v>7919.72</v>
      </c>
      <c r="J957" s="78"/>
    </row>
    <row r="958" spans="2:10">
      <c r="B958" s="26" t="s">
        <v>1186</v>
      </c>
      <c r="H958" s="171" t="s">
        <v>1698</v>
      </c>
      <c r="I958" s="117">
        <f>I935</f>
        <v>11884.210000000001</v>
      </c>
      <c r="J958" s="78"/>
    </row>
    <row r="959" spans="2:10">
      <c r="B959" s="26" t="s">
        <v>2660</v>
      </c>
      <c r="H959" s="171" t="s">
        <v>1698</v>
      </c>
      <c r="I959" s="120">
        <f>I951</f>
        <v>11821.05</v>
      </c>
      <c r="J959" s="78"/>
    </row>
    <row r="960" spans="2:10">
      <c r="G960" s="171" t="s">
        <v>1518</v>
      </c>
      <c r="H960" s="171" t="s">
        <v>1698</v>
      </c>
      <c r="I960" s="130">
        <f>SUM(I957:I959)</f>
        <v>31624.98</v>
      </c>
      <c r="J960" s="78"/>
    </row>
    <row r="961" spans="1:10" ht="18.75">
      <c r="B961" s="1215" t="s">
        <v>8375</v>
      </c>
      <c r="C961" s="1215"/>
      <c r="D961" s="1215"/>
      <c r="E961" s="1215"/>
      <c r="F961" s="1215"/>
      <c r="G961" s="922">
        <f>'BASIC DATA'!$C$577</f>
        <v>0.13614999999999999</v>
      </c>
      <c r="H961" s="171" t="s">
        <v>4108</v>
      </c>
      <c r="I961" s="76">
        <f>ROUND(I960*G961,2)</f>
        <v>4305.74</v>
      </c>
      <c r="J961" s="78"/>
    </row>
    <row r="962" spans="1:10">
      <c r="B962" s="1206" t="s">
        <v>1191</v>
      </c>
      <c r="C962" s="1206"/>
      <c r="D962" s="1206"/>
      <c r="E962" s="1206"/>
      <c r="F962" s="202">
        <f>H909</f>
        <v>40</v>
      </c>
      <c r="G962" s="171" t="str">
        <f>I909</f>
        <v>cum</v>
      </c>
      <c r="H962" s="171" t="s">
        <v>1698</v>
      </c>
      <c r="I962" s="199">
        <f>I961+I960</f>
        <v>35930.720000000001</v>
      </c>
      <c r="J962" s="78"/>
    </row>
    <row r="963" spans="1:10">
      <c r="B963" s="1161" t="s">
        <v>3884</v>
      </c>
      <c r="C963" s="1161"/>
      <c r="D963" s="203" t="str">
        <f>G962</f>
        <v>cum</v>
      </c>
      <c r="F963" s="26" t="s">
        <v>1381</v>
      </c>
      <c r="H963" s="171" t="s">
        <v>1698</v>
      </c>
      <c r="I963" s="204">
        <f>ROUND(I962/F962,1)</f>
        <v>898.3</v>
      </c>
      <c r="J963" s="78"/>
    </row>
    <row r="964" spans="1:10">
      <c r="G964" s="171"/>
      <c r="H964" s="171"/>
      <c r="I964" s="68"/>
      <c r="J964" s="78"/>
    </row>
    <row r="965" spans="1:10">
      <c r="G965" s="171"/>
      <c r="H965" s="171"/>
      <c r="I965" s="68"/>
      <c r="J965" s="78"/>
    </row>
    <row r="966" spans="1:10" ht="18.75">
      <c r="A966" s="822" t="s">
        <v>7047</v>
      </c>
      <c r="B966" s="26" t="s">
        <v>8389</v>
      </c>
      <c r="J966" s="78"/>
    </row>
    <row r="967" spans="1:10">
      <c r="B967" s="26" t="s">
        <v>4572</v>
      </c>
      <c r="J967" s="78"/>
    </row>
    <row r="968" spans="1:10">
      <c r="B968" s="26" t="s">
        <v>4573</v>
      </c>
      <c r="J968" s="78"/>
    </row>
    <row r="969" spans="1:10" ht="18.75">
      <c r="B969" s="26" t="s">
        <v>8390</v>
      </c>
      <c r="J969" s="78"/>
    </row>
    <row r="970" spans="1:10" hidden="1">
      <c r="A970" s="822" t="s">
        <v>3984</v>
      </c>
      <c r="B970" s="26" t="s">
        <v>5741</v>
      </c>
      <c r="J970" s="78"/>
    </row>
    <row r="971" spans="1:10" hidden="1">
      <c r="B971" s="26" t="s">
        <v>5742</v>
      </c>
      <c r="J971" s="78"/>
    </row>
    <row r="972" spans="1:10">
      <c r="J972" s="78"/>
    </row>
    <row r="973" spans="1:10">
      <c r="A973" s="822" t="s">
        <v>1907</v>
      </c>
      <c r="D973" s="170" t="s">
        <v>2367</v>
      </c>
      <c r="J973" s="78"/>
    </row>
    <row r="974" spans="1:10">
      <c r="H974" s="171" t="s">
        <v>1188</v>
      </c>
      <c r="J974" s="78"/>
    </row>
    <row r="975" spans="1:10">
      <c r="B975" s="170" t="s">
        <v>2368</v>
      </c>
      <c r="C975" s="89"/>
      <c r="H975" s="211">
        <v>100</v>
      </c>
      <c r="I975" s="26" t="s">
        <v>3479</v>
      </c>
      <c r="J975" s="78"/>
    </row>
    <row r="976" spans="1:10">
      <c r="A976" s="846"/>
      <c r="B976" s="225" t="s">
        <v>2369</v>
      </c>
      <c r="D976" s="227" t="s">
        <v>4443</v>
      </c>
      <c r="E976" s="228"/>
      <c r="F976" s="225" t="s">
        <v>2370</v>
      </c>
      <c r="G976" s="225" t="s">
        <v>1166</v>
      </c>
      <c r="H976" s="228" t="s">
        <v>6664</v>
      </c>
      <c r="I976" s="228" t="s">
        <v>6665</v>
      </c>
      <c r="J976" s="78"/>
    </row>
    <row r="977" spans="1:10">
      <c r="A977" s="846"/>
      <c r="B977" s="226"/>
      <c r="C977" s="89"/>
      <c r="D977" s="177"/>
      <c r="E977" s="229"/>
      <c r="F977" s="226"/>
      <c r="G977" s="226"/>
      <c r="H977" s="229" t="s">
        <v>3856</v>
      </c>
      <c r="I977" s="229" t="s">
        <v>3857</v>
      </c>
      <c r="J977" s="78"/>
    </row>
    <row r="978" spans="1:10">
      <c r="B978" s="95">
        <v>1</v>
      </c>
      <c r="C978" s="148" t="s">
        <v>6976</v>
      </c>
      <c r="D978" s="187"/>
      <c r="E978" s="195"/>
      <c r="F978" s="107"/>
      <c r="G978" s="179">
        <v>0</v>
      </c>
      <c r="H978" s="178">
        <v>0</v>
      </c>
      <c r="I978" s="155">
        <f>G978*H978</f>
        <v>0</v>
      </c>
      <c r="J978" s="78"/>
    </row>
    <row r="979" spans="1:10">
      <c r="B979" s="191"/>
      <c r="C979" s="89"/>
      <c r="D979" s="174"/>
      <c r="E979" s="192"/>
      <c r="F979" s="191"/>
      <c r="G979" s="182">
        <v>0</v>
      </c>
      <c r="H979" s="181">
        <v>0</v>
      </c>
      <c r="I979" s="144">
        <f>G979*H979</f>
        <v>0</v>
      </c>
      <c r="J979" s="78"/>
    </row>
    <row r="980" spans="1:10">
      <c r="B980" s="184"/>
      <c r="C980" s="151"/>
      <c r="D980" s="159"/>
      <c r="E980" s="159"/>
      <c r="F980" s="159" t="s">
        <v>2376</v>
      </c>
      <c r="G980" s="159"/>
      <c r="H980" s="208" t="s">
        <v>4108</v>
      </c>
      <c r="I980" s="209">
        <f>SUM(I978:I979)</f>
        <v>0</v>
      </c>
      <c r="J980" s="78"/>
    </row>
    <row r="981" spans="1:10">
      <c r="J981" s="78"/>
    </row>
    <row r="982" spans="1:10">
      <c r="B982" s="170" t="s">
        <v>2377</v>
      </c>
      <c r="C982" s="89"/>
      <c r="J982" s="78"/>
    </row>
    <row r="983" spans="1:10">
      <c r="A983" s="846"/>
      <c r="B983" s="232" t="s">
        <v>2369</v>
      </c>
      <c r="C983" s="135"/>
      <c r="D983" s="227" t="s">
        <v>2378</v>
      </c>
      <c r="E983" s="228"/>
      <c r="F983" s="225" t="s">
        <v>2370</v>
      </c>
      <c r="G983" s="225" t="s">
        <v>1166</v>
      </c>
      <c r="H983" s="228" t="s">
        <v>6664</v>
      </c>
      <c r="I983" s="228" t="s">
        <v>6665</v>
      </c>
      <c r="J983" s="78"/>
    </row>
    <row r="984" spans="1:10">
      <c r="A984" s="846"/>
      <c r="B984" s="226"/>
      <c r="C984" s="139"/>
      <c r="D984" s="177"/>
      <c r="E984" s="229"/>
      <c r="F984" s="226"/>
      <c r="G984" s="226"/>
      <c r="H984" s="229" t="s">
        <v>3856</v>
      </c>
      <c r="I984" s="229" t="s">
        <v>3857</v>
      </c>
      <c r="J984" s="78"/>
    </row>
    <row r="985" spans="1:10">
      <c r="B985" s="95">
        <v>1</v>
      </c>
      <c r="C985" s="131" t="s">
        <v>7127</v>
      </c>
      <c r="D985" s="187"/>
      <c r="E985" s="195"/>
      <c r="F985" s="107" t="s">
        <v>2374</v>
      </c>
      <c r="G985" s="179">
        <v>1</v>
      </c>
      <c r="H985" s="207">
        <f>'HIRE CHARGES'!$D$497</f>
        <v>170.8</v>
      </c>
      <c r="I985" s="155">
        <f>ROUND(H985*G985,2)</f>
        <v>170.8</v>
      </c>
      <c r="J985" s="78"/>
    </row>
    <row r="986" spans="1:10">
      <c r="B986" s="105"/>
      <c r="C986" s="135" t="s">
        <v>2379</v>
      </c>
      <c r="D986" s="31"/>
      <c r="E986" s="189"/>
      <c r="F986" s="210" t="s">
        <v>2374</v>
      </c>
      <c r="G986" s="190">
        <v>1</v>
      </c>
      <c r="H986" s="207">
        <f>'HIRE CHARGES'!$E$497</f>
        <v>315.2</v>
      </c>
      <c r="I986" s="155">
        <f>ROUND(H986*G986,2)</f>
        <v>315.2</v>
      </c>
      <c r="J986" s="78"/>
    </row>
    <row r="987" spans="1:10">
      <c r="B987" s="105">
        <v>2</v>
      </c>
      <c r="C987" s="135" t="s">
        <v>4497</v>
      </c>
      <c r="D987" s="31"/>
      <c r="E987" s="189"/>
      <c r="F987" s="210" t="s">
        <v>2374</v>
      </c>
      <c r="G987" s="190">
        <v>1</v>
      </c>
      <c r="H987" s="207">
        <f>'HIRE CHARGES'!$D$518</f>
        <v>3</v>
      </c>
      <c r="I987" s="155">
        <f>ROUND(H987*G987,2)</f>
        <v>3</v>
      </c>
      <c r="J987" s="78"/>
    </row>
    <row r="988" spans="1:10">
      <c r="B988" s="191"/>
      <c r="C988" s="139" t="s">
        <v>2379</v>
      </c>
      <c r="D988" s="174"/>
      <c r="E988" s="192"/>
      <c r="F988" s="191" t="s">
        <v>2374</v>
      </c>
      <c r="G988" s="182">
        <v>1</v>
      </c>
      <c r="H988" s="181">
        <f>'HIRE CHARGES'!$E$518</f>
        <v>28</v>
      </c>
      <c r="I988" s="155">
        <f>ROUND(H988*G988,2)</f>
        <v>28</v>
      </c>
      <c r="J988" s="78"/>
    </row>
    <row r="989" spans="1:10">
      <c r="B989" s="184"/>
      <c r="C989" s="151"/>
      <c r="D989" s="159" t="s">
        <v>2380</v>
      </c>
      <c r="E989" s="159"/>
      <c r="F989" s="159"/>
      <c r="G989" s="159"/>
      <c r="H989" s="208" t="s">
        <v>4108</v>
      </c>
      <c r="I989" s="209">
        <f>SUM(I985:I988)</f>
        <v>517</v>
      </c>
      <c r="J989" s="78"/>
    </row>
    <row r="990" spans="1:10">
      <c r="J990" s="78"/>
    </row>
    <row r="991" spans="1:10">
      <c r="B991" s="170" t="s">
        <v>2381</v>
      </c>
      <c r="C991" s="89"/>
      <c r="J991" s="78"/>
    </row>
    <row r="992" spans="1:10">
      <c r="B992" s="95" t="s">
        <v>2369</v>
      </c>
      <c r="D992" s="157" t="s">
        <v>2378</v>
      </c>
      <c r="E992" s="97"/>
      <c r="F992" s="95" t="s">
        <v>2370</v>
      </c>
      <c r="G992" s="95" t="s">
        <v>1166</v>
      </c>
      <c r="H992" s="97" t="s">
        <v>6664</v>
      </c>
      <c r="I992" s="97" t="s">
        <v>6665</v>
      </c>
      <c r="J992" s="78"/>
    </row>
    <row r="993" spans="2:10">
      <c r="B993" s="191"/>
      <c r="C993" s="139"/>
      <c r="D993" s="174"/>
      <c r="E993" s="192"/>
      <c r="F993" s="191"/>
      <c r="G993" s="114"/>
      <c r="H993" s="115" t="s">
        <v>3856</v>
      </c>
      <c r="I993" s="115" t="s">
        <v>3857</v>
      </c>
      <c r="J993" s="78"/>
    </row>
    <row r="994" spans="2:10">
      <c r="B994" s="95">
        <v>1</v>
      </c>
      <c r="C994" s="131" t="s">
        <v>4606</v>
      </c>
      <c r="D994" s="187"/>
      <c r="E994" s="195"/>
      <c r="F994" s="107" t="s">
        <v>2374</v>
      </c>
      <c r="G994" s="179">
        <v>1</v>
      </c>
      <c r="H994" s="207">
        <f>'HIRE CHARGES'!$F$497</f>
        <v>164.8</v>
      </c>
      <c r="I994" s="155">
        <f>ROUND(H994*G994,2)</f>
        <v>164.8</v>
      </c>
      <c r="J994" s="78"/>
    </row>
    <row r="995" spans="2:10">
      <c r="B995" s="105">
        <v>2</v>
      </c>
      <c r="C995" s="135" t="s">
        <v>999</v>
      </c>
      <c r="D995" s="31"/>
      <c r="E995" s="189"/>
      <c r="F995" s="210" t="s">
        <v>2374</v>
      </c>
      <c r="G995" s="190">
        <v>1</v>
      </c>
      <c r="H995" s="207">
        <f>'HIRE CHARGES'!$F$518</f>
        <v>83.3</v>
      </c>
      <c r="I995" s="155">
        <f>ROUND(H995*G995,2)</f>
        <v>83.3</v>
      </c>
      <c r="J995" s="78"/>
    </row>
    <row r="996" spans="2:10">
      <c r="B996" s="105">
        <v>3</v>
      </c>
      <c r="C996" s="135" t="s">
        <v>1190</v>
      </c>
      <c r="D996" s="31"/>
      <c r="E996" s="189"/>
      <c r="F996" s="210" t="s">
        <v>1172</v>
      </c>
      <c r="G996" s="190">
        <v>2</v>
      </c>
      <c r="H996" s="207">
        <f>'BASIC DATA'!$C$546</f>
        <v>400</v>
      </c>
      <c r="I996" s="155">
        <f>ROUND(H996*G996,2)</f>
        <v>800</v>
      </c>
      <c r="J996" s="78"/>
    </row>
    <row r="997" spans="2:10">
      <c r="B997" s="105">
        <v>4</v>
      </c>
      <c r="C997" s="135" t="s">
        <v>2697</v>
      </c>
      <c r="D997" s="31"/>
      <c r="E997" s="189"/>
      <c r="F997" s="210" t="s">
        <v>1172</v>
      </c>
      <c r="G997" s="190">
        <v>2.5</v>
      </c>
      <c r="H997" s="190">
        <f>'BASIC DATA'!$C$552</f>
        <v>350</v>
      </c>
      <c r="I997" s="155">
        <f>ROUND(H997*G997,2)</f>
        <v>875</v>
      </c>
      <c r="J997" s="78"/>
    </row>
    <row r="998" spans="2:10">
      <c r="B998" s="114">
        <v>5</v>
      </c>
      <c r="C998" s="139" t="s">
        <v>2092</v>
      </c>
      <c r="D998" s="174"/>
      <c r="E998" s="192"/>
      <c r="F998" s="191" t="s">
        <v>1172</v>
      </c>
      <c r="G998" s="182">
        <v>2</v>
      </c>
      <c r="H998" s="207">
        <f>'BASIC DATA'!$C$514</f>
        <v>400</v>
      </c>
      <c r="I998" s="155">
        <f>ROUND(H998*G998,2)</f>
        <v>800</v>
      </c>
      <c r="J998" s="78"/>
    </row>
    <row r="999" spans="2:10">
      <c r="B999" s="184"/>
      <c r="C999" s="151"/>
      <c r="D999" s="159"/>
      <c r="E999" s="159" t="s">
        <v>1174</v>
      </c>
      <c r="F999" s="159"/>
      <c r="G999" s="159"/>
      <c r="H999" s="208" t="s">
        <v>1698</v>
      </c>
      <c r="I999" s="209">
        <f>SUM(I994:I998)</f>
        <v>2723.1</v>
      </c>
      <c r="J999" s="78"/>
    </row>
    <row r="1000" spans="2:10">
      <c r="B1000" s="60" t="s">
        <v>5948</v>
      </c>
      <c r="C1000" s="76"/>
      <c r="D1000" s="31"/>
      <c r="E1000" s="31"/>
      <c r="F1000" s="31"/>
      <c r="G1000" s="85">
        <f>ROUND(I999/H975,1)</f>
        <v>27.2</v>
      </c>
      <c r="J1000" s="78"/>
    </row>
    <row r="1001" spans="2:10">
      <c r="B1001" s="60" t="s">
        <v>3163</v>
      </c>
      <c r="C1001" s="76"/>
      <c r="D1001" s="31"/>
      <c r="E1001" s="31"/>
      <c r="F1001" s="922">
        <f>'BASIC DATA'!$C$577</f>
        <v>0.13614999999999999</v>
      </c>
      <c r="G1001" s="85">
        <f>ROUND(G1000*F1001,1)</f>
        <v>3.7</v>
      </c>
      <c r="J1001" s="78"/>
    </row>
    <row r="1002" spans="2:10">
      <c r="B1002" s="60" t="s">
        <v>5949</v>
      </c>
      <c r="C1002" s="76"/>
      <c r="D1002" s="31"/>
      <c r="E1002" s="31"/>
      <c r="F1002" s="31"/>
      <c r="G1002" s="199">
        <f>ROUND(G1001+G1000,1)</f>
        <v>30.9</v>
      </c>
      <c r="J1002" s="78"/>
    </row>
    <row r="1003" spans="2:10">
      <c r="H1003" s="171"/>
      <c r="J1003" s="78"/>
    </row>
    <row r="1004" spans="2:10">
      <c r="B1004" s="170" t="s">
        <v>1175</v>
      </c>
      <c r="H1004" s="171"/>
      <c r="J1004" s="78"/>
    </row>
    <row r="1005" spans="2:10">
      <c r="B1005" s="26" t="s">
        <v>1176</v>
      </c>
      <c r="H1005" s="171" t="s">
        <v>1698</v>
      </c>
      <c r="I1005" s="117">
        <f>I980</f>
        <v>0</v>
      </c>
      <c r="J1005" s="78"/>
    </row>
    <row r="1006" spans="2:10">
      <c r="B1006" s="26" t="s">
        <v>1186</v>
      </c>
      <c r="H1006" s="171" t="s">
        <v>1698</v>
      </c>
      <c r="I1006" s="117">
        <f>I989</f>
        <v>517</v>
      </c>
      <c r="J1006" s="78"/>
    </row>
    <row r="1007" spans="2:10">
      <c r="B1007" s="26" t="s">
        <v>2660</v>
      </c>
      <c r="H1007" s="171" t="s">
        <v>1698</v>
      </c>
      <c r="I1007" s="85">
        <f>I999</f>
        <v>2723.1</v>
      </c>
      <c r="J1007" s="78"/>
    </row>
    <row r="1008" spans="2:10">
      <c r="G1008" s="171" t="s">
        <v>1518</v>
      </c>
      <c r="H1008" s="171" t="s">
        <v>1698</v>
      </c>
      <c r="I1008" s="130">
        <f>SUM(I1005:I1007)</f>
        <v>3240.1</v>
      </c>
      <c r="J1008" s="78"/>
    </row>
    <row r="1009" spans="1:10" ht="18.75">
      <c r="B1009" s="1207" t="s">
        <v>8375</v>
      </c>
      <c r="C1009" s="1207"/>
      <c r="D1009" s="1207"/>
      <c r="E1009" s="1207"/>
      <c r="F1009" s="1207"/>
      <c r="G1009" s="922">
        <f>'BASIC DATA'!$C$577</f>
        <v>0.13614999999999999</v>
      </c>
      <c r="H1009" s="171" t="s">
        <v>4108</v>
      </c>
      <c r="I1009" s="76">
        <f>ROUND(I1008*G1009,2)</f>
        <v>441.14</v>
      </c>
      <c r="J1009" s="78"/>
    </row>
    <row r="1010" spans="1:10">
      <c r="B1010" s="1206" t="s">
        <v>1191</v>
      </c>
      <c r="C1010" s="1206"/>
      <c r="D1010" s="1206"/>
      <c r="E1010" s="1206"/>
      <c r="F1010" s="202">
        <f>H975</f>
        <v>100</v>
      </c>
      <c r="G1010" s="171" t="str">
        <f>I975</f>
        <v>sqm</v>
      </c>
      <c r="H1010" s="171" t="s">
        <v>1698</v>
      </c>
      <c r="I1010" s="199">
        <f>I1009+I1008</f>
        <v>3681.24</v>
      </c>
      <c r="J1010" s="78"/>
    </row>
    <row r="1011" spans="1:10">
      <c r="B1011" s="1161" t="s">
        <v>3884</v>
      </c>
      <c r="C1011" s="1161"/>
      <c r="D1011" s="203" t="str">
        <f>G1010</f>
        <v>sqm</v>
      </c>
      <c r="F1011" s="26" t="s">
        <v>1380</v>
      </c>
      <c r="H1011" s="171" t="s">
        <v>1698</v>
      </c>
      <c r="I1011" s="204">
        <f>ROUND(I1010/F1010,1)</f>
        <v>36.799999999999997</v>
      </c>
      <c r="J1011" s="78"/>
    </row>
    <row r="1012" spans="1:10">
      <c r="G1012" s="171"/>
      <c r="H1012" s="171"/>
      <c r="I1012" s="117"/>
      <c r="J1012" s="78"/>
    </row>
    <row r="1013" spans="1:10">
      <c r="J1013" s="78"/>
    </row>
    <row r="1014" spans="1:10" ht="18.75">
      <c r="A1014" s="822" t="s">
        <v>7048</v>
      </c>
      <c r="B1014" s="26" t="s">
        <v>8391</v>
      </c>
      <c r="J1014" s="78"/>
    </row>
    <row r="1015" spans="1:10">
      <c r="B1015" s="26" t="s">
        <v>1438</v>
      </c>
      <c r="J1015" s="78"/>
    </row>
    <row r="1016" spans="1:10" ht="18.75">
      <c r="B1016" s="26" t="s">
        <v>8392</v>
      </c>
      <c r="J1016" s="78"/>
    </row>
    <row r="1017" spans="1:10" hidden="1">
      <c r="A1017" s="822" t="s">
        <v>3984</v>
      </c>
      <c r="B1017" s="26" t="s">
        <v>5743</v>
      </c>
      <c r="J1017" s="78"/>
    </row>
    <row r="1018" spans="1:10">
      <c r="J1018" s="78"/>
    </row>
    <row r="1019" spans="1:10">
      <c r="A1019" s="822" t="s">
        <v>1907</v>
      </c>
      <c r="F1019" s="170" t="s">
        <v>2367</v>
      </c>
      <c r="J1019" s="78"/>
    </row>
    <row r="1020" spans="1:10">
      <c r="H1020" s="171" t="s">
        <v>1188</v>
      </c>
      <c r="J1020" s="78"/>
    </row>
    <row r="1021" spans="1:10">
      <c r="B1021" s="170" t="s">
        <v>2368</v>
      </c>
      <c r="C1021" s="89"/>
      <c r="H1021" s="211">
        <v>100</v>
      </c>
      <c r="I1021" s="26" t="s">
        <v>3479</v>
      </c>
      <c r="J1021" s="78"/>
    </row>
    <row r="1022" spans="1:10">
      <c r="A1022" s="846"/>
      <c r="B1022" s="232" t="s">
        <v>2369</v>
      </c>
      <c r="C1022" s="135"/>
      <c r="D1022" s="227" t="s">
        <v>4443</v>
      </c>
      <c r="E1022" s="228"/>
      <c r="F1022" s="225" t="s">
        <v>2370</v>
      </c>
      <c r="G1022" s="225" t="s">
        <v>1166</v>
      </c>
      <c r="H1022" s="228" t="s">
        <v>6664</v>
      </c>
      <c r="I1022" s="228" t="s">
        <v>6665</v>
      </c>
      <c r="J1022" s="78"/>
    </row>
    <row r="1023" spans="1:10">
      <c r="A1023" s="846"/>
      <c r="B1023" s="226"/>
      <c r="C1023" s="139"/>
      <c r="D1023" s="177"/>
      <c r="E1023" s="229"/>
      <c r="F1023" s="226"/>
      <c r="G1023" s="226"/>
      <c r="H1023" s="229" t="s">
        <v>3856</v>
      </c>
      <c r="I1023" s="229" t="s">
        <v>3857</v>
      </c>
      <c r="J1023" s="78"/>
    </row>
    <row r="1024" spans="1:10">
      <c r="B1024" s="95">
        <v>1</v>
      </c>
      <c r="C1024" s="131" t="s">
        <v>6976</v>
      </c>
      <c r="D1024" s="187"/>
      <c r="E1024" s="195"/>
      <c r="F1024" s="107"/>
      <c r="G1024" s="179">
        <v>0</v>
      </c>
      <c r="H1024" s="178">
        <v>0</v>
      </c>
      <c r="I1024" s="155">
        <v>0</v>
      </c>
      <c r="J1024" s="78"/>
    </row>
    <row r="1025" spans="1:10">
      <c r="B1025" s="191"/>
      <c r="C1025" s="139"/>
      <c r="D1025" s="174"/>
      <c r="E1025" s="192"/>
      <c r="F1025" s="191"/>
      <c r="G1025" s="182">
        <v>0</v>
      </c>
      <c r="H1025" s="181">
        <v>0</v>
      </c>
      <c r="I1025" s="155">
        <f>H1025*G1025</f>
        <v>0</v>
      </c>
      <c r="J1025" s="78"/>
    </row>
    <row r="1026" spans="1:10">
      <c r="B1026" s="184"/>
      <c r="C1026" s="151"/>
      <c r="D1026" s="159"/>
      <c r="E1026" s="159"/>
      <c r="F1026" s="159" t="s">
        <v>2376</v>
      </c>
      <c r="G1026" s="159"/>
      <c r="H1026" s="208" t="s">
        <v>4108</v>
      </c>
      <c r="I1026" s="209">
        <f>SUM(I1024:I1025)</f>
        <v>0</v>
      </c>
      <c r="J1026" s="78"/>
    </row>
    <row r="1027" spans="1:10">
      <c r="J1027" s="78"/>
    </row>
    <row r="1028" spans="1:10">
      <c r="B1028" s="170" t="s">
        <v>2377</v>
      </c>
      <c r="C1028" s="89"/>
      <c r="J1028" s="78"/>
    </row>
    <row r="1029" spans="1:10">
      <c r="A1029" s="846"/>
      <c r="B1029" s="232" t="s">
        <v>2369</v>
      </c>
      <c r="C1029" s="135"/>
      <c r="D1029" s="227" t="s">
        <v>2378</v>
      </c>
      <c r="E1029" s="228"/>
      <c r="F1029" s="225" t="s">
        <v>2370</v>
      </c>
      <c r="G1029" s="225" t="s">
        <v>1166</v>
      </c>
      <c r="H1029" s="228" t="s">
        <v>6664</v>
      </c>
      <c r="I1029" s="228" t="s">
        <v>6665</v>
      </c>
      <c r="J1029" s="78"/>
    </row>
    <row r="1030" spans="1:10">
      <c r="A1030" s="846"/>
      <c r="B1030" s="226"/>
      <c r="C1030" s="139"/>
      <c r="D1030" s="177"/>
      <c r="E1030" s="229"/>
      <c r="F1030" s="226"/>
      <c r="G1030" s="226"/>
      <c r="H1030" s="229" t="s">
        <v>3856</v>
      </c>
      <c r="I1030" s="229" t="s">
        <v>3857</v>
      </c>
      <c r="J1030" s="78"/>
    </row>
    <row r="1031" spans="1:10">
      <c r="B1031" s="95">
        <v>1</v>
      </c>
      <c r="C1031" s="131" t="s">
        <v>6976</v>
      </c>
      <c r="D1031" s="187"/>
      <c r="E1031" s="195"/>
      <c r="F1031" s="107"/>
      <c r="G1031" s="179">
        <v>0</v>
      </c>
      <c r="H1031" s="178">
        <v>0</v>
      </c>
      <c r="I1031" s="155">
        <f>H1031*G1031</f>
        <v>0</v>
      </c>
      <c r="J1031" s="78"/>
    </row>
    <row r="1032" spans="1:10">
      <c r="B1032" s="191"/>
      <c r="C1032" s="139"/>
      <c r="D1032" s="174"/>
      <c r="E1032" s="192"/>
      <c r="F1032" s="191"/>
      <c r="G1032" s="182">
        <v>0</v>
      </c>
      <c r="H1032" s="181">
        <v>0</v>
      </c>
      <c r="I1032" s="155">
        <f>H1032*G1032</f>
        <v>0</v>
      </c>
      <c r="J1032" s="78"/>
    </row>
    <row r="1033" spans="1:10">
      <c r="B1033" s="184"/>
      <c r="C1033" s="151"/>
      <c r="D1033" s="159"/>
      <c r="E1033" s="159"/>
      <c r="F1033" s="159" t="s">
        <v>4498</v>
      </c>
      <c r="G1033" s="159"/>
      <c r="H1033" s="208" t="s">
        <v>4108</v>
      </c>
      <c r="I1033" s="209">
        <f>SUM(I1031:I1032)</f>
        <v>0</v>
      </c>
      <c r="J1033" s="78"/>
    </row>
    <row r="1034" spans="1:10">
      <c r="J1034" s="78"/>
    </row>
    <row r="1035" spans="1:10">
      <c r="B1035" s="170" t="s">
        <v>2381</v>
      </c>
      <c r="C1035" s="89"/>
      <c r="J1035" s="78"/>
    </row>
    <row r="1036" spans="1:10">
      <c r="B1036" s="95" t="s">
        <v>2369</v>
      </c>
      <c r="D1036" s="157" t="s">
        <v>2378</v>
      </c>
      <c r="E1036" s="97"/>
      <c r="F1036" s="95" t="s">
        <v>2370</v>
      </c>
      <c r="G1036" s="95" t="s">
        <v>1166</v>
      </c>
      <c r="H1036" s="97" t="s">
        <v>6664</v>
      </c>
      <c r="I1036" s="97" t="s">
        <v>6665</v>
      </c>
      <c r="J1036" s="78"/>
    </row>
    <row r="1037" spans="1:10">
      <c r="B1037" s="191"/>
      <c r="C1037" s="139"/>
      <c r="D1037" s="174"/>
      <c r="E1037" s="192"/>
      <c r="F1037" s="191"/>
      <c r="G1037" s="114"/>
      <c r="H1037" s="115" t="s">
        <v>3856</v>
      </c>
      <c r="I1037" s="115" t="s">
        <v>3857</v>
      </c>
      <c r="J1037" s="78"/>
    </row>
    <row r="1038" spans="1:10">
      <c r="B1038" s="95">
        <v>1</v>
      </c>
      <c r="C1038" s="131" t="s">
        <v>2092</v>
      </c>
      <c r="D1038" s="187"/>
      <c r="E1038" s="195"/>
      <c r="F1038" s="107" t="s">
        <v>1172</v>
      </c>
      <c r="G1038" s="179">
        <v>2</v>
      </c>
      <c r="H1038" s="207">
        <f>'BASIC DATA'!$C$514</f>
        <v>400</v>
      </c>
      <c r="I1038" s="155">
        <f>ROUND(H1038*G1038,2)</f>
        <v>800</v>
      </c>
      <c r="J1038" s="78"/>
    </row>
    <row r="1039" spans="1:10">
      <c r="B1039" s="105">
        <v>2</v>
      </c>
      <c r="C1039" s="135" t="s">
        <v>1190</v>
      </c>
      <c r="D1039" s="31"/>
      <c r="E1039" s="189"/>
      <c r="F1039" s="210" t="s">
        <v>1172</v>
      </c>
      <c r="G1039" s="190">
        <v>2</v>
      </c>
      <c r="H1039" s="207">
        <f>'BASIC DATA'!$C$546</f>
        <v>400</v>
      </c>
      <c r="I1039" s="155">
        <f>ROUND(H1039*G1039,2)</f>
        <v>800</v>
      </c>
      <c r="J1039" s="78"/>
    </row>
    <row r="1040" spans="1:10">
      <c r="B1040" s="114">
        <v>3</v>
      </c>
      <c r="C1040" s="139" t="s">
        <v>2697</v>
      </c>
      <c r="D1040" s="174"/>
      <c r="E1040" s="192"/>
      <c r="F1040" s="191" t="s">
        <v>1172</v>
      </c>
      <c r="G1040" s="182">
        <v>2</v>
      </c>
      <c r="H1040" s="190">
        <f>'BASIC DATA'!$C$552</f>
        <v>350</v>
      </c>
      <c r="I1040" s="155">
        <f>ROUND(H1040*G1040,2)</f>
        <v>700</v>
      </c>
      <c r="J1040" s="78"/>
    </row>
    <row r="1041" spans="1:10">
      <c r="B1041" s="184"/>
      <c r="C1041" s="151"/>
      <c r="D1041" s="159"/>
      <c r="E1041" s="159" t="s">
        <v>1174</v>
      </c>
      <c r="F1041" s="159"/>
      <c r="G1041" s="159"/>
      <c r="H1041" s="208" t="s">
        <v>1698</v>
      </c>
      <c r="I1041" s="209">
        <f>SUM(I1038:I1040)</f>
        <v>2300</v>
      </c>
      <c r="J1041" s="78"/>
    </row>
    <row r="1042" spans="1:10">
      <c r="B1042" s="60" t="s">
        <v>5948</v>
      </c>
      <c r="C1042" s="76"/>
      <c r="D1042" s="31"/>
      <c r="E1042" s="31"/>
      <c r="F1042" s="31"/>
      <c r="G1042" s="85">
        <f>ROUND(I1041/H1021,1)</f>
        <v>23</v>
      </c>
      <c r="J1042" s="78"/>
    </row>
    <row r="1043" spans="1:10">
      <c r="B1043" s="60" t="s">
        <v>3163</v>
      </c>
      <c r="C1043" s="76"/>
      <c r="D1043" s="31"/>
      <c r="E1043" s="31"/>
      <c r="F1043" s="922">
        <f>'BASIC DATA'!$C$577</f>
        <v>0.13614999999999999</v>
      </c>
      <c r="G1043" s="85">
        <f>ROUND(G1042*F1043,1)</f>
        <v>3.1</v>
      </c>
      <c r="J1043" s="78"/>
    </row>
    <row r="1044" spans="1:10">
      <c r="B1044" s="60" t="s">
        <v>5949</v>
      </c>
      <c r="C1044" s="76"/>
      <c r="D1044" s="31"/>
      <c r="E1044" s="31"/>
      <c r="F1044" s="31"/>
      <c r="G1044" s="199">
        <f>ROUND(G1043+G1042,1)</f>
        <v>26.1</v>
      </c>
      <c r="J1044" s="78"/>
    </row>
    <row r="1045" spans="1:10">
      <c r="B1045" s="31"/>
      <c r="C1045" s="76"/>
      <c r="D1045" s="31"/>
      <c r="E1045" s="31"/>
      <c r="F1045" s="31"/>
      <c r="G1045" s="31"/>
      <c r="H1045" s="200"/>
      <c r="I1045" s="85"/>
      <c r="J1045" s="78"/>
    </row>
    <row r="1046" spans="1:10">
      <c r="B1046" s="170" t="s">
        <v>1175</v>
      </c>
      <c r="H1046" s="171"/>
      <c r="J1046" s="78"/>
    </row>
    <row r="1047" spans="1:10">
      <c r="B1047" s="26" t="s">
        <v>1176</v>
      </c>
      <c r="H1047" s="171" t="s">
        <v>1698</v>
      </c>
      <c r="I1047" s="117">
        <f>I1026</f>
        <v>0</v>
      </c>
      <c r="J1047" s="78"/>
    </row>
    <row r="1048" spans="1:10">
      <c r="B1048" s="26" t="s">
        <v>1186</v>
      </c>
      <c r="H1048" s="171" t="s">
        <v>1698</v>
      </c>
      <c r="I1048" s="117">
        <f>I1033</f>
        <v>0</v>
      </c>
      <c r="J1048" s="78"/>
    </row>
    <row r="1049" spans="1:10">
      <c r="B1049" s="26" t="s">
        <v>2660</v>
      </c>
      <c r="H1049" s="171" t="s">
        <v>1698</v>
      </c>
      <c r="I1049" s="117">
        <f>I1041</f>
        <v>2300</v>
      </c>
      <c r="J1049" s="78"/>
    </row>
    <row r="1050" spans="1:10">
      <c r="G1050" s="171" t="s">
        <v>1518</v>
      </c>
      <c r="H1050" s="171" t="s">
        <v>1698</v>
      </c>
      <c r="I1050" s="130">
        <f>SUM(I1047:I1049)</f>
        <v>2300</v>
      </c>
      <c r="J1050" s="78"/>
    </row>
    <row r="1051" spans="1:10" ht="18.75">
      <c r="B1051" s="1207" t="s">
        <v>8375</v>
      </c>
      <c r="C1051" s="1207"/>
      <c r="D1051" s="1207"/>
      <c r="E1051" s="1207"/>
      <c r="F1051" s="1207"/>
      <c r="G1051" s="922">
        <f>'BASIC DATA'!$C$577</f>
        <v>0.13614999999999999</v>
      </c>
      <c r="H1051" s="171" t="s">
        <v>4108</v>
      </c>
      <c r="I1051" s="76">
        <f>ROUND(I1050*G1051,2)</f>
        <v>313.14999999999998</v>
      </c>
      <c r="J1051" s="78"/>
    </row>
    <row r="1052" spans="1:10">
      <c r="B1052" s="1206" t="s">
        <v>1191</v>
      </c>
      <c r="C1052" s="1206"/>
      <c r="D1052" s="1206"/>
      <c r="E1052" s="1206"/>
      <c r="F1052" s="202">
        <f>H1021</f>
        <v>100</v>
      </c>
      <c r="G1052" s="171" t="str">
        <f>I1021</f>
        <v>sqm</v>
      </c>
      <c r="H1052" s="171" t="s">
        <v>1698</v>
      </c>
      <c r="I1052" s="199">
        <f>I1051+I1050</f>
        <v>2613.15</v>
      </c>
      <c r="J1052" s="78"/>
    </row>
    <row r="1053" spans="1:10">
      <c r="B1053" s="1161" t="s">
        <v>3884</v>
      </c>
      <c r="C1053" s="1161"/>
      <c r="D1053" s="203" t="str">
        <f>G1052</f>
        <v>sqm</v>
      </c>
      <c r="F1053" s="26" t="s">
        <v>1380</v>
      </c>
      <c r="H1053" s="171" t="s">
        <v>1698</v>
      </c>
      <c r="I1053" s="204">
        <f>ROUND(I1052/F1052,1)</f>
        <v>26.1</v>
      </c>
      <c r="J1053" s="78"/>
    </row>
    <row r="1054" spans="1:10">
      <c r="H1054" s="171"/>
      <c r="J1054" s="78"/>
    </row>
    <row r="1055" spans="1:10">
      <c r="J1055" s="78"/>
    </row>
    <row r="1056" spans="1:10">
      <c r="A1056" s="822" t="s">
        <v>7049</v>
      </c>
      <c r="B1056" s="26" t="s">
        <v>8393</v>
      </c>
      <c r="J1056" s="78"/>
    </row>
    <row r="1057" spans="1:10" ht="18.75">
      <c r="B1057" s="26" t="s">
        <v>8394</v>
      </c>
      <c r="J1057" s="78"/>
    </row>
    <row r="1058" spans="1:10">
      <c r="B1058" s="26" t="s">
        <v>4348</v>
      </c>
      <c r="J1058" s="78"/>
    </row>
    <row r="1059" spans="1:10">
      <c r="B1059" s="26" t="s">
        <v>4349</v>
      </c>
      <c r="J1059" s="78"/>
    </row>
    <row r="1060" spans="1:10">
      <c r="B1060" s="26" t="s">
        <v>3882</v>
      </c>
      <c r="J1060" s="78"/>
    </row>
    <row r="1061" spans="1:10">
      <c r="B1061" s="170" t="s">
        <v>7976</v>
      </c>
      <c r="J1061" s="78"/>
    </row>
    <row r="1062" spans="1:10">
      <c r="A1062" s="822" t="s">
        <v>1237</v>
      </c>
      <c r="B1062" s="26" t="s">
        <v>4350</v>
      </c>
      <c r="J1062" s="78"/>
    </row>
    <row r="1063" spans="1:10">
      <c r="B1063" s="26" t="s">
        <v>4351</v>
      </c>
      <c r="J1063" s="78"/>
    </row>
    <row r="1064" spans="1:10" hidden="1">
      <c r="A1064" s="822" t="s">
        <v>3984</v>
      </c>
      <c r="B1064" s="26" t="s">
        <v>4352</v>
      </c>
      <c r="J1064" s="78"/>
    </row>
    <row r="1065" spans="1:10" hidden="1">
      <c r="B1065" s="26" t="s">
        <v>4353</v>
      </c>
      <c r="J1065" s="78"/>
    </row>
    <row r="1066" spans="1:10" hidden="1">
      <c r="B1066" s="26" t="s">
        <v>5432</v>
      </c>
      <c r="J1066" s="78"/>
    </row>
    <row r="1067" spans="1:10" hidden="1">
      <c r="B1067" s="26" t="s">
        <v>5433</v>
      </c>
      <c r="J1067" s="78"/>
    </row>
    <row r="1068" spans="1:10" hidden="1">
      <c r="B1068" s="26" t="s">
        <v>3813</v>
      </c>
      <c r="J1068" s="78"/>
    </row>
    <row r="1069" spans="1:10" hidden="1">
      <c r="B1069" s="26" t="s">
        <v>2181</v>
      </c>
      <c r="F1069" s="26" t="s">
        <v>2182</v>
      </c>
      <c r="G1069" s="171" t="s">
        <v>1697</v>
      </c>
      <c r="H1069" s="26">
        <v>96</v>
      </c>
      <c r="I1069" s="26" t="s">
        <v>2602</v>
      </c>
      <c r="J1069" s="78"/>
    </row>
    <row r="1070" spans="1:10" hidden="1">
      <c r="B1070" s="26" t="s">
        <v>7256</v>
      </c>
      <c r="G1070" s="171"/>
      <c r="J1070" s="78"/>
    </row>
    <row r="1071" spans="1:10" hidden="1">
      <c r="B1071" s="26" t="s">
        <v>2183</v>
      </c>
      <c r="G1071" s="171"/>
      <c r="J1071" s="78"/>
    </row>
    <row r="1072" spans="1:10" hidden="1">
      <c r="B1072" s="26" t="s">
        <v>2366</v>
      </c>
      <c r="G1072" s="171"/>
      <c r="J1072" s="78"/>
    </row>
    <row r="1073" spans="1:10" hidden="1">
      <c r="B1073" s="26" t="s">
        <v>3700</v>
      </c>
      <c r="F1073" s="68">
        <f>'BASIC DATA'!$D$313</f>
        <v>5000</v>
      </c>
      <c r="G1073" s="171" t="s">
        <v>1698</v>
      </c>
      <c r="H1073" s="68">
        <f>F1073</f>
        <v>5000</v>
      </c>
      <c r="J1073" s="78"/>
    </row>
    <row r="1074" spans="1:10" hidden="1">
      <c r="B1074" s="26" t="s">
        <v>3701</v>
      </c>
      <c r="F1074" s="68">
        <f>'BASIC DATA'!$D$306</f>
        <v>2120</v>
      </c>
      <c r="G1074" s="171" t="s">
        <v>1698</v>
      </c>
      <c r="H1074" s="68">
        <f>4.5*F1074</f>
        <v>9540</v>
      </c>
      <c r="J1074" s="78"/>
    </row>
    <row r="1075" spans="1:10" hidden="1">
      <c r="B1075" s="26" t="s">
        <v>3702</v>
      </c>
      <c r="F1075" s="68">
        <f>'BASIC DATA'!$D$345</f>
        <v>300</v>
      </c>
      <c r="G1075" s="171" t="s">
        <v>1698</v>
      </c>
      <c r="H1075" s="68">
        <f>50*F1075</f>
        <v>15000</v>
      </c>
      <c r="J1075" s="78"/>
    </row>
    <row r="1076" spans="1:10" hidden="1">
      <c r="B1076" s="26" t="s">
        <v>3962</v>
      </c>
      <c r="G1076" s="171" t="s">
        <v>1697</v>
      </c>
      <c r="H1076" s="68">
        <v>80</v>
      </c>
      <c r="I1076" s="26" t="s">
        <v>2602</v>
      </c>
      <c r="J1076" s="78"/>
    </row>
    <row r="1077" spans="1:10" hidden="1">
      <c r="B1077" s="26" t="s">
        <v>3963</v>
      </c>
      <c r="G1077" s="171" t="s">
        <v>1697</v>
      </c>
      <c r="H1077" s="68">
        <v>1500</v>
      </c>
      <c r="I1077" s="26" t="s">
        <v>2602</v>
      </c>
      <c r="J1077" s="78"/>
    </row>
    <row r="1078" spans="1:10" hidden="1">
      <c r="B1078" s="26" t="s">
        <v>5152</v>
      </c>
      <c r="G1078" s="171" t="s">
        <v>1697</v>
      </c>
      <c r="H1078" s="68">
        <v>800</v>
      </c>
      <c r="I1078" s="26" t="s">
        <v>7257</v>
      </c>
      <c r="J1078" s="78"/>
    </row>
    <row r="1079" spans="1:10" hidden="1">
      <c r="B1079" s="26" t="s">
        <v>3781</v>
      </c>
      <c r="G1079" s="171" t="s">
        <v>1698</v>
      </c>
      <c r="H1079" s="68">
        <f>H1073/H1076</f>
        <v>62.5</v>
      </c>
      <c r="J1079" s="78"/>
    </row>
    <row r="1080" spans="1:10" hidden="1">
      <c r="B1080" s="26" t="s">
        <v>3782</v>
      </c>
      <c r="G1080" s="171" t="s">
        <v>1698</v>
      </c>
      <c r="H1080" s="68">
        <f>H1074/H1077</f>
        <v>6.36</v>
      </c>
      <c r="J1080" s="78"/>
    </row>
    <row r="1081" spans="1:10" hidden="1">
      <c r="B1081" s="26" t="s">
        <v>3783</v>
      </c>
      <c r="G1081" s="171" t="s">
        <v>1698</v>
      </c>
      <c r="H1081" s="68">
        <f>H1075/H1078</f>
        <v>18.75</v>
      </c>
      <c r="J1081" s="78"/>
    </row>
    <row r="1082" spans="1:10" hidden="1">
      <c r="B1082" s="26" t="s">
        <v>3784</v>
      </c>
      <c r="J1082" s="78"/>
    </row>
    <row r="1083" spans="1:10" hidden="1">
      <c r="B1083" s="26" t="s">
        <v>3785</v>
      </c>
      <c r="J1083" s="78"/>
    </row>
    <row r="1084" spans="1:10" hidden="1">
      <c r="B1084" s="26" t="s">
        <v>6969</v>
      </c>
      <c r="J1084" s="78"/>
    </row>
    <row r="1085" spans="1:10">
      <c r="J1085" s="78"/>
    </row>
    <row r="1086" spans="1:10">
      <c r="A1086" s="822" t="s">
        <v>2039</v>
      </c>
      <c r="E1086" s="170" t="s">
        <v>2367</v>
      </c>
      <c r="J1086" s="78"/>
    </row>
    <row r="1087" spans="1:10">
      <c r="H1087" s="26" t="s">
        <v>1188</v>
      </c>
      <c r="J1087" s="78"/>
    </row>
    <row r="1088" spans="1:10">
      <c r="B1088" s="170" t="s">
        <v>2368</v>
      </c>
      <c r="C1088" s="89"/>
      <c r="H1088" s="211">
        <v>96</v>
      </c>
      <c r="I1088" s="26" t="s">
        <v>3483</v>
      </c>
      <c r="J1088" s="78"/>
    </row>
    <row r="1089" spans="2:10">
      <c r="B1089" s="95" t="s">
        <v>2369</v>
      </c>
      <c r="D1089" s="157" t="s">
        <v>4443</v>
      </c>
      <c r="E1089" s="97"/>
      <c r="F1089" s="95" t="s">
        <v>2370</v>
      </c>
      <c r="G1089" s="95" t="s">
        <v>1166</v>
      </c>
      <c r="H1089" s="95" t="s">
        <v>6664</v>
      </c>
      <c r="I1089" s="95" t="s">
        <v>6665</v>
      </c>
      <c r="J1089" s="78"/>
    </row>
    <row r="1090" spans="2:10">
      <c r="B1090" s="191"/>
      <c r="C1090" s="139"/>
      <c r="D1090" s="174"/>
      <c r="E1090" s="192"/>
      <c r="F1090" s="191"/>
      <c r="G1090" s="114"/>
      <c r="H1090" s="114" t="s">
        <v>3856</v>
      </c>
      <c r="I1090" s="114" t="s">
        <v>3857</v>
      </c>
      <c r="J1090" s="78"/>
    </row>
    <row r="1091" spans="2:10">
      <c r="B1091" s="95">
        <v>1</v>
      </c>
      <c r="C1091" s="153" t="s">
        <v>6970</v>
      </c>
      <c r="D1091" s="107"/>
      <c r="E1091" s="107"/>
      <c r="F1091" s="107" t="s">
        <v>3483</v>
      </c>
      <c r="G1091" s="179">
        <v>96</v>
      </c>
      <c r="H1091" s="179">
        <f>H1079</f>
        <v>62.5</v>
      </c>
      <c r="I1091" s="155">
        <f>ROUND(H1091*G1091,2)</f>
        <v>6000</v>
      </c>
      <c r="J1091" s="78"/>
    </row>
    <row r="1092" spans="2:10">
      <c r="B1092" s="105">
        <v>2</v>
      </c>
      <c r="C1092" s="152" t="s">
        <v>6971</v>
      </c>
      <c r="D1092" s="210"/>
      <c r="E1092" s="210"/>
      <c r="F1092" s="210" t="s">
        <v>2374</v>
      </c>
      <c r="G1092" s="190">
        <v>8</v>
      </c>
      <c r="H1092" s="190">
        <f>H1081</f>
        <v>18.75</v>
      </c>
      <c r="I1092" s="155">
        <f>ROUND(H1092*G1092,2)</f>
        <v>150</v>
      </c>
      <c r="J1092" s="78"/>
    </row>
    <row r="1093" spans="2:10">
      <c r="B1093" s="114">
        <v>3</v>
      </c>
      <c r="C1093" s="116" t="s">
        <v>6972</v>
      </c>
      <c r="D1093" s="191"/>
      <c r="E1093" s="191"/>
      <c r="F1093" s="191" t="s">
        <v>3483</v>
      </c>
      <c r="G1093" s="182">
        <v>96</v>
      </c>
      <c r="H1093" s="182">
        <f>H1080</f>
        <v>6.36</v>
      </c>
      <c r="I1093" s="155">
        <f>ROUND(H1093*G1093,2)</f>
        <v>610.55999999999995</v>
      </c>
      <c r="J1093" s="78"/>
    </row>
    <row r="1094" spans="2:10">
      <c r="B1094" s="184"/>
      <c r="C1094" s="151"/>
      <c r="D1094" s="159"/>
      <c r="E1094" s="159" t="s">
        <v>2376</v>
      </c>
      <c r="F1094" s="159"/>
      <c r="G1094" s="159"/>
      <c r="H1094" s="193" t="s">
        <v>4108</v>
      </c>
      <c r="I1094" s="209">
        <f>SUM(I1091:I1093)</f>
        <v>6760.5599999999995</v>
      </c>
      <c r="J1094" s="78"/>
    </row>
    <row r="1095" spans="2:10">
      <c r="J1095" s="78"/>
    </row>
    <row r="1096" spans="2:10">
      <c r="B1096" s="170" t="s">
        <v>2377</v>
      </c>
      <c r="C1096" s="89"/>
      <c r="J1096" s="78"/>
    </row>
    <row r="1097" spans="2:10">
      <c r="B1097" s="95" t="s">
        <v>2369</v>
      </c>
      <c r="D1097" s="157" t="s">
        <v>2378</v>
      </c>
      <c r="E1097" s="97"/>
      <c r="F1097" s="95" t="s">
        <v>2370</v>
      </c>
      <c r="G1097" s="95" t="s">
        <v>1166</v>
      </c>
      <c r="H1097" s="95" t="s">
        <v>6664</v>
      </c>
      <c r="I1097" s="97" t="s">
        <v>6665</v>
      </c>
      <c r="J1097" s="78"/>
    </row>
    <row r="1098" spans="2:10">
      <c r="B1098" s="191"/>
      <c r="C1098" s="139"/>
      <c r="D1098" s="174"/>
      <c r="E1098" s="192"/>
      <c r="F1098" s="191"/>
      <c r="G1098" s="114"/>
      <c r="H1098" s="114" t="s">
        <v>3856</v>
      </c>
      <c r="I1098" s="115" t="s">
        <v>3857</v>
      </c>
      <c r="J1098" s="78"/>
    </row>
    <row r="1099" spans="2:10">
      <c r="B1099" s="95">
        <v>1</v>
      </c>
      <c r="C1099" s="131" t="s">
        <v>258</v>
      </c>
      <c r="D1099" s="187"/>
      <c r="E1099" s="195"/>
      <c r="F1099" s="107" t="s">
        <v>2374</v>
      </c>
      <c r="G1099" s="179">
        <v>8</v>
      </c>
      <c r="H1099" s="179">
        <f>'HIRE CHARGES'!$D$554</f>
        <v>188.5</v>
      </c>
      <c r="I1099" s="155">
        <f>ROUND(H1099*G1099,2)</f>
        <v>1508</v>
      </c>
      <c r="J1099" s="78"/>
    </row>
    <row r="1100" spans="2:10">
      <c r="B1100" s="105"/>
      <c r="C1100" s="135" t="s">
        <v>2379</v>
      </c>
      <c r="D1100" s="31"/>
      <c r="E1100" s="189"/>
      <c r="F1100" s="210" t="s">
        <v>2374</v>
      </c>
      <c r="G1100" s="190">
        <v>8</v>
      </c>
      <c r="H1100" s="190">
        <f>'HIRE CHARGES'!$E$554</f>
        <v>0</v>
      </c>
      <c r="I1100" s="155">
        <f>ROUND(H1100*G1100,2)</f>
        <v>0</v>
      </c>
      <c r="J1100" s="78"/>
    </row>
    <row r="1101" spans="2:10">
      <c r="B1101" s="105">
        <v>2</v>
      </c>
      <c r="C1101" s="135" t="s">
        <v>7127</v>
      </c>
      <c r="D1101" s="31"/>
      <c r="E1101" s="189"/>
      <c r="F1101" s="210" t="s">
        <v>2374</v>
      </c>
      <c r="G1101" s="190">
        <v>8</v>
      </c>
      <c r="H1101" s="207">
        <f>'HIRE CHARGES'!$D$497</f>
        <v>170.8</v>
      </c>
      <c r="I1101" s="155">
        <f>ROUND(H1101*G1101,2)</f>
        <v>1366.4</v>
      </c>
      <c r="J1101" s="78"/>
    </row>
    <row r="1102" spans="2:10">
      <c r="B1102" s="105"/>
      <c r="C1102" s="135" t="s">
        <v>2379</v>
      </c>
      <c r="D1102" s="31"/>
      <c r="E1102" s="189"/>
      <c r="F1102" s="210" t="s">
        <v>2374</v>
      </c>
      <c r="G1102" s="190">
        <v>8</v>
      </c>
      <c r="H1102" s="207">
        <f>'HIRE CHARGES'!$E$497</f>
        <v>315.2</v>
      </c>
      <c r="I1102" s="155">
        <f>ROUND(H1102*G1102,2)</f>
        <v>2521.6</v>
      </c>
      <c r="J1102" s="78"/>
    </row>
    <row r="1103" spans="2:10">
      <c r="B1103" s="114">
        <v>3</v>
      </c>
      <c r="C1103" s="139" t="s">
        <v>2373</v>
      </c>
      <c r="D1103" s="174"/>
      <c r="E1103" s="192"/>
      <c r="F1103" s="191" t="s">
        <v>2173</v>
      </c>
      <c r="G1103" s="215">
        <v>2</v>
      </c>
      <c r="H1103" s="215">
        <f>'BASIC DATA'!$D$359</f>
        <v>30</v>
      </c>
      <c r="I1103" s="155">
        <f>ROUND(H1103*G1103,2)</f>
        <v>60</v>
      </c>
      <c r="J1103" s="78"/>
    </row>
    <row r="1104" spans="2:10">
      <c r="B1104" s="184"/>
      <c r="C1104" s="151"/>
      <c r="D1104" s="159" t="s">
        <v>2380</v>
      </c>
      <c r="E1104" s="159"/>
      <c r="F1104" s="159"/>
      <c r="G1104" s="159"/>
      <c r="H1104" s="208" t="s">
        <v>1698</v>
      </c>
      <c r="I1104" s="209">
        <f>SUM(I1099:I1103)</f>
        <v>5456</v>
      </c>
      <c r="J1104" s="78"/>
    </row>
    <row r="1105" spans="2:10">
      <c r="J1105" s="78"/>
    </row>
    <row r="1106" spans="2:10">
      <c r="B1106" s="170" t="s">
        <v>2381</v>
      </c>
      <c r="C1106" s="89"/>
      <c r="J1106" s="78"/>
    </row>
    <row r="1107" spans="2:10">
      <c r="B1107" s="95" t="s">
        <v>2369</v>
      </c>
      <c r="D1107" s="157" t="s">
        <v>2378</v>
      </c>
      <c r="E1107" s="97"/>
      <c r="F1107" s="95" t="s">
        <v>2370</v>
      </c>
      <c r="G1107" s="95" t="s">
        <v>1166</v>
      </c>
      <c r="H1107" s="97" t="s">
        <v>6664</v>
      </c>
      <c r="I1107" s="97" t="s">
        <v>6665</v>
      </c>
      <c r="J1107" s="78"/>
    </row>
    <row r="1108" spans="2:10">
      <c r="B1108" s="191"/>
      <c r="C1108" s="139"/>
      <c r="D1108" s="174"/>
      <c r="E1108" s="192"/>
      <c r="F1108" s="191"/>
      <c r="G1108" s="114"/>
      <c r="H1108" s="115" t="s">
        <v>3856</v>
      </c>
      <c r="I1108" s="115" t="s">
        <v>3857</v>
      </c>
      <c r="J1108" s="78"/>
    </row>
    <row r="1109" spans="2:10">
      <c r="B1109" s="95">
        <v>1</v>
      </c>
      <c r="C1109" s="131" t="s">
        <v>153</v>
      </c>
      <c r="D1109" s="187"/>
      <c r="E1109" s="195"/>
      <c r="F1109" s="107" t="s">
        <v>2374</v>
      </c>
      <c r="G1109" s="179">
        <v>8</v>
      </c>
      <c r="H1109" s="178">
        <f>'HIRE CHARGES'!$F$554</f>
        <v>283.89999999999998</v>
      </c>
      <c r="I1109" s="155">
        <f>ROUND(H1109*G1109,2)</f>
        <v>2271.1999999999998</v>
      </c>
      <c r="J1109" s="78"/>
    </row>
    <row r="1110" spans="2:10">
      <c r="B1110" s="105">
        <v>2</v>
      </c>
      <c r="C1110" s="135" t="s">
        <v>4606</v>
      </c>
      <c r="D1110" s="31"/>
      <c r="E1110" s="189"/>
      <c r="F1110" s="210" t="s">
        <v>2374</v>
      </c>
      <c r="G1110" s="190">
        <v>8</v>
      </c>
      <c r="H1110" s="207">
        <f>'HIRE CHARGES'!$F$497</f>
        <v>164.8</v>
      </c>
      <c r="I1110" s="155">
        <f>ROUND(H1110*G1110,2)</f>
        <v>1318.4</v>
      </c>
      <c r="J1110" s="78"/>
    </row>
    <row r="1111" spans="2:10">
      <c r="B1111" s="114">
        <v>3</v>
      </c>
      <c r="C1111" s="139" t="s">
        <v>2697</v>
      </c>
      <c r="D1111" s="174"/>
      <c r="E1111" s="192"/>
      <c r="F1111" s="191" t="s">
        <v>1172</v>
      </c>
      <c r="G1111" s="182">
        <v>2</v>
      </c>
      <c r="H1111" s="190">
        <f>'BASIC DATA'!$C$552</f>
        <v>350</v>
      </c>
      <c r="I1111" s="155">
        <f>ROUND(H1111*G1111,2)</f>
        <v>700</v>
      </c>
      <c r="J1111" s="78"/>
    </row>
    <row r="1112" spans="2:10">
      <c r="B1112" s="184"/>
      <c r="C1112" s="151"/>
      <c r="D1112" s="159"/>
      <c r="E1112" s="159" t="s">
        <v>1174</v>
      </c>
      <c r="F1112" s="159"/>
      <c r="G1112" s="159"/>
      <c r="H1112" s="208" t="s">
        <v>1698</v>
      </c>
      <c r="I1112" s="209">
        <f>SUM(I1109:I1111)</f>
        <v>4289.6000000000004</v>
      </c>
      <c r="J1112" s="78"/>
    </row>
    <row r="1113" spans="2:10">
      <c r="B1113" s="60" t="s">
        <v>5948</v>
      </c>
      <c r="C1113" s="76"/>
      <c r="D1113" s="31"/>
      <c r="E1113" s="31"/>
      <c r="F1113" s="31"/>
      <c r="G1113" s="85">
        <f>ROUND(I1112/H1088,1)</f>
        <v>44.7</v>
      </c>
      <c r="J1113" s="78"/>
    </row>
    <row r="1114" spans="2:10">
      <c r="B1114" s="60" t="s">
        <v>3163</v>
      </c>
      <c r="C1114" s="76"/>
      <c r="D1114" s="31"/>
      <c r="E1114" s="31"/>
      <c r="F1114" s="922">
        <f>'BASIC DATA'!$C$577</f>
        <v>0.13614999999999999</v>
      </c>
      <c r="G1114" s="85">
        <f>ROUND(G1113*F1114,1)</f>
        <v>6.1</v>
      </c>
      <c r="J1114" s="78"/>
    </row>
    <row r="1115" spans="2:10">
      <c r="B1115" s="60" t="s">
        <v>5949</v>
      </c>
      <c r="C1115" s="76"/>
      <c r="D1115" s="31"/>
      <c r="E1115" s="31"/>
      <c r="F1115" s="31"/>
      <c r="G1115" s="199">
        <f>ROUND(G1114+G1113,1)</f>
        <v>50.8</v>
      </c>
      <c r="J1115" s="78"/>
    </row>
    <row r="1116" spans="2:10">
      <c r="B1116" s="31"/>
      <c r="C1116" s="76"/>
      <c r="D1116" s="31"/>
      <c r="E1116" s="31"/>
      <c r="F1116" s="31"/>
      <c r="G1116" s="31"/>
      <c r="H1116" s="200"/>
      <c r="I1116" s="31"/>
      <c r="J1116" s="78"/>
    </row>
    <row r="1117" spans="2:10">
      <c r="B1117" s="170" t="s">
        <v>1175</v>
      </c>
      <c r="J1117" s="78"/>
    </row>
    <row r="1118" spans="2:10">
      <c r="B1118" s="26" t="s">
        <v>1176</v>
      </c>
      <c r="H1118" s="171" t="s">
        <v>1698</v>
      </c>
      <c r="I1118" s="117">
        <f>I1094</f>
        <v>6760.5599999999995</v>
      </c>
      <c r="J1118" s="78"/>
    </row>
    <row r="1119" spans="2:10">
      <c r="B1119" s="26" t="s">
        <v>1186</v>
      </c>
      <c r="H1119" s="171" t="s">
        <v>1698</v>
      </c>
      <c r="I1119" s="117">
        <f>I1104</f>
        <v>5456</v>
      </c>
      <c r="J1119" s="78"/>
    </row>
    <row r="1120" spans="2:10">
      <c r="B1120" s="26" t="s">
        <v>2660</v>
      </c>
      <c r="H1120" s="171" t="s">
        <v>1698</v>
      </c>
      <c r="I1120" s="85">
        <f>I1112</f>
        <v>4289.6000000000004</v>
      </c>
      <c r="J1120" s="78"/>
    </row>
    <row r="1121" spans="2:10">
      <c r="G1121" s="171" t="s">
        <v>1518</v>
      </c>
      <c r="H1121" s="171" t="s">
        <v>1698</v>
      </c>
      <c r="I1121" s="130">
        <f>SUM(I1118:I1120)</f>
        <v>16506.16</v>
      </c>
      <c r="J1121" s="78"/>
    </row>
    <row r="1122" spans="2:10" ht="18.75">
      <c r="B1122" s="1207" t="s">
        <v>8375</v>
      </c>
      <c r="C1122" s="1207"/>
      <c r="D1122" s="1207"/>
      <c r="E1122" s="1207"/>
      <c r="F1122" s="1207"/>
      <c r="G1122" s="922">
        <f>'BASIC DATA'!$C$577</f>
        <v>0.13614999999999999</v>
      </c>
      <c r="H1122" s="171" t="s">
        <v>4108</v>
      </c>
      <c r="I1122" s="76">
        <f>ROUND(I1121*G1122,2)</f>
        <v>2247.31</v>
      </c>
      <c r="J1122" s="78"/>
    </row>
    <row r="1123" spans="2:10">
      <c r="B1123" s="1206" t="s">
        <v>1191</v>
      </c>
      <c r="C1123" s="1206"/>
      <c r="D1123" s="1206"/>
      <c r="E1123" s="1206"/>
      <c r="F1123" s="202">
        <f>H1088</f>
        <v>96</v>
      </c>
      <c r="G1123" s="171" t="str">
        <f>I1088</f>
        <v>Rm</v>
      </c>
      <c r="H1123" s="171" t="s">
        <v>1698</v>
      </c>
      <c r="I1123" s="199">
        <f>I1122+I1121</f>
        <v>18753.47</v>
      </c>
      <c r="J1123" s="78"/>
    </row>
    <row r="1124" spans="2:10">
      <c r="B1124" s="1161" t="s">
        <v>3884</v>
      </c>
      <c r="C1124" s="1161"/>
      <c r="D1124" s="203" t="str">
        <f>G1123</f>
        <v>Rm</v>
      </c>
      <c r="F1124" s="26" t="s">
        <v>1649</v>
      </c>
      <c r="H1124" s="171" t="s">
        <v>1698</v>
      </c>
      <c r="I1124" s="204">
        <f>ROUND(I1123/F1123,1)</f>
        <v>195.3</v>
      </c>
      <c r="J1124" s="78"/>
    </row>
    <row r="1125" spans="2:10">
      <c r="H1125" s="171"/>
      <c r="I1125" s="117"/>
      <c r="J1125" s="78"/>
    </row>
    <row r="1126" spans="2:10">
      <c r="B1126" s="26" t="s">
        <v>6973</v>
      </c>
      <c r="I1126" s="117">
        <f>I1124</f>
        <v>195.3</v>
      </c>
      <c r="J1126" s="78"/>
    </row>
    <row r="1127" spans="2:10">
      <c r="B1127" s="26" t="s">
        <v>5298</v>
      </c>
      <c r="H1127" s="171"/>
      <c r="J1127" s="78"/>
    </row>
    <row r="1128" spans="2:10">
      <c r="B1128" s="26" t="s">
        <v>5299</v>
      </c>
      <c r="F1128" s="170" t="s">
        <v>5300</v>
      </c>
      <c r="G1128" s="170" t="s">
        <v>3483</v>
      </c>
      <c r="H1128" s="171" t="s">
        <v>1698</v>
      </c>
      <c r="I1128" s="204">
        <f>I1124</f>
        <v>195.3</v>
      </c>
      <c r="J1128" s="78"/>
    </row>
    <row r="1129" spans="2:10">
      <c r="B1129" s="26" t="s">
        <v>5301</v>
      </c>
      <c r="H1129" s="171"/>
      <c r="I1129" s="27"/>
      <c r="J1129" s="78"/>
    </row>
    <row r="1130" spans="2:10">
      <c r="B1130" s="26" t="s">
        <v>5302</v>
      </c>
      <c r="G1130" s="201">
        <v>0.1</v>
      </c>
      <c r="H1130" s="171" t="s">
        <v>1698</v>
      </c>
      <c r="I1130" s="120">
        <f>I1128*G1130</f>
        <v>19.53</v>
      </c>
      <c r="J1130" s="78"/>
    </row>
    <row r="1131" spans="2:10">
      <c r="B1131" s="26" t="s">
        <v>5303</v>
      </c>
      <c r="G1131" s="26" t="s">
        <v>5378</v>
      </c>
      <c r="H1131" s="171" t="s">
        <v>1698</v>
      </c>
      <c r="I1131" s="117">
        <f>ROUND(SUM(I1127:I1130),1)</f>
        <v>214.8</v>
      </c>
      <c r="J1131" s="78"/>
    </row>
    <row r="1132" spans="2:10">
      <c r="B1132" s="26" t="s">
        <v>5304</v>
      </c>
      <c r="H1132" s="171"/>
      <c r="I1132" s="27"/>
      <c r="J1132" s="78"/>
    </row>
    <row r="1133" spans="2:10">
      <c r="B1133" s="26" t="s">
        <v>5305</v>
      </c>
      <c r="F1133" s="170" t="s">
        <v>1584</v>
      </c>
      <c r="G1133" s="170" t="s">
        <v>3483</v>
      </c>
      <c r="H1133" s="171" t="s">
        <v>1698</v>
      </c>
      <c r="I1133" s="204">
        <f>I1131</f>
        <v>214.8</v>
      </c>
      <c r="J1133" s="78"/>
    </row>
    <row r="1134" spans="2:10">
      <c r="B1134" s="26" t="s">
        <v>5301</v>
      </c>
      <c r="H1134" s="171"/>
      <c r="I1134" s="27"/>
      <c r="J1134" s="78"/>
    </row>
    <row r="1135" spans="2:10">
      <c r="B1135" s="26" t="s">
        <v>5302</v>
      </c>
      <c r="G1135" s="201">
        <v>0.1</v>
      </c>
      <c r="H1135" s="171" t="s">
        <v>1173</v>
      </c>
      <c r="I1135" s="120">
        <f>G1135*I1133</f>
        <v>21.480000000000004</v>
      </c>
      <c r="J1135" s="78"/>
    </row>
    <row r="1136" spans="2:10">
      <c r="B1136" s="26" t="s">
        <v>5306</v>
      </c>
      <c r="G1136" s="26" t="s">
        <v>5307</v>
      </c>
      <c r="H1136" s="171" t="s">
        <v>1173</v>
      </c>
      <c r="I1136" s="117">
        <f>ROUND(SUM(I1133:I1135),1)</f>
        <v>236.3</v>
      </c>
      <c r="J1136" s="78"/>
    </row>
    <row r="1137" spans="2:10">
      <c r="B1137" s="26" t="s">
        <v>5422</v>
      </c>
      <c r="H1137" s="171" t="s">
        <v>1697</v>
      </c>
      <c r="I1137" s="27"/>
      <c r="J1137" s="78"/>
    </row>
    <row r="1138" spans="2:10">
      <c r="B1138" s="26" t="s">
        <v>5423</v>
      </c>
      <c r="F1138" s="170" t="s">
        <v>3703</v>
      </c>
      <c r="G1138" s="170" t="s">
        <v>3483</v>
      </c>
      <c r="H1138" s="171" t="s">
        <v>1698</v>
      </c>
      <c r="I1138" s="204">
        <f>I1136</f>
        <v>236.3</v>
      </c>
      <c r="J1138" s="78"/>
    </row>
    <row r="1139" spans="2:10">
      <c r="B1139" s="26" t="s">
        <v>5301</v>
      </c>
      <c r="H1139" s="171"/>
      <c r="I1139" s="27"/>
      <c r="J1139" s="78"/>
    </row>
    <row r="1140" spans="2:10">
      <c r="B1140" s="26" t="s">
        <v>5424</v>
      </c>
      <c r="G1140" s="201">
        <v>0.1</v>
      </c>
      <c r="H1140" s="171" t="s">
        <v>1698</v>
      </c>
      <c r="I1140" s="120">
        <f>G1140*I1138</f>
        <v>23.630000000000003</v>
      </c>
      <c r="J1140" s="78"/>
    </row>
    <row r="1141" spans="2:10">
      <c r="B1141" s="26" t="s">
        <v>5351</v>
      </c>
      <c r="G1141" s="26" t="s">
        <v>5378</v>
      </c>
      <c r="H1141" s="171" t="s">
        <v>1698</v>
      </c>
      <c r="I1141" s="117">
        <f>ROUND(SUM(I1138:I1140),1)</f>
        <v>259.89999999999998</v>
      </c>
      <c r="J1141" s="78"/>
    </row>
    <row r="1142" spans="2:10">
      <c r="B1142" s="26" t="s">
        <v>5352</v>
      </c>
      <c r="H1142" s="171" t="s">
        <v>1697</v>
      </c>
      <c r="I1142" s="27"/>
      <c r="J1142" s="78"/>
    </row>
    <row r="1143" spans="2:10">
      <c r="B1143" s="26" t="s">
        <v>5353</v>
      </c>
      <c r="F1143" s="170" t="s">
        <v>3884</v>
      </c>
      <c r="G1143" s="170" t="s">
        <v>3483</v>
      </c>
      <c r="H1143" s="171" t="s">
        <v>1173</v>
      </c>
      <c r="I1143" s="204">
        <f>I1141</f>
        <v>259.89999999999998</v>
      </c>
      <c r="J1143" s="78"/>
    </row>
    <row r="1144" spans="2:10">
      <c r="B1144" s="26" t="s">
        <v>5301</v>
      </c>
      <c r="H1144" s="171"/>
      <c r="I1144" s="117"/>
      <c r="J1144" s="78"/>
    </row>
    <row r="1145" spans="2:10">
      <c r="B1145" s="26" t="s">
        <v>4739</v>
      </c>
      <c r="G1145" s="201">
        <v>0.1</v>
      </c>
      <c r="H1145" s="171" t="s">
        <v>4391</v>
      </c>
      <c r="I1145" s="120">
        <f>G1145*I1143</f>
        <v>25.99</v>
      </c>
      <c r="J1145" s="78"/>
    </row>
    <row r="1146" spans="2:10">
      <c r="B1146" s="26" t="s">
        <v>5352</v>
      </c>
      <c r="G1146" s="26" t="s">
        <v>4740</v>
      </c>
      <c r="H1146" s="171" t="s">
        <v>1698</v>
      </c>
      <c r="I1146" s="117">
        <f>ROUND(SUM(I1143:I1145),1)</f>
        <v>285.89999999999998</v>
      </c>
      <c r="J1146" s="78"/>
    </row>
    <row r="1147" spans="2:10">
      <c r="B1147" s="26" t="s">
        <v>2395</v>
      </c>
      <c r="H1147" s="171" t="s">
        <v>1697</v>
      </c>
      <c r="I1147" s="27"/>
      <c r="J1147" s="78"/>
    </row>
    <row r="1148" spans="2:10">
      <c r="B1148" s="26" t="s">
        <v>6535</v>
      </c>
      <c r="F1148" s="170" t="s">
        <v>5300</v>
      </c>
      <c r="G1148" s="170" t="s">
        <v>3483</v>
      </c>
      <c r="H1148" s="171" t="s">
        <v>6536</v>
      </c>
      <c r="I1148" s="204">
        <f>I1146</f>
        <v>285.89999999999998</v>
      </c>
      <c r="J1148" s="78"/>
    </row>
    <row r="1149" spans="2:10">
      <c r="B1149" s="26" t="s">
        <v>5301</v>
      </c>
      <c r="H1149" s="171"/>
      <c r="I1149" s="27"/>
      <c r="J1149" s="78"/>
    </row>
    <row r="1150" spans="2:10">
      <c r="B1150" s="26" t="s">
        <v>5424</v>
      </c>
      <c r="G1150" s="201">
        <v>0.1</v>
      </c>
      <c r="H1150" s="171" t="s">
        <v>1698</v>
      </c>
      <c r="I1150" s="120">
        <f>G1150*I1148</f>
        <v>28.59</v>
      </c>
      <c r="J1150" s="78"/>
    </row>
    <row r="1151" spans="2:10">
      <c r="B1151" s="26" t="s">
        <v>6537</v>
      </c>
      <c r="G1151" s="26" t="s">
        <v>5378</v>
      </c>
      <c r="H1151" s="171" t="s">
        <v>1698</v>
      </c>
      <c r="I1151" s="117">
        <f>ROUND(SUM(I1148:I1150),1)</f>
        <v>314.5</v>
      </c>
      <c r="J1151" s="78"/>
    </row>
    <row r="1152" spans="2:10">
      <c r="B1152" s="26" t="s">
        <v>6697</v>
      </c>
      <c r="H1152" s="171" t="s">
        <v>1697</v>
      </c>
      <c r="I1152" s="27"/>
      <c r="J1152" s="78"/>
    </row>
    <row r="1153" spans="1:10">
      <c r="B1153" s="26" t="s">
        <v>1448</v>
      </c>
      <c r="F1153" s="170" t="s">
        <v>1584</v>
      </c>
      <c r="G1153" s="170" t="s">
        <v>3704</v>
      </c>
      <c r="H1153" s="171" t="s">
        <v>1698</v>
      </c>
      <c r="I1153" s="204">
        <f>I1151</f>
        <v>314.5</v>
      </c>
      <c r="J1153" s="78"/>
    </row>
    <row r="1154" spans="1:10">
      <c r="B1154" s="26" t="s">
        <v>5301</v>
      </c>
      <c r="H1154" s="171"/>
      <c r="I1154" s="27"/>
      <c r="J1154" s="78"/>
    </row>
    <row r="1155" spans="1:10">
      <c r="B1155" s="26" t="s">
        <v>5424</v>
      </c>
      <c r="G1155" s="201">
        <v>0.1</v>
      </c>
      <c r="H1155" s="171" t="s">
        <v>1173</v>
      </c>
      <c r="I1155" s="120">
        <f>G1155*I1153</f>
        <v>31.450000000000003</v>
      </c>
      <c r="J1155" s="78"/>
    </row>
    <row r="1156" spans="1:10">
      <c r="B1156" s="26" t="s">
        <v>1449</v>
      </c>
      <c r="G1156" s="26" t="s">
        <v>5378</v>
      </c>
      <c r="H1156" s="171" t="s">
        <v>1173</v>
      </c>
      <c r="I1156" s="117">
        <f>ROUND(SUM(I1153:I1155),1)</f>
        <v>346</v>
      </c>
      <c r="J1156" s="78"/>
    </row>
    <row r="1157" spans="1:10">
      <c r="B1157" s="26" t="s">
        <v>1450</v>
      </c>
      <c r="H1157" s="171"/>
      <c r="I1157" s="27"/>
      <c r="J1157" s="78"/>
    </row>
    <row r="1158" spans="1:10">
      <c r="B1158" s="26" t="s">
        <v>1451</v>
      </c>
      <c r="F1158" s="170" t="s">
        <v>3703</v>
      </c>
      <c r="G1158" s="170" t="s">
        <v>3483</v>
      </c>
      <c r="H1158" s="171" t="s">
        <v>1173</v>
      </c>
      <c r="I1158" s="204">
        <f>I1156</f>
        <v>346</v>
      </c>
      <c r="J1158" s="78"/>
    </row>
    <row r="1159" spans="1:10">
      <c r="B1159" s="26" t="s">
        <v>5301</v>
      </c>
      <c r="H1159" s="171"/>
      <c r="I1159" s="27"/>
      <c r="J1159" s="78"/>
    </row>
    <row r="1160" spans="1:10">
      <c r="B1160" s="26" t="s">
        <v>5424</v>
      </c>
      <c r="G1160" s="201">
        <v>0.1</v>
      </c>
      <c r="H1160" s="171" t="s">
        <v>1698</v>
      </c>
      <c r="I1160" s="120">
        <f>G1160*I1158</f>
        <v>34.6</v>
      </c>
      <c r="J1160" s="78"/>
    </row>
    <row r="1161" spans="1:10">
      <c r="B1161" s="26" t="s">
        <v>1452</v>
      </c>
      <c r="G1161" s="26" t="s">
        <v>5378</v>
      </c>
      <c r="H1161" s="171" t="s">
        <v>1698</v>
      </c>
      <c r="I1161" s="117">
        <f>ROUND(SUM(I1158:I1160),1)</f>
        <v>380.6</v>
      </c>
      <c r="J1161" s="78"/>
    </row>
    <row r="1162" spans="1:10">
      <c r="J1162" s="78"/>
    </row>
    <row r="1163" spans="1:10">
      <c r="J1163" s="78"/>
    </row>
    <row r="1164" spans="1:10">
      <c r="A1164" s="822" t="s">
        <v>7050</v>
      </c>
      <c r="B1164" s="26" t="s">
        <v>8395</v>
      </c>
      <c r="J1164" s="78"/>
    </row>
    <row r="1165" spans="1:10">
      <c r="B1165" s="26" t="s">
        <v>2528</v>
      </c>
      <c r="J1165" s="78"/>
    </row>
    <row r="1166" spans="1:10">
      <c r="B1166" s="26" t="s">
        <v>8396</v>
      </c>
      <c r="J1166" s="78"/>
    </row>
    <row r="1167" spans="1:10" hidden="1">
      <c r="A1167" s="822" t="s">
        <v>3984</v>
      </c>
      <c r="B1167" s="26" t="s">
        <v>5919</v>
      </c>
      <c r="G1167" s="78" t="s">
        <v>1697</v>
      </c>
      <c r="H1167" s="26">
        <v>30</v>
      </c>
      <c r="I1167" s="26" t="s">
        <v>6902</v>
      </c>
      <c r="J1167" s="78"/>
    </row>
    <row r="1168" spans="1:10" hidden="1">
      <c r="B1168" s="26" t="s">
        <v>1498</v>
      </c>
      <c r="J1168" s="78"/>
    </row>
    <row r="1169" spans="2:10" hidden="1">
      <c r="B1169" s="26" t="s">
        <v>2529</v>
      </c>
      <c r="J1169" s="78"/>
    </row>
    <row r="1170" spans="2:10" hidden="1">
      <c r="B1170" s="26" t="s">
        <v>2530</v>
      </c>
      <c r="J1170" s="78"/>
    </row>
    <row r="1171" spans="2:10" hidden="1">
      <c r="B1171" s="26" t="s">
        <v>2531</v>
      </c>
      <c r="J1171" s="78"/>
    </row>
    <row r="1172" spans="2:10" hidden="1">
      <c r="B1172" s="26" t="s">
        <v>2532</v>
      </c>
      <c r="J1172" s="78"/>
    </row>
    <row r="1173" spans="2:10" hidden="1">
      <c r="B1173" s="26" t="s">
        <v>2533</v>
      </c>
      <c r="J1173" s="78"/>
    </row>
    <row r="1174" spans="2:10" hidden="1">
      <c r="B1174" s="26" t="s">
        <v>2106</v>
      </c>
      <c r="H1174" s="202">
        <v>192</v>
      </c>
      <c r="I1174" s="47" t="s">
        <v>2602</v>
      </c>
      <c r="J1174" s="78"/>
    </row>
    <row r="1175" spans="2:10" hidden="1">
      <c r="B1175" s="26" t="s">
        <v>2534</v>
      </c>
      <c r="J1175" s="78"/>
    </row>
    <row r="1176" spans="2:10" hidden="1">
      <c r="B1176" s="26" t="s">
        <v>2535</v>
      </c>
      <c r="J1176" s="78"/>
    </row>
    <row r="1177" spans="2:10" hidden="1">
      <c r="B1177" s="26" t="s">
        <v>2366</v>
      </c>
      <c r="J1177" s="78"/>
    </row>
    <row r="1178" spans="2:10" hidden="1">
      <c r="B1178" s="26" t="s">
        <v>6461</v>
      </c>
      <c r="E1178" s="68">
        <f>'BASIC DATA'!$D$344</f>
        <v>185</v>
      </c>
      <c r="F1178" s="26" t="s">
        <v>4540</v>
      </c>
      <c r="G1178" s="171" t="s">
        <v>1698</v>
      </c>
      <c r="H1178" s="68">
        <f>E1178*50</f>
        <v>9250</v>
      </c>
      <c r="J1178" s="78"/>
    </row>
    <row r="1179" spans="2:10" hidden="1">
      <c r="B1179" s="26" t="s">
        <v>5152</v>
      </c>
      <c r="G1179" s="171"/>
      <c r="H1179" s="47">
        <v>800</v>
      </c>
      <c r="I1179" s="26" t="s">
        <v>2107</v>
      </c>
      <c r="J1179" s="78"/>
    </row>
    <row r="1180" spans="2:10" hidden="1">
      <c r="B1180" s="26" t="s">
        <v>2819</v>
      </c>
      <c r="F1180" s="26" t="s">
        <v>2820</v>
      </c>
      <c r="G1180" s="171" t="s">
        <v>4391</v>
      </c>
      <c r="H1180" s="68">
        <f>ROUND(H1178/H1179,2)</f>
        <v>11.56</v>
      </c>
      <c r="J1180" s="78"/>
    </row>
    <row r="1181" spans="2:10" hidden="1">
      <c r="B1181" s="26" t="s">
        <v>2997</v>
      </c>
      <c r="E1181" s="68">
        <f>'BASIC DATA'!$D$360</f>
        <v>185</v>
      </c>
      <c r="F1181" s="26" t="s">
        <v>4540</v>
      </c>
      <c r="G1181" s="171" t="s">
        <v>1698</v>
      </c>
      <c r="H1181" s="26">
        <f>E1181*50</f>
        <v>9250</v>
      </c>
      <c r="J1181" s="78"/>
    </row>
    <row r="1182" spans="2:10" hidden="1">
      <c r="B1182" s="26" t="s">
        <v>3943</v>
      </c>
      <c r="H1182" s="26">
        <v>800</v>
      </c>
      <c r="I1182" s="26" t="s">
        <v>2107</v>
      </c>
      <c r="J1182" s="78"/>
    </row>
    <row r="1183" spans="2:10" hidden="1">
      <c r="B1183" s="26" t="s">
        <v>2821</v>
      </c>
      <c r="G1183" s="171" t="s">
        <v>1698</v>
      </c>
      <c r="H1183" s="68">
        <f>ROUND(H1181/H1182,2)</f>
        <v>11.56</v>
      </c>
      <c r="J1183" s="78"/>
    </row>
    <row r="1184" spans="2:10">
      <c r="J1184" s="78"/>
    </row>
    <row r="1185" spans="1:10">
      <c r="A1185" s="822" t="s">
        <v>3984</v>
      </c>
      <c r="D1185" s="170" t="s">
        <v>2367</v>
      </c>
      <c r="J1185" s="78"/>
    </row>
    <row r="1186" spans="1:10">
      <c r="H1186" s="171" t="s">
        <v>297</v>
      </c>
      <c r="J1186" s="78"/>
    </row>
    <row r="1187" spans="1:10">
      <c r="B1187" s="170" t="s">
        <v>2368</v>
      </c>
      <c r="C1187" s="89"/>
      <c r="H1187" s="211">
        <f>H1174</f>
        <v>192</v>
      </c>
      <c r="I1187" s="26" t="s">
        <v>2822</v>
      </c>
      <c r="J1187" s="78"/>
    </row>
    <row r="1188" spans="1:10">
      <c r="B1188" s="95" t="s">
        <v>2369</v>
      </c>
      <c r="D1188" s="175" t="s">
        <v>4443</v>
      </c>
      <c r="E1188" s="97"/>
      <c r="F1188" s="95" t="s">
        <v>2370</v>
      </c>
      <c r="G1188" s="95" t="s">
        <v>1166</v>
      </c>
      <c r="H1188" s="97" t="s">
        <v>6664</v>
      </c>
      <c r="I1188" s="97" t="s">
        <v>6665</v>
      </c>
      <c r="J1188" s="78"/>
    </row>
    <row r="1189" spans="1:10">
      <c r="B1189" s="191"/>
      <c r="C1189" s="89"/>
      <c r="D1189" s="174"/>
      <c r="E1189" s="192"/>
      <c r="F1189" s="191"/>
      <c r="G1189" s="114"/>
      <c r="H1189" s="115" t="s">
        <v>3856</v>
      </c>
      <c r="I1189" s="115" t="s">
        <v>3857</v>
      </c>
      <c r="J1189" s="78"/>
    </row>
    <row r="1190" spans="1:10">
      <c r="B1190" s="95">
        <v>1</v>
      </c>
      <c r="C1190" s="148" t="s">
        <v>2</v>
      </c>
      <c r="D1190" s="187"/>
      <c r="E1190" s="195"/>
      <c r="F1190" s="95" t="s">
        <v>2374</v>
      </c>
      <c r="G1190" s="179">
        <v>16</v>
      </c>
      <c r="H1190" s="178">
        <f>H1180</f>
        <v>11.56</v>
      </c>
      <c r="I1190" s="155">
        <f>ROUND(H1190*G1190,2)</f>
        <v>184.96</v>
      </c>
      <c r="J1190" s="78"/>
    </row>
    <row r="1191" spans="1:10">
      <c r="B1191" s="105">
        <v>2</v>
      </c>
      <c r="C1191" s="76" t="s">
        <v>3</v>
      </c>
      <c r="D1191" s="31"/>
      <c r="E1191" s="189"/>
      <c r="F1191" s="105" t="s">
        <v>2374</v>
      </c>
      <c r="G1191" s="190">
        <v>16</v>
      </c>
      <c r="H1191" s="207">
        <f>H1183</f>
        <v>11.56</v>
      </c>
      <c r="I1191" s="155">
        <f>ROUND(H1191*G1191,2)</f>
        <v>184.96</v>
      </c>
      <c r="J1191" s="78"/>
    </row>
    <row r="1192" spans="1:10">
      <c r="B1192" s="114">
        <v>3</v>
      </c>
      <c r="C1192" s="89" t="s">
        <v>2373</v>
      </c>
      <c r="D1192" s="174"/>
      <c r="E1192" s="192"/>
      <c r="F1192" s="114" t="s">
        <v>2173</v>
      </c>
      <c r="G1192" s="182">
        <v>2</v>
      </c>
      <c r="H1192" s="215">
        <f>'BASIC DATA'!$D$359</f>
        <v>30</v>
      </c>
      <c r="I1192" s="155">
        <f>ROUND(H1192*G1192,2)</f>
        <v>60</v>
      </c>
      <c r="J1192" s="78"/>
    </row>
    <row r="1193" spans="1:10">
      <c r="B1193" s="184"/>
      <c r="C1193" s="151"/>
      <c r="D1193" s="159"/>
      <c r="E1193" s="159" t="s">
        <v>2376</v>
      </c>
      <c r="F1193" s="159"/>
      <c r="G1193" s="193"/>
      <c r="H1193" s="208" t="s">
        <v>1698</v>
      </c>
      <c r="I1193" s="209">
        <f>SUM(I1190:I1192)</f>
        <v>429.92</v>
      </c>
      <c r="J1193" s="78"/>
    </row>
    <row r="1194" spans="1:10">
      <c r="J1194" s="78"/>
    </row>
    <row r="1195" spans="1:10">
      <c r="B1195" s="170" t="s">
        <v>2377</v>
      </c>
      <c r="C1195" s="89"/>
      <c r="J1195" s="78"/>
    </row>
    <row r="1196" spans="1:10">
      <c r="B1196" s="95" t="s">
        <v>2369</v>
      </c>
      <c r="D1196" s="157" t="s">
        <v>2378</v>
      </c>
      <c r="E1196" s="97"/>
      <c r="F1196" s="95" t="s">
        <v>2370</v>
      </c>
      <c r="G1196" s="95" t="s">
        <v>1166</v>
      </c>
      <c r="H1196" s="97" t="s">
        <v>6664</v>
      </c>
      <c r="I1196" s="97" t="s">
        <v>6665</v>
      </c>
      <c r="J1196" s="78"/>
    </row>
    <row r="1197" spans="1:10">
      <c r="B1197" s="191"/>
      <c r="C1197" s="139"/>
      <c r="D1197" s="174"/>
      <c r="E1197" s="192"/>
      <c r="F1197" s="191"/>
      <c r="G1197" s="114"/>
      <c r="H1197" s="115" t="s">
        <v>3856</v>
      </c>
      <c r="I1197" s="115" t="s">
        <v>3857</v>
      </c>
      <c r="J1197" s="78"/>
    </row>
    <row r="1198" spans="1:10">
      <c r="B1198" s="95">
        <v>1</v>
      </c>
      <c r="C1198" s="131" t="s">
        <v>7127</v>
      </c>
      <c r="D1198" s="187"/>
      <c r="E1198" s="195"/>
      <c r="F1198" s="107" t="s">
        <v>2374</v>
      </c>
      <c r="G1198" s="179">
        <v>8</v>
      </c>
      <c r="H1198" s="207">
        <f>'HIRE CHARGES'!$D$497</f>
        <v>170.8</v>
      </c>
      <c r="I1198" s="155">
        <f>ROUND(H1198*G1198,2)</f>
        <v>1366.4</v>
      </c>
      <c r="J1198" s="78"/>
    </row>
    <row r="1199" spans="1:10">
      <c r="B1199" s="105"/>
      <c r="C1199" s="135" t="s">
        <v>2379</v>
      </c>
      <c r="D1199" s="31"/>
      <c r="E1199" s="189"/>
      <c r="F1199" s="210" t="s">
        <v>2374</v>
      </c>
      <c r="G1199" s="190">
        <v>8</v>
      </c>
      <c r="H1199" s="207">
        <f>'HIRE CHARGES'!$E$497</f>
        <v>315.2</v>
      </c>
      <c r="I1199" s="155">
        <f>ROUND(H1199*G1199,2)</f>
        <v>2521.6</v>
      </c>
      <c r="J1199" s="78"/>
    </row>
    <row r="1200" spans="1:10">
      <c r="B1200" s="105">
        <v>2</v>
      </c>
      <c r="C1200" s="135" t="s">
        <v>4497</v>
      </c>
      <c r="D1200" s="31"/>
      <c r="E1200" s="189"/>
      <c r="F1200" s="210" t="s">
        <v>2374</v>
      </c>
      <c r="G1200" s="190">
        <v>8</v>
      </c>
      <c r="H1200" s="207">
        <f>'HIRE CHARGES'!$D$518</f>
        <v>3</v>
      </c>
      <c r="I1200" s="155">
        <f>ROUND(H1200*G1200,2)</f>
        <v>24</v>
      </c>
      <c r="J1200" s="78"/>
    </row>
    <row r="1201" spans="2:10">
      <c r="B1201" s="105"/>
      <c r="C1201" s="135" t="s">
        <v>2379</v>
      </c>
      <c r="D1201" s="31"/>
      <c r="E1201" s="189"/>
      <c r="F1201" s="210" t="s">
        <v>2374</v>
      </c>
      <c r="G1201" s="190">
        <v>8</v>
      </c>
      <c r="H1201" s="181">
        <f>'HIRE CHARGES'!$E$518</f>
        <v>28</v>
      </c>
      <c r="I1201" s="155">
        <f>ROUND(H1201*G1201,2)</f>
        <v>224</v>
      </c>
      <c r="J1201" s="78"/>
    </row>
    <row r="1202" spans="2:10">
      <c r="B1202" s="114">
        <v>3</v>
      </c>
      <c r="C1202" s="139" t="s">
        <v>2373</v>
      </c>
      <c r="D1202" s="174"/>
      <c r="E1202" s="192"/>
      <c r="F1202" s="191" t="s">
        <v>2173</v>
      </c>
      <c r="G1202" s="182">
        <v>2</v>
      </c>
      <c r="H1202" s="215">
        <f>'BASIC DATA'!$D$359</f>
        <v>30</v>
      </c>
      <c r="I1202" s="155">
        <f>ROUND(H1202*G1202,2)</f>
        <v>60</v>
      </c>
      <c r="J1202" s="78"/>
    </row>
    <row r="1203" spans="2:10">
      <c r="B1203" s="184"/>
      <c r="C1203" s="151"/>
      <c r="D1203" s="159"/>
      <c r="E1203" s="159" t="s">
        <v>2380</v>
      </c>
      <c r="F1203" s="159"/>
      <c r="G1203" s="159"/>
      <c r="H1203" s="208" t="s">
        <v>1698</v>
      </c>
      <c r="I1203" s="209">
        <f>SUM(I1198:I1202)</f>
        <v>4196</v>
      </c>
      <c r="J1203" s="78"/>
    </row>
    <row r="1204" spans="2:10">
      <c r="J1204" s="78"/>
    </row>
    <row r="1205" spans="2:10">
      <c r="B1205" s="170" t="s">
        <v>2381</v>
      </c>
      <c r="C1205" s="89"/>
      <c r="J1205" s="78"/>
    </row>
    <row r="1206" spans="2:10">
      <c r="B1206" s="95" t="s">
        <v>2369</v>
      </c>
      <c r="D1206" s="157" t="s">
        <v>2378</v>
      </c>
      <c r="E1206" s="97"/>
      <c r="F1206" s="95" t="s">
        <v>2370</v>
      </c>
      <c r="G1206" s="95" t="s">
        <v>1166</v>
      </c>
      <c r="H1206" s="97" t="s">
        <v>6664</v>
      </c>
      <c r="I1206" s="97" t="s">
        <v>6665</v>
      </c>
      <c r="J1206" s="78"/>
    </row>
    <row r="1207" spans="2:10">
      <c r="B1207" s="191"/>
      <c r="C1207" s="139"/>
      <c r="D1207" s="174"/>
      <c r="E1207" s="192"/>
      <c r="F1207" s="191"/>
      <c r="G1207" s="114"/>
      <c r="H1207" s="115" t="s">
        <v>3856</v>
      </c>
      <c r="I1207" s="115" t="s">
        <v>3857</v>
      </c>
      <c r="J1207" s="78"/>
    </row>
    <row r="1208" spans="2:10">
      <c r="B1208" s="107">
        <v>1</v>
      </c>
      <c r="C1208" s="131" t="s">
        <v>4606</v>
      </c>
      <c r="D1208" s="187"/>
      <c r="E1208" s="195"/>
      <c r="F1208" s="107" t="s">
        <v>2374</v>
      </c>
      <c r="G1208" s="179">
        <v>8</v>
      </c>
      <c r="H1208" s="207">
        <f>'HIRE CHARGES'!$F$497</f>
        <v>164.8</v>
      </c>
      <c r="I1208" s="155">
        <f>ROUND(H1208*G1208,2)</f>
        <v>1318.4</v>
      </c>
      <c r="J1208" s="78"/>
    </row>
    <row r="1209" spans="2:10">
      <c r="B1209" s="210">
        <v>2</v>
      </c>
      <c r="C1209" s="135" t="s">
        <v>999</v>
      </c>
      <c r="D1209" s="31"/>
      <c r="E1209" s="189"/>
      <c r="F1209" s="210" t="s">
        <v>2374</v>
      </c>
      <c r="G1209" s="190">
        <v>8</v>
      </c>
      <c r="H1209" s="207">
        <f>'HIRE CHARGES'!$F$518</f>
        <v>83.3</v>
      </c>
      <c r="I1209" s="155">
        <f>ROUND(H1209*G1209,2)</f>
        <v>666.4</v>
      </c>
      <c r="J1209" s="78"/>
    </row>
    <row r="1210" spans="2:10">
      <c r="B1210" s="191">
        <v>3</v>
      </c>
      <c r="C1210" s="139" t="s">
        <v>2697</v>
      </c>
      <c r="D1210" s="174"/>
      <c r="E1210" s="192"/>
      <c r="F1210" s="191" t="s">
        <v>1172</v>
      </c>
      <c r="G1210" s="182">
        <v>4</v>
      </c>
      <c r="H1210" s="190">
        <f>'BASIC DATA'!$C$552</f>
        <v>350</v>
      </c>
      <c r="I1210" s="155">
        <f>ROUND(H1210*G1210,2)</f>
        <v>1400</v>
      </c>
      <c r="J1210" s="78"/>
    </row>
    <row r="1211" spans="2:10">
      <c r="B1211" s="184"/>
      <c r="C1211" s="151"/>
      <c r="D1211" s="159"/>
      <c r="E1211" s="159" t="s">
        <v>1174</v>
      </c>
      <c r="F1211" s="159"/>
      <c r="G1211" s="193"/>
      <c r="H1211" s="208" t="s">
        <v>1698</v>
      </c>
      <c r="I1211" s="209">
        <f>SUM(I1208:I1210)</f>
        <v>3384.8</v>
      </c>
      <c r="J1211" s="78"/>
    </row>
    <row r="1212" spans="2:10">
      <c r="B1212" s="60" t="s">
        <v>5948</v>
      </c>
      <c r="C1212" s="76"/>
      <c r="D1212" s="31"/>
      <c r="E1212" s="31"/>
      <c r="F1212" s="31"/>
      <c r="G1212" s="85">
        <f>ROUND(I1211/H1187,1)</f>
        <v>17.600000000000001</v>
      </c>
      <c r="J1212" s="78"/>
    </row>
    <row r="1213" spans="2:10">
      <c r="B1213" s="60" t="s">
        <v>3163</v>
      </c>
      <c r="C1213" s="76"/>
      <c r="D1213" s="31"/>
      <c r="E1213" s="31"/>
      <c r="F1213" s="922">
        <f>'BASIC DATA'!$C$577</f>
        <v>0.13614999999999999</v>
      </c>
      <c r="G1213" s="85">
        <f>ROUND(G1212*F1213,1)</f>
        <v>2.4</v>
      </c>
      <c r="J1213" s="78"/>
    </row>
    <row r="1214" spans="2:10">
      <c r="B1214" s="60" t="s">
        <v>5949</v>
      </c>
      <c r="C1214" s="76"/>
      <c r="D1214" s="31"/>
      <c r="E1214" s="31"/>
      <c r="F1214" s="31"/>
      <c r="G1214" s="199">
        <f>ROUND(G1213+G1212,1)</f>
        <v>20</v>
      </c>
      <c r="J1214" s="78"/>
    </row>
    <row r="1215" spans="2:10">
      <c r="J1215" s="78"/>
    </row>
    <row r="1216" spans="2:10">
      <c r="B1216" s="170" t="s">
        <v>1175</v>
      </c>
      <c r="J1216" s="78"/>
    </row>
    <row r="1217" spans="1:10">
      <c r="B1217" s="26" t="s">
        <v>1176</v>
      </c>
      <c r="H1217" s="171" t="s">
        <v>1698</v>
      </c>
      <c r="I1217" s="117">
        <f>I1193</f>
        <v>429.92</v>
      </c>
      <c r="J1217" s="78"/>
    </row>
    <row r="1218" spans="1:10">
      <c r="B1218" s="26" t="s">
        <v>1186</v>
      </c>
      <c r="H1218" s="171" t="s">
        <v>1698</v>
      </c>
      <c r="I1218" s="117">
        <f>I1203</f>
        <v>4196</v>
      </c>
      <c r="J1218" s="78"/>
    </row>
    <row r="1219" spans="1:10">
      <c r="B1219" s="26" t="s">
        <v>2660</v>
      </c>
      <c r="H1219" s="171" t="s">
        <v>1698</v>
      </c>
      <c r="I1219" s="85">
        <f>I1211</f>
        <v>3384.8</v>
      </c>
      <c r="J1219" s="78"/>
    </row>
    <row r="1220" spans="1:10">
      <c r="G1220" s="171" t="s">
        <v>1518</v>
      </c>
      <c r="H1220" s="171" t="s">
        <v>1698</v>
      </c>
      <c r="I1220" s="130">
        <f>SUM(I1217:I1219)</f>
        <v>8010.72</v>
      </c>
      <c r="J1220" s="78"/>
    </row>
    <row r="1221" spans="1:10" ht="18.75">
      <c r="B1221" s="1207" t="s">
        <v>8375</v>
      </c>
      <c r="C1221" s="1207"/>
      <c r="D1221" s="1207"/>
      <c r="E1221" s="1207"/>
      <c r="F1221" s="1207"/>
      <c r="G1221" s="922">
        <f>'BASIC DATA'!$C$577</f>
        <v>0.13614999999999999</v>
      </c>
      <c r="H1221" s="171" t="s">
        <v>4108</v>
      </c>
      <c r="I1221" s="76">
        <f>ROUND(I1220*G1221,2)</f>
        <v>1090.6600000000001</v>
      </c>
      <c r="J1221" s="78"/>
    </row>
    <row r="1222" spans="1:10">
      <c r="B1222" s="1206" t="s">
        <v>1191</v>
      </c>
      <c r="C1222" s="1206"/>
      <c r="D1222" s="1206"/>
      <c r="E1222" s="1206"/>
      <c r="F1222" s="202">
        <f>H1187</f>
        <v>192</v>
      </c>
      <c r="G1222" s="171" t="str">
        <f>I1187</f>
        <v>Rm.</v>
      </c>
      <c r="H1222" s="171" t="s">
        <v>1698</v>
      </c>
      <c r="I1222" s="199">
        <f>I1221+I1220</f>
        <v>9101.380000000001</v>
      </c>
      <c r="J1222" s="78"/>
    </row>
    <row r="1223" spans="1:10">
      <c r="B1223" s="1161" t="s">
        <v>3884</v>
      </c>
      <c r="C1223" s="1161"/>
      <c r="D1223" s="203" t="str">
        <f>G1222</f>
        <v>Rm.</v>
      </c>
      <c r="F1223" s="26" t="s">
        <v>1648</v>
      </c>
      <c r="H1223" s="171" t="s">
        <v>1698</v>
      </c>
      <c r="I1223" s="204">
        <f>ROUND(I1222/F1222,1)</f>
        <v>47.4</v>
      </c>
      <c r="J1223" s="78"/>
    </row>
    <row r="1224" spans="1:10">
      <c r="J1224" s="78"/>
    </row>
    <row r="1225" spans="1:10">
      <c r="J1225" s="78"/>
    </row>
    <row r="1226" spans="1:10">
      <c r="A1226" s="822" t="s">
        <v>7051</v>
      </c>
      <c r="B1226" s="26" t="s">
        <v>8397</v>
      </c>
      <c r="J1226" s="78"/>
    </row>
    <row r="1227" spans="1:10" ht="18.75">
      <c r="A1227" s="822" t="s">
        <v>6935</v>
      </c>
      <c r="B1227" s="26" t="s">
        <v>8398</v>
      </c>
      <c r="J1227" s="78"/>
    </row>
    <row r="1228" spans="1:10">
      <c r="B1228" s="26" t="s">
        <v>7977</v>
      </c>
      <c r="J1228" s="78"/>
    </row>
    <row r="1229" spans="1:10">
      <c r="B1229" s="26" t="s">
        <v>8399</v>
      </c>
      <c r="J1229" s="78"/>
    </row>
    <row r="1230" spans="1:10" hidden="1">
      <c r="A1230" s="822" t="s">
        <v>3984</v>
      </c>
      <c r="B1230" s="26" t="s">
        <v>2128</v>
      </c>
      <c r="G1230" s="171" t="s">
        <v>1697</v>
      </c>
      <c r="H1230" s="68">
        <v>7</v>
      </c>
      <c r="I1230" s="26" t="s">
        <v>2129</v>
      </c>
      <c r="J1230" s="78"/>
    </row>
    <row r="1231" spans="1:10" hidden="1">
      <c r="B1231" s="26" t="s">
        <v>5008</v>
      </c>
      <c r="G1231" s="171" t="s">
        <v>1697</v>
      </c>
      <c r="H1231" s="68">
        <v>25</v>
      </c>
      <c r="I1231" s="26" t="s">
        <v>3478</v>
      </c>
      <c r="J1231" s="78"/>
    </row>
    <row r="1232" spans="1:10" hidden="1">
      <c r="B1232" s="26" t="s">
        <v>2903</v>
      </c>
      <c r="G1232" s="171" t="s">
        <v>1697</v>
      </c>
      <c r="H1232" s="68">
        <v>1050</v>
      </c>
      <c r="I1232" s="26" t="s">
        <v>3478</v>
      </c>
      <c r="J1232" s="78"/>
    </row>
    <row r="1233" spans="1:10" hidden="1">
      <c r="B1233" s="26" t="s">
        <v>2904</v>
      </c>
      <c r="D1233" s="26" t="s">
        <v>2289</v>
      </c>
      <c r="E1233" s="68">
        <f>'BASIC DATA'!$D$344</f>
        <v>185</v>
      </c>
      <c r="F1233" s="26" t="s">
        <v>2618</v>
      </c>
      <c r="G1233" s="171" t="s">
        <v>1698</v>
      </c>
      <c r="H1233" s="68">
        <f>50*E1233</f>
        <v>9250</v>
      </c>
      <c r="J1233" s="78"/>
    </row>
    <row r="1234" spans="1:10" hidden="1">
      <c r="B1234" s="26" t="s">
        <v>2905</v>
      </c>
      <c r="G1234" s="171" t="s">
        <v>1697</v>
      </c>
      <c r="H1234" s="68">
        <v>800</v>
      </c>
      <c r="I1234" s="26" t="s">
        <v>3428</v>
      </c>
      <c r="J1234" s="78"/>
    </row>
    <row r="1235" spans="1:10" hidden="1">
      <c r="B1235" s="26" t="s">
        <v>71</v>
      </c>
      <c r="F1235" s="26" t="s">
        <v>7593</v>
      </c>
      <c r="G1235" s="171" t="s">
        <v>1698</v>
      </c>
      <c r="H1235" s="68">
        <f>ROUND(H1233/H1234,2)</f>
        <v>11.56</v>
      </c>
      <c r="J1235" s="78"/>
    </row>
    <row r="1236" spans="1:10">
      <c r="J1236" s="78"/>
    </row>
    <row r="1237" spans="1:10">
      <c r="A1237" s="822" t="s">
        <v>3984</v>
      </c>
      <c r="F1237" s="170" t="s">
        <v>2367</v>
      </c>
      <c r="J1237" s="78"/>
    </row>
    <row r="1238" spans="1:10">
      <c r="H1238" s="171" t="s">
        <v>297</v>
      </c>
      <c r="J1238" s="78"/>
    </row>
    <row r="1239" spans="1:10">
      <c r="B1239" s="170" t="s">
        <v>2368</v>
      </c>
      <c r="C1239" s="89"/>
      <c r="H1239" s="170">
        <v>1.05</v>
      </c>
      <c r="I1239" s="26" t="s">
        <v>6900</v>
      </c>
      <c r="J1239" s="78"/>
    </row>
    <row r="1240" spans="1:10">
      <c r="B1240" s="95" t="s">
        <v>2369</v>
      </c>
      <c r="D1240" s="157" t="s">
        <v>4443</v>
      </c>
      <c r="E1240" s="97"/>
      <c r="F1240" s="95" t="s">
        <v>2370</v>
      </c>
      <c r="G1240" s="95" t="s">
        <v>1166</v>
      </c>
      <c r="H1240" s="97" t="s">
        <v>6664</v>
      </c>
      <c r="I1240" s="97" t="s">
        <v>6665</v>
      </c>
      <c r="J1240" s="78"/>
    </row>
    <row r="1241" spans="1:10">
      <c r="B1241" s="191"/>
      <c r="C1241" s="139"/>
      <c r="D1241" s="174"/>
      <c r="E1241" s="192"/>
      <c r="F1241" s="191"/>
      <c r="G1241" s="114"/>
      <c r="H1241" s="115" t="s">
        <v>3856</v>
      </c>
      <c r="I1241" s="115" t="s">
        <v>3857</v>
      </c>
      <c r="J1241" s="78"/>
    </row>
    <row r="1242" spans="1:10">
      <c r="B1242" s="95">
        <v>1</v>
      </c>
      <c r="C1242" s="131" t="s">
        <v>6669</v>
      </c>
      <c r="D1242" s="187"/>
      <c r="E1242" s="195"/>
      <c r="F1242" s="107" t="s">
        <v>3480</v>
      </c>
      <c r="G1242" s="179">
        <v>1.05</v>
      </c>
      <c r="H1242" s="178">
        <f>'BASIC DATA'!$D$32</f>
        <v>5350</v>
      </c>
      <c r="I1242" s="155">
        <f>ROUND(H1242*G1242,2)</f>
        <v>5617.5</v>
      </c>
      <c r="J1242" s="78"/>
    </row>
    <row r="1243" spans="1:10">
      <c r="B1243" s="105">
        <v>2</v>
      </c>
      <c r="C1243" s="135" t="s">
        <v>72</v>
      </c>
      <c r="D1243" s="31"/>
      <c r="E1243" s="189"/>
      <c r="F1243" s="210" t="s">
        <v>2374</v>
      </c>
      <c r="G1243" s="190">
        <v>8</v>
      </c>
      <c r="H1243" s="207">
        <f>H1235</f>
        <v>11.56</v>
      </c>
      <c r="I1243" s="155">
        <f>ROUND(H1243*G1243,2)</f>
        <v>92.48</v>
      </c>
      <c r="J1243" s="78"/>
    </row>
    <row r="1244" spans="1:10">
      <c r="B1244" s="114">
        <v>3</v>
      </c>
      <c r="C1244" s="139" t="s">
        <v>73</v>
      </c>
      <c r="D1244" s="174"/>
      <c r="E1244" s="192"/>
      <c r="F1244" s="191" t="s">
        <v>2173</v>
      </c>
      <c r="G1244" s="182">
        <v>3</v>
      </c>
      <c r="H1244" s="182">
        <f>'BASIC DATA'!$D$359</f>
        <v>30</v>
      </c>
      <c r="I1244" s="155">
        <f>ROUND(H1244*G1244,2)</f>
        <v>90</v>
      </c>
      <c r="J1244" s="78"/>
    </row>
    <row r="1245" spans="1:10">
      <c r="B1245" s="184"/>
      <c r="C1245" s="151"/>
      <c r="D1245" s="159"/>
      <c r="E1245" s="159" t="s">
        <v>2376</v>
      </c>
      <c r="F1245" s="159"/>
      <c r="G1245" s="159"/>
      <c r="H1245" s="208" t="s">
        <v>1698</v>
      </c>
      <c r="I1245" s="209">
        <f>SUM(I1242:I1244)</f>
        <v>5799.98</v>
      </c>
      <c r="J1245" s="78"/>
    </row>
    <row r="1246" spans="1:10">
      <c r="B1246" s="31"/>
      <c r="C1246" s="76"/>
      <c r="D1246" s="31"/>
      <c r="E1246" s="31"/>
      <c r="F1246" s="31"/>
      <c r="G1246" s="31"/>
      <c r="H1246" s="33"/>
      <c r="I1246" s="31"/>
      <c r="J1246" s="78"/>
    </row>
    <row r="1247" spans="1:10">
      <c r="B1247" s="170" t="s">
        <v>2377</v>
      </c>
      <c r="C1247" s="89"/>
      <c r="J1247" s="78"/>
    </row>
    <row r="1248" spans="1:10">
      <c r="B1248" s="95" t="s">
        <v>2369</v>
      </c>
      <c r="D1248" s="157" t="s">
        <v>2378</v>
      </c>
      <c r="E1248" s="97"/>
      <c r="F1248" s="95" t="s">
        <v>2370</v>
      </c>
      <c r="G1248" s="95" t="s">
        <v>1166</v>
      </c>
      <c r="H1248" s="97" t="s">
        <v>6664</v>
      </c>
      <c r="I1248" s="97" t="s">
        <v>6665</v>
      </c>
      <c r="J1248" s="78"/>
    </row>
    <row r="1249" spans="2:10">
      <c r="B1249" s="191"/>
      <c r="C1249" s="139"/>
      <c r="D1249" s="174"/>
      <c r="E1249" s="192"/>
      <c r="F1249" s="191"/>
      <c r="G1249" s="114"/>
      <c r="H1249" s="115" t="s">
        <v>3856</v>
      </c>
      <c r="I1249" s="115" t="s">
        <v>3857</v>
      </c>
      <c r="J1249" s="78"/>
    </row>
    <row r="1250" spans="2:10">
      <c r="B1250" s="95">
        <v>1</v>
      </c>
      <c r="C1250" s="131" t="s">
        <v>74</v>
      </c>
      <c r="D1250" s="187"/>
      <c r="E1250" s="195"/>
      <c r="F1250" s="107" t="s">
        <v>2374</v>
      </c>
      <c r="G1250" s="179">
        <v>8</v>
      </c>
      <c r="H1250" s="178">
        <f>'HIRE CHARGES'!$D$527</f>
        <v>24.9</v>
      </c>
      <c r="I1250" s="155">
        <f>ROUND(H1250*G1250,2)</f>
        <v>199.2</v>
      </c>
      <c r="J1250" s="78"/>
    </row>
    <row r="1251" spans="2:10">
      <c r="B1251" s="105"/>
      <c r="C1251" s="135" t="s">
        <v>2379</v>
      </c>
      <c r="D1251" s="31"/>
      <c r="E1251" s="189"/>
      <c r="F1251" s="210" t="s">
        <v>2374</v>
      </c>
      <c r="G1251" s="190">
        <v>8</v>
      </c>
      <c r="H1251" s="207">
        <f>'HIRE CHARGES'!$E$527</f>
        <v>28</v>
      </c>
      <c r="I1251" s="155">
        <f>ROUND(H1251*G1251,2)</f>
        <v>224</v>
      </c>
      <c r="J1251" s="78"/>
    </row>
    <row r="1252" spans="2:10">
      <c r="B1252" s="105">
        <v>2</v>
      </c>
      <c r="C1252" s="135" t="s">
        <v>4497</v>
      </c>
      <c r="D1252" s="31"/>
      <c r="E1252" s="189"/>
      <c r="F1252" s="210" t="s">
        <v>2374</v>
      </c>
      <c r="G1252" s="190">
        <v>2</v>
      </c>
      <c r="H1252" s="207">
        <f>'HIRE CHARGES'!$D$518</f>
        <v>3</v>
      </c>
      <c r="I1252" s="155">
        <f>ROUND(H1252*G1252,2)</f>
        <v>6</v>
      </c>
      <c r="J1252" s="78"/>
    </row>
    <row r="1253" spans="2:10">
      <c r="B1253" s="105"/>
      <c r="C1253" s="135" t="s">
        <v>2379</v>
      </c>
      <c r="D1253" s="31"/>
      <c r="E1253" s="189"/>
      <c r="F1253" s="210" t="s">
        <v>2374</v>
      </c>
      <c r="G1253" s="190">
        <v>2</v>
      </c>
      <c r="H1253" s="181">
        <f>'HIRE CHARGES'!$E$518</f>
        <v>28</v>
      </c>
      <c r="I1253" s="155">
        <f>ROUND(H1253*G1253,2)</f>
        <v>56</v>
      </c>
      <c r="J1253" s="78"/>
    </row>
    <row r="1254" spans="2:10">
      <c r="B1254" s="114">
        <v>3</v>
      </c>
      <c r="C1254" s="139" t="s">
        <v>2373</v>
      </c>
      <c r="D1254" s="174"/>
      <c r="E1254" s="192"/>
      <c r="F1254" s="191" t="s">
        <v>2173</v>
      </c>
      <c r="G1254" s="182">
        <v>2</v>
      </c>
      <c r="H1254" s="215">
        <f>'BASIC DATA'!$D$359</f>
        <v>30</v>
      </c>
      <c r="I1254" s="155">
        <f>ROUND(H1254*G1254,2)</f>
        <v>60</v>
      </c>
      <c r="J1254" s="78"/>
    </row>
    <row r="1255" spans="2:10">
      <c r="B1255" s="184"/>
      <c r="C1255" s="151"/>
      <c r="D1255" s="159"/>
      <c r="E1255" s="159" t="s">
        <v>2380</v>
      </c>
      <c r="F1255" s="159"/>
      <c r="G1255" s="159"/>
      <c r="H1255" s="208" t="s">
        <v>1698</v>
      </c>
      <c r="I1255" s="209">
        <f>SUM(I1250:I1254)</f>
        <v>545.20000000000005</v>
      </c>
      <c r="J1255" s="78"/>
    </row>
    <row r="1256" spans="2:10">
      <c r="B1256" s="31"/>
      <c r="C1256" s="76"/>
      <c r="D1256" s="31"/>
      <c r="E1256" s="31"/>
      <c r="F1256" s="31"/>
      <c r="G1256" s="31"/>
      <c r="H1256" s="200"/>
      <c r="I1256" s="31"/>
      <c r="J1256" s="78"/>
    </row>
    <row r="1257" spans="2:10">
      <c r="B1257" s="170" t="s">
        <v>2381</v>
      </c>
      <c r="C1257" s="89"/>
      <c r="J1257" s="78"/>
    </row>
    <row r="1258" spans="2:10">
      <c r="B1258" s="95" t="s">
        <v>2369</v>
      </c>
      <c r="D1258" s="157" t="s">
        <v>2378</v>
      </c>
      <c r="E1258" s="97"/>
      <c r="F1258" s="95" t="s">
        <v>2370</v>
      </c>
      <c r="G1258" s="95" t="s">
        <v>1166</v>
      </c>
      <c r="H1258" s="97" t="s">
        <v>6664</v>
      </c>
      <c r="I1258" s="97" t="s">
        <v>6665</v>
      </c>
      <c r="J1258" s="78"/>
    </row>
    <row r="1259" spans="2:10">
      <c r="B1259" s="191"/>
      <c r="C1259" s="139"/>
      <c r="D1259" s="174"/>
      <c r="E1259" s="192"/>
      <c r="F1259" s="191"/>
      <c r="G1259" s="114"/>
      <c r="H1259" s="115" t="s">
        <v>3856</v>
      </c>
      <c r="I1259" s="115" t="s">
        <v>3857</v>
      </c>
      <c r="J1259" s="78"/>
    </row>
    <row r="1260" spans="2:10">
      <c r="B1260" s="95">
        <v>1</v>
      </c>
      <c r="C1260" s="131" t="s">
        <v>3665</v>
      </c>
      <c r="D1260" s="187"/>
      <c r="E1260" s="195"/>
      <c r="F1260" s="107" t="s">
        <v>2374</v>
      </c>
      <c r="G1260" s="179">
        <v>8</v>
      </c>
      <c r="H1260" s="178">
        <f>'HIRE CHARGES'!$F$527</f>
        <v>263.60000000000002</v>
      </c>
      <c r="I1260" s="155">
        <f>ROUND(H1260*G1260,2)</f>
        <v>2108.8000000000002</v>
      </c>
      <c r="J1260" s="78"/>
    </row>
    <row r="1261" spans="2:10">
      <c r="B1261" s="105">
        <v>2</v>
      </c>
      <c r="C1261" s="135" t="s">
        <v>999</v>
      </c>
      <c r="D1261" s="31"/>
      <c r="E1261" s="189"/>
      <c r="F1261" s="210" t="s">
        <v>2374</v>
      </c>
      <c r="G1261" s="190">
        <v>2</v>
      </c>
      <c r="H1261" s="207">
        <f>'HIRE CHARGES'!$F$518</f>
        <v>83.3</v>
      </c>
      <c r="I1261" s="155">
        <f>ROUND(H1261*G1261,2)</f>
        <v>166.6</v>
      </c>
      <c r="J1261" s="78"/>
    </row>
    <row r="1262" spans="2:10">
      <c r="B1262" s="105">
        <v>3</v>
      </c>
      <c r="C1262" s="135" t="s">
        <v>5744</v>
      </c>
      <c r="D1262" s="31"/>
      <c r="E1262" s="189"/>
      <c r="F1262" s="210" t="s">
        <v>1172</v>
      </c>
      <c r="G1262" s="190">
        <v>2</v>
      </c>
      <c r="H1262" s="207">
        <f>'BASIC DATA'!$C$552</f>
        <v>350</v>
      </c>
      <c r="I1262" s="155">
        <f>ROUND(H1262*G1262,2)</f>
        <v>700</v>
      </c>
      <c r="J1262" s="78"/>
    </row>
    <row r="1263" spans="2:10">
      <c r="B1263" s="184"/>
      <c r="C1263" s="151"/>
      <c r="D1263" s="159" t="s">
        <v>1174</v>
      </c>
      <c r="E1263" s="159"/>
      <c r="F1263" s="159"/>
      <c r="G1263" s="159"/>
      <c r="H1263" s="208" t="s">
        <v>1698</v>
      </c>
      <c r="I1263" s="209">
        <f>SUM(I1260:I1262)</f>
        <v>2975.4</v>
      </c>
      <c r="J1263" s="78"/>
    </row>
    <row r="1264" spans="2:10">
      <c r="B1264" s="60" t="s">
        <v>5948</v>
      </c>
      <c r="C1264" s="76"/>
      <c r="D1264" s="31"/>
      <c r="E1264" s="31"/>
      <c r="F1264" s="31"/>
      <c r="G1264" s="85">
        <f>ROUND(I1263/H1239,1)</f>
        <v>2833.7</v>
      </c>
      <c r="J1264" s="78"/>
    </row>
    <row r="1265" spans="1:10">
      <c r="B1265" s="60" t="s">
        <v>3163</v>
      </c>
      <c r="C1265" s="76"/>
      <c r="D1265" s="31"/>
      <c r="E1265" s="31"/>
      <c r="F1265" s="922">
        <f>'BASIC DATA'!$C$577</f>
        <v>0.13614999999999999</v>
      </c>
      <c r="G1265" s="85">
        <f>ROUND(G1264*F1265,1)</f>
        <v>385.8</v>
      </c>
      <c r="J1265" s="78"/>
    </row>
    <row r="1266" spans="1:10">
      <c r="B1266" s="60" t="s">
        <v>5949</v>
      </c>
      <c r="C1266" s="76"/>
      <c r="D1266" s="31"/>
      <c r="E1266" s="31"/>
      <c r="F1266" s="31"/>
      <c r="G1266" s="199">
        <f>ROUND(G1265+G1264,1)</f>
        <v>3219.5</v>
      </c>
      <c r="J1266" s="78"/>
    </row>
    <row r="1267" spans="1:10">
      <c r="B1267" s="31"/>
      <c r="C1267" s="76"/>
      <c r="D1267" s="31"/>
      <c r="E1267" s="31"/>
      <c r="F1267" s="31"/>
      <c r="G1267" s="31"/>
      <c r="H1267" s="200"/>
      <c r="I1267" s="31"/>
      <c r="J1267" s="78"/>
    </row>
    <row r="1268" spans="1:10">
      <c r="B1268" s="170" t="s">
        <v>1175</v>
      </c>
      <c r="J1268" s="78"/>
    </row>
    <row r="1269" spans="1:10">
      <c r="B1269" s="26" t="s">
        <v>1176</v>
      </c>
      <c r="H1269" s="171" t="s">
        <v>1698</v>
      </c>
      <c r="I1269" s="117">
        <f>I1245</f>
        <v>5799.98</v>
      </c>
      <c r="J1269" s="78"/>
    </row>
    <row r="1270" spans="1:10">
      <c r="B1270" s="26" t="s">
        <v>1186</v>
      </c>
      <c r="H1270" s="171" t="s">
        <v>1698</v>
      </c>
      <c r="I1270" s="117">
        <f>I1255</f>
        <v>545.20000000000005</v>
      </c>
      <c r="J1270" s="78"/>
    </row>
    <row r="1271" spans="1:10">
      <c r="B1271" s="26" t="s">
        <v>2660</v>
      </c>
      <c r="H1271" s="171" t="s">
        <v>1698</v>
      </c>
      <c r="I1271" s="120">
        <f>I1263</f>
        <v>2975.4</v>
      </c>
      <c r="J1271" s="78"/>
    </row>
    <row r="1272" spans="1:10">
      <c r="G1272" s="171" t="s">
        <v>1518</v>
      </c>
      <c r="H1272" s="171" t="s">
        <v>1698</v>
      </c>
      <c r="I1272" s="130">
        <f>SUM(I1269:I1271)</f>
        <v>9320.58</v>
      </c>
      <c r="J1272" s="78"/>
    </row>
    <row r="1273" spans="1:10" ht="18.75">
      <c r="B1273" s="1207" t="s">
        <v>8375</v>
      </c>
      <c r="C1273" s="1207"/>
      <c r="D1273" s="1207"/>
      <c r="E1273" s="1207"/>
      <c r="F1273" s="1207"/>
      <c r="G1273" s="922">
        <f>'BASIC DATA'!$C$577</f>
        <v>0.13614999999999999</v>
      </c>
      <c r="H1273" s="171" t="s">
        <v>4108</v>
      </c>
      <c r="I1273" s="76">
        <f>ROUND(I1272*G1273,2)</f>
        <v>1269</v>
      </c>
      <c r="J1273" s="78"/>
    </row>
    <row r="1274" spans="1:10" ht="35.25" customHeight="1">
      <c r="B1274" s="1210" t="s">
        <v>9610</v>
      </c>
      <c r="C1274" s="1210"/>
      <c r="D1274" s="1210"/>
      <c r="E1274" s="1210"/>
      <c r="F1274" s="1210"/>
      <c r="G1274" s="68">
        <f>leadcharges!$F$65+leadcharges!$F$78+leadcharges!$F$79</f>
        <v>143.80000000000001</v>
      </c>
      <c r="H1274" s="27" t="s">
        <v>9588</v>
      </c>
      <c r="I1274" s="76">
        <f>G1274*G1242</f>
        <v>150.99</v>
      </c>
      <c r="J1274" s="78"/>
    </row>
    <row r="1275" spans="1:10">
      <c r="B1275" s="1206" t="s">
        <v>1191</v>
      </c>
      <c r="C1275" s="1206"/>
      <c r="D1275" s="1206"/>
      <c r="E1275" s="1206"/>
      <c r="F1275" s="202">
        <f>H1239</f>
        <v>1.05</v>
      </c>
      <c r="G1275" s="171" t="str">
        <f>I1239</f>
        <v xml:space="preserve"> tonne</v>
      </c>
      <c r="H1275" s="171" t="s">
        <v>1698</v>
      </c>
      <c r="I1275" s="199">
        <f>I1273+I1272+I1274</f>
        <v>10740.57</v>
      </c>
      <c r="J1275" s="78"/>
    </row>
    <row r="1276" spans="1:10">
      <c r="B1276" s="1161" t="s">
        <v>3884</v>
      </c>
      <c r="C1276" s="1161"/>
      <c r="D1276" s="203" t="str">
        <f>G1275</f>
        <v xml:space="preserve"> tonne</v>
      </c>
      <c r="F1276" s="26" t="s">
        <v>1647</v>
      </c>
      <c r="H1276" s="171" t="s">
        <v>1698</v>
      </c>
      <c r="I1276" s="204">
        <f>ROUND(I1275/F1275,1)</f>
        <v>10229.1</v>
      </c>
      <c r="J1276" s="78"/>
    </row>
    <row r="1277" spans="1:10">
      <c r="J1277" s="78"/>
    </row>
    <row r="1278" spans="1:10">
      <c r="J1278" s="78"/>
    </row>
    <row r="1279" spans="1:10">
      <c r="A1279" s="822" t="s">
        <v>7052</v>
      </c>
      <c r="B1279" s="26" t="s">
        <v>8400</v>
      </c>
      <c r="J1279" s="78"/>
    </row>
    <row r="1280" spans="1:10">
      <c r="A1280" s="822" t="s">
        <v>2047</v>
      </c>
      <c r="B1280" s="26" t="s">
        <v>1090</v>
      </c>
      <c r="J1280" s="78"/>
    </row>
    <row r="1281" spans="1:10">
      <c r="B1281" s="26" t="s">
        <v>1091</v>
      </c>
      <c r="J1281" s="78"/>
    </row>
    <row r="1282" spans="1:10" ht="18.75">
      <c r="B1282" s="26" t="s">
        <v>8401</v>
      </c>
      <c r="J1282" s="78"/>
    </row>
    <row r="1283" spans="1:10" hidden="1">
      <c r="A1283" s="822" t="s">
        <v>3984</v>
      </c>
      <c r="B1283" s="26" t="s">
        <v>2128</v>
      </c>
      <c r="G1283" s="78" t="s">
        <v>1697</v>
      </c>
      <c r="H1283" s="68">
        <v>7</v>
      </c>
      <c r="I1283" s="26" t="s">
        <v>2129</v>
      </c>
      <c r="J1283" s="78"/>
    </row>
    <row r="1284" spans="1:10" hidden="1">
      <c r="B1284" s="26" t="s">
        <v>2130</v>
      </c>
      <c r="G1284" s="78" t="s">
        <v>1697</v>
      </c>
      <c r="H1284" s="68">
        <v>25</v>
      </c>
      <c r="I1284" s="26" t="s">
        <v>3478</v>
      </c>
      <c r="J1284" s="78"/>
    </row>
    <row r="1285" spans="1:10" hidden="1">
      <c r="B1285" s="26" t="s">
        <v>4016</v>
      </c>
      <c r="G1285" s="78" t="s">
        <v>1697</v>
      </c>
      <c r="H1285" s="68">
        <v>1050</v>
      </c>
      <c r="I1285" s="26" t="s">
        <v>3478</v>
      </c>
      <c r="J1285" s="78"/>
    </row>
    <row r="1286" spans="1:10" hidden="1">
      <c r="B1286" s="26" t="s">
        <v>2366</v>
      </c>
      <c r="J1286" s="78"/>
    </row>
    <row r="1287" spans="1:10" hidden="1">
      <c r="B1287" s="26" t="s">
        <v>6301</v>
      </c>
      <c r="E1287" s="68">
        <f>'BASIC DATA'!$D$344</f>
        <v>185</v>
      </c>
      <c r="F1287" s="26" t="s">
        <v>4540</v>
      </c>
      <c r="G1287" s="171" t="s">
        <v>1698</v>
      </c>
      <c r="H1287" s="68">
        <f>100*E1287</f>
        <v>18500</v>
      </c>
      <c r="J1287" s="78"/>
    </row>
    <row r="1288" spans="1:10" hidden="1">
      <c r="B1288" s="26" t="s">
        <v>2905</v>
      </c>
      <c r="G1288" s="171" t="s">
        <v>1698</v>
      </c>
      <c r="H1288" s="68">
        <v>800</v>
      </c>
      <c r="I1288" s="26" t="s">
        <v>4665</v>
      </c>
      <c r="J1288" s="78"/>
    </row>
    <row r="1289" spans="1:10" hidden="1">
      <c r="B1289" s="26" t="s">
        <v>71</v>
      </c>
      <c r="F1289" s="26" t="s">
        <v>7593</v>
      </c>
      <c r="G1289" s="171" t="s">
        <v>1698</v>
      </c>
      <c r="H1289" s="26">
        <f>ROUND(H1287/H1288,2)</f>
        <v>23.13</v>
      </c>
      <c r="J1289" s="78"/>
    </row>
    <row r="1290" spans="1:10" hidden="1">
      <c r="B1290" s="26" t="s">
        <v>6302</v>
      </c>
      <c r="E1290" s="68">
        <f>'BASIC DATA'!$D$63</f>
        <v>160</v>
      </c>
      <c r="F1290" s="26" t="s">
        <v>4540</v>
      </c>
      <c r="G1290" s="171" t="s">
        <v>1698</v>
      </c>
      <c r="H1290" s="68">
        <f>400*E1290</f>
        <v>64000</v>
      </c>
      <c r="J1290" s="78"/>
    </row>
    <row r="1291" spans="1:10" hidden="1">
      <c r="B1291" s="26" t="s">
        <v>4017</v>
      </c>
      <c r="G1291" s="171" t="s">
        <v>1698</v>
      </c>
      <c r="H1291" s="68">
        <v>10000</v>
      </c>
      <c r="I1291" s="26" t="s">
        <v>4665</v>
      </c>
      <c r="J1291" s="78"/>
    </row>
    <row r="1292" spans="1:10" hidden="1">
      <c r="B1292" s="26" t="s">
        <v>4018</v>
      </c>
      <c r="G1292" s="171" t="s">
        <v>1698</v>
      </c>
      <c r="H1292" s="26">
        <f>ROUND(H1290/H1291,2)</f>
        <v>6.4</v>
      </c>
      <c r="J1292" s="78"/>
    </row>
    <row r="1293" spans="1:10">
      <c r="J1293" s="78"/>
    </row>
    <row r="1294" spans="1:10">
      <c r="A1294" s="822" t="s">
        <v>3984</v>
      </c>
      <c r="D1294" s="170" t="s">
        <v>2367</v>
      </c>
      <c r="J1294" s="78"/>
    </row>
    <row r="1295" spans="1:10">
      <c r="H1295" s="171" t="s">
        <v>297</v>
      </c>
      <c r="J1295" s="78"/>
    </row>
    <row r="1296" spans="1:10">
      <c r="B1296" s="170" t="s">
        <v>2368</v>
      </c>
      <c r="C1296" s="89"/>
      <c r="H1296" s="170">
        <v>1.05</v>
      </c>
      <c r="I1296" s="26" t="s">
        <v>3480</v>
      </c>
      <c r="J1296" s="78"/>
    </row>
    <row r="1297" spans="2:10">
      <c r="B1297" s="95" t="s">
        <v>2369</v>
      </c>
      <c r="D1297" s="157" t="s">
        <v>4443</v>
      </c>
      <c r="E1297" s="175"/>
      <c r="F1297" s="97" t="s">
        <v>2370</v>
      </c>
      <c r="G1297" s="95" t="s">
        <v>1166</v>
      </c>
      <c r="H1297" s="97" t="s">
        <v>6664</v>
      </c>
      <c r="I1297" s="97" t="s">
        <v>6665</v>
      </c>
      <c r="J1297" s="78"/>
    </row>
    <row r="1298" spans="2:10">
      <c r="B1298" s="191"/>
      <c r="C1298" s="89"/>
      <c r="D1298" s="174"/>
      <c r="E1298" s="174"/>
      <c r="F1298" s="192"/>
      <c r="G1298" s="114"/>
      <c r="H1298" s="115" t="s">
        <v>3856</v>
      </c>
      <c r="I1298" s="115" t="s">
        <v>3857</v>
      </c>
      <c r="J1298" s="78"/>
    </row>
    <row r="1299" spans="2:10">
      <c r="B1299" s="95">
        <v>1</v>
      </c>
      <c r="C1299" s="148" t="s">
        <v>6669</v>
      </c>
      <c r="D1299" s="187"/>
      <c r="E1299" s="187"/>
      <c r="F1299" s="195" t="s">
        <v>3480</v>
      </c>
      <c r="G1299" s="67">
        <v>1.05</v>
      </c>
      <c r="H1299" s="235">
        <f>'BASIC DATA'!$D$32</f>
        <v>5350</v>
      </c>
      <c r="I1299" s="155">
        <f>ROUND(H1299*G1299,2)</f>
        <v>5617.5</v>
      </c>
      <c r="J1299" s="78"/>
    </row>
    <row r="1300" spans="2:10">
      <c r="B1300" s="105">
        <v>2</v>
      </c>
      <c r="C1300" s="76" t="s">
        <v>4019</v>
      </c>
      <c r="D1300" s="31"/>
      <c r="E1300" s="31"/>
      <c r="F1300" s="189" t="s">
        <v>2374</v>
      </c>
      <c r="G1300" s="67">
        <v>8</v>
      </c>
      <c r="H1300" s="236">
        <f>H1289</f>
        <v>23.13</v>
      </c>
      <c r="I1300" s="155">
        <f>ROUND(H1300*G1300,2)</f>
        <v>185.04</v>
      </c>
      <c r="J1300" s="78"/>
    </row>
    <row r="1301" spans="2:10">
      <c r="B1301" s="105">
        <v>3</v>
      </c>
      <c r="C1301" s="76" t="s">
        <v>4020</v>
      </c>
      <c r="D1301" s="31"/>
      <c r="E1301" s="31"/>
      <c r="F1301" s="189" t="s">
        <v>2374</v>
      </c>
      <c r="G1301" s="67">
        <v>8</v>
      </c>
      <c r="H1301" s="236">
        <f>H1292</f>
        <v>6.4</v>
      </c>
      <c r="I1301" s="155">
        <f>ROUND(H1301*G1301,2)</f>
        <v>51.2</v>
      </c>
      <c r="J1301" s="78"/>
    </row>
    <row r="1302" spans="2:10">
      <c r="B1302" s="237">
        <v>4</v>
      </c>
      <c r="C1302" s="89" t="s">
        <v>73</v>
      </c>
      <c r="D1302" s="174"/>
      <c r="E1302" s="174"/>
      <c r="F1302" s="192" t="s">
        <v>2173</v>
      </c>
      <c r="G1302" s="67">
        <v>3</v>
      </c>
      <c r="H1302" s="235">
        <f>'BASIC DATA'!$D$359</f>
        <v>30</v>
      </c>
      <c r="I1302" s="155">
        <f>ROUND(H1302*G1302,2)</f>
        <v>90</v>
      </c>
      <c r="J1302" s="78"/>
    </row>
    <row r="1303" spans="2:10">
      <c r="B1303" s="38"/>
      <c r="C1303" s="151"/>
      <c r="D1303" s="159"/>
      <c r="E1303" s="159" t="s">
        <v>2376</v>
      </c>
      <c r="F1303" s="159"/>
      <c r="G1303" s="159"/>
      <c r="H1303" s="208" t="s">
        <v>1698</v>
      </c>
      <c r="I1303" s="209">
        <f>SUM(I1299:I1302)</f>
        <v>5943.74</v>
      </c>
      <c r="J1303" s="78"/>
    </row>
    <row r="1304" spans="2:10">
      <c r="B1304" s="31"/>
      <c r="C1304" s="76"/>
      <c r="D1304" s="31"/>
      <c r="E1304" s="31"/>
      <c r="F1304" s="31"/>
      <c r="G1304" s="31"/>
      <c r="H1304" s="200"/>
      <c r="I1304" s="31"/>
      <c r="J1304" s="78"/>
    </row>
    <row r="1305" spans="2:10">
      <c r="B1305" s="170" t="s">
        <v>2377</v>
      </c>
      <c r="C1305" s="89"/>
      <c r="J1305" s="78"/>
    </row>
    <row r="1306" spans="2:10">
      <c r="B1306" s="95" t="s">
        <v>2369</v>
      </c>
      <c r="D1306" s="157" t="s">
        <v>2378</v>
      </c>
      <c r="E1306" s="97"/>
      <c r="F1306" s="95" t="s">
        <v>2370</v>
      </c>
      <c r="G1306" s="95" t="s">
        <v>1166</v>
      </c>
      <c r="H1306" s="97" t="s">
        <v>6664</v>
      </c>
      <c r="I1306" s="97" t="s">
        <v>6665</v>
      </c>
      <c r="J1306" s="78"/>
    </row>
    <row r="1307" spans="2:10">
      <c r="B1307" s="38"/>
      <c r="C1307" s="139"/>
      <c r="D1307" s="174"/>
      <c r="E1307" s="192"/>
      <c r="F1307" s="191"/>
      <c r="G1307" s="114"/>
      <c r="H1307" s="115" t="s">
        <v>3856</v>
      </c>
      <c r="I1307" s="115" t="s">
        <v>3857</v>
      </c>
      <c r="J1307" s="78"/>
    </row>
    <row r="1308" spans="2:10">
      <c r="B1308" s="95">
        <v>1</v>
      </c>
      <c r="C1308" s="131" t="s">
        <v>74</v>
      </c>
      <c r="D1308" s="187"/>
      <c r="E1308" s="195"/>
      <c r="F1308" s="107" t="s">
        <v>2374</v>
      </c>
      <c r="G1308" s="67">
        <v>8</v>
      </c>
      <c r="H1308" s="67">
        <f>'HIRE CHARGES'!$D$527</f>
        <v>24.9</v>
      </c>
      <c r="I1308" s="155">
        <f>ROUND(H1308*G1308,2)</f>
        <v>199.2</v>
      </c>
      <c r="J1308" s="78"/>
    </row>
    <row r="1309" spans="2:10">
      <c r="B1309" s="105"/>
      <c r="C1309" s="135" t="s">
        <v>2379</v>
      </c>
      <c r="D1309" s="31"/>
      <c r="E1309" s="189"/>
      <c r="F1309" s="210" t="s">
        <v>2374</v>
      </c>
      <c r="G1309" s="67">
        <v>8</v>
      </c>
      <c r="H1309" s="67">
        <f>'HIRE CHARGES'!$E$527</f>
        <v>28</v>
      </c>
      <c r="I1309" s="155">
        <f>ROUND(H1309*G1309,2)</f>
        <v>224</v>
      </c>
      <c r="J1309" s="78"/>
    </row>
    <row r="1310" spans="2:10">
      <c r="B1310" s="105">
        <v>2</v>
      </c>
      <c r="C1310" s="135" t="s">
        <v>4497</v>
      </c>
      <c r="D1310" s="31"/>
      <c r="E1310" s="189"/>
      <c r="F1310" s="210" t="s">
        <v>2374</v>
      </c>
      <c r="G1310" s="67">
        <v>2</v>
      </c>
      <c r="H1310" s="67">
        <f>'HIRE CHARGES'!$D$518</f>
        <v>3</v>
      </c>
      <c r="I1310" s="155">
        <f>ROUND(H1310*G1310,2)</f>
        <v>6</v>
      </c>
      <c r="J1310" s="78"/>
    </row>
    <row r="1311" spans="2:10">
      <c r="B1311" s="210"/>
      <c r="C1311" s="135" t="s">
        <v>2379</v>
      </c>
      <c r="D1311" s="31"/>
      <c r="E1311" s="189"/>
      <c r="F1311" s="210" t="s">
        <v>2374</v>
      </c>
      <c r="G1311" s="67">
        <v>2</v>
      </c>
      <c r="H1311" s="67">
        <f>'HIRE CHARGES'!$E$518</f>
        <v>28</v>
      </c>
      <c r="I1311" s="155">
        <f>ROUND(H1311*G1311,2)</f>
        <v>56</v>
      </c>
      <c r="J1311" s="78"/>
    </row>
    <row r="1312" spans="2:10">
      <c r="B1312" s="114">
        <v>3</v>
      </c>
      <c r="C1312" s="139" t="s">
        <v>2373</v>
      </c>
      <c r="D1312" s="174"/>
      <c r="E1312" s="192"/>
      <c r="F1312" s="191" t="s">
        <v>2173</v>
      </c>
      <c r="G1312" s="67">
        <v>2</v>
      </c>
      <c r="H1312" s="215">
        <f>'BASIC DATA'!$D$359</f>
        <v>30</v>
      </c>
      <c r="I1312" s="155">
        <f>ROUND(H1312*G1312,2)</f>
        <v>60</v>
      </c>
      <c r="J1312" s="78"/>
    </row>
    <row r="1313" spans="2:10">
      <c r="B1313" s="184"/>
      <c r="C1313" s="160"/>
      <c r="D1313" s="159"/>
      <c r="E1313" s="159" t="s">
        <v>2380</v>
      </c>
      <c r="F1313" s="159"/>
      <c r="G1313" s="159"/>
      <c r="H1313" s="208" t="s">
        <v>1698</v>
      </c>
      <c r="I1313" s="209">
        <f>SUM(I1308:I1312)</f>
        <v>545.20000000000005</v>
      </c>
      <c r="J1313" s="78"/>
    </row>
    <row r="1314" spans="2:10">
      <c r="B1314" s="31"/>
      <c r="C1314" s="76"/>
      <c r="D1314" s="31"/>
      <c r="E1314" s="31"/>
      <c r="F1314" s="31"/>
      <c r="G1314" s="31"/>
      <c r="H1314" s="200"/>
      <c r="I1314" s="31"/>
      <c r="J1314" s="78"/>
    </row>
    <row r="1315" spans="2:10">
      <c r="B1315" s="239" t="s">
        <v>2381</v>
      </c>
      <c r="C1315" s="89"/>
      <c r="J1315" s="78"/>
    </row>
    <row r="1316" spans="2:10">
      <c r="B1316" s="105" t="s">
        <v>2369</v>
      </c>
      <c r="D1316" s="157" t="s">
        <v>2378</v>
      </c>
      <c r="E1316" s="97"/>
      <c r="F1316" s="95" t="s">
        <v>2370</v>
      </c>
      <c r="G1316" s="95" t="s">
        <v>1166</v>
      </c>
      <c r="H1316" s="97" t="s">
        <v>6664</v>
      </c>
      <c r="I1316" s="97" t="s">
        <v>6665</v>
      </c>
      <c r="J1316" s="78"/>
    </row>
    <row r="1317" spans="2:10">
      <c r="B1317" s="38"/>
      <c r="C1317" s="89"/>
      <c r="D1317" s="174"/>
      <c r="E1317" s="192"/>
      <c r="F1317" s="191"/>
      <c r="G1317" s="114"/>
      <c r="H1317" s="115" t="s">
        <v>3856</v>
      </c>
      <c r="I1317" s="115" t="s">
        <v>3857</v>
      </c>
      <c r="J1317" s="78"/>
    </row>
    <row r="1318" spans="2:10">
      <c r="B1318" s="95">
        <v>1</v>
      </c>
      <c r="C1318" s="148" t="s">
        <v>3665</v>
      </c>
      <c r="D1318" s="187"/>
      <c r="E1318" s="195"/>
      <c r="F1318" s="107" t="s">
        <v>2374</v>
      </c>
      <c r="G1318" s="67">
        <v>8</v>
      </c>
      <c r="H1318" s="67">
        <f>'HIRE CHARGES'!$F$527</f>
        <v>263.60000000000002</v>
      </c>
      <c r="I1318" s="155">
        <f>ROUND(H1318*G1318,2)</f>
        <v>2108.8000000000002</v>
      </c>
      <c r="J1318" s="78"/>
    </row>
    <row r="1319" spans="2:10">
      <c r="B1319" s="105">
        <v>2</v>
      </c>
      <c r="C1319" s="76" t="s">
        <v>999</v>
      </c>
      <c r="D1319" s="31"/>
      <c r="E1319" s="189"/>
      <c r="F1319" s="210" t="s">
        <v>2374</v>
      </c>
      <c r="G1319" s="67">
        <v>2</v>
      </c>
      <c r="H1319" s="67">
        <f>'HIRE CHARGES'!$F$518</f>
        <v>83.3</v>
      </c>
      <c r="I1319" s="155">
        <f>ROUND(H1319*G1319,2)</f>
        <v>166.6</v>
      </c>
      <c r="J1319" s="78"/>
    </row>
    <row r="1320" spans="2:10">
      <c r="B1320" s="105">
        <v>3</v>
      </c>
      <c r="C1320" s="76" t="s">
        <v>5608</v>
      </c>
      <c r="D1320" s="31"/>
      <c r="E1320" s="189"/>
      <c r="F1320" s="210" t="s">
        <v>1172</v>
      </c>
      <c r="G1320" s="67">
        <v>1</v>
      </c>
      <c r="H1320" s="67">
        <f>'BASIC DATA'!$C$499</f>
        <v>510</v>
      </c>
      <c r="I1320" s="155">
        <f>ROUND(H1320*G1320,2)</f>
        <v>510</v>
      </c>
      <c r="J1320" s="78"/>
    </row>
    <row r="1321" spans="2:10">
      <c r="B1321" s="105">
        <v>4</v>
      </c>
      <c r="C1321" s="136" t="s">
        <v>6744</v>
      </c>
      <c r="D1321" s="31"/>
      <c r="E1321" s="189"/>
      <c r="F1321" s="210" t="s">
        <v>1172</v>
      </c>
      <c r="G1321" s="67">
        <v>3</v>
      </c>
      <c r="H1321" s="67">
        <f>'BASIC DATA'!$C$552</f>
        <v>350</v>
      </c>
      <c r="I1321" s="155">
        <f>ROUND(H1321*G1321,2)</f>
        <v>1050</v>
      </c>
      <c r="J1321" s="78"/>
    </row>
    <row r="1322" spans="2:10">
      <c r="B1322" s="38"/>
      <c r="C1322" s="151"/>
      <c r="D1322" s="159" t="s">
        <v>1174</v>
      </c>
      <c r="E1322" s="159"/>
      <c r="F1322" s="159"/>
      <c r="G1322" s="193"/>
      <c r="H1322" s="208" t="s">
        <v>1698</v>
      </c>
      <c r="I1322" s="209">
        <f>SUM(I1318:I1321)</f>
        <v>3835.4</v>
      </c>
      <c r="J1322" s="78"/>
    </row>
    <row r="1323" spans="2:10">
      <c r="B1323" s="60" t="s">
        <v>5948</v>
      </c>
      <c r="C1323" s="76"/>
      <c r="D1323" s="31"/>
      <c r="E1323" s="31"/>
      <c r="F1323" s="31"/>
      <c r="G1323" s="85">
        <f>ROUND(I1322/H1296,1)</f>
        <v>3652.8</v>
      </c>
      <c r="J1323" s="78"/>
    </row>
    <row r="1324" spans="2:10">
      <c r="B1324" s="60" t="s">
        <v>3163</v>
      </c>
      <c r="C1324" s="76"/>
      <c r="D1324" s="31"/>
      <c r="E1324" s="31"/>
      <c r="F1324" s="922">
        <f>'BASIC DATA'!$C$577</f>
        <v>0.13614999999999999</v>
      </c>
      <c r="G1324" s="85">
        <f>ROUND(G1323*F1324,1)</f>
        <v>497.3</v>
      </c>
      <c r="J1324" s="78"/>
    </row>
    <row r="1325" spans="2:10">
      <c r="B1325" s="60" t="s">
        <v>5949</v>
      </c>
      <c r="C1325" s="76"/>
      <c r="D1325" s="31"/>
      <c r="E1325" s="31"/>
      <c r="F1325" s="31"/>
      <c r="G1325" s="199">
        <f>ROUND(G1324+G1323,1)</f>
        <v>4150.1000000000004</v>
      </c>
      <c r="J1325" s="78"/>
    </row>
    <row r="1326" spans="2:10">
      <c r="B1326" s="31"/>
      <c r="C1326" s="76"/>
      <c r="D1326" s="31"/>
      <c r="E1326" s="31"/>
      <c r="F1326" s="31"/>
      <c r="G1326" s="200"/>
      <c r="H1326" s="200"/>
      <c r="I1326" s="85"/>
      <c r="J1326" s="78"/>
    </row>
    <row r="1327" spans="2:10">
      <c r="B1327" s="170" t="s">
        <v>1175</v>
      </c>
      <c r="J1327" s="78"/>
    </row>
    <row r="1328" spans="2:10">
      <c r="B1328" s="26" t="s">
        <v>1176</v>
      </c>
      <c r="H1328" s="171" t="s">
        <v>1698</v>
      </c>
      <c r="I1328" s="117">
        <f>I1303</f>
        <v>5943.74</v>
      </c>
      <c r="J1328" s="78"/>
    </row>
    <row r="1329" spans="1:10">
      <c r="B1329" s="26" t="s">
        <v>1186</v>
      </c>
      <c r="H1329" s="171" t="s">
        <v>1698</v>
      </c>
      <c r="I1329" s="117">
        <f>I1313</f>
        <v>545.20000000000005</v>
      </c>
      <c r="J1329" s="78"/>
    </row>
    <row r="1330" spans="1:10">
      <c r="B1330" s="26" t="s">
        <v>2660</v>
      </c>
      <c r="H1330" s="171" t="s">
        <v>1698</v>
      </c>
      <c r="I1330" s="85">
        <f>I1322</f>
        <v>3835.4</v>
      </c>
      <c r="J1330" s="78"/>
    </row>
    <row r="1331" spans="1:10">
      <c r="G1331" s="171" t="s">
        <v>1518</v>
      </c>
      <c r="H1331" s="171" t="s">
        <v>1698</v>
      </c>
      <c r="I1331" s="130">
        <f>SUM(I1328:I1330)</f>
        <v>10324.34</v>
      </c>
      <c r="J1331" s="78"/>
    </row>
    <row r="1332" spans="1:10" ht="18.75">
      <c r="B1332" s="1207" t="s">
        <v>8375</v>
      </c>
      <c r="C1332" s="1207"/>
      <c r="D1332" s="1207"/>
      <c r="E1332" s="1207"/>
      <c r="F1332" s="1207"/>
      <c r="G1332" s="922">
        <f>'BASIC DATA'!$C$577</f>
        <v>0.13614999999999999</v>
      </c>
      <c r="H1332" s="171" t="s">
        <v>4108</v>
      </c>
      <c r="I1332" s="76">
        <f>ROUND(I1331*G1332,2)</f>
        <v>1405.66</v>
      </c>
      <c r="J1332" s="78"/>
    </row>
    <row r="1333" spans="1:10" ht="34.5" customHeight="1">
      <c r="B1333" s="1210" t="s">
        <v>9610</v>
      </c>
      <c r="C1333" s="1210"/>
      <c r="D1333" s="1210"/>
      <c r="E1333" s="1210"/>
      <c r="F1333" s="1210"/>
      <c r="G1333" s="68">
        <f>leadcharges!$F$65+leadcharges!$F$78+leadcharges!$F$79</f>
        <v>143.80000000000001</v>
      </c>
      <c r="H1333" s="27" t="s">
        <v>9588</v>
      </c>
      <c r="I1333" s="76">
        <f>G1333*G1299</f>
        <v>150.99</v>
      </c>
      <c r="J1333" s="78"/>
    </row>
    <row r="1334" spans="1:10">
      <c r="B1334" s="1206" t="s">
        <v>1191</v>
      </c>
      <c r="C1334" s="1206"/>
      <c r="D1334" s="1206"/>
      <c r="E1334" s="1206"/>
      <c r="F1334" s="202">
        <f>H1296</f>
        <v>1.05</v>
      </c>
      <c r="G1334" s="171" t="str">
        <f>I1296</f>
        <v>tonne</v>
      </c>
      <c r="H1334" s="171" t="s">
        <v>1698</v>
      </c>
      <c r="I1334" s="199">
        <f>I1332+I1331+I1333</f>
        <v>11880.99</v>
      </c>
      <c r="J1334" s="78"/>
    </row>
    <row r="1335" spans="1:10">
      <c r="B1335" s="1161" t="s">
        <v>3884</v>
      </c>
      <c r="C1335" s="1161"/>
      <c r="D1335" s="203" t="str">
        <f>G1334</f>
        <v>tonne</v>
      </c>
      <c r="F1335" s="26" t="s">
        <v>1647</v>
      </c>
      <c r="H1335" s="171" t="s">
        <v>1698</v>
      </c>
      <c r="I1335" s="204">
        <f>ROUND(I1334/F1334,1)</f>
        <v>11315.2</v>
      </c>
      <c r="J1335" s="78"/>
    </row>
    <row r="1336" spans="1:10">
      <c r="H1336" s="171"/>
      <c r="I1336" s="117"/>
      <c r="J1336" s="78"/>
    </row>
    <row r="1337" spans="1:10">
      <c r="J1337" s="78"/>
    </row>
    <row r="1338" spans="1:10" ht="18.75">
      <c r="A1338" s="822" t="s">
        <v>7053</v>
      </c>
      <c r="B1338" s="26" t="s">
        <v>8402</v>
      </c>
      <c r="J1338" s="78"/>
    </row>
    <row r="1339" spans="1:10">
      <c r="B1339" s="26" t="s">
        <v>8403</v>
      </c>
      <c r="J1339" s="78"/>
    </row>
    <row r="1340" spans="1:10">
      <c r="B1340" s="26" t="s">
        <v>970</v>
      </c>
      <c r="J1340" s="78"/>
    </row>
    <row r="1341" spans="1:10">
      <c r="B1341" s="26" t="s">
        <v>971</v>
      </c>
      <c r="J1341" s="78"/>
    </row>
    <row r="1342" spans="1:10">
      <c r="B1342" s="26" t="s">
        <v>417</v>
      </c>
      <c r="J1342" s="78"/>
    </row>
    <row r="1343" spans="1:10">
      <c r="B1343" s="26" t="s">
        <v>418</v>
      </c>
      <c r="J1343" s="78"/>
    </row>
    <row r="1344" spans="1:10" ht="18.75">
      <c r="B1344" s="26" t="s">
        <v>8404</v>
      </c>
      <c r="J1344" s="78"/>
    </row>
    <row r="1345" spans="1:10">
      <c r="B1345" s="26" t="s">
        <v>3390</v>
      </c>
      <c r="J1345" s="78"/>
    </row>
    <row r="1346" spans="1:10" hidden="1">
      <c r="A1346" s="822" t="s">
        <v>3984</v>
      </c>
      <c r="B1346" s="26" t="s">
        <v>6756</v>
      </c>
      <c r="G1346" s="171" t="s">
        <v>1697</v>
      </c>
      <c r="H1346" s="68">
        <v>37.5</v>
      </c>
      <c r="I1346" s="26" t="s">
        <v>2602</v>
      </c>
      <c r="J1346" s="78"/>
    </row>
    <row r="1347" spans="1:10" ht="18.75" hidden="1">
      <c r="B1347" s="26" t="s">
        <v>8405</v>
      </c>
      <c r="G1347" s="171" t="s">
        <v>1697</v>
      </c>
      <c r="H1347" s="68">
        <v>303.22000000000003</v>
      </c>
      <c r="I1347" s="26" t="s">
        <v>3478</v>
      </c>
      <c r="J1347" s="78"/>
    </row>
    <row r="1348" spans="1:10" hidden="1">
      <c r="B1348" s="26" t="s">
        <v>6757</v>
      </c>
      <c r="G1348" s="171" t="s">
        <v>1697</v>
      </c>
      <c r="H1348" s="68">
        <v>75</v>
      </c>
      <c r="I1348" s="26" t="s">
        <v>3478</v>
      </c>
      <c r="J1348" s="78"/>
    </row>
    <row r="1349" spans="1:10" hidden="1">
      <c r="B1349" s="26" t="s">
        <v>4674</v>
      </c>
      <c r="F1349" s="26">
        <f>75/1440</f>
        <v>5.2083333333333336E-2</v>
      </c>
      <c r="G1349" s="171" t="s">
        <v>4675</v>
      </c>
      <c r="H1349" s="1230" t="s">
        <v>4676</v>
      </c>
      <c r="I1349" s="1230"/>
      <c r="J1349" s="78"/>
    </row>
    <row r="1350" spans="1:10" hidden="1">
      <c r="B1350" s="26" t="s">
        <v>6758</v>
      </c>
      <c r="G1350" s="171" t="s">
        <v>1697</v>
      </c>
      <c r="H1350" s="68">
        <v>12</v>
      </c>
      <c r="I1350" s="26" t="s">
        <v>2602</v>
      </c>
      <c r="J1350" s="78"/>
    </row>
    <row r="1351" spans="1:10" hidden="1">
      <c r="B1351" s="26" t="s">
        <v>4804</v>
      </c>
      <c r="G1351" s="171" t="s">
        <v>1697</v>
      </c>
      <c r="H1351" s="68">
        <v>4</v>
      </c>
      <c r="I1351" s="26" t="s">
        <v>4665</v>
      </c>
      <c r="J1351" s="78"/>
    </row>
    <row r="1352" spans="1:10" hidden="1">
      <c r="B1352" s="26" t="s">
        <v>4805</v>
      </c>
      <c r="G1352" s="171" t="s">
        <v>1697</v>
      </c>
      <c r="J1352" s="78"/>
    </row>
    <row r="1353" spans="1:10" hidden="1">
      <c r="B1353" s="26" t="s">
        <v>2366</v>
      </c>
      <c r="G1353" s="171"/>
      <c r="J1353" s="78"/>
    </row>
    <row r="1354" spans="1:10" hidden="1">
      <c r="B1354" s="26" t="s">
        <v>3055</v>
      </c>
      <c r="E1354" s="68">
        <f>'BASIC DATA'!$D$313</f>
        <v>5000</v>
      </c>
      <c r="F1354" s="26" t="s">
        <v>98</v>
      </c>
      <c r="G1354" s="171" t="s">
        <v>1698</v>
      </c>
      <c r="H1354" s="68">
        <f>E1354</f>
        <v>5000</v>
      </c>
      <c r="J1354" s="78"/>
    </row>
    <row r="1355" spans="1:10" hidden="1">
      <c r="B1355" s="26" t="s">
        <v>4829</v>
      </c>
      <c r="G1355" s="171" t="s">
        <v>1698</v>
      </c>
      <c r="H1355" s="68">
        <v>80</v>
      </c>
      <c r="I1355" s="26" t="s">
        <v>2602</v>
      </c>
      <c r="J1355" s="78"/>
    </row>
    <row r="1356" spans="1:10" hidden="1">
      <c r="B1356" s="26" t="s">
        <v>4806</v>
      </c>
      <c r="F1356" s="26" t="s">
        <v>7593</v>
      </c>
      <c r="G1356" s="171" t="s">
        <v>1698</v>
      </c>
      <c r="H1356" s="68">
        <f>ROUND(H1354/H1355,2)</f>
        <v>62.5</v>
      </c>
      <c r="J1356" s="78"/>
    </row>
    <row r="1357" spans="1:10" hidden="1">
      <c r="B1357" s="26" t="s">
        <v>3056</v>
      </c>
      <c r="E1357" s="68">
        <f>'BASIC DATA'!$D$345</f>
        <v>300</v>
      </c>
      <c r="F1357" s="26" t="s">
        <v>4540</v>
      </c>
      <c r="G1357" s="171" t="s">
        <v>1698</v>
      </c>
      <c r="H1357" s="68">
        <f>E1357*50</f>
        <v>15000</v>
      </c>
      <c r="J1357" s="78"/>
    </row>
    <row r="1358" spans="1:10" hidden="1">
      <c r="B1358" s="26" t="s">
        <v>5152</v>
      </c>
      <c r="G1358" s="171" t="s">
        <v>1698</v>
      </c>
      <c r="H1358" s="68">
        <v>800</v>
      </c>
      <c r="I1358" s="26" t="s">
        <v>4665</v>
      </c>
      <c r="J1358" s="78"/>
    </row>
    <row r="1359" spans="1:10" hidden="1">
      <c r="B1359" s="26" t="s">
        <v>396</v>
      </c>
      <c r="E1359" s="26" t="s">
        <v>7593</v>
      </c>
      <c r="G1359" s="171" t="s">
        <v>1698</v>
      </c>
      <c r="H1359" s="68">
        <f>ROUND(H1357/H1358,2)</f>
        <v>18.75</v>
      </c>
      <c r="J1359" s="78"/>
    </row>
    <row r="1360" spans="1:10">
      <c r="J1360" s="78"/>
    </row>
    <row r="1361" spans="1:10">
      <c r="A1361" s="822" t="s">
        <v>3984</v>
      </c>
      <c r="E1361" s="170" t="s">
        <v>2367</v>
      </c>
      <c r="J1361" s="78"/>
    </row>
    <row r="1362" spans="1:10">
      <c r="H1362" s="171" t="s">
        <v>1188</v>
      </c>
      <c r="J1362" s="78"/>
    </row>
    <row r="1363" spans="1:10">
      <c r="B1363" s="1163" t="s">
        <v>2368</v>
      </c>
      <c r="C1363" s="1163"/>
      <c r="H1363" s="170">
        <v>25</v>
      </c>
      <c r="I1363" s="26" t="s">
        <v>4041</v>
      </c>
      <c r="J1363" s="78"/>
    </row>
    <row r="1364" spans="1:10">
      <c r="B1364" s="95" t="s">
        <v>2369</v>
      </c>
      <c r="C1364" s="131"/>
      <c r="D1364" s="157" t="s">
        <v>4443</v>
      </c>
      <c r="E1364" s="97"/>
      <c r="F1364" s="95" t="s">
        <v>2370</v>
      </c>
      <c r="G1364" s="95" t="s">
        <v>1166</v>
      </c>
      <c r="H1364" s="97" t="s">
        <v>6664</v>
      </c>
      <c r="I1364" s="97" t="s">
        <v>6665</v>
      </c>
      <c r="J1364" s="78"/>
    </row>
    <row r="1365" spans="1:10">
      <c r="B1365" s="191"/>
      <c r="C1365" s="139"/>
      <c r="D1365" s="174"/>
      <c r="E1365" s="192"/>
      <c r="F1365" s="191"/>
      <c r="G1365" s="114"/>
      <c r="H1365" s="115" t="s">
        <v>3856</v>
      </c>
      <c r="I1365" s="115" t="s">
        <v>3857</v>
      </c>
      <c r="J1365" s="78"/>
    </row>
    <row r="1366" spans="1:10">
      <c r="B1366" s="95">
        <v>1</v>
      </c>
      <c r="C1366" s="131" t="s">
        <v>1488</v>
      </c>
      <c r="D1366" s="187"/>
      <c r="E1366" s="195"/>
      <c r="F1366" s="95" t="s">
        <v>3483</v>
      </c>
      <c r="G1366" s="67">
        <f>H1346</f>
        <v>37.5</v>
      </c>
      <c r="H1366" s="67">
        <f>H1356</f>
        <v>62.5</v>
      </c>
      <c r="I1366" s="155">
        <f>ROUND(H1366*G1366,2)</f>
        <v>2343.75</v>
      </c>
      <c r="J1366" s="78"/>
    </row>
    <row r="1367" spans="1:10">
      <c r="B1367" s="105">
        <v>2</v>
      </c>
      <c r="C1367" s="135" t="s">
        <v>2730</v>
      </c>
      <c r="D1367" s="31"/>
      <c r="E1367" s="189"/>
      <c r="F1367" s="105" t="s">
        <v>2374</v>
      </c>
      <c r="G1367" s="67">
        <v>4</v>
      </c>
      <c r="H1367" s="67">
        <f>H1359</f>
        <v>18.75</v>
      </c>
      <c r="I1367" s="155">
        <f>ROUND(H1367*G1367,2)</f>
        <v>75</v>
      </c>
      <c r="J1367" s="78"/>
    </row>
    <row r="1368" spans="1:10">
      <c r="B1368" s="105">
        <v>3</v>
      </c>
      <c r="C1368" s="135" t="s">
        <v>2731</v>
      </c>
      <c r="D1368" s="31"/>
      <c r="E1368" s="189"/>
      <c r="F1368" s="105" t="s">
        <v>3478</v>
      </c>
      <c r="G1368" s="67">
        <f>H1347</f>
        <v>303.22000000000003</v>
      </c>
      <c r="H1368" s="67">
        <f>'BASIC DATA'!$D$91/1000</f>
        <v>34</v>
      </c>
      <c r="I1368" s="155">
        <f>ROUND(H1368*G1368,2)</f>
        <v>10309.48</v>
      </c>
      <c r="J1368" s="78"/>
    </row>
    <row r="1369" spans="1:10">
      <c r="B1369" s="105">
        <v>4</v>
      </c>
      <c r="C1369" s="135" t="s">
        <v>5853</v>
      </c>
      <c r="D1369" s="31"/>
      <c r="E1369" s="189"/>
      <c r="F1369" s="105" t="s">
        <v>3478</v>
      </c>
      <c r="G1369" s="67">
        <f>H1348</f>
        <v>75</v>
      </c>
      <c r="H1369" s="67">
        <f>'BASIC DATA'!$D$32/1000</f>
        <v>5.35</v>
      </c>
      <c r="I1369" s="155">
        <f>ROUND(H1369*G1369,2)</f>
        <v>401.25</v>
      </c>
      <c r="J1369" s="78"/>
    </row>
    <row r="1370" spans="1:10">
      <c r="A1370" s="853"/>
      <c r="B1370" s="240">
        <v>5</v>
      </c>
      <c r="C1370" s="307" t="s">
        <v>6925</v>
      </c>
      <c r="D1370" s="241"/>
      <c r="E1370" s="242"/>
      <c r="F1370" s="237" t="s">
        <v>3477</v>
      </c>
      <c r="G1370" s="50">
        <v>0.05</v>
      </c>
      <c r="H1370" s="243">
        <f>'BASIC DATA'!$D$57</f>
        <v>165</v>
      </c>
      <c r="I1370" s="244">
        <f>ROUND(H1370*G1370,2)</f>
        <v>8.25</v>
      </c>
      <c r="J1370" s="62"/>
    </row>
    <row r="1371" spans="1:10">
      <c r="B1371" s="184"/>
      <c r="C1371" s="151"/>
      <c r="D1371" s="159"/>
      <c r="E1371" s="159" t="s">
        <v>2376</v>
      </c>
      <c r="F1371" s="159"/>
      <c r="G1371" s="159"/>
      <c r="H1371" s="208" t="s">
        <v>1698</v>
      </c>
      <c r="I1371" s="209">
        <f>SUM(I1366:I1370)</f>
        <v>13137.73</v>
      </c>
      <c r="J1371" s="78"/>
    </row>
    <row r="1372" spans="1:10">
      <c r="B1372" s="170" t="s">
        <v>2377</v>
      </c>
      <c r="C1372" s="151"/>
      <c r="D1372" s="31"/>
      <c r="E1372" s="31"/>
      <c r="F1372" s="31"/>
      <c r="G1372" s="31"/>
      <c r="H1372" s="200"/>
      <c r="I1372" s="31"/>
      <c r="J1372" s="78"/>
    </row>
    <row r="1373" spans="1:10">
      <c r="B1373" s="95" t="s">
        <v>2369</v>
      </c>
      <c r="D1373" s="157" t="s">
        <v>2378</v>
      </c>
      <c r="E1373" s="97"/>
      <c r="F1373" s="95" t="s">
        <v>2370</v>
      </c>
      <c r="G1373" s="95" t="s">
        <v>1166</v>
      </c>
      <c r="H1373" s="97" t="s">
        <v>6664</v>
      </c>
      <c r="I1373" s="97" t="s">
        <v>6665</v>
      </c>
      <c r="J1373" s="78"/>
    </row>
    <row r="1374" spans="1:10">
      <c r="B1374" s="191"/>
      <c r="C1374" s="139"/>
      <c r="D1374" s="174"/>
      <c r="E1374" s="192"/>
      <c r="F1374" s="191"/>
      <c r="G1374" s="114"/>
      <c r="H1374" s="115" t="s">
        <v>3856</v>
      </c>
      <c r="I1374" s="115" t="s">
        <v>3857</v>
      </c>
      <c r="J1374" s="78"/>
    </row>
    <row r="1375" spans="1:10">
      <c r="B1375" s="95">
        <v>1</v>
      </c>
      <c r="C1375" s="131" t="s">
        <v>7127</v>
      </c>
      <c r="D1375" s="187"/>
      <c r="E1375" s="195"/>
      <c r="F1375" s="107" t="s">
        <v>2374</v>
      </c>
      <c r="G1375" s="67">
        <v>4</v>
      </c>
      <c r="H1375" s="67">
        <f>'HIRE CHARGES'!$D$497</f>
        <v>170.8</v>
      </c>
      <c r="I1375" s="155">
        <f>ROUND(H1375*G1375,2)</f>
        <v>683.2</v>
      </c>
      <c r="J1375" s="78"/>
    </row>
    <row r="1376" spans="1:10">
      <c r="B1376" s="105"/>
      <c r="C1376" s="135" t="s">
        <v>2379</v>
      </c>
      <c r="D1376" s="31"/>
      <c r="E1376" s="189"/>
      <c r="F1376" s="210" t="s">
        <v>2374</v>
      </c>
      <c r="G1376" s="67">
        <v>4</v>
      </c>
      <c r="H1376" s="67">
        <f>'HIRE CHARGES'!$E$497</f>
        <v>315.2</v>
      </c>
      <c r="I1376" s="155">
        <f>ROUND(H1376*G1376,2)</f>
        <v>1260.8</v>
      </c>
      <c r="J1376" s="78"/>
    </row>
    <row r="1377" spans="2:10">
      <c r="B1377" s="105">
        <v>2</v>
      </c>
      <c r="C1377" s="135" t="s">
        <v>258</v>
      </c>
      <c r="D1377" s="31"/>
      <c r="E1377" s="189"/>
      <c r="F1377" s="210" t="s">
        <v>2374</v>
      </c>
      <c r="G1377" s="67">
        <v>4</v>
      </c>
      <c r="H1377" s="67">
        <f>'HIRE CHARGES'!$D$554</f>
        <v>188.5</v>
      </c>
      <c r="I1377" s="155">
        <f>ROUND(H1377*G1377,2)</f>
        <v>754</v>
      </c>
      <c r="J1377" s="78"/>
    </row>
    <row r="1378" spans="2:10">
      <c r="B1378" s="210"/>
      <c r="C1378" s="89" t="s">
        <v>2379</v>
      </c>
      <c r="D1378" s="174"/>
      <c r="E1378" s="192"/>
      <c r="F1378" s="191" t="s">
        <v>2374</v>
      </c>
      <c r="G1378" s="67">
        <v>4</v>
      </c>
      <c r="H1378" s="67">
        <f>'HIRE CHARGES'!$E$554</f>
        <v>0</v>
      </c>
      <c r="I1378" s="155">
        <f>ROUND(H1378*G1378,2)</f>
        <v>0</v>
      </c>
      <c r="J1378" s="78"/>
    </row>
    <row r="1379" spans="2:10">
      <c r="B1379" s="191"/>
      <c r="C1379" s="151"/>
      <c r="D1379" s="159"/>
      <c r="E1379" s="159" t="s">
        <v>2380</v>
      </c>
      <c r="F1379" s="159"/>
      <c r="G1379" s="159"/>
      <c r="H1379" s="208" t="s">
        <v>1698</v>
      </c>
      <c r="I1379" s="209">
        <f>SUM(I1375:I1378)</f>
        <v>2698</v>
      </c>
      <c r="J1379" s="78"/>
    </row>
    <row r="1380" spans="2:10">
      <c r="B1380" s="31"/>
      <c r="C1380" s="76"/>
      <c r="D1380" s="31"/>
      <c r="E1380" s="31"/>
      <c r="F1380" s="31"/>
      <c r="G1380" s="31"/>
      <c r="H1380" s="200"/>
      <c r="I1380" s="31"/>
      <c r="J1380" s="78"/>
    </row>
    <row r="1381" spans="2:10">
      <c r="B1381" s="170" t="s">
        <v>2381</v>
      </c>
      <c r="C1381" s="89"/>
      <c r="J1381" s="78"/>
    </row>
    <row r="1382" spans="2:10">
      <c r="B1382" s="95" t="s">
        <v>2369</v>
      </c>
      <c r="D1382" s="157" t="s">
        <v>2378</v>
      </c>
      <c r="E1382" s="97"/>
      <c r="F1382" s="95" t="s">
        <v>2370</v>
      </c>
      <c r="G1382" s="95" t="s">
        <v>1166</v>
      </c>
      <c r="H1382" s="97" t="s">
        <v>6664</v>
      </c>
      <c r="I1382" s="97" t="s">
        <v>6665</v>
      </c>
      <c r="J1382" s="78"/>
    </row>
    <row r="1383" spans="2:10">
      <c r="B1383" s="191"/>
      <c r="C1383" s="139"/>
      <c r="D1383" s="174"/>
      <c r="E1383" s="192"/>
      <c r="F1383" s="191"/>
      <c r="G1383" s="114"/>
      <c r="H1383" s="115" t="s">
        <v>3856</v>
      </c>
      <c r="I1383" s="115" t="s">
        <v>3857</v>
      </c>
      <c r="J1383" s="78"/>
    </row>
    <row r="1384" spans="2:10">
      <c r="B1384" s="95">
        <v>1</v>
      </c>
      <c r="C1384" s="131" t="s">
        <v>4606</v>
      </c>
      <c r="D1384" s="187"/>
      <c r="E1384" s="195"/>
      <c r="F1384" s="95" t="s">
        <v>2374</v>
      </c>
      <c r="G1384" s="67">
        <v>4</v>
      </c>
      <c r="H1384" s="67">
        <f>'HIRE CHARGES'!$F$497</f>
        <v>164.8</v>
      </c>
      <c r="I1384" s="155">
        <f>ROUND(H1384*G1384,2)</f>
        <v>659.2</v>
      </c>
      <c r="J1384" s="78"/>
    </row>
    <row r="1385" spans="2:10">
      <c r="B1385" s="105">
        <v>2</v>
      </c>
      <c r="C1385" s="135" t="s">
        <v>153</v>
      </c>
      <c r="D1385" s="31"/>
      <c r="E1385" s="189"/>
      <c r="F1385" s="105" t="s">
        <v>2374</v>
      </c>
      <c r="G1385" s="67">
        <v>4</v>
      </c>
      <c r="H1385" s="67">
        <f>'HIRE CHARGES'!$F$554</f>
        <v>283.89999999999998</v>
      </c>
      <c r="I1385" s="155">
        <f>ROUND(H1385*G1385,2)</f>
        <v>1135.5999999999999</v>
      </c>
      <c r="J1385" s="78"/>
    </row>
    <row r="1386" spans="2:10">
      <c r="B1386" s="105">
        <v>3</v>
      </c>
      <c r="C1386" s="135" t="s">
        <v>3836</v>
      </c>
      <c r="D1386" s="31"/>
      <c r="E1386" s="189"/>
      <c r="F1386" s="105" t="s">
        <v>1172</v>
      </c>
      <c r="G1386" s="67">
        <v>0.5</v>
      </c>
      <c r="H1386" s="67">
        <f>'BASIC DATA'!$C$464</f>
        <v>555</v>
      </c>
      <c r="I1386" s="155">
        <f>ROUND(H1386*G1386,2)</f>
        <v>277.5</v>
      </c>
      <c r="J1386" s="78"/>
    </row>
    <row r="1387" spans="2:10">
      <c r="B1387" s="105">
        <v>4</v>
      </c>
      <c r="C1387" s="135" t="s">
        <v>4203</v>
      </c>
      <c r="D1387" s="31"/>
      <c r="E1387" s="189"/>
      <c r="F1387" s="105" t="s">
        <v>1172</v>
      </c>
      <c r="G1387" s="67">
        <v>0.5</v>
      </c>
      <c r="H1387" s="67">
        <f>'BASIC DATA'!$C$541</f>
        <v>400</v>
      </c>
      <c r="I1387" s="155">
        <f>ROUND(H1387*G1387,2)</f>
        <v>200</v>
      </c>
      <c r="J1387" s="78"/>
    </row>
    <row r="1388" spans="2:10">
      <c r="B1388" s="105">
        <v>5</v>
      </c>
      <c r="C1388" s="89" t="s">
        <v>2697</v>
      </c>
      <c r="D1388" s="174"/>
      <c r="E1388" s="192"/>
      <c r="F1388" s="114" t="s">
        <v>1172</v>
      </c>
      <c r="G1388" s="67">
        <v>1</v>
      </c>
      <c r="H1388" s="67">
        <f>'BASIC DATA'!$C$552</f>
        <v>350</v>
      </c>
      <c r="I1388" s="84">
        <f>ROUND(H1388*G1388,2)</f>
        <v>350</v>
      </c>
      <c r="J1388" s="78"/>
    </row>
    <row r="1389" spans="2:10">
      <c r="B1389" s="191"/>
      <c r="C1389" s="89"/>
      <c r="D1389" s="174"/>
      <c r="E1389" s="174" t="s">
        <v>1174</v>
      </c>
      <c r="F1389" s="174"/>
      <c r="G1389" s="174"/>
      <c r="H1389" s="245" t="s">
        <v>1698</v>
      </c>
      <c r="I1389" s="194">
        <f>SUM(I1384:I1388)</f>
        <v>2622.3</v>
      </c>
      <c r="J1389" s="78"/>
    </row>
    <row r="1390" spans="2:10">
      <c r="B1390" s="60" t="s">
        <v>5948</v>
      </c>
      <c r="C1390" s="76"/>
      <c r="D1390" s="31"/>
      <c r="E1390" s="31"/>
      <c r="F1390" s="31"/>
      <c r="G1390" s="85">
        <f>ROUND(I1389/H1363,1)</f>
        <v>104.9</v>
      </c>
      <c r="J1390" s="78"/>
    </row>
    <row r="1391" spans="2:10">
      <c r="B1391" s="60" t="s">
        <v>3163</v>
      </c>
      <c r="C1391" s="76"/>
      <c r="D1391" s="31"/>
      <c r="E1391" s="31"/>
      <c r="F1391" s="922">
        <f>'BASIC DATA'!$C$577</f>
        <v>0.13614999999999999</v>
      </c>
      <c r="G1391" s="85">
        <f>ROUND(G1390*F1391,1)</f>
        <v>14.3</v>
      </c>
      <c r="J1391" s="78"/>
    </row>
    <row r="1392" spans="2:10">
      <c r="B1392" s="60" t="s">
        <v>5949</v>
      </c>
      <c r="C1392" s="76"/>
      <c r="D1392" s="31"/>
      <c r="E1392" s="31"/>
      <c r="F1392" s="31"/>
      <c r="G1392" s="199">
        <f>ROUND(G1391+G1390,1)</f>
        <v>119.2</v>
      </c>
      <c r="J1392" s="78"/>
    </row>
    <row r="1393" spans="1:10">
      <c r="B1393" s="31"/>
      <c r="H1393" s="171"/>
      <c r="J1393" s="78"/>
    </row>
    <row r="1394" spans="1:10">
      <c r="B1394" s="170" t="s">
        <v>1175</v>
      </c>
      <c r="J1394" s="78"/>
    </row>
    <row r="1395" spans="1:10">
      <c r="B1395" s="26" t="s">
        <v>1176</v>
      </c>
      <c r="H1395" s="171" t="s">
        <v>1698</v>
      </c>
      <c r="I1395" s="117">
        <f>I1371</f>
        <v>13137.73</v>
      </c>
      <c r="J1395" s="78"/>
    </row>
    <row r="1396" spans="1:10">
      <c r="B1396" s="26" t="s">
        <v>1186</v>
      </c>
      <c r="H1396" s="171" t="s">
        <v>1698</v>
      </c>
      <c r="I1396" s="117">
        <f>I1379</f>
        <v>2698</v>
      </c>
      <c r="J1396" s="78"/>
    </row>
    <row r="1397" spans="1:10">
      <c r="B1397" s="26" t="s">
        <v>2660</v>
      </c>
      <c r="H1397" s="171" t="s">
        <v>1698</v>
      </c>
      <c r="I1397" s="85">
        <f>I1389</f>
        <v>2622.3</v>
      </c>
      <c r="J1397" s="78"/>
    </row>
    <row r="1398" spans="1:10">
      <c r="G1398" s="171" t="s">
        <v>1518</v>
      </c>
      <c r="H1398" s="171" t="s">
        <v>1698</v>
      </c>
      <c r="I1398" s="130">
        <f>SUM(I1395:I1397)</f>
        <v>18458.03</v>
      </c>
      <c r="J1398" s="78"/>
    </row>
    <row r="1399" spans="1:10" ht="18.75">
      <c r="B1399" s="1207" t="s">
        <v>8375</v>
      </c>
      <c r="C1399" s="1207"/>
      <c r="D1399" s="1207"/>
      <c r="E1399" s="1207"/>
      <c r="F1399" s="1207"/>
      <c r="G1399" s="922">
        <f>'BASIC DATA'!$C$577</f>
        <v>0.13614999999999999</v>
      </c>
      <c r="H1399" s="171" t="s">
        <v>4108</v>
      </c>
      <c r="I1399" s="76">
        <f>ROUND(I1398*G1399,2)</f>
        <v>2513.06</v>
      </c>
      <c r="J1399" s="78"/>
    </row>
    <row r="1400" spans="1:10">
      <c r="B1400" s="27" t="s">
        <v>9590</v>
      </c>
      <c r="C1400" s="43"/>
      <c r="D1400" s="43"/>
      <c r="E1400" s="43"/>
      <c r="F1400" s="779">
        <f>G1370</f>
        <v>0.05</v>
      </c>
      <c r="G1400" s="201" t="s">
        <v>9591</v>
      </c>
      <c r="H1400" s="68" t="str">
        <f>CONCATENATE((leadcharges!$D$65)," ","Rs./Cum")</f>
        <v>31.5 Rs./Cum</v>
      </c>
      <c r="I1400" s="76">
        <f>leadcharges!$D$65*F1400</f>
        <v>1.5750000000000002</v>
      </c>
      <c r="J1400" s="78"/>
    </row>
    <row r="1401" spans="1:10" ht="35.25" hidden="1" customHeight="1">
      <c r="B1401" s="1207"/>
      <c r="C1401" s="1207"/>
      <c r="D1401" s="1207"/>
      <c r="E1401" s="1207"/>
      <c r="F1401" s="779"/>
      <c r="G1401" s="201"/>
      <c r="H1401" s="68"/>
      <c r="I1401" s="76"/>
      <c r="J1401" s="78"/>
    </row>
    <row r="1402" spans="1:10" ht="35.25" customHeight="1">
      <c r="B1402" s="1207" t="s">
        <v>9611</v>
      </c>
      <c r="C1402" s="1207"/>
      <c r="D1402" s="1207"/>
      <c r="E1402" s="1207"/>
      <c r="F1402" s="779">
        <f>G1368/1000</f>
        <v>0.30322000000000005</v>
      </c>
      <c r="G1402" s="201" t="s">
        <v>9592</v>
      </c>
      <c r="H1402" s="68" t="str">
        <f>CONCATENATE((leadcharges!$F$65+leadcharges!$G$78+leadcharges!$G$79)," ","Rs./Tonne")</f>
        <v>168.6 Rs./Tonne</v>
      </c>
      <c r="I1402" s="76">
        <f>(leadcharges!$F$65+leadcharges!$G$78+leadcharges!$G$79)*F1402</f>
        <v>51.122892000000007</v>
      </c>
      <c r="J1402" s="78"/>
    </row>
    <row r="1403" spans="1:10">
      <c r="B1403" s="1206" t="s">
        <v>1191</v>
      </c>
      <c r="C1403" s="1206"/>
      <c r="D1403" s="1206"/>
      <c r="E1403" s="1206"/>
      <c r="F1403" s="202">
        <f>H1363</f>
        <v>25</v>
      </c>
      <c r="G1403" s="217" t="str">
        <f>I1363</f>
        <v>Nos.</v>
      </c>
      <c r="H1403" s="171" t="s">
        <v>1698</v>
      </c>
      <c r="I1403" s="199">
        <f>SUM(I1398:I1402)</f>
        <v>21023.787892</v>
      </c>
      <c r="J1403" s="78"/>
    </row>
    <row r="1404" spans="1:10">
      <c r="B1404" s="1161" t="s">
        <v>3884</v>
      </c>
      <c r="C1404" s="1161"/>
      <c r="D1404" s="203" t="s">
        <v>3481</v>
      </c>
      <c r="F1404" s="26" t="s">
        <v>1646</v>
      </c>
      <c r="H1404" s="171" t="s">
        <v>1698</v>
      </c>
      <c r="I1404" s="204">
        <f>ROUND(I1403/F1403,1)</f>
        <v>841</v>
      </c>
      <c r="J1404" s="78"/>
    </row>
    <row r="1405" spans="1:10">
      <c r="J1405" s="78"/>
    </row>
    <row r="1406" spans="1:10">
      <c r="J1406" s="78"/>
    </row>
    <row r="1407" spans="1:10" ht="18.75">
      <c r="A1407" s="822" t="s">
        <v>7054</v>
      </c>
      <c r="B1407" s="26" t="s">
        <v>8406</v>
      </c>
      <c r="J1407" s="78"/>
    </row>
    <row r="1408" spans="1:10">
      <c r="B1408" s="26" t="s">
        <v>5185</v>
      </c>
      <c r="J1408" s="78"/>
    </row>
    <row r="1409" spans="1:10">
      <c r="B1409" s="26" t="s">
        <v>6214</v>
      </c>
      <c r="J1409" s="78"/>
    </row>
    <row r="1410" spans="1:10">
      <c r="B1410" s="26" t="s">
        <v>2931</v>
      </c>
      <c r="J1410" s="78"/>
    </row>
    <row r="1411" spans="1:10">
      <c r="B1411" s="26" t="s">
        <v>2932</v>
      </c>
      <c r="J1411" s="78"/>
    </row>
    <row r="1412" spans="1:10">
      <c r="B1412" s="26" t="s">
        <v>2933</v>
      </c>
      <c r="J1412" s="78"/>
    </row>
    <row r="1413" spans="1:10" ht="18.75">
      <c r="B1413" s="26" t="s">
        <v>8407</v>
      </c>
      <c r="J1413" s="78"/>
    </row>
    <row r="1414" spans="1:10">
      <c r="B1414" s="26" t="s">
        <v>3390</v>
      </c>
      <c r="J1414" s="78"/>
    </row>
    <row r="1415" spans="1:10" hidden="1">
      <c r="A1415" s="822" t="s">
        <v>3984</v>
      </c>
      <c r="B1415" s="26" t="s">
        <v>3793</v>
      </c>
      <c r="G1415" s="171" t="s">
        <v>1697</v>
      </c>
      <c r="H1415" s="26">
        <v>31.25</v>
      </c>
      <c r="I1415" s="26" t="s">
        <v>2602</v>
      </c>
      <c r="J1415" s="78"/>
    </row>
    <row r="1416" spans="1:10" ht="18.75" hidden="1">
      <c r="B1416" s="26" t="s">
        <v>8408</v>
      </c>
      <c r="G1416" s="171" t="s">
        <v>1697</v>
      </c>
      <c r="H1416" s="68">
        <v>277.92</v>
      </c>
      <c r="I1416" s="26" t="s">
        <v>3478</v>
      </c>
      <c r="J1416" s="78"/>
    </row>
    <row r="1417" spans="1:10" hidden="1">
      <c r="B1417" s="26" t="s">
        <v>2542</v>
      </c>
      <c r="G1417" s="171" t="s">
        <v>1697</v>
      </c>
      <c r="H1417" s="68">
        <v>62.5</v>
      </c>
      <c r="I1417" s="26" t="s">
        <v>3478</v>
      </c>
      <c r="J1417" s="78"/>
    </row>
    <row r="1418" spans="1:10" hidden="1">
      <c r="B1418" s="26" t="s">
        <v>6758</v>
      </c>
      <c r="G1418" s="171" t="s">
        <v>1697</v>
      </c>
      <c r="H1418" s="68">
        <v>12</v>
      </c>
      <c r="I1418" s="26" t="s">
        <v>2602</v>
      </c>
      <c r="J1418" s="78"/>
    </row>
    <row r="1419" spans="1:10" hidden="1">
      <c r="B1419" s="26" t="s">
        <v>1314</v>
      </c>
      <c r="G1419" s="171" t="s">
        <v>1697</v>
      </c>
      <c r="H1419" s="68">
        <v>3</v>
      </c>
      <c r="I1419" s="26" t="s">
        <v>4665</v>
      </c>
      <c r="J1419" s="78"/>
    </row>
    <row r="1420" spans="1:10" hidden="1">
      <c r="B1420" s="26" t="s">
        <v>1315</v>
      </c>
      <c r="G1420" s="171"/>
      <c r="J1420" s="78"/>
    </row>
    <row r="1421" spans="1:10" hidden="1">
      <c r="B1421" s="26" t="s">
        <v>2366</v>
      </c>
      <c r="J1421" s="78"/>
    </row>
    <row r="1422" spans="1:10" hidden="1">
      <c r="B1422" s="26" t="s">
        <v>3055</v>
      </c>
      <c r="E1422" s="68">
        <f>'BASIC DATA'!$D$313</f>
        <v>5000</v>
      </c>
      <c r="F1422" s="26" t="s">
        <v>98</v>
      </c>
      <c r="G1422" s="171" t="s">
        <v>1698</v>
      </c>
      <c r="H1422" s="68">
        <f>E1422</f>
        <v>5000</v>
      </c>
      <c r="J1422" s="78"/>
    </row>
    <row r="1423" spans="1:10" hidden="1">
      <c r="B1423" s="26" t="s">
        <v>4829</v>
      </c>
      <c r="H1423" s="68">
        <v>80</v>
      </c>
      <c r="I1423" s="26" t="s">
        <v>2602</v>
      </c>
      <c r="J1423" s="78"/>
    </row>
    <row r="1424" spans="1:10" hidden="1">
      <c r="B1424" s="26" t="s">
        <v>4806</v>
      </c>
      <c r="F1424" s="26" t="s">
        <v>7593</v>
      </c>
      <c r="H1424" s="68">
        <f>ROUND(H1422/H1423,2)</f>
        <v>62.5</v>
      </c>
      <c r="J1424" s="78"/>
    </row>
    <row r="1425" spans="1:10" hidden="1">
      <c r="B1425" s="26" t="s">
        <v>3056</v>
      </c>
      <c r="E1425" s="68">
        <f>'BASIC DATA'!$D$345</f>
        <v>300</v>
      </c>
      <c r="F1425" s="26" t="s">
        <v>4540</v>
      </c>
      <c r="H1425" s="68">
        <f>50*E1425</f>
        <v>15000</v>
      </c>
      <c r="J1425" s="78"/>
    </row>
    <row r="1426" spans="1:10" hidden="1">
      <c r="B1426" s="26" t="s">
        <v>5152</v>
      </c>
      <c r="H1426" s="68">
        <v>800</v>
      </c>
      <c r="I1426" s="26" t="s">
        <v>4665</v>
      </c>
      <c r="J1426" s="78"/>
    </row>
    <row r="1427" spans="1:10" hidden="1">
      <c r="B1427" s="26" t="s">
        <v>396</v>
      </c>
      <c r="F1427" s="26" t="s">
        <v>7593</v>
      </c>
      <c r="H1427" s="68">
        <f>ROUND(H1425/H1426,2)</f>
        <v>18.75</v>
      </c>
      <c r="J1427" s="78"/>
    </row>
    <row r="1428" spans="1:10">
      <c r="H1428" s="68"/>
      <c r="J1428" s="78"/>
    </row>
    <row r="1429" spans="1:10">
      <c r="H1429" s="68"/>
      <c r="J1429" s="78"/>
    </row>
    <row r="1430" spans="1:10">
      <c r="A1430" s="822" t="s">
        <v>3984</v>
      </c>
      <c r="E1430" s="170" t="s">
        <v>2367</v>
      </c>
      <c r="J1430" s="78"/>
    </row>
    <row r="1431" spans="1:10">
      <c r="H1431" s="171" t="s">
        <v>1188</v>
      </c>
      <c r="J1431" s="78"/>
    </row>
    <row r="1432" spans="1:10">
      <c r="B1432" s="170" t="s">
        <v>2368</v>
      </c>
      <c r="C1432" s="89"/>
      <c r="H1432" s="211">
        <v>25</v>
      </c>
      <c r="I1432" s="26" t="s">
        <v>4041</v>
      </c>
      <c r="J1432" s="78"/>
    </row>
    <row r="1433" spans="1:10">
      <c r="B1433" s="95" t="s">
        <v>2369</v>
      </c>
      <c r="D1433" s="157" t="s">
        <v>4443</v>
      </c>
      <c r="E1433" s="97"/>
      <c r="F1433" s="95" t="s">
        <v>2370</v>
      </c>
      <c r="G1433" s="95" t="s">
        <v>1166</v>
      </c>
      <c r="H1433" s="97" t="s">
        <v>6664</v>
      </c>
      <c r="I1433" s="97" t="s">
        <v>6665</v>
      </c>
      <c r="J1433" s="78"/>
    </row>
    <row r="1434" spans="1:10">
      <c r="B1434" s="191"/>
      <c r="C1434" s="139"/>
      <c r="D1434" s="174"/>
      <c r="E1434" s="192"/>
      <c r="F1434" s="191"/>
      <c r="G1434" s="114"/>
      <c r="H1434" s="115" t="s">
        <v>3856</v>
      </c>
      <c r="I1434" s="115" t="s">
        <v>3857</v>
      </c>
      <c r="J1434" s="78"/>
    </row>
    <row r="1435" spans="1:10">
      <c r="B1435" s="95">
        <v>1</v>
      </c>
      <c r="C1435" s="131" t="s">
        <v>1316</v>
      </c>
      <c r="D1435" s="187"/>
      <c r="E1435" s="195"/>
      <c r="F1435" s="95" t="s">
        <v>3483</v>
      </c>
      <c r="G1435" s="67">
        <v>31.25</v>
      </c>
      <c r="H1435" s="67">
        <f>H1424</f>
        <v>62.5</v>
      </c>
      <c r="I1435" s="155">
        <f t="shared" ref="I1435:I1440" si="17">ROUND(H1435*G1435,2)</f>
        <v>1953.13</v>
      </c>
      <c r="J1435" s="78"/>
    </row>
    <row r="1436" spans="1:10">
      <c r="B1436" s="95">
        <v>2</v>
      </c>
      <c r="C1436" s="76" t="s">
        <v>2198</v>
      </c>
      <c r="D1436" s="31"/>
      <c r="E1436" s="189"/>
      <c r="F1436" s="105" t="s">
        <v>2374</v>
      </c>
      <c r="G1436" s="67">
        <f>H1419</f>
        <v>3</v>
      </c>
      <c r="H1436" s="67">
        <f>H1427</f>
        <v>18.75</v>
      </c>
      <c r="I1436" s="155">
        <f t="shared" si="17"/>
        <v>56.25</v>
      </c>
      <c r="J1436" s="78"/>
    </row>
    <row r="1437" spans="1:10">
      <c r="B1437" s="105">
        <v>3</v>
      </c>
      <c r="C1437" s="76" t="s">
        <v>2731</v>
      </c>
      <c r="D1437" s="31"/>
      <c r="E1437" s="189"/>
      <c r="F1437" s="105" t="s">
        <v>3478</v>
      </c>
      <c r="G1437" s="67">
        <f>H1416</f>
        <v>277.92</v>
      </c>
      <c r="H1437" s="67">
        <f>'BASIC DATA'!$D$91/1000</f>
        <v>34</v>
      </c>
      <c r="I1437" s="155">
        <f t="shared" si="17"/>
        <v>9449.2800000000007</v>
      </c>
      <c r="J1437" s="78"/>
    </row>
    <row r="1438" spans="1:10">
      <c r="B1438" s="105">
        <v>4</v>
      </c>
      <c r="C1438" s="76" t="s">
        <v>5853</v>
      </c>
      <c r="D1438" s="31"/>
      <c r="E1438" s="189"/>
      <c r="F1438" s="105" t="s">
        <v>3478</v>
      </c>
      <c r="G1438" s="67">
        <f>H1417</f>
        <v>62.5</v>
      </c>
      <c r="H1438" s="67">
        <f>'BASIC DATA'!$D$32/1000</f>
        <v>5.35</v>
      </c>
      <c r="I1438" s="155">
        <f t="shared" si="17"/>
        <v>334.38</v>
      </c>
      <c r="J1438" s="78"/>
    </row>
    <row r="1439" spans="1:10">
      <c r="B1439" s="105">
        <v>5</v>
      </c>
      <c r="C1439" s="76" t="s">
        <v>2199</v>
      </c>
      <c r="D1439" s="31"/>
      <c r="E1439" s="189"/>
      <c r="F1439" s="105" t="s">
        <v>2173</v>
      </c>
      <c r="G1439" s="67">
        <v>5</v>
      </c>
      <c r="H1439" s="67">
        <f>('BASIC DATA'!$D$28+'BASIC DATA'!$D$87)/10</f>
        <v>37.700000000000003</v>
      </c>
      <c r="I1439" s="155">
        <f t="shared" si="17"/>
        <v>188.5</v>
      </c>
      <c r="J1439" s="78"/>
    </row>
    <row r="1440" spans="1:10">
      <c r="B1440" s="237">
        <v>6</v>
      </c>
      <c r="C1440" s="89" t="s">
        <v>2200</v>
      </c>
      <c r="D1440" s="174"/>
      <c r="E1440" s="192"/>
      <c r="F1440" s="114" t="s">
        <v>2173</v>
      </c>
      <c r="G1440" s="67">
        <v>10</v>
      </c>
      <c r="H1440" s="235">
        <f>'BASIC DATA'!$D$361</f>
        <v>16</v>
      </c>
      <c r="I1440" s="155">
        <f t="shared" si="17"/>
        <v>160</v>
      </c>
      <c r="J1440" s="78"/>
    </row>
    <row r="1441" spans="2:10">
      <c r="B1441" s="38"/>
      <c r="C1441" s="151"/>
      <c r="D1441" s="159"/>
      <c r="E1441" s="159" t="s">
        <v>2376</v>
      </c>
      <c r="F1441" s="159"/>
      <c r="G1441" s="159"/>
      <c r="H1441" s="208" t="s">
        <v>1698</v>
      </c>
      <c r="I1441" s="209">
        <f>SUM(I1435:I1440)</f>
        <v>12141.539999999999</v>
      </c>
      <c r="J1441" s="78"/>
    </row>
    <row r="1442" spans="2:10">
      <c r="B1442" s="170" t="s">
        <v>2377</v>
      </c>
      <c r="C1442" s="151"/>
      <c r="D1442" s="31"/>
      <c r="E1442" s="31"/>
      <c r="F1442" s="31"/>
      <c r="G1442" s="31"/>
      <c r="H1442" s="200"/>
      <c r="I1442" s="31"/>
      <c r="J1442" s="78"/>
    </row>
    <row r="1443" spans="2:10">
      <c r="B1443" s="95" t="s">
        <v>2369</v>
      </c>
      <c r="D1443" s="157" t="s">
        <v>2378</v>
      </c>
      <c r="E1443" s="97"/>
      <c r="F1443" s="95" t="s">
        <v>2370</v>
      </c>
      <c r="G1443" s="95" t="s">
        <v>1166</v>
      </c>
      <c r="H1443" s="97" t="s">
        <v>6664</v>
      </c>
      <c r="I1443" s="97" t="s">
        <v>6665</v>
      </c>
      <c r="J1443" s="78"/>
    </row>
    <row r="1444" spans="2:10">
      <c r="B1444" s="191"/>
      <c r="C1444" s="139"/>
      <c r="D1444" s="174"/>
      <c r="E1444" s="192"/>
      <c r="F1444" s="191"/>
      <c r="G1444" s="114"/>
      <c r="H1444" s="115" t="s">
        <v>3856</v>
      </c>
      <c r="I1444" s="115" t="s">
        <v>3857</v>
      </c>
      <c r="J1444" s="78"/>
    </row>
    <row r="1445" spans="2:10">
      <c r="B1445" s="95">
        <v>1</v>
      </c>
      <c r="C1445" s="148" t="s">
        <v>7127</v>
      </c>
      <c r="D1445" s="187"/>
      <c r="E1445" s="195"/>
      <c r="F1445" s="107" t="s">
        <v>2374</v>
      </c>
      <c r="G1445" s="67">
        <v>3</v>
      </c>
      <c r="H1445" s="67">
        <f>'HIRE CHARGES'!$D$497</f>
        <v>170.8</v>
      </c>
      <c r="I1445" s="155">
        <f>ROUND(H1445*G1445,2)</f>
        <v>512.4</v>
      </c>
      <c r="J1445" s="78"/>
    </row>
    <row r="1446" spans="2:10">
      <c r="B1446" s="105"/>
      <c r="C1446" s="76" t="s">
        <v>2379</v>
      </c>
      <c r="D1446" s="31"/>
      <c r="E1446" s="189"/>
      <c r="F1446" s="210" t="s">
        <v>2374</v>
      </c>
      <c r="G1446" s="67">
        <v>3</v>
      </c>
      <c r="H1446" s="67">
        <f>'HIRE CHARGES'!$E$497</f>
        <v>315.2</v>
      </c>
      <c r="I1446" s="155">
        <f>ROUND(H1446*G1446,2)</f>
        <v>945.6</v>
      </c>
      <c r="J1446" s="78"/>
    </row>
    <row r="1447" spans="2:10">
      <c r="B1447" s="105">
        <v>2</v>
      </c>
      <c r="C1447" s="76" t="s">
        <v>258</v>
      </c>
      <c r="D1447" s="31"/>
      <c r="E1447" s="189"/>
      <c r="F1447" s="210" t="s">
        <v>2374</v>
      </c>
      <c r="G1447" s="67">
        <v>3</v>
      </c>
      <c r="H1447" s="67">
        <f>'HIRE CHARGES'!$D$554</f>
        <v>188.5</v>
      </c>
      <c r="I1447" s="84">
        <f>ROUND(H1447*G1447,2)</f>
        <v>565.5</v>
      </c>
      <c r="J1447" s="78"/>
    </row>
    <row r="1448" spans="2:10">
      <c r="B1448" s="191"/>
      <c r="C1448" s="89" t="s">
        <v>2379</v>
      </c>
      <c r="D1448" s="174"/>
      <c r="E1448" s="192"/>
      <c r="F1448" s="191" t="s">
        <v>2374</v>
      </c>
      <c r="G1448" s="67">
        <v>3</v>
      </c>
      <c r="H1448" s="67">
        <f>'HIRE CHARGES'!$E$554</f>
        <v>0</v>
      </c>
      <c r="I1448" s="84">
        <f>ROUND(H1448*G1448,2)</f>
        <v>0</v>
      </c>
      <c r="J1448" s="78"/>
    </row>
    <row r="1449" spans="2:10">
      <c r="B1449" s="154"/>
      <c r="C1449" s="89"/>
      <c r="D1449" s="174"/>
      <c r="E1449" s="174" t="s">
        <v>2380</v>
      </c>
      <c r="F1449" s="174"/>
      <c r="G1449" s="174"/>
      <c r="H1449" s="236" t="s">
        <v>1698</v>
      </c>
      <c r="I1449" s="194">
        <f>SUM(I1445:I1448)</f>
        <v>2023.5</v>
      </c>
      <c r="J1449" s="78"/>
    </row>
    <row r="1450" spans="2:10">
      <c r="B1450" s="170" t="s">
        <v>2381</v>
      </c>
      <c r="C1450" s="151"/>
      <c r="D1450" s="31"/>
      <c r="E1450" s="31"/>
      <c r="F1450" s="31"/>
      <c r="G1450" s="31"/>
      <c r="H1450" s="200"/>
      <c r="I1450" s="31"/>
      <c r="J1450" s="78"/>
    </row>
    <row r="1451" spans="2:10">
      <c r="B1451" s="95" t="s">
        <v>2369</v>
      </c>
      <c r="D1451" s="157" t="s">
        <v>2378</v>
      </c>
      <c r="E1451" s="97"/>
      <c r="F1451" s="95" t="s">
        <v>2370</v>
      </c>
      <c r="G1451" s="95" t="s">
        <v>1166</v>
      </c>
      <c r="H1451" s="97" t="s">
        <v>6664</v>
      </c>
      <c r="I1451" s="97" t="s">
        <v>6665</v>
      </c>
      <c r="J1451" s="78"/>
    </row>
    <row r="1452" spans="2:10">
      <c r="B1452" s="191"/>
      <c r="C1452" s="139"/>
      <c r="D1452" s="174"/>
      <c r="E1452" s="192"/>
      <c r="F1452" s="191"/>
      <c r="G1452" s="114"/>
      <c r="H1452" s="115" t="s">
        <v>3856</v>
      </c>
      <c r="I1452" s="115" t="s">
        <v>3857</v>
      </c>
      <c r="J1452" s="78"/>
    </row>
    <row r="1453" spans="2:10">
      <c r="B1453" s="95">
        <v>1</v>
      </c>
      <c r="C1453" s="131" t="s">
        <v>4606</v>
      </c>
      <c r="D1453" s="187"/>
      <c r="E1453" s="195"/>
      <c r="F1453" s="107" t="s">
        <v>2374</v>
      </c>
      <c r="G1453" s="67">
        <v>3</v>
      </c>
      <c r="H1453" s="67">
        <f>'HIRE CHARGES'!$F$497</f>
        <v>164.8</v>
      </c>
      <c r="I1453" s="155">
        <f t="shared" ref="I1453:I1458" si="18">ROUND(H1453*G1453,2)</f>
        <v>494.4</v>
      </c>
      <c r="J1453" s="78"/>
    </row>
    <row r="1454" spans="2:10">
      <c r="B1454" s="105">
        <v>2</v>
      </c>
      <c r="C1454" s="135" t="s">
        <v>153</v>
      </c>
      <c r="D1454" s="31"/>
      <c r="E1454" s="189"/>
      <c r="F1454" s="210" t="s">
        <v>2374</v>
      </c>
      <c r="G1454" s="67">
        <v>3</v>
      </c>
      <c r="H1454" s="67">
        <f>'HIRE CHARGES'!$F$554</f>
        <v>283.89999999999998</v>
      </c>
      <c r="I1454" s="155">
        <f t="shared" si="18"/>
        <v>851.7</v>
      </c>
      <c r="J1454" s="78"/>
    </row>
    <row r="1455" spans="2:10">
      <c r="B1455" s="105">
        <v>3</v>
      </c>
      <c r="C1455" s="135" t="s">
        <v>3836</v>
      </c>
      <c r="D1455" s="31"/>
      <c r="E1455" s="189"/>
      <c r="F1455" s="210" t="s">
        <v>1172</v>
      </c>
      <c r="G1455" s="67">
        <v>0.5</v>
      </c>
      <c r="H1455" s="67">
        <f>'BASIC DATA'!$C$464</f>
        <v>555</v>
      </c>
      <c r="I1455" s="155">
        <f t="shared" si="18"/>
        <v>277.5</v>
      </c>
      <c r="J1455" s="78"/>
    </row>
    <row r="1456" spans="2:10">
      <c r="B1456" s="105">
        <v>4</v>
      </c>
      <c r="C1456" s="135" t="s">
        <v>4203</v>
      </c>
      <c r="D1456" s="31"/>
      <c r="E1456" s="189"/>
      <c r="F1456" s="210" t="s">
        <v>1172</v>
      </c>
      <c r="G1456" s="67">
        <v>0.5</v>
      </c>
      <c r="H1456" s="67">
        <f>'BASIC DATA'!$C$541</f>
        <v>400</v>
      </c>
      <c r="I1456" s="155">
        <f t="shared" si="18"/>
        <v>200</v>
      </c>
      <c r="J1456" s="78"/>
    </row>
    <row r="1457" spans="2:10">
      <c r="B1457" s="105">
        <v>5</v>
      </c>
      <c r="C1457" s="135" t="s">
        <v>3010</v>
      </c>
      <c r="D1457" s="31"/>
      <c r="E1457" s="189"/>
      <c r="F1457" s="210" t="s">
        <v>1172</v>
      </c>
      <c r="G1457" s="67">
        <v>1</v>
      </c>
      <c r="H1457" s="67">
        <f>'BASIC DATA'!$C$504</f>
        <v>445</v>
      </c>
      <c r="I1457" s="155">
        <f t="shared" si="18"/>
        <v>445</v>
      </c>
      <c r="J1457" s="78"/>
    </row>
    <row r="1458" spans="2:10">
      <c r="B1458" s="114">
        <v>6</v>
      </c>
      <c r="C1458" s="139" t="s">
        <v>2697</v>
      </c>
      <c r="D1458" s="174"/>
      <c r="E1458" s="192"/>
      <c r="F1458" s="191" t="s">
        <v>1172</v>
      </c>
      <c r="G1458" s="67">
        <v>2</v>
      </c>
      <c r="H1458" s="67">
        <f>'BASIC DATA'!$C$552</f>
        <v>350</v>
      </c>
      <c r="I1458" s="155">
        <f t="shared" si="18"/>
        <v>700</v>
      </c>
      <c r="J1458" s="78"/>
    </row>
    <row r="1459" spans="2:10">
      <c r="B1459" s="184"/>
      <c r="C1459" s="151"/>
      <c r="D1459" s="159"/>
      <c r="E1459" s="159" t="s">
        <v>1174</v>
      </c>
      <c r="F1459" s="159"/>
      <c r="G1459" s="159"/>
      <c r="H1459" s="208" t="s">
        <v>1698</v>
      </c>
      <c r="I1459" s="209">
        <f>SUM(I1453:I1458)</f>
        <v>2968.6</v>
      </c>
      <c r="J1459" s="78"/>
    </row>
    <row r="1460" spans="2:10">
      <c r="B1460" s="60" t="s">
        <v>5948</v>
      </c>
      <c r="D1460" s="31"/>
      <c r="E1460" s="31"/>
      <c r="F1460" s="31"/>
      <c r="G1460" s="85">
        <f>ROUND(I1459/H1432,1)</f>
        <v>118.7</v>
      </c>
      <c r="J1460" s="78"/>
    </row>
    <row r="1461" spans="2:10">
      <c r="B1461" s="60" t="s">
        <v>3163</v>
      </c>
      <c r="D1461" s="31"/>
      <c r="E1461" s="31"/>
      <c r="F1461" s="922">
        <f>'BASIC DATA'!$C$577</f>
        <v>0.13614999999999999</v>
      </c>
      <c r="G1461" s="85">
        <f>ROUND(G1460*F1461,1)</f>
        <v>16.2</v>
      </c>
      <c r="J1461" s="78"/>
    </row>
    <row r="1462" spans="2:10">
      <c r="B1462" s="60" t="s">
        <v>5949</v>
      </c>
      <c r="D1462" s="31"/>
      <c r="E1462" s="31"/>
      <c r="F1462" s="31"/>
      <c r="G1462" s="199">
        <f>ROUND(G1461+G1460,1)</f>
        <v>134.9</v>
      </c>
      <c r="J1462" s="78"/>
    </row>
    <row r="1463" spans="2:10">
      <c r="J1463" s="78"/>
    </row>
    <row r="1464" spans="2:10">
      <c r="B1464" s="170" t="s">
        <v>1175</v>
      </c>
      <c r="J1464" s="78"/>
    </row>
    <row r="1465" spans="2:10">
      <c r="B1465" s="26" t="s">
        <v>1176</v>
      </c>
      <c r="H1465" s="171" t="s">
        <v>1698</v>
      </c>
      <c r="I1465" s="117">
        <f>I1441</f>
        <v>12141.539999999999</v>
      </c>
      <c r="J1465" s="78"/>
    </row>
    <row r="1466" spans="2:10">
      <c r="B1466" s="26" t="s">
        <v>1186</v>
      </c>
      <c r="H1466" s="171" t="s">
        <v>1698</v>
      </c>
      <c r="I1466" s="117">
        <f>I1449</f>
        <v>2023.5</v>
      </c>
      <c r="J1466" s="78"/>
    </row>
    <row r="1467" spans="2:10">
      <c r="B1467" s="26" t="s">
        <v>2660</v>
      </c>
      <c r="H1467" s="171" t="s">
        <v>1698</v>
      </c>
      <c r="I1467" s="85">
        <f>I1459</f>
        <v>2968.6</v>
      </c>
      <c r="J1467" s="78"/>
    </row>
    <row r="1468" spans="2:10">
      <c r="G1468" s="171" t="s">
        <v>1518</v>
      </c>
      <c r="H1468" s="171" t="s">
        <v>1698</v>
      </c>
      <c r="I1468" s="130">
        <f>SUM(I1465:I1467)</f>
        <v>17133.64</v>
      </c>
      <c r="J1468" s="78"/>
    </row>
    <row r="1469" spans="2:10" ht="18.75">
      <c r="B1469" s="1207" t="s">
        <v>8375</v>
      </c>
      <c r="C1469" s="1207"/>
      <c r="D1469" s="1207"/>
      <c r="E1469" s="1207"/>
      <c r="F1469" s="1207"/>
      <c r="G1469" s="922">
        <f>'BASIC DATA'!$C$577</f>
        <v>0.13614999999999999</v>
      </c>
      <c r="H1469" s="171" t="s">
        <v>4108</v>
      </c>
      <c r="I1469" s="76">
        <f>ROUND(I1468*G1469,2)</f>
        <v>2332.75</v>
      </c>
      <c r="J1469" s="78"/>
    </row>
    <row r="1470" spans="2:10" ht="40.5" hidden="1" customHeight="1">
      <c r="B1470" s="1207"/>
      <c r="C1470" s="1207"/>
      <c r="D1470" s="1207"/>
      <c r="E1470" s="1207"/>
      <c r="F1470" s="779"/>
      <c r="G1470" s="201"/>
      <c r="H1470" s="68"/>
      <c r="I1470" s="76"/>
      <c r="J1470" s="78"/>
    </row>
    <row r="1471" spans="2:10" ht="44.25" customHeight="1">
      <c r="B1471" s="1207" t="s">
        <v>9611</v>
      </c>
      <c r="C1471" s="1207"/>
      <c r="D1471" s="1207"/>
      <c r="E1471" s="1207"/>
      <c r="F1471" s="779">
        <f>G1437/1000</f>
        <v>0.27792</v>
      </c>
      <c r="G1471" s="201" t="s">
        <v>9592</v>
      </c>
      <c r="H1471" s="68" t="str">
        <f>CONCATENATE((leadcharges!$F$65+leadcharges!$G$78+leadcharges!$G$79)," ","Rs./Tonne")</f>
        <v>168.6 Rs./Tonne</v>
      </c>
      <c r="I1471" s="76">
        <f>(leadcharges!$F$65+leadcharges!$G$78+leadcharges!$G$79)*F1471</f>
        <v>46.857312</v>
      </c>
      <c r="J1471" s="78"/>
    </row>
    <row r="1472" spans="2:10">
      <c r="B1472" s="1206" t="s">
        <v>1191</v>
      </c>
      <c r="C1472" s="1206"/>
      <c r="D1472" s="1206"/>
      <c r="E1472" s="1206"/>
      <c r="F1472" s="202">
        <f>H1432</f>
        <v>25</v>
      </c>
      <c r="G1472" s="171" t="str">
        <f>I1432</f>
        <v>Nos.</v>
      </c>
      <c r="H1472" s="171" t="s">
        <v>1698</v>
      </c>
      <c r="I1472" s="199">
        <f>SUM(I1468:I1471)</f>
        <v>19513.247312</v>
      </c>
      <c r="J1472" s="78"/>
    </row>
    <row r="1473" spans="1:10">
      <c r="B1473" s="1161" t="s">
        <v>3884</v>
      </c>
      <c r="C1473" s="1161"/>
      <c r="D1473" s="203" t="s">
        <v>3481</v>
      </c>
      <c r="F1473" s="26" t="s">
        <v>1646</v>
      </c>
      <c r="H1473" s="171" t="s">
        <v>1698</v>
      </c>
      <c r="I1473" s="204">
        <f>ROUND(I1472/F1472,1)</f>
        <v>780.5</v>
      </c>
      <c r="J1473" s="78"/>
    </row>
    <row r="1474" spans="1:10">
      <c r="H1474" s="171"/>
      <c r="I1474" s="117"/>
      <c r="J1474" s="78"/>
    </row>
    <row r="1475" spans="1:10">
      <c r="A1475" s="822" t="s">
        <v>7055</v>
      </c>
      <c r="B1475" s="170" t="s">
        <v>2816</v>
      </c>
      <c r="G1475" s="171"/>
      <c r="H1475" s="117"/>
      <c r="J1475" s="78"/>
    </row>
    <row r="1476" spans="1:10">
      <c r="G1476" s="171"/>
      <c r="H1476" s="117"/>
      <c r="J1476" s="78"/>
    </row>
    <row r="1477" spans="1:10" ht="18.75">
      <c r="A1477" s="822" t="s">
        <v>7056</v>
      </c>
      <c r="B1477" s="26" t="s">
        <v>8409</v>
      </c>
      <c r="J1477" s="78"/>
    </row>
    <row r="1478" spans="1:10">
      <c r="B1478" s="26" t="s">
        <v>7057</v>
      </c>
      <c r="J1478" s="78"/>
    </row>
    <row r="1479" spans="1:10">
      <c r="B1479" s="26" t="s">
        <v>425</v>
      </c>
      <c r="J1479" s="78"/>
    </row>
    <row r="1480" spans="1:10" ht="18.75">
      <c r="B1480" s="26" t="s">
        <v>8410</v>
      </c>
      <c r="J1480" s="78"/>
    </row>
    <row r="1481" spans="1:10">
      <c r="B1481" s="26" t="s">
        <v>7058</v>
      </c>
      <c r="G1481" s="26" t="s">
        <v>7059</v>
      </c>
      <c r="J1481" s="78"/>
    </row>
    <row r="1482" spans="1:10">
      <c r="B1482" s="26" t="s">
        <v>2499</v>
      </c>
      <c r="J1482" s="78"/>
    </row>
    <row r="1483" spans="1:10">
      <c r="J1483" s="78"/>
    </row>
    <row r="1484" spans="1:10" hidden="1">
      <c r="A1484" s="822" t="s">
        <v>3984</v>
      </c>
      <c r="B1484" s="26" t="s">
        <v>4046</v>
      </c>
      <c r="G1484" s="171" t="s">
        <v>1697</v>
      </c>
      <c r="H1484" s="68">
        <v>9</v>
      </c>
      <c r="I1484" s="26" t="s">
        <v>3478</v>
      </c>
      <c r="J1484" s="78"/>
    </row>
    <row r="1485" spans="1:10" hidden="1">
      <c r="B1485" s="26" t="s">
        <v>7060</v>
      </c>
      <c r="H1485" s="68">
        <v>5</v>
      </c>
      <c r="I1485" s="26" t="s">
        <v>1365</v>
      </c>
      <c r="J1485" s="78"/>
    </row>
    <row r="1486" spans="1:10">
      <c r="A1486" s="822" t="s">
        <v>3984</v>
      </c>
      <c r="F1486" s="170" t="s">
        <v>2367</v>
      </c>
      <c r="J1486" s="78"/>
    </row>
    <row r="1487" spans="1:10">
      <c r="H1487" s="171" t="s">
        <v>297</v>
      </c>
      <c r="J1487" s="78"/>
    </row>
    <row r="1488" spans="1:10">
      <c r="B1488" s="170" t="s">
        <v>2368</v>
      </c>
      <c r="H1488" s="211">
        <v>1</v>
      </c>
      <c r="I1488" s="26" t="s">
        <v>3480</v>
      </c>
      <c r="J1488" s="78"/>
    </row>
    <row r="1489" spans="2:10">
      <c r="B1489" s="95" t="s">
        <v>2369</v>
      </c>
      <c r="C1489" s="153"/>
      <c r="D1489" s="157" t="s">
        <v>4443</v>
      </c>
      <c r="E1489" s="97"/>
      <c r="F1489" s="95" t="s">
        <v>2370</v>
      </c>
      <c r="G1489" s="95" t="s">
        <v>1166</v>
      </c>
      <c r="H1489" s="97" t="s">
        <v>6664</v>
      </c>
      <c r="I1489" s="97" t="s">
        <v>6665</v>
      </c>
      <c r="J1489" s="78"/>
    </row>
    <row r="1490" spans="2:10">
      <c r="B1490" s="191"/>
      <c r="C1490" s="139"/>
      <c r="D1490" s="174"/>
      <c r="E1490" s="192"/>
      <c r="F1490" s="191"/>
      <c r="G1490" s="114"/>
      <c r="H1490" s="115" t="s">
        <v>3856</v>
      </c>
      <c r="I1490" s="115" t="s">
        <v>3857</v>
      </c>
      <c r="J1490" s="78"/>
    </row>
    <row r="1491" spans="2:10">
      <c r="B1491" s="95">
        <v>1</v>
      </c>
      <c r="C1491" s="135" t="s">
        <v>6235</v>
      </c>
      <c r="D1491" s="31"/>
      <c r="E1491" s="189"/>
      <c r="F1491" s="107" t="s">
        <v>3480</v>
      </c>
      <c r="G1491" s="179">
        <f>1*1.05</f>
        <v>1.05</v>
      </c>
      <c r="H1491" s="218">
        <f>'BASIC DATA'!$D$91</f>
        <v>34000</v>
      </c>
      <c r="I1491" s="155">
        <f>ROUND(G1491*H1491,2)</f>
        <v>35700</v>
      </c>
      <c r="J1491" s="78"/>
    </row>
    <row r="1492" spans="2:10">
      <c r="B1492" s="105">
        <v>2</v>
      </c>
      <c r="C1492" s="135" t="s">
        <v>2637</v>
      </c>
      <c r="D1492" s="31"/>
      <c r="E1492" s="189"/>
      <c r="F1492" s="210" t="s">
        <v>3478</v>
      </c>
      <c r="G1492" s="190">
        <f>H1484</f>
        <v>9</v>
      </c>
      <c r="H1492" s="220">
        <f>'BASIC DATA'!$D$30</f>
        <v>60</v>
      </c>
      <c r="I1492" s="155">
        <f>ROUND(G1492*H1492,2)</f>
        <v>540</v>
      </c>
      <c r="J1492" s="78"/>
    </row>
    <row r="1493" spans="2:10">
      <c r="B1493" s="184"/>
      <c r="C1493" s="151"/>
      <c r="D1493" s="159"/>
      <c r="E1493" s="159" t="s">
        <v>2376</v>
      </c>
      <c r="F1493" s="159"/>
      <c r="G1493" s="159"/>
      <c r="H1493" s="208" t="s">
        <v>1698</v>
      </c>
      <c r="I1493" s="209">
        <f>SUM(I1491:I1492)</f>
        <v>36240</v>
      </c>
      <c r="J1493" s="78"/>
    </row>
    <row r="1494" spans="2:10">
      <c r="C1494" s="76"/>
      <c r="D1494" s="31"/>
      <c r="E1494" s="31"/>
      <c r="F1494" s="31"/>
      <c r="G1494" s="31"/>
      <c r="H1494" s="200"/>
      <c r="I1494" s="31"/>
      <c r="J1494" s="78"/>
    </row>
    <row r="1495" spans="2:10">
      <c r="B1495" s="170" t="s">
        <v>2377</v>
      </c>
      <c r="J1495" s="78"/>
    </row>
    <row r="1496" spans="2:10">
      <c r="B1496" s="95" t="s">
        <v>2369</v>
      </c>
      <c r="C1496" s="153"/>
      <c r="D1496" s="157" t="s">
        <v>2378</v>
      </c>
      <c r="E1496" s="97"/>
      <c r="F1496" s="95" t="s">
        <v>2370</v>
      </c>
      <c r="G1496" s="157" t="s">
        <v>1166</v>
      </c>
      <c r="H1496" s="95" t="s">
        <v>6664</v>
      </c>
      <c r="I1496" s="97" t="s">
        <v>6665</v>
      </c>
      <c r="J1496" s="78"/>
    </row>
    <row r="1497" spans="2:10">
      <c r="B1497" s="191"/>
      <c r="C1497" s="139"/>
      <c r="D1497" s="174"/>
      <c r="E1497" s="192"/>
      <c r="F1497" s="191"/>
      <c r="G1497" s="176"/>
      <c r="H1497" s="114" t="s">
        <v>3856</v>
      </c>
      <c r="I1497" s="115" t="s">
        <v>3857</v>
      </c>
      <c r="J1497" s="78"/>
    </row>
    <row r="1498" spans="2:10">
      <c r="B1498" s="184"/>
      <c r="C1498" s="151"/>
      <c r="D1498" s="159"/>
      <c r="E1498" s="159" t="s">
        <v>2380</v>
      </c>
      <c r="F1498" s="159"/>
      <c r="G1498" s="159"/>
      <c r="H1498" s="208" t="s">
        <v>1698</v>
      </c>
      <c r="I1498" s="209">
        <v>0</v>
      </c>
      <c r="J1498" s="78"/>
    </row>
    <row r="1499" spans="2:10">
      <c r="C1499" s="76"/>
      <c r="D1499" s="31"/>
      <c r="E1499" s="31"/>
      <c r="F1499" s="31"/>
      <c r="G1499" s="31"/>
      <c r="H1499" s="200"/>
      <c r="I1499" s="75"/>
      <c r="J1499" s="78"/>
    </row>
    <row r="1500" spans="2:10">
      <c r="B1500" s="170" t="s">
        <v>2381</v>
      </c>
      <c r="J1500" s="78"/>
    </row>
    <row r="1501" spans="2:10">
      <c r="B1501" s="95" t="s">
        <v>2369</v>
      </c>
      <c r="C1501" s="153"/>
      <c r="D1501" s="157" t="s">
        <v>2378</v>
      </c>
      <c r="E1501" s="97"/>
      <c r="F1501" s="95" t="s">
        <v>2370</v>
      </c>
      <c r="G1501" s="95" t="s">
        <v>1166</v>
      </c>
      <c r="H1501" s="97" t="s">
        <v>6664</v>
      </c>
      <c r="I1501" s="97" t="s">
        <v>6665</v>
      </c>
      <c r="J1501" s="78"/>
    </row>
    <row r="1502" spans="2:10">
      <c r="B1502" s="191"/>
      <c r="C1502" s="139"/>
      <c r="D1502" s="174"/>
      <c r="E1502" s="192"/>
      <c r="F1502" s="191"/>
      <c r="G1502" s="114"/>
      <c r="H1502" s="115" t="s">
        <v>3856</v>
      </c>
      <c r="I1502" s="115" t="s">
        <v>3857</v>
      </c>
      <c r="J1502" s="78"/>
    </row>
    <row r="1503" spans="2:10">
      <c r="B1503" s="105">
        <v>1</v>
      </c>
      <c r="C1503" s="135" t="s">
        <v>3836</v>
      </c>
      <c r="D1503" s="31"/>
      <c r="E1503" s="189"/>
      <c r="F1503" s="210" t="s">
        <v>1172</v>
      </c>
      <c r="G1503" s="190">
        <v>2</v>
      </c>
      <c r="H1503" s="207">
        <f>'BASIC DATA'!$C$464</f>
        <v>555</v>
      </c>
      <c r="I1503" s="155">
        <f>ROUND(H1503*G1503,2)</f>
        <v>1110</v>
      </c>
      <c r="J1503" s="78"/>
    </row>
    <row r="1504" spans="2:10">
      <c r="B1504" s="114">
        <v>2</v>
      </c>
      <c r="C1504" s="139" t="s">
        <v>2697</v>
      </c>
      <c r="D1504" s="174"/>
      <c r="E1504" s="192"/>
      <c r="F1504" s="191" t="s">
        <v>1172</v>
      </c>
      <c r="G1504" s="182">
        <v>6.84</v>
      </c>
      <c r="H1504" s="181">
        <f>'BASIC DATA'!$C$552</f>
        <v>350</v>
      </c>
      <c r="I1504" s="155">
        <f>ROUND(H1504*G1504,2)</f>
        <v>2394</v>
      </c>
      <c r="J1504" s="78"/>
    </row>
    <row r="1505" spans="1:10">
      <c r="B1505" s="184"/>
      <c r="C1505" s="151"/>
      <c r="D1505" s="159"/>
      <c r="E1505" s="159" t="s">
        <v>1174</v>
      </c>
      <c r="F1505" s="159"/>
      <c r="G1505" s="159"/>
      <c r="H1505" s="208"/>
      <c r="I1505" s="194">
        <f>SUM(I1503:I1504)</f>
        <v>3504</v>
      </c>
      <c r="J1505" s="78"/>
    </row>
    <row r="1506" spans="1:10">
      <c r="B1506" s="60" t="s">
        <v>5948</v>
      </c>
      <c r="D1506" s="31"/>
      <c r="E1506" s="31"/>
      <c r="F1506" s="31"/>
      <c r="G1506" s="85">
        <f>ROUND(I1505/H1488,1)</f>
        <v>3504</v>
      </c>
      <c r="H1506" s="200"/>
      <c r="I1506" s="85"/>
      <c r="J1506" s="78"/>
    </row>
    <row r="1507" spans="1:10">
      <c r="B1507" s="60" t="s">
        <v>3163</v>
      </c>
      <c r="D1507" s="31"/>
      <c r="E1507" s="31"/>
      <c r="F1507" s="922">
        <f>'BASIC DATA'!$C$577</f>
        <v>0.13614999999999999</v>
      </c>
      <c r="G1507" s="85">
        <f>ROUND(G1506*F1507,1)</f>
        <v>477.1</v>
      </c>
      <c r="H1507" s="200"/>
      <c r="I1507" s="85"/>
      <c r="J1507" s="78"/>
    </row>
    <row r="1508" spans="1:10">
      <c r="B1508" s="60" t="s">
        <v>5949</v>
      </c>
      <c r="D1508" s="31"/>
      <c r="E1508" s="31"/>
      <c r="F1508" s="31"/>
      <c r="G1508" s="199">
        <f>ROUND(G1507+G1506,1)</f>
        <v>3981.1</v>
      </c>
      <c r="H1508" s="200"/>
      <c r="I1508" s="85"/>
      <c r="J1508" s="78"/>
    </row>
    <row r="1509" spans="1:10">
      <c r="B1509" s="31"/>
      <c r="C1509" s="76"/>
      <c r="D1509" s="31"/>
      <c r="E1509" s="31"/>
      <c r="F1509" s="31"/>
      <c r="G1509" s="31"/>
      <c r="H1509" s="200"/>
      <c r="I1509" s="85"/>
      <c r="J1509" s="78"/>
    </row>
    <row r="1510" spans="1:10">
      <c r="B1510" s="60" t="s">
        <v>7061</v>
      </c>
      <c r="C1510" s="76"/>
      <c r="D1510" s="31"/>
      <c r="E1510" s="31"/>
      <c r="G1510" s="31"/>
      <c r="H1510" s="85">
        <f>I1493</f>
        <v>36240</v>
      </c>
      <c r="J1510" s="78"/>
    </row>
    <row r="1511" spans="1:10">
      <c r="B1511" s="60" t="s">
        <v>1464</v>
      </c>
      <c r="C1511" s="76"/>
      <c r="D1511" s="31"/>
      <c r="E1511" s="31"/>
      <c r="G1511" s="31"/>
      <c r="H1511" s="85">
        <f>I1498</f>
        <v>0</v>
      </c>
      <c r="J1511" s="78"/>
    </row>
    <row r="1512" spans="1:10">
      <c r="B1512" s="60" t="s">
        <v>6252</v>
      </c>
      <c r="C1512" s="76"/>
      <c r="D1512" s="31"/>
      <c r="E1512" s="31"/>
      <c r="G1512" s="31"/>
      <c r="H1512" s="85">
        <f>I1505</f>
        <v>3504</v>
      </c>
      <c r="J1512" s="78"/>
    </row>
    <row r="1513" spans="1:10">
      <c r="B1513" s="60" t="s">
        <v>1518</v>
      </c>
      <c r="C1513" s="76"/>
      <c r="D1513" s="31"/>
      <c r="E1513" s="31"/>
      <c r="G1513" s="31"/>
      <c r="H1513" s="130">
        <f>SUM(H1510:H1512)</f>
        <v>39744</v>
      </c>
      <c r="J1513" s="78"/>
    </row>
    <row r="1514" spans="1:10">
      <c r="B1514" s="76" t="s">
        <v>7062</v>
      </c>
      <c r="C1514" s="86"/>
      <c r="D1514" s="86"/>
      <c r="E1514" s="86"/>
      <c r="F1514" s="31"/>
      <c r="G1514" s="922">
        <f>'BASIC DATA'!$C$577</f>
        <v>0.13614999999999999</v>
      </c>
      <c r="H1514" s="26">
        <f>ROUND(H1513*G1514,2)</f>
        <v>5411.15</v>
      </c>
      <c r="I1514" s="171"/>
      <c r="J1514" s="78"/>
    </row>
    <row r="1515" spans="1:10" ht="37.5" customHeight="1">
      <c r="B1515" s="1207" t="s">
        <v>9611</v>
      </c>
      <c r="C1515" s="1207"/>
      <c r="D1515" s="1207"/>
      <c r="E1515" s="1207"/>
      <c r="F1515" s="68">
        <f>leadcharges!$F$65+leadcharges!$G$78+leadcharges!$G$79</f>
        <v>168.6</v>
      </c>
      <c r="G1515" s="27" t="s">
        <v>9588</v>
      </c>
      <c r="H1515" s="76">
        <f>F1515*G1491</f>
        <v>177.03</v>
      </c>
      <c r="J1515" s="78"/>
    </row>
    <row r="1516" spans="1:10">
      <c r="B1516" s="1206" t="s">
        <v>1191</v>
      </c>
      <c r="C1516" s="1206"/>
      <c r="D1516" s="1206"/>
      <c r="E1516" s="1206"/>
      <c r="F1516" s="202">
        <f>H1488</f>
        <v>1</v>
      </c>
      <c r="G1516" s="171" t="str">
        <f>I1488</f>
        <v>tonne</v>
      </c>
      <c r="H1516" s="199">
        <f>H1513+H1514+H1515</f>
        <v>45332.18</v>
      </c>
      <c r="J1516" s="78"/>
    </row>
    <row r="1517" spans="1:10">
      <c r="E1517" s="170" t="s">
        <v>7063</v>
      </c>
      <c r="H1517" s="211">
        <f>H1516/F1516</f>
        <v>45332.18</v>
      </c>
      <c r="I1517" s="171"/>
      <c r="J1517" s="78"/>
    </row>
    <row r="1518" spans="1:10">
      <c r="J1518" s="78"/>
    </row>
    <row r="1519" spans="1:10" ht="18.75">
      <c r="A1519" s="822" t="s">
        <v>7064</v>
      </c>
      <c r="B1519" s="26" t="s">
        <v>8411</v>
      </c>
      <c r="J1519" s="78"/>
    </row>
    <row r="1520" spans="1:10">
      <c r="B1520" s="26" t="s">
        <v>8412</v>
      </c>
      <c r="J1520" s="78"/>
    </row>
    <row r="1521" spans="1:10">
      <c r="B1521" s="26" t="s">
        <v>425</v>
      </c>
      <c r="J1521" s="78"/>
    </row>
    <row r="1522" spans="1:10" ht="18.75">
      <c r="B1522" s="26" t="s">
        <v>8410</v>
      </c>
      <c r="J1522" s="78"/>
    </row>
    <row r="1523" spans="1:10">
      <c r="B1523" s="26" t="s">
        <v>7058</v>
      </c>
      <c r="G1523" s="26" t="s">
        <v>7059</v>
      </c>
      <c r="J1523" s="78"/>
    </row>
    <row r="1524" spans="1:10">
      <c r="B1524" s="26" t="s">
        <v>7065</v>
      </c>
      <c r="J1524" s="78"/>
    </row>
    <row r="1525" spans="1:10">
      <c r="J1525" s="78"/>
    </row>
    <row r="1526" spans="1:10">
      <c r="A1526" s="822" t="s">
        <v>3984</v>
      </c>
      <c r="D1526" s="170" t="s">
        <v>2367</v>
      </c>
      <c r="H1526" s="171" t="s">
        <v>297</v>
      </c>
      <c r="J1526" s="78"/>
    </row>
    <row r="1527" spans="1:10">
      <c r="B1527" s="170" t="s">
        <v>2368</v>
      </c>
      <c r="H1527" s="211">
        <v>1</v>
      </c>
      <c r="I1527" s="26" t="s">
        <v>3480</v>
      </c>
      <c r="J1527" s="78"/>
    </row>
    <row r="1528" spans="1:10">
      <c r="B1528" s="95" t="s">
        <v>2369</v>
      </c>
      <c r="C1528" s="153"/>
      <c r="D1528" s="157" t="s">
        <v>4443</v>
      </c>
      <c r="E1528" s="97"/>
      <c r="F1528" s="95" t="s">
        <v>2370</v>
      </c>
      <c r="G1528" s="95" t="s">
        <v>1166</v>
      </c>
      <c r="H1528" s="97" t="s">
        <v>6664</v>
      </c>
      <c r="I1528" s="97" t="s">
        <v>6665</v>
      </c>
      <c r="J1528" s="78"/>
    </row>
    <row r="1529" spans="1:10">
      <c r="B1529" s="191"/>
      <c r="C1529" s="139"/>
      <c r="D1529" s="174"/>
      <c r="E1529" s="192"/>
      <c r="F1529" s="191"/>
      <c r="G1529" s="114"/>
      <c r="H1529" s="115" t="s">
        <v>3856</v>
      </c>
      <c r="I1529" s="115" t="s">
        <v>3857</v>
      </c>
      <c r="J1529" s="78"/>
    </row>
    <row r="1530" spans="1:10">
      <c r="B1530" s="95">
        <v>1</v>
      </c>
      <c r="C1530" s="135" t="s">
        <v>7066</v>
      </c>
      <c r="D1530" s="31"/>
      <c r="E1530" s="189"/>
      <c r="F1530" s="107" t="s">
        <v>3480</v>
      </c>
      <c r="G1530" s="247">
        <f>1*1.025</f>
        <v>1.0249999999999999</v>
      </c>
      <c r="H1530" s="218">
        <f>'BASIC DATA'!$D$91</f>
        <v>34000</v>
      </c>
      <c r="I1530" s="155">
        <f>ROUND(H1530*G1530,2)</f>
        <v>34850</v>
      </c>
      <c r="J1530" s="78"/>
    </row>
    <row r="1531" spans="1:10">
      <c r="B1531" s="105">
        <v>3</v>
      </c>
      <c r="C1531" s="135" t="s">
        <v>7071</v>
      </c>
      <c r="D1531" s="31"/>
      <c r="E1531" s="189"/>
      <c r="F1531" s="210" t="s">
        <v>7067</v>
      </c>
      <c r="G1531" s="190">
        <f>5*14*1</f>
        <v>70</v>
      </c>
      <c r="H1531" s="220">
        <f>'BASIC DATA'!$D$110</f>
        <v>13</v>
      </c>
      <c r="I1531" s="155">
        <f>ROUND(H1531*G1531,2)</f>
        <v>910</v>
      </c>
      <c r="J1531" s="78"/>
    </row>
    <row r="1532" spans="1:10">
      <c r="B1532" s="184"/>
      <c r="C1532" s="151"/>
      <c r="D1532" s="159"/>
      <c r="E1532" s="159" t="s">
        <v>2376</v>
      </c>
      <c r="F1532" s="159"/>
      <c r="G1532" s="159"/>
      <c r="H1532" s="208" t="s">
        <v>1698</v>
      </c>
      <c r="I1532" s="209">
        <f>SUM(I1530:I1531)</f>
        <v>35760</v>
      </c>
      <c r="J1532" s="78"/>
    </row>
    <row r="1533" spans="1:10">
      <c r="C1533" s="76"/>
      <c r="D1533" s="31"/>
      <c r="E1533" s="31"/>
      <c r="F1533" s="31"/>
      <c r="G1533" s="31"/>
      <c r="H1533" s="200"/>
      <c r="I1533" s="31"/>
      <c r="J1533" s="78"/>
    </row>
    <row r="1534" spans="1:10">
      <c r="B1534" s="170" t="s">
        <v>2377</v>
      </c>
      <c r="J1534" s="78"/>
    </row>
    <row r="1535" spans="1:10">
      <c r="B1535" s="95" t="s">
        <v>2369</v>
      </c>
      <c r="C1535" s="153"/>
      <c r="D1535" s="157" t="s">
        <v>2378</v>
      </c>
      <c r="E1535" s="97"/>
      <c r="F1535" s="95" t="s">
        <v>2370</v>
      </c>
      <c r="G1535" s="157" t="s">
        <v>1166</v>
      </c>
      <c r="H1535" s="95" t="s">
        <v>6664</v>
      </c>
      <c r="I1535" s="97" t="s">
        <v>6665</v>
      </c>
      <c r="J1535" s="78"/>
    </row>
    <row r="1536" spans="1:10">
      <c r="B1536" s="191"/>
      <c r="C1536" s="139"/>
      <c r="D1536" s="174"/>
      <c r="E1536" s="192"/>
      <c r="F1536" s="191"/>
      <c r="G1536" s="176"/>
      <c r="H1536" s="114" t="s">
        <v>3856</v>
      </c>
      <c r="I1536" s="115" t="s">
        <v>3857</v>
      </c>
      <c r="J1536" s="78"/>
    </row>
    <row r="1537" spans="2:10">
      <c r="B1537" s="95">
        <v>1</v>
      </c>
      <c r="C1537" s="131" t="s">
        <v>7068</v>
      </c>
      <c r="D1537" s="187"/>
      <c r="E1537" s="195"/>
      <c r="F1537" s="107" t="s">
        <v>1189</v>
      </c>
      <c r="G1537" s="180">
        <v>10</v>
      </c>
      <c r="H1537" s="190">
        <f>'HIRE CHARGES'!$D$556</f>
        <v>16</v>
      </c>
      <c r="I1537" s="155">
        <f>ROUND(H1537*G1537,2)</f>
        <v>160</v>
      </c>
      <c r="J1537" s="78"/>
    </row>
    <row r="1538" spans="2:10">
      <c r="B1538" s="105"/>
      <c r="C1538" s="135" t="s">
        <v>7069</v>
      </c>
      <c r="D1538" s="31"/>
      <c r="E1538" s="189"/>
      <c r="F1538" s="210" t="s">
        <v>1189</v>
      </c>
      <c r="G1538" s="221">
        <v>10</v>
      </c>
      <c r="H1538" s="190">
        <f>'HIRE CHARGES'!$E$556</f>
        <v>67.2</v>
      </c>
      <c r="I1538" s="155">
        <f>ROUND(H1538*G1538,2)</f>
        <v>672</v>
      </c>
      <c r="J1538" s="78"/>
    </row>
    <row r="1539" spans="2:10">
      <c r="B1539" s="184"/>
      <c r="C1539" s="151"/>
      <c r="D1539" s="159"/>
      <c r="E1539" s="159" t="s">
        <v>2380</v>
      </c>
      <c r="F1539" s="159"/>
      <c r="G1539" s="159"/>
      <c r="H1539" s="208" t="s">
        <v>1698</v>
      </c>
      <c r="I1539" s="209">
        <f>SUM(I1537:I1538)</f>
        <v>832</v>
      </c>
      <c r="J1539" s="78"/>
    </row>
    <row r="1540" spans="2:10">
      <c r="C1540" s="76"/>
      <c r="D1540" s="31"/>
      <c r="E1540" s="31"/>
      <c r="F1540" s="31"/>
      <c r="G1540" s="31"/>
      <c r="H1540" s="200"/>
      <c r="I1540" s="75"/>
      <c r="J1540" s="78"/>
    </row>
    <row r="1541" spans="2:10">
      <c r="B1541" s="170" t="s">
        <v>2381</v>
      </c>
      <c r="J1541" s="78"/>
    </row>
    <row r="1542" spans="2:10">
      <c r="B1542" s="95" t="s">
        <v>2369</v>
      </c>
      <c r="C1542" s="153"/>
      <c r="D1542" s="157" t="s">
        <v>2378</v>
      </c>
      <c r="E1542" s="97"/>
      <c r="F1542" s="95" t="s">
        <v>2370</v>
      </c>
      <c r="G1542" s="95" t="s">
        <v>1166</v>
      </c>
      <c r="H1542" s="97" t="s">
        <v>6664</v>
      </c>
      <c r="I1542" s="97" t="s">
        <v>6665</v>
      </c>
      <c r="J1542" s="78"/>
    </row>
    <row r="1543" spans="2:10">
      <c r="B1543" s="191"/>
      <c r="C1543" s="139"/>
      <c r="D1543" s="174"/>
      <c r="E1543" s="192"/>
      <c r="F1543" s="191"/>
      <c r="G1543" s="114"/>
      <c r="H1543" s="115" t="s">
        <v>3856</v>
      </c>
      <c r="I1543" s="115" t="s">
        <v>3857</v>
      </c>
      <c r="J1543" s="78"/>
    </row>
    <row r="1544" spans="2:10">
      <c r="B1544" s="95">
        <v>1</v>
      </c>
      <c r="C1544" s="131" t="s">
        <v>7070</v>
      </c>
      <c r="D1544" s="187"/>
      <c r="E1544" s="195"/>
      <c r="F1544" s="107" t="s">
        <v>1581</v>
      </c>
      <c r="G1544" s="179">
        <v>2.5</v>
      </c>
      <c r="H1544" s="178">
        <f>'BASIC DATA'!$C$504</f>
        <v>445</v>
      </c>
      <c r="I1544" s="155">
        <f>ROUND(G1544*H1544,2)</f>
        <v>1112.5</v>
      </c>
      <c r="J1544" s="78"/>
    </row>
    <row r="1545" spans="2:10">
      <c r="B1545" s="105">
        <v>2</v>
      </c>
      <c r="C1545" s="135" t="s">
        <v>3836</v>
      </c>
      <c r="D1545" s="31"/>
      <c r="E1545" s="189"/>
      <c r="F1545" s="210" t="s">
        <v>1172</v>
      </c>
      <c r="G1545" s="190">
        <v>2</v>
      </c>
      <c r="H1545" s="207">
        <f>'BASIC DATA'!$C$464</f>
        <v>555</v>
      </c>
      <c r="I1545" s="155">
        <f>ROUND(G1545*H1545,2)</f>
        <v>1110</v>
      </c>
      <c r="J1545" s="78"/>
    </row>
    <row r="1546" spans="2:10">
      <c r="B1546" s="114">
        <v>3</v>
      </c>
      <c r="C1546" s="139" t="s">
        <v>2697</v>
      </c>
      <c r="D1546" s="174"/>
      <c r="E1546" s="192"/>
      <c r="F1546" s="191" t="s">
        <v>1172</v>
      </c>
      <c r="G1546" s="182">
        <v>6.84</v>
      </c>
      <c r="H1546" s="181">
        <f>'BASIC DATA'!$C$552</f>
        <v>350</v>
      </c>
      <c r="I1546" s="155">
        <f>ROUND(G1546*H1546,2)</f>
        <v>2394</v>
      </c>
      <c r="J1546" s="78"/>
    </row>
    <row r="1547" spans="2:10">
      <c r="B1547" s="184"/>
      <c r="C1547" s="151"/>
      <c r="D1547" s="159"/>
      <c r="E1547" s="159" t="s">
        <v>1174</v>
      </c>
      <c r="F1547" s="159"/>
      <c r="G1547" s="159"/>
      <c r="H1547" s="208"/>
      <c r="I1547" s="199">
        <f>SUM(I1544:I1546)</f>
        <v>4616.5</v>
      </c>
      <c r="J1547" s="78"/>
    </row>
    <row r="1548" spans="2:10">
      <c r="B1548" s="60" t="s">
        <v>5948</v>
      </c>
      <c r="D1548" s="31"/>
      <c r="E1548" s="31"/>
      <c r="F1548" s="31"/>
      <c r="G1548" s="85">
        <f>ROUND(I1547/H1527,1)</f>
        <v>4616.5</v>
      </c>
      <c r="H1548" s="200"/>
      <c r="I1548" s="85"/>
      <c r="J1548" s="78"/>
    </row>
    <row r="1549" spans="2:10">
      <c r="B1549" s="60" t="s">
        <v>3163</v>
      </c>
      <c r="D1549" s="31"/>
      <c r="E1549" s="31"/>
      <c r="F1549" s="922">
        <f>'BASIC DATA'!$C$577</f>
        <v>0.13614999999999999</v>
      </c>
      <c r="G1549" s="85">
        <f>ROUND(G1548*F1549,1)</f>
        <v>628.5</v>
      </c>
      <c r="H1549" s="200"/>
      <c r="I1549" s="85"/>
      <c r="J1549" s="78"/>
    </row>
    <row r="1550" spans="2:10">
      <c r="B1550" s="60" t="s">
        <v>5949</v>
      </c>
      <c r="D1550" s="31"/>
      <c r="E1550" s="31"/>
      <c r="F1550" s="31"/>
      <c r="G1550" s="199">
        <f>ROUND(G1549+G1548,1)</f>
        <v>5245</v>
      </c>
      <c r="H1550" s="200"/>
      <c r="I1550" s="85"/>
      <c r="J1550" s="78"/>
    </row>
    <row r="1551" spans="2:10">
      <c r="B1551" s="31"/>
      <c r="C1551" s="76"/>
      <c r="D1551" s="31"/>
      <c r="E1551" s="31"/>
      <c r="F1551" s="31"/>
      <c r="G1551" s="31"/>
      <c r="H1551" s="200"/>
      <c r="I1551" s="85"/>
      <c r="J1551" s="78"/>
    </row>
    <row r="1552" spans="2:10">
      <c r="B1552" s="162" t="s">
        <v>1175</v>
      </c>
      <c r="D1552" s="47"/>
      <c r="E1552" s="47"/>
      <c r="J1552" s="78"/>
    </row>
    <row r="1553" spans="1:10">
      <c r="B1553" s="47" t="s">
        <v>1176</v>
      </c>
      <c r="D1553" s="47"/>
      <c r="E1553" s="47"/>
      <c r="H1553" s="217">
        <f>I1532</f>
        <v>35760</v>
      </c>
      <c r="I1553" s="68"/>
      <c r="J1553" s="78"/>
    </row>
    <row r="1554" spans="1:10">
      <c r="B1554" s="47" t="s">
        <v>1186</v>
      </c>
      <c r="D1554" s="47"/>
      <c r="E1554" s="47"/>
      <c r="H1554" s="217">
        <f>I1539</f>
        <v>832</v>
      </c>
      <c r="I1554" s="68"/>
      <c r="J1554" s="78"/>
    </row>
    <row r="1555" spans="1:10">
      <c r="B1555" s="47" t="s">
        <v>2660</v>
      </c>
      <c r="D1555" s="47"/>
      <c r="E1555" s="47"/>
      <c r="H1555" s="217">
        <f>I1547</f>
        <v>4616.5</v>
      </c>
      <c r="I1555" s="75"/>
      <c r="J1555" s="78"/>
    </row>
    <row r="1556" spans="1:10">
      <c r="B1556" s="47" t="s">
        <v>1518</v>
      </c>
      <c r="D1556" s="47"/>
      <c r="E1556" s="47"/>
      <c r="H1556" s="217">
        <f>SUM(H1553:H1555)</f>
        <v>41208.5</v>
      </c>
      <c r="I1556" s="75"/>
      <c r="J1556" s="78"/>
    </row>
    <row r="1557" spans="1:10">
      <c r="B1557" s="76" t="s">
        <v>7062</v>
      </c>
      <c r="C1557" s="76"/>
      <c r="D1557" s="76"/>
      <c r="E1557" s="76"/>
      <c r="F1557" s="31"/>
      <c r="G1557" s="922">
        <f>'BASIC DATA'!$C$577</f>
        <v>0.13614999999999999</v>
      </c>
      <c r="H1557" s="26">
        <f>ROUND(H1556*G1557,2)</f>
        <v>5610.54</v>
      </c>
      <c r="I1557" s="171"/>
      <c r="J1557" s="78"/>
    </row>
    <row r="1558" spans="1:10" ht="38.25" customHeight="1">
      <c r="B1558" s="1207" t="s">
        <v>9611</v>
      </c>
      <c r="C1558" s="1207"/>
      <c r="D1558" s="1207"/>
      <c r="E1558" s="1207"/>
      <c r="F1558" s="68">
        <f>leadcharges!$F$65+leadcharges!$G$78+leadcharges!$G$79</f>
        <v>168.6</v>
      </c>
      <c r="G1558" s="27" t="s">
        <v>9588</v>
      </c>
      <c r="H1558" s="76">
        <f>F1558*G1530</f>
        <v>172.81499999999997</v>
      </c>
      <c r="I1558" s="171"/>
      <c r="J1558" s="78"/>
    </row>
    <row r="1559" spans="1:10">
      <c r="B1559" s="1206" t="s">
        <v>1191</v>
      </c>
      <c r="C1559" s="1206"/>
      <c r="D1559" s="1206"/>
      <c r="E1559" s="1206"/>
      <c r="F1559" s="202">
        <f>H1527</f>
        <v>1</v>
      </c>
      <c r="G1559" s="171" t="str">
        <f>I1527</f>
        <v>tonne</v>
      </c>
      <c r="H1559" s="199">
        <f>H1556+H1557+H1558</f>
        <v>46991.855000000003</v>
      </c>
      <c r="I1559" s="171"/>
      <c r="J1559" s="78"/>
    </row>
    <row r="1560" spans="1:10">
      <c r="E1560" s="1160" t="s">
        <v>7063</v>
      </c>
      <c r="F1560" s="1160"/>
      <c r="G1560" s="1160"/>
      <c r="H1560" s="68">
        <f>H1559/F1559</f>
        <v>46991.855000000003</v>
      </c>
      <c r="I1560" s="171"/>
      <c r="J1560" s="78"/>
    </row>
    <row r="1561" spans="1:10">
      <c r="G1561" s="171"/>
      <c r="H1561" s="217"/>
      <c r="J1561" s="78"/>
    </row>
    <row r="1562" spans="1:10">
      <c r="G1562" s="171"/>
      <c r="H1562" s="117"/>
      <c r="J1562" s="78"/>
    </row>
    <row r="1563" spans="1:10" ht="18.75">
      <c r="A1563" s="822" t="s">
        <v>7072</v>
      </c>
      <c r="B1563" s="61" t="s">
        <v>8413</v>
      </c>
      <c r="C1563" s="125"/>
      <c r="D1563" s="61"/>
      <c r="E1563" s="61"/>
      <c r="F1563" s="61"/>
      <c r="G1563" s="61"/>
      <c r="H1563" s="61"/>
      <c r="I1563" s="61"/>
      <c r="J1563" s="78"/>
    </row>
    <row r="1564" spans="1:10" ht="18.75">
      <c r="A1564" s="853"/>
      <c r="B1564" s="61" t="s">
        <v>8414</v>
      </c>
      <c r="C1564" s="125"/>
      <c r="D1564" s="61"/>
      <c r="E1564" s="61"/>
      <c r="F1564" s="61"/>
      <c r="G1564" s="61"/>
      <c r="H1564" s="61"/>
      <c r="I1564" s="61"/>
      <c r="J1564" s="78"/>
    </row>
    <row r="1565" spans="1:10">
      <c r="A1565" s="853"/>
      <c r="B1565" s="61" t="s">
        <v>8415</v>
      </c>
      <c r="C1565" s="125"/>
      <c r="D1565" s="61"/>
      <c r="E1565" s="61"/>
      <c r="F1565" s="61"/>
      <c r="G1565" s="61"/>
      <c r="H1565" s="61"/>
      <c r="I1565" s="61"/>
      <c r="J1565" s="78"/>
    </row>
    <row r="1566" spans="1:10">
      <c r="A1566" s="853"/>
      <c r="B1566" s="61" t="s">
        <v>426</v>
      </c>
      <c r="C1566" s="125"/>
      <c r="D1566" s="61"/>
      <c r="E1566" s="61"/>
      <c r="F1566" s="61"/>
      <c r="G1566" s="61"/>
      <c r="H1566" s="61"/>
      <c r="I1566" s="61"/>
      <c r="J1566" s="78"/>
    </row>
    <row r="1567" spans="1:10">
      <c r="A1567" s="853"/>
      <c r="B1567" s="61" t="s">
        <v>427</v>
      </c>
      <c r="C1567" s="125"/>
      <c r="D1567" s="61"/>
      <c r="E1567" s="61"/>
      <c r="F1567" s="61"/>
      <c r="G1567" s="61"/>
      <c r="H1567" s="61"/>
      <c r="I1567" s="61"/>
      <c r="J1567" s="78"/>
    </row>
    <row r="1568" spans="1:10" ht="18.75">
      <c r="A1568" s="853"/>
      <c r="B1568" s="61" t="s">
        <v>8416</v>
      </c>
      <c r="C1568" s="125"/>
      <c r="D1568" s="61"/>
      <c r="E1568" s="61"/>
      <c r="F1568" s="61"/>
      <c r="G1568" s="61"/>
      <c r="H1568" s="61"/>
      <c r="I1568" s="61"/>
      <c r="J1568" s="78"/>
    </row>
    <row r="1569" spans="1:10">
      <c r="A1569" s="853"/>
      <c r="B1569" s="248" t="s">
        <v>7846</v>
      </c>
      <c r="C1569" s="125"/>
      <c r="D1569" s="61"/>
      <c r="E1569" s="61"/>
      <c r="F1569" s="61"/>
      <c r="G1569" s="61"/>
      <c r="H1569" s="61"/>
      <c r="I1569" s="61"/>
      <c r="J1569" s="78"/>
    </row>
    <row r="1570" spans="1:10">
      <c r="A1570" s="853"/>
      <c r="B1570" s="248" t="s">
        <v>7847</v>
      </c>
      <c r="C1570" s="125"/>
      <c r="D1570" s="61"/>
      <c r="E1570" s="61"/>
      <c r="F1570" s="61"/>
      <c r="G1570" s="61"/>
      <c r="H1570" s="61"/>
      <c r="I1570" s="61"/>
      <c r="J1570" s="78"/>
    </row>
    <row r="1571" spans="1:10">
      <c r="B1571" s="170" t="s">
        <v>7848</v>
      </c>
      <c r="J1571" s="78"/>
    </row>
    <row r="1572" spans="1:10" hidden="1">
      <c r="G1572" s="26" t="s">
        <v>6164</v>
      </c>
      <c r="J1572" s="78"/>
    </row>
    <row r="1573" spans="1:10" hidden="1">
      <c r="B1573" s="26" t="s">
        <v>6163</v>
      </c>
      <c r="J1573" s="78"/>
    </row>
    <row r="1574" spans="1:10" hidden="1">
      <c r="B1574" s="26" t="s">
        <v>5841</v>
      </c>
      <c r="J1574" s="78"/>
    </row>
    <row r="1575" spans="1:10" hidden="1">
      <c r="B1575" s="26" t="s">
        <v>6165</v>
      </c>
      <c r="F1575" s="26" t="s">
        <v>6166</v>
      </c>
      <c r="H1575" s="26">
        <v>1.08</v>
      </c>
      <c r="I1575" s="26" t="s">
        <v>3479</v>
      </c>
      <c r="J1575" s="78"/>
    </row>
    <row r="1576" spans="1:10" hidden="1">
      <c r="B1576" s="26" t="s">
        <v>6167</v>
      </c>
      <c r="G1576" s="171" t="s">
        <v>1697</v>
      </c>
      <c r="H1576" s="68">
        <v>2.2999999999999998</v>
      </c>
      <c r="I1576" s="26" t="s">
        <v>2602</v>
      </c>
      <c r="J1576" s="78"/>
    </row>
    <row r="1577" spans="1:10" hidden="1">
      <c r="B1577" s="26" t="s">
        <v>6168</v>
      </c>
      <c r="G1577" s="171" t="s">
        <v>1697</v>
      </c>
      <c r="H1577" s="26">
        <v>33.909999999999997</v>
      </c>
      <c r="I1577" s="26" t="s">
        <v>3478</v>
      </c>
      <c r="J1577" s="78"/>
    </row>
    <row r="1578" spans="1:10" hidden="1">
      <c r="B1578" s="26" t="s">
        <v>6169</v>
      </c>
      <c r="G1578" s="171" t="s">
        <v>1697</v>
      </c>
      <c r="H1578" s="26">
        <v>25.08</v>
      </c>
      <c r="I1578" s="26" t="s">
        <v>3478</v>
      </c>
      <c r="J1578" s="78"/>
    </row>
    <row r="1579" spans="1:10" hidden="1">
      <c r="B1579" s="26" t="s">
        <v>6170</v>
      </c>
      <c r="G1579" s="171" t="s">
        <v>1697</v>
      </c>
      <c r="H1579" s="26">
        <v>4.2300000000000004</v>
      </c>
      <c r="I1579" s="26" t="s">
        <v>3478</v>
      </c>
      <c r="J1579" s="78"/>
    </row>
    <row r="1580" spans="1:10" hidden="1">
      <c r="B1580" s="26" t="s">
        <v>2065</v>
      </c>
      <c r="G1580" s="171" t="s">
        <v>1697</v>
      </c>
      <c r="H1580" s="26">
        <v>18.170000000000002</v>
      </c>
      <c r="I1580" s="26" t="s">
        <v>3478</v>
      </c>
      <c r="J1580" s="78"/>
    </row>
    <row r="1581" spans="1:10" hidden="1">
      <c r="B1581" s="26" t="s">
        <v>5710</v>
      </c>
      <c r="G1581" s="171" t="s">
        <v>1697</v>
      </c>
      <c r="H1581" s="174">
        <v>1.41</v>
      </c>
      <c r="I1581" s="26" t="s">
        <v>3478</v>
      </c>
      <c r="J1581" s="78"/>
    </row>
    <row r="1582" spans="1:10" hidden="1">
      <c r="G1582" s="26" t="s">
        <v>5711</v>
      </c>
      <c r="H1582" s="68">
        <f>SUM(H1577:H1581)</f>
        <v>82.8</v>
      </c>
      <c r="I1582" s="26" t="s">
        <v>3033</v>
      </c>
      <c r="J1582" s="78"/>
    </row>
    <row r="1583" spans="1:10" hidden="1">
      <c r="B1583" s="26" t="s">
        <v>5712</v>
      </c>
      <c r="E1583" s="26" t="s">
        <v>2289</v>
      </c>
      <c r="F1583" s="68">
        <f>'BASIC DATA'!$D$98/1000</f>
        <v>37.4</v>
      </c>
      <c r="G1583" s="26" t="s">
        <v>1608</v>
      </c>
      <c r="H1583" s="171" t="s">
        <v>1698</v>
      </c>
      <c r="I1583" s="117">
        <f>33.91*F1583</f>
        <v>1268.2339999999999</v>
      </c>
      <c r="J1583" s="78"/>
    </row>
    <row r="1584" spans="1:10" hidden="1">
      <c r="B1584" s="26" t="s">
        <v>5713</v>
      </c>
      <c r="E1584" s="26" t="s">
        <v>2289</v>
      </c>
      <c r="F1584" s="68">
        <f>'BASIC DATA'!$D$97/1000</f>
        <v>37.5</v>
      </c>
      <c r="G1584" s="26" t="s">
        <v>1608</v>
      </c>
      <c r="H1584" s="171" t="s">
        <v>1698</v>
      </c>
      <c r="I1584" s="117">
        <f>25.08*F1584</f>
        <v>940.49999999999989</v>
      </c>
      <c r="J1584" s="78"/>
    </row>
    <row r="1585" spans="2:10" hidden="1">
      <c r="B1585" s="26" t="s">
        <v>5714</v>
      </c>
      <c r="E1585" s="26" t="s">
        <v>2289</v>
      </c>
      <c r="F1585" s="68">
        <f>'BASIC DATA'!$D$98/1000</f>
        <v>37.4</v>
      </c>
      <c r="G1585" s="26" t="s">
        <v>1608</v>
      </c>
      <c r="H1585" s="171" t="s">
        <v>1698</v>
      </c>
      <c r="I1585" s="117">
        <f>4.23*F1585</f>
        <v>158.202</v>
      </c>
      <c r="J1585" s="78"/>
    </row>
    <row r="1586" spans="2:10" hidden="1">
      <c r="B1586" s="26" t="s">
        <v>5715</v>
      </c>
      <c r="E1586" s="26" t="s">
        <v>2289</v>
      </c>
      <c r="F1586" s="68">
        <f>'BASIC DATA'!$D$97/1000</f>
        <v>37.5</v>
      </c>
      <c r="G1586" s="26" t="s">
        <v>1608</v>
      </c>
      <c r="H1586" s="171" t="s">
        <v>1698</v>
      </c>
      <c r="I1586" s="117">
        <f>18.17*F1586</f>
        <v>681.37500000000011</v>
      </c>
      <c r="J1586" s="78"/>
    </row>
    <row r="1587" spans="2:10" hidden="1">
      <c r="B1587" s="26" t="s">
        <v>5716</v>
      </c>
      <c r="E1587" s="26" t="s">
        <v>2289</v>
      </c>
      <c r="F1587" s="68">
        <f>'BASIC DATA'!$D$98/1000</f>
        <v>37.4</v>
      </c>
      <c r="G1587" s="26" t="s">
        <v>1608</v>
      </c>
      <c r="H1587" s="171" t="s">
        <v>1698</v>
      </c>
      <c r="I1587" s="120">
        <f>1.41*F1587</f>
        <v>52.733999999999995</v>
      </c>
      <c r="J1587" s="78"/>
    </row>
    <row r="1588" spans="2:10" hidden="1">
      <c r="G1588" s="26" t="s">
        <v>1518</v>
      </c>
      <c r="H1588" s="171" t="s">
        <v>1698</v>
      </c>
      <c r="I1588" s="117">
        <f>SUM(I1583:I1587)</f>
        <v>3101.0449999999996</v>
      </c>
      <c r="J1588" s="78"/>
    </row>
    <row r="1589" spans="2:10" hidden="1">
      <c r="B1589" s="26" t="s">
        <v>5156</v>
      </c>
      <c r="F1589" s="249">
        <v>2.5000000000000001E-2</v>
      </c>
      <c r="H1589" s="171" t="s">
        <v>1698</v>
      </c>
      <c r="I1589" s="117">
        <f>I1588*F1589</f>
        <v>77.526124999999993</v>
      </c>
      <c r="J1589" s="78"/>
    </row>
    <row r="1590" spans="2:10" hidden="1">
      <c r="B1590" s="26" t="s">
        <v>5717</v>
      </c>
      <c r="F1590" s="68">
        <f>'BASIC DATA'!$D$84</f>
        <v>80</v>
      </c>
      <c r="G1590" s="26" t="s">
        <v>1608</v>
      </c>
      <c r="H1590" s="171" t="s">
        <v>1698</v>
      </c>
      <c r="I1590" s="117">
        <f>0.5*F1590</f>
        <v>40</v>
      </c>
      <c r="J1590" s="78"/>
    </row>
    <row r="1591" spans="2:10" hidden="1">
      <c r="B1591" s="26" t="s">
        <v>5718</v>
      </c>
      <c r="E1591" s="26" t="s">
        <v>2289</v>
      </c>
      <c r="F1591" s="68">
        <f>'BASIC DATA'!$D$358</f>
        <v>24</v>
      </c>
      <c r="G1591" s="26" t="s">
        <v>1608</v>
      </c>
      <c r="H1591" s="171" t="s">
        <v>1698</v>
      </c>
      <c r="I1591" s="120">
        <f>H1582*F1591</f>
        <v>1987.1999999999998</v>
      </c>
      <c r="J1591" s="78"/>
    </row>
    <row r="1592" spans="2:10" hidden="1">
      <c r="G1592" s="26" t="s">
        <v>1518</v>
      </c>
      <c r="H1592" s="171" t="s">
        <v>1698</v>
      </c>
      <c r="I1592" s="117">
        <f>SUM(I1588:I1591)</f>
        <v>5205.7711249999993</v>
      </c>
      <c r="J1592" s="78"/>
    </row>
    <row r="1593" spans="2:10" hidden="1">
      <c r="B1593" s="26" t="s">
        <v>5719</v>
      </c>
      <c r="F1593" s="250">
        <v>0.15</v>
      </c>
      <c r="G1593" s="26" t="s">
        <v>2497</v>
      </c>
      <c r="H1593" s="171" t="s">
        <v>1698</v>
      </c>
      <c r="I1593" s="120">
        <f>I1592*F1593</f>
        <v>780.86566874999983</v>
      </c>
      <c r="J1593" s="78"/>
    </row>
    <row r="1594" spans="2:10" hidden="1">
      <c r="G1594" s="171" t="s">
        <v>1518</v>
      </c>
      <c r="H1594" s="171" t="s">
        <v>1698</v>
      </c>
      <c r="I1594" s="117">
        <f>I1592-I1593</f>
        <v>4424.9054562499996</v>
      </c>
      <c r="J1594" s="78"/>
    </row>
    <row r="1595" spans="2:10" hidden="1">
      <c r="B1595" s="26" t="s">
        <v>1527</v>
      </c>
      <c r="H1595" s="171"/>
      <c r="J1595" s="78"/>
    </row>
    <row r="1596" spans="2:10" hidden="1">
      <c r="B1596" s="26" t="s">
        <v>5157</v>
      </c>
      <c r="F1596" s="26">
        <v>40</v>
      </c>
      <c r="G1596" s="26" t="s">
        <v>4614</v>
      </c>
      <c r="H1596" s="171" t="s">
        <v>1698</v>
      </c>
      <c r="I1596" s="117">
        <f>I1594/F1596</f>
        <v>110.62263640625</v>
      </c>
      <c r="J1596" s="78"/>
    </row>
    <row r="1597" spans="2:10" hidden="1">
      <c r="B1597" s="26" t="s">
        <v>3375</v>
      </c>
      <c r="G1597" s="201">
        <f>'BASIC DATA'!$C$587</f>
        <v>0.15</v>
      </c>
      <c r="H1597" s="171" t="s">
        <v>1698</v>
      </c>
      <c r="I1597" s="117">
        <f>I1596*G1597</f>
        <v>16.593395460937497</v>
      </c>
      <c r="J1597" s="78"/>
    </row>
    <row r="1598" spans="2:10" hidden="1">
      <c r="B1598" s="26" t="s">
        <v>3374</v>
      </c>
      <c r="G1598" s="201">
        <f>'BASIC DATA'!$C$588</f>
        <v>0.05</v>
      </c>
      <c r="H1598" s="171" t="s">
        <v>1698</v>
      </c>
      <c r="I1598" s="117">
        <f>I1596*G1598</f>
        <v>5.5311318203124999</v>
      </c>
      <c r="J1598" s="78"/>
    </row>
    <row r="1599" spans="2:10" hidden="1">
      <c r="B1599" s="26" t="s">
        <v>3057</v>
      </c>
      <c r="F1599" s="68">
        <f>'BASIC DATA'!$D$75</f>
        <v>37</v>
      </c>
      <c r="G1599" s="26" t="s">
        <v>3376</v>
      </c>
      <c r="H1599" s="171" t="s">
        <v>1698</v>
      </c>
      <c r="I1599" s="117">
        <f>2*F1599</f>
        <v>74</v>
      </c>
      <c r="J1599" s="78"/>
    </row>
    <row r="1600" spans="2:10" hidden="1">
      <c r="B1600" s="26" t="s">
        <v>3377</v>
      </c>
      <c r="F1600" s="68">
        <f>'BASIC DATA'!$D$357</f>
        <v>50</v>
      </c>
      <c r="G1600" s="26" t="s">
        <v>1551</v>
      </c>
      <c r="H1600" s="171" t="s">
        <v>1698</v>
      </c>
      <c r="I1600" s="120">
        <f>0.2*F1600</f>
        <v>10</v>
      </c>
      <c r="J1600" s="78"/>
    </row>
    <row r="1601" spans="2:10" hidden="1">
      <c r="G1601" s="26" t="s">
        <v>1518</v>
      </c>
      <c r="H1601" s="171" t="s">
        <v>1698</v>
      </c>
      <c r="I1601" s="117">
        <f>SUM(I1596:I1600)</f>
        <v>216.74716368750001</v>
      </c>
      <c r="J1601" s="78"/>
    </row>
    <row r="1602" spans="2:10" hidden="1">
      <c r="B1602" s="26" t="s">
        <v>3996</v>
      </c>
      <c r="G1602" s="171" t="s">
        <v>1698</v>
      </c>
      <c r="H1602" s="68">
        <v>1</v>
      </c>
      <c r="I1602" s="26" t="s">
        <v>3479</v>
      </c>
      <c r="J1602" s="78"/>
    </row>
    <row r="1603" spans="2:10" hidden="1">
      <c r="B1603" s="26" t="s">
        <v>308</v>
      </c>
      <c r="G1603" s="171" t="s">
        <v>1698</v>
      </c>
      <c r="J1603" s="78"/>
    </row>
    <row r="1604" spans="2:10" hidden="1">
      <c r="B1604" s="26" t="s">
        <v>309</v>
      </c>
      <c r="G1604" s="171" t="s">
        <v>1698</v>
      </c>
      <c r="H1604" s="68">
        <f>ROUND(I1601/H1602,2)</f>
        <v>216.75</v>
      </c>
      <c r="J1604" s="78"/>
    </row>
    <row r="1605" spans="2:10" hidden="1">
      <c r="B1605" s="26" t="s">
        <v>3670</v>
      </c>
      <c r="G1605" s="171" t="s">
        <v>1698</v>
      </c>
      <c r="J1605" s="78"/>
    </row>
    <row r="1606" spans="2:10" hidden="1">
      <c r="J1606" s="78"/>
    </row>
    <row r="1607" spans="2:10" hidden="1">
      <c r="G1607" s="26" t="s">
        <v>311</v>
      </c>
      <c r="J1607" s="78"/>
    </row>
    <row r="1608" spans="2:10" hidden="1">
      <c r="B1608" s="26" t="s">
        <v>310</v>
      </c>
      <c r="J1608" s="78"/>
    </row>
    <row r="1609" spans="2:10" hidden="1">
      <c r="B1609" s="26" t="s">
        <v>312</v>
      </c>
      <c r="J1609" s="78"/>
    </row>
    <row r="1610" spans="2:10" hidden="1">
      <c r="B1610" s="26" t="s">
        <v>229</v>
      </c>
      <c r="J1610" s="78"/>
    </row>
    <row r="1611" spans="2:10" hidden="1">
      <c r="B1611" s="26" t="s">
        <v>4028</v>
      </c>
      <c r="G1611" s="171" t="s">
        <v>1697</v>
      </c>
      <c r="H1611" s="68">
        <v>100</v>
      </c>
      <c r="I1611" s="26" t="s">
        <v>3479</v>
      </c>
      <c r="J1611" s="78"/>
    </row>
    <row r="1612" spans="2:10" hidden="1">
      <c r="B1612" s="26" t="s">
        <v>6667</v>
      </c>
      <c r="G1612" s="171" t="s">
        <v>1697</v>
      </c>
      <c r="J1612" s="78"/>
    </row>
    <row r="1613" spans="2:10" hidden="1">
      <c r="B1613" s="26" t="s">
        <v>4669</v>
      </c>
      <c r="E1613" s="26" t="s">
        <v>2289</v>
      </c>
      <c r="F1613" s="68">
        <f>'BASIC DATA'!$C$515</f>
        <v>400</v>
      </c>
      <c r="G1613" s="171" t="s">
        <v>1698</v>
      </c>
      <c r="H1613" s="68">
        <f>4*F1613</f>
        <v>1600</v>
      </c>
      <c r="J1613" s="78"/>
    </row>
    <row r="1614" spans="2:10" hidden="1">
      <c r="B1614" s="26" t="s">
        <v>4670</v>
      </c>
      <c r="E1614" s="26" t="s">
        <v>2289</v>
      </c>
      <c r="F1614" s="68">
        <f>'BASIC DATA'!$C$510</f>
        <v>400</v>
      </c>
      <c r="G1614" s="171" t="s">
        <v>1698</v>
      </c>
      <c r="H1614" s="68">
        <f>2*F1614</f>
        <v>800</v>
      </c>
      <c r="J1614" s="78"/>
    </row>
    <row r="1615" spans="2:10" hidden="1">
      <c r="B1615" s="26" t="s">
        <v>3327</v>
      </c>
      <c r="E1615" s="26" t="s">
        <v>2289</v>
      </c>
      <c r="F1615" s="68">
        <f>'BASIC DATA'!$C$552</f>
        <v>350</v>
      </c>
      <c r="G1615" s="171" t="s">
        <v>1698</v>
      </c>
      <c r="H1615" s="68">
        <f>10*F1615</f>
        <v>3500</v>
      </c>
      <c r="J1615" s="78"/>
    </row>
    <row r="1616" spans="2:10" hidden="1">
      <c r="B1616" s="26" t="s">
        <v>4756</v>
      </c>
      <c r="G1616" s="171" t="s">
        <v>1697</v>
      </c>
      <c r="J1616" s="78"/>
    </row>
    <row r="1617" spans="1:10" hidden="1">
      <c r="B1617" s="26" t="s">
        <v>4671</v>
      </c>
      <c r="E1617" s="26" t="s">
        <v>2289</v>
      </c>
      <c r="F1617" s="68">
        <f>'BASIC DATA'!$C$515</f>
        <v>400</v>
      </c>
      <c r="G1617" s="171" t="s">
        <v>1698</v>
      </c>
      <c r="H1617" s="68">
        <f>2*F1617</f>
        <v>800</v>
      </c>
      <c r="J1617" s="78"/>
    </row>
    <row r="1618" spans="1:10" hidden="1">
      <c r="B1618" s="26" t="s">
        <v>4672</v>
      </c>
      <c r="E1618" s="26" t="s">
        <v>2289</v>
      </c>
      <c r="F1618" s="68">
        <f>'BASIC DATA'!$C$510</f>
        <v>400</v>
      </c>
      <c r="G1618" s="171" t="s">
        <v>1698</v>
      </c>
      <c r="H1618" s="68">
        <f>1*F1618</f>
        <v>400</v>
      </c>
      <c r="J1618" s="78"/>
    </row>
    <row r="1619" spans="1:10" hidden="1">
      <c r="B1619" s="26" t="s">
        <v>3328</v>
      </c>
      <c r="E1619" s="26" t="s">
        <v>2289</v>
      </c>
      <c r="F1619" s="68">
        <f>'BASIC DATA'!$C$552</f>
        <v>350</v>
      </c>
      <c r="G1619" s="171" t="s">
        <v>1698</v>
      </c>
      <c r="H1619" s="173">
        <f>5*F1619</f>
        <v>1750</v>
      </c>
      <c r="J1619" s="78"/>
    </row>
    <row r="1620" spans="1:10" hidden="1">
      <c r="F1620" s="26" t="s">
        <v>1518</v>
      </c>
      <c r="G1620" s="171" t="s">
        <v>1698</v>
      </c>
      <c r="H1620" s="68">
        <f>SUM(H1613:H1619)</f>
        <v>8850</v>
      </c>
      <c r="J1620" s="78"/>
    </row>
    <row r="1621" spans="1:10" hidden="1">
      <c r="B1621" s="26" t="s">
        <v>6668</v>
      </c>
      <c r="G1621" s="171" t="s">
        <v>1698</v>
      </c>
      <c r="H1621" s="68">
        <f>H1620/H1611</f>
        <v>88.5</v>
      </c>
      <c r="J1621" s="78"/>
    </row>
    <row r="1622" spans="1:10" hidden="1">
      <c r="B1622" s="26" t="s">
        <v>2841</v>
      </c>
      <c r="J1622" s="78"/>
    </row>
    <row r="1623" spans="1:10" hidden="1">
      <c r="J1623" s="78"/>
    </row>
    <row r="1624" spans="1:10" hidden="1">
      <c r="A1624" s="822" t="s">
        <v>3984</v>
      </c>
      <c r="B1624" s="26" t="s">
        <v>1082</v>
      </c>
      <c r="J1624" s="78"/>
    </row>
    <row r="1625" spans="1:10" hidden="1">
      <c r="B1625" s="26" t="s">
        <v>1219</v>
      </c>
      <c r="H1625" s="26">
        <v>0.98</v>
      </c>
      <c r="I1625" s="26" t="s">
        <v>3477</v>
      </c>
      <c r="J1625" s="78"/>
    </row>
    <row r="1626" spans="1:10" hidden="1">
      <c r="B1626" s="26" t="s">
        <v>3414</v>
      </c>
      <c r="H1626" s="68">
        <v>0.35</v>
      </c>
      <c r="I1626" s="26" t="s">
        <v>6714</v>
      </c>
      <c r="J1626" s="78"/>
    </row>
    <row r="1627" spans="1:10" hidden="1">
      <c r="B1627" s="26" t="s">
        <v>1220</v>
      </c>
      <c r="G1627" s="171" t="s">
        <v>1697</v>
      </c>
      <c r="H1627" s="26" t="s">
        <v>3152</v>
      </c>
      <c r="J1627" s="78"/>
    </row>
    <row r="1628" spans="1:10" hidden="1">
      <c r="B1628" s="26" t="s">
        <v>6669</v>
      </c>
      <c r="G1628" s="171" t="s">
        <v>1697</v>
      </c>
      <c r="H1628" s="68">
        <v>250</v>
      </c>
      <c r="I1628" s="26" t="s">
        <v>6670</v>
      </c>
      <c r="J1628" s="78"/>
    </row>
    <row r="1629" spans="1:10" hidden="1">
      <c r="A1629" s="853"/>
      <c r="B1629" s="61" t="s">
        <v>818</v>
      </c>
      <c r="C1629" s="125"/>
      <c r="D1629" s="61"/>
      <c r="E1629" s="61"/>
      <c r="F1629" s="61"/>
      <c r="G1629" s="222" t="s">
        <v>1697</v>
      </c>
      <c r="H1629" s="251">
        <f>0.4%*H1628</f>
        <v>1</v>
      </c>
      <c r="I1629" s="61" t="s">
        <v>3478</v>
      </c>
      <c r="J1629" s="78"/>
    </row>
    <row r="1630" spans="1:10" hidden="1">
      <c r="B1630" s="26" t="s">
        <v>407</v>
      </c>
      <c r="J1630" s="78"/>
    </row>
    <row r="1631" spans="1:10" hidden="1">
      <c r="B1631" s="26" t="s">
        <v>4185</v>
      </c>
      <c r="H1631" s="68">
        <v>30</v>
      </c>
      <c r="I1631" s="26" t="s">
        <v>3477</v>
      </c>
      <c r="J1631" s="78"/>
    </row>
    <row r="1632" spans="1:10" hidden="1">
      <c r="B1632" s="26" t="s">
        <v>3000</v>
      </c>
      <c r="I1632" s="171"/>
      <c r="J1632" s="78"/>
    </row>
    <row r="1633" spans="2:10" hidden="1">
      <c r="B1633" s="26" t="s">
        <v>3001</v>
      </c>
      <c r="H1633" s="68">
        <v>51.4</v>
      </c>
      <c r="I1633" s="26" t="s">
        <v>3477</v>
      </c>
      <c r="J1633" s="78"/>
    </row>
    <row r="1634" spans="2:10" hidden="1">
      <c r="B1634" s="26" t="s">
        <v>801</v>
      </c>
      <c r="I1634" s="171"/>
      <c r="J1634" s="78"/>
    </row>
    <row r="1635" spans="2:10" hidden="1">
      <c r="B1635" s="26" t="s">
        <v>802</v>
      </c>
      <c r="G1635" s="171" t="s">
        <v>1697</v>
      </c>
      <c r="H1635" s="26" t="s">
        <v>803</v>
      </c>
      <c r="I1635" s="26" t="s">
        <v>3477</v>
      </c>
      <c r="J1635" s="78"/>
    </row>
    <row r="1636" spans="2:10" hidden="1">
      <c r="B1636" s="26" t="s">
        <v>607</v>
      </c>
      <c r="I1636" s="171"/>
      <c r="J1636" s="78"/>
    </row>
    <row r="1637" spans="2:10" hidden="1">
      <c r="B1637" s="26" t="s">
        <v>6984</v>
      </c>
      <c r="G1637" s="171" t="s">
        <v>1697</v>
      </c>
      <c r="H1637" s="68">
        <v>1.5</v>
      </c>
      <c r="I1637" s="26" t="s">
        <v>3477</v>
      </c>
      <c r="J1637" s="78"/>
    </row>
    <row r="1638" spans="2:10" hidden="1">
      <c r="B1638" s="26" t="s">
        <v>6985</v>
      </c>
      <c r="G1638" s="171" t="s">
        <v>1697</v>
      </c>
      <c r="H1638" s="68">
        <v>0.25</v>
      </c>
      <c r="I1638" s="26" t="s">
        <v>6900</v>
      </c>
      <c r="J1638" s="78"/>
    </row>
    <row r="1639" spans="2:10" hidden="1">
      <c r="B1639" s="26" t="s">
        <v>7600</v>
      </c>
      <c r="E1639" s="68">
        <v>2.1</v>
      </c>
      <c r="F1639" s="26" t="s">
        <v>6986</v>
      </c>
      <c r="G1639" s="171" t="s">
        <v>1697</v>
      </c>
      <c r="H1639" s="173">
        <f>E1639*1.5</f>
        <v>3.1500000000000004</v>
      </c>
      <c r="I1639" s="26" t="s">
        <v>6900</v>
      </c>
      <c r="J1639" s="78"/>
    </row>
    <row r="1640" spans="2:10" hidden="1">
      <c r="F1640" s="26" t="s">
        <v>1518</v>
      </c>
      <c r="G1640" s="171" t="s">
        <v>1697</v>
      </c>
      <c r="H1640" s="205">
        <f>SUM(H1638:H1639)</f>
        <v>3.4000000000000004</v>
      </c>
      <c r="I1640" s="26" t="s">
        <v>3480</v>
      </c>
      <c r="J1640" s="78"/>
    </row>
    <row r="1641" spans="2:10" hidden="1">
      <c r="B1641" s="26" t="s">
        <v>6987</v>
      </c>
      <c r="I1641" s="171"/>
      <c r="J1641" s="78"/>
    </row>
    <row r="1642" spans="2:10" hidden="1">
      <c r="B1642" s="26" t="s">
        <v>3814</v>
      </c>
      <c r="G1642" s="171" t="s">
        <v>1697</v>
      </c>
      <c r="H1642" s="68">
        <v>0.5</v>
      </c>
      <c r="I1642" s="26" t="s">
        <v>2603</v>
      </c>
      <c r="J1642" s="78"/>
    </row>
    <row r="1643" spans="2:10" hidden="1">
      <c r="B1643" s="26" t="s">
        <v>3815</v>
      </c>
      <c r="G1643" s="171" t="s">
        <v>1697</v>
      </c>
      <c r="H1643" s="68">
        <v>1</v>
      </c>
      <c r="I1643" s="26" t="s">
        <v>2603</v>
      </c>
      <c r="J1643" s="78"/>
    </row>
    <row r="1644" spans="2:10" hidden="1">
      <c r="B1644" s="26" t="s">
        <v>3816</v>
      </c>
      <c r="G1644" s="171" t="s">
        <v>1697</v>
      </c>
      <c r="H1644" s="68">
        <v>1.5</v>
      </c>
      <c r="I1644" s="26" t="s">
        <v>2603</v>
      </c>
      <c r="J1644" s="78"/>
    </row>
    <row r="1645" spans="2:10" hidden="1">
      <c r="B1645" s="26" t="s">
        <v>3817</v>
      </c>
      <c r="G1645" s="171" t="s">
        <v>1697</v>
      </c>
      <c r="H1645" s="68">
        <v>0.5</v>
      </c>
      <c r="I1645" s="26" t="s">
        <v>2603</v>
      </c>
      <c r="J1645" s="78"/>
    </row>
    <row r="1646" spans="2:10" hidden="1">
      <c r="B1646" s="26" t="s">
        <v>3818</v>
      </c>
      <c r="G1646" s="171" t="s">
        <v>1697</v>
      </c>
      <c r="H1646" s="173">
        <v>0.5</v>
      </c>
      <c r="I1646" s="26" t="s">
        <v>2603</v>
      </c>
      <c r="J1646" s="78"/>
    </row>
    <row r="1647" spans="2:10" hidden="1">
      <c r="F1647" s="26" t="s">
        <v>1518</v>
      </c>
      <c r="G1647" s="171" t="s">
        <v>1697</v>
      </c>
      <c r="H1647" s="252">
        <f>SUM(H1642:H1646)</f>
        <v>4</v>
      </c>
      <c r="I1647" s="26" t="s">
        <v>2603</v>
      </c>
      <c r="J1647" s="78"/>
    </row>
    <row r="1648" spans="2:10" hidden="1">
      <c r="B1648" s="26" t="s">
        <v>3819</v>
      </c>
      <c r="I1648" s="171"/>
      <c r="J1648" s="78"/>
    </row>
    <row r="1649" spans="2:10" hidden="1">
      <c r="B1649" s="26" t="s">
        <v>6104</v>
      </c>
      <c r="G1649" s="171" t="s">
        <v>1697</v>
      </c>
      <c r="H1649" s="68">
        <v>15</v>
      </c>
      <c r="I1649" s="26" t="s">
        <v>3477</v>
      </c>
      <c r="J1649" s="78"/>
    </row>
    <row r="1650" spans="2:10" hidden="1">
      <c r="B1650" s="26" t="s">
        <v>6105</v>
      </c>
      <c r="G1650" s="171"/>
      <c r="J1650" s="78"/>
    </row>
    <row r="1651" spans="2:10" hidden="1">
      <c r="B1651" s="26" t="s">
        <v>5569</v>
      </c>
      <c r="G1651" s="171"/>
      <c r="J1651" s="78"/>
    </row>
    <row r="1652" spans="2:10" hidden="1">
      <c r="B1652" s="26" t="s">
        <v>6144</v>
      </c>
      <c r="G1652" s="171" t="s">
        <v>1697</v>
      </c>
      <c r="H1652" s="68">
        <v>0.5</v>
      </c>
      <c r="I1652" s="26" t="s">
        <v>2603</v>
      </c>
      <c r="J1652" s="78"/>
    </row>
    <row r="1653" spans="2:10" hidden="1">
      <c r="B1653" s="26" t="s">
        <v>6145</v>
      </c>
      <c r="G1653" s="171" t="s">
        <v>1697</v>
      </c>
      <c r="H1653" s="68">
        <v>0.5</v>
      </c>
      <c r="I1653" s="26" t="s">
        <v>2603</v>
      </c>
      <c r="J1653" s="78"/>
    </row>
    <row r="1654" spans="2:10" hidden="1">
      <c r="B1654" s="26" t="s">
        <v>6146</v>
      </c>
      <c r="G1654" s="171" t="s">
        <v>1697</v>
      </c>
      <c r="H1654" s="68">
        <v>2</v>
      </c>
      <c r="I1654" s="26" t="s">
        <v>2603</v>
      </c>
      <c r="J1654" s="78"/>
    </row>
    <row r="1655" spans="2:10" hidden="1">
      <c r="B1655" s="26" t="s">
        <v>3347</v>
      </c>
      <c r="G1655" s="171" t="s">
        <v>1697</v>
      </c>
      <c r="H1655" s="68">
        <v>4</v>
      </c>
      <c r="I1655" s="26" t="s">
        <v>2603</v>
      </c>
      <c r="J1655" s="78"/>
    </row>
    <row r="1656" spans="2:10" hidden="1">
      <c r="B1656" s="26" t="s">
        <v>3348</v>
      </c>
      <c r="G1656" s="171" t="s">
        <v>1697</v>
      </c>
      <c r="H1656" s="173">
        <v>2</v>
      </c>
      <c r="I1656" s="26" t="s">
        <v>2603</v>
      </c>
      <c r="J1656" s="78"/>
    </row>
    <row r="1657" spans="2:10" hidden="1">
      <c r="F1657" s="26" t="s">
        <v>1518</v>
      </c>
      <c r="G1657" s="171" t="s">
        <v>1697</v>
      </c>
      <c r="H1657" s="205">
        <f>SUM(H1652:H1656)</f>
        <v>9</v>
      </c>
      <c r="I1657" s="26" t="s">
        <v>2603</v>
      </c>
      <c r="J1657" s="78"/>
    </row>
    <row r="1658" spans="2:10" hidden="1">
      <c r="B1658" s="26" t="s">
        <v>3349</v>
      </c>
      <c r="H1658" s="26">
        <v>8.33</v>
      </c>
      <c r="I1658" s="26" t="s">
        <v>3477</v>
      </c>
      <c r="J1658" s="78"/>
    </row>
    <row r="1659" spans="2:10" hidden="1">
      <c r="B1659" s="26" t="s">
        <v>3157</v>
      </c>
      <c r="J1659" s="78"/>
    </row>
    <row r="1660" spans="2:10" hidden="1">
      <c r="B1660" s="26" t="s">
        <v>3158</v>
      </c>
      <c r="J1660" s="78"/>
    </row>
    <row r="1661" spans="2:10" hidden="1">
      <c r="B1661" s="26" t="s">
        <v>3159</v>
      </c>
      <c r="J1661" s="78"/>
    </row>
    <row r="1662" spans="2:10" hidden="1">
      <c r="B1662" s="26" t="s">
        <v>3160</v>
      </c>
      <c r="H1662" s="26">
        <v>240</v>
      </c>
      <c r="I1662" s="26" t="s">
        <v>3477</v>
      </c>
      <c r="J1662" s="78"/>
    </row>
    <row r="1663" spans="2:10" hidden="1">
      <c r="B1663" s="26" t="s">
        <v>3161</v>
      </c>
      <c r="J1663" s="78"/>
    </row>
    <row r="1664" spans="2:10" hidden="1">
      <c r="B1664" s="26" t="s">
        <v>5572</v>
      </c>
      <c r="J1664" s="78"/>
    </row>
    <row r="1665" spans="2:10" hidden="1">
      <c r="B1665" s="26" t="s">
        <v>5573</v>
      </c>
      <c r="H1665" s="171" t="s">
        <v>1698</v>
      </c>
      <c r="I1665" s="117">
        <f>I1601</f>
        <v>216.74716368750001</v>
      </c>
      <c r="J1665" s="78"/>
    </row>
    <row r="1666" spans="2:10" hidden="1">
      <c r="B1666" s="26" t="s">
        <v>5574</v>
      </c>
      <c r="H1666" s="171" t="s">
        <v>1698</v>
      </c>
      <c r="I1666" s="117">
        <f>ROUND(1.5*I1665,2)</f>
        <v>325.12</v>
      </c>
      <c r="J1666" s="78"/>
    </row>
    <row r="1667" spans="2:10" hidden="1">
      <c r="B1667" s="26" t="s">
        <v>5575</v>
      </c>
      <c r="I1667" s="171"/>
      <c r="J1667" s="78"/>
    </row>
    <row r="1668" spans="2:10" hidden="1">
      <c r="B1668" s="26" t="s">
        <v>3350</v>
      </c>
      <c r="J1668" s="78"/>
    </row>
    <row r="1669" spans="2:10" hidden="1">
      <c r="B1669" s="26" t="s">
        <v>4189</v>
      </c>
      <c r="H1669" s="68">
        <v>2</v>
      </c>
      <c r="I1669" s="26" t="s">
        <v>2059</v>
      </c>
      <c r="J1669" s="78"/>
    </row>
    <row r="1670" spans="2:10" hidden="1">
      <c r="B1670" s="26" t="s">
        <v>4190</v>
      </c>
      <c r="H1670" s="68">
        <v>4</v>
      </c>
      <c r="I1670" s="26" t="s">
        <v>2059</v>
      </c>
      <c r="J1670" s="78"/>
    </row>
    <row r="1671" spans="2:10" hidden="1">
      <c r="B1671" s="26" t="s">
        <v>6447</v>
      </c>
      <c r="G1671" s="171" t="s">
        <v>1697</v>
      </c>
      <c r="H1671" s="68">
        <v>2</v>
      </c>
      <c r="I1671" s="26" t="s">
        <v>2059</v>
      </c>
      <c r="J1671" s="78"/>
    </row>
    <row r="1672" spans="2:10" hidden="1">
      <c r="B1672" s="26" t="s">
        <v>6448</v>
      </c>
      <c r="G1672" s="171" t="s">
        <v>1697</v>
      </c>
      <c r="H1672" s="68">
        <v>2</v>
      </c>
      <c r="I1672" s="26" t="s">
        <v>2059</v>
      </c>
      <c r="J1672" s="78"/>
    </row>
    <row r="1673" spans="2:10" hidden="1">
      <c r="B1673" s="26" t="s">
        <v>6449</v>
      </c>
      <c r="G1673" s="171" t="s">
        <v>1697</v>
      </c>
      <c r="H1673" s="68">
        <v>2</v>
      </c>
      <c r="I1673" s="26" t="s">
        <v>2059</v>
      </c>
      <c r="J1673" s="78"/>
    </row>
    <row r="1674" spans="2:10" hidden="1">
      <c r="B1674" s="26" t="s">
        <v>6450</v>
      </c>
      <c r="G1674" s="171" t="s">
        <v>1697</v>
      </c>
      <c r="H1674" s="68">
        <v>6</v>
      </c>
      <c r="I1674" s="26" t="s">
        <v>2059</v>
      </c>
      <c r="J1674" s="78"/>
    </row>
    <row r="1675" spans="2:10" hidden="1">
      <c r="B1675" s="26" t="s">
        <v>5170</v>
      </c>
      <c r="G1675" s="171" t="s">
        <v>1697</v>
      </c>
      <c r="H1675" s="68">
        <v>2</v>
      </c>
      <c r="I1675" s="26" t="s">
        <v>2059</v>
      </c>
      <c r="J1675" s="78"/>
    </row>
    <row r="1676" spans="2:10" hidden="1">
      <c r="B1676" s="26" t="s">
        <v>4504</v>
      </c>
      <c r="H1676" s="171" t="s">
        <v>1698</v>
      </c>
      <c r="I1676" s="117">
        <f>H1621</f>
        <v>88.5</v>
      </c>
      <c r="J1676" s="78"/>
    </row>
    <row r="1677" spans="2:10" hidden="1">
      <c r="B1677" s="26" t="s">
        <v>3249</v>
      </c>
      <c r="I1677" s="171"/>
      <c r="J1677" s="78"/>
    </row>
    <row r="1678" spans="2:10" hidden="1">
      <c r="B1678" s="26" t="s">
        <v>4457</v>
      </c>
      <c r="I1678" s="171"/>
      <c r="J1678" s="78"/>
    </row>
    <row r="1679" spans="2:10" hidden="1">
      <c r="B1679" s="26" t="s">
        <v>4458</v>
      </c>
      <c r="I1679" s="171"/>
      <c r="J1679" s="78"/>
    </row>
    <row r="1680" spans="2:10" hidden="1">
      <c r="B1680" s="26" t="s">
        <v>4459</v>
      </c>
      <c r="H1680" s="171" t="s">
        <v>1698</v>
      </c>
      <c r="I1680" s="117">
        <f>ROUND(1.5*I1676,2)</f>
        <v>132.75</v>
      </c>
      <c r="J1680" s="78"/>
    </row>
    <row r="1681" spans="1:10" hidden="1">
      <c r="J1681" s="78"/>
    </row>
    <row r="1682" spans="1:10">
      <c r="J1682" s="78"/>
    </row>
    <row r="1683" spans="1:10">
      <c r="A1683" s="822" t="s">
        <v>3984</v>
      </c>
      <c r="E1683" s="170" t="s">
        <v>2367</v>
      </c>
      <c r="J1683" s="78"/>
    </row>
    <row r="1684" spans="1:10">
      <c r="G1684" s="68"/>
      <c r="H1684" s="171" t="s">
        <v>1188</v>
      </c>
      <c r="J1684" s="78"/>
    </row>
    <row r="1685" spans="1:10">
      <c r="B1685" s="170" t="s">
        <v>2368</v>
      </c>
      <c r="H1685" s="211">
        <f>H1662</f>
        <v>240</v>
      </c>
      <c r="I1685" s="26" t="s">
        <v>6901</v>
      </c>
      <c r="J1685" s="78"/>
    </row>
    <row r="1686" spans="1:10">
      <c r="B1686" s="95" t="s">
        <v>2369</v>
      </c>
      <c r="C1686" s="153"/>
      <c r="D1686" s="157" t="s">
        <v>4443</v>
      </c>
      <c r="E1686" s="97"/>
      <c r="F1686" s="95" t="s">
        <v>2370</v>
      </c>
      <c r="G1686" s="95" t="s">
        <v>1166</v>
      </c>
      <c r="H1686" s="97" t="s">
        <v>6664</v>
      </c>
      <c r="I1686" s="97" t="s">
        <v>6665</v>
      </c>
      <c r="J1686" s="78"/>
    </row>
    <row r="1687" spans="1:10">
      <c r="B1687" s="191"/>
      <c r="C1687" s="139"/>
      <c r="D1687" s="174"/>
      <c r="E1687" s="192"/>
      <c r="F1687" s="191"/>
      <c r="G1687" s="114"/>
      <c r="H1687" s="115" t="s">
        <v>3856</v>
      </c>
      <c r="I1687" s="115" t="s">
        <v>3857</v>
      </c>
      <c r="J1687" s="78"/>
    </row>
    <row r="1688" spans="1:10">
      <c r="B1688" s="95">
        <v>1</v>
      </c>
      <c r="C1688" s="131" t="s">
        <v>1048</v>
      </c>
      <c r="D1688" s="187"/>
      <c r="E1688" s="195"/>
      <c r="F1688" s="107" t="s">
        <v>3478</v>
      </c>
      <c r="G1688" s="179">
        <f>H1628*H1685</f>
        <v>60000</v>
      </c>
      <c r="H1688" s="218">
        <f>'BASIC DATA'!$D$32/1000</f>
        <v>5.35</v>
      </c>
      <c r="I1688" s="155">
        <f>ROUND(H1688*G1688,2)</f>
        <v>321000</v>
      </c>
      <c r="J1688" s="78"/>
    </row>
    <row r="1689" spans="1:10">
      <c r="B1689" s="105"/>
      <c r="C1689" s="135" t="s">
        <v>7212</v>
      </c>
      <c r="D1689" s="31"/>
      <c r="E1689" s="189"/>
      <c r="F1689" s="210" t="s">
        <v>3478</v>
      </c>
      <c r="G1689" s="190">
        <f>H1685*3</f>
        <v>720</v>
      </c>
      <c r="H1689" s="218">
        <f>'BASIC DATA'!$D$32/1000</f>
        <v>5.35</v>
      </c>
      <c r="I1689" s="155">
        <f t="shared" ref="I1689:I1696" si="19">ROUND(H1689*G1689,2)</f>
        <v>3852</v>
      </c>
      <c r="J1689" s="78"/>
    </row>
    <row r="1690" spans="1:10">
      <c r="B1690" s="105">
        <v>2</v>
      </c>
      <c r="C1690" s="135" t="s">
        <v>6997</v>
      </c>
      <c r="D1690" s="31"/>
      <c r="E1690" s="189"/>
      <c r="F1690" s="210" t="s">
        <v>3477</v>
      </c>
      <c r="G1690" s="190">
        <f>H1685*0.98*0.4</f>
        <v>94.08</v>
      </c>
      <c r="H1690" s="220">
        <f>'BASIC DATA'!$D$37</f>
        <v>650</v>
      </c>
      <c r="I1690" s="155">
        <f t="shared" si="19"/>
        <v>61152</v>
      </c>
      <c r="J1690" s="78"/>
    </row>
    <row r="1691" spans="1:10">
      <c r="B1691" s="105"/>
      <c r="C1691" s="135" t="s">
        <v>6996</v>
      </c>
      <c r="D1691" s="31"/>
      <c r="E1691" s="189"/>
      <c r="F1691" s="210" t="s">
        <v>3477</v>
      </c>
      <c r="G1691" s="190">
        <f>H1685*0.98*0.3</f>
        <v>70.559999999999988</v>
      </c>
      <c r="H1691" s="220">
        <f>'BASIC DATA'!$D$36</f>
        <v>1175</v>
      </c>
      <c r="I1691" s="155">
        <f t="shared" si="19"/>
        <v>82908</v>
      </c>
      <c r="J1691" s="78"/>
    </row>
    <row r="1692" spans="1:10">
      <c r="B1692" s="105"/>
      <c r="C1692" s="135" t="s">
        <v>6995</v>
      </c>
      <c r="D1692" s="31"/>
      <c r="E1692" s="189"/>
      <c r="F1692" s="210" t="s">
        <v>3477</v>
      </c>
      <c r="G1692" s="190">
        <f>H1685*0.98*0.2</f>
        <v>47.04</v>
      </c>
      <c r="H1692" s="220">
        <f>'BASIC DATA'!$D$35</f>
        <v>1225</v>
      </c>
      <c r="I1692" s="155">
        <f t="shared" si="19"/>
        <v>57624</v>
      </c>
      <c r="J1692" s="78"/>
    </row>
    <row r="1693" spans="1:10">
      <c r="B1693" s="105"/>
      <c r="C1693" s="135" t="s">
        <v>1050</v>
      </c>
      <c r="D1693" s="31"/>
      <c r="E1693" s="189"/>
      <c r="F1693" s="210" t="s">
        <v>3477</v>
      </c>
      <c r="G1693" s="190">
        <f>H1685*0.98*0.1</f>
        <v>23.52</v>
      </c>
      <c r="H1693" s="220">
        <f>'BASIC DATA'!$D$34</f>
        <v>900</v>
      </c>
      <c r="I1693" s="155">
        <f t="shared" si="19"/>
        <v>21168</v>
      </c>
      <c r="J1693" s="78"/>
    </row>
    <row r="1694" spans="1:10">
      <c r="A1694" s="853"/>
      <c r="B1694" s="240">
        <v>3</v>
      </c>
      <c r="C1694" s="101" t="s">
        <v>7934</v>
      </c>
      <c r="D1694" s="60"/>
      <c r="E1694" s="253"/>
      <c r="F1694" s="254" t="s">
        <v>3477</v>
      </c>
      <c r="G1694" s="255">
        <f>H1685*0.35</f>
        <v>84</v>
      </c>
      <c r="H1694" s="256">
        <f>'BASIC DATA'!$D$55</f>
        <v>95</v>
      </c>
      <c r="I1694" s="244">
        <f t="shared" si="19"/>
        <v>7980</v>
      </c>
      <c r="J1694" s="62"/>
    </row>
    <row r="1695" spans="1:10">
      <c r="A1695" s="853"/>
      <c r="B1695" s="240">
        <v>4</v>
      </c>
      <c r="C1695" s="101" t="s">
        <v>4460</v>
      </c>
      <c r="D1695" s="60"/>
      <c r="E1695" s="253"/>
      <c r="F1695" s="254" t="s">
        <v>3478</v>
      </c>
      <c r="G1695" s="255">
        <f>H1629*H1685</f>
        <v>240</v>
      </c>
      <c r="H1695" s="256">
        <f>'BASIC DATA'!$D$99</f>
        <v>55</v>
      </c>
      <c r="I1695" s="155">
        <f t="shared" si="19"/>
        <v>13200</v>
      </c>
      <c r="J1695" s="78"/>
    </row>
    <row r="1696" spans="1:10">
      <c r="B1696" s="105">
        <v>5</v>
      </c>
      <c r="C1696" s="89" t="s">
        <v>5315</v>
      </c>
      <c r="D1696" s="174"/>
      <c r="E1696" s="192"/>
      <c r="F1696" s="191" t="s">
        <v>3479</v>
      </c>
      <c r="G1696" s="182">
        <f>0.5*H1685</f>
        <v>120</v>
      </c>
      <c r="H1696" s="257">
        <f>I1666</f>
        <v>325.12</v>
      </c>
      <c r="I1696" s="155">
        <f t="shared" si="19"/>
        <v>39014.400000000001</v>
      </c>
      <c r="J1696" s="78"/>
    </row>
    <row r="1697" spans="2:10">
      <c r="B1697" s="154"/>
      <c r="C1697" s="151"/>
      <c r="D1697" s="159"/>
      <c r="E1697" s="159" t="s">
        <v>2376</v>
      </c>
      <c r="F1697" s="159"/>
      <c r="G1697" s="159"/>
      <c r="H1697" s="208" t="s">
        <v>1698</v>
      </c>
      <c r="I1697" s="209">
        <f>SUM(I1688:I1696)</f>
        <v>607898.4</v>
      </c>
      <c r="J1697" s="78"/>
    </row>
    <row r="1698" spans="2:10">
      <c r="C1698" s="76"/>
      <c r="D1698" s="31"/>
      <c r="E1698" s="31"/>
      <c r="F1698" s="31"/>
      <c r="G1698" s="31"/>
      <c r="H1698" s="200"/>
      <c r="I1698" s="31"/>
      <c r="J1698" s="78"/>
    </row>
    <row r="1699" spans="2:10">
      <c r="B1699" s="170" t="s">
        <v>2377</v>
      </c>
      <c r="J1699" s="78"/>
    </row>
    <row r="1700" spans="2:10">
      <c r="B1700" s="95" t="s">
        <v>2369</v>
      </c>
      <c r="C1700" s="153"/>
      <c r="D1700" s="157" t="s">
        <v>2378</v>
      </c>
      <c r="E1700" s="97"/>
      <c r="F1700" s="95" t="s">
        <v>2370</v>
      </c>
      <c r="G1700" s="95" t="s">
        <v>1166</v>
      </c>
      <c r="H1700" s="95" t="s">
        <v>6664</v>
      </c>
      <c r="I1700" s="97" t="s">
        <v>6665</v>
      </c>
      <c r="J1700" s="78"/>
    </row>
    <row r="1701" spans="2:10">
      <c r="B1701" s="191"/>
      <c r="C1701" s="139"/>
      <c r="D1701" s="174"/>
      <c r="E1701" s="192"/>
      <c r="F1701" s="191"/>
      <c r="G1701" s="114"/>
      <c r="H1701" s="114" t="s">
        <v>3856</v>
      </c>
      <c r="I1701" s="115" t="s">
        <v>3857</v>
      </c>
      <c r="J1701" s="78"/>
    </row>
    <row r="1702" spans="2:10">
      <c r="B1702" s="95">
        <v>1</v>
      </c>
      <c r="C1702" s="131" t="s">
        <v>2135</v>
      </c>
      <c r="D1702" s="187"/>
      <c r="E1702" s="195"/>
      <c r="F1702" s="107" t="s">
        <v>2374</v>
      </c>
      <c r="G1702" s="179">
        <v>8</v>
      </c>
      <c r="H1702" s="179">
        <f>'HIRE CHARGES'!$D$502</f>
        <v>620.70000000000005</v>
      </c>
      <c r="I1702" s="155">
        <f>ROUND(H1702*G1702,2)</f>
        <v>4965.6000000000004</v>
      </c>
      <c r="J1702" s="78"/>
    </row>
    <row r="1703" spans="2:10">
      <c r="B1703" s="105"/>
      <c r="C1703" s="135" t="s">
        <v>2379</v>
      </c>
      <c r="D1703" s="31"/>
      <c r="E1703" s="189"/>
      <c r="F1703" s="210" t="s">
        <v>2374</v>
      </c>
      <c r="G1703" s="190">
        <v>8</v>
      </c>
      <c r="H1703" s="190">
        <f>'HIRE CHARGES'!$E$502</f>
        <v>308.2</v>
      </c>
      <c r="I1703" s="155">
        <f t="shared" ref="I1703:I1716" si="20">ROUND(H1703*G1703,2)</f>
        <v>2465.6</v>
      </c>
      <c r="J1703" s="78"/>
    </row>
    <row r="1704" spans="2:10">
      <c r="B1704" s="105">
        <v>2</v>
      </c>
      <c r="C1704" s="135" t="s">
        <v>4462</v>
      </c>
      <c r="D1704" s="31"/>
      <c r="E1704" s="189"/>
      <c r="F1704" s="210" t="s">
        <v>2374</v>
      </c>
      <c r="G1704" s="190">
        <v>8</v>
      </c>
      <c r="H1704" s="190">
        <f>'HIRE CHARGES'!$D$495</f>
        <v>131.9</v>
      </c>
      <c r="I1704" s="155">
        <f t="shared" si="20"/>
        <v>1055.2</v>
      </c>
      <c r="J1704" s="78"/>
    </row>
    <row r="1705" spans="2:10">
      <c r="B1705" s="105"/>
      <c r="C1705" s="135" t="s">
        <v>2379</v>
      </c>
      <c r="D1705" s="31"/>
      <c r="E1705" s="189"/>
      <c r="F1705" s="210" t="s">
        <v>2374</v>
      </c>
      <c r="G1705" s="190">
        <v>8</v>
      </c>
      <c r="H1705" s="190">
        <f>'HIRE CHARGES'!$E$495</f>
        <v>252.2</v>
      </c>
      <c r="I1705" s="155">
        <f t="shared" si="20"/>
        <v>2017.6</v>
      </c>
      <c r="J1705" s="78"/>
    </row>
    <row r="1706" spans="2:10">
      <c r="B1706" s="105">
        <v>3</v>
      </c>
      <c r="C1706" s="135" t="s">
        <v>2087</v>
      </c>
      <c r="D1706" s="31"/>
      <c r="E1706" s="189"/>
      <c r="F1706" s="210" t="s">
        <v>2374</v>
      </c>
      <c r="G1706" s="190">
        <v>32</v>
      </c>
      <c r="H1706" s="190">
        <f>'HIRE CHARGES'!$D$545</f>
        <v>446.7</v>
      </c>
      <c r="I1706" s="155">
        <f t="shared" si="20"/>
        <v>14294.4</v>
      </c>
      <c r="J1706" s="78"/>
    </row>
    <row r="1707" spans="2:10">
      <c r="B1707" s="105"/>
      <c r="C1707" s="135" t="s">
        <v>2379</v>
      </c>
      <c r="D1707" s="31"/>
      <c r="E1707" s="189"/>
      <c r="F1707" s="210" t="s">
        <v>2374</v>
      </c>
      <c r="G1707" s="190">
        <v>32</v>
      </c>
      <c r="H1707" s="190">
        <f>'HIRE CHARGES'!$E$545</f>
        <v>299.89999999999998</v>
      </c>
      <c r="I1707" s="155">
        <f t="shared" si="20"/>
        <v>9596.7999999999993</v>
      </c>
      <c r="J1707" s="78"/>
    </row>
    <row r="1708" spans="2:10">
      <c r="B1708" s="105">
        <v>4</v>
      </c>
      <c r="C1708" s="135" t="s">
        <v>4463</v>
      </c>
      <c r="D1708" s="31"/>
      <c r="E1708" s="189"/>
      <c r="F1708" s="210" t="s">
        <v>2374</v>
      </c>
      <c r="G1708" s="221">
        <v>16</v>
      </c>
      <c r="H1708" s="190">
        <f>'HIRE CHARGES'!$D$547</f>
        <v>867.1</v>
      </c>
      <c r="I1708" s="155">
        <f t="shared" si="20"/>
        <v>13873.6</v>
      </c>
      <c r="J1708" s="78"/>
    </row>
    <row r="1709" spans="2:10">
      <c r="B1709" s="105"/>
      <c r="C1709" s="135" t="s">
        <v>2379</v>
      </c>
      <c r="D1709" s="31"/>
      <c r="E1709" s="189"/>
      <c r="F1709" s="210" t="s">
        <v>2374</v>
      </c>
      <c r="G1709" s="190">
        <v>16</v>
      </c>
      <c r="H1709" s="190">
        <f>'HIRE CHARGES'!$E$547</f>
        <v>145.69999999999999</v>
      </c>
      <c r="I1709" s="155">
        <f t="shared" si="20"/>
        <v>2331.1999999999998</v>
      </c>
      <c r="J1709" s="78"/>
    </row>
    <row r="1710" spans="2:10">
      <c r="B1710" s="105">
        <v>5</v>
      </c>
      <c r="C1710" s="135" t="s">
        <v>4464</v>
      </c>
      <c r="D1710" s="31"/>
      <c r="E1710" s="189"/>
      <c r="F1710" s="210" t="s">
        <v>2374</v>
      </c>
      <c r="G1710" s="190">
        <v>40</v>
      </c>
      <c r="H1710" s="190">
        <f>'HIRE CHARGES'!$D$505</f>
        <v>15.8</v>
      </c>
      <c r="I1710" s="155">
        <f t="shared" si="20"/>
        <v>632</v>
      </c>
      <c r="J1710" s="78"/>
    </row>
    <row r="1711" spans="2:10">
      <c r="B1711" s="105"/>
      <c r="C1711" s="135" t="s">
        <v>2379</v>
      </c>
      <c r="D1711" s="31"/>
      <c r="E1711" s="189"/>
      <c r="F1711" s="210" t="s">
        <v>2374</v>
      </c>
      <c r="G1711" s="190">
        <v>40</v>
      </c>
      <c r="H1711" s="190">
        <f>'HIRE CHARGES'!$E$505</f>
        <v>0</v>
      </c>
      <c r="I1711" s="155">
        <f t="shared" si="20"/>
        <v>0</v>
      </c>
      <c r="J1711" s="78"/>
    </row>
    <row r="1712" spans="2:10">
      <c r="B1712" s="105">
        <v>6</v>
      </c>
      <c r="C1712" s="135" t="s">
        <v>383</v>
      </c>
      <c r="D1712" s="31"/>
      <c r="E1712" s="189"/>
      <c r="F1712" s="210" t="s">
        <v>2374</v>
      </c>
      <c r="G1712" s="190">
        <v>8</v>
      </c>
      <c r="H1712" s="190">
        <f>'HIRE CHARGES'!$D$520</f>
        <v>6.7</v>
      </c>
      <c r="I1712" s="155">
        <f t="shared" si="20"/>
        <v>53.6</v>
      </c>
      <c r="J1712" s="78"/>
    </row>
    <row r="1713" spans="2:10">
      <c r="B1713" s="105"/>
      <c r="C1713" s="135" t="s">
        <v>2379</v>
      </c>
      <c r="D1713" s="31"/>
      <c r="E1713" s="189"/>
      <c r="F1713" s="210" t="s">
        <v>2374</v>
      </c>
      <c r="G1713" s="190">
        <v>8</v>
      </c>
      <c r="H1713" s="190">
        <f>'HIRE CHARGES'!$E$520</f>
        <v>56</v>
      </c>
      <c r="I1713" s="155">
        <f t="shared" si="20"/>
        <v>448</v>
      </c>
      <c r="J1713" s="78"/>
    </row>
    <row r="1714" spans="2:10">
      <c r="B1714" s="105">
        <v>7</v>
      </c>
      <c r="C1714" s="135" t="s">
        <v>4465</v>
      </c>
      <c r="D1714" s="31"/>
      <c r="E1714" s="189"/>
      <c r="F1714" s="210" t="s">
        <v>2374</v>
      </c>
      <c r="G1714" s="190">
        <v>16</v>
      </c>
      <c r="H1714" s="190">
        <f>'HIRE CHARGES'!$D$534</f>
        <v>9.6999999999999993</v>
      </c>
      <c r="I1714" s="155">
        <f t="shared" si="20"/>
        <v>155.19999999999999</v>
      </c>
      <c r="J1714" s="78"/>
    </row>
    <row r="1715" spans="2:10">
      <c r="B1715" s="105"/>
      <c r="C1715" s="135" t="s">
        <v>2379</v>
      </c>
      <c r="D1715" s="31"/>
      <c r="E1715" s="189"/>
      <c r="F1715" s="210" t="s">
        <v>2374</v>
      </c>
      <c r="G1715" s="190">
        <v>16</v>
      </c>
      <c r="H1715" s="190">
        <f>'HIRE CHARGES'!$E$534</f>
        <v>8.4</v>
      </c>
      <c r="I1715" s="155">
        <f t="shared" si="20"/>
        <v>134.4</v>
      </c>
      <c r="J1715" s="78"/>
    </row>
    <row r="1716" spans="2:10">
      <c r="B1716" s="114">
        <v>8</v>
      </c>
      <c r="C1716" s="139" t="s">
        <v>2373</v>
      </c>
      <c r="D1716" s="174"/>
      <c r="E1716" s="192"/>
      <c r="F1716" s="191" t="s">
        <v>2173</v>
      </c>
      <c r="G1716" s="182">
        <v>10</v>
      </c>
      <c r="H1716" s="215">
        <f>'BASIC DATA'!$D$359</f>
        <v>30</v>
      </c>
      <c r="I1716" s="155">
        <f t="shared" si="20"/>
        <v>300</v>
      </c>
      <c r="J1716" s="78"/>
    </row>
    <row r="1717" spans="2:10">
      <c r="B1717" s="184"/>
      <c r="C1717" s="151"/>
      <c r="D1717" s="159"/>
      <c r="E1717" s="159" t="s">
        <v>2380</v>
      </c>
      <c r="F1717" s="159"/>
      <c r="G1717" s="159"/>
      <c r="H1717" s="208" t="s">
        <v>1698</v>
      </c>
      <c r="I1717" s="209">
        <f>SUM(I1702:I1716)</f>
        <v>52323.19999999999</v>
      </c>
      <c r="J1717" s="78"/>
    </row>
    <row r="1718" spans="2:10">
      <c r="C1718" s="76"/>
      <c r="D1718" s="31"/>
      <c r="E1718" s="31"/>
      <c r="F1718" s="31"/>
      <c r="G1718" s="31"/>
      <c r="H1718" s="31"/>
      <c r="I1718" s="31"/>
      <c r="J1718" s="78"/>
    </row>
    <row r="1719" spans="2:10">
      <c r="B1719" s="170" t="s">
        <v>2381</v>
      </c>
      <c r="J1719" s="78"/>
    </row>
    <row r="1720" spans="2:10">
      <c r="B1720" s="95" t="s">
        <v>2369</v>
      </c>
      <c r="C1720" s="153"/>
      <c r="D1720" s="157" t="s">
        <v>2378</v>
      </c>
      <c r="E1720" s="97"/>
      <c r="F1720" s="95" t="s">
        <v>2370</v>
      </c>
      <c r="G1720" s="95" t="s">
        <v>1166</v>
      </c>
      <c r="H1720" s="97" t="s">
        <v>6664</v>
      </c>
      <c r="I1720" s="97" t="s">
        <v>6665</v>
      </c>
      <c r="J1720" s="78"/>
    </row>
    <row r="1721" spans="2:10">
      <c r="B1721" s="191"/>
      <c r="C1721" s="139"/>
      <c r="D1721" s="174"/>
      <c r="E1721" s="192"/>
      <c r="F1721" s="191"/>
      <c r="G1721" s="114"/>
      <c r="H1721" s="115" t="s">
        <v>3856</v>
      </c>
      <c r="I1721" s="115" t="s">
        <v>3857</v>
      </c>
      <c r="J1721" s="78"/>
    </row>
    <row r="1722" spans="2:10">
      <c r="B1722" s="95">
        <v>1</v>
      </c>
      <c r="C1722" s="131" t="s">
        <v>158</v>
      </c>
      <c r="D1722" s="187"/>
      <c r="E1722" s="195"/>
      <c r="F1722" s="107" t="s">
        <v>2374</v>
      </c>
      <c r="G1722" s="179">
        <v>8</v>
      </c>
      <c r="H1722" s="178">
        <f>'HIRE CHARGES'!$F$502</f>
        <v>340.6</v>
      </c>
      <c r="I1722" s="155">
        <f>ROUND(H1722*G1722,2)</f>
        <v>2724.8</v>
      </c>
      <c r="J1722" s="78"/>
    </row>
    <row r="1723" spans="2:10">
      <c r="B1723" s="105">
        <v>2</v>
      </c>
      <c r="C1723" s="135" t="s">
        <v>4606</v>
      </c>
      <c r="D1723" s="31"/>
      <c r="E1723" s="189"/>
      <c r="F1723" s="210" t="s">
        <v>2374</v>
      </c>
      <c r="G1723" s="190">
        <v>8</v>
      </c>
      <c r="H1723" s="207">
        <f>'HIRE CHARGES'!$F$495</f>
        <v>164.8</v>
      </c>
      <c r="I1723" s="155">
        <f t="shared" ref="I1723:I1736" si="21">ROUND(H1723*G1723,2)</f>
        <v>1318.4</v>
      </c>
      <c r="J1723" s="78"/>
    </row>
    <row r="1724" spans="2:10">
      <c r="B1724" s="105">
        <v>3</v>
      </c>
      <c r="C1724" s="135" t="s">
        <v>4466</v>
      </c>
      <c r="D1724" s="31"/>
      <c r="E1724" s="189"/>
      <c r="F1724" s="210" t="s">
        <v>2374</v>
      </c>
      <c r="G1724" s="190">
        <v>32</v>
      </c>
      <c r="H1724" s="190">
        <f>'HIRE CHARGES'!$F$545</f>
        <v>177.5</v>
      </c>
      <c r="I1724" s="155">
        <f t="shared" si="21"/>
        <v>5680</v>
      </c>
      <c r="J1724" s="78"/>
    </row>
    <row r="1725" spans="2:10">
      <c r="B1725" s="105">
        <v>4</v>
      </c>
      <c r="C1725" s="135" t="s">
        <v>4467</v>
      </c>
      <c r="D1725" s="31"/>
      <c r="E1725" s="189"/>
      <c r="F1725" s="210" t="s">
        <v>2374</v>
      </c>
      <c r="G1725" s="190">
        <v>16</v>
      </c>
      <c r="H1725" s="178">
        <f>'HIRE CHARGES'!$F$547</f>
        <v>189.3</v>
      </c>
      <c r="I1725" s="155">
        <f t="shared" si="21"/>
        <v>3028.8</v>
      </c>
      <c r="J1725" s="78"/>
    </row>
    <row r="1726" spans="2:10">
      <c r="B1726" s="105">
        <v>5</v>
      </c>
      <c r="C1726" s="135" t="s">
        <v>999</v>
      </c>
      <c r="D1726" s="31"/>
      <c r="E1726" s="189"/>
      <c r="F1726" s="210" t="s">
        <v>2374</v>
      </c>
      <c r="G1726" s="190">
        <v>8</v>
      </c>
      <c r="H1726" s="207">
        <f>'HIRE CHARGES'!$F$520</f>
        <v>83.3</v>
      </c>
      <c r="I1726" s="155">
        <f t="shared" si="21"/>
        <v>666.4</v>
      </c>
      <c r="J1726" s="78"/>
    </row>
    <row r="1727" spans="2:10">
      <c r="B1727" s="105">
        <v>6</v>
      </c>
      <c r="C1727" s="135" t="s">
        <v>4468</v>
      </c>
      <c r="D1727" s="31"/>
      <c r="E1727" s="189"/>
      <c r="F1727" s="210" t="s">
        <v>2374</v>
      </c>
      <c r="G1727" s="190">
        <v>16</v>
      </c>
      <c r="H1727" s="207">
        <f>'HIRE CHARGES'!$F$534</f>
        <v>158.19999999999999</v>
      </c>
      <c r="I1727" s="155">
        <f t="shared" si="21"/>
        <v>2531.1999999999998</v>
      </c>
      <c r="J1727" s="78"/>
    </row>
    <row r="1728" spans="2:10">
      <c r="B1728" s="105">
        <v>7</v>
      </c>
      <c r="C1728" s="135" t="s">
        <v>440</v>
      </c>
      <c r="D1728" s="31"/>
      <c r="E1728" s="189"/>
      <c r="F1728" s="210" t="s">
        <v>1172</v>
      </c>
      <c r="G1728" s="190">
        <v>4</v>
      </c>
      <c r="H1728" s="207">
        <f>'BASIC DATA'!$C$474</f>
        <v>445</v>
      </c>
      <c r="I1728" s="155">
        <f t="shared" si="21"/>
        <v>1780</v>
      </c>
      <c r="J1728" s="78"/>
    </row>
    <row r="1729" spans="2:10">
      <c r="B1729" s="105">
        <v>8</v>
      </c>
      <c r="C1729" s="135" t="s">
        <v>2468</v>
      </c>
      <c r="D1729" s="31"/>
      <c r="E1729" s="189"/>
      <c r="F1729" s="210" t="s">
        <v>1172</v>
      </c>
      <c r="G1729" s="190">
        <v>2</v>
      </c>
      <c r="H1729" s="207">
        <f>'BASIC DATA'!$C$471</f>
        <v>510</v>
      </c>
      <c r="I1729" s="155">
        <f t="shared" si="21"/>
        <v>1020</v>
      </c>
      <c r="J1729" s="78"/>
    </row>
    <row r="1730" spans="2:10">
      <c r="B1730" s="105">
        <v>9</v>
      </c>
      <c r="C1730" s="135" t="s">
        <v>2697</v>
      </c>
      <c r="D1730" s="31"/>
      <c r="E1730" s="189"/>
      <c r="F1730" s="210"/>
      <c r="G1730" s="210"/>
      <c r="H1730" s="189"/>
      <c r="I1730" s="155"/>
      <c r="J1730" s="78"/>
    </row>
    <row r="1731" spans="2:10">
      <c r="B1731" s="105"/>
      <c r="C1731" s="135" t="s">
        <v>4469</v>
      </c>
      <c r="D1731" s="31"/>
      <c r="E1731" s="189"/>
      <c r="F1731" s="210" t="s">
        <v>1172</v>
      </c>
      <c r="G1731" s="190">
        <v>2</v>
      </c>
      <c r="H1731" s="207">
        <f>'BASIC DATA'!$C$552</f>
        <v>350</v>
      </c>
      <c r="I1731" s="155">
        <f t="shared" si="21"/>
        <v>700</v>
      </c>
      <c r="J1731" s="78"/>
    </row>
    <row r="1732" spans="2:10">
      <c r="B1732" s="105"/>
      <c r="C1732" s="135" t="s">
        <v>4470</v>
      </c>
      <c r="D1732" s="31"/>
      <c r="E1732" s="189"/>
      <c r="F1732" s="210" t="s">
        <v>1172</v>
      </c>
      <c r="G1732" s="190">
        <v>2</v>
      </c>
      <c r="H1732" s="207">
        <f>'BASIC DATA'!$C$552</f>
        <v>350</v>
      </c>
      <c r="I1732" s="155">
        <f t="shared" si="21"/>
        <v>700</v>
      </c>
      <c r="J1732" s="78"/>
    </row>
    <row r="1733" spans="2:10">
      <c r="B1733" s="105"/>
      <c r="C1733" s="135" t="s">
        <v>4471</v>
      </c>
      <c r="D1733" s="31"/>
      <c r="E1733" s="189"/>
      <c r="F1733" s="210" t="s">
        <v>1172</v>
      </c>
      <c r="G1733" s="190">
        <v>2</v>
      </c>
      <c r="H1733" s="207">
        <f>'BASIC DATA'!$C$552</f>
        <v>350</v>
      </c>
      <c r="I1733" s="155">
        <f t="shared" si="21"/>
        <v>700</v>
      </c>
      <c r="J1733" s="78"/>
    </row>
    <row r="1734" spans="2:10">
      <c r="B1734" s="105"/>
      <c r="C1734" s="135" t="s">
        <v>4472</v>
      </c>
      <c r="D1734" s="31"/>
      <c r="E1734" s="189"/>
      <c r="F1734" s="210" t="s">
        <v>1172</v>
      </c>
      <c r="G1734" s="190">
        <v>6</v>
      </c>
      <c r="H1734" s="207">
        <f>'BASIC DATA'!$C$552</f>
        <v>350</v>
      </c>
      <c r="I1734" s="155">
        <f t="shared" si="21"/>
        <v>2100</v>
      </c>
      <c r="J1734" s="78"/>
    </row>
    <row r="1735" spans="2:10">
      <c r="B1735" s="105"/>
      <c r="C1735" s="135" t="s">
        <v>4473</v>
      </c>
      <c r="D1735" s="31"/>
      <c r="E1735" s="189"/>
      <c r="F1735" s="210" t="s">
        <v>1172</v>
      </c>
      <c r="G1735" s="190">
        <v>2</v>
      </c>
      <c r="H1735" s="207">
        <f>'BASIC DATA'!$C$552</f>
        <v>350</v>
      </c>
      <c r="I1735" s="155">
        <f t="shared" si="21"/>
        <v>700</v>
      </c>
      <c r="J1735" s="78"/>
    </row>
    <row r="1736" spans="2:10">
      <c r="B1736" s="114">
        <v>10</v>
      </c>
      <c r="C1736" s="139" t="s">
        <v>7215</v>
      </c>
      <c r="D1736" s="174"/>
      <c r="E1736" s="192"/>
      <c r="F1736" s="191" t="s">
        <v>3479</v>
      </c>
      <c r="G1736" s="182">
        <f>0.5*H1685</f>
        <v>120</v>
      </c>
      <c r="H1736" s="181">
        <f>I1680</f>
        <v>132.75</v>
      </c>
      <c r="I1736" s="155">
        <f t="shared" si="21"/>
        <v>15930</v>
      </c>
      <c r="J1736" s="78"/>
    </row>
    <row r="1737" spans="2:10">
      <c r="B1737" s="184"/>
      <c r="C1737" s="151"/>
      <c r="D1737" s="159"/>
      <c r="E1737" s="159" t="s">
        <v>1174</v>
      </c>
      <c r="F1737" s="159"/>
      <c r="G1737" s="159"/>
      <c r="H1737" s="208" t="s">
        <v>1698</v>
      </c>
      <c r="I1737" s="209">
        <f>SUM(I1722:I1736)</f>
        <v>39579.599999999999</v>
      </c>
      <c r="J1737" s="78"/>
    </row>
    <row r="1738" spans="2:10">
      <c r="B1738" s="60" t="s">
        <v>5948</v>
      </c>
      <c r="C1738" s="76"/>
      <c r="D1738" s="31"/>
      <c r="E1738" s="31"/>
      <c r="F1738" s="31"/>
      <c r="G1738" s="85">
        <f>ROUND(I1737/H1685,1)</f>
        <v>164.9</v>
      </c>
      <c r="J1738" s="78"/>
    </row>
    <row r="1739" spans="2:10">
      <c r="B1739" s="60" t="s">
        <v>3163</v>
      </c>
      <c r="C1739" s="76"/>
      <c r="D1739" s="31"/>
      <c r="E1739" s="31"/>
      <c r="F1739" s="922">
        <f>'BASIC DATA'!$C$577</f>
        <v>0.13614999999999999</v>
      </c>
      <c r="G1739" s="85">
        <f>ROUND(G1738*F1739,1)</f>
        <v>22.5</v>
      </c>
      <c r="J1739" s="78"/>
    </row>
    <row r="1740" spans="2:10">
      <c r="B1740" s="60" t="s">
        <v>5949</v>
      </c>
      <c r="C1740" s="76"/>
      <c r="D1740" s="31"/>
      <c r="E1740" s="31"/>
      <c r="F1740" s="31"/>
      <c r="G1740" s="199">
        <f>ROUND(G1739+G1738,1)</f>
        <v>187.4</v>
      </c>
      <c r="J1740" s="78"/>
    </row>
    <row r="1741" spans="2:10">
      <c r="B1741" s="31"/>
      <c r="C1741" s="76"/>
      <c r="D1741" s="31"/>
      <c r="E1741" s="31"/>
      <c r="F1741" s="31"/>
      <c r="G1741" s="31"/>
      <c r="H1741" s="200"/>
      <c r="I1741" s="85"/>
      <c r="J1741" s="78"/>
    </row>
    <row r="1742" spans="2:10">
      <c r="B1742" s="170" t="s">
        <v>1175</v>
      </c>
      <c r="J1742" s="78"/>
    </row>
    <row r="1743" spans="2:10">
      <c r="B1743" s="26" t="s">
        <v>1176</v>
      </c>
      <c r="H1743" s="171" t="s">
        <v>1698</v>
      </c>
      <c r="I1743" s="117">
        <f>I1697</f>
        <v>607898.4</v>
      </c>
      <c r="J1743" s="78"/>
    </row>
    <row r="1744" spans="2:10">
      <c r="B1744" s="26" t="s">
        <v>1186</v>
      </c>
      <c r="H1744" s="171" t="s">
        <v>1698</v>
      </c>
      <c r="I1744" s="117">
        <f>I1717</f>
        <v>52323.19999999999</v>
      </c>
      <c r="J1744" s="78"/>
    </row>
    <row r="1745" spans="1:10">
      <c r="B1745" s="26" t="s">
        <v>2660</v>
      </c>
      <c r="H1745" s="171" t="s">
        <v>1698</v>
      </c>
      <c r="I1745" s="85">
        <f>I1737</f>
        <v>39579.599999999999</v>
      </c>
      <c r="J1745" s="78"/>
    </row>
    <row r="1746" spans="1:10">
      <c r="G1746" s="171" t="s">
        <v>1518</v>
      </c>
      <c r="H1746" s="171" t="s">
        <v>1698</v>
      </c>
      <c r="I1746" s="130">
        <f>SUM(I1743:I1745)</f>
        <v>699801.2</v>
      </c>
      <c r="J1746" s="78"/>
    </row>
    <row r="1747" spans="1:10">
      <c r="B1747" s="26" t="s">
        <v>4386</v>
      </c>
      <c r="G1747" s="261">
        <f>'BASIC DATA'!$C$599</f>
        <v>0.03</v>
      </c>
      <c r="I1747" s="117">
        <f>ROUND(G1747*I1746,2)</f>
        <v>20994.04</v>
      </c>
      <c r="J1747" s="78"/>
    </row>
    <row r="1748" spans="1:10">
      <c r="B1748" s="26" t="s">
        <v>3873</v>
      </c>
      <c r="G1748" s="262">
        <f>'BASIC DATA'!$C$598</f>
        <v>2.5000000000000001E-2</v>
      </c>
      <c r="I1748" s="117">
        <f>ROUND(G1748*I1746,2)</f>
        <v>17495.03</v>
      </c>
      <c r="J1748" s="78"/>
    </row>
    <row r="1749" spans="1:10">
      <c r="B1749" s="26" t="s">
        <v>3151</v>
      </c>
      <c r="G1749" s="262">
        <f>'BASIC DATA'!$C$600</f>
        <v>0.04</v>
      </c>
      <c r="I1749" s="117">
        <f>ROUND(G1749*I1746,2)</f>
        <v>27992.05</v>
      </c>
      <c r="J1749" s="78"/>
    </row>
    <row r="1750" spans="1:10">
      <c r="G1750" s="171" t="s">
        <v>1518</v>
      </c>
      <c r="H1750" s="171" t="s">
        <v>1698</v>
      </c>
      <c r="I1750" s="130">
        <f>SUM(I1746:I1749)</f>
        <v>766282.32000000007</v>
      </c>
      <c r="J1750" s="78"/>
    </row>
    <row r="1751" spans="1:10" ht="18.75">
      <c r="B1751" s="1207" t="s">
        <v>8375</v>
      </c>
      <c r="C1751" s="1207"/>
      <c r="D1751" s="1207"/>
      <c r="E1751" s="1207"/>
      <c r="F1751" s="1207"/>
      <c r="G1751" s="922">
        <f>'BASIC DATA'!$C$577</f>
        <v>0.13614999999999999</v>
      </c>
      <c r="H1751" s="171" t="s">
        <v>4108</v>
      </c>
      <c r="I1751" s="76">
        <f>ROUND(I1750*G1751,2)</f>
        <v>104329.34</v>
      </c>
      <c r="J1751" s="78"/>
    </row>
    <row r="1752" spans="1:10">
      <c r="B1752" s="27" t="s">
        <v>9590</v>
      </c>
      <c r="C1752" s="43"/>
      <c r="D1752" s="43"/>
      <c r="E1752" s="43"/>
      <c r="F1752" s="779">
        <f>G1694</f>
        <v>84</v>
      </c>
      <c r="G1752" s="201" t="s">
        <v>9591</v>
      </c>
      <c r="H1752" s="68" t="str">
        <f>CONCATENATE((leadcharges!$D$65)," ","Rs./Cum")</f>
        <v>31.5 Rs./Cum</v>
      </c>
      <c r="I1752" s="76">
        <f>leadcharges!$D$65*F1752</f>
        <v>2646</v>
      </c>
      <c r="J1752" s="78"/>
    </row>
    <row r="1753" spans="1:10">
      <c r="B1753" s="27" t="s">
        <v>9589</v>
      </c>
      <c r="C1753" s="43"/>
      <c r="D1753" s="43"/>
      <c r="E1753" s="43"/>
      <c r="F1753" s="779">
        <f>SUM(G1690:G1693)</f>
        <v>235.2</v>
      </c>
      <c r="G1753" s="201" t="s">
        <v>9591</v>
      </c>
      <c r="H1753" s="68" t="str">
        <f>CONCATENATE((leadcharges!$E$65)," ","Rs./Cum")</f>
        <v>30.4 Rs./Cum</v>
      </c>
      <c r="I1753" s="85">
        <f>leadcharges!$E$65*F1753</f>
        <v>7150.079999999999</v>
      </c>
      <c r="J1753" s="78"/>
    </row>
    <row r="1754" spans="1:10" ht="39" hidden="1" customHeight="1">
      <c r="B1754" s="1207"/>
      <c r="C1754" s="1207"/>
      <c r="D1754" s="1207"/>
      <c r="E1754" s="1207"/>
      <c r="F1754" s="779"/>
      <c r="G1754" s="201"/>
      <c r="H1754" s="68"/>
      <c r="I1754" s="76"/>
      <c r="J1754" s="78"/>
    </row>
    <row r="1755" spans="1:10">
      <c r="B1755" s="1206" t="s">
        <v>1191</v>
      </c>
      <c r="C1755" s="1206"/>
      <c r="D1755" s="1206"/>
      <c r="E1755" s="1206"/>
      <c r="F1755" s="202">
        <f>H1685</f>
        <v>240</v>
      </c>
      <c r="G1755" s="217" t="str">
        <f>I1685</f>
        <v xml:space="preserve"> cum</v>
      </c>
      <c r="H1755" s="171" t="s">
        <v>1698</v>
      </c>
      <c r="I1755" s="199">
        <f>SUM(I1750:I1754)</f>
        <v>880407.74</v>
      </c>
      <c r="J1755" s="78"/>
    </row>
    <row r="1756" spans="1:10">
      <c r="B1756" s="1161" t="s">
        <v>3884</v>
      </c>
      <c r="C1756" s="1161"/>
      <c r="D1756" s="203" t="str">
        <f>G1755</f>
        <v xml:space="preserve"> cum</v>
      </c>
      <c r="F1756" s="26" t="s">
        <v>1645</v>
      </c>
      <c r="H1756" s="171" t="s">
        <v>1698</v>
      </c>
      <c r="I1756" s="204">
        <f>ROUND(I1755/F1755,1)</f>
        <v>3668.4</v>
      </c>
      <c r="J1756" s="78"/>
    </row>
    <row r="1757" spans="1:10">
      <c r="J1757" s="78"/>
    </row>
    <row r="1758" spans="1:10" ht="18.75">
      <c r="A1758" s="822" t="s">
        <v>7842</v>
      </c>
      <c r="B1758" s="61" t="s">
        <v>8417</v>
      </c>
      <c r="C1758" s="125"/>
      <c r="D1758" s="61"/>
      <c r="E1758" s="61"/>
      <c r="F1758" s="61"/>
      <c r="G1758" s="61"/>
      <c r="H1758" s="61"/>
      <c r="I1758" s="61"/>
      <c r="J1758" s="78"/>
    </row>
    <row r="1759" spans="1:10" ht="18.75">
      <c r="A1759" s="872" t="s">
        <v>499</v>
      </c>
      <c r="B1759" s="61" t="s">
        <v>8418</v>
      </c>
      <c r="C1759" s="125"/>
      <c r="D1759" s="61"/>
      <c r="E1759" s="61"/>
      <c r="F1759" s="61"/>
      <c r="G1759" s="61"/>
      <c r="H1759" s="61"/>
      <c r="I1759" s="61"/>
      <c r="J1759" s="78"/>
    </row>
    <row r="1760" spans="1:10">
      <c r="A1760" s="853"/>
      <c r="B1760" s="61" t="s">
        <v>8415</v>
      </c>
      <c r="C1760" s="125"/>
      <c r="D1760" s="61"/>
      <c r="E1760" s="61"/>
      <c r="F1760" s="61"/>
      <c r="G1760" s="61"/>
      <c r="H1760" s="61"/>
      <c r="I1760" s="61"/>
      <c r="J1760" s="78"/>
    </row>
    <row r="1761" spans="1:10">
      <c r="A1761" s="853"/>
      <c r="B1761" s="61" t="s">
        <v>426</v>
      </c>
      <c r="C1761" s="125"/>
      <c r="D1761" s="61"/>
      <c r="E1761" s="61"/>
      <c r="F1761" s="61"/>
      <c r="G1761" s="61"/>
      <c r="H1761" s="61"/>
      <c r="I1761" s="61"/>
      <c r="J1761" s="78"/>
    </row>
    <row r="1762" spans="1:10">
      <c r="A1762" s="853"/>
      <c r="B1762" s="61" t="s">
        <v>427</v>
      </c>
      <c r="C1762" s="125"/>
      <c r="D1762" s="61"/>
      <c r="E1762" s="61"/>
      <c r="F1762" s="61"/>
      <c r="G1762" s="61"/>
      <c r="H1762" s="61"/>
      <c r="I1762" s="61"/>
      <c r="J1762" s="78"/>
    </row>
    <row r="1763" spans="1:10" ht="18.75">
      <c r="A1763" s="853"/>
      <c r="B1763" s="61" t="s">
        <v>8419</v>
      </c>
      <c r="C1763" s="125"/>
      <c r="D1763" s="61"/>
      <c r="E1763" s="61"/>
      <c r="F1763" s="61"/>
      <c r="G1763" s="61"/>
      <c r="H1763" s="61"/>
      <c r="I1763" s="61"/>
      <c r="J1763" s="78"/>
    </row>
    <row r="1764" spans="1:10">
      <c r="A1764" s="853"/>
      <c r="B1764" s="248" t="s">
        <v>7843</v>
      </c>
      <c r="C1764" s="125"/>
      <c r="D1764" s="61"/>
      <c r="E1764" s="61"/>
      <c r="F1764" s="61"/>
      <c r="G1764" s="61"/>
      <c r="H1764" s="61"/>
      <c r="I1764" s="61"/>
      <c r="J1764" s="78"/>
    </row>
    <row r="1765" spans="1:10">
      <c r="A1765" s="853"/>
      <c r="B1765" s="248" t="s">
        <v>7844</v>
      </c>
      <c r="C1765" s="125"/>
      <c r="D1765" s="61"/>
      <c r="E1765" s="61"/>
      <c r="F1765" s="61"/>
      <c r="G1765" s="61"/>
      <c r="H1765" s="61"/>
      <c r="I1765" s="61"/>
      <c r="J1765" s="78"/>
    </row>
    <row r="1766" spans="1:10">
      <c r="B1766" s="170" t="s">
        <v>7845</v>
      </c>
      <c r="J1766" s="78"/>
    </row>
    <row r="1767" spans="1:10">
      <c r="J1767" s="78"/>
    </row>
    <row r="1768" spans="1:10" ht="18.75" hidden="1">
      <c r="B1768" s="26" t="s">
        <v>8420</v>
      </c>
      <c r="J1768" s="78"/>
    </row>
    <row r="1769" spans="1:10" hidden="1">
      <c r="A1769" s="822" t="s">
        <v>3984</v>
      </c>
      <c r="B1769" s="26" t="s">
        <v>1082</v>
      </c>
      <c r="J1769" s="78"/>
    </row>
    <row r="1770" spans="1:10" hidden="1">
      <c r="B1770" s="26" t="s">
        <v>1219</v>
      </c>
      <c r="H1770" s="26">
        <v>0.9</v>
      </c>
      <c r="I1770" s="26" t="s">
        <v>3477</v>
      </c>
      <c r="J1770" s="78"/>
    </row>
    <row r="1771" spans="1:10" hidden="1">
      <c r="B1771" s="26" t="s">
        <v>3414</v>
      </c>
      <c r="H1771" s="68">
        <v>0.3</v>
      </c>
      <c r="I1771" s="26" t="s">
        <v>6714</v>
      </c>
      <c r="J1771" s="78"/>
    </row>
    <row r="1772" spans="1:10" hidden="1">
      <c r="B1772" s="26" t="s">
        <v>1220</v>
      </c>
      <c r="G1772" s="171" t="s">
        <v>1697</v>
      </c>
      <c r="H1772" s="26" t="s">
        <v>3152</v>
      </c>
      <c r="J1772" s="78"/>
    </row>
    <row r="1773" spans="1:10" hidden="1">
      <c r="B1773" s="26" t="s">
        <v>6669</v>
      </c>
      <c r="G1773" s="171" t="s">
        <v>1697</v>
      </c>
      <c r="H1773" s="68">
        <v>300</v>
      </c>
      <c r="I1773" s="26" t="s">
        <v>6670</v>
      </c>
      <c r="J1773" s="78"/>
    </row>
    <row r="1774" spans="1:10" hidden="1">
      <c r="A1774" s="853"/>
      <c r="B1774" s="61" t="s">
        <v>818</v>
      </c>
      <c r="C1774" s="125"/>
      <c r="D1774" s="61"/>
      <c r="E1774" s="61"/>
      <c r="F1774" s="61"/>
      <c r="G1774" s="222" t="s">
        <v>1697</v>
      </c>
      <c r="H1774" s="251">
        <f>0.4%*H1773</f>
        <v>1.2</v>
      </c>
      <c r="I1774" s="61" t="s">
        <v>3478</v>
      </c>
      <c r="J1774" s="78"/>
    </row>
    <row r="1775" spans="1:10" hidden="1">
      <c r="B1775" s="26" t="s">
        <v>407</v>
      </c>
      <c r="J1775" s="78"/>
    </row>
    <row r="1776" spans="1:10" hidden="1">
      <c r="B1776" s="26" t="s">
        <v>4185</v>
      </c>
      <c r="H1776" s="68">
        <v>30</v>
      </c>
      <c r="I1776" s="26" t="s">
        <v>3477</v>
      </c>
      <c r="J1776" s="78"/>
    </row>
    <row r="1777" spans="2:10" hidden="1">
      <c r="B1777" s="26" t="s">
        <v>3000</v>
      </c>
      <c r="I1777" s="171"/>
      <c r="J1777" s="78"/>
    </row>
    <row r="1778" spans="2:10" hidden="1">
      <c r="B1778" s="26" t="s">
        <v>3001</v>
      </c>
      <c r="H1778" s="68">
        <v>51.4</v>
      </c>
      <c r="I1778" s="26" t="s">
        <v>3477</v>
      </c>
      <c r="J1778" s="78"/>
    </row>
    <row r="1779" spans="2:10" hidden="1">
      <c r="B1779" s="26" t="s">
        <v>801</v>
      </c>
      <c r="I1779" s="171"/>
      <c r="J1779" s="78"/>
    </row>
    <row r="1780" spans="2:10" hidden="1">
      <c r="B1780" s="26" t="s">
        <v>802</v>
      </c>
      <c r="G1780" s="171" t="s">
        <v>1697</v>
      </c>
      <c r="H1780" s="26" t="s">
        <v>803</v>
      </c>
      <c r="I1780" s="26" t="s">
        <v>3477</v>
      </c>
      <c r="J1780" s="78"/>
    </row>
    <row r="1781" spans="2:10" hidden="1">
      <c r="B1781" s="26" t="s">
        <v>607</v>
      </c>
      <c r="I1781" s="171"/>
      <c r="J1781" s="78"/>
    </row>
    <row r="1782" spans="2:10" hidden="1">
      <c r="B1782" s="26" t="s">
        <v>6984</v>
      </c>
      <c r="G1782" s="171" t="s">
        <v>1697</v>
      </c>
      <c r="H1782" s="68">
        <v>1.5</v>
      </c>
      <c r="I1782" s="26" t="s">
        <v>3477</v>
      </c>
      <c r="J1782" s="78"/>
    </row>
    <row r="1783" spans="2:10" hidden="1">
      <c r="B1783" s="26" t="s">
        <v>6985</v>
      </c>
      <c r="G1783" s="171" t="s">
        <v>1697</v>
      </c>
      <c r="H1783" s="68">
        <v>0.25</v>
      </c>
      <c r="I1783" s="26" t="s">
        <v>6900</v>
      </c>
      <c r="J1783" s="78"/>
    </row>
    <row r="1784" spans="2:10" hidden="1">
      <c r="B1784" s="26" t="s">
        <v>7600</v>
      </c>
      <c r="E1784" s="68">
        <v>2.1</v>
      </c>
      <c r="F1784" s="26" t="s">
        <v>6986</v>
      </c>
      <c r="G1784" s="171" t="s">
        <v>1697</v>
      </c>
      <c r="H1784" s="173">
        <f>E1784*1.5</f>
        <v>3.1500000000000004</v>
      </c>
      <c r="I1784" s="26" t="s">
        <v>6900</v>
      </c>
      <c r="J1784" s="78"/>
    </row>
    <row r="1785" spans="2:10" hidden="1">
      <c r="F1785" s="26" t="s">
        <v>1518</v>
      </c>
      <c r="G1785" s="171" t="s">
        <v>1697</v>
      </c>
      <c r="H1785" s="205">
        <f>SUM(H1783:H1784)</f>
        <v>3.4000000000000004</v>
      </c>
      <c r="I1785" s="26" t="s">
        <v>3480</v>
      </c>
      <c r="J1785" s="78"/>
    </row>
    <row r="1786" spans="2:10" hidden="1">
      <c r="B1786" s="26" t="s">
        <v>6987</v>
      </c>
      <c r="I1786" s="171"/>
      <c r="J1786" s="78"/>
    </row>
    <row r="1787" spans="2:10" hidden="1">
      <c r="B1787" s="26" t="s">
        <v>3814</v>
      </c>
      <c r="G1787" s="171" t="s">
        <v>1697</v>
      </c>
      <c r="H1787" s="68">
        <v>0.5</v>
      </c>
      <c r="I1787" s="26" t="s">
        <v>2603</v>
      </c>
      <c r="J1787" s="78"/>
    </row>
    <row r="1788" spans="2:10" hidden="1">
      <c r="B1788" s="26" t="s">
        <v>3815</v>
      </c>
      <c r="G1788" s="171" t="s">
        <v>1697</v>
      </c>
      <c r="H1788" s="68">
        <v>1</v>
      </c>
      <c r="I1788" s="26" t="s">
        <v>2603</v>
      </c>
      <c r="J1788" s="78"/>
    </row>
    <row r="1789" spans="2:10" hidden="1">
      <c r="B1789" s="26" t="s">
        <v>3816</v>
      </c>
      <c r="G1789" s="171" t="s">
        <v>1697</v>
      </c>
      <c r="H1789" s="68">
        <v>1.5</v>
      </c>
      <c r="I1789" s="26" t="s">
        <v>2603</v>
      </c>
      <c r="J1789" s="78"/>
    </row>
    <row r="1790" spans="2:10" hidden="1">
      <c r="B1790" s="26" t="s">
        <v>3817</v>
      </c>
      <c r="G1790" s="171" t="s">
        <v>1697</v>
      </c>
      <c r="H1790" s="68">
        <v>0.5</v>
      </c>
      <c r="I1790" s="26" t="s">
        <v>2603</v>
      </c>
      <c r="J1790" s="78"/>
    </row>
    <row r="1791" spans="2:10" hidden="1">
      <c r="B1791" s="26" t="s">
        <v>3818</v>
      </c>
      <c r="G1791" s="171" t="s">
        <v>1697</v>
      </c>
      <c r="H1791" s="173">
        <v>0.5</v>
      </c>
      <c r="I1791" s="26" t="s">
        <v>2603</v>
      </c>
      <c r="J1791" s="78"/>
    </row>
    <row r="1792" spans="2:10" hidden="1">
      <c r="F1792" s="26" t="s">
        <v>1518</v>
      </c>
      <c r="G1792" s="171" t="s">
        <v>1697</v>
      </c>
      <c r="H1792" s="252">
        <f>SUM(H1787:H1791)</f>
        <v>4</v>
      </c>
      <c r="I1792" s="26" t="s">
        <v>2603</v>
      </c>
      <c r="J1792" s="78"/>
    </row>
    <row r="1793" spans="2:10" hidden="1">
      <c r="B1793" s="26" t="s">
        <v>3819</v>
      </c>
      <c r="I1793" s="171"/>
      <c r="J1793" s="78"/>
    </row>
    <row r="1794" spans="2:10" hidden="1">
      <c r="B1794" s="26" t="s">
        <v>6104</v>
      </c>
      <c r="G1794" s="171" t="s">
        <v>1697</v>
      </c>
      <c r="H1794" s="68">
        <v>15</v>
      </c>
      <c r="I1794" s="26" t="s">
        <v>3477</v>
      </c>
      <c r="J1794" s="78"/>
    </row>
    <row r="1795" spans="2:10" hidden="1">
      <c r="B1795" s="26" t="s">
        <v>6105</v>
      </c>
      <c r="G1795" s="171"/>
      <c r="J1795" s="78"/>
    </row>
    <row r="1796" spans="2:10" hidden="1">
      <c r="B1796" s="26" t="s">
        <v>5569</v>
      </c>
      <c r="G1796" s="171"/>
      <c r="J1796" s="78"/>
    </row>
    <row r="1797" spans="2:10" hidden="1">
      <c r="B1797" s="26" t="s">
        <v>6144</v>
      </c>
      <c r="G1797" s="171" t="s">
        <v>1697</v>
      </c>
      <c r="H1797" s="68">
        <v>0.5</v>
      </c>
      <c r="I1797" s="26" t="s">
        <v>2603</v>
      </c>
      <c r="J1797" s="78"/>
    </row>
    <row r="1798" spans="2:10" hidden="1">
      <c r="B1798" s="26" t="s">
        <v>6145</v>
      </c>
      <c r="G1798" s="171" t="s">
        <v>1697</v>
      </c>
      <c r="H1798" s="68">
        <v>0.5</v>
      </c>
      <c r="I1798" s="26" t="s">
        <v>2603</v>
      </c>
      <c r="J1798" s="78"/>
    </row>
    <row r="1799" spans="2:10" hidden="1">
      <c r="B1799" s="26" t="s">
        <v>6146</v>
      </c>
      <c r="G1799" s="171" t="s">
        <v>1697</v>
      </c>
      <c r="H1799" s="68">
        <v>2</v>
      </c>
      <c r="I1799" s="26" t="s">
        <v>2603</v>
      </c>
      <c r="J1799" s="78"/>
    </row>
    <row r="1800" spans="2:10" hidden="1">
      <c r="B1800" s="26" t="s">
        <v>3347</v>
      </c>
      <c r="G1800" s="171" t="s">
        <v>1697</v>
      </c>
      <c r="H1800" s="68">
        <v>4</v>
      </c>
      <c r="I1800" s="26" t="s">
        <v>2603</v>
      </c>
      <c r="J1800" s="78"/>
    </row>
    <row r="1801" spans="2:10" hidden="1">
      <c r="B1801" s="26" t="s">
        <v>3348</v>
      </c>
      <c r="G1801" s="171" t="s">
        <v>1697</v>
      </c>
      <c r="H1801" s="173">
        <v>2</v>
      </c>
      <c r="I1801" s="26" t="s">
        <v>2603</v>
      </c>
      <c r="J1801" s="78"/>
    </row>
    <row r="1802" spans="2:10" hidden="1">
      <c r="F1802" s="26" t="s">
        <v>1518</v>
      </c>
      <c r="G1802" s="171" t="s">
        <v>1697</v>
      </c>
      <c r="H1802" s="205">
        <f>SUM(H1797:H1801)</f>
        <v>9</v>
      </c>
      <c r="I1802" s="26" t="s">
        <v>2603</v>
      </c>
      <c r="J1802" s="78"/>
    </row>
    <row r="1803" spans="2:10" hidden="1">
      <c r="B1803" s="26" t="s">
        <v>3349</v>
      </c>
      <c r="H1803" s="26">
        <v>8.33</v>
      </c>
      <c r="I1803" s="26" t="s">
        <v>3477</v>
      </c>
      <c r="J1803" s="78"/>
    </row>
    <row r="1804" spans="2:10" hidden="1">
      <c r="B1804" s="26" t="s">
        <v>3157</v>
      </c>
      <c r="J1804" s="78"/>
    </row>
    <row r="1805" spans="2:10" hidden="1">
      <c r="B1805" s="26" t="s">
        <v>3158</v>
      </c>
      <c r="J1805" s="78"/>
    </row>
    <row r="1806" spans="2:10" hidden="1">
      <c r="B1806" s="26" t="s">
        <v>3159</v>
      </c>
      <c r="J1806" s="78"/>
    </row>
    <row r="1807" spans="2:10" hidden="1">
      <c r="B1807" s="26" t="s">
        <v>3160</v>
      </c>
      <c r="H1807" s="26">
        <v>240</v>
      </c>
      <c r="I1807" s="26" t="s">
        <v>3477</v>
      </c>
      <c r="J1807" s="78"/>
    </row>
    <row r="1808" spans="2:10" hidden="1">
      <c r="B1808" s="26" t="s">
        <v>3161</v>
      </c>
      <c r="J1808" s="78"/>
    </row>
    <row r="1809" spans="2:10" hidden="1">
      <c r="B1809" s="26" t="s">
        <v>5572</v>
      </c>
      <c r="J1809" s="78"/>
    </row>
    <row r="1810" spans="2:10" hidden="1">
      <c r="B1810" s="26" t="s">
        <v>5573</v>
      </c>
      <c r="H1810" s="171" t="s">
        <v>1698</v>
      </c>
      <c r="I1810" s="117">
        <f>I1665</f>
        <v>216.74716368750001</v>
      </c>
      <c r="J1810" s="78"/>
    </row>
    <row r="1811" spans="2:10" hidden="1">
      <c r="B1811" s="26" t="s">
        <v>5574</v>
      </c>
      <c r="H1811" s="171" t="s">
        <v>1698</v>
      </c>
      <c r="I1811" s="117">
        <f>ROUND(1.5*I1810,2)</f>
        <v>325.12</v>
      </c>
      <c r="J1811" s="78"/>
    </row>
    <row r="1812" spans="2:10" hidden="1">
      <c r="B1812" s="26" t="s">
        <v>5575</v>
      </c>
      <c r="I1812" s="171"/>
      <c r="J1812" s="78"/>
    </row>
    <row r="1813" spans="2:10" hidden="1">
      <c r="B1813" s="26" t="s">
        <v>3350</v>
      </c>
      <c r="J1813" s="78"/>
    </row>
    <row r="1814" spans="2:10" hidden="1">
      <c r="B1814" s="26" t="s">
        <v>4189</v>
      </c>
      <c r="H1814" s="68">
        <v>2</v>
      </c>
      <c r="I1814" s="26" t="s">
        <v>2059</v>
      </c>
      <c r="J1814" s="78"/>
    </row>
    <row r="1815" spans="2:10" hidden="1">
      <c r="B1815" s="26" t="s">
        <v>4190</v>
      </c>
      <c r="H1815" s="68">
        <v>4</v>
      </c>
      <c r="I1815" s="26" t="s">
        <v>2059</v>
      </c>
      <c r="J1815" s="78"/>
    </row>
    <row r="1816" spans="2:10" hidden="1">
      <c r="B1816" s="26" t="s">
        <v>6447</v>
      </c>
      <c r="G1816" s="171" t="s">
        <v>1697</v>
      </c>
      <c r="H1816" s="68">
        <v>2</v>
      </c>
      <c r="I1816" s="26" t="s">
        <v>2059</v>
      </c>
      <c r="J1816" s="78"/>
    </row>
    <row r="1817" spans="2:10" hidden="1">
      <c r="B1817" s="26" t="s">
        <v>6448</v>
      </c>
      <c r="G1817" s="171" t="s">
        <v>1697</v>
      </c>
      <c r="H1817" s="68">
        <v>2</v>
      </c>
      <c r="I1817" s="26" t="s">
        <v>2059</v>
      </c>
      <c r="J1817" s="78"/>
    </row>
    <row r="1818" spans="2:10" hidden="1">
      <c r="B1818" s="26" t="s">
        <v>6449</v>
      </c>
      <c r="G1818" s="171" t="s">
        <v>1697</v>
      </c>
      <c r="H1818" s="68">
        <v>2</v>
      </c>
      <c r="I1818" s="26" t="s">
        <v>2059</v>
      </c>
      <c r="J1818" s="78"/>
    </row>
    <row r="1819" spans="2:10" hidden="1">
      <c r="B1819" s="26" t="s">
        <v>6450</v>
      </c>
      <c r="G1819" s="171" t="s">
        <v>1697</v>
      </c>
      <c r="H1819" s="68">
        <v>6</v>
      </c>
      <c r="I1819" s="26" t="s">
        <v>2059</v>
      </c>
      <c r="J1819" s="78"/>
    </row>
    <row r="1820" spans="2:10" hidden="1">
      <c r="B1820" s="26" t="s">
        <v>5170</v>
      </c>
      <c r="G1820" s="171" t="s">
        <v>1697</v>
      </c>
      <c r="H1820" s="68">
        <v>2</v>
      </c>
      <c r="I1820" s="26" t="s">
        <v>2059</v>
      </c>
      <c r="J1820" s="78"/>
    </row>
    <row r="1821" spans="2:10" hidden="1">
      <c r="B1821" s="26" t="s">
        <v>4504</v>
      </c>
      <c r="H1821" s="171" t="s">
        <v>1698</v>
      </c>
      <c r="I1821" s="117">
        <f>I1676</f>
        <v>88.5</v>
      </c>
      <c r="J1821" s="78"/>
    </row>
    <row r="1822" spans="2:10" hidden="1">
      <c r="B1822" s="26" t="s">
        <v>3249</v>
      </c>
      <c r="I1822" s="171"/>
      <c r="J1822" s="78"/>
    </row>
    <row r="1823" spans="2:10" hidden="1">
      <c r="B1823" s="26" t="s">
        <v>4457</v>
      </c>
      <c r="I1823" s="171"/>
      <c r="J1823" s="78"/>
    </row>
    <row r="1824" spans="2:10" hidden="1">
      <c r="B1824" s="26" t="s">
        <v>4458</v>
      </c>
      <c r="I1824" s="171"/>
      <c r="J1824" s="78"/>
    </row>
    <row r="1825" spans="1:10" hidden="1">
      <c r="B1825" s="26" t="s">
        <v>4459</v>
      </c>
      <c r="H1825" s="171" t="s">
        <v>1698</v>
      </c>
      <c r="I1825" s="117">
        <f>1.5*I1821</f>
        <v>132.75</v>
      </c>
      <c r="J1825" s="78"/>
    </row>
    <row r="1826" spans="1:10" hidden="1">
      <c r="J1826" s="78"/>
    </row>
    <row r="1827" spans="1:10">
      <c r="J1827" s="78"/>
    </row>
    <row r="1828" spans="1:10">
      <c r="A1828" s="822" t="s">
        <v>3984</v>
      </c>
      <c r="E1828" s="170" t="s">
        <v>2367</v>
      </c>
      <c r="J1828" s="78"/>
    </row>
    <row r="1829" spans="1:10">
      <c r="G1829" s="68"/>
      <c r="H1829" s="171" t="s">
        <v>1188</v>
      </c>
      <c r="J1829" s="78"/>
    </row>
    <row r="1830" spans="1:10">
      <c r="B1830" s="170" t="s">
        <v>2368</v>
      </c>
      <c r="H1830" s="211">
        <f>H1807</f>
        <v>240</v>
      </c>
      <c r="I1830" s="26" t="s">
        <v>6901</v>
      </c>
      <c r="J1830" s="78"/>
    </row>
    <row r="1831" spans="1:10">
      <c r="B1831" s="95" t="s">
        <v>2369</v>
      </c>
      <c r="C1831" s="153"/>
      <c r="D1831" s="157" t="s">
        <v>4443</v>
      </c>
      <c r="E1831" s="97"/>
      <c r="F1831" s="95" t="s">
        <v>2370</v>
      </c>
      <c r="G1831" s="95" t="s">
        <v>1166</v>
      </c>
      <c r="H1831" s="97" t="s">
        <v>6664</v>
      </c>
      <c r="I1831" s="97" t="s">
        <v>6665</v>
      </c>
      <c r="J1831" s="78"/>
    </row>
    <row r="1832" spans="1:10">
      <c r="B1832" s="191"/>
      <c r="C1832" s="139"/>
      <c r="D1832" s="174"/>
      <c r="E1832" s="192"/>
      <c r="F1832" s="191"/>
      <c r="G1832" s="114"/>
      <c r="H1832" s="115" t="s">
        <v>3856</v>
      </c>
      <c r="I1832" s="115" t="s">
        <v>3857</v>
      </c>
      <c r="J1832" s="78"/>
    </row>
    <row r="1833" spans="1:10">
      <c r="B1833" s="95">
        <v>1</v>
      </c>
      <c r="C1833" s="131" t="s">
        <v>1048</v>
      </c>
      <c r="D1833" s="187"/>
      <c r="E1833" s="195"/>
      <c r="F1833" s="107" t="s">
        <v>3478</v>
      </c>
      <c r="G1833" s="179">
        <f>H1773*H1830</f>
        <v>72000</v>
      </c>
      <c r="H1833" s="218">
        <f>'BASIC DATA'!$D$32/1000</f>
        <v>5.35</v>
      </c>
      <c r="I1833" s="155">
        <f>ROUND(H1833*G1833,2)</f>
        <v>385200</v>
      </c>
      <c r="J1833" s="78"/>
    </row>
    <row r="1834" spans="1:10">
      <c r="B1834" s="95"/>
      <c r="C1834" s="135" t="s">
        <v>7212</v>
      </c>
      <c r="D1834" s="31"/>
      <c r="E1834" s="189"/>
      <c r="F1834" s="210" t="s">
        <v>3478</v>
      </c>
      <c r="G1834" s="190">
        <f>H1830*3</f>
        <v>720</v>
      </c>
      <c r="H1834" s="218">
        <f>'BASIC DATA'!$D$32/1000</f>
        <v>5.35</v>
      </c>
      <c r="I1834" s="155">
        <f t="shared" ref="I1834:I1841" si="22">ROUND(H1834*G1834,2)</f>
        <v>3852</v>
      </c>
      <c r="J1834" s="78"/>
    </row>
    <row r="1835" spans="1:10">
      <c r="B1835" s="95">
        <v>2</v>
      </c>
      <c r="C1835" s="135" t="s">
        <v>6997</v>
      </c>
      <c r="D1835" s="31"/>
      <c r="E1835" s="189"/>
      <c r="F1835" s="210" t="s">
        <v>3477</v>
      </c>
      <c r="G1835" s="190">
        <f>H1830*0.9*0.4</f>
        <v>86.4</v>
      </c>
      <c r="H1835" s="220">
        <f>'BASIC DATA'!$D$37</f>
        <v>650</v>
      </c>
      <c r="I1835" s="155">
        <f t="shared" si="22"/>
        <v>56160</v>
      </c>
      <c r="J1835" s="78"/>
    </row>
    <row r="1836" spans="1:10">
      <c r="B1836" s="105"/>
      <c r="C1836" s="135" t="s">
        <v>6996</v>
      </c>
      <c r="D1836" s="31"/>
      <c r="E1836" s="189"/>
      <c r="F1836" s="210" t="s">
        <v>3477</v>
      </c>
      <c r="G1836" s="190">
        <f>H1830*0.9*0.3</f>
        <v>64.8</v>
      </c>
      <c r="H1836" s="220">
        <f>'BASIC DATA'!$D$36</f>
        <v>1175</v>
      </c>
      <c r="I1836" s="155">
        <f t="shared" si="22"/>
        <v>76140</v>
      </c>
      <c r="J1836" s="78"/>
    </row>
    <row r="1837" spans="1:10">
      <c r="B1837" s="105"/>
      <c r="C1837" s="135" t="s">
        <v>6995</v>
      </c>
      <c r="D1837" s="31"/>
      <c r="E1837" s="189"/>
      <c r="F1837" s="210" t="s">
        <v>3477</v>
      </c>
      <c r="G1837" s="190">
        <f>H1830*0.9*0.2</f>
        <v>43.2</v>
      </c>
      <c r="H1837" s="220">
        <f>'BASIC DATA'!$D$35</f>
        <v>1225</v>
      </c>
      <c r="I1837" s="155">
        <f t="shared" si="22"/>
        <v>52920</v>
      </c>
      <c r="J1837" s="78"/>
    </row>
    <row r="1838" spans="1:10">
      <c r="B1838" s="105"/>
      <c r="C1838" s="135" t="s">
        <v>1050</v>
      </c>
      <c r="D1838" s="31"/>
      <c r="E1838" s="189"/>
      <c r="F1838" s="210" t="s">
        <v>3477</v>
      </c>
      <c r="G1838" s="190">
        <f>H1830*0.9*0.1</f>
        <v>21.6</v>
      </c>
      <c r="H1838" s="220">
        <f>'BASIC DATA'!$D$34</f>
        <v>900</v>
      </c>
      <c r="I1838" s="155">
        <f t="shared" si="22"/>
        <v>19440</v>
      </c>
      <c r="J1838" s="78"/>
    </row>
    <row r="1839" spans="1:10">
      <c r="A1839" s="853"/>
      <c r="B1839" s="240">
        <v>3</v>
      </c>
      <c r="C1839" s="101" t="s">
        <v>7935</v>
      </c>
      <c r="D1839" s="60"/>
      <c r="E1839" s="253"/>
      <c r="F1839" s="254" t="s">
        <v>3477</v>
      </c>
      <c r="G1839" s="255">
        <f>H1830*0.4</f>
        <v>96</v>
      </c>
      <c r="H1839" s="256">
        <f>'BASIC DATA'!$D$55</f>
        <v>95</v>
      </c>
      <c r="I1839" s="244">
        <f t="shared" si="22"/>
        <v>9120</v>
      </c>
      <c r="J1839" s="62"/>
    </row>
    <row r="1840" spans="1:10">
      <c r="A1840" s="853"/>
      <c r="B1840" s="237">
        <v>4</v>
      </c>
      <c r="C1840" s="101" t="s">
        <v>4460</v>
      </c>
      <c r="D1840" s="60"/>
      <c r="E1840" s="253"/>
      <c r="F1840" s="254" t="s">
        <v>3478</v>
      </c>
      <c r="G1840" s="255">
        <f>H1774*H1830</f>
        <v>288</v>
      </c>
      <c r="H1840" s="256">
        <f>'BASIC DATA'!$D$99</f>
        <v>55</v>
      </c>
      <c r="I1840" s="155">
        <f t="shared" si="22"/>
        <v>15840</v>
      </c>
      <c r="J1840" s="78"/>
    </row>
    <row r="1841" spans="2:10">
      <c r="B1841" s="114">
        <v>5</v>
      </c>
      <c r="C1841" s="89" t="s">
        <v>5315</v>
      </c>
      <c r="D1841" s="174"/>
      <c r="E1841" s="192"/>
      <c r="F1841" s="191" t="s">
        <v>3479</v>
      </c>
      <c r="G1841" s="182">
        <f>0.5*H1830</f>
        <v>120</v>
      </c>
      <c r="H1841" s="257">
        <f>I1811</f>
        <v>325.12</v>
      </c>
      <c r="I1841" s="84">
        <f t="shared" si="22"/>
        <v>39014.400000000001</v>
      </c>
      <c r="J1841" s="78"/>
    </row>
    <row r="1842" spans="2:10">
      <c r="B1842" s="154"/>
      <c r="C1842" s="151"/>
      <c r="D1842" s="159"/>
      <c r="E1842" s="159" t="s">
        <v>2376</v>
      </c>
      <c r="F1842" s="159"/>
      <c r="G1842" s="159"/>
      <c r="H1842" s="208" t="s">
        <v>1698</v>
      </c>
      <c r="I1842" s="209">
        <f>SUM(I1833:I1841)</f>
        <v>657686.4</v>
      </c>
      <c r="J1842" s="78"/>
    </row>
    <row r="1843" spans="2:10">
      <c r="C1843" s="76"/>
      <c r="D1843" s="31"/>
      <c r="E1843" s="31"/>
      <c r="F1843" s="31"/>
      <c r="G1843" s="31"/>
      <c r="H1843" s="200"/>
      <c r="I1843" s="31"/>
      <c r="J1843" s="78"/>
    </row>
    <row r="1844" spans="2:10">
      <c r="B1844" s="170" t="s">
        <v>2377</v>
      </c>
      <c r="J1844" s="78"/>
    </row>
    <row r="1845" spans="2:10">
      <c r="B1845" s="95" t="s">
        <v>2369</v>
      </c>
      <c r="C1845" s="153"/>
      <c r="D1845" s="157" t="s">
        <v>2378</v>
      </c>
      <c r="E1845" s="97"/>
      <c r="F1845" s="95" t="s">
        <v>2370</v>
      </c>
      <c r="G1845" s="95" t="s">
        <v>1166</v>
      </c>
      <c r="H1845" s="95" t="s">
        <v>6664</v>
      </c>
      <c r="I1845" s="97" t="s">
        <v>6665</v>
      </c>
      <c r="J1845" s="78"/>
    </row>
    <row r="1846" spans="2:10">
      <c r="B1846" s="191"/>
      <c r="C1846" s="139"/>
      <c r="D1846" s="174"/>
      <c r="E1846" s="192"/>
      <c r="F1846" s="191"/>
      <c r="G1846" s="114"/>
      <c r="H1846" s="114" t="s">
        <v>3856</v>
      </c>
      <c r="I1846" s="115" t="s">
        <v>3857</v>
      </c>
      <c r="J1846" s="78"/>
    </row>
    <row r="1847" spans="2:10">
      <c r="B1847" s="95">
        <v>1</v>
      </c>
      <c r="C1847" s="131" t="s">
        <v>2135</v>
      </c>
      <c r="D1847" s="187"/>
      <c r="E1847" s="195"/>
      <c r="F1847" s="107" t="s">
        <v>2374</v>
      </c>
      <c r="G1847" s="179">
        <v>8</v>
      </c>
      <c r="H1847" s="179">
        <f>'HIRE CHARGES'!$D$502</f>
        <v>620.70000000000005</v>
      </c>
      <c r="I1847" s="155">
        <f>ROUND(H1847*G1847,2)</f>
        <v>4965.6000000000004</v>
      </c>
      <c r="J1847" s="78"/>
    </row>
    <row r="1848" spans="2:10">
      <c r="B1848" s="105"/>
      <c r="C1848" s="135" t="s">
        <v>2379</v>
      </c>
      <c r="D1848" s="31"/>
      <c r="E1848" s="189"/>
      <c r="F1848" s="210" t="s">
        <v>2374</v>
      </c>
      <c r="G1848" s="190">
        <v>8</v>
      </c>
      <c r="H1848" s="190">
        <f>'HIRE CHARGES'!$E$502</f>
        <v>308.2</v>
      </c>
      <c r="I1848" s="155">
        <f t="shared" ref="I1848:I1861" si="23">ROUND(H1848*G1848,2)</f>
        <v>2465.6</v>
      </c>
      <c r="J1848" s="78"/>
    </row>
    <row r="1849" spans="2:10">
      <c r="B1849" s="105">
        <v>2</v>
      </c>
      <c r="C1849" s="135" t="s">
        <v>4462</v>
      </c>
      <c r="D1849" s="31"/>
      <c r="E1849" s="189"/>
      <c r="F1849" s="210" t="s">
        <v>2374</v>
      </c>
      <c r="G1849" s="190">
        <v>8</v>
      </c>
      <c r="H1849" s="190">
        <f>'HIRE CHARGES'!$D$495</f>
        <v>131.9</v>
      </c>
      <c r="I1849" s="155">
        <f t="shared" si="23"/>
        <v>1055.2</v>
      </c>
      <c r="J1849" s="78"/>
    </row>
    <row r="1850" spans="2:10">
      <c r="B1850" s="105"/>
      <c r="C1850" s="135" t="s">
        <v>2379</v>
      </c>
      <c r="D1850" s="31"/>
      <c r="E1850" s="189"/>
      <c r="F1850" s="210" t="s">
        <v>2374</v>
      </c>
      <c r="G1850" s="190">
        <v>8</v>
      </c>
      <c r="H1850" s="190">
        <f>'HIRE CHARGES'!$E$495</f>
        <v>252.2</v>
      </c>
      <c r="I1850" s="155">
        <f t="shared" si="23"/>
        <v>2017.6</v>
      </c>
      <c r="J1850" s="78"/>
    </row>
    <row r="1851" spans="2:10">
      <c r="B1851" s="105">
        <v>3</v>
      </c>
      <c r="C1851" s="135" t="s">
        <v>2087</v>
      </c>
      <c r="D1851" s="31"/>
      <c r="E1851" s="189"/>
      <c r="F1851" s="210" t="s">
        <v>2374</v>
      </c>
      <c r="G1851" s="190">
        <v>32</v>
      </c>
      <c r="H1851" s="190">
        <f>'HIRE CHARGES'!$D$545</f>
        <v>446.7</v>
      </c>
      <c r="I1851" s="155">
        <f t="shared" si="23"/>
        <v>14294.4</v>
      </c>
      <c r="J1851" s="78"/>
    </row>
    <row r="1852" spans="2:10">
      <c r="B1852" s="105"/>
      <c r="C1852" s="135" t="s">
        <v>2379</v>
      </c>
      <c r="D1852" s="31"/>
      <c r="E1852" s="189"/>
      <c r="F1852" s="210" t="s">
        <v>2374</v>
      </c>
      <c r="G1852" s="190">
        <v>32</v>
      </c>
      <c r="H1852" s="190">
        <f>'HIRE CHARGES'!$E$545</f>
        <v>299.89999999999998</v>
      </c>
      <c r="I1852" s="155">
        <f t="shared" si="23"/>
        <v>9596.7999999999993</v>
      </c>
      <c r="J1852" s="78"/>
    </row>
    <row r="1853" spans="2:10">
      <c r="B1853" s="105">
        <v>4</v>
      </c>
      <c r="C1853" s="135" t="s">
        <v>4463</v>
      </c>
      <c r="D1853" s="31"/>
      <c r="E1853" s="189"/>
      <c r="F1853" s="210" t="s">
        <v>2374</v>
      </c>
      <c r="G1853" s="221">
        <v>16</v>
      </c>
      <c r="H1853" s="190">
        <f>'HIRE CHARGES'!$D$547</f>
        <v>867.1</v>
      </c>
      <c r="I1853" s="155">
        <f t="shared" si="23"/>
        <v>13873.6</v>
      </c>
      <c r="J1853" s="78"/>
    </row>
    <row r="1854" spans="2:10">
      <c r="B1854" s="105"/>
      <c r="C1854" s="135" t="s">
        <v>2379</v>
      </c>
      <c r="D1854" s="31"/>
      <c r="E1854" s="189"/>
      <c r="F1854" s="210" t="s">
        <v>2374</v>
      </c>
      <c r="G1854" s="190">
        <v>16</v>
      </c>
      <c r="H1854" s="190">
        <f>'HIRE CHARGES'!$E$547</f>
        <v>145.69999999999999</v>
      </c>
      <c r="I1854" s="155">
        <f t="shared" si="23"/>
        <v>2331.1999999999998</v>
      </c>
      <c r="J1854" s="78"/>
    </row>
    <row r="1855" spans="2:10">
      <c r="B1855" s="105">
        <v>5</v>
      </c>
      <c r="C1855" s="135" t="s">
        <v>4464</v>
      </c>
      <c r="D1855" s="31"/>
      <c r="E1855" s="189"/>
      <c r="F1855" s="210" t="s">
        <v>2374</v>
      </c>
      <c r="G1855" s="190">
        <v>40</v>
      </c>
      <c r="H1855" s="190">
        <f>'HIRE CHARGES'!$D$505</f>
        <v>15.8</v>
      </c>
      <c r="I1855" s="155">
        <f>ROUND(H1855*G1855,2)</f>
        <v>632</v>
      </c>
      <c r="J1855" s="78"/>
    </row>
    <row r="1856" spans="2:10">
      <c r="B1856" s="105"/>
      <c r="C1856" s="135" t="s">
        <v>2379</v>
      </c>
      <c r="D1856" s="31"/>
      <c r="E1856" s="189"/>
      <c r="F1856" s="210" t="s">
        <v>2374</v>
      </c>
      <c r="G1856" s="190">
        <v>40</v>
      </c>
      <c r="H1856" s="190">
        <f>'HIRE CHARGES'!$E$505</f>
        <v>0</v>
      </c>
      <c r="I1856" s="155">
        <f t="shared" si="23"/>
        <v>0</v>
      </c>
      <c r="J1856" s="78"/>
    </row>
    <row r="1857" spans="2:10">
      <c r="B1857" s="105">
        <v>6</v>
      </c>
      <c r="C1857" s="135" t="s">
        <v>383</v>
      </c>
      <c r="D1857" s="31"/>
      <c r="E1857" s="189"/>
      <c r="F1857" s="210" t="s">
        <v>2374</v>
      </c>
      <c r="G1857" s="190">
        <v>8</v>
      </c>
      <c r="H1857" s="190">
        <f>'HIRE CHARGES'!$D$520</f>
        <v>6.7</v>
      </c>
      <c r="I1857" s="155">
        <f t="shared" si="23"/>
        <v>53.6</v>
      </c>
      <c r="J1857" s="78"/>
    </row>
    <row r="1858" spans="2:10">
      <c r="B1858" s="105"/>
      <c r="C1858" s="135" t="s">
        <v>2379</v>
      </c>
      <c r="D1858" s="31"/>
      <c r="E1858" s="189"/>
      <c r="F1858" s="210" t="s">
        <v>2374</v>
      </c>
      <c r="G1858" s="190">
        <v>8</v>
      </c>
      <c r="H1858" s="190">
        <f>'HIRE CHARGES'!$E$520</f>
        <v>56</v>
      </c>
      <c r="I1858" s="155">
        <f t="shared" si="23"/>
        <v>448</v>
      </c>
      <c r="J1858" s="78"/>
    </row>
    <row r="1859" spans="2:10">
      <c r="B1859" s="105">
        <v>7</v>
      </c>
      <c r="C1859" s="135" t="s">
        <v>4465</v>
      </c>
      <c r="D1859" s="31"/>
      <c r="E1859" s="189"/>
      <c r="F1859" s="210" t="s">
        <v>2374</v>
      </c>
      <c r="G1859" s="190">
        <v>16</v>
      </c>
      <c r="H1859" s="190">
        <f>'HIRE CHARGES'!$D$534</f>
        <v>9.6999999999999993</v>
      </c>
      <c r="I1859" s="155">
        <f t="shared" si="23"/>
        <v>155.19999999999999</v>
      </c>
      <c r="J1859" s="78"/>
    </row>
    <row r="1860" spans="2:10">
      <c r="B1860" s="105"/>
      <c r="C1860" s="135" t="s">
        <v>2379</v>
      </c>
      <c r="D1860" s="31"/>
      <c r="E1860" s="189"/>
      <c r="F1860" s="210" t="s">
        <v>2374</v>
      </c>
      <c r="G1860" s="190">
        <v>16</v>
      </c>
      <c r="H1860" s="190">
        <f>'HIRE CHARGES'!$E$534</f>
        <v>8.4</v>
      </c>
      <c r="I1860" s="155">
        <f t="shared" si="23"/>
        <v>134.4</v>
      </c>
      <c r="J1860" s="78"/>
    </row>
    <row r="1861" spans="2:10">
      <c r="B1861" s="114">
        <v>8</v>
      </c>
      <c r="C1861" s="139" t="s">
        <v>2373</v>
      </c>
      <c r="D1861" s="174"/>
      <c r="E1861" s="192"/>
      <c r="F1861" s="191" t="s">
        <v>2173</v>
      </c>
      <c r="G1861" s="182">
        <v>10</v>
      </c>
      <c r="H1861" s="215">
        <f>'BASIC DATA'!$D$359</f>
        <v>30</v>
      </c>
      <c r="I1861" s="155">
        <f t="shared" si="23"/>
        <v>300</v>
      </c>
      <c r="J1861" s="78"/>
    </row>
    <row r="1862" spans="2:10">
      <c r="B1862" s="184"/>
      <c r="C1862" s="151"/>
      <c r="D1862" s="159"/>
      <c r="E1862" s="159" t="s">
        <v>2380</v>
      </c>
      <c r="F1862" s="159"/>
      <c r="G1862" s="159"/>
      <c r="H1862" s="208" t="s">
        <v>1698</v>
      </c>
      <c r="I1862" s="209">
        <f>SUM(I1847:I1861)</f>
        <v>52323.19999999999</v>
      </c>
      <c r="J1862" s="78"/>
    </row>
    <row r="1863" spans="2:10">
      <c r="C1863" s="76"/>
      <c r="D1863" s="31"/>
      <c r="E1863" s="31"/>
      <c r="F1863" s="31"/>
      <c r="G1863" s="31"/>
      <c r="H1863" s="31"/>
      <c r="I1863" s="31"/>
      <c r="J1863" s="78"/>
    </row>
    <row r="1864" spans="2:10">
      <c r="B1864" s="170" t="s">
        <v>2381</v>
      </c>
      <c r="J1864" s="78"/>
    </row>
    <row r="1865" spans="2:10">
      <c r="B1865" s="95" t="s">
        <v>2369</v>
      </c>
      <c r="C1865" s="153"/>
      <c r="D1865" s="157" t="s">
        <v>2378</v>
      </c>
      <c r="E1865" s="97"/>
      <c r="F1865" s="95" t="s">
        <v>2370</v>
      </c>
      <c r="G1865" s="95" t="s">
        <v>1166</v>
      </c>
      <c r="H1865" s="97" t="s">
        <v>6664</v>
      </c>
      <c r="I1865" s="97" t="s">
        <v>6665</v>
      </c>
      <c r="J1865" s="78"/>
    </row>
    <row r="1866" spans="2:10">
      <c r="B1866" s="191"/>
      <c r="C1866" s="139"/>
      <c r="D1866" s="174"/>
      <c r="E1866" s="192"/>
      <c r="F1866" s="191"/>
      <c r="G1866" s="114"/>
      <c r="H1866" s="115" t="s">
        <v>3856</v>
      </c>
      <c r="I1866" s="115" t="s">
        <v>3857</v>
      </c>
      <c r="J1866" s="78"/>
    </row>
    <row r="1867" spans="2:10">
      <c r="B1867" s="95">
        <v>1</v>
      </c>
      <c r="C1867" s="131" t="s">
        <v>158</v>
      </c>
      <c r="D1867" s="187"/>
      <c r="E1867" s="195"/>
      <c r="F1867" s="107" t="s">
        <v>2374</v>
      </c>
      <c r="G1867" s="179">
        <v>8</v>
      </c>
      <c r="H1867" s="178">
        <f>'HIRE CHARGES'!$F$502</f>
        <v>340.6</v>
      </c>
      <c r="I1867" s="155">
        <f>ROUND(H1867*G1867,2)</f>
        <v>2724.8</v>
      </c>
      <c r="J1867" s="78"/>
    </row>
    <row r="1868" spans="2:10">
      <c r="B1868" s="105">
        <v>2</v>
      </c>
      <c r="C1868" s="135" t="s">
        <v>4606</v>
      </c>
      <c r="D1868" s="31"/>
      <c r="E1868" s="189"/>
      <c r="F1868" s="210" t="s">
        <v>2374</v>
      </c>
      <c r="G1868" s="190">
        <v>8</v>
      </c>
      <c r="H1868" s="207">
        <f>'HIRE CHARGES'!$F$495</f>
        <v>164.8</v>
      </c>
      <c r="I1868" s="155">
        <f t="shared" ref="I1868:I1881" si="24">ROUND(H1868*G1868,2)</f>
        <v>1318.4</v>
      </c>
      <c r="J1868" s="78"/>
    </row>
    <row r="1869" spans="2:10">
      <c r="B1869" s="105">
        <v>3</v>
      </c>
      <c r="C1869" s="135" t="s">
        <v>4466</v>
      </c>
      <c r="D1869" s="31"/>
      <c r="E1869" s="189"/>
      <c r="F1869" s="210" t="s">
        <v>2374</v>
      </c>
      <c r="G1869" s="190">
        <v>32</v>
      </c>
      <c r="H1869" s="190">
        <f>'HIRE CHARGES'!$F$545</f>
        <v>177.5</v>
      </c>
      <c r="I1869" s="155">
        <f t="shared" si="24"/>
        <v>5680</v>
      </c>
      <c r="J1869" s="78"/>
    </row>
    <row r="1870" spans="2:10">
      <c r="B1870" s="105">
        <v>4</v>
      </c>
      <c r="C1870" s="135" t="s">
        <v>4467</v>
      </c>
      <c r="D1870" s="31"/>
      <c r="E1870" s="189"/>
      <c r="F1870" s="210" t="s">
        <v>2374</v>
      </c>
      <c r="G1870" s="190">
        <v>16</v>
      </c>
      <c r="H1870" s="178">
        <f>'HIRE CHARGES'!$F$547</f>
        <v>189.3</v>
      </c>
      <c r="I1870" s="155">
        <f t="shared" si="24"/>
        <v>3028.8</v>
      </c>
      <c r="J1870" s="78"/>
    </row>
    <row r="1871" spans="2:10">
      <c r="B1871" s="105">
        <v>5</v>
      </c>
      <c r="C1871" s="135" t="s">
        <v>999</v>
      </c>
      <c r="D1871" s="31"/>
      <c r="E1871" s="189"/>
      <c r="F1871" s="210" t="s">
        <v>2374</v>
      </c>
      <c r="G1871" s="190">
        <v>8</v>
      </c>
      <c r="H1871" s="207">
        <f>'HIRE CHARGES'!$F$520</f>
        <v>83.3</v>
      </c>
      <c r="I1871" s="155">
        <f t="shared" si="24"/>
        <v>666.4</v>
      </c>
      <c r="J1871" s="78"/>
    </row>
    <row r="1872" spans="2:10">
      <c r="B1872" s="105">
        <v>6</v>
      </c>
      <c r="C1872" s="135" t="s">
        <v>4468</v>
      </c>
      <c r="D1872" s="31"/>
      <c r="E1872" s="189"/>
      <c r="F1872" s="210" t="s">
        <v>2374</v>
      </c>
      <c r="G1872" s="190">
        <v>16</v>
      </c>
      <c r="H1872" s="207">
        <f>'HIRE CHARGES'!$F$534</f>
        <v>158.19999999999999</v>
      </c>
      <c r="I1872" s="155">
        <f t="shared" si="24"/>
        <v>2531.1999999999998</v>
      </c>
      <c r="J1872" s="78"/>
    </row>
    <row r="1873" spans="2:10">
      <c r="B1873" s="105">
        <v>7</v>
      </c>
      <c r="C1873" s="135" t="s">
        <v>440</v>
      </c>
      <c r="D1873" s="31"/>
      <c r="E1873" s="189"/>
      <c r="F1873" s="210" t="s">
        <v>1172</v>
      </c>
      <c r="G1873" s="190">
        <v>4</v>
      </c>
      <c r="H1873" s="207">
        <f>'BASIC DATA'!$C$474</f>
        <v>445</v>
      </c>
      <c r="I1873" s="155">
        <f t="shared" si="24"/>
        <v>1780</v>
      </c>
      <c r="J1873" s="78"/>
    </row>
    <row r="1874" spans="2:10">
      <c r="B1874" s="105">
        <v>8</v>
      </c>
      <c r="C1874" s="135" t="s">
        <v>2468</v>
      </c>
      <c r="D1874" s="31"/>
      <c r="E1874" s="189"/>
      <c r="F1874" s="210" t="s">
        <v>1172</v>
      </c>
      <c r="G1874" s="190">
        <v>2</v>
      </c>
      <c r="H1874" s="207">
        <f>'BASIC DATA'!$C$471</f>
        <v>510</v>
      </c>
      <c r="I1874" s="155">
        <f t="shared" si="24"/>
        <v>1020</v>
      </c>
      <c r="J1874" s="78"/>
    </row>
    <row r="1875" spans="2:10">
      <c r="B1875" s="105">
        <v>9</v>
      </c>
      <c r="C1875" s="135" t="s">
        <v>2697</v>
      </c>
      <c r="D1875" s="31"/>
      <c r="E1875" s="189"/>
      <c r="F1875" s="210"/>
      <c r="G1875" s="210"/>
      <c r="H1875" s="189"/>
      <c r="I1875" s="155"/>
      <c r="J1875" s="78"/>
    </row>
    <row r="1876" spans="2:10">
      <c r="B1876" s="105"/>
      <c r="C1876" s="135" t="s">
        <v>4469</v>
      </c>
      <c r="D1876" s="31"/>
      <c r="E1876" s="189"/>
      <c r="F1876" s="210" t="s">
        <v>1172</v>
      </c>
      <c r="G1876" s="190">
        <v>2</v>
      </c>
      <c r="H1876" s="207">
        <f>'BASIC DATA'!$C$552</f>
        <v>350</v>
      </c>
      <c r="I1876" s="155">
        <f t="shared" si="24"/>
        <v>700</v>
      </c>
      <c r="J1876" s="78"/>
    </row>
    <row r="1877" spans="2:10">
      <c r="B1877" s="105"/>
      <c r="C1877" s="135" t="s">
        <v>4470</v>
      </c>
      <c r="D1877" s="31"/>
      <c r="E1877" s="189"/>
      <c r="F1877" s="210" t="s">
        <v>1172</v>
      </c>
      <c r="G1877" s="190">
        <v>2</v>
      </c>
      <c r="H1877" s="207">
        <f>'BASIC DATA'!$C$552</f>
        <v>350</v>
      </c>
      <c r="I1877" s="155">
        <f t="shared" si="24"/>
        <v>700</v>
      </c>
      <c r="J1877" s="78"/>
    </row>
    <row r="1878" spans="2:10">
      <c r="B1878" s="105"/>
      <c r="C1878" s="135" t="s">
        <v>4471</v>
      </c>
      <c r="D1878" s="31"/>
      <c r="E1878" s="189"/>
      <c r="F1878" s="210" t="s">
        <v>1172</v>
      </c>
      <c r="G1878" s="190">
        <v>2</v>
      </c>
      <c r="H1878" s="207">
        <f>'BASIC DATA'!$C$552</f>
        <v>350</v>
      </c>
      <c r="I1878" s="155">
        <f t="shared" si="24"/>
        <v>700</v>
      </c>
      <c r="J1878" s="78"/>
    </row>
    <row r="1879" spans="2:10">
      <c r="B1879" s="105"/>
      <c r="C1879" s="135" t="s">
        <v>4472</v>
      </c>
      <c r="D1879" s="31"/>
      <c r="E1879" s="189"/>
      <c r="F1879" s="210" t="s">
        <v>1172</v>
      </c>
      <c r="G1879" s="190">
        <v>6</v>
      </c>
      <c r="H1879" s="207">
        <f>'BASIC DATA'!$C$552</f>
        <v>350</v>
      </c>
      <c r="I1879" s="155">
        <f t="shared" si="24"/>
        <v>2100</v>
      </c>
      <c r="J1879" s="78"/>
    </row>
    <row r="1880" spans="2:10">
      <c r="B1880" s="105"/>
      <c r="C1880" s="135" t="s">
        <v>4473</v>
      </c>
      <c r="D1880" s="31"/>
      <c r="E1880" s="189"/>
      <c r="F1880" s="210" t="s">
        <v>1172</v>
      </c>
      <c r="G1880" s="190">
        <v>2</v>
      </c>
      <c r="H1880" s="207">
        <f>'BASIC DATA'!$C$552</f>
        <v>350</v>
      </c>
      <c r="I1880" s="155">
        <f t="shared" si="24"/>
        <v>700</v>
      </c>
      <c r="J1880" s="78"/>
    </row>
    <row r="1881" spans="2:10">
      <c r="B1881" s="114">
        <v>10</v>
      </c>
      <c r="C1881" s="139" t="s">
        <v>7215</v>
      </c>
      <c r="D1881" s="174"/>
      <c r="E1881" s="192"/>
      <c r="F1881" s="191" t="s">
        <v>3479</v>
      </c>
      <c r="G1881" s="182">
        <f>0.5*H1830</f>
        <v>120</v>
      </c>
      <c r="H1881" s="181">
        <f>I1825</f>
        <v>132.75</v>
      </c>
      <c r="I1881" s="155">
        <f t="shared" si="24"/>
        <v>15930</v>
      </c>
      <c r="J1881" s="78"/>
    </row>
    <row r="1882" spans="2:10">
      <c r="B1882" s="184"/>
      <c r="C1882" s="151"/>
      <c r="D1882" s="159"/>
      <c r="E1882" s="159" t="s">
        <v>1174</v>
      </c>
      <c r="F1882" s="159"/>
      <c r="G1882" s="159"/>
      <c r="H1882" s="208" t="s">
        <v>1698</v>
      </c>
      <c r="I1882" s="209">
        <f>SUM(I1867:I1881)</f>
        <v>39579.599999999999</v>
      </c>
      <c r="J1882" s="78"/>
    </row>
    <row r="1883" spans="2:10">
      <c r="B1883" s="60" t="s">
        <v>5948</v>
      </c>
      <c r="C1883" s="76"/>
      <c r="D1883" s="31"/>
      <c r="E1883" s="31"/>
      <c r="F1883" s="31"/>
      <c r="G1883" s="85">
        <f>ROUND(I1882/H1830,1)</f>
        <v>164.9</v>
      </c>
      <c r="J1883" s="78"/>
    </row>
    <row r="1884" spans="2:10">
      <c r="B1884" s="60" t="s">
        <v>3163</v>
      </c>
      <c r="C1884" s="76"/>
      <c r="D1884" s="31"/>
      <c r="E1884" s="31"/>
      <c r="F1884" s="922">
        <f>'BASIC DATA'!$C$577</f>
        <v>0.13614999999999999</v>
      </c>
      <c r="G1884" s="85">
        <f>ROUND(G1883*F1884,1)</f>
        <v>22.5</v>
      </c>
      <c r="J1884" s="78"/>
    </row>
    <row r="1885" spans="2:10">
      <c r="B1885" s="60" t="s">
        <v>5949</v>
      </c>
      <c r="C1885" s="76"/>
      <c r="D1885" s="31"/>
      <c r="E1885" s="31"/>
      <c r="F1885" s="31"/>
      <c r="G1885" s="199">
        <f>ROUND(G1884+G1883,1)</f>
        <v>187.4</v>
      </c>
      <c r="J1885" s="78"/>
    </row>
    <row r="1886" spans="2:10">
      <c r="B1886" s="31"/>
      <c r="C1886" s="76"/>
      <c r="D1886" s="31"/>
      <c r="E1886" s="31"/>
      <c r="F1886" s="31"/>
      <c r="G1886" s="31"/>
      <c r="H1886" s="200"/>
      <c r="I1886" s="85"/>
      <c r="J1886" s="78"/>
    </row>
    <row r="1887" spans="2:10">
      <c r="B1887" s="170" t="s">
        <v>1175</v>
      </c>
      <c r="J1887" s="78"/>
    </row>
    <row r="1888" spans="2:10">
      <c r="B1888" s="26" t="s">
        <v>1176</v>
      </c>
      <c r="H1888" s="171" t="s">
        <v>1698</v>
      </c>
      <c r="I1888" s="117">
        <f>I1842</f>
        <v>657686.4</v>
      </c>
      <c r="J1888" s="78"/>
    </row>
    <row r="1889" spans="1:10">
      <c r="B1889" s="26" t="s">
        <v>1186</v>
      </c>
      <c r="H1889" s="171" t="s">
        <v>1698</v>
      </c>
      <c r="I1889" s="117">
        <f>I1862</f>
        <v>52323.19999999999</v>
      </c>
      <c r="J1889" s="78"/>
    </row>
    <row r="1890" spans="1:10">
      <c r="B1890" s="26" t="s">
        <v>2660</v>
      </c>
      <c r="H1890" s="171" t="s">
        <v>1698</v>
      </c>
      <c r="I1890" s="85">
        <f>I1882</f>
        <v>39579.599999999999</v>
      </c>
      <c r="J1890" s="78"/>
    </row>
    <row r="1891" spans="1:10">
      <c r="G1891" s="171" t="s">
        <v>1518</v>
      </c>
      <c r="H1891" s="171" t="s">
        <v>1698</v>
      </c>
      <c r="I1891" s="130">
        <f>SUM(I1888:I1890)</f>
        <v>749589.2</v>
      </c>
      <c r="J1891" s="78"/>
    </row>
    <row r="1892" spans="1:10">
      <c r="B1892" s="26" t="s">
        <v>4386</v>
      </c>
      <c r="G1892" s="261">
        <f>'BASIC DATA'!$C$599</f>
        <v>0.03</v>
      </c>
      <c r="I1892" s="117">
        <f>ROUND(G1892*I1891,2)</f>
        <v>22487.68</v>
      </c>
      <c r="J1892" s="78"/>
    </row>
    <row r="1893" spans="1:10">
      <c r="B1893" s="26" t="s">
        <v>3873</v>
      </c>
      <c r="G1893" s="262">
        <f>'BASIC DATA'!$C$598</f>
        <v>2.5000000000000001E-2</v>
      </c>
      <c r="I1893" s="117">
        <f>ROUND(G1893*I1891,2)</f>
        <v>18739.73</v>
      </c>
      <c r="J1893" s="78"/>
    </row>
    <row r="1894" spans="1:10">
      <c r="B1894" s="26" t="s">
        <v>3151</v>
      </c>
      <c r="G1894" s="262">
        <f>'BASIC DATA'!$C$600</f>
        <v>0.04</v>
      </c>
      <c r="I1894" s="117">
        <f>ROUND(G1894*I1891,2)</f>
        <v>29983.57</v>
      </c>
      <c r="J1894" s="78"/>
    </row>
    <row r="1895" spans="1:10">
      <c r="G1895" s="171" t="s">
        <v>1518</v>
      </c>
      <c r="H1895" s="171" t="s">
        <v>1698</v>
      </c>
      <c r="I1895" s="130">
        <f>SUM(I1891:I1894)</f>
        <v>820800.17999999993</v>
      </c>
      <c r="J1895" s="78"/>
    </row>
    <row r="1896" spans="1:10" ht="18.75">
      <c r="B1896" s="1207" t="s">
        <v>8375</v>
      </c>
      <c r="C1896" s="1207"/>
      <c r="D1896" s="1207"/>
      <c r="E1896" s="1207"/>
      <c r="F1896" s="1207"/>
      <c r="G1896" s="922">
        <f>'BASIC DATA'!$C$577</f>
        <v>0.13614999999999999</v>
      </c>
      <c r="H1896" s="171" t="s">
        <v>4108</v>
      </c>
      <c r="I1896" s="76">
        <f>ROUND(I1895*G1896,2)</f>
        <v>111751.94</v>
      </c>
      <c r="J1896" s="78"/>
    </row>
    <row r="1897" spans="1:10">
      <c r="B1897" s="27" t="s">
        <v>9590</v>
      </c>
      <c r="C1897" s="43"/>
      <c r="D1897" s="43"/>
      <c r="E1897" s="43"/>
      <c r="F1897" s="779">
        <f>G1839</f>
        <v>96</v>
      </c>
      <c r="G1897" s="201" t="s">
        <v>9591</v>
      </c>
      <c r="H1897" s="68" t="str">
        <f>CONCATENATE((leadcharges!$D$65)," ","Rs./Cum")</f>
        <v>31.5 Rs./Cum</v>
      </c>
      <c r="I1897" s="76">
        <f>leadcharges!$D$65*F1897</f>
        <v>3024</v>
      </c>
      <c r="J1897" s="78"/>
    </row>
    <row r="1898" spans="1:10">
      <c r="B1898" s="27" t="s">
        <v>9589</v>
      </c>
      <c r="C1898" s="43"/>
      <c r="D1898" s="43"/>
      <c r="E1898" s="43"/>
      <c r="F1898" s="779">
        <f>SUM(G1835:G1838)</f>
        <v>215.99999999999997</v>
      </c>
      <c r="G1898" s="201" t="s">
        <v>9591</v>
      </c>
      <c r="H1898" s="68" t="str">
        <f>CONCATENATE((leadcharges!$E$65)," ","Rs./Cum")</f>
        <v>30.4 Rs./Cum</v>
      </c>
      <c r="I1898" s="85">
        <f>leadcharges!$E$65*F1898</f>
        <v>6566.3999999999987</v>
      </c>
      <c r="J1898" s="78"/>
    </row>
    <row r="1899" spans="1:10" ht="34.5" hidden="1" customHeight="1">
      <c r="B1899" s="1207"/>
      <c r="C1899" s="1207"/>
      <c r="D1899" s="1207"/>
      <c r="E1899" s="1207"/>
      <c r="F1899" s="779"/>
      <c r="G1899" s="201"/>
      <c r="H1899" s="68"/>
      <c r="I1899" s="76"/>
      <c r="J1899" s="78"/>
    </row>
    <row r="1900" spans="1:10">
      <c r="B1900" s="1206" t="s">
        <v>1191</v>
      </c>
      <c r="C1900" s="1206"/>
      <c r="D1900" s="1206"/>
      <c r="E1900" s="1206"/>
      <c r="F1900" s="202">
        <f>H1830</f>
        <v>240</v>
      </c>
      <c r="G1900" s="217" t="str">
        <f>I1830</f>
        <v xml:space="preserve"> cum</v>
      </c>
      <c r="H1900" s="171" t="s">
        <v>1698</v>
      </c>
      <c r="I1900" s="199">
        <f>SUM(I1895:I1899)</f>
        <v>942142.5199999999</v>
      </c>
      <c r="J1900" s="78"/>
    </row>
    <row r="1901" spans="1:10">
      <c r="B1901" s="1161" t="s">
        <v>3884</v>
      </c>
      <c r="C1901" s="1161"/>
      <c r="D1901" s="246" t="str">
        <f>G1900</f>
        <v xml:space="preserve"> cum</v>
      </c>
      <c r="F1901" s="26" t="s">
        <v>1645</v>
      </c>
      <c r="H1901" s="171" t="s">
        <v>1698</v>
      </c>
      <c r="I1901" s="204">
        <f>ROUND(I1900/F1900,1)</f>
        <v>3925.6</v>
      </c>
      <c r="J1901" s="78"/>
    </row>
    <row r="1902" spans="1:10">
      <c r="J1902" s="78"/>
    </row>
    <row r="1903" spans="1:10" ht="18.75">
      <c r="A1903" s="822" t="s">
        <v>7073</v>
      </c>
      <c r="B1903" s="26" t="s">
        <v>8421</v>
      </c>
      <c r="J1903" s="78"/>
    </row>
    <row r="1904" spans="1:10" ht="18.75">
      <c r="B1904" s="26" t="s">
        <v>8422</v>
      </c>
      <c r="J1904" s="78"/>
    </row>
    <row r="1905" spans="1:10">
      <c r="B1905" s="26" t="s">
        <v>8415</v>
      </c>
      <c r="J1905" s="78"/>
    </row>
    <row r="1906" spans="1:10">
      <c r="B1906" s="26" t="s">
        <v>426</v>
      </c>
      <c r="J1906" s="78"/>
    </row>
    <row r="1907" spans="1:10">
      <c r="B1907" s="26" t="s">
        <v>427</v>
      </c>
      <c r="J1907" s="78"/>
    </row>
    <row r="1908" spans="1:10" ht="18.75">
      <c r="B1908" s="26" t="s">
        <v>8423</v>
      </c>
      <c r="J1908" s="78"/>
    </row>
    <row r="1909" spans="1:10">
      <c r="B1909" s="170" t="s">
        <v>7655</v>
      </c>
      <c r="J1909" s="78"/>
    </row>
    <row r="1910" spans="1:10">
      <c r="B1910" s="170" t="s">
        <v>3073</v>
      </c>
      <c r="J1910" s="78"/>
    </row>
    <row r="1911" spans="1:10" hidden="1">
      <c r="A1911" s="822" t="s">
        <v>3984</v>
      </c>
      <c r="B1911" s="26" t="s">
        <v>1082</v>
      </c>
      <c r="J1911" s="78"/>
    </row>
    <row r="1912" spans="1:10" hidden="1">
      <c r="B1912" s="26" t="s">
        <v>2601</v>
      </c>
      <c r="G1912" s="171" t="s">
        <v>1697</v>
      </c>
      <c r="H1912" s="26">
        <v>0.98</v>
      </c>
      <c r="I1912" s="26" t="s">
        <v>3477</v>
      </c>
      <c r="J1912" s="78"/>
    </row>
    <row r="1913" spans="1:10" hidden="1">
      <c r="B1913" s="26" t="s">
        <v>2556</v>
      </c>
      <c r="G1913" s="171" t="s">
        <v>1697</v>
      </c>
      <c r="H1913" s="26" t="s">
        <v>3152</v>
      </c>
      <c r="J1913" s="78"/>
    </row>
    <row r="1914" spans="1:10" hidden="1">
      <c r="B1914" s="26" t="s">
        <v>3153</v>
      </c>
      <c r="G1914" s="171" t="s">
        <v>1697</v>
      </c>
      <c r="H1914" s="26">
        <v>0.37</v>
      </c>
      <c r="I1914" s="26" t="s">
        <v>3477</v>
      </c>
      <c r="J1914" s="78"/>
    </row>
    <row r="1915" spans="1:10" hidden="1">
      <c r="B1915" s="26" t="s">
        <v>6669</v>
      </c>
      <c r="G1915" s="171" t="s">
        <v>1697</v>
      </c>
      <c r="H1915" s="68">
        <v>220</v>
      </c>
      <c r="I1915" s="26" t="s">
        <v>6670</v>
      </c>
      <c r="J1915" s="78"/>
    </row>
    <row r="1916" spans="1:10" hidden="1">
      <c r="A1916" s="853"/>
      <c r="B1916" s="61" t="s">
        <v>3154</v>
      </c>
      <c r="C1916" s="125"/>
      <c r="D1916" s="61"/>
      <c r="E1916" s="61"/>
      <c r="F1916" s="61"/>
      <c r="G1916" s="222" t="s">
        <v>1697</v>
      </c>
      <c r="H1916" s="223">
        <f>0.4%*H1915</f>
        <v>0.88</v>
      </c>
      <c r="I1916" s="61" t="s">
        <v>6670</v>
      </c>
      <c r="J1916" s="78"/>
    </row>
    <row r="1917" spans="1:10" hidden="1">
      <c r="B1917" s="26" t="s">
        <v>3373</v>
      </c>
      <c r="J1917" s="78"/>
    </row>
    <row r="1918" spans="1:10" hidden="1">
      <c r="B1918" s="26" t="s">
        <v>574</v>
      </c>
      <c r="J1918" s="78"/>
    </row>
    <row r="1919" spans="1:10" hidden="1">
      <c r="B1919" s="26" t="s">
        <v>3206</v>
      </c>
      <c r="J1919" s="78"/>
    </row>
    <row r="1920" spans="1:10" hidden="1">
      <c r="B1920" s="26" t="s">
        <v>607</v>
      </c>
      <c r="J1920" s="78"/>
    </row>
    <row r="1921" spans="2:10" hidden="1">
      <c r="B1921" s="26" t="s">
        <v>6105</v>
      </c>
      <c r="J1921" s="78"/>
    </row>
    <row r="1922" spans="2:10" hidden="1">
      <c r="B1922" s="26" t="s">
        <v>3157</v>
      </c>
      <c r="J1922" s="78"/>
    </row>
    <row r="1923" spans="2:10" hidden="1">
      <c r="B1923" s="26" t="s">
        <v>428</v>
      </c>
      <c r="J1923" s="78"/>
    </row>
    <row r="1924" spans="2:10" hidden="1">
      <c r="B1924" s="26" t="s">
        <v>429</v>
      </c>
      <c r="J1924" s="78"/>
    </row>
    <row r="1925" spans="2:10" hidden="1">
      <c r="B1925" s="26" t="s">
        <v>3207</v>
      </c>
      <c r="G1925" s="171" t="s">
        <v>1697</v>
      </c>
      <c r="H1925" s="68">
        <v>240</v>
      </c>
      <c r="I1925" s="26" t="s">
        <v>3477</v>
      </c>
      <c r="J1925" s="78"/>
    </row>
    <row r="1926" spans="2:10" hidden="1">
      <c r="B1926" s="26" t="s">
        <v>3161</v>
      </c>
      <c r="G1926" s="171"/>
      <c r="J1926" s="78"/>
    </row>
    <row r="1927" spans="2:10" hidden="1">
      <c r="B1927" s="26" t="s">
        <v>3208</v>
      </c>
      <c r="G1927" s="171" t="s">
        <v>1697</v>
      </c>
      <c r="H1927" s="26">
        <v>1.5</v>
      </c>
      <c r="I1927" s="26" t="s">
        <v>5196</v>
      </c>
      <c r="J1927" s="78"/>
    </row>
    <row r="1928" spans="2:10" hidden="1">
      <c r="G1928" s="171"/>
      <c r="I1928" s="26" t="s">
        <v>5197</v>
      </c>
      <c r="J1928" s="78"/>
    </row>
    <row r="1929" spans="2:10" hidden="1">
      <c r="B1929" s="26" t="s">
        <v>575</v>
      </c>
      <c r="G1929" s="171" t="s">
        <v>1173</v>
      </c>
      <c r="H1929" s="68">
        <f>H1604</f>
        <v>216.75</v>
      </c>
      <c r="J1929" s="78"/>
    </row>
    <row r="1930" spans="2:10" hidden="1">
      <c r="B1930" s="26" t="s">
        <v>1849</v>
      </c>
      <c r="G1930" s="171" t="s">
        <v>1173</v>
      </c>
      <c r="H1930" s="68">
        <f>I1666</f>
        <v>325.12</v>
      </c>
      <c r="J1930" s="78"/>
    </row>
    <row r="1931" spans="2:10" hidden="1">
      <c r="B1931" s="26" t="s">
        <v>5575</v>
      </c>
      <c r="G1931" s="171"/>
      <c r="J1931" s="78"/>
    </row>
    <row r="1932" spans="2:10" hidden="1">
      <c r="B1932" s="26" t="s">
        <v>3350</v>
      </c>
      <c r="J1932" s="78"/>
    </row>
    <row r="1933" spans="2:10" hidden="1">
      <c r="B1933" s="26" t="s">
        <v>1850</v>
      </c>
      <c r="G1933" s="171" t="s">
        <v>1697</v>
      </c>
      <c r="H1933" s="68">
        <v>2</v>
      </c>
      <c r="I1933" s="26" t="s">
        <v>3032</v>
      </c>
      <c r="J1933" s="78"/>
    </row>
    <row r="1934" spans="2:10" hidden="1">
      <c r="B1934" s="26" t="s">
        <v>4190</v>
      </c>
      <c r="G1934" s="171" t="s">
        <v>1697</v>
      </c>
      <c r="H1934" s="68">
        <v>4</v>
      </c>
      <c r="I1934" s="26" t="s">
        <v>3032</v>
      </c>
      <c r="J1934" s="78"/>
    </row>
    <row r="1935" spans="2:10" hidden="1">
      <c r="B1935" s="26" t="s">
        <v>6447</v>
      </c>
      <c r="G1935" s="171" t="s">
        <v>1697</v>
      </c>
      <c r="H1935" s="68">
        <v>2</v>
      </c>
      <c r="I1935" s="26" t="s">
        <v>3032</v>
      </c>
      <c r="J1935" s="78"/>
    </row>
    <row r="1936" spans="2:10" hidden="1">
      <c r="B1936" s="26" t="s">
        <v>6448</v>
      </c>
      <c r="G1936" s="171" t="s">
        <v>1697</v>
      </c>
      <c r="H1936" s="68">
        <v>2</v>
      </c>
      <c r="I1936" s="26" t="s">
        <v>3032</v>
      </c>
      <c r="J1936" s="78"/>
    </row>
    <row r="1937" spans="1:10" hidden="1">
      <c r="B1937" s="26" t="s">
        <v>5325</v>
      </c>
      <c r="G1937" s="171" t="s">
        <v>1697</v>
      </c>
      <c r="H1937" s="68">
        <v>2</v>
      </c>
      <c r="I1937" s="26" t="s">
        <v>3032</v>
      </c>
      <c r="J1937" s="78"/>
    </row>
    <row r="1938" spans="1:10" hidden="1">
      <c r="B1938" s="26" t="s">
        <v>6450</v>
      </c>
      <c r="G1938" s="171" t="s">
        <v>1697</v>
      </c>
      <c r="H1938" s="68">
        <v>6</v>
      </c>
      <c r="I1938" s="26" t="s">
        <v>3032</v>
      </c>
      <c r="J1938" s="78"/>
    </row>
    <row r="1939" spans="1:10" hidden="1">
      <c r="B1939" s="26" t="s">
        <v>5171</v>
      </c>
      <c r="G1939" s="171" t="s">
        <v>1697</v>
      </c>
      <c r="H1939" s="68">
        <v>2</v>
      </c>
      <c r="I1939" s="26" t="s">
        <v>3032</v>
      </c>
      <c r="J1939" s="78"/>
    </row>
    <row r="1940" spans="1:10" hidden="1">
      <c r="B1940" s="26" t="s">
        <v>1820</v>
      </c>
      <c r="G1940" s="171" t="s">
        <v>1698</v>
      </c>
      <c r="H1940" s="68">
        <f>H1621</f>
        <v>88.5</v>
      </c>
      <c r="J1940" s="78"/>
    </row>
    <row r="1941" spans="1:10" hidden="1">
      <c r="B1941" s="26" t="s">
        <v>576</v>
      </c>
      <c r="J1941" s="78"/>
    </row>
    <row r="1942" spans="1:10" hidden="1">
      <c r="B1942" s="26" t="s">
        <v>430</v>
      </c>
      <c r="J1942" s="78"/>
    </row>
    <row r="1943" spans="1:10" hidden="1">
      <c r="B1943" s="26" t="s">
        <v>431</v>
      </c>
      <c r="J1943" s="78"/>
    </row>
    <row r="1944" spans="1:10" hidden="1">
      <c r="B1944" s="26" t="s">
        <v>4010</v>
      </c>
      <c r="G1944" s="171"/>
      <c r="H1944" s="68">
        <f>I1680</f>
        <v>132.75</v>
      </c>
      <c r="J1944" s="78"/>
    </row>
    <row r="1945" spans="1:10">
      <c r="J1945" s="78"/>
    </row>
    <row r="1946" spans="1:10">
      <c r="A1946" s="822" t="s">
        <v>3984</v>
      </c>
      <c r="E1946" s="170" t="s">
        <v>2367</v>
      </c>
      <c r="J1946" s="78"/>
    </row>
    <row r="1947" spans="1:10">
      <c r="H1947" s="171" t="s">
        <v>1188</v>
      </c>
      <c r="J1947" s="78"/>
    </row>
    <row r="1948" spans="1:10">
      <c r="B1948" s="170" t="s">
        <v>2368</v>
      </c>
      <c r="H1948" s="211">
        <f>H1925</f>
        <v>240</v>
      </c>
      <c r="I1948" s="26" t="s">
        <v>3477</v>
      </c>
      <c r="J1948" s="78"/>
    </row>
    <row r="1949" spans="1:10">
      <c r="B1949" s="95" t="s">
        <v>2369</v>
      </c>
      <c r="C1949" s="153"/>
      <c r="D1949" s="157" t="s">
        <v>4443</v>
      </c>
      <c r="E1949" s="97"/>
      <c r="F1949" s="95" t="s">
        <v>2370</v>
      </c>
      <c r="G1949" s="95" t="s">
        <v>1166</v>
      </c>
      <c r="H1949" s="97" t="s">
        <v>6664</v>
      </c>
      <c r="I1949" s="97" t="s">
        <v>6665</v>
      </c>
      <c r="J1949" s="78"/>
    </row>
    <row r="1950" spans="1:10">
      <c r="B1950" s="191"/>
      <c r="C1950" s="139"/>
      <c r="D1950" s="174"/>
      <c r="E1950" s="192"/>
      <c r="F1950" s="191"/>
      <c r="G1950" s="114"/>
      <c r="H1950" s="115" t="s">
        <v>3856</v>
      </c>
      <c r="I1950" s="115" t="s">
        <v>3857</v>
      </c>
      <c r="J1950" s="78"/>
    </row>
    <row r="1951" spans="1:10">
      <c r="B1951" s="95">
        <v>1</v>
      </c>
      <c r="C1951" s="131" t="s">
        <v>1728</v>
      </c>
      <c r="D1951" s="187"/>
      <c r="E1951" s="195"/>
      <c r="F1951" s="107" t="s">
        <v>3478</v>
      </c>
      <c r="G1951" s="38">
        <f>H1915*H1948</f>
        <v>52800</v>
      </c>
      <c r="H1951" s="235">
        <f>'BASIC DATA'!$D$32/1000</f>
        <v>5.35</v>
      </c>
      <c r="I1951" s="155">
        <f>ROUND(H1951*G1951,2)</f>
        <v>282480</v>
      </c>
      <c r="J1951" s="78"/>
    </row>
    <row r="1952" spans="1:10">
      <c r="B1952" s="105"/>
      <c r="C1952" s="135" t="s">
        <v>7212</v>
      </c>
      <c r="D1952" s="31"/>
      <c r="E1952" s="189"/>
      <c r="F1952" s="210" t="s">
        <v>3478</v>
      </c>
      <c r="G1952" s="67">
        <f>H1948*3</f>
        <v>720</v>
      </c>
      <c r="H1952" s="235">
        <f>'BASIC DATA'!$D$32/1000</f>
        <v>5.35</v>
      </c>
      <c r="I1952" s="155">
        <f t="shared" ref="I1952:I1959" si="25">ROUND(H1952*G1952,2)</f>
        <v>3852</v>
      </c>
      <c r="J1952" s="78"/>
    </row>
    <row r="1953" spans="1:10">
      <c r="B1953" s="95">
        <v>2</v>
      </c>
      <c r="C1953" s="76" t="s">
        <v>6997</v>
      </c>
      <c r="D1953" s="31"/>
      <c r="E1953" s="189"/>
      <c r="F1953" s="210" t="s">
        <v>3477</v>
      </c>
      <c r="G1953" s="38">
        <f>H1948*0.4*0.98</f>
        <v>94.08</v>
      </c>
      <c r="H1953" s="235">
        <f>'BASIC DATA'!$D$37</f>
        <v>650</v>
      </c>
      <c r="I1953" s="155">
        <f t="shared" si="25"/>
        <v>61152</v>
      </c>
      <c r="J1953" s="78"/>
    </row>
    <row r="1954" spans="1:10">
      <c r="B1954" s="105"/>
      <c r="C1954" s="76" t="s">
        <v>6996</v>
      </c>
      <c r="D1954" s="31"/>
      <c r="E1954" s="189"/>
      <c r="F1954" s="210" t="s">
        <v>3477</v>
      </c>
      <c r="G1954" s="38">
        <f>0.98*0.3*H1948</f>
        <v>70.56</v>
      </c>
      <c r="H1954" s="235">
        <f>'BASIC DATA'!$D$36</f>
        <v>1175</v>
      </c>
      <c r="I1954" s="155">
        <f t="shared" si="25"/>
        <v>82908</v>
      </c>
      <c r="J1954" s="78"/>
    </row>
    <row r="1955" spans="1:10">
      <c r="B1955" s="105"/>
      <c r="C1955" s="76" t="s">
        <v>6995</v>
      </c>
      <c r="D1955" s="31"/>
      <c r="E1955" s="189"/>
      <c r="F1955" s="210" t="s">
        <v>3477</v>
      </c>
      <c r="G1955" s="38">
        <f>H1948*0.2*0.98</f>
        <v>47.04</v>
      </c>
      <c r="H1955" s="235">
        <f>'BASIC DATA'!$D$35</f>
        <v>1225</v>
      </c>
      <c r="I1955" s="155">
        <f t="shared" si="25"/>
        <v>57624</v>
      </c>
      <c r="J1955" s="78"/>
    </row>
    <row r="1956" spans="1:10">
      <c r="B1956" s="105"/>
      <c r="C1956" s="76" t="s">
        <v>1050</v>
      </c>
      <c r="D1956" s="31"/>
      <c r="E1956" s="189"/>
      <c r="F1956" s="210" t="s">
        <v>3477</v>
      </c>
      <c r="G1956" s="38">
        <f>H1948*0.1*0.98</f>
        <v>23.52</v>
      </c>
      <c r="H1956" s="235">
        <f>'BASIC DATA'!$D$34</f>
        <v>900</v>
      </c>
      <c r="I1956" s="155">
        <f t="shared" si="25"/>
        <v>21168</v>
      </c>
      <c r="J1956" s="78"/>
    </row>
    <row r="1957" spans="1:10">
      <c r="A1957" s="853"/>
      <c r="B1957" s="240">
        <v>3</v>
      </c>
      <c r="C1957" s="101" t="s">
        <v>7935</v>
      </c>
      <c r="D1957" s="60"/>
      <c r="E1957" s="253"/>
      <c r="F1957" s="254" t="s">
        <v>3477</v>
      </c>
      <c r="G1957" s="50">
        <f>0.37*H1948</f>
        <v>88.8</v>
      </c>
      <c r="H1957" s="243">
        <f>'BASIC DATA'!$D$55</f>
        <v>95</v>
      </c>
      <c r="I1957" s="244">
        <f t="shared" si="25"/>
        <v>8436</v>
      </c>
      <c r="J1957" s="62"/>
    </row>
    <row r="1958" spans="1:10">
      <c r="A1958" s="853"/>
      <c r="B1958" s="240">
        <v>4</v>
      </c>
      <c r="C1958" s="101" t="s">
        <v>4460</v>
      </c>
      <c r="D1958" s="60"/>
      <c r="E1958" s="253"/>
      <c r="F1958" s="254" t="s">
        <v>3478</v>
      </c>
      <c r="G1958" s="264">
        <f>H1948*H1916</f>
        <v>211.2</v>
      </c>
      <c r="H1958" s="243">
        <f>'BASIC DATA'!$D$99</f>
        <v>55</v>
      </c>
      <c r="I1958" s="155">
        <f t="shared" si="25"/>
        <v>11616</v>
      </c>
      <c r="J1958" s="78"/>
    </row>
    <row r="1959" spans="1:10">
      <c r="B1959" s="105">
        <v>5</v>
      </c>
      <c r="C1959" s="89" t="s">
        <v>5315</v>
      </c>
      <c r="D1959" s="174"/>
      <c r="E1959" s="192"/>
      <c r="F1959" s="191" t="s">
        <v>3479</v>
      </c>
      <c r="G1959" s="67">
        <f>0.5*H1948</f>
        <v>120</v>
      </c>
      <c r="H1959" s="235">
        <f>H1930</f>
        <v>325.12</v>
      </c>
      <c r="I1959" s="155">
        <f t="shared" si="25"/>
        <v>39014.400000000001</v>
      </c>
      <c r="J1959" s="78"/>
    </row>
    <row r="1960" spans="1:10">
      <c r="B1960" s="191"/>
      <c r="C1960" s="151"/>
      <c r="D1960" s="159"/>
      <c r="E1960" s="159" t="s">
        <v>2376</v>
      </c>
      <c r="F1960" s="159"/>
      <c r="G1960" s="159"/>
      <c r="H1960" s="208" t="s">
        <v>1698</v>
      </c>
      <c r="I1960" s="209">
        <f>SUM(I1951:I1959)</f>
        <v>568250.4</v>
      </c>
      <c r="J1960" s="78"/>
    </row>
    <row r="1961" spans="1:10">
      <c r="B1961" s="191"/>
      <c r="J1961" s="78"/>
    </row>
    <row r="1962" spans="1:10">
      <c r="B1962" s="170" t="s">
        <v>2377</v>
      </c>
      <c r="J1962" s="78"/>
    </row>
    <row r="1963" spans="1:10">
      <c r="B1963" s="95" t="s">
        <v>2369</v>
      </c>
      <c r="C1963" s="153"/>
      <c r="D1963" s="157" t="s">
        <v>2378</v>
      </c>
      <c r="E1963" s="97"/>
      <c r="F1963" s="95" t="s">
        <v>2370</v>
      </c>
      <c r="G1963" s="95" t="s">
        <v>1166</v>
      </c>
      <c r="H1963" s="97" t="s">
        <v>6664</v>
      </c>
      <c r="I1963" s="97" t="s">
        <v>6665</v>
      </c>
      <c r="J1963" s="78"/>
    </row>
    <row r="1964" spans="1:10">
      <c r="B1964" s="191"/>
      <c r="C1964" s="139"/>
      <c r="D1964" s="174"/>
      <c r="E1964" s="192"/>
      <c r="F1964" s="191"/>
      <c r="G1964" s="114"/>
      <c r="H1964" s="115" t="s">
        <v>3856</v>
      </c>
      <c r="I1964" s="115" t="s">
        <v>3857</v>
      </c>
      <c r="J1964" s="78"/>
    </row>
    <row r="1965" spans="1:10">
      <c r="B1965" s="105">
        <v>1</v>
      </c>
      <c r="C1965" s="135" t="s">
        <v>4461</v>
      </c>
      <c r="D1965" s="31"/>
      <c r="E1965" s="189"/>
      <c r="F1965" s="210" t="s">
        <v>2374</v>
      </c>
      <c r="G1965" s="190">
        <v>8</v>
      </c>
      <c r="H1965" s="179">
        <f>'HIRE CHARGES'!$D$502</f>
        <v>620.70000000000005</v>
      </c>
      <c r="I1965" s="155">
        <f>ROUND(H1965*G1965,2)</f>
        <v>4965.6000000000004</v>
      </c>
      <c r="J1965" s="78"/>
    </row>
    <row r="1966" spans="1:10">
      <c r="B1966" s="105"/>
      <c r="C1966" s="135" t="s">
        <v>2379</v>
      </c>
      <c r="D1966" s="31"/>
      <c r="E1966" s="189"/>
      <c r="F1966" s="210" t="s">
        <v>2374</v>
      </c>
      <c r="G1966" s="190">
        <v>8</v>
      </c>
      <c r="H1966" s="190">
        <f>'HIRE CHARGES'!$E$502</f>
        <v>308.2</v>
      </c>
      <c r="I1966" s="155">
        <f t="shared" ref="I1966:I1979" si="26">ROUND(H1966*G1966,2)</f>
        <v>2465.6</v>
      </c>
      <c r="J1966" s="78"/>
    </row>
    <row r="1967" spans="1:10">
      <c r="B1967" s="105">
        <v>2</v>
      </c>
      <c r="C1967" s="135" t="s">
        <v>4462</v>
      </c>
      <c r="D1967" s="31"/>
      <c r="E1967" s="189"/>
      <c r="F1967" s="210" t="s">
        <v>2374</v>
      </c>
      <c r="G1967" s="190">
        <v>8</v>
      </c>
      <c r="H1967" s="190">
        <f>'HIRE CHARGES'!$D$495</f>
        <v>131.9</v>
      </c>
      <c r="I1967" s="155">
        <f t="shared" si="26"/>
        <v>1055.2</v>
      </c>
      <c r="J1967" s="78"/>
    </row>
    <row r="1968" spans="1:10">
      <c r="B1968" s="105"/>
      <c r="C1968" s="135" t="s">
        <v>2379</v>
      </c>
      <c r="D1968" s="31"/>
      <c r="E1968" s="189"/>
      <c r="F1968" s="210" t="s">
        <v>2374</v>
      </c>
      <c r="G1968" s="190">
        <v>8</v>
      </c>
      <c r="H1968" s="190">
        <f>'HIRE CHARGES'!$E$495</f>
        <v>252.2</v>
      </c>
      <c r="I1968" s="155">
        <f t="shared" si="26"/>
        <v>2017.6</v>
      </c>
      <c r="J1968" s="78"/>
    </row>
    <row r="1969" spans="2:10">
      <c r="B1969" s="105">
        <v>3</v>
      </c>
      <c r="C1969" s="135" t="s">
        <v>2087</v>
      </c>
      <c r="D1969" s="31"/>
      <c r="E1969" s="189"/>
      <c r="F1969" s="210" t="s">
        <v>2374</v>
      </c>
      <c r="G1969" s="190">
        <v>32</v>
      </c>
      <c r="H1969" s="190">
        <f>'HIRE CHARGES'!$D$545</f>
        <v>446.7</v>
      </c>
      <c r="I1969" s="155">
        <f t="shared" si="26"/>
        <v>14294.4</v>
      </c>
      <c r="J1969" s="78"/>
    </row>
    <row r="1970" spans="2:10">
      <c r="B1970" s="105"/>
      <c r="C1970" s="135" t="s">
        <v>2379</v>
      </c>
      <c r="D1970" s="31"/>
      <c r="E1970" s="189"/>
      <c r="F1970" s="210" t="s">
        <v>2374</v>
      </c>
      <c r="G1970" s="190">
        <v>32</v>
      </c>
      <c r="H1970" s="190">
        <f>'HIRE CHARGES'!$E$545</f>
        <v>299.89999999999998</v>
      </c>
      <c r="I1970" s="155">
        <f t="shared" si="26"/>
        <v>9596.7999999999993</v>
      </c>
      <c r="J1970" s="78"/>
    </row>
    <row r="1971" spans="2:10">
      <c r="B1971" s="105">
        <v>4</v>
      </c>
      <c r="C1971" s="135" t="s">
        <v>4463</v>
      </c>
      <c r="D1971" s="31"/>
      <c r="E1971" s="189"/>
      <c r="F1971" s="210" t="s">
        <v>2374</v>
      </c>
      <c r="G1971" s="190">
        <v>16</v>
      </c>
      <c r="H1971" s="190">
        <f>'HIRE CHARGES'!$D$547</f>
        <v>867.1</v>
      </c>
      <c r="I1971" s="155">
        <f t="shared" si="26"/>
        <v>13873.6</v>
      </c>
      <c r="J1971" s="78"/>
    </row>
    <row r="1972" spans="2:10">
      <c r="B1972" s="105"/>
      <c r="C1972" s="135" t="s">
        <v>2379</v>
      </c>
      <c r="D1972" s="31"/>
      <c r="E1972" s="189"/>
      <c r="F1972" s="210" t="s">
        <v>2374</v>
      </c>
      <c r="G1972" s="190">
        <v>16</v>
      </c>
      <c r="H1972" s="190">
        <f>'HIRE CHARGES'!$E$547</f>
        <v>145.69999999999999</v>
      </c>
      <c r="I1972" s="155">
        <f t="shared" si="26"/>
        <v>2331.1999999999998</v>
      </c>
      <c r="J1972" s="78"/>
    </row>
    <row r="1973" spans="2:10">
      <c r="B1973" s="105">
        <v>5</v>
      </c>
      <c r="C1973" s="135" t="s">
        <v>4464</v>
      </c>
      <c r="D1973" s="31"/>
      <c r="E1973" s="189"/>
      <c r="F1973" s="210" t="s">
        <v>2374</v>
      </c>
      <c r="G1973" s="190">
        <v>40</v>
      </c>
      <c r="H1973" s="190">
        <f>'HIRE CHARGES'!$D$505</f>
        <v>15.8</v>
      </c>
      <c r="I1973" s="155">
        <f t="shared" si="26"/>
        <v>632</v>
      </c>
      <c r="J1973" s="78"/>
    </row>
    <row r="1974" spans="2:10">
      <c r="B1974" s="105"/>
      <c r="C1974" s="135" t="s">
        <v>2379</v>
      </c>
      <c r="D1974" s="31"/>
      <c r="E1974" s="189"/>
      <c r="F1974" s="210" t="s">
        <v>2374</v>
      </c>
      <c r="G1974" s="190">
        <v>40</v>
      </c>
      <c r="H1974" s="190">
        <f>'HIRE CHARGES'!$E$505</f>
        <v>0</v>
      </c>
      <c r="I1974" s="155">
        <f t="shared" si="26"/>
        <v>0</v>
      </c>
      <c r="J1974" s="78"/>
    </row>
    <row r="1975" spans="2:10">
      <c r="B1975" s="105">
        <v>6</v>
      </c>
      <c r="C1975" s="135" t="s">
        <v>383</v>
      </c>
      <c r="D1975" s="31"/>
      <c r="E1975" s="189"/>
      <c r="F1975" s="210" t="s">
        <v>2374</v>
      </c>
      <c r="G1975" s="190">
        <v>8</v>
      </c>
      <c r="H1975" s="190">
        <f>'HIRE CHARGES'!$D$520</f>
        <v>6.7</v>
      </c>
      <c r="I1975" s="155">
        <f t="shared" si="26"/>
        <v>53.6</v>
      </c>
      <c r="J1975" s="78"/>
    </row>
    <row r="1976" spans="2:10">
      <c r="B1976" s="105"/>
      <c r="C1976" s="135" t="s">
        <v>2379</v>
      </c>
      <c r="D1976" s="31"/>
      <c r="E1976" s="189"/>
      <c r="F1976" s="210" t="s">
        <v>2374</v>
      </c>
      <c r="G1976" s="190">
        <v>8</v>
      </c>
      <c r="H1976" s="207">
        <f>'HIRE CHARGES'!$E$520</f>
        <v>56</v>
      </c>
      <c r="I1976" s="155">
        <f t="shared" si="26"/>
        <v>448</v>
      </c>
      <c r="J1976" s="78"/>
    </row>
    <row r="1977" spans="2:10">
      <c r="B1977" s="105">
        <v>7</v>
      </c>
      <c r="C1977" s="135" t="s">
        <v>4465</v>
      </c>
      <c r="D1977" s="31"/>
      <c r="E1977" s="189"/>
      <c r="F1977" s="210" t="s">
        <v>2374</v>
      </c>
      <c r="G1977" s="190">
        <v>16</v>
      </c>
      <c r="H1977" s="190">
        <f>'HIRE CHARGES'!$D$534</f>
        <v>9.6999999999999993</v>
      </c>
      <c r="I1977" s="155">
        <f t="shared" si="26"/>
        <v>155.19999999999999</v>
      </c>
      <c r="J1977" s="78"/>
    </row>
    <row r="1978" spans="2:10">
      <c r="B1978" s="105"/>
      <c r="C1978" s="135" t="s">
        <v>2379</v>
      </c>
      <c r="D1978" s="31"/>
      <c r="E1978" s="189"/>
      <c r="F1978" s="210" t="s">
        <v>2374</v>
      </c>
      <c r="G1978" s="190">
        <v>16</v>
      </c>
      <c r="H1978" s="190">
        <f>'HIRE CHARGES'!$E$534</f>
        <v>8.4</v>
      </c>
      <c r="I1978" s="155">
        <f t="shared" si="26"/>
        <v>134.4</v>
      </c>
      <c r="J1978" s="78"/>
    </row>
    <row r="1979" spans="2:10">
      <c r="B1979" s="114">
        <v>8</v>
      </c>
      <c r="C1979" s="139" t="s">
        <v>2373</v>
      </c>
      <c r="D1979" s="174"/>
      <c r="E1979" s="192"/>
      <c r="F1979" s="191" t="s">
        <v>2173</v>
      </c>
      <c r="G1979" s="182">
        <v>10</v>
      </c>
      <c r="H1979" s="215">
        <f>'BASIC DATA'!$D$359</f>
        <v>30</v>
      </c>
      <c r="I1979" s="155">
        <f t="shared" si="26"/>
        <v>300</v>
      </c>
      <c r="J1979" s="78"/>
    </row>
    <row r="1980" spans="2:10">
      <c r="B1980" s="184"/>
      <c r="C1980" s="151"/>
      <c r="D1980" s="159"/>
      <c r="E1980" s="159" t="s">
        <v>2380</v>
      </c>
      <c r="F1980" s="159"/>
      <c r="G1980" s="159"/>
      <c r="H1980" s="208" t="s">
        <v>1698</v>
      </c>
      <c r="I1980" s="209">
        <f>SUM(I1965:I1979)</f>
        <v>52323.19999999999</v>
      </c>
      <c r="J1980" s="78"/>
    </row>
    <row r="1981" spans="2:10">
      <c r="J1981" s="78"/>
    </row>
    <row r="1982" spans="2:10">
      <c r="J1982" s="78"/>
    </row>
    <row r="1983" spans="2:10">
      <c r="B1983" s="170" t="s">
        <v>2381</v>
      </c>
      <c r="J1983" s="78"/>
    </row>
    <row r="1984" spans="2:10">
      <c r="B1984" s="95" t="s">
        <v>2369</v>
      </c>
      <c r="C1984" s="153"/>
      <c r="D1984" s="157" t="s">
        <v>2378</v>
      </c>
      <c r="E1984" s="97"/>
      <c r="F1984" s="95" t="s">
        <v>2370</v>
      </c>
      <c r="G1984" s="95" t="s">
        <v>1166</v>
      </c>
      <c r="H1984" s="97" t="s">
        <v>6664</v>
      </c>
      <c r="I1984" s="97" t="s">
        <v>6665</v>
      </c>
      <c r="J1984" s="78"/>
    </row>
    <row r="1985" spans="2:10">
      <c r="B1985" s="191"/>
      <c r="C1985" s="139"/>
      <c r="D1985" s="174"/>
      <c r="E1985" s="192"/>
      <c r="F1985" s="191"/>
      <c r="G1985" s="114"/>
      <c r="H1985" s="115" t="s">
        <v>3856</v>
      </c>
      <c r="I1985" s="115" t="s">
        <v>3857</v>
      </c>
      <c r="J1985" s="78"/>
    </row>
    <row r="1986" spans="2:10">
      <c r="B1986" s="95">
        <v>1</v>
      </c>
      <c r="C1986" s="131" t="s">
        <v>158</v>
      </c>
      <c r="D1986" s="187"/>
      <c r="E1986" s="195"/>
      <c r="F1986" s="107" t="s">
        <v>2374</v>
      </c>
      <c r="G1986" s="179">
        <v>8</v>
      </c>
      <c r="H1986" s="178">
        <f>'HIRE CHARGES'!$F$502</f>
        <v>340.6</v>
      </c>
      <c r="I1986" s="155">
        <f>ROUND(H1986*G1986,2)</f>
        <v>2724.8</v>
      </c>
      <c r="J1986" s="78"/>
    </row>
    <row r="1987" spans="2:10">
      <c r="B1987" s="105">
        <v>2</v>
      </c>
      <c r="C1987" s="135" t="s">
        <v>4606</v>
      </c>
      <c r="D1987" s="31"/>
      <c r="E1987" s="189"/>
      <c r="F1987" s="210" t="s">
        <v>2374</v>
      </c>
      <c r="G1987" s="190">
        <v>8</v>
      </c>
      <c r="H1987" s="207">
        <f>'HIRE CHARGES'!$F$495</f>
        <v>164.8</v>
      </c>
      <c r="I1987" s="155">
        <f t="shared" ref="I1987:I2000" si="27">ROUND(H1987*G1987,2)</f>
        <v>1318.4</v>
      </c>
      <c r="J1987" s="78"/>
    </row>
    <row r="1988" spans="2:10">
      <c r="B1988" s="105">
        <v>3</v>
      </c>
      <c r="C1988" s="135" t="s">
        <v>4466</v>
      </c>
      <c r="D1988" s="31"/>
      <c r="E1988" s="189"/>
      <c r="F1988" s="210" t="s">
        <v>2374</v>
      </c>
      <c r="G1988" s="190">
        <v>32</v>
      </c>
      <c r="H1988" s="190">
        <f>'HIRE CHARGES'!$F$545</f>
        <v>177.5</v>
      </c>
      <c r="I1988" s="155">
        <f t="shared" si="27"/>
        <v>5680</v>
      </c>
      <c r="J1988" s="78"/>
    </row>
    <row r="1989" spans="2:10">
      <c r="B1989" s="105">
        <v>4</v>
      </c>
      <c r="C1989" s="135" t="s">
        <v>4467</v>
      </c>
      <c r="D1989" s="31"/>
      <c r="E1989" s="189"/>
      <c r="F1989" s="210" t="s">
        <v>2374</v>
      </c>
      <c r="G1989" s="190">
        <v>16</v>
      </c>
      <c r="H1989" s="190">
        <f>'HIRE CHARGES'!$F$547</f>
        <v>189.3</v>
      </c>
      <c r="I1989" s="155">
        <f t="shared" si="27"/>
        <v>3028.8</v>
      </c>
      <c r="J1989" s="78"/>
    </row>
    <row r="1990" spans="2:10">
      <c r="B1990" s="105">
        <v>5</v>
      </c>
      <c r="C1990" s="135" t="s">
        <v>999</v>
      </c>
      <c r="D1990" s="31"/>
      <c r="E1990" s="189"/>
      <c r="F1990" s="210" t="s">
        <v>2374</v>
      </c>
      <c r="G1990" s="190">
        <v>8</v>
      </c>
      <c r="H1990" s="207">
        <f>'HIRE CHARGES'!$F$520</f>
        <v>83.3</v>
      </c>
      <c r="I1990" s="155">
        <f t="shared" si="27"/>
        <v>666.4</v>
      </c>
      <c r="J1990" s="78"/>
    </row>
    <row r="1991" spans="2:10">
      <c r="B1991" s="105">
        <v>6</v>
      </c>
      <c r="C1991" s="135" t="s">
        <v>4468</v>
      </c>
      <c r="D1991" s="31"/>
      <c r="E1991" s="189"/>
      <c r="F1991" s="210" t="s">
        <v>2374</v>
      </c>
      <c r="G1991" s="190">
        <v>16</v>
      </c>
      <c r="H1991" s="207">
        <f>'HIRE CHARGES'!$F$534</f>
        <v>158.19999999999999</v>
      </c>
      <c r="I1991" s="155">
        <f t="shared" si="27"/>
        <v>2531.1999999999998</v>
      </c>
      <c r="J1991" s="78"/>
    </row>
    <row r="1992" spans="2:10">
      <c r="B1992" s="105">
        <v>7</v>
      </c>
      <c r="C1992" s="135" t="s">
        <v>440</v>
      </c>
      <c r="D1992" s="31"/>
      <c r="E1992" s="189"/>
      <c r="F1992" s="210" t="s">
        <v>1172</v>
      </c>
      <c r="G1992" s="190">
        <v>4</v>
      </c>
      <c r="H1992" s="207">
        <f>'BASIC DATA'!$C$474</f>
        <v>445</v>
      </c>
      <c r="I1992" s="155">
        <f t="shared" si="27"/>
        <v>1780</v>
      </c>
      <c r="J1992" s="78"/>
    </row>
    <row r="1993" spans="2:10">
      <c r="B1993" s="105">
        <v>8</v>
      </c>
      <c r="C1993" s="135" t="s">
        <v>2468</v>
      </c>
      <c r="D1993" s="31"/>
      <c r="E1993" s="189"/>
      <c r="F1993" s="210" t="s">
        <v>1172</v>
      </c>
      <c r="G1993" s="190">
        <v>2</v>
      </c>
      <c r="H1993" s="207">
        <f>'BASIC DATA'!$C$471</f>
        <v>510</v>
      </c>
      <c r="I1993" s="155">
        <f t="shared" si="27"/>
        <v>1020</v>
      </c>
      <c r="J1993" s="78"/>
    </row>
    <row r="1994" spans="2:10">
      <c r="B1994" s="105">
        <v>9</v>
      </c>
      <c r="C1994" s="135" t="s">
        <v>2697</v>
      </c>
      <c r="D1994" s="31"/>
      <c r="E1994" s="189"/>
      <c r="F1994" s="210"/>
      <c r="G1994" s="210"/>
      <c r="H1994" s="207"/>
      <c r="I1994" s="155"/>
      <c r="J1994" s="78"/>
    </row>
    <row r="1995" spans="2:10">
      <c r="B1995" s="105"/>
      <c r="C1995" s="135" t="s">
        <v>4469</v>
      </c>
      <c r="D1995" s="31"/>
      <c r="E1995" s="189"/>
      <c r="F1995" s="210" t="s">
        <v>1172</v>
      </c>
      <c r="G1995" s="190">
        <v>2</v>
      </c>
      <c r="H1995" s="207">
        <f>'BASIC DATA'!$C$552</f>
        <v>350</v>
      </c>
      <c r="I1995" s="155">
        <f t="shared" si="27"/>
        <v>700</v>
      </c>
      <c r="J1995" s="78"/>
    </row>
    <row r="1996" spans="2:10">
      <c r="B1996" s="105"/>
      <c r="C1996" s="135" t="s">
        <v>4470</v>
      </c>
      <c r="D1996" s="31"/>
      <c r="E1996" s="189"/>
      <c r="F1996" s="210" t="s">
        <v>1172</v>
      </c>
      <c r="G1996" s="190">
        <v>2</v>
      </c>
      <c r="H1996" s="207">
        <f>'BASIC DATA'!$C$552</f>
        <v>350</v>
      </c>
      <c r="I1996" s="155">
        <f t="shared" si="27"/>
        <v>700</v>
      </c>
      <c r="J1996" s="78"/>
    </row>
    <row r="1997" spans="2:10">
      <c r="B1997" s="105"/>
      <c r="C1997" s="135" t="s">
        <v>4471</v>
      </c>
      <c r="D1997" s="31"/>
      <c r="E1997" s="189"/>
      <c r="F1997" s="210" t="s">
        <v>1172</v>
      </c>
      <c r="G1997" s="190">
        <v>2</v>
      </c>
      <c r="H1997" s="207">
        <f>'BASIC DATA'!$C$552</f>
        <v>350</v>
      </c>
      <c r="I1997" s="155">
        <f t="shared" si="27"/>
        <v>700</v>
      </c>
      <c r="J1997" s="78"/>
    </row>
    <row r="1998" spans="2:10">
      <c r="B1998" s="105"/>
      <c r="C1998" s="135" t="s">
        <v>4472</v>
      </c>
      <c r="D1998" s="31"/>
      <c r="E1998" s="189"/>
      <c r="F1998" s="210" t="s">
        <v>1172</v>
      </c>
      <c r="G1998" s="190">
        <v>6</v>
      </c>
      <c r="H1998" s="207">
        <f>'BASIC DATA'!$C$552</f>
        <v>350</v>
      </c>
      <c r="I1998" s="155">
        <f t="shared" si="27"/>
        <v>2100</v>
      </c>
      <c r="J1998" s="78"/>
    </row>
    <row r="1999" spans="2:10">
      <c r="B1999" s="105"/>
      <c r="C1999" s="135" t="s">
        <v>4473</v>
      </c>
      <c r="D1999" s="31"/>
      <c r="E1999" s="189"/>
      <c r="F1999" s="210" t="s">
        <v>1172</v>
      </c>
      <c r="G1999" s="190">
        <v>2</v>
      </c>
      <c r="H1999" s="207">
        <f>'BASIC DATA'!$C$552</f>
        <v>350</v>
      </c>
      <c r="I1999" s="155">
        <f t="shared" si="27"/>
        <v>700</v>
      </c>
      <c r="J1999" s="78"/>
    </row>
    <row r="2000" spans="2:10">
      <c r="B2000" s="114">
        <v>10</v>
      </c>
      <c r="C2000" s="139" t="s">
        <v>7215</v>
      </c>
      <c r="D2000" s="174"/>
      <c r="E2000" s="192"/>
      <c r="F2000" s="191" t="s">
        <v>3479</v>
      </c>
      <c r="G2000" s="182">
        <f>0.5*H1948</f>
        <v>120</v>
      </c>
      <c r="H2000" s="181">
        <f>H1944</f>
        <v>132.75</v>
      </c>
      <c r="I2000" s="155">
        <f t="shared" si="27"/>
        <v>15930</v>
      </c>
      <c r="J2000" s="78"/>
    </row>
    <row r="2001" spans="2:10">
      <c r="B2001" s="184"/>
      <c r="C2001" s="151"/>
      <c r="D2001" s="159"/>
      <c r="E2001" s="159" t="s">
        <v>1174</v>
      </c>
      <c r="F2001" s="159"/>
      <c r="G2001" s="159"/>
      <c r="H2001" s="208" t="s">
        <v>1698</v>
      </c>
      <c r="I2001" s="209">
        <f>SUM(I1986:I2000)</f>
        <v>39579.599999999999</v>
      </c>
      <c r="J2001" s="78"/>
    </row>
    <row r="2002" spans="2:10">
      <c r="B2002" s="60" t="s">
        <v>5948</v>
      </c>
      <c r="C2002" s="76"/>
      <c r="D2002" s="31"/>
      <c r="E2002" s="31"/>
      <c r="F2002" s="31"/>
      <c r="G2002" s="85">
        <f>ROUND(I2001/H1948,1)</f>
        <v>164.9</v>
      </c>
      <c r="J2002" s="78"/>
    </row>
    <row r="2003" spans="2:10">
      <c r="B2003" s="60" t="s">
        <v>3163</v>
      </c>
      <c r="C2003" s="76"/>
      <c r="D2003" s="31"/>
      <c r="E2003" s="31"/>
      <c r="F2003" s="922">
        <f>'BASIC DATA'!$C$577</f>
        <v>0.13614999999999999</v>
      </c>
      <c r="G2003" s="85">
        <f>ROUND(G2002*F2003,1)</f>
        <v>22.5</v>
      </c>
      <c r="J2003" s="78"/>
    </row>
    <row r="2004" spans="2:10">
      <c r="B2004" s="60" t="s">
        <v>5949</v>
      </c>
      <c r="C2004" s="76"/>
      <c r="D2004" s="31"/>
      <c r="E2004" s="31"/>
      <c r="F2004" s="31"/>
      <c r="G2004" s="199">
        <f>ROUND(G2003+G2002,1)</f>
        <v>187.4</v>
      </c>
      <c r="J2004" s="78"/>
    </row>
    <row r="2005" spans="2:10">
      <c r="J2005" s="78"/>
    </row>
    <row r="2006" spans="2:10">
      <c r="B2006" s="170" t="s">
        <v>1175</v>
      </c>
      <c r="J2006" s="78"/>
    </row>
    <row r="2007" spans="2:10">
      <c r="B2007" s="26" t="s">
        <v>1176</v>
      </c>
      <c r="G2007" s="171" t="s">
        <v>1698</v>
      </c>
      <c r="I2007" s="117">
        <f>I1960</f>
        <v>568250.4</v>
      </c>
      <c r="J2007" s="78"/>
    </row>
    <row r="2008" spans="2:10">
      <c r="B2008" s="26" t="s">
        <v>1186</v>
      </c>
      <c r="G2008" s="171" t="s">
        <v>1698</v>
      </c>
      <c r="I2008" s="117">
        <f>I1980</f>
        <v>52323.19999999999</v>
      </c>
      <c r="J2008" s="78"/>
    </row>
    <row r="2009" spans="2:10">
      <c r="B2009" s="26" t="s">
        <v>2660</v>
      </c>
      <c r="G2009" s="171" t="s">
        <v>1698</v>
      </c>
      <c r="I2009" s="85">
        <f>I2001</f>
        <v>39579.599999999999</v>
      </c>
      <c r="J2009" s="78"/>
    </row>
    <row r="2010" spans="2:10">
      <c r="G2010" s="171" t="s">
        <v>1518</v>
      </c>
      <c r="H2010" s="171" t="s">
        <v>1698</v>
      </c>
      <c r="I2010" s="130">
        <f>SUM(I2007:I2009)</f>
        <v>660153.19999999995</v>
      </c>
      <c r="J2010" s="78"/>
    </row>
    <row r="2011" spans="2:10">
      <c r="B2011" s="26" t="s">
        <v>4386</v>
      </c>
      <c r="G2011" s="261">
        <f>'BASIC DATA'!$C$599</f>
        <v>0.03</v>
      </c>
      <c r="I2011" s="117">
        <f>ROUND(G2011*$I$2010,2)</f>
        <v>19804.599999999999</v>
      </c>
      <c r="J2011" s="78"/>
    </row>
    <row r="2012" spans="2:10">
      <c r="B2012" s="26" t="s">
        <v>3873</v>
      </c>
      <c r="G2012" s="262">
        <f>'BASIC DATA'!$C$598</f>
        <v>2.5000000000000001E-2</v>
      </c>
      <c r="I2012" s="117">
        <f>ROUND(G2012*$I$2010,2)</f>
        <v>16503.830000000002</v>
      </c>
      <c r="J2012" s="78"/>
    </row>
    <row r="2013" spans="2:10">
      <c r="B2013" s="26" t="s">
        <v>3151</v>
      </c>
      <c r="G2013" s="262">
        <f>'BASIC DATA'!$C$600</f>
        <v>0.04</v>
      </c>
      <c r="I2013" s="117">
        <f>ROUND(G2013*$I$2010,2)</f>
        <v>26406.13</v>
      </c>
      <c r="J2013" s="78"/>
    </row>
    <row r="2014" spans="2:10">
      <c r="G2014" s="171" t="s">
        <v>1518</v>
      </c>
      <c r="H2014" s="171" t="s">
        <v>1698</v>
      </c>
      <c r="I2014" s="130">
        <f>SUM(I2010:I2013)</f>
        <v>722867.75999999989</v>
      </c>
      <c r="J2014" s="78"/>
    </row>
    <row r="2015" spans="2:10" ht="18.75">
      <c r="B2015" s="1207" t="s">
        <v>8424</v>
      </c>
      <c r="C2015" s="1207"/>
      <c r="D2015" s="1207"/>
      <c r="E2015" s="1207"/>
      <c r="F2015" s="1207"/>
      <c r="G2015" s="922">
        <f>'BASIC DATA'!$C$577</f>
        <v>0.13614999999999999</v>
      </c>
      <c r="H2015" s="171" t="s">
        <v>4108</v>
      </c>
      <c r="I2015" s="76">
        <f>ROUND(I2014*G2015,2)</f>
        <v>98418.45</v>
      </c>
      <c r="J2015" s="78"/>
    </row>
    <row r="2016" spans="2:10">
      <c r="B2016" s="27" t="s">
        <v>9590</v>
      </c>
      <c r="C2016" s="43"/>
      <c r="D2016" s="43"/>
      <c r="E2016" s="43"/>
      <c r="F2016" s="779">
        <f>G1957</f>
        <v>88.8</v>
      </c>
      <c r="G2016" s="201" t="s">
        <v>9591</v>
      </c>
      <c r="H2016" s="68" t="str">
        <f>CONCATENATE((leadcharges!$D$65)," ","Rs./Cum")</f>
        <v>31.5 Rs./Cum</v>
      </c>
      <c r="I2016" s="76">
        <f>leadcharges!$D$65*F2016</f>
        <v>2797.2</v>
      </c>
      <c r="J2016" s="78"/>
    </row>
    <row r="2017" spans="1:10">
      <c r="B2017" s="27" t="s">
        <v>9589</v>
      </c>
      <c r="C2017" s="43"/>
      <c r="D2017" s="43"/>
      <c r="E2017" s="43"/>
      <c r="F2017" s="779">
        <f>SUM(G1953:G1956)</f>
        <v>235.2</v>
      </c>
      <c r="G2017" s="201" t="s">
        <v>9591</v>
      </c>
      <c r="H2017" s="68" t="str">
        <f>CONCATENATE((leadcharges!$E$65)," ","Rs./Cum")</f>
        <v>30.4 Rs./Cum</v>
      </c>
      <c r="I2017" s="85">
        <f>leadcharges!$E$65*F2017</f>
        <v>7150.079999999999</v>
      </c>
      <c r="J2017" s="78"/>
    </row>
    <row r="2018" spans="1:10" ht="37.5" hidden="1" customHeight="1">
      <c r="B2018" s="1207"/>
      <c r="C2018" s="1207"/>
      <c r="D2018" s="1207"/>
      <c r="E2018" s="1207"/>
      <c r="F2018" s="779"/>
      <c r="G2018" s="201"/>
      <c r="H2018" s="68"/>
      <c r="I2018" s="76"/>
      <c r="J2018" s="78"/>
    </row>
    <row r="2019" spans="1:10">
      <c r="B2019" s="1206" t="s">
        <v>1191</v>
      </c>
      <c r="C2019" s="1206"/>
      <c r="D2019" s="1206"/>
      <c r="E2019" s="1206"/>
      <c r="F2019" s="202">
        <f>H1948</f>
        <v>240</v>
      </c>
      <c r="G2019" s="217" t="str">
        <f>I1948</f>
        <v>cum</v>
      </c>
      <c r="H2019" s="171" t="s">
        <v>1698</v>
      </c>
      <c r="I2019" s="199">
        <f>SUM(I2014:I2018)</f>
        <v>831233.48999999976</v>
      </c>
      <c r="J2019" s="78"/>
    </row>
    <row r="2020" spans="1:10">
      <c r="B2020" s="1161" t="s">
        <v>3884</v>
      </c>
      <c r="C2020" s="1161"/>
      <c r="D2020" s="203" t="str">
        <f>G2019</f>
        <v>cum</v>
      </c>
      <c r="F2020" s="26" t="s">
        <v>1645</v>
      </c>
      <c r="H2020" s="171" t="s">
        <v>1698</v>
      </c>
      <c r="I2020" s="204">
        <f>ROUND(I2019/F2019,1)</f>
        <v>3463.5</v>
      </c>
      <c r="J2020" s="78"/>
    </row>
    <row r="2021" spans="1:10">
      <c r="H2021" s="171"/>
      <c r="I2021" s="68"/>
      <c r="J2021" s="78"/>
    </row>
    <row r="2022" spans="1:10">
      <c r="H2022" s="171"/>
      <c r="I2022" s="68"/>
      <c r="J2022" s="78"/>
    </row>
    <row r="2023" spans="1:10" ht="18.75">
      <c r="A2023" s="822" t="s">
        <v>7074</v>
      </c>
      <c r="B2023" s="26" t="s">
        <v>8425</v>
      </c>
      <c r="J2023" s="78"/>
    </row>
    <row r="2024" spans="1:10" ht="18.75">
      <c r="B2024" s="26" t="s">
        <v>8426</v>
      </c>
      <c r="J2024" s="78"/>
    </row>
    <row r="2025" spans="1:10">
      <c r="B2025" s="26" t="s">
        <v>8415</v>
      </c>
      <c r="J2025" s="78"/>
    </row>
    <row r="2026" spans="1:10">
      <c r="B2026" s="26" t="s">
        <v>426</v>
      </c>
      <c r="J2026" s="78"/>
    </row>
    <row r="2027" spans="1:10">
      <c r="B2027" s="26" t="s">
        <v>427</v>
      </c>
      <c r="J2027" s="78"/>
    </row>
    <row r="2028" spans="1:10">
      <c r="B2028" s="26" t="s">
        <v>8427</v>
      </c>
      <c r="J2028" s="78"/>
    </row>
    <row r="2029" spans="1:10">
      <c r="B2029" s="26" t="s">
        <v>3997</v>
      </c>
      <c r="J2029" s="78"/>
    </row>
    <row r="2030" spans="1:10" ht="18.75">
      <c r="B2030" s="26" t="s">
        <v>8428</v>
      </c>
      <c r="J2030" s="78"/>
    </row>
    <row r="2031" spans="1:10">
      <c r="B2031" s="170" t="s">
        <v>7656</v>
      </c>
      <c r="J2031" s="78"/>
    </row>
    <row r="2032" spans="1:10">
      <c r="B2032" s="170" t="s">
        <v>3074</v>
      </c>
      <c r="J2032" s="78"/>
    </row>
    <row r="2033" spans="1:10" hidden="1">
      <c r="A2033" s="822" t="s">
        <v>3984</v>
      </c>
      <c r="B2033" s="26" t="s">
        <v>1082</v>
      </c>
      <c r="G2033" s="171" t="s">
        <v>1697</v>
      </c>
      <c r="J2033" s="78"/>
    </row>
    <row r="2034" spans="1:10" hidden="1">
      <c r="B2034" s="26" t="s">
        <v>2601</v>
      </c>
      <c r="G2034" s="171"/>
      <c r="H2034" s="68">
        <v>0.9</v>
      </c>
      <c r="I2034" s="26" t="s">
        <v>3477</v>
      </c>
      <c r="J2034" s="78"/>
    </row>
    <row r="2035" spans="1:10" hidden="1">
      <c r="B2035" s="26" t="s">
        <v>2556</v>
      </c>
      <c r="G2035" s="171" t="s">
        <v>1697</v>
      </c>
      <c r="H2035" s="265">
        <v>2.1043981481481482</v>
      </c>
      <c r="J2035" s="78"/>
    </row>
    <row r="2036" spans="1:10" hidden="1">
      <c r="B2036" s="26" t="s">
        <v>3414</v>
      </c>
      <c r="G2036" s="171" t="s">
        <v>1697</v>
      </c>
      <c r="H2036" s="68">
        <v>0.4</v>
      </c>
      <c r="I2036" s="26" t="s">
        <v>5336</v>
      </c>
      <c r="J2036" s="78"/>
    </row>
    <row r="2037" spans="1:10" hidden="1">
      <c r="B2037" s="26" t="s">
        <v>5853</v>
      </c>
      <c r="G2037" s="171" t="s">
        <v>1697</v>
      </c>
      <c r="H2037" s="26">
        <v>310</v>
      </c>
      <c r="I2037" s="26" t="s">
        <v>6670</v>
      </c>
      <c r="J2037" s="78"/>
    </row>
    <row r="2038" spans="1:10" hidden="1">
      <c r="A2038" s="853"/>
      <c r="B2038" s="61" t="s">
        <v>818</v>
      </c>
      <c r="C2038" s="125"/>
      <c r="D2038" s="61"/>
      <c r="E2038" s="61"/>
      <c r="F2038" s="61"/>
      <c r="G2038" s="222" t="s">
        <v>1697</v>
      </c>
      <c r="H2038" s="223">
        <f>0.4%*H2037</f>
        <v>1.24</v>
      </c>
      <c r="I2038" s="61" t="s">
        <v>6670</v>
      </c>
      <c r="J2038" s="78"/>
    </row>
    <row r="2039" spans="1:10" hidden="1">
      <c r="B2039" s="26" t="s">
        <v>3373</v>
      </c>
      <c r="J2039" s="78"/>
    </row>
    <row r="2040" spans="1:10" hidden="1">
      <c r="B2040" s="26" t="s">
        <v>574</v>
      </c>
      <c r="J2040" s="78"/>
    </row>
    <row r="2041" spans="1:10" hidden="1">
      <c r="B2041" s="26" t="s">
        <v>3206</v>
      </c>
      <c r="J2041" s="78"/>
    </row>
    <row r="2042" spans="1:10" hidden="1">
      <c r="B2042" s="26" t="s">
        <v>607</v>
      </c>
      <c r="J2042" s="78"/>
    </row>
    <row r="2043" spans="1:10" hidden="1">
      <c r="B2043" s="26" t="s">
        <v>6105</v>
      </c>
      <c r="J2043" s="78"/>
    </row>
    <row r="2044" spans="1:10" hidden="1">
      <c r="B2044" s="26" t="s">
        <v>3157</v>
      </c>
      <c r="J2044" s="78"/>
    </row>
    <row r="2045" spans="1:10" hidden="1">
      <c r="B2045" s="26" t="s">
        <v>6799</v>
      </c>
      <c r="J2045" s="78"/>
    </row>
    <row r="2046" spans="1:10" hidden="1">
      <c r="B2046" s="26" t="s">
        <v>6800</v>
      </c>
      <c r="J2046" s="78"/>
    </row>
    <row r="2047" spans="1:10" hidden="1">
      <c r="B2047" s="26" t="s">
        <v>715</v>
      </c>
      <c r="F2047" s="26" t="s">
        <v>716</v>
      </c>
      <c r="G2047" s="171" t="s">
        <v>1697</v>
      </c>
      <c r="H2047" s="68">
        <v>240</v>
      </c>
      <c r="I2047" s="26" t="s">
        <v>3477</v>
      </c>
      <c r="J2047" s="78"/>
    </row>
    <row r="2048" spans="1:10" hidden="1">
      <c r="B2048" s="26" t="s">
        <v>717</v>
      </c>
      <c r="G2048" s="171" t="s">
        <v>1697</v>
      </c>
      <c r="H2048" s="68">
        <v>1.5</v>
      </c>
      <c r="I2048" s="26" t="s">
        <v>5198</v>
      </c>
      <c r="J2048" s="78"/>
    </row>
    <row r="2049" spans="2:10" hidden="1">
      <c r="B2049" s="26" t="s">
        <v>6801</v>
      </c>
      <c r="G2049" s="171"/>
      <c r="H2049" s="26" t="s">
        <v>5199</v>
      </c>
      <c r="J2049" s="78"/>
    </row>
    <row r="2050" spans="2:10" hidden="1">
      <c r="B2050" s="26" t="s">
        <v>6802</v>
      </c>
      <c r="G2050" s="171"/>
      <c r="J2050" s="78"/>
    </row>
    <row r="2051" spans="2:10" hidden="1">
      <c r="B2051" s="26" t="s">
        <v>575</v>
      </c>
      <c r="G2051" s="171" t="s">
        <v>1698</v>
      </c>
      <c r="H2051" s="68">
        <f>H1604</f>
        <v>216.75</v>
      </c>
      <c r="J2051" s="78"/>
    </row>
    <row r="2052" spans="2:10" hidden="1">
      <c r="B2052" s="26" t="s">
        <v>5574</v>
      </c>
      <c r="G2052" s="171" t="s">
        <v>1698</v>
      </c>
      <c r="H2052" s="68">
        <f>I1666</f>
        <v>325.12</v>
      </c>
      <c r="J2052" s="78"/>
    </row>
    <row r="2053" spans="2:10" hidden="1">
      <c r="B2053" s="26" t="s">
        <v>718</v>
      </c>
      <c r="G2053" s="171"/>
      <c r="J2053" s="78"/>
    </row>
    <row r="2054" spans="2:10" hidden="1">
      <c r="B2054" s="26" t="s">
        <v>3350</v>
      </c>
      <c r="G2054" s="171"/>
      <c r="J2054" s="78"/>
    </row>
    <row r="2055" spans="2:10" hidden="1">
      <c r="B2055" s="26" t="s">
        <v>1850</v>
      </c>
      <c r="G2055" s="171" t="s">
        <v>1697</v>
      </c>
      <c r="H2055" s="68">
        <v>2</v>
      </c>
      <c r="I2055" s="26" t="s">
        <v>4041</v>
      </c>
      <c r="J2055" s="78"/>
    </row>
    <row r="2056" spans="2:10" hidden="1">
      <c r="B2056" s="26" t="s">
        <v>4190</v>
      </c>
      <c r="G2056" s="171" t="s">
        <v>1697</v>
      </c>
      <c r="H2056" s="68">
        <v>4</v>
      </c>
      <c r="I2056" s="26" t="s">
        <v>4041</v>
      </c>
      <c r="J2056" s="78"/>
    </row>
    <row r="2057" spans="2:10" hidden="1">
      <c r="B2057" s="26" t="s">
        <v>6447</v>
      </c>
      <c r="G2057" s="171" t="s">
        <v>1697</v>
      </c>
      <c r="H2057" s="68">
        <v>2</v>
      </c>
      <c r="I2057" s="26" t="s">
        <v>4041</v>
      </c>
      <c r="J2057" s="78"/>
    </row>
    <row r="2058" spans="2:10" hidden="1">
      <c r="B2058" s="26" t="s">
        <v>6448</v>
      </c>
      <c r="G2058" s="171" t="s">
        <v>1697</v>
      </c>
      <c r="H2058" s="68">
        <v>2</v>
      </c>
      <c r="I2058" s="26" t="s">
        <v>4041</v>
      </c>
      <c r="J2058" s="78"/>
    </row>
    <row r="2059" spans="2:10" hidden="1">
      <c r="B2059" s="26" t="s">
        <v>5325</v>
      </c>
      <c r="G2059" s="171" t="s">
        <v>1697</v>
      </c>
      <c r="H2059" s="68">
        <v>2</v>
      </c>
      <c r="I2059" s="26" t="s">
        <v>4041</v>
      </c>
      <c r="J2059" s="78"/>
    </row>
    <row r="2060" spans="2:10" hidden="1">
      <c r="B2060" s="26" t="s">
        <v>6450</v>
      </c>
      <c r="G2060" s="171" t="s">
        <v>1697</v>
      </c>
      <c r="H2060" s="68">
        <v>6</v>
      </c>
      <c r="I2060" s="26" t="s">
        <v>4041</v>
      </c>
      <c r="J2060" s="78"/>
    </row>
    <row r="2061" spans="2:10" hidden="1">
      <c r="B2061" s="26" t="s">
        <v>5170</v>
      </c>
      <c r="G2061" s="171" t="s">
        <v>1697</v>
      </c>
      <c r="H2061" s="68">
        <v>2</v>
      </c>
      <c r="I2061" s="26" t="s">
        <v>4041</v>
      </c>
      <c r="J2061" s="78"/>
    </row>
    <row r="2062" spans="2:10" hidden="1">
      <c r="B2062" s="26" t="s">
        <v>1820</v>
      </c>
      <c r="G2062" s="171" t="s">
        <v>1697</v>
      </c>
      <c r="H2062" s="68">
        <f>H1621</f>
        <v>88.5</v>
      </c>
      <c r="J2062" s="78"/>
    </row>
    <row r="2063" spans="2:10" hidden="1">
      <c r="B2063" s="26" t="s">
        <v>576</v>
      </c>
      <c r="J2063" s="78"/>
    </row>
    <row r="2064" spans="2:10" hidden="1">
      <c r="B2064" s="26" t="s">
        <v>430</v>
      </c>
      <c r="J2064" s="78"/>
    </row>
    <row r="2065" spans="1:10" hidden="1">
      <c r="B2065" s="26" t="s">
        <v>431</v>
      </c>
      <c r="J2065" s="78"/>
    </row>
    <row r="2066" spans="1:10" hidden="1">
      <c r="B2066" s="26" t="s">
        <v>4459</v>
      </c>
      <c r="H2066" s="68">
        <f>I1680</f>
        <v>132.75</v>
      </c>
      <c r="J2066" s="78"/>
    </row>
    <row r="2067" spans="1:10" hidden="1">
      <c r="B2067" s="26" t="s">
        <v>31</v>
      </c>
      <c r="F2067" s="201"/>
      <c r="J2067" s="78"/>
    </row>
    <row r="2068" spans="1:10" hidden="1">
      <c r="J2068" s="78"/>
    </row>
    <row r="2069" spans="1:10">
      <c r="J2069" s="78"/>
    </row>
    <row r="2070" spans="1:10">
      <c r="A2070" s="822" t="s">
        <v>3984</v>
      </c>
      <c r="E2070" s="170" t="s">
        <v>2367</v>
      </c>
      <c r="J2070" s="78"/>
    </row>
    <row r="2071" spans="1:10">
      <c r="H2071" s="171" t="s">
        <v>1188</v>
      </c>
      <c r="J2071" s="78"/>
    </row>
    <row r="2072" spans="1:10">
      <c r="B2072" s="170" t="s">
        <v>2368</v>
      </c>
      <c r="H2072" s="211">
        <f>H2047</f>
        <v>240</v>
      </c>
      <c r="I2072" s="26" t="s">
        <v>3477</v>
      </c>
      <c r="J2072" s="78"/>
    </row>
    <row r="2073" spans="1:10">
      <c r="B2073" s="95" t="s">
        <v>2369</v>
      </c>
      <c r="C2073" s="153"/>
      <c r="D2073" s="157" t="s">
        <v>4443</v>
      </c>
      <c r="E2073" s="97"/>
      <c r="F2073" s="95" t="s">
        <v>2370</v>
      </c>
      <c r="G2073" s="95" t="s">
        <v>1166</v>
      </c>
      <c r="H2073" s="97" t="s">
        <v>6664</v>
      </c>
      <c r="I2073" s="97" t="s">
        <v>6665</v>
      </c>
      <c r="J2073" s="78"/>
    </row>
    <row r="2074" spans="1:10">
      <c r="B2074" s="191"/>
      <c r="C2074" s="139"/>
      <c r="D2074" s="174"/>
      <c r="E2074" s="192"/>
      <c r="F2074" s="191"/>
      <c r="G2074" s="114"/>
      <c r="H2074" s="115" t="s">
        <v>3856</v>
      </c>
      <c r="I2074" s="115" t="s">
        <v>3857</v>
      </c>
      <c r="J2074" s="78"/>
    </row>
    <row r="2075" spans="1:10">
      <c r="B2075" s="95">
        <v>1</v>
      </c>
      <c r="C2075" s="131" t="s">
        <v>1048</v>
      </c>
      <c r="D2075" s="187"/>
      <c r="E2075" s="195"/>
      <c r="F2075" s="107" t="s">
        <v>3478</v>
      </c>
      <c r="G2075" s="26">
        <f>H2037*H2072</f>
        <v>74400</v>
      </c>
      <c r="H2075" s="212">
        <f>'BASIC DATA'!$D$32/1000</f>
        <v>5.35</v>
      </c>
      <c r="I2075" s="155">
        <f>ROUND(H2075*G2075,2)</f>
        <v>398040</v>
      </c>
      <c r="J2075" s="78"/>
    </row>
    <row r="2076" spans="1:10">
      <c r="B2076" s="105">
        <v>2</v>
      </c>
      <c r="C2076" s="135" t="s">
        <v>7212</v>
      </c>
      <c r="D2076" s="31"/>
      <c r="E2076" s="189"/>
      <c r="F2076" s="210" t="s">
        <v>3478</v>
      </c>
      <c r="G2076" s="221">
        <f>H2072*3</f>
        <v>720</v>
      </c>
      <c r="H2076" s="214">
        <f>'BASIC DATA'!$D$32/1000</f>
        <v>5.35</v>
      </c>
      <c r="I2076" s="155">
        <f t="shared" ref="I2076:I2082" si="28">ROUND(H2076*G2076,2)</f>
        <v>3852</v>
      </c>
      <c r="J2076" s="78"/>
    </row>
    <row r="2077" spans="1:10">
      <c r="B2077" s="105"/>
      <c r="C2077" s="135" t="s">
        <v>6996</v>
      </c>
      <c r="D2077" s="31"/>
      <c r="E2077" s="189"/>
      <c r="F2077" s="210" t="s">
        <v>3477</v>
      </c>
      <c r="G2077" s="26">
        <f>0.9*0.5*H2072</f>
        <v>108</v>
      </c>
      <c r="H2077" s="214">
        <f>'BASIC DATA'!$D$36</f>
        <v>1175</v>
      </c>
      <c r="I2077" s="155">
        <f t="shared" si="28"/>
        <v>126900</v>
      </c>
      <c r="J2077" s="78"/>
    </row>
    <row r="2078" spans="1:10">
      <c r="B2078" s="105"/>
      <c r="C2078" s="135" t="s">
        <v>6995</v>
      </c>
      <c r="D2078" s="31"/>
      <c r="E2078" s="189"/>
      <c r="F2078" s="210" t="s">
        <v>3477</v>
      </c>
      <c r="G2078" s="26">
        <f>0.9*0.3*H2072</f>
        <v>64.800000000000011</v>
      </c>
      <c r="H2078" s="214">
        <f>'BASIC DATA'!$D$35</f>
        <v>1225</v>
      </c>
      <c r="I2078" s="155">
        <f t="shared" si="28"/>
        <v>79380</v>
      </c>
      <c r="J2078" s="78"/>
    </row>
    <row r="2079" spans="1:10">
      <c r="B2079" s="105"/>
      <c r="C2079" s="135" t="s">
        <v>1050</v>
      </c>
      <c r="D2079" s="31"/>
      <c r="E2079" s="189"/>
      <c r="F2079" s="210" t="s">
        <v>3477</v>
      </c>
      <c r="G2079" s="26">
        <f>0.9*H2072*0.2</f>
        <v>43.2</v>
      </c>
      <c r="H2079" s="214">
        <f>'BASIC DATA'!$D$34</f>
        <v>900</v>
      </c>
      <c r="I2079" s="155">
        <f t="shared" si="28"/>
        <v>38880</v>
      </c>
      <c r="J2079" s="78"/>
    </row>
    <row r="2080" spans="1:10">
      <c r="A2080" s="853"/>
      <c r="B2080" s="240">
        <v>3</v>
      </c>
      <c r="C2080" s="326" t="s">
        <v>7935</v>
      </c>
      <c r="D2080" s="60"/>
      <c r="E2080" s="253"/>
      <c r="F2080" s="254" t="s">
        <v>3477</v>
      </c>
      <c r="G2080" s="61">
        <f>0.4*H2072</f>
        <v>96</v>
      </c>
      <c r="H2080" s="266">
        <f>'BASIC DATA'!$D$55</f>
        <v>95</v>
      </c>
      <c r="I2080" s="244">
        <f t="shared" si="28"/>
        <v>9120</v>
      </c>
      <c r="J2080" s="62"/>
    </row>
    <row r="2081" spans="1:10">
      <c r="A2081" s="853"/>
      <c r="B2081" s="240">
        <v>4</v>
      </c>
      <c r="C2081" s="326" t="s">
        <v>4460</v>
      </c>
      <c r="D2081" s="60"/>
      <c r="E2081" s="253"/>
      <c r="F2081" s="254" t="s">
        <v>3478</v>
      </c>
      <c r="G2081" s="267">
        <f>H2038*H2072</f>
        <v>297.60000000000002</v>
      </c>
      <c r="H2081" s="266">
        <f>'BASIC DATA'!$D$99</f>
        <v>55</v>
      </c>
      <c r="I2081" s="155">
        <f t="shared" si="28"/>
        <v>16368</v>
      </c>
      <c r="J2081" s="78"/>
    </row>
    <row r="2082" spans="1:10">
      <c r="B2082" s="105">
        <v>5</v>
      </c>
      <c r="C2082" s="135" t="s">
        <v>5315</v>
      </c>
      <c r="D2082" s="31"/>
      <c r="E2082" s="189"/>
      <c r="F2082" s="210" t="s">
        <v>3479</v>
      </c>
      <c r="G2082" s="190">
        <f>1.5*H2072</f>
        <v>360</v>
      </c>
      <c r="H2082" s="220">
        <f>H2052</f>
        <v>325.12</v>
      </c>
      <c r="I2082" s="155">
        <f t="shared" si="28"/>
        <v>117043.2</v>
      </c>
      <c r="J2082" s="78"/>
    </row>
    <row r="2083" spans="1:10">
      <c r="B2083" s="105">
        <v>6</v>
      </c>
      <c r="C2083" s="139" t="s">
        <v>7601</v>
      </c>
      <c r="D2083" s="174"/>
      <c r="E2083" s="192"/>
      <c r="F2083" s="268">
        <v>0.15</v>
      </c>
      <c r="G2083" s="191"/>
      <c r="H2083" s="245"/>
      <c r="I2083" s="84">
        <f>ROUND(I2082*0.15,2)</f>
        <v>17556.48</v>
      </c>
      <c r="J2083" s="78"/>
    </row>
    <row r="2084" spans="1:10">
      <c r="B2084" s="191"/>
      <c r="C2084" s="151"/>
      <c r="D2084" s="159"/>
      <c r="E2084" s="159" t="s">
        <v>2376</v>
      </c>
      <c r="F2084" s="159"/>
      <c r="G2084" s="159"/>
      <c r="H2084" s="208" t="s">
        <v>1698</v>
      </c>
      <c r="I2084" s="209">
        <f>SUM(I2075:I2083)</f>
        <v>807139.67999999993</v>
      </c>
      <c r="J2084" s="78"/>
    </row>
    <row r="2085" spans="1:10">
      <c r="B2085" s="31"/>
      <c r="C2085" s="76"/>
      <c r="D2085" s="31"/>
      <c r="E2085" s="31"/>
      <c r="F2085" s="31"/>
      <c r="G2085" s="31"/>
      <c r="H2085" s="200"/>
      <c r="I2085" s="31"/>
      <c r="J2085" s="78"/>
    </row>
    <row r="2086" spans="1:10">
      <c r="B2086" s="170" t="s">
        <v>2377</v>
      </c>
      <c r="J2086" s="78"/>
    </row>
    <row r="2087" spans="1:10">
      <c r="B2087" s="95" t="s">
        <v>2369</v>
      </c>
      <c r="C2087" s="153"/>
      <c r="D2087" s="157" t="s">
        <v>2378</v>
      </c>
      <c r="E2087" s="97"/>
      <c r="F2087" s="95" t="s">
        <v>2370</v>
      </c>
      <c r="G2087" s="95" t="s">
        <v>1166</v>
      </c>
      <c r="H2087" s="97" t="s">
        <v>6664</v>
      </c>
      <c r="I2087" s="97" t="s">
        <v>6665</v>
      </c>
      <c r="J2087" s="78"/>
    </row>
    <row r="2088" spans="1:10">
      <c r="B2088" s="191"/>
      <c r="C2088" s="139"/>
      <c r="D2088" s="174"/>
      <c r="E2088" s="192"/>
      <c r="F2088" s="191"/>
      <c r="G2088" s="114"/>
      <c r="H2088" s="115" t="s">
        <v>3856</v>
      </c>
      <c r="I2088" s="115" t="s">
        <v>3857</v>
      </c>
      <c r="J2088" s="78"/>
    </row>
    <row r="2089" spans="1:10">
      <c r="B2089" s="95">
        <v>1</v>
      </c>
      <c r="C2089" s="131" t="s">
        <v>4461</v>
      </c>
      <c r="D2089" s="187"/>
      <c r="E2089" s="195"/>
      <c r="F2089" s="107" t="s">
        <v>2374</v>
      </c>
      <c r="G2089" s="179">
        <v>8</v>
      </c>
      <c r="H2089" s="179">
        <f>'HIRE CHARGES'!$D$502</f>
        <v>620.70000000000005</v>
      </c>
      <c r="I2089" s="84">
        <f>ROUND(H2089*G2089,2)</f>
        <v>4965.6000000000004</v>
      </c>
      <c r="J2089" s="78"/>
    </row>
    <row r="2090" spans="1:10">
      <c r="B2090" s="105"/>
      <c r="C2090" s="135" t="s">
        <v>2379</v>
      </c>
      <c r="D2090" s="31"/>
      <c r="E2090" s="189"/>
      <c r="F2090" s="210" t="s">
        <v>2374</v>
      </c>
      <c r="G2090" s="190">
        <v>8</v>
      </c>
      <c r="H2090" s="190">
        <f>'HIRE CHARGES'!$E$502</f>
        <v>308.2</v>
      </c>
      <c r="I2090" s="84">
        <f t="shared" ref="I2090:I2103" si="29">ROUND(H2090*G2090,2)</f>
        <v>2465.6</v>
      </c>
      <c r="J2090" s="78"/>
    </row>
    <row r="2091" spans="1:10">
      <c r="B2091" s="105">
        <v>2</v>
      </c>
      <c r="C2091" s="135" t="s">
        <v>4462</v>
      </c>
      <c r="D2091" s="31"/>
      <c r="E2091" s="189"/>
      <c r="F2091" s="210" t="s">
        <v>2374</v>
      </c>
      <c r="G2091" s="190">
        <v>8</v>
      </c>
      <c r="H2091" s="190">
        <f>'HIRE CHARGES'!$D$495</f>
        <v>131.9</v>
      </c>
      <c r="I2091" s="84">
        <f t="shared" si="29"/>
        <v>1055.2</v>
      </c>
      <c r="J2091" s="78"/>
    </row>
    <row r="2092" spans="1:10">
      <c r="B2092" s="105"/>
      <c r="C2092" s="135" t="s">
        <v>2379</v>
      </c>
      <c r="D2092" s="31"/>
      <c r="E2092" s="189"/>
      <c r="F2092" s="210" t="s">
        <v>2374</v>
      </c>
      <c r="G2092" s="190">
        <v>8</v>
      </c>
      <c r="H2092" s="190">
        <f>'HIRE CHARGES'!$E$495</f>
        <v>252.2</v>
      </c>
      <c r="I2092" s="84">
        <f t="shared" si="29"/>
        <v>2017.6</v>
      </c>
      <c r="J2092" s="78"/>
    </row>
    <row r="2093" spans="1:10">
      <c r="B2093" s="105">
        <v>3</v>
      </c>
      <c r="C2093" s="135" t="s">
        <v>2087</v>
      </c>
      <c r="D2093" s="31"/>
      <c r="E2093" s="189"/>
      <c r="F2093" s="210" t="s">
        <v>2374</v>
      </c>
      <c r="G2093" s="190">
        <v>32</v>
      </c>
      <c r="H2093" s="190">
        <f>'HIRE CHARGES'!$D$545</f>
        <v>446.7</v>
      </c>
      <c r="I2093" s="84">
        <f t="shared" si="29"/>
        <v>14294.4</v>
      </c>
      <c r="J2093" s="78"/>
    </row>
    <row r="2094" spans="1:10">
      <c r="B2094" s="105"/>
      <c r="C2094" s="135" t="s">
        <v>2379</v>
      </c>
      <c r="D2094" s="31"/>
      <c r="E2094" s="189"/>
      <c r="F2094" s="210" t="s">
        <v>2374</v>
      </c>
      <c r="G2094" s="190">
        <v>32</v>
      </c>
      <c r="H2094" s="190">
        <f>'HIRE CHARGES'!$E$545</f>
        <v>299.89999999999998</v>
      </c>
      <c r="I2094" s="84">
        <f t="shared" si="29"/>
        <v>9596.7999999999993</v>
      </c>
      <c r="J2094" s="78"/>
    </row>
    <row r="2095" spans="1:10">
      <c r="B2095" s="105">
        <v>4</v>
      </c>
      <c r="C2095" s="135" t="s">
        <v>4463</v>
      </c>
      <c r="D2095" s="31"/>
      <c r="E2095" s="189"/>
      <c r="F2095" s="210" t="s">
        <v>2374</v>
      </c>
      <c r="G2095" s="190">
        <v>16</v>
      </c>
      <c r="H2095" s="190">
        <f>'HIRE CHARGES'!$D$547</f>
        <v>867.1</v>
      </c>
      <c r="I2095" s="84">
        <f t="shared" si="29"/>
        <v>13873.6</v>
      </c>
      <c r="J2095" s="78"/>
    </row>
    <row r="2096" spans="1:10">
      <c r="B2096" s="105"/>
      <c r="C2096" s="135" t="s">
        <v>2379</v>
      </c>
      <c r="D2096" s="31"/>
      <c r="E2096" s="189"/>
      <c r="F2096" s="210" t="s">
        <v>2374</v>
      </c>
      <c r="G2096" s="190">
        <v>16</v>
      </c>
      <c r="H2096" s="190">
        <f>'HIRE CHARGES'!$E$547</f>
        <v>145.69999999999999</v>
      </c>
      <c r="I2096" s="84">
        <f t="shared" si="29"/>
        <v>2331.1999999999998</v>
      </c>
      <c r="J2096" s="78"/>
    </row>
    <row r="2097" spans="2:10">
      <c r="B2097" s="105">
        <v>5</v>
      </c>
      <c r="C2097" s="135" t="s">
        <v>4464</v>
      </c>
      <c r="D2097" s="31"/>
      <c r="E2097" s="189"/>
      <c r="F2097" s="210" t="s">
        <v>2374</v>
      </c>
      <c r="G2097" s="190">
        <v>40</v>
      </c>
      <c r="H2097" s="190">
        <f>'HIRE CHARGES'!$D$505</f>
        <v>15.8</v>
      </c>
      <c r="I2097" s="84">
        <f t="shared" si="29"/>
        <v>632</v>
      </c>
      <c r="J2097" s="78"/>
    </row>
    <row r="2098" spans="2:10">
      <c r="B2098" s="105"/>
      <c r="C2098" s="135" t="s">
        <v>2379</v>
      </c>
      <c r="D2098" s="31"/>
      <c r="E2098" s="189"/>
      <c r="F2098" s="210" t="s">
        <v>2374</v>
      </c>
      <c r="G2098" s="190">
        <v>40</v>
      </c>
      <c r="H2098" s="190">
        <f>'HIRE CHARGES'!$E$505</f>
        <v>0</v>
      </c>
      <c r="I2098" s="84">
        <f t="shared" si="29"/>
        <v>0</v>
      </c>
      <c r="J2098" s="78"/>
    </row>
    <row r="2099" spans="2:10">
      <c r="B2099" s="105">
        <v>6</v>
      </c>
      <c r="C2099" s="135" t="s">
        <v>383</v>
      </c>
      <c r="D2099" s="31"/>
      <c r="E2099" s="189"/>
      <c r="F2099" s="210" t="s">
        <v>2374</v>
      </c>
      <c r="G2099" s="190">
        <v>8</v>
      </c>
      <c r="H2099" s="190">
        <f>'HIRE CHARGES'!$D$520</f>
        <v>6.7</v>
      </c>
      <c r="I2099" s="84">
        <f t="shared" si="29"/>
        <v>53.6</v>
      </c>
      <c r="J2099" s="78"/>
    </row>
    <row r="2100" spans="2:10">
      <c r="B2100" s="105"/>
      <c r="C2100" s="135" t="s">
        <v>2379</v>
      </c>
      <c r="D2100" s="31"/>
      <c r="E2100" s="189"/>
      <c r="F2100" s="210" t="s">
        <v>2374</v>
      </c>
      <c r="G2100" s="190">
        <v>8</v>
      </c>
      <c r="H2100" s="207">
        <f>'HIRE CHARGES'!$E$520</f>
        <v>56</v>
      </c>
      <c r="I2100" s="84">
        <f t="shared" si="29"/>
        <v>448</v>
      </c>
      <c r="J2100" s="78"/>
    </row>
    <row r="2101" spans="2:10">
      <c r="B2101" s="105">
        <v>7</v>
      </c>
      <c r="C2101" s="135" t="s">
        <v>4465</v>
      </c>
      <c r="D2101" s="31"/>
      <c r="E2101" s="189"/>
      <c r="F2101" s="210" t="s">
        <v>2374</v>
      </c>
      <c r="G2101" s="190">
        <v>16</v>
      </c>
      <c r="H2101" s="190">
        <f>'HIRE CHARGES'!$D$534</f>
        <v>9.6999999999999993</v>
      </c>
      <c r="I2101" s="84">
        <f t="shared" si="29"/>
        <v>155.19999999999999</v>
      </c>
      <c r="J2101" s="78"/>
    </row>
    <row r="2102" spans="2:10">
      <c r="B2102" s="105"/>
      <c r="C2102" s="135" t="s">
        <v>2379</v>
      </c>
      <c r="D2102" s="31"/>
      <c r="E2102" s="189"/>
      <c r="F2102" s="210" t="s">
        <v>2374</v>
      </c>
      <c r="G2102" s="190">
        <v>16</v>
      </c>
      <c r="H2102" s="190">
        <f>'HIRE CHARGES'!$E$534</f>
        <v>8.4</v>
      </c>
      <c r="I2102" s="84">
        <f t="shared" si="29"/>
        <v>134.4</v>
      </c>
      <c r="J2102" s="78"/>
    </row>
    <row r="2103" spans="2:10">
      <c r="B2103" s="114">
        <v>8</v>
      </c>
      <c r="C2103" s="139" t="s">
        <v>2373</v>
      </c>
      <c r="D2103" s="174"/>
      <c r="E2103" s="192"/>
      <c r="F2103" s="191" t="s">
        <v>2173</v>
      </c>
      <c r="G2103" s="182">
        <v>10</v>
      </c>
      <c r="H2103" s="215">
        <f>'BASIC DATA'!$D$359</f>
        <v>30</v>
      </c>
      <c r="I2103" s="84">
        <f t="shared" si="29"/>
        <v>300</v>
      </c>
      <c r="J2103" s="78"/>
    </row>
    <row r="2104" spans="2:10">
      <c r="B2104" s="154"/>
      <c r="C2104" s="89"/>
      <c r="D2104" s="174" t="s">
        <v>2380</v>
      </c>
      <c r="E2104" s="174"/>
      <c r="F2104" s="174"/>
      <c r="G2104" s="174"/>
      <c r="H2104" s="245" t="s">
        <v>1698</v>
      </c>
      <c r="I2104" s="269">
        <f>SUM(I2089:I2103)</f>
        <v>52323.19999999999</v>
      </c>
      <c r="J2104" s="78"/>
    </row>
    <row r="2105" spans="2:10">
      <c r="J2105" s="78"/>
    </row>
    <row r="2106" spans="2:10">
      <c r="B2106" s="170" t="s">
        <v>2381</v>
      </c>
      <c r="J2106" s="78"/>
    </row>
    <row r="2107" spans="2:10">
      <c r="B2107" s="95" t="s">
        <v>2369</v>
      </c>
      <c r="C2107" s="153"/>
      <c r="D2107" s="157" t="s">
        <v>2378</v>
      </c>
      <c r="E2107" s="97"/>
      <c r="F2107" s="95" t="s">
        <v>2370</v>
      </c>
      <c r="G2107" s="95" t="s">
        <v>1166</v>
      </c>
      <c r="H2107" s="97" t="s">
        <v>6664</v>
      </c>
      <c r="I2107" s="97" t="s">
        <v>6665</v>
      </c>
      <c r="J2107" s="78"/>
    </row>
    <row r="2108" spans="2:10">
      <c r="B2108" s="191"/>
      <c r="C2108" s="139"/>
      <c r="D2108" s="174"/>
      <c r="E2108" s="192"/>
      <c r="F2108" s="191"/>
      <c r="G2108" s="114"/>
      <c r="H2108" s="115" t="s">
        <v>3856</v>
      </c>
      <c r="I2108" s="115" t="s">
        <v>3857</v>
      </c>
      <c r="J2108" s="78"/>
    </row>
    <row r="2109" spans="2:10">
      <c r="B2109" s="95">
        <v>1</v>
      </c>
      <c r="C2109" s="131" t="s">
        <v>158</v>
      </c>
      <c r="D2109" s="187"/>
      <c r="E2109" s="195"/>
      <c r="F2109" s="107" t="s">
        <v>2374</v>
      </c>
      <c r="G2109" s="179">
        <v>8</v>
      </c>
      <c r="H2109" s="178">
        <f>'HIRE CHARGES'!$F$502</f>
        <v>340.6</v>
      </c>
      <c r="I2109" s="155">
        <f>ROUND(H2109*G2109,2)</f>
        <v>2724.8</v>
      </c>
      <c r="J2109" s="78"/>
    </row>
    <row r="2110" spans="2:10">
      <c r="B2110" s="105">
        <v>2</v>
      </c>
      <c r="C2110" s="135" t="s">
        <v>4606</v>
      </c>
      <c r="D2110" s="31"/>
      <c r="E2110" s="189"/>
      <c r="F2110" s="210" t="s">
        <v>2374</v>
      </c>
      <c r="G2110" s="190">
        <v>8</v>
      </c>
      <c r="H2110" s="207">
        <f>'HIRE CHARGES'!$F$495</f>
        <v>164.8</v>
      </c>
      <c r="I2110" s="155">
        <f t="shared" ref="I2110:I2123" si="30">ROUND(H2110*G2110,2)</f>
        <v>1318.4</v>
      </c>
      <c r="J2110" s="78"/>
    </row>
    <row r="2111" spans="2:10">
      <c r="B2111" s="105">
        <v>3</v>
      </c>
      <c r="C2111" s="135" t="s">
        <v>4466</v>
      </c>
      <c r="D2111" s="31"/>
      <c r="E2111" s="189"/>
      <c r="F2111" s="210" t="s">
        <v>2374</v>
      </c>
      <c r="G2111" s="190">
        <v>32</v>
      </c>
      <c r="H2111" s="190">
        <f>'HIRE CHARGES'!$F$545</f>
        <v>177.5</v>
      </c>
      <c r="I2111" s="155">
        <f t="shared" si="30"/>
        <v>5680</v>
      </c>
      <c r="J2111" s="78"/>
    </row>
    <row r="2112" spans="2:10">
      <c r="B2112" s="105">
        <v>4</v>
      </c>
      <c r="C2112" s="135" t="s">
        <v>4467</v>
      </c>
      <c r="D2112" s="31"/>
      <c r="E2112" s="189"/>
      <c r="F2112" s="210" t="s">
        <v>2374</v>
      </c>
      <c r="G2112" s="190">
        <v>16</v>
      </c>
      <c r="H2112" s="178">
        <f>'HIRE CHARGES'!$F$547</f>
        <v>189.3</v>
      </c>
      <c r="I2112" s="155">
        <f t="shared" si="30"/>
        <v>3028.8</v>
      </c>
      <c r="J2112" s="78"/>
    </row>
    <row r="2113" spans="2:10">
      <c r="B2113" s="105">
        <v>5</v>
      </c>
      <c r="C2113" s="135" t="s">
        <v>999</v>
      </c>
      <c r="D2113" s="31"/>
      <c r="E2113" s="189"/>
      <c r="F2113" s="210" t="s">
        <v>2374</v>
      </c>
      <c r="G2113" s="190">
        <v>8</v>
      </c>
      <c r="H2113" s="207">
        <f>'HIRE CHARGES'!$F$520</f>
        <v>83.3</v>
      </c>
      <c r="I2113" s="155">
        <f t="shared" si="30"/>
        <v>666.4</v>
      </c>
      <c r="J2113" s="78"/>
    </row>
    <row r="2114" spans="2:10">
      <c r="B2114" s="105">
        <v>6</v>
      </c>
      <c r="C2114" s="135" t="s">
        <v>4468</v>
      </c>
      <c r="D2114" s="31"/>
      <c r="E2114" s="189"/>
      <c r="F2114" s="210" t="s">
        <v>2374</v>
      </c>
      <c r="G2114" s="190">
        <v>16</v>
      </c>
      <c r="H2114" s="207">
        <f>'HIRE CHARGES'!$F$534</f>
        <v>158.19999999999999</v>
      </c>
      <c r="I2114" s="155">
        <f t="shared" si="30"/>
        <v>2531.1999999999998</v>
      </c>
      <c r="J2114" s="78"/>
    </row>
    <row r="2115" spans="2:10">
      <c r="B2115" s="105">
        <v>7</v>
      </c>
      <c r="C2115" s="135" t="s">
        <v>440</v>
      </c>
      <c r="D2115" s="31"/>
      <c r="E2115" s="189"/>
      <c r="F2115" s="210" t="s">
        <v>1172</v>
      </c>
      <c r="G2115" s="190">
        <v>4</v>
      </c>
      <c r="H2115" s="207">
        <f>'BASIC DATA'!$C$474</f>
        <v>445</v>
      </c>
      <c r="I2115" s="155">
        <f t="shared" si="30"/>
        <v>1780</v>
      </c>
      <c r="J2115" s="78"/>
    </row>
    <row r="2116" spans="2:10">
      <c r="B2116" s="105">
        <v>8</v>
      </c>
      <c r="C2116" s="135" t="s">
        <v>2468</v>
      </c>
      <c r="D2116" s="31"/>
      <c r="E2116" s="189"/>
      <c r="F2116" s="210" t="s">
        <v>1172</v>
      </c>
      <c r="G2116" s="190">
        <v>2</v>
      </c>
      <c r="H2116" s="207">
        <f>'BASIC DATA'!$C$471</f>
        <v>510</v>
      </c>
      <c r="I2116" s="155">
        <f t="shared" si="30"/>
        <v>1020</v>
      </c>
      <c r="J2116" s="78"/>
    </row>
    <row r="2117" spans="2:10">
      <c r="B2117" s="105">
        <v>9</v>
      </c>
      <c r="C2117" s="135" t="s">
        <v>2697</v>
      </c>
      <c r="D2117" s="31"/>
      <c r="E2117" s="189"/>
      <c r="F2117" s="210"/>
      <c r="G2117" s="210"/>
      <c r="H2117" s="189"/>
      <c r="I2117" s="155">
        <f t="shared" si="30"/>
        <v>0</v>
      </c>
      <c r="J2117" s="78"/>
    </row>
    <row r="2118" spans="2:10">
      <c r="B2118" s="105"/>
      <c r="C2118" s="135" t="s">
        <v>4469</v>
      </c>
      <c r="D2118" s="31"/>
      <c r="E2118" s="189"/>
      <c r="F2118" s="210" t="s">
        <v>1172</v>
      </c>
      <c r="G2118" s="190">
        <v>2</v>
      </c>
      <c r="H2118" s="207">
        <f>'BASIC DATA'!$C$552</f>
        <v>350</v>
      </c>
      <c r="I2118" s="155">
        <f t="shared" si="30"/>
        <v>700</v>
      </c>
      <c r="J2118" s="78"/>
    </row>
    <row r="2119" spans="2:10">
      <c r="B2119" s="105"/>
      <c r="C2119" s="135" t="s">
        <v>4470</v>
      </c>
      <c r="D2119" s="31"/>
      <c r="E2119" s="189"/>
      <c r="F2119" s="210" t="s">
        <v>1172</v>
      </c>
      <c r="G2119" s="190">
        <v>2</v>
      </c>
      <c r="H2119" s="207">
        <f>'BASIC DATA'!$C$552</f>
        <v>350</v>
      </c>
      <c r="I2119" s="155">
        <f t="shared" si="30"/>
        <v>700</v>
      </c>
      <c r="J2119" s="78"/>
    </row>
    <row r="2120" spans="2:10">
      <c r="B2120" s="105"/>
      <c r="C2120" s="135" t="s">
        <v>4471</v>
      </c>
      <c r="D2120" s="31"/>
      <c r="E2120" s="189"/>
      <c r="F2120" s="210" t="s">
        <v>1172</v>
      </c>
      <c r="G2120" s="190">
        <v>2</v>
      </c>
      <c r="H2120" s="207">
        <f>'BASIC DATA'!$C$552</f>
        <v>350</v>
      </c>
      <c r="I2120" s="155">
        <f t="shared" si="30"/>
        <v>700</v>
      </c>
      <c r="J2120" s="78"/>
    </row>
    <row r="2121" spans="2:10">
      <c r="B2121" s="105"/>
      <c r="C2121" s="135" t="s">
        <v>4472</v>
      </c>
      <c r="D2121" s="31"/>
      <c r="E2121" s="189"/>
      <c r="F2121" s="210" t="s">
        <v>1172</v>
      </c>
      <c r="G2121" s="190">
        <v>6</v>
      </c>
      <c r="H2121" s="207">
        <f>'BASIC DATA'!$C$552</f>
        <v>350</v>
      </c>
      <c r="I2121" s="155">
        <f t="shared" si="30"/>
        <v>2100</v>
      </c>
      <c r="J2121" s="78"/>
    </row>
    <row r="2122" spans="2:10">
      <c r="B2122" s="105"/>
      <c r="C2122" s="135" t="s">
        <v>4473</v>
      </c>
      <c r="D2122" s="31"/>
      <c r="E2122" s="189"/>
      <c r="F2122" s="210" t="s">
        <v>1172</v>
      </c>
      <c r="G2122" s="190">
        <v>2</v>
      </c>
      <c r="H2122" s="207">
        <f>'BASIC DATA'!$C$552</f>
        <v>350</v>
      </c>
      <c r="I2122" s="155">
        <f t="shared" si="30"/>
        <v>700</v>
      </c>
      <c r="J2122" s="78"/>
    </row>
    <row r="2123" spans="2:10">
      <c r="B2123" s="105">
        <v>10</v>
      </c>
      <c r="C2123" s="135" t="s">
        <v>7215</v>
      </c>
      <c r="D2123" s="31"/>
      <c r="E2123" s="189"/>
      <c r="F2123" s="210" t="s">
        <v>3479</v>
      </c>
      <c r="G2123" s="190">
        <f>1.5*H2072</f>
        <v>360</v>
      </c>
      <c r="H2123" s="207">
        <f>H2066</f>
        <v>132.75</v>
      </c>
      <c r="I2123" s="155">
        <f t="shared" si="30"/>
        <v>47790</v>
      </c>
      <c r="J2123" s="78"/>
    </row>
    <row r="2124" spans="2:10">
      <c r="B2124" s="114">
        <v>11</v>
      </c>
      <c r="C2124" s="139" t="s">
        <v>6402</v>
      </c>
      <c r="D2124" s="174"/>
      <c r="E2124" s="192"/>
      <c r="F2124" s="268">
        <v>0.15</v>
      </c>
      <c r="G2124" s="191"/>
      <c r="H2124" s="192"/>
      <c r="I2124" s="155">
        <f>ROUND(I2123*0.15,2)</f>
        <v>7168.5</v>
      </c>
      <c r="J2124" s="78"/>
    </row>
    <row r="2125" spans="2:10">
      <c r="B2125" s="184"/>
      <c r="C2125" s="151"/>
      <c r="D2125" s="159"/>
      <c r="E2125" s="159" t="s">
        <v>1174</v>
      </c>
      <c r="F2125" s="159"/>
      <c r="G2125" s="159"/>
      <c r="H2125" s="230" t="s">
        <v>1698</v>
      </c>
      <c r="I2125" s="209">
        <f>SUM(I2109:I2124)</f>
        <v>78608.100000000006</v>
      </c>
      <c r="J2125" s="78"/>
    </row>
    <row r="2126" spans="2:10">
      <c r="B2126" s="60" t="s">
        <v>5948</v>
      </c>
      <c r="C2126" s="76"/>
      <c r="D2126" s="31"/>
      <c r="E2126" s="31"/>
      <c r="F2126" s="31"/>
      <c r="G2126" s="85">
        <f>ROUND(I2125/H2072,1)</f>
        <v>327.5</v>
      </c>
      <c r="J2126" s="78"/>
    </row>
    <row r="2127" spans="2:10">
      <c r="B2127" s="60" t="s">
        <v>3163</v>
      </c>
      <c r="C2127" s="76"/>
      <c r="D2127" s="31"/>
      <c r="E2127" s="31"/>
      <c r="F2127" s="922">
        <f>'BASIC DATA'!$C$577</f>
        <v>0.13614999999999999</v>
      </c>
      <c r="G2127" s="85">
        <f>ROUND(G2126*F2127,1)</f>
        <v>44.6</v>
      </c>
      <c r="J2127" s="78"/>
    </row>
    <row r="2128" spans="2:10">
      <c r="B2128" s="60" t="s">
        <v>5949</v>
      </c>
      <c r="C2128" s="76"/>
      <c r="D2128" s="31"/>
      <c r="E2128" s="31"/>
      <c r="F2128" s="31"/>
      <c r="G2128" s="199">
        <f>ROUND(G2127+G2126,1)</f>
        <v>372.1</v>
      </c>
      <c r="J2128" s="78"/>
    </row>
    <row r="2129" spans="2:10">
      <c r="J2129" s="78"/>
    </row>
    <row r="2130" spans="2:10">
      <c r="B2130" s="170" t="s">
        <v>1175</v>
      </c>
      <c r="J2130" s="78"/>
    </row>
    <row r="2131" spans="2:10">
      <c r="B2131" s="26" t="s">
        <v>1176</v>
      </c>
      <c r="H2131" s="171" t="s">
        <v>1698</v>
      </c>
      <c r="I2131" s="117">
        <f>I2084</f>
        <v>807139.67999999993</v>
      </c>
      <c r="J2131" s="78"/>
    </row>
    <row r="2132" spans="2:10">
      <c r="B2132" s="26" t="s">
        <v>1186</v>
      </c>
      <c r="H2132" s="171" t="s">
        <v>1698</v>
      </c>
      <c r="I2132" s="117">
        <f>I2104</f>
        <v>52323.19999999999</v>
      </c>
      <c r="J2132" s="78"/>
    </row>
    <row r="2133" spans="2:10">
      <c r="B2133" s="26" t="s">
        <v>2660</v>
      </c>
      <c r="H2133" s="171" t="s">
        <v>1698</v>
      </c>
      <c r="I2133" s="85">
        <f>I2125</f>
        <v>78608.100000000006</v>
      </c>
      <c r="J2133" s="78"/>
    </row>
    <row r="2134" spans="2:10">
      <c r="G2134" s="171" t="s">
        <v>1518</v>
      </c>
      <c r="H2134" s="171" t="s">
        <v>1698</v>
      </c>
      <c r="I2134" s="130">
        <f>SUM(I2131:I2133)</f>
        <v>938070.97999999986</v>
      </c>
      <c r="J2134" s="78"/>
    </row>
    <row r="2135" spans="2:10">
      <c r="B2135" s="26" t="s">
        <v>4507</v>
      </c>
      <c r="G2135" s="262">
        <f>'BASIC DATA'!$C$599</f>
        <v>0.03</v>
      </c>
      <c r="I2135" s="117">
        <f>ROUND(G2135*$I$2134,2)</f>
        <v>28142.13</v>
      </c>
      <c r="J2135" s="78"/>
    </row>
    <row r="2136" spans="2:10">
      <c r="B2136" s="26" t="s">
        <v>4387</v>
      </c>
      <c r="G2136" s="261">
        <f>'BASIC DATA'!$C$598</f>
        <v>2.5000000000000001E-2</v>
      </c>
      <c r="I2136" s="117">
        <f>ROUND(G2136*$I$2134,2)</f>
        <v>23451.77</v>
      </c>
      <c r="J2136" s="78"/>
    </row>
    <row r="2137" spans="2:10">
      <c r="B2137" s="26" t="s">
        <v>3151</v>
      </c>
      <c r="G2137" s="262">
        <f>'BASIC DATA'!$C$600</f>
        <v>0.04</v>
      </c>
      <c r="I2137" s="117">
        <f>ROUND(G2137*$I$2134,2)</f>
        <v>37522.839999999997</v>
      </c>
      <c r="J2137" s="78"/>
    </row>
    <row r="2138" spans="2:10">
      <c r="G2138" s="171" t="s">
        <v>1518</v>
      </c>
      <c r="H2138" s="171" t="s">
        <v>1698</v>
      </c>
      <c r="I2138" s="130">
        <f>SUM(I2134:I2137)</f>
        <v>1027187.7199999999</v>
      </c>
      <c r="J2138" s="78"/>
    </row>
    <row r="2139" spans="2:10" ht="18.75">
      <c r="B2139" s="1207" t="s">
        <v>8424</v>
      </c>
      <c r="C2139" s="1207"/>
      <c r="D2139" s="1207"/>
      <c r="E2139" s="1207"/>
      <c r="F2139" s="1207"/>
      <c r="G2139" s="922">
        <f>'BASIC DATA'!$C$577</f>
        <v>0.13614999999999999</v>
      </c>
      <c r="H2139" s="171" t="s">
        <v>4108</v>
      </c>
      <c r="I2139" s="76">
        <f>ROUND(I2138*G2139,2)</f>
        <v>139851.60999999999</v>
      </c>
      <c r="J2139" s="78"/>
    </row>
    <row r="2140" spans="2:10">
      <c r="B2140" s="27" t="s">
        <v>9590</v>
      </c>
      <c r="C2140" s="43"/>
      <c r="D2140" s="43"/>
      <c r="E2140" s="43"/>
      <c r="F2140" s="779">
        <f>G2080</f>
        <v>96</v>
      </c>
      <c r="G2140" s="201" t="s">
        <v>9591</v>
      </c>
      <c r="H2140" s="68" t="str">
        <f>CONCATENATE((leadcharges!$D$65)," ","Rs./Cum")</f>
        <v>31.5 Rs./Cum</v>
      </c>
      <c r="I2140" s="76">
        <f>leadcharges!$D$65*F2140</f>
        <v>3024</v>
      </c>
      <c r="J2140" s="78"/>
    </row>
    <row r="2141" spans="2:10">
      <c r="B2141" s="27" t="s">
        <v>9589</v>
      </c>
      <c r="C2141" s="43"/>
      <c r="D2141" s="43"/>
      <c r="E2141" s="43"/>
      <c r="F2141" s="779">
        <f>SUM(G2077:G2079)</f>
        <v>216</v>
      </c>
      <c r="G2141" s="201" t="s">
        <v>9591</v>
      </c>
      <c r="H2141" s="68" t="str">
        <f>CONCATENATE((leadcharges!$E$65)," ","Rs./Cum")</f>
        <v>30.4 Rs./Cum</v>
      </c>
      <c r="I2141" s="85">
        <f>leadcharges!$E$65*F2141</f>
        <v>6566.4</v>
      </c>
      <c r="J2141" s="78"/>
    </row>
    <row r="2142" spans="2:10" ht="35.25" hidden="1" customHeight="1">
      <c r="B2142" s="1207"/>
      <c r="C2142" s="1207"/>
      <c r="D2142" s="1207"/>
      <c r="E2142" s="1207"/>
      <c r="F2142" s="779"/>
      <c r="G2142" s="201"/>
      <c r="H2142" s="68"/>
      <c r="I2142" s="76"/>
      <c r="J2142" s="78"/>
    </row>
    <row r="2143" spans="2:10">
      <c r="B2143" s="1206" t="s">
        <v>1191</v>
      </c>
      <c r="C2143" s="1206"/>
      <c r="D2143" s="1206"/>
      <c r="E2143" s="1206"/>
      <c r="F2143" s="202">
        <f>H2072</f>
        <v>240</v>
      </c>
      <c r="G2143" s="217" t="str">
        <f>I2072</f>
        <v>cum</v>
      </c>
      <c r="H2143" s="171" t="s">
        <v>1698</v>
      </c>
      <c r="I2143" s="199">
        <f>SUM(I2138:I2142)</f>
        <v>1176629.7299999997</v>
      </c>
      <c r="J2143" s="78"/>
    </row>
    <row r="2144" spans="2:10">
      <c r="B2144" s="1161" t="s">
        <v>3884</v>
      </c>
      <c r="C2144" s="1161"/>
      <c r="D2144" s="203" t="str">
        <f>G2143</f>
        <v>cum</v>
      </c>
      <c r="F2144" s="26" t="s">
        <v>1645</v>
      </c>
      <c r="H2144" s="171" t="s">
        <v>1698</v>
      </c>
      <c r="I2144" s="204">
        <f>ROUND(I2143/F2143,1)</f>
        <v>4902.6000000000004</v>
      </c>
      <c r="J2144" s="78"/>
    </row>
    <row r="2145" spans="1:10">
      <c r="G2145" s="171"/>
      <c r="H2145" s="171"/>
      <c r="I2145" s="117"/>
      <c r="J2145" s="78"/>
    </row>
    <row r="2146" spans="1:10" ht="18.75">
      <c r="A2146" s="822" t="s">
        <v>7849</v>
      </c>
      <c r="B2146" s="26" t="s">
        <v>8429</v>
      </c>
      <c r="J2146" s="78"/>
    </row>
    <row r="2147" spans="1:10" ht="18.75">
      <c r="A2147" s="873" t="s">
        <v>500</v>
      </c>
      <c r="B2147" s="26" t="s">
        <v>8430</v>
      </c>
      <c r="J2147" s="78"/>
    </row>
    <row r="2148" spans="1:10">
      <c r="B2148" s="26" t="s">
        <v>8415</v>
      </c>
      <c r="J2148" s="78"/>
    </row>
    <row r="2149" spans="1:10">
      <c r="B2149" s="26" t="s">
        <v>426</v>
      </c>
      <c r="J2149" s="78"/>
    </row>
    <row r="2150" spans="1:10">
      <c r="B2150" s="26" t="s">
        <v>427</v>
      </c>
      <c r="J2150" s="78"/>
    </row>
    <row r="2151" spans="1:10">
      <c r="B2151" s="26" t="s">
        <v>8431</v>
      </c>
      <c r="J2151" s="78"/>
    </row>
    <row r="2152" spans="1:10">
      <c r="B2152" s="26" t="s">
        <v>3997</v>
      </c>
      <c r="J2152" s="78"/>
    </row>
    <row r="2153" spans="1:10" ht="18.75">
      <c r="B2153" s="26" t="s">
        <v>8432</v>
      </c>
      <c r="J2153" s="78"/>
    </row>
    <row r="2154" spans="1:10">
      <c r="B2154" s="170" t="s">
        <v>7850</v>
      </c>
      <c r="J2154" s="78"/>
    </row>
    <row r="2155" spans="1:10">
      <c r="B2155" s="170" t="s">
        <v>3074</v>
      </c>
      <c r="J2155" s="78"/>
    </row>
    <row r="2156" spans="1:10" hidden="1">
      <c r="A2156" s="822" t="s">
        <v>3984</v>
      </c>
      <c r="B2156" s="26" t="s">
        <v>1082</v>
      </c>
      <c r="G2156" s="171" t="s">
        <v>1697</v>
      </c>
      <c r="J2156" s="78"/>
    </row>
    <row r="2157" spans="1:10" hidden="1">
      <c r="B2157" s="26" t="s">
        <v>2601</v>
      </c>
      <c r="G2157" s="171"/>
      <c r="H2157" s="68">
        <v>0.9</v>
      </c>
      <c r="I2157" s="26" t="s">
        <v>3477</v>
      </c>
      <c r="J2157" s="78"/>
    </row>
    <row r="2158" spans="1:10" hidden="1">
      <c r="B2158" s="26" t="s">
        <v>2556</v>
      </c>
      <c r="G2158" s="171" t="s">
        <v>1697</v>
      </c>
      <c r="H2158" s="265">
        <v>2.1043981481481482</v>
      </c>
      <c r="J2158" s="78"/>
    </row>
    <row r="2159" spans="1:10" hidden="1">
      <c r="B2159" s="26" t="s">
        <v>3414</v>
      </c>
      <c r="G2159" s="171" t="s">
        <v>1697</v>
      </c>
      <c r="H2159" s="68">
        <v>0.4</v>
      </c>
      <c r="I2159" s="26" t="s">
        <v>5336</v>
      </c>
      <c r="J2159" s="78"/>
    </row>
    <row r="2160" spans="1:10" hidden="1">
      <c r="B2160" s="26" t="s">
        <v>5853</v>
      </c>
      <c r="G2160" s="171" t="s">
        <v>1697</v>
      </c>
      <c r="H2160" s="26">
        <v>360</v>
      </c>
      <c r="I2160" s="26" t="s">
        <v>6670</v>
      </c>
      <c r="J2160" s="78"/>
    </row>
    <row r="2161" spans="1:10" hidden="1">
      <c r="A2161" s="853"/>
      <c r="B2161" s="61" t="s">
        <v>818</v>
      </c>
      <c r="C2161" s="125"/>
      <c r="D2161" s="61"/>
      <c r="E2161" s="61"/>
      <c r="F2161" s="61"/>
      <c r="G2161" s="222" t="s">
        <v>1697</v>
      </c>
      <c r="H2161" s="223">
        <f>0.4%*H2160</f>
        <v>1.44</v>
      </c>
      <c r="I2161" s="61" t="s">
        <v>6670</v>
      </c>
      <c r="J2161" s="78"/>
    </row>
    <row r="2162" spans="1:10" hidden="1">
      <c r="B2162" s="26" t="s">
        <v>3373</v>
      </c>
      <c r="J2162" s="78"/>
    </row>
    <row r="2163" spans="1:10" hidden="1">
      <c r="B2163" s="26" t="s">
        <v>574</v>
      </c>
      <c r="J2163" s="78"/>
    </row>
    <row r="2164" spans="1:10" hidden="1">
      <c r="B2164" s="26" t="s">
        <v>3206</v>
      </c>
      <c r="J2164" s="78"/>
    </row>
    <row r="2165" spans="1:10" hidden="1">
      <c r="B2165" s="26" t="s">
        <v>607</v>
      </c>
      <c r="J2165" s="78"/>
    </row>
    <row r="2166" spans="1:10" hidden="1">
      <c r="B2166" s="26" t="s">
        <v>6105</v>
      </c>
      <c r="J2166" s="78"/>
    </row>
    <row r="2167" spans="1:10" hidden="1">
      <c r="B2167" s="26" t="s">
        <v>3157</v>
      </c>
      <c r="J2167" s="78"/>
    </row>
    <row r="2168" spans="1:10" hidden="1">
      <c r="B2168" s="26" t="s">
        <v>6799</v>
      </c>
      <c r="J2168" s="78"/>
    </row>
    <row r="2169" spans="1:10" hidden="1">
      <c r="B2169" s="26" t="s">
        <v>6800</v>
      </c>
      <c r="J2169" s="78"/>
    </row>
    <row r="2170" spans="1:10" hidden="1">
      <c r="B2170" s="26" t="s">
        <v>715</v>
      </c>
      <c r="F2170" s="26" t="s">
        <v>716</v>
      </c>
      <c r="G2170" s="171" t="s">
        <v>1697</v>
      </c>
      <c r="H2170" s="68">
        <v>240</v>
      </c>
      <c r="I2170" s="26" t="s">
        <v>3477</v>
      </c>
      <c r="J2170" s="78"/>
    </row>
    <row r="2171" spans="1:10" hidden="1">
      <c r="B2171" s="26" t="s">
        <v>717</v>
      </c>
      <c r="G2171" s="171" t="s">
        <v>1697</v>
      </c>
      <c r="H2171" s="68">
        <v>1.5</v>
      </c>
      <c r="I2171" s="26" t="s">
        <v>5198</v>
      </c>
      <c r="J2171" s="78"/>
    </row>
    <row r="2172" spans="1:10" hidden="1">
      <c r="B2172" s="26" t="s">
        <v>6801</v>
      </c>
      <c r="G2172" s="171"/>
      <c r="H2172" s="26" t="s">
        <v>5199</v>
      </c>
      <c r="J2172" s="78"/>
    </row>
    <row r="2173" spans="1:10" hidden="1">
      <c r="B2173" s="26" t="s">
        <v>6802</v>
      </c>
      <c r="G2173" s="171"/>
      <c r="J2173" s="78"/>
    </row>
    <row r="2174" spans="1:10" hidden="1">
      <c r="B2174" s="26" t="s">
        <v>575</v>
      </c>
      <c r="G2174" s="171" t="s">
        <v>1698</v>
      </c>
      <c r="H2174" s="68">
        <f>H1604</f>
        <v>216.75</v>
      </c>
      <c r="J2174" s="78"/>
    </row>
    <row r="2175" spans="1:10" hidden="1">
      <c r="B2175" s="26" t="s">
        <v>5574</v>
      </c>
      <c r="G2175" s="171" t="s">
        <v>1698</v>
      </c>
      <c r="H2175" s="68">
        <f>I1666</f>
        <v>325.12</v>
      </c>
      <c r="J2175" s="78"/>
    </row>
    <row r="2176" spans="1:10" hidden="1">
      <c r="B2176" s="26" t="s">
        <v>718</v>
      </c>
      <c r="G2176" s="171"/>
      <c r="J2176" s="78"/>
    </row>
    <row r="2177" spans="2:10" hidden="1">
      <c r="B2177" s="26" t="s">
        <v>3350</v>
      </c>
      <c r="G2177" s="171"/>
      <c r="J2177" s="78"/>
    </row>
    <row r="2178" spans="2:10" hidden="1">
      <c r="B2178" s="26" t="s">
        <v>1850</v>
      </c>
      <c r="G2178" s="171" t="s">
        <v>1697</v>
      </c>
      <c r="H2178" s="68">
        <v>2</v>
      </c>
      <c r="I2178" s="26" t="s">
        <v>4041</v>
      </c>
      <c r="J2178" s="78"/>
    </row>
    <row r="2179" spans="2:10" hidden="1">
      <c r="B2179" s="26" t="s">
        <v>4190</v>
      </c>
      <c r="G2179" s="171" t="s">
        <v>1697</v>
      </c>
      <c r="H2179" s="68">
        <v>4</v>
      </c>
      <c r="I2179" s="26" t="s">
        <v>4041</v>
      </c>
      <c r="J2179" s="78"/>
    </row>
    <row r="2180" spans="2:10" hidden="1">
      <c r="B2180" s="26" t="s">
        <v>6447</v>
      </c>
      <c r="G2180" s="171" t="s">
        <v>1697</v>
      </c>
      <c r="H2180" s="68">
        <v>2</v>
      </c>
      <c r="I2180" s="26" t="s">
        <v>4041</v>
      </c>
      <c r="J2180" s="78"/>
    </row>
    <row r="2181" spans="2:10" hidden="1">
      <c r="B2181" s="26" t="s">
        <v>6448</v>
      </c>
      <c r="G2181" s="171" t="s">
        <v>1697</v>
      </c>
      <c r="H2181" s="68">
        <v>2</v>
      </c>
      <c r="I2181" s="26" t="s">
        <v>4041</v>
      </c>
      <c r="J2181" s="78"/>
    </row>
    <row r="2182" spans="2:10" hidden="1">
      <c r="B2182" s="26" t="s">
        <v>5325</v>
      </c>
      <c r="G2182" s="171" t="s">
        <v>1697</v>
      </c>
      <c r="H2182" s="68">
        <v>2</v>
      </c>
      <c r="I2182" s="26" t="s">
        <v>4041</v>
      </c>
      <c r="J2182" s="78"/>
    </row>
    <row r="2183" spans="2:10" hidden="1">
      <c r="B2183" s="26" t="s">
        <v>6450</v>
      </c>
      <c r="G2183" s="171" t="s">
        <v>1697</v>
      </c>
      <c r="H2183" s="68">
        <v>6</v>
      </c>
      <c r="I2183" s="26" t="s">
        <v>4041</v>
      </c>
      <c r="J2183" s="78"/>
    </row>
    <row r="2184" spans="2:10" hidden="1">
      <c r="B2184" s="26" t="s">
        <v>5170</v>
      </c>
      <c r="G2184" s="171" t="s">
        <v>1697</v>
      </c>
      <c r="H2184" s="68">
        <v>2</v>
      </c>
      <c r="I2184" s="26" t="s">
        <v>4041</v>
      </c>
      <c r="J2184" s="78"/>
    </row>
    <row r="2185" spans="2:10" hidden="1">
      <c r="B2185" s="26" t="s">
        <v>1820</v>
      </c>
      <c r="G2185" s="171" t="s">
        <v>1697</v>
      </c>
      <c r="H2185" s="68">
        <f>H1621</f>
        <v>88.5</v>
      </c>
      <c r="J2185" s="78"/>
    </row>
    <row r="2186" spans="2:10" hidden="1">
      <c r="B2186" s="26" t="s">
        <v>576</v>
      </c>
      <c r="J2186" s="78"/>
    </row>
    <row r="2187" spans="2:10" hidden="1">
      <c r="B2187" s="26" t="s">
        <v>430</v>
      </c>
      <c r="J2187" s="78"/>
    </row>
    <row r="2188" spans="2:10" hidden="1">
      <c r="B2188" s="26" t="s">
        <v>431</v>
      </c>
      <c r="J2188" s="78"/>
    </row>
    <row r="2189" spans="2:10" hidden="1">
      <c r="B2189" s="26" t="s">
        <v>4459</v>
      </c>
      <c r="H2189" s="68">
        <f>I1680</f>
        <v>132.75</v>
      </c>
      <c r="J2189" s="78"/>
    </row>
    <row r="2190" spans="2:10" hidden="1">
      <c r="B2190" s="26" t="s">
        <v>31</v>
      </c>
      <c r="F2190" s="201"/>
      <c r="J2190" s="78"/>
    </row>
    <row r="2191" spans="2:10" hidden="1">
      <c r="J2191" s="78"/>
    </row>
    <row r="2192" spans="2:10">
      <c r="J2192" s="78"/>
    </row>
    <row r="2193" spans="1:10">
      <c r="A2193" s="822" t="s">
        <v>3984</v>
      </c>
      <c r="E2193" s="170" t="s">
        <v>2367</v>
      </c>
      <c r="J2193" s="78"/>
    </row>
    <row r="2194" spans="1:10">
      <c r="H2194" s="171" t="s">
        <v>1188</v>
      </c>
      <c r="J2194" s="78"/>
    </row>
    <row r="2195" spans="1:10">
      <c r="B2195" s="170" t="s">
        <v>2368</v>
      </c>
      <c r="H2195" s="211">
        <f>H2170</f>
        <v>240</v>
      </c>
      <c r="I2195" s="26" t="s">
        <v>3477</v>
      </c>
      <c r="J2195" s="78"/>
    </row>
    <row r="2196" spans="1:10">
      <c r="B2196" s="95" t="s">
        <v>2369</v>
      </c>
      <c r="C2196" s="153"/>
      <c r="D2196" s="157" t="s">
        <v>4443</v>
      </c>
      <c r="E2196" s="97"/>
      <c r="F2196" s="95" t="s">
        <v>2370</v>
      </c>
      <c r="G2196" s="95" t="s">
        <v>1166</v>
      </c>
      <c r="H2196" s="97" t="s">
        <v>6664</v>
      </c>
      <c r="I2196" s="97" t="s">
        <v>6665</v>
      </c>
      <c r="J2196" s="78"/>
    </row>
    <row r="2197" spans="1:10">
      <c r="B2197" s="191"/>
      <c r="C2197" s="139"/>
      <c r="D2197" s="174"/>
      <c r="E2197" s="192"/>
      <c r="F2197" s="191"/>
      <c r="G2197" s="114"/>
      <c r="H2197" s="115" t="s">
        <v>3856</v>
      </c>
      <c r="I2197" s="115" t="s">
        <v>3857</v>
      </c>
      <c r="J2197" s="78"/>
    </row>
    <row r="2198" spans="1:10">
      <c r="B2198" s="95">
        <v>1</v>
      </c>
      <c r="C2198" s="131" t="s">
        <v>1048</v>
      </c>
      <c r="D2198" s="187"/>
      <c r="E2198" s="195"/>
      <c r="F2198" s="107" t="s">
        <v>3478</v>
      </c>
      <c r="G2198" s="26">
        <f>H2160*H2195</f>
        <v>86400</v>
      </c>
      <c r="H2198" s="212">
        <f>'BASIC DATA'!$D$32/1000</f>
        <v>5.35</v>
      </c>
      <c r="I2198" s="155">
        <f>ROUND(H2198*G2198,2)</f>
        <v>462240</v>
      </c>
      <c r="J2198" s="78"/>
    </row>
    <row r="2199" spans="1:10">
      <c r="B2199" s="105">
        <v>2</v>
      </c>
      <c r="C2199" s="135" t="s">
        <v>7212</v>
      </c>
      <c r="D2199" s="31"/>
      <c r="E2199" s="189"/>
      <c r="F2199" s="210" t="s">
        <v>3478</v>
      </c>
      <c r="G2199" s="221">
        <f>H2195*3</f>
        <v>720</v>
      </c>
      <c r="H2199" s="214">
        <f>'BASIC DATA'!$D$32/1000</f>
        <v>5.35</v>
      </c>
      <c r="I2199" s="155">
        <f t="shared" ref="I2199:I2205" si="31">ROUND(H2199*G2199,2)</f>
        <v>3852</v>
      </c>
      <c r="J2199" s="78"/>
    </row>
    <row r="2200" spans="1:10">
      <c r="B2200" s="105"/>
      <c r="C2200" s="135" t="s">
        <v>6996</v>
      </c>
      <c r="D2200" s="31"/>
      <c r="E2200" s="189"/>
      <c r="F2200" s="210" t="s">
        <v>3477</v>
      </c>
      <c r="G2200" s="26">
        <f>0.9*0.5*H2195</f>
        <v>108</v>
      </c>
      <c r="H2200" s="214">
        <f>'BASIC DATA'!$D$36</f>
        <v>1175</v>
      </c>
      <c r="I2200" s="155">
        <f t="shared" si="31"/>
        <v>126900</v>
      </c>
      <c r="J2200" s="78"/>
    </row>
    <row r="2201" spans="1:10">
      <c r="B2201" s="105"/>
      <c r="C2201" s="135" t="s">
        <v>6995</v>
      </c>
      <c r="D2201" s="31"/>
      <c r="E2201" s="189"/>
      <c r="F2201" s="210" t="s">
        <v>3477</v>
      </c>
      <c r="G2201" s="26">
        <f>0.9*0.3*H2195</f>
        <v>64.800000000000011</v>
      </c>
      <c r="H2201" s="214">
        <f>'BASIC DATA'!$D$35</f>
        <v>1225</v>
      </c>
      <c r="I2201" s="155">
        <f t="shared" si="31"/>
        <v>79380</v>
      </c>
      <c r="J2201" s="78"/>
    </row>
    <row r="2202" spans="1:10">
      <c r="B2202" s="105"/>
      <c r="C2202" s="135" t="s">
        <v>1050</v>
      </c>
      <c r="D2202" s="31"/>
      <c r="E2202" s="189"/>
      <c r="F2202" s="210" t="s">
        <v>3477</v>
      </c>
      <c r="G2202" s="26">
        <f>0.9*H2195*0.2</f>
        <v>43.2</v>
      </c>
      <c r="H2202" s="214">
        <f>'BASIC DATA'!$D$34</f>
        <v>900</v>
      </c>
      <c r="I2202" s="155">
        <f t="shared" si="31"/>
        <v>38880</v>
      </c>
      <c r="J2202" s="78"/>
    </row>
    <row r="2203" spans="1:10">
      <c r="A2203" s="853"/>
      <c r="B2203" s="240">
        <v>3</v>
      </c>
      <c r="C2203" s="326" t="s">
        <v>7935</v>
      </c>
      <c r="D2203" s="60"/>
      <c r="E2203" s="253"/>
      <c r="F2203" s="254" t="s">
        <v>3477</v>
      </c>
      <c r="G2203" s="61">
        <f>0.4*H2195</f>
        <v>96</v>
      </c>
      <c r="H2203" s="266">
        <f>'BASIC DATA'!$D$55</f>
        <v>95</v>
      </c>
      <c r="I2203" s="244">
        <f t="shared" si="31"/>
        <v>9120</v>
      </c>
      <c r="J2203" s="62"/>
    </row>
    <row r="2204" spans="1:10">
      <c r="A2204" s="853"/>
      <c r="B2204" s="240">
        <v>4</v>
      </c>
      <c r="C2204" s="326" t="s">
        <v>4460</v>
      </c>
      <c r="D2204" s="60"/>
      <c r="E2204" s="253"/>
      <c r="F2204" s="254" t="s">
        <v>3478</v>
      </c>
      <c r="G2204" s="267">
        <f>H2161*H2195</f>
        <v>345.59999999999997</v>
      </c>
      <c r="H2204" s="266">
        <f>'BASIC DATA'!$D$99</f>
        <v>55</v>
      </c>
      <c r="I2204" s="155">
        <f t="shared" si="31"/>
        <v>19008</v>
      </c>
      <c r="J2204" s="78"/>
    </row>
    <row r="2205" spans="1:10">
      <c r="B2205" s="105">
        <v>5</v>
      </c>
      <c r="C2205" s="135" t="s">
        <v>5315</v>
      </c>
      <c r="D2205" s="31"/>
      <c r="E2205" s="189"/>
      <c r="F2205" s="210" t="s">
        <v>3479</v>
      </c>
      <c r="G2205" s="190">
        <f>1.5*H2195</f>
        <v>360</v>
      </c>
      <c r="H2205" s="220">
        <f>H2175</f>
        <v>325.12</v>
      </c>
      <c r="I2205" s="155">
        <f t="shared" si="31"/>
        <v>117043.2</v>
      </c>
      <c r="J2205" s="78"/>
    </row>
    <row r="2206" spans="1:10">
      <c r="B2206" s="105">
        <v>6</v>
      </c>
      <c r="C2206" s="139" t="s">
        <v>7601</v>
      </c>
      <c r="D2206" s="174"/>
      <c r="E2206" s="192"/>
      <c r="F2206" s="268">
        <v>0.15</v>
      </c>
      <c r="G2206" s="191"/>
      <c r="H2206" s="245"/>
      <c r="I2206" s="84">
        <f>ROUND(I2205*0.15,2)</f>
        <v>17556.48</v>
      </c>
      <c r="J2206" s="78"/>
    </row>
    <row r="2207" spans="1:10">
      <c r="B2207" s="191"/>
      <c r="C2207" s="151"/>
      <c r="D2207" s="159"/>
      <c r="E2207" s="159" t="s">
        <v>2376</v>
      </c>
      <c r="F2207" s="159"/>
      <c r="G2207" s="159"/>
      <c r="H2207" s="208" t="s">
        <v>1698</v>
      </c>
      <c r="I2207" s="209">
        <f>SUM(I2198:I2206)</f>
        <v>873979.67999999993</v>
      </c>
      <c r="J2207" s="78"/>
    </row>
    <row r="2208" spans="1:10">
      <c r="B2208" s="31"/>
      <c r="C2208" s="76"/>
      <c r="D2208" s="31"/>
      <c r="E2208" s="31"/>
      <c r="F2208" s="31"/>
      <c r="G2208" s="31"/>
      <c r="H2208" s="200"/>
      <c r="I2208" s="31"/>
      <c r="J2208" s="78"/>
    </row>
    <row r="2209" spans="2:10">
      <c r="B2209" s="170" t="s">
        <v>2377</v>
      </c>
      <c r="J2209" s="78"/>
    </row>
    <row r="2210" spans="2:10">
      <c r="B2210" s="95" t="s">
        <v>2369</v>
      </c>
      <c r="C2210" s="153"/>
      <c r="D2210" s="157" t="s">
        <v>2378</v>
      </c>
      <c r="E2210" s="97"/>
      <c r="F2210" s="95" t="s">
        <v>2370</v>
      </c>
      <c r="G2210" s="95" t="s">
        <v>1166</v>
      </c>
      <c r="H2210" s="97" t="s">
        <v>6664</v>
      </c>
      <c r="I2210" s="97" t="s">
        <v>6665</v>
      </c>
      <c r="J2210" s="78"/>
    </row>
    <row r="2211" spans="2:10">
      <c r="B2211" s="191"/>
      <c r="C2211" s="139"/>
      <c r="D2211" s="174"/>
      <c r="E2211" s="192"/>
      <c r="F2211" s="191"/>
      <c r="G2211" s="114"/>
      <c r="H2211" s="115" t="s">
        <v>3856</v>
      </c>
      <c r="I2211" s="115" t="s">
        <v>3857</v>
      </c>
      <c r="J2211" s="78"/>
    </row>
    <row r="2212" spans="2:10">
      <c r="B2212" s="95">
        <v>1</v>
      </c>
      <c r="C2212" s="131" t="s">
        <v>4461</v>
      </c>
      <c r="D2212" s="187"/>
      <c r="E2212" s="195"/>
      <c r="F2212" s="107" t="s">
        <v>2374</v>
      </c>
      <c r="G2212" s="179">
        <v>8</v>
      </c>
      <c r="H2212" s="179">
        <f>'HIRE CHARGES'!$D$502</f>
        <v>620.70000000000005</v>
      </c>
      <c r="I2212" s="155">
        <f>ROUND(H2212*G2212,2)</f>
        <v>4965.6000000000004</v>
      </c>
      <c r="J2212" s="78"/>
    </row>
    <row r="2213" spans="2:10">
      <c r="B2213" s="105"/>
      <c r="C2213" s="135" t="s">
        <v>2379</v>
      </c>
      <c r="D2213" s="31"/>
      <c r="E2213" s="189"/>
      <c r="F2213" s="210" t="s">
        <v>2374</v>
      </c>
      <c r="G2213" s="190">
        <v>8</v>
      </c>
      <c r="H2213" s="190">
        <f>'HIRE CHARGES'!$E$502</f>
        <v>308.2</v>
      </c>
      <c r="I2213" s="155">
        <f t="shared" ref="I2213:I2226" si="32">ROUND(H2213*G2213,2)</f>
        <v>2465.6</v>
      </c>
      <c r="J2213" s="78"/>
    </row>
    <row r="2214" spans="2:10">
      <c r="B2214" s="105">
        <v>2</v>
      </c>
      <c r="C2214" s="135" t="s">
        <v>4462</v>
      </c>
      <c r="D2214" s="31"/>
      <c r="E2214" s="189"/>
      <c r="F2214" s="210" t="s">
        <v>2374</v>
      </c>
      <c r="G2214" s="190">
        <v>8</v>
      </c>
      <c r="H2214" s="190">
        <f>'HIRE CHARGES'!$D$495</f>
        <v>131.9</v>
      </c>
      <c r="I2214" s="155">
        <f t="shared" si="32"/>
        <v>1055.2</v>
      </c>
      <c r="J2214" s="78"/>
    </row>
    <row r="2215" spans="2:10">
      <c r="B2215" s="105"/>
      <c r="C2215" s="135" t="s">
        <v>2379</v>
      </c>
      <c r="D2215" s="31"/>
      <c r="E2215" s="189"/>
      <c r="F2215" s="210" t="s">
        <v>2374</v>
      </c>
      <c r="G2215" s="190">
        <v>8</v>
      </c>
      <c r="H2215" s="190">
        <f>'HIRE CHARGES'!$E$495</f>
        <v>252.2</v>
      </c>
      <c r="I2215" s="155">
        <f t="shared" si="32"/>
        <v>2017.6</v>
      </c>
      <c r="J2215" s="78"/>
    </row>
    <row r="2216" spans="2:10">
      <c r="B2216" s="105">
        <v>3</v>
      </c>
      <c r="C2216" s="135" t="s">
        <v>2087</v>
      </c>
      <c r="D2216" s="31"/>
      <c r="E2216" s="189"/>
      <c r="F2216" s="210" t="s">
        <v>2374</v>
      </c>
      <c r="G2216" s="190">
        <v>32</v>
      </c>
      <c r="H2216" s="190">
        <f>'HIRE CHARGES'!$D$545</f>
        <v>446.7</v>
      </c>
      <c r="I2216" s="155">
        <f t="shared" si="32"/>
        <v>14294.4</v>
      </c>
      <c r="J2216" s="78"/>
    </row>
    <row r="2217" spans="2:10">
      <c r="B2217" s="105"/>
      <c r="C2217" s="135" t="s">
        <v>2379</v>
      </c>
      <c r="D2217" s="31"/>
      <c r="E2217" s="189"/>
      <c r="F2217" s="210" t="s">
        <v>2374</v>
      </c>
      <c r="G2217" s="190">
        <v>32</v>
      </c>
      <c r="H2217" s="190">
        <f>'HIRE CHARGES'!$E$545</f>
        <v>299.89999999999998</v>
      </c>
      <c r="I2217" s="155">
        <f t="shared" si="32"/>
        <v>9596.7999999999993</v>
      </c>
      <c r="J2217" s="78"/>
    </row>
    <row r="2218" spans="2:10">
      <c r="B2218" s="105">
        <v>4</v>
      </c>
      <c r="C2218" s="135" t="s">
        <v>4463</v>
      </c>
      <c r="D2218" s="31"/>
      <c r="E2218" s="189"/>
      <c r="F2218" s="210" t="s">
        <v>2374</v>
      </c>
      <c r="G2218" s="190">
        <v>16</v>
      </c>
      <c r="H2218" s="190">
        <f>'HIRE CHARGES'!$D$547</f>
        <v>867.1</v>
      </c>
      <c r="I2218" s="155">
        <f t="shared" si="32"/>
        <v>13873.6</v>
      </c>
      <c r="J2218" s="78"/>
    </row>
    <row r="2219" spans="2:10">
      <c r="B2219" s="105"/>
      <c r="C2219" s="135" t="s">
        <v>2379</v>
      </c>
      <c r="D2219" s="31"/>
      <c r="E2219" s="189"/>
      <c r="F2219" s="210" t="s">
        <v>2374</v>
      </c>
      <c r="G2219" s="190">
        <v>16</v>
      </c>
      <c r="H2219" s="190">
        <f>'HIRE CHARGES'!$E$547</f>
        <v>145.69999999999999</v>
      </c>
      <c r="I2219" s="155">
        <f t="shared" si="32"/>
        <v>2331.1999999999998</v>
      </c>
      <c r="J2219" s="78"/>
    </row>
    <row r="2220" spans="2:10">
      <c r="B2220" s="105">
        <v>5</v>
      </c>
      <c r="C2220" s="135" t="s">
        <v>4464</v>
      </c>
      <c r="D2220" s="31"/>
      <c r="E2220" s="189"/>
      <c r="F2220" s="210" t="s">
        <v>2374</v>
      </c>
      <c r="G2220" s="190">
        <v>40</v>
      </c>
      <c r="H2220" s="190">
        <f>'HIRE CHARGES'!$D$505</f>
        <v>15.8</v>
      </c>
      <c r="I2220" s="155">
        <f t="shared" si="32"/>
        <v>632</v>
      </c>
      <c r="J2220" s="78"/>
    </row>
    <row r="2221" spans="2:10">
      <c r="B2221" s="105"/>
      <c r="C2221" s="135" t="s">
        <v>2379</v>
      </c>
      <c r="D2221" s="31"/>
      <c r="E2221" s="189"/>
      <c r="F2221" s="210" t="s">
        <v>2374</v>
      </c>
      <c r="G2221" s="190">
        <v>40</v>
      </c>
      <c r="H2221" s="190">
        <f>'HIRE CHARGES'!$E$505</f>
        <v>0</v>
      </c>
      <c r="I2221" s="155">
        <f t="shared" si="32"/>
        <v>0</v>
      </c>
      <c r="J2221" s="78"/>
    </row>
    <row r="2222" spans="2:10">
      <c r="B2222" s="105">
        <v>6</v>
      </c>
      <c r="C2222" s="135" t="s">
        <v>383</v>
      </c>
      <c r="D2222" s="31"/>
      <c r="E2222" s="189"/>
      <c r="F2222" s="210" t="s">
        <v>2374</v>
      </c>
      <c r="G2222" s="190">
        <v>8</v>
      </c>
      <c r="H2222" s="190">
        <f>'HIRE CHARGES'!$D$520</f>
        <v>6.7</v>
      </c>
      <c r="I2222" s="155">
        <f t="shared" si="32"/>
        <v>53.6</v>
      </c>
      <c r="J2222" s="78"/>
    </row>
    <row r="2223" spans="2:10">
      <c r="B2223" s="105"/>
      <c r="C2223" s="135" t="s">
        <v>2379</v>
      </c>
      <c r="D2223" s="31"/>
      <c r="E2223" s="189"/>
      <c r="F2223" s="210" t="s">
        <v>2374</v>
      </c>
      <c r="G2223" s="190">
        <v>8</v>
      </c>
      <c r="H2223" s="207">
        <f>'HIRE CHARGES'!$E$520</f>
        <v>56</v>
      </c>
      <c r="I2223" s="155">
        <f t="shared" si="32"/>
        <v>448</v>
      </c>
      <c r="J2223" s="78"/>
    </row>
    <row r="2224" spans="2:10">
      <c r="B2224" s="105">
        <v>7</v>
      </c>
      <c r="C2224" s="135" t="s">
        <v>4465</v>
      </c>
      <c r="D2224" s="31"/>
      <c r="E2224" s="189"/>
      <c r="F2224" s="210" t="s">
        <v>2374</v>
      </c>
      <c r="G2224" s="190">
        <v>16</v>
      </c>
      <c r="H2224" s="190">
        <f>'HIRE CHARGES'!$D$534</f>
        <v>9.6999999999999993</v>
      </c>
      <c r="I2224" s="155">
        <f t="shared" si="32"/>
        <v>155.19999999999999</v>
      </c>
      <c r="J2224" s="78"/>
    </row>
    <row r="2225" spans="2:10">
      <c r="B2225" s="105"/>
      <c r="C2225" s="135" t="s">
        <v>2379</v>
      </c>
      <c r="D2225" s="31"/>
      <c r="E2225" s="189"/>
      <c r="F2225" s="210" t="s">
        <v>2374</v>
      </c>
      <c r="G2225" s="190">
        <v>16</v>
      </c>
      <c r="H2225" s="190">
        <f>'HIRE CHARGES'!$E$534</f>
        <v>8.4</v>
      </c>
      <c r="I2225" s="155">
        <f t="shared" si="32"/>
        <v>134.4</v>
      </c>
      <c r="J2225" s="78"/>
    </row>
    <row r="2226" spans="2:10">
      <c r="B2226" s="114">
        <v>8</v>
      </c>
      <c r="C2226" s="139" t="s">
        <v>2373</v>
      </c>
      <c r="D2226" s="174"/>
      <c r="E2226" s="192"/>
      <c r="F2226" s="191" t="s">
        <v>2173</v>
      </c>
      <c r="G2226" s="182">
        <v>10</v>
      </c>
      <c r="H2226" s="215">
        <f>'BASIC DATA'!$D$359</f>
        <v>30</v>
      </c>
      <c r="I2226" s="84">
        <f t="shared" si="32"/>
        <v>300</v>
      </c>
      <c r="J2226" s="78"/>
    </row>
    <row r="2227" spans="2:10">
      <c r="B2227" s="154"/>
      <c r="C2227" s="89"/>
      <c r="D2227" s="174" t="s">
        <v>2380</v>
      </c>
      <c r="E2227" s="174"/>
      <c r="F2227" s="174"/>
      <c r="G2227" s="174"/>
      <c r="H2227" s="245" t="s">
        <v>1698</v>
      </c>
      <c r="I2227" s="269">
        <f>SUM(I2212:I2226)</f>
        <v>52323.19999999999</v>
      </c>
      <c r="J2227" s="78"/>
    </row>
    <row r="2228" spans="2:10">
      <c r="J2228" s="78"/>
    </row>
    <row r="2229" spans="2:10">
      <c r="B2229" s="170" t="s">
        <v>2381</v>
      </c>
      <c r="J2229" s="78"/>
    </row>
    <row r="2230" spans="2:10">
      <c r="B2230" s="95" t="s">
        <v>2369</v>
      </c>
      <c r="C2230" s="153"/>
      <c r="D2230" s="157" t="s">
        <v>2378</v>
      </c>
      <c r="E2230" s="97"/>
      <c r="F2230" s="95" t="s">
        <v>2370</v>
      </c>
      <c r="G2230" s="95" t="s">
        <v>1166</v>
      </c>
      <c r="H2230" s="97" t="s">
        <v>6664</v>
      </c>
      <c r="I2230" s="97" t="s">
        <v>6665</v>
      </c>
      <c r="J2230" s="78"/>
    </row>
    <row r="2231" spans="2:10">
      <c r="B2231" s="191"/>
      <c r="C2231" s="139"/>
      <c r="D2231" s="174"/>
      <c r="E2231" s="192"/>
      <c r="F2231" s="191"/>
      <c r="G2231" s="114"/>
      <c r="H2231" s="115" t="s">
        <v>3856</v>
      </c>
      <c r="I2231" s="115" t="s">
        <v>3857</v>
      </c>
      <c r="J2231" s="78"/>
    </row>
    <row r="2232" spans="2:10">
      <c r="B2232" s="95">
        <v>1</v>
      </c>
      <c r="C2232" s="131" t="s">
        <v>158</v>
      </c>
      <c r="D2232" s="187"/>
      <c r="E2232" s="195"/>
      <c r="F2232" s="107" t="s">
        <v>2374</v>
      </c>
      <c r="G2232" s="179">
        <v>8</v>
      </c>
      <c r="H2232" s="178">
        <f>'HIRE CHARGES'!$F$502</f>
        <v>340.6</v>
      </c>
      <c r="I2232" s="155">
        <f>ROUND(H2232*G2232,2)</f>
        <v>2724.8</v>
      </c>
      <c r="J2232" s="78"/>
    </row>
    <row r="2233" spans="2:10">
      <c r="B2233" s="105">
        <v>2</v>
      </c>
      <c r="C2233" s="135" t="s">
        <v>4606</v>
      </c>
      <c r="D2233" s="31"/>
      <c r="E2233" s="189"/>
      <c r="F2233" s="210" t="s">
        <v>2374</v>
      </c>
      <c r="G2233" s="190">
        <v>8</v>
      </c>
      <c r="H2233" s="207">
        <f>'HIRE CHARGES'!$F$495</f>
        <v>164.8</v>
      </c>
      <c r="I2233" s="155">
        <f t="shared" ref="I2233:I2246" si="33">ROUND(H2233*G2233,2)</f>
        <v>1318.4</v>
      </c>
      <c r="J2233" s="78"/>
    </row>
    <row r="2234" spans="2:10">
      <c r="B2234" s="105">
        <v>3</v>
      </c>
      <c r="C2234" s="135" t="s">
        <v>4466</v>
      </c>
      <c r="D2234" s="31"/>
      <c r="E2234" s="189"/>
      <c r="F2234" s="210" t="s">
        <v>2374</v>
      </c>
      <c r="G2234" s="190">
        <v>32</v>
      </c>
      <c r="H2234" s="190">
        <f>'HIRE CHARGES'!$F$545</f>
        <v>177.5</v>
      </c>
      <c r="I2234" s="155">
        <f t="shared" si="33"/>
        <v>5680</v>
      </c>
      <c r="J2234" s="78"/>
    </row>
    <row r="2235" spans="2:10">
      <c r="B2235" s="105">
        <v>4</v>
      </c>
      <c r="C2235" s="135" t="s">
        <v>4467</v>
      </c>
      <c r="D2235" s="31"/>
      <c r="E2235" s="189"/>
      <c r="F2235" s="210" t="s">
        <v>2374</v>
      </c>
      <c r="G2235" s="190">
        <v>16</v>
      </c>
      <c r="H2235" s="178">
        <f>'HIRE CHARGES'!$F$547</f>
        <v>189.3</v>
      </c>
      <c r="I2235" s="155">
        <f t="shared" si="33"/>
        <v>3028.8</v>
      </c>
      <c r="J2235" s="78"/>
    </row>
    <row r="2236" spans="2:10">
      <c r="B2236" s="105">
        <v>5</v>
      </c>
      <c r="C2236" s="135" t="s">
        <v>999</v>
      </c>
      <c r="D2236" s="31"/>
      <c r="E2236" s="189"/>
      <c r="F2236" s="210" t="s">
        <v>2374</v>
      </c>
      <c r="G2236" s="190">
        <v>8</v>
      </c>
      <c r="H2236" s="207">
        <f>'HIRE CHARGES'!$F$520</f>
        <v>83.3</v>
      </c>
      <c r="I2236" s="155">
        <f t="shared" si="33"/>
        <v>666.4</v>
      </c>
      <c r="J2236" s="78"/>
    </row>
    <row r="2237" spans="2:10">
      <c r="B2237" s="105">
        <v>6</v>
      </c>
      <c r="C2237" s="135" t="s">
        <v>4468</v>
      </c>
      <c r="D2237" s="31"/>
      <c r="E2237" s="189"/>
      <c r="F2237" s="210" t="s">
        <v>2374</v>
      </c>
      <c r="G2237" s="190">
        <v>16</v>
      </c>
      <c r="H2237" s="207">
        <f>'HIRE CHARGES'!$F$534</f>
        <v>158.19999999999999</v>
      </c>
      <c r="I2237" s="155">
        <f t="shared" si="33"/>
        <v>2531.1999999999998</v>
      </c>
      <c r="J2237" s="78"/>
    </row>
    <row r="2238" spans="2:10">
      <c r="B2238" s="105">
        <v>7</v>
      </c>
      <c r="C2238" s="135" t="s">
        <v>440</v>
      </c>
      <c r="D2238" s="31"/>
      <c r="E2238" s="189"/>
      <c r="F2238" s="210" t="s">
        <v>1172</v>
      </c>
      <c r="G2238" s="190">
        <v>4</v>
      </c>
      <c r="H2238" s="207">
        <f>'BASIC DATA'!$C$474</f>
        <v>445</v>
      </c>
      <c r="I2238" s="155">
        <f t="shared" si="33"/>
        <v>1780</v>
      </c>
      <c r="J2238" s="78"/>
    </row>
    <row r="2239" spans="2:10">
      <c r="B2239" s="105">
        <v>8</v>
      </c>
      <c r="C2239" s="135" t="s">
        <v>2468</v>
      </c>
      <c r="D2239" s="31"/>
      <c r="E2239" s="189"/>
      <c r="F2239" s="210" t="s">
        <v>1172</v>
      </c>
      <c r="G2239" s="190">
        <v>2</v>
      </c>
      <c r="H2239" s="207">
        <f>'BASIC DATA'!$C$471</f>
        <v>510</v>
      </c>
      <c r="I2239" s="155">
        <f t="shared" si="33"/>
        <v>1020</v>
      </c>
      <c r="J2239" s="78"/>
    </row>
    <row r="2240" spans="2:10">
      <c r="B2240" s="105">
        <v>9</v>
      </c>
      <c r="C2240" s="135" t="s">
        <v>2697</v>
      </c>
      <c r="D2240" s="31"/>
      <c r="E2240" s="189"/>
      <c r="F2240" s="210"/>
      <c r="G2240" s="210"/>
      <c r="H2240" s="189"/>
      <c r="I2240" s="155">
        <f t="shared" si="33"/>
        <v>0</v>
      </c>
      <c r="J2240" s="78"/>
    </row>
    <row r="2241" spans="2:10">
      <c r="B2241" s="105"/>
      <c r="C2241" s="135" t="s">
        <v>4469</v>
      </c>
      <c r="D2241" s="31"/>
      <c r="E2241" s="189"/>
      <c r="F2241" s="210" t="s">
        <v>1172</v>
      </c>
      <c r="G2241" s="190">
        <v>2</v>
      </c>
      <c r="H2241" s="207">
        <f>'BASIC DATA'!$C$552</f>
        <v>350</v>
      </c>
      <c r="I2241" s="155">
        <f t="shared" si="33"/>
        <v>700</v>
      </c>
      <c r="J2241" s="78"/>
    </row>
    <row r="2242" spans="2:10">
      <c r="B2242" s="105"/>
      <c r="C2242" s="135" t="s">
        <v>4470</v>
      </c>
      <c r="D2242" s="31"/>
      <c r="E2242" s="189"/>
      <c r="F2242" s="210" t="s">
        <v>1172</v>
      </c>
      <c r="G2242" s="190">
        <v>2</v>
      </c>
      <c r="H2242" s="207">
        <f>'BASIC DATA'!$C$552</f>
        <v>350</v>
      </c>
      <c r="I2242" s="155">
        <f t="shared" si="33"/>
        <v>700</v>
      </c>
      <c r="J2242" s="78"/>
    </row>
    <row r="2243" spans="2:10">
      <c r="B2243" s="105"/>
      <c r="C2243" s="135" t="s">
        <v>4471</v>
      </c>
      <c r="D2243" s="31"/>
      <c r="E2243" s="189"/>
      <c r="F2243" s="210" t="s">
        <v>1172</v>
      </c>
      <c r="G2243" s="190">
        <v>2</v>
      </c>
      <c r="H2243" s="207">
        <f>'BASIC DATA'!$C$552</f>
        <v>350</v>
      </c>
      <c r="I2243" s="155">
        <f t="shared" si="33"/>
        <v>700</v>
      </c>
      <c r="J2243" s="78"/>
    </row>
    <row r="2244" spans="2:10">
      <c r="B2244" s="105"/>
      <c r="C2244" s="135" t="s">
        <v>4472</v>
      </c>
      <c r="D2244" s="31"/>
      <c r="E2244" s="189"/>
      <c r="F2244" s="210" t="s">
        <v>1172</v>
      </c>
      <c r="G2244" s="190">
        <v>6</v>
      </c>
      <c r="H2244" s="207">
        <f>'BASIC DATA'!$C$552</f>
        <v>350</v>
      </c>
      <c r="I2244" s="155">
        <f t="shared" si="33"/>
        <v>2100</v>
      </c>
      <c r="J2244" s="78"/>
    </row>
    <row r="2245" spans="2:10">
      <c r="B2245" s="105"/>
      <c r="C2245" s="135" t="s">
        <v>4473</v>
      </c>
      <c r="D2245" s="31"/>
      <c r="E2245" s="189"/>
      <c r="F2245" s="210" t="s">
        <v>1172</v>
      </c>
      <c r="G2245" s="190">
        <v>2</v>
      </c>
      <c r="H2245" s="207">
        <f>'BASIC DATA'!$C$552</f>
        <v>350</v>
      </c>
      <c r="I2245" s="155">
        <f t="shared" si="33"/>
        <v>700</v>
      </c>
      <c r="J2245" s="78"/>
    </row>
    <row r="2246" spans="2:10">
      <c r="B2246" s="105">
        <v>10</v>
      </c>
      <c r="C2246" s="135" t="s">
        <v>7215</v>
      </c>
      <c r="D2246" s="31"/>
      <c r="E2246" s="189"/>
      <c r="F2246" s="210" t="s">
        <v>3479</v>
      </c>
      <c r="G2246" s="190">
        <f>1.5*H2195</f>
        <v>360</v>
      </c>
      <c r="H2246" s="207">
        <f>H2189</f>
        <v>132.75</v>
      </c>
      <c r="I2246" s="155">
        <f t="shared" si="33"/>
        <v>47790</v>
      </c>
      <c r="J2246" s="78"/>
    </row>
    <row r="2247" spans="2:10">
      <c r="B2247" s="114">
        <v>11</v>
      </c>
      <c r="C2247" s="139" t="s">
        <v>6402</v>
      </c>
      <c r="D2247" s="174"/>
      <c r="E2247" s="192"/>
      <c r="F2247" s="268">
        <v>0.15</v>
      </c>
      <c r="G2247" s="191"/>
      <c r="H2247" s="192"/>
      <c r="I2247" s="155">
        <f>ROUND(I2246*0.15,2)</f>
        <v>7168.5</v>
      </c>
      <c r="J2247" s="78"/>
    </row>
    <row r="2248" spans="2:10">
      <c r="B2248" s="184"/>
      <c r="C2248" s="151"/>
      <c r="D2248" s="159"/>
      <c r="E2248" s="159" t="s">
        <v>1174</v>
      </c>
      <c r="F2248" s="159"/>
      <c r="G2248" s="159"/>
      <c r="H2248" s="230" t="s">
        <v>1698</v>
      </c>
      <c r="I2248" s="209">
        <f>SUM(I2232:I2247)</f>
        <v>78608.100000000006</v>
      </c>
      <c r="J2248" s="78"/>
    </row>
    <row r="2249" spans="2:10">
      <c r="B2249" s="60" t="s">
        <v>5948</v>
      </c>
      <c r="C2249" s="76"/>
      <c r="D2249" s="31"/>
      <c r="E2249" s="31"/>
      <c r="F2249" s="31"/>
      <c r="G2249" s="85">
        <f>ROUND(I2248/H2195,1)</f>
        <v>327.5</v>
      </c>
      <c r="J2249" s="78"/>
    </row>
    <row r="2250" spans="2:10">
      <c r="B2250" s="60" t="s">
        <v>3163</v>
      </c>
      <c r="C2250" s="76"/>
      <c r="D2250" s="31"/>
      <c r="E2250" s="31"/>
      <c r="F2250" s="922">
        <f>'BASIC DATA'!$C$577</f>
        <v>0.13614999999999999</v>
      </c>
      <c r="G2250" s="85">
        <f>ROUND(G2249*F2250,1)</f>
        <v>44.6</v>
      </c>
      <c r="J2250" s="78"/>
    </row>
    <row r="2251" spans="2:10">
      <c r="B2251" s="60" t="s">
        <v>5949</v>
      </c>
      <c r="C2251" s="76"/>
      <c r="D2251" s="31"/>
      <c r="E2251" s="31"/>
      <c r="F2251" s="31"/>
      <c r="G2251" s="199">
        <f>ROUND(G2250+G2249,1)</f>
        <v>372.1</v>
      </c>
      <c r="J2251" s="78"/>
    </row>
    <row r="2252" spans="2:10">
      <c r="J2252" s="78"/>
    </row>
    <row r="2253" spans="2:10">
      <c r="B2253" s="170" t="s">
        <v>1175</v>
      </c>
      <c r="J2253" s="78"/>
    </row>
    <row r="2254" spans="2:10">
      <c r="B2254" s="26" t="s">
        <v>1176</v>
      </c>
      <c r="H2254" s="171" t="s">
        <v>1698</v>
      </c>
      <c r="I2254" s="117">
        <f>I2207</f>
        <v>873979.67999999993</v>
      </c>
      <c r="J2254" s="78"/>
    </row>
    <row r="2255" spans="2:10">
      <c r="B2255" s="26" t="s">
        <v>1186</v>
      </c>
      <c r="H2255" s="171" t="s">
        <v>1698</v>
      </c>
      <c r="I2255" s="117">
        <f>I2227</f>
        <v>52323.19999999999</v>
      </c>
      <c r="J2255" s="78"/>
    </row>
    <row r="2256" spans="2:10">
      <c r="B2256" s="26" t="s">
        <v>2660</v>
      </c>
      <c r="H2256" s="171" t="s">
        <v>1698</v>
      </c>
      <c r="I2256" s="85">
        <f>I2248</f>
        <v>78608.100000000006</v>
      </c>
      <c r="J2256" s="78"/>
    </row>
    <row r="2257" spans="1:10">
      <c r="G2257" s="171" t="s">
        <v>1518</v>
      </c>
      <c r="H2257" s="171" t="s">
        <v>1698</v>
      </c>
      <c r="I2257" s="130">
        <f>SUM(I2254:I2256)</f>
        <v>1004910.9799999999</v>
      </c>
      <c r="J2257" s="78"/>
    </row>
    <row r="2258" spans="1:10">
      <c r="B2258" s="26" t="s">
        <v>4507</v>
      </c>
      <c r="G2258" s="262">
        <f>'BASIC DATA'!$C$599</f>
        <v>0.03</v>
      </c>
      <c r="I2258" s="117">
        <f>ROUND(G2258*I2257,2)</f>
        <v>30147.33</v>
      </c>
      <c r="J2258" s="78"/>
    </row>
    <row r="2259" spans="1:10">
      <c r="B2259" s="26" t="s">
        <v>4387</v>
      </c>
      <c r="G2259" s="261">
        <f>'BASIC DATA'!$C$598</f>
        <v>2.5000000000000001E-2</v>
      </c>
      <c r="I2259" s="117">
        <f>ROUND(G2259*I2257,2)</f>
        <v>25122.77</v>
      </c>
      <c r="J2259" s="78"/>
    </row>
    <row r="2260" spans="1:10">
      <c r="B2260" s="26" t="s">
        <v>3151</v>
      </c>
      <c r="G2260" s="262">
        <f>'BASIC DATA'!$C$600</f>
        <v>0.04</v>
      </c>
      <c r="I2260" s="117">
        <f>ROUND(G2260*I2257,2)</f>
        <v>40196.44</v>
      </c>
      <c r="J2260" s="78"/>
    </row>
    <row r="2261" spans="1:10">
      <c r="G2261" s="171" t="s">
        <v>1518</v>
      </c>
      <c r="H2261" s="171" t="s">
        <v>1698</v>
      </c>
      <c r="I2261" s="130">
        <f>SUM(I2257:I2260)</f>
        <v>1100377.5199999998</v>
      </c>
      <c r="J2261" s="78"/>
    </row>
    <row r="2262" spans="1:10" ht="18.75">
      <c r="B2262" s="1207" t="s">
        <v>8424</v>
      </c>
      <c r="C2262" s="1207"/>
      <c r="D2262" s="1207"/>
      <c r="E2262" s="1207"/>
      <c r="F2262" s="1207"/>
      <c r="G2262" s="922">
        <f>'BASIC DATA'!$C$577</f>
        <v>0.13614999999999999</v>
      </c>
      <c r="H2262" s="171" t="s">
        <v>4108</v>
      </c>
      <c r="I2262" s="76">
        <f>ROUND(I2261*G2262,2)</f>
        <v>149816.4</v>
      </c>
      <c r="J2262" s="78"/>
    </row>
    <row r="2263" spans="1:10">
      <c r="B2263" s="27" t="s">
        <v>9590</v>
      </c>
      <c r="C2263" s="43"/>
      <c r="D2263" s="43"/>
      <c r="E2263" s="43"/>
      <c r="F2263" s="779">
        <f>G2203</f>
        <v>96</v>
      </c>
      <c r="G2263" s="201" t="s">
        <v>9591</v>
      </c>
      <c r="H2263" s="68" t="str">
        <f>CONCATENATE((leadcharges!$D$65)," ","Rs./Cum")</f>
        <v>31.5 Rs./Cum</v>
      </c>
      <c r="I2263" s="76">
        <f>leadcharges!$D$65*F2263</f>
        <v>3024</v>
      </c>
      <c r="J2263" s="78"/>
    </row>
    <row r="2264" spans="1:10">
      <c r="B2264" s="27" t="s">
        <v>9589</v>
      </c>
      <c r="C2264" s="43"/>
      <c r="D2264" s="43"/>
      <c r="E2264" s="43"/>
      <c r="F2264" s="779">
        <f>SUM(G2200:G2202)</f>
        <v>216</v>
      </c>
      <c r="G2264" s="201" t="s">
        <v>9591</v>
      </c>
      <c r="H2264" s="68" t="str">
        <f>CONCATENATE((leadcharges!$E$65)," ","Rs./Cum")</f>
        <v>30.4 Rs./Cum</v>
      </c>
      <c r="I2264" s="85">
        <f>leadcharges!$E$65*F2264</f>
        <v>6566.4</v>
      </c>
      <c r="J2264" s="78"/>
    </row>
    <row r="2265" spans="1:10" ht="38.25" hidden="1" customHeight="1">
      <c r="B2265" s="1207"/>
      <c r="C2265" s="1207"/>
      <c r="D2265" s="1207"/>
      <c r="E2265" s="1207"/>
      <c r="F2265" s="779"/>
      <c r="G2265" s="201"/>
      <c r="H2265" s="68"/>
      <c r="I2265" s="76"/>
      <c r="J2265" s="78"/>
    </row>
    <row r="2266" spans="1:10">
      <c r="B2266" s="1206" t="s">
        <v>1191</v>
      </c>
      <c r="C2266" s="1206"/>
      <c r="D2266" s="1206"/>
      <c r="E2266" s="1206"/>
      <c r="F2266" s="202">
        <f>H2195</f>
        <v>240</v>
      </c>
      <c r="G2266" s="217" t="str">
        <f>I2195</f>
        <v>cum</v>
      </c>
      <c r="H2266" s="171" t="s">
        <v>1698</v>
      </c>
      <c r="I2266" s="199">
        <f>SUM(I2261:I2265)</f>
        <v>1259784.3199999996</v>
      </c>
      <c r="J2266" s="78"/>
    </row>
    <row r="2267" spans="1:10">
      <c r="B2267" s="1161" t="s">
        <v>3884</v>
      </c>
      <c r="C2267" s="1161"/>
      <c r="D2267" s="203" t="str">
        <f>G2266</f>
        <v>cum</v>
      </c>
      <c r="F2267" s="26" t="s">
        <v>1645</v>
      </c>
      <c r="H2267" s="171" t="s">
        <v>1698</v>
      </c>
      <c r="I2267" s="204">
        <f>ROUND(I2266/F2266,1)</f>
        <v>5249.1</v>
      </c>
      <c r="J2267" s="78"/>
    </row>
    <row r="2268" spans="1:10">
      <c r="G2268" s="171"/>
      <c r="H2268" s="171"/>
      <c r="I2268" s="68"/>
      <c r="J2268" s="78"/>
    </row>
    <row r="2269" spans="1:10" ht="18.75">
      <c r="A2269" s="822" t="s">
        <v>7851</v>
      </c>
      <c r="B2269" s="26" t="s">
        <v>8429</v>
      </c>
      <c r="J2269" s="27"/>
    </row>
    <row r="2270" spans="1:10" ht="18.75">
      <c r="A2270" s="873" t="s">
        <v>501</v>
      </c>
      <c r="B2270" s="26" t="s">
        <v>8433</v>
      </c>
      <c r="J2270" s="27"/>
    </row>
    <row r="2271" spans="1:10">
      <c r="B2271" s="26" t="s">
        <v>8415</v>
      </c>
      <c r="J2271" s="78"/>
    </row>
    <row r="2272" spans="1:10">
      <c r="B2272" s="26" t="s">
        <v>426</v>
      </c>
      <c r="J2272" s="78"/>
    </row>
    <row r="2273" spans="1:10">
      <c r="B2273" s="26" t="s">
        <v>427</v>
      </c>
      <c r="J2273" s="78"/>
    </row>
    <row r="2274" spans="1:10">
      <c r="B2274" s="26" t="s">
        <v>8434</v>
      </c>
      <c r="J2274" s="78"/>
    </row>
    <row r="2275" spans="1:10">
      <c r="B2275" s="26" t="s">
        <v>3997</v>
      </c>
      <c r="J2275" s="78"/>
    </row>
    <row r="2276" spans="1:10" ht="18.75">
      <c r="B2276" s="26" t="s">
        <v>8432</v>
      </c>
      <c r="J2276" s="78"/>
    </row>
    <row r="2277" spans="1:10">
      <c r="B2277" s="170" t="s">
        <v>7852</v>
      </c>
      <c r="J2277" s="78"/>
    </row>
    <row r="2278" spans="1:10">
      <c r="B2278" s="170" t="s">
        <v>7853</v>
      </c>
      <c r="J2278" s="78"/>
    </row>
    <row r="2279" spans="1:10" hidden="1">
      <c r="A2279" s="822" t="s">
        <v>3984</v>
      </c>
      <c r="B2279" s="26" t="s">
        <v>1082</v>
      </c>
      <c r="G2279" s="171" t="s">
        <v>1697</v>
      </c>
      <c r="J2279" s="78"/>
    </row>
    <row r="2280" spans="1:10" hidden="1">
      <c r="B2280" s="26" t="s">
        <v>2601</v>
      </c>
      <c r="G2280" s="171"/>
      <c r="H2280" s="68">
        <v>0.9</v>
      </c>
      <c r="I2280" s="26" t="s">
        <v>3477</v>
      </c>
      <c r="J2280" s="78"/>
    </row>
    <row r="2281" spans="1:10" hidden="1">
      <c r="B2281" s="26" t="s">
        <v>2556</v>
      </c>
      <c r="G2281" s="171" t="s">
        <v>1697</v>
      </c>
      <c r="H2281" s="270" t="s">
        <v>1222</v>
      </c>
      <c r="J2281" s="78"/>
    </row>
    <row r="2282" spans="1:10" hidden="1">
      <c r="B2282" s="26" t="s">
        <v>3414</v>
      </c>
      <c r="G2282" s="171" t="s">
        <v>1697</v>
      </c>
      <c r="H2282" s="68">
        <v>0.4</v>
      </c>
      <c r="I2282" s="26" t="s">
        <v>5336</v>
      </c>
      <c r="J2282" s="78"/>
    </row>
    <row r="2283" spans="1:10" hidden="1">
      <c r="B2283" s="26" t="s">
        <v>5853</v>
      </c>
      <c r="G2283" s="171" t="s">
        <v>1697</v>
      </c>
      <c r="H2283" s="26">
        <v>380</v>
      </c>
      <c r="I2283" s="26" t="s">
        <v>6670</v>
      </c>
      <c r="J2283" s="78"/>
    </row>
    <row r="2284" spans="1:10" hidden="1">
      <c r="A2284" s="853"/>
      <c r="B2284" s="61" t="s">
        <v>818</v>
      </c>
      <c r="C2284" s="125"/>
      <c r="D2284" s="61"/>
      <c r="E2284" s="61"/>
      <c r="F2284" s="61"/>
      <c r="G2284" s="222" t="s">
        <v>1697</v>
      </c>
      <c r="H2284" s="223">
        <f>0.4%*H2283</f>
        <v>1.52</v>
      </c>
      <c r="I2284" s="61" t="s">
        <v>6670</v>
      </c>
      <c r="J2284" s="78"/>
    </row>
    <row r="2285" spans="1:10" hidden="1">
      <c r="B2285" s="26" t="s">
        <v>3373</v>
      </c>
      <c r="J2285" s="78"/>
    </row>
    <row r="2286" spans="1:10" hidden="1">
      <c r="B2286" s="26" t="s">
        <v>574</v>
      </c>
      <c r="J2286" s="78"/>
    </row>
    <row r="2287" spans="1:10" hidden="1">
      <c r="B2287" s="26" t="s">
        <v>3206</v>
      </c>
      <c r="J2287" s="78"/>
    </row>
    <row r="2288" spans="1:10" hidden="1">
      <c r="B2288" s="26" t="s">
        <v>607</v>
      </c>
      <c r="J2288" s="78"/>
    </row>
    <row r="2289" spans="2:10" hidden="1">
      <c r="B2289" s="26" t="s">
        <v>6105</v>
      </c>
      <c r="J2289" s="78"/>
    </row>
    <row r="2290" spans="2:10" hidden="1">
      <c r="B2290" s="26" t="s">
        <v>3157</v>
      </c>
      <c r="J2290" s="78"/>
    </row>
    <row r="2291" spans="2:10" hidden="1">
      <c r="B2291" s="26" t="s">
        <v>6799</v>
      </c>
      <c r="J2291" s="78"/>
    </row>
    <row r="2292" spans="2:10" hidden="1">
      <c r="B2292" s="26" t="s">
        <v>6800</v>
      </c>
      <c r="J2292" s="78"/>
    </row>
    <row r="2293" spans="2:10" hidden="1">
      <c r="B2293" s="26" t="s">
        <v>715</v>
      </c>
      <c r="F2293" s="26" t="s">
        <v>716</v>
      </c>
      <c r="G2293" s="171" t="s">
        <v>1697</v>
      </c>
      <c r="H2293" s="68">
        <v>240</v>
      </c>
      <c r="I2293" s="26" t="s">
        <v>3477</v>
      </c>
      <c r="J2293" s="78"/>
    </row>
    <row r="2294" spans="2:10" hidden="1">
      <c r="B2294" s="26" t="s">
        <v>717</v>
      </c>
      <c r="G2294" s="171" t="s">
        <v>1697</v>
      </c>
      <c r="H2294" s="68">
        <v>1.5</v>
      </c>
      <c r="I2294" s="26" t="s">
        <v>5198</v>
      </c>
      <c r="J2294" s="78"/>
    </row>
    <row r="2295" spans="2:10" hidden="1">
      <c r="B2295" s="26" t="s">
        <v>6801</v>
      </c>
      <c r="G2295" s="171"/>
      <c r="H2295" s="26" t="s">
        <v>5199</v>
      </c>
      <c r="J2295" s="78"/>
    </row>
    <row r="2296" spans="2:10" hidden="1">
      <c r="B2296" s="26" t="s">
        <v>6802</v>
      </c>
      <c r="G2296" s="171"/>
      <c r="J2296" s="78"/>
    </row>
    <row r="2297" spans="2:10" hidden="1">
      <c r="B2297" s="26" t="s">
        <v>575</v>
      </c>
      <c r="G2297" s="171" t="s">
        <v>1698</v>
      </c>
      <c r="H2297" s="68">
        <f>H1604</f>
        <v>216.75</v>
      </c>
      <c r="J2297" s="78"/>
    </row>
    <row r="2298" spans="2:10" hidden="1">
      <c r="B2298" s="26" t="s">
        <v>5574</v>
      </c>
      <c r="G2298" s="171" t="s">
        <v>1698</v>
      </c>
      <c r="H2298" s="68">
        <f>I1666</f>
        <v>325.12</v>
      </c>
      <c r="J2298" s="78"/>
    </row>
    <row r="2299" spans="2:10" hidden="1">
      <c r="B2299" s="26" t="s">
        <v>718</v>
      </c>
      <c r="G2299" s="171"/>
      <c r="J2299" s="78"/>
    </row>
    <row r="2300" spans="2:10" hidden="1">
      <c r="B2300" s="26" t="s">
        <v>3350</v>
      </c>
      <c r="G2300" s="171"/>
      <c r="J2300" s="78"/>
    </row>
    <row r="2301" spans="2:10" hidden="1">
      <c r="B2301" s="26" t="s">
        <v>1850</v>
      </c>
      <c r="G2301" s="171" t="s">
        <v>1697</v>
      </c>
      <c r="H2301" s="68">
        <v>2</v>
      </c>
      <c r="I2301" s="26" t="s">
        <v>4041</v>
      </c>
      <c r="J2301" s="78"/>
    </row>
    <row r="2302" spans="2:10" hidden="1">
      <c r="B2302" s="26" t="s">
        <v>4190</v>
      </c>
      <c r="G2302" s="171" t="s">
        <v>1697</v>
      </c>
      <c r="H2302" s="68">
        <v>4</v>
      </c>
      <c r="I2302" s="26" t="s">
        <v>4041</v>
      </c>
      <c r="J2302" s="78"/>
    </row>
    <row r="2303" spans="2:10" hidden="1">
      <c r="B2303" s="26" t="s">
        <v>6447</v>
      </c>
      <c r="G2303" s="171" t="s">
        <v>1697</v>
      </c>
      <c r="H2303" s="68">
        <v>2</v>
      </c>
      <c r="I2303" s="26" t="s">
        <v>4041</v>
      </c>
      <c r="J2303" s="78"/>
    </row>
    <row r="2304" spans="2:10" hidden="1">
      <c r="B2304" s="26" t="s">
        <v>6448</v>
      </c>
      <c r="G2304" s="171" t="s">
        <v>1697</v>
      </c>
      <c r="H2304" s="68">
        <v>2</v>
      </c>
      <c r="I2304" s="26" t="s">
        <v>4041</v>
      </c>
      <c r="J2304" s="78"/>
    </row>
    <row r="2305" spans="1:10" hidden="1">
      <c r="B2305" s="26" t="s">
        <v>5325</v>
      </c>
      <c r="G2305" s="171" t="s">
        <v>1697</v>
      </c>
      <c r="H2305" s="68">
        <v>2</v>
      </c>
      <c r="I2305" s="26" t="s">
        <v>4041</v>
      </c>
      <c r="J2305" s="78"/>
    </row>
    <row r="2306" spans="1:10" hidden="1">
      <c r="B2306" s="26" t="s">
        <v>6450</v>
      </c>
      <c r="G2306" s="171" t="s">
        <v>1697</v>
      </c>
      <c r="H2306" s="68">
        <v>6</v>
      </c>
      <c r="I2306" s="26" t="s">
        <v>4041</v>
      </c>
      <c r="J2306" s="78"/>
    </row>
    <row r="2307" spans="1:10" hidden="1">
      <c r="B2307" s="26" t="s">
        <v>5170</v>
      </c>
      <c r="G2307" s="171" t="s">
        <v>1697</v>
      </c>
      <c r="H2307" s="68">
        <v>2</v>
      </c>
      <c r="I2307" s="26" t="s">
        <v>4041</v>
      </c>
      <c r="J2307" s="78"/>
    </row>
    <row r="2308" spans="1:10" hidden="1">
      <c r="B2308" s="26" t="s">
        <v>1820</v>
      </c>
      <c r="G2308" s="171" t="s">
        <v>1697</v>
      </c>
      <c r="H2308" s="68">
        <f>H1621</f>
        <v>88.5</v>
      </c>
      <c r="J2308" s="78"/>
    </row>
    <row r="2309" spans="1:10" hidden="1">
      <c r="B2309" s="26" t="s">
        <v>576</v>
      </c>
      <c r="J2309" s="78"/>
    </row>
    <row r="2310" spans="1:10" hidden="1">
      <c r="B2310" s="26" t="s">
        <v>430</v>
      </c>
      <c r="J2310" s="78"/>
    </row>
    <row r="2311" spans="1:10" hidden="1">
      <c r="B2311" s="26" t="s">
        <v>431</v>
      </c>
      <c r="J2311" s="78"/>
    </row>
    <row r="2312" spans="1:10" hidden="1">
      <c r="B2312" s="26" t="s">
        <v>4459</v>
      </c>
      <c r="H2312" s="68">
        <f>I1680</f>
        <v>132.75</v>
      </c>
      <c r="J2312" s="78"/>
    </row>
    <row r="2313" spans="1:10" hidden="1">
      <c r="B2313" s="26" t="s">
        <v>31</v>
      </c>
      <c r="F2313" s="201"/>
      <c r="J2313" s="78"/>
    </row>
    <row r="2314" spans="1:10" hidden="1">
      <c r="J2314" s="78"/>
    </row>
    <row r="2315" spans="1:10">
      <c r="J2315" s="78"/>
    </row>
    <row r="2316" spans="1:10">
      <c r="A2316" s="822" t="s">
        <v>3984</v>
      </c>
      <c r="E2316" s="170" t="s">
        <v>2367</v>
      </c>
      <c r="J2316" s="78"/>
    </row>
    <row r="2317" spans="1:10">
      <c r="H2317" s="171" t="s">
        <v>1188</v>
      </c>
      <c r="J2317" s="78"/>
    </row>
    <row r="2318" spans="1:10">
      <c r="B2318" s="170" t="s">
        <v>2368</v>
      </c>
      <c r="H2318" s="211">
        <f>H2293</f>
        <v>240</v>
      </c>
      <c r="I2318" s="26" t="s">
        <v>3477</v>
      </c>
      <c r="J2318" s="78"/>
    </row>
    <row r="2319" spans="1:10">
      <c r="B2319" s="95" t="s">
        <v>2369</v>
      </c>
      <c r="C2319" s="153"/>
      <c r="D2319" s="157" t="s">
        <v>4443</v>
      </c>
      <c r="E2319" s="97"/>
      <c r="F2319" s="95" t="s">
        <v>2370</v>
      </c>
      <c r="G2319" s="95" t="s">
        <v>1166</v>
      </c>
      <c r="H2319" s="97" t="s">
        <v>6664</v>
      </c>
      <c r="I2319" s="97" t="s">
        <v>6665</v>
      </c>
      <c r="J2319" s="78"/>
    </row>
    <row r="2320" spans="1:10">
      <c r="B2320" s="191"/>
      <c r="C2320" s="139"/>
      <c r="D2320" s="174"/>
      <c r="E2320" s="192"/>
      <c r="F2320" s="191"/>
      <c r="G2320" s="114"/>
      <c r="H2320" s="115" t="s">
        <v>3856</v>
      </c>
      <c r="I2320" s="115" t="s">
        <v>3857</v>
      </c>
      <c r="J2320" s="78"/>
    </row>
    <row r="2321" spans="1:10">
      <c r="B2321" s="95">
        <v>1</v>
      </c>
      <c r="C2321" s="131" t="s">
        <v>1048</v>
      </c>
      <c r="D2321" s="187"/>
      <c r="E2321" s="195"/>
      <c r="F2321" s="107" t="s">
        <v>3478</v>
      </c>
      <c r="G2321" s="26">
        <f>H2283*H2318</f>
        <v>91200</v>
      </c>
      <c r="H2321" s="212">
        <f>'BASIC DATA'!$D$32/1000</f>
        <v>5.35</v>
      </c>
      <c r="I2321" s="155">
        <f>ROUND(H2321*G2321,2)</f>
        <v>487920</v>
      </c>
      <c r="J2321" s="78"/>
    </row>
    <row r="2322" spans="1:10">
      <c r="B2322" s="105">
        <v>2</v>
      </c>
      <c r="C2322" s="135" t="s">
        <v>7212</v>
      </c>
      <c r="D2322" s="31"/>
      <c r="E2322" s="189"/>
      <c r="F2322" s="210" t="s">
        <v>3478</v>
      </c>
      <c r="G2322" s="221">
        <f>H2318*3</f>
        <v>720</v>
      </c>
      <c r="H2322" s="214">
        <f>'BASIC DATA'!$D$32/1000</f>
        <v>5.35</v>
      </c>
      <c r="I2322" s="155">
        <f t="shared" ref="I2322:I2327" si="34">ROUND(H2322*G2322,2)</f>
        <v>3852</v>
      </c>
      <c r="J2322" s="78"/>
    </row>
    <row r="2323" spans="1:10">
      <c r="B2323" s="105"/>
      <c r="C2323" s="135" t="s">
        <v>6995</v>
      </c>
      <c r="D2323" s="31"/>
      <c r="E2323" s="189"/>
      <c r="F2323" s="210" t="s">
        <v>3477</v>
      </c>
      <c r="G2323" s="26">
        <f>0.9*0.65*H2318</f>
        <v>140.4</v>
      </c>
      <c r="H2323" s="214">
        <f>'BASIC DATA'!$D$35</f>
        <v>1225</v>
      </c>
      <c r="I2323" s="155">
        <f t="shared" si="34"/>
        <v>171990</v>
      </c>
      <c r="J2323" s="78"/>
    </row>
    <row r="2324" spans="1:10">
      <c r="B2324" s="105"/>
      <c r="C2324" s="135" t="s">
        <v>1050</v>
      </c>
      <c r="D2324" s="31"/>
      <c r="E2324" s="189"/>
      <c r="F2324" s="210" t="s">
        <v>3477</v>
      </c>
      <c r="G2324" s="26">
        <f>0.9*H2318*0.35</f>
        <v>75.599999999999994</v>
      </c>
      <c r="H2324" s="214">
        <f>'BASIC DATA'!$D$34</f>
        <v>900</v>
      </c>
      <c r="I2324" s="155">
        <f t="shared" si="34"/>
        <v>68040</v>
      </c>
      <c r="J2324" s="78"/>
    </row>
    <row r="2325" spans="1:10">
      <c r="A2325" s="853"/>
      <c r="B2325" s="240">
        <v>3</v>
      </c>
      <c r="C2325" s="326" t="s">
        <v>7935</v>
      </c>
      <c r="D2325" s="60"/>
      <c r="E2325" s="253"/>
      <c r="F2325" s="254" t="s">
        <v>3477</v>
      </c>
      <c r="G2325" s="61">
        <f>0.4*H2318</f>
        <v>96</v>
      </c>
      <c r="H2325" s="266">
        <f>'BASIC DATA'!$D$55</f>
        <v>95</v>
      </c>
      <c r="I2325" s="244">
        <f t="shared" si="34"/>
        <v>9120</v>
      </c>
      <c r="J2325" s="62"/>
    </row>
    <row r="2326" spans="1:10">
      <c r="A2326" s="853"/>
      <c r="B2326" s="240">
        <v>4</v>
      </c>
      <c r="C2326" s="326" t="s">
        <v>4460</v>
      </c>
      <c r="D2326" s="60"/>
      <c r="E2326" s="253"/>
      <c r="F2326" s="254" t="s">
        <v>3478</v>
      </c>
      <c r="G2326" s="267">
        <f>H2284*H2318</f>
        <v>364.8</v>
      </c>
      <c r="H2326" s="266">
        <f>'BASIC DATA'!$D$99</f>
        <v>55</v>
      </c>
      <c r="I2326" s="155">
        <f t="shared" si="34"/>
        <v>20064</v>
      </c>
      <c r="J2326" s="78"/>
    </row>
    <row r="2327" spans="1:10">
      <c r="B2327" s="105">
        <v>5</v>
      </c>
      <c r="C2327" s="135" t="s">
        <v>5315</v>
      </c>
      <c r="D2327" s="31"/>
      <c r="E2327" s="189"/>
      <c r="F2327" s="210" t="s">
        <v>3479</v>
      </c>
      <c r="G2327" s="190">
        <f>1.5*H2318</f>
        <v>360</v>
      </c>
      <c r="H2327" s="220">
        <f>H2298</f>
        <v>325.12</v>
      </c>
      <c r="I2327" s="155">
        <f t="shared" si="34"/>
        <v>117043.2</v>
      </c>
      <c r="J2327" s="78"/>
    </row>
    <row r="2328" spans="1:10">
      <c r="B2328" s="105">
        <v>6</v>
      </c>
      <c r="C2328" s="139" t="s">
        <v>7601</v>
      </c>
      <c r="D2328" s="174"/>
      <c r="E2328" s="192"/>
      <c r="F2328" s="268">
        <v>0.15</v>
      </c>
      <c r="G2328" s="191"/>
      <c r="H2328" s="245"/>
      <c r="I2328" s="84">
        <f>ROUND(I2327*0.15,2)</f>
        <v>17556.48</v>
      </c>
      <c r="J2328" s="78"/>
    </row>
    <row r="2329" spans="1:10">
      <c r="B2329" s="191"/>
      <c r="C2329" s="151"/>
      <c r="D2329" s="159"/>
      <c r="E2329" s="159" t="s">
        <v>2376</v>
      </c>
      <c r="F2329" s="159"/>
      <c r="G2329" s="159"/>
      <c r="H2329" s="208" t="s">
        <v>1698</v>
      </c>
      <c r="I2329" s="209">
        <f>SUM(I2321:I2328)</f>
        <v>895585.67999999993</v>
      </c>
      <c r="J2329" s="78"/>
    </row>
    <row r="2330" spans="1:10">
      <c r="B2330" s="31"/>
      <c r="C2330" s="76"/>
      <c r="D2330" s="31"/>
      <c r="E2330" s="31"/>
      <c r="F2330" s="31"/>
      <c r="G2330" s="31"/>
      <c r="H2330" s="200"/>
      <c r="I2330" s="31"/>
      <c r="J2330" s="78"/>
    </row>
    <row r="2331" spans="1:10">
      <c r="B2331" s="170" t="s">
        <v>2377</v>
      </c>
      <c r="J2331" s="78"/>
    </row>
    <row r="2332" spans="1:10">
      <c r="B2332" s="95" t="s">
        <v>2369</v>
      </c>
      <c r="C2332" s="153"/>
      <c r="D2332" s="157" t="s">
        <v>2378</v>
      </c>
      <c r="E2332" s="97"/>
      <c r="F2332" s="95" t="s">
        <v>2370</v>
      </c>
      <c r="G2332" s="95" t="s">
        <v>1166</v>
      </c>
      <c r="H2332" s="97" t="s">
        <v>6664</v>
      </c>
      <c r="I2332" s="97" t="s">
        <v>6665</v>
      </c>
      <c r="J2332" s="78"/>
    </row>
    <row r="2333" spans="1:10">
      <c r="B2333" s="191"/>
      <c r="C2333" s="139"/>
      <c r="D2333" s="174"/>
      <c r="E2333" s="192"/>
      <c r="F2333" s="191"/>
      <c r="G2333" s="114"/>
      <c r="H2333" s="115" t="s">
        <v>3856</v>
      </c>
      <c r="I2333" s="115" t="s">
        <v>3857</v>
      </c>
      <c r="J2333" s="78"/>
    </row>
    <row r="2334" spans="1:10">
      <c r="B2334" s="95">
        <v>1</v>
      </c>
      <c r="C2334" s="131" t="s">
        <v>4461</v>
      </c>
      <c r="D2334" s="187"/>
      <c r="E2334" s="195"/>
      <c r="F2334" s="107" t="s">
        <v>2374</v>
      </c>
      <c r="G2334" s="179">
        <v>8</v>
      </c>
      <c r="H2334" s="179">
        <f>'HIRE CHARGES'!$D$502</f>
        <v>620.70000000000005</v>
      </c>
      <c r="I2334" s="84">
        <f>ROUND(H2334*G2334,2)</f>
        <v>4965.6000000000004</v>
      </c>
      <c r="J2334" s="78"/>
    </row>
    <row r="2335" spans="1:10">
      <c r="B2335" s="105"/>
      <c r="C2335" s="135" t="s">
        <v>2379</v>
      </c>
      <c r="D2335" s="31"/>
      <c r="E2335" s="189"/>
      <c r="F2335" s="210" t="s">
        <v>2374</v>
      </c>
      <c r="G2335" s="190">
        <v>8</v>
      </c>
      <c r="H2335" s="190">
        <f>'HIRE CHARGES'!$E$502</f>
        <v>308.2</v>
      </c>
      <c r="I2335" s="84">
        <f t="shared" ref="I2335:I2348" si="35">ROUND(H2335*G2335,2)</f>
        <v>2465.6</v>
      </c>
      <c r="J2335" s="78"/>
    </row>
    <row r="2336" spans="1:10">
      <c r="B2336" s="105">
        <v>2</v>
      </c>
      <c r="C2336" s="135" t="s">
        <v>4462</v>
      </c>
      <c r="D2336" s="31"/>
      <c r="E2336" s="189"/>
      <c r="F2336" s="210" t="s">
        <v>2374</v>
      </c>
      <c r="G2336" s="190">
        <v>8</v>
      </c>
      <c r="H2336" s="190">
        <f>'HIRE CHARGES'!$D$495</f>
        <v>131.9</v>
      </c>
      <c r="I2336" s="84">
        <f t="shared" si="35"/>
        <v>1055.2</v>
      </c>
      <c r="J2336" s="78"/>
    </row>
    <row r="2337" spans="2:10">
      <c r="B2337" s="105"/>
      <c r="C2337" s="135" t="s">
        <v>2379</v>
      </c>
      <c r="D2337" s="31"/>
      <c r="E2337" s="189"/>
      <c r="F2337" s="210" t="s">
        <v>2374</v>
      </c>
      <c r="G2337" s="190">
        <v>8</v>
      </c>
      <c r="H2337" s="190">
        <f>'HIRE CHARGES'!$E$495</f>
        <v>252.2</v>
      </c>
      <c r="I2337" s="84">
        <f t="shared" si="35"/>
        <v>2017.6</v>
      </c>
      <c r="J2337" s="78"/>
    </row>
    <row r="2338" spans="2:10">
      <c r="B2338" s="105">
        <v>3</v>
      </c>
      <c r="C2338" s="135" t="s">
        <v>2087</v>
      </c>
      <c r="D2338" s="31"/>
      <c r="E2338" s="189"/>
      <c r="F2338" s="210" t="s">
        <v>2374</v>
      </c>
      <c r="G2338" s="190">
        <v>32</v>
      </c>
      <c r="H2338" s="190">
        <f>'HIRE CHARGES'!$D$545</f>
        <v>446.7</v>
      </c>
      <c r="I2338" s="84">
        <f t="shared" si="35"/>
        <v>14294.4</v>
      </c>
      <c r="J2338" s="78"/>
    </row>
    <row r="2339" spans="2:10">
      <c r="B2339" s="105"/>
      <c r="C2339" s="135" t="s">
        <v>2379</v>
      </c>
      <c r="D2339" s="31"/>
      <c r="E2339" s="189"/>
      <c r="F2339" s="210" t="s">
        <v>2374</v>
      </c>
      <c r="G2339" s="190">
        <v>32</v>
      </c>
      <c r="H2339" s="190">
        <f>'HIRE CHARGES'!$E$545</f>
        <v>299.89999999999998</v>
      </c>
      <c r="I2339" s="84">
        <f t="shared" si="35"/>
        <v>9596.7999999999993</v>
      </c>
      <c r="J2339" s="78"/>
    </row>
    <row r="2340" spans="2:10">
      <c r="B2340" s="105">
        <v>4</v>
      </c>
      <c r="C2340" s="135" t="s">
        <v>4463</v>
      </c>
      <c r="D2340" s="31"/>
      <c r="E2340" s="189"/>
      <c r="F2340" s="210" t="s">
        <v>2374</v>
      </c>
      <c r="G2340" s="190">
        <v>16</v>
      </c>
      <c r="H2340" s="190">
        <f>'HIRE CHARGES'!$D$547</f>
        <v>867.1</v>
      </c>
      <c r="I2340" s="84">
        <f t="shared" si="35"/>
        <v>13873.6</v>
      </c>
      <c r="J2340" s="78"/>
    </row>
    <row r="2341" spans="2:10">
      <c r="B2341" s="105"/>
      <c r="C2341" s="135" t="s">
        <v>2379</v>
      </c>
      <c r="D2341" s="31"/>
      <c r="E2341" s="189"/>
      <c r="F2341" s="210" t="s">
        <v>2374</v>
      </c>
      <c r="G2341" s="190">
        <v>16</v>
      </c>
      <c r="H2341" s="190">
        <f>'HIRE CHARGES'!$E$547</f>
        <v>145.69999999999999</v>
      </c>
      <c r="I2341" s="84">
        <f t="shared" si="35"/>
        <v>2331.1999999999998</v>
      </c>
      <c r="J2341" s="78"/>
    </row>
    <row r="2342" spans="2:10">
      <c r="B2342" s="105">
        <v>5</v>
      </c>
      <c r="C2342" s="135" t="s">
        <v>4464</v>
      </c>
      <c r="D2342" s="31"/>
      <c r="E2342" s="189"/>
      <c r="F2342" s="210" t="s">
        <v>2374</v>
      </c>
      <c r="G2342" s="190">
        <v>40</v>
      </c>
      <c r="H2342" s="190">
        <f>'HIRE CHARGES'!$D$505</f>
        <v>15.8</v>
      </c>
      <c r="I2342" s="84">
        <f t="shared" si="35"/>
        <v>632</v>
      </c>
      <c r="J2342" s="78"/>
    </row>
    <row r="2343" spans="2:10">
      <c r="B2343" s="105"/>
      <c r="C2343" s="135" t="s">
        <v>2379</v>
      </c>
      <c r="D2343" s="31"/>
      <c r="E2343" s="189"/>
      <c r="F2343" s="210" t="s">
        <v>2374</v>
      </c>
      <c r="G2343" s="190">
        <v>40</v>
      </c>
      <c r="H2343" s="190">
        <f>'HIRE CHARGES'!$E$505</f>
        <v>0</v>
      </c>
      <c r="I2343" s="84">
        <f t="shared" si="35"/>
        <v>0</v>
      </c>
      <c r="J2343" s="78"/>
    </row>
    <row r="2344" spans="2:10">
      <c r="B2344" s="105">
        <v>6</v>
      </c>
      <c r="C2344" s="135" t="s">
        <v>383</v>
      </c>
      <c r="D2344" s="31"/>
      <c r="E2344" s="189"/>
      <c r="F2344" s="210" t="s">
        <v>2374</v>
      </c>
      <c r="G2344" s="190">
        <v>8</v>
      </c>
      <c r="H2344" s="190">
        <f>'HIRE CHARGES'!$D$520</f>
        <v>6.7</v>
      </c>
      <c r="I2344" s="84">
        <f t="shared" si="35"/>
        <v>53.6</v>
      </c>
      <c r="J2344" s="78"/>
    </row>
    <row r="2345" spans="2:10">
      <c r="B2345" s="105"/>
      <c r="C2345" s="135" t="s">
        <v>2379</v>
      </c>
      <c r="D2345" s="31"/>
      <c r="E2345" s="189"/>
      <c r="F2345" s="210" t="s">
        <v>2374</v>
      </c>
      <c r="G2345" s="190">
        <v>8</v>
      </c>
      <c r="H2345" s="207">
        <f>'HIRE CHARGES'!$E$520</f>
        <v>56</v>
      </c>
      <c r="I2345" s="84">
        <f t="shared" si="35"/>
        <v>448</v>
      </c>
      <c r="J2345" s="78"/>
    </row>
    <row r="2346" spans="2:10">
      <c r="B2346" s="105">
        <v>7</v>
      </c>
      <c r="C2346" s="135" t="s">
        <v>4465</v>
      </c>
      <c r="D2346" s="31"/>
      <c r="E2346" s="189"/>
      <c r="F2346" s="210" t="s">
        <v>2374</v>
      </c>
      <c r="G2346" s="190">
        <v>16</v>
      </c>
      <c r="H2346" s="190">
        <f>'HIRE CHARGES'!$D$534</f>
        <v>9.6999999999999993</v>
      </c>
      <c r="I2346" s="84">
        <f t="shared" si="35"/>
        <v>155.19999999999999</v>
      </c>
      <c r="J2346" s="78"/>
    </row>
    <row r="2347" spans="2:10">
      <c r="B2347" s="105"/>
      <c r="C2347" s="135" t="s">
        <v>2379</v>
      </c>
      <c r="D2347" s="31"/>
      <c r="E2347" s="189"/>
      <c r="F2347" s="210" t="s">
        <v>2374</v>
      </c>
      <c r="G2347" s="190">
        <v>16</v>
      </c>
      <c r="H2347" s="190">
        <f>'HIRE CHARGES'!$E$534</f>
        <v>8.4</v>
      </c>
      <c r="I2347" s="84">
        <f t="shared" si="35"/>
        <v>134.4</v>
      </c>
      <c r="J2347" s="78"/>
    </row>
    <row r="2348" spans="2:10">
      <c r="B2348" s="114">
        <v>8</v>
      </c>
      <c r="C2348" s="139" t="s">
        <v>2373</v>
      </c>
      <c r="D2348" s="174"/>
      <c r="E2348" s="192"/>
      <c r="F2348" s="191" t="s">
        <v>2173</v>
      </c>
      <c r="G2348" s="182">
        <v>10</v>
      </c>
      <c r="H2348" s="215">
        <f>'BASIC DATA'!$D$359</f>
        <v>30</v>
      </c>
      <c r="I2348" s="84">
        <f t="shared" si="35"/>
        <v>300</v>
      </c>
      <c r="J2348" s="78"/>
    </row>
    <row r="2349" spans="2:10">
      <c r="B2349" s="154"/>
      <c r="C2349" s="89"/>
      <c r="D2349" s="174" t="s">
        <v>2380</v>
      </c>
      <c r="E2349" s="174"/>
      <c r="F2349" s="174"/>
      <c r="G2349" s="174"/>
      <c r="H2349" s="245" t="s">
        <v>1698</v>
      </c>
      <c r="I2349" s="269">
        <f>SUM(I2334:I2348)</f>
        <v>52323.19999999999</v>
      </c>
      <c r="J2349" s="78"/>
    </row>
    <row r="2350" spans="2:10">
      <c r="J2350" s="78"/>
    </row>
    <row r="2351" spans="2:10">
      <c r="B2351" s="170" t="s">
        <v>2381</v>
      </c>
      <c r="J2351" s="78"/>
    </row>
    <row r="2352" spans="2:10">
      <c r="B2352" s="95" t="s">
        <v>2369</v>
      </c>
      <c r="C2352" s="153"/>
      <c r="D2352" s="157" t="s">
        <v>2378</v>
      </c>
      <c r="E2352" s="97"/>
      <c r="F2352" s="95" t="s">
        <v>2370</v>
      </c>
      <c r="G2352" s="95" t="s">
        <v>1166</v>
      </c>
      <c r="H2352" s="97" t="s">
        <v>6664</v>
      </c>
      <c r="I2352" s="97" t="s">
        <v>6665</v>
      </c>
      <c r="J2352" s="78"/>
    </row>
    <row r="2353" spans="2:10">
      <c r="B2353" s="191"/>
      <c r="C2353" s="139"/>
      <c r="D2353" s="174"/>
      <c r="E2353" s="192"/>
      <c r="F2353" s="191"/>
      <c r="G2353" s="114"/>
      <c r="H2353" s="115" t="s">
        <v>3856</v>
      </c>
      <c r="I2353" s="115" t="s">
        <v>3857</v>
      </c>
      <c r="J2353" s="78"/>
    </row>
    <row r="2354" spans="2:10">
      <c r="B2354" s="95">
        <v>1</v>
      </c>
      <c r="C2354" s="131" t="s">
        <v>158</v>
      </c>
      <c r="D2354" s="187"/>
      <c r="E2354" s="195"/>
      <c r="F2354" s="107" t="s">
        <v>2374</v>
      </c>
      <c r="G2354" s="179">
        <v>8</v>
      </c>
      <c r="H2354" s="178">
        <f>'HIRE CHARGES'!$F$502</f>
        <v>340.6</v>
      </c>
      <c r="I2354" s="155">
        <f>ROUND(H2354*G2354,2)</f>
        <v>2724.8</v>
      </c>
      <c r="J2354" s="78"/>
    </row>
    <row r="2355" spans="2:10">
      <c r="B2355" s="105">
        <v>2</v>
      </c>
      <c r="C2355" s="135" t="s">
        <v>4606</v>
      </c>
      <c r="D2355" s="31"/>
      <c r="E2355" s="189"/>
      <c r="F2355" s="210" t="s">
        <v>2374</v>
      </c>
      <c r="G2355" s="190">
        <v>8</v>
      </c>
      <c r="H2355" s="207">
        <f>'HIRE CHARGES'!$F$495</f>
        <v>164.8</v>
      </c>
      <c r="I2355" s="155">
        <f t="shared" ref="I2355:I2368" si="36">ROUND(H2355*G2355,2)</f>
        <v>1318.4</v>
      </c>
      <c r="J2355" s="78"/>
    </row>
    <row r="2356" spans="2:10">
      <c r="B2356" s="105">
        <v>3</v>
      </c>
      <c r="C2356" s="135" t="s">
        <v>4466</v>
      </c>
      <c r="D2356" s="31"/>
      <c r="E2356" s="189"/>
      <c r="F2356" s="210" t="s">
        <v>2374</v>
      </c>
      <c r="G2356" s="190">
        <v>32</v>
      </c>
      <c r="H2356" s="190">
        <f>'HIRE CHARGES'!$F$545</f>
        <v>177.5</v>
      </c>
      <c r="I2356" s="155">
        <f t="shared" si="36"/>
        <v>5680</v>
      </c>
      <c r="J2356" s="78"/>
    </row>
    <row r="2357" spans="2:10">
      <c r="B2357" s="105">
        <v>4</v>
      </c>
      <c r="C2357" s="135" t="s">
        <v>4467</v>
      </c>
      <c r="D2357" s="31"/>
      <c r="E2357" s="189"/>
      <c r="F2357" s="210" t="s">
        <v>2374</v>
      </c>
      <c r="G2357" s="190">
        <v>16</v>
      </c>
      <c r="H2357" s="178">
        <f>'HIRE CHARGES'!$F$547</f>
        <v>189.3</v>
      </c>
      <c r="I2357" s="155">
        <f t="shared" si="36"/>
        <v>3028.8</v>
      </c>
      <c r="J2357" s="78"/>
    </row>
    <row r="2358" spans="2:10">
      <c r="B2358" s="105">
        <v>5</v>
      </c>
      <c r="C2358" s="135" t="s">
        <v>999</v>
      </c>
      <c r="D2358" s="31"/>
      <c r="E2358" s="189"/>
      <c r="F2358" s="210" t="s">
        <v>2374</v>
      </c>
      <c r="G2358" s="190">
        <v>8</v>
      </c>
      <c r="H2358" s="207">
        <f>'HIRE CHARGES'!$F$520</f>
        <v>83.3</v>
      </c>
      <c r="I2358" s="155">
        <f t="shared" si="36"/>
        <v>666.4</v>
      </c>
      <c r="J2358" s="78"/>
    </row>
    <row r="2359" spans="2:10">
      <c r="B2359" s="105">
        <v>6</v>
      </c>
      <c r="C2359" s="135" t="s">
        <v>4468</v>
      </c>
      <c r="D2359" s="31"/>
      <c r="E2359" s="189"/>
      <c r="F2359" s="210" t="s">
        <v>2374</v>
      </c>
      <c r="G2359" s="190">
        <v>16</v>
      </c>
      <c r="H2359" s="207">
        <f>'HIRE CHARGES'!$F$534</f>
        <v>158.19999999999999</v>
      </c>
      <c r="I2359" s="155">
        <f t="shared" si="36"/>
        <v>2531.1999999999998</v>
      </c>
      <c r="J2359" s="78"/>
    </row>
    <row r="2360" spans="2:10">
      <c r="B2360" s="105">
        <v>7</v>
      </c>
      <c r="C2360" s="135" t="s">
        <v>440</v>
      </c>
      <c r="D2360" s="31"/>
      <c r="E2360" s="189"/>
      <c r="F2360" s="210" t="s">
        <v>1172</v>
      </c>
      <c r="G2360" s="190">
        <v>4</v>
      </c>
      <c r="H2360" s="207">
        <f>'BASIC DATA'!$C$474</f>
        <v>445</v>
      </c>
      <c r="I2360" s="155">
        <f t="shared" si="36"/>
        <v>1780</v>
      </c>
      <c r="J2360" s="78"/>
    </row>
    <row r="2361" spans="2:10">
      <c r="B2361" s="105">
        <v>8</v>
      </c>
      <c r="C2361" s="135" t="s">
        <v>2468</v>
      </c>
      <c r="D2361" s="31"/>
      <c r="E2361" s="189"/>
      <c r="F2361" s="210" t="s">
        <v>1172</v>
      </c>
      <c r="G2361" s="190">
        <v>2</v>
      </c>
      <c r="H2361" s="207">
        <f>'BASIC DATA'!$C$471</f>
        <v>510</v>
      </c>
      <c r="I2361" s="155">
        <f t="shared" si="36"/>
        <v>1020</v>
      </c>
      <c r="J2361" s="78"/>
    </row>
    <row r="2362" spans="2:10">
      <c r="B2362" s="105">
        <v>9</v>
      </c>
      <c r="C2362" s="135" t="s">
        <v>2697</v>
      </c>
      <c r="D2362" s="31"/>
      <c r="E2362" s="189"/>
      <c r="F2362" s="210"/>
      <c r="G2362" s="210"/>
      <c r="H2362" s="189"/>
      <c r="I2362" s="155">
        <f t="shared" si="36"/>
        <v>0</v>
      </c>
      <c r="J2362" s="78"/>
    </row>
    <row r="2363" spans="2:10">
      <c r="B2363" s="105"/>
      <c r="C2363" s="135" t="s">
        <v>4469</v>
      </c>
      <c r="D2363" s="31"/>
      <c r="E2363" s="189"/>
      <c r="F2363" s="210" t="s">
        <v>1172</v>
      </c>
      <c r="G2363" s="190">
        <v>2</v>
      </c>
      <c r="H2363" s="207">
        <f>'BASIC DATA'!$C$552</f>
        <v>350</v>
      </c>
      <c r="I2363" s="155">
        <f t="shared" si="36"/>
        <v>700</v>
      </c>
      <c r="J2363" s="78"/>
    </row>
    <row r="2364" spans="2:10">
      <c r="B2364" s="105"/>
      <c r="C2364" s="135" t="s">
        <v>4470</v>
      </c>
      <c r="D2364" s="31"/>
      <c r="E2364" s="189"/>
      <c r="F2364" s="210" t="s">
        <v>1172</v>
      </c>
      <c r="G2364" s="190">
        <v>2</v>
      </c>
      <c r="H2364" s="207">
        <f>'BASIC DATA'!$C$552</f>
        <v>350</v>
      </c>
      <c r="I2364" s="155">
        <f t="shared" si="36"/>
        <v>700</v>
      </c>
      <c r="J2364" s="78"/>
    </row>
    <row r="2365" spans="2:10">
      <c r="B2365" s="105"/>
      <c r="C2365" s="135" t="s">
        <v>4471</v>
      </c>
      <c r="D2365" s="31"/>
      <c r="E2365" s="189"/>
      <c r="F2365" s="210" t="s">
        <v>1172</v>
      </c>
      <c r="G2365" s="190">
        <v>2</v>
      </c>
      <c r="H2365" s="207">
        <f>'BASIC DATA'!$C$552</f>
        <v>350</v>
      </c>
      <c r="I2365" s="155">
        <f t="shared" si="36"/>
        <v>700</v>
      </c>
      <c r="J2365" s="78"/>
    </row>
    <row r="2366" spans="2:10">
      <c r="B2366" s="105"/>
      <c r="C2366" s="135" t="s">
        <v>4472</v>
      </c>
      <c r="D2366" s="31"/>
      <c r="E2366" s="189"/>
      <c r="F2366" s="210" t="s">
        <v>1172</v>
      </c>
      <c r="G2366" s="190">
        <v>6</v>
      </c>
      <c r="H2366" s="207">
        <f>'BASIC DATA'!$C$552</f>
        <v>350</v>
      </c>
      <c r="I2366" s="155">
        <f t="shared" si="36"/>
        <v>2100</v>
      </c>
      <c r="J2366" s="78"/>
    </row>
    <row r="2367" spans="2:10">
      <c r="B2367" s="105"/>
      <c r="C2367" s="135" t="s">
        <v>4473</v>
      </c>
      <c r="D2367" s="31"/>
      <c r="E2367" s="189"/>
      <c r="F2367" s="210" t="s">
        <v>1172</v>
      </c>
      <c r="G2367" s="190">
        <v>2</v>
      </c>
      <c r="H2367" s="207">
        <f>'BASIC DATA'!$C$552</f>
        <v>350</v>
      </c>
      <c r="I2367" s="155">
        <f t="shared" si="36"/>
        <v>700</v>
      </c>
      <c r="J2367" s="78"/>
    </row>
    <row r="2368" spans="2:10">
      <c r="B2368" s="105">
        <v>10</v>
      </c>
      <c r="C2368" s="135" t="s">
        <v>7215</v>
      </c>
      <c r="D2368" s="31"/>
      <c r="E2368" s="189"/>
      <c r="F2368" s="210" t="s">
        <v>3479</v>
      </c>
      <c r="G2368" s="190">
        <f>1.5*H2318</f>
        <v>360</v>
      </c>
      <c r="H2368" s="207">
        <f>H2312</f>
        <v>132.75</v>
      </c>
      <c r="I2368" s="155">
        <f t="shared" si="36"/>
        <v>47790</v>
      </c>
      <c r="J2368" s="78"/>
    </row>
    <row r="2369" spans="2:10">
      <c r="B2369" s="114">
        <v>11</v>
      </c>
      <c r="C2369" s="139" t="s">
        <v>6402</v>
      </c>
      <c r="D2369" s="174"/>
      <c r="E2369" s="192"/>
      <c r="F2369" s="268">
        <v>0.15</v>
      </c>
      <c r="G2369" s="191"/>
      <c r="H2369" s="192"/>
      <c r="I2369" s="155">
        <f>ROUND(I2368*0.15,2)</f>
        <v>7168.5</v>
      </c>
      <c r="J2369" s="78"/>
    </row>
    <row r="2370" spans="2:10">
      <c r="B2370" s="184"/>
      <c r="C2370" s="151"/>
      <c r="D2370" s="159"/>
      <c r="E2370" s="159" t="s">
        <v>1174</v>
      </c>
      <c r="F2370" s="159"/>
      <c r="G2370" s="184"/>
      <c r="H2370" s="208" t="s">
        <v>1698</v>
      </c>
      <c r="I2370" s="209">
        <f>SUM(I2354:I2369)</f>
        <v>78608.100000000006</v>
      </c>
      <c r="J2370" s="78"/>
    </row>
    <row r="2371" spans="2:10">
      <c r="B2371" s="60" t="s">
        <v>5948</v>
      </c>
      <c r="C2371" s="76"/>
      <c r="D2371" s="31"/>
      <c r="E2371" s="31"/>
      <c r="F2371" s="31"/>
      <c r="G2371" s="85">
        <f>ROUND(I2370/H2318,1)</f>
        <v>327.5</v>
      </c>
      <c r="J2371" s="78"/>
    </row>
    <row r="2372" spans="2:10">
      <c r="B2372" s="60" t="s">
        <v>3163</v>
      </c>
      <c r="C2372" s="76"/>
      <c r="D2372" s="31"/>
      <c r="E2372" s="31"/>
      <c r="F2372" s="922">
        <f>'BASIC DATA'!$C$577</f>
        <v>0.13614999999999999</v>
      </c>
      <c r="G2372" s="85">
        <f>ROUND(G2371*F2372,1)</f>
        <v>44.6</v>
      </c>
      <c r="J2372" s="78"/>
    </row>
    <row r="2373" spans="2:10">
      <c r="B2373" s="60" t="s">
        <v>5949</v>
      </c>
      <c r="C2373" s="76"/>
      <c r="D2373" s="31"/>
      <c r="E2373" s="31"/>
      <c r="F2373" s="31"/>
      <c r="G2373" s="199">
        <f>ROUND(G2372+G2371,1)</f>
        <v>372.1</v>
      </c>
      <c r="J2373" s="78"/>
    </row>
    <row r="2374" spans="2:10">
      <c r="J2374" s="78"/>
    </row>
    <row r="2375" spans="2:10">
      <c r="B2375" s="170" t="s">
        <v>1175</v>
      </c>
      <c r="J2375" s="78"/>
    </row>
    <row r="2376" spans="2:10">
      <c r="B2376" s="26" t="s">
        <v>1176</v>
      </c>
      <c r="H2376" s="171" t="s">
        <v>1698</v>
      </c>
      <c r="I2376" s="117">
        <f>I2329</f>
        <v>895585.67999999993</v>
      </c>
      <c r="J2376" s="78"/>
    </row>
    <row r="2377" spans="2:10">
      <c r="B2377" s="26" t="s">
        <v>1186</v>
      </c>
      <c r="H2377" s="171" t="s">
        <v>1698</v>
      </c>
      <c r="I2377" s="117">
        <f>I2349</f>
        <v>52323.19999999999</v>
      </c>
      <c r="J2377" s="78"/>
    </row>
    <row r="2378" spans="2:10">
      <c r="B2378" s="26" t="s">
        <v>2660</v>
      </c>
      <c r="H2378" s="171" t="s">
        <v>1698</v>
      </c>
      <c r="I2378" s="85">
        <f>I2370</f>
        <v>78608.100000000006</v>
      </c>
      <c r="J2378" s="78"/>
    </row>
    <row r="2379" spans="2:10">
      <c r="G2379" s="171" t="s">
        <v>1518</v>
      </c>
      <c r="H2379" s="171" t="s">
        <v>1698</v>
      </c>
      <c r="I2379" s="130">
        <f>SUM(I2376:I2378)</f>
        <v>1026516.9799999999</v>
      </c>
      <c r="J2379" s="78"/>
    </row>
    <row r="2380" spans="2:10">
      <c r="B2380" s="26" t="s">
        <v>4507</v>
      </c>
      <c r="G2380" s="262">
        <f>'BASIC DATA'!$C$599</f>
        <v>0.03</v>
      </c>
      <c r="I2380" s="117">
        <f>ROUND(G2380*I2379,2)</f>
        <v>30795.51</v>
      </c>
      <c r="J2380" s="78"/>
    </row>
    <row r="2381" spans="2:10">
      <c r="B2381" s="26" t="s">
        <v>4387</v>
      </c>
      <c r="G2381" s="261">
        <f>'BASIC DATA'!$C$598</f>
        <v>2.5000000000000001E-2</v>
      </c>
      <c r="I2381" s="117">
        <f>ROUND(G2381*I2379,2)</f>
        <v>25662.92</v>
      </c>
      <c r="J2381" s="78"/>
    </row>
    <row r="2382" spans="2:10">
      <c r="B2382" s="26" t="s">
        <v>3151</v>
      </c>
      <c r="G2382" s="262">
        <f>'BASIC DATA'!$C$600</f>
        <v>0.04</v>
      </c>
      <c r="I2382" s="117">
        <f>ROUND(G2382*I2379,2)</f>
        <v>41060.68</v>
      </c>
      <c r="J2382" s="78"/>
    </row>
    <row r="2383" spans="2:10">
      <c r="G2383" s="171" t="s">
        <v>1518</v>
      </c>
      <c r="H2383" s="171" t="s">
        <v>1698</v>
      </c>
      <c r="I2383" s="130">
        <f>SUM(I2379:I2382)</f>
        <v>1124036.0899999996</v>
      </c>
      <c r="J2383" s="78"/>
    </row>
    <row r="2384" spans="2:10" ht="18.75">
      <c r="B2384" s="1207" t="s">
        <v>8424</v>
      </c>
      <c r="C2384" s="1207"/>
      <c r="D2384" s="1207"/>
      <c r="E2384" s="1207"/>
      <c r="F2384" s="1207"/>
      <c r="G2384" s="922">
        <f>'BASIC DATA'!$C$577</f>
        <v>0.13614999999999999</v>
      </c>
      <c r="H2384" s="171" t="s">
        <v>4108</v>
      </c>
      <c r="I2384" s="76">
        <f>ROUND(I2383*G2384,2)</f>
        <v>153037.51</v>
      </c>
      <c r="J2384" s="78"/>
    </row>
    <row r="2385" spans="1:10">
      <c r="B2385" s="27" t="s">
        <v>9590</v>
      </c>
      <c r="C2385" s="43"/>
      <c r="D2385" s="43"/>
      <c r="E2385" s="43"/>
      <c r="F2385" s="779">
        <f>G2325</f>
        <v>96</v>
      </c>
      <c r="G2385" s="201" t="s">
        <v>9591</v>
      </c>
      <c r="H2385" s="68" t="str">
        <f>CONCATENATE((leadcharges!$D$65)," ","Rs./Cum")</f>
        <v>31.5 Rs./Cum</v>
      </c>
      <c r="I2385" s="76">
        <f>leadcharges!$D$65*F2385</f>
        <v>3024</v>
      </c>
      <c r="J2385" s="78"/>
    </row>
    <row r="2386" spans="1:10">
      <c r="B2386" s="27" t="s">
        <v>9589</v>
      </c>
      <c r="C2386" s="43"/>
      <c r="D2386" s="43"/>
      <c r="E2386" s="43"/>
      <c r="F2386" s="779">
        <f>SUM(G2323:G2324)</f>
        <v>216</v>
      </c>
      <c r="G2386" s="201" t="s">
        <v>9591</v>
      </c>
      <c r="H2386" s="68" t="str">
        <f>CONCATENATE((leadcharges!$E$65)," ","Rs./Cum")</f>
        <v>30.4 Rs./Cum</v>
      </c>
      <c r="I2386" s="85">
        <f>leadcharges!$E$65*F2386</f>
        <v>6566.4</v>
      </c>
      <c r="J2386" s="78"/>
    </row>
    <row r="2387" spans="1:10" ht="39" hidden="1" customHeight="1">
      <c r="B2387" s="1207"/>
      <c r="C2387" s="1207"/>
      <c r="D2387" s="1207"/>
      <c r="E2387" s="1207"/>
      <c r="F2387" s="779"/>
      <c r="G2387" s="201"/>
      <c r="H2387" s="68"/>
      <c r="I2387" s="76"/>
      <c r="J2387" s="78"/>
    </row>
    <row r="2388" spans="1:10">
      <c r="B2388" s="1206" t="s">
        <v>1191</v>
      </c>
      <c r="C2388" s="1206"/>
      <c r="D2388" s="1206"/>
      <c r="E2388" s="1206"/>
      <c r="F2388" s="202">
        <f>H2318</f>
        <v>240</v>
      </c>
      <c r="G2388" s="217" t="str">
        <f>I2318</f>
        <v>cum</v>
      </c>
      <c r="H2388" s="171" t="s">
        <v>1698</v>
      </c>
      <c r="I2388" s="199">
        <f>SUM(I2383:I2387)</f>
        <v>1286663.9999999995</v>
      </c>
      <c r="J2388" s="78"/>
    </row>
    <row r="2389" spans="1:10">
      <c r="B2389" s="1161" t="s">
        <v>3884</v>
      </c>
      <c r="C2389" s="1161"/>
      <c r="D2389" s="203" t="str">
        <f>G2388</f>
        <v>cum</v>
      </c>
      <c r="F2389" s="26" t="s">
        <v>1645</v>
      </c>
      <c r="H2389" s="171" t="s">
        <v>1698</v>
      </c>
      <c r="I2389" s="204">
        <f>ROUND(I2388/F2388,1)</f>
        <v>5361.1</v>
      </c>
      <c r="J2389" s="78"/>
    </row>
    <row r="2390" spans="1:10">
      <c r="G2390" s="171"/>
      <c r="H2390" s="171"/>
      <c r="I2390" s="68"/>
      <c r="J2390" s="78"/>
    </row>
    <row r="2391" spans="1:10" ht="18.75">
      <c r="A2391" s="822" t="s">
        <v>7075</v>
      </c>
      <c r="B2391" s="26" t="s">
        <v>8435</v>
      </c>
      <c r="J2391" s="78"/>
    </row>
    <row r="2392" spans="1:10" ht="18.75">
      <c r="B2392" s="26" t="s">
        <v>8436</v>
      </c>
      <c r="J2392" s="78"/>
    </row>
    <row r="2393" spans="1:10">
      <c r="B2393" s="26" t="s">
        <v>8415</v>
      </c>
      <c r="J2393" s="78"/>
    </row>
    <row r="2394" spans="1:10">
      <c r="B2394" s="26" t="s">
        <v>426</v>
      </c>
      <c r="J2394" s="78"/>
    </row>
    <row r="2395" spans="1:10">
      <c r="B2395" s="26" t="s">
        <v>427</v>
      </c>
      <c r="J2395" s="78"/>
    </row>
    <row r="2396" spans="1:10" ht="18.75">
      <c r="B2396" s="26" t="s">
        <v>8423</v>
      </c>
      <c r="J2396" s="78"/>
    </row>
    <row r="2397" spans="1:10">
      <c r="B2397" s="170" t="s">
        <v>7690</v>
      </c>
      <c r="J2397" s="78"/>
    </row>
    <row r="2398" spans="1:10">
      <c r="B2398" s="170" t="s">
        <v>4163</v>
      </c>
      <c r="J2398" s="78"/>
    </row>
    <row r="2399" spans="1:10" hidden="1">
      <c r="A2399" s="822" t="s">
        <v>3984</v>
      </c>
      <c r="B2399" s="26" t="s">
        <v>1082</v>
      </c>
      <c r="G2399" s="171" t="s">
        <v>1697</v>
      </c>
      <c r="J2399" s="78"/>
    </row>
    <row r="2400" spans="1:10" hidden="1">
      <c r="B2400" s="26" t="s">
        <v>2601</v>
      </c>
      <c r="G2400" s="171"/>
      <c r="H2400" s="68">
        <v>0.9</v>
      </c>
      <c r="I2400" s="26" t="s">
        <v>6901</v>
      </c>
      <c r="J2400" s="78"/>
    </row>
    <row r="2401" spans="1:10" hidden="1">
      <c r="B2401" s="26" t="s">
        <v>2556</v>
      </c>
      <c r="G2401" s="171" t="s">
        <v>1697</v>
      </c>
      <c r="H2401" s="171" t="s">
        <v>3731</v>
      </c>
      <c r="J2401" s="78"/>
    </row>
    <row r="2402" spans="1:10" hidden="1">
      <c r="B2402" s="26" t="s">
        <v>3414</v>
      </c>
      <c r="G2402" s="171" t="s">
        <v>1697</v>
      </c>
      <c r="H2402" s="68">
        <v>0.4</v>
      </c>
      <c r="I2402" s="26" t="s">
        <v>6714</v>
      </c>
      <c r="J2402" s="78"/>
    </row>
    <row r="2403" spans="1:10" hidden="1">
      <c r="B2403" s="26" t="s">
        <v>5853</v>
      </c>
      <c r="G2403" s="171" t="s">
        <v>1697</v>
      </c>
      <c r="H2403" s="68">
        <v>260</v>
      </c>
      <c r="I2403" s="26" t="s">
        <v>6670</v>
      </c>
      <c r="J2403" s="78"/>
    </row>
    <row r="2404" spans="1:10" hidden="1">
      <c r="A2404" s="853"/>
      <c r="B2404" s="61" t="s">
        <v>818</v>
      </c>
      <c r="C2404" s="125"/>
      <c r="D2404" s="61"/>
      <c r="E2404" s="61"/>
      <c r="F2404" s="61"/>
      <c r="G2404" s="222" t="s">
        <v>1697</v>
      </c>
      <c r="H2404" s="61">
        <f>H2403*0.4%</f>
        <v>1.04</v>
      </c>
      <c r="I2404" s="61" t="s">
        <v>6670</v>
      </c>
      <c r="J2404" s="78"/>
    </row>
    <row r="2405" spans="1:10" hidden="1">
      <c r="B2405" s="26" t="s">
        <v>3732</v>
      </c>
      <c r="G2405" s="171"/>
      <c r="J2405" s="78"/>
    </row>
    <row r="2406" spans="1:10" hidden="1">
      <c r="B2406" s="26" t="s">
        <v>3381</v>
      </c>
      <c r="G2406" s="171" t="s">
        <v>1697</v>
      </c>
      <c r="H2406" s="26" t="s">
        <v>3382</v>
      </c>
      <c r="I2406" s="26" t="s">
        <v>6671</v>
      </c>
      <c r="J2406" s="78"/>
    </row>
    <row r="2407" spans="1:10" hidden="1">
      <c r="B2407" s="26" t="s">
        <v>3383</v>
      </c>
      <c r="G2407" s="171"/>
      <c r="J2407" s="78"/>
    </row>
    <row r="2408" spans="1:10" hidden="1">
      <c r="B2408" s="26" t="s">
        <v>3384</v>
      </c>
      <c r="G2408" s="171" t="s">
        <v>1697</v>
      </c>
      <c r="H2408" s="68">
        <v>4</v>
      </c>
      <c r="I2408" s="26" t="s">
        <v>2603</v>
      </c>
      <c r="J2408" s="78"/>
    </row>
    <row r="2409" spans="1:10" hidden="1">
      <c r="B2409" s="26" t="s">
        <v>3385</v>
      </c>
      <c r="F2409" s="26" t="s">
        <v>3386</v>
      </c>
      <c r="G2409" s="171"/>
      <c r="H2409" s="68" t="s">
        <v>3387</v>
      </c>
      <c r="J2409" s="78"/>
    </row>
    <row r="2410" spans="1:10" hidden="1">
      <c r="B2410" s="26" t="s">
        <v>3388</v>
      </c>
      <c r="F2410" s="26" t="s">
        <v>3386</v>
      </c>
      <c r="G2410" s="171"/>
      <c r="H2410" s="68" t="s">
        <v>3387</v>
      </c>
      <c r="J2410" s="78"/>
    </row>
    <row r="2411" spans="1:10" hidden="1">
      <c r="B2411" s="26" t="s">
        <v>3389</v>
      </c>
      <c r="F2411" s="26" t="s">
        <v>3386</v>
      </c>
      <c r="G2411" s="171"/>
      <c r="H2411" s="68" t="s">
        <v>3387</v>
      </c>
      <c r="J2411" s="78"/>
    </row>
    <row r="2412" spans="1:10" hidden="1">
      <c r="B2412" s="26" t="s">
        <v>4072</v>
      </c>
      <c r="G2412" s="171" t="s">
        <v>1697</v>
      </c>
      <c r="H2412" s="68">
        <v>1.5</v>
      </c>
      <c r="I2412" s="26" t="s">
        <v>1433</v>
      </c>
      <c r="J2412" s="78"/>
    </row>
    <row r="2413" spans="1:10" hidden="1">
      <c r="B2413" s="26" t="s">
        <v>4073</v>
      </c>
      <c r="F2413" s="26" t="s">
        <v>3386</v>
      </c>
      <c r="G2413" s="171" t="s">
        <v>1697</v>
      </c>
      <c r="H2413" s="68" t="s">
        <v>3387</v>
      </c>
      <c r="J2413" s="78"/>
    </row>
    <row r="2414" spans="1:10" hidden="1">
      <c r="B2414" s="26" t="s">
        <v>3082</v>
      </c>
      <c r="G2414" s="171" t="s">
        <v>1697</v>
      </c>
      <c r="H2414" s="205">
        <f>H2412+H2408</f>
        <v>5.5</v>
      </c>
      <c r="I2414" s="26" t="s">
        <v>2603</v>
      </c>
      <c r="J2414" s="78"/>
    </row>
    <row r="2415" spans="1:10" hidden="1">
      <c r="A2415" s="853"/>
      <c r="B2415" s="61" t="s">
        <v>7691</v>
      </c>
      <c r="C2415" s="125"/>
      <c r="D2415" s="61"/>
      <c r="E2415" s="61"/>
      <c r="F2415" s="61"/>
      <c r="G2415" s="61"/>
      <c r="H2415" s="223">
        <f>(50/H2403)*(50/H2414)*8</f>
        <v>13.986013986013988</v>
      </c>
      <c r="I2415" s="61" t="s">
        <v>3477</v>
      </c>
      <c r="J2415" s="78"/>
    </row>
    <row r="2416" spans="1:10" hidden="1">
      <c r="B2416" s="26" t="s">
        <v>3083</v>
      </c>
      <c r="G2416" s="26" t="s">
        <v>7692</v>
      </c>
      <c r="H2416" s="26">
        <v>14</v>
      </c>
      <c r="I2416" s="26" t="s">
        <v>3477</v>
      </c>
      <c r="J2416" s="78"/>
    </row>
    <row r="2417" spans="1:10" hidden="1">
      <c r="B2417" s="26" t="s">
        <v>3384</v>
      </c>
      <c r="F2417" s="26" t="s">
        <v>5430</v>
      </c>
      <c r="G2417" s="171"/>
      <c r="H2417" s="68">
        <v>3</v>
      </c>
      <c r="I2417" s="26" t="s">
        <v>4041</v>
      </c>
      <c r="J2417" s="78"/>
    </row>
    <row r="2418" spans="1:10" hidden="1">
      <c r="B2418" s="26" t="s">
        <v>3385</v>
      </c>
      <c r="F2418" s="26" t="s">
        <v>5430</v>
      </c>
      <c r="G2418" s="171"/>
      <c r="H2418" s="68">
        <v>3</v>
      </c>
      <c r="I2418" s="26" t="s">
        <v>4041</v>
      </c>
      <c r="J2418" s="78"/>
    </row>
    <row r="2419" spans="1:10" hidden="1">
      <c r="B2419" s="26" t="s">
        <v>3388</v>
      </c>
      <c r="F2419" s="26" t="s">
        <v>5430</v>
      </c>
      <c r="G2419" s="171"/>
      <c r="H2419" s="68">
        <v>3</v>
      </c>
      <c r="I2419" s="26" t="s">
        <v>4041</v>
      </c>
      <c r="J2419" s="78"/>
    </row>
    <row r="2420" spans="1:10" hidden="1">
      <c r="B2420" s="26" t="s">
        <v>3389</v>
      </c>
      <c r="F2420" s="26" t="s">
        <v>5430</v>
      </c>
      <c r="G2420" s="171"/>
      <c r="H2420" s="68">
        <v>2</v>
      </c>
      <c r="I2420" s="26" t="s">
        <v>4041</v>
      </c>
      <c r="J2420" s="78"/>
    </row>
    <row r="2421" spans="1:10" hidden="1">
      <c r="B2421" s="26" t="s">
        <v>3084</v>
      </c>
      <c r="F2421" s="26" t="s">
        <v>5430</v>
      </c>
      <c r="G2421" s="171"/>
      <c r="H2421" s="68">
        <v>18</v>
      </c>
      <c r="I2421" s="26" t="s">
        <v>4041</v>
      </c>
      <c r="J2421" s="78"/>
    </row>
    <row r="2422" spans="1:10" hidden="1">
      <c r="B2422" s="26" t="s">
        <v>3085</v>
      </c>
      <c r="F2422" s="26" t="s">
        <v>3086</v>
      </c>
      <c r="G2422" s="171"/>
      <c r="H2422" s="68">
        <v>1</v>
      </c>
      <c r="I2422" s="26" t="s">
        <v>4041</v>
      </c>
      <c r="J2422" s="78"/>
    </row>
    <row r="2423" spans="1:10" hidden="1">
      <c r="F2423" s="26" t="s">
        <v>5430</v>
      </c>
      <c r="G2423" s="171"/>
      <c r="H2423" s="68">
        <v>3</v>
      </c>
      <c r="I2423" s="26" t="s">
        <v>4041</v>
      </c>
      <c r="J2423" s="78"/>
    </row>
    <row r="2424" spans="1:10" hidden="1">
      <c r="B2424" s="26" t="s">
        <v>3087</v>
      </c>
      <c r="F2424" s="26" t="s">
        <v>2697</v>
      </c>
      <c r="G2424" s="171"/>
      <c r="H2424" s="68">
        <v>1</v>
      </c>
      <c r="I2424" s="26" t="s">
        <v>4041</v>
      </c>
      <c r="J2424" s="78"/>
    </row>
    <row r="2425" spans="1:10" hidden="1">
      <c r="B2425" s="26" t="s">
        <v>717</v>
      </c>
      <c r="D2425" s="26" t="s">
        <v>3088</v>
      </c>
      <c r="J2425" s="78"/>
    </row>
    <row r="2426" spans="1:10" hidden="1">
      <c r="B2426" s="26" t="s">
        <v>3089</v>
      </c>
      <c r="D2426" s="26" t="s">
        <v>6637</v>
      </c>
      <c r="J2426" s="78"/>
    </row>
    <row r="2427" spans="1:10" hidden="1">
      <c r="B2427" s="26" t="s">
        <v>577</v>
      </c>
      <c r="G2427" s="171" t="s">
        <v>1698</v>
      </c>
      <c r="H2427" s="68">
        <f>H1604</f>
        <v>216.75</v>
      </c>
      <c r="I2427" s="26" t="s">
        <v>3479</v>
      </c>
      <c r="J2427" s="78"/>
    </row>
    <row r="2428" spans="1:10" hidden="1">
      <c r="B2428" s="26" t="s">
        <v>6638</v>
      </c>
      <c r="G2428" s="171" t="s">
        <v>1698</v>
      </c>
      <c r="H2428" s="68">
        <f>H1621</f>
        <v>88.5</v>
      </c>
      <c r="I2428" s="26" t="s">
        <v>3479</v>
      </c>
      <c r="J2428" s="78"/>
    </row>
    <row r="2429" spans="1:10" hidden="1">
      <c r="B2429" s="26" t="s">
        <v>578</v>
      </c>
      <c r="J2429" s="78"/>
    </row>
    <row r="2430" spans="1:10" hidden="1">
      <c r="B2430" s="26" t="s">
        <v>6639</v>
      </c>
      <c r="J2430" s="78"/>
    </row>
    <row r="2431" spans="1:10">
      <c r="J2431" s="78"/>
    </row>
    <row r="2432" spans="1:10">
      <c r="A2432" s="822" t="s">
        <v>3984</v>
      </c>
      <c r="E2432" s="170" t="s">
        <v>2367</v>
      </c>
      <c r="J2432" s="78"/>
    </row>
    <row r="2433" spans="1:10">
      <c r="H2433" s="171" t="s">
        <v>297</v>
      </c>
      <c r="J2433" s="78"/>
    </row>
    <row r="2434" spans="1:10">
      <c r="B2434" s="170" t="s">
        <v>2368</v>
      </c>
      <c r="H2434" s="211">
        <f>H2416</f>
        <v>14</v>
      </c>
      <c r="I2434" s="26" t="s">
        <v>3477</v>
      </c>
      <c r="J2434" s="78"/>
    </row>
    <row r="2435" spans="1:10">
      <c r="B2435" s="95" t="s">
        <v>2369</v>
      </c>
      <c r="C2435" s="153"/>
      <c r="D2435" s="157" t="s">
        <v>4443</v>
      </c>
      <c r="E2435" s="97"/>
      <c r="F2435" s="95" t="s">
        <v>2370</v>
      </c>
      <c r="G2435" s="95" t="s">
        <v>1166</v>
      </c>
      <c r="H2435" s="97" t="s">
        <v>6664</v>
      </c>
      <c r="I2435" s="97" t="s">
        <v>6665</v>
      </c>
      <c r="J2435" s="78"/>
    </row>
    <row r="2436" spans="1:10">
      <c r="B2436" s="191"/>
      <c r="C2436" s="139"/>
      <c r="D2436" s="174"/>
      <c r="E2436" s="192"/>
      <c r="F2436" s="191"/>
      <c r="G2436" s="114"/>
      <c r="H2436" s="115" t="s">
        <v>3856</v>
      </c>
      <c r="I2436" s="115" t="s">
        <v>3857</v>
      </c>
      <c r="J2436" s="78"/>
    </row>
    <row r="2437" spans="1:10">
      <c r="B2437" s="95">
        <v>1</v>
      </c>
      <c r="C2437" s="131" t="s">
        <v>1728</v>
      </c>
      <c r="D2437" s="187"/>
      <c r="E2437" s="195"/>
      <c r="F2437" s="107" t="s">
        <v>3478</v>
      </c>
      <c r="G2437" s="67">
        <f>H2403*H2434</f>
        <v>3640</v>
      </c>
      <c r="H2437" s="235">
        <f>'BASIC DATA'!$D$32/1000</f>
        <v>5.35</v>
      </c>
      <c r="I2437" s="155">
        <f>ROUND(H2437*G2437,2)</f>
        <v>19474</v>
      </c>
      <c r="J2437" s="78"/>
    </row>
    <row r="2438" spans="1:10">
      <c r="B2438" s="105"/>
      <c r="C2438" s="135" t="s">
        <v>6640</v>
      </c>
      <c r="D2438" s="31"/>
      <c r="E2438" s="189"/>
      <c r="F2438" s="210" t="s">
        <v>3478</v>
      </c>
      <c r="G2438" s="67">
        <f>H2434*3</f>
        <v>42</v>
      </c>
      <c r="H2438" s="235">
        <f>'BASIC DATA'!$D$32/1000</f>
        <v>5.35</v>
      </c>
      <c r="I2438" s="155">
        <f t="shared" ref="I2438:I2444" si="37">ROUND(H2438*G2438,2)</f>
        <v>224.7</v>
      </c>
      <c r="J2438" s="78"/>
    </row>
    <row r="2439" spans="1:10">
      <c r="B2439" s="105">
        <v>2</v>
      </c>
      <c r="C2439" s="135" t="s">
        <v>6996</v>
      </c>
      <c r="D2439" s="31"/>
      <c r="E2439" s="189"/>
      <c r="F2439" s="210" t="s">
        <v>3477</v>
      </c>
      <c r="G2439" s="38">
        <f>H2434*0.9*0.5</f>
        <v>6.3</v>
      </c>
      <c r="H2439" s="235">
        <f>'BASIC DATA'!$D$36</f>
        <v>1175</v>
      </c>
      <c r="I2439" s="155">
        <f t="shared" si="37"/>
        <v>7402.5</v>
      </c>
      <c r="J2439" s="78"/>
    </row>
    <row r="2440" spans="1:10">
      <c r="B2440" s="105"/>
      <c r="C2440" s="135" t="s">
        <v>6995</v>
      </c>
      <c r="D2440" s="31"/>
      <c r="E2440" s="189"/>
      <c r="F2440" s="210" t="s">
        <v>3477</v>
      </c>
      <c r="G2440" s="38">
        <f>H2434*0.9*0.3</f>
        <v>3.78</v>
      </c>
      <c r="H2440" s="235">
        <f>'BASIC DATA'!$D$35</f>
        <v>1225</v>
      </c>
      <c r="I2440" s="155">
        <f t="shared" si="37"/>
        <v>4630.5</v>
      </c>
      <c r="J2440" s="78"/>
    </row>
    <row r="2441" spans="1:10">
      <c r="B2441" s="105"/>
      <c r="C2441" s="135" t="s">
        <v>1050</v>
      </c>
      <c r="D2441" s="31"/>
      <c r="E2441" s="189"/>
      <c r="F2441" s="210" t="s">
        <v>3477</v>
      </c>
      <c r="G2441" s="38">
        <f>H2434*0.9*0.2</f>
        <v>2.52</v>
      </c>
      <c r="H2441" s="235">
        <f>'BASIC DATA'!$D$34</f>
        <v>900</v>
      </c>
      <c r="I2441" s="155">
        <f t="shared" si="37"/>
        <v>2268</v>
      </c>
      <c r="J2441" s="78"/>
    </row>
    <row r="2442" spans="1:10">
      <c r="A2442" s="853"/>
      <c r="B2442" s="240">
        <v>3</v>
      </c>
      <c r="C2442" s="326" t="s">
        <v>7935</v>
      </c>
      <c r="D2442" s="60"/>
      <c r="E2442" s="253"/>
      <c r="F2442" s="254" t="s">
        <v>3477</v>
      </c>
      <c r="G2442" s="50">
        <f>H2434*0.4</f>
        <v>5.6000000000000005</v>
      </c>
      <c r="H2442" s="243">
        <f>'BASIC DATA'!$D$55</f>
        <v>95</v>
      </c>
      <c r="I2442" s="244">
        <f t="shared" si="37"/>
        <v>532</v>
      </c>
      <c r="J2442" s="62"/>
    </row>
    <row r="2443" spans="1:10">
      <c r="A2443" s="853"/>
      <c r="B2443" s="240">
        <v>4</v>
      </c>
      <c r="C2443" s="326" t="s">
        <v>818</v>
      </c>
      <c r="D2443" s="60"/>
      <c r="E2443" s="253"/>
      <c r="F2443" s="254" t="s">
        <v>3478</v>
      </c>
      <c r="G2443" s="67">
        <f>H2434*H2404</f>
        <v>14.56</v>
      </c>
      <c r="H2443" s="243">
        <f>'BASIC DATA'!$D$99</f>
        <v>55</v>
      </c>
      <c r="I2443" s="155">
        <f t="shared" si="37"/>
        <v>800.8</v>
      </c>
      <c r="J2443" s="78"/>
    </row>
    <row r="2444" spans="1:10">
      <c r="B2444" s="105">
        <v>5</v>
      </c>
      <c r="C2444" s="135" t="s">
        <v>5315</v>
      </c>
      <c r="D2444" s="31"/>
      <c r="E2444" s="189"/>
      <c r="F2444" s="210" t="s">
        <v>3479</v>
      </c>
      <c r="G2444" s="67">
        <f>H2434</f>
        <v>14</v>
      </c>
      <c r="H2444" s="243">
        <f>H2427</f>
        <v>216.75</v>
      </c>
      <c r="I2444" s="155">
        <f t="shared" si="37"/>
        <v>3034.5</v>
      </c>
      <c r="J2444" s="78"/>
    </row>
    <row r="2445" spans="1:10">
      <c r="B2445" s="105">
        <v>6</v>
      </c>
      <c r="C2445" s="139" t="s">
        <v>7602</v>
      </c>
      <c r="D2445" s="174"/>
      <c r="E2445" s="192"/>
      <c r="F2445" s="268">
        <v>0.15</v>
      </c>
      <c r="G2445" s="191"/>
      <c r="H2445" s="245"/>
      <c r="I2445" s="84">
        <f>ROUND(I2444*0.15,2)</f>
        <v>455.18</v>
      </c>
      <c r="J2445" s="78"/>
    </row>
    <row r="2446" spans="1:10">
      <c r="B2446" s="114"/>
      <c r="C2446" s="151"/>
      <c r="D2446" s="159"/>
      <c r="E2446" s="159" t="s">
        <v>2376</v>
      </c>
      <c r="F2446" s="159"/>
      <c r="G2446" s="159"/>
      <c r="H2446" s="208" t="s">
        <v>1698</v>
      </c>
      <c r="I2446" s="209">
        <f>SUM(I2437:I2445)</f>
        <v>38822.18</v>
      </c>
      <c r="J2446" s="78"/>
    </row>
    <row r="2447" spans="1:10">
      <c r="B2447" s="31"/>
      <c r="C2447" s="76"/>
      <c r="D2447" s="31"/>
      <c r="E2447" s="31"/>
      <c r="F2447" s="31"/>
      <c r="G2447" s="31"/>
      <c r="H2447" s="200"/>
      <c r="I2447" s="31"/>
      <c r="J2447" s="78"/>
    </row>
    <row r="2448" spans="1:10">
      <c r="B2448" s="170" t="s">
        <v>2377</v>
      </c>
      <c r="J2448" s="78"/>
    </row>
    <row r="2449" spans="2:10">
      <c r="B2449" s="95" t="s">
        <v>2369</v>
      </c>
      <c r="C2449" s="153"/>
      <c r="D2449" s="157" t="s">
        <v>2378</v>
      </c>
      <c r="E2449" s="97"/>
      <c r="F2449" s="95" t="s">
        <v>2370</v>
      </c>
      <c r="G2449" s="95" t="s">
        <v>1166</v>
      </c>
      <c r="H2449" s="97" t="s">
        <v>6664</v>
      </c>
      <c r="I2449" s="97" t="s">
        <v>6665</v>
      </c>
      <c r="J2449" s="78"/>
    </row>
    <row r="2450" spans="2:10">
      <c r="B2450" s="191"/>
      <c r="C2450" s="139"/>
      <c r="D2450" s="174"/>
      <c r="E2450" s="192"/>
      <c r="F2450" s="191"/>
      <c r="G2450" s="114"/>
      <c r="H2450" s="115" t="s">
        <v>3856</v>
      </c>
      <c r="I2450" s="115" t="s">
        <v>3857</v>
      </c>
      <c r="J2450" s="78"/>
    </row>
    <row r="2451" spans="2:10">
      <c r="B2451" s="95">
        <v>1</v>
      </c>
      <c r="C2451" s="131" t="s">
        <v>6641</v>
      </c>
      <c r="D2451" s="187"/>
      <c r="E2451" s="195"/>
      <c r="F2451" s="107" t="s">
        <v>2374</v>
      </c>
      <c r="G2451" s="271">
        <v>8</v>
      </c>
      <c r="H2451" s="178">
        <f>'HIRE CHARGES'!$D$508</f>
        <v>51.7</v>
      </c>
      <c r="I2451" s="155">
        <f t="shared" ref="I2451:I2456" si="38">ROUND(H2451*G2451,2)</f>
        <v>413.6</v>
      </c>
      <c r="J2451" s="78"/>
    </row>
    <row r="2452" spans="2:10">
      <c r="B2452" s="105"/>
      <c r="C2452" s="135" t="s">
        <v>2379</v>
      </c>
      <c r="D2452" s="31"/>
      <c r="E2452" s="189"/>
      <c r="F2452" s="210" t="s">
        <v>2374</v>
      </c>
      <c r="G2452" s="272">
        <v>8</v>
      </c>
      <c r="H2452" s="207">
        <f>'HIRE CHARGES'!$E$508</f>
        <v>28</v>
      </c>
      <c r="I2452" s="155">
        <f t="shared" si="38"/>
        <v>224</v>
      </c>
      <c r="J2452" s="78"/>
    </row>
    <row r="2453" spans="2:10">
      <c r="B2453" s="105">
        <v>2</v>
      </c>
      <c r="C2453" s="135" t="s">
        <v>383</v>
      </c>
      <c r="D2453" s="31"/>
      <c r="E2453" s="189"/>
      <c r="F2453" s="210" t="s">
        <v>2374</v>
      </c>
      <c r="G2453" s="272">
        <v>1</v>
      </c>
      <c r="H2453" s="190">
        <f>'HIRE CHARGES'!$D$520</f>
        <v>6.7</v>
      </c>
      <c r="I2453" s="155">
        <f t="shared" si="38"/>
        <v>6.7</v>
      </c>
      <c r="J2453" s="78"/>
    </row>
    <row r="2454" spans="2:10">
      <c r="B2454" s="105"/>
      <c r="C2454" s="135" t="s">
        <v>2379</v>
      </c>
      <c r="D2454" s="31"/>
      <c r="E2454" s="189"/>
      <c r="F2454" s="210" t="s">
        <v>2374</v>
      </c>
      <c r="G2454" s="272">
        <v>1</v>
      </c>
      <c r="H2454" s="207">
        <f>'HIRE CHARGES'!$E$520</f>
        <v>56</v>
      </c>
      <c r="I2454" s="155">
        <f t="shared" si="38"/>
        <v>56</v>
      </c>
      <c r="J2454" s="78"/>
    </row>
    <row r="2455" spans="2:10">
      <c r="B2455" s="105">
        <v>3</v>
      </c>
      <c r="C2455" s="135" t="s">
        <v>6642</v>
      </c>
      <c r="D2455" s="31"/>
      <c r="E2455" s="189"/>
      <c r="F2455" s="210" t="s">
        <v>2374</v>
      </c>
      <c r="G2455" s="272">
        <v>8</v>
      </c>
      <c r="H2455" s="207">
        <f>'HIRE CHARGES'!$D$532</f>
        <v>8</v>
      </c>
      <c r="I2455" s="155">
        <f t="shared" si="38"/>
        <v>64</v>
      </c>
      <c r="J2455" s="78"/>
    </row>
    <row r="2456" spans="2:10">
      <c r="B2456" s="191"/>
      <c r="C2456" s="139" t="s">
        <v>2379</v>
      </c>
      <c r="D2456" s="174"/>
      <c r="E2456" s="192"/>
      <c r="F2456" s="191" t="s">
        <v>2374</v>
      </c>
      <c r="G2456" s="273">
        <v>8</v>
      </c>
      <c r="H2456" s="181">
        <f>'HIRE CHARGES'!$E$532</f>
        <v>5.6</v>
      </c>
      <c r="I2456" s="155">
        <f t="shared" si="38"/>
        <v>44.8</v>
      </c>
      <c r="J2456" s="78"/>
    </row>
    <row r="2457" spans="2:10">
      <c r="B2457" s="184"/>
      <c r="C2457" s="151"/>
      <c r="D2457" s="159"/>
      <c r="E2457" s="159" t="s">
        <v>2380</v>
      </c>
      <c r="F2457" s="159"/>
      <c r="G2457" s="159"/>
      <c r="H2457" s="208" t="s">
        <v>1698</v>
      </c>
      <c r="I2457" s="209">
        <f>SUM(I2451:I2456)</f>
        <v>809.1</v>
      </c>
      <c r="J2457" s="78"/>
    </row>
    <row r="2458" spans="2:10">
      <c r="B2458" s="31"/>
      <c r="C2458" s="76"/>
      <c r="D2458" s="31"/>
      <c r="E2458" s="31"/>
      <c r="F2458" s="31"/>
      <c r="G2458" s="31"/>
      <c r="H2458" s="200"/>
      <c r="I2458" s="31"/>
      <c r="J2458" s="78"/>
    </row>
    <row r="2459" spans="2:10">
      <c r="B2459" s="170" t="s">
        <v>2381</v>
      </c>
      <c r="J2459" s="78"/>
    </row>
    <row r="2460" spans="2:10">
      <c r="B2460" s="95" t="s">
        <v>2369</v>
      </c>
      <c r="C2460" s="153"/>
      <c r="D2460" s="157" t="s">
        <v>2378</v>
      </c>
      <c r="E2460" s="97"/>
      <c r="F2460" s="95" t="s">
        <v>2370</v>
      </c>
      <c r="G2460" s="95" t="s">
        <v>1166</v>
      </c>
      <c r="H2460" s="95" t="s">
        <v>6664</v>
      </c>
      <c r="I2460" s="97" t="s">
        <v>6665</v>
      </c>
      <c r="J2460" s="78"/>
    </row>
    <row r="2461" spans="2:10">
      <c r="B2461" s="191"/>
      <c r="C2461" s="139"/>
      <c r="D2461" s="174"/>
      <c r="E2461" s="192"/>
      <c r="F2461" s="191"/>
      <c r="G2461" s="114"/>
      <c r="H2461" s="114" t="s">
        <v>3856</v>
      </c>
      <c r="I2461" s="115" t="s">
        <v>3857</v>
      </c>
      <c r="J2461" s="78"/>
    </row>
    <row r="2462" spans="2:10">
      <c r="B2462" s="95">
        <v>1</v>
      </c>
      <c r="C2462" s="131" t="s">
        <v>527</v>
      </c>
      <c r="D2462" s="187"/>
      <c r="E2462" s="195"/>
      <c r="F2462" s="107" t="s">
        <v>2374</v>
      </c>
      <c r="G2462" s="179">
        <v>8</v>
      </c>
      <c r="H2462" s="179">
        <f>'HIRE CHARGES'!$F$508</f>
        <v>219.7</v>
      </c>
      <c r="I2462" s="155">
        <f>ROUND(H2462*G2462,2)</f>
        <v>1757.6</v>
      </c>
      <c r="J2462" s="78"/>
    </row>
    <row r="2463" spans="2:10">
      <c r="B2463" s="105">
        <v>2</v>
      </c>
      <c r="C2463" s="135" t="s">
        <v>999</v>
      </c>
      <c r="D2463" s="31"/>
      <c r="E2463" s="189"/>
      <c r="F2463" s="210" t="s">
        <v>2374</v>
      </c>
      <c r="G2463" s="190">
        <v>1</v>
      </c>
      <c r="H2463" s="207">
        <f>'HIRE CHARGES'!$F$520</f>
        <v>83.3</v>
      </c>
      <c r="I2463" s="155">
        <f t="shared" ref="I2463:I2473" si="39">ROUND(H2463*G2463,2)</f>
        <v>83.3</v>
      </c>
      <c r="J2463" s="78"/>
    </row>
    <row r="2464" spans="2:10">
      <c r="B2464" s="105">
        <v>3</v>
      </c>
      <c r="C2464" s="135" t="s">
        <v>439</v>
      </c>
      <c r="D2464" s="31"/>
      <c r="E2464" s="189"/>
      <c r="F2464" s="210" t="s">
        <v>2374</v>
      </c>
      <c r="G2464" s="190">
        <v>8</v>
      </c>
      <c r="H2464" s="190">
        <f>'HIRE CHARGES'!$F$532</f>
        <v>158.19999999999999</v>
      </c>
      <c r="I2464" s="155">
        <f t="shared" si="39"/>
        <v>1265.5999999999999</v>
      </c>
      <c r="J2464" s="78"/>
    </row>
    <row r="2465" spans="2:10">
      <c r="B2465" s="105">
        <v>4</v>
      </c>
      <c r="C2465" s="135" t="s">
        <v>440</v>
      </c>
      <c r="D2465" s="31"/>
      <c r="E2465" s="189"/>
      <c r="F2465" s="210" t="s">
        <v>1172</v>
      </c>
      <c r="G2465" s="190">
        <v>1</v>
      </c>
      <c r="H2465" s="207">
        <f>'BASIC DATA'!$C$474</f>
        <v>445</v>
      </c>
      <c r="I2465" s="155">
        <f t="shared" si="39"/>
        <v>445</v>
      </c>
      <c r="J2465" s="78"/>
    </row>
    <row r="2466" spans="2:10">
      <c r="B2466" s="105">
        <v>5</v>
      </c>
      <c r="C2466" s="135" t="s">
        <v>2697</v>
      </c>
      <c r="D2466" s="31"/>
      <c r="E2466" s="189"/>
      <c r="F2466" s="210"/>
      <c r="G2466" s="210"/>
      <c r="H2466" s="210"/>
      <c r="I2466" s="155"/>
      <c r="J2466" s="78"/>
    </row>
    <row r="2467" spans="2:10">
      <c r="B2467" s="105"/>
      <c r="C2467" s="135" t="s">
        <v>6643</v>
      </c>
      <c r="D2467" s="31"/>
      <c r="E2467" s="189"/>
      <c r="F2467" s="210" t="s">
        <v>1172</v>
      </c>
      <c r="G2467" s="190">
        <v>2</v>
      </c>
      <c r="H2467" s="190">
        <f>'BASIC DATA'!$C$552</f>
        <v>350</v>
      </c>
      <c r="I2467" s="155">
        <f t="shared" si="39"/>
        <v>700</v>
      </c>
      <c r="J2467" s="78"/>
    </row>
    <row r="2468" spans="2:10">
      <c r="B2468" s="105"/>
      <c r="C2468" s="135" t="s">
        <v>4869</v>
      </c>
      <c r="D2468" s="31"/>
      <c r="E2468" s="189"/>
      <c r="F2468" s="210" t="s">
        <v>1172</v>
      </c>
      <c r="G2468" s="190">
        <v>9</v>
      </c>
      <c r="H2468" s="190">
        <f>'BASIC DATA'!$C$552</f>
        <v>350</v>
      </c>
      <c r="I2468" s="155">
        <f t="shared" si="39"/>
        <v>3150</v>
      </c>
      <c r="J2468" s="78"/>
    </row>
    <row r="2469" spans="2:10">
      <c r="B2469" s="105"/>
      <c r="C2469" s="135" t="s">
        <v>442</v>
      </c>
      <c r="D2469" s="31"/>
      <c r="E2469" s="189"/>
      <c r="F2469" s="210" t="s">
        <v>1172</v>
      </c>
      <c r="G2469" s="190">
        <v>4</v>
      </c>
      <c r="H2469" s="190">
        <f>'BASIC DATA'!$C$552</f>
        <v>350</v>
      </c>
      <c r="I2469" s="155">
        <f t="shared" si="39"/>
        <v>1400</v>
      </c>
      <c r="J2469" s="78"/>
    </row>
    <row r="2470" spans="2:10">
      <c r="B2470" s="105"/>
      <c r="C2470" s="135" t="s">
        <v>5151</v>
      </c>
      <c r="D2470" s="31"/>
      <c r="E2470" s="189"/>
      <c r="F2470" s="210" t="s">
        <v>1172</v>
      </c>
      <c r="G2470" s="190">
        <v>3</v>
      </c>
      <c r="H2470" s="190">
        <f>'BASIC DATA'!$C$552</f>
        <v>350</v>
      </c>
      <c r="I2470" s="155">
        <f t="shared" si="39"/>
        <v>1050</v>
      </c>
      <c r="J2470" s="78"/>
    </row>
    <row r="2471" spans="2:10">
      <c r="B2471" s="105"/>
      <c r="C2471" s="135" t="s">
        <v>444</v>
      </c>
      <c r="D2471" s="31"/>
      <c r="E2471" s="189"/>
      <c r="F2471" s="210" t="s">
        <v>1172</v>
      </c>
      <c r="G2471" s="190">
        <f>H2434</f>
        <v>14</v>
      </c>
      <c r="H2471" s="190">
        <f>'BASIC DATA'!$C$552</f>
        <v>350</v>
      </c>
      <c r="I2471" s="155">
        <f t="shared" si="39"/>
        <v>4900</v>
      </c>
      <c r="J2471" s="78"/>
    </row>
    <row r="2472" spans="2:10">
      <c r="B2472" s="105"/>
      <c r="C2472" s="135" t="s">
        <v>4473</v>
      </c>
      <c r="D2472" s="31"/>
      <c r="E2472" s="189"/>
      <c r="F2472" s="210" t="s">
        <v>1172</v>
      </c>
      <c r="G2472" s="190">
        <v>1</v>
      </c>
      <c r="H2472" s="190">
        <f>'BASIC DATA'!$C$552</f>
        <v>350</v>
      </c>
      <c r="I2472" s="155">
        <f t="shared" si="39"/>
        <v>350</v>
      </c>
      <c r="J2472" s="78"/>
    </row>
    <row r="2473" spans="2:10">
      <c r="B2473" s="105">
        <v>6</v>
      </c>
      <c r="C2473" s="135" t="s">
        <v>4870</v>
      </c>
      <c r="D2473" s="31"/>
      <c r="E2473" s="189"/>
      <c r="F2473" s="210" t="s">
        <v>3479</v>
      </c>
      <c r="G2473" s="190">
        <f>H2434</f>
        <v>14</v>
      </c>
      <c r="H2473" s="190">
        <f>H2428</f>
        <v>88.5</v>
      </c>
      <c r="I2473" s="155">
        <f t="shared" si="39"/>
        <v>1239</v>
      </c>
      <c r="J2473" s="78"/>
    </row>
    <row r="2474" spans="2:10">
      <c r="B2474" s="114">
        <v>7</v>
      </c>
      <c r="C2474" s="139" t="s">
        <v>7603</v>
      </c>
      <c r="D2474" s="174"/>
      <c r="E2474" s="192"/>
      <c r="F2474" s="268">
        <v>0.15</v>
      </c>
      <c r="G2474" s="191"/>
      <c r="H2474" s="191"/>
      <c r="I2474" s="155">
        <f>ROUND(I2473*0.15,2)</f>
        <v>185.85</v>
      </c>
      <c r="J2474" s="78"/>
    </row>
    <row r="2475" spans="2:10">
      <c r="B2475" s="184"/>
      <c r="C2475" s="151"/>
      <c r="D2475" s="159"/>
      <c r="E2475" s="159" t="s">
        <v>1174</v>
      </c>
      <c r="F2475" s="159"/>
      <c r="G2475" s="159"/>
      <c r="H2475" s="208" t="s">
        <v>1698</v>
      </c>
      <c r="I2475" s="209">
        <f>SUM(I2462:I2474)</f>
        <v>16526.349999999999</v>
      </c>
      <c r="J2475" s="78"/>
    </row>
    <row r="2476" spans="2:10">
      <c r="B2476" s="60" t="s">
        <v>5948</v>
      </c>
      <c r="C2476" s="76"/>
      <c r="D2476" s="31"/>
      <c r="E2476" s="31"/>
      <c r="F2476" s="31"/>
      <c r="G2476" s="85">
        <f>ROUND(I2475/H2434,1)</f>
        <v>1180.5</v>
      </c>
      <c r="J2476" s="78"/>
    </row>
    <row r="2477" spans="2:10">
      <c r="B2477" s="60" t="s">
        <v>3163</v>
      </c>
      <c r="C2477" s="76"/>
      <c r="D2477" s="31"/>
      <c r="E2477" s="31"/>
      <c r="F2477" s="922">
        <f>'BASIC DATA'!$C$577</f>
        <v>0.13614999999999999</v>
      </c>
      <c r="G2477" s="85">
        <f>ROUND(G2476*F2477,1)</f>
        <v>160.69999999999999</v>
      </c>
      <c r="J2477" s="78"/>
    </row>
    <row r="2478" spans="2:10">
      <c r="B2478" s="60" t="s">
        <v>5949</v>
      </c>
      <c r="C2478" s="76"/>
      <c r="D2478" s="31"/>
      <c r="E2478" s="31"/>
      <c r="F2478" s="31"/>
      <c r="G2478" s="199">
        <f>ROUND(G2477+G2476,1)</f>
        <v>1341.2</v>
      </c>
      <c r="J2478" s="78"/>
    </row>
    <row r="2479" spans="2:10">
      <c r="J2479" s="78"/>
    </row>
    <row r="2480" spans="2:10">
      <c r="B2480" s="170" t="s">
        <v>1175</v>
      </c>
      <c r="J2480" s="78"/>
    </row>
    <row r="2481" spans="1:10">
      <c r="B2481" s="26" t="s">
        <v>1176</v>
      </c>
      <c r="H2481" s="171" t="s">
        <v>1698</v>
      </c>
      <c r="I2481" s="117">
        <f>I2446</f>
        <v>38822.18</v>
      </c>
      <c r="J2481" s="78"/>
    </row>
    <row r="2482" spans="1:10">
      <c r="B2482" s="26" t="s">
        <v>1186</v>
      </c>
      <c r="H2482" s="171" t="s">
        <v>1698</v>
      </c>
      <c r="I2482" s="117">
        <f>I2457</f>
        <v>809.1</v>
      </c>
      <c r="J2482" s="78"/>
    </row>
    <row r="2483" spans="1:10">
      <c r="B2483" s="26" t="s">
        <v>2660</v>
      </c>
      <c r="H2483" s="171" t="s">
        <v>1698</v>
      </c>
      <c r="I2483" s="85">
        <f>I2475</f>
        <v>16526.349999999999</v>
      </c>
      <c r="J2483" s="78"/>
    </row>
    <row r="2484" spans="1:10">
      <c r="G2484" s="26" t="s">
        <v>1518</v>
      </c>
      <c r="H2484" s="171" t="s">
        <v>1698</v>
      </c>
      <c r="I2484" s="130">
        <f>SUM(I2480:I2483)</f>
        <v>56157.63</v>
      </c>
      <c r="J2484" s="78"/>
    </row>
    <row r="2485" spans="1:10" ht="18.75">
      <c r="B2485" s="1207" t="s">
        <v>8375</v>
      </c>
      <c r="C2485" s="1207"/>
      <c r="D2485" s="1207"/>
      <c r="E2485" s="1207"/>
      <c r="F2485" s="1207"/>
      <c r="G2485" s="922">
        <f>'BASIC DATA'!$C$577</f>
        <v>0.13614999999999999</v>
      </c>
      <c r="H2485" s="171" t="s">
        <v>4108</v>
      </c>
      <c r="I2485" s="76">
        <f>ROUND(I2484*G2485,2)</f>
        <v>7645.86</v>
      </c>
      <c r="J2485" s="78"/>
    </row>
    <row r="2486" spans="1:10">
      <c r="B2486" s="27" t="s">
        <v>9590</v>
      </c>
      <c r="C2486" s="43"/>
      <c r="D2486" s="43"/>
      <c r="E2486" s="43"/>
      <c r="F2486" s="779">
        <f>G2442</f>
        <v>5.6000000000000005</v>
      </c>
      <c r="G2486" s="201" t="s">
        <v>9591</v>
      </c>
      <c r="H2486" s="68" t="str">
        <f>CONCATENATE((leadcharges!$D$65)," ","Rs./Cum")</f>
        <v>31.5 Rs./Cum</v>
      </c>
      <c r="I2486" s="76">
        <f>leadcharges!$D$65*F2486</f>
        <v>176.4</v>
      </c>
      <c r="J2486" s="78"/>
    </row>
    <row r="2487" spans="1:10">
      <c r="B2487" s="27" t="s">
        <v>9589</v>
      </c>
      <c r="C2487" s="43"/>
      <c r="D2487" s="43"/>
      <c r="E2487" s="43"/>
      <c r="F2487" s="779">
        <f>SUM(G2439:G2441)</f>
        <v>12.6</v>
      </c>
      <c r="G2487" s="201" t="s">
        <v>9591</v>
      </c>
      <c r="H2487" s="68" t="str">
        <f>CONCATENATE((leadcharges!$E$65)," ","Rs./Cum")</f>
        <v>30.4 Rs./Cum</v>
      </c>
      <c r="I2487" s="85">
        <f>leadcharges!$E$65*F2487</f>
        <v>383.03999999999996</v>
      </c>
      <c r="J2487" s="78"/>
    </row>
    <row r="2488" spans="1:10" ht="40.5" hidden="1" customHeight="1">
      <c r="B2488" s="1207"/>
      <c r="C2488" s="1207"/>
      <c r="D2488" s="1207"/>
      <c r="E2488" s="1207"/>
      <c r="F2488" s="779"/>
      <c r="G2488" s="201"/>
      <c r="H2488" s="68"/>
      <c r="I2488" s="76"/>
      <c r="J2488" s="78"/>
    </row>
    <row r="2489" spans="1:10">
      <c r="B2489" s="1206" t="s">
        <v>1191</v>
      </c>
      <c r="C2489" s="1206"/>
      <c r="D2489" s="1206"/>
      <c r="E2489" s="1206"/>
      <c r="F2489" s="202">
        <f>H2434</f>
        <v>14</v>
      </c>
      <c r="G2489" s="217" t="str">
        <f>I2434</f>
        <v>cum</v>
      </c>
      <c r="H2489" s="171" t="s">
        <v>1698</v>
      </c>
      <c r="I2489" s="199">
        <f>SUM(I2484:I2488)</f>
        <v>64362.93</v>
      </c>
      <c r="J2489" s="78"/>
    </row>
    <row r="2490" spans="1:10">
      <c r="B2490" s="1161" t="s">
        <v>3884</v>
      </c>
      <c r="C2490" s="1161"/>
      <c r="D2490" s="203" t="str">
        <f>G2489</f>
        <v>cum</v>
      </c>
      <c r="F2490" s="26" t="s">
        <v>1386</v>
      </c>
      <c r="H2490" s="171" t="s">
        <v>1698</v>
      </c>
      <c r="I2490" s="204">
        <f>ROUND(I2489/F2489,1)</f>
        <v>4597.3999999999996</v>
      </c>
      <c r="J2490" s="78"/>
    </row>
    <row r="2491" spans="1:10">
      <c r="F2491" s="171"/>
      <c r="G2491" s="171"/>
      <c r="H2491" s="171"/>
      <c r="I2491" s="68"/>
      <c r="J2491" s="78"/>
    </row>
    <row r="2492" spans="1:10">
      <c r="B2492" s="61"/>
      <c r="C2492" s="125"/>
      <c r="D2492" s="61"/>
      <c r="E2492" s="61"/>
      <c r="F2492" s="61"/>
      <c r="G2492" s="61"/>
      <c r="H2492" s="61"/>
      <c r="I2492" s="61"/>
      <c r="J2492" s="78"/>
    </row>
    <row r="2493" spans="1:10" ht="18.75">
      <c r="A2493" s="822" t="s">
        <v>7076</v>
      </c>
      <c r="B2493" s="26" t="s">
        <v>8437</v>
      </c>
      <c r="J2493" s="78"/>
    </row>
    <row r="2494" spans="1:10" ht="18.75">
      <c r="B2494" s="26" t="s">
        <v>8438</v>
      </c>
      <c r="J2494" s="78"/>
    </row>
    <row r="2495" spans="1:10" ht="18.75">
      <c r="B2495" s="26" t="s">
        <v>8439</v>
      </c>
      <c r="J2495" s="78"/>
    </row>
    <row r="2496" spans="1:10">
      <c r="B2496" s="170" t="s">
        <v>3634</v>
      </c>
      <c r="J2496" s="78"/>
    </row>
    <row r="2497" spans="1:10">
      <c r="B2497" s="26" t="s">
        <v>8440</v>
      </c>
      <c r="J2497" s="78"/>
    </row>
    <row r="2498" spans="1:10">
      <c r="B2498" s="26" t="s">
        <v>3346</v>
      </c>
      <c r="J2498" s="78"/>
    </row>
    <row r="2499" spans="1:10" ht="18.75">
      <c r="B2499" s="26" t="s">
        <v>8441</v>
      </c>
      <c r="J2499" s="78"/>
    </row>
    <row r="2500" spans="1:10">
      <c r="B2500" s="170" t="s">
        <v>7693</v>
      </c>
      <c r="J2500" s="78"/>
    </row>
    <row r="2501" spans="1:10">
      <c r="B2501" s="170" t="s">
        <v>7695</v>
      </c>
      <c r="J2501" s="78"/>
    </row>
    <row r="2502" spans="1:10">
      <c r="B2502" s="170" t="s">
        <v>7696</v>
      </c>
      <c r="J2502" s="78"/>
    </row>
    <row r="2503" spans="1:10">
      <c r="B2503" s="170" t="s">
        <v>7697</v>
      </c>
      <c r="J2503" s="78"/>
    </row>
    <row r="2504" spans="1:10" hidden="1">
      <c r="A2504" s="822" t="s">
        <v>3984</v>
      </c>
      <c r="B2504" s="26" t="s">
        <v>1218</v>
      </c>
      <c r="G2504" s="171" t="s">
        <v>1697</v>
      </c>
      <c r="J2504" s="78"/>
    </row>
    <row r="2505" spans="1:10" hidden="1">
      <c r="B2505" s="26" t="s">
        <v>2601</v>
      </c>
      <c r="G2505" s="171"/>
      <c r="H2505" s="68">
        <v>0.77</v>
      </c>
      <c r="I2505" s="26" t="s">
        <v>3477</v>
      </c>
      <c r="J2505" s="78"/>
    </row>
    <row r="2506" spans="1:10" hidden="1">
      <c r="B2506" s="26" t="s">
        <v>2556</v>
      </c>
      <c r="G2506" s="171" t="s">
        <v>1697</v>
      </c>
      <c r="H2506" s="265">
        <v>2.1043981481481482</v>
      </c>
      <c r="J2506" s="78"/>
    </row>
    <row r="2507" spans="1:10" hidden="1">
      <c r="B2507" s="26" t="s">
        <v>3414</v>
      </c>
      <c r="G2507" s="171" t="s">
        <v>1697</v>
      </c>
      <c r="H2507" s="68">
        <v>0.34</v>
      </c>
      <c r="I2507" s="26" t="s">
        <v>5336</v>
      </c>
      <c r="J2507" s="78"/>
    </row>
    <row r="2508" spans="1:10" hidden="1">
      <c r="B2508" s="26" t="s">
        <v>5853</v>
      </c>
      <c r="G2508" s="171" t="s">
        <v>1697</v>
      </c>
      <c r="H2508" s="68">
        <v>260</v>
      </c>
      <c r="I2508" s="26" t="s">
        <v>6670</v>
      </c>
      <c r="J2508" s="78"/>
    </row>
    <row r="2509" spans="1:10" hidden="1">
      <c r="A2509" s="853"/>
      <c r="B2509" s="61" t="s">
        <v>818</v>
      </c>
      <c r="C2509" s="125"/>
      <c r="D2509" s="61"/>
      <c r="E2509" s="61"/>
      <c r="F2509" s="61"/>
      <c r="G2509" s="222" t="s">
        <v>1697</v>
      </c>
      <c r="H2509" s="223">
        <f>H2508*0.4%</f>
        <v>1.04</v>
      </c>
      <c r="I2509" s="61" t="s">
        <v>6670</v>
      </c>
      <c r="J2509" s="78"/>
    </row>
    <row r="2510" spans="1:10" hidden="1">
      <c r="B2510" s="26" t="s">
        <v>2501</v>
      </c>
      <c r="G2510" s="171" t="s">
        <v>1697</v>
      </c>
      <c r="H2510" s="68">
        <v>0.25</v>
      </c>
      <c r="I2510" s="26" t="s">
        <v>3477</v>
      </c>
      <c r="J2510" s="78"/>
    </row>
    <row r="2511" spans="1:10" hidden="1">
      <c r="B2511" s="26" t="s">
        <v>3732</v>
      </c>
      <c r="J2511" s="78"/>
    </row>
    <row r="2512" spans="1:10" hidden="1">
      <c r="B2512" s="26" t="s">
        <v>3381</v>
      </c>
      <c r="G2512" s="171" t="s">
        <v>1697</v>
      </c>
      <c r="H2512" s="171" t="s">
        <v>4050</v>
      </c>
      <c r="I2512" s="26" t="s">
        <v>3155</v>
      </c>
      <c r="J2512" s="78"/>
    </row>
    <row r="2513" spans="1:10" hidden="1">
      <c r="B2513" s="26" t="s">
        <v>3383</v>
      </c>
      <c r="G2513" s="171" t="s">
        <v>1697</v>
      </c>
      <c r="J2513" s="78"/>
    </row>
    <row r="2514" spans="1:10" hidden="1">
      <c r="B2514" s="26" t="s">
        <v>3384</v>
      </c>
      <c r="G2514" s="171" t="s">
        <v>1697</v>
      </c>
      <c r="H2514" s="68">
        <v>4</v>
      </c>
      <c r="I2514" s="26" t="s">
        <v>2603</v>
      </c>
      <c r="J2514" s="78"/>
    </row>
    <row r="2515" spans="1:10" hidden="1">
      <c r="B2515" s="26" t="s">
        <v>3385</v>
      </c>
      <c r="F2515" s="26" t="s">
        <v>3386</v>
      </c>
      <c r="G2515" s="171"/>
      <c r="H2515" s="68" t="s">
        <v>4051</v>
      </c>
      <c r="J2515" s="78"/>
    </row>
    <row r="2516" spans="1:10" hidden="1">
      <c r="B2516" s="26" t="s">
        <v>3388</v>
      </c>
      <c r="F2516" s="26" t="s">
        <v>3386</v>
      </c>
      <c r="G2516" s="171"/>
      <c r="H2516" s="68" t="s">
        <v>4051</v>
      </c>
      <c r="J2516" s="78"/>
    </row>
    <row r="2517" spans="1:10" hidden="1">
      <c r="B2517" s="26" t="s">
        <v>3389</v>
      </c>
      <c r="F2517" s="26" t="s">
        <v>3386</v>
      </c>
      <c r="G2517" s="171"/>
      <c r="H2517" s="68" t="s">
        <v>4051</v>
      </c>
      <c r="J2517" s="78"/>
    </row>
    <row r="2518" spans="1:10" hidden="1">
      <c r="B2518" s="26" t="s">
        <v>4072</v>
      </c>
      <c r="G2518" s="171"/>
      <c r="H2518" s="68">
        <v>1.5</v>
      </c>
      <c r="I2518" s="26" t="s">
        <v>2603</v>
      </c>
      <c r="J2518" s="78"/>
    </row>
    <row r="2519" spans="1:10" hidden="1">
      <c r="B2519" s="26" t="s">
        <v>4073</v>
      </c>
      <c r="F2519" s="26" t="s">
        <v>3386</v>
      </c>
      <c r="G2519" s="171"/>
      <c r="H2519" s="173" t="s">
        <v>4051</v>
      </c>
      <c r="J2519" s="78"/>
    </row>
    <row r="2520" spans="1:10" hidden="1">
      <c r="B2520" s="26" t="s">
        <v>3082</v>
      </c>
      <c r="G2520" s="171"/>
      <c r="H2520" s="68">
        <v>5.5</v>
      </c>
      <c r="I2520" s="26" t="s">
        <v>1433</v>
      </c>
      <c r="J2520" s="78"/>
    </row>
    <row r="2521" spans="1:10" hidden="1">
      <c r="A2521" s="853"/>
      <c r="B2521" s="61" t="s">
        <v>7694</v>
      </c>
      <c r="C2521" s="125"/>
      <c r="D2521" s="61"/>
      <c r="E2521" s="61"/>
      <c r="F2521" s="61"/>
      <c r="G2521" s="61"/>
      <c r="H2521" s="223">
        <f>(50/H2508)*(50/H2520)*8</f>
        <v>13.986013986013988</v>
      </c>
      <c r="I2521" s="61" t="s">
        <v>3477</v>
      </c>
      <c r="J2521" s="78"/>
    </row>
    <row r="2522" spans="1:10" hidden="1">
      <c r="B2522" s="26" t="s">
        <v>7816</v>
      </c>
      <c r="G2522" s="171" t="s">
        <v>1602</v>
      </c>
      <c r="H2522" s="26">
        <f>ROUND(H2521/0.85,2)</f>
        <v>16.45</v>
      </c>
      <c r="I2522" s="26" t="s">
        <v>3477</v>
      </c>
      <c r="J2522" s="78"/>
    </row>
    <row r="2523" spans="1:10" hidden="1">
      <c r="B2523" s="26" t="s">
        <v>3083</v>
      </c>
      <c r="J2523" s="78"/>
    </row>
    <row r="2524" spans="1:10" hidden="1">
      <c r="B2524" s="26" t="s">
        <v>3384</v>
      </c>
      <c r="E2524" s="26" t="s">
        <v>5430</v>
      </c>
      <c r="G2524" s="171" t="s">
        <v>1697</v>
      </c>
      <c r="H2524" s="68">
        <v>3</v>
      </c>
      <c r="I2524" s="26" t="s">
        <v>4041</v>
      </c>
      <c r="J2524" s="78"/>
    </row>
    <row r="2525" spans="1:10" hidden="1">
      <c r="B2525" s="26" t="s">
        <v>3385</v>
      </c>
      <c r="E2525" s="26" t="s">
        <v>5430</v>
      </c>
      <c r="G2525" s="171" t="s">
        <v>1697</v>
      </c>
      <c r="H2525" s="68">
        <v>3</v>
      </c>
      <c r="I2525" s="26" t="s">
        <v>4041</v>
      </c>
      <c r="J2525" s="78"/>
    </row>
    <row r="2526" spans="1:10" hidden="1">
      <c r="B2526" s="26" t="s">
        <v>3388</v>
      </c>
      <c r="E2526" s="26" t="s">
        <v>5430</v>
      </c>
      <c r="G2526" s="171" t="s">
        <v>1697</v>
      </c>
      <c r="H2526" s="68">
        <v>3</v>
      </c>
      <c r="I2526" s="26" t="s">
        <v>4041</v>
      </c>
      <c r="J2526" s="78"/>
    </row>
    <row r="2527" spans="1:10" hidden="1">
      <c r="B2527" s="26" t="s">
        <v>3389</v>
      </c>
      <c r="E2527" s="26" t="s">
        <v>5430</v>
      </c>
      <c r="G2527" s="171" t="s">
        <v>1697</v>
      </c>
      <c r="H2527" s="68">
        <v>2</v>
      </c>
      <c r="I2527" s="26" t="s">
        <v>4041</v>
      </c>
      <c r="J2527" s="78"/>
    </row>
    <row r="2528" spans="1:10" hidden="1">
      <c r="B2528" s="26" t="s">
        <v>3084</v>
      </c>
      <c r="E2528" s="26" t="s">
        <v>5430</v>
      </c>
      <c r="G2528" s="171" t="s">
        <v>1697</v>
      </c>
      <c r="H2528" s="68">
        <v>18</v>
      </c>
      <c r="I2528" s="26" t="s">
        <v>4041</v>
      </c>
      <c r="J2528" s="78"/>
    </row>
    <row r="2529" spans="1:10" hidden="1">
      <c r="B2529" s="26" t="s">
        <v>4052</v>
      </c>
      <c r="E2529" s="26" t="s">
        <v>5430</v>
      </c>
      <c r="G2529" s="171" t="s">
        <v>1697</v>
      </c>
      <c r="H2529" s="68">
        <v>3</v>
      </c>
      <c r="I2529" s="26" t="s">
        <v>4041</v>
      </c>
      <c r="J2529" s="78"/>
    </row>
    <row r="2530" spans="1:10" hidden="1">
      <c r="B2530" s="26" t="s">
        <v>4053</v>
      </c>
      <c r="E2530" s="26" t="s">
        <v>3086</v>
      </c>
      <c r="G2530" s="171" t="s">
        <v>1697</v>
      </c>
      <c r="H2530" s="68">
        <v>1</v>
      </c>
      <c r="I2530" s="26" t="s">
        <v>4089</v>
      </c>
      <c r="J2530" s="78"/>
    </row>
    <row r="2531" spans="1:10" hidden="1">
      <c r="E2531" s="26" t="s">
        <v>5430</v>
      </c>
      <c r="G2531" s="171" t="s">
        <v>1697</v>
      </c>
      <c r="H2531" s="68">
        <v>4</v>
      </c>
      <c r="I2531" s="26" t="s">
        <v>4041</v>
      </c>
      <c r="J2531" s="78"/>
    </row>
    <row r="2532" spans="1:10" hidden="1">
      <c r="B2532" s="26" t="s">
        <v>3087</v>
      </c>
      <c r="E2532" s="26" t="s">
        <v>3024</v>
      </c>
      <c r="G2532" s="171" t="s">
        <v>1697</v>
      </c>
      <c r="H2532" s="68">
        <v>1</v>
      </c>
      <c r="I2532" s="26" t="s">
        <v>4089</v>
      </c>
      <c r="J2532" s="78"/>
    </row>
    <row r="2533" spans="1:10" hidden="1">
      <c r="B2533" s="26" t="s">
        <v>1086</v>
      </c>
      <c r="J2533" s="78"/>
    </row>
    <row r="2534" spans="1:10" hidden="1">
      <c r="B2534" s="26" t="s">
        <v>2600</v>
      </c>
      <c r="J2534" s="78"/>
    </row>
    <row r="2535" spans="1:10" hidden="1">
      <c r="B2535" s="26" t="s">
        <v>1084</v>
      </c>
      <c r="J2535" s="78"/>
    </row>
    <row r="2536" spans="1:10" hidden="1">
      <c r="B2536" s="26" t="s">
        <v>1085</v>
      </c>
      <c r="J2536" s="78"/>
    </row>
    <row r="2537" spans="1:10" hidden="1">
      <c r="B2537" s="26" t="s">
        <v>577</v>
      </c>
      <c r="G2537" s="78" t="s">
        <v>1698</v>
      </c>
      <c r="H2537" s="68">
        <f>H1604</f>
        <v>216.75</v>
      </c>
      <c r="I2537" s="26" t="s">
        <v>3479</v>
      </c>
      <c r="J2537" s="78"/>
    </row>
    <row r="2538" spans="1:10" hidden="1">
      <c r="B2538" s="26" t="s">
        <v>6638</v>
      </c>
      <c r="G2538" s="78" t="s">
        <v>1698</v>
      </c>
      <c r="H2538" s="68">
        <f>H1621</f>
        <v>88.5</v>
      </c>
      <c r="I2538" s="26" t="s">
        <v>3479</v>
      </c>
      <c r="J2538" s="78"/>
    </row>
    <row r="2539" spans="1:10" hidden="1">
      <c r="B2539" s="26" t="s">
        <v>578</v>
      </c>
      <c r="J2539" s="78"/>
    </row>
    <row r="2540" spans="1:10" hidden="1">
      <c r="B2540" s="26" t="s">
        <v>6639</v>
      </c>
      <c r="J2540" s="78"/>
    </row>
    <row r="2541" spans="1:10" hidden="1">
      <c r="J2541" s="78"/>
    </row>
    <row r="2542" spans="1:10">
      <c r="J2542" s="78"/>
    </row>
    <row r="2543" spans="1:10">
      <c r="A2543" s="822" t="s">
        <v>3984</v>
      </c>
      <c r="E2543" s="170" t="s">
        <v>2367</v>
      </c>
      <c r="J2543" s="78"/>
    </row>
    <row r="2544" spans="1:10">
      <c r="B2544" s="170" t="s">
        <v>2368</v>
      </c>
      <c r="C2544" s="89"/>
      <c r="G2544" s="171" t="s">
        <v>1188</v>
      </c>
      <c r="H2544" s="170">
        <f>H2522</f>
        <v>16.45</v>
      </c>
      <c r="I2544" s="26" t="s">
        <v>3477</v>
      </c>
      <c r="J2544" s="78"/>
    </row>
    <row r="2545" spans="1:10">
      <c r="A2545" s="865"/>
      <c r="B2545" s="95" t="s">
        <v>2369</v>
      </c>
      <c r="D2545" s="157" t="s">
        <v>4443</v>
      </c>
      <c r="E2545" s="175"/>
      <c r="F2545" s="97" t="s">
        <v>2370</v>
      </c>
      <c r="G2545" s="95" t="s">
        <v>1166</v>
      </c>
      <c r="H2545" s="97" t="s">
        <v>6664</v>
      </c>
      <c r="I2545" s="97" t="s">
        <v>6665</v>
      </c>
      <c r="J2545" s="78"/>
    </row>
    <row r="2546" spans="1:10">
      <c r="A2546" s="865"/>
      <c r="B2546" s="114"/>
      <c r="C2546" s="139"/>
      <c r="D2546" s="188"/>
      <c r="E2546" s="188"/>
      <c r="F2546" s="115"/>
      <c r="G2546" s="114"/>
      <c r="H2546" s="115" t="s">
        <v>3856</v>
      </c>
      <c r="I2546" s="115" t="s">
        <v>3857</v>
      </c>
      <c r="J2546" s="78"/>
    </row>
    <row r="2547" spans="1:10">
      <c r="B2547" s="95">
        <v>1</v>
      </c>
      <c r="C2547" s="131" t="s">
        <v>1048</v>
      </c>
      <c r="D2547" s="187"/>
      <c r="E2547" s="187"/>
      <c r="F2547" s="195" t="s">
        <v>3478</v>
      </c>
      <c r="G2547" s="26">
        <f>H2508*H2544</f>
        <v>4277</v>
      </c>
      <c r="H2547" s="212">
        <f>'BASIC DATA'!$D$32/1000</f>
        <v>5.35</v>
      </c>
      <c r="I2547" s="84">
        <f>ROUND(H2547*G2547,2)</f>
        <v>22881.95</v>
      </c>
      <c r="J2547" s="78"/>
    </row>
    <row r="2548" spans="1:10">
      <c r="B2548" s="105"/>
      <c r="C2548" s="135" t="s">
        <v>7212</v>
      </c>
      <c r="D2548" s="31"/>
      <c r="E2548" s="31"/>
      <c r="F2548" s="189" t="s">
        <v>3478</v>
      </c>
      <c r="G2548" s="221">
        <f>H2544*3</f>
        <v>49.349999999999994</v>
      </c>
      <c r="H2548" s="214">
        <f>'BASIC DATA'!$D$32/1000</f>
        <v>5.35</v>
      </c>
      <c r="I2548" s="84">
        <f t="shared" ref="I2548:I2555" si="40">ROUND(H2548*G2548,2)</f>
        <v>264.02</v>
      </c>
      <c r="J2548" s="78"/>
    </row>
    <row r="2549" spans="1:10">
      <c r="B2549" s="105">
        <v>2</v>
      </c>
      <c r="C2549" s="135" t="s">
        <v>6996</v>
      </c>
      <c r="D2549" s="31"/>
      <c r="E2549" s="31"/>
      <c r="F2549" s="189" t="s">
        <v>3477</v>
      </c>
      <c r="G2549" s="26">
        <f>ROUND(H2544*H2505*0.5,2)</f>
        <v>6.33</v>
      </c>
      <c r="H2549" s="214">
        <f>'BASIC DATA'!$D$36</f>
        <v>1175</v>
      </c>
      <c r="I2549" s="84">
        <f t="shared" si="40"/>
        <v>7437.75</v>
      </c>
      <c r="J2549" s="78"/>
    </row>
    <row r="2550" spans="1:10">
      <c r="B2550" s="105"/>
      <c r="C2550" s="135" t="s">
        <v>6995</v>
      </c>
      <c r="D2550" s="31"/>
      <c r="E2550" s="31"/>
      <c r="F2550" s="189" t="s">
        <v>3477</v>
      </c>
      <c r="G2550" s="26">
        <f>ROUND(H2544*0.3*H2505,2)</f>
        <v>3.8</v>
      </c>
      <c r="H2550" s="214">
        <f>'BASIC DATA'!$D$35</f>
        <v>1225</v>
      </c>
      <c r="I2550" s="84">
        <f t="shared" si="40"/>
        <v>4655</v>
      </c>
      <c r="J2550" s="78"/>
    </row>
    <row r="2551" spans="1:10">
      <c r="B2551" s="105"/>
      <c r="C2551" s="135" t="s">
        <v>1050</v>
      </c>
      <c r="D2551" s="31"/>
      <c r="E2551" s="31"/>
      <c r="F2551" s="189" t="s">
        <v>3477</v>
      </c>
      <c r="G2551" s="26">
        <f>ROUND(H2544*H2505*0.2,2)</f>
        <v>2.5299999999999998</v>
      </c>
      <c r="H2551" s="214">
        <f>'BASIC DATA'!$D$34</f>
        <v>900</v>
      </c>
      <c r="I2551" s="84">
        <f t="shared" si="40"/>
        <v>2277</v>
      </c>
      <c r="J2551" s="78"/>
    </row>
    <row r="2552" spans="1:10">
      <c r="A2552" s="853"/>
      <c r="B2552" s="240">
        <v>3</v>
      </c>
      <c r="C2552" s="326" t="s">
        <v>2123</v>
      </c>
      <c r="D2552" s="60"/>
      <c r="E2552" s="60"/>
      <c r="F2552" s="253" t="s">
        <v>3477</v>
      </c>
      <c r="G2552" s="267">
        <f>H2510*H2544</f>
        <v>4.1124999999999998</v>
      </c>
      <c r="H2552" s="266">
        <f>'BASIC DATA'!$D$96</f>
        <v>350</v>
      </c>
      <c r="I2552" s="84">
        <f t="shared" si="40"/>
        <v>1439.38</v>
      </c>
      <c r="J2552" s="78"/>
    </row>
    <row r="2553" spans="1:10">
      <c r="A2553" s="853"/>
      <c r="B2553" s="240">
        <v>4</v>
      </c>
      <c r="C2553" s="326" t="s">
        <v>7935</v>
      </c>
      <c r="D2553" s="60"/>
      <c r="E2553" s="60"/>
      <c r="F2553" s="253" t="s">
        <v>3477</v>
      </c>
      <c r="G2553" s="223">
        <f>0.34*H2544</f>
        <v>5.593</v>
      </c>
      <c r="H2553" s="266">
        <f>'BASIC DATA'!$D$55</f>
        <v>95</v>
      </c>
      <c r="I2553" s="259">
        <f t="shared" si="40"/>
        <v>531.34</v>
      </c>
      <c r="J2553" s="62"/>
    </row>
    <row r="2554" spans="1:10">
      <c r="A2554" s="853"/>
      <c r="B2554" s="240">
        <v>5</v>
      </c>
      <c r="C2554" s="326" t="s">
        <v>523</v>
      </c>
      <c r="D2554" s="60"/>
      <c r="E2554" s="60"/>
      <c r="F2554" s="253" t="s">
        <v>3478</v>
      </c>
      <c r="G2554" s="267">
        <f>H2509*H2544</f>
        <v>17.108000000000001</v>
      </c>
      <c r="H2554" s="266">
        <f>'BASIC DATA'!$D$99</f>
        <v>55</v>
      </c>
      <c r="I2554" s="84">
        <f t="shared" si="40"/>
        <v>940.94</v>
      </c>
      <c r="J2554" s="78"/>
    </row>
    <row r="2555" spans="1:10">
      <c r="B2555" s="105">
        <v>6</v>
      </c>
      <c r="C2555" s="135" t="s">
        <v>7213</v>
      </c>
      <c r="D2555" s="31"/>
      <c r="E2555" s="31"/>
      <c r="F2555" s="189" t="s">
        <v>3479</v>
      </c>
      <c r="G2555" s="221">
        <f>H2544</f>
        <v>16.45</v>
      </c>
      <c r="H2555" s="214">
        <f>H2537</f>
        <v>216.75</v>
      </c>
      <c r="I2555" s="84">
        <f t="shared" si="40"/>
        <v>3565.54</v>
      </c>
      <c r="J2555" s="78"/>
    </row>
    <row r="2556" spans="1:10">
      <c r="B2556" s="114">
        <v>7</v>
      </c>
      <c r="C2556" s="139" t="s">
        <v>7604</v>
      </c>
      <c r="D2556" s="174"/>
      <c r="E2556" s="174"/>
      <c r="F2556" s="274">
        <v>0.15</v>
      </c>
      <c r="G2556" s="154"/>
      <c r="H2556" s="275"/>
      <c r="I2556" s="144">
        <f>ROUND(I2555*F2556,2)</f>
        <v>534.83000000000004</v>
      </c>
      <c r="J2556" s="78"/>
    </row>
    <row r="2557" spans="1:10">
      <c r="B2557" s="114"/>
      <c r="C2557" s="89"/>
      <c r="D2557" s="174"/>
      <c r="E2557" s="174" t="s">
        <v>2376</v>
      </c>
      <c r="F2557" s="174"/>
      <c r="G2557" s="174"/>
      <c r="H2557" s="208" t="s">
        <v>1698</v>
      </c>
      <c r="I2557" s="209">
        <f>SUM(I2547:I2556)</f>
        <v>44527.75</v>
      </c>
      <c r="J2557" s="78"/>
    </row>
    <row r="2558" spans="1:10">
      <c r="B2558" s="31"/>
      <c r="C2558" s="76"/>
      <c r="D2558" s="31"/>
      <c r="E2558" s="31"/>
      <c r="F2558" s="31"/>
      <c r="G2558" s="31"/>
      <c r="H2558" s="200"/>
      <c r="I2558" s="31"/>
      <c r="J2558" s="78"/>
    </row>
    <row r="2559" spans="1:10">
      <c r="B2559" s="170" t="s">
        <v>2377</v>
      </c>
      <c r="C2559" s="89"/>
      <c r="J2559" s="78"/>
    </row>
    <row r="2560" spans="1:10">
      <c r="A2560" s="865"/>
      <c r="B2560" s="95" t="s">
        <v>2369</v>
      </c>
      <c r="D2560" s="157" t="s">
        <v>2378</v>
      </c>
      <c r="E2560" s="97"/>
      <c r="F2560" s="95" t="s">
        <v>2370</v>
      </c>
      <c r="G2560" s="95" t="s">
        <v>1166</v>
      </c>
      <c r="H2560" s="97" t="s">
        <v>6664</v>
      </c>
      <c r="I2560" s="97" t="s">
        <v>6665</v>
      </c>
      <c r="J2560" s="78"/>
    </row>
    <row r="2561" spans="1:10">
      <c r="A2561" s="865"/>
      <c r="B2561" s="114"/>
      <c r="C2561" s="139"/>
      <c r="D2561" s="188"/>
      <c r="E2561" s="115"/>
      <c r="F2561" s="114"/>
      <c r="G2561" s="114"/>
      <c r="H2561" s="115" t="s">
        <v>3856</v>
      </c>
      <c r="I2561" s="115" t="s">
        <v>3857</v>
      </c>
      <c r="J2561" s="78"/>
    </row>
    <row r="2562" spans="1:10">
      <c r="B2562" s="95">
        <v>1</v>
      </c>
      <c r="C2562" s="131" t="s">
        <v>6641</v>
      </c>
      <c r="D2562" s="187"/>
      <c r="E2562" s="195"/>
      <c r="F2562" s="107" t="s">
        <v>2374</v>
      </c>
      <c r="G2562" s="179">
        <v>8</v>
      </c>
      <c r="H2562" s="178">
        <f>'HIRE CHARGES'!$D$508</f>
        <v>51.7</v>
      </c>
      <c r="I2562" s="155">
        <f t="shared" ref="I2562:I2567" si="41">ROUND(H2562*G2562,2)</f>
        <v>413.6</v>
      </c>
      <c r="J2562" s="78"/>
    </row>
    <row r="2563" spans="1:10">
      <c r="B2563" s="105"/>
      <c r="C2563" s="135" t="s">
        <v>2379</v>
      </c>
      <c r="D2563" s="31"/>
      <c r="E2563" s="189"/>
      <c r="F2563" s="210" t="s">
        <v>2374</v>
      </c>
      <c r="G2563" s="190">
        <v>8</v>
      </c>
      <c r="H2563" s="207">
        <f>'HIRE CHARGES'!$E$508</f>
        <v>28</v>
      </c>
      <c r="I2563" s="155">
        <f t="shared" si="41"/>
        <v>224</v>
      </c>
      <c r="J2563" s="78"/>
    </row>
    <row r="2564" spans="1:10">
      <c r="B2564" s="105">
        <v>2</v>
      </c>
      <c r="C2564" s="135" t="s">
        <v>383</v>
      </c>
      <c r="D2564" s="31"/>
      <c r="E2564" s="189"/>
      <c r="F2564" s="210" t="s">
        <v>2374</v>
      </c>
      <c r="G2564" s="190">
        <v>1</v>
      </c>
      <c r="H2564" s="190">
        <f>'HIRE CHARGES'!$D$520</f>
        <v>6.7</v>
      </c>
      <c r="I2564" s="155">
        <f t="shared" si="41"/>
        <v>6.7</v>
      </c>
      <c r="J2564" s="78"/>
    </row>
    <row r="2565" spans="1:10">
      <c r="B2565" s="105"/>
      <c r="C2565" s="135" t="s">
        <v>2379</v>
      </c>
      <c r="D2565" s="31"/>
      <c r="E2565" s="189"/>
      <c r="F2565" s="210" t="s">
        <v>2374</v>
      </c>
      <c r="G2565" s="190">
        <v>1</v>
      </c>
      <c r="H2565" s="207">
        <f>'HIRE CHARGES'!$E$520</f>
        <v>56</v>
      </c>
      <c r="I2565" s="155">
        <f t="shared" si="41"/>
        <v>56</v>
      </c>
      <c r="J2565" s="78"/>
    </row>
    <row r="2566" spans="1:10">
      <c r="B2566" s="105">
        <v>3</v>
      </c>
      <c r="C2566" s="135" t="s">
        <v>4465</v>
      </c>
      <c r="D2566" s="31"/>
      <c r="E2566" s="189"/>
      <c r="F2566" s="210" t="s">
        <v>2374</v>
      </c>
      <c r="G2566" s="190">
        <v>8</v>
      </c>
      <c r="H2566" s="190">
        <f>'HIRE CHARGES'!$D$534</f>
        <v>9.6999999999999993</v>
      </c>
      <c r="I2566" s="155">
        <f t="shared" si="41"/>
        <v>77.599999999999994</v>
      </c>
      <c r="J2566" s="78"/>
    </row>
    <row r="2567" spans="1:10">
      <c r="B2567" s="114"/>
      <c r="C2567" s="139" t="s">
        <v>2379</v>
      </c>
      <c r="D2567" s="174"/>
      <c r="E2567" s="192"/>
      <c r="F2567" s="191" t="s">
        <v>2374</v>
      </c>
      <c r="G2567" s="182">
        <v>8</v>
      </c>
      <c r="H2567" s="190">
        <f>'HIRE CHARGES'!$E$534</f>
        <v>8.4</v>
      </c>
      <c r="I2567" s="84">
        <f t="shared" si="41"/>
        <v>67.2</v>
      </c>
      <c r="J2567" s="78"/>
    </row>
    <row r="2568" spans="1:10">
      <c r="B2568" s="154"/>
      <c r="C2568" s="89"/>
      <c r="D2568" s="174"/>
      <c r="E2568" s="174" t="s">
        <v>2380</v>
      </c>
      <c r="F2568" s="174"/>
      <c r="G2568" s="174"/>
      <c r="H2568" s="236" t="s">
        <v>1698</v>
      </c>
      <c r="I2568" s="269">
        <f>SUM(I2562:I2567)</f>
        <v>845.10000000000014</v>
      </c>
      <c r="J2568" s="78"/>
    </row>
    <row r="2569" spans="1:10">
      <c r="B2569" s="31"/>
      <c r="C2569" s="76"/>
      <c r="D2569" s="31"/>
      <c r="E2569" s="31"/>
      <c r="F2569" s="31"/>
      <c r="G2569" s="31"/>
      <c r="H2569" s="200"/>
      <c r="I2569" s="31"/>
      <c r="J2569" s="78"/>
    </row>
    <row r="2570" spans="1:10">
      <c r="B2570" s="170" t="s">
        <v>2381</v>
      </c>
      <c r="C2570" s="89"/>
      <c r="J2570" s="78"/>
    </row>
    <row r="2571" spans="1:10">
      <c r="A2571" s="865"/>
      <c r="B2571" s="95" t="s">
        <v>2369</v>
      </c>
      <c r="D2571" s="157" t="s">
        <v>2378</v>
      </c>
      <c r="E2571" s="97"/>
      <c r="F2571" s="95" t="s">
        <v>2370</v>
      </c>
      <c r="G2571" s="95" t="s">
        <v>1166</v>
      </c>
      <c r="H2571" s="97" t="s">
        <v>6664</v>
      </c>
      <c r="I2571" s="97" t="s">
        <v>6665</v>
      </c>
      <c r="J2571" s="78"/>
    </row>
    <row r="2572" spans="1:10">
      <c r="A2572" s="865"/>
      <c r="B2572" s="114"/>
      <c r="C2572" s="139"/>
      <c r="D2572" s="188"/>
      <c r="E2572" s="115"/>
      <c r="F2572" s="114"/>
      <c r="G2572" s="114"/>
      <c r="H2572" s="115" t="s">
        <v>3856</v>
      </c>
      <c r="I2572" s="115" t="s">
        <v>3857</v>
      </c>
      <c r="J2572" s="78"/>
    </row>
    <row r="2573" spans="1:10">
      <c r="B2573" s="95">
        <v>1</v>
      </c>
      <c r="C2573" s="131" t="s">
        <v>527</v>
      </c>
      <c r="D2573" s="187"/>
      <c r="E2573" s="195"/>
      <c r="F2573" s="107" t="s">
        <v>2374</v>
      </c>
      <c r="G2573" s="179">
        <v>8</v>
      </c>
      <c r="H2573" s="179">
        <f>'HIRE CHARGES'!$F$508</f>
        <v>219.7</v>
      </c>
      <c r="I2573" s="155">
        <f>ROUND(H2573*G2573,2)</f>
        <v>1757.6</v>
      </c>
      <c r="J2573" s="78"/>
    </row>
    <row r="2574" spans="1:10">
      <c r="B2574" s="105">
        <v>2</v>
      </c>
      <c r="C2574" s="135" t="s">
        <v>999</v>
      </c>
      <c r="D2574" s="31"/>
      <c r="E2574" s="189"/>
      <c r="F2574" s="210" t="s">
        <v>2374</v>
      </c>
      <c r="G2574" s="190">
        <v>1</v>
      </c>
      <c r="H2574" s="207">
        <f>'HIRE CHARGES'!$F$520</f>
        <v>83.3</v>
      </c>
      <c r="I2574" s="155">
        <f t="shared" ref="I2574:I2587" si="42">ROUND(H2574*G2574,2)</f>
        <v>83.3</v>
      </c>
      <c r="J2574" s="78"/>
    </row>
    <row r="2575" spans="1:10">
      <c r="B2575" s="105">
        <v>3</v>
      </c>
      <c r="C2575" s="135" t="s">
        <v>439</v>
      </c>
      <c r="D2575" s="31"/>
      <c r="E2575" s="189"/>
      <c r="F2575" s="210" t="s">
        <v>2374</v>
      </c>
      <c r="G2575" s="190">
        <v>8</v>
      </c>
      <c r="H2575" s="207">
        <f>'HIRE CHARGES'!$F$534</f>
        <v>158.19999999999999</v>
      </c>
      <c r="I2575" s="155">
        <f t="shared" si="42"/>
        <v>1265.5999999999999</v>
      </c>
      <c r="J2575" s="78"/>
    </row>
    <row r="2576" spans="1:10">
      <c r="B2576" s="105">
        <v>4</v>
      </c>
      <c r="C2576" s="135" t="s">
        <v>440</v>
      </c>
      <c r="D2576" s="31"/>
      <c r="E2576" s="189"/>
      <c r="F2576" s="210" t="s">
        <v>1172</v>
      </c>
      <c r="G2576" s="190">
        <v>1</v>
      </c>
      <c r="H2576" s="207">
        <f>'BASIC DATA'!$C$474</f>
        <v>445</v>
      </c>
      <c r="I2576" s="155">
        <f t="shared" si="42"/>
        <v>445</v>
      </c>
      <c r="J2576" s="78"/>
    </row>
    <row r="2577" spans="2:10">
      <c r="B2577" s="105">
        <v>5</v>
      </c>
      <c r="C2577" s="135" t="s">
        <v>4206</v>
      </c>
      <c r="D2577" s="31"/>
      <c r="E2577" s="189"/>
      <c r="F2577" s="210" t="s">
        <v>1172</v>
      </c>
      <c r="G2577" s="190">
        <v>1</v>
      </c>
      <c r="H2577" s="190">
        <f>'BASIC DATA'!$C$473</f>
        <v>450</v>
      </c>
      <c r="I2577" s="155">
        <f t="shared" si="42"/>
        <v>450</v>
      </c>
      <c r="J2577" s="78"/>
    </row>
    <row r="2578" spans="2:10">
      <c r="B2578" s="105">
        <v>6</v>
      </c>
      <c r="C2578" s="135" t="s">
        <v>2697</v>
      </c>
      <c r="D2578" s="31"/>
      <c r="E2578" s="189"/>
      <c r="F2578" s="210"/>
      <c r="G2578" s="190"/>
      <c r="H2578" s="207"/>
      <c r="I2578" s="155"/>
      <c r="J2578" s="78"/>
    </row>
    <row r="2579" spans="2:10">
      <c r="B2579" s="105"/>
      <c r="C2579" s="135" t="s">
        <v>6643</v>
      </c>
      <c r="D2579" s="31"/>
      <c r="E2579" s="189"/>
      <c r="F2579" s="210" t="s">
        <v>1172</v>
      </c>
      <c r="G2579" s="190">
        <v>2</v>
      </c>
      <c r="H2579" s="190">
        <f>'BASIC DATA'!$C$552</f>
        <v>350</v>
      </c>
      <c r="I2579" s="155">
        <f t="shared" si="42"/>
        <v>700</v>
      </c>
      <c r="J2579" s="78"/>
    </row>
    <row r="2580" spans="2:10">
      <c r="B2580" s="105"/>
      <c r="C2580" s="135" t="s">
        <v>4869</v>
      </c>
      <c r="D2580" s="31"/>
      <c r="E2580" s="189"/>
      <c r="F2580" s="210" t="s">
        <v>1172</v>
      </c>
      <c r="G2580" s="190">
        <v>9</v>
      </c>
      <c r="H2580" s="190">
        <f>'BASIC DATA'!$C$552</f>
        <v>350</v>
      </c>
      <c r="I2580" s="155">
        <f t="shared" si="42"/>
        <v>3150</v>
      </c>
      <c r="J2580" s="78"/>
    </row>
    <row r="2581" spans="2:10">
      <c r="B2581" s="105"/>
      <c r="C2581" s="135" t="s">
        <v>442</v>
      </c>
      <c r="D2581" s="31"/>
      <c r="E2581" s="189"/>
      <c r="F2581" s="210" t="s">
        <v>1172</v>
      </c>
      <c r="G2581" s="190">
        <v>4</v>
      </c>
      <c r="H2581" s="190">
        <f>'BASIC DATA'!$C$552</f>
        <v>350</v>
      </c>
      <c r="I2581" s="155">
        <f t="shared" si="42"/>
        <v>1400</v>
      </c>
      <c r="J2581" s="78"/>
    </row>
    <row r="2582" spans="2:10">
      <c r="B2582" s="105"/>
      <c r="C2582" s="135" t="s">
        <v>4054</v>
      </c>
      <c r="D2582" s="31"/>
      <c r="E2582" s="189"/>
      <c r="F2582" s="210" t="s">
        <v>1172</v>
      </c>
      <c r="G2582" s="190">
        <v>1</v>
      </c>
      <c r="H2582" s="190">
        <f>'BASIC DATA'!$C$552</f>
        <v>350</v>
      </c>
      <c r="I2582" s="155">
        <f t="shared" si="42"/>
        <v>350</v>
      </c>
      <c r="J2582" s="78"/>
    </row>
    <row r="2583" spans="2:10">
      <c r="B2583" s="105"/>
      <c r="C2583" s="135" t="s">
        <v>4055</v>
      </c>
      <c r="D2583" s="31"/>
      <c r="E2583" s="189"/>
      <c r="F2583" s="210" t="s">
        <v>1172</v>
      </c>
      <c r="G2583" s="190">
        <v>4</v>
      </c>
      <c r="H2583" s="190">
        <f>'BASIC DATA'!$C$552</f>
        <v>350</v>
      </c>
      <c r="I2583" s="155">
        <f t="shared" si="42"/>
        <v>1400</v>
      </c>
      <c r="J2583" s="78"/>
    </row>
    <row r="2584" spans="2:10">
      <c r="B2584" s="105"/>
      <c r="C2584" s="135" t="s">
        <v>444</v>
      </c>
      <c r="D2584" s="31"/>
      <c r="E2584" s="189"/>
      <c r="F2584" s="210" t="s">
        <v>1172</v>
      </c>
      <c r="G2584" s="190">
        <f>H2521</f>
        <v>13.986013986013988</v>
      </c>
      <c r="H2584" s="190">
        <f>'BASIC DATA'!$C$552</f>
        <v>350</v>
      </c>
      <c r="I2584" s="155">
        <f t="shared" si="42"/>
        <v>4895.1000000000004</v>
      </c>
      <c r="J2584" s="78"/>
    </row>
    <row r="2585" spans="2:10">
      <c r="B2585" s="105"/>
      <c r="C2585" s="135" t="s">
        <v>2125</v>
      </c>
      <c r="D2585" s="31"/>
      <c r="E2585" s="189"/>
      <c r="F2585" s="210" t="s">
        <v>1172</v>
      </c>
      <c r="G2585" s="190">
        <v>3</v>
      </c>
      <c r="H2585" s="190">
        <f>'BASIC DATA'!$C$552</f>
        <v>350</v>
      </c>
      <c r="I2585" s="155">
        <f t="shared" si="42"/>
        <v>1050</v>
      </c>
      <c r="J2585" s="78"/>
    </row>
    <row r="2586" spans="2:10">
      <c r="B2586" s="105"/>
      <c r="C2586" s="135" t="s">
        <v>4473</v>
      </c>
      <c r="D2586" s="31"/>
      <c r="E2586" s="189"/>
      <c r="F2586" s="210" t="s">
        <v>1172</v>
      </c>
      <c r="G2586" s="190">
        <v>1</v>
      </c>
      <c r="H2586" s="190">
        <f>'BASIC DATA'!$C$552</f>
        <v>350</v>
      </c>
      <c r="I2586" s="155">
        <f t="shared" si="42"/>
        <v>350</v>
      </c>
      <c r="J2586" s="78"/>
    </row>
    <row r="2587" spans="2:10">
      <c r="B2587" s="105">
        <v>7</v>
      </c>
      <c r="C2587" s="135" t="s">
        <v>2126</v>
      </c>
      <c r="D2587" s="31"/>
      <c r="E2587" s="189"/>
      <c r="F2587" s="210" t="s">
        <v>3479</v>
      </c>
      <c r="G2587" s="190">
        <f>H2544</f>
        <v>16.45</v>
      </c>
      <c r="H2587" s="207">
        <f>H2538</f>
        <v>88.5</v>
      </c>
      <c r="I2587" s="84">
        <f t="shared" si="42"/>
        <v>1455.83</v>
      </c>
      <c r="J2587" s="78"/>
    </row>
    <row r="2588" spans="2:10">
      <c r="B2588" s="114">
        <v>8</v>
      </c>
      <c r="C2588" s="139" t="s">
        <v>5940</v>
      </c>
      <c r="D2588" s="174"/>
      <c r="E2588" s="192"/>
      <c r="F2588" s="268">
        <v>0.15</v>
      </c>
      <c r="G2588" s="191"/>
      <c r="H2588" s="192"/>
      <c r="I2588" s="144">
        <f>ROUND(I2587*F2588,2)</f>
        <v>218.37</v>
      </c>
      <c r="J2588" s="78"/>
    </row>
    <row r="2589" spans="2:10">
      <c r="B2589" s="184"/>
      <c r="C2589" s="151"/>
      <c r="D2589" s="159"/>
      <c r="E2589" s="159" t="s">
        <v>1174</v>
      </c>
      <c r="F2589" s="159"/>
      <c r="G2589" s="193"/>
      <c r="H2589" s="208" t="s">
        <v>1698</v>
      </c>
      <c r="I2589" s="209">
        <f>SUM(I2573:I2588)</f>
        <v>18970.8</v>
      </c>
      <c r="J2589" s="78"/>
    </row>
    <row r="2590" spans="2:10">
      <c r="B2590" s="60" t="s">
        <v>5948</v>
      </c>
      <c r="C2590" s="76"/>
      <c r="D2590" s="31"/>
      <c r="E2590" s="31"/>
      <c r="F2590" s="31"/>
      <c r="G2590" s="85">
        <f>ROUND(I2589/H2544,1)</f>
        <v>1153.2</v>
      </c>
      <c r="J2590" s="78"/>
    </row>
    <row r="2591" spans="2:10">
      <c r="B2591" s="60" t="s">
        <v>3163</v>
      </c>
      <c r="C2591" s="76"/>
      <c r="D2591" s="31"/>
      <c r="E2591" s="31"/>
      <c r="F2591" s="922">
        <f>'BASIC DATA'!$C$577</f>
        <v>0.13614999999999999</v>
      </c>
      <c r="G2591" s="85">
        <f>ROUND(G2590*F2591,1)</f>
        <v>157</v>
      </c>
      <c r="J2591" s="78"/>
    </row>
    <row r="2592" spans="2:10">
      <c r="B2592" s="60" t="s">
        <v>5949</v>
      </c>
      <c r="C2592" s="76"/>
      <c r="D2592" s="31"/>
      <c r="E2592" s="31"/>
      <c r="F2592" s="31"/>
      <c r="G2592" s="199">
        <f>ROUND(G2591+G2590,1)</f>
        <v>1310.2</v>
      </c>
      <c r="J2592" s="78"/>
    </row>
    <row r="2593" spans="1:10">
      <c r="C2593" s="76"/>
      <c r="D2593" s="31"/>
      <c r="E2593" s="31"/>
      <c r="F2593" s="31"/>
      <c r="G2593" s="200"/>
      <c r="H2593" s="200"/>
      <c r="I2593" s="31"/>
      <c r="J2593" s="78"/>
    </row>
    <row r="2594" spans="1:10">
      <c r="B2594" s="170" t="s">
        <v>1175</v>
      </c>
      <c r="J2594" s="78"/>
    </row>
    <row r="2595" spans="1:10">
      <c r="B2595" s="26" t="s">
        <v>1176</v>
      </c>
      <c r="H2595" s="171" t="s">
        <v>1698</v>
      </c>
      <c r="I2595" s="117">
        <f>I2557</f>
        <v>44527.75</v>
      </c>
      <c r="J2595" s="78"/>
    </row>
    <row r="2596" spans="1:10">
      <c r="B2596" s="26" t="s">
        <v>1186</v>
      </c>
      <c r="H2596" s="171" t="s">
        <v>1698</v>
      </c>
      <c r="I2596" s="117">
        <f>I2568</f>
        <v>845.10000000000014</v>
      </c>
      <c r="J2596" s="78"/>
    </row>
    <row r="2597" spans="1:10">
      <c r="B2597" s="26" t="s">
        <v>2660</v>
      </c>
      <c r="H2597" s="171" t="s">
        <v>1698</v>
      </c>
      <c r="I2597" s="85">
        <f>I2589</f>
        <v>18970.8</v>
      </c>
      <c r="J2597" s="78"/>
    </row>
    <row r="2598" spans="1:10">
      <c r="G2598" s="171" t="s">
        <v>1518</v>
      </c>
      <c r="H2598" s="171" t="s">
        <v>1698</v>
      </c>
      <c r="I2598" s="130">
        <f>SUM(I2594:I2597)</f>
        <v>64343.649999999994</v>
      </c>
      <c r="J2598" s="78"/>
    </row>
    <row r="2599" spans="1:10" ht="18.75">
      <c r="B2599" s="1207" t="s">
        <v>8375</v>
      </c>
      <c r="C2599" s="1207"/>
      <c r="D2599" s="1207"/>
      <c r="E2599" s="1207"/>
      <c r="F2599" s="1207"/>
      <c r="G2599" s="922">
        <f>'BASIC DATA'!$C$577</f>
        <v>0.13614999999999999</v>
      </c>
      <c r="H2599" s="171" t="s">
        <v>4108</v>
      </c>
      <c r="I2599" s="76">
        <f>ROUND(I2598*G2599,2)</f>
        <v>8760.39</v>
      </c>
      <c r="J2599" s="78"/>
    </row>
    <row r="2600" spans="1:10">
      <c r="B2600" s="27" t="s">
        <v>9590</v>
      </c>
      <c r="C2600" s="43"/>
      <c r="D2600" s="43"/>
      <c r="E2600" s="43"/>
      <c r="F2600" s="779">
        <f>G2553</f>
        <v>5.593</v>
      </c>
      <c r="G2600" s="201" t="s">
        <v>9591</v>
      </c>
      <c r="H2600" s="68" t="str">
        <f>CONCATENATE((leadcharges!$D$65)," ","Rs./Cum")</f>
        <v>31.5 Rs./Cum</v>
      </c>
      <c r="I2600" s="76">
        <f>leadcharges!$D$65*F2600</f>
        <v>176.17949999999999</v>
      </c>
      <c r="J2600" s="78"/>
    </row>
    <row r="2601" spans="1:10">
      <c r="B2601" s="27" t="s">
        <v>9593</v>
      </c>
      <c r="C2601" s="43"/>
      <c r="D2601" s="43"/>
      <c r="E2601" s="43"/>
      <c r="F2601" s="779">
        <f>SUM(G2549:G2552)</f>
        <v>16.772499999999997</v>
      </c>
      <c r="G2601" s="201" t="s">
        <v>9591</v>
      </c>
      <c r="H2601" s="68" t="str">
        <f>CONCATENATE((leadcharges!$E$65)," ","Rs./Cum")</f>
        <v>30.4 Rs./Cum</v>
      </c>
      <c r="I2601" s="85">
        <f>leadcharges!$E$65*F2601</f>
        <v>509.8839999999999</v>
      </c>
      <c r="J2601" s="78"/>
    </row>
    <row r="2602" spans="1:10" ht="35.25" hidden="1" customHeight="1">
      <c r="B2602" s="1207"/>
      <c r="C2602" s="1207"/>
      <c r="D2602" s="1207"/>
      <c r="E2602" s="1207"/>
      <c r="F2602" s="779"/>
      <c r="G2602" s="201"/>
      <c r="H2602" s="68"/>
      <c r="I2602" s="76"/>
      <c r="J2602" s="78"/>
    </row>
    <row r="2603" spans="1:10">
      <c r="B2603" s="1206" t="s">
        <v>1191</v>
      </c>
      <c r="C2603" s="1206"/>
      <c r="D2603" s="1206"/>
      <c r="E2603" s="1206"/>
      <c r="F2603" s="202">
        <f>H2544</f>
        <v>16.45</v>
      </c>
      <c r="G2603" s="217" t="str">
        <f>I2544</f>
        <v>cum</v>
      </c>
      <c r="H2603" s="171" t="s">
        <v>1698</v>
      </c>
      <c r="I2603" s="199">
        <f>SUM(I2598:I2602)</f>
        <v>73790.103499999997</v>
      </c>
      <c r="J2603" s="78"/>
    </row>
    <row r="2604" spans="1:10">
      <c r="B2604" s="1161" t="s">
        <v>3884</v>
      </c>
      <c r="C2604" s="1161"/>
      <c r="D2604" s="203" t="str">
        <f>G2603</f>
        <v>cum</v>
      </c>
      <c r="F2604" s="26" t="s">
        <v>1159</v>
      </c>
      <c r="H2604" s="171" t="s">
        <v>1698</v>
      </c>
      <c r="I2604" s="204">
        <f>ROUND(I2603/F2603,1)</f>
        <v>4485.7</v>
      </c>
      <c r="J2604" s="78"/>
    </row>
    <row r="2605" spans="1:10">
      <c r="G2605" s="171"/>
      <c r="H2605" s="171"/>
      <c r="I2605" s="68"/>
      <c r="J2605" s="78"/>
    </row>
    <row r="2606" spans="1:10">
      <c r="G2606" s="171"/>
      <c r="H2606" s="171"/>
      <c r="I2606" s="68"/>
      <c r="J2606" s="78"/>
    </row>
    <row r="2607" spans="1:10" ht="18.75">
      <c r="A2607" s="822" t="s">
        <v>7339</v>
      </c>
      <c r="B2607" s="26" t="s">
        <v>8442</v>
      </c>
      <c r="J2607" s="78"/>
    </row>
    <row r="2608" spans="1:10" ht="18.75">
      <c r="B2608" s="26" t="s">
        <v>8443</v>
      </c>
      <c r="J2608" s="78"/>
    </row>
    <row r="2609" spans="1:10">
      <c r="B2609" s="26" t="s">
        <v>8415</v>
      </c>
      <c r="J2609" s="78"/>
    </row>
    <row r="2610" spans="1:10">
      <c r="B2610" s="26" t="s">
        <v>426</v>
      </c>
      <c r="J2610" s="78"/>
    </row>
    <row r="2611" spans="1:10">
      <c r="B2611" s="26" t="s">
        <v>427</v>
      </c>
      <c r="J2611" s="78"/>
    </row>
    <row r="2612" spans="1:10" ht="18.75">
      <c r="B2612" s="26" t="s">
        <v>8444</v>
      </c>
      <c r="J2612" s="78"/>
    </row>
    <row r="2613" spans="1:10">
      <c r="B2613" s="170" t="s">
        <v>7698</v>
      </c>
      <c r="J2613" s="78"/>
    </row>
    <row r="2614" spans="1:10">
      <c r="B2614" s="170" t="s">
        <v>7617</v>
      </c>
      <c r="J2614" s="78"/>
    </row>
    <row r="2615" spans="1:10" hidden="1">
      <c r="A2615" s="822" t="s">
        <v>3984</v>
      </c>
      <c r="B2615" s="26" t="s">
        <v>1082</v>
      </c>
      <c r="J2615" s="78"/>
    </row>
    <row r="2616" spans="1:10" hidden="1">
      <c r="B2616" s="26" t="s">
        <v>1083</v>
      </c>
      <c r="G2616" s="171" t="s">
        <v>1697</v>
      </c>
      <c r="H2616" s="68">
        <v>0.9</v>
      </c>
      <c r="I2616" s="26" t="s">
        <v>5336</v>
      </c>
      <c r="J2616" s="78"/>
    </row>
    <row r="2617" spans="1:10" hidden="1">
      <c r="B2617" s="26" t="s">
        <v>2556</v>
      </c>
      <c r="G2617" s="171"/>
      <c r="H2617" s="270" t="s">
        <v>1222</v>
      </c>
      <c r="J2617" s="78"/>
    </row>
    <row r="2618" spans="1:10" hidden="1">
      <c r="B2618" s="26" t="s">
        <v>3414</v>
      </c>
      <c r="G2618" s="171" t="s">
        <v>1697</v>
      </c>
      <c r="H2618" s="68">
        <v>0.4</v>
      </c>
      <c r="I2618" s="26" t="s">
        <v>6714</v>
      </c>
      <c r="J2618" s="78"/>
    </row>
    <row r="2619" spans="1:10" hidden="1">
      <c r="B2619" s="26" t="s">
        <v>5853</v>
      </c>
      <c r="G2619" s="171" t="s">
        <v>1697</v>
      </c>
      <c r="H2619" s="68">
        <v>220</v>
      </c>
      <c r="I2619" s="26" t="s">
        <v>6670</v>
      </c>
      <c r="J2619" s="78"/>
    </row>
    <row r="2620" spans="1:10" hidden="1">
      <c r="A2620" s="853"/>
      <c r="B2620" s="61" t="s">
        <v>818</v>
      </c>
      <c r="C2620" s="125"/>
      <c r="D2620" s="61"/>
      <c r="E2620" s="61"/>
      <c r="F2620" s="61"/>
      <c r="G2620" s="222" t="s">
        <v>1697</v>
      </c>
      <c r="H2620" s="223">
        <f>H2619*0.4%</f>
        <v>0.88</v>
      </c>
      <c r="I2620" s="61" t="s">
        <v>6670</v>
      </c>
      <c r="J2620" s="78"/>
    </row>
    <row r="2621" spans="1:10" hidden="1">
      <c r="B2621" s="26" t="s">
        <v>3732</v>
      </c>
      <c r="G2621" s="171"/>
      <c r="J2621" s="78"/>
    </row>
    <row r="2622" spans="1:10" hidden="1">
      <c r="B2622" s="26" t="s">
        <v>3381</v>
      </c>
      <c r="G2622" s="171" t="s">
        <v>1697</v>
      </c>
      <c r="H2622" s="171" t="s">
        <v>4050</v>
      </c>
      <c r="I2622" s="26" t="s">
        <v>3155</v>
      </c>
      <c r="J2622" s="78"/>
    </row>
    <row r="2623" spans="1:10" hidden="1">
      <c r="B2623" s="26" t="s">
        <v>3383</v>
      </c>
      <c r="G2623" s="171"/>
      <c r="J2623" s="78"/>
    </row>
    <row r="2624" spans="1:10" hidden="1">
      <c r="B2624" s="26" t="s">
        <v>3384</v>
      </c>
      <c r="G2624" s="171" t="s">
        <v>1697</v>
      </c>
      <c r="H2624" s="68">
        <v>4</v>
      </c>
      <c r="I2624" s="26" t="s">
        <v>2603</v>
      </c>
      <c r="J2624" s="78"/>
    </row>
    <row r="2625" spans="2:10" hidden="1">
      <c r="B2625" s="26" t="s">
        <v>3385</v>
      </c>
      <c r="F2625" s="26" t="s">
        <v>3386</v>
      </c>
      <c r="G2625" s="171" t="s">
        <v>1697</v>
      </c>
      <c r="H2625" s="68" t="s">
        <v>564</v>
      </c>
      <c r="J2625" s="78"/>
    </row>
    <row r="2626" spans="2:10" hidden="1">
      <c r="B2626" s="26" t="s">
        <v>3388</v>
      </c>
      <c r="F2626" s="26" t="s">
        <v>3386</v>
      </c>
      <c r="G2626" s="171" t="s">
        <v>1697</v>
      </c>
      <c r="H2626" s="68" t="s">
        <v>564</v>
      </c>
      <c r="J2626" s="78"/>
    </row>
    <row r="2627" spans="2:10" hidden="1">
      <c r="B2627" s="26" t="s">
        <v>3389</v>
      </c>
      <c r="F2627" s="26" t="s">
        <v>3386</v>
      </c>
      <c r="G2627" s="171" t="s">
        <v>1697</v>
      </c>
      <c r="H2627" s="68" t="s">
        <v>564</v>
      </c>
      <c r="J2627" s="78"/>
    </row>
    <row r="2628" spans="2:10" hidden="1">
      <c r="B2628" s="26" t="s">
        <v>4072</v>
      </c>
      <c r="G2628" s="171" t="s">
        <v>1697</v>
      </c>
      <c r="H2628" s="68">
        <v>1.5</v>
      </c>
      <c r="I2628" s="26" t="s">
        <v>2603</v>
      </c>
      <c r="J2628" s="78"/>
    </row>
    <row r="2629" spans="2:10" hidden="1">
      <c r="B2629" s="26" t="s">
        <v>4073</v>
      </c>
      <c r="F2629" s="26" t="s">
        <v>3386</v>
      </c>
      <c r="G2629" s="171" t="s">
        <v>1697</v>
      </c>
      <c r="H2629" s="173" t="s">
        <v>564</v>
      </c>
      <c r="J2629" s="78"/>
    </row>
    <row r="2630" spans="2:10" hidden="1">
      <c r="B2630" s="26" t="s">
        <v>3082</v>
      </c>
      <c r="G2630" s="171" t="s">
        <v>1697</v>
      </c>
      <c r="H2630" s="68">
        <v>5.5</v>
      </c>
      <c r="I2630" s="26" t="s">
        <v>2603</v>
      </c>
      <c r="J2630" s="78"/>
    </row>
    <row r="2631" spans="2:10" hidden="1">
      <c r="B2631" s="26" t="s">
        <v>3244</v>
      </c>
      <c r="G2631" s="171"/>
      <c r="H2631" s="68">
        <f>ROUND((50/H2619)*(50/H2630)*8,2)</f>
        <v>16.53</v>
      </c>
      <c r="I2631" s="26" t="s">
        <v>3477</v>
      </c>
      <c r="J2631" s="78"/>
    </row>
    <row r="2632" spans="2:10" hidden="1">
      <c r="B2632" s="26" t="s">
        <v>3083</v>
      </c>
      <c r="H2632" s="171"/>
      <c r="J2632" s="78"/>
    </row>
    <row r="2633" spans="2:10" hidden="1">
      <c r="B2633" s="26" t="s">
        <v>3384</v>
      </c>
      <c r="F2633" s="26" t="s">
        <v>5430</v>
      </c>
      <c r="H2633" s="68">
        <v>3</v>
      </c>
      <c r="I2633" s="26" t="s">
        <v>2059</v>
      </c>
      <c r="J2633" s="78"/>
    </row>
    <row r="2634" spans="2:10" hidden="1">
      <c r="B2634" s="26" t="s">
        <v>3385</v>
      </c>
      <c r="F2634" s="26" t="s">
        <v>5430</v>
      </c>
      <c r="H2634" s="68">
        <v>3</v>
      </c>
      <c r="I2634" s="26" t="s">
        <v>2059</v>
      </c>
      <c r="J2634" s="78"/>
    </row>
    <row r="2635" spans="2:10" hidden="1">
      <c r="B2635" s="26" t="s">
        <v>3388</v>
      </c>
      <c r="F2635" s="26" t="s">
        <v>5430</v>
      </c>
      <c r="H2635" s="68">
        <v>3</v>
      </c>
      <c r="I2635" s="26" t="s">
        <v>2059</v>
      </c>
      <c r="J2635" s="78"/>
    </row>
    <row r="2636" spans="2:10" hidden="1">
      <c r="B2636" s="26" t="s">
        <v>3389</v>
      </c>
      <c r="F2636" s="26" t="s">
        <v>5430</v>
      </c>
      <c r="H2636" s="68">
        <v>2</v>
      </c>
      <c r="I2636" s="26" t="s">
        <v>2059</v>
      </c>
      <c r="J2636" s="78"/>
    </row>
    <row r="2637" spans="2:10" hidden="1">
      <c r="B2637" s="26" t="s">
        <v>3084</v>
      </c>
      <c r="F2637" s="26" t="s">
        <v>5430</v>
      </c>
      <c r="H2637" s="68">
        <v>20.53</v>
      </c>
      <c r="I2637" s="26" t="s">
        <v>2059</v>
      </c>
      <c r="J2637" s="78"/>
    </row>
    <row r="2638" spans="2:10" hidden="1">
      <c r="B2638" s="26" t="s">
        <v>3085</v>
      </c>
      <c r="F2638" s="26" t="s">
        <v>3086</v>
      </c>
      <c r="H2638" s="68">
        <v>1</v>
      </c>
      <c r="I2638" s="26" t="s">
        <v>3518</v>
      </c>
      <c r="J2638" s="78"/>
    </row>
    <row r="2639" spans="2:10" hidden="1">
      <c r="F2639" s="26" t="s">
        <v>5430</v>
      </c>
      <c r="H2639" s="68">
        <v>3</v>
      </c>
      <c r="I2639" s="26" t="s">
        <v>4041</v>
      </c>
      <c r="J2639" s="78"/>
    </row>
    <row r="2640" spans="2:10" hidden="1">
      <c r="B2640" s="26" t="s">
        <v>3087</v>
      </c>
      <c r="F2640" s="26" t="s">
        <v>3024</v>
      </c>
      <c r="H2640" s="68">
        <v>1</v>
      </c>
      <c r="I2640" s="26" t="s">
        <v>4089</v>
      </c>
      <c r="J2640" s="78"/>
    </row>
    <row r="2641" spans="1:10" hidden="1">
      <c r="B2641" s="26" t="s">
        <v>4760</v>
      </c>
      <c r="J2641" s="78"/>
    </row>
    <row r="2642" spans="1:10" hidden="1">
      <c r="B2642" s="26" t="s">
        <v>1084</v>
      </c>
      <c r="J2642" s="78"/>
    </row>
    <row r="2643" spans="1:10" hidden="1">
      <c r="B2643" s="26" t="s">
        <v>1085</v>
      </c>
      <c r="J2643" s="78"/>
    </row>
    <row r="2644" spans="1:10" hidden="1">
      <c r="B2644" s="26" t="s">
        <v>577</v>
      </c>
      <c r="G2644" s="171" t="s">
        <v>1698</v>
      </c>
      <c r="H2644" s="68">
        <f>H1604</f>
        <v>216.75</v>
      </c>
      <c r="I2644" s="26" t="s">
        <v>3479</v>
      </c>
      <c r="J2644" s="78"/>
    </row>
    <row r="2645" spans="1:10" hidden="1">
      <c r="B2645" s="26" t="s">
        <v>6638</v>
      </c>
      <c r="G2645" s="171" t="s">
        <v>1698</v>
      </c>
      <c r="H2645" s="68">
        <f>H1621</f>
        <v>88.5</v>
      </c>
      <c r="I2645" s="26" t="s">
        <v>3479</v>
      </c>
      <c r="J2645" s="78"/>
    </row>
    <row r="2646" spans="1:10" hidden="1">
      <c r="B2646" s="26" t="s">
        <v>579</v>
      </c>
      <c r="J2646" s="78"/>
    </row>
    <row r="2647" spans="1:10" hidden="1">
      <c r="B2647" s="26" t="s">
        <v>6639</v>
      </c>
      <c r="J2647" s="78"/>
    </row>
    <row r="2648" spans="1:10" hidden="1">
      <c r="J2648" s="78"/>
    </row>
    <row r="2649" spans="1:10">
      <c r="J2649" s="78"/>
    </row>
    <row r="2650" spans="1:10">
      <c r="A2650" s="822" t="s">
        <v>3984</v>
      </c>
      <c r="E2650" s="170" t="s">
        <v>2367</v>
      </c>
      <c r="J2650" s="78"/>
    </row>
    <row r="2651" spans="1:10">
      <c r="F2651" s="68"/>
      <c r="H2651" s="171" t="s">
        <v>1188</v>
      </c>
      <c r="J2651" s="78"/>
    </row>
    <row r="2652" spans="1:10">
      <c r="B2652" s="170" t="s">
        <v>2368</v>
      </c>
      <c r="C2652" s="89"/>
      <c r="H2652" s="211">
        <f>H2631</f>
        <v>16.53</v>
      </c>
      <c r="I2652" s="26" t="s">
        <v>3477</v>
      </c>
      <c r="J2652" s="78"/>
    </row>
    <row r="2653" spans="1:10">
      <c r="A2653" s="865"/>
      <c r="B2653" s="95" t="s">
        <v>2369</v>
      </c>
      <c r="D2653" s="157" t="s">
        <v>4443</v>
      </c>
      <c r="E2653" s="175"/>
      <c r="F2653" s="97" t="s">
        <v>2370</v>
      </c>
      <c r="G2653" s="95" t="s">
        <v>1166</v>
      </c>
      <c r="H2653" s="97" t="s">
        <v>6664</v>
      </c>
      <c r="I2653" s="97" t="s">
        <v>6665</v>
      </c>
      <c r="J2653" s="78"/>
    </row>
    <row r="2654" spans="1:10">
      <c r="A2654" s="865"/>
      <c r="B2654" s="114"/>
      <c r="C2654" s="139"/>
      <c r="D2654" s="188"/>
      <c r="E2654" s="188"/>
      <c r="F2654" s="115"/>
      <c r="G2654" s="114"/>
      <c r="H2654" s="115" t="s">
        <v>3856</v>
      </c>
      <c r="I2654" s="115" t="s">
        <v>3857</v>
      </c>
      <c r="J2654" s="78"/>
    </row>
    <row r="2655" spans="1:10">
      <c r="B2655" s="95">
        <v>1</v>
      </c>
      <c r="C2655" s="131" t="s">
        <v>1728</v>
      </c>
      <c r="D2655" s="187"/>
      <c r="E2655" s="187"/>
      <c r="F2655" s="195" t="s">
        <v>3478</v>
      </c>
      <c r="G2655" s="179">
        <f>H2652*H2619</f>
        <v>3636.6000000000004</v>
      </c>
      <c r="H2655" s="218">
        <f>'BASIC DATA'!$D$32/1000</f>
        <v>5.35</v>
      </c>
      <c r="I2655" s="84">
        <f>ROUND(H2655*G2655,2)</f>
        <v>19455.810000000001</v>
      </c>
    </row>
    <row r="2656" spans="1:10">
      <c r="B2656" s="105"/>
      <c r="C2656" s="135" t="s">
        <v>4761</v>
      </c>
      <c r="D2656" s="31"/>
      <c r="E2656" s="31"/>
      <c r="F2656" s="189" t="s">
        <v>3478</v>
      </c>
      <c r="G2656" s="190">
        <f>H2652*3</f>
        <v>49.59</v>
      </c>
      <c r="H2656" s="218">
        <f>'BASIC DATA'!$D$32/1000</f>
        <v>5.35</v>
      </c>
      <c r="I2656" s="84">
        <f t="shared" ref="I2656:I2662" si="43">ROUND(H2656*G2656,2)</f>
        <v>265.31</v>
      </c>
    </row>
    <row r="2657" spans="1:10">
      <c r="B2657" s="105">
        <v>2</v>
      </c>
      <c r="C2657" s="135" t="s">
        <v>6996</v>
      </c>
      <c r="D2657" s="31"/>
      <c r="E2657" s="31"/>
      <c r="F2657" s="189" t="s">
        <v>3477</v>
      </c>
      <c r="G2657" s="190">
        <f>H2652*0.9*0.5</f>
        <v>7.4385000000000003</v>
      </c>
      <c r="H2657" s="220">
        <f>'BASIC DATA'!$D$36</f>
        <v>1175</v>
      </c>
      <c r="I2657" s="84">
        <f t="shared" si="43"/>
        <v>8740.24</v>
      </c>
    </row>
    <row r="2658" spans="1:10">
      <c r="B2658" s="105"/>
      <c r="C2658" s="135" t="s">
        <v>6995</v>
      </c>
      <c r="D2658" s="31"/>
      <c r="E2658" s="31"/>
      <c r="F2658" s="189" t="s">
        <v>3477</v>
      </c>
      <c r="G2658" s="190">
        <f>H2652*0.9*0.3</f>
        <v>4.4630999999999998</v>
      </c>
      <c r="H2658" s="220">
        <f>'BASIC DATA'!$D$35</f>
        <v>1225</v>
      </c>
      <c r="I2658" s="84">
        <f t="shared" si="43"/>
        <v>5467.3</v>
      </c>
    </row>
    <row r="2659" spans="1:10">
      <c r="B2659" s="105"/>
      <c r="C2659" s="135" t="s">
        <v>1050</v>
      </c>
      <c r="D2659" s="31"/>
      <c r="E2659" s="31"/>
      <c r="F2659" s="189" t="s">
        <v>3477</v>
      </c>
      <c r="G2659" s="190">
        <f>H2652*0.9*0.2</f>
        <v>2.9754000000000005</v>
      </c>
      <c r="H2659" s="220">
        <f>'BASIC DATA'!$D$34</f>
        <v>900</v>
      </c>
      <c r="I2659" s="84">
        <f t="shared" si="43"/>
        <v>2677.86</v>
      </c>
    </row>
    <row r="2660" spans="1:10">
      <c r="A2660" s="853"/>
      <c r="B2660" s="240">
        <v>3</v>
      </c>
      <c r="C2660" s="326" t="s">
        <v>7935</v>
      </c>
      <c r="D2660" s="60"/>
      <c r="E2660" s="60"/>
      <c r="F2660" s="253" t="s">
        <v>3477</v>
      </c>
      <c r="G2660" s="255">
        <f>H2652*0.4</f>
        <v>6.612000000000001</v>
      </c>
      <c r="H2660" s="256">
        <f>'BASIC DATA'!$D$55</f>
        <v>95</v>
      </c>
      <c r="I2660" s="259">
        <f t="shared" si="43"/>
        <v>628.14</v>
      </c>
      <c r="J2660" s="61"/>
    </row>
    <row r="2661" spans="1:10">
      <c r="A2661" s="853"/>
      <c r="B2661" s="240">
        <v>4</v>
      </c>
      <c r="C2661" s="326" t="s">
        <v>818</v>
      </c>
      <c r="D2661" s="60"/>
      <c r="E2661" s="60"/>
      <c r="F2661" s="253" t="s">
        <v>3478</v>
      </c>
      <c r="G2661" s="255">
        <f>H2652*H2620</f>
        <v>14.5464</v>
      </c>
      <c r="H2661" s="256">
        <f>'BASIC DATA'!$D$99</f>
        <v>55</v>
      </c>
      <c r="I2661" s="84">
        <f t="shared" si="43"/>
        <v>800.05</v>
      </c>
    </row>
    <row r="2662" spans="1:10">
      <c r="B2662" s="105">
        <v>5</v>
      </c>
      <c r="C2662" s="135" t="s">
        <v>5315</v>
      </c>
      <c r="D2662" s="31"/>
      <c r="E2662" s="31"/>
      <c r="F2662" s="189" t="s">
        <v>3479</v>
      </c>
      <c r="G2662" s="190">
        <f>H2652</f>
        <v>16.53</v>
      </c>
      <c r="H2662" s="220">
        <f>H2644</f>
        <v>216.75</v>
      </c>
      <c r="I2662" s="84">
        <f t="shared" si="43"/>
        <v>3582.88</v>
      </c>
      <c r="J2662" s="68"/>
    </row>
    <row r="2663" spans="1:10">
      <c r="B2663" s="105">
        <v>6</v>
      </c>
      <c r="C2663" s="89" t="s">
        <v>7605</v>
      </c>
      <c r="D2663" s="174"/>
      <c r="E2663" s="174"/>
      <c r="F2663" s="274">
        <v>0.15</v>
      </c>
      <c r="G2663" s="191"/>
      <c r="H2663" s="245"/>
      <c r="I2663" s="144">
        <f>ROUND(I2662*F2663,2)</f>
        <v>537.42999999999995</v>
      </c>
      <c r="J2663" s="78"/>
    </row>
    <row r="2664" spans="1:10">
      <c r="B2664" s="191"/>
      <c r="C2664" s="151"/>
      <c r="D2664" s="159"/>
      <c r="E2664" s="159" t="s">
        <v>2376</v>
      </c>
      <c r="F2664" s="159"/>
      <c r="G2664" s="159"/>
      <c r="H2664" s="208" t="s">
        <v>1698</v>
      </c>
      <c r="I2664" s="209">
        <f>SUM(I2655:I2663)</f>
        <v>42155.020000000004</v>
      </c>
      <c r="J2664" s="78"/>
    </row>
    <row r="2665" spans="1:10">
      <c r="B2665" s="31"/>
      <c r="C2665" s="76"/>
      <c r="D2665" s="31"/>
      <c r="E2665" s="31"/>
      <c r="F2665" s="31"/>
      <c r="G2665" s="31"/>
      <c r="H2665" s="200"/>
      <c r="I2665" s="31"/>
      <c r="J2665" s="78"/>
    </row>
    <row r="2666" spans="1:10">
      <c r="B2666" s="170" t="s">
        <v>2377</v>
      </c>
      <c r="C2666" s="89"/>
      <c r="J2666" s="78"/>
    </row>
    <row r="2667" spans="1:10">
      <c r="B2667" s="95" t="s">
        <v>2369</v>
      </c>
      <c r="D2667" s="157" t="s">
        <v>2378</v>
      </c>
      <c r="E2667" s="97"/>
      <c r="F2667" s="95" t="s">
        <v>2370</v>
      </c>
      <c r="G2667" s="95" t="s">
        <v>1166</v>
      </c>
      <c r="H2667" s="97" t="s">
        <v>6664</v>
      </c>
      <c r="I2667" s="97" t="s">
        <v>6665</v>
      </c>
      <c r="J2667" s="78"/>
    </row>
    <row r="2668" spans="1:10">
      <c r="B2668" s="191"/>
      <c r="C2668" s="139"/>
      <c r="D2668" s="174"/>
      <c r="E2668" s="192"/>
      <c r="F2668" s="191"/>
      <c r="G2668" s="114"/>
      <c r="H2668" s="115" t="s">
        <v>3856</v>
      </c>
      <c r="I2668" s="115" t="s">
        <v>3857</v>
      </c>
      <c r="J2668" s="78"/>
    </row>
    <row r="2669" spans="1:10">
      <c r="B2669" s="95">
        <v>1</v>
      </c>
      <c r="C2669" s="131" t="s">
        <v>6641</v>
      </c>
      <c r="D2669" s="187"/>
      <c r="E2669" s="195"/>
      <c r="F2669" s="107" t="s">
        <v>2374</v>
      </c>
      <c r="G2669" s="179">
        <v>8</v>
      </c>
      <c r="H2669" s="178">
        <f>'HIRE CHARGES'!$D$508</f>
        <v>51.7</v>
      </c>
      <c r="I2669" s="155">
        <f t="shared" ref="I2669:I2674" si="44">ROUND(H2669*G2669,2)</f>
        <v>413.6</v>
      </c>
      <c r="J2669" s="78"/>
    </row>
    <row r="2670" spans="1:10">
      <c r="B2670" s="105"/>
      <c r="C2670" s="135" t="s">
        <v>2379</v>
      </c>
      <c r="D2670" s="31"/>
      <c r="E2670" s="189"/>
      <c r="F2670" s="210" t="s">
        <v>2374</v>
      </c>
      <c r="G2670" s="190">
        <v>8</v>
      </c>
      <c r="H2670" s="207">
        <f>'HIRE CHARGES'!$E$508</f>
        <v>28</v>
      </c>
      <c r="I2670" s="155">
        <f t="shared" si="44"/>
        <v>224</v>
      </c>
      <c r="J2670" s="78"/>
    </row>
    <row r="2671" spans="1:10">
      <c r="B2671" s="105">
        <v>2</v>
      </c>
      <c r="C2671" s="135" t="s">
        <v>383</v>
      </c>
      <c r="D2671" s="31"/>
      <c r="E2671" s="189"/>
      <c r="F2671" s="210" t="s">
        <v>2374</v>
      </c>
      <c r="G2671" s="190">
        <v>1</v>
      </c>
      <c r="H2671" s="190">
        <f>'HIRE CHARGES'!$D$520</f>
        <v>6.7</v>
      </c>
      <c r="I2671" s="155">
        <f t="shared" si="44"/>
        <v>6.7</v>
      </c>
      <c r="J2671" s="78"/>
    </row>
    <row r="2672" spans="1:10">
      <c r="B2672" s="105"/>
      <c r="C2672" s="135" t="s">
        <v>2379</v>
      </c>
      <c r="D2672" s="31"/>
      <c r="E2672" s="189"/>
      <c r="F2672" s="210" t="s">
        <v>2374</v>
      </c>
      <c r="G2672" s="190">
        <v>1</v>
      </c>
      <c r="H2672" s="207">
        <f>'HIRE CHARGES'!$E$520</f>
        <v>56</v>
      </c>
      <c r="I2672" s="155">
        <f t="shared" si="44"/>
        <v>56</v>
      </c>
      <c r="J2672" s="78"/>
    </row>
    <row r="2673" spans="2:10">
      <c r="B2673" s="105">
        <v>3</v>
      </c>
      <c r="C2673" s="135" t="s">
        <v>6642</v>
      </c>
      <c r="D2673" s="31"/>
      <c r="E2673" s="189"/>
      <c r="F2673" s="210" t="s">
        <v>2374</v>
      </c>
      <c r="G2673" s="190">
        <v>8</v>
      </c>
      <c r="H2673" s="207">
        <f>'HIRE CHARGES'!$D$532</f>
        <v>8</v>
      </c>
      <c r="I2673" s="155">
        <f t="shared" si="44"/>
        <v>64</v>
      </c>
      <c r="J2673" s="78"/>
    </row>
    <row r="2674" spans="2:10">
      <c r="B2674" s="191"/>
      <c r="C2674" s="139" t="s">
        <v>2379</v>
      </c>
      <c r="D2674" s="174"/>
      <c r="E2674" s="192"/>
      <c r="F2674" s="191" t="s">
        <v>2374</v>
      </c>
      <c r="G2674" s="182">
        <v>8</v>
      </c>
      <c r="H2674" s="181">
        <f>'HIRE CHARGES'!$E$532</f>
        <v>5.6</v>
      </c>
      <c r="I2674" s="155">
        <f t="shared" si="44"/>
        <v>44.8</v>
      </c>
      <c r="J2674" s="78"/>
    </row>
    <row r="2675" spans="2:10">
      <c r="B2675" s="184"/>
      <c r="C2675" s="151"/>
      <c r="D2675" s="159"/>
      <c r="E2675" s="159" t="s">
        <v>2380</v>
      </c>
      <c r="F2675" s="159"/>
      <c r="G2675" s="159"/>
      <c r="H2675" s="208" t="s">
        <v>1698</v>
      </c>
      <c r="I2675" s="209">
        <f>SUM(I2669:I2674)</f>
        <v>809.1</v>
      </c>
      <c r="J2675" s="78"/>
    </row>
    <row r="2676" spans="2:10">
      <c r="B2676" s="31"/>
      <c r="C2676" s="76"/>
      <c r="D2676" s="31"/>
      <c r="E2676" s="31"/>
      <c r="F2676" s="31"/>
      <c r="G2676" s="31"/>
      <c r="H2676" s="200"/>
      <c r="I2676" s="31"/>
      <c r="J2676" s="78"/>
    </row>
    <row r="2677" spans="2:10">
      <c r="B2677" s="170" t="s">
        <v>2381</v>
      </c>
      <c r="C2677" s="89"/>
      <c r="J2677" s="78"/>
    </row>
    <row r="2678" spans="2:10">
      <c r="B2678" s="95" t="s">
        <v>2369</v>
      </c>
      <c r="D2678" s="157" t="s">
        <v>2378</v>
      </c>
      <c r="E2678" s="97"/>
      <c r="F2678" s="95" t="s">
        <v>2370</v>
      </c>
      <c r="G2678" s="95" t="s">
        <v>1166</v>
      </c>
      <c r="H2678" s="95" t="s">
        <v>6664</v>
      </c>
      <c r="I2678" s="97" t="s">
        <v>6665</v>
      </c>
      <c r="J2678" s="78"/>
    </row>
    <row r="2679" spans="2:10">
      <c r="B2679" s="191"/>
      <c r="C2679" s="139"/>
      <c r="D2679" s="174"/>
      <c r="E2679" s="192"/>
      <c r="F2679" s="191"/>
      <c r="G2679" s="114"/>
      <c r="H2679" s="114" t="s">
        <v>3856</v>
      </c>
      <c r="I2679" s="115" t="s">
        <v>3857</v>
      </c>
      <c r="J2679" s="78"/>
    </row>
    <row r="2680" spans="2:10">
      <c r="B2680" s="95">
        <v>1</v>
      </c>
      <c r="C2680" s="131" t="s">
        <v>527</v>
      </c>
      <c r="D2680" s="187"/>
      <c r="E2680" s="195"/>
      <c r="F2680" s="107" t="s">
        <v>2374</v>
      </c>
      <c r="G2680" s="179">
        <v>8</v>
      </c>
      <c r="H2680" s="179">
        <f>'HIRE CHARGES'!$F$508</f>
        <v>219.7</v>
      </c>
      <c r="I2680" s="155">
        <f>ROUND(H2680*G2680,2)</f>
        <v>1757.6</v>
      </c>
      <c r="J2680" s="78"/>
    </row>
    <row r="2681" spans="2:10">
      <c r="B2681" s="105">
        <v>2</v>
      </c>
      <c r="C2681" s="135" t="s">
        <v>999</v>
      </c>
      <c r="D2681" s="31"/>
      <c r="E2681" s="189"/>
      <c r="F2681" s="210" t="s">
        <v>2374</v>
      </c>
      <c r="G2681" s="190">
        <v>1</v>
      </c>
      <c r="H2681" s="207">
        <f>'HIRE CHARGES'!$F$520</f>
        <v>83.3</v>
      </c>
      <c r="I2681" s="155">
        <f t="shared" ref="I2681:I2691" si="45">ROUND(H2681*G2681,2)</f>
        <v>83.3</v>
      </c>
      <c r="J2681" s="78"/>
    </row>
    <row r="2682" spans="2:10">
      <c r="B2682" s="105">
        <v>3</v>
      </c>
      <c r="C2682" s="135" t="s">
        <v>439</v>
      </c>
      <c r="D2682" s="31"/>
      <c r="E2682" s="189"/>
      <c r="F2682" s="210" t="s">
        <v>2374</v>
      </c>
      <c r="G2682" s="190">
        <v>8</v>
      </c>
      <c r="H2682" s="207">
        <f>'HIRE CHARGES'!$F$532</f>
        <v>158.19999999999999</v>
      </c>
      <c r="I2682" s="155">
        <f t="shared" si="45"/>
        <v>1265.5999999999999</v>
      </c>
      <c r="J2682" s="78"/>
    </row>
    <row r="2683" spans="2:10">
      <c r="B2683" s="105">
        <v>4</v>
      </c>
      <c r="C2683" s="135" t="s">
        <v>440</v>
      </c>
      <c r="D2683" s="31"/>
      <c r="E2683" s="189"/>
      <c r="F2683" s="210" t="s">
        <v>1172</v>
      </c>
      <c r="G2683" s="190">
        <v>1</v>
      </c>
      <c r="H2683" s="207">
        <f>'BASIC DATA'!$C$474</f>
        <v>445</v>
      </c>
      <c r="I2683" s="155">
        <f t="shared" si="45"/>
        <v>445</v>
      </c>
      <c r="J2683" s="78"/>
    </row>
    <row r="2684" spans="2:10">
      <c r="B2684" s="105">
        <v>5</v>
      </c>
      <c r="C2684" s="135" t="s">
        <v>2697</v>
      </c>
      <c r="D2684" s="31"/>
      <c r="E2684" s="189"/>
      <c r="F2684" s="210"/>
      <c r="G2684" s="190"/>
      <c r="H2684" s="190"/>
      <c r="I2684" s="155"/>
      <c r="J2684" s="78"/>
    </row>
    <row r="2685" spans="2:10">
      <c r="B2685" s="210"/>
      <c r="C2685" s="135" t="s">
        <v>6643</v>
      </c>
      <c r="D2685" s="31"/>
      <c r="E2685" s="189"/>
      <c r="F2685" s="210" t="s">
        <v>1172</v>
      </c>
      <c r="G2685" s="190">
        <v>2</v>
      </c>
      <c r="H2685" s="190">
        <f>'BASIC DATA'!$C$552</f>
        <v>350</v>
      </c>
      <c r="I2685" s="155">
        <f t="shared" si="45"/>
        <v>700</v>
      </c>
      <c r="J2685" s="78"/>
    </row>
    <row r="2686" spans="2:10">
      <c r="B2686" s="210"/>
      <c r="C2686" s="135" t="s">
        <v>4869</v>
      </c>
      <c r="D2686" s="31"/>
      <c r="E2686" s="189"/>
      <c r="F2686" s="210" t="s">
        <v>1172</v>
      </c>
      <c r="G2686" s="190">
        <v>9</v>
      </c>
      <c r="H2686" s="190">
        <f>'BASIC DATA'!$C$552</f>
        <v>350</v>
      </c>
      <c r="I2686" s="155">
        <f t="shared" si="45"/>
        <v>3150</v>
      </c>
      <c r="J2686" s="78"/>
    </row>
    <row r="2687" spans="2:10">
      <c r="B2687" s="210"/>
      <c r="C2687" s="135" t="s">
        <v>442</v>
      </c>
      <c r="D2687" s="31"/>
      <c r="E2687" s="189"/>
      <c r="F2687" s="210" t="s">
        <v>1172</v>
      </c>
      <c r="G2687" s="190">
        <v>4</v>
      </c>
      <c r="H2687" s="190">
        <f>'BASIC DATA'!$C$552</f>
        <v>350</v>
      </c>
      <c r="I2687" s="155">
        <f t="shared" si="45"/>
        <v>1400</v>
      </c>
      <c r="J2687" s="78"/>
    </row>
    <row r="2688" spans="2:10">
      <c r="B2688" s="210"/>
      <c r="C2688" s="135" t="s">
        <v>5151</v>
      </c>
      <c r="D2688" s="31"/>
      <c r="E2688" s="189"/>
      <c r="F2688" s="210" t="s">
        <v>1172</v>
      </c>
      <c r="G2688" s="190">
        <v>3</v>
      </c>
      <c r="H2688" s="190">
        <f>'BASIC DATA'!$C$552</f>
        <v>350</v>
      </c>
      <c r="I2688" s="155">
        <f t="shared" si="45"/>
        <v>1050</v>
      </c>
      <c r="J2688" s="78"/>
    </row>
    <row r="2689" spans="2:10">
      <c r="B2689" s="105"/>
      <c r="C2689" s="135" t="s">
        <v>444</v>
      </c>
      <c r="D2689" s="31"/>
      <c r="E2689" s="189"/>
      <c r="F2689" s="210" t="s">
        <v>1172</v>
      </c>
      <c r="G2689" s="190">
        <f>H2652</f>
        <v>16.53</v>
      </c>
      <c r="H2689" s="190">
        <f>'BASIC DATA'!$C$552</f>
        <v>350</v>
      </c>
      <c r="I2689" s="155">
        <f t="shared" si="45"/>
        <v>5785.5</v>
      </c>
      <c r="J2689" s="78"/>
    </row>
    <row r="2690" spans="2:10">
      <c r="B2690" s="105"/>
      <c r="C2690" s="135" t="s">
        <v>4473</v>
      </c>
      <c r="D2690" s="31"/>
      <c r="E2690" s="189"/>
      <c r="F2690" s="210" t="s">
        <v>1172</v>
      </c>
      <c r="G2690" s="190">
        <v>1</v>
      </c>
      <c r="H2690" s="190">
        <f>'BASIC DATA'!$C$552</f>
        <v>350</v>
      </c>
      <c r="I2690" s="155">
        <f t="shared" si="45"/>
        <v>350</v>
      </c>
      <c r="J2690" s="78"/>
    </row>
    <row r="2691" spans="2:10">
      <c r="B2691" s="105">
        <v>6</v>
      </c>
      <c r="C2691" s="135" t="s">
        <v>4870</v>
      </c>
      <c r="D2691" s="31"/>
      <c r="E2691" s="189"/>
      <c r="F2691" s="210" t="s">
        <v>3479</v>
      </c>
      <c r="G2691" s="190">
        <f>H2652</f>
        <v>16.53</v>
      </c>
      <c r="H2691" s="190">
        <f>H2645</f>
        <v>88.5</v>
      </c>
      <c r="I2691" s="155">
        <f t="shared" si="45"/>
        <v>1462.91</v>
      </c>
      <c r="J2691" s="78"/>
    </row>
    <row r="2692" spans="2:10">
      <c r="B2692" s="114">
        <v>7</v>
      </c>
      <c r="C2692" s="139" t="s">
        <v>7603</v>
      </c>
      <c r="D2692" s="174"/>
      <c r="E2692" s="192"/>
      <c r="F2692" s="268">
        <v>0.15</v>
      </c>
      <c r="G2692" s="182"/>
      <c r="H2692" s="182"/>
      <c r="I2692" s="144">
        <f>ROUND(I2691*F2692,2)</f>
        <v>219.44</v>
      </c>
      <c r="J2692" s="78"/>
    </row>
    <row r="2693" spans="2:10">
      <c r="B2693" s="154"/>
      <c r="C2693" s="89"/>
      <c r="D2693" s="174"/>
      <c r="E2693" s="174" t="s">
        <v>1174</v>
      </c>
      <c r="F2693" s="174"/>
      <c r="G2693" s="174"/>
      <c r="H2693" s="245" t="s">
        <v>1698</v>
      </c>
      <c r="I2693" s="269">
        <f>SUM(I2680:I2692)</f>
        <v>17669.349999999999</v>
      </c>
      <c r="J2693" s="78"/>
    </row>
    <row r="2694" spans="2:10">
      <c r="B2694" s="60" t="s">
        <v>5948</v>
      </c>
      <c r="C2694" s="76"/>
      <c r="D2694" s="31"/>
      <c r="E2694" s="31"/>
      <c r="F2694" s="31"/>
      <c r="G2694" s="85">
        <f>ROUND(I2693/H2652,1)</f>
        <v>1068.9000000000001</v>
      </c>
      <c r="J2694" s="78"/>
    </row>
    <row r="2695" spans="2:10">
      <c r="B2695" s="60" t="s">
        <v>3163</v>
      </c>
      <c r="C2695" s="76"/>
      <c r="D2695" s="31"/>
      <c r="E2695" s="31"/>
      <c r="F2695" s="922">
        <f>'BASIC DATA'!$C$577</f>
        <v>0.13614999999999999</v>
      </c>
      <c r="G2695" s="85">
        <f>ROUND(G2694*F2695,1)</f>
        <v>145.5</v>
      </c>
      <c r="J2695" s="78"/>
    </row>
    <row r="2696" spans="2:10">
      <c r="B2696" s="60" t="s">
        <v>5949</v>
      </c>
      <c r="C2696" s="76"/>
      <c r="D2696" s="31"/>
      <c r="E2696" s="31"/>
      <c r="F2696" s="31"/>
      <c r="G2696" s="199">
        <f>ROUND(G2695+G2694,1)</f>
        <v>1214.4000000000001</v>
      </c>
      <c r="J2696" s="78"/>
    </row>
    <row r="2697" spans="2:10">
      <c r="B2697" s="31"/>
      <c r="J2697" s="78"/>
    </row>
    <row r="2698" spans="2:10">
      <c r="B2698" s="170" t="s">
        <v>1175</v>
      </c>
      <c r="J2698" s="78"/>
    </row>
    <row r="2699" spans="2:10">
      <c r="B2699" s="26" t="s">
        <v>1176</v>
      </c>
      <c r="H2699" s="171" t="s">
        <v>1698</v>
      </c>
      <c r="I2699" s="117">
        <f>I2664</f>
        <v>42155.020000000004</v>
      </c>
      <c r="J2699" s="78"/>
    </row>
    <row r="2700" spans="2:10">
      <c r="B2700" s="26" t="s">
        <v>1186</v>
      </c>
      <c r="H2700" s="171" t="s">
        <v>1698</v>
      </c>
      <c r="I2700" s="117">
        <f>I2675</f>
        <v>809.1</v>
      </c>
      <c r="J2700" s="78"/>
    </row>
    <row r="2701" spans="2:10">
      <c r="B2701" s="26" t="s">
        <v>2660</v>
      </c>
      <c r="H2701" s="171" t="s">
        <v>1698</v>
      </c>
      <c r="I2701" s="85">
        <f>I2693</f>
        <v>17669.349999999999</v>
      </c>
      <c r="J2701" s="78"/>
    </row>
    <row r="2702" spans="2:10">
      <c r="G2702" s="26" t="s">
        <v>1518</v>
      </c>
      <c r="H2702" s="171" t="s">
        <v>1698</v>
      </c>
      <c r="I2702" s="130">
        <f>SUM(I2698:I2701)</f>
        <v>60633.47</v>
      </c>
      <c r="J2702" s="78"/>
    </row>
    <row r="2703" spans="2:10" ht="18.75">
      <c r="B2703" s="1207" t="s">
        <v>8375</v>
      </c>
      <c r="C2703" s="1207"/>
      <c r="D2703" s="1207"/>
      <c r="E2703" s="1207"/>
      <c r="F2703" s="1207"/>
      <c r="G2703" s="922">
        <f>'BASIC DATA'!$C$577</f>
        <v>0.13614999999999999</v>
      </c>
      <c r="H2703" s="171" t="s">
        <v>4108</v>
      </c>
      <c r="I2703" s="76">
        <f>ROUND(I2702*G2703,2)</f>
        <v>8255.25</v>
      </c>
      <c r="J2703" s="78"/>
    </row>
    <row r="2704" spans="2:10">
      <c r="B2704" s="27" t="s">
        <v>9590</v>
      </c>
      <c r="C2704" s="43"/>
      <c r="D2704" s="43"/>
      <c r="E2704" s="43"/>
      <c r="F2704" s="779">
        <f>G2660</f>
        <v>6.612000000000001</v>
      </c>
      <c r="G2704" s="201" t="s">
        <v>9591</v>
      </c>
      <c r="H2704" s="68" t="str">
        <f>CONCATENATE((leadcharges!$D$65)," ","Rs./Cum")</f>
        <v>31.5 Rs./Cum</v>
      </c>
      <c r="I2704" s="76">
        <f>leadcharges!$D$65*F2704</f>
        <v>208.27800000000002</v>
      </c>
      <c r="J2704" s="78"/>
    </row>
    <row r="2705" spans="1:10">
      <c r="B2705" s="27" t="s">
        <v>9594</v>
      </c>
      <c r="C2705" s="43"/>
      <c r="D2705" s="43"/>
      <c r="E2705" s="43"/>
      <c r="F2705" s="779">
        <f>SUM(G2657:G2659)</f>
        <v>14.877000000000001</v>
      </c>
      <c r="G2705" s="201" t="s">
        <v>9591</v>
      </c>
      <c r="H2705" s="68" t="str">
        <f>CONCATENATE((leadcharges!$E$65)," ","Rs./Cum")</f>
        <v>30.4 Rs./Cum</v>
      </c>
      <c r="I2705" s="85">
        <f>leadcharges!$E$65*F2705</f>
        <v>452.26080000000002</v>
      </c>
      <c r="J2705" s="78"/>
    </row>
    <row r="2706" spans="1:10" ht="40.5" hidden="1" customHeight="1">
      <c r="B2706" s="1207"/>
      <c r="C2706" s="1207"/>
      <c r="D2706" s="1207"/>
      <c r="E2706" s="1207"/>
      <c r="F2706" s="779"/>
      <c r="G2706" s="201"/>
      <c r="H2706" s="68"/>
      <c r="I2706" s="76"/>
      <c r="J2706" s="78"/>
    </row>
    <row r="2707" spans="1:10">
      <c r="B2707" s="1206" t="s">
        <v>1191</v>
      </c>
      <c r="C2707" s="1206"/>
      <c r="D2707" s="1206"/>
      <c r="E2707" s="1206"/>
      <c r="F2707" s="202">
        <f>H2652</f>
        <v>16.53</v>
      </c>
      <c r="G2707" s="217" t="str">
        <f>I2652</f>
        <v>cum</v>
      </c>
      <c r="H2707" s="171" t="s">
        <v>1698</v>
      </c>
      <c r="I2707" s="199">
        <f>SUM(I2702:I2706)</f>
        <v>69549.258800000011</v>
      </c>
      <c r="J2707" s="78"/>
    </row>
    <row r="2708" spans="1:10">
      <c r="B2708" s="1161" t="s">
        <v>3884</v>
      </c>
      <c r="C2708" s="1161"/>
      <c r="D2708" s="203" t="str">
        <f>G2707</f>
        <v>cum</v>
      </c>
      <c r="F2708" s="26" t="s">
        <v>7699</v>
      </c>
      <c r="H2708" s="171" t="s">
        <v>1698</v>
      </c>
      <c r="I2708" s="204">
        <f>ROUND(I2707/F2707,1)</f>
        <v>4207.5</v>
      </c>
      <c r="J2708" s="78"/>
    </row>
    <row r="2709" spans="1:10">
      <c r="G2709" s="171"/>
      <c r="H2709" s="171"/>
      <c r="I2709" s="117"/>
      <c r="J2709" s="78"/>
    </row>
    <row r="2710" spans="1:10">
      <c r="G2710" s="171"/>
      <c r="H2710" s="171"/>
      <c r="I2710" s="68"/>
      <c r="J2710" s="78"/>
    </row>
    <row r="2711" spans="1:10" ht="18.75">
      <c r="A2711" s="822" t="s">
        <v>7340</v>
      </c>
      <c r="B2711" s="26" t="s">
        <v>8445</v>
      </c>
      <c r="J2711" s="78"/>
    </row>
    <row r="2712" spans="1:10" ht="18.75">
      <c r="B2712" s="26" t="s">
        <v>8446</v>
      </c>
      <c r="J2712" s="78"/>
    </row>
    <row r="2713" spans="1:10">
      <c r="B2713" s="26" t="s">
        <v>8415</v>
      </c>
      <c r="J2713" s="78"/>
    </row>
    <row r="2714" spans="1:10">
      <c r="B2714" s="26" t="s">
        <v>426</v>
      </c>
      <c r="J2714" s="78"/>
    </row>
    <row r="2715" spans="1:10">
      <c r="B2715" s="26" t="s">
        <v>427</v>
      </c>
      <c r="J2715" s="78"/>
    </row>
    <row r="2716" spans="1:10" ht="18.75">
      <c r="B2716" s="26" t="s">
        <v>8447</v>
      </c>
      <c r="J2716" s="78"/>
    </row>
    <row r="2717" spans="1:10">
      <c r="B2717" s="170" t="s">
        <v>7684</v>
      </c>
      <c r="J2717" s="78"/>
    </row>
    <row r="2718" spans="1:10">
      <c r="B2718" s="170" t="s">
        <v>5363</v>
      </c>
      <c r="J2718" s="78"/>
    </row>
    <row r="2719" spans="1:10" hidden="1">
      <c r="A2719" s="822" t="s">
        <v>3984</v>
      </c>
      <c r="B2719" s="26" t="s">
        <v>1082</v>
      </c>
      <c r="J2719" s="78"/>
    </row>
    <row r="2720" spans="1:10" hidden="1">
      <c r="B2720" s="26" t="s">
        <v>2601</v>
      </c>
      <c r="G2720" s="78" t="s">
        <v>1697</v>
      </c>
      <c r="H2720" s="68">
        <v>0.8</v>
      </c>
      <c r="I2720" s="26" t="s">
        <v>6714</v>
      </c>
      <c r="J2720" s="78"/>
    </row>
    <row r="2721" spans="1:10" hidden="1">
      <c r="B2721" s="26" t="s">
        <v>2556</v>
      </c>
      <c r="G2721" s="78" t="s">
        <v>1697</v>
      </c>
      <c r="H2721" s="265">
        <v>2.7326388888888888</v>
      </c>
      <c r="J2721" s="78"/>
    </row>
    <row r="2722" spans="1:10" hidden="1">
      <c r="B2722" s="26" t="s">
        <v>3414</v>
      </c>
      <c r="G2722" s="78" t="s">
        <v>1697</v>
      </c>
      <c r="H2722" s="26">
        <v>0.44</v>
      </c>
      <c r="I2722" s="26" t="s">
        <v>5336</v>
      </c>
      <c r="J2722" s="78"/>
    </row>
    <row r="2723" spans="1:10" hidden="1">
      <c r="B2723" s="26" t="s">
        <v>5853</v>
      </c>
      <c r="G2723" s="78" t="s">
        <v>1697</v>
      </c>
      <c r="H2723" s="68">
        <v>280</v>
      </c>
      <c r="I2723" s="26" t="s">
        <v>6670</v>
      </c>
      <c r="J2723" s="78"/>
    </row>
    <row r="2724" spans="1:10" hidden="1">
      <c r="A2724" s="853"/>
      <c r="B2724" s="61" t="s">
        <v>818</v>
      </c>
      <c r="C2724" s="125"/>
      <c r="D2724" s="61"/>
      <c r="E2724" s="61"/>
      <c r="F2724" s="61"/>
      <c r="G2724" s="62" t="s">
        <v>1697</v>
      </c>
      <c r="H2724" s="61">
        <f>H2723*0.4%</f>
        <v>1.1200000000000001</v>
      </c>
      <c r="I2724" s="61" t="s">
        <v>6670</v>
      </c>
      <c r="J2724" s="78"/>
    </row>
    <row r="2725" spans="1:10" hidden="1">
      <c r="B2725" s="26" t="s">
        <v>3732</v>
      </c>
      <c r="J2725" s="78"/>
    </row>
    <row r="2726" spans="1:10" hidden="1">
      <c r="B2726" s="26" t="s">
        <v>3381</v>
      </c>
      <c r="G2726" s="78" t="s">
        <v>1697</v>
      </c>
      <c r="H2726" s="26" t="s">
        <v>4618</v>
      </c>
      <c r="I2726" s="26" t="s">
        <v>6671</v>
      </c>
      <c r="J2726" s="78"/>
    </row>
    <row r="2727" spans="1:10" hidden="1">
      <c r="B2727" s="26" t="s">
        <v>3383</v>
      </c>
      <c r="G2727" s="78" t="s">
        <v>1697</v>
      </c>
      <c r="J2727" s="78"/>
    </row>
    <row r="2728" spans="1:10" hidden="1">
      <c r="B2728" s="26" t="s">
        <v>3455</v>
      </c>
      <c r="G2728" s="78" t="s">
        <v>1697</v>
      </c>
      <c r="H2728" s="68">
        <v>3</v>
      </c>
      <c r="I2728" s="26" t="s">
        <v>3111</v>
      </c>
      <c r="J2728" s="78"/>
    </row>
    <row r="2729" spans="1:10" hidden="1">
      <c r="B2729" s="26" t="s">
        <v>3112</v>
      </c>
      <c r="E2729" s="26" t="s">
        <v>3386</v>
      </c>
      <c r="G2729" s="78" t="s">
        <v>1697</v>
      </c>
      <c r="H2729" s="68" t="s">
        <v>563</v>
      </c>
      <c r="J2729" s="78"/>
    </row>
    <row r="2730" spans="1:10" hidden="1">
      <c r="B2730" s="26" t="s">
        <v>3388</v>
      </c>
      <c r="E2730" s="26" t="s">
        <v>3386</v>
      </c>
      <c r="G2730" s="78" t="s">
        <v>1697</v>
      </c>
      <c r="H2730" s="68" t="s">
        <v>563</v>
      </c>
      <c r="J2730" s="78"/>
    </row>
    <row r="2731" spans="1:10" hidden="1">
      <c r="B2731" s="26" t="s">
        <v>3389</v>
      </c>
      <c r="E2731" s="26" t="s">
        <v>3386</v>
      </c>
      <c r="G2731" s="78" t="s">
        <v>1697</v>
      </c>
      <c r="H2731" s="68" t="s">
        <v>563</v>
      </c>
      <c r="J2731" s="78"/>
    </row>
    <row r="2732" spans="1:10" hidden="1">
      <c r="B2732" s="26" t="s">
        <v>4072</v>
      </c>
      <c r="G2732" s="78" t="s">
        <v>1697</v>
      </c>
      <c r="H2732" s="68">
        <v>1.5</v>
      </c>
      <c r="I2732" s="26" t="s">
        <v>3111</v>
      </c>
      <c r="J2732" s="78"/>
    </row>
    <row r="2733" spans="1:10" hidden="1">
      <c r="B2733" s="26" t="s">
        <v>4073</v>
      </c>
      <c r="E2733" s="26" t="s">
        <v>3386</v>
      </c>
      <c r="G2733" s="78" t="s">
        <v>1697</v>
      </c>
      <c r="H2733" s="173" t="s">
        <v>563</v>
      </c>
      <c r="J2733" s="78"/>
    </row>
    <row r="2734" spans="1:10" hidden="1">
      <c r="B2734" s="26" t="s">
        <v>3082</v>
      </c>
      <c r="G2734" s="78" t="s">
        <v>1697</v>
      </c>
      <c r="H2734" s="68">
        <v>4.5</v>
      </c>
      <c r="I2734" s="26" t="s">
        <v>3111</v>
      </c>
      <c r="J2734" s="78"/>
    </row>
    <row r="2735" spans="1:10" hidden="1">
      <c r="B2735" s="26" t="s">
        <v>7685</v>
      </c>
      <c r="G2735" s="78"/>
      <c r="H2735" s="68">
        <f>ROUND((50/H2723)*(50/H2734)*8,2)</f>
        <v>15.87</v>
      </c>
      <c r="I2735" s="26" t="s">
        <v>5336</v>
      </c>
      <c r="J2735" s="78"/>
    </row>
    <row r="2736" spans="1:10" hidden="1">
      <c r="B2736" s="26" t="s">
        <v>3083</v>
      </c>
      <c r="J2736" s="78"/>
    </row>
    <row r="2737" spans="2:10" hidden="1">
      <c r="B2737" s="26" t="s">
        <v>3455</v>
      </c>
      <c r="E2737" s="26" t="s">
        <v>5430</v>
      </c>
      <c r="G2737" s="78" t="s">
        <v>1697</v>
      </c>
      <c r="H2737" s="68">
        <v>3</v>
      </c>
      <c r="I2737" s="26" t="s">
        <v>4041</v>
      </c>
      <c r="J2737" s="78"/>
    </row>
    <row r="2738" spans="2:10" hidden="1">
      <c r="B2738" s="26" t="s">
        <v>3112</v>
      </c>
      <c r="E2738" s="26" t="s">
        <v>5430</v>
      </c>
      <c r="G2738" s="78" t="s">
        <v>1697</v>
      </c>
      <c r="H2738" s="68">
        <v>3</v>
      </c>
      <c r="I2738" s="26" t="s">
        <v>4041</v>
      </c>
      <c r="J2738" s="78"/>
    </row>
    <row r="2739" spans="2:10" hidden="1">
      <c r="B2739" s="26" t="s">
        <v>3388</v>
      </c>
      <c r="E2739" s="26" t="s">
        <v>5430</v>
      </c>
      <c r="G2739" s="78" t="s">
        <v>1697</v>
      </c>
      <c r="H2739" s="68">
        <v>3</v>
      </c>
      <c r="I2739" s="26" t="s">
        <v>4041</v>
      </c>
      <c r="J2739" s="78"/>
    </row>
    <row r="2740" spans="2:10" hidden="1">
      <c r="B2740" s="26" t="s">
        <v>3389</v>
      </c>
      <c r="E2740" s="26" t="s">
        <v>5430</v>
      </c>
      <c r="G2740" s="78" t="s">
        <v>1697</v>
      </c>
      <c r="H2740" s="68">
        <v>2</v>
      </c>
      <c r="I2740" s="26" t="s">
        <v>4041</v>
      </c>
      <c r="J2740" s="78"/>
    </row>
    <row r="2741" spans="2:10" hidden="1">
      <c r="B2741" s="26" t="s">
        <v>3084</v>
      </c>
      <c r="E2741" s="26" t="s">
        <v>5430</v>
      </c>
      <c r="G2741" s="78" t="s">
        <v>1697</v>
      </c>
      <c r="H2741" s="68">
        <v>21</v>
      </c>
      <c r="I2741" s="26" t="s">
        <v>4041</v>
      </c>
      <c r="J2741" s="78"/>
    </row>
    <row r="2742" spans="2:10" hidden="1">
      <c r="B2742" s="26" t="s">
        <v>3085</v>
      </c>
      <c r="E2742" s="26" t="s">
        <v>3086</v>
      </c>
      <c r="G2742" s="78" t="s">
        <v>1697</v>
      </c>
      <c r="H2742" s="68">
        <v>1</v>
      </c>
      <c r="I2742" s="26" t="s">
        <v>4089</v>
      </c>
      <c r="J2742" s="78"/>
    </row>
    <row r="2743" spans="2:10" hidden="1">
      <c r="E2743" s="26" t="s">
        <v>5430</v>
      </c>
      <c r="G2743" s="78" t="s">
        <v>1697</v>
      </c>
      <c r="H2743" s="68">
        <v>3</v>
      </c>
      <c r="I2743" s="26" t="s">
        <v>4041</v>
      </c>
      <c r="J2743" s="78"/>
    </row>
    <row r="2744" spans="2:10" hidden="1">
      <c r="B2744" s="26" t="s">
        <v>3087</v>
      </c>
      <c r="E2744" s="26" t="s">
        <v>3024</v>
      </c>
      <c r="G2744" s="78" t="s">
        <v>1697</v>
      </c>
      <c r="H2744" s="68">
        <v>1</v>
      </c>
      <c r="I2744" s="26" t="s">
        <v>4089</v>
      </c>
      <c r="J2744" s="78"/>
    </row>
    <row r="2745" spans="2:10" hidden="1">
      <c r="B2745" s="26" t="s">
        <v>4760</v>
      </c>
      <c r="J2745" s="78"/>
    </row>
    <row r="2746" spans="2:10" hidden="1">
      <c r="B2746" s="26" t="s">
        <v>1084</v>
      </c>
      <c r="J2746" s="78"/>
    </row>
    <row r="2747" spans="2:10" hidden="1">
      <c r="B2747" s="26" t="s">
        <v>1085</v>
      </c>
      <c r="J2747" s="78"/>
    </row>
    <row r="2748" spans="2:10" hidden="1">
      <c r="B2748" s="26" t="s">
        <v>577</v>
      </c>
      <c r="G2748" s="78" t="s">
        <v>1698</v>
      </c>
      <c r="H2748" s="68">
        <f>H1604</f>
        <v>216.75</v>
      </c>
      <c r="I2748" s="26" t="s">
        <v>3479</v>
      </c>
      <c r="J2748" s="78"/>
    </row>
    <row r="2749" spans="2:10" hidden="1">
      <c r="B2749" s="26" t="s">
        <v>6638</v>
      </c>
      <c r="G2749" s="78" t="s">
        <v>1698</v>
      </c>
      <c r="H2749" s="68">
        <f>H1621</f>
        <v>88.5</v>
      </c>
      <c r="I2749" s="26" t="s">
        <v>3479</v>
      </c>
      <c r="J2749" s="78"/>
    </row>
    <row r="2750" spans="2:10" hidden="1">
      <c r="B2750" s="26" t="s">
        <v>580</v>
      </c>
      <c r="J2750" s="78"/>
    </row>
    <row r="2751" spans="2:10" hidden="1">
      <c r="B2751" s="26" t="s">
        <v>1217</v>
      </c>
      <c r="J2751" s="78"/>
    </row>
    <row r="2752" spans="2:10" hidden="1">
      <c r="B2752" s="26" t="s">
        <v>1085</v>
      </c>
      <c r="J2752" s="78"/>
    </row>
    <row r="2753" spans="1:10">
      <c r="A2753" s="822" t="s">
        <v>3984</v>
      </c>
      <c r="E2753" s="170" t="s">
        <v>2367</v>
      </c>
      <c r="J2753" s="78"/>
    </row>
    <row r="2754" spans="1:10">
      <c r="F2754" s="68"/>
      <c r="H2754" s="171" t="s">
        <v>1188</v>
      </c>
      <c r="J2754" s="78"/>
    </row>
    <row r="2755" spans="1:10">
      <c r="B2755" s="170" t="s">
        <v>2368</v>
      </c>
      <c r="C2755" s="89"/>
      <c r="H2755" s="211">
        <f>H2735</f>
        <v>15.87</v>
      </c>
      <c r="I2755" s="26" t="s">
        <v>3477</v>
      </c>
      <c r="J2755" s="78"/>
    </row>
    <row r="2756" spans="1:10">
      <c r="B2756" s="95" t="s">
        <v>2369</v>
      </c>
      <c r="D2756" s="157" t="s">
        <v>4443</v>
      </c>
      <c r="E2756" s="97"/>
      <c r="F2756" s="95" t="s">
        <v>2370</v>
      </c>
      <c r="G2756" s="95" t="s">
        <v>1166</v>
      </c>
      <c r="H2756" s="97" t="s">
        <v>6664</v>
      </c>
      <c r="I2756" s="97" t="s">
        <v>6665</v>
      </c>
      <c r="J2756" s="78"/>
    </row>
    <row r="2757" spans="1:10">
      <c r="B2757" s="191"/>
      <c r="C2757" s="139"/>
      <c r="D2757" s="174"/>
      <c r="E2757" s="192"/>
      <c r="F2757" s="191"/>
      <c r="G2757" s="114"/>
      <c r="H2757" s="115" t="s">
        <v>3856</v>
      </c>
      <c r="I2757" s="115" t="s">
        <v>3857</v>
      </c>
      <c r="J2757" s="78"/>
    </row>
    <row r="2758" spans="1:10">
      <c r="B2758" s="95">
        <v>1</v>
      </c>
      <c r="C2758" s="131" t="s">
        <v>1728</v>
      </c>
      <c r="D2758" s="187"/>
      <c r="E2758" s="195"/>
      <c r="F2758" s="107" t="s">
        <v>3478</v>
      </c>
      <c r="G2758" s="26">
        <f>H2755*H2723</f>
        <v>4443.5999999999995</v>
      </c>
      <c r="H2758" s="212">
        <f>'BASIC DATA'!$D$32/1000</f>
        <v>5.35</v>
      </c>
      <c r="I2758" s="155">
        <f>ROUND(H2758*G2758,2)</f>
        <v>23773.26</v>
      </c>
      <c r="J2758" s="78"/>
    </row>
    <row r="2759" spans="1:10">
      <c r="B2759" s="105"/>
      <c r="C2759" s="135" t="s">
        <v>4761</v>
      </c>
      <c r="D2759" s="31"/>
      <c r="E2759" s="189"/>
      <c r="F2759" s="210" t="s">
        <v>3478</v>
      </c>
      <c r="G2759" s="221">
        <f>H2755*3</f>
        <v>47.61</v>
      </c>
      <c r="H2759" s="212">
        <f>'BASIC DATA'!$D$32/1000</f>
        <v>5.35</v>
      </c>
      <c r="I2759" s="155">
        <f t="shared" ref="I2759:I2764" si="46">ROUND(H2759*G2759,2)</f>
        <v>254.71</v>
      </c>
      <c r="J2759" s="78"/>
    </row>
    <row r="2760" spans="1:10">
      <c r="B2760" s="105">
        <v>2</v>
      </c>
      <c r="C2760" s="135" t="s">
        <v>6995</v>
      </c>
      <c r="D2760" s="31"/>
      <c r="E2760" s="189"/>
      <c r="F2760" s="210" t="s">
        <v>3477</v>
      </c>
      <c r="G2760" s="68">
        <f>0.65*H2755*0.8</f>
        <v>8.2523999999999997</v>
      </c>
      <c r="H2760" s="214">
        <f>'BASIC DATA'!$D$35</f>
        <v>1225</v>
      </c>
      <c r="I2760" s="155">
        <f t="shared" si="46"/>
        <v>10109.19</v>
      </c>
      <c r="J2760" s="78"/>
    </row>
    <row r="2761" spans="1:10">
      <c r="B2761" s="105"/>
      <c r="C2761" s="135" t="s">
        <v>1050</v>
      </c>
      <c r="D2761" s="31"/>
      <c r="E2761" s="189"/>
      <c r="F2761" s="210" t="s">
        <v>3477</v>
      </c>
      <c r="G2761" s="68">
        <f>H2755*0.35*0.8</f>
        <v>4.4435999999999991</v>
      </c>
      <c r="H2761" s="214">
        <f>'BASIC DATA'!$D$34</f>
        <v>900</v>
      </c>
      <c r="I2761" s="155">
        <f t="shared" si="46"/>
        <v>3999.24</v>
      </c>
      <c r="J2761" s="78"/>
    </row>
    <row r="2762" spans="1:10">
      <c r="A2762" s="853"/>
      <c r="B2762" s="240">
        <v>3</v>
      </c>
      <c r="C2762" s="326" t="s">
        <v>7935</v>
      </c>
      <c r="D2762" s="60"/>
      <c r="E2762" s="253"/>
      <c r="F2762" s="254" t="s">
        <v>3477</v>
      </c>
      <c r="G2762" s="223">
        <f>0.44*H2755</f>
        <v>6.9828000000000001</v>
      </c>
      <c r="H2762" s="266">
        <f>'BASIC DATA'!$D$55</f>
        <v>95</v>
      </c>
      <c r="I2762" s="244">
        <f t="shared" si="46"/>
        <v>663.37</v>
      </c>
      <c r="J2762" s="62"/>
    </row>
    <row r="2763" spans="1:10">
      <c r="B2763" s="105">
        <v>4</v>
      </c>
      <c r="C2763" s="135" t="s">
        <v>4282</v>
      </c>
      <c r="D2763" s="31"/>
      <c r="E2763" s="189"/>
      <c r="F2763" s="210" t="s">
        <v>3478</v>
      </c>
      <c r="G2763" s="221">
        <f>H2755*H2724</f>
        <v>17.7744</v>
      </c>
      <c r="H2763" s="266">
        <f>'BASIC DATA'!$D$99</f>
        <v>55</v>
      </c>
      <c r="I2763" s="155">
        <f t="shared" si="46"/>
        <v>977.59</v>
      </c>
      <c r="J2763" s="78"/>
    </row>
    <row r="2764" spans="1:10">
      <c r="B2764" s="105">
        <v>5</v>
      </c>
      <c r="C2764" s="135" t="s">
        <v>5315</v>
      </c>
      <c r="D2764" s="31"/>
      <c r="E2764" s="189"/>
      <c r="F2764" s="210" t="s">
        <v>3479</v>
      </c>
      <c r="G2764" s="221">
        <f>H2755</f>
        <v>15.87</v>
      </c>
      <c r="H2764" s="214">
        <f>H2748</f>
        <v>216.75</v>
      </c>
      <c r="I2764" s="84">
        <f t="shared" si="46"/>
        <v>3439.82</v>
      </c>
      <c r="J2764" s="78"/>
    </row>
    <row r="2765" spans="1:10">
      <c r="B2765" s="105">
        <v>6</v>
      </c>
      <c r="C2765" s="89" t="s">
        <v>7605</v>
      </c>
      <c r="D2765" s="174"/>
      <c r="E2765" s="192"/>
      <c r="F2765" s="268">
        <v>0.15</v>
      </c>
      <c r="G2765" s="154"/>
      <c r="H2765" s="275"/>
      <c r="I2765" s="144">
        <f>ROUND(I2764*F2765,2)</f>
        <v>515.97</v>
      </c>
      <c r="J2765" s="78"/>
    </row>
    <row r="2766" spans="1:10">
      <c r="B2766" s="191"/>
      <c r="C2766" s="151"/>
      <c r="D2766" s="159"/>
      <c r="E2766" s="159" t="s">
        <v>2376</v>
      </c>
      <c r="F2766" s="159"/>
      <c r="G2766" s="159"/>
      <c r="H2766" s="208" t="s">
        <v>1698</v>
      </c>
      <c r="I2766" s="209">
        <f>SUM(I2758:I2765)</f>
        <v>43733.149999999994</v>
      </c>
      <c r="J2766" s="78"/>
    </row>
    <row r="2767" spans="1:10">
      <c r="B2767" s="31"/>
      <c r="C2767" s="76"/>
      <c r="D2767" s="31"/>
      <c r="E2767" s="31"/>
      <c r="F2767" s="31"/>
      <c r="G2767" s="31"/>
      <c r="H2767" s="200"/>
      <c r="I2767" s="31"/>
      <c r="J2767" s="78"/>
    </row>
    <row r="2768" spans="1:10">
      <c r="B2768" s="170" t="s">
        <v>2377</v>
      </c>
      <c r="C2768" s="89"/>
      <c r="J2768" s="78"/>
    </row>
    <row r="2769" spans="2:10">
      <c r="B2769" s="225" t="s">
        <v>2369</v>
      </c>
      <c r="D2769" s="175" t="s">
        <v>2378</v>
      </c>
      <c r="E2769" s="97"/>
      <c r="F2769" s="95" t="s">
        <v>2370</v>
      </c>
      <c r="G2769" s="95" t="s">
        <v>1166</v>
      </c>
      <c r="H2769" s="97" t="s">
        <v>6664</v>
      </c>
      <c r="I2769" s="97" t="s">
        <v>6665</v>
      </c>
      <c r="J2769" s="78"/>
    </row>
    <row r="2770" spans="2:10">
      <c r="B2770" s="226"/>
      <c r="C2770" s="89"/>
      <c r="D2770" s="174"/>
      <c r="E2770" s="192"/>
      <c r="F2770" s="191"/>
      <c r="G2770" s="114"/>
      <c r="H2770" s="115" t="s">
        <v>3856</v>
      </c>
      <c r="I2770" s="115" t="s">
        <v>3857</v>
      </c>
      <c r="J2770" s="78"/>
    </row>
    <row r="2771" spans="2:10">
      <c r="B2771" s="95">
        <v>1</v>
      </c>
      <c r="C2771" s="148" t="s">
        <v>6641</v>
      </c>
      <c r="D2771" s="187"/>
      <c r="E2771" s="195"/>
      <c r="F2771" s="107" t="s">
        <v>2374</v>
      </c>
      <c r="G2771" s="179">
        <v>8</v>
      </c>
      <c r="H2771" s="178">
        <f>'HIRE CHARGES'!$D$508</f>
        <v>51.7</v>
      </c>
      <c r="I2771" s="155">
        <f t="shared" ref="I2771:I2776" si="47">ROUND(H2771*G2771,2)</f>
        <v>413.6</v>
      </c>
      <c r="J2771" s="78"/>
    </row>
    <row r="2772" spans="2:10">
      <c r="B2772" s="105"/>
      <c r="C2772" s="76" t="s">
        <v>2379</v>
      </c>
      <c r="D2772" s="31"/>
      <c r="E2772" s="189"/>
      <c r="F2772" s="210" t="s">
        <v>2374</v>
      </c>
      <c r="G2772" s="190">
        <v>8</v>
      </c>
      <c r="H2772" s="207">
        <f>'HIRE CHARGES'!$E$508</f>
        <v>28</v>
      </c>
      <c r="I2772" s="155">
        <f t="shared" si="47"/>
        <v>224</v>
      </c>
      <c r="J2772" s="78"/>
    </row>
    <row r="2773" spans="2:10">
      <c r="B2773" s="105">
        <v>2</v>
      </c>
      <c r="C2773" s="76" t="s">
        <v>383</v>
      </c>
      <c r="D2773" s="31"/>
      <c r="E2773" s="189"/>
      <c r="F2773" s="210" t="s">
        <v>2374</v>
      </c>
      <c r="G2773" s="190">
        <v>1</v>
      </c>
      <c r="H2773" s="190">
        <f>'HIRE CHARGES'!$D$520</f>
        <v>6.7</v>
      </c>
      <c r="I2773" s="155">
        <f t="shared" si="47"/>
        <v>6.7</v>
      </c>
      <c r="J2773" s="78"/>
    </row>
    <row r="2774" spans="2:10">
      <c r="B2774" s="105"/>
      <c r="C2774" s="76" t="s">
        <v>2379</v>
      </c>
      <c r="D2774" s="31"/>
      <c r="E2774" s="189"/>
      <c r="F2774" s="210" t="s">
        <v>2374</v>
      </c>
      <c r="G2774" s="190">
        <v>1</v>
      </c>
      <c r="H2774" s="207">
        <f>'HIRE CHARGES'!$E$520</f>
        <v>56</v>
      </c>
      <c r="I2774" s="155">
        <f t="shared" si="47"/>
        <v>56</v>
      </c>
      <c r="J2774" s="78"/>
    </row>
    <row r="2775" spans="2:10">
      <c r="B2775" s="105">
        <v>3</v>
      </c>
      <c r="C2775" s="76" t="s">
        <v>6642</v>
      </c>
      <c r="D2775" s="31"/>
      <c r="E2775" s="189"/>
      <c r="F2775" s="210" t="s">
        <v>2374</v>
      </c>
      <c r="G2775" s="190">
        <v>8</v>
      </c>
      <c r="H2775" s="207">
        <f>'HIRE CHARGES'!$D$532</f>
        <v>8</v>
      </c>
      <c r="I2775" s="155">
        <f t="shared" si="47"/>
        <v>64</v>
      </c>
      <c r="J2775" s="78"/>
    </row>
    <row r="2776" spans="2:10">
      <c r="B2776" s="176"/>
      <c r="C2776" s="89" t="s">
        <v>2379</v>
      </c>
      <c r="D2776" s="174"/>
      <c r="E2776" s="192"/>
      <c r="F2776" s="191" t="s">
        <v>2374</v>
      </c>
      <c r="G2776" s="182">
        <v>8</v>
      </c>
      <c r="H2776" s="181">
        <f>'HIRE CHARGES'!$E$532</f>
        <v>5.6</v>
      </c>
      <c r="I2776" s="155">
        <f t="shared" si="47"/>
        <v>44.8</v>
      </c>
      <c r="J2776" s="78"/>
    </row>
    <row r="2777" spans="2:10">
      <c r="B2777" s="154"/>
      <c r="C2777" s="89"/>
      <c r="D2777" s="174"/>
      <c r="E2777" s="174" t="s">
        <v>2380</v>
      </c>
      <c r="F2777" s="174"/>
      <c r="G2777" s="174"/>
      <c r="H2777" s="245" t="s">
        <v>1698</v>
      </c>
      <c r="I2777" s="269">
        <f>SUM(I2771:I2776)</f>
        <v>809.1</v>
      </c>
      <c r="J2777" s="78"/>
    </row>
    <row r="2778" spans="2:10">
      <c r="B2778" s="31"/>
      <c r="C2778" s="76"/>
      <c r="D2778" s="31"/>
      <c r="E2778" s="31"/>
      <c r="F2778" s="31"/>
      <c r="G2778" s="31"/>
      <c r="H2778" s="200"/>
      <c r="I2778" s="31"/>
      <c r="J2778" s="78"/>
    </row>
    <row r="2779" spans="2:10">
      <c r="B2779" s="170" t="s">
        <v>2381</v>
      </c>
      <c r="C2779" s="89"/>
      <c r="J2779" s="78"/>
    </row>
    <row r="2780" spans="2:10">
      <c r="B2780" s="95" t="s">
        <v>2369</v>
      </c>
      <c r="D2780" s="157" t="s">
        <v>2378</v>
      </c>
      <c r="E2780" s="97"/>
      <c r="F2780" s="95" t="s">
        <v>2370</v>
      </c>
      <c r="G2780" s="95" t="s">
        <v>1166</v>
      </c>
      <c r="H2780" s="97" t="s">
        <v>6664</v>
      </c>
      <c r="I2780" s="97" t="s">
        <v>6665</v>
      </c>
      <c r="J2780" s="78"/>
    </row>
    <row r="2781" spans="2:10">
      <c r="B2781" s="191"/>
      <c r="C2781" s="139"/>
      <c r="D2781" s="174"/>
      <c r="E2781" s="192"/>
      <c r="F2781" s="191"/>
      <c r="G2781" s="114"/>
      <c r="H2781" s="115" t="s">
        <v>3856</v>
      </c>
      <c r="I2781" s="115" t="s">
        <v>3857</v>
      </c>
      <c r="J2781" s="78"/>
    </row>
    <row r="2782" spans="2:10">
      <c r="B2782" s="95">
        <v>1</v>
      </c>
      <c r="C2782" s="131" t="s">
        <v>527</v>
      </c>
      <c r="D2782" s="187"/>
      <c r="E2782" s="195"/>
      <c r="F2782" s="107" t="s">
        <v>2374</v>
      </c>
      <c r="G2782" s="179">
        <v>8</v>
      </c>
      <c r="H2782" s="179">
        <f>'HIRE CHARGES'!$F$508</f>
        <v>219.7</v>
      </c>
      <c r="I2782" s="155">
        <f>ROUND(H2782*G2782,2)</f>
        <v>1757.6</v>
      </c>
      <c r="J2782" s="78"/>
    </row>
    <row r="2783" spans="2:10">
      <c r="B2783" s="105">
        <v>2</v>
      </c>
      <c r="C2783" s="135" t="s">
        <v>999</v>
      </c>
      <c r="D2783" s="31"/>
      <c r="E2783" s="189"/>
      <c r="F2783" s="210" t="s">
        <v>2374</v>
      </c>
      <c r="G2783" s="190">
        <v>1</v>
      </c>
      <c r="H2783" s="207">
        <f>'HIRE CHARGES'!$F$520</f>
        <v>83.3</v>
      </c>
      <c r="I2783" s="155">
        <f t="shared" ref="I2783:I2793" si="48">ROUND(H2783*G2783,2)</f>
        <v>83.3</v>
      </c>
      <c r="J2783" s="78"/>
    </row>
    <row r="2784" spans="2:10">
      <c r="B2784" s="105">
        <v>3</v>
      </c>
      <c r="C2784" s="135" t="s">
        <v>439</v>
      </c>
      <c r="D2784" s="31"/>
      <c r="E2784" s="189"/>
      <c r="F2784" s="210" t="s">
        <v>2374</v>
      </c>
      <c r="G2784" s="190">
        <v>8</v>
      </c>
      <c r="H2784" s="207">
        <f>'HIRE CHARGES'!$F$532</f>
        <v>158.19999999999999</v>
      </c>
      <c r="I2784" s="155">
        <f t="shared" si="48"/>
        <v>1265.5999999999999</v>
      </c>
      <c r="J2784" s="78"/>
    </row>
    <row r="2785" spans="2:10">
      <c r="B2785" s="105">
        <v>4</v>
      </c>
      <c r="C2785" s="135" t="s">
        <v>440</v>
      </c>
      <c r="D2785" s="31"/>
      <c r="E2785" s="189"/>
      <c r="F2785" s="210" t="s">
        <v>1172</v>
      </c>
      <c r="G2785" s="190">
        <v>1</v>
      </c>
      <c r="H2785" s="207">
        <f>'BASIC DATA'!$C$474</f>
        <v>445</v>
      </c>
      <c r="I2785" s="155">
        <f t="shared" si="48"/>
        <v>445</v>
      </c>
      <c r="J2785" s="78"/>
    </row>
    <row r="2786" spans="2:10">
      <c r="B2786" s="105">
        <v>5</v>
      </c>
      <c r="C2786" s="135" t="s">
        <v>2697</v>
      </c>
      <c r="D2786" s="31"/>
      <c r="E2786" s="189"/>
      <c r="F2786" s="210"/>
      <c r="G2786" s="190"/>
      <c r="H2786" s="207"/>
      <c r="I2786" s="155"/>
      <c r="J2786" s="78"/>
    </row>
    <row r="2787" spans="2:10">
      <c r="B2787" s="105"/>
      <c r="C2787" s="135" t="s">
        <v>6643</v>
      </c>
      <c r="D2787" s="31"/>
      <c r="E2787" s="189"/>
      <c r="F2787" s="210" t="s">
        <v>1172</v>
      </c>
      <c r="G2787" s="190">
        <v>2</v>
      </c>
      <c r="H2787" s="207">
        <f>'BASIC DATA'!$C$552</f>
        <v>350</v>
      </c>
      <c r="I2787" s="155">
        <f t="shared" si="48"/>
        <v>700</v>
      </c>
      <c r="J2787" s="78"/>
    </row>
    <row r="2788" spans="2:10">
      <c r="B2788" s="105"/>
      <c r="C2788" s="135" t="s">
        <v>4869</v>
      </c>
      <c r="D2788" s="31"/>
      <c r="E2788" s="189"/>
      <c r="F2788" s="210" t="s">
        <v>1172</v>
      </c>
      <c r="G2788" s="190">
        <v>9</v>
      </c>
      <c r="H2788" s="207">
        <f>'BASIC DATA'!$C$552</f>
        <v>350</v>
      </c>
      <c r="I2788" s="155">
        <f t="shared" si="48"/>
        <v>3150</v>
      </c>
      <c r="J2788" s="78"/>
    </row>
    <row r="2789" spans="2:10">
      <c r="B2789" s="105"/>
      <c r="C2789" s="135" t="s">
        <v>442</v>
      </c>
      <c r="D2789" s="31"/>
      <c r="E2789" s="189"/>
      <c r="F2789" s="210" t="s">
        <v>1172</v>
      </c>
      <c r="G2789" s="190">
        <v>4</v>
      </c>
      <c r="H2789" s="207">
        <f>'BASIC DATA'!$C$552</f>
        <v>350</v>
      </c>
      <c r="I2789" s="155">
        <f t="shared" si="48"/>
        <v>1400</v>
      </c>
      <c r="J2789" s="78"/>
    </row>
    <row r="2790" spans="2:10">
      <c r="B2790" s="105"/>
      <c r="C2790" s="135" t="s">
        <v>5151</v>
      </c>
      <c r="D2790" s="31"/>
      <c r="E2790" s="189"/>
      <c r="F2790" s="210" t="s">
        <v>1172</v>
      </c>
      <c r="G2790" s="190">
        <v>3</v>
      </c>
      <c r="H2790" s="207">
        <f>'BASIC DATA'!$C$552</f>
        <v>350</v>
      </c>
      <c r="I2790" s="155">
        <f t="shared" si="48"/>
        <v>1050</v>
      </c>
      <c r="J2790" s="78"/>
    </row>
    <row r="2791" spans="2:10">
      <c r="B2791" s="105"/>
      <c r="C2791" s="135" t="s">
        <v>444</v>
      </c>
      <c r="D2791" s="31"/>
      <c r="E2791" s="189"/>
      <c r="F2791" s="210" t="s">
        <v>1172</v>
      </c>
      <c r="G2791" s="190">
        <f>H2755</f>
        <v>15.87</v>
      </c>
      <c r="H2791" s="207">
        <f>'BASIC DATA'!$C$552</f>
        <v>350</v>
      </c>
      <c r="I2791" s="155">
        <f t="shared" si="48"/>
        <v>5554.5</v>
      </c>
      <c r="J2791" s="78"/>
    </row>
    <row r="2792" spans="2:10">
      <c r="B2792" s="105"/>
      <c r="C2792" s="135" t="s">
        <v>4473</v>
      </c>
      <c r="D2792" s="31"/>
      <c r="E2792" s="189"/>
      <c r="F2792" s="210" t="s">
        <v>1172</v>
      </c>
      <c r="G2792" s="190">
        <v>1</v>
      </c>
      <c r="H2792" s="207">
        <f>'BASIC DATA'!$C$552</f>
        <v>350</v>
      </c>
      <c r="I2792" s="155">
        <f t="shared" si="48"/>
        <v>350</v>
      </c>
      <c r="J2792" s="78"/>
    </row>
    <row r="2793" spans="2:10">
      <c r="B2793" s="105">
        <v>6</v>
      </c>
      <c r="C2793" s="135" t="s">
        <v>4870</v>
      </c>
      <c r="D2793" s="31"/>
      <c r="E2793" s="189"/>
      <c r="F2793" s="210" t="s">
        <v>3479</v>
      </c>
      <c r="G2793" s="190">
        <f>H2755</f>
        <v>15.87</v>
      </c>
      <c r="H2793" s="207">
        <f>H2749</f>
        <v>88.5</v>
      </c>
      <c r="I2793" s="84">
        <f t="shared" si="48"/>
        <v>1404.5</v>
      </c>
      <c r="J2793" s="78"/>
    </row>
    <row r="2794" spans="2:10">
      <c r="B2794" s="114">
        <v>7</v>
      </c>
      <c r="C2794" s="139" t="s">
        <v>7603</v>
      </c>
      <c r="D2794" s="174"/>
      <c r="E2794" s="192"/>
      <c r="F2794" s="268">
        <v>0.15</v>
      </c>
      <c r="G2794" s="182"/>
      <c r="H2794" s="181"/>
      <c r="I2794" s="144">
        <f>ROUND(I2793*F2794,2)</f>
        <v>210.68</v>
      </c>
      <c r="J2794" s="78"/>
    </row>
    <row r="2795" spans="2:10">
      <c r="B2795" s="154"/>
      <c r="C2795" s="89"/>
      <c r="D2795" s="174"/>
      <c r="E2795" s="174" t="s">
        <v>1174</v>
      </c>
      <c r="F2795" s="174"/>
      <c r="G2795" s="174"/>
      <c r="H2795" s="245" t="s">
        <v>1698</v>
      </c>
      <c r="I2795" s="269">
        <f>SUM(I2782:I2794)</f>
        <v>17371.18</v>
      </c>
      <c r="J2795" s="78"/>
    </row>
    <row r="2796" spans="2:10">
      <c r="B2796" s="60" t="s">
        <v>5948</v>
      </c>
      <c r="C2796" s="76"/>
      <c r="D2796" s="31"/>
      <c r="E2796" s="31"/>
      <c r="F2796" s="31"/>
      <c r="G2796" s="85">
        <f>ROUND(I2795/H2755,1)</f>
        <v>1094.5999999999999</v>
      </c>
      <c r="J2796" s="78"/>
    </row>
    <row r="2797" spans="2:10">
      <c r="B2797" s="60" t="s">
        <v>3163</v>
      </c>
      <c r="C2797" s="76"/>
      <c r="D2797" s="31"/>
      <c r="E2797" s="31"/>
      <c r="F2797" s="922">
        <f>'BASIC DATA'!$C$577</f>
        <v>0.13614999999999999</v>
      </c>
      <c r="G2797" s="85">
        <f>ROUND(G2796*F2797,1)</f>
        <v>149</v>
      </c>
      <c r="J2797" s="78"/>
    </row>
    <row r="2798" spans="2:10">
      <c r="B2798" s="60" t="s">
        <v>5949</v>
      </c>
      <c r="C2798" s="76"/>
      <c r="D2798" s="31"/>
      <c r="E2798" s="31"/>
      <c r="F2798" s="31"/>
      <c r="G2798" s="199">
        <f>ROUND(G2797+G2796,1)</f>
        <v>1243.5999999999999</v>
      </c>
      <c r="J2798" s="78"/>
    </row>
    <row r="2799" spans="2:10">
      <c r="B2799" s="31"/>
      <c r="C2799" s="76"/>
      <c r="D2799" s="31"/>
      <c r="E2799" s="31"/>
      <c r="F2799" s="31"/>
      <c r="G2799" s="31"/>
      <c r="H2799" s="200"/>
      <c r="I2799" s="31"/>
      <c r="J2799" s="78"/>
    </row>
    <row r="2800" spans="2:10">
      <c r="B2800" s="170" t="s">
        <v>1175</v>
      </c>
      <c r="J2800" s="78"/>
    </row>
    <row r="2801" spans="1:10">
      <c r="B2801" s="26" t="s">
        <v>1176</v>
      </c>
      <c r="H2801" s="171" t="s">
        <v>1698</v>
      </c>
      <c r="I2801" s="117">
        <f>I2766</f>
        <v>43733.149999999994</v>
      </c>
      <c r="J2801" s="78"/>
    </row>
    <row r="2802" spans="1:10">
      <c r="B2802" s="26" t="s">
        <v>1186</v>
      </c>
      <c r="H2802" s="171" t="s">
        <v>1698</v>
      </c>
      <c r="I2802" s="117">
        <f>I2777</f>
        <v>809.1</v>
      </c>
      <c r="J2802" s="78"/>
    </row>
    <row r="2803" spans="1:10">
      <c r="B2803" s="26" t="s">
        <v>2660</v>
      </c>
      <c r="H2803" s="171" t="s">
        <v>1698</v>
      </c>
      <c r="I2803" s="85">
        <f>I2795</f>
        <v>17371.18</v>
      </c>
      <c r="J2803" s="78"/>
    </row>
    <row r="2804" spans="1:10">
      <c r="G2804" s="26" t="s">
        <v>1518</v>
      </c>
      <c r="H2804" s="171" t="s">
        <v>1698</v>
      </c>
      <c r="I2804" s="130">
        <f>SUM(I2800:I2803)</f>
        <v>61913.429999999993</v>
      </c>
      <c r="J2804" s="78"/>
    </row>
    <row r="2805" spans="1:10" ht="18.75">
      <c r="B2805" s="1207" t="s">
        <v>8375</v>
      </c>
      <c r="C2805" s="1207"/>
      <c r="D2805" s="1207"/>
      <c r="E2805" s="1207"/>
      <c r="F2805" s="1207"/>
      <c r="G2805" s="922">
        <f>'BASIC DATA'!$C$577</f>
        <v>0.13614999999999999</v>
      </c>
      <c r="H2805" s="171" t="s">
        <v>4108</v>
      </c>
      <c r="I2805" s="76">
        <f>ROUND(I2804*G2805,2)</f>
        <v>8429.51</v>
      </c>
      <c r="J2805" s="78"/>
    </row>
    <row r="2806" spans="1:10">
      <c r="B2806" s="27" t="s">
        <v>9590</v>
      </c>
      <c r="C2806" s="43"/>
      <c r="D2806" s="43"/>
      <c r="E2806" s="43"/>
      <c r="F2806" s="779">
        <f>G2762</f>
        <v>6.9828000000000001</v>
      </c>
      <c r="G2806" s="201" t="s">
        <v>9591</v>
      </c>
      <c r="H2806" s="68" t="str">
        <f>CONCATENATE((leadcharges!$D$65)," ","Rs./Cum")</f>
        <v>31.5 Rs./Cum</v>
      </c>
      <c r="I2806" s="76">
        <f>leadcharges!$D$65*F2806</f>
        <v>219.95820000000001</v>
      </c>
      <c r="J2806" s="78"/>
    </row>
    <row r="2807" spans="1:10">
      <c r="B2807" s="27" t="s">
        <v>9594</v>
      </c>
      <c r="C2807" s="43"/>
      <c r="D2807" s="43"/>
      <c r="E2807" s="43"/>
      <c r="F2807" s="779">
        <f>SUM(G2760:G2761)</f>
        <v>12.695999999999998</v>
      </c>
      <c r="G2807" s="201" t="s">
        <v>9591</v>
      </c>
      <c r="H2807" s="68" t="str">
        <f>CONCATENATE((leadcharges!$E$65)," ","Rs./Cum")</f>
        <v>30.4 Rs./Cum</v>
      </c>
      <c r="I2807" s="85">
        <f>leadcharges!$E$65*F2807</f>
        <v>385.95839999999993</v>
      </c>
      <c r="J2807" s="78"/>
    </row>
    <row r="2808" spans="1:10" ht="39.75" hidden="1" customHeight="1">
      <c r="B2808" s="1207"/>
      <c r="C2808" s="1207"/>
      <c r="D2808" s="1207"/>
      <c r="E2808" s="1207"/>
      <c r="F2808" s="779"/>
      <c r="G2808" s="201"/>
      <c r="H2808" s="68"/>
      <c r="I2808" s="76"/>
      <c r="J2808" s="78"/>
    </row>
    <row r="2809" spans="1:10">
      <c r="B2809" s="1206" t="s">
        <v>1191</v>
      </c>
      <c r="C2809" s="1206"/>
      <c r="D2809" s="1206"/>
      <c r="E2809" s="1206"/>
      <c r="F2809" s="202">
        <f>H2755</f>
        <v>15.87</v>
      </c>
      <c r="G2809" s="217" t="str">
        <f>I2755</f>
        <v>cum</v>
      </c>
      <c r="H2809" s="171" t="s">
        <v>1698</v>
      </c>
      <c r="I2809" s="199">
        <f>SUM(I2804:I2808)</f>
        <v>70948.856599999985</v>
      </c>
      <c r="J2809" s="78"/>
    </row>
    <row r="2810" spans="1:10">
      <c r="B2810" s="1161" t="s">
        <v>3884</v>
      </c>
      <c r="C2810" s="1161"/>
      <c r="D2810" s="203" t="str">
        <f>G2809</f>
        <v>cum</v>
      </c>
      <c r="F2810" s="26" t="s">
        <v>7686</v>
      </c>
      <c r="H2810" s="171" t="s">
        <v>1698</v>
      </c>
      <c r="I2810" s="204">
        <f>ROUND(I2809/F2809,1)</f>
        <v>4470.6000000000004</v>
      </c>
      <c r="J2810" s="186"/>
    </row>
    <row r="2811" spans="1:10">
      <c r="J2811" s="78"/>
    </row>
    <row r="2812" spans="1:10">
      <c r="J2812" s="78"/>
    </row>
    <row r="2813" spans="1:10" ht="18.75">
      <c r="A2813" s="822" t="s">
        <v>7341</v>
      </c>
      <c r="B2813" s="26" t="s">
        <v>8448</v>
      </c>
      <c r="J2813" s="78"/>
    </row>
    <row r="2814" spans="1:10" ht="18.75">
      <c r="B2814" s="26" t="s">
        <v>8449</v>
      </c>
      <c r="J2814" s="78"/>
    </row>
    <row r="2815" spans="1:10">
      <c r="B2815" s="26" t="s">
        <v>6803</v>
      </c>
      <c r="J2815" s="78"/>
    </row>
    <row r="2816" spans="1:10">
      <c r="B2816" s="26" t="s">
        <v>426</v>
      </c>
      <c r="J2816" s="78"/>
    </row>
    <row r="2817" spans="1:10">
      <c r="B2817" s="26" t="s">
        <v>427</v>
      </c>
      <c r="J2817" s="78"/>
    </row>
    <row r="2818" spans="1:10" ht="18.75">
      <c r="B2818" s="26" t="s">
        <v>8450</v>
      </c>
      <c r="J2818" s="78"/>
    </row>
    <row r="2819" spans="1:10">
      <c r="B2819" s="26" t="s">
        <v>8451</v>
      </c>
      <c r="J2819" s="78"/>
    </row>
    <row r="2820" spans="1:10">
      <c r="B2820" s="170" t="s">
        <v>7668</v>
      </c>
      <c r="J2820" s="78"/>
    </row>
    <row r="2821" spans="1:10">
      <c r="B2821" s="170" t="s">
        <v>5364</v>
      </c>
      <c r="J2821" s="78"/>
    </row>
    <row r="2822" spans="1:10">
      <c r="B2822" s="170" t="s">
        <v>5365</v>
      </c>
      <c r="J2822" s="78"/>
    </row>
    <row r="2823" spans="1:10" hidden="1">
      <c r="A2823" s="822" t="s">
        <v>3984</v>
      </c>
      <c r="B2823" s="26" t="s">
        <v>1082</v>
      </c>
      <c r="J2823" s="78"/>
    </row>
    <row r="2824" spans="1:10" hidden="1">
      <c r="B2824" s="26" t="s">
        <v>2601</v>
      </c>
      <c r="H2824" s="68">
        <v>0.8</v>
      </c>
      <c r="I2824" s="26" t="s">
        <v>5336</v>
      </c>
      <c r="J2824" s="78"/>
    </row>
    <row r="2825" spans="1:10" hidden="1">
      <c r="B2825" s="26" t="s">
        <v>2929</v>
      </c>
      <c r="H2825" s="171" t="s">
        <v>2930</v>
      </c>
      <c r="J2825" s="78"/>
    </row>
    <row r="2826" spans="1:10" hidden="1">
      <c r="B2826" s="26" t="s">
        <v>3414</v>
      </c>
      <c r="H2826" s="68">
        <v>0.44</v>
      </c>
      <c r="I2826" s="26" t="s">
        <v>5336</v>
      </c>
      <c r="J2826" s="78"/>
    </row>
    <row r="2827" spans="1:10" hidden="1">
      <c r="B2827" s="26" t="s">
        <v>5853</v>
      </c>
      <c r="H2827" s="68">
        <v>330</v>
      </c>
      <c r="I2827" s="26" t="s">
        <v>6670</v>
      </c>
      <c r="J2827" s="78"/>
    </row>
    <row r="2828" spans="1:10" hidden="1">
      <c r="A2828" s="853"/>
      <c r="B2828" s="61" t="s">
        <v>818</v>
      </c>
      <c r="C2828" s="125"/>
      <c r="D2828" s="61"/>
      <c r="E2828" s="61"/>
      <c r="F2828" s="61"/>
      <c r="G2828" s="61"/>
      <c r="H2828" s="223">
        <f>H2827*0.4%</f>
        <v>1.32</v>
      </c>
      <c r="I2828" s="61" t="s">
        <v>6670</v>
      </c>
      <c r="J2828" s="78"/>
    </row>
    <row r="2829" spans="1:10" hidden="1">
      <c r="B2829" s="26" t="s">
        <v>3732</v>
      </c>
      <c r="J2829" s="78"/>
    </row>
    <row r="2830" spans="1:10" hidden="1">
      <c r="B2830" s="26" t="s">
        <v>3381</v>
      </c>
      <c r="H2830" s="78" t="s">
        <v>4618</v>
      </c>
      <c r="I2830" s="26" t="s">
        <v>6671</v>
      </c>
      <c r="J2830" s="78"/>
    </row>
    <row r="2831" spans="1:10" hidden="1">
      <c r="B2831" s="26" t="s">
        <v>4871</v>
      </c>
      <c r="H2831" s="26" t="s">
        <v>4872</v>
      </c>
      <c r="J2831" s="78"/>
    </row>
    <row r="2832" spans="1:10" hidden="1">
      <c r="B2832" s="26" t="s">
        <v>3455</v>
      </c>
      <c r="H2832" s="68">
        <v>3</v>
      </c>
      <c r="I2832" s="26" t="s">
        <v>2603</v>
      </c>
      <c r="J2832" s="78"/>
    </row>
    <row r="2833" spans="2:10" hidden="1">
      <c r="B2833" s="26" t="s">
        <v>3112</v>
      </c>
      <c r="F2833" s="26" t="s">
        <v>3386</v>
      </c>
      <c r="H2833" s="26" t="s">
        <v>4872</v>
      </c>
      <c r="J2833" s="78"/>
    </row>
    <row r="2834" spans="2:10" hidden="1">
      <c r="B2834" s="26" t="s">
        <v>3388</v>
      </c>
      <c r="F2834" s="26" t="s">
        <v>3386</v>
      </c>
      <c r="H2834" s="26" t="s">
        <v>4872</v>
      </c>
      <c r="J2834" s="78"/>
    </row>
    <row r="2835" spans="2:10" hidden="1">
      <c r="B2835" s="26" t="s">
        <v>3389</v>
      </c>
      <c r="F2835" s="26" t="s">
        <v>3386</v>
      </c>
      <c r="H2835" s="26" t="s">
        <v>4872</v>
      </c>
      <c r="J2835" s="78"/>
    </row>
    <row r="2836" spans="2:10" hidden="1">
      <c r="B2836" s="26" t="s">
        <v>4072</v>
      </c>
      <c r="H2836" s="68">
        <v>1.5</v>
      </c>
      <c r="I2836" s="26" t="s">
        <v>2603</v>
      </c>
      <c r="J2836" s="78"/>
    </row>
    <row r="2837" spans="2:10" hidden="1">
      <c r="B2837" s="26" t="s">
        <v>4073</v>
      </c>
      <c r="F2837" s="26" t="s">
        <v>3386</v>
      </c>
      <c r="J2837" s="78"/>
    </row>
    <row r="2838" spans="2:10" hidden="1">
      <c r="B2838" s="26" t="s">
        <v>3082</v>
      </c>
      <c r="H2838" s="68">
        <v>4.5</v>
      </c>
      <c r="I2838" s="26" t="s">
        <v>2603</v>
      </c>
      <c r="J2838" s="78"/>
    </row>
    <row r="2839" spans="2:10" hidden="1">
      <c r="B2839" s="26" t="s">
        <v>7669</v>
      </c>
      <c r="H2839" s="68">
        <f>ROUND((50/H2827)*(50/H2838)*8,2)</f>
        <v>13.47</v>
      </c>
      <c r="I2839" s="26" t="s">
        <v>3477</v>
      </c>
      <c r="J2839" s="78"/>
    </row>
    <row r="2840" spans="2:10" hidden="1">
      <c r="B2840" s="26" t="s">
        <v>3083</v>
      </c>
      <c r="H2840" s="171"/>
      <c r="J2840" s="78"/>
    </row>
    <row r="2841" spans="2:10" hidden="1">
      <c r="B2841" s="26" t="s">
        <v>3455</v>
      </c>
      <c r="E2841" s="26" t="s">
        <v>5430</v>
      </c>
      <c r="G2841" s="171" t="s">
        <v>1697</v>
      </c>
      <c r="H2841" s="68">
        <v>3</v>
      </c>
      <c r="I2841" s="26" t="s">
        <v>2059</v>
      </c>
      <c r="J2841" s="78"/>
    </row>
    <row r="2842" spans="2:10" hidden="1">
      <c r="B2842" s="26" t="s">
        <v>3112</v>
      </c>
      <c r="E2842" s="26" t="s">
        <v>5430</v>
      </c>
      <c r="G2842" s="171" t="s">
        <v>1697</v>
      </c>
      <c r="H2842" s="68">
        <v>3</v>
      </c>
      <c r="I2842" s="26" t="s">
        <v>2059</v>
      </c>
      <c r="J2842" s="78"/>
    </row>
    <row r="2843" spans="2:10" hidden="1">
      <c r="B2843" s="26" t="s">
        <v>3388</v>
      </c>
      <c r="E2843" s="26" t="s">
        <v>5430</v>
      </c>
      <c r="G2843" s="171" t="s">
        <v>1697</v>
      </c>
      <c r="H2843" s="68">
        <v>3</v>
      </c>
      <c r="I2843" s="26" t="s">
        <v>2059</v>
      </c>
      <c r="J2843" s="78"/>
    </row>
    <row r="2844" spans="2:10" hidden="1">
      <c r="B2844" s="26" t="s">
        <v>3389</v>
      </c>
      <c r="E2844" s="26" t="s">
        <v>5430</v>
      </c>
      <c r="G2844" s="171" t="s">
        <v>1697</v>
      </c>
      <c r="H2844" s="68">
        <v>2</v>
      </c>
      <c r="I2844" s="26" t="s">
        <v>2059</v>
      </c>
      <c r="J2844" s="78"/>
    </row>
    <row r="2845" spans="2:10" hidden="1">
      <c r="B2845" s="26" t="s">
        <v>3084</v>
      </c>
      <c r="E2845" s="26" t="s">
        <v>5430</v>
      </c>
      <c r="G2845" s="171" t="s">
        <v>1697</v>
      </c>
      <c r="H2845" s="68">
        <v>17.47</v>
      </c>
      <c r="I2845" s="26" t="s">
        <v>2059</v>
      </c>
      <c r="J2845" s="78"/>
    </row>
    <row r="2846" spans="2:10" hidden="1">
      <c r="B2846" s="26" t="s">
        <v>3085</v>
      </c>
      <c r="E2846" s="26" t="s">
        <v>3086</v>
      </c>
      <c r="G2846" s="171" t="s">
        <v>1697</v>
      </c>
      <c r="H2846" s="68">
        <v>1</v>
      </c>
      <c r="I2846" s="26" t="s">
        <v>4089</v>
      </c>
      <c r="J2846" s="78"/>
    </row>
    <row r="2847" spans="2:10" hidden="1">
      <c r="E2847" s="26" t="s">
        <v>5430</v>
      </c>
      <c r="G2847" s="171" t="s">
        <v>1697</v>
      </c>
      <c r="H2847" s="68">
        <v>3</v>
      </c>
      <c r="I2847" s="26" t="s">
        <v>4041</v>
      </c>
      <c r="J2847" s="78"/>
    </row>
    <row r="2848" spans="2:10" hidden="1">
      <c r="B2848" s="26" t="s">
        <v>3087</v>
      </c>
      <c r="E2848" s="26" t="s">
        <v>2696</v>
      </c>
      <c r="G2848" s="171" t="s">
        <v>1697</v>
      </c>
      <c r="H2848" s="68">
        <v>1</v>
      </c>
      <c r="I2848" s="26" t="s">
        <v>4089</v>
      </c>
      <c r="J2848" s="78"/>
    </row>
    <row r="2849" spans="1:10" hidden="1">
      <c r="B2849" s="26" t="s">
        <v>877</v>
      </c>
      <c r="J2849" s="78"/>
    </row>
    <row r="2850" spans="1:10" hidden="1">
      <c r="B2850" s="26" t="s">
        <v>2333</v>
      </c>
      <c r="J2850" s="78"/>
    </row>
    <row r="2851" spans="1:10" hidden="1">
      <c r="B2851" s="26" t="s">
        <v>577</v>
      </c>
      <c r="G2851" s="171" t="s">
        <v>1698</v>
      </c>
      <c r="H2851" s="68">
        <f>H1604</f>
        <v>216.75</v>
      </c>
      <c r="I2851" s="26" t="s">
        <v>3479</v>
      </c>
      <c r="J2851" s="78"/>
    </row>
    <row r="2852" spans="1:10" hidden="1">
      <c r="B2852" s="26" t="s">
        <v>6638</v>
      </c>
      <c r="G2852" s="171" t="s">
        <v>1698</v>
      </c>
      <c r="H2852" s="68">
        <f>H1621</f>
        <v>88.5</v>
      </c>
      <c r="I2852" s="26" t="s">
        <v>3479</v>
      </c>
      <c r="J2852" s="78"/>
    </row>
    <row r="2853" spans="1:10" hidden="1">
      <c r="B2853" s="26" t="s">
        <v>580</v>
      </c>
      <c r="J2853" s="78"/>
    </row>
    <row r="2854" spans="1:10" hidden="1">
      <c r="B2854" s="26" t="s">
        <v>4411</v>
      </c>
      <c r="J2854" s="78"/>
    </row>
    <row r="2855" spans="1:10" hidden="1">
      <c r="J2855" s="78"/>
    </row>
    <row r="2856" spans="1:10">
      <c r="J2856" s="78"/>
    </row>
    <row r="2857" spans="1:10">
      <c r="A2857" s="822" t="s">
        <v>3984</v>
      </c>
      <c r="E2857" s="170" t="s">
        <v>2367</v>
      </c>
      <c r="J2857" s="78"/>
    </row>
    <row r="2858" spans="1:10">
      <c r="F2858" s="68"/>
      <c r="H2858" s="171" t="s">
        <v>1188</v>
      </c>
      <c r="J2858" s="78"/>
    </row>
    <row r="2859" spans="1:10">
      <c r="B2859" s="170" t="s">
        <v>2368</v>
      </c>
      <c r="C2859" s="89"/>
      <c r="H2859" s="211">
        <f>H2839</f>
        <v>13.47</v>
      </c>
      <c r="I2859" s="26" t="s">
        <v>3477</v>
      </c>
      <c r="J2859" s="78"/>
    </row>
    <row r="2860" spans="1:10">
      <c r="B2860" s="95" t="s">
        <v>2369</v>
      </c>
      <c r="D2860" s="157" t="s">
        <v>4443</v>
      </c>
      <c r="E2860" s="97"/>
      <c r="F2860" s="95" t="s">
        <v>2370</v>
      </c>
      <c r="G2860" s="95" t="s">
        <v>1166</v>
      </c>
      <c r="H2860" s="97" t="s">
        <v>6664</v>
      </c>
      <c r="I2860" s="97" t="s">
        <v>6665</v>
      </c>
      <c r="J2860" s="78"/>
    </row>
    <row r="2861" spans="1:10">
      <c r="B2861" s="191"/>
      <c r="C2861" s="139"/>
      <c r="D2861" s="174"/>
      <c r="E2861" s="192"/>
      <c r="F2861" s="191"/>
      <c r="G2861" s="114"/>
      <c r="H2861" s="276" t="s">
        <v>3856</v>
      </c>
      <c r="I2861" s="115" t="s">
        <v>3857</v>
      </c>
      <c r="J2861" s="78"/>
    </row>
    <row r="2862" spans="1:10">
      <c r="B2862" s="95">
        <v>1</v>
      </c>
      <c r="C2862" s="131" t="s">
        <v>1728</v>
      </c>
      <c r="D2862" s="187"/>
      <c r="E2862" s="195"/>
      <c r="F2862" s="107" t="s">
        <v>3478</v>
      </c>
      <c r="G2862" s="26">
        <f>H2827*H2859</f>
        <v>4445.1000000000004</v>
      </c>
      <c r="H2862" s="212">
        <f>'BASIC DATA'!$D$32/1000</f>
        <v>5.35</v>
      </c>
      <c r="I2862" s="84">
        <f>ROUND(H2862*G2862,2)</f>
        <v>23781.29</v>
      </c>
      <c r="J2862" s="78"/>
    </row>
    <row r="2863" spans="1:10">
      <c r="B2863" s="105"/>
      <c r="C2863" s="135" t="s">
        <v>4761</v>
      </c>
      <c r="D2863" s="31"/>
      <c r="E2863" s="189"/>
      <c r="F2863" s="210" t="s">
        <v>3478</v>
      </c>
      <c r="G2863" s="221">
        <f>H2859*3</f>
        <v>40.410000000000004</v>
      </c>
      <c r="H2863" s="214">
        <f>'BASIC DATA'!$D$32/1000</f>
        <v>5.35</v>
      </c>
      <c r="I2863" s="84">
        <f t="shared" ref="I2863:I2868" si="49">ROUND(H2863*G2863,2)</f>
        <v>216.19</v>
      </c>
      <c r="J2863" s="78"/>
    </row>
    <row r="2864" spans="1:10">
      <c r="B2864" s="105">
        <v>2</v>
      </c>
      <c r="C2864" s="135" t="s">
        <v>6995</v>
      </c>
      <c r="D2864" s="31"/>
      <c r="E2864" s="189"/>
      <c r="F2864" s="210" t="s">
        <v>3477</v>
      </c>
      <c r="G2864" s="68">
        <f>0.8*H2859*0.65</f>
        <v>7.0044000000000013</v>
      </c>
      <c r="H2864" s="214">
        <f>'BASIC DATA'!$D$35</f>
        <v>1225</v>
      </c>
      <c r="I2864" s="84">
        <f t="shared" si="49"/>
        <v>8580.39</v>
      </c>
      <c r="J2864" s="78"/>
    </row>
    <row r="2865" spans="1:10">
      <c r="B2865" s="105"/>
      <c r="C2865" s="135" t="s">
        <v>1050</v>
      </c>
      <c r="D2865" s="31"/>
      <c r="E2865" s="189"/>
      <c r="F2865" s="210" t="s">
        <v>3477</v>
      </c>
      <c r="G2865" s="68">
        <f>0.8*H2859*0.35</f>
        <v>3.7716000000000003</v>
      </c>
      <c r="H2865" s="214">
        <f>'BASIC DATA'!$D$34</f>
        <v>900</v>
      </c>
      <c r="I2865" s="84">
        <f t="shared" si="49"/>
        <v>3394.44</v>
      </c>
      <c r="J2865" s="78"/>
    </row>
    <row r="2866" spans="1:10">
      <c r="A2866" s="853"/>
      <c r="B2866" s="240">
        <v>3</v>
      </c>
      <c r="C2866" s="326" t="s">
        <v>7935</v>
      </c>
      <c r="D2866" s="60"/>
      <c r="E2866" s="253"/>
      <c r="F2866" s="254" t="s">
        <v>3477</v>
      </c>
      <c r="G2866" s="223">
        <f>0.44*H2859</f>
        <v>5.9268000000000001</v>
      </c>
      <c r="H2866" s="266">
        <f>'BASIC DATA'!$D$55</f>
        <v>95</v>
      </c>
      <c r="I2866" s="259">
        <f t="shared" si="49"/>
        <v>563.04999999999995</v>
      </c>
      <c r="J2866" s="62"/>
    </row>
    <row r="2867" spans="1:10">
      <c r="B2867" s="105">
        <v>4</v>
      </c>
      <c r="C2867" s="135" t="s">
        <v>4282</v>
      </c>
      <c r="D2867" s="31"/>
      <c r="E2867" s="189"/>
      <c r="F2867" s="210" t="s">
        <v>3482</v>
      </c>
      <c r="G2867" s="221">
        <f>H2828*H2859</f>
        <v>17.7804</v>
      </c>
      <c r="H2867" s="266">
        <f>'BASIC DATA'!$D$99</f>
        <v>55</v>
      </c>
      <c r="I2867" s="84">
        <f t="shared" si="49"/>
        <v>977.92</v>
      </c>
      <c r="J2867" s="78"/>
    </row>
    <row r="2868" spans="1:10">
      <c r="B2868" s="105">
        <v>5</v>
      </c>
      <c r="C2868" s="135" t="s">
        <v>5315</v>
      </c>
      <c r="D2868" s="31"/>
      <c r="E2868" s="189"/>
      <c r="F2868" s="210" t="s">
        <v>3479</v>
      </c>
      <c r="G2868" s="221">
        <f>2.5*H2859</f>
        <v>33.675000000000004</v>
      </c>
      <c r="H2868" s="214">
        <f>H2851</f>
        <v>216.75</v>
      </c>
      <c r="I2868" s="84">
        <f t="shared" si="49"/>
        <v>7299.06</v>
      </c>
      <c r="J2868" s="78"/>
    </row>
    <row r="2869" spans="1:10">
      <c r="B2869" s="105">
        <v>6</v>
      </c>
      <c r="C2869" s="89" t="s">
        <v>7604</v>
      </c>
      <c r="D2869" s="174"/>
      <c r="E2869" s="192"/>
      <c r="F2869" s="268">
        <v>1</v>
      </c>
      <c r="G2869" s="154"/>
      <c r="H2869" s="275"/>
      <c r="I2869" s="140">
        <f>ROUND(I2868*F2869,2)</f>
        <v>7299.06</v>
      </c>
      <c r="J2869" s="78"/>
    </row>
    <row r="2870" spans="1:10">
      <c r="B2870" s="154"/>
      <c r="C2870" s="151"/>
      <c r="D2870" s="159"/>
      <c r="E2870" s="159"/>
      <c r="F2870" s="159" t="s">
        <v>2376</v>
      </c>
      <c r="G2870" s="159"/>
      <c r="H2870" s="208" t="s">
        <v>1698</v>
      </c>
      <c r="I2870" s="209">
        <f>SUM(I2862:I2869)</f>
        <v>52111.399999999994</v>
      </c>
      <c r="J2870" s="78"/>
    </row>
    <row r="2871" spans="1:10">
      <c r="B2871" s="31"/>
      <c r="C2871" s="76"/>
      <c r="D2871" s="31"/>
      <c r="E2871" s="31"/>
      <c r="F2871" s="31"/>
      <c r="G2871" s="31"/>
      <c r="H2871" s="200"/>
      <c r="I2871" s="31"/>
      <c r="J2871" s="78"/>
    </row>
    <row r="2872" spans="1:10">
      <c r="B2872" s="170" t="s">
        <v>2377</v>
      </c>
      <c r="C2872" s="89"/>
      <c r="J2872" s="78"/>
    </row>
    <row r="2873" spans="1:10">
      <c r="B2873" s="95" t="s">
        <v>2369</v>
      </c>
      <c r="D2873" s="157" t="s">
        <v>2378</v>
      </c>
      <c r="E2873" s="97"/>
      <c r="F2873" s="95" t="s">
        <v>2370</v>
      </c>
      <c r="G2873" s="95" t="s">
        <v>1166</v>
      </c>
      <c r="H2873" s="97" t="s">
        <v>6664</v>
      </c>
      <c r="I2873" s="97" t="s">
        <v>6665</v>
      </c>
      <c r="J2873" s="78"/>
    </row>
    <row r="2874" spans="1:10">
      <c r="B2874" s="191"/>
      <c r="C2874" s="139"/>
      <c r="D2874" s="174"/>
      <c r="E2874" s="192"/>
      <c r="F2874" s="191"/>
      <c r="G2874" s="114"/>
      <c r="H2874" s="115" t="s">
        <v>3856</v>
      </c>
      <c r="I2874" s="115" t="s">
        <v>3857</v>
      </c>
      <c r="J2874" s="78"/>
    </row>
    <row r="2875" spans="1:10">
      <c r="B2875" s="95">
        <v>1</v>
      </c>
      <c r="C2875" s="131" t="s">
        <v>4412</v>
      </c>
      <c r="D2875" s="187"/>
      <c r="E2875" s="195"/>
      <c r="F2875" s="107" t="s">
        <v>2374</v>
      </c>
      <c r="G2875" s="179">
        <v>8</v>
      </c>
      <c r="H2875" s="178">
        <f>'HIRE CHARGES'!$D$508</f>
        <v>51.7</v>
      </c>
      <c r="I2875" s="155">
        <f t="shared" ref="I2875:I2880" si="50">ROUND(H2875*G2875,2)</f>
        <v>413.6</v>
      </c>
      <c r="J2875" s="78"/>
    </row>
    <row r="2876" spans="1:10">
      <c r="B2876" s="105"/>
      <c r="C2876" s="135" t="s">
        <v>2379</v>
      </c>
      <c r="D2876" s="31"/>
      <c r="E2876" s="189"/>
      <c r="F2876" s="210" t="s">
        <v>2374</v>
      </c>
      <c r="G2876" s="190">
        <v>8</v>
      </c>
      <c r="H2876" s="207">
        <f>'HIRE CHARGES'!$E$508</f>
        <v>28</v>
      </c>
      <c r="I2876" s="155">
        <f t="shared" si="50"/>
        <v>224</v>
      </c>
      <c r="J2876" s="78"/>
    </row>
    <row r="2877" spans="1:10">
      <c r="B2877" s="105">
        <v>2</v>
      </c>
      <c r="C2877" s="135" t="s">
        <v>383</v>
      </c>
      <c r="D2877" s="31"/>
      <c r="E2877" s="189"/>
      <c r="F2877" s="210" t="s">
        <v>2374</v>
      </c>
      <c r="G2877" s="190">
        <v>1</v>
      </c>
      <c r="H2877" s="190">
        <f>'HIRE CHARGES'!$D$520</f>
        <v>6.7</v>
      </c>
      <c r="I2877" s="155">
        <f t="shared" si="50"/>
        <v>6.7</v>
      </c>
      <c r="J2877" s="78"/>
    </row>
    <row r="2878" spans="1:10">
      <c r="B2878" s="105"/>
      <c r="C2878" s="135" t="s">
        <v>2379</v>
      </c>
      <c r="D2878" s="31"/>
      <c r="E2878" s="189"/>
      <c r="F2878" s="210" t="s">
        <v>2374</v>
      </c>
      <c r="G2878" s="190">
        <v>1</v>
      </c>
      <c r="H2878" s="207">
        <f>'HIRE CHARGES'!$E$520</f>
        <v>56</v>
      </c>
      <c r="I2878" s="155">
        <f t="shared" si="50"/>
        <v>56</v>
      </c>
      <c r="J2878" s="78"/>
    </row>
    <row r="2879" spans="1:10">
      <c r="B2879" s="105">
        <v>3</v>
      </c>
      <c r="C2879" s="135" t="s">
        <v>6642</v>
      </c>
      <c r="D2879" s="31"/>
      <c r="E2879" s="189"/>
      <c r="F2879" s="210" t="s">
        <v>2374</v>
      </c>
      <c r="G2879" s="190">
        <v>8</v>
      </c>
      <c r="H2879" s="207">
        <f>'HIRE CHARGES'!$D$532</f>
        <v>8</v>
      </c>
      <c r="I2879" s="155">
        <f t="shared" si="50"/>
        <v>64</v>
      </c>
      <c r="J2879" s="78"/>
    </row>
    <row r="2880" spans="1:10">
      <c r="B2880" s="191"/>
      <c r="C2880" s="139" t="s">
        <v>2379</v>
      </c>
      <c r="D2880" s="174"/>
      <c r="E2880" s="192"/>
      <c r="F2880" s="191" t="s">
        <v>2374</v>
      </c>
      <c r="G2880" s="182">
        <v>8</v>
      </c>
      <c r="H2880" s="181">
        <f>'HIRE CHARGES'!$E$532</f>
        <v>5.6</v>
      </c>
      <c r="I2880" s="155">
        <f t="shared" si="50"/>
        <v>44.8</v>
      </c>
      <c r="J2880" s="78"/>
    </row>
    <row r="2881" spans="2:10">
      <c r="B2881" s="184"/>
      <c r="C2881" s="151"/>
      <c r="D2881" s="159"/>
      <c r="E2881" s="159" t="s">
        <v>2380</v>
      </c>
      <c r="F2881" s="159"/>
      <c r="G2881" s="159"/>
      <c r="H2881" s="208" t="s">
        <v>1698</v>
      </c>
      <c r="I2881" s="209">
        <f>SUM(I2875:I2880)</f>
        <v>809.1</v>
      </c>
      <c r="J2881" s="78"/>
    </row>
    <row r="2882" spans="2:10">
      <c r="B2882" s="31"/>
      <c r="C2882" s="76"/>
      <c r="D2882" s="31"/>
      <c r="E2882" s="31"/>
      <c r="F2882" s="31"/>
      <c r="G2882" s="31"/>
      <c r="H2882" s="200"/>
      <c r="I2882" s="31"/>
      <c r="J2882" s="78"/>
    </row>
    <row r="2883" spans="2:10">
      <c r="B2883" s="170" t="s">
        <v>2381</v>
      </c>
      <c r="C2883" s="89"/>
      <c r="J2883" s="78"/>
    </row>
    <row r="2884" spans="2:10">
      <c r="B2884" s="95" t="s">
        <v>2369</v>
      </c>
      <c r="D2884" s="157" t="s">
        <v>2378</v>
      </c>
      <c r="E2884" s="97"/>
      <c r="F2884" s="95" t="s">
        <v>2370</v>
      </c>
      <c r="G2884" s="95" t="s">
        <v>1166</v>
      </c>
      <c r="H2884" s="97" t="s">
        <v>6664</v>
      </c>
      <c r="I2884" s="97" t="s">
        <v>6665</v>
      </c>
      <c r="J2884" s="78"/>
    </row>
    <row r="2885" spans="2:10">
      <c r="B2885" s="191"/>
      <c r="C2885" s="139"/>
      <c r="D2885" s="174"/>
      <c r="E2885" s="192"/>
      <c r="F2885" s="191"/>
      <c r="G2885" s="114"/>
      <c r="H2885" s="115" t="s">
        <v>3856</v>
      </c>
      <c r="I2885" s="115" t="s">
        <v>3857</v>
      </c>
      <c r="J2885" s="78"/>
    </row>
    <row r="2886" spans="2:10">
      <c r="B2886" s="95">
        <v>1</v>
      </c>
      <c r="C2886" s="131" t="s">
        <v>527</v>
      </c>
      <c r="D2886" s="187"/>
      <c r="E2886" s="195"/>
      <c r="F2886" s="107" t="s">
        <v>2374</v>
      </c>
      <c r="G2886" s="179">
        <v>8</v>
      </c>
      <c r="H2886" s="179">
        <f>'HIRE CHARGES'!$F$508</f>
        <v>219.7</v>
      </c>
      <c r="I2886" s="155">
        <f>ROUND(H2886*G2886,2)</f>
        <v>1757.6</v>
      </c>
      <c r="J2886" s="78"/>
    </row>
    <row r="2887" spans="2:10">
      <c r="B2887" s="105">
        <v>2</v>
      </c>
      <c r="C2887" s="135" t="s">
        <v>999</v>
      </c>
      <c r="D2887" s="31"/>
      <c r="E2887" s="189"/>
      <c r="F2887" s="210" t="s">
        <v>2374</v>
      </c>
      <c r="G2887" s="190">
        <v>1</v>
      </c>
      <c r="H2887" s="207">
        <f>'HIRE CHARGES'!$F$520</f>
        <v>83.3</v>
      </c>
      <c r="I2887" s="155">
        <f t="shared" ref="I2887:I2897" si="51">ROUND(H2887*G2887,2)</f>
        <v>83.3</v>
      </c>
      <c r="J2887" s="78"/>
    </row>
    <row r="2888" spans="2:10">
      <c r="B2888" s="105">
        <v>3</v>
      </c>
      <c r="C2888" s="135" t="s">
        <v>439</v>
      </c>
      <c r="D2888" s="31"/>
      <c r="E2888" s="189"/>
      <c r="F2888" s="210" t="s">
        <v>2374</v>
      </c>
      <c r="G2888" s="190">
        <v>8</v>
      </c>
      <c r="H2888" s="207">
        <f>'HIRE CHARGES'!$F$532</f>
        <v>158.19999999999999</v>
      </c>
      <c r="I2888" s="155">
        <f t="shared" si="51"/>
        <v>1265.5999999999999</v>
      </c>
      <c r="J2888" s="78"/>
    </row>
    <row r="2889" spans="2:10">
      <c r="B2889" s="105">
        <v>4</v>
      </c>
      <c r="C2889" s="135" t="s">
        <v>440</v>
      </c>
      <c r="D2889" s="31"/>
      <c r="E2889" s="189"/>
      <c r="F2889" s="210" t="s">
        <v>1172</v>
      </c>
      <c r="G2889" s="190">
        <v>1</v>
      </c>
      <c r="H2889" s="207">
        <f>'BASIC DATA'!$C$474</f>
        <v>445</v>
      </c>
      <c r="I2889" s="155">
        <f t="shared" si="51"/>
        <v>445</v>
      </c>
      <c r="J2889" s="78"/>
    </row>
    <row r="2890" spans="2:10">
      <c r="B2890" s="105">
        <v>5</v>
      </c>
      <c r="C2890" s="135" t="s">
        <v>2697</v>
      </c>
      <c r="D2890" s="31"/>
      <c r="E2890" s="189"/>
      <c r="F2890" s="210"/>
      <c r="G2890" s="190"/>
      <c r="H2890" s="207"/>
      <c r="I2890" s="155">
        <f t="shared" si="51"/>
        <v>0</v>
      </c>
      <c r="J2890" s="78"/>
    </row>
    <row r="2891" spans="2:10">
      <c r="B2891" s="105"/>
      <c r="C2891" s="135" t="s">
        <v>4413</v>
      </c>
      <c r="D2891" s="31"/>
      <c r="E2891" s="189"/>
      <c r="F2891" s="210" t="s">
        <v>1172</v>
      </c>
      <c r="G2891" s="190">
        <v>2</v>
      </c>
      <c r="H2891" s="207">
        <f>'BASIC DATA'!$C$552</f>
        <v>350</v>
      </c>
      <c r="I2891" s="155">
        <f t="shared" si="51"/>
        <v>700</v>
      </c>
      <c r="J2891" s="78"/>
    </row>
    <row r="2892" spans="2:10">
      <c r="B2892" s="105"/>
      <c r="C2892" s="135" t="s">
        <v>4869</v>
      </c>
      <c r="D2892" s="31"/>
      <c r="E2892" s="189"/>
      <c r="F2892" s="210" t="s">
        <v>1172</v>
      </c>
      <c r="G2892" s="190">
        <v>9</v>
      </c>
      <c r="H2892" s="207">
        <f>'BASIC DATA'!$C$552</f>
        <v>350</v>
      </c>
      <c r="I2892" s="155">
        <f t="shared" si="51"/>
        <v>3150</v>
      </c>
      <c r="J2892" s="78"/>
    </row>
    <row r="2893" spans="2:10">
      <c r="B2893" s="105"/>
      <c r="C2893" s="135" t="s">
        <v>442</v>
      </c>
      <c r="D2893" s="31"/>
      <c r="E2893" s="189"/>
      <c r="F2893" s="210" t="s">
        <v>1172</v>
      </c>
      <c r="G2893" s="190">
        <v>4</v>
      </c>
      <c r="H2893" s="207">
        <f>'BASIC DATA'!$C$552</f>
        <v>350</v>
      </c>
      <c r="I2893" s="155">
        <f t="shared" si="51"/>
        <v>1400</v>
      </c>
      <c r="J2893" s="78"/>
    </row>
    <row r="2894" spans="2:10">
      <c r="B2894" s="105"/>
      <c r="C2894" s="135" t="s">
        <v>5151</v>
      </c>
      <c r="D2894" s="31"/>
      <c r="E2894" s="189"/>
      <c r="F2894" s="210" t="s">
        <v>1172</v>
      </c>
      <c r="G2894" s="190">
        <v>3</v>
      </c>
      <c r="H2894" s="207">
        <f>'BASIC DATA'!$C$552</f>
        <v>350</v>
      </c>
      <c r="I2894" s="155">
        <f t="shared" si="51"/>
        <v>1050</v>
      </c>
      <c r="J2894" s="78"/>
    </row>
    <row r="2895" spans="2:10">
      <c r="B2895" s="105"/>
      <c r="C2895" s="135" t="s">
        <v>444</v>
      </c>
      <c r="D2895" s="31"/>
      <c r="E2895" s="189"/>
      <c r="F2895" s="210" t="s">
        <v>1172</v>
      </c>
      <c r="G2895" s="190">
        <f>H2859</f>
        <v>13.47</v>
      </c>
      <c r="H2895" s="207">
        <f>'BASIC DATA'!$C$552</f>
        <v>350</v>
      </c>
      <c r="I2895" s="155">
        <f t="shared" si="51"/>
        <v>4714.5</v>
      </c>
      <c r="J2895" s="78"/>
    </row>
    <row r="2896" spans="2:10">
      <c r="B2896" s="105"/>
      <c r="C2896" s="135" t="s">
        <v>445</v>
      </c>
      <c r="D2896" s="31"/>
      <c r="E2896" s="189"/>
      <c r="F2896" s="210" t="s">
        <v>1172</v>
      </c>
      <c r="G2896" s="190">
        <v>1</v>
      </c>
      <c r="H2896" s="207">
        <f>'BASIC DATA'!$C$552</f>
        <v>350</v>
      </c>
      <c r="I2896" s="155">
        <f t="shared" si="51"/>
        <v>350</v>
      </c>
      <c r="J2896" s="78"/>
    </row>
    <row r="2897" spans="2:10">
      <c r="B2897" s="105">
        <v>6</v>
      </c>
      <c r="C2897" s="135" t="s">
        <v>4870</v>
      </c>
      <c r="D2897" s="31"/>
      <c r="E2897" s="189"/>
      <c r="F2897" s="210" t="s">
        <v>3479</v>
      </c>
      <c r="G2897" s="190">
        <f>2.5*H2859</f>
        <v>33.675000000000004</v>
      </c>
      <c r="H2897" s="207">
        <f>H2852</f>
        <v>88.5</v>
      </c>
      <c r="I2897" s="84">
        <f t="shared" si="51"/>
        <v>2980.24</v>
      </c>
      <c r="J2897" s="78"/>
    </row>
    <row r="2898" spans="2:10">
      <c r="B2898" s="114">
        <v>7</v>
      </c>
      <c r="C2898" s="139" t="s">
        <v>7603</v>
      </c>
      <c r="D2898" s="174"/>
      <c r="E2898" s="192"/>
      <c r="F2898" s="268">
        <v>1</v>
      </c>
      <c r="G2898" s="182"/>
      <c r="H2898" s="181"/>
      <c r="I2898" s="144">
        <f>ROUND(I2897*F2898,2)</f>
        <v>2980.24</v>
      </c>
      <c r="J2898" s="78"/>
    </row>
    <row r="2899" spans="2:10">
      <c r="B2899" s="184"/>
      <c r="C2899" s="151"/>
      <c r="D2899" s="159"/>
      <c r="E2899" s="159" t="s">
        <v>1174</v>
      </c>
      <c r="F2899" s="159"/>
      <c r="G2899" s="159"/>
      <c r="H2899" s="208" t="s">
        <v>1698</v>
      </c>
      <c r="I2899" s="209">
        <f>SUM(I2886:I2898)</f>
        <v>20876.479999999996</v>
      </c>
      <c r="J2899" s="78"/>
    </row>
    <row r="2900" spans="2:10">
      <c r="B2900" s="60" t="s">
        <v>5948</v>
      </c>
      <c r="C2900" s="76"/>
      <c r="D2900" s="31"/>
      <c r="E2900" s="31"/>
      <c r="F2900" s="31"/>
      <c r="G2900" s="85">
        <f>ROUND(I2899/H2859,1)</f>
        <v>1549.9</v>
      </c>
      <c r="J2900" s="78"/>
    </row>
    <row r="2901" spans="2:10">
      <c r="B2901" s="60" t="s">
        <v>3163</v>
      </c>
      <c r="C2901" s="76"/>
      <c r="D2901" s="31"/>
      <c r="E2901" s="31"/>
      <c r="F2901" s="922">
        <f>'BASIC DATA'!$C$577</f>
        <v>0.13614999999999999</v>
      </c>
      <c r="G2901" s="85">
        <f>ROUND(G2900*F2901,1)</f>
        <v>211</v>
      </c>
      <c r="J2901" s="78"/>
    </row>
    <row r="2902" spans="2:10">
      <c r="B2902" s="60" t="s">
        <v>5949</v>
      </c>
      <c r="C2902" s="76"/>
      <c r="D2902" s="31"/>
      <c r="E2902" s="31"/>
      <c r="F2902" s="31"/>
      <c r="G2902" s="199">
        <f>ROUND(G2901+G2900,1)</f>
        <v>1760.9</v>
      </c>
      <c r="J2902" s="78"/>
    </row>
    <row r="2903" spans="2:10">
      <c r="B2903" s="31"/>
      <c r="C2903" s="76"/>
      <c r="D2903" s="31"/>
      <c r="E2903" s="31"/>
      <c r="F2903" s="31"/>
      <c r="G2903" s="31"/>
      <c r="H2903" s="200"/>
      <c r="I2903" s="75"/>
      <c r="J2903" s="78"/>
    </row>
    <row r="2904" spans="2:10">
      <c r="B2904" s="170" t="s">
        <v>1175</v>
      </c>
      <c r="J2904" s="78"/>
    </row>
    <row r="2905" spans="2:10">
      <c r="B2905" s="26" t="s">
        <v>1176</v>
      </c>
      <c r="H2905" s="171" t="s">
        <v>1698</v>
      </c>
      <c r="I2905" s="117">
        <f>I2870</f>
        <v>52111.399999999994</v>
      </c>
      <c r="J2905" s="78"/>
    </row>
    <row r="2906" spans="2:10">
      <c r="B2906" s="26" t="s">
        <v>1186</v>
      </c>
      <c r="H2906" s="171" t="s">
        <v>1698</v>
      </c>
      <c r="I2906" s="117">
        <f>I2881</f>
        <v>809.1</v>
      </c>
      <c r="J2906" s="78"/>
    </row>
    <row r="2907" spans="2:10">
      <c r="B2907" s="26" t="s">
        <v>2660</v>
      </c>
      <c r="H2907" s="171" t="s">
        <v>1698</v>
      </c>
      <c r="I2907" s="85">
        <f>I2899</f>
        <v>20876.479999999996</v>
      </c>
      <c r="J2907" s="78"/>
    </row>
    <row r="2908" spans="2:10">
      <c r="G2908" s="26" t="s">
        <v>1518</v>
      </c>
      <c r="H2908" s="171" t="s">
        <v>1698</v>
      </c>
      <c r="I2908" s="130">
        <f>SUM(I2904:I2907)</f>
        <v>73796.979999999981</v>
      </c>
      <c r="J2908" s="78"/>
    </row>
    <row r="2909" spans="2:10" ht="18.75">
      <c r="B2909" s="1207" t="s">
        <v>8375</v>
      </c>
      <c r="C2909" s="1207"/>
      <c r="D2909" s="1207"/>
      <c r="E2909" s="1207"/>
      <c r="F2909" s="1207"/>
      <c r="G2909" s="922">
        <f>'BASIC DATA'!$C$577</f>
        <v>0.13614999999999999</v>
      </c>
      <c r="H2909" s="171" t="s">
        <v>4108</v>
      </c>
      <c r="I2909" s="76">
        <f>ROUND(I2908*G2909,2)</f>
        <v>10047.459999999999</v>
      </c>
      <c r="J2909" s="78"/>
    </row>
    <row r="2910" spans="2:10">
      <c r="B2910" s="27" t="s">
        <v>9590</v>
      </c>
      <c r="C2910" s="43"/>
      <c r="D2910" s="43"/>
      <c r="E2910" s="43"/>
      <c r="F2910" s="779">
        <f>G2866</f>
        <v>5.9268000000000001</v>
      </c>
      <c r="G2910" s="201" t="s">
        <v>9591</v>
      </c>
      <c r="H2910" s="68" t="str">
        <f>CONCATENATE((leadcharges!$D$65)," ","Rs./Cum")</f>
        <v>31.5 Rs./Cum</v>
      </c>
      <c r="I2910" s="76">
        <f>leadcharges!$D$65*F2910</f>
        <v>186.6942</v>
      </c>
      <c r="J2910" s="78"/>
    </row>
    <row r="2911" spans="2:10">
      <c r="B2911" s="27" t="s">
        <v>9594</v>
      </c>
      <c r="C2911" s="43"/>
      <c r="D2911" s="43"/>
      <c r="E2911" s="43"/>
      <c r="F2911" s="779">
        <f>SUM(G2864:G2865)</f>
        <v>10.776000000000002</v>
      </c>
      <c r="G2911" s="201" t="s">
        <v>9591</v>
      </c>
      <c r="H2911" s="68" t="str">
        <f>CONCATENATE((leadcharges!$E$65)," ","Rs./Cum")</f>
        <v>30.4 Rs./Cum</v>
      </c>
      <c r="I2911" s="85">
        <f>leadcharges!$E$65*F2911</f>
        <v>327.59040000000005</v>
      </c>
      <c r="J2911" s="78"/>
    </row>
    <row r="2912" spans="2:10" ht="34.5" hidden="1" customHeight="1">
      <c r="B2912" s="1207"/>
      <c r="C2912" s="1207"/>
      <c r="D2912" s="1207"/>
      <c r="E2912" s="1207"/>
      <c r="F2912" s="779"/>
      <c r="G2912" s="201"/>
      <c r="H2912" s="68"/>
      <c r="I2912" s="76"/>
      <c r="J2912" s="78"/>
    </row>
    <row r="2913" spans="1:10">
      <c r="B2913" s="1206" t="s">
        <v>1191</v>
      </c>
      <c r="C2913" s="1206"/>
      <c r="D2913" s="1206"/>
      <c r="E2913" s="1206"/>
      <c r="F2913" s="202">
        <f>H2859</f>
        <v>13.47</v>
      </c>
      <c r="G2913" s="217" t="str">
        <f>I2859</f>
        <v>cum</v>
      </c>
      <c r="H2913" s="171" t="s">
        <v>1698</v>
      </c>
      <c r="I2913" s="199">
        <f>SUM(I2908:I2912)</f>
        <v>84358.724599999972</v>
      </c>
      <c r="J2913" s="78"/>
    </row>
    <row r="2914" spans="1:10">
      <c r="B2914" s="1161" t="s">
        <v>3884</v>
      </c>
      <c r="C2914" s="1161"/>
      <c r="D2914" s="203" t="str">
        <f>G2913</f>
        <v>cum</v>
      </c>
      <c r="F2914" s="26" t="s">
        <v>7670</v>
      </c>
      <c r="H2914" s="171" t="s">
        <v>1698</v>
      </c>
      <c r="I2914" s="204">
        <f>ROUND(I2913/F2913,1)</f>
        <v>6262.7</v>
      </c>
      <c r="J2914" s="78"/>
    </row>
    <row r="2915" spans="1:10">
      <c r="J2915" s="78"/>
    </row>
    <row r="2916" spans="1:10">
      <c r="J2916" s="78"/>
    </row>
    <row r="2917" spans="1:10" ht="18.75">
      <c r="A2917" s="822" t="s">
        <v>7342</v>
      </c>
      <c r="B2917" s="26" t="s">
        <v>8452</v>
      </c>
      <c r="J2917" s="78"/>
    </row>
    <row r="2918" spans="1:10" ht="18.75">
      <c r="B2918" s="26" t="s">
        <v>8453</v>
      </c>
      <c r="J2918" s="78"/>
    </row>
    <row r="2919" spans="1:10" ht="18.75">
      <c r="B2919" s="26" t="s">
        <v>8454</v>
      </c>
      <c r="J2919" s="78"/>
    </row>
    <row r="2920" spans="1:10">
      <c r="B2920" s="26" t="s">
        <v>1152</v>
      </c>
      <c r="J2920" s="78"/>
    </row>
    <row r="2921" spans="1:10" ht="18.75">
      <c r="B2921" s="26" t="s">
        <v>8455</v>
      </c>
      <c r="J2921" s="78"/>
    </row>
    <row r="2922" spans="1:10">
      <c r="B2922" s="170" t="s">
        <v>7687</v>
      </c>
      <c r="J2922" s="78"/>
    </row>
    <row r="2923" spans="1:10">
      <c r="B2923" s="170" t="s">
        <v>5366</v>
      </c>
      <c r="J2923" s="78"/>
    </row>
    <row r="2924" spans="1:10" hidden="1">
      <c r="A2924" s="822" t="s">
        <v>3984</v>
      </c>
      <c r="B2924" s="26" t="s">
        <v>1408</v>
      </c>
      <c r="H2924" s="26">
        <v>0.42799999999999999</v>
      </c>
      <c r="I2924" s="26" t="s">
        <v>1409</v>
      </c>
      <c r="J2924" s="78"/>
    </row>
    <row r="2925" spans="1:10" hidden="1">
      <c r="B2925" s="26" t="s">
        <v>1221</v>
      </c>
      <c r="G2925" s="171" t="s">
        <v>1697</v>
      </c>
      <c r="J2925" s="78"/>
    </row>
    <row r="2926" spans="1:10" hidden="1">
      <c r="B2926" s="26" t="s">
        <v>5034</v>
      </c>
      <c r="G2926" s="171"/>
      <c r="H2926" s="68">
        <v>1</v>
      </c>
      <c r="I2926" s="26" t="s">
        <v>3477</v>
      </c>
      <c r="J2926" s="78"/>
    </row>
    <row r="2927" spans="1:10" hidden="1">
      <c r="B2927" s="26" t="s">
        <v>2556</v>
      </c>
      <c r="G2927" s="171" t="s">
        <v>1697</v>
      </c>
      <c r="H2927" s="265">
        <v>2.7326388888888888</v>
      </c>
      <c r="J2927" s="78"/>
    </row>
    <row r="2928" spans="1:10" hidden="1">
      <c r="B2928" s="26" t="s">
        <v>5853</v>
      </c>
      <c r="G2928" s="171" t="s">
        <v>1697</v>
      </c>
      <c r="H2928" s="68">
        <v>400</v>
      </c>
      <c r="I2928" s="26" t="s">
        <v>6670</v>
      </c>
      <c r="J2928" s="78"/>
    </row>
    <row r="2929" spans="1:10" hidden="1">
      <c r="B2929" s="26" t="s">
        <v>1842</v>
      </c>
      <c r="G2929" s="171"/>
      <c r="J2929" s="78"/>
    </row>
    <row r="2930" spans="1:10" hidden="1">
      <c r="B2930" s="26" t="s">
        <v>1843</v>
      </c>
      <c r="G2930" s="171" t="s">
        <v>1697</v>
      </c>
      <c r="H2930" s="26">
        <v>8.56</v>
      </c>
      <c r="I2930" s="26" t="s">
        <v>5336</v>
      </c>
      <c r="J2930" s="78"/>
    </row>
    <row r="2931" spans="1:10" hidden="1">
      <c r="B2931" s="26" t="s">
        <v>7688</v>
      </c>
      <c r="H2931" s="68">
        <f>50*10*8/408</f>
        <v>9.8039215686274517</v>
      </c>
      <c r="I2931" s="26" t="s">
        <v>3477</v>
      </c>
      <c r="J2931" s="78"/>
    </row>
    <row r="2932" spans="1:10" hidden="1">
      <c r="B2932" s="26" t="s">
        <v>1844</v>
      </c>
      <c r="H2932" s="26" t="s">
        <v>83</v>
      </c>
      <c r="J2932" s="78"/>
    </row>
    <row r="2933" spans="1:10" hidden="1">
      <c r="B2933" s="26" t="s">
        <v>1845</v>
      </c>
      <c r="H2933" s="68">
        <v>76</v>
      </c>
      <c r="I2933" s="26" t="s">
        <v>3479</v>
      </c>
      <c r="J2933" s="78"/>
    </row>
    <row r="2934" spans="1:10" hidden="1">
      <c r="B2934" s="26" t="s">
        <v>581</v>
      </c>
      <c r="G2934" s="171" t="s">
        <v>1698</v>
      </c>
      <c r="H2934" s="68">
        <f>I1594</f>
        <v>4424.9054562499996</v>
      </c>
      <c r="I2934" s="26" t="s">
        <v>3479</v>
      </c>
      <c r="J2934" s="78"/>
    </row>
    <row r="2935" spans="1:10" hidden="1">
      <c r="B2935" s="26" t="s">
        <v>4489</v>
      </c>
      <c r="E2935" s="26">
        <v>100</v>
      </c>
      <c r="F2935" s="26" t="s">
        <v>4614</v>
      </c>
      <c r="G2935" s="171" t="s">
        <v>1698</v>
      </c>
      <c r="H2935" s="68">
        <f>H2934/E2935</f>
        <v>44.249054562499992</v>
      </c>
      <c r="I2935" s="26" t="s">
        <v>3479</v>
      </c>
      <c r="J2935" s="78"/>
    </row>
    <row r="2936" spans="1:10" hidden="1">
      <c r="B2936" s="26" t="s">
        <v>1846</v>
      </c>
      <c r="E2936" s="68">
        <f>'BASIC DATA'!$D$357</f>
        <v>50</v>
      </c>
      <c r="F2936" s="26" t="s">
        <v>3155</v>
      </c>
      <c r="G2936" s="171" t="s">
        <v>1698</v>
      </c>
      <c r="H2936" s="173">
        <f>0.2*E2936</f>
        <v>10</v>
      </c>
      <c r="I2936" s="26" t="s">
        <v>3479</v>
      </c>
      <c r="J2936" s="78"/>
    </row>
    <row r="2937" spans="1:10" hidden="1">
      <c r="B2937" s="26" t="s">
        <v>1847</v>
      </c>
      <c r="G2937" s="171" t="s">
        <v>1698</v>
      </c>
      <c r="H2937" s="68">
        <f>SUM(H2935:H2936)</f>
        <v>54.249054562499992</v>
      </c>
      <c r="I2937" s="26" t="s">
        <v>3479</v>
      </c>
      <c r="J2937" s="78"/>
    </row>
    <row r="2938" spans="1:10">
      <c r="J2938" s="78"/>
    </row>
    <row r="2939" spans="1:10">
      <c r="A2939" s="822" t="s">
        <v>3984</v>
      </c>
      <c r="E2939" s="170" t="s">
        <v>2367</v>
      </c>
      <c r="J2939" s="78"/>
    </row>
    <row r="2940" spans="1:10">
      <c r="F2940" s="68"/>
      <c r="H2940" s="171" t="s">
        <v>1188</v>
      </c>
      <c r="J2940" s="78"/>
    </row>
    <row r="2941" spans="1:10">
      <c r="B2941" s="170" t="s">
        <v>2368</v>
      </c>
      <c r="C2941" s="89"/>
      <c r="H2941" s="211">
        <v>20</v>
      </c>
      <c r="I2941" s="26" t="s">
        <v>3483</v>
      </c>
      <c r="J2941" s="78"/>
    </row>
    <row r="2942" spans="1:10">
      <c r="B2942" s="95" t="s">
        <v>2369</v>
      </c>
      <c r="D2942" s="157" t="s">
        <v>4443</v>
      </c>
      <c r="E2942" s="97"/>
      <c r="F2942" s="95" t="s">
        <v>2370</v>
      </c>
      <c r="G2942" s="95" t="s">
        <v>1166</v>
      </c>
      <c r="H2942" s="97" t="s">
        <v>6664</v>
      </c>
      <c r="I2942" s="97" t="s">
        <v>6665</v>
      </c>
      <c r="J2942" s="78"/>
    </row>
    <row r="2943" spans="1:10">
      <c r="B2943" s="191"/>
      <c r="C2943" s="139"/>
      <c r="D2943" s="174"/>
      <c r="E2943" s="192"/>
      <c r="F2943" s="191"/>
      <c r="G2943" s="114"/>
      <c r="H2943" s="115" t="s">
        <v>3856</v>
      </c>
      <c r="I2943" s="115" t="s">
        <v>3857</v>
      </c>
      <c r="J2943" s="78"/>
    </row>
    <row r="2944" spans="1:10">
      <c r="B2944" s="95">
        <v>1</v>
      </c>
      <c r="C2944" s="131" t="s">
        <v>6669</v>
      </c>
      <c r="D2944" s="187"/>
      <c r="E2944" s="195"/>
      <c r="F2944" s="107" t="s">
        <v>3478</v>
      </c>
      <c r="G2944" s="26">
        <f>H2930*H2928</f>
        <v>3424</v>
      </c>
      <c r="H2944" s="179">
        <f>'BASIC DATA'!$D$32/1000</f>
        <v>5.35</v>
      </c>
      <c r="I2944" s="155">
        <f>ROUND(H2944*G2944,2)</f>
        <v>18318.400000000001</v>
      </c>
      <c r="J2944" s="78"/>
    </row>
    <row r="2945" spans="2:10">
      <c r="B2945" s="105">
        <v>2</v>
      </c>
      <c r="C2945" s="135" t="s">
        <v>6995</v>
      </c>
      <c r="D2945" s="31"/>
      <c r="E2945" s="189"/>
      <c r="F2945" s="210" t="s">
        <v>3477</v>
      </c>
      <c r="G2945" s="68">
        <f>0.65*H2930*1</f>
        <v>5.5640000000000009</v>
      </c>
      <c r="H2945" s="190">
        <f>'BASIC DATA'!$D$35</f>
        <v>1225</v>
      </c>
      <c r="I2945" s="155">
        <f>ROUND(H2945*G2945,2)</f>
        <v>6815.9</v>
      </c>
      <c r="J2945" s="78"/>
    </row>
    <row r="2946" spans="2:10">
      <c r="B2946" s="105">
        <v>3</v>
      </c>
      <c r="C2946" s="135" t="s">
        <v>6994</v>
      </c>
      <c r="D2946" s="31"/>
      <c r="E2946" s="189"/>
      <c r="F2946" s="210" t="s">
        <v>3477</v>
      </c>
      <c r="G2946" s="68">
        <f>1*0.35*H2930</f>
        <v>2.996</v>
      </c>
      <c r="H2946" s="190">
        <f>'BASIC DATA'!$D$34</f>
        <v>900</v>
      </c>
      <c r="I2946" s="155">
        <f>ROUND(H2946*G2946,2)</f>
        <v>2696.4</v>
      </c>
      <c r="J2946" s="78"/>
    </row>
    <row r="2947" spans="2:10">
      <c r="B2947" s="105">
        <v>4</v>
      </c>
      <c r="C2947" s="89" t="s">
        <v>5315</v>
      </c>
      <c r="D2947" s="174"/>
      <c r="E2947" s="192"/>
      <c r="F2947" s="191" t="s">
        <v>3479</v>
      </c>
      <c r="G2947" s="183">
        <f>H2933</f>
        <v>76</v>
      </c>
      <c r="H2947" s="182">
        <f>H2937</f>
        <v>54.249054562499992</v>
      </c>
      <c r="I2947" s="84">
        <f>ROUND(H2947*G2947,2)</f>
        <v>4122.93</v>
      </c>
      <c r="J2947" s="78"/>
    </row>
    <row r="2948" spans="2:10">
      <c r="B2948" s="154"/>
      <c r="C2948" s="151"/>
      <c r="D2948" s="159"/>
      <c r="E2948" s="159" t="s">
        <v>2376</v>
      </c>
      <c r="F2948" s="159"/>
      <c r="G2948" s="159"/>
      <c r="H2948" s="208" t="s">
        <v>1698</v>
      </c>
      <c r="I2948" s="209">
        <f>SUM(I2944:I2947)</f>
        <v>31953.630000000005</v>
      </c>
      <c r="J2948" s="78"/>
    </row>
    <row r="2949" spans="2:10">
      <c r="B2949" s="31"/>
      <c r="C2949" s="76"/>
      <c r="D2949" s="31"/>
      <c r="E2949" s="31"/>
      <c r="F2949" s="31"/>
      <c r="G2949" s="31"/>
      <c r="H2949" s="200"/>
      <c r="I2949" s="75"/>
      <c r="J2949" s="78"/>
    </row>
    <row r="2950" spans="2:10">
      <c r="B2950" s="170" t="s">
        <v>2377</v>
      </c>
      <c r="C2950" s="89"/>
      <c r="J2950" s="78"/>
    </row>
    <row r="2951" spans="2:10">
      <c r="B2951" s="95" t="s">
        <v>2369</v>
      </c>
      <c r="D2951" s="157" t="s">
        <v>2378</v>
      </c>
      <c r="E2951" s="97"/>
      <c r="F2951" s="95" t="s">
        <v>2370</v>
      </c>
      <c r="G2951" s="95" t="s">
        <v>1166</v>
      </c>
      <c r="H2951" s="97" t="s">
        <v>6664</v>
      </c>
      <c r="I2951" s="97" t="s">
        <v>6665</v>
      </c>
      <c r="J2951" s="78"/>
    </row>
    <row r="2952" spans="2:10">
      <c r="B2952" s="191"/>
      <c r="C2952" s="139"/>
      <c r="D2952" s="174"/>
      <c r="E2952" s="192"/>
      <c r="F2952" s="191"/>
      <c r="G2952" s="114"/>
      <c r="H2952" s="115" t="s">
        <v>3856</v>
      </c>
      <c r="I2952" s="115" t="s">
        <v>3857</v>
      </c>
      <c r="J2952" s="78"/>
    </row>
    <row r="2953" spans="2:10">
      <c r="B2953" s="95">
        <v>1</v>
      </c>
      <c r="C2953" s="131" t="s">
        <v>6641</v>
      </c>
      <c r="D2953" s="187"/>
      <c r="E2953" s="195"/>
      <c r="F2953" s="107" t="s">
        <v>2374</v>
      </c>
      <c r="G2953" s="179">
        <v>8</v>
      </c>
      <c r="H2953" s="178">
        <f>'HIRE CHARGES'!$D$508</f>
        <v>51.7</v>
      </c>
      <c r="I2953" s="155">
        <f>ROUND(H2953*G2953,2)</f>
        <v>413.6</v>
      </c>
      <c r="J2953" s="78"/>
    </row>
    <row r="2954" spans="2:10">
      <c r="B2954" s="105"/>
      <c r="C2954" s="135" t="s">
        <v>2379</v>
      </c>
      <c r="D2954" s="31"/>
      <c r="E2954" s="189"/>
      <c r="F2954" s="210" t="s">
        <v>2374</v>
      </c>
      <c r="G2954" s="190">
        <v>8</v>
      </c>
      <c r="H2954" s="207">
        <f>'HIRE CHARGES'!$E$508</f>
        <v>28</v>
      </c>
      <c r="I2954" s="155">
        <f>ROUND(H2954*G2954,2)</f>
        <v>224</v>
      </c>
      <c r="J2954" s="78"/>
    </row>
    <row r="2955" spans="2:10">
      <c r="B2955" s="105">
        <v>2</v>
      </c>
      <c r="C2955" s="135" t="s">
        <v>383</v>
      </c>
      <c r="D2955" s="31"/>
      <c r="E2955" s="189"/>
      <c r="F2955" s="210" t="s">
        <v>2374</v>
      </c>
      <c r="G2955" s="190">
        <v>0.5</v>
      </c>
      <c r="H2955" s="190">
        <f>'HIRE CHARGES'!$D$520</f>
        <v>6.7</v>
      </c>
      <c r="I2955" s="155">
        <f>ROUND(H2955*G2955,2)</f>
        <v>3.35</v>
      </c>
      <c r="J2955" s="78"/>
    </row>
    <row r="2956" spans="2:10">
      <c r="B2956" s="191"/>
      <c r="C2956" s="139" t="s">
        <v>2379</v>
      </c>
      <c r="D2956" s="174"/>
      <c r="E2956" s="192"/>
      <c r="F2956" s="191" t="s">
        <v>2374</v>
      </c>
      <c r="G2956" s="182">
        <v>0.5</v>
      </c>
      <c r="H2956" s="182">
        <f>'HIRE CHARGES'!$E$520</f>
        <v>56</v>
      </c>
      <c r="I2956" s="84">
        <f>ROUND(H2956*G2956,2)</f>
        <v>28</v>
      </c>
      <c r="J2956" s="78"/>
    </row>
    <row r="2957" spans="2:10">
      <c r="B2957" s="154"/>
      <c r="C2957" s="89"/>
      <c r="D2957" s="174"/>
      <c r="E2957" s="174" t="s">
        <v>2380</v>
      </c>
      <c r="F2957" s="174"/>
      <c r="G2957" s="174"/>
      <c r="H2957" s="245" t="s">
        <v>1698</v>
      </c>
      <c r="I2957" s="269">
        <f>SUM(I2953:I2956)</f>
        <v>668.95</v>
      </c>
      <c r="J2957" s="78"/>
    </row>
    <row r="2958" spans="2:10">
      <c r="B2958" s="31"/>
      <c r="C2958" s="76"/>
      <c r="D2958" s="31"/>
      <c r="E2958" s="31"/>
      <c r="F2958" s="31"/>
      <c r="G2958" s="31"/>
      <c r="H2958" s="200"/>
      <c r="I2958" s="31"/>
      <c r="J2958" s="78"/>
    </row>
    <row r="2959" spans="2:10">
      <c r="B2959" s="170" t="s">
        <v>2381</v>
      </c>
      <c r="C2959" s="89"/>
      <c r="J2959" s="78"/>
    </row>
    <row r="2960" spans="2:10">
      <c r="B2960" s="95" t="s">
        <v>2369</v>
      </c>
      <c r="D2960" s="157" t="s">
        <v>2378</v>
      </c>
      <c r="E2960" s="97"/>
      <c r="F2960" s="95" t="s">
        <v>2370</v>
      </c>
      <c r="G2960" s="95" t="s">
        <v>1166</v>
      </c>
      <c r="H2960" s="97" t="s">
        <v>6664</v>
      </c>
      <c r="I2960" s="97" t="s">
        <v>6665</v>
      </c>
      <c r="J2960" s="78"/>
    </row>
    <row r="2961" spans="2:10">
      <c r="B2961" s="191"/>
      <c r="C2961" s="139"/>
      <c r="D2961" s="174"/>
      <c r="E2961" s="192"/>
      <c r="F2961" s="191"/>
      <c r="G2961" s="114"/>
      <c r="H2961" s="115" t="s">
        <v>3856</v>
      </c>
      <c r="I2961" s="115" t="s">
        <v>3857</v>
      </c>
      <c r="J2961" s="78"/>
    </row>
    <row r="2962" spans="2:10">
      <c r="B2962" s="95">
        <v>1</v>
      </c>
      <c r="C2962" s="131" t="s">
        <v>527</v>
      </c>
      <c r="D2962" s="187"/>
      <c r="E2962" s="195"/>
      <c r="F2962" s="107" t="s">
        <v>2374</v>
      </c>
      <c r="G2962" s="179">
        <v>8</v>
      </c>
      <c r="H2962" s="179">
        <f>'HIRE CHARGES'!$F$508</f>
        <v>219.7</v>
      </c>
      <c r="I2962" s="155">
        <f>ROUND(H2962*G2962,2)</f>
        <v>1757.6</v>
      </c>
      <c r="J2962" s="78"/>
    </row>
    <row r="2963" spans="2:10">
      <c r="B2963" s="105">
        <v>2</v>
      </c>
      <c r="C2963" s="135" t="s">
        <v>999</v>
      </c>
      <c r="D2963" s="31"/>
      <c r="E2963" s="189"/>
      <c r="F2963" s="210" t="s">
        <v>2374</v>
      </c>
      <c r="G2963" s="190">
        <v>0.5</v>
      </c>
      <c r="H2963" s="207">
        <f>'HIRE CHARGES'!$F$520</f>
        <v>83.3</v>
      </c>
      <c r="I2963" s="155">
        <f t="shared" ref="I2963:I2971" si="52">ROUND(H2963*G2963,2)</f>
        <v>41.65</v>
      </c>
      <c r="J2963" s="78"/>
    </row>
    <row r="2964" spans="2:10">
      <c r="B2964" s="105">
        <v>3</v>
      </c>
      <c r="C2964" s="135" t="s">
        <v>440</v>
      </c>
      <c r="D2964" s="31"/>
      <c r="E2964" s="189"/>
      <c r="F2964" s="210" t="s">
        <v>1172</v>
      </c>
      <c r="G2964" s="190">
        <v>1</v>
      </c>
      <c r="H2964" s="207">
        <f>'BASIC DATA'!$C$474</f>
        <v>445</v>
      </c>
      <c r="I2964" s="155">
        <f t="shared" si="52"/>
        <v>445</v>
      </c>
      <c r="J2964" s="78"/>
    </row>
    <row r="2965" spans="2:10">
      <c r="B2965" s="105">
        <v>4</v>
      </c>
      <c r="C2965" s="135" t="s">
        <v>2697</v>
      </c>
      <c r="D2965" s="31"/>
      <c r="E2965" s="189"/>
      <c r="F2965" s="210"/>
      <c r="G2965" s="190"/>
      <c r="H2965" s="207"/>
      <c r="I2965" s="155"/>
      <c r="J2965" s="78"/>
    </row>
    <row r="2966" spans="2:10">
      <c r="B2966" s="105"/>
      <c r="C2966" s="135" t="s">
        <v>6643</v>
      </c>
      <c r="D2966" s="31"/>
      <c r="E2966" s="189"/>
      <c r="F2966" s="210" t="s">
        <v>1172</v>
      </c>
      <c r="G2966" s="190">
        <v>2</v>
      </c>
      <c r="H2966" s="207">
        <f>'BASIC DATA'!$C$552</f>
        <v>350</v>
      </c>
      <c r="I2966" s="155">
        <f t="shared" si="52"/>
        <v>700</v>
      </c>
      <c r="J2966" s="78"/>
    </row>
    <row r="2967" spans="2:10">
      <c r="B2967" s="105"/>
      <c r="C2967" s="135" t="s">
        <v>4869</v>
      </c>
      <c r="D2967" s="31"/>
      <c r="E2967" s="189"/>
      <c r="F2967" s="210" t="s">
        <v>1172</v>
      </c>
      <c r="G2967" s="190">
        <v>6</v>
      </c>
      <c r="H2967" s="207">
        <f>'BASIC DATA'!$C$552</f>
        <v>350</v>
      </c>
      <c r="I2967" s="155">
        <f t="shared" si="52"/>
        <v>2100</v>
      </c>
      <c r="J2967" s="78"/>
    </row>
    <row r="2968" spans="2:10">
      <c r="B2968" s="105"/>
      <c r="C2968" s="135" t="s">
        <v>442</v>
      </c>
      <c r="D2968" s="31"/>
      <c r="E2968" s="189"/>
      <c r="F2968" s="210" t="s">
        <v>1172</v>
      </c>
      <c r="G2968" s="190">
        <v>2</v>
      </c>
      <c r="H2968" s="207">
        <f>'BASIC DATA'!$C$552</f>
        <v>350</v>
      </c>
      <c r="I2968" s="155">
        <f t="shared" si="52"/>
        <v>700</v>
      </c>
      <c r="J2968" s="78"/>
    </row>
    <row r="2969" spans="2:10">
      <c r="B2969" s="105"/>
      <c r="C2969" s="135" t="s">
        <v>1848</v>
      </c>
      <c r="D2969" s="31"/>
      <c r="E2969" s="189"/>
      <c r="F2969" s="210" t="s">
        <v>1172</v>
      </c>
      <c r="G2969" s="190">
        <v>2</v>
      </c>
      <c r="H2969" s="207">
        <f>'BASIC DATA'!$C$552</f>
        <v>350</v>
      </c>
      <c r="I2969" s="155">
        <f t="shared" si="52"/>
        <v>700</v>
      </c>
      <c r="J2969" s="78"/>
    </row>
    <row r="2970" spans="2:10">
      <c r="B2970" s="105"/>
      <c r="C2970" s="135" t="s">
        <v>444</v>
      </c>
      <c r="D2970" s="31"/>
      <c r="E2970" s="189"/>
      <c r="F2970" s="210" t="s">
        <v>1172</v>
      </c>
      <c r="G2970" s="190">
        <f>H2930</f>
        <v>8.56</v>
      </c>
      <c r="H2970" s="207">
        <f>'BASIC DATA'!$C$552</f>
        <v>350</v>
      </c>
      <c r="I2970" s="155">
        <f t="shared" si="52"/>
        <v>2996</v>
      </c>
      <c r="J2970" s="78"/>
    </row>
    <row r="2971" spans="2:10">
      <c r="B2971" s="114">
        <v>5</v>
      </c>
      <c r="C2971" s="139" t="s">
        <v>5733</v>
      </c>
      <c r="D2971" s="174"/>
      <c r="E2971" s="192"/>
      <c r="F2971" s="191" t="s">
        <v>1172</v>
      </c>
      <c r="G2971" s="182">
        <v>3</v>
      </c>
      <c r="H2971" s="181">
        <f>'BASIC DATA'!$C$515</f>
        <v>400</v>
      </c>
      <c r="I2971" s="155">
        <f t="shared" si="52"/>
        <v>1200</v>
      </c>
      <c r="J2971" s="78"/>
    </row>
    <row r="2972" spans="2:10">
      <c r="B2972" s="184"/>
      <c r="C2972" s="151"/>
      <c r="D2972" s="159"/>
      <c r="E2972" s="159" t="s">
        <v>1174</v>
      </c>
      <c r="F2972" s="159"/>
      <c r="G2972" s="159"/>
      <c r="H2972" s="208" t="s">
        <v>1698</v>
      </c>
      <c r="I2972" s="209">
        <f>SUM(I2962:I2971)</f>
        <v>10640.25</v>
      </c>
      <c r="J2972" s="78"/>
    </row>
    <row r="2973" spans="2:10">
      <c r="B2973" s="60" t="s">
        <v>5948</v>
      </c>
      <c r="C2973" s="76"/>
      <c r="D2973" s="31"/>
      <c r="E2973" s="31"/>
      <c r="F2973" s="31"/>
      <c r="G2973" s="85">
        <f>ROUND(I2972/H2941,1)</f>
        <v>532</v>
      </c>
      <c r="J2973" s="78"/>
    </row>
    <row r="2974" spans="2:10">
      <c r="B2974" s="60" t="s">
        <v>3163</v>
      </c>
      <c r="C2974" s="76"/>
      <c r="D2974" s="31"/>
      <c r="E2974" s="31"/>
      <c r="F2974" s="922">
        <f>'BASIC DATA'!$C$577</f>
        <v>0.13614999999999999</v>
      </c>
      <c r="G2974" s="85">
        <f>ROUND(G2973*F2974,1)</f>
        <v>72.400000000000006</v>
      </c>
      <c r="J2974" s="78"/>
    </row>
    <row r="2975" spans="2:10">
      <c r="B2975" s="60" t="s">
        <v>5949</v>
      </c>
      <c r="C2975" s="76"/>
      <c r="D2975" s="31"/>
      <c r="E2975" s="31"/>
      <c r="F2975" s="31"/>
      <c r="G2975" s="199">
        <f>ROUND(G2974+G2973,1)</f>
        <v>604.4</v>
      </c>
      <c r="J2975" s="78"/>
    </row>
    <row r="2976" spans="2:10">
      <c r="B2976" s="31"/>
      <c r="C2976" s="76"/>
      <c r="D2976" s="31"/>
      <c r="E2976" s="31"/>
      <c r="F2976" s="31"/>
      <c r="G2976" s="31"/>
      <c r="H2976" s="200"/>
      <c r="I2976" s="31"/>
      <c r="J2976" s="78"/>
    </row>
    <row r="2977" spans="1:10">
      <c r="B2977" s="170" t="s">
        <v>1175</v>
      </c>
      <c r="J2977" s="78"/>
    </row>
    <row r="2978" spans="1:10">
      <c r="B2978" s="26" t="s">
        <v>1176</v>
      </c>
      <c r="H2978" s="171" t="s">
        <v>1698</v>
      </c>
      <c r="I2978" s="117">
        <f>I2948</f>
        <v>31953.630000000005</v>
      </c>
      <c r="J2978" s="78"/>
    </row>
    <row r="2979" spans="1:10">
      <c r="B2979" s="26" t="s">
        <v>1186</v>
      </c>
      <c r="H2979" s="171" t="s">
        <v>1698</v>
      </c>
      <c r="I2979" s="117">
        <f>I2957</f>
        <v>668.95</v>
      </c>
      <c r="J2979" s="78"/>
    </row>
    <row r="2980" spans="1:10">
      <c r="B2980" s="26" t="s">
        <v>2660</v>
      </c>
      <c r="H2980" s="171" t="s">
        <v>1698</v>
      </c>
      <c r="I2980" s="85">
        <f>I2972</f>
        <v>10640.25</v>
      </c>
      <c r="J2980" s="78"/>
    </row>
    <row r="2981" spans="1:10">
      <c r="G2981" s="26" t="s">
        <v>1518</v>
      </c>
      <c r="H2981" s="171" t="s">
        <v>1698</v>
      </c>
      <c r="I2981" s="130">
        <f>SUM(I2977:I2980)</f>
        <v>43262.83</v>
      </c>
      <c r="J2981" s="78"/>
    </row>
    <row r="2982" spans="1:10" ht="18.75">
      <c r="B2982" s="1207" t="s">
        <v>8375</v>
      </c>
      <c r="C2982" s="1207"/>
      <c r="D2982" s="1207"/>
      <c r="E2982" s="1207"/>
      <c r="F2982" s="1207"/>
      <c r="G2982" s="922">
        <f>'BASIC DATA'!$C$577</f>
        <v>0.13614999999999999</v>
      </c>
      <c r="H2982" s="171" t="s">
        <v>4108</v>
      </c>
      <c r="I2982" s="76">
        <f>ROUND(I2981*G2982,2)</f>
        <v>5890.23</v>
      </c>
      <c r="J2982" s="78"/>
    </row>
    <row r="2983" spans="1:10">
      <c r="B2983" s="27" t="s">
        <v>9594</v>
      </c>
      <c r="C2983" s="43"/>
      <c r="D2983" s="43"/>
      <c r="E2983" s="43"/>
      <c r="F2983" s="779">
        <f>SUM(G2945:G2946)</f>
        <v>8.56</v>
      </c>
      <c r="G2983" s="201" t="s">
        <v>9591</v>
      </c>
      <c r="H2983" s="68" t="str">
        <f>CONCATENATE((leadcharges!$E$65)," ","Rs./Cum")</f>
        <v>30.4 Rs./Cum</v>
      </c>
      <c r="I2983" s="85">
        <f>leadcharges!$E$65*F2983</f>
        <v>260.22399999999999</v>
      </c>
      <c r="J2983" s="78"/>
    </row>
    <row r="2984" spans="1:10" ht="36.75" hidden="1" customHeight="1">
      <c r="B2984" s="1207"/>
      <c r="C2984" s="1207"/>
      <c r="D2984" s="1207"/>
      <c r="E2984" s="1207"/>
      <c r="F2984" s="779"/>
      <c r="G2984" s="201"/>
      <c r="H2984" s="68"/>
      <c r="I2984" s="76"/>
      <c r="J2984" s="78"/>
    </row>
    <row r="2985" spans="1:10">
      <c r="B2985" s="1206" t="s">
        <v>1191</v>
      </c>
      <c r="C2985" s="1206"/>
      <c r="D2985" s="1206"/>
      <c r="E2985" s="1206"/>
      <c r="F2985" s="202">
        <f>H2941</f>
        <v>20</v>
      </c>
      <c r="G2985" s="217" t="str">
        <f>I2941</f>
        <v>Rm</v>
      </c>
      <c r="H2985" s="171" t="s">
        <v>1698</v>
      </c>
      <c r="I2985" s="199">
        <f>SUM(I2981:I2984)</f>
        <v>49413.284</v>
      </c>
      <c r="J2985" s="78"/>
    </row>
    <row r="2986" spans="1:10">
      <c r="B2986" s="1161" t="s">
        <v>3884</v>
      </c>
      <c r="C2986" s="1161"/>
      <c r="D2986" s="203" t="str">
        <f>G2985</f>
        <v>Rm</v>
      </c>
      <c r="F2986" s="26" t="s">
        <v>1387</v>
      </c>
      <c r="H2986" s="171" t="s">
        <v>1698</v>
      </c>
      <c r="I2986" s="204">
        <f>ROUND(I2985/F2985,1)</f>
        <v>2470.6999999999998</v>
      </c>
      <c r="J2986" s="78"/>
    </row>
    <row r="2987" spans="1:10"/>
    <row r="2988" spans="1:10"/>
    <row r="2989" spans="1:10" ht="18.75">
      <c r="A2989" s="822" t="s">
        <v>7343</v>
      </c>
      <c r="B2989" s="26" t="s">
        <v>8456</v>
      </c>
      <c r="J2989" s="78"/>
    </row>
    <row r="2990" spans="1:10" ht="18.75">
      <c r="A2990" s="822" t="s">
        <v>6935</v>
      </c>
      <c r="B2990" s="26" t="s">
        <v>8457</v>
      </c>
      <c r="J2990" s="78"/>
    </row>
    <row r="2991" spans="1:10">
      <c r="B2991" s="26" t="s">
        <v>8458</v>
      </c>
      <c r="J2991" s="78"/>
    </row>
    <row r="2992" spans="1:10">
      <c r="B2992" s="26" t="s">
        <v>1153</v>
      </c>
      <c r="J2992" s="78"/>
    </row>
    <row r="2993" spans="1:10">
      <c r="B2993" s="26" t="s">
        <v>427</v>
      </c>
      <c r="J2993" s="78"/>
    </row>
    <row r="2994" spans="1:10" ht="18.75">
      <c r="B2994" s="26" t="s">
        <v>8459</v>
      </c>
      <c r="J2994" s="78"/>
    </row>
    <row r="2995" spans="1:10">
      <c r="B2995" s="26" t="s">
        <v>1761</v>
      </c>
      <c r="J2995" s="78"/>
    </row>
    <row r="2996" spans="1:10">
      <c r="B2996" s="26" t="s">
        <v>2856</v>
      </c>
      <c r="J2996" s="78"/>
    </row>
    <row r="2997" spans="1:10">
      <c r="B2997" s="26" t="s">
        <v>2857</v>
      </c>
      <c r="J2997" s="78"/>
    </row>
    <row r="2998" spans="1:10">
      <c r="B2998" s="26" t="s">
        <v>8460</v>
      </c>
      <c r="J2998" s="78"/>
    </row>
    <row r="2999" spans="1:10" ht="18.75">
      <c r="B2999" s="170" t="s">
        <v>8461</v>
      </c>
      <c r="J2999" s="78"/>
    </row>
    <row r="3000" spans="1:10">
      <c r="B3000" s="170" t="s">
        <v>2858</v>
      </c>
      <c r="J3000" s="78"/>
    </row>
    <row r="3001" spans="1:10">
      <c r="B3001" s="170" t="s">
        <v>7671</v>
      </c>
      <c r="J3001" s="78"/>
    </row>
    <row r="3002" spans="1:10">
      <c r="B3002" s="170" t="s">
        <v>5367</v>
      </c>
      <c r="J3002" s="78"/>
    </row>
    <row r="3003" spans="1:10" hidden="1">
      <c r="A3003" s="822" t="s">
        <v>3984</v>
      </c>
      <c r="B3003" s="26" t="s">
        <v>819</v>
      </c>
      <c r="J3003" s="78"/>
    </row>
    <row r="3004" spans="1:10" hidden="1">
      <c r="B3004" s="26" t="s">
        <v>820</v>
      </c>
      <c r="J3004" s="78"/>
    </row>
    <row r="3005" spans="1:10" hidden="1">
      <c r="B3005" s="26" t="s">
        <v>5943</v>
      </c>
      <c r="J3005" s="78"/>
    </row>
    <row r="3006" spans="1:10" hidden="1"/>
    <row r="3007" spans="1:10"/>
    <row r="3008" spans="1:10"/>
    <row r="3009" spans="2:10"/>
    <row r="3010" spans="2:10"/>
    <row r="3011" spans="2:10"/>
    <row r="3012" spans="2:10"/>
    <row r="3013" spans="2:10"/>
    <row r="3014" spans="2:10"/>
    <row r="3015" spans="2:10"/>
    <row r="3016" spans="2:10"/>
    <row r="3017" spans="2:10" hidden="1"/>
    <row r="3018" spans="2:10" hidden="1">
      <c r="B3018" s="26" t="s">
        <v>3777</v>
      </c>
      <c r="G3018" s="171" t="s">
        <v>1697</v>
      </c>
      <c r="H3018" s="68">
        <v>36</v>
      </c>
      <c r="I3018" s="26" t="s">
        <v>2602</v>
      </c>
      <c r="J3018" s="78"/>
    </row>
    <row r="3019" spans="2:10" hidden="1">
      <c r="B3019" s="26" t="s">
        <v>3778</v>
      </c>
      <c r="G3019" s="171" t="s">
        <v>1697</v>
      </c>
      <c r="H3019" s="68">
        <v>35.1</v>
      </c>
      <c r="I3019" s="26" t="s">
        <v>2602</v>
      </c>
      <c r="J3019" s="78"/>
    </row>
    <row r="3020" spans="2:10" hidden="1">
      <c r="B3020" s="26" t="s">
        <v>3779</v>
      </c>
      <c r="G3020" s="171" t="s">
        <v>1697</v>
      </c>
      <c r="H3020" s="68">
        <v>12</v>
      </c>
      <c r="I3020" s="26" t="s">
        <v>4041</v>
      </c>
      <c r="J3020" s="78"/>
    </row>
    <row r="3021" spans="2:10" hidden="1">
      <c r="B3021" s="26" t="s">
        <v>2716</v>
      </c>
      <c r="G3021" s="171" t="s">
        <v>1697</v>
      </c>
      <c r="H3021" s="68">
        <v>10</v>
      </c>
      <c r="I3021" s="26" t="s">
        <v>4041</v>
      </c>
      <c r="J3021" s="78"/>
    </row>
    <row r="3022" spans="2:10" hidden="1">
      <c r="B3022" s="26" t="s">
        <v>2717</v>
      </c>
      <c r="G3022" s="171"/>
      <c r="H3022" s="68">
        <v>2</v>
      </c>
      <c r="I3022" s="26" t="s">
        <v>4041</v>
      </c>
      <c r="J3022" s="78"/>
    </row>
    <row r="3023" spans="2:10" hidden="1">
      <c r="B3023" s="26" t="s">
        <v>2718</v>
      </c>
      <c r="G3023" s="171" t="s">
        <v>1697</v>
      </c>
      <c r="H3023" s="68">
        <v>30.9</v>
      </c>
      <c r="I3023" s="26" t="s">
        <v>2602</v>
      </c>
      <c r="J3023" s="78"/>
    </row>
    <row r="3024" spans="2:10" hidden="1">
      <c r="B3024" s="26" t="s">
        <v>645</v>
      </c>
      <c r="G3024" s="171"/>
      <c r="H3024" s="68">
        <v>12</v>
      </c>
      <c r="I3024" s="26" t="s">
        <v>4041</v>
      </c>
      <c r="J3024" s="78"/>
    </row>
    <row r="3025" spans="2:10" hidden="1">
      <c r="B3025" s="26" t="s">
        <v>646</v>
      </c>
      <c r="G3025" s="171"/>
      <c r="J3025" s="78"/>
    </row>
    <row r="3026" spans="2:10" hidden="1">
      <c r="B3026" s="26" t="s">
        <v>647</v>
      </c>
      <c r="G3026" s="171" t="s">
        <v>1697</v>
      </c>
      <c r="H3026" s="278">
        <v>2.52</v>
      </c>
      <c r="I3026" s="26" t="s">
        <v>3477</v>
      </c>
      <c r="J3026" s="78"/>
    </row>
    <row r="3027" spans="2:10" hidden="1">
      <c r="B3027" s="26" t="s">
        <v>3708</v>
      </c>
      <c r="G3027" s="171" t="s">
        <v>1697</v>
      </c>
      <c r="H3027" s="278">
        <v>1.47</v>
      </c>
      <c r="I3027" s="26" t="s">
        <v>3477</v>
      </c>
      <c r="J3027" s="78"/>
    </row>
    <row r="3028" spans="2:10" hidden="1">
      <c r="B3028" s="26" t="s">
        <v>3709</v>
      </c>
      <c r="G3028" s="171" t="s">
        <v>1697</v>
      </c>
      <c r="H3028" s="278">
        <v>3.09</v>
      </c>
      <c r="I3028" s="26" t="s">
        <v>3477</v>
      </c>
      <c r="J3028" s="78"/>
    </row>
    <row r="3029" spans="2:10" hidden="1">
      <c r="B3029" s="26" t="s">
        <v>3710</v>
      </c>
      <c r="G3029" s="171" t="s">
        <v>1697</v>
      </c>
      <c r="H3029" s="278">
        <v>1.35</v>
      </c>
      <c r="I3029" s="26" t="s">
        <v>3477</v>
      </c>
      <c r="J3029" s="78"/>
    </row>
    <row r="3030" spans="2:10" hidden="1">
      <c r="B3030" s="26" t="s">
        <v>6529</v>
      </c>
      <c r="G3030" s="171" t="s">
        <v>1697</v>
      </c>
      <c r="H3030" s="278">
        <v>0.24</v>
      </c>
      <c r="I3030" s="26" t="s">
        <v>3477</v>
      </c>
      <c r="J3030" s="78"/>
    </row>
    <row r="3031" spans="2:10" hidden="1">
      <c r="E3031" s="27" t="s">
        <v>6530</v>
      </c>
      <c r="G3031" s="171" t="s">
        <v>1697</v>
      </c>
      <c r="H3031" s="278">
        <f>SUM(H3026:H3030)</f>
        <v>8.67</v>
      </c>
      <c r="I3031" s="26" t="s">
        <v>3477</v>
      </c>
      <c r="J3031" s="78"/>
    </row>
    <row r="3032" spans="2:10" hidden="1">
      <c r="B3032" s="26" t="s">
        <v>6531</v>
      </c>
      <c r="G3032" s="171"/>
      <c r="J3032" s="78"/>
    </row>
    <row r="3033" spans="2:10" hidden="1">
      <c r="B3033" s="26" t="s">
        <v>2556</v>
      </c>
      <c r="G3033" s="171" t="s">
        <v>1697</v>
      </c>
      <c r="H3033" s="265">
        <v>2.7326388888888888</v>
      </c>
      <c r="J3033" s="78"/>
    </row>
    <row r="3034" spans="2:10" hidden="1">
      <c r="B3034" s="26" t="s">
        <v>3414</v>
      </c>
      <c r="G3034" s="171" t="s">
        <v>1697</v>
      </c>
      <c r="H3034" s="26">
        <v>0.44</v>
      </c>
      <c r="I3034" s="26" t="s">
        <v>5336</v>
      </c>
      <c r="J3034" s="78"/>
    </row>
    <row r="3035" spans="2:10" hidden="1">
      <c r="B3035" s="26" t="s">
        <v>5853</v>
      </c>
      <c r="G3035" s="171" t="s">
        <v>1697</v>
      </c>
      <c r="H3035" s="68">
        <v>350</v>
      </c>
      <c r="I3035" s="26" t="s">
        <v>6670</v>
      </c>
      <c r="J3035" s="78"/>
    </row>
    <row r="3036" spans="2:10" hidden="1">
      <c r="B3036" s="26" t="s">
        <v>4282</v>
      </c>
      <c r="G3036" s="171" t="s">
        <v>1697</v>
      </c>
      <c r="H3036" s="68">
        <f>H3035*0.4%</f>
        <v>1.4000000000000001</v>
      </c>
      <c r="I3036" s="26" t="s">
        <v>6670</v>
      </c>
      <c r="J3036" s="78"/>
    </row>
    <row r="3037" spans="2:10" hidden="1">
      <c r="B3037" s="26" t="s">
        <v>6532</v>
      </c>
      <c r="H3037" s="26" t="s">
        <v>4618</v>
      </c>
      <c r="I3037" s="26" t="s">
        <v>3155</v>
      </c>
      <c r="J3037" s="78"/>
    </row>
    <row r="3038" spans="2:10" hidden="1">
      <c r="B3038" s="1207" t="s">
        <v>2737</v>
      </c>
      <c r="C3038" s="1207"/>
      <c r="D3038" s="1207"/>
      <c r="E3038" s="1207"/>
      <c r="F3038" s="1207"/>
      <c r="G3038" s="1207"/>
      <c r="H3038" s="68">
        <f>H3031</f>
        <v>8.67</v>
      </c>
      <c r="I3038" s="26" t="s">
        <v>3477</v>
      </c>
      <c r="J3038" s="78"/>
    </row>
    <row r="3039" spans="2:10" hidden="1">
      <c r="B3039" s="26" t="s">
        <v>2738</v>
      </c>
      <c r="J3039" s="78"/>
    </row>
    <row r="3040" spans="2:10" hidden="1">
      <c r="B3040" s="26" t="s">
        <v>2739</v>
      </c>
      <c r="H3040" s="68">
        <v>14.68</v>
      </c>
      <c r="I3040" s="26" t="s">
        <v>3479</v>
      </c>
      <c r="J3040" s="78"/>
    </row>
    <row r="3041" spans="2:10" hidden="1">
      <c r="B3041" s="26" t="s">
        <v>2043</v>
      </c>
      <c r="H3041" s="68">
        <v>13.5</v>
      </c>
      <c r="I3041" s="26" t="s">
        <v>3479</v>
      </c>
      <c r="J3041" s="78"/>
    </row>
    <row r="3042" spans="2:10" hidden="1">
      <c r="B3042" s="26" t="s">
        <v>3948</v>
      </c>
      <c r="H3042" s="68">
        <v>49.68</v>
      </c>
      <c r="I3042" s="26" t="s">
        <v>3479</v>
      </c>
      <c r="J3042" s="78"/>
    </row>
    <row r="3043" spans="2:10" hidden="1">
      <c r="B3043" s="26" t="s">
        <v>3949</v>
      </c>
      <c r="H3043" s="68">
        <v>14.01</v>
      </c>
      <c r="I3043" s="26" t="s">
        <v>3479</v>
      </c>
      <c r="J3043" s="78"/>
    </row>
    <row r="3044" spans="2:10" hidden="1">
      <c r="B3044" s="26" t="s">
        <v>3950</v>
      </c>
      <c r="H3044" s="68">
        <v>2.52</v>
      </c>
      <c r="I3044" s="26" t="s">
        <v>3479</v>
      </c>
      <c r="J3044" s="78"/>
    </row>
    <row r="3045" spans="2:10" hidden="1">
      <c r="H3045" s="68">
        <v>95</v>
      </c>
      <c r="I3045" s="26" t="s">
        <v>3479</v>
      </c>
      <c r="J3045" s="78"/>
    </row>
    <row r="3046" spans="2:10" hidden="1">
      <c r="F3046" s="26" t="s">
        <v>3951</v>
      </c>
      <c r="H3046" s="68">
        <v>95</v>
      </c>
      <c r="I3046" s="26" t="s">
        <v>3479</v>
      </c>
      <c r="J3046" s="78"/>
    </row>
    <row r="3047" spans="2:10" hidden="1">
      <c r="B3047" s="26" t="s">
        <v>1661</v>
      </c>
      <c r="J3047" s="78"/>
    </row>
    <row r="3048" spans="2:10" hidden="1">
      <c r="B3048" s="26" t="s">
        <v>577</v>
      </c>
      <c r="G3048" s="171" t="s">
        <v>1698</v>
      </c>
      <c r="H3048" s="68">
        <f>H1604</f>
        <v>216.75</v>
      </c>
      <c r="I3048" s="26" t="s">
        <v>3479</v>
      </c>
      <c r="J3048" s="78"/>
    </row>
    <row r="3049" spans="2:10" hidden="1">
      <c r="B3049" s="26" t="s">
        <v>6638</v>
      </c>
      <c r="G3049" s="171" t="s">
        <v>1698</v>
      </c>
      <c r="H3049" s="68">
        <f>H1621</f>
        <v>88.5</v>
      </c>
      <c r="I3049" s="26" t="s">
        <v>3479</v>
      </c>
      <c r="J3049" s="78"/>
    </row>
    <row r="3050" spans="2:10" hidden="1">
      <c r="B3050" s="26" t="s">
        <v>579</v>
      </c>
      <c r="J3050" s="78"/>
    </row>
    <row r="3051" spans="2:10" hidden="1">
      <c r="B3051" s="26" t="s">
        <v>1217</v>
      </c>
      <c r="J3051" s="78"/>
    </row>
    <row r="3052" spans="2:10" hidden="1">
      <c r="B3052" s="26" t="s">
        <v>1085</v>
      </c>
      <c r="J3052" s="78"/>
    </row>
    <row r="3053" spans="2:10" hidden="1">
      <c r="B3053" s="26" t="s">
        <v>3292</v>
      </c>
      <c r="J3053" s="78"/>
    </row>
    <row r="3054" spans="2:10" hidden="1">
      <c r="B3054" s="26" t="s">
        <v>582</v>
      </c>
      <c r="J3054" s="78"/>
    </row>
    <row r="3055" spans="2:10" hidden="1">
      <c r="B3055" s="26" t="s">
        <v>2859</v>
      </c>
      <c r="C3055" s="117" t="s">
        <v>799</v>
      </c>
      <c r="J3055" s="78"/>
    </row>
    <row r="3056" spans="2:10">
      <c r="C3056" s="117"/>
      <c r="J3056" s="78"/>
    </row>
    <row r="3057" spans="1:10">
      <c r="C3057" s="117"/>
      <c r="J3057" s="78"/>
    </row>
    <row r="3058" spans="1:10">
      <c r="C3058" s="117"/>
      <c r="J3058" s="78"/>
    </row>
    <row r="3059" spans="1:10">
      <c r="J3059" s="78"/>
    </row>
    <row r="3060" spans="1:10">
      <c r="A3060" s="822" t="s">
        <v>3984</v>
      </c>
      <c r="E3060" s="170" t="s">
        <v>2367</v>
      </c>
      <c r="J3060" s="78"/>
    </row>
    <row r="3061" spans="1:10">
      <c r="G3061" s="68"/>
      <c r="H3061" s="171" t="s">
        <v>1188</v>
      </c>
      <c r="J3061" s="78"/>
    </row>
    <row r="3062" spans="1:10">
      <c r="B3062" s="170" t="s">
        <v>2368</v>
      </c>
      <c r="C3062" s="89"/>
      <c r="H3062" s="211">
        <f>H3018</f>
        <v>36</v>
      </c>
      <c r="I3062" s="26" t="s">
        <v>3483</v>
      </c>
      <c r="J3062" s="78"/>
    </row>
    <row r="3063" spans="1:10">
      <c r="B3063" s="95" t="s">
        <v>2369</v>
      </c>
      <c r="D3063" s="157" t="s">
        <v>4443</v>
      </c>
      <c r="E3063" s="97"/>
      <c r="F3063" s="95" t="s">
        <v>2370</v>
      </c>
      <c r="G3063" s="95" t="s">
        <v>1166</v>
      </c>
      <c r="H3063" s="97" t="s">
        <v>6664</v>
      </c>
      <c r="I3063" s="97" t="s">
        <v>6665</v>
      </c>
      <c r="J3063" s="78"/>
    </row>
    <row r="3064" spans="1:10">
      <c r="A3064" s="865"/>
      <c r="B3064" s="114"/>
      <c r="C3064" s="139"/>
      <c r="D3064" s="188"/>
      <c r="E3064" s="115"/>
      <c r="F3064" s="114"/>
      <c r="G3064" s="114"/>
      <c r="H3064" s="276" t="s">
        <v>3856</v>
      </c>
      <c r="I3064" s="115" t="s">
        <v>3857</v>
      </c>
      <c r="J3064" s="78"/>
    </row>
    <row r="3065" spans="1:10">
      <c r="B3065" s="95">
        <v>1</v>
      </c>
      <c r="C3065" s="131" t="s">
        <v>3806</v>
      </c>
      <c r="D3065" s="187"/>
      <c r="E3065" s="195"/>
      <c r="F3065" s="107" t="s">
        <v>3478</v>
      </c>
      <c r="G3065" s="26">
        <f>H3038*H3035</f>
        <v>3034.5</v>
      </c>
      <c r="H3065" s="212">
        <f>'BASIC DATA'!$D$32/1000</f>
        <v>5.35</v>
      </c>
      <c r="I3065" s="132">
        <f>ROUND(H3065*G3065,2)</f>
        <v>16234.58</v>
      </c>
    </row>
    <row r="3066" spans="1:10">
      <c r="B3066" s="105"/>
      <c r="C3066" s="135" t="s">
        <v>1049</v>
      </c>
      <c r="D3066" s="31"/>
      <c r="E3066" s="189"/>
      <c r="F3066" s="210" t="s">
        <v>3478</v>
      </c>
      <c r="G3066" s="190">
        <f>H3038*5</f>
        <v>43.35</v>
      </c>
      <c r="H3066" s="220">
        <f>'BASIC DATA'!$D$32/1000</f>
        <v>5.35</v>
      </c>
      <c r="I3066" s="132">
        <f t="shared" ref="I3066:I3071" si="53">ROUND(H3066*G3066,2)</f>
        <v>231.92</v>
      </c>
    </row>
    <row r="3067" spans="1:10">
      <c r="B3067" s="105">
        <v>2</v>
      </c>
      <c r="C3067" s="135" t="s">
        <v>6995</v>
      </c>
      <c r="D3067" s="31"/>
      <c r="E3067" s="189"/>
      <c r="F3067" s="210" t="s">
        <v>3477</v>
      </c>
      <c r="G3067" s="26">
        <f>ROUND(0.65*H3038*0.8,2)</f>
        <v>4.51</v>
      </c>
      <c r="H3067" s="214">
        <f>'BASIC DATA'!$D$35</f>
        <v>1225</v>
      </c>
      <c r="I3067" s="132">
        <f t="shared" si="53"/>
        <v>5524.75</v>
      </c>
    </row>
    <row r="3068" spans="1:10">
      <c r="B3068" s="105"/>
      <c r="C3068" s="135" t="s">
        <v>6994</v>
      </c>
      <c r="D3068" s="31"/>
      <c r="E3068" s="189"/>
      <c r="F3068" s="210" t="s">
        <v>3477</v>
      </c>
      <c r="G3068" s="26">
        <f>ROUND(0.8*H3038*0.35,2)</f>
        <v>2.4300000000000002</v>
      </c>
      <c r="H3068" s="214">
        <f>'BASIC DATA'!$D$34</f>
        <v>900</v>
      </c>
      <c r="I3068" s="132">
        <f t="shared" si="53"/>
        <v>2187</v>
      </c>
    </row>
    <row r="3069" spans="1:10">
      <c r="A3069" s="853"/>
      <c r="B3069" s="240">
        <v>3</v>
      </c>
      <c r="C3069" s="326" t="s">
        <v>7935</v>
      </c>
      <c r="D3069" s="60"/>
      <c r="E3069" s="253"/>
      <c r="F3069" s="254" t="s">
        <v>3477</v>
      </c>
      <c r="G3069" s="61">
        <f>ROUND(0.44*H3038,2)</f>
        <v>3.81</v>
      </c>
      <c r="H3069" s="266">
        <f>'BASIC DATA'!$D$55</f>
        <v>95</v>
      </c>
      <c r="I3069" s="279">
        <f t="shared" si="53"/>
        <v>361.95</v>
      </c>
      <c r="J3069" s="61"/>
    </row>
    <row r="3070" spans="1:10">
      <c r="B3070" s="105">
        <v>4</v>
      </c>
      <c r="C3070" s="135" t="s">
        <v>4282</v>
      </c>
      <c r="D3070" s="31"/>
      <c r="E3070" s="189"/>
      <c r="F3070" s="210" t="s">
        <v>3478</v>
      </c>
      <c r="G3070" s="190">
        <f>H3036*H3031</f>
        <v>12.138000000000002</v>
      </c>
      <c r="H3070" s="256">
        <f>'BASIC DATA'!$D$99</f>
        <v>55</v>
      </c>
      <c r="I3070" s="132">
        <f t="shared" si="53"/>
        <v>667.59</v>
      </c>
    </row>
    <row r="3071" spans="1:10">
      <c r="B3071" s="105">
        <v>5</v>
      </c>
      <c r="C3071" s="135" t="s">
        <v>5315</v>
      </c>
      <c r="D3071" s="31"/>
      <c r="E3071" s="189"/>
      <c r="F3071" s="210" t="s">
        <v>3479</v>
      </c>
      <c r="G3071" s="190">
        <v>95</v>
      </c>
      <c r="H3071" s="220">
        <f>H3048</f>
        <v>216.75</v>
      </c>
      <c r="I3071" s="132">
        <f t="shared" si="53"/>
        <v>20591.25</v>
      </c>
    </row>
    <row r="3072" spans="1:10">
      <c r="B3072" s="105">
        <v>6</v>
      </c>
      <c r="C3072" s="135" t="s">
        <v>4490</v>
      </c>
      <c r="D3072" s="31"/>
      <c r="E3072" s="189"/>
      <c r="F3072" s="213">
        <v>0.15</v>
      </c>
      <c r="G3072" s="210"/>
      <c r="H3072" s="230"/>
      <c r="I3072" s="84">
        <f>ROUND(I3071*F3072,2)</f>
        <v>3088.69</v>
      </c>
      <c r="J3072" s="78"/>
    </row>
    <row r="3073" spans="2:10">
      <c r="B3073" s="105">
        <v>7</v>
      </c>
      <c r="C3073" s="89" t="s">
        <v>2373</v>
      </c>
      <c r="D3073" s="174"/>
      <c r="E3073" s="192"/>
      <c r="F3073" s="191" t="s">
        <v>2173</v>
      </c>
      <c r="G3073" s="182">
        <v>2</v>
      </c>
      <c r="H3073" s="215">
        <f>'BASIC DATA'!$D$359</f>
        <v>30</v>
      </c>
      <c r="I3073" s="84">
        <f>ROUND(H3073*G3073,2)</f>
        <v>60</v>
      </c>
    </row>
    <row r="3074" spans="2:10">
      <c r="B3074" s="154"/>
      <c r="C3074" s="151"/>
      <c r="D3074" s="159"/>
      <c r="E3074" s="159" t="s">
        <v>2376</v>
      </c>
      <c r="F3074" s="159"/>
      <c r="G3074" s="159"/>
      <c r="H3074" s="208" t="s">
        <v>1698</v>
      </c>
      <c r="I3074" s="209">
        <f>SUM(I3065:I3073)</f>
        <v>48947.73</v>
      </c>
      <c r="J3074" s="78"/>
    </row>
    <row r="3075" spans="2:10">
      <c r="B3075" s="31"/>
      <c r="C3075" s="76"/>
      <c r="D3075" s="31"/>
      <c r="E3075" s="31"/>
      <c r="F3075" s="31"/>
      <c r="G3075" s="31"/>
      <c r="H3075" s="200"/>
      <c r="I3075" s="31"/>
      <c r="J3075" s="78"/>
    </row>
    <row r="3076" spans="2:10">
      <c r="B3076" s="170" t="s">
        <v>2377</v>
      </c>
      <c r="C3076" s="89"/>
      <c r="J3076" s="78"/>
    </row>
    <row r="3077" spans="2:10">
      <c r="B3077" s="95" t="s">
        <v>2369</v>
      </c>
      <c r="D3077" s="157" t="s">
        <v>2378</v>
      </c>
      <c r="E3077" s="97"/>
      <c r="F3077" s="95" t="s">
        <v>2370</v>
      </c>
      <c r="G3077" s="95" t="s">
        <v>1166</v>
      </c>
      <c r="H3077" s="97" t="s">
        <v>6664</v>
      </c>
      <c r="I3077" s="97" t="s">
        <v>6665</v>
      </c>
      <c r="J3077" s="78"/>
    </row>
    <row r="3078" spans="2:10">
      <c r="B3078" s="191"/>
      <c r="C3078" s="139"/>
      <c r="D3078" s="174"/>
      <c r="E3078" s="192"/>
      <c r="F3078" s="191"/>
      <c r="G3078" s="114"/>
      <c r="H3078" s="115" t="s">
        <v>3856</v>
      </c>
      <c r="I3078" s="115" t="s">
        <v>3857</v>
      </c>
      <c r="J3078" s="78"/>
    </row>
    <row r="3079" spans="2:10">
      <c r="B3079" s="95">
        <v>1</v>
      </c>
      <c r="C3079" s="131" t="s">
        <v>6641</v>
      </c>
      <c r="D3079" s="187"/>
      <c r="E3079" s="195"/>
      <c r="F3079" s="107" t="s">
        <v>2374</v>
      </c>
      <c r="G3079" s="179">
        <v>8</v>
      </c>
      <c r="H3079" s="178">
        <f>'HIRE CHARGES'!$D$508</f>
        <v>51.7</v>
      </c>
      <c r="I3079" s="155">
        <f t="shared" ref="I3079:I3084" si="54">ROUND(H3079*G3079,2)</f>
        <v>413.6</v>
      </c>
      <c r="J3079" s="78"/>
    </row>
    <row r="3080" spans="2:10">
      <c r="B3080" s="105"/>
      <c r="C3080" s="135" t="s">
        <v>2379</v>
      </c>
      <c r="D3080" s="31"/>
      <c r="E3080" s="189"/>
      <c r="F3080" s="210" t="s">
        <v>2374</v>
      </c>
      <c r="G3080" s="190">
        <v>8</v>
      </c>
      <c r="H3080" s="207">
        <f>'HIRE CHARGES'!$E$508</f>
        <v>28</v>
      </c>
      <c r="I3080" s="155">
        <f t="shared" si="54"/>
        <v>224</v>
      </c>
      <c r="J3080" s="78"/>
    </row>
    <row r="3081" spans="2:10">
      <c r="B3081" s="105">
        <v>2</v>
      </c>
      <c r="C3081" s="135" t="s">
        <v>3964</v>
      </c>
      <c r="D3081" s="31"/>
      <c r="E3081" s="189"/>
      <c r="F3081" s="210" t="s">
        <v>2374</v>
      </c>
      <c r="G3081" s="190">
        <v>8</v>
      </c>
      <c r="H3081" s="207">
        <f>'HIRE CHARGES'!$D$532</f>
        <v>8</v>
      </c>
      <c r="I3081" s="155">
        <f t="shared" si="54"/>
        <v>64</v>
      </c>
      <c r="J3081" s="78"/>
    </row>
    <row r="3082" spans="2:10">
      <c r="B3082" s="105"/>
      <c r="C3082" s="135" t="s">
        <v>2379</v>
      </c>
      <c r="D3082" s="31"/>
      <c r="E3082" s="189"/>
      <c r="F3082" s="210" t="s">
        <v>2374</v>
      </c>
      <c r="G3082" s="190">
        <v>8</v>
      </c>
      <c r="H3082" s="181">
        <f>'HIRE CHARGES'!$E$532</f>
        <v>5.6</v>
      </c>
      <c r="I3082" s="155">
        <f t="shared" si="54"/>
        <v>44.8</v>
      </c>
      <c r="J3082" s="78"/>
    </row>
    <row r="3083" spans="2:10">
      <c r="B3083" s="105">
        <v>3</v>
      </c>
      <c r="C3083" s="135" t="s">
        <v>383</v>
      </c>
      <c r="D3083" s="31"/>
      <c r="E3083" s="189"/>
      <c r="F3083" s="210" t="s">
        <v>2374</v>
      </c>
      <c r="G3083" s="190">
        <v>0.5</v>
      </c>
      <c r="H3083" s="190">
        <f>'HIRE CHARGES'!$D$520</f>
        <v>6.7</v>
      </c>
      <c r="I3083" s="155">
        <f t="shared" si="54"/>
        <v>3.35</v>
      </c>
      <c r="J3083" s="78"/>
    </row>
    <row r="3084" spans="2:10">
      <c r="B3084" s="114"/>
      <c r="C3084" s="139" t="s">
        <v>2379</v>
      </c>
      <c r="D3084" s="174"/>
      <c r="E3084" s="192"/>
      <c r="F3084" s="191" t="s">
        <v>2374</v>
      </c>
      <c r="G3084" s="182">
        <v>0.5</v>
      </c>
      <c r="H3084" s="207">
        <f>'HIRE CHARGES'!$E$520</f>
        <v>56</v>
      </c>
      <c r="I3084" s="155">
        <f t="shared" si="54"/>
        <v>28</v>
      </c>
      <c r="J3084" s="78"/>
    </row>
    <row r="3085" spans="2:10">
      <c r="B3085" s="184"/>
      <c r="C3085" s="151"/>
      <c r="D3085" s="159"/>
      <c r="E3085" s="159" t="s">
        <v>2380</v>
      </c>
      <c r="F3085" s="159"/>
      <c r="G3085" s="159"/>
      <c r="H3085" s="208" t="s">
        <v>1698</v>
      </c>
      <c r="I3085" s="209">
        <f>SUM(I3079:I3084)</f>
        <v>777.75</v>
      </c>
      <c r="J3085" s="78"/>
    </row>
    <row r="3086" spans="2:10">
      <c r="B3086" s="31"/>
      <c r="C3086" s="76"/>
      <c r="D3086" s="31"/>
      <c r="E3086" s="31"/>
      <c r="F3086" s="31"/>
      <c r="G3086" s="31"/>
      <c r="H3086" s="200"/>
      <c r="I3086" s="31"/>
      <c r="J3086" s="78"/>
    </row>
    <row r="3087" spans="2:10">
      <c r="B3087" s="170" t="s">
        <v>2381</v>
      </c>
      <c r="C3087" s="89"/>
      <c r="J3087" s="78"/>
    </row>
    <row r="3088" spans="2:10">
      <c r="B3088" s="95" t="s">
        <v>2369</v>
      </c>
      <c r="D3088" s="157" t="s">
        <v>2378</v>
      </c>
      <c r="E3088" s="97"/>
      <c r="F3088" s="95" t="s">
        <v>2370</v>
      </c>
      <c r="G3088" s="95" t="s">
        <v>1166</v>
      </c>
      <c r="H3088" s="97" t="s">
        <v>6664</v>
      </c>
      <c r="I3088" s="97" t="s">
        <v>6665</v>
      </c>
      <c r="J3088" s="78"/>
    </row>
    <row r="3089" spans="2:10">
      <c r="B3089" s="191"/>
      <c r="C3089" s="139"/>
      <c r="D3089" s="174"/>
      <c r="E3089" s="192"/>
      <c r="F3089" s="191"/>
      <c r="G3089" s="114"/>
      <c r="H3089" s="115" t="s">
        <v>3856</v>
      </c>
      <c r="I3089" s="115" t="s">
        <v>3857</v>
      </c>
      <c r="J3089" s="78"/>
    </row>
    <row r="3090" spans="2:10">
      <c r="B3090" s="95">
        <v>1</v>
      </c>
      <c r="C3090" s="131" t="s">
        <v>527</v>
      </c>
      <c r="D3090" s="187"/>
      <c r="E3090" s="195"/>
      <c r="F3090" s="107" t="s">
        <v>2374</v>
      </c>
      <c r="G3090" s="179">
        <v>8</v>
      </c>
      <c r="H3090" s="179">
        <f>'HIRE CHARGES'!$F$508</f>
        <v>219.7</v>
      </c>
      <c r="I3090" s="155">
        <f>ROUND(H3090*G3090,2)</f>
        <v>1757.6</v>
      </c>
      <c r="J3090" s="78"/>
    </row>
    <row r="3091" spans="2:10">
      <c r="B3091" s="105">
        <v>2</v>
      </c>
      <c r="C3091" s="135" t="s">
        <v>999</v>
      </c>
      <c r="D3091" s="31"/>
      <c r="E3091" s="189"/>
      <c r="F3091" s="210" t="s">
        <v>2374</v>
      </c>
      <c r="G3091" s="190">
        <v>0.5</v>
      </c>
      <c r="H3091" s="207">
        <f>'HIRE CHARGES'!$F$520</f>
        <v>83.3</v>
      </c>
      <c r="I3091" s="155">
        <f t="shared" ref="I3091:I3102" si="55">ROUND(H3091*G3091,2)</f>
        <v>41.65</v>
      </c>
      <c r="J3091" s="78"/>
    </row>
    <row r="3092" spans="2:10">
      <c r="B3092" s="105">
        <v>3</v>
      </c>
      <c r="C3092" s="135" t="s">
        <v>5148</v>
      </c>
      <c r="D3092" s="31"/>
      <c r="E3092" s="189"/>
      <c r="F3092" s="210" t="s">
        <v>2374</v>
      </c>
      <c r="G3092" s="190">
        <v>8</v>
      </c>
      <c r="H3092" s="207">
        <f>'HIRE CHARGES'!$F$532</f>
        <v>158.19999999999999</v>
      </c>
      <c r="I3092" s="155">
        <f t="shared" si="55"/>
        <v>1265.5999999999999</v>
      </c>
      <c r="J3092" s="78"/>
    </row>
    <row r="3093" spans="2:10">
      <c r="B3093" s="105">
        <v>4</v>
      </c>
      <c r="C3093" s="135" t="s">
        <v>440</v>
      </c>
      <c r="D3093" s="31"/>
      <c r="E3093" s="189"/>
      <c r="F3093" s="210" t="s">
        <v>1172</v>
      </c>
      <c r="G3093" s="190">
        <v>2</v>
      </c>
      <c r="H3093" s="207">
        <f>'BASIC DATA'!$C$474</f>
        <v>445</v>
      </c>
      <c r="I3093" s="155">
        <f t="shared" si="55"/>
        <v>890</v>
      </c>
      <c r="J3093" s="78"/>
    </row>
    <row r="3094" spans="2:10">
      <c r="B3094" s="105">
        <v>5</v>
      </c>
      <c r="C3094" s="135" t="s">
        <v>4206</v>
      </c>
      <c r="D3094" s="31"/>
      <c r="E3094" s="189"/>
      <c r="F3094" s="210" t="s">
        <v>1172</v>
      </c>
      <c r="G3094" s="190">
        <v>1</v>
      </c>
      <c r="H3094" s="190">
        <f>'BASIC DATA'!$C$473</f>
        <v>450</v>
      </c>
      <c r="I3094" s="155">
        <f t="shared" si="55"/>
        <v>450</v>
      </c>
      <c r="J3094" s="78"/>
    </row>
    <row r="3095" spans="2:10">
      <c r="B3095" s="105">
        <v>6</v>
      </c>
      <c r="C3095" s="135" t="s">
        <v>2697</v>
      </c>
      <c r="D3095" s="31"/>
      <c r="E3095" s="189"/>
      <c r="F3095" s="210"/>
      <c r="G3095" s="210"/>
      <c r="H3095" s="189"/>
      <c r="I3095" s="155"/>
      <c r="J3095" s="78"/>
    </row>
    <row r="3096" spans="2:10">
      <c r="B3096" s="105"/>
      <c r="C3096" s="135" t="s">
        <v>4413</v>
      </c>
      <c r="D3096" s="31"/>
      <c r="E3096" s="189"/>
      <c r="F3096" s="210" t="s">
        <v>1172</v>
      </c>
      <c r="G3096" s="190">
        <v>2</v>
      </c>
      <c r="H3096" s="207">
        <f>'BASIC DATA'!$C$552</f>
        <v>350</v>
      </c>
      <c r="I3096" s="155">
        <f t="shared" si="55"/>
        <v>700</v>
      </c>
      <c r="J3096" s="78"/>
    </row>
    <row r="3097" spans="2:10">
      <c r="B3097" s="105"/>
      <c r="C3097" s="135" t="s">
        <v>4869</v>
      </c>
      <c r="D3097" s="31"/>
      <c r="E3097" s="189"/>
      <c r="F3097" s="210" t="s">
        <v>1172</v>
      </c>
      <c r="G3097" s="190">
        <v>9</v>
      </c>
      <c r="H3097" s="207">
        <f>'BASIC DATA'!$C$552</f>
        <v>350</v>
      </c>
      <c r="I3097" s="155">
        <f t="shared" si="55"/>
        <v>3150</v>
      </c>
      <c r="J3097" s="78"/>
    </row>
    <row r="3098" spans="2:10">
      <c r="B3098" s="105"/>
      <c r="C3098" s="135" t="s">
        <v>442</v>
      </c>
      <c r="D3098" s="31"/>
      <c r="E3098" s="189"/>
      <c r="F3098" s="210" t="s">
        <v>1172</v>
      </c>
      <c r="G3098" s="190">
        <v>4</v>
      </c>
      <c r="H3098" s="207">
        <f>'BASIC DATA'!$C$552</f>
        <v>350</v>
      </c>
      <c r="I3098" s="155">
        <f t="shared" si="55"/>
        <v>1400</v>
      </c>
      <c r="J3098" s="78"/>
    </row>
    <row r="3099" spans="2:10">
      <c r="B3099" s="105"/>
      <c r="C3099" s="135" t="s">
        <v>1848</v>
      </c>
      <c r="D3099" s="31"/>
      <c r="E3099" s="189"/>
      <c r="F3099" s="210" t="s">
        <v>1172</v>
      </c>
      <c r="G3099" s="190">
        <v>2</v>
      </c>
      <c r="H3099" s="207">
        <f>'BASIC DATA'!$C$552</f>
        <v>350</v>
      </c>
      <c r="I3099" s="155">
        <f t="shared" si="55"/>
        <v>700</v>
      </c>
      <c r="J3099" s="78"/>
    </row>
    <row r="3100" spans="2:10">
      <c r="B3100" s="105"/>
      <c r="C3100" s="135" t="s">
        <v>444</v>
      </c>
      <c r="D3100" s="31"/>
      <c r="E3100" s="189"/>
      <c r="F3100" s="210" t="s">
        <v>1172</v>
      </c>
      <c r="G3100" s="190">
        <f>H3038</f>
        <v>8.67</v>
      </c>
      <c r="H3100" s="207">
        <f>'BASIC DATA'!$C$552</f>
        <v>350</v>
      </c>
      <c r="I3100" s="155">
        <f t="shared" si="55"/>
        <v>3034.5</v>
      </c>
      <c r="J3100" s="78"/>
    </row>
    <row r="3101" spans="2:10">
      <c r="B3101" s="105"/>
      <c r="C3101" s="135" t="s">
        <v>3965</v>
      </c>
      <c r="D3101" s="31"/>
      <c r="E3101" s="189"/>
      <c r="F3101" s="210" t="s">
        <v>1172</v>
      </c>
      <c r="G3101" s="190">
        <v>2</v>
      </c>
      <c r="H3101" s="207">
        <f>'BASIC DATA'!$C$552</f>
        <v>350</v>
      </c>
      <c r="I3101" s="155">
        <f t="shared" si="55"/>
        <v>700</v>
      </c>
      <c r="J3101" s="78"/>
    </row>
    <row r="3102" spans="2:10">
      <c r="B3102" s="105">
        <v>7</v>
      </c>
      <c r="C3102" s="135" t="s">
        <v>2126</v>
      </c>
      <c r="D3102" s="31"/>
      <c r="E3102" s="189"/>
      <c r="F3102" s="210" t="s">
        <v>3479</v>
      </c>
      <c r="G3102" s="190">
        <f>H3046</f>
        <v>95</v>
      </c>
      <c r="H3102" s="207">
        <f>H3049</f>
        <v>88.5</v>
      </c>
      <c r="I3102" s="84">
        <f t="shared" si="55"/>
        <v>8407.5</v>
      </c>
      <c r="J3102" s="78"/>
    </row>
    <row r="3103" spans="2:10">
      <c r="B3103" s="114">
        <v>8</v>
      </c>
      <c r="C3103" s="139" t="s">
        <v>5940</v>
      </c>
      <c r="D3103" s="174"/>
      <c r="E3103" s="192"/>
      <c r="F3103" s="268">
        <v>0.15</v>
      </c>
      <c r="G3103" s="191"/>
      <c r="H3103" s="192"/>
      <c r="I3103" s="144">
        <f>ROUND(I3102*F3103,2)</f>
        <v>1261.1300000000001</v>
      </c>
      <c r="J3103" s="78"/>
    </row>
    <row r="3104" spans="2:10">
      <c r="B3104" s="154"/>
      <c r="C3104" s="89"/>
      <c r="D3104" s="174"/>
      <c r="E3104" s="174" t="s">
        <v>1174</v>
      </c>
      <c r="F3104" s="174"/>
      <c r="G3104" s="174"/>
      <c r="H3104" s="245" t="s">
        <v>1698</v>
      </c>
      <c r="I3104" s="269">
        <f>SUM(I3090:I3103)</f>
        <v>23757.98</v>
      </c>
      <c r="J3104" s="78"/>
    </row>
    <row r="3105" spans="2:10">
      <c r="B3105" s="60" t="s">
        <v>5948</v>
      </c>
      <c r="C3105" s="76"/>
      <c r="D3105" s="31"/>
      <c r="E3105" s="31"/>
      <c r="F3105" s="31"/>
      <c r="G3105" s="85">
        <f>ROUND(I3104/H3062,1)</f>
        <v>659.9</v>
      </c>
      <c r="J3105" s="78"/>
    </row>
    <row r="3106" spans="2:10">
      <c r="B3106" s="60" t="s">
        <v>3163</v>
      </c>
      <c r="C3106" s="76"/>
      <c r="D3106" s="31"/>
      <c r="E3106" s="31"/>
      <c r="F3106" s="922">
        <f>'BASIC DATA'!$C$577</f>
        <v>0.13614999999999999</v>
      </c>
      <c r="G3106" s="85">
        <f>ROUND(G3105*F3106,1)</f>
        <v>89.8</v>
      </c>
      <c r="J3106" s="78"/>
    </row>
    <row r="3107" spans="2:10">
      <c r="B3107" s="60" t="s">
        <v>5949</v>
      </c>
      <c r="C3107" s="76"/>
      <c r="D3107" s="31"/>
      <c r="E3107" s="31"/>
      <c r="F3107" s="31"/>
      <c r="G3107" s="199">
        <f>ROUND(G3106+G3105,1)</f>
        <v>749.7</v>
      </c>
      <c r="J3107" s="78"/>
    </row>
    <row r="3108" spans="2:10">
      <c r="C3108" s="76"/>
      <c r="D3108" s="31"/>
      <c r="E3108" s="31"/>
      <c r="F3108" s="31"/>
      <c r="G3108" s="31"/>
      <c r="H3108" s="200"/>
      <c r="I3108" s="31"/>
      <c r="J3108" s="78"/>
    </row>
    <row r="3109" spans="2:10">
      <c r="B3109" s="170" t="s">
        <v>1175</v>
      </c>
      <c r="H3109" s="171"/>
      <c r="J3109" s="78"/>
    </row>
    <row r="3110" spans="2:10">
      <c r="B3110" s="26" t="s">
        <v>1176</v>
      </c>
      <c r="H3110" s="171" t="s">
        <v>1698</v>
      </c>
      <c r="I3110" s="117">
        <f>I3074</f>
        <v>48947.73</v>
      </c>
      <c r="J3110" s="78"/>
    </row>
    <row r="3111" spans="2:10">
      <c r="B3111" s="26" t="s">
        <v>1186</v>
      </c>
      <c r="H3111" s="171" t="s">
        <v>1698</v>
      </c>
      <c r="I3111" s="117">
        <f>I3085</f>
        <v>777.75</v>
      </c>
      <c r="J3111" s="78"/>
    </row>
    <row r="3112" spans="2:10">
      <c r="B3112" s="26" t="s">
        <v>2660</v>
      </c>
      <c r="H3112" s="171" t="s">
        <v>1698</v>
      </c>
      <c r="I3112" s="85">
        <f>I3104</f>
        <v>23757.98</v>
      </c>
      <c r="J3112" s="78"/>
    </row>
    <row r="3113" spans="2:10">
      <c r="G3113" s="26" t="s">
        <v>1518</v>
      </c>
      <c r="H3113" s="171" t="s">
        <v>1698</v>
      </c>
      <c r="I3113" s="130">
        <f>SUM(I3109:I3112)</f>
        <v>73483.460000000006</v>
      </c>
      <c r="J3113" s="78"/>
    </row>
    <row r="3114" spans="2:10" ht="18.75">
      <c r="B3114" s="1207" t="s">
        <v>8375</v>
      </c>
      <c r="C3114" s="1207"/>
      <c r="D3114" s="1207"/>
      <c r="E3114" s="1207"/>
      <c r="F3114" s="1207"/>
      <c r="G3114" s="922">
        <f>'BASIC DATA'!$C$577</f>
        <v>0.13614999999999999</v>
      </c>
      <c r="H3114" s="171" t="s">
        <v>4108</v>
      </c>
      <c r="I3114" s="76">
        <f>ROUND(I3113*G3114,2)</f>
        <v>10004.77</v>
      </c>
      <c r="J3114" s="78"/>
    </row>
    <row r="3115" spans="2:10">
      <c r="B3115" s="27" t="s">
        <v>9590</v>
      </c>
      <c r="C3115" s="43"/>
      <c r="D3115" s="43"/>
      <c r="E3115" s="43"/>
      <c r="F3115" s="779">
        <f>G3069</f>
        <v>3.81</v>
      </c>
      <c r="G3115" s="201" t="s">
        <v>9591</v>
      </c>
      <c r="H3115" s="68" t="str">
        <f>CONCATENATE((leadcharges!$D$65)," ","Rs./Cum")</f>
        <v>31.5 Rs./Cum</v>
      </c>
      <c r="I3115" s="76">
        <f>leadcharges!$D$65*F3115</f>
        <v>120.015</v>
      </c>
      <c r="J3115" s="78"/>
    </row>
    <row r="3116" spans="2:10">
      <c r="B3116" s="27" t="s">
        <v>9594</v>
      </c>
      <c r="C3116" s="43"/>
      <c r="D3116" s="43"/>
      <c r="E3116" s="43"/>
      <c r="F3116" s="779">
        <f>SUM(G3067:G3068)</f>
        <v>6.9399999999999995</v>
      </c>
      <c r="G3116" s="201" t="s">
        <v>9591</v>
      </c>
      <c r="H3116" s="68" t="str">
        <f>CONCATENATE((leadcharges!$E$65)," ","Rs./Cum")</f>
        <v>30.4 Rs./Cum</v>
      </c>
      <c r="I3116" s="85">
        <f>leadcharges!$E$65*F3116</f>
        <v>210.97599999999997</v>
      </c>
      <c r="J3116" s="78"/>
    </row>
    <row r="3117" spans="2:10" ht="37.5" hidden="1" customHeight="1">
      <c r="B3117" s="1207"/>
      <c r="C3117" s="1207"/>
      <c r="D3117" s="1207"/>
      <c r="E3117" s="1207"/>
      <c r="F3117" s="779"/>
      <c r="G3117" s="201"/>
      <c r="H3117" s="68"/>
      <c r="I3117" s="76"/>
      <c r="J3117" s="78"/>
    </row>
    <row r="3118" spans="2:10">
      <c r="B3118" s="1206" t="s">
        <v>1191</v>
      </c>
      <c r="C3118" s="1206"/>
      <c r="D3118" s="1206"/>
      <c r="E3118" s="1206"/>
      <c r="F3118" s="202">
        <f>H3062</f>
        <v>36</v>
      </c>
      <c r="G3118" s="217" t="str">
        <f>I3062</f>
        <v>Rm</v>
      </c>
      <c r="H3118" s="171" t="s">
        <v>1698</v>
      </c>
      <c r="I3118" s="199">
        <f>SUM(I3113:I3117)</f>
        <v>83819.221000000005</v>
      </c>
      <c r="J3118" s="78"/>
    </row>
    <row r="3119" spans="2:10">
      <c r="B3119" s="1161" t="s">
        <v>3884</v>
      </c>
      <c r="C3119" s="1161"/>
      <c r="D3119" s="203" t="str">
        <f>G3118</f>
        <v>Rm</v>
      </c>
      <c r="F3119" s="26" t="s">
        <v>1388</v>
      </c>
      <c r="H3119" s="171" t="s">
        <v>1698</v>
      </c>
      <c r="I3119" s="204">
        <f>ROUND(I3118/F3118,1)</f>
        <v>2328.3000000000002</v>
      </c>
      <c r="J3119" s="78"/>
    </row>
    <row r="3120" spans="2:10">
      <c r="J3120" s="78"/>
    </row>
    <row r="3121" spans="1:10">
      <c r="J3121" s="78"/>
    </row>
    <row r="3122" spans="1:10" ht="18.75">
      <c r="A3122" s="822" t="s">
        <v>7344</v>
      </c>
      <c r="B3122" s="26" t="s">
        <v>8462</v>
      </c>
      <c r="J3122" s="78"/>
    </row>
    <row r="3123" spans="1:10" ht="18.75">
      <c r="A3123" s="822" t="s">
        <v>2047</v>
      </c>
      <c r="B3123" s="26" t="s">
        <v>8463</v>
      </c>
      <c r="J3123" s="78"/>
    </row>
    <row r="3124" spans="1:10">
      <c r="B3124" s="26" t="s">
        <v>8415</v>
      </c>
      <c r="J3124" s="78"/>
    </row>
    <row r="3125" spans="1:10">
      <c r="B3125" s="26" t="s">
        <v>426</v>
      </c>
      <c r="J3125" s="78"/>
    </row>
    <row r="3126" spans="1:10">
      <c r="B3126" s="26" t="s">
        <v>427</v>
      </c>
      <c r="J3126" s="78"/>
    </row>
    <row r="3127" spans="1:10" ht="18.75">
      <c r="B3127" s="26" t="s">
        <v>8464</v>
      </c>
      <c r="J3127" s="78"/>
    </row>
    <row r="3128" spans="1:10">
      <c r="B3128" s="26" t="s">
        <v>8465</v>
      </c>
      <c r="J3128" s="78"/>
    </row>
    <row r="3129" spans="1:10">
      <c r="B3129" s="26" t="s">
        <v>6698</v>
      </c>
      <c r="J3129" s="78"/>
    </row>
    <row r="3130" spans="1:10">
      <c r="B3130" s="26" t="s">
        <v>5850</v>
      </c>
      <c r="J3130" s="78"/>
    </row>
    <row r="3131" spans="1:10">
      <c r="B3131" s="26" t="s">
        <v>8466</v>
      </c>
      <c r="J3131" s="78"/>
    </row>
    <row r="3132" spans="1:10" ht="18.75">
      <c r="B3132" s="170" t="s">
        <v>8467</v>
      </c>
      <c r="J3132" s="78"/>
    </row>
    <row r="3133" spans="1:10">
      <c r="B3133" s="170" t="s">
        <v>5851</v>
      </c>
      <c r="J3133" s="78"/>
    </row>
    <row r="3134" spans="1:10">
      <c r="B3134" s="170" t="s">
        <v>7689</v>
      </c>
      <c r="J3134" s="78"/>
    </row>
    <row r="3135" spans="1:10">
      <c r="B3135" s="170" t="s">
        <v>5368</v>
      </c>
      <c r="J3135" s="78"/>
    </row>
    <row r="3136" spans="1:10" hidden="1">
      <c r="A3136" s="822" t="s">
        <v>3984</v>
      </c>
      <c r="B3136" s="26" t="s">
        <v>819</v>
      </c>
      <c r="J3136" s="78"/>
    </row>
    <row r="3137" spans="2:10" hidden="1">
      <c r="B3137" s="26" t="s">
        <v>820</v>
      </c>
      <c r="J3137" s="78"/>
    </row>
    <row r="3138" spans="2:10" hidden="1">
      <c r="B3138" s="26" t="s">
        <v>5943</v>
      </c>
      <c r="J3138" s="78"/>
    </row>
    <row r="3139" spans="2:10" hidden="1"/>
    <row r="3140" spans="2:10"/>
    <row r="3141" spans="2:10"/>
    <row r="3142" spans="2:10"/>
    <row r="3143" spans="2:10"/>
    <row r="3144" spans="2:10"/>
    <row r="3145" spans="2:10"/>
    <row r="3146" spans="2:10"/>
    <row r="3147" spans="2:10"/>
    <row r="3148" spans="2:10"/>
    <row r="3149" spans="2:10"/>
    <row r="3150" spans="2:10"/>
    <row r="3151" spans="2:10"/>
    <row r="3152" spans="2:10"/>
    <row r="3153" spans="2:10"/>
    <row r="3154" spans="2:10"/>
    <row r="3155" spans="2:10"/>
    <row r="3156" spans="2:10" hidden="1"/>
    <row r="3157" spans="2:10" hidden="1">
      <c r="B3157" s="26" t="s">
        <v>3777</v>
      </c>
      <c r="G3157" s="171" t="s">
        <v>1697</v>
      </c>
      <c r="H3157" s="68">
        <v>36</v>
      </c>
      <c r="I3157" s="26" t="s">
        <v>2602</v>
      </c>
      <c r="J3157" s="78"/>
    </row>
    <row r="3158" spans="2:10" hidden="1">
      <c r="B3158" s="26" t="s">
        <v>3778</v>
      </c>
      <c r="G3158" s="171" t="s">
        <v>1697</v>
      </c>
      <c r="H3158" s="68">
        <v>35.1</v>
      </c>
      <c r="I3158" s="26" t="s">
        <v>2602</v>
      </c>
      <c r="J3158" s="78"/>
    </row>
    <row r="3159" spans="2:10" hidden="1">
      <c r="B3159" s="26" t="s">
        <v>3779</v>
      </c>
      <c r="G3159" s="171" t="s">
        <v>1697</v>
      </c>
      <c r="H3159" s="68">
        <v>12</v>
      </c>
      <c r="I3159" s="26" t="s">
        <v>4041</v>
      </c>
      <c r="J3159" s="78"/>
    </row>
    <row r="3160" spans="2:10" hidden="1">
      <c r="B3160" s="26" t="s">
        <v>2716</v>
      </c>
      <c r="G3160" s="171" t="s">
        <v>1697</v>
      </c>
      <c r="H3160" s="68">
        <v>10</v>
      </c>
      <c r="I3160" s="26" t="s">
        <v>4041</v>
      </c>
      <c r="J3160" s="78"/>
    </row>
    <row r="3161" spans="2:10" hidden="1">
      <c r="B3161" s="26" t="s">
        <v>2583</v>
      </c>
      <c r="G3161" s="171" t="s">
        <v>1697</v>
      </c>
      <c r="H3161" s="68">
        <v>2</v>
      </c>
      <c r="I3161" s="26" t="s">
        <v>4041</v>
      </c>
      <c r="J3161" s="78"/>
    </row>
    <row r="3162" spans="2:10" hidden="1">
      <c r="B3162" s="26" t="s">
        <v>2718</v>
      </c>
      <c r="G3162" s="171" t="s">
        <v>1697</v>
      </c>
      <c r="H3162" s="68">
        <v>30.9</v>
      </c>
      <c r="I3162" s="26" t="s">
        <v>2602</v>
      </c>
      <c r="J3162" s="78"/>
    </row>
    <row r="3163" spans="2:10" hidden="1">
      <c r="B3163" s="26" t="s">
        <v>645</v>
      </c>
      <c r="G3163" s="171" t="s">
        <v>1697</v>
      </c>
      <c r="H3163" s="68">
        <v>12</v>
      </c>
      <c r="I3163" s="26" t="s">
        <v>4041</v>
      </c>
      <c r="J3163" s="78"/>
    </row>
    <row r="3164" spans="2:10" hidden="1">
      <c r="B3164" s="26" t="s">
        <v>646</v>
      </c>
      <c r="G3164" s="171"/>
      <c r="J3164" s="78"/>
    </row>
    <row r="3165" spans="2:10" hidden="1">
      <c r="B3165" s="26" t="s">
        <v>647</v>
      </c>
      <c r="G3165" s="171" t="s">
        <v>1697</v>
      </c>
      <c r="H3165" s="68">
        <v>2.52</v>
      </c>
      <c r="I3165" s="26" t="s">
        <v>3477</v>
      </c>
      <c r="J3165" s="78"/>
    </row>
    <row r="3166" spans="2:10" hidden="1">
      <c r="B3166" s="26" t="s">
        <v>3708</v>
      </c>
      <c r="G3166" s="171" t="s">
        <v>1697</v>
      </c>
      <c r="H3166" s="68">
        <v>1.47</v>
      </c>
      <c r="I3166" s="26" t="s">
        <v>3477</v>
      </c>
      <c r="J3166" s="78"/>
    </row>
    <row r="3167" spans="2:10" hidden="1">
      <c r="B3167" s="26" t="s">
        <v>3709</v>
      </c>
      <c r="G3167" s="171" t="s">
        <v>1697</v>
      </c>
      <c r="H3167" s="68">
        <v>3.09</v>
      </c>
      <c r="I3167" s="26" t="s">
        <v>3477</v>
      </c>
      <c r="J3167" s="78"/>
    </row>
    <row r="3168" spans="2:10" hidden="1">
      <c r="B3168" s="26" t="s">
        <v>3710</v>
      </c>
      <c r="G3168" s="171" t="s">
        <v>1697</v>
      </c>
      <c r="H3168" s="68">
        <v>1.35</v>
      </c>
      <c r="I3168" s="26" t="s">
        <v>3477</v>
      </c>
      <c r="J3168" s="78"/>
    </row>
    <row r="3169" spans="2:10" hidden="1">
      <c r="B3169" s="26" t="s">
        <v>6529</v>
      </c>
      <c r="G3169" s="171" t="s">
        <v>1697</v>
      </c>
      <c r="H3169" s="68">
        <v>0.24</v>
      </c>
      <c r="I3169" s="26" t="s">
        <v>3477</v>
      </c>
      <c r="J3169" s="78"/>
    </row>
    <row r="3170" spans="2:10" hidden="1">
      <c r="F3170" s="26" t="s">
        <v>1518</v>
      </c>
      <c r="G3170" s="171" t="s">
        <v>1697</v>
      </c>
      <c r="H3170" s="68">
        <v>8.6999999999999993</v>
      </c>
      <c r="I3170" s="26" t="s">
        <v>3477</v>
      </c>
      <c r="J3170" s="78"/>
    </row>
    <row r="3171" spans="2:10" hidden="1">
      <c r="B3171" s="26" t="s">
        <v>2230</v>
      </c>
      <c r="G3171" s="171" t="s">
        <v>1697</v>
      </c>
      <c r="H3171" s="68">
        <v>1.7</v>
      </c>
      <c r="I3171" s="26" t="s">
        <v>3477</v>
      </c>
      <c r="J3171" s="78"/>
    </row>
    <row r="3172" spans="2:10" hidden="1">
      <c r="F3172" s="26" t="s">
        <v>3951</v>
      </c>
      <c r="G3172" s="171" t="s">
        <v>1697</v>
      </c>
      <c r="H3172" s="68">
        <v>7</v>
      </c>
      <c r="I3172" s="26" t="s">
        <v>6901</v>
      </c>
      <c r="J3172" s="78"/>
    </row>
    <row r="3173" spans="2:10" hidden="1">
      <c r="B3173" s="26" t="s">
        <v>4056</v>
      </c>
      <c r="G3173" s="171" t="s">
        <v>1697</v>
      </c>
      <c r="H3173" s="68">
        <v>0.8</v>
      </c>
      <c r="I3173" s="26" t="s">
        <v>6714</v>
      </c>
      <c r="J3173" s="78"/>
    </row>
    <row r="3174" spans="2:10" hidden="1">
      <c r="B3174" s="26" t="s">
        <v>2231</v>
      </c>
      <c r="G3174" s="171"/>
      <c r="J3174" s="78"/>
    </row>
    <row r="3175" spans="2:10" hidden="1">
      <c r="B3175" s="26" t="s">
        <v>3414</v>
      </c>
      <c r="G3175" s="171" t="s">
        <v>1697</v>
      </c>
      <c r="H3175" s="26">
        <v>0.44</v>
      </c>
      <c r="I3175" s="26" t="s">
        <v>5336</v>
      </c>
      <c r="J3175" s="78"/>
    </row>
    <row r="3176" spans="2:10" hidden="1">
      <c r="B3176" s="26" t="s">
        <v>5853</v>
      </c>
      <c r="G3176" s="171" t="s">
        <v>1697</v>
      </c>
      <c r="H3176" s="68">
        <v>350</v>
      </c>
      <c r="I3176" s="26" t="s">
        <v>6670</v>
      </c>
      <c r="J3176" s="78"/>
    </row>
    <row r="3177" spans="2:10" hidden="1">
      <c r="B3177" s="26" t="s">
        <v>4282</v>
      </c>
      <c r="G3177" s="171" t="s">
        <v>1697</v>
      </c>
      <c r="H3177" s="68">
        <f>H3176*0.4%</f>
        <v>1.4000000000000001</v>
      </c>
      <c r="I3177" s="26" t="s">
        <v>6670</v>
      </c>
      <c r="J3177" s="78"/>
    </row>
    <row r="3178" spans="2:10" hidden="1">
      <c r="B3178" s="26" t="s">
        <v>1821</v>
      </c>
      <c r="G3178" s="171" t="s">
        <v>1697</v>
      </c>
      <c r="H3178" s="171" t="s">
        <v>1822</v>
      </c>
      <c r="I3178" s="26" t="s">
        <v>3155</v>
      </c>
      <c r="J3178" s="78"/>
    </row>
    <row r="3179" spans="2:10" hidden="1">
      <c r="B3179" s="26" t="s">
        <v>2187</v>
      </c>
      <c r="H3179" s="68">
        <v>7</v>
      </c>
      <c r="I3179" s="26" t="s">
        <v>6901</v>
      </c>
      <c r="J3179" s="78"/>
    </row>
    <row r="3180" spans="2:10" hidden="1">
      <c r="B3180" s="26" t="s">
        <v>2738</v>
      </c>
      <c r="J3180" s="78"/>
    </row>
    <row r="3181" spans="2:10" hidden="1">
      <c r="B3181" s="26" t="s">
        <v>2739</v>
      </c>
      <c r="G3181" s="171" t="s">
        <v>1697</v>
      </c>
      <c r="H3181" s="68">
        <v>14.68</v>
      </c>
      <c r="I3181" s="26" t="s">
        <v>3479</v>
      </c>
      <c r="J3181" s="78"/>
    </row>
    <row r="3182" spans="2:10" hidden="1">
      <c r="B3182" s="26" t="s">
        <v>2043</v>
      </c>
      <c r="G3182" s="171" t="s">
        <v>1697</v>
      </c>
      <c r="H3182" s="68">
        <v>13.5</v>
      </c>
      <c r="I3182" s="26" t="s">
        <v>3479</v>
      </c>
      <c r="J3182" s="78"/>
    </row>
    <row r="3183" spans="2:10" hidden="1">
      <c r="B3183" s="26" t="s">
        <v>3948</v>
      </c>
      <c r="G3183" s="171" t="s">
        <v>1697</v>
      </c>
      <c r="H3183" s="68">
        <v>49.68</v>
      </c>
      <c r="I3183" s="26" t="s">
        <v>3479</v>
      </c>
      <c r="J3183" s="78"/>
    </row>
    <row r="3184" spans="2:10" hidden="1">
      <c r="B3184" s="26" t="s">
        <v>2188</v>
      </c>
      <c r="G3184" s="171" t="s">
        <v>1697</v>
      </c>
      <c r="H3184" s="68">
        <v>20.25</v>
      </c>
      <c r="I3184" s="26" t="s">
        <v>3479</v>
      </c>
      <c r="J3184" s="78"/>
    </row>
    <row r="3185" spans="1:10" hidden="1">
      <c r="B3185" s="26" t="s">
        <v>3949</v>
      </c>
      <c r="G3185" s="171" t="s">
        <v>1697</v>
      </c>
      <c r="H3185" s="68">
        <v>14.01</v>
      </c>
      <c r="I3185" s="26" t="s">
        <v>3479</v>
      </c>
      <c r="J3185" s="78"/>
    </row>
    <row r="3186" spans="1:10" hidden="1">
      <c r="B3186" s="26" t="s">
        <v>3950</v>
      </c>
      <c r="G3186" s="171" t="s">
        <v>1697</v>
      </c>
      <c r="H3186" s="173">
        <v>2.52</v>
      </c>
      <c r="I3186" s="26" t="s">
        <v>3479</v>
      </c>
      <c r="J3186" s="78"/>
    </row>
    <row r="3187" spans="1:10" hidden="1">
      <c r="F3187" s="26" t="s">
        <v>3951</v>
      </c>
      <c r="G3187" s="171" t="s">
        <v>1697</v>
      </c>
      <c r="H3187" s="68">
        <v>115</v>
      </c>
      <c r="I3187" s="26" t="s">
        <v>3479</v>
      </c>
      <c r="J3187" s="78"/>
    </row>
    <row r="3188" spans="1:10" hidden="1">
      <c r="B3188" s="26" t="s">
        <v>1661</v>
      </c>
      <c r="J3188" s="78"/>
    </row>
    <row r="3189" spans="1:10" hidden="1">
      <c r="B3189" s="26" t="s">
        <v>577</v>
      </c>
      <c r="G3189" s="171" t="s">
        <v>1697</v>
      </c>
      <c r="H3189" s="68">
        <f>H1604</f>
        <v>216.75</v>
      </c>
      <c r="I3189" s="26" t="s">
        <v>3479</v>
      </c>
      <c r="J3189" s="78"/>
    </row>
    <row r="3190" spans="1:10" hidden="1">
      <c r="B3190" s="26" t="s">
        <v>6638</v>
      </c>
      <c r="G3190" s="171" t="s">
        <v>1698</v>
      </c>
      <c r="H3190" s="68">
        <f>H1621</f>
        <v>88.5</v>
      </c>
      <c r="I3190" s="26" t="s">
        <v>3479</v>
      </c>
      <c r="J3190" s="78"/>
    </row>
    <row r="3191" spans="1:10" hidden="1">
      <c r="B3191" s="26" t="s">
        <v>580</v>
      </c>
      <c r="J3191" s="78"/>
    </row>
    <row r="3192" spans="1:10" hidden="1">
      <c r="B3192" s="26" t="s">
        <v>6639</v>
      </c>
      <c r="J3192" s="78"/>
    </row>
    <row r="3193" spans="1:10" hidden="1">
      <c r="B3193" s="26" t="s">
        <v>3292</v>
      </c>
      <c r="J3193" s="78"/>
    </row>
    <row r="3194" spans="1:10" hidden="1">
      <c r="B3194" s="26" t="s">
        <v>582</v>
      </c>
      <c r="H3194" s="68">
        <v>1</v>
      </c>
      <c r="I3194" s="26" t="s">
        <v>6714</v>
      </c>
      <c r="J3194" s="78"/>
    </row>
    <row r="3195" spans="1:10" hidden="1">
      <c r="B3195" s="26" t="s">
        <v>2859</v>
      </c>
      <c r="J3195" s="78"/>
    </row>
    <row r="3196" spans="1:10">
      <c r="J3196" s="78"/>
    </row>
    <row r="3197" spans="1:10">
      <c r="A3197" s="822" t="s">
        <v>3984</v>
      </c>
      <c r="E3197" s="170" t="s">
        <v>2367</v>
      </c>
      <c r="J3197" s="78"/>
    </row>
    <row r="3198" spans="1:10">
      <c r="H3198" s="171" t="s">
        <v>1188</v>
      </c>
      <c r="J3198" s="78"/>
    </row>
    <row r="3199" spans="1:10">
      <c r="B3199" s="170" t="s">
        <v>2368</v>
      </c>
      <c r="C3199" s="89"/>
      <c r="H3199" s="211">
        <f>H3157</f>
        <v>36</v>
      </c>
      <c r="I3199" s="26" t="s">
        <v>3483</v>
      </c>
      <c r="J3199" s="78"/>
    </row>
    <row r="3200" spans="1:10">
      <c r="B3200" s="95" t="s">
        <v>2369</v>
      </c>
      <c r="D3200" s="157" t="s">
        <v>4443</v>
      </c>
      <c r="E3200" s="97"/>
      <c r="F3200" s="95" t="s">
        <v>2370</v>
      </c>
      <c r="G3200" s="95" t="s">
        <v>1166</v>
      </c>
      <c r="H3200" s="97" t="s">
        <v>6664</v>
      </c>
      <c r="I3200" s="97" t="s">
        <v>6665</v>
      </c>
      <c r="J3200" s="78"/>
    </row>
    <row r="3201" spans="1:10">
      <c r="B3201" s="191"/>
      <c r="C3201" s="139"/>
      <c r="D3201" s="174"/>
      <c r="E3201" s="192"/>
      <c r="F3201" s="191"/>
      <c r="G3201" s="176"/>
      <c r="H3201" s="236" t="s">
        <v>3856</v>
      </c>
      <c r="I3201" s="115" t="s">
        <v>3857</v>
      </c>
      <c r="J3201" s="78"/>
    </row>
    <row r="3202" spans="1:10">
      <c r="B3202" s="95">
        <v>1</v>
      </c>
      <c r="C3202" s="131" t="s">
        <v>3807</v>
      </c>
      <c r="D3202" s="187"/>
      <c r="E3202" s="195"/>
      <c r="F3202" s="107" t="s">
        <v>3478</v>
      </c>
      <c r="G3202" s="26">
        <f>H3172*H3176</f>
        <v>2450</v>
      </c>
      <c r="H3202" s="212">
        <f>'BASIC DATA'!$D$32/1000</f>
        <v>5.35</v>
      </c>
      <c r="I3202" s="155">
        <f t="shared" ref="I3202:I3208" si="56">H3202*G3202</f>
        <v>13107.5</v>
      </c>
      <c r="J3202" s="78"/>
    </row>
    <row r="3203" spans="1:10">
      <c r="B3203" s="105"/>
      <c r="C3203" s="135" t="s">
        <v>757</v>
      </c>
      <c r="D3203" s="31"/>
      <c r="E3203" s="189"/>
      <c r="F3203" s="210" t="s">
        <v>3478</v>
      </c>
      <c r="G3203" s="221">
        <f>H3179*5</f>
        <v>35</v>
      </c>
      <c r="H3203" s="212">
        <f>'BASIC DATA'!$D$32/1000</f>
        <v>5.35</v>
      </c>
      <c r="I3203" s="155">
        <f t="shared" si="56"/>
        <v>187.25</v>
      </c>
      <c r="J3203" s="78"/>
    </row>
    <row r="3204" spans="1:10">
      <c r="B3204" s="105">
        <v>2</v>
      </c>
      <c r="C3204" s="135" t="s">
        <v>6995</v>
      </c>
      <c r="D3204" s="31"/>
      <c r="E3204" s="189"/>
      <c r="F3204" s="210" t="s">
        <v>3477</v>
      </c>
      <c r="G3204" s="26">
        <f>H3179*H3173*0.65</f>
        <v>3.6400000000000006</v>
      </c>
      <c r="H3204" s="214">
        <f>'BASIC DATA'!$D$35</f>
        <v>1225</v>
      </c>
      <c r="I3204" s="155">
        <f t="shared" si="56"/>
        <v>4459.0000000000009</v>
      </c>
      <c r="J3204" s="78"/>
    </row>
    <row r="3205" spans="1:10">
      <c r="B3205" s="105"/>
      <c r="C3205" s="135" t="s">
        <v>6994</v>
      </c>
      <c r="D3205" s="31"/>
      <c r="E3205" s="189"/>
      <c r="F3205" s="210" t="s">
        <v>3477</v>
      </c>
      <c r="G3205" s="26">
        <f>H3172*H3173*0.35</f>
        <v>1.96</v>
      </c>
      <c r="H3205" s="214">
        <f>'BASIC DATA'!$D$34</f>
        <v>900</v>
      </c>
      <c r="I3205" s="155">
        <f t="shared" si="56"/>
        <v>1764</v>
      </c>
      <c r="J3205" s="78"/>
    </row>
    <row r="3206" spans="1:10">
      <c r="A3206" s="853"/>
      <c r="B3206" s="240">
        <v>3</v>
      </c>
      <c r="C3206" s="326" t="s">
        <v>7935</v>
      </c>
      <c r="D3206" s="60"/>
      <c r="E3206" s="253"/>
      <c r="F3206" s="254" t="s">
        <v>3477</v>
      </c>
      <c r="G3206" s="61">
        <f>H3179*H3175</f>
        <v>3.08</v>
      </c>
      <c r="H3206" s="266">
        <f>'BASIC DATA'!$D$55</f>
        <v>95</v>
      </c>
      <c r="I3206" s="244">
        <f t="shared" si="56"/>
        <v>292.60000000000002</v>
      </c>
      <c r="J3206" s="62"/>
    </row>
    <row r="3207" spans="1:10">
      <c r="B3207" s="105">
        <v>4</v>
      </c>
      <c r="C3207" s="135" t="s">
        <v>4282</v>
      </c>
      <c r="D3207" s="31"/>
      <c r="E3207" s="189"/>
      <c r="F3207" s="210" t="s">
        <v>3478</v>
      </c>
      <c r="G3207" s="221">
        <f>H3177*H3179</f>
        <v>9.8000000000000007</v>
      </c>
      <c r="H3207" s="266">
        <f>'BASIC DATA'!$D$99</f>
        <v>55</v>
      </c>
      <c r="I3207" s="155">
        <f t="shared" si="56"/>
        <v>539</v>
      </c>
      <c r="J3207" s="78"/>
    </row>
    <row r="3208" spans="1:10">
      <c r="B3208" s="105">
        <v>5</v>
      </c>
      <c r="C3208" s="135" t="s">
        <v>5315</v>
      </c>
      <c r="D3208" s="31"/>
      <c r="E3208" s="189"/>
      <c r="F3208" s="210" t="s">
        <v>3479</v>
      </c>
      <c r="G3208" s="221">
        <f>H3187</f>
        <v>115</v>
      </c>
      <c r="H3208" s="214">
        <f>H3189</f>
        <v>216.75</v>
      </c>
      <c r="I3208" s="155">
        <f t="shared" si="56"/>
        <v>24926.25</v>
      </c>
      <c r="J3208" s="78"/>
    </row>
    <row r="3209" spans="1:10">
      <c r="B3209" s="105">
        <v>6</v>
      </c>
      <c r="C3209" s="135" t="s">
        <v>4491</v>
      </c>
      <c r="D3209" s="31"/>
      <c r="E3209" s="189"/>
      <c r="F3209" s="213">
        <v>0.15</v>
      </c>
      <c r="G3209" s="147"/>
      <c r="H3209" s="280"/>
      <c r="I3209" s="138">
        <f>I3208*F3209</f>
        <v>3738.9375</v>
      </c>
      <c r="J3209" s="78"/>
    </row>
    <row r="3210" spans="1:10">
      <c r="B3210" s="105">
        <v>7</v>
      </c>
      <c r="C3210" s="89" t="s">
        <v>2373</v>
      </c>
      <c r="D3210" s="174"/>
      <c r="E3210" s="192"/>
      <c r="F3210" s="191" t="s">
        <v>2173</v>
      </c>
      <c r="G3210" s="183">
        <v>2</v>
      </c>
      <c r="H3210" s="215">
        <f>'BASIC DATA'!$D$359</f>
        <v>30</v>
      </c>
      <c r="I3210" s="155">
        <f>H3210*G3210</f>
        <v>60</v>
      </c>
      <c r="J3210" s="78"/>
    </row>
    <row r="3211" spans="1:10">
      <c r="B3211" s="154"/>
      <c r="C3211" s="151"/>
      <c r="D3211" s="159"/>
      <c r="E3211" s="159" t="s">
        <v>2376</v>
      </c>
      <c r="F3211" s="159"/>
      <c r="G3211" s="159"/>
      <c r="H3211" s="208" t="s">
        <v>1698</v>
      </c>
      <c r="I3211" s="209">
        <f>SUM(I3202:I3210)</f>
        <v>49074.537499999999</v>
      </c>
      <c r="J3211" s="78"/>
    </row>
    <row r="3212" spans="1:10">
      <c r="B3212" s="31"/>
      <c r="C3212" s="76"/>
      <c r="D3212" s="31"/>
      <c r="E3212" s="31"/>
      <c r="F3212" s="31"/>
      <c r="G3212" s="31"/>
      <c r="H3212" s="200"/>
      <c r="I3212" s="31"/>
      <c r="J3212" s="78"/>
    </row>
    <row r="3213" spans="1:10">
      <c r="B3213" s="170" t="s">
        <v>2377</v>
      </c>
      <c r="C3213" s="89"/>
      <c r="J3213" s="78"/>
    </row>
    <row r="3214" spans="1:10">
      <c r="B3214" s="95" t="s">
        <v>2369</v>
      </c>
      <c r="D3214" s="157" t="s">
        <v>2378</v>
      </c>
      <c r="E3214" s="97"/>
      <c r="F3214" s="95" t="s">
        <v>2370</v>
      </c>
      <c r="G3214" s="95" t="s">
        <v>1166</v>
      </c>
      <c r="H3214" s="97" t="s">
        <v>6664</v>
      </c>
      <c r="I3214" s="97" t="s">
        <v>6665</v>
      </c>
      <c r="J3214" s="78"/>
    </row>
    <row r="3215" spans="1:10">
      <c r="B3215" s="191"/>
      <c r="C3215" s="139"/>
      <c r="D3215" s="174"/>
      <c r="E3215" s="192"/>
      <c r="F3215" s="191"/>
      <c r="G3215" s="114"/>
      <c r="H3215" s="115" t="s">
        <v>3856</v>
      </c>
      <c r="I3215" s="115" t="s">
        <v>3857</v>
      </c>
      <c r="J3215" s="78"/>
    </row>
    <row r="3216" spans="1:10">
      <c r="B3216" s="95">
        <v>1</v>
      </c>
      <c r="C3216" s="131" t="s">
        <v>4412</v>
      </c>
      <c r="D3216" s="187"/>
      <c r="E3216" s="195"/>
      <c r="F3216" s="107" t="s">
        <v>2374</v>
      </c>
      <c r="G3216" s="179">
        <v>8</v>
      </c>
      <c r="H3216" s="178">
        <f>'HIRE CHARGES'!$D$508</f>
        <v>51.7</v>
      </c>
      <c r="I3216" s="155">
        <f t="shared" ref="I3216:I3221" si="57">H3216*G3216</f>
        <v>413.6</v>
      </c>
      <c r="J3216" s="78"/>
    </row>
    <row r="3217" spans="2:10">
      <c r="B3217" s="105"/>
      <c r="C3217" s="135" t="s">
        <v>2379</v>
      </c>
      <c r="D3217" s="31"/>
      <c r="E3217" s="189"/>
      <c r="F3217" s="210" t="s">
        <v>2374</v>
      </c>
      <c r="G3217" s="190">
        <v>8</v>
      </c>
      <c r="H3217" s="207">
        <f>'HIRE CHARGES'!$E$508</f>
        <v>28</v>
      </c>
      <c r="I3217" s="155">
        <f t="shared" si="57"/>
        <v>224</v>
      </c>
      <c r="J3217" s="78"/>
    </row>
    <row r="3218" spans="2:10">
      <c r="B3218" s="105">
        <v>2</v>
      </c>
      <c r="C3218" s="135" t="s">
        <v>3964</v>
      </c>
      <c r="D3218" s="31"/>
      <c r="E3218" s="189"/>
      <c r="F3218" s="210" t="s">
        <v>2374</v>
      </c>
      <c r="G3218" s="190">
        <v>8</v>
      </c>
      <c r="H3218" s="207">
        <f>'HIRE CHARGES'!$D$532</f>
        <v>8</v>
      </c>
      <c r="I3218" s="155">
        <f t="shared" si="57"/>
        <v>64</v>
      </c>
      <c r="J3218" s="78"/>
    </row>
    <row r="3219" spans="2:10">
      <c r="B3219" s="105"/>
      <c r="C3219" s="135" t="s">
        <v>2379</v>
      </c>
      <c r="D3219" s="31"/>
      <c r="E3219" s="189"/>
      <c r="F3219" s="210" t="s">
        <v>2374</v>
      </c>
      <c r="G3219" s="190">
        <v>8</v>
      </c>
      <c r="H3219" s="181">
        <f>'HIRE CHARGES'!$E$532</f>
        <v>5.6</v>
      </c>
      <c r="I3219" s="155">
        <f t="shared" si="57"/>
        <v>44.8</v>
      </c>
      <c r="J3219" s="78"/>
    </row>
    <row r="3220" spans="2:10">
      <c r="B3220" s="105">
        <v>3</v>
      </c>
      <c r="C3220" s="135" t="s">
        <v>383</v>
      </c>
      <c r="D3220" s="31"/>
      <c r="E3220" s="189"/>
      <c r="F3220" s="210" t="s">
        <v>2374</v>
      </c>
      <c r="G3220" s="190">
        <v>0.5</v>
      </c>
      <c r="H3220" s="190">
        <f>'HIRE CHARGES'!$D$520</f>
        <v>6.7</v>
      </c>
      <c r="I3220" s="155">
        <f t="shared" si="57"/>
        <v>3.35</v>
      </c>
      <c r="J3220" s="78"/>
    </row>
    <row r="3221" spans="2:10">
      <c r="B3221" s="191"/>
      <c r="C3221" s="139" t="s">
        <v>2379</v>
      </c>
      <c r="D3221" s="174"/>
      <c r="E3221" s="192"/>
      <c r="F3221" s="191" t="s">
        <v>2374</v>
      </c>
      <c r="G3221" s="182">
        <v>0.5</v>
      </c>
      <c r="H3221" s="207">
        <f>'HIRE CHARGES'!$E$520</f>
        <v>56</v>
      </c>
      <c r="I3221" s="155">
        <f t="shared" si="57"/>
        <v>28</v>
      </c>
      <c r="J3221" s="78"/>
    </row>
    <row r="3222" spans="2:10">
      <c r="B3222" s="184"/>
      <c r="C3222" s="151"/>
      <c r="D3222" s="159"/>
      <c r="E3222" s="159" t="s">
        <v>2380</v>
      </c>
      <c r="F3222" s="159"/>
      <c r="G3222" s="159"/>
      <c r="H3222" s="208" t="s">
        <v>1698</v>
      </c>
      <c r="I3222" s="209">
        <f>SUM(I3216:I3221)</f>
        <v>777.75</v>
      </c>
      <c r="J3222" s="78"/>
    </row>
    <row r="3223" spans="2:10">
      <c r="B3223" s="31"/>
      <c r="C3223" s="76"/>
      <c r="D3223" s="31"/>
      <c r="E3223" s="31"/>
      <c r="F3223" s="31"/>
      <c r="G3223" s="31"/>
      <c r="H3223" s="200"/>
      <c r="I3223" s="31"/>
      <c r="J3223" s="78"/>
    </row>
    <row r="3224" spans="2:10">
      <c r="B3224" s="170" t="s">
        <v>2381</v>
      </c>
      <c r="C3224" s="89"/>
      <c r="J3224" s="78"/>
    </row>
    <row r="3225" spans="2:10">
      <c r="B3225" s="95" t="s">
        <v>2369</v>
      </c>
      <c r="D3225" s="157" t="s">
        <v>2378</v>
      </c>
      <c r="E3225" s="97"/>
      <c r="F3225" s="95" t="s">
        <v>2370</v>
      </c>
      <c r="G3225" s="95" t="s">
        <v>1166</v>
      </c>
      <c r="H3225" s="97" t="s">
        <v>6664</v>
      </c>
      <c r="I3225" s="97" t="s">
        <v>6665</v>
      </c>
      <c r="J3225" s="78"/>
    </row>
    <row r="3226" spans="2:10">
      <c r="B3226" s="114"/>
      <c r="C3226" s="139"/>
      <c r="D3226" s="174"/>
      <c r="E3226" s="192"/>
      <c r="F3226" s="191"/>
      <c r="G3226" s="114"/>
      <c r="H3226" s="115" t="s">
        <v>3856</v>
      </c>
      <c r="I3226" s="115" t="s">
        <v>3857</v>
      </c>
      <c r="J3226" s="78"/>
    </row>
    <row r="3227" spans="2:10">
      <c r="B3227" s="95">
        <v>1</v>
      </c>
      <c r="C3227" s="131" t="s">
        <v>527</v>
      </c>
      <c r="D3227" s="187"/>
      <c r="E3227" s="195"/>
      <c r="F3227" s="107" t="s">
        <v>2374</v>
      </c>
      <c r="G3227" s="179">
        <v>8</v>
      </c>
      <c r="H3227" s="179">
        <f>'HIRE CHARGES'!$F$508</f>
        <v>219.7</v>
      </c>
      <c r="I3227" s="155">
        <f>H3227*G3227</f>
        <v>1757.6</v>
      </c>
      <c r="J3227" s="78"/>
    </row>
    <row r="3228" spans="2:10">
      <c r="B3228" s="105">
        <v>2</v>
      </c>
      <c r="C3228" s="135" t="s">
        <v>999</v>
      </c>
      <c r="D3228" s="31"/>
      <c r="E3228" s="189"/>
      <c r="F3228" s="210" t="s">
        <v>2374</v>
      </c>
      <c r="G3228" s="190">
        <v>0.5</v>
      </c>
      <c r="H3228" s="207">
        <f>'HIRE CHARGES'!$F$520</f>
        <v>83.3</v>
      </c>
      <c r="I3228" s="155">
        <f>H3228*G3228</f>
        <v>41.65</v>
      </c>
      <c r="J3228" s="78"/>
    </row>
    <row r="3229" spans="2:10">
      <c r="B3229" s="105">
        <v>3</v>
      </c>
      <c r="C3229" s="135" t="s">
        <v>5148</v>
      </c>
      <c r="D3229" s="31"/>
      <c r="E3229" s="189"/>
      <c r="F3229" s="210" t="s">
        <v>2374</v>
      </c>
      <c r="G3229" s="190">
        <v>8</v>
      </c>
      <c r="H3229" s="207">
        <f>'HIRE CHARGES'!$F$532</f>
        <v>158.19999999999999</v>
      </c>
      <c r="I3229" s="155">
        <f>H3229*G3229</f>
        <v>1265.5999999999999</v>
      </c>
      <c r="J3229" s="78"/>
    </row>
    <row r="3230" spans="2:10">
      <c r="B3230" s="105">
        <v>4</v>
      </c>
      <c r="C3230" s="135" t="s">
        <v>440</v>
      </c>
      <c r="D3230" s="31"/>
      <c r="E3230" s="189"/>
      <c r="F3230" s="210" t="s">
        <v>1172</v>
      </c>
      <c r="G3230" s="190">
        <v>2</v>
      </c>
      <c r="H3230" s="207">
        <f>'BASIC DATA'!$C$474</f>
        <v>445</v>
      </c>
      <c r="I3230" s="155">
        <f>H3230*G3230</f>
        <v>890</v>
      </c>
      <c r="J3230" s="78"/>
    </row>
    <row r="3231" spans="2:10">
      <c r="B3231" s="105">
        <v>5</v>
      </c>
      <c r="C3231" s="135" t="s">
        <v>4206</v>
      </c>
      <c r="D3231" s="31"/>
      <c r="E3231" s="189"/>
      <c r="F3231" s="210" t="s">
        <v>1172</v>
      </c>
      <c r="G3231" s="190">
        <v>1</v>
      </c>
      <c r="H3231" s="190">
        <f>'BASIC DATA'!$C$473</f>
        <v>450</v>
      </c>
      <c r="I3231" s="155">
        <f>H3231*G3231</f>
        <v>450</v>
      </c>
      <c r="J3231" s="78"/>
    </row>
    <row r="3232" spans="2:10">
      <c r="B3232" s="105">
        <v>6</v>
      </c>
      <c r="C3232" s="135" t="s">
        <v>2697</v>
      </c>
      <c r="D3232" s="31"/>
      <c r="E3232" s="189"/>
      <c r="F3232" s="210"/>
      <c r="G3232" s="210"/>
      <c r="H3232" s="189"/>
      <c r="I3232" s="138"/>
      <c r="J3232" s="78"/>
    </row>
    <row r="3233" spans="2:10">
      <c r="B3233" s="105"/>
      <c r="C3233" s="135" t="s">
        <v>4413</v>
      </c>
      <c r="D3233" s="31"/>
      <c r="E3233" s="189"/>
      <c r="F3233" s="210" t="s">
        <v>1172</v>
      </c>
      <c r="G3233" s="190">
        <v>2</v>
      </c>
      <c r="H3233" s="207">
        <f>'BASIC DATA'!$C$552</f>
        <v>350</v>
      </c>
      <c r="I3233" s="155">
        <f t="shared" ref="I3233:I3239" si="58">H3233*G3233</f>
        <v>700</v>
      </c>
      <c r="J3233" s="78"/>
    </row>
    <row r="3234" spans="2:10">
      <c r="B3234" s="105"/>
      <c r="C3234" s="135" t="s">
        <v>4869</v>
      </c>
      <c r="D3234" s="31"/>
      <c r="E3234" s="189"/>
      <c r="F3234" s="210" t="s">
        <v>1172</v>
      </c>
      <c r="G3234" s="190">
        <v>9</v>
      </c>
      <c r="H3234" s="207">
        <f>'BASIC DATA'!$C$552</f>
        <v>350</v>
      </c>
      <c r="I3234" s="155">
        <f t="shared" si="58"/>
        <v>3150</v>
      </c>
      <c r="J3234" s="78"/>
    </row>
    <row r="3235" spans="2:10">
      <c r="B3235" s="105"/>
      <c r="C3235" s="135" t="s">
        <v>442</v>
      </c>
      <c r="D3235" s="31"/>
      <c r="E3235" s="189"/>
      <c r="F3235" s="210" t="s">
        <v>1172</v>
      </c>
      <c r="G3235" s="190">
        <v>4</v>
      </c>
      <c r="H3235" s="207">
        <f>'BASIC DATA'!$C$552</f>
        <v>350</v>
      </c>
      <c r="I3235" s="155">
        <f t="shared" si="58"/>
        <v>1400</v>
      </c>
      <c r="J3235" s="78"/>
    </row>
    <row r="3236" spans="2:10">
      <c r="B3236" s="105"/>
      <c r="C3236" s="135" t="s">
        <v>1848</v>
      </c>
      <c r="D3236" s="31"/>
      <c r="E3236" s="189"/>
      <c r="F3236" s="210" t="s">
        <v>1172</v>
      </c>
      <c r="G3236" s="190">
        <v>2</v>
      </c>
      <c r="H3236" s="207">
        <f>'BASIC DATA'!$C$552</f>
        <v>350</v>
      </c>
      <c r="I3236" s="155">
        <f t="shared" si="58"/>
        <v>700</v>
      </c>
      <c r="J3236" s="78"/>
    </row>
    <row r="3237" spans="2:10">
      <c r="B3237" s="105"/>
      <c r="C3237" s="135" t="s">
        <v>444</v>
      </c>
      <c r="D3237" s="31"/>
      <c r="E3237" s="189"/>
      <c r="F3237" s="210" t="s">
        <v>1172</v>
      </c>
      <c r="G3237" s="190">
        <v>7</v>
      </c>
      <c r="H3237" s="207">
        <f>'BASIC DATA'!$C$552</f>
        <v>350</v>
      </c>
      <c r="I3237" s="155">
        <f t="shared" si="58"/>
        <v>2450</v>
      </c>
      <c r="J3237" s="78"/>
    </row>
    <row r="3238" spans="2:10">
      <c r="B3238" s="105"/>
      <c r="C3238" s="135" t="s">
        <v>3965</v>
      </c>
      <c r="D3238" s="31"/>
      <c r="E3238" s="189"/>
      <c r="F3238" s="210" t="s">
        <v>1172</v>
      </c>
      <c r="G3238" s="190">
        <v>2</v>
      </c>
      <c r="H3238" s="207">
        <f>'BASIC DATA'!$C$552</f>
        <v>350</v>
      </c>
      <c r="I3238" s="155">
        <f t="shared" si="58"/>
        <v>700</v>
      </c>
      <c r="J3238" s="78"/>
    </row>
    <row r="3239" spans="2:10">
      <c r="B3239" s="105">
        <v>7</v>
      </c>
      <c r="C3239" s="135" t="s">
        <v>2126</v>
      </c>
      <c r="D3239" s="31"/>
      <c r="E3239" s="189"/>
      <c r="F3239" s="210" t="s">
        <v>3479</v>
      </c>
      <c r="G3239" s="190">
        <v>115</v>
      </c>
      <c r="H3239" s="207">
        <f>H3190</f>
        <v>88.5</v>
      </c>
      <c r="I3239" s="155">
        <f t="shared" si="58"/>
        <v>10177.5</v>
      </c>
      <c r="J3239" s="78"/>
    </row>
    <row r="3240" spans="2:10">
      <c r="B3240" s="114">
        <v>8</v>
      </c>
      <c r="C3240" s="139" t="s">
        <v>5940</v>
      </c>
      <c r="D3240" s="174"/>
      <c r="E3240" s="192"/>
      <c r="F3240" s="268">
        <v>0.15</v>
      </c>
      <c r="G3240" s="191"/>
      <c r="H3240" s="192"/>
      <c r="I3240" s="144">
        <f>I3239*F3240</f>
        <v>1526.625</v>
      </c>
      <c r="J3240" s="78"/>
    </row>
    <row r="3241" spans="2:10">
      <c r="B3241" s="184"/>
      <c r="C3241" s="151"/>
      <c r="D3241" s="159"/>
      <c r="E3241" s="159" t="s">
        <v>1174</v>
      </c>
      <c r="F3241" s="159"/>
      <c r="G3241" s="193"/>
      <c r="H3241" s="208" t="s">
        <v>1698</v>
      </c>
      <c r="I3241" s="209">
        <f>SUM(I3227:I3240)</f>
        <v>25208.974999999999</v>
      </c>
      <c r="J3241" s="78"/>
    </row>
    <row r="3242" spans="2:10">
      <c r="B3242" s="60" t="s">
        <v>5948</v>
      </c>
      <c r="C3242" s="76"/>
      <c r="D3242" s="31"/>
      <c r="E3242" s="31"/>
      <c r="F3242" s="31"/>
      <c r="G3242" s="85">
        <f>ROUND(I3241/H3199,1)</f>
        <v>700.2</v>
      </c>
      <c r="J3242" s="78"/>
    </row>
    <row r="3243" spans="2:10">
      <c r="B3243" s="60" t="s">
        <v>3163</v>
      </c>
      <c r="C3243" s="76"/>
      <c r="D3243" s="31"/>
      <c r="E3243" s="31"/>
      <c r="F3243" s="922">
        <f>'BASIC DATA'!$C$577</f>
        <v>0.13614999999999999</v>
      </c>
      <c r="G3243" s="85">
        <f>ROUND(G3242*F3243,1)</f>
        <v>95.3</v>
      </c>
      <c r="J3243" s="78"/>
    </row>
    <row r="3244" spans="2:10">
      <c r="B3244" s="60" t="s">
        <v>5949</v>
      </c>
      <c r="C3244" s="76"/>
      <c r="D3244" s="31"/>
      <c r="E3244" s="31"/>
      <c r="F3244" s="31"/>
      <c r="G3244" s="199">
        <f>ROUND(G3243+G3242,1)</f>
        <v>795.5</v>
      </c>
      <c r="J3244" s="78"/>
    </row>
    <row r="3245" spans="2:10">
      <c r="B3245" s="31"/>
      <c r="C3245" s="76"/>
      <c r="D3245" s="31"/>
      <c r="E3245" s="31"/>
      <c r="F3245" s="31"/>
      <c r="G3245" s="200"/>
      <c r="H3245" s="200"/>
      <c r="I3245" s="31"/>
      <c r="J3245" s="78"/>
    </row>
    <row r="3246" spans="2:10">
      <c r="B3246" s="170" t="s">
        <v>1175</v>
      </c>
      <c r="J3246" s="78"/>
    </row>
    <row r="3247" spans="2:10">
      <c r="B3247" s="26" t="s">
        <v>1176</v>
      </c>
      <c r="H3247" s="171" t="s">
        <v>1698</v>
      </c>
      <c r="I3247" s="117">
        <f>I3211</f>
        <v>49074.537499999999</v>
      </c>
      <c r="J3247" s="78"/>
    </row>
    <row r="3248" spans="2:10">
      <c r="B3248" s="26" t="s">
        <v>1186</v>
      </c>
      <c r="H3248" s="171" t="s">
        <v>1698</v>
      </c>
      <c r="I3248" s="117">
        <f>I3222</f>
        <v>777.75</v>
      </c>
      <c r="J3248" s="78"/>
    </row>
    <row r="3249" spans="1:10">
      <c r="B3249" s="26" t="s">
        <v>2660</v>
      </c>
      <c r="H3249" s="171" t="s">
        <v>1698</v>
      </c>
      <c r="I3249" s="85">
        <f>I3241</f>
        <v>25208.974999999999</v>
      </c>
      <c r="J3249" s="78"/>
    </row>
    <row r="3250" spans="1:10">
      <c r="G3250" s="26" t="s">
        <v>1518</v>
      </c>
      <c r="H3250" s="171" t="s">
        <v>1698</v>
      </c>
      <c r="I3250" s="130">
        <f>SUM(I3246:I3249)</f>
        <v>75061.262499999997</v>
      </c>
      <c r="J3250" s="78"/>
    </row>
    <row r="3251" spans="1:10" ht="18.75">
      <c r="B3251" s="1207" t="s">
        <v>8375</v>
      </c>
      <c r="C3251" s="1207"/>
      <c r="D3251" s="1207"/>
      <c r="E3251" s="1207"/>
      <c r="F3251" s="1207"/>
      <c r="G3251" s="922">
        <f>'BASIC DATA'!$C$577</f>
        <v>0.13614999999999999</v>
      </c>
      <c r="H3251" s="171" t="s">
        <v>4108</v>
      </c>
      <c r="I3251" s="76">
        <f>ROUND(I3250*G3251,2)</f>
        <v>10219.59</v>
      </c>
      <c r="J3251" s="78"/>
    </row>
    <row r="3252" spans="1:10">
      <c r="B3252" s="27" t="s">
        <v>9590</v>
      </c>
      <c r="C3252" s="43"/>
      <c r="D3252" s="43"/>
      <c r="E3252" s="43"/>
      <c r="F3252" s="779">
        <f>G3206</f>
        <v>3.08</v>
      </c>
      <c r="G3252" s="201" t="s">
        <v>9591</v>
      </c>
      <c r="H3252" s="68" t="str">
        <f>CONCATENATE((leadcharges!$D$65)," ","Rs./Cum")</f>
        <v>31.5 Rs./Cum</v>
      </c>
      <c r="I3252" s="76">
        <f>leadcharges!$D$65*F3252</f>
        <v>97.02</v>
      </c>
      <c r="J3252" s="78"/>
    </row>
    <row r="3253" spans="1:10">
      <c r="B3253" s="27" t="s">
        <v>9594</v>
      </c>
      <c r="C3253" s="43"/>
      <c r="D3253" s="43"/>
      <c r="E3253" s="43"/>
      <c r="F3253" s="779">
        <f>SUM(G3204:G3205)</f>
        <v>5.6000000000000005</v>
      </c>
      <c r="G3253" s="201" t="s">
        <v>9591</v>
      </c>
      <c r="H3253" s="68" t="str">
        <f>CONCATENATE((leadcharges!$E$65)," ","Rs./Cum")</f>
        <v>30.4 Rs./Cum</v>
      </c>
      <c r="I3253" s="85">
        <f>leadcharges!$E$65*F3253</f>
        <v>170.24</v>
      </c>
      <c r="J3253" s="78"/>
    </row>
    <row r="3254" spans="1:10" ht="35.25" hidden="1" customHeight="1">
      <c r="B3254" s="1207"/>
      <c r="C3254" s="1207"/>
      <c r="D3254" s="1207"/>
      <c r="E3254" s="1207"/>
      <c r="F3254" s="779"/>
      <c r="G3254" s="201"/>
      <c r="H3254" s="68"/>
      <c r="I3254" s="76"/>
      <c r="J3254" s="78"/>
    </row>
    <row r="3255" spans="1:10">
      <c r="B3255" s="1206" t="s">
        <v>1191</v>
      </c>
      <c r="C3255" s="1206"/>
      <c r="D3255" s="1206"/>
      <c r="E3255" s="1206"/>
      <c r="F3255" s="202">
        <f>H3199</f>
        <v>36</v>
      </c>
      <c r="G3255" s="217" t="str">
        <f>I3199</f>
        <v>Rm</v>
      </c>
      <c r="H3255" s="171" t="s">
        <v>1698</v>
      </c>
      <c r="I3255" s="199">
        <f>SUM(I3250:I3254)</f>
        <v>85548.112500000003</v>
      </c>
      <c r="J3255" s="78"/>
    </row>
    <row r="3256" spans="1:10">
      <c r="B3256" s="1161" t="s">
        <v>3884</v>
      </c>
      <c r="C3256" s="1161"/>
      <c r="D3256" s="203" t="str">
        <f>G3255</f>
        <v>Rm</v>
      </c>
      <c r="F3256" s="26" t="s">
        <v>1388</v>
      </c>
      <c r="H3256" s="171" t="s">
        <v>1698</v>
      </c>
      <c r="I3256" s="204">
        <f>ROUND(I3255/F3255,1)</f>
        <v>2376.3000000000002</v>
      </c>
      <c r="J3256" s="78"/>
    </row>
    <row r="3257" spans="1:10">
      <c r="J3257" s="78"/>
    </row>
    <row r="3258" spans="1:10">
      <c r="J3258" s="78"/>
    </row>
    <row r="3259" spans="1:10" ht="18.75">
      <c r="A3259" s="822" t="s">
        <v>7345</v>
      </c>
      <c r="B3259" s="26" t="s">
        <v>8468</v>
      </c>
      <c r="J3259" s="78"/>
    </row>
    <row r="3260" spans="1:10" ht="18.75">
      <c r="B3260" s="26" t="s">
        <v>8469</v>
      </c>
      <c r="J3260" s="78"/>
    </row>
    <row r="3261" spans="1:10" ht="18.75">
      <c r="B3261" s="26" t="s">
        <v>8470</v>
      </c>
      <c r="J3261" s="78"/>
    </row>
    <row r="3262" spans="1:10">
      <c r="B3262" s="26" t="s">
        <v>4064</v>
      </c>
      <c r="J3262" s="78"/>
    </row>
    <row r="3263" spans="1:10">
      <c r="B3263" s="26" t="s">
        <v>4065</v>
      </c>
      <c r="I3263" s="68"/>
      <c r="J3263" s="78"/>
    </row>
    <row r="3264" spans="1:10">
      <c r="B3264" s="26" t="s">
        <v>8471</v>
      </c>
      <c r="J3264" s="78"/>
    </row>
    <row r="3265" spans="1:10">
      <c r="B3265" s="170" t="s">
        <v>2858</v>
      </c>
      <c r="J3265" s="78"/>
    </row>
    <row r="3266" spans="1:10">
      <c r="B3266" s="170" t="s">
        <v>7672</v>
      </c>
      <c r="J3266" s="78"/>
    </row>
    <row r="3267" spans="1:10">
      <c r="B3267" s="170" t="s">
        <v>5369</v>
      </c>
      <c r="J3267" s="78"/>
    </row>
    <row r="3268" spans="1:10" hidden="1">
      <c r="A3268" s="822" t="s">
        <v>3984</v>
      </c>
      <c r="B3268" s="26" t="s">
        <v>1082</v>
      </c>
      <c r="J3268" s="78"/>
    </row>
    <row r="3269" spans="1:10" hidden="1">
      <c r="B3269" s="26" t="s">
        <v>1219</v>
      </c>
      <c r="H3269" s="68">
        <v>0.8</v>
      </c>
      <c r="I3269" s="26" t="s">
        <v>5336</v>
      </c>
      <c r="J3269" s="78"/>
    </row>
    <row r="3270" spans="1:10" hidden="1">
      <c r="B3270" s="26" t="s">
        <v>2556</v>
      </c>
      <c r="H3270" s="265">
        <v>2.7326388888888888</v>
      </c>
      <c r="J3270" s="78"/>
    </row>
    <row r="3271" spans="1:10" hidden="1">
      <c r="B3271" s="26" t="s">
        <v>3414</v>
      </c>
      <c r="G3271" s="171" t="s">
        <v>1697</v>
      </c>
      <c r="H3271" s="26">
        <v>0.45</v>
      </c>
      <c r="I3271" s="26" t="s">
        <v>5336</v>
      </c>
      <c r="J3271" s="78"/>
    </row>
    <row r="3272" spans="1:10" hidden="1">
      <c r="B3272" s="26" t="s">
        <v>5853</v>
      </c>
      <c r="G3272" s="171" t="s">
        <v>1697</v>
      </c>
      <c r="H3272" s="26">
        <v>380</v>
      </c>
      <c r="I3272" s="26" t="s">
        <v>6670</v>
      </c>
      <c r="J3272" s="78"/>
    </row>
    <row r="3273" spans="1:10" hidden="1">
      <c r="A3273" s="853"/>
      <c r="B3273" s="61" t="s">
        <v>818</v>
      </c>
      <c r="C3273" s="125"/>
      <c r="D3273" s="61"/>
      <c r="E3273" s="61"/>
      <c r="F3273" s="61"/>
      <c r="G3273" s="222" t="s">
        <v>1697</v>
      </c>
      <c r="H3273" s="223">
        <f>H3272*0.4%</f>
        <v>1.52</v>
      </c>
      <c r="I3273" s="61" t="s">
        <v>6670</v>
      </c>
      <c r="J3273" s="78"/>
    </row>
    <row r="3274" spans="1:10" hidden="1">
      <c r="B3274" s="26" t="s">
        <v>2874</v>
      </c>
      <c r="J3274" s="78"/>
    </row>
    <row r="3275" spans="1:10" hidden="1">
      <c r="B3275" s="26" t="s">
        <v>2875</v>
      </c>
      <c r="J3275" s="78"/>
    </row>
    <row r="3276" spans="1:10" hidden="1">
      <c r="B3276" s="26" t="s">
        <v>2876</v>
      </c>
      <c r="J3276" s="78"/>
    </row>
    <row r="3277" spans="1:10" hidden="1">
      <c r="B3277" s="26" t="s">
        <v>583</v>
      </c>
      <c r="H3277" s="68">
        <v>4.5</v>
      </c>
      <c r="I3277" s="26" t="s">
        <v>2603</v>
      </c>
      <c r="J3277" s="78"/>
    </row>
    <row r="3278" spans="1:10" hidden="1">
      <c r="B3278" s="26" t="s">
        <v>7673</v>
      </c>
      <c r="H3278" s="68">
        <f>ROUND((50/H3272)*(50/H3277)*8,2)</f>
        <v>11.7</v>
      </c>
      <c r="I3278" s="26" t="s">
        <v>3477</v>
      </c>
      <c r="J3278" s="78"/>
    </row>
    <row r="3279" spans="1:10" hidden="1">
      <c r="B3279" s="26" t="s">
        <v>3862</v>
      </c>
      <c r="H3279" s="171"/>
      <c r="J3279" s="78"/>
    </row>
    <row r="3280" spans="1:10" hidden="1">
      <c r="B3280" s="26" t="s">
        <v>3455</v>
      </c>
      <c r="E3280" s="26" t="s">
        <v>5430</v>
      </c>
      <c r="G3280" s="171" t="s">
        <v>1697</v>
      </c>
      <c r="H3280" s="68">
        <v>3</v>
      </c>
      <c r="I3280" s="26" t="s">
        <v>4041</v>
      </c>
      <c r="J3280" s="78"/>
    </row>
    <row r="3281" spans="1:10" hidden="1">
      <c r="B3281" s="26" t="s">
        <v>3112</v>
      </c>
      <c r="E3281" s="26" t="s">
        <v>5430</v>
      </c>
      <c r="G3281" s="171" t="s">
        <v>1697</v>
      </c>
      <c r="H3281" s="68">
        <v>3</v>
      </c>
      <c r="I3281" s="26" t="s">
        <v>4041</v>
      </c>
      <c r="J3281" s="78"/>
    </row>
    <row r="3282" spans="1:10" hidden="1">
      <c r="B3282" s="26" t="s">
        <v>3388</v>
      </c>
      <c r="E3282" s="26" t="s">
        <v>5430</v>
      </c>
      <c r="G3282" s="171" t="s">
        <v>1697</v>
      </c>
      <c r="H3282" s="68">
        <v>3</v>
      </c>
      <c r="I3282" s="26" t="s">
        <v>4041</v>
      </c>
      <c r="J3282" s="78"/>
    </row>
    <row r="3283" spans="1:10" hidden="1">
      <c r="B3283" s="26" t="s">
        <v>3389</v>
      </c>
      <c r="E3283" s="26" t="s">
        <v>5430</v>
      </c>
      <c r="G3283" s="171" t="s">
        <v>1697</v>
      </c>
      <c r="H3283" s="68">
        <v>2</v>
      </c>
      <c r="I3283" s="26" t="s">
        <v>4041</v>
      </c>
      <c r="J3283" s="78"/>
    </row>
    <row r="3284" spans="1:10" hidden="1">
      <c r="B3284" s="26" t="s">
        <v>3084</v>
      </c>
      <c r="E3284" s="26" t="s">
        <v>5430</v>
      </c>
      <c r="G3284" s="171" t="s">
        <v>1697</v>
      </c>
      <c r="H3284" s="68">
        <v>18</v>
      </c>
      <c r="I3284" s="26" t="s">
        <v>4041</v>
      </c>
      <c r="J3284" s="78"/>
    </row>
    <row r="3285" spans="1:10" hidden="1">
      <c r="B3285" s="26" t="s">
        <v>3863</v>
      </c>
      <c r="E3285" s="26" t="s">
        <v>3864</v>
      </c>
      <c r="G3285" s="171" t="s">
        <v>1697</v>
      </c>
      <c r="H3285" s="68">
        <v>2</v>
      </c>
      <c r="I3285" s="26" t="s">
        <v>4089</v>
      </c>
      <c r="J3285" s="78"/>
    </row>
    <row r="3286" spans="1:10" hidden="1">
      <c r="E3286" s="26" t="s">
        <v>5430</v>
      </c>
      <c r="G3286" s="171" t="s">
        <v>1697</v>
      </c>
      <c r="H3286" s="68">
        <v>4</v>
      </c>
      <c r="I3286" s="26" t="s">
        <v>4041</v>
      </c>
      <c r="J3286" s="78"/>
    </row>
    <row r="3287" spans="1:10" hidden="1">
      <c r="B3287" s="26" t="s">
        <v>2582</v>
      </c>
      <c r="E3287" s="26" t="s">
        <v>3864</v>
      </c>
      <c r="G3287" s="171" t="s">
        <v>1697</v>
      </c>
      <c r="H3287" s="68">
        <v>1</v>
      </c>
      <c r="I3287" s="26" t="s">
        <v>4089</v>
      </c>
      <c r="J3287" s="78"/>
    </row>
    <row r="3288" spans="1:10" hidden="1">
      <c r="E3288" s="26" t="s">
        <v>2697</v>
      </c>
      <c r="G3288" s="171" t="s">
        <v>1697</v>
      </c>
      <c r="H3288" s="68">
        <v>1</v>
      </c>
      <c r="I3288" s="26" t="s">
        <v>3518</v>
      </c>
      <c r="J3288" s="78"/>
    </row>
    <row r="3289" spans="1:10" hidden="1">
      <c r="B3289" s="26" t="s">
        <v>3087</v>
      </c>
      <c r="E3289" s="26" t="s">
        <v>3024</v>
      </c>
      <c r="G3289" s="171" t="s">
        <v>1697</v>
      </c>
      <c r="H3289" s="68">
        <v>1</v>
      </c>
      <c r="I3289" s="26" t="s">
        <v>4089</v>
      </c>
      <c r="J3289" s="78"/>
    </row>
    <row r="3290" spans="1:10" hidden="1">
      <c r="B3290" s="26" t="s">
        <v>2900</v>
      </c>
      <c r="J3290" s="78"/>
    </row>
    <row r="3291" spans="1:10" hidden="1">
      <c r="B3291" s="26" t="s">
        <v>584</v>
      </c>
      <c r="G3291" s="171" t="s">
        <v>1698</v>
      </c>
      <c r="H3291" s="68">
        <f>H1604</f>
        <v>216.75</v>
      </c>
      <c r="I3291" s="26" t="s">
        <v>3479</v>
      </c>
      <c r="J3291" s="78"/>
    </row>
    <row r="3292" spans="1:10" hidden="1">
      <c r="B3292" s="26" t="s">
        <v>585</v>
      </c>
      <c r="G3292" s="171" t="s">
        <v>1698</v>
      </c>
      <c r="H3292" s="68">
        <f>H1621</f>
        <v>88.5</v>
      </c>
      <c r="I3292" s="26" t="s">
        <v>3479</v>
      </c>
      <c r="J3292" s="78"/>
    </row>
    <row r="3293" spans="1:10" hidden="1">
      <c r="B3293" s="26" t="s">
        <v>5193</v>
      </c>
      <c r="J3293" s="78"/>
    </row>
    <row r="3294" spans="1:10">
      <c r="J3294" s="78"/>
    </row>
    <row r="3295" spans="1:10">
      <c r="A3295" s="822" t="s">
        <v>3984</v>
      </c>
      <c r="E3295" s="170" t="s">
        <v>2367</v>
      </c>
      <c r="J3295" s="78"/>
    </row>
    <row r="3296" spans="1:10">
      <c r="H3296" s="171" t="s">
        <v>1188</v>
      </c>
      <c r="J3296" s="78"/>
    </row>
    <row r="3297" spans="1:10">
      <c r="B3297" s="170" t="s">
        <v>2368</v>
      </c>
      <c r="C3297" s="89"/>
      <c r="H3297" s="211">
        <f>H3278</f>
        <v>11.7</v>
      </c>
      <c r="I3297" s="26" t="s">
        <v>3477</v>
      </c>
      <c r="J3297" s="78"/>
    </row>
    <row r="3298" spans="1:10">
      <c r="B3298" s="95" t="s">
        <v>2369</v>
      </c>
      <c r="D3298" s="157" t="s">
        <v>4443</v>
      </c>
      <c r="E3298" s="97"/>
      <c r="F3298" s="95" t="s">
        <v>2370</v>
      </c>
      <c r="G3298" s="95" t="s">
        <v>1166</v>
      </c>
      <c r="H3298" s="97" t="s">
        <v>6664</v>
      </c>
      <c r="I3298" s="97" t="s">
        <v>6665</v>
      </c>
      <c r="J3298" s="78"/>
    </row>
    <row r="3299" spans="1:10">
      <c r="B3299" s="191"/>
      <c r="C3299" s="139"/>
      <c r="D3299" s="174"/>
      <c r="E3299" s="192"/>
      <c r="F3299" s="191"/>
      <c r="G3299" s="114"/>
      <c r="H3299" s="115" t="s">
        <v>3856</v>
      </c>
      <c r="I3299" s="115" t="s">
        <v>3857</v>
      </c>
      <c r="J3299" s="78"/>
    </row>
    <row r="3300" spans="1:10">
      <c r="B3300" s="95">
        <v>1</v>
      </c>
      <c r="C3300" s="131" t="s">
        <v>1048</v>
      </c>
      <c r="D3300" s="187"/>
      <c r="E3300" s="195"/>
      <c r="F3300" s="107" t="s">
        <v>3478</v>
      </c>
      <c r="G3300" s="26">
        <f>H3297*H3272</f>
        <v>4446</v>
      </c>
      <c r="H3300" s="212">
        <f>'BASIC DATA'!$D$32/1000</f>
        <v>5.35</v>
      </c>
      <c r="I3300" s="179">
        <f t="shared" ref="I3300:I3307" si="59">H3300*G3300</f>
        <v>23786.1</v>
      </c>
      <c r="J3300" s="78"/>
    </row>
    <row r="3301" spans="1:10">
      <c r="B3301" s="105"/>
      <c r="C3301" s="135" t="s">
        <v>1049</v>
      </c>
      <c r="D3301" s="31"/>
      <c r="E3301" s="189"/>
      <c r="F3301" s="210" t="s">
        <v>3478</v>
      </c>
      <c r="G3301" s="221">
        <f>H3297*5</f>
        <v>58.5</v>
      </c>
      <c r="H3301" s="212">
        <f>'BASIC DATA'!$D$32/1000</f>
        <v>5.35</v>
      </c>
      <c r="I3301" s="179">
        <f t="shared" si="59"/>
        <v>312.97499999999997</v>
      </c>
      <c r="J3301" s="78"/>
    </row>
    <row r="3302" spans="1:10">
      <c r="B3302" s="105">
        <v>2</v>
      </c>
      <c r="C3302" s="135" t="s">
        <v>6995</v>
      </c>
      <c r="D3302" s="31"/>
      <c r="E3302" s="189"/>
      <c r="F3302" s="210" t="s">
        <v>3477</v>
      </c>
      <c r="G3302" s="26">
        <f>0.65*H3269*H3297</f>
        <v>6.0839999999999996</v>
      </c>
      <c r="H3302" s="214">
        <f>'BASIC DATA'!$D$35</f>
        <v>1225</v>
      </c>
      <c r="I3302" s="179">
        <f t="shared" si="59"/>
        <v>7452.9</v>
      </c>
      <c r="J3302" s="78"/>
    </row>
    <row r="3303" spans="1:10">
      <c r="B3303" s="105"/>
      <c r="C3303" s="135" t="s">
        <v>1050</v>
      </c>
      <c r="D3303" s="31"/>
      <c r="E3303" s="189"/>
      <c r="F3303" s="210" t="s">
        <v>3477</v>
      </c>
      <c r="G3303" s="26">
        <f>0.35*H3269*H3297</f>
        <v>3.2759999999999994</v>
      </c>
      <c r="H3303" s="214">
        <f>'BASIC DATA'!$D$34</f>
        <v>900</v>
      </c>
      <c r="I3303" s="179">
        <f t="shared" si="59"/>
        <v>2948.3999999999996</v>
      </c>
      <c r="J3303" s="78"/>
    </row>
    <row r="3304" spans="1:10">
      <c r="A3304" s="853"/>
      <c r="B3304" s="240">
        <v>3</v>
      </c>
      <c r="C3304" s="326" t="s">
        <v>7935</v>
      </c>
      <c r="D3304" s="60"/>
      <c r="E3304" s="253"/>
      <c r="F3304" s="254" t="s">
        <v>3477</v>
      </c>
      <c r="G3304" s="61">
        <f>H3271*H3297</f>
        <v>5.2649999999999997</v>
      </c>
      <c r="H3304" s="266">
        <f>'BASIC DATA'!$D$55</f>
        <v>95</v>
      </c>
      <c r="I3304" s="281">
        <f t="shared" si="59"/>
        <v>500.17499999999995</v>
      </c>
      <c r="J3304" s="62"/>
    </row>
    <row r="3305" spans="1:10">
      <c r="A3305" s="853"/>
      <c r="B3305" s="240">
        <v>4</v>
      </c>
      <c r="C3305" s="326" t="s">
        <v>523</v>
      </c>
      <c r="D3305" s="60"/>
      <c r="E3305" s="253"/>
      <c r="F3305" s="254" t="s">
        <v>3478</v>
      </c>
      <c r="G3305" s="267">
        <f>H3273*H3297</f>
        <v>17.783999999999999</v>
      </c>
      <c r="H3305" s="266">
        <f>'BASIC DATA'!$D$99</f>
        <v>55</v>
      </c>
      <c r="I3305" s="281">
        <f t="shared" si="59"/>
        <v>978.11999999999989</v>
      </c>
      <c r="J3305" s="78"/>
    </row>
    <row r="3306" spans="1:10">
      <c r="B3306" s="105">
        <v>5</v>
      </c>
      <c r="C3306" s="135" t="s">
        <v>5315</v>
      </c>
      <c r="D3306" s="31"/>
      <c r="E3306" s="189"/>
      <c r="F3306" s="210" t="s">
        <v>3479</v>
      </c>
      <c r="G3306" s="221">
        <f>0.5*H3297</f>
        <v>5.85</v>
      </c>
      <c r="H3306" s="214">
        <f>H3291</f>
        <v>216.75</v>
      </c>
      <c r="I3306" s="179">
        <f t="shared" si="59"/>
        <v>1267.9875</v>
      </c>
      <c r="J3306" s="78"/>
    </row>
    <row r="3307" spans="1:10">
      <c r="B3307" s="114">
        <v>6</v>
      </c>
      <c r="C3307" s="89" t="s">
        <v>5195</v>
      </c>
      <c r="D3307" s="174"/>
      <c r="E3307" s="192"/>
      <c r="F3307" s="191" t="s">
        <v>2173</v>
      </c>
      <c r="G3307" s="183">
        <v>5</v>
      </c>
      <c r="H3307" s="215">
        <f>'BASIC DATA'!$D$359</f>
        <v>30</v>
      </c>
      <c r="I3307" s="179">
        <f t="shared" si="59"/>
        <v>150</v>
      </c>
      <c r="J3307" s="78"/>
    </row>
    <row r="3308" spans="1:10">
      <c r="B3308" s="154"/>
      <c r="C3308" s="151"/>
      <c r="D3308" s="159"/>
      <c r="E3308" s="159" t="s">
        <v>2376</v>
      </c>
      <c r="F3308" s="159"/>
      <c r="G3308" s="159"/>
      <c r="H3308" s="208" t="s">
        <v>1698</v>
      </c>
      <c r="I3308" s="282">
        <f>SUM(I3300:I3307)</f>
        <v>37396.657500000008</v>
      </c>
      <c r="J3308" s="78"/>
    </row>
    <row r="3309" spans="1:10">
      <c r="B3309" s="31"/>
      <c r="C3309" s="76"/>
      <c r="D3309" s="31"/>
      <c r="E3309" s="31"/>
      <c r="F3309" s="31"/>
      <c r="G3309" s="31"/>
      <c r="H3309" s="200"/>
      <c r="I3309" s="31"/>
      <c r="J3309" s="78"/>
    </row>
    <row r="3310" spans="1:10">
      <c r="B3310" s="170" t="s">
        <v>2377</v>
      </c>
      <c r="C3310" s="89"/>
      <c r="J3310" s="78"/>
    </row>
    <row r="3311" spans="1:10">
      <c r="B3311" s="95" t="s">
        <v>2369</v>
      </c>
      <c r="D3311" s="157" t="s">
        <v>2378</v>
      </c>
      <c r="E3311" s="97"/>
      <c r="F3311" s="95" t="s">
        <v>2370</v>
      </c>
      <c r="G3311" s="95" t="s">
        <v>1166</v>
      </c>
      <c r="H3311" s="97" t="s">
        <v>6664</v>
      </c>
      <c r="I3311" s="97" t="s">
        <v>6665</v>
      </c>
      <c r="J3311" s="78"/>
    </row>
    <row r="3312" spans="1:10">
      <c r="B3312" s="191"/>
      <c r="C3312" s="139"/>
      <c r="D3312" s="174"/>
      <c r="E3312" s="192"/>
      <c r="F3312" s="191"/>
      <c r="G3312" s="114"/>
      <c r="H3312" s="115" t="s">
        <v>3856</v>
      </c>
      <c r="I3312" s="115" t="s">
        <v>3857</v>
      </c>
      <c r="J3312" s="78"/>
    </row>
    <row r="3313" spans="2:10">
      <c r="B3313" s="95">
        <v>1</v>
      </c>
      <c r="C3313" s="131" t="s">
        <v>6915</v>
      </c>
      <c r="D3313" s="187"/>
      <c r="E3313" s="195"/>
      <c r="F3313" s="107" t="s">
        <v>2374</v>
      </c>
      <c r="G3313" s="179">
        <v>8</v>
      </c>
      <c r="H3313" s="178">
        <f>'HIRE CHARGES'!$D$508</f>
        <v>51.7</v>
      </c>
      <c r="I3313" s="179">
        <f>H3313*G3313</f>
        <v>413.6</v>
      </c>
      <c r="J3313" s="78"/>
    </row>
    <row r="3314" spans="2:10">
      <c r="B3314" s="105"/>
      <c r="C3314" s="135" t="s">
        <v>2379</v>
      </c>
      <c r="D3314" s="31"/>
      <c r="E3314" s="189"/>
      <c r="F3314" s="210" t="s">
        <v>2374</v>
      </c>
      <c r="G3314" s="190">
        <v>8</v>
      </c>
      <c r="H3314" s="207">
        <f>'HIRE CHARGES'!$E$508</f>
        <v>28</v>
      </c>
      <c r="I3314" s="179">
        <f>H3314*G3314</f>
        <v>224</v>
      </c>
      <c r="J3314" s="78"/>
    </row>
    <row r="3315" spans="2:10">
      <c r="B3315" s="105">
        <v>2</v>
      </c>
      <c r="C3315" s="135" t="s">
        <v>383</v>
      </c>
      <c r="D3315" s="31"/>
      <c r="E3315" s="189"/>
      <c r="F3315" s="210" t="s">
        <v>2374</v>
      </c>
      <c r="G3315" s="190">
        <v>0.5</v>
      </c>
      <c r="H3315" s="190">
        <f>'HIRE CHARGES'!$D$520</f>
        <v>6.7</v>
      </c>
      <c r="I3315" s="179">
        <f>H3315*G3315</f>
        <v>3.35</v>
      </c>
      <c r="J3315" s="78"/>
    </row>
    <row r="3316" spans="2:10">
      <c r="B3316" s="191"/>
      <c r="C3316" s="139" t="s">
        <v>2379</v>
      </c>
      <c r="D3316" s="174"/>
      <c r="E3316" s="192"/>
      <c r="F3316" s="191" t="s">
        <v>2374</v>
      </c>
      <c r="G3316" s="182">
        <v>0.5</v>
      </c>
      <c r="H3316" s="207">
        <f>'HIRE CHARGES'!$E$520</f>
        <v>56</v>
      </c>
      <c r="I3316" s="179">
        <f>H3316*G3316</f>
        <v>28</v>
      </c>
      <c r="J3316" s="78"/>
    </row>
    <row r="3317" spans="2:10">
      <c r="B3317" s="184"/>
      <c r="C3317" s="151"/>
      <c r="D3317" s="159"/>
      <c r="E3317" s="159" t="s">
        <v>2380</v>
      </c>
      <c r="F3317" s="159"/>
      <c r="G3317" s="159"/>
      <c r="H3317" s="208" t="s">
        <v>1698</v>
      </c>
      <c r="I3317" s="282">
        <f>SUM(I3313:I3316)</f>
        <v>668.95</v>
      </c>
      <c r="J3317" s="78"/>
    </row>
    <row r="3318" spans="2:10">
      <c r="B3318" s="31"/>
      <c r="C3318" s="76"/>
      <c r="D3318" s="31"/>
      <c r="E3318" s="31"/>
      <c r="F3318" s="31"/>
      <c r="G3318" s="31"/>
      <c r="H3318" s="200"/>
      <c r="I3318" s="31"/>
      <c r="J3318" s="78"/>
    </row>
    <row r="3319" spans="2:10">
      <c r="B3319" s="170" t="s">
        <v>2381</v>
      </c>
      <c r="C3319" s="89"/>
      <c r="J3319" s="78"/>
    </row>
    <row r="3320" spans="2:10">
      <c r="B3320" s="95" t="s">
        <v>2369</v>
      </c>
      <c r="D3320" s="157" t="s">
        <v>2378</v>
      </c>
      <c r="E3320" s="97"/>
      <c r="F3320" s="95" t="s">
        <v>2370</v>
      </c>
      <c r="G3320" s="95" t="s">
        <v>1166</v>
      </c>
      <c r="H3320" s="97" t="s">
        <v>6664</v>
      </c>
      <c r="I3320" s="97" t="s">
        <v>6665</v>
      </c>
      <c r="J3320" s="78"/>
    </row>
    <row r="3321" spans="2:10">
      <c r="B3321" s="191"/>
      <c r="C3321" s="139"/>
      <c r="D3321" s="174"/>
      <c r="E3321" s="192"/>
      <c r="F3321" s="191"/>
      <c r="G3321" s="114"/>
      <c r="H3321" s="115" t="s">
        <v>3856</v>
      </c>
      <c r="I3321" s="115" t="s">
        <v>3857</v>
      </c>
      <c r="J3321" s="78"/>
    </row>
    <row r="3322" spans="2:10">
      <c r="B3322" s="95">
        <v>1</v>
      </c>
      <c r="C3322" s="131" t="s">
        <v>527</v>
      </c>
      <c r="D3322" s="187"/>
      <c r="E3322" s="195"/>
      <c r="F3322" s="107" t="s">
        <v>2374</v>
      </c>
      <c r="G3322" s="179">
        <v>8</v>
      </c>
      <c r="H3322" s="179">
        <f>'HIRE CHARGES'!$F$508</f>
        <v>219.7</v>
      </c>
      <c r="I3322" s="179">
        <f>H3322*G3322</f>
        <v>1757.6</v>
      </c>
      <c r="J3322" s="78"/>
    </row>
    <row r="3323" spans="2:10">
      <c r="B3323" s="105">
        <v>2</v>
      </c>
      <c r="C3323" s="135" t="s">
        <v>999</v>
      </c>
      <c r="D3323" s="31"/>
      <c r="E3323" s="189"/>
      <c r="F3323" s="210" t="s">
        <v>2374</v>
      </c>
      <c r="G3323" s="190">
        <v>0.5</v>
      </c>
      <c r="H3323" s="207">
        <f>'HIRE CHARGES'!$F$520</f>
        <v>83.3</v>
      </c>
      <c r="I3323" s="179">
        <f>H3323*G3323</f>
        <v>41.65</v>
      </c>
      <c r="J3323" s="78"/>
    </row>
    <row r="3324" spans="2:10">
      <c r="B3324" s="105">
        <v>3</v>
      </c>
      <c r="C3324" s="135" t="s">
        <v>440</v>
      </c>
      <c r="D3324" s="31"/>
      <c r="E3324" s="189"/>
      <c r="F3324" s="210" t="s">
        <v>1172</v>
      </c>
      <c r="G3324" s="190">
        <v>3</v>
      </c>
      <c r="H3324" s="207">
        <f>'BASIC DATA'!$C$474</f>
        <v>445</v>
      </c>
      <c r="I3324" s="179">
        <f>H3324*G3324</f>
        <v>1335</v>
      </c>
      <c r="J3324" s="78"/>
    </row>
    <row r="3325" spans="2:10">
      <c r="B3325" s="105">
        <v>4</v>
      </c>
      <c r="C3325" s="135" t="s">
        <v>4206</v>
      </c>
      <c r="D3325" s="31"/>
      <c r="E3325" s="189"/>
      <c r="F3325" s="210" t="s">
        <v>1172</v>
      </c>
      <c r="G3325" s="190">
        <v>1</v>
      </c>
      <c r="H3325" s="190">
        <f>'BASIC DATA'!$C$473</f>
        <v>450</v>
      </c>
      <c r="I3325" s="179">
        <f>H3325*G3325</f>
        <v>450</v>
      </c>
      <c r="J3325" s="78"/>
    </row>
    <row r="3326" spans="2:10">
      <c r="B3326" s="105">
        <v>5</v>
      </c>
      <c r="C3326" s="135" t="s">
        <v>2697</v>
      </c>
      <c r="D3326" s="31"/>
      <c r="E3326" s="189"/>
      <c r="F3326" s="210"/>
      <c r="G3326" s="210"/>
      <c r="H3326" s="189"/>
      <c r="I3326" s="190"/>
      <c r="J3326" s="78"/>
    </row>
    <row r="3327" spans="2:10">
      <c r="B3327" s="105"/>
      <c r="C3327" s="135" t="s">
        <v>4413</v>
      </c>
      <c r="D3327" s="31"/>
      <c r="E3327" s="189"/>
      <c r="F3327" s="210" t="s">
        <v>1172</v>
      </c>
      <c r="G3327" s="190">
        <v>2</v>
      </c>
      <c r="H3327" s="207">
        <f>'BASIC DATA'!$C$552</f>
        <v>350</v>
      </c>
      <c r="I3327" s="179">
        <f t="shared" ref="I3327:I3333" si="60">H3327*G3327</f>
        <v>700</v>
      </c>
      <c r="J3327" s="78"/>
    </row>
    <row r="3328" spans="2:10">
      <c r="B3328" s="105"/>
      <c r="C3328" s="135" t="s">
        <v>441</v>
      </c>
      <c r="D3328" s="31"/>
      <c r="E3328" s="189"/>
      <c r="F3328" s="210" t="s">
        <v>1172</v>
      </c>
      <c r="G3328" s="190">
        <v>9</v>
      </c>
      <c r="H3328" s="207">
        <f>'BASIC DATA'!$C$552</f>
        <v>350</v>
      </c>
      <c r="I3328" s="179">
        <f t="shared" si="60"/>
        <v>3150</v>
      </c>
      <c r="J3328" s="78"/>
    </row>
    <row r="3329" spans="2:10">
      <c r="B3329" s="105"/>
      <c r="C3329" s="135" t="s">
        <v>442</v>
      </c>
      <c r="D3329" s="31"/>
      <c r="E3329" s="189"/>
      <c r="F3329" s="210" t="s">
        <v>1172</v>
      </c>
      <c r="G3329" s="190">
        <v>4</v>
      </c>
      <c r="H3329" s="207">
        <f>'BASIC DATA'!$C$552</f>
        <v>350</v>
      </c>
      <c r="I3329" s="179">
        <f t="shared" si="60"/>
        <v>1400</v>
      </c>
      <c r="J3329" s="78"/>
    </row>
    <row r="3330" spans="2:10">
      <c r="B3330" s="105"/>
      <c r="C3330" s="135" t="s">
        <v>2901</v>
      </c>
      <c r="D3330" s="31"/>
      <c r="E3330" s="189"/>
      <c r="F3330" s="210" t="s">
        <v>1172</v>
      </c>
      <c r="G3330" s="190">
        <v>5</v>
      </c>
      <c r="H3330" s="207">
        <f>'BASIC DATA'!$C$552</f>
        <v>350</v>
      </c>
      <c r="I3330" s="179">
        <f t="shared" si="60"/>
        <v>1750</v>
      </c>
      <c r="J3330" s="78"/>
    </row>
    <row r="3331" spans="2:10">
      <c r="B3331" s="210"/>
      <c r="C3331" s="135" t="s">
        <v>444</v>
      </c>
      <c r="D3331" s="31"/>
      <c r="E3331" s="189"/>
      <c r="F3331" s="210" t="s">
        <v>1172</v>
      </c>
      <c r="G3331" s="190">
        <f>H3297</f>
        <v>11.7</v>
      </c>
      <c r="H3331" s="207">
        <f>'BASIC DATA'!$C$552</f>
        <v>350</v>
      </c>
      <c r="I3331" s="179">
        <f t="shared" si="60"/>
        <v>4094.9999999999995</v>
      </c>
      <c r="J3331" s="78"/>
    </row>
    <row r="3332" spans="2:10">
      <c r="B3332" s="210"/>
      <c r="C3332" s="135" t="s">
        <v>445</v>
      </c>
      <c r="D3332" s="31"/>
      <c r="E3332" s="189"/>
      <c r="F3332" s="210" t="s">
        <v>1172</v>
      </c>
      <c r="G3332" s="190">
        <v>1</v>
      </c>
      <c r="H3332" s="207">
        <f>'BASIC DATA'!$C$552</f>
        <v>350</v>
      </c>
      <c r="I3332" s="179">
        <f t="shared" si="60"/>
        <v>350</v>
      </c>
      <c r="J3332" s="78"/>
    </row>
    <row r="3333" spans="2:10">
      <c r="B3333" s="114">
        <v>6</v>
      </c>
      <c r="C3333" s="139" t="s">
        <v>7215</v>
      </c>
      <c r="D3333" s="174"/>
      <c r="E3333" s="192"/>
      <c r="F3333" s="191" t="s">
        <v>3479</v>
      </c>
      <c r="G3333" s="182">
        <f>0.5*H3297</f>
        <v>5.85</v>
      </c>
      <c r="H3333" s="181">
        <f>H3292</f>
        <v>88.5</v>
      </c>
      <c r="I3333" s="179">
        <f t="shared" si="60"/>
        <v>517.72500000000002</v>
      </c>
      <c r="J3333" s="78"/>
    </row>
    <row r="3334" spans="2:10">
      <c r="B3334" s="184"/>
      <c r="C3334" s="151"/>
      <c r="D3334" s="159"/>
      <c r="E3334" s="159" t="s">
        <v>1174</v>
      </c>
      <c r="F3334" s="159"/>
      <c r="G3334" s="193"/>
      <c r="H3334" s="208" t="s">
        <v>1698</v>
      </c>
      <c r="I3334" s="282">
        <f>SUM(I3322:I3333)</f>
        <v>15546.975</v>
      </c>
      <c r="J3334" s="78"/>
    </row>
    <row r="3335" spans="2:10">
      <c r="B3335" s="60" t="s">
        <v>5948</v>
      </c>
      <c r="C3335" s="76"/>
      <c r="D3335" s="31"/>
      <c r="E3335" s="31"/>
      <c r="F3335" s="31"/>
      <c r="G3335" s="85">
        <f>ROUND(I3334/H3297,1)</f>
        <v>1328.8</v>
      </c>
      <c r="J3335" s="78"/>
    </row>
    <row r="3336" spans="2:10">
      <c r="B3336" s="60" t="s">
        <v>3163</v>
      </c>
      <c r="C3336" s="76"/>
      <c r="D3336" s="31"/>
      <c r="E3336" s="31"/>
      <c r="F3336" s="922">
        <f>'BASIC DATA'!$C$577</f>
        <v>0.13614999999999999</v>
      </c>
      <c r="G3336" s="85">
        <f>ROUND(G3335*F3336,1)</f>
        <v>180.9</v>
      </c>
      <c r="J3336" s="78"/>
    </row>
    <row r="3337" spans="2:10">
      <c r="B3337" s="60" t="s">
        <v>5949</v>
      </c>
      <c r="C3337" s="76"/>
      <c r="D3337" s="31"/>
      <c r="E3337" s="31"/>
      <c r="F3337" s="31"/>
      <c r="G3337" s="199">
        <f>ROUND(G3336+G3335,1)</f>
        <v>1509.7</v>
      </c>
      <c r="J3337" s="78"/>
    </row>
    <row r="3338" spans="2:10">
      <c r="B3338" s="31"/>
      <c r="C3338" s="76"/>
      <c r="D3338" s="31"/>
      <c r="E3338" s="31"/>
      <c r="F3338" s="200"/>
      <c r="G3338" s="200"/>
      <c r="I3338" s="31"/>
      <c r="J3338" s="78"/>
    </row>
    <row r="3339" spans="2:10">
      <c r="B3339" s="170" t="s">
        <v>1175</v>
      </c>
      <c r="J3339" s="78"/>
    </row>
    <row r="3340" spans="2:10">
      <c r="B3340" s="26" t="s">
        <v>1176</v>
      </c>
      <c r="H3340" s="171" t="s">
        <v>1698</v>
      </c>
      <c r="I3340" s="68">
        <f>I3308</f>
        <v>37396.657500000008</v>
      </c>
      <c r="J3340" s="78"/>
    </row>
    <row r="3341" spans="2:10">
      <c r="B3341" s="26" t="s">
        <v>1186</v>
      </c>
      <c r="H3341" s="171" t="s">
        <v>1698</v>
      </c>
      <c r="I3341" s="68">
        <f>I3317</f>
        <v>668.95</v>
      </c>
      <c r="J3341" s="78"/>
    </row>
    <row r="3342" spans="2:10">
      <c r="B3342" s="26" t="s">
        <v>2660</v>
      </c>
      <c r="H3342" s="171" t="s">
        <v>1698</v>
      </c>
      <c r="I3342" s="75">
        <f>I3334</f>
        <v>15546.975</v>
      </c>
      <c r="J3342" s="78"/>
    </row>
    <row r="3343" spans="2:10">
      <c r="G3343" s="26" t="s">
        <v>1518</v>
      </c>
      <c r="H3343" s="171" t="s">
        <v>1698</v>
      </c>
      <c r="I3343" s="205">
        <f>SUM(I3339:I3342)</f>
        <v>53612.582500000004</v>
      </c>
      <c r="J3343" s="78"/>
    </row>
    <row r="3344" spans="2:10" ht="18.75">
      <c r="B3344" s="1207" t="s">
        <v>8375</v>
      </c>
      <c r="C3344" s="1207"/>
      <c r="D3344" s="1207"/>
      <c r="E3344" s="1207"/>
      <c r="F3344" s="1207"/>
      <c r="G3344" s="922">
        <f>'BASIC DATA'!$C$577</f>
        <v>0.13614999999999999</v>
      </c>
      <c r="H3344" s="171" t="s">
        <v>4108</v>
      </c>
      <c r="I3344" s="76">
        <f>ROUND(I3343*G3344,2)</f>
        <v>7299.35</v>
      </c>
      <c r="J3344" s="78"/>
    </row>
    <row r="3345" spans="1:10">
      <c r="B3345" s="27" t="s">
        <v>9590</v>
      </c>
      <c r="C3345" s="43"/>
      <c r="D3345" s="43"/>
      <c r="E3345" s="43"/>
      <c r="F3345" s="779">
        <f>G3304</f>
        <v>5.2649999999999997</v>
      </c>
      <c r="G3345" s="201" t="s">
        <v>9591</v>
      </c>
      <c r="H3345" s="68" t="str">
        <f>CONCATENATE((leadcharges!$D$65)," ","Rs./Cum")</f>
        <v>31.5 Rs./Cum</v>
      </c>
      <c r="I3345" s="76">
        <f>leadcharges!$D$65*F3345</f>
        <v>165.8475</v>
      </c>
      <c r="J3345" s="78"/>
    </row>
    <row r="3346" spans="1:10">
      <c r="B3346" s="27" t="s">
        <v>9594</v>
      </c>
      <c r="C3346" s="43"/>
      <c r="D3346" s="43"/>
      <c r="E3346" s="43"/>
      <c r="F3346" s="779">
        <f>SUM(G3302:G3303)</f>
        <v>9.36</v>
      </c>
      <c r="G3346" s="201" t="s">
        <v>9591</v>
      </c>
      <c r="H3346" s="68" t="str">
        <f>CONCATENATE((leadcharges!$E$65)," ","Rs./Cum")</f>
        <v>30.4 Rs./Cum</v>
      </c>
      <c r="I3346" s="85">
        <f>leadcharges!$E$65*F3346</f>
        <v>284.54399999999998</v>
      </c>
      <c r="J3346" s="78"/>
    </row>
    <row r="3347" spans="1:10" ht="42" hidden="1" customHeight="1">
      <c r="B3347" s="1207"/>
      <c r="C3347" s="1207"/>
      <c r="D3347" s="1207"/>
      <c r="E3347" s="1207"/>
      <c r="F3347" s="779"/>
      <c r="G3347" s="201"/>
      <c r="H3347" s="68"/>
      <c r="I3347" s="76"/>
      <c r="J3347" s="78"/>
    </row>
    <row r="3348" spans="1:10">
      <c r="B3348" s="1206" t="s">
        <v>1191</v>
      </c>
      <c r="C3348" s="1206"/>
      <c r="D3348" s="1206"/>
      <c r="E3348" s="1206"/>
      <c r="F3348" s="202">
        <f>H3297</f>
        <v>11.7</v>
      </c>
      <c r="G3348" s="217" t="str">
        <f>I3297</f>
        <v>cum</v>
      </c>
      <c r="H3348" s="171" t="s">
        <v>1698</v>
      </c>
      <c r="I3348" s="199">
        <f>SUM(I3343:I3347)</f>
        <v>61362.324000000008</v>
      </c>
      <c r="J3348" s="78"/>
    </row>
    <row r="3349" spans="1:10">
      <c r="B3349" s="1161" t="s">
        <v>3884</v>
      </c>
      <c r="C3349" s="1161"/>
      <c r="D3349" s="203" t="str">
        <f>G3348</f>
        <v>cum</v>
      </c>
      <c r="F3349" s="26" t="s">
        <v>1160</v>
      </c>
      <c r="H3349" s="171" t="s">
        <v>1698</v>
      </c>
      <c r="I3349" s="204">
        <f>ROUND(I3348/F3348,1)</f>
        <v>5244.6</v>
      </c>
      <c r="J3349" s="78"/>
    </row>
    <row r="3350" spans="1:10">
      <c r="J3350" s="78"/>
    </row>
    <row r="3351" spans="1:10">
      <c r="J3351" s="78"/>
    </row>
    <row r="3352" spans="1:10">
      <c r="A3352" s="822" t="s">
        <v>7346</v>
      </c>
      <c r="B3352" s="26" t="s">
        <v>8472</v>
      </c>
      <c r="J3352" s="78"/>
    </row>
    <row r="3353" spans="1:10">
      <c r="B3353" s="26" t="s">
        <v>2877</v>
      </c>
      <c r="J3353" s="78"/>
    </row>
    <row r="3354" spans="1:10">
      <c r="B3354" s="26" t="s">
        <v>3858</v>
      </c>
      <c r="J3354" s="78"/>
    </row>
    <row r="3355" spans="1:10" ht="18.75">
      <c r="B3355" s="26" t="s">
        <v>8473</v>
      </c>
      <c r="J3355" s="78"/>
    </row>
    <row r="3356" spans="1:10" ht="18.75" hidden="1">
      <c r="A3356" s="822" t="s">
        <v>3984</v>
      </c>
      <c r="B3356" s="26" t="s">
        <v>8474</v>
      </c>
      <c r="J3356" s="78"/>
    </row>
    <row r="3357" spans="1:10" hidden="1">
      <c r="B3357" s="26" t="s">
        <v>1954</v>
      </c>
      <c r="J3357" s="78"/>
    </row>
    <row r="3358" spans="1:10" hidden="1">
      <c r="B3358" s="26" t="s">
        <v>2902</v>
      </c>
      <c r="J3358" s="78"/>
    </row>
    <row r="3359" spans="1:10" hidden="1">
      <c r="B3359" s="26" t="s">
        <v>5853</v>
      </c>
      <c r="H3359" s="68">
        <v>210</v>
      </c>
      <c r="I3359" s="26" t="s">
        <v>3478</v>
      </c>
      <c r="J3359" s="78"/>
    </row>
    <row r="3360" spans="1:10" hidden="1">
      <c r="B3360" s="26" t="s">
        <v>3414</v>
      </c>
      <c r="H3360" s="68">
        <v>575</v>
      </c>
      <c r="I3360" s="26" t="s">
        <v>3478</v>
      </c>
      <c r="J3360" s="78"/>
    </row>
    <row r="3361" spans="2:10" hidden="1">
      <c r="B3361" s="26" t="s">
        <v>5034</v>
      </c>
      <c r="H3361" s="68">
        <v>1490</v>
      </c>
      <c r="I3361" s="26" t="s">
        <v>3478</v>
      </c>
      <c r="J3361" s="78"/>
    </row>
    <row r="3362" spans="2:10" hidden="1">
      <c r="B3362" s="26" t="s">
        <v>4453</v>
      </c>
      <c r="H3362" s="68">
        <v>126</v>
      </c>
      <c r="I3362" s="26" t="s">
        <v>3478</v>
      </c>
      <c r="J3362" s="78"/>
    </row>
    <row r="3363" spans="2:10" hidden="1">
      <c r="B3363" s="26" t="s">
        <v>586</v>
      </c>
      <c r="H3363" s="68">
        <v>500</v>
      </c>
      <c r="I3363" s="26" t="s">
        <v>3477</v>
      </c>
      <c r="J3363" s="78"/>
    </row>
    <row r="3364" spans="2:10" hidden="1">
      <c r="B3364" s="26" t="s">
        <v>587</v>
      </c>
      <c r="H3364" s="68">
        <v>30</v>
      </c>
      <c r="I3364" s="26" t="s">
        <v>3477</v>
      </c>
      <c r="J3364" s="78"/>
    </row>
    <row r="3365" spans="2:10" hidden="1">
      <c r="B3365" s="26" t="s">
        <v>2412</v>
      </c>
      <c r="H3365" s="68">
        <v>18</v>
      </c>
      <c r="I3365" s="26" t="s">
        <v>2413</v>
      </c>
      <c r="J3365" s="78"/>
    </row>
    <row r="3366" spans="2:10" hidden="1">
      <c r="B3366" s="26" t="s">
        <v>1955</v>
      </c>
      <c r="J3366" s="78"/>
    </row>
    <row r="3367" spans="2:10" hidden="1">
      <c r="B3367" s="26" t="s">
        <v>1956</v>
      </c>
      <c r="H3367" s="68">
        <v>15</v>
      </c>
      <c r="I3367" s="26" t="s">
        <v>2413</v>
      </c>
      <c r="J3367" s="78"/>
    </row>
    <row r="3368" spans="2:10" hidden="1">
      <c r="B3368" s="26" t="s">
        <v>192</v>
      </c>
      <c r="J3368" s="78"/>
    </row>
    <row r="3369" spans="2:10" hidden="1">
      <c r="B3369" s="26" t="s">
        <v>193</v>
      </c>
      <c r="J3369" s="78"/>
    </row>
    <row r="3370" spans="2:10" hidden="1">
      <c r="B3370" s="26" t="s">
        <v>194</v>
      </c>
      <c r="J3370" s="78"/>
    </row>
    <row r="3371" spans="2:10" hidden="1">
      <c r="B3371" s="26" t="s">
        <v>969</v>
      </c>
      <c r="J3371" s="78"/>
    </row>
    <row r="3372" spans="2:10" hidden="1">
      <c r="B3372" s="26" t="s">
        <v>4456</v>
      </c>
      <c r="J3372" s="78"/>
    </row>
    <row r="3373" spans="2:10" hidden="1">
      <c r="B3373" s="26" t="s">
        <v>6360</v>
      </c>
      <c r="J3373" s="78"/>
    </row>
    <row r="3374" spans="2:10" hidden="1">
      <c r="B3374" s="26" t="s">
        <v>6361</v>
      </c>
      <c r="F3374" s="26" t="s">
        <v>6362</v>
      </c>
      <c r="G3374" s="171" t="s">
        <v>1697</v>
      </c>
      <c r="H3374" s="68">
        <v>210</v>
      </c>
      <c r="I3374" s="26" t="s">
        <v>3478</v>
      </c>
      <c r="J3374" s="78"/>
    </row>
    <row r="3375" spans="2:10" hidden="1">
      <c r="B3375" s="26" t="s">
        <v>6363</v>
      </c>
      <c r="F3375" s="26" t="s">
        <v>6364</v>
      </c>
      <c r="G3375" s="171" t="s">
        <v>1697</v>
      </c>
      <c r="H3375" s="68">
        <v>45</v>
      </c>
      <c r="I3375" s="26" t="s">
        <v>2413</v>
      </c>
      <c r="J3375" s="78"/>
    </row>
    <row r="3376" spans="2:10" hidden="1">
      <c r="B3376" s="26" t="s">
        <v>6365</v>
      </c>
      <c r="F3376" s="26" t="s">
        <v>6366</v>
      </c>
      <c r="G3376" s="171" t="s">
        <v>1697</v>
      </c>
      <c r="H3376" s="68">
        <v>0.25</v>
      </c>
      <c r="J3376" s="78"/>
    </row>
    <row r="3377" spans="2:10" hidden="1">
      <c r="B3377" s="26" t="s">
        <v>6367</v>
      </c>
      <c r="F3377" s="26" t="s">
        <v>6368</v>
      </c>
      <c r="G3377" s="171" t="s">
        <v>1697</v>
      </c>
      <c r="H3377" s="68">
        <v>1490</v>
      </c>
      <c r="I3377" s="26" t="s">
        <v>3478</v>
      </c>
      <c r="J3377" s="78"/>
    </row>
    <row r="3378" spans="2:10" hidden="1">
      <c r="B3378" s="26" t="s">
        <v>85</v>
      </c>
      <c r="F3378" s="26" t="s">
        <v>86</v>
      </c>
      <c r="G3378" s="171" t="s">
        <v>1697</v>
      </c>
      <c r="H3378" s="68">
        <v>25</v>
      </c>
      <c r="I3378" s="26" t="s">
        <v>2413</v>
      </c>
      <c r="J3378" s="78"/>
    </row>
    <row r="3379" spans="2:10" hidden="1">
      <c r="B3379" s="26" t="s">
        <v>87</v>
      </c>
      <c r="F3379" s="26" t="s">
        <v>88</v>
      </c>
      <c r="G3379" s="171" t="s">
        <v>1697</v>
      </c>
      <c r="H3379" s="68">
        <v>0.22</v>
      </c>
      <c r="J3379" s="78"/>
    </row>
    <row r="3380" spans="2:10" hidden="1">
      <c r="B3380" s="26" t="s">
        <v>89</v>
      </c>
      <c r="F3380" s="26" t="s">
        <v>90</v>
      </c>
      <c r="G3380" s="171" t="s">
        <v>1697</v>
      </c>
      <c r="H3380" s="68">
        <v>2</v>
      </c>
      <c r="I3380" s="26" t="s">
        <v>1365</v>
      </c>
      <c r="J3380" s="78"/>
    </row>
    <row r="3381" spans="2:10" hidden="1">
      <c r="B3381" s="26" t="s">
        <v>91</v>
      </c>
      <c r="F3381" s="26" t="s">
        <v>92</v>
      </c>
      <c r="G3381" s="171" t="s">
        <v>1697</v>
      </c>
      <c r="H3381" s="68">
        <v>575</v>
      </c>
      <c r="I3381" s="26" t="s">
        <v>3478</v>
      </c>
      <c r="J3381" s="78"/>
    </row>
    <row r="3382" spans="2:10" hidden="1">
      <c r="B3382" s="26" t="s">
        <v>93</v>
      </c>
      <c r="F3382" s="26" t="s">
        <v>94</v>
      </c>
      <c r="G3382" s="171" t="s">
        <v>1697</v>
      </c>
      <c r="H3382" s="217">
        <v>27</v>
      </c>
      <c r="I3382" s="26" t="s">
        <v>2413</v>
      </c>
      <c r="J3382" s="78"/>
    </row>
    <row r="3383" spans="2:10" hidden="1">
      <c r="B3383" s="26" t="s">
        <v>95</v>
      </c>
      <c r="F3383" s="26" t="s">
        <v>4983</v>
      </c>
      <c r="G3383" s="171" t="s">
        <v>1697</v>
      </c>
      <c r="H3383" s="217">
        <v>0.22</v>
      </c>
      <c r="J3383" s="78"/>
    </row>
    <row r="3384" spans="2:10" hidden="1">
      <c r="B3384" s="26" t="s">
        <v>4984</v>
      </c>
      <c r="F3384" s="26" t="s">
        <v>4985</v>
      </c>
      <c r="G3384" s="171" t="s">
        <v>1697</v>
      </c>
      <c r="H3384" s="217">
        <v>1</v>
      </c>
      <c r="I3384" s="26" t="s">
        <v>1365</v>
      </c>
      <c r="J3384" s="78"/>
    </row>
    <row r="3385" spans="2:10" hidden="1">
      <c r="B3385" s="26" t="s">
        <v>4860</v>
      </c>
      <c r="F3385" s="26" t="s">
        <v>4861</v>
      </c>
      <c r="G3385" s="171" t="s">
        <v>1697</v>
      </c>
      <c r="H3385" s="217">
        <v>126</v>
      </c>
      <c r="I3385" s="26" t="s">
        <v>3478</v>
      </c>
      <c r="J3385" s="78"/>
    </row>
    <row r="3386" spans="2:10" hidden="1">
      <c r="B3386" s="26" t="s">
        <v>4816</v>
      </c>
      <c r="F3386" s="26" t="s">
        <v>4817</v>
      </c>
      <c r="G3386" s="171" t="s">
        <v>1697</v>
      </c>
      <c r="H3386" s="217">
        <v>5</v>
      </c>
      <c r="I3386" s="26" t="s">
        <v>2413</v>
      </c>
      <c r="J3386" s="78"/>
    </row>
    <row r="3387" spans="2:10" hidden="1">
      <c r="B3387" s="26" t="s">
        <v>4454</v>
      </c>
      <c r="F3387" s="26" t="s">
        <v>4455</v>
      </c>
      <c r="G3387" s="171" t="s">
        <v>1697</v>
      </c>
      <c r="H3387" s="217">
        <v>1</v>
      </c>
      <c r="J3387" s="78"/>
    </row>
    <row r="3388" spans="2:10" hidden="1">
      <c r="B3388" s="26" t="s">
        <v>3764</v>
      </c>
      <c r="F3388" s="26" t="s">
        <v>3765</v>
      </c>
      <c r="G3388" s="171" t="s">
        <v>1697</v>
      </c>
      <c r="H3388" s="217"/>
      <c r="J3388" s="78"/>
    </row>
    <row r="3389" spans="2:10" hidden="1">
      <c r="B3389" s="26" t="s">
        <v>1252</v>
      </c>
      <c r="F3389" s="26" t="s">
        <v>1253</v>
      </c>
      <c r="G3389" s="171" t="s">
        <v>1697</v>
      </c>
      <c r="H3389" s="217" t="s">
        <v>1254</v>
      </c>
      <c r="I3389" s="26" t="s">
        <v>2413</v>
      </c>
      <c r="J3389" s="78"/>
    </row>
    <row r="3390" spans="2:10" hidden="1">
      <c r="B3390" s="26" t="s">
        <v>4783</v>
      </c>
      <c r="F3390" s="26" t="s">
        <v>4784</v>
      </c>
      <c r="G3390" s="171" t="s">
        <v>1697</v>
      </c>
      <c r="H3390" s="217">
        <v>0.5</v>
      </c>
      <c r="J3390" s="78"/>
    </row>
    <row r="3391" spans="2:10" hidden="1">
      <c r="B3391" s="26" t="s">
        <v>4785</v>
      </c>
      <c r="G3391" s="171"/>
      <c r="J3391" s="78"/>
    </row>
    <row r="3392" spans="2:10" hidden="1">
      <c r="B3392" s="26" t="s">
        <v>4786</v>
      </c>
      <c r="G3392" s="171" t="s">
        <v>5602</v>
      </c>
      <c r="H3392" s="68">
        <v>1575</v>
      </c>
      <c r="J3392" s="78"/>
    </row>
    <row r="3393" spans="2:10" hidden="1">
      <c r="B3393" s="26" t="s">
        <v>4787</v>
      </c>
      <c r="G3393" s="171"/>
      <c r="H3393" s="68"/>
      <c r="J3393" s="78"/>
    </row>
    <row r="3394" spans="2:10" hidden="1">
      <c r="B3394" s="26" t="s">
        <v>4788</v>
      </c>
      <c r="G3394" s="171" t="s">
        <v>5602</v>
      </c>
      <c r="H3394" s="68">
        <v>3278</v>
      </c>
      <c r="J3394" s="78"/>
    </row>
    <row r="3395" spans="2:10" hidden="1">
      <c r="B3395" s="26" t="s">
        <v>4789</v>
      </c>
      <c r="G3395" s="171"/>
      <c r="H3395" s="68"/>
      <c r="J3395" s="78"/>
    </row>
    <row r="3396" spans="2:10" hidden="1">
      <c r="B3396" s="26" t="s">
        <v>4790</v>
      </c>
      <c r="G3396" s="171" t="s">
        <v>5602</v>
      </c>
      <c r="H3396" s="68">
        <v>1518</v>
      </c>
      <c r="J3396" s="78"/>
    </row>
    <row r="3397" spans="2:10" hidden="1">
      <c r="B3397" s="26" t="s">
        <v>1002</v>
      </c>
      <c r="G3397" s="171"/>
      <c r="H3397" s="68"/>
      <c r="J3397" s="78"/>
    </row>
    <row r="3398" spans="2:10" hidden="1">
      <c r="B3398" s="26" t="s">
        <v>1003</v>
      </c>
      <c r="G3398" s="171" t="s">
        <v>5602</v>
      </c>
      <c r="H3398" s="68">
        <v>298</v>
      </c>
      <c r="J3398" s="78"/>
    </row>
    <row r="3399" spans="2:10" hidden="1">
      <c r="B3399" s="26" t="s">
        <v>1004</v>
      </c>
      <c r="G3399" s="171"/>
      <c r="H3399" s="68"/>
      <c r="J3399" s="78"/>
    </row>
    <row r="3400" spans="2:10" hidden="1">
      <c r="B3400" s="26" t="s">
        <v>1005</v>
      </c>
      <c r="G3400" s="171" t="s">
        <v>5602</v>
      </c>
      <c r="H3400" s="68">
        <v>69</v>
      </c>
      <c r="J3400" s="78"/>
    </row>
    <row r="3401" spans="2:10" hidden="1">
      <c r="B3401" s="26" t="s">
        <v>1006</v>
      </c>
      <c r="G3401" s="171"/>
      <c r="J3401" s="78"/>
    </row>
    <row r="3402" spans="2:10" hidden="1">
      <c r="B3402" s="26" t="s">
        <v>1007</v>
      </c>
      <c r="G3402" s="171" t="s">
        <v>5602</v>
      </c>
      <c r="H3402" s="26" t="s">
        <v>1008</v>
      </c>
      <c r="J3402" s="78"/>
    </row>
    <row r="3403" spans="2:10" hidden="1">
      <c r="B3403" s="26" t="s">
        <v>1009</v>
      </c>
      <c r="G3403" s="171"/>
      <c r="J3403" s="78"/>
    </row>
    <row r="3404" spans="2:10" hidden="1">
      <c r="B3404" s="26" t="s">
        <v>1010</v>
      </c>
      <c r="G3404" s="171" t="s">
        <v>5602</v>
      </c>
      <c r="H3404" s="26" t="s">
        <v>1011</v>
      </c>
      <c r="J3404" s="78"/>
    </row>
    <row r="3405" spans="2:10" hidden="1">
      <c r="B3405" s="26" t="s">
        <v>1012</v>
      </c>
      <c r="G3405" s="171"/>
      <c r="J3405" s="78"/>
    </row>
    <row r="3406" spans="2:10" hidden="1">
      <c r="B3406" s="26" t="s">
        <v>1013</v>
      </c>
      <c r="J3406" s="78"/>
    </row>
    <row r="3407" spans="2:10" hidden="1">
      <c r="B3407" s="26" t="s">
        <v>1014</v>
      </c>
      <c r="J3407" s="78"/>
    </row>
    <row r="3408" spans="2:10" hidden="1">
      <c r="B3408" s="26" t="s">
        <v>1015</v>
      </c>
      <c r="J3408" s="78"/>
    </row>
    <row r="3409" spans="1:10" hidden="1">
      <c r="B3409" s="26" t="s">
        <v>1016</v>
      </c>
      <c r="E3409" s="26" t="s">
        <v>1017</v>
      </c>
      <c r="F3409" s="26" t="s">
        <v>1564</v>
      </c>
      <c r="G3409" s="171" t="s">
        <v>1697</v>
      </c>
      <c r="H3409" s="26">
        <v>55</v>
      </c>
      <c r="I3409" s="26" t="s">
        <v>3478</v>
      </c>
      <c r="J3409" s="78"/>
    </row>
    <row r="3410" spans="1:10" hidden="1">
      <c r="B3410" s="26" t="s">
        <v>1018</v>
      </c>
      <c r="G3410" s="171" t="s">
        <v>1697</v>
      </c>
      <c r="H3410" s="26">
        <v>27500</v>
      </c>
      <c r="I3410" s="26" t="s">
        <v>3478</v>
      </c>
      <c r="J3410" s="78"/>
    </row>
    <row r="3411" spans="1:10" hidden="1">
      <c r="H3411" s="26">
        <v>27.5</v>
      </c>
      <c r="I3411" s="26" t="s">
        <v>3480</v>
      </c>
      <c r="J3411" s="78"/>
    </row>
    <row r="3412" spans="1:10" hidden="1">
      <c r="B3412" s="26" t="s">
        <v>735</v>
      </c>
      <c r="J3412" s="78"/>
    </row>
    <row r="3413" spans="1:10" hidden="1">
      <c r="J3413" s="78"/>
    </row>
    <row r="3414" spans="1:10">
      <c r="A3414" s="822" t="s">
        <v>3984</v>
      </c>
      <c r="E3414" s="170" t="s">
        <v>2367</v>
      </c>
      <c r="J3414" s="78"/>
    </row>
    <row r="3415" spans="1:10">
      <c r="H3415" s="171" t="s">
        <v>1188</v>
      </c>
      <c r="J3415" s="78"/>
    </row>
    <row r="3416" spans="1:10">
      <c r="B3416" s="170" t="s">
        <v>2368</v>
      </c>
      <c r="C3416" s="89"/>
      <c r="H3416" s="170">
        <v>500</v>
      </c>
      <c r="I3416" s="26" t="s">
        <v>3477</v>
      </c>
      <c r="J3416" s="78"/>
    </row>
    <row r="3417" spans="1:10">
      <c r="B3417" s="95" t="s">
        <v>2369</v>
      </c>
      <c r="D3417" s="157" t="s">
        <v>4443</v>
      </c>
      <c r="E3417" s="97"/>
      <c r="F3417" s="95" t="s">
        <v>2370</v>
      </c>
      <c r="G3417" s="95" t="s">
        <v>1166</v>
      </c>
      <c r="H3417" s="97" t="s">
        <v>6664</v>
      </c>
      <c r="I3417" s="97" t="s">
        <v>6665</v>
      </c>
      <c r="J3417" s="78"/>
    </row>
    <row r="3418" spans="1:10">
      <c r="B3418" s="191"/>
      <c r="C3418" s="139"/>
      <c r="D3418" s="174"/>
      <c r="E3418" s="192"/>
      <c r="F3418" s="191"/>
      <c r="G3418" s="114"/>
      <c r="H3418" s="115" t="s">
        <v>3856</v>
      </c>
      <c r="I3418" s="115" t="s">
        <v>3857</v>
      </c>
      <c r="J3418" s="78"/>
    </row>
    <row r="3419" spans="1:10">
      <c r="B3419" s="95">
        <v>1</v>
      </c>
      <c r="C3419" s="131" t="s">
        <v>736</v>
      </c>
      <c r="D3419" s="187"/>
      <c r="E3419" s="195"/>
      <c r="F3419" s="107" t="s">
        <v>2173</v>
      </c>
      <c r="G3419" s="179">
        <v>3</v>
      </c>
      <c r="H3419" s="215">
        <f>'BASIC DATA'!$D$359</f>
        <v>30</v>
      </c>
      <c r="I3419" s="155">
        <f>H3419*G3419</f>
        <v>90</v>
      </c>
      <c r="J3419" s="78"/>
    </row>
    <row r="3420" spans="1:10">
      <c r="B3420" s="191"/>
      <c r="C3420" s="139"/>
      <c r="D3420" s="174"/>
      <c r="E3420" s="192"/>
      <c r="F3420" s="191"/>
      <c r="G3420" s="182">
        <v>0</v>
      </c>
      <c r="H3420" s="257">
        <v>0</v>
      </c>
      <c r="I3420" s="144">
        <f>G3420*H3420</f>
        <v>0</v>
      </c>
      <c r="J3420" s="78"/>
    </row>
    <row r="3421" spans="1:10">
      <c r="B3421" s="184"/>
      <c r="C3421" s="151"/>
      <c r="D3421" s="159"/>
      <c r="E3421" s="159" t="s">
        <v>2376</v>
      </c>
      <c r="F3421" s="159"/>
      <c r="G3421" s="159"/>
      <c r="H3421" s="206" t="s">
        <v>1698</v>
      </c>
      <c r="I3421" s="209">
        <f>SUM(I3419:I3420)</f>
        <v>90</v>
      </c>
      <c r="J3421" s="78"/>
    </row>
    <row r="3422" spans="1:10">
      <c r="B3422" s="31"/>
      <c r="C3422" s="76"/>
      <c r="D3422" s="31"/>
      <c r="E3422" s="31"/>
      <c r="F3422" s="31"/>
      <c r="G3422" s="31"/>
      <c r="H3422" s="33"/>
      <c r="I3422" s="75"/>
      <c r="J3422" s="78"/>
    </row>
    <row r="3423" spans="1:10">
      <c r="B3423" s="170" t="s">
        <v>2377</v>
      </c>
      <c r="C3423" s="89"/>
      <c r="J3423" s="78"/>
    </row>
    <row r="3424" spans="1:10">
      <c r="B3424" s="95" t="s">
        <v>2369</v>
      </c>
      <c r="D3424" s="157" t="s">
        <v>2378</v>
      </c>
      <c r="E3424" s="175"/>
      <c r="F3424" s="97" t="s">
        <v>2370</v>
      </c>
      <c r="G3424" s="95" t="s">
        <v>1166</v>
      </c>
      <c r="H3424" s="97" t="s">
        <v>6664</v>
      </c>
      <c r="I3424" s="97" t="s">
        <v>6665</v>
      </c>
      <c r="J3424" s="78"/>
    </row>
    <row r="3425" spans="2:10">
      <c r="B3425" s="191"/>
      <c r="C3425" s="139"/>
      <c r="D3425" s="174"/>
      <c r="E3425" s="174"/>
      <c r="F3425" s="192"/>
      <c r="G3425" s="114"/>
      <c r="H3425" s="115" t="s">
        <v>3856</v>
      </c>
      <c r="I3425" s="115" t="s">
        <v>3857</v>
      </c>
      <c r="J3425" s="78"/>
    </row>
    <row r="3426" spans="2:10">
      <c r="B3426" s="95">
        <v>1</v>
      </c>
      <c r="C3426" s="131" t="s">
        <v>737</v>
      </c>
      <c r="D3426" s="187"/>
      <c r="E3426" s="187"/>
      <c r="F3426" s="195" t="s">
        <v>2374</v>
      </c>
      <c r="G3426" s="179">
        <v>24</v>
      </c>
      <c r="H3426" s="178">
        <f>'HIRE CHARGES'!$D$529</f>
        <v>170.2</v>
      </c>
      <c r="I3426" s="155">
        <f>H3426*G3426</f>
        <v>4084.7999999999997</v>
      </c>
      <c r="J3426" s="78"/>
    </row>
    <row r="3427" spans="2:10">
      <c r="B3427" s="210"/>
      <c r="C3427" s="135" t="s">
        <v>3743</v>
      </c>
      <c r="D3427" s="31"/>
      <c r="E3427" s="31"/>
      <c r="F3427" s="189"/>
      <c r="G3427" s="210"/>
      <c r="H3427" s="189"/>
      <c r="I3427" s="123"/>
      <c r="J3427" s="78"/>
    </row>
    <row r="3428" spans="2:10">
      <c r="B3428" s="210"/>
      <c r="C3428" s="135" t="s">
        <v>3744</v>
      </c>
      <c r="D3428" s="31"/>
      <c r="E3428" s="31"/>
      <c r="F3428" s="189"/>
      <c r="G3428" s="210"/>
      <c r="H3428" s="189"/>
      <c r="I3428" s="123"/>
      <c r="J3428" s="78"/>
    </row>
    <row r="3429" spans="2:10">
      <c r="B3429" s="210"/>
      <c r="C3429" s="135" t="s">
        <v>3745</v>
      </c>
      <c r="D3429" s="31"/>
      <c r="E3429" s="31"/>
      <c r="F3429" s="189"/>
      <c r="G3429" s="210"/>
      <c r="H3429" s="189"/>
      <c r="I3429" s="123"/>
      <c r="J3429" s="78"/>
    </row>
    <row r="3430" spans="2:10">
      <c r="B3430" s="210"/>
      <c r="C3430" s="135" t="s">
        <v>1207</v>
      </c>
      <c r="D3430" s="31"/>
      <c r="E3430" s="31"/>
      <c r="F3430" s="189"/>
      <c r="G3430" s="210"/>
      <c r="H3430" s="189"/>
      <c r="I3430" s="123"/>
      <c r="J3430" s="78"/>
    </row>
    <row r="3431" spans="2:10">
      <c r="B3431" s="210"/>
      <c r="C3431" s="135" t="s">
        <v>1208</v>
      </c>
      <c r="D3431" s="31"/>
      <c r="E3431" s="31"/>
      <c r="F3431" s="189"/>
      <c r="G3431" s="210"/>
      <c r="H3431" s="189"/>
      <c r="I3431" s="123"/>
      <c r="J3431" s="78"/>
    </row>
    <row r="3432" spans="2:10">
      <c r="B3432" s="210"/>
      <c r="C3432" s="135" t="s">
        <v>2397</v>
      </c>
      <c r="D3432" s="31"/>
      <c r="E3432" s="31"/>
      <c r="F3432" s="189"/>
      <c r="G3432" s="210"/>
      <c r="H3432" s="189"/>
      <c r="I3432" s="123"/>
      <c r="J3432" s="78"/>
    </row>
    <row r="3433" spans="2:10">
      <c r="B3433" s="210"/>
      <c r="C3433" s="135" t="s">
        <v>3640</v>
      </c>
      <c r="D3433" s="31"/>
      <c r="E3433" s="31"/>
      <c r="F3433" s="189"/>
      <c r="G3433" s="210"/>
      <c r="H3433" s="189"/>
      <c r="I3433" s="123"/>
      <c r="J3433" s="78"/>
    </row>
    <row r="3434" spans="2:10">
      <c r="B3434" s="191"/>
      <c r="C3434" s="139" t="s">
        <v>5122</v>
      </c>
      <c r="D3434" s="174"/>
      <c r="E3434" s="174"/>
      <c r="F3434" s="192" t="s">
        <v>2374</v>
      </c>
      <c r="G3434" s="182">
        <v>24</v>
      </c>
      <c r="H3434" s="178">
        <f>'HIRE CHARGES'!$E$529</f>
        <v>798.6</v>
      </c>
      <c r="I3434" s="155">
        <f>H3434*G3434</f>
        <v>19166.400000000001</v>
      </c>
      <c r="J3434" s="78"/>
    </row>
    <row r="3435" spans="2:10">
      <c r="B3435" s="184"/>
      <c r="C3435" s="151"/>
      <c r="D3435" s="159"/>
      <c r="E3435" s="159" t="s">
        <v>2380</v>
      </c>
      <c r="F3435" s="159"/>
      <c r="G3435" s="159"/>
      <c r="H3435" s="208" t="s">
        <v>1698</v>
      </c>
      <c r="I3435" s="209">
        <f>I3434+I3426</f>
        <v>23251.200000000001</v>
      </c>
      <c r="J3435" s="78"/>
    </row>
    <row r="3436" spans="2:10">
      <c r="J3436" s="78"/>
    </row>
    <row r="3437" spans="2:10">
      <c r="B3437" s="170" t="s">
        <v>2381</v>
      </c>
      <c r="C3437" s="89"/>
      <c r="J3437" s="78"/>
    </row>
    <row r="3438" spans="2:10">
      <c r="B3438" s="95" t="s">
        <v>2369</v>
      </c>
      <c r="D3438" s="157" t="s">
        <v>2378</v>
      </c>
      <c r="E3438" s="97"/>
      <c r="F3438" s="95" t="s">
        <v>2370</v>
      </c>
      <c r="G3438" s="95" t="s">
        <v>1166</v>
      </c>
      <c r="H3438" s="97" t="s">
        <v>6664</v>
      </c>
      <c r="I3438" s="97" t="s">
        <v>6665</v>
      </c>
      <c r="J3438" s="78"/>
    </row>
    <row r="3439" spans="2:10">
      <c r="B3439" s="191"/>
      <c r="C3439" s="139"/>
      <c r="D3439" s="174"/>
      <c r="E3439" s="192"/>
      <c r="F3439" s="191"/>
      <c r="G3439" s="114"/>
      <c r="H3439" s="115" t="s">
        <v>3856</v>
      </c>
      <c r="I3439" s="115" t="s">
        <v>3857</v>
      </c>
      <c r="J3439" s="78"/>
    </row>
    <row r="3440" spans="2:10">
      <c r="B3440" s="95">
        <v>1</v>
      </c>
      <c r="C3440" s="131" t="s">
        <v>3179</v>
      </c>
      <c r="D3440" s="187"/>
      <c r="E3440" s="195"/>
      <c r="F3440" s="107" t="s">
        <v>2374</v>
      </c>
      <c r="G3440" s="179">
        <v>24</v>
      </c>
      <c r="H3440" s="178">
        <f>'HIRE CHARGES'!$F$529</f>
        <v>131.80000000000001</v>
      </c>
      <c r="I3440" s="155">
        <f>H3440*G3440</f>
        <v>3163.2000000000003</v>
      </c>
      <c r="J3440" s="78"/>
    </row>
    <row r="3441" spans="2:10">
      <c r="B3441" s="105">
        <v>2</v>
      </c>
      <c r="C3441" s="135" t="s">
        <v>2697</v>
      </c>
      <c r="D3441" s="31"/>
      <c r="E3441" s="189"/>
      <c r="F3441" s="210"/>
      <c r="G3441" s="210"/>
      <c r="H3441" s="189"/>
      <c r="I3441" s="138"/>
      <c r="J3441" s="78"/>
    </row>
    <row r="3442" spans="2:10">
      <c r="B3442" s="210"/>
      <c r="C3442" s="135" t="s">
        <v>3180</v>
      </c>
      <c r="D3442" s="31"/>
      <c r="E3442" s="189"/>
      <c r="F3442" s="210" t="s">
        <v>1172</v>
      </c>
      <c r="G3442" s="190">
        <v>6</v>
      </c>
      <c r="H3442" s="207">
        <f>'BASIC DATA'!$C$552</f>
        <v>350</v>
      </c>
      <c r="I3442" s="155">
        <f>H3442*G3442</f>
        <v>2100</v>
      </c>
      <c r="J3442" s="78"/>
    </row>
    <row r="3443" spans="2:10">
      <c r="B3443" s="191"/>
      <c r="C3443" s="139" t="s">
        <v>4354</v>
      </c>
      <c r="D3443" s="174"/>
      <c r="E3443" s="192"/>
      <c r="F3443" s="191" t="s">
        <v>1172</v>
      </c>
      <c r="G3443" s="182">
        <v>3</v>
      </c>
      <c r="H3443" s="181">
        <f>'BASIC DATA'!$C$552</f>
        <v>350</v>
      </c>
      <c r="I3443" s="155">
        <f>H3443*G3443</f>
        <v>1050</v>
      </c>
      <c r="J3443" s="78"/>
    </row>
    <row r="3444" spans="2:10">
      <c r="B3444" s="184"/>
      <c r="C3444" s="151"/>
      <c r="D3444" s="159"/>
      <c r="E3444" s="159" t="s">
        <v>1174</v>
      </c>
      <c r="F3444" s="159"/>
      <c r="G3444" s="193"/>
      <c r="H3444" s="208" t="s">
        <v>1698</v>
      </c>
      <c r="I3444" s="209">
        <f>SUM(I3440:I3443)</f>
        <v>6313.2000000000007</v>
      </c>
      <c r="J3444" s="78"/>
    </row>
    <row r="3445" spans="2:10">
      <c r="B3445" s="60" t="s">
        <v>5948</v>
      </c>
      <c r="D3445" s="31"/>
      <c r="E3445" s="31"/>
      <c r="F3445" s="31"/>
      <c r="G3445" s="85">
        <f>ROUND(I3444/H3416,1)</f>
        <v>12.6</v>
      </c>
      <c r="J3445" s="78"/>
    </row>
    <row r="3446" spans="2:10">
      <c r="B3446" s="60" t="s">
        <v>3163</v>
      </c>
      <c r="D3446" s="31"/>
      <c r="E3446" s="31"/>
      <c r="F3446" s="922">
        <f>'BASIC DATA'!$C$577</f>
        <v>0.13614999999999999</v>
      </c>
      <c r="G3446" s="85">
        <f>ROUND(G3445*F3446,1)</f>
        <v>1.7</v>
      </c>
      <c r="J3446" s="78"/>
    </row>
    <row r="3447" spans="2:10">
      <c r="B3447" s="60" t="s">
        <v>5949</v>
      </c>
      <c r="D3447" s="31"/>
      <c r="E3447" s="31"/>
      <c r="F3447" s="31"/>
      <c r="G3447" s="199">
        <f>ROUND(G3446+G3445,1)</f>
        <v>14.3</v>
      </c>
      <c r="J3447" s="78"/>
    </row>
    <row r="3448" spans="2:10">
      <c r="J3448" s="78"/>
    </row>
    <row r="3449" spans="2:10">
      <c r="B3449" s="170" t="s">
        <v>1175</v>
      </c>
      <c r="J3449" s="78"/>
    </row>
    <row r="3450" spans="2:10">
      <c r="B3450" s="26" t="s">
        <v>1176</v>
      </c>
      <c r="H3450" s="171" t="s">
        <v>1698</v>
      </c>
      <c r="I3450" s="117">
        <f>I3421</f>
        <v>90</v>
      </c>
      <c r="J3450" s="78"/>
    </row>
    <row r="3451" spans="2:10">
      <c r="B3451" s="26" t="s">
        <v>1186</v>
      </c>
      <c r="H3451" s="171" t="s">
        <v>1698</v>
      </c>
      <c r="I3451" s="117">
        <f>I3435</f>
        <v>23251.200000000001</v>
      </c>
      <c r="J3451" s="78"/>
    </row>
    <row r="3452" spans="2:10">
      <c r="B3452" s="26" t="s">
        <v>2660</v>
      </c>
      <c r="H3452" s="171" t="s">
        <v>1698</v>
      </c>
      <c r="I3452" s="85">
        <f>I3444</f>
        <v>6313.2000000000007</v>
      </c>
      <c r="J3452" s="78"/>
    </row>
    <row r="3453" spans="2:10">
      <c r="G3453" s="26" t="s">
        <v>1518</v>
      </c>
      <c r="H3453" s="171" t="s">
        <v>1698</v>
      </c>
      <c r="I3453" s="117">
        <f>SUM(I3449:I3452)</f>
        <v>29654.400000000001</v>
      </c>
      <c r="J3453" s="78"/>
    </row>
    <row r="3454" spans="2:10" ht="18.75">
      <c r="B3454" s="1207" t="s">
        <v>8375</v>
      </c>
      <c r="C3454" s="1207"/>
      <c r="D3454" s="1207"/>
      <c r="E3454" s="1207"/>
      <c r="F3454" s="1207"/>
      <c r="G3454" s="922">
        <f>'BASIC DATA'!$C$577</f>
        <v>0.13614999999999999</v>
      </c>
      <c r="H3454" s="171" t="s">
        <v>4108</v>
      </c>
      <c r="I3454" s="76">
        <f>ROUND(I3453*G3454,2)</f>
        <v>4037.45</v>
      </c>
      <c r="J3454" s="78"/>
    </row>
    <row r="3455" spans="2:10">
      <c r="B3455" s="1206" t="s">
        <v>1191</v>
      </c>
      <c r="C3455" s="1206"/>
      <c r="D3455" s="1206"/>
      <c r="E3455" s="1206"/>
      <c r="F3455" s="202">
        <f>H3416</f>
        <v>500</v>
      </c>
      <c r="G3455" s="202" t="str">
        <f>I3416</f>
        <v>cum</v>
      </c>
      <c r="H3455" s="171" t="s">
        <v>1698</v>
      </c>
      <c r="I3455" s="199">
        <f>I3454+I3453</f>
        <v>33691.85</v>
      </c>
      <c r="J3455" s="78"/>
    </row>
    <row r="3456" spans="2:10">
      <c r="B3456" s="1161" t="s">
        <v>3884</v>
      </c>
      <c r="C3456" s="1161"/>
      <c r="D3456" s="203" t="str">
        <f>G3455</f>
        <v>cum</v>
      </c>
      <c r="F3456" s="26" t="s">
        <v>1389</v>
      </c>
      <c r="H3456" s="171" t="s">
        <v>1698</v>
      </c>
      <c r="I3456" s="204">
        <f>ROUND(I3455/F3455,1)</f>
        <v>67.400000000000006</v>
      </c>
      <c r="J3456" s="78"/>
    </row>
    <row r="3457" spans="1:10">
      <c r="F3457" s="171"/>
      <c r="G3457" s="171"/>
      <c r="H3457" s="171"/>
      <c r="I3457" s="68"/>
      <c r="J3457" s="78"/>
    </row>
    <row r="3458" spans="1:10">
      <c r="J3458" s="78"/>
    </row>
    <row r="3459" spans="1:10" ht="18.75">
      <c r="A3459" s="822" t="s">
        <v>7347</v>
      </c>
      <c r="B3459" s="26" t="s">
        <v>8475</v>
      </c>
      <c r="J3459" s="78"/>
    </row>
    <row r="3460" spans="1:10">
      <c r="B3460" s="26" t="s">
        <v>5123</v>
      </c>
      <c r="J3460" s="78"/>
    </row>
    <row r="3461" spans="1:10">
      <c r="B3461" s="26" t="s">
        <v>6303</v>
      </c>
      <c r="J3461" s="78"/>
    </row>
    <row r="3462" spans="1:10" ht="18.75">
      <c r="B3462" s="26" t="s">
        <v>8476</v>
      </c>
      <c r="J3462" s="78"/>
    </row>
    <row r="3463" spans="1:10" hidden="1">
      <c r="A3463" s="822" t="s">
        <v>3984</v>
      </c>
      <c r="B3463" s="26" t="s">
        <v>1178</v>
      </c>
      <c r="J3463" s="78"/>
    </row>
    <row r="3464" spans="1:10" hidden="1">
      <c r="B3464" s="26" t="s">
        <v>1310</v>
      </c>
      <c r="G3464" s="171" t="s">
        <v>1697</v>
      </c>
      <c r="H3464" s="26">
        <v>6</v>
      </c>
      <c r="I3464" s="26" t="s">
        <v>4041</v>
      </c>
      <c r="J3464" s="78"/>
    </row>
    <row r="3465" spans="1:10" hidden="1">
      <c r="B3465" s="26" t="s">
        <v>1303</v>
      </c>
      <c r="G3465" s="171" t="s">
        <v>1697</v>
      </c>
      <c r="H3465" s="26">
        <v>0.6</v>
      </c>
      <c r="I3465" s="26" t="s">
        <v>3155</v>
      </c>
      <c r="J3465" s="78"/>
    </row>
    <row r="3466" spans="1:10">
      <c r="J3466" s="78"/>
    </row>
    <row r="3467" spans="1:10">
      <c r="A3467" s="822" t="s">
        <v>3984</v>
      </c>
      <c r="D3467" s="170" t="s">
        <v>2367</v>
      </c>
      <c r="J3467" s="78"/>
    </row>
    <row r="3468" spans="1:10">
      <c r="H3468" s="171" t="s">
        <v>1188</v>
      </c>
      <c r="J3468" s="78"/>
    </row>
    <row r="3469" spans="1:10">
      <c r="B3469" s="170" t="s">
        <v>2368</v>
      </c>
      <c r="C3469" s="89"/>
      <c r="H3469" s="211">
        <v>6</v>
      </c>
      <c r="I3469" s="26" t="s">
        <v>4041</v>
      </c>
      <c r="J3469" s="78"/>
    </row>
    <row r="3470" spans="1:10">
      <c r="B3470" s="95" t="s">
        <v>2369</v>
      </c>
      <c r="D3470" s="157" t="s">
        <v>4443</v>
      </c>
      <c r="E3470" s="97"/>
      <c r="F3470" s="95" t="s">
        <v>2370</v>
      </c>
      <c r="G3470" s="95" t="s">
        <v>1166</v>
      </c>
      <c r="H3470" s="97" t="s">
        <v>6664</v>
      </c>
      <c r="I3470" s="97" t="s">
        <v>6665</v>
      </c>
      <c r="J3470" s="78"/>
    </row>
    <row r="3471" spans="1:10">
      <c r="B3471" s="191"/>
      <c r="C3471" s="139"/>
      <c r="D3471" s="174"/>
      <c r="E3471" s="192"/>
      <c r="F3471" s="191"/>
      <c r="G3471" s="114"/>
      <c r="H3471" s="115" t="s">
        <v>3856</v>
      </c>
      <c r="I3471" s="115" t="s">
        <v>3857</v>
      </c>
      <c r="J3471" s="78"/>
    </row>
    <row r="3472" spans="1:10">
      <c r="B3472" s="95">
        <v>1</v>
      </c>
      <c r="C3472" s="131" t="s">
        <v>8576</v>
      </c>
      <c r="D3472" s="187"/>
      <c r="E3472" s="195"/>
      <c r="F3472" s="107" t="s">
        <v>3478</v>
      </c>
      <c r="G3472" s="179">
        <v>0.6</v>
      </c>
      <c r="H3472" s="218">
        <f>'BASIC DATA'!$D$101</f>
        <v>360</v>
      </c>
      <c r="I3472" s="155">
        <f>H3472*G3472</f>
        <v>216</v>
      </c>
      <c r="J3472" s="78"/>
    </row>
    <row r="3473" spans="2:10">
      <c r="B3473" s="114">
        <v>2</v>
      </c>
      <c r="C3473" s="139" t="s">
        <v>2373</v>
      </c>
      <c r="D3473" s="174"/>
      <c r="E3473" s="192"/>
      <c r="F3473" s="191" t="s">
        <v>2173</v>
      </c>
      <c r="G3473" s="182">
        <v>2</v>
      </c>
      <c r="H3473" s="257">
        <f>'BASIC DATA'!$D$359</f>
        <v>30</v>
      </c>
      <c r="I3473" s="155">
        <f>H3473*G3473</f>
        <v>60</v>
      </c>
      <c r="J3473" s="78"/>
    </row>
    <row r="3474" spans="2:10">
      <c r="B3474" s="184"/>
      <c r="C3474" s="151"/>
      <c r="D3474" s="159"/>
      <c r="E3474" s="159" t="s">
        <v>2376</v>
      </c>
      <c r="F3474" s="159"/>
      <c r="G3474" s="159"/>
      <c r="H3474" s="208" t="s">
        <v>1698</v>
      </c>
      <c r="I3474" s="209">
        <f>SUM(I3472:I3473)</f>
        <v>276</v>
      </c>
      <c r="J3474" s="78"/>
    </row>
    <row r="3475" spans="2:10">
      <c r="B3475" s="31"/>
      <c r="C3475" s="76"/>
      <c r="D3475" s="31"/>
      <c r="E3475" s="31"/>
      <c r="F3475" s="31"/>
      <c r="G3475" s="31"/>
      <c r="H3475" s="200"/>
      <c r="I3475" s="75"/>
      <c r="J3475" s="78"/>
    </row>
    <row r="3476" spans="2:10">
      <c r="B3476" s="170" t="s">
        <v>2377</v>
      </c>
      <c r="C3476" s="89"/>
      <c r="J3476" s="78"/>
    </row>
    <row r="3477" spans="2:10">
      <c r="B3477" s="95" t="s">
        <v>2369</v>
      </c>
      <c r="D3477" s="157" t="s">
        <v>2378</v>
      </c>
      <c r="E3477" s="97"/>
      <c r="F3477" s="95" t="s">
        <v>2370</v>
      </c>
      <c r="G3477" s="95" t="s">
        <v>1166</v>
      </c>
      <c r="H3477" s="97" t="s">
        <v>6664</v>
      </c>
      <c r="I3477" s="97" t="s">
        <v>6665</v>
      </c>
      <c r="J3477" s="78"/>
    </row>
    <row r="3478" spans="2:10">
      <c r="B3478" s="191"/>
      <c r="C3478" s="139"/>
      <c r="D3478" s="174"/>
      <c r="E3478" s="192"/>
      <c r="F3478" s="191"/>
      <c r="G3478" s="114"/>
      <c r="H3478" s="115" t="s">
        <v>3856</v>
      </c>
      <c r="I3478" s="115" t="s">
        <v>3857</v>
      </c>
      <c r="J3478" s="78"/>
    </row>
    <row r="3479" spans="2:10">
      <c r="B3479" s="95">
        <v>1</v>
      </c>
      <c r="C3479" s="131" t="s">
        <v>4168</v>
      </c>
      <c r="D3479" s="187"/>
      <c r="E3479" s="195"/>
      <c r="F3479" s="107"/>
      <c r="G3479" s="179">
        <v>0</v>
      </c>
      <c r="H3479" s="178">
        <v>0</v>
      </c>
      <c r="I3479" s="155">
        <f>H3479*G3479</f>
        <v>0</v>
      </c>
      <c r="J3479" s="78"/>
    </row>
    <row r="3480" spans="2:10">
      <c r="B3480" s="191"/>
      <c r="C3480" s="139"/>
      <c r="D3480" s="174"/>
      <c r="E3480" s="192"/>
      <c r="F3480" s="191"/>
      <c r="G3480" s="182">
        <v>0</v>
      </c>
      <c r="H3480" s="181">
        <v>0</v>
      </c>
      <c r="I3480" s="155">
        <f>H3480*G3480</f>
        <v>0</v>
      </c>
      <c r="J3480" s="78"/>
    </row>
    <row r="3481" spans="2:10">
      <c r="B3481" s="184"/>
      <c r="C3481" s="151"/>
      <c r="D3481" s="159"/>
      <c r="E3481" s="159" t="s">
        <v>2380</v>
      </c>
      <c r="F3481" s="159"/>
      <c r="G3481" s="159"/>
      <c r="H3481" s="208" t="s">
        <v>1698</v>
      </c>
      <c r="I3481" s="209">
        <f>SUM(I3479:I3480)</f>
        <v>0</v>
      </c>
      <c r="J3481" s="78"/>
    </row>
    <row r="3482" spans="2:10">
      <c r="B3482" s="31"/>
      <c r="C3482" s="76"/>
      <c r="D3482" s="31"/>
      <c r="E3482" s="31"/>
      <c r="F3482" s="31"/>
      <c r="G3482" s="31"/>
      <c r="H3482" s="200"/>
      <c r="I3482" s="75"/>
      <c r="J3482" s="78"/>
    </row>
    <row r="3483" spans="2:10">
      <c r="B3483" s="170" t="s">
        <v>2381</v>
      </c>
      <c r="C3483" s="89"/>
      <c r="J3483" s="78"/>
    </row>
    <row r="3484" spans="2:10">
      <c r="B3484" s="95" t="s">
        <v>2369</v>
      </c>
      <c r="D3484" s="157" t="s">
        <v>2378</v>
      </c>
      <c r="E3484" s="97"/>
      <c r="F3484" s="95" t="s">
        <v>2370</v>
      </c>
      <c r="G3484" s="95" t="s">
        <v>1166</v>
      </c>
      <c r="H3484" s="97" t="s">
        <v>6664</v>
      </c>
      <c r="I3484" s="97" t="s">
        <v>6665</v>
      </c>
      <c r="J3484" s="78"/>
    </row>
    <row r="3485" spans="2:10">
      <c r="B3485" s="191"/>
      <c r="C3485" s="139"/>
      <c r="D3485" s="174"/>
      <c r="E3485" s="192"/>
      <c r="F3485" s="191"/>
      <c r="G3485" s="114"/>
      <c r="H3485" s="115" t="s">
        <v>3856</v>
      </c>
      <c r="I3485" s="115" t="s">
        <v>3857</v>
      </c>
      <c r="J3485" s="78"/>
    </row>
    <row r="3486" spans="2:10">
      <c r="B3486" s="95">
        <v>1</v>
      </c>
      <c r="C3486" s="131" t="s">
        <v>1305</v>
      </c>
      <c r="D3486" s="187"/>
      <c r="E3486" s="195"/>
      <c r="F3486" s="107" t="s">
        <v>1172</v>
      </c>
      <c r="G3486" s="179">
        <v>1</v>
      </c>
      <c r="H3486" s="178">
        <f>'BASIC DATA'!$C$503</f>
        <v>550</v>
      </c>
      <c r="I3486" s="155">
        <f>H3486*G3486</f>
        <v>550</v>
      </c>
      <c r="J3486" s="78"/>
    </row>
    <row r="3487" spans="2:10">
      <c r="B3487" s="105">
        <v>2</v>
      </c>
      <c r="C3487" s="135" t="s">
        <v>4206</v>
      </c>
      <c r="D3487" s="31"/>
      <c r="E3487" s="189"/>
      <c r="F3487" s="210" t="s">
        <v>1172</v>
      </c>
      <c r="G3487" s="190">
        <v>1</v>
      </c>
      <c r="H3487" s="190">
        <f>'BASIC DATA'!$C$473</f>
        <v>450</v>
      </c>
      <c r="I3487" s="155">
        <f>H3487*G3487</f>
        <v>450</v>
      </c>
      <c r="J3487" s="78"/>
    </row>
    <row r="3488" spans="2:10">
      <c r="B3488" s="114">
        <v>3</v>
      </c>
      <c r="C3488" s="139" t="s">
        <v>2697</v>
      </c>
      <c r="D3488" s="174"/>
      <c r="E3488" s="192"/>
      <c r="F3488" s="191" t="s">
        <v>1172</v>
      </c>
      <c r="G3488" s="182">
        <v>2</v>
      </c>
      <c r="H3488" s="181">
        <f>'BASIC DATA'!$C$552</f>
        <v>350</v>
      </c>
      <c r="I3488" s="155">
        <f>H3488*G3488</f>
        <v>700</v>
      </c>
      <c r="J3488" s="78"/>
    </row>
    <row r="3489" spans="1:10">
      <c r="B3489" s="184"/>
      <c r="C3489" s="151"/>
      <c r="D3489" s="159"/>
      <c r="E3489" s="159" t="s">
        <v>1174</v>
      </c>
      <c r="F3489" s="159"/>
      <c r="G3489" s="159"/>
      <c r="H3489" s="208" t="s">
        <v>1698</v>
      </c>
      <c r="I3489" s="209">
        <f>SUM(I3486:I3488)</f>
        <v>1700</v>
      </c>
      <c r="J3489" s="78"/>
    </row>
    <row r="3490" spans="1:10">
      <c r="B3490" s="60" t="s">
        <v>5948</v>
      </c>
      <c r="C3490" s="76"/>
      <c r="D3490" s="31"/>
      <c r="E3490" s="31"/>
      <c r="F3490" s="31"/>
      <c r="G3490" s="85">
        <f>ROUND(I3489/H3469,1)</f>
        <v>283.3</v>
      </c>
      <c r="J3490" s="78"/>
    </row>
    <row r="3491" spans="1:10">
      <c r="B3491" s="60" t="s">
        <v>3163</v>
      </c>
      <c r="C3491" s="76"/>
      <c r="D3491" s="31"/>
      <c r="E3491" s="31"/>
      <c r="F3491" s="922">
        <f>'BASIC DATA'!$C$577</f>
        <v>0.13614999999999999</v>
      </c>
      <c r="G3491" s="85">
        <f>ROUND(G3490*F3491,1)</f>
        <v>38.6</v>
      </c>
      <c r="J3491" s="78"/>
    </row>
    <row r="3492" spans="1:10">
      <c r="B3492" s="60" t="s">
        <v>5949</v>
      </c>
      <c r="C3492" s="76"/>
      <c r="D3492" s="31"/>
      <c r="E3492" s="31"/>
      <c r="F3492" s="31"/>
      <c r="G3492" s="199">
        <f>ROUND(G3491+G3490,1)</f>
        <v>321.89999999999998</v>
      </c>
      <c r="J3492" s="78"/>
    </row>
    <row r="3493" spans="1:10">
      <c r="J3493" s="78"/>
    </row>
    <row r="3494" spans="1:10">
      <c r="B3494" s="170" t="s">
        <v>1175</v>
      </c>
      <c r="J3494" s="78"/>
    </row>
    <row r="3495" spans="1:10">
      <c r="B3495" s="26" t="s">
        <v>1176</v>
      </c>
      <c r="H3495" s="171" t="s">
        <v>1698</v>
      </c>
      <c r="I3495" s="117">
        <f>I3474</f>
        <v>276</v>
      </c>
      <c r="J3495" s="78"/>
    </row>
    <row r="3496" spans="1:10">
      <c r="B3496" s="26" t="s">
        <v>1186</v>
      </c>
      <c r="H3496" s="171" t="s">
        <v>1698</v>
      </c>
      <c r="I3496" s="117">
        <f>I3481</f>
        <v>0</v>
      </c>
      <c r="J3496" s="78"/>
    </row>
    <row r="3497" spans="1:10">
      <c r="B3497" s="26" t="s">
        <v>2660</v>
      </c>
      <c r="H3497" s="171" t="s">
        <v>1698</v>
      </c>
      <c r="I3497" s="85">
        <f>I3489</f>
        <v>1700</v>
      </c>
      <c r="J3497" s="78"/>
    </row>
    <row r="3498" spans="1:10">
      <c r="G3498" s="171" t="s">
        <v>1518</v>
      </c>
      <c r="H3498" s="171" t="s">
        <v>1698</v>
      </c>
      <c r="I3498" s="117">
        <f>SUM(I3494:I3497)</f>
        <v>1976</v>
      </c>
      <c r="J3498" s="78"/>
    </row>
    <row r="3499" spans="1:10" ht="18.75">
      <c r="B3499" s="1207" t="s">
        <v>8375</v>
      </c>
      <c r="C3499" s="1207"/>
      <c r="D3499" s="1207"/>
      <c r="E3499" s="1207"/>
      <c r="F3499" s="1207"/>
      <c r="G3499" s="922">
        <f>'BASIC DATA'!$C$577</f>
        <v>0.13614999999999999</v>
      </c>
      <c r="H3499" s="171" t="s">
        <v>4108</v>
      </c>
      <c r="I3499" s="76">
        <f>ROUND(I3498*G3499,2)</f>
        <v>269.02999999999997</v>
      </c>
      <c r="J3499" s="78"/>
    </row>
    <row r="3500" spans="1:10">
      <c r="B3500" s="1206" t="s">
        <v>1191</v>
      </c>
      <c r="C3500" s="1206"/>
      <c r="D3500" s="1206"/>
      <c r="E3500" s="1206"/>
      <c r="F3500" s="202">
        <f>H3469</f>
        <v>6</v>
      </c>
      <c r="G3500" s="202" t="str">
        <f>I3469</f>
        <v>Nos.</v>
      </c>
      <c r="H3500" s="171" t="s">
        <v>1698</v>
      </c>
      <c r="I3500" s="199">
        <f>I3499+I3498</f>
        <v>2245.0299999999997</v>
      </c>
      <c r="J3500" s="78"/>
    </row>
    <row r="3501" spans="1:10">
      <c r="B3501" s="1161" t="s">
        <v>3884</v>
      </c>
      <c r="C3501" s="1161"/>
      <c r="D3501" s="203" t="s">
        <v>3481</v>
      </c>
      <c r="F3501" s="26" t="s">
        <v>1390</v>
      </c>
      <c r="H3501" s="171" t="s">
        <v>1698</v>
      </c>
      <c r="I3501" s="204">
        <f>ROUND(I3500/F3500,1)</f>
        <v>374.2</v>
      </c>
      <c r="J3501" s="78"/>
    </row>
    <row r="3502" spans="1:10">
      <c r="J3502" s="78"/>
    </row>
    <row r="3503" spans="1:10">
      <c r="J3503" s="78"/>
    </row>
    <row r="3504" spans="1:10" ht="18.75">
      <c r="A3504" s="822" t="s">
        <v>7348</v>
      </c>
      <c r="B3504" s="26" t="s">
        <v>8477</v>
      </c>
      <c r="J3504" s="78"/>
    </row>
    <row r="3505" spans="1:10">
      <c r="B3505" s="26" t="s">
        <v>8478</v>
      </c>
      <c r="J3505" s="78"/>
    </row>
    <row r="3506" spans="1:10" ht="18.75">
      <c r="B3506" s="26" t="s">
        <v>8479</v>
      </c>
      <c r="J3506" s="78"/>
    </row>
    <row r="3507" spans="1:10">
      <c r="B3507" s="26" t="s">
        <v>65</v>
      </c>
      <c r="J3507" s="78"/>
    </row>
    <row r="3508" spans="1:10" ht="18.75">
      <c r="B3508" s="26" t="s">
        <v>8480</v>
      </c>
      <c r="J3508" s="78"/>
    </row>
    <row r="3509" spans="1:10">
      <c r="B3509" s="170" t="s">
        <v>66</v>
      </c>
      <c r="J3509" s="78"/>
    </row>
    <row r="3510" spans="1:10" hidden="1">
      <c r="A3510" s="822" t="s">
        <v>3984</v>
      </c>
      <c r="B3510" s="26" t="s">
        <v>1306</v>
      </c>
      <c r="J3510" s="78"/>
    </row>
    <row r="3511" spans="1:10" hidden="1">
      <c r="B3511" s="26" t="s">
        <v>4542</v>
      </c>
      <c r="H3511" s="68">
        <v>8.0000000000000002E-3</v>
      </c>
      <c r="I3511" s="26" t="s">
        <v>3477</v>
      </c>
      <c r="J3511" s="78"/>
    </row>
    <row r="3512" spans="1:10" hidden="1">
      <c r="B3512" s="26" t="s">
        <v>4543</v>
      </c>
      <c r="H3512" s="68">
        <v>0.02</v>
      </c>
      <c r="I3512" s="26" t="s">
        <v>3477</v>
      </c>
      <c r="J3512" s="78"/>
    </row>
    <row r="3513" spans="1:10" hidden="1">
      <c r="B3513" s="26" t="s">
        <v>326</v>
      </c>
      <c r="H3513" s="68">
        <v>2.9</v>
      </c>
      <c r="I3513" s="26" t="s">
        <v>2602</v>
      </c>
      <c r="J3513" s="78"/>
    </row>
    <row r="3514" spans="1:10">
      <c r="J3514" s="78"/>
    </row>
    <row r="3515" spans="1:10">
      <c r="A3515" s="822" t="s">
        <v>3984</v>
      </c>
      <c r="E3515" s="170" t="s">
        <v>2367</v>
      </c>
      <c r="J3515" s="78"/>
    </row>
    <row r="3516" spans="1:10">
      <c r="H3516" s="171" t="s">
        <v>1188</v>
      </c>
      <c r="J3516" s="78"/>
    </row>
    <row r="3517" spans="1:10">
      <c r="B3517" s="170" t="s">
        <v>2368</v>
      </c>
      <c r="C3517" s="89"/>
      <c r="H3517" s="211">
        <v>3</v>
      </c>
      <c r="I3517" s="26" t="s">
        <v>3483</v>
      </c>
      <c r="J3517" s="78"/>
    </row>
    <row r="3518" spans="1:10">
      <c r="B3518" s="95" t="s">
        <v>2369</v>
      </c>
      <c r="D3518" s="157" t="s">
        <v>4443</v>
      </c>
      <c r="E3518" s="97"/>
      <c r="F3518" s="95" t="s">
        <v>2370</v>
      </c>
      <c r="G3518" s="95" t="s">
        <v>1166</v>
      </c>
      <c r="H3518" s="97" t="s">
        <v>6664</v>
      </c>
      <c r="I3518" s="97" t="s">
        <v>6665</v>
      </c>
      <c r="J3518" s="78"/>
    </row>
    <row r="3519" spans="1:10">
      <c r="B3519" s="191"/>
      <c r="C3519" s="139"/>
      <c r="D3519" s="174"/>
      <c r="E3519" s="192"/>
      <c r="F3519" s="191"/>
      <c r="G3519" s="114"/>
      <c r="H3519" s="276" t="s">
        <v>3856</v>
      </c>
      <c r="I3519" s="115" t="s">
        <v>3857</v>
      </c>
      <c r="J3519" s="78"/>
    </row>
    <row r="3520" spans="1:10">
      <c r="B3520" s="95">
        <v>1</v>
      </c>
      <c r="C3520" s="131" t="s">
        <v>4545</v>
      </c>
      <c r="D3520" s="187"/>
      <c r="E3520" s="195"/>
      <c r="F3520" s="107" t="s">
        <v>3483</v>
      </c>
      <c r="G3520" s="180">
        <v>2.9</v>
      </c>
      <c r="H3520" s="212">
        <f>'BASIC DATA'!$D$73</f>
        <v>275</v>
      </c>
      <c r="I3520" s="132">
        <f>H3520*G3520</f>
        <v>797.5</v>
      </c>
      <c r="J3520" s="78"/>
    </row>
    <row r="3521" spans="1:10">
      <c r="B3521" s="105">
        <v>2</v>
      </c>
      <c r="C3521" s="135" t="s">
        <v>5853</v>
      </c>
      <c r="D3521" s="31"/>
      <c r="E3521" s="189"/>
      <c r="F3521" s="210" t="s">
        <v>3478</v>
      </c>
      <c r="G3521" s="221">
        <v>3</v>
      </c>
      <c r="H3521" s="214">
        <f>'BASIC DATA'!$D$32/1000</f>
        <v>5.35</v>
      </c>
      <c r="I3521" s="132">
        <f>H3521*G3521</f>
        <v>16.049999999999997</v>
      </c>
      <c r="J3521" s="78"/>
    </row>
    <row r="3522" spans="1:10">
      <c r="B3522" s="105">
        <v>3</v>
      </c>
      <c r="C3522" s="135" t="s">
        <v>4546</v>
      </c>
      <c r="D3522" s="31"/>
      <c r="E3522" s="189"/>
      <c r="F3522" s="210" t="s">
        <v>3477</v>
      </c>
      <c r="G3522" s="221">
        <f>H3511</f>
        <v>8.0000000000000002E-3</v>
      </c>
      <c r="H3522" s="214">
        <f>'BASIC DATA'!$D$35</f>
        <v>1225</v>
      </c>
      <c r="I3522" s="132">
        <f>H3522*G3522</f>
        <v>9.8000000000000007</v>
      </c>
      <c r="J3522" s="78"/>
    </row>
    <row r="3523" spans="1:10">
      <c r="A3523" s="853"/>
      <c r="B3523" s="237">
        <v>4</v>
      </c>
      <c r="C3523" s="307" t="s">
        <v>7871</v>
      </c>
      <c r="D3523" s="241"/>
      <c r="E3523" s="242"/>
      <c r="F3523" s="277" t="s">
        <v>3477</v>
      </c>
      <c r="G3523" s="283">
        <f>H3512</f>
        <v>0.02</v>
      </c>
      <c r="H3523" s="284">
        <f>'BASIC DATA'!$D$56</f>
        <v>95</v>
      </c>
      <c r="I3523" s="279">
        <f>H3523*G3523</f>
        <v>1.9000000000000001</v>
      </c>
      <c r="J3523" s="62"/>
    </row>
    <row r="3524" spans="1:10">
      <c r="B3524" s="154"/>
      <c r="C3524" s="151"/>
      <c r="D3524" s="159"/>
      <c r="E3524" s="159" t="s">
        <v>2376</v>
      </c>
      <c r="F3524" s="159"/>
      <c r="G3524" s="159"/>
      <c r="H3524" s="208" t="s">
        <v>1698</v>
      </c>
      <c r="I3524" s="209">
        <f>SUM(I3520:I3523)</f>
        <v>825.24999999999989</v>
      </c>
      <c r="J3524" s="78"/>
    </row>
    <row r="3525" spans="1:10">
      <c r="J3525" s="78"/>
    </row>
    <row r="3526" spans="1:10">
      <c r="B3526" s="170" t="s">
        <v>2377</v>
      </c>
      <c r="C3526" s="89"/>
      <c r="J3526" s="78"/>
    </row>
    <row r="3527" spans="1:10">
      <c r="B3527" s="95" t="s">
        <v>2369</v>
      </c>
      <c r="D3527" s="157" t="s">
        <v>2378</v>
      </c>
      <c r="E3527" s="97"/>
      <c r="F3527" s="95" t="s">
        <v>2370</v>
      </c>
      <c r="G3527" s="95" t="s">
        <v>1166</v>
      </c>
      <c r="H3527" s="95" t="s">
        <v>6664</v>
      </c>
      <c r="I3527" s="97" t="s">
        <v>6665</v>
      </c>
      <c r="J3527" s="78"/>
    </row>
    <row r="3528" spans="1:10">
      <c r="B3528" s="191"/>
      <c r="C3528" s="139"/>
      <c r="D3528" s="174"/>
      <c r="E3528" s="192"/>
      <c r="F3528" s="191"/>
      <c r="G3528" s="114"/>
      <c r="H3528" s="114" t="s">
        <v>3856</v>
      </c>
      <c r="I3528" s="115" t="s">
        <v>3857</v>
      </c>
      <c r="J3528" s="78"/>
    </row>
    <row r="3529" spans="1:10">
      <c r="B3529" s="95">
        <v>1</v>
      </c>
      <c r="C3529" s="131" t="s">
        <v>4168</v>
      </c>
      <c r="D3529" s="187"/>
      <c r="E3529" s="195"/>
      <c r="F3529" s="107"/>
      <c r="G3529" s="179">
        <v>0</v>
      </c>
      <c r="H3529" s="179">
        <v>0</v>
      </c>
      <c r="I3529" s="155">
        <f>H3529*G3529</f>
        <v>0</v>
      </c>
      <c r="J3529" s="78"/>
    </row>
    <row r="3530" spans="1:10">
      <c r="B3530" s="191"/>
      <c r="C3530" s="139"/>
      <c r="D3530" s="174"/>
      <c r="E3530" s="192"/>
      <c r="F3530" s="191"/>
      <c r="G3530" s="182">
        <v>0</v>
      </c>
      <c r="H3530" s="182">
        <v>0</v>
      </c>
      <c r="I3530" s="155">
        <f>H3530*G3530</f>
        <v>0</v>
      </c>
      <c r="J3530" s="78"/>
    </row>
    <row r="3531" spans="1:10">
      <c r="B3531" s="184"/>
      <c r="C3531" s="151"/>
      <c r="D3531" s="159"/>
      <c r="E3531" s="159" t="s">
        <v>2380</v>
      </c>
      <c r="F3531" s="159"/>
      <c r="G3531" s="159"/>
      <c r="H3531" s="208" t="s">
        <v>1698</v>
      </c>
      <c r="I3531" s="209">
        <f>SUM(I3529:I3530)</f>
        <v>0</v>
      </c>
      <c r="J3531" s="78"/>
    </row>
    <row r="3532" spans="1:10">
      <c r="B3532" s="31"/>
      <c r="C3532" s="76"/>
      <c r="D3532" s="31"/>
      <c r="E3532" s="31"/>
      <c r="F3532" s="31"/>
      <c r="G3532" s="31"/>
      <c r="H3532" s="200"/>
      <c r="I3532" s="75"/>
      <c r="J3532" s="78"/>
    </row>
    <row r="3533" spans="1:10">
      <c r="B3533" s="170" t="s">
        <v>2381</v>
      </c>
      <c r="C3533" s="89"/>
      <c r="J3533" s="78"/>
    </row>
    <row r="3534" spans="1:10">
      <c r="B3534" s="95" t="s">
        <v>2369</v>
      </c>
      <c r="D3534" s="157" t="s">
        <v>2378</v>
      </c>
      <c r="E3534" s="97"/>
      <c r="F3534" s="95" t="s">
        <v>2370</v>
      </c>
      <c r="G3534" s="95" t="s">
        <v>1166</v>
      </c>
      <c r="H3534" s="97" t="s">
        <v>6664</v>
      </c>
      <c r="I3534" s="97" t="s">
        <v>6665</v>
      </c>
      <c r="J3534" s="78"/>
    </row>
    <row r="3535" spans="1:10">
      <c r="B3535" s="191"/>
      <c r="C3535" s="139"/>
      <c r="D3535" s="174"/>
      <c r="E3535" s="192"/>
      <c r="F3535" s="191"/>
      <c r="G3535" s="114"/>
      <c r="H3535" s="115" t="s">
        <v>3856</v>
      </c>
      <c r="I3535" s="115" t="s">
        <v>3857</v>
      </c>
      <c r="J3535" s="78"/>
    </row>
    <row r="3536" spans="1:10">
      <c r="B3536" s="95">
        <v>1</v>
      </c>
      <c r="C3536" s="131" t="s">
        <v>1356</v>
      </c>
      <c r="D3536" s="187"/>
      <c r="E3536" s="195"/>
      <c r="F3536" s="107" t="s">
        <v>1172</v>
      </c>
      <c r="G3536" s="107">
        <v>0.25</v>
      </c>
      <c r="H3536" s="207">
        <f>'BASIC DATA'!$C$541</f>
        <v>400</v>
      </c>
      <c r="I3536" s="155">
        <f>H3536*G3536</f>
        <v>100</v>
      </c>
      <c r="J3536" s="78"/>
    </row>
    <row r="3537" spans="2:10">
      <c r="B3537" s="114">
        <v>2</v>
      </c>
      <c r="C3537" s="139" t="s">
        <v>2697</v>
      </c>
      <c r="D3537" s="174"/>
      <c r="E3537" s="192"/>
      <c r="F3537" s="191" t="s">
        <v>1172</v>
      </c>
      <c r="G3537" s="191">
        <v>0.25</v>
      </c>
      <c r="H3537" s="181">
        <f>'BASIC DATA'!$C$552</f>
        <v>350</v>
      </c>
      <c r="I3537" s="155">
        <f>H3537*G3537</f>
        <v>87.5</v>
      </c>
      <c r="J3537" s="78"/>
    </row>
    <row r="3538" spans="2:10">
      <c r="B3538" s="184"/>
      <c r="C3538" s="151"/>
      <c r="D3538" s="159"/>
      <c r="E3538" s="159" t="s">
        <v>1174</v>
      </c>
      <c r="F3538" s="159"/>
      <c r="G3538" s="193"/>
      <c r="H3538" s="208" t="s">
        <v>1698</v>
      </c>
      <c r="I3538" s="209">
        <f>SUM(I3536:I3537)</f>
        <v>187.5</v>
      </c>
      <c r="J3538" s="78"/>
    </row>
    <row r="3539" spans="2:10">
      <c r="B3539" s="60" t="s">
        <v>5948</v>
      </c>
      <c r="C3539" s="76"/>
      <c r="D3539" s="31"/>
      <c r="E3539" s="31"/>
      <c r="F3539" s="31"/>
      <c r="G3539" s="85">
        <f>ROUND(I3538/H3517,1)</f>
        <v>62.5</v>
      </c>
      <c r="J3539" s="78"/>
    </row>
    <row r="3540" spans="2:10">
      <c r="B3540" s="60" t="s">
        <v>3163</v>
      </c>
      <c r="C3540" s="76"/>
      <c r="D3540" s="31"/>
      <c r="E3540" s="31"/>
      <c r="F3540" s="922">
        <f>'BASIC DATA'!$C$577</f>
        <v>0.13614999999999999</v>
      </c>
      <c r="G3540" s="85">
        <f>ROUND(G3539*F3540,1)</f>
        <v>8.5</v>
      </c>
      <c r="J3540" s="78"/>
    </row>
    <row r="3541" spans="2:10">
      <c r="B3541" s="60" t="s">
        <v>5949</v>
      </c>
      <c r="C3541" s="76"/>
      <c r="D3541" s="31"/>
      <c r="E3541" s="31"/>
      <c r="F3541" s="31"/>
      <c r="G3541" s="199">
        <f>ROUND(G3540+G3539,1)</f>
        <v>71</v>
      </c>
      <c r="J3541" s="78"/>
    </row>
    <row r="3542" spans="2:10">
      <c r="B3542" s="31"/>
      <c r="C3542" s="76"/>
      <c r="D3542" s="31"/>
      <c r="E3542" s="31"/>
      <c r="F3542" s="200"/>
      <c r="G3542" s="200"/>
      <c r="I3542" s="31"/>
      <c r="J3542" s="78"/>
    </row>
    <row r="3543" spans="2:10">
      <c r="B3543" s="170" t="s">
        <v>1175</v>
      </c>
      <c r="J3543" s="78"/>
    </row>
    <row r="3544" spans="2:10">
      <c r="B3544" s="26" t="s">
        <v>1176</v>
      </c>
      <c r="H3544" s="171" t="s">
        <v>1698</v>
      </c>
      <c r="I3544" s="117">
        <f>I3524</f>
        <v>825.24999999999989</v>
      </c>
      <c r="J3544" s="78"/>
    </row>
    <row r="3545" spans="2:10">
      <c r="B3545" s="26" t="s">
        <v>1186</v>
      </c>
      <c r="H3545" s="171" t="s">
        <v>1698</v>
      </c>
      <c r="I3545" s="117">
        <f>I3531</f>
        <v>0</v>
      </c>
      <c r="J3545" s="78"/>
    </row>
    <row r="3546" spans="2:10">
      <c r="B3546" s="26" t="s">
        <v>2660</v>
      </c>
      <c r="H3546" s="171" t="s">
        <v>1698</v>
      </c>
      <c r="I3546" s="85">
        <f>I3538</f>
        <v>187.5</v>
      </c>
      <c r="J3546" s="78"/>
    </row>
    <row r="3547" spans="2:10">
      <c r="G3547" s="26" t="s">
        <v>1518</v>
      </c>
      <c r="H3547" s="171" t="s">
        <v>1698</v>
      </c>
      <c r="I3547" s="130">
        <f>SUM(I3543:I3546)</f>
        <v>1012.7499999999999</v>
      </c>
      <c r="J3547" s="78"/>
    </row>
    <row r="3548" spans="2:10" ht="18.75">
      <c r="B3548" s="1207" t="s">
        <v>8375</v>
      </c>
      <c r="C3548" s="1207"/>
      <c r="D3548" s="1207"/>
      <c r="E3548" s="1207"/>
      <c r="F3548" s="1207"/>
      <c r="G3548" s="922">
        <f>'BASIC DATA'!$C$577</f>
        <v>0.13614999999999999</v>
      </c>
      <c r="H3548" s="171" t="s">
        <v>4108</v>
      </c>
      <c r="I3548" s="76">
        <f>ROUND(I3547*G3548,2)</f>
        <v>137.88999999999999</v>
      </c>
      <c r="J3548" s="78"/>
    </row>
    <row r="3549" spans="2:10">
      <c r="B3549" s="27" t="s">
        <v>9590</v>
      </c>
      <c r="C3549" s="43"/>
      <c r="D3549" s="43"/>
      <c r="E3549" s="43"/>
      <c r="F3549" s="779">
        <f>G3523</f>
        <v>0.02</v>
      </c>
      <c r="G3549" s="201" t="s">
        <v>9591</v>
      </c>
      <c r="H3549" s="68" t="str">
        <f>CONCATENATE((leadcharges!$D$65)," ","Rs./Cum")</f>
        <v>31.5 Rs./Cum</v>
      </c>
      <c r="I3549" s="76">
        <f>leadcharges!$D$65*F3549</f>
        <v>0.63</v>
      </c>
      <c r="J3549" s="78"/>
    </row>
    <row r="3550" spans="2:10">
      <c r="B3550" s="27" t="s">
        <v>9594</v>
      </c>
      <c r="C3550" s="43"/>
      <c r="D3550" s="43"/>
      <c r="E3550" s="43"/>
      <c r="F3550" s="779">
        <f>G3522</f>
        <v>8.0000000000000002E-3</v>
      </c>
      <c r="G3550" s="201" t="s">
        <v>9591</v>
      </c>
      <c r="H3550" s="68" t="str">
        <f>CONCATENATE((leadcharges!$E$65)," ","Rs./Cum")</f>
        <v>30.4 Rs./Cum</v>
      </c>
      <c r="I3550" s="85">
        <f>leadcharges!$E$65*F3550</f>
        <v>0.2432</v>
      </c>
      <c r="J3550" s="78"/>
    </row>
    <row r="3551" spans="2:10" ht="34.5" hidden="1" customHeight="1">
      <c r="B3551" s="1207"/>
      <c r="C3551" s="1207"/>
      <c r="D3551" s="1207"/>
      <c r="E3551" s="1207"/>
      <c r="F3551" s="779"/>
      <c r="G3551" s="201"/>
      <c r="H3551" s="68"/>
      <c r="I3551" s="76"/>
      <c r="J3551" s="78"/>
    </row>
    <row r="3552" spans="2:10">
      <c r="B3552" s="1206" t="s">
        <v>1191</v>
      </c>
      <c r="C3552" s="1206"/>
      <c r="D3552" s="1206"/>
      <c r="E3552" s="1206"/>
      <c r="F3552" s="202">
        <f>H3517</f>
        <v>3</v>
      </c>
      <c r="G3552" s="217" t="str">
        <f>I3517</f>
        <v>Rm</v>
      </c>
      <c r="H3552" s="171" t="s">
        <v>1698</v>
      </c>
      <c r="I3552" s="199">
        <f>SUM(I3547:I3551)</f>
        <v>1151.5131999999999</v>
      </c>
      <c r="J3552" s="78"/>
    </row>
    <row r="3553" spans="1:10">
      <c r="B3553" s="1161" t="s">
        <v>3884</v>
      </c>
      <c r="C3553" s="1161"/>
      <c r="D3553" s="246" t="str">
        <f>G3552</f>
        <v>Rm</v>
      </c>
      <c r="F3553" s="26" t="s">
        <v>1391</v>
      </c>
      <c r="H3553" s="171" t="s">
        <v>1698</v>
      </c>
      <c r="I3553" s="204">
        <f>ROUND(I3552/F3552,1)</f>
        <v>383.8</v>
      </c>
      <c r="J3553" s="78"/>
    </row>
    <row r="3554" spans="1:10">
      <c r="J3554" s="78"/>
    </row>
    <row r="3555" spans="1:10">
      <c r="J3555" s="78"/>
    </row>
    <row r="3556" spans="1:10" ht="18.75">
      <c r="A3556" s="822" t="s">
        <v>7349</v>
      </c>
      <c r="B3556" s="26" t="s">
        <v>8481</v>
      </c>
      <c r="J3556" s="78"/>
    </row>
    <row r="3557" spans="1:10">
      <c r="B3557" s="26" t="s">
        <v>6808</v>
      </c>
      <c r="J3557" s="78"/>
    </row>
    <row r="3558" spans="1:10">
      <c r="B3558" s="26" t="s">
        <v>6809</v>
      </c>
      <c r="J3558" s="78"/>
    </row>
    <row r="3559" spans="1:10">
      <c r="B3559" s="26" t="s">
        <v>6810</v>
      </c>
      <c r="J3559" s="78"/>
    </row>
    <row r="3560" spans="1:10">
      <c r="B3560" s="26" t="s">
        <v>4011</v>
      </c>
      <c r="J3560" s="78"/>
    </row>
    <row r="3561" spans="1:10" ht="18.75">
      <c r="B3561" s="26" t="s">
        <v>8482</v>
      </c>
      <c r="J3561" s="78"/>
    </row>
    <row r="3562" spans="1:10" hidden="1">
      <c r="A3562" s="822" t="s">
        <v>3984</v>
      </c>
      <c r="B3562" s="26" t="s">
        <v>2422</v>
      </c>
      <c r="H3562" s="68">
        <v>7.5</v>
      </c>
      <c r="I3562" s="26" t="s">
        <v>2602</v>
      </c>
      <c r="J3562" s="78"/>
    </row>
    <row r="3563" spans="1:10" hidden="1">
      <c r="B3563" s="26" t="s">
        <v>2423</v>
      </c>
      <c r="J3563" s="78"/>
    </row>
    <row r="3564" spans="1:10" hidden="1">
      <c r="A3564" s="853"/>
      <c r="B3564" s="61" t="s">
        <v>3641</v>
      </c>
      <c r="C3564" s="125"/>
      <c r="D3564" s="61"/>
      <c r="E3564" s="61"/>
      <c r="F3564" s="61"/>
      <c r="G3564" s="61"/>
      <c r="H3564" s="61"/>
      <c r="I3564" s="61"/>
      <c r="J3564" s="78"/>
    </row>
    <row r="3565" spans="1:10" hidden="1">
      <c r="B3565" s="26" t="s">
        <v>4281</v>
      </c>
      <c r="H3565" s="68">
        <v>50.7</v>
      </c>
      <c r="I3565" s="26" t="s">
        <v>3478</v>
      </c>
      <c r="J3565" s="78"/>
    </row>
    <row r="3566" spans="1:10" hidden="1">
      <c r="A3566" s="853"/>
      <c r="B3566" s="61" t="s">
        <v>4012</v>
      </c>
      <c r="C3566" s="125"/>
      <c r="D3566" s="61"/>
      <c r="E3566" s="61"/>
      <c r="F3566" s="61"/>
      <c r="G3566" s="61"/>
      <c r="H3566" s="61"/>
      <c r="I3566" s="61"/>
      <c r="J3566" s="78"/>
    </row>
    <row r="3567" spans="1:10" hidden="1">
      <c r="B3567" s="26" t="s">
        <v>4013</v>
      </c>
      <c r="H3567" s="68">
        <v>104.5</v>
      </c>
      <c r="I3567" s="26" t="s">
        <v>3478</v>
      </c>
      <c r="J3567" s="78"/>
    </row>
    <row r="3568" spans="1:10" hidden="1">
      <c r="A3568" s="853"/>
      <c r="B3568" s="61" t="s">
        <v>4014</v>
      </c>
      <c r="C3568" s="125"/>
      <c r="D3568" s="61"/>
      <c r="E3568" s="61"/>
      <c r="F3568" s="61"/>
      <c r="G3568" s="61"/>
      <c r="H3568" s="61"/>
      <c r="I3568" s="61"/>
      <c r="J3568" s="78"/>
    </row>
    <row r="3569" spans="1:10" hidden="1">
      <c r="B3569" s="26" t="s">
        <v>4015</v>
      </c>
      <c r="H3569" s="68">
        <v>27.4</v>
      </c>
      <c r="I3569" s="26" t="s">
        <v>3478</v>
      </c>
      <c r="J3569" s="78"/>
    </row>
    <row r="3570" spans="1:10" hidden="1">
      <c r="B3570" s="26" t="s">
        <v>2433</v>
      </c>
      <c r="H3570" s="68">
        <v>70</v>
      </c>
      <c r="I3570" s="26" t="s">
        <v>2059</v>
      </c>
      <c r="J3570" s="78"/>
    </row>
    <row r="3571" spans="1:10" hidden="1">
      <c r="B3571" s="26" t="s">
        <v>2434</v>
      </c>
      <c r="H3571" s="68">
        <v>1</v>
      </c>
      <c r="I3571" s="26" t="s">
        <v>3479</v>
      </c>
      <c r="J3571" s="78"/>
    </row>
    <row r="3572" spans="1:10" hidden="1">
      <c r="B3572" s="26" t="s">
        <v>2435</v>
      </c>
      <c r="J3572" s="78"/>
    </row>
    <row r="3573" spans="1:10">
      <c r="J3573" s="78"/>
    </row>
    <row r="3574" spans="1:10">
      <c r="A3574" s="822" t="s">
        <v>3984</v>
      </c>
      <c r="E3574" s="170" t="s">
        <v>2367</v>
      </c>
      <c r="J3574" s="78"/>
    </row>
    <row r="3575" spans="1:10">
      <c r="G3575" s="68"/>
      <c r="H3575" s="171" t="s">
        <v>1188</v>
      </c>
      <c r="J3575" s="78"/>
    </row>
    <row r="3576" spans="1:10">
      <c r="B3576" s="170" t="s">
        <v>2368</v>
      </c>
      <c r="C3576" s="89"/>
      <c r="H3576" s="211">
        <f>H3562</f>
        <v>7.5</v>
      </c>
      <c r="I3576" s="26" t="s">
        <v>3483</v>
      </c>
      <c r="J3576" s="78"/>
    </row>
    <row r="3577" spans="1:10">
      <c r="B3577" s="95" t="s">
        <v>2369</v>
      </c>
      <c r="D3577" s="157" t="s">
        <v>4443</v>
      </c>
      <c r="E3577" s="97"/>
      <c r="F3577" s="95" t="s">
        <v>2370</v>
      </c>
      <c r="G3577" s="95" t="s">
        <v>1166</v>
      </c>
      <c r="H3577" s="97" t="s">
        <v>6664</v>
      </c>
      <c r="I3577" s="97" t="s">
        <v>6665</v>
      </c>
      <c r="J3577" s="78"/>
    </row>
    <row r="3578" spans="1:10">
      <c r="B3578" s="191"/>
      <c r="C3578" s="139"/>
      <c r="D3578" s="174"/>
      <c r="E3578" s="192"/>
      <c r="F3578" s="191"/>
      <c r="G3578" s="114"/>
      <c r="H3578" s="115" t="s">
        <v>3856</v>
      </c>
      <c r="I3578" s="115" t="s">
        <v>3857</v>
      </c>
      <c r="J3578" s="78"/>
    </row>
    <row r="3579" spans="1:10">
      <c r="B3579" s="95">
        <v>1</v>
      </c>
      <c r="C3579" s="131" t="s">
        <v>6216</v>
      </c>
      <c r="D3579" s="187"/>
      <c r="E3579" s="195"/>
      <c r="F3579" s="107" t="s">
        <v>3478</v>
      </c>
      <c r="G3579" s="179">
        <v>50.7</v>
      </c>
      <c r="H3579" s="218">
        <f>'BASIC DATA'!$D$98/1000</f>
        <v>37.4</v>
      </c>
      <c r="I3579" s="155">
        <f t="shared" ref="I3579:I3584" si="61">H3579*G3579</f>
        <v>1896.18</v>
      </c>
      <c r="J3579" s="78"/>
    </row>
    <row r="3580" spans="1:10">
      <c r="B3580" s="105">
        <v>2</v>
      </c>
      <c r="C3580" s="135" t="s">
        <v>2436</v>
      </c>
      <c r="D3580" s="31"/>
      <c r="E3580" s="189"/>
      <c r="F3580" s="210" t="s">
        <v>3478</v>
      </c>
      <c r="G3580" s="190">
        <v>104.5</v>
      </c>
      <c r="H3580" s="220">
        <f>'BASIC DATA'!$D$97/1000</f>
        <v>37.5</v>
      </c>
      <c r="I3580" s="155">
        <f t="shared" si="61"/>
        <v>3918.75</v>
      </c>
      <c r="J3580" s="78"/>
    </row>
    <row r="3581" spans="1:10">
      <c r="B3581" s="105">
        <v>3</v>
      </c>
      <c r="C3581" s="135" t="s">
        <v>2437</v>
      </c>
      <c r="D3581" s="31"/>
      <c r="E3581" s="189"/>
      <c r="F3581" s="210" t="s">
        <v>3478</v>
      </c>
      <c r="G3581" s="190">
        <v>27.4</v>
      </c>
      <c r="H3581" s="220">
        <f>'BASIC DATA'!$D$91/1000</f>
        <v>34</v>
      </c>
      <c r="I3581" s="155">
        <f t="shared" si="61"/>
        <v>931.59999999999991</v>
      </c>
      <c r="J3581" s="78"/>
    </row>
    <row r="3582" spans="1:10">
      <c r="B3582" s="105">
        <v>4</v>
      </c>
      <c r="C3582" s="135" t="s">
        <v>6816</v>
      </c>
      <c r="D3582" s="31"/>
      <c r="E3582" s="189"/>
      <c r="F3582" s="210" t="s">
        <v>2059</v>
      </c>
      <c r="G3582" s="190">
        <v>70</v>
      </c>
      <c r="H3582" s="220">
        <f>'BASIC DATA'!$D$110</f>
        <v>13</v>
      </c>
      <c r="I3582" s="155">
        <f t="shared" si="61"/>
        <v>910</v>
      </c>
      <c r="J3582" s="78"/>
    </row>
    <row r="3583" spans="1:10">
      <c r="B3583" s="105">
        <v>5</v>
      </c>
      <c r="C3583" s="135" t="s">
        <v>2438</v>
      </c>
      <c r="D3583" s="31"/>
      <c r="E3583" s="189"/>
      <c r="F3583" s="210" t="s">
        <v>3479</v>
      </c>
      <c r="G3583" s="190">
        <v>1</v>
      </c>
      <c r="H3583" s="220">
        <f>'BASIC DATA'!$D$103</f>
        <v>630</v>
      </c>
      <c r="I3583" s="155">
        <f t="shared" si="61"/>
        <v>630</v>
      </c>
      <c r="J3583" s="78"/>
    </row>
    <row r="3584" spans="1:10">
      <c r="B3584" s="114">
        <v>6</v>
      </c>
      <c r="C3584" s="139" t="s">
        <v>2439</v>
      </c>
      <c r="D3584" s="174"/>
      <c r="E3584" s="192"/>
      <c r="F3584" s="191" t="s">
        <v>2173</v>
      </c>
      <c r="G3584" s="182">
        <v>1.5</v>
      </c>
      <c r="H3584" s="257">
        <f>'BASIC DATA'!$D$359</f>
        <v>30</v>
      </c>
      <c r="I3584" s="155">
        <f t="shared" si="61"/>
        <v>45</v>
      </c>
      <c r="J3584" s="78"/>
    </row>
    <row r="3585" spans="2:10">
      <c r="B3585" s="184"/>
      <c r="C3585" s="151"/>
      <c r="D3585" s="159"/>
      <c r="E3585" s="159" t="s">
        <v>2376</v>
      </c>
      <c r="F3585" s="159"/>
      <c r="G3585" s="159"/>
      <c r="H3585" s="208" t="s">
        <v>1698</v>
      </c>
      <c r="I3585" s="209">
        <f>SUM(I3579:I3584)</f>
        <v>8331.5300000000007</v>
      </c>
      <c r="J3585" s="78"/>
    </row>
    <row r="3586" spans="2:10">
      <c r="B3586" s="31"/>
      <c r="C3586" s="76"/>
      <c r="D3586" s="31"/>
      <c r="E3586" s="31"/>
      <c r="F3586" s="31"/>
      <c r="G3586" s="31"/>
      <c r="H3586" s="200"/>
      <c r="I3586" s="31"/>
      <c r="J3586" s="78"/>
    </row>
    <row r="3587" spans="2:10">
      <c r="B3587" s="170" t="s">
        <v>2377</v>
      </c>
      <c r="C3587" s="89"/>
      <c r="J3587" s="78"/>
    </row>
    <row r="3588" spans="2:10">
      <c r="B3588" s="95" t="s">
        <v>2369</v>
      </c>
      <c r="D3588" s="157" t="s">
        <v>2378</v>
      </c>
      <c r="E3588" s="97"/>
      <c r="F3588" s="95" t="s">
        <v>2370</v>
      </c>
      <c r="G3588" s="95" t="s">
        <v>1166</v>
      </c>
      <c r="H3588" s="97" t="s">
        <v>6664</v>
      </c>
      <c r="I3588" s="97" t="s">
        <v>6665</v>
      </c>
      <c r="J3588" s="78"/>
    </row>
    <row r="3589" spans="2:10">
      <c r="B3589" s="191"/>
      <c r="C3589" s="139"/>
      <c r="D3589" s="174"/>
      <c r="E3589" s="192"/>
      <c r="F3589" s="191"/>
      <c r="G3589" s="114"/>
      <c r="H3589" s="115" t="s">
        <v>3856</v>
      </c>
      <c r="I3589" s="115" t="s">
        <v>3857</v>
      </c>
      <c r="J3589" s="78"/>
    </row>
    <row r="3590" spans="2:10">
      <c r="B3590" s="95">
        <v>1</v>
      </c>
      <c r="C3590" s="131" t="s">
        <v>1338</v>
      </c>
      <c r="D3590" s="187"/>
      <c r="E3590" s="195"/>
      <c r="F3590" s="107" t="s">
        <v>2374</v>
      </c>
      <c r="G3590" s="179">
        <v>8</v>
      </c>
      <c r="H3590" s="218">
        <f>'HIRE CHARGES'!$D$556</f>
        <v>16</v>
      </c>
      <c r="I3590" s="155">
        <f>H3590*G3590</f>
        <v>128</v>
      </c>
      <c r="J3590" s="78"/>
    </row>
    <row r="3591" spans="2:10">
      <c r="B3591" s="105"/>
      <c r="C3591" s="135" t="s">
        <v>2379</v>
      </c>
      <c r="D3591" s="31"/>
      <c r="E3591" s="189"/>
      <c r="F3591" s="210" t="s">
        <v>2374</v>
      </c>
      <c r="G3591" s="190">
        <v>8</v>
      </c>
      <c r="H3591" s="214">
        <f>'HIRE CHARGES'!$E$556</f>
        <v>67.2</v>
      </c>
      <c r="I3591" s="155">
        <f>H3591*G3591</f>
        <v>537.6</v>
      </c>
      <c r="J3591" s="78"/>
    </row>
    <row r="3592" spans="2:10">
      <c r="B3592" s="114">
        <v>2</v>
      </c>
      <c r="C3592" s="139" t="s">
        <v>2440</v>
      </c>
      <c r="D3592" s="174"/>
      <c r="E3592" s="192"/>
      <c r="F3592" s="191" t="s">
        <v>2173</v>
      </c>
      <c r="G3592" s="182">
        <v>2</v>
      </c>
      <c r="H3592" s="257">
        <f>'BASIC DATA'!$D$359</f>
        <v>30</v>
      </c>
      <c r="I3592" s="155">
        <f>H3592*G3592</f>
        <v>60</v>
      </c>
      <c r="J3592" s="78"/>
    </row>
    <row r="3593" spans="2:10">
      <c r="B3593" s="184"/>
      <c r="C3593" s="151"/>
      <c r="D3593" s="159"/>
      <c r="E3593" s="159" t="s">
        <v>2380</v>
      </c>
      <c r="F3593" s="159"/>
      <c r="G3593" s="159"/>
      <c r="H3593" s="208" t="s">
        <v>1698</v>
      </c>
      <c r="I3593" s="209">
        <f>SUM(I3590:I3592)</f>
        <v>725.6</v>
      </c>
      <c r="J3593" s="78"/>
    </row>
    <row r="3594" spans="2:10">
      <c r="B3594" s="31"/>
      <c r="C3594" s="76"/>
      <c r="D3594" s="31"/>
      <c r="E3594" s="31"/>
      <c r="F3594" s="31"/>
      <c r="G3594" s="31"/>
      <c r="H3594" s="200"/>
      <c r="I3594" s="75"/>
      <c r="J3594" s="78"/>
    </row>
    <row r="3595" spans="2:10">
      <c r="B3595" s="170" t="s">
        <v>2381</v>
      </c>
      <c r="C3595" s="89"/>
      <c r="J3595" s="78"/>
    </row>
    <row r="3596" spans="2:10">
      <c r="B3596" s="95" t="s">
        <v>2369</v>
      </c>
      <c r="D3596" s="157" t="s">
        <v>2378</v>
      </c>
      <c r="E3596" s="97"/>
      <c r="F3596" s="95" t="s">
        <v>2370</v>
      </c>
      <c r="G3596" s="95" t="s">
        <v>1166</v>
      </c>
      <c r="H3596" s="97" t="s">
        <v>6664</v>
      </c>
      <c r="I3596" s="97" t="s">
        <v>6665</v>
      </c>
      <c r="J3596" s="78"/>
    </row>
    <row r="3597" spans="2:10">
      <c r="B3597" s="191"/>
      <c r="C3597" s="139"/>
      <c r="D3597" s="174"/>
      <c r="E3597" s="192"/>
      <c r="F3597" s="191"/>
      <c r="G3597" s="114"/>
      <c r="H3597" s="115" t="s">
        <v>3856</v>
      </c>
      <c r="I3597" s="115" t="s">
        <v>3857</v>
      </c>
      <c r="J3597" s="78"/>
    </row>
    <row r="3598" spans="2:10">
      <c r="B3598" s="95">
        <v>1</v>
      </c>
      <c r="C3598" s="131" t="s">
        <v>5547</v>
      </c>
      <c r="D3598" s="187"/>
      <c r="E3598" s="195"/>
      <c r="F3598" s="107" t="s">
        <v>1172</v>
      </c>
      <c r="G3598" s="179">
        <v>1.5</v>
      </c>
      <c r="H3598" s="178">
        <f>'BASIC DATA'!$C$503</f>
        <v>550</v>
      </c>
      <c r="I3598" s="155">
        <f>H3598*G3598</f>
        <v>825</v>
      </c>
      <c r="J3598" s="78"/>
    </row>
    <row r="3599" spans="2:10">
      <c r="B3599" s="105">
        <v>2</v>
      </c>
      <c r="C3599" s="135" t="s">
        <v>1313</v>
      </c>
      <c r="D3599" s="31"/>
      <c r="E3599" s="189"/>
      <c r="F3599" s="210" t="s">
        <v>1172</v>
      </c>
      <c r="G3599" s="190">
        <v>1.5</v>
      </c>
      <c r="H3599" s="207">
        <f>'BASIC DATA'!$C$504</f>
        <v>445</v>
      </c>
      <c r="I3599" s="155">
        <f>H3599*G3599</f>
        <v>667.5</v>
      </c>
      <c r="J3599" s="78"/>
    </row>
    <row r="3600" spans="2:10">
      <c r="B3600" s="114">
        <v>3</v>
      </c>
      <c r="C3600" s="139" t="s">
        <v>2697</v>
      </c>
      <c r="D3600" s="174"/>
      <c r="E3600" s="192"/>
      <c r="F3600" s="191" t="s">
        <v>1172</v>
      </c>
      <c r="G3600" s="182">
        <v>2</v>
      </c>
      <c r="H3600" s="181">
        <f>'BASIC DATA'!$C$552</f>
        <v>350</v>
      </c>
      <c r="I3600" s="155">
        <f>H3600*G3600</f>
        <v>700</v>
      </c>
      <c r="J3600" s="78"/>
    </row>
    <row r="3601" spans="1:10">
      <c r="B3601" s="184"/>
      <c r="C3601" s="151"/>
      <c r="D3601" s="159"/>
      <c r="E3601" s="159"/>
      <c r="F3601" s="159" t="s">
        <v>1174</v>
      </c>
      <c r="G3601" s="159"/>
      <c r="H3601" s="208" t="s">
        <v>1698</v>
      </c>
      <c r="I3601" s="209">
        <f>SUM(I3598:I3600)</f>
        <v>2192.5</v>
      </c>
      <c r="J3601" s="78"/>
    </row>
    <row r="3602" spans="1:10">
      <c r="B3602" s="60" t="s">
        <v>5948</v>
      </c>
      <c r="C3602" s="76"/>
      <c r="D3602" s="31"/>
      <c r="E3602" s="31"/>
      <c r="F3602" s="31"/>
      <c r="G3602" s="85">
        <f>ROUND(I3601/H3576,1)</f>
        <v>292.3</v>
      </c>
      <c r="J3602" s="78"/>
    </row>
    <row r="3603" spans="1:10">
      <c r="B3603" s="60" t="s">
        <v>3163</v>
      </c>
      <c r="C3603" s="76"/>
      <c r="D3603" s="31"/>
      <c r="E3603" s="31"/>
      <c r="F3603" s="922">
        <f>'BASIC DATA'!$C$577</f>
        <v>0.13614999999999999</v>
      </c>
      <c r="G3603" s="85">
        <f>ROUND(G3602*F3603,1)</f>
        <v>39.799999999999997</v>
      </c>
      <c r="J3603" s="78"/>
    </row>
    <row r="3604" spans="1:10">
      <c r="B3604" s="60" t="s">
        <v>5949</v>
      </c>
      <c r="C3604" s="76"/>
      <c r="D3604" s="31"/>
      <c r="E3604" s="31"/>
      <c r="F3604" s="31"/>
      <c r="G3604" s="199">
        <f>ROUND(G3603+G3602,1)</f>
        <v>332.1</v>
      </c>
      <c r="J3604" s="78"/>
    </row>
    <row r="3605" spans="1:10">
      <c r="B3605" s="31"/>
      <c r="C3605" s="76"/>
      <c r="D3605" s="31"/>
      <c r="E3605" s="31"/>
      <c r="F3605" s="31"/>
      <c r="G3605" s="200"/>
      <c r="I3605" s="31"/>
      <c r="J3605" s="78"/>
    </row>
    <row r="3606" spans="1:10">
      <c r="B3606" s="170" t="s">
        <v>1175</v>
      </c>
      <c r="J3606" s="78"/>
    </row>
    <row r="3607" spans="1:10">
      <c r="B3607" s="26" t="s">
        <v>1176</v>
      </c>
      <c r="H3607" s="171" t="s">
        <v>1698</v>
      </c>
      <c r="I3607" s="117">
        <f>I3585</f>
        <v>8331.5300000000007</v>
      </c>
      <c r="J3607" s="78"/>
    </row>
    <row r="3608" spans="1:10">
      <c r="B3608" s="26" t="s">
        <v>1186</v>
      </c>
      <c r="H3608" s="171" t="s">
        <v>1698</v>
      </c>
      <c r="I3608" s="117">
        <f>I3593</f>
        <v>725.6</v>
      </c>
      <c r="J3608" s="78"/>
    </row>
    <row r="3609" spans="1:10">
      <c r="B3609" s="26" t="s">
        <v>2660</v>
      </c>
      <c r="H3609" s="171" t="s">
        <v>1698</v>
      </c>
      <c r="I3609" s="85">
        <f>I3601</f>
        <v>2192.5</v>
      </c>
      <c r="J3609" s="78"/>
    </row>
    <row r="3610" spans="1:10">
      <c r="G3610" s="171" t="s">
        <v>1518</v>
      </c>
      <c r="H3610" s="171" t="s">
        <v>1698</v>
      </c>
      <c r="I3610" s="130">
        <f>SUM(I3606:I3609)</f>
        <v>11249.630000000001</v>
      </c>
      <c r="J3610" s="78"/>
    </row>
    <row r="3611" spans="1:10" ht="18.75">
      <c r="B3611" s="1207" t="s">
        <v>8375</v>
      </c>
      <c r="C3611" s="1207"/>
      <c r="D3611" s="1207"/>
      <c r="E3611" s="1207"/>
      <c r="F3611" s="1207"/>
      <c r="G3611" s="922">
        <f>'BASIC DATA'!$C$577</f>
        <v>0.13614999999999999</v>
      </c>
      <c r="H3611" s="171" t="s">
        <v>4108</v>
      </c>
      <c r="I3611" s="76">
        <f>ROUND(I3610*G3611,2)</f>
        <v>1531.64</v>
      </c>
      <c r="J3611" s="78"/>
    </row>
    <row r="3612" spans="1:10" ht="39" customHeight="1">
      <c r="B3612" s="1207" t="s">
        <v>9611</v>
      </c>
      <c r="C3612" s="1207"/>
      <c r="D3612" s="1207"/>
      <c r="E3612" s="1207"/>
      <c r="F3612" s="779">
        <f>SUM(G3579:G3581)/1000</f>
        <v>0.18259999999999998</v>
      </c>
      <c r="G3612" s="201" t="s">
        <v>9592</v>
      </c>
      <c r="H3612" s="68" t="str">
        <f>CONCATENATE((leadcharges!$F$65+leadcharges!$G$78+leadcharges!$G$79)," ","Rs./Tonne")</f>
        <v>168.6 Rs./Tonne</v>
      </c>
      <c r="I3612" s="76">
        <f>(leadcharges!$F$65+leadcharges!$G$78+leadcharges!$G$79)*F3612</f>
        <v>30.786359999999995</v>
      </c>
      <c r="J3612" s="78"/>
    </row>
    <row r="3613" spans="1:10">
      <c r="B3613" s="1206" t="s">
        <v>1191</v>
      </c>
      <c r="C3613" s="1206"/>
      <c r="D3613" s="1206"/>
      <c r="E3613" s="1206"/>
      <c r="F3613" s="202">
        <f>H3576</f>
        <v>7.5</v>
      </c>
      <c r="G3613" s="217" t="str">
        <f>I3576</f>
        <v>Rm</v>
      </c>
      <c r="H3613" s="171" t="s">
        <v>1698</v>
      </c>
      <c r="I3613" s="199">
        <f>SUM(I3610:I3612)</f>
        <v>12812.05636</v>
      </c>
      <c r="J3613" s="78"/>
    </row>
    <row r="3614" spans="1:10">
      <c r="B3614" s="1161" t="s">
        <v>3884</v>
      </c>
      <c r="C3614" s="1161"/>
      <c r="D3614" s="246" t="str">
        <f>G3613</f>
        <v>Rm</v>
      </c>
      <c r="F3614" s="26" t="s">
        <v>1325</v>
      </c>
      <c r="H3614" s="171" t="s">
        <v>1698</v>
      </c>
      <c r="I3614" s="204">
        <f>ROUND(I3613/F3613,1)</f>
        <v>1708.3</v>
      </c>
      <c r="J3614" s="78"/>
    </row>
    <row r="3615" spans="1:10">
      <c r="F3615" s="171"/>
      <c r="H3615" s="171"/>
      <c r="I3615" s="117"/>
      <c r="J3615" s="78"/>
    </row>
    <row r="3616" spans="1:10">
      <c r="A3616" s="822" t="s">
        <v>7402</v>
      </c>
      <c r="B3616" s="170" t="s">
        <v>281</v>
      </c>
      <c r="J3616" s="78"/>
    </row>
    <row r="3617" spans="1:10">
      <c r="J3617" s="78"/>
    </row>
    <row r="3618" spans="1:10" ht="18.75">
      <c r="A3618" s="822" t="s">
        <v>7350</v>
      </c>
      <c r="B3618" s="26" t="s">
        <v>8483</v>
      </c>
      <c r="J3618" s="78"/>
    </row>
    <row r="3619" spans="1:10" ht="18.75">
      <c r="B3619" s="26" t="s">
        <v>8484</v>
      </c>
      <c r="J3619" s="78"/>
    </row>
    <row r="3620" spans="1:10">
      <c r="B3620" s="26" t="s">
        <v>1947</v>
      </c>
      <c r="J3620" s="78"/>
    </row>
    <row r="3621" spans="1:10" ht="18.75">
      <c r="B3621" s="26" t="s">
        <v>8485</v>
      </c>
      <c r="J3621" s="78"/>
    </row>
    <row r="3622" spans="1:10">
      <c r="B3622" s="170" t="s">
        <v>5370</v>
      </c>
      <c r="J3622" s="78"/>
    </row>
    <row r="3623" spans="1:10">
      <c r="B3623" s="170" t="s">
        <v>4221</v>
      </c>
      <c r="J3623" s="78"/>
    </row>
    <row r="3624" spans="1:10" hidden="1">
      <c r="A3624" s="822" t="s">
        <v>3984</v>
      </c>
      <c r="B3624" s="26" t="s">
        <v>1948</v>
      </c>
      <c r="G3624" s="171" t="s">
        <v>1697</v>
      </c>
      <c r="J3624" s="78"/>
    </row>
    <row r="3625" spans="1:10" hidden="1">
      <c r="B3625" s="26" t="s">
        <v>5012</v>
      </c>
      <c r="G3625" s="171"/>
      <c r="H3625" s="26">
        <v>0.85</v>
      </c>
      <c r="I3625" s="26" t="s">
        <v>3477</v>
      </c>
      <c r="J3625" s="78"/>
    </row>
    <row r="3626" spans="1:10" hidden="1">
      <c r="B3626" s="26" t="s">
        <v>1358</v>
      </c>
      <c r="G3626" s="171" t="s">
        <v>1697</v>
      </c>
      <c r="H3626" s="26">
        <v>0.15</v>
      </c>
      <c r="I3626" s="26" t="s">
        <v>3477</v>
      </c>
      <c r="J3626" s="78"/>
    </row>
    <row r="3627" spans="1:10" hidden="1">
      <c r="B3627" s="26" t="s">
        <v>1949</v>
      </c>
      <c r="H3627" s="26">
        <v>0.4</v>
      </c>
      <c r="I3627" s="26" t="s">
        <v>3477</v>
      </c>
      <c r="J3627" s="78"/>
    </row>
    <row r="3628" spans="1:10" hidden="1">
      <c r="B3628" s="26" t="s">
        <v>1950</v>
      </c>
      <c r="H3628" s="26">
        <v>190</v>
      </c>
      <c r="I3628" s="26" t="s">
        <v>3478</v>
      </c>
      <c r="J3628" s="78"/>
    </row>
    <row r="3629" spans="1:10" hidden="1">
      <c r="B3629" s="26" t="s">
        <v>1311</v>
      </c>
      <c r="F3629" s="26" t="s">
        <v>1564</v>
      </c>
      <c r="G3629" s="171" t="s">
        <v>1697</v>
      </c>
      <c r="H3629" s="68">
        <v>10</v>
      </c>
      <c r="I3629" s="26" t="s">
        <v>1312</v>
      </c>
      <c r="J3629" s="78"/>
    </row>
    <row r="3630" spans="1:10" hidden="1">
      <c r="B3630" s="26" t="s">
        <v>1179</v>
      </c>
      <c r="G3630" s="171" t="s">
        <v>1697</v>
      </c>
      <c r="H3630" s="68">
        <v>25</v>
      </c>
      <c r="I3630" s="26" t="s">
        <v>5336</v>
      </c>
      <c r="J3630" s="78"/>
    </row>
    <row r="3631" spans="1:10" hidden="1">
      <c r="B3631" s="26" t="s">
        <v>3083</v>
      </c>
      <c r="J3631" s="78"/>
    </row>
    <row r="3632" spans="1:10" hidden="1">
      <c r="B3632" s="26" t="s">
        <v>321</v>
      </c>
      <c r="G3632" s="171" t="s">
        <v>1697</v>
      </c>
      <c r="H3632" s="68">
        <v>2.5</v>
      </c>
      <c r="I3632" s="26" t="s">
        <v>2059</v>
      </c>
      <c r="J3632" s="78"/>
    </row>
    <row r="3633" spans="1:10" hidden="1">
      <c r="B3633" s="26" t="s">
        <v>322</v>
      </c>
      <c r="G3633" s="171" t="s">
        <v>1697</v>
      </c>
      <c r="H3633" s="68">
        <v>4</v>
      </c>
      <c r="I3633" s="26" t="s">
        <v>2059</v>
      </c>
      <c r="J3633" s="78"/>
    </row>
    <row r="3634" spans="1:10" hidden="1">
      <c r="B3634" s="26" t="s">
        <v>323</v>
      </c>
      <c r="G3634" s="171" t="s">
        <v>1697</v>
      </c>
      <c r="H3634" s="68">
        <v>16</v>
      </c>
      <c r="I3634" s="26" t="s">
        <v>2059</v>
      </c>
      <c r="J3634" s="78"/>
    </row>
    <row r="3635" spans="1:10" hidden="1">
      <c r="B3635" s="26" t="s">
        <v>5326</v>
      </c>
      <c r="G3635" s="171" t="s">
        <v>1697</v>
      </c>
      <c r="H3635" s="68">
        <v>8</v>
      </c>
      <c r="I3635" s="26" t="s">
        <v>2059</v>
      </c>
      <c r="J3635" s="78"/>
    </row>
    <row r="3636" spans="1:10" hidden="1">
      <c r="B3636" s="26" t="s">
        <v>442</v>
      </c>
      <c r="G3636" s="171" t="s">
        <v>1697</v>
      </c>
      <c r="H3636" s="68">
        <v>4</v>
      </c>
      <c r="I3636" s="26" t="s">
        <v>2059</v>
      </c>
      <c r="J3636" s="78"/>
    </row>
    <row r="3637" spans="1:10" hidden="1">
      <c r="B3637" s="26" t="s">
        <v>324</v>
      </c>
      <c r="G3637" s="171" t="s">
        <v>1697</v>
      </c>
      <c r="H3637" s="68">
        <v>1</v>
      </c>
      <c r="I3637" s="26" t="s">
        <v>4089</v>
      </c>
      <c r="J3637" s="78"/>
    </row>
    <row r="3638" spans="1:10" hidden="1">
      <c r="B3638" s="26" t="s">
        <v>325</v>
      </c>
      <c r="G3638" s="171" t="s">
        <v>1697</v>
      </c>
      <c r="H3638" s="68">
        <v>10</v>
      </c>
      <c r="I3638" s="26" t="s">
        <v>4041</v>
      </c>
      <c r="J3638" s="78"/>
    </row>
    <row r="3639" spans="1:10" hidden="1">
      <c r="B3639" s="26" t="s">
        <v>5172</v>
      </c>
      <c r="G3639" s="171" t="s">
        <v>1697</v>
      </c>
      <c r="H3639" s="68">
        <v>12</v>
      </c>
      <c r="I3639" s="26" t="s">
        <v>4041</v>
      </c>
      <c r="J3639" s="78"/>
    </row>
    <row r="3640" spans="1:10" hidden="1">
      <c r="B3640" s="26" t="s">
        <v>2830</v>
      </c>
      <c r="H3640" s="68">
        <v>4</v>
      </c>
      <c r="I3640" s="26" t="s">
        <v>4041</v>
      </c>
      <c r="J3640" s="78"/>
    </row>
    <row r="3641" spans="1:10">
      <c r="H3641" s="68"/>
      <c r="J3641" s="78"/>
    </row>
    <row r="3642" spans="1:10">
      <c r="A3642" s="822" t="s">
        <v>3984</v>
      </c>
      <c r="E3642" s="170" t="s">
        <v>2367</v>
      </c>
      <c r="J3642" s="78"/>
    </row>
    <row r="3643" spans="1:10">
      <c r="H3643" s="171" t="s">
        <v>1188</v>
      </c>
      <c r="J3643" s="78"/>
    </row>
    <row r="3644" spans="1:10">
      <c r="B3644" s="170" t="s">
        <v>2368</v>
      </c>
      <c r="C3644" s="89"/>
      <c r="H3644" s="211">
        <f>H3630</f>
        <v>25</v>
      </c>
      <c r="I3644" s="171" t="s">
        <v>3477</v>
      </c>
      <c r="J3644" s="78"/>
    </row>
    <row r="3645" spans="1:10">
      <c r="B3645" s="95" t="s">
        <v>2369</v>
      </c>
      <c r="D3645" s="157" t="s">
        <v>4443</v>
      </c>
      <c r="E3645" s="97"/>
      <c r="F3645" s="95" t="s">
        <v>2370</v>
      </c>
      <c r="G3645" s="95" t="s">
        <v>1166</v>
      </c>
      <c r="H3645" s="97" t="s">
        <v>6664</v>
      </c>
      <c r="I3645" s="97" t="s">
        <v>6665</v>
      </c>
      <c r="J3645" s="78"/>
    </row>
    <row r="3646" spans="1:10">
      <c r="B3646" s="191"/>
      <c r="C3646" s="139"/>
      <c r="D3646" s="174"/>
      <c r="E3646" s="192"/>
      <c r="F3646" s="191"/>
      <c r="G3646" s="114"/>
      <c r="H3646" s="115" t="s">
        <v>3856</v>
      </c>
      <c r="I3646" s="115" t="s">
        <v>3857</v>
      </c>
      <c r="J3646" s="78"/>
    </row>
    <row r="3647" spans="1:10">
      <c r="B3647" s="95">
        <v>1</v>
      </c>
      <c r="C3647" s="131" t="s">
        <v>3808</v>
      </c>
      <c r="D3647" s="187"/>
      <c r="E3647" s="195"/>
      <c r="F3647" s="107" t="s">
        <v>3478</v>
      </c>
      <c r="G3647" s="26">
        <f>25*190</f>
        <v>4750</v>
      </c>
      <c r="H3647" s="218">
        <f>'BASIC DATA'!$D$32/1000</f>
        <v>5.35</v>
      </c>
      <c r="I3647" s="155">
        <f>H3647*G3647</f>
        <v>25412.5</v>
      </c>
      <c r="J3647" s="78"/>
    </row>
    <row r="3648" spans="1:10">
      <c r="B3648" s="105">
        <v>2</v>
      </c>
      <c r="C3648" s="135" t="s">
        <v>5012</v>
      </c>
      <c r="D3648" s="31"/>
      <c r="E3648" s="189"/>
      <c r="F3648" s="210" t="s">
        <v>3477</v>
      </c>
      <c r="G3648" s="26">
        <f>0.85*25</f>
        <v>21.25</v>
      </c>
      <c r="H3648" s="220">
        <f>'BASIC DATA'!$D$108</f>
        <v>318</v>
      </c>
      <c r="I3648" s="155">
        <f>H3648*G3648</f>
        <v>6757.5</v>
      </c>
      <c r="J3648" s="78"/>
    </row>
    <row r="3649" spans="1:10">
      <c r="B3649" s="105">
        <v>3</v>
      </c>
      <c r="C3649" s="135" t="s">
        <v>1358</v>
      </c>
      <c r="D3649" s="31"/>
      <c r="E3649" s="189"/>
      <c r="F3649" s="210" t="s">
        <v>3477</v>
      </c>
      <c r="G3649" s="26">
        <f>0.15*25</f>
        <v>3.75</v>
      </c>
      <c r="H3649" s="220">
        <f>'BASIC DATA'!$D$96</f>
        <v>350</v>
      </c>
      <c r="I3649" s="155">
        <f>H3649*G3649</f>
        <v>1312.5</v>
      </c>
      <c r="J3649" s="78"/>
    </row>
    <row r="3650" spans="1:10">
      <c r="A3650" s="853"/>
      <c r="B3650" s="240">
        <v>4</v>
      </c>
      <c r="C3650" s="307" t="s">
        <v>7937</v>
      </c>
      <c r="D3650" s="241"/>
      <c r="E3650" s="242"/>
      <c r="F3650" s="277" t="s">
        <v>3477</v>
      </c>
      <c r="G3650" s="61">
        <f>0.4*25</f>
        <v>10</v>
      </c>
      <c r="H3650" s="258">
        <f>'BASIC DATA'!$D$57</f>
        <v>165</v>
      </c>
      <c r="I3650" s="244">
        <f>H3650*G3650</f>
        <v>1650</v>
      </c>
      <c r="J3650" s="62"/>
    </row>
    <row r="3651" spans="1:10">
      <c r="B3651" s="154"/>
      <c r="C3651" s="151"/>
      <c r="D3651" s="159"/>
      <c r="E3651" s="159"/>
      <c r="F3651" s="159" t="s">
        <v>2376</v>
      </c>
      <c r="G3651" s="159"/>
      <c r="H3651" s="208" t="s">
        <v>1698</v>
      </c>
      <c r="I3651" s="209">
        <f>SUM(I3647:I3650)</f>
        <v>35132.5</v>
      </c>
      <c r="J3651" s="78"/>
    </row>
    <row r="3652" spans="1:10">
      <c r="B3652" s="31"/>
      <c r="C3652" s="76"/>
      <c r="D3652" s="31"/>
      <c r="E3652" s="31"/>
      <c r="F3652" s="31"/>
      <c r="G3652" s="31"/>
      <c r="H3652" s="200"/>
      <c r="I3652" s="75"/>
      <c r="J3652" s="78"/>
    </row>
    <row r="3653" spans="1:10">
      <c r="B3653" s="170" t="s">
        <v>2377</v>
      </c>
      <c r="C3653" s="89"/>
      <c r="J3653" s="78"/>
    </row>
    <row r="3654" spans="1:10">
      <c r="B3654" s="95" t="s">
        <v>2369</v>
      </c>
      <c r="D3654" s="157" t="s">
        <v>2378</v>
      </c>
      <c r="E3654" s="97"/>
      <c r="F3654" s="95" t="s">
        <v>2370</v>
      </c>
      <c r="G3654" s="95" t="s">
        <v>1166</v>
      </c>
      <c r="H3654" s="97" t="s">
        <v>6664</v>
      </c>
      <c r="I3654" s="97" t="s">
        <v>6665</v>
      </c>
      <c r="J3654" s="78"/>
    </row>
    <row r="3655" spans="1:10">
      <c r="B3655" s="191"/>
      <c r="C3655" s="139"/>
      <c r="D3655" s="174"/>
      <c r="E3655" s="192"/>
      <c r="F3655" s="191"/>
      <c r="G3655" s="114"/>
      <c r="H3655" s="115" t="s">
        <v>3856</v>
      </c>
      <c r="I3655" s="115" t="s">
        <v>3857</v>
      </c>
      <c r="J3655" s="78"/>
    </row>
    <row r="3656" spans="1:10">
      <c r="B3656" s="95">
        <v>1</v>
      </c>
      <c r="C3656" s="131" t="s">
        <v>6641</v>
      </c>
      <c r="D3656" s="187"/>
      <c r="E3656" s="195"/>
      <c r="F3656" s="107" t="s">
        <v>2374</v>
      </c>
      <c r="G3656" s="179">
        <v>8</v>
      </c>
      <c r="H3656" s="178">
        <f>'HIRE CHARGES'!$D$508</f>
        <v>51.7</v>
      </c>
      <c r="I3656" s="155">
        <f>H3656*G3656</f>
        <v>413.6</v>
      </c>
      <c r="J3656" s="78"/>
    </row>
    <row r="3657" spans="1:10">
      <c r="B3657" s="105"/>
      <c r="C3657" s="135" t="s">
        <v>2379</v>
      </c>
      <c r="D3657" s="31"/>
      <c r="E3657" s="189"/>
      <c r="F3657" s="210" t="s">
        <v>2374</v>
      </c>
      <c r="G3657" s="190">
        <v>8</v>
      </c>
      <c r="H3657" s="207">
        <f>'HIRE CHARGES'!$E$508</f>
        <v>28</v>
      </c>
      <c r="I3657" s="155">
        <f>H3657*G3657</f>
        <v>224</v>
      </c>
      <c r="J3657" s="78"/>
    </row>
    <row r="3658" spans="1:10">
      <c r="B3658" s="105">
        <v>2</v>
      </c>
      <c r="C3658" s="135" t="s">
        <v>383</v>
      </c>
      <c r="D3658" s="31"/>
      <c r="E3658" s="189"/>
      <c r="F3658" s="210" t="s">
        <v>2374</v>
      </c>
      <c r="G3658" s="190">
        <v>1</v>
      </c>
      <c r="H3658" s="190">
        <f>'HIRE CHARGES'!$D$520</f>
        <v>6.7</v>
      </c>
      <c r="I3658" s="155">
        <f>H3658*G3658</f>
        <v>6.7</v>
      </c>
      <c r="J3658" s="78"/>
    </row>
    <row r="3659" spans="1:10">
      <c r="B3659" s="191"/>
      <c r="C3659" s="139" t="s">
        <v>2379</v>
      </c>
      <c r="D3659" s="174"/>
      <c r="E3659" s="192"/>
      <c r="F3659" s="191" t="s">
        <v>2374</v>
      </c>
      <c r="G3659" s="182">
        <v>1</v>
      </c>
      <c r="H3659" s="207">
        <f>'HIRE CHARGES'!$E$520</f>
        <v>56</v>
      </c>
      <c r="I3659" s="155">
        <f>H3659*G3659</f>
        <v>56</v>
      </c>
      <c r="J3659" s="78"/>
    </row>
    <row r="3660" spans="1:10">
      <c r="B3660" s="184"/>
      <c r="C3660" s="151"/>
      <c r="D3660" s="159" t="s">
        <v>2380</v>
      </c>
      <c r="E3660" s="159"/>
      <c r="F3660" s="159"/>
      <c r="G3660" s="159"/>
      <c r="H3660" s="208" t="s">
        <v>1698</v>
      </c>
      <c r="I3660" s="209">
        <f>SUM(I3656:I3659)</f>
        <v>700.30000000000007</v>
      </c>
      <c r="J3660" s="78"/>
    </row>
    <row r="3661" spans="1:10">
      <c r="B3661" s="31"/>
      <c r="C3661" s="76"/>
      <c r="D3661" s="31"/>
      <c r="E3661" s="31"/>
      <c r="F3661" s="31"/>
      <c r="G3661" s="31"/>
      <c r="H3661" s="200"/>
      <c r="I3661" s="75"/>
      <c r="J3661" s="78"/>
    </row>
    <row r="3662" spans="1:10">
      <c r="B3662" s="170" t="s">
        <v>2381</v>
      </c>
      <c r="C3662" s="89"/>
      <c r="J3662" s="78"/>
    </row>
    <row r="3663" spans="1:10">
      <c r="B3663" s="95" t="s">
        <v>2369</v>
      </c>
      <c r="D3663" s="157" t="s">
        <v>2378</v>
      </c>
      <c r="E3663" s="97"/>
      <c r="F3663" s="95" t="s">
        <v>2370</v>
      </c>
      <c r="G3663" s="95" t="s">
        <v>1166</v>
      </c>
      <c r="H3663" s="97" t="s">
        <v>6664</v>
      </c>
      <c r="I3663" s="97" t="s">
        <v>6665</v>
      </c>
      <c r="J3663" s="78"/>
    </row>
    <row r="3664" spans="1:10">
      <c r="B3664" s="191"/>
      <c r="C3664" s="139"/>
      <c r="D3664" s="174"/>
      <c r="E3664" s="192"/>
      <c r="F3664" s="191"/>
      <c r="G3664" s="114"/>
      <c r="H3664" s="115" t="s">
        <v>3856</v>
      </c>
      <c r="I3664" s="115" t="s">
        <v>3857</v>
      </c>
      <c r="J3664" s="78"/>
    </row>
    <row r="3665" spans="2:10">
      <c r="B3665" s="95">
        <v>1</v>
      </c>
      <c r="C3665" s="131" t="s">
        <v>527</v>
      </c>
      <c r="D3665" s="187"/>
      <c r="E3665" s="195"/>
      <c r="F3665" s="107" t="s">
        <v>2374</v>
      </c>
      <c r="G3665" s="179">
        <v>8</v>
      </c>
      <c r="H3665" s="179">
        <f>'HIRE CHARGES'!$F$508</f>
        <v>219.7</v>
      </c>
      <c r="I3665" s="155">
        <f t="shared" ref="I3665:I3670" si="62">H3665*G3665</f>
        <v>1757.6</v>
      </c>
      <c r="J3665" s="78"/>
    </row>
    <row r="3666" spans="2:10">
      <c r="B3666" s="105">
        <v>2</v>
      </c>
      <c r="C3666" s="135" t="s">
        <v>999</v>
      </c>
      <c r="D3666" s="31"/>
      <c r="E3666" s="189"/>
      <c r="F3666" s="210" t="s">
        <v>2374</v>
      </c>
      <c r="G3666" s="190">
        <v>1</v>
      </c>
      <c r="H3666" s="207">
        <f>'HIRE CHARGES'!$F$520</f>
        <v>83.3</v>
      </c>
      <c r="I3666" s="155">
        <f t="shared" si="62"/>
        <v>83.3</v>
      </c>
      <c r="J3666" s="78"/>
    </row>
    <row r="3667" spans="2:10">
      <c r="B3667" s="105">
        <v>3</v>
      </c>
      <c r="C3667" s="135" t="s">
        <v>4206</v>
      </c>
      <c r="D3667" s="31"/>
      <c r="E3667" s="189"/>
      <c r="F3667" s="210" t="s">
        <v>1172</v>
      </c>
      <c r="G3667" s="190">
        <v>1</v>
      </c>
      <c r="H3667" s="190">
        <f>'BASIC DATA'!$C$473</f>
        <v>450</v>
      </c>
      <c r="I3667" s="155">
        <f t="shared" si="62"/>
        <v>450</v>
      </c>
      <c r="J3667" s="78"/>
    </row>
    <row r="3668" spans="2:10">
      <c r="B3668" s="105">
        <v>4</v>
      </c>
      <c r="C3668" s="135" t="s">
        <v>440</v>
      </c>
      <c r="D3668" s="31"/>
      <c r="E3668" s="189"/>
      <c r="F3668" s="210" t="s">
        <v>1172</v>
      </c>
      <c r="G3668" s="190">
        <v>2.5</v>
      </c>
      <c r="H3668" s="207">
        <f>'BASIC DATA'!$C$474</f>
        <v>445</v>
      </c>
      <c r="I3668" s="155">
        <f t="shared" si="62"/>
        <v>1112.5</v>
      </c>
      <c r="J3668" s="78"/>
    </row>
    <row r="3669" spans="2:10">
      <c r="B3669" s="105">
        <v>5</v>
      </c>
      <c r="C3669" s="135" t="s">
        <v>1356</v>
      </c>
      <c r="D3669" s="31"/>
      <c r="E3669" s="189"/>
      <c r="F3669" s="210" t="s">
        <v>1172</v>
      </c>
      <c r="G3669" s="190">
        <v>4</v>
      </c>
      <c r="H3669" s="207">
        <f>'BASIC DATA'!$C$541</f>
        <v>400</v>
      </c>
      <c r="I3669" s="155">
        <f t="shared" si="62"/>
        <v>1600</v>
      </c>
      <c r="J3669" s="78"/>
    </row>
    <row r="3670" spans="2:10">
      <c r="B3670" s="105">
        <v>6</v>
      </c>
      <c r="C3670" s="135" t="s">
        <v>4393</v>
      </c>
      <c r="D3670" s="31"/>
      <c r="E3670" s="189"/>
      <c r="F3670" s="210" t="s">
        <v>1172</v>
      </c>
      <c r="G3670" s="190">
        <v>16</v>
      </c>
      <c r="H3670" s="207">
        <f>'BASIC DATA'!$C$513</f>
        <v>400</v>
      </c>
      <c r="I3670" s="155">
        <f t="shared" si="62"/>
        <v>6400</v>
      </c>
      <c r="J3670" s="78"/>
    </row>
    <row r="3671" spans="2:10">
      <c r="B3671" s="105">
        <v>7</v>
      </c>
      <c r="C3671" s="135" t="s">
        <v>2697</v>
      </c>
      <c r="D3671" s="31"/>
      <c r="E3671" s="189"/>
      <c r="F3671" s="210"/>
      <c r="G3671" s="210"/>
      <c r="H3671" s="189"/>
      <c r="I3671" s="138"/>
      <c r="J3671" s="78"/>
    </row>
    <row r="3672" spans="2:10">
      <c r="B3672" s="105"/>
      <c r="C3672" s="135" t="s">
        <v>4413</v>
      </c>
      <c r="D3672" s="31"/>
      <c r="E3672" s="189"/>
      <c r="F3672" s="210" t="s">
        <v>1172</v>
      </c>
      <c r="G3672" s="190">
        <v>2</v>
      </c>
      <c r="H3672" s="181">
        <f>'BASIC DATA'!$C$552</f>
        <v>350</v>
      </c>
      <c r="I3672" s="155">
        <f t="shared" ref="I3672:I3678" si="63">H3672*G3672</f>
        <v>700</v>
      </c>
      <c r="J3672" s="78"/>
    </row>
    <row r="3673" spans="2:10">
      <c r="B3673" s="105"/>
      <c r="C3673" s="135" t="s">
        <v>2831</v>
      </c>
      <c r="D3673" s="31"/>
      <c r="E3673" s="189"/>
      <c r="F3673" s="210" t="s">
        <v>1172</v>
      </c>
      <c r="G3673" s="190">
        <v>6</v>
      </c>
      <c r="H3673" s="181">
        <f>'BASIC DATA'!$C$552</f>
        <v>350</v>
      </c>
      <c r="I3673" s="155">
        <f t="shared" si="63"/>
        <v>2100</v>
      </c>
      <c r="J3673" s="78"/>
    </row>
    <row r="3674" spans="2:10">
      <c r="B3674" s="105"/>
      <c r="C3674" s="135" t="s">
        <v>442</v>
      </c>
      <c r="D3674" s="31"/>
      <c r="E3674" s="189"/>
      <c r="F3674" s="210" t="s">
        <v>1172</v>
      </c>
      <c r="G3674" s="190">
        <v>4</v>
      </c>
      <c r="H3674" s="181">
        <f>'BASIC DATA'!$C$552</f>
        <v>350</v>
      </c>
      <c r="I3674" s="155">
        <f t="shared" si="63"/>
        <v>1400</v>
      </c>
      <c r="J3674" s="78"/>
    </row>
    <row r="3675" spans="2:10">
      <c r="B3675" s="105"/>
      <c r="C3675" s="135" t="s">
        <v>1109</v>
      </c>
      <c r="D3675" s="31"/>
      <c r="E3675" s="189"/>
      <c r="F3675" s="210" t="s">
        <v>1172</v>
      </c>
      <c r="G3675" s="190">
        <v>10</v>
      </c>
      <c r="H3675" s="181">
        <f>'BASIC DATA'!$C$552</f>
        <v>350</v>
      </c>
      <c r="I3675" s="155">
        <f t="shared" si="63"/>
        <v>3500</v>
      </c>
      <c r="J3675" s="78"/>
    </row>
    <row r="3676" spans="2:10">
      <c r="B3676" s="105"/>
      <c r="C3676" s="135" t="s">
        <v>2789</v>
      </c>
      <c r="D3676" s="31"/>
      <c r="E3676" s="189"/>
      <c r="F3676" s="210" t="s">
        <v>1172</v>
      </c>
      <c r="G3676" s="190">
        <v>1</v>
      </c>
      <c r="H3676" s="181">
        <f>'BASIC DATA'!$C$552</f>
        <v>350</v>
      </c>
      <c r="I3676" s="155">
        <f t="shared" si="63"/>
        <v>350</v>
      </c>
      <c r="J3676" s="78"/>
    </row>
    <row r="3677" spans="2:10">
      <c r="B3677" s="210"/>
      <c r="C3677" s="135" t="s">
        <v>1110</v>
      </c>
      <c r="D3677" s="31"/>
      <c r="E3677" s="189"/>
      <c r="F3677" s="210" t="s">
        <v>1172</v>
      </c>
      <c r="G3677" s="190">
        <v>4</v>
      </c>
      <c r="H3677" s="181">
        <f>'BASIC DATA'!$C$552</f>
        <v>350</v>
      </c>
      <c r="I3677" s="155">
        <f t="shared" si="63"/>
        <v>1400</v>
      </c>
      <c r="J3677" s="78"/>
    </row>
    <row r="3678" spans="2:10">
      <c r="B3678" s="191"/>
      <c r="C3678" s="139" t="s">
        <v>6254</v>
      </c>
      <c r="D3678" s="174"/>
      <c r="E3678" s="192"/>
      <c r="F3678" s="191" t="s">
        <v>1172</v>
      </c>
      <c r="G3678" s="182">
        <v>12</v>
      </c>
      <c r="H3678" s="181">
        <f>'BASIC DATA'!$C$552</f>
        <v>350</v>
      </c>
      <c r="I3678" s="155">
        <f t="shared" si="63"/>
        <v>4200</v>
      </c>
      <c r="J3678" s="78"/>
    </row>
    <row r="3679" spans="2:10">
      <c r="B3679" s="184"/>
      <c r="C3679" s="151"/>
      <c r="D3679" s="159"/>
      <c r="E3679" s="159" t="s">
        <v>1174</v>
      </c>
      <c r="F3679" s="159"/>
      <c r="G3679" s="159"/>
      <c r="H3679" s="208" t="s">
        <v>1698</v>
      </c>
      <c r="I3679" s="209">
        <f>SUM(I3665:I3678)</f>
        <v>25053.4</v>
      </c>
      <c r="J3679" s="78"/>
    </row>
    <row r="3680" spans="2:10">
      <c r="B3680" s="60" t="s">
        <v>5948</v>
      </c>
      <c r="C3680" s="76"/>
      <c r="D3680" s="31"/>
      <c r="E3680" s="31"/>
      <c r="F3680" s="31"/>
      <c r="G3680" s="85">
        <f>ROUND(I3679/H3644,1)</f>
        <v>1002.1</v>
      </c>
      <c r="J3680" s="78"/>
    </row>
    <row r="3681" spans="2:10">
      <c r="B3681" s="60" t="s">
        <v>3163</v>
      </c>
      <c r="C3681" s="76"/>
      <c r="D3681" s="31"/>
      <c r="E3681" s="31"/>
      <c r="F3681" s="922">
        <f>'BASIC DATA'!$C$577</f>
        <v>0.13614999999999999</v>
      </c>
      <c r="G3681" s="85">
        <f>ROUND(G3680*F3681,1)</f>
        <v>136.4</v>
      </c>
      <c r="J3681" s="78"/>
    </row>
    <row r="3682" spans="2:10">
      <c r="B3682" s="60" t="s">
        <v>5949</v>
      </c>
      <c r="C3682" s="76"/>
      <c r="D3682" s="31"/>
      <c r="E3682" s="31"/>
      <c r="F3682" s="31"/>
      <c r="G3682" s="199">
        <f>ROUND(G3681+G3680,1)</f>
        <v>1138.5</v>
      </c>
      <c r="J3682" s="78"/>
    </row>
    <row r="3683" spans="2:10">
      <c r="B3683" s="31"/>
      <c r="C3683" s="76"/>
      <c r="D3683" s="31"/>
      <c r="E3683" s="31"/>
      <c r="F3683" s="31"/>
      <c r="G3683" s="200"/>
      <c r="I3683" s="31"/>
      <c r="J3683" s="78"/>
    </row>
    <row r="3684" spans="2:10">
      <c r="B3684" s="170" t="s">
        <v>1175</v>
      </c>
      <c r="J3684" s="78"/>
    </row>
    <row r="3685" spans="2:10">
      <c r="B3685" s="26" t="s">
        <v>4</v>
      </c>
      <c r="H3685" s="171" t="s">
        <v>1698</v>
      </c>
      <c r="I3685" s="117">
        <f>I3651</f>
        <v>35132.5</v>
      </c>
      <c r="J3685" s="78"/>
    </row>
    <row r="3686" spans="2:10">
      <c r="B3686" s="26" t="s">
        <v>1186</v>
      </c>
      <c r="H3686" s="171" t="s">
        <v>1698</v>
      </c>
      <c r="I3686" s="117">
        <f>I3660</f>
        <v>700.30000000000007</v>
      </c>
      <c r="J3686" s="78"/>
    </row>
    <row r="3687" spans="2:10">
      <c r="B3687" s="26" t="s">
        <v>2660</v>
      </c>
      <c r="H3687" s="171" t="s">
        <v>1698</v>
      </c>
      <c r="I3687" s="85">
        <f>I3679</f>
        <v>25053.4</v>
      </c>
      <c r="J3687" s="78"/>
    </row>
    <row r="3688" spans="2:10">
      <c r="G3688" s="26" t="s">
        <v>1518</v>
      </c>
      <c r="H3688" s="171" t="s">
        <v>1698</v>
      </c>
      <c r="I3688" s="130">
        <f>SUM(I3684:I3687)</f>
        <v>60886.200000000004</v>
      </c>
      <c r="J3688" s="78"/>
    </row>
    <row r="3689" spans="2:10" ht="18.75">
      <c r="B3689" s="1207" t="s">
        <v>8375</v>
      </c>
      <c r="C3689" s="1207"/>
      <c r="D3689" s="1207"/>
      <c r="E3689" s="1207"/>
      <c r="F3689" s="1207"/>
      <c r="G3689" s="922">
        <f>'BASIC DATA'!$C$577</f>
        <v>0.13614999999999999</v>
      </c>
      <c r="H3689" s="171" t="s">
        <v>4108</v>
      </c>
      <c r="I3689" s="76">
        <f>ROUND(I3688*G3689,2)</f>
        <v>8289.66</v>
      </c>
      <c r="J3689" s="78"/>
    </row>
    <row r="3690" spans="2:10">
      <c r="B3690" s="27" t="s">
        <v>9590</v>
      </c>
      <c r="C3690" s="43"/>
      <c r="D3690" s="43"/>
      <c r="E3690" s="43"/>
      <c r="F3690" s="779">
        <f>G3650</f>
        <v>10</v>
      </c>
      <c r="G3690" s="201" t="s">
        <v>9591</v>
      </c>
      <c r="H3690" s="68" t="str">
        <f>CONCATENATE((leadcharges!$D$65)," ","Rs./Cum")</f>
        <v>31.5 Rs./Cum</v>
      </c>
      <c r="I3690" s="76">
        <f>leadcharges!$D$65*F3690</f>
        <v>315</v>
      </c>
      <c r="J3690" s="78"/>
    </row>
    <row r="3691" spans="2:10">
      <c r="B3691" s="27" t="s">
        <v>9595</v>
      </c>
      <c r="C3691" s="43"/>
      <c r="D3691" s="43"/>
      <c r="E3691" s="43"/>
      <c r="F3691" s="779">
        <f>SUM(G3648:G3649)</f>
        <v>25</v>
      </c>
      <c r="G3691" s="201" t="s">
        <v>9591</v>
      </c>
      <c r="H3691" s="68" t="str">
        <f>CONCATENATE((leadcharges!$E$65)," ","Rs./Cum")</f>
        <v>30.4 Rs./Cum</v>
      </c>
      <c r="I3691" s="85">
        <f>leadcharges!$E$65*F3691</f>
        <v>760</v>
      </c>
      <c r="J3691" s="78"/>
    </row>
    <row r="3692" spans="2:10" ht="34.5" hidden="1" customHeight="1">
      <c r="B3692" s="1207"/>
      <c r="C3692" s="1207"/>
      <c r="D3692" s="1207"/>
      <c r="E3692" s="1207"/>
      <c r="F3692" s="779"/>
      <c r="G3692" s="201"/>
      <c r="H3692" s="68"/>
      <c r="I3692" s="76"/>
      <c r="J3692" s="78"/>
    </row>
    <row r="3693" spans="2:10">
      <c r="B3693" s="1206" t="s">
        <v>1191</v>
      </c>
      <c r="C3693" s="1206"/>
      <c r="D3693" s="1206"/>
      <c r="E3693" s="1206"/>
      <c r="F3693" s="202">
        <f>H3644</f>
        <v>25</v>
      </c>
      <c r="G3693" s="217" t="str">
        <f>I3644</f>
        <v>cum</v>
      </c>
      <c r="H3693" s="171" t="s">
        <v>1698</v>
      </c>
      <c r="I3693" s="199">
        <f>SUM(I3688:I3692)</f>
        <v>70250.86</v>
      </c>
      <c r="J3693" s="78"/>
    </row>
    <row r="3694" spans="2:10">
      <c r="B3694" s="1161" t="s">
        <v>3884</v>
      </c>
      <c r="C3694" s="1161"/>
      <c r="D3694" s="246" t="str">
        <f>G3693</f>
        <v>cum</v>
      </c>
      <c r="F3694" s="26" t="s">
        <v>1646</v>
      </c>
      <c r="H3694" s="171" t="s">
        <v>1698</v>
      </c>
      <c r="I3694" s="204">
        <f>ROUND(I3693/F3693,1)</f>
        <v>2810</v>
      </c>
      <c r="J3694" s="78"/>
    </row>
    <row r="3695" spans="2:10">
      <c r="J3695" s="78"/>
    </row>
    <row r="3696" spans="2:10">
      <c r="J3696" s="78"/>
    </row>
    <row r="3697" spans="1:10" ht="18.75">
      <c r="A3697" s="822" t="s">
        <v>7351</v>
      </c>
      <c r="B3697" s="26" t="s">
        <v>8486</v>
      </c>
      <c r="J3697" s="78"/>
    </row>
    <row r="3698" spans="1:10">
      <c r="B3698" s="26" t="s">
        <v>8487</v>
      </c>
      <c r="J3698" s="78"/>
    </row>
    <row r="3699" spans="1:10" ht="18.75">
      <c r="B3699" s="26" t="s">
        <v>8488</v>
      </c>
      <c r="J3699" s="78"/>
    </row>
    <row r="3700" spans="1:10">
      <c r="B3700" s="170" t="s">
        <v>5203</v>
      </c>
      <c r="J3700" s="78"/>
    </row>
    <row r="3701" spans="1:10">
      <c r="B3701" s="170" t="s">
        <v>4222</v>
      </c>
      <c r="J3701" s="78"/>
    </row>
    <row r="3702" spans="1:10">
      <c r="B3702" s="170" t="s">
        <v>4221</v>
      </c>
      <c r="J3702" s="78"/>
    </row>
    <row r="3703" spans="1:10">
      <c r="B3703" s="26" t="s">
        <v>1951</v>
      </c>
      <c r="J3703" s="78"/>
    </row>
    <row r="3704" spans="1:10" ht="18" hidden="1" customHeight="1">
      <c r="A3704" s="822" t="s">
        <v>3984</v>
      </c>
      <c r="B3704" s="26" t="s">
        <v>2628</v>
      </c>
      <c r="H3704" s="26">
        <v>0.85</v>
      </c>
      <c r="I3704" s="26" t="s">
        <v>3477</v>
      </c>
      <c r="J3704" s="78"/>
    </row>
    <row r="3705" spans="1:10" ht="18" hidden="1" customHeight="1">
      <c r="B3705" s="26" t="s">
        <v>2790</v>
      </c>
      <c r="G3705" s="171" t="s">
        <v>1697</v>
      </c>
      <c r="H3705" s="68">
        <v>0.15</v>
      </c>
      <c r="I3705" s="26" t="s">
        <v>5336</v>
      </c>
      <c r="J3705" s="78"/>
    </row>
    <row r="3706" spans="1:10" ht="18" hidden="1" customHeight="1">
      <c r="B3706" s="26" t="s">
        <v>2791</v>
      </c>
      <c r="G3706" s="171" t="s">
        <v>1697</v>
      </c>
      <c r="H3706" s="68">
        <v>0.4</v>
      </c>
      <c r="I3706" s="26" t="s">
        <v>3477</v>
      </c>
      <c r="J3706" s="78"/>
    </row>
    <row r="3707" spans="1:10" ht="18" hidden="1" customHeight="1">
      <c r="B3707" s="26" t="s">
        <v>6669</v>
      </c>
      <c r="G3707" s="171" t="s">
        <v>1697</v>
      </c>
      <c r="H3707" s="68">
        <v>143</v>
      </c>
      <c r="I3707" s="26" t="s">
        <v>3478</v>
      </c>
      <c r="J3707" s="78"/>
    </row>
    <row r="3708" spans="1:10" ht="18" hidden="1" customHeight="1">
      <c r="B3708" s="26" t="s">
        <v>2792</v>
      </c>
      <c r="E3708" s="26" t="s">
        <v>2793</v>
      </c>
      <c r="G3708" s="171" t="s">
        <v>1697</v>
      </c>
      <c r="H3708" s="68">
        <v>10</v>
      </c>
      <c r="I3708" s="26" t="s">
        <v>1312</v>
      </c>
      <c r="J3708" s="78"/>
    </row>
    <row r="3709" spans="1:10" ht="18" hidden="1" customHeight="1">
      <c r="B3709" s="26" t="s">
        <v>1179</v>
      </c>
      <c r="H3709" s="68">
        <v>25</v>
      </c>
      <c r="I3709" s="26" t="s">
        <v>3477</v>
      </c>
      <c r="J3709" s="78"/>
    </row>
    <row r="3710" spans="1:10" ht="18" hidden="1" customHeight="1">
      <c r="B3710" s="26" t="s">
        <v>3083</v>
      </c>
      <c r="E3710" s="26" t="s">
        <v>588</v>
      </c>
      <c r="J3710" s="78"/>
    </row>
    <row r="3711" spans="1:10">
      <c r="J3711" s="78"/>
    </row>
    <row r="3712" spans="1:10">
      <c r="A3712" s="822" t="s">
        <v>3984</v>
      </c>
      <c r="E3712" s="170" t="s">
        <v>2367</v>
      </c>
      <c r="J3712" s="78"/>
    </row>
    <row r="3713" spans="1:10">
      <c r="H3713" s="171" t="s">
        <v>1188</v>
      </c>
      <c r="J3713" s="78"/>
    </row>
    <row r="3714" spans="1:10">
      <c r="B3714" s="170" t="s">
        <v>2368</v>
      </c>
      <c r="C3714" s="89"/>
      <c r="H3714" s="211">
        <v>25</v>
      </c>
      <c r="I3714" s="26" t="s">
        <v>6901</v>
      </c>
      <c r="J3714" s="78"/>
    </row>
    <row r="3715" spans="1:10">
      <c r="B3715" s="95" t="s">
        <v>2369</v>
      </c>
      <c r="D3715" s="157" t="s">
        <v>4443</v>
      </c>
      <c r="E3715" s="97"/>
      <c r="F3715" s="95" t="s">
        <v>2370</v>
      </c>
      <c r="G3715" s="95" t="s">
        <v>1166</v>
      </c>
      <c r="H3715" s="97" t="s">
        <v>6664</v>
      </c>
      <c r="I3715" s="97" t="s">
        <v>6665</v>
      </c>
      <c r="J3715" s="78"/>
    </row>
    <row r="3716" spans="1:10">
      <c r="B3716" s="191"/>
      <c r="C3716" s="139"/>
      <c r="D3716" s="174"/>
      <c r="E3716" s="192"/>
      <c r="F3716" s="191"/>
      <c r="G3716" s="114"/>
      <c r="H3716" s="115" t="s">
        <v>3856</v>
      </c>
      <c r="I3716" s="115" t="s">
        <v>3857</v>
      </c>
      <c r="J3716" s="78"/>
    </row>
    <row r="3717" spans="1:10">
      <c r="B3717" s="95">
        <v>1</v>
      </c>
      <c r="C3717" s="131" t="s">
        <v>997</v>
      </c>
      <c r="D3717" s="187"/>
      <c r="E3717" s="195"/>
      <c r="F3717" s="107" t="s">
        <v>3478</v>
      </c>
      <c r="G3717" s="26">
        <f>25*143</f>
        <v>3575</v>
      </c>
      <c r="H3717" s="218">
        <f>'BASIC DATA'!$D$32/1000</f>
        <v>5.35</v>
      </c>
      <c r="I3717" s="155">
        <f>H3717*G3717</f>
        <v>19126.25</v>
      </c>
      <c r="J3717" s="78"/>
    </row>
    <row r="3718" spans="1:10">
      <c r="B3718" s="105">
        <v>2</v>
      </c>
      <c r="C3718" s="135" t="s">
        <v>5012</v>
      </c>
      <c r="D3718" s="31"/>
      <c r="E3718" s="189"/>
      <c r="F3718" s="210" t="s">
        <v>3477</v>
      </c>
      <c r="G3718" s="26">
        <f>0.85*25</f>
        <v>21.25</v>
      </c>
      <c r="H3718" s="220">
        <f>'BASIC DATA'!$D$108</f>
        <v>318</v>
      </c>
      <c r="I3718" s="155">
        <f>H3718*G3718</f>
        <v>6757.5</v>
      </c>
      <c r="J3718" s="78"/>
    </row>
    <row r="3719" spans="1:10">
      <c r="B3719" s="105">
        <v>3</v>
      </c>
      <c r="C3719" s="135" t="s">
        <v>1358</v>
      </c>
      <c r="D3719" s="31"/>
      <c r="E3719" s="189"/>
      <c r="F3719" s="210" t="s">
        <v>3477</v>
      </c>
      <c r="G3719" s="26">
        <f>0.15*25</f>
        <v>3.75</v>
      </c>
      <c r="H3719" s="220">
        <f>'BASIC DATA'!$D$96</f>
        <v>350</v>
      </c>
      <c r="I3719" s="155">
        <f>H3719*G3719</f>
        <v>1312.5</v>
      </c>
      <c r="J3719" s="78"/>
    </row>
    <row r="3720" spans="1:10">
      <c r="A3720" s="853"/>
      <c r="B3720" s="237">
        <v>4</v>
      </c>
      <c r="C3720" s="306" t="s">
        <v>7937</v>
      </c>
      <c r="D3720" s="241"/>
      <c r="E3720" s="242"/>
      <c r="F3720" s="277" t="s">
        <v>3477</v>
      </c>
      <c r="G3720" s="61">
        <f>0.4*25</f>
        <v>10</v>
      </c>
      <c r="H3720" s="258">
        <f>'BASIC DATA'!$D$57</f>
        <v>165</v>
      </c>
      <c r="I3720" s="244">
        <f>H3720*G3720</f>
        <v>1650</v>
      </c>
      <c r="J3720" s="62"/>
    </row>
    <row r="3721" spans="1:10">
      <c r="B3721" s="184"/>
      <c r="C3721" s="151"/>
      <c r="D3721" s="159"/>
      <c r="E3721" s="159" t="s">
        <v>2376</v>
      </c>
      <c r="F3721" s="159"/>
      <c r="G3721" s="159"/>
      <c r="H3721" s="208" t="s">
        <v>1698</v>
      </c>
      <c r="I3721" s="282">
        <f>SUM(I3717:I3720)</f>
        <v>28846.25</v>
      </c>
      <c r="J3721" s="78"/>
    </row>
    <row r="3722" spans="1:10">
      <c r="B3722" s="31"/>
      <c r="C3722" s="76"/>
      <c r="D3722" s="31"/>
      <c r="E3722" s="31"/>
      <c r="F3722" s="31"/>
      <c r="G3722" s="31"/>
      <c r="H3722" s="200"/>
      <c r="I3722" s="31"/>
      <c r="J3722" s="78"/>
    </row>
    <row r="3723" spans="1:10">
      <c r="B3723" s="170" t="s">
        <v>2377</v>
      </c>
      <c r="C3723" s="89"/>
      <c r="J3723" s="78"/>
    </row>
    <row r="3724" spans="1:10">
      <c r="B3724" s="95" t="s">
        <v>2369</v>
      </c>
      <c r="D3724" s="157" t="s">
        <v>2378</v>
      </c>
      <c r="E3724" s="97"/>
      <c r="F3724" s="95" t="s">
        <v>2370</v>
      </c>
      <c r="G3724" s="95" t="s">
        <v>1166</v>
      </c>
      <c r="H3724" s="97" t="s">
        <v>6664</v>
      </c>
      <c r="I3724" s="97" t="s">
        <v>6665</v>
      </c>
      <c r="J3724" s="78"/>
    </row>
    <row r="3725" spans="1:10">
      <c r="B3725" s="191"/>
      <c r="C3725" s="139"/>
      <c r="D3725" s="174"/>
      <c r="E3725" s="192"/>
      <c r="F3725" s="191"/>
      <c r="G3725" s="114"/>
      <c r="H3725" s="115" t="s">
        <v>3856</v>
      </c>
      <c r="I3725" s="115" t="s">
        <v>3857</v>
      </c>
      <c r="J3725" s="78"/>
    </row>
    <row r="3726" spans="1:10">
      <c r="B3726" s="95">
        <v>1</v>
      </c>
      <c r="C3726" s="131" t="s">
        <v>6888</v>
      </c>
      <c r="D3726" s="187"/>
      <c r="E3726" s="195"/>
      <c r="F3726" s="107" t="s">
        <v>2374</v>
      </c>
      <c r="G3726" s="179">
        <v>8</v>
      </c>
      <c r="H3726" s="178">
        <f>'HIRE CHARGES'!$D$508</f>
        <v>51.7</v>
      </c>
      <c r="I3726" s="155">
        <f>H3726*G3726</f>
        <v>413.6</v>
      </c>
      <c r="J3726" s="78"/>
    </row>
    <row r="3727" spans="1:10">
      <c r="B3727" s="105"/>
      <c r="C3727" s="135" t="s">
        <v>2379</v>
      </c>
      <c r="D3727" s="31"/>
      <c r="E3727" s="189"/>
      <c r="F3727" s="210" t="s">
        <v>2374</v>
      </c>
      <c r="G3727" s="190">
        <v>8</v>
      </c>
      <c r="H3727" s="207">
        <f>'HIRE CHARGES'!$E$508</f>
        <v>28</v>
      </c>
      <c r="I3727" s="155">
        <f>H3727*G3727</f>
        <v>224</v>
      </c>
      <c r="J3727" s="78"/>
    </row>
    <row r="3728" spans="1:10">
      <c r="B3728" s="105">
        <v>2</v>
      </c>
      <c r="C3728" s="135" t="s">
        <v>249</v>
      </c>
      <c r="D3728" s="31"/>
      <c r="E3728" s="189"/>
      <c r="F3728" s="210" t="s">
        <v>2374</v>
      </c>
      <c r="G3728" s="190">
        <v>1</v>
      </c>
      <c r="H3728" s="207">
        <f>'HIRE CHARGES'!$D$520</f>
        <v>6.7</v>
      </c>
      <c r="I3728" s="155">
        <f>H3728*G3728</f>
        <v>6.7</v>
      </c>
      <c r="J3728" s="78"/>
    </row>
    <row r="3729" spans="2:10">
      <c r="B3729" s="191"/>
      <c r="C3729" s="139" t="s">
        <v>2379</v>
      </c>
      <c r="D3729" s="174"/>
      <c r="E3729" s="192"/>
      <c r="F3729" s="191" t="s">
        <v>2374</v>
      </c>
      <c r="G3729" s="182">
        <v>1</v>
      </c>
      <c r="H3729" s="181">
        <f>'HIRE CHARGES'!$E$520</f>
        <v>56</v>
      </c>
      <c r="I3729" s="155">
        <f>H3729*G3729</f>
        <v>56</v>
      </c>
      <c r="J3729" s="78"/>
    </row>
    <row r="3730" spans="2:10">
      <c r="B3730" s="184"/>
      <c r="C3730" s="151"/>
      <c r="D3730" s="159" t="s">
        <v>2380</v>
      </c>
      <c r="E3730" s="159"/>
      <c r="F3730" s="159"/>
      <c r="G3730" s="159"/>
      <c r="H3730" s="208" t="s">
        <v>1698</v>
      </c>
      <c r="I3730" s="209">
        <f>SUM(I3726:I3729)</f>
        <v>700.30000000000007</v>
      </c>
      <c r="J3730" s="78"/>
    </row>
    <row r="3731" spans="2:10">
      <c r="B3731" s="31"/>
      <c r="C3731" s="76"/>
      <c r="D3731" s="31"/>
      <c r="E3731" s="31"/>
      <c r="F3731" s="31"/>
      <c r="G3731" s="31"/>
      <c r="H3731" s="200"/>
      <c r="I3731" s="75"/>
      <c r="J3731" s="78"/>
    </row>
    <row r="3732" spans="2:10">
      <c r="B3732" s="170" t="s">
        <v>2381</v>
      </c>
      <c r="C3732" s="89"/>
      <c r="J3732" s="78"/>
    </row>
    <row r="3733" spans="2:10">
      <c r="B3733" s="95" t="s">
        <v>2369</v>
      </c>
      <c r="D3733" s="157" t="s">
        <v>2378</v>
      </c>
      <c r="E3733" s="97"/>
      <c r="F3733" s="95" t="s">
        <v>2370</v>
      </c>
      <c r="G3733" s="95" t="s">
        <v>1166</v>
      </c>
      <c r="H3733" s="97" t="s">
        <v>6664</v>
      </c>
      <c r="I3733" s="97" t="s">
        <v>6665</v>
      </c>
      <c r="J3733" s="78"/>
    </row>
    <row r="3734" spans="2:10">
      <c r="B3734" s="191"/>
      <c r="C3734" s="139"/>
      <c r="D3734" s="174"/>
      <c r="E3734" s="192"/>
      <c r="F3734" s="191"/>
      <c r="G3734" s="114"/>
      <c r="H3734" s="115" t="s">
        <v>3856</v>
      </c>
      <c r="I3734" s="115" t="s">
        <v>3857</v>
      </c>
      <c r="J3734" s="78"/>
    </row>
    <row r="3735" spans="2:10">
      <c r="B3735" s="95">
        <v>1</v>
      </c>
      <c r="C3735" s="131" t="s">
        <v>527</v>
      </c>
      <c r="D3735" s="187"/>
      <c r="E3735" s="195"/>
      <c r="F3735" s="107" t="s">
        <v>2374</v>
      </c>
      <c r="G3735" s="179">
        <v>8</v>
      </c>
      <c r="H3735" s="179">
        <f>'HIRE CHARGES'!$F$508</f>
        <v>219.7</v>
      </c>
      <c r="I3735" s="155">
        <f t="shared" ref="I3735:I3740" si="64">H3735*G3735</f>
        <v>1757.6</v>
      </c>
      <c r="J3735" s="78"/>
    </row>
    <row r="3736" spans="2:10">
      <c r="B3736" s="105">
        <v>2</v>
      </c>
      <c r="C3736" s="135" t="s">
        <v>999</v>
      </c>
      <c r="D3736" s="31"/>
      <c r="E3736" s="189"/>
      <c r="F3736" s="210" t="s">
        <v>2374</v>
      </c>
      <c r="G3736" s="190">
        <v>1</v>
      </c>
      <c r="H3736" s="207">
        <f>'HIRE CHARGES'!$F$520</f>
        <v>83.3</v>
      </c>
      <c r="I3736" s="155">
        <f t="shared" si="64"/>
        <v>83.3</v>
      </c>
      <c r="J3736" s="78"/>
    </row>
    <row r="3737" spans="2:10">
      <c r="B3737" s="105">
        <v>3</v>
      </c>
      <c r="C3737" s="135" t="s">
        <v>4206</v>
      </c>
      <c r="D3737" s="31"/>
      <c r="E3737" s="189"/>
      <c r="F3737" s="210" t="s">
        <v>1172</v>
      </c>
      <c r="G3737" s="190">
        <v>1</v>
      </c>
      <c r="H3737" s="190">
        <f>'BASIC DATA'!$C$473</f>
        <v>450</v>
      </c>
      <c r="I3737" s="155">
        <f t="shared" si="64"/>
        <v>450</v>
      </c>
      <c r="J3737" s="78"/>
    </row>
    <row r="3738" spans="2:10">
      <c r="B3738" s="105">
        <v>4</v>
      </c>
      <c r="C3738" s="135" t="s">
        <v>440</v>
      </c>
      <c r="D3738" s="31"/>
      <c r="E3738" s="189"/>
      <c r="F3738" s="210" t="s">
        <v>1172</v>
      </c>
      <c r="G3738" s="190">
        <v>2.5</v>
      </c>
      <c r="H3738" s="207">
        <f>'BASIC DATA'!$C$474</f>
        <v>445</v>
      </c>
      <c r="I3738" s="155">
        <f t="shared" si="64"/>
        <v>1112.5</v>
      </c>
      <c r="J3738" s="78"/>
    </row>
    <row r="3739" spans="2:10">
      <c r="B3739" s="105">
        <v>5</v>
      </c>
      <c r="C3739" s="135" t="s">
        <v>1356</v>
      </c>
      <c r="D3739" s="31"/>
      <c r="E3739" s="189"/>
      <c r="F3739" s="210" t="s">
        <v>1172</v>
      </c>
      <c r="G3739" s="190">
        <v>4</v>
      </c>
      <c r="H3739" s="207">
        <f>'BASIC DATA'!$C$541</f>
        <v>400</v>
      </c>
      <c r="I3739" s="155">
        <f t="shared" si="64"/>
        <v>1600</v>
      </c>
      <c r="J3739" s="78"/>
    </row>
    <row r="3740" spans="2:10">
      <c r="B3740" s="105">
        <v>6</v>
      </c>
      <c r="C3740" s="135" t="s">
        <v>4393</v>
      </c>
      <c r="D3740" s="31"/>
      <c r="E3740" s="189"/>
      <c r="F3740" s="210" t="s">
        <v>1172</v>
      </c>
      <c r="G3740" s="190">
        <v>16</v>
      </c>
      <c r="H3740" s="207">
        <f>'BASIC DATA'!$C$513</f>
        <v>400</v>
      </c>
      <c r="I3740" s="155">
        <f t="shared" si="64"/>
        <v>6400</v>
      </c>
      <c r="J3740" s="78"/>
    </row>
    <row r="3741" spans="2:10">
      <c r="B3741" s="105">
        <v>7</v>
      </c>
      <c r="C3741" s="135" t="s">
        <v>2697</v>
      </c>
      <c r="D3741" s="31"/>
      <c r="E3741" s="189"/>
      <c r="F3741" s="210"/>
      <c r="G3741" s="210"/>
      <c r="H3741" s="189"/>
      <c r="I3741" s="138"/>
      <c r="J3741" s="78"/>
    </row>
    <row r="3742" spans="2:10">
      <c r="B3742" s="210"/>
      <c r="C3742" s="135" t="s">
        <v>4413</v>
      </c>
      <c r="D3742" s="31"/>
      <c r="E3742" s="189"/>
      <c r="F3742" s="210" t="s">
        <v>1172</v>
      </c>
      <c r="G3742" s="190">
        <v>2</v>
      </c>
      <c r="H3742" s="207">
        <f>'BASIC DATA'!$C$552</f>
        <v>350</v>
      </c>
      <c r="I3742" s="155">
        <f t="shared" ref="I3742:I3748" si="65">H3742*G3742</f>
        <v>700</v>
      </c>
      <c r="J3742" s="78"/>
    </row>
    <row r="3743" spans="2:10">
      <c r="B3743" s="210"/>
      <c r="C3743" s="135" t="s">
        <v>2831</v>
      </c>
      <c r="D3743" s="31"/>
      <c r="E3743" s="189"/>
      <c r="F3743" s="210" t="s">
        <v>1172</v>
      </c>
      <c r="G3743" s="190">
        <v>6</v>
      </c>
      <c r="H3743" s="207">
        <f>'BASIC DATA'!$C$552</f>
        <v>350</v>
      </c>
      <c r="I3743" s="155">
        <f t="shared" si="65"/>
        <v>2100</v>
      </c>
      <c r="J3743" s="78"/>
    </row>
    <row r="3744" spans="2:10">
      <c r="B3744" s="210"/>
      <c r="C3744" s="135" t="s">
        <v>442</v>
      </c>
      <c r="D3744" s="31"/>
      <c r="E3744" s="189"/>
      <c r="F3744" s="210" t="s">
        <v>1172</v>
      </c>
      <c r="G3744" s="190">
        <v>4</v>
      </c>
      <c r="H3744" s="207">
        <f>'BASIC DATA'!$C$552</f>
        <v>350</v>
      </c>
      <c r="I3744" s="155">
        <f t="shared" si="65"/>
        <v>1400</v>
      </c>
      <c r="J3744" s="78"/>
    </row>
    <row r="3745" spans="2:10">
      <c r="B3745" s="210"/>
      <c r="C3745" s="135" t="s">
        <v>1109</v>
      </c>
      <c r="D3745" s="31"/>
      <c r="E3745" s="189"/>
      <c r="F3745" s="210" t="s">
        <v>1172</v>
      </c>
      <c r="G3745" s="190">
        <v>10</v>
      </c>
      <c r="H3745" s="207">
        <f>'BASIC DATA'!$C$552</f>
        <v>350</v>
      </c>
      <c r="I3745" s="155">
        <f t="shared" si="65"/>
        <v>3500</v>
      </c>
      <c r="J3745" s="78"/>
    </row>
    <row r="3746" spans="2:10">
      <c r="B3746" s="210"/>
      <c r="C3746" s="135" t="s">
        <v>2789</v>
      </c>
      <c r="D3746" s="31"/>
      <c r="E3746" s="189"/>
      <c r="F3746" s="210" t="s">
        <v>1172</v>
      </c>
      <c r="G3746" s="190">
        <v>1</v>
      </c>
      <c r="H3746" s="207">
        <f>'BASIC DATA'!$C$552</f>
        <v>350</v>
      </c>
      <c r="I3746" s="155">
        <f t="shared" si="65"/>
        <v>350</v>
      </c>
      <c r="J3746" s="78"/>
    </row>
    <row r="3747" spans="2:10">
      <c r="B3747" s="210"/>
      <c r="C3747" s="135" t="s">
        <v>1110</v>
      </c>
      <c r="D3747" s="31"/>
      <c r="E3747" s="189"/>
      <c r="F3747" s="210" t="s">
        <v>1172</v>
      </c>
      <c r="G3747" s="190">
        <v>4</v>
      </c>
      <c r="H3747" s="207">
        <f>'BASIC DATA'!$C$552</f>
        <v>350</v>
      </c>
      <c r="I3747" s="155">
        <f t="shared" si="65"/>
        <v>1400</v>
      </c>
      <c r="J3747" s="78"/>
    </row>
    <row r="3748" spans="2:10">
      <c r="B3748" s="191"/>
      <c r="C3748" s="139" t="s">
        <v>6254</v>
      </c>
      <c r="D3748" s="174"/>
      <c r="E3748" s="192"/>
      <c r="F3748" s="191" t="s">
        <v>1172</v>
      </c>
      <c r="G3748" s="182">
        <v>12</v>
      </c>
      <c r="H3748" s="207">
        <f>'BASIC DATA'!$C$552</f>
        <v>350</v>
      </c>
      <c r="I3748" s="155">
        <f t="shared" si="65"/>
        <v>4200</v>
      </c>
      <c r="J3748" s="78"/>
    </row>
    <row r="3749" spans="2:10">
      <c r="B3749" s="184"/>
      <c r="C3749" s="151"/>
      <c r="D3749" s="159"/>
      <c r="E3749" s="159" t="s">
        <v>1174</v>
      </c>
      <c r="F3749" s="159"/>
      <c r="G3749" s="193"/>
      <c r="H3749" s="208" t="s">
        <v>1698</v>
      </c>
      <c r="I3749" s="209">
        <f>SUM(I3735:I3748)</f>
        <v>25053.4</v>
      </c>
      <c r="J3749" s="78"/>
    </row>
    <row r="3750" spans="2:10">
      <c r="B3750" s="60" t="s">
        <v>5948</v>
      </c>
      <c r="C3750" s="76"/>
      <c r="D3750" s="31"/>
      <c r="E3750" s="31"/>
      <c r="F3750" s="31"/>
      <c r="G3750" s="85">
        <f>ROUND(I3749/H3714,1)</f>
        <v>1002.1</v>
      </c>
      <c r="J3750" s="78"/>
    </row>
    <row r="3751" spans="2:10">
      <c r="B3751" s="60" t="s">
        <v>3163</v>
      </c>
      <c r="C3751" s="76"/>
      <c r="D3751" s="31"/>
      <c r="E3751" s="31"/>
      <c r="F3751" s="922">
        <f>'BASIC DATA'!$C$577</f>
        <v>0.13614999999999999</v>
      </c>
      <c r="G3751" s="85">
        <f>ROUND(G3750*F3751,1)</f>
        <v>136.4</v>
      </c>
      <c r="J3751" s="78"/>
    </row>
    <row r="3752" spans="2:10">
      <c r="B3752" s="60" t="s">
        <v>5949</v>
      </c>
      <c r="C3752" s="76"/>
      <c r="D3752" s="31"/>
      <c r="E3752" s="31"/>
      <c r="F3752" s="31"/>
      <c r="G3752" s="199">
        <f>ROUND(G3751+G3750,1)</f>
        <v>1138.5</v>
      </c>
      <c r="J3752" s="78"/>
    </row>
    <row r="3753" spans="2:10">
      <c r="B3753" s="31"/>
      <c r="C3753" s="76"/>
      <c r="D3753" s="31"/>
      <c r="E3753" s="31"/>
      <c r="F3753" s="31"/>
      <c r="G3753" s="200"/>
      <c r="H3753" s="200"/>
      <c r="I3753" s="31"/>
      <c r="J3753" s="78"/>
    </row>
    <row r="3754" spans="2:10">
      <c r="B3754" s="170" t="s">
        <v>1175</v>
      </c>
      <c r="J3754" s="78"/>
    </row>
    <row r="3755" spans="2:10">
      <c r="B3755" s="26" t="s">
        <v>1176</v>
      </c>
      <c r="H3755" s="171" t="s">
        <v>1698</v>
      </c>
      <c r="I3755" s="117">
        <f>I3721</f>
        <v>28846.25</v>
      </c>
      <c r="J3755" s="78"/>
    </row>
    <row r="3756" spans="2:10">
      <c r="B3756" s="26" t="s">
        <v>1186</v>
      </c>
      <c r="H3756" s="171" t="s">
        <v>1698</v>
      </c>
      <c r="I3756" s="117">
        <f>I3730</f>
        <v>700.30000000000007</v>
      </c>
      <c r="J3756" s="78"/>
    </row>
    <row r="3757" spans="2:10">
      <c r="B3757" s="26" t="s">
        <v>2660</v>
      </c>
      <c r="H3757" s="171" t="s">
        <v>1698</v>
      </c>
      <c r="I3757" s="85">
        <f>I3749</f>
        <v>25053.4</v>
      </c>
      <c r="J3757" s="78"/>
    </row>
    <row r="3758" spans="2:10">
      <c r="G3758" s="171" t="s">
        <v>1518</v>
      </c>
      <c r="H3758" s="171" t="s">
        <v>1698</v>
      </c>
      <c r="I3758" s="130">
        <f>SUM(I3754:I3757)</f>
        <v>54599.95</v>
      </c>
      <c r="J3758" s="78"/>
    </row>
    <row r="3759" spans="2:10" ht="18.75">
      <c r="B3759" s="1207" t="s">
        <v>8375</v>
      </c>
      <c r="C3759" s="1207"/>
      <c r="D3759" s="1207"/>
      <c r="E3759" s="1207"/>
      <c r="F3759" s="1207"/>
      <c r="G3759" s="922">
        <f>'BASIC DATA'!$C$577</f>
        <v>0.13614999999999999</v>
      </c>
      <c r="H3759" s="171" t="s">
        <v>4108</v>
      </c>
      <c r="I3759" s="76">
        <f>ROUND(I3758*G3759,2)</f>
        <v>7433.78</v>
      </c>
      <c r="J3759" s="78"/>
    </row>
    <row r="3760" spans="2:10">
      <c r="B3760" s="27" t="s">
        <v>9590</v>
      </c>
      <c r="C3760" s="43"/>
      <c r="D3760" s="43"/>
      <c r="E3760" s="43"/>
      <c r="F3760" s="779">
        <f>G3720</f>
        <v>10</v>
      </c>
      <c r="G3760" s="201" t="s">
        <v>9591</v>
      </c>
      <c r="H3760" s="68" t="str">
        <f>CONCATENATE((leadcharges!$D$65)," ","Rs./Cum")</f>
        <v>31.5 Rs./Cum</v>
      </c>
      <c r="I3760" s="76">
        <f>leadcharges!$D$65*F3760</f>
        <v>315</v>
      </c>
      <c r="J3760" s="78"/>
    </row>
    <row r="3761" spans="1:10">
      <c r="B3761" s="27" t="s">
        <v>9595</v>
      </c>
      <c r="C3761" s="43"/>
      <c r="D3761" s="43"/>
      <c r="E3761" s="43"/>
      <c r="F3761" s="779">
        <f>SUM(G3718:G3719)</f>
        <v>25</v>
      </c>
      <c r="G3761" s="201" t="s">
        <v>9591</v>
      </c>
      <c r="H3761" s="68" t="str">
        <f>CONCATENATE((leadcharges!$E$65)," ","Rs./Cum")</f>
        <v>30.4 Rs./Cum</v>
      </c>
      <c r="I3761" s="85">
        <f>leadcharges!$E$65*F3761</f>
        <v>760</v>
      </c>
      <c r="J3761" s="78"/>
    </row>
    <row r="3762" spans="1:10" ht="39" hidden="1" customHeight="1">
      <c r="B3762" s="1207"/>
      <c r="C3762" s="1207"/>
      <c r="D3762" s="1207"/>
      <c r="E3762" s="1207"/>
      <c r="F3762" s="779"/>
      <c r="G3762" s="201"/>
      <c r="H3762" s="68"/>
      <c r="I3762" s="76"/>
      <c r="J3762" s="78"/>
    </row>
    <row r="3763" spans="1:10">
      <c r="B3763" s="1206" t="s">
        <v>1191</v>
      </c>
      <c r="C3763" s="1206"/>
      <c r="D3763" s="1206"/>
      <c r="E3763" s="1206"/>
      <c r="F3763" s="202">
        <f>H3714</f>
        <v>25</v>
      </c>
      <c r="G3763" s="217" t="str">
        <f>I3714</f>
        <v xml:space="preserve"> cum</v>
      </c>
      <c r="H3763" s="171" t="s">
        <v>1698</v>
      </c>
      <c r="I3763" s="199">
        <f>SUM(I3758:I3762)</f>
        <v>63108.729999999996</v>
      </c>
      <c r="J3763" s="78"/>
    </row>
    <row r="3764" spans="1:10">
      <c r="B3764" s="1161" t="s">
        <v>3884</v>
      </c>
      <c r="C3764" s="1161"/>
      <c r="D3764" s="246" t="str">
        <f>G3763</f>
        <v xml:space="preserve"> cum</v>
      </c>
      <c r="F3764" s="26" t="s">
        <v>1646</v>
      </c>
      <c r="H3764" s="171" t="s">
        <v>1698</v>
      </c>
      <c r="I3764" s="204">
        <f>ROUND(I3763/F3763,1)</f>
        <v>2524.3000000000002</v>
      </c>
      <c r="J3764" s="78"/>
    </row>
    <row r="3765" spans="1:10">
      <c r="J3765" s="78"/>
    </row>
    <row r="3766" spans="1:10">
      <c r="J3766" s="78"/>
    </row>
    <row r="3767" spans="1:10" ht="18.75">
      <c r="A3767" s="822" t="s">
        <v>7352</v>
      </c>
      <c r="B3767" s="26" t="s">
        <v>8489</v>
      </c>
      <c r="J3767" s="78"/>
    </row>
    <row r="3768" spans="1:10" ht="18.75">
      <c r="B3768" s="26" t="s">
        <v>8490</v>
      </c>
      <c r="J3768" s="78"/>
    </row>
    <row r="3769" spans="1:10">
      <c r="B3769" s="26" t="s">
        <v>267</v>
      </c>
      <c r="J3769" s="78"/>
    </row>
    <row r="3770" spans="1:10" ht="18.75">
      <c r="B3770" s="26" t="s">
        <v>8491</v>
      </c>
      <c r="J3770" s="78"/>
    </row>
    <row r="3771" spans="1:10">
      <c r="B3771" s="170" t="s">
        <v>2873</v>
      </c>
      <c r="J3771" s="78"/>
    </row>
    <row r="3772" spans="1:10">
      <c r="B3772" s="170" t="s">
        <v>7620</v>
      </c>
      <c r="J3772" s="78"/>
    </row>
    <row r="3773" spans="1:10">
      <c r="B3773" s="170" t="s">
        <v>7621</v>
      </c>
      <c r="J3773" s="78"/>
    </row>
    <row r="3774" spans="1:10">
      <c r="B3774" s="170" t="s">
        <v>6860</v>
      </c>
      <c r="J3774" s="78"/>
    </row>
    <row r="3775" spans="1:10" hidden="1">
      <c r="A3775" s="822" t="s">
        <v>3984</v>
      </c>
      <c r="B3775" s="26" t="s">
        <v>250</v>
      </c>
      <c r="G3775" s="171" t="s">
        <v>1697</v>
      </c>
      <c r="H3775" s="68">
        <v>75</v>
      </c>
      <c r="I3775" s="26" t="s">
        <v>3135</v>
      </c>
      <c r="J3775" s="78"/>
    </row>
    <row r="3776" spans="1:10" hidden="1">
      <c r="B3776" s="26" t="s">
        <v>19</v>
      </c>
      <c r="D3776" s="26" t="s">
        <v>20</v>
      </c>
      <c r="F3776" s="26" t="s">
        <v>21</v>
      </c>
      <c r="G3776" s="171" t="s">
        <v>1697</v>
      </c>
      <c r="H3776" s="26">
        <v>9.75</v>
      </c>
      <c r="I3776" s="26" t="s">
        <v>4041</v>
      </c>
      <c r="J3776" s="78"/>
    </row>
    <row r="3777" spans="1:10" hidden="1">
      <c r="B3777" s="26" t="s">
        <v>22</v>
      </c>
      <c r="G3777" s="171" t="s">
        <v>1697</v>
      </c>
      <c r="H3777" s="26">
        <v>0.15</v>
      </c>
      <c r="I3777" s="26" t="s">
        <v>6901</v>
      </c>
      <c r="J3777" s="78"/>
    </row>
    <row r="3778" spans="1:10" hidden="1">
      <c r="B3778" s="26" t="s">
        <v>6015</v>
      </c>
      <c r="G3778" s="171" t="s">
        <v>1697</v>
      </c>
      <c r="H3778" s="26">
        <v>3.25</v>
      </c>
      <c r="I3778" s="26" t="s">
        <v>4041</v>
      </c>
      <c r="J3778" s="78"/>
    </row>
    <row r="3779" spans="1:10" hidden="1">
      <c r="B3779" s="26" t="s">
        <v>5012</v>
      </c>
      <c r="G3779" s="171" t="s">
        <v>1697</v>
      </c>
      <c r="H3779" s="26">
        <v>0.35</v>
      </c>
      <c r="I3779" s="26" t="s">
        <v>3477</v>
      </c>
      <c r="J3779" s="78"/>
    </row>
    <row r="3780" spans="1:10" hidden="1">
      <c r="B3780" s="26" t="s">
        <v>4547</v>
      </c>
      <c r="G3780" s="171" t="s">
        <v>1697</v>
      </c>
      <c r="H3780" s="26">
        <v>0.375</v>
      </c>
      <c r="I3780" s="26" t="s">
        <v>5336</v>
      </c>
      <c r="J3780" s="78"/>
    </row>
    <row r="3781" spans="1:10" hidden="1">
      <c r="B3781" s="26" t="s">
        <v>5853</v>
      </c>
      <c r="G3781" s="171" t="s">
        <v>1697</v>
      </c>
      <c r="H3781" s="26">
        <v>178</v>
      </c>
      <c r="I3781" s="26" t="s">
        <v>3478</v>
      </c>
      <c r="J3781" s="78"/>
    </row>
    <row r="3782" spans="1:10" hidden="1">
      <c r="B3782" s="26" t="s">
        <v>6016</v>
      </c>
      <c r="F3782" s="26" t="s">
        <v>1564</v>
      </c>
      <c r="G3782" s="171" t="s">
        <v>1697</v>
      </c>
      <c r="H3782" s="68">
        <v>10</v>
      </c>
      <c r="I3782" s="26" t="s">
        <v>1312</v>
      </c>
      <c r="J3782" s="78"/>
    </row>
    <row r="3783" spans="1:10" hidden="1">
      <c r="B3783" s="26" t="s">
        <v>6889</v>
      </c>
      <c r="H3783" s="26">
        <v>26.65</v>
      </c>
      <c r="I3783" s="26" t="s">
        <v>3477</v>
      </c>
      <c r="J3783" s="78"/>
    </row>
    <row r="3784" spans="1:10" hidden="1">
      <c r="B3784" s="26" t="s">
        <v>268</v>
      </c>
      <c r="J3784" s="78"/>
    </row>
    <row r="3785" spans="1:10" hidden="1">
      <c r="B3785" s="26" t="s">
        <v>3027</v>
      </c>
      <c r="J3785" s="78"/>
    </row>
    <row r="3786" spans="1:10" hidden="1">
      <c r="B3786" s="26" t="s">
        <v>3083</v>
      </c>
      <c r="J3786" s="78"/>
    </row>
    <row r="3787" spans="1:10" hidden="1">
      <c r="B3787" s="26" t="s">
        <v>5924</v>
      </c>
      <c r="G3787" s="78" t="s">
        <v>1697</v>
      </c>
      <c r="H3787" s="68">
        <v>7</v>
      </c>
      <c r="I3787" s="26" t="s">
        <v>3032</v>
      </c>
      <c r="J3787" s="78"/>
    </row>
    <row r="3788" spans="1:10" hidden="1">
      <c r="B3788" s="26" t="s">
        <v>589</v>
      </c>
      <c r="J3788" s="78"/>
    </row>
    <row r="3789" spans="1:10">
      <c r="J3789" s="78"/>
    </row>
    <row r="3790" spans="1:10">
      <c r="A3790" s="822" t="s">
        <v>3984</v>
      </c>
      <c r="E3790" s="170" t="s">
        <v>2367</v>
      </c>
      <c r="J3790" s="78"/>
    </row>
    <row r="3791" spans="1:10">
      <c r="H3791" s="171" t="s">
        <v>1188</v>
      </c>
      <c r="J3791" s="78"/>
    </row>
    <row r="3792" spans="1:10">
      <c r="B3792" s="170" t="s">
        <v>2368</v>
      </c>
      <c r="C3792" s="89"/>
      <c r="H3792" s="211">
        <v>25</v>
      </c>
      <c r="I3792" s="26" t="s">
        <v>6901</v>
      </c>
      <c r="J3792" s="78"/>
    </row>
    <row r="3793" spans="1:10">
      <c r="B3793" s="95" t="s">
        <v>2369</v>
      </c>
      <c r="D3793" s="157" t="s">
        <v>4443</v>
      </c>
      <c r="E3793" s="97"/>
      <c r="F3793" s="95" t="s">
        <v>2370</v>
      </c>
      <c r="G3793" s="95" t="s">
        <v>1166</v>
      </c>
      <c r="H3793" s="97" t="s">
        <v>6664</v>
      </c>
      <c r="I3793" s="97" t="s">
        <v>6665</v>
      </c>
      <c r="J3793" s="78"/>
    </row>
    <row r="3794" spans="1:10">
      <c r="B3794" s="191"/>
      <c r="C3794" s="139"/>
      <c r="D3794" s="174"/>
      <c r="E3794" s="192"/>
      <c r="F3794" s="191"/>
      <c r="G3794" s="114"/>
      <c r="H3794" s="115" t="s">
        <v>3856</v>
      </c>
      <c r="I3794" s="115" t="s">
        <v>3857</v>
      </c>
      <c r="J3794" s="78"/>
    </row>
    <row r="3795" spans="1:10">
      <c r="B3795" s="95">
        <v>1</v>
      </c>
      <c r="C3795" s="131" t="s">
        <v>997</v>
      </c>
      <c r="D3795" s="187"/>
      <c r="E3795" s="195"/>
      <c r="F3795" s="107" t="s">
        <v>3478</v>
      </c>
      <c r="G3795" s="26">
        <f>178*25</f>
        <v>4450</v>
      </c>
      <c r="H3795" s="212">
        <f>'BASIC DATA'!$D$32/1000</f>
        <v>5.35</v>
      </c>
      <c r="I3795" s="155">
        <f t="shared" ref="I3795:I3800" si="66">H3795*G3795</f>
        <v>23807.5</v>
      </c>
      <c r="J3795" s="78"/>
    </row>
    <row r="3796" spans="1:10">
      <c r="B3796" s="105">
        <v>2</v>
      </c>
      <c r="C3796" s="135" t="s">
        <v>7000</v>
      </c>
      <c r="D3796" s="31"/>
      <c r="E3796" s="189"/>
      <c r="F3796" s="210" t="s">
        <v>2059</v>
      </c>
      <c r="G3796" s="26">
        <f>CEILING(9.75*25,1)</f>
        <v>244</v>
      </c>
      <c r="H3796" s="214">
        <f>'BASIC DATA'!$D$41</f>
        <v>23</v>
      </c>
      <c r="I3796" s="155">
        <f t="shared" si="66"/>
        <v>5612</v>
      </c>
      <c r="J3796" s="78"/>
    </row>
    <row r="3797" spans="1:10">
      <c r="B3797" s="105">
        <v>3</v>
      </c>
      <c r="C3797" s="135" t="s">
        <v>5700</v>
      </c>
      <c r="D3797" s="31"/>
      <c r="E3797" s="189"/>
      <c r="F3797" s="210" t="s">
        <v>2059</v>
      </c>
      <c r="G3797" s="26">
        <f>CEILING(3.25*25,1)</f>
        <v>82</v>
      </c>
      <c r="H3797" s="214">
        <f>'BASIC DATA'!$D$42</f>
        <v>26</v>
      </c>
      <c r="I3797" s="155">
        <f t="shared" si="66"/>
        <v>2132</v>
      </c>
      <c r="J3797" s="78"/>
    </row>
    <row r="3798" spans="1:10">
      <c r="B3798" s="105">
        <v>4</v>
      </c>
      <c r="C3798" s="135" t="s">
        <v>5012</v>
      </c>
      <c r="D3798" s="31"/>
      <c r="E3798" s="189"/>
      <c r="F3798" s="210" t="s">
        <v>3477</v>
      </c>
      <c r="G3798" s="107">
        <f>0.35*25</f>
        <v>8.75</v>
      </c>
      <c r="H3798" s="214">
        <f>'BASIC DATA'!$D$108</f>
        <v>318</v>
      </c>
      <c r="I3798" s="155">
        <f t="shared" si="66"/>
        <v>2782.5</v>
      </c>
      <c r="J3798" s="78"/>
    </row>
    <row r="3799" spans="1:10">
      <c r="B3799" s="105">
        <v>5</v>
      </c>
      <c r="C3799" s="135" t="s">
        <v>1358</v>
      </c>
      <c r="D3799" s="31"/>
      <c r="E3799" s="189"/>
      <c r="F3799" s="210" t="s">
        <v>3477</v>
      </c>
      <c r="G3799" s="210">
        <f>0.15*25</f>
        <v>3.75</v>
      </c>
      <c r="H3799" s="214">
        <f>'BASIC DATA'!$D$96</f>
        <v>350</v>
      </c>
      <c r="I3799" s="155">
        <f t="shared" si="66"/>
        <v>1312.5</v>
      </c>
      <c r="J3799" s="78"/>
    </row>
    <row r="3800" spans="1:10">
      <c r="A3800" s="853"/>
      <c r="B3800" s="237">
        <v>6</v>
      </c>
      <c r="C3800" s="306" t="s">
        <v>7937</v>
      </c>
      <c r="D3800" s="241"/>
      <c r="E3800" s="242"/>
      <c r="F3800" s="277" t="s">
        <v>3477</v>
      </c>
      <c r="G3800" s="277">
        <f>0.375*25</f>
        <v>9.375</v>
      </c>
      <c r="H3800" s="284">
        <f>'BASIC DATA'!$D$57</f>
        <v>165</v>
      </c>
      <c r="I3800" s="244">
        <f t="shared" si="66"/>
        <v>1546.875</v>
      </c>
      <c r="J3800" s="62"/>
    </row>
    <row r="3801" spans="1:10">
      <c r="B3801" s="1208" t="s">
        <v>2376</v>
      </c>
      <c r="C3801" s="1209"/>
      <c r="D3801" s="1209"/>
      <c r="E3801" s="1209"/>
      <c r="F3801" s="1209"/>
      <c r="G3801" s="1209"/>
      <c r="H3801" s="208" t="s">
        <v>1698</v>
      </c>
      <c r="I3801" s="209">
        <f>SUM(I3795:I3800)</f>
        <v>37193.375</v>
      </c>
      <c r="J3801" s="78"/>
    </row>
    <row r="3802" spans="1:10">
      <c r="J3802" s="78"/>
    </row>
    <row r="3803" spans="1:10">
      <c r="B3803" s="170" t="s">
        <v>2377</v>
      </c>
      <c r="C3803" s="89"/>
      <c r="J3803" s="78"/>
    </row>
    <row r="3804" spans="1:10">
      <c r="B3804" s="95" t="s">
        <v>2369</v>
      </c>
      <c r="D3804" s="157" t="s">
        <v>2378</v>
      </c>
      <c r="E3804" s="97"/>
      <c r="F3804" s="95" t="s">
        <v>2370</v>
      </c>
      <c r="G3804" s="95" t="s">
        <v>1166</v>
      </c>
      <c r="H3804" s="97" t="s">
        <v>6664</v>
      </c>
      <c r="I3804" s="97" t="s">
        <v>6665</v>
      </c>
      <c r="J3804" s="78"/>
    </row>
    <row r="3805" spans="1:10">
      <c r="B3805" s="191"/>
      <c r="C3805" s="139"/>
      <c r="D3805" s="174"/>
      <c r="E3805" s="192"/>
      <c r="F3805" s="191"/>
      <c r="G3805" s="114"/>
      <c r="H3805" s="115" t="s">
        <v>3856</v>
      </c>
      <c r="I3805" s="115" t="s">
        <v>3857</v>
      </c>
      <c r="J3805" s="78"/>
    </row>
    <row r="3806" spans="1:10">
      <c r="B3806" s="95">
        <v>1</v>
      </c>
      <c r="C3806" s="131" t="s">
        <v>6641</v>
      </c>
      <c r="D3806" s="187"/>
      <c r="E3806" s="195"/>
      <c r="F3806" s="107" t="s">
        <v>2374</v>
      </c>
      <c r="G3806" s="179">
        <v>8</v>
      </c>
      <c r="H3806" s="178">
        <f>'HIRE CHARGES'!$D$508</f>
        <v>51.7</v>
      </c>
      <c r="I3806" s="155">
        <f>H3806*G3806</f>
        <v>413.6</v>
      </c>
      <c r="J3806" s="78"/>
    </row>
    <row r="3807" spans="1:10">
      <c r="B3807" s="105"/>
      <c r="C3807" s="135" t="s">
        <v>2379</v>
      </c>
      <c r="D3807" s="31"/>
      <c r="E3807" s="189"/>
      <c r="F3807" s="210" t="s">
        <v>2374</v>
      </c>
      <c r="G3807" s="190">
        <v>8</v>
      </c>
      <c r="H3807" s="207">
        <f>'HIRE CHARGES'!$E$508</f>
        <v>28</v>
      </c>
      <c r="I3807" s="155">
        <f>H3807*G3807</f>
        <v>224</v>
      </c>
      <c r="J3807" s="78"/>
    </row>
    <row r="3808" spans="1:10">
      <c r="B3808" s="105">
        <v>2</v>
      </c>
      <c r="C3808" s="135" t="s">
        <v>383</v>
      </c>
      <c r="D3808" s="31"/>
      <c r="E3808" s="189"/>
      <c r="F3808" s="210" t="s">
        <v>2374</v>
      </c>
      <c r="G3808" s="190">
        <v>1</v>
      </c>
      <c r="H3808" s="190">
        <f>'HIRE CHARGES'!$D$520</f>
        <v>6.7</v>
      </c>
      <c r="I3808" s="155">
        <f>H3808*G3808</f>
        <v>6.7</v>
      </c>
      <c r="J3808" s="78"/>
    </row>
    <row r="3809" spans="2:10">
      <c r="B3809" s="191"/>
      <c r="C3809" s="139" t="s">
        <v>2379</v>
      </c>
      <c r="D3809" s="174"/>
      <c r="E3809" s="192"/>
      <c r="F3809" s="191" t="s">
        <v>2374</v>
      </c>
      <c r="G3809" s="182">
        <v>1</v>
      </c>
      <c r="H3809" s="207">
        <f>'HIRE CHARGES'!$E$520</f>
        <v>56</v>
      </c>
      <c r="I3809" s="155">
        <f>H3809*G3809</f>
        <v>56</v>
      </c>
      <c r="J3809" s="78"/>
    </row>
    <row r="3810" spans="2:10">
      <c r="B3810" s="184"/>
      <c r="C3810" s="151"/>
      <c r="D3810" s="159"/>
      <c r="E3810" s="159" t="s">
        <v>2380</v>
      </c>
      <c r="F3810" s="159"/>
      <c r="G3810" s="159"/>
      <c r="H3810" s="208" t="s">
        <v>1698</v>
      </c>
      <c r="I3810" s="209">
        <f>SUM(I3806:I3809)</f>
        <v>700.30000000000007</v>
      </c>
      <c r="J3810" s="78"/>
    </row>
    <row r="3811" spans="2:10">
      <c r="B3811" s="170" t="s">
        <v>2381</v>
      </c>
      <c r="C3811" s="151"/>
      <c r="J3811" s="78"/>
    </row>
    <row r="3812" spans="2:10">
      <c r="B3812" s="95" t="s">
        <v>2369</v>
      </c>
      <c r="D3812" s="157" t="s">
        <v>2378</v>
      </c>
      <c r="E3812" s="97"/>
      <c r="F3812" s="95" t="s">
        <v>2370</v>
      </c>
      <c r="G3812" s="95" t="s">
        <v>1166</v>
      </c>
      <c r="H3812" s="97" t="s">
        <v>6664</v>
      </c>
      <c r="I3812" s="97" t="s">
        <v>6665</v>
      </c>
      <c r="J3812" s="78"/>
    </row>
    <row r="3813" spans="2:10">
      <c r="B3813" s="191"/>
      <c r="C3813" s="139"/>
      <c r="D3813" s="174"/>
      <c r="E3813" s="192"/>
      <c r="F3813" s="191"/>
      <c r="G3813" s="114"/>
      <c r="H3813" s="115" t="s">
        <v>3856</v>
      </c>
      <c r="I3813" s="115" t="s">
        <v>3857</v>
      </c>
      <c r="J3813" s="78"/>
    </row>
    <row r="3814" spans="2:10">
      <c r="B3814" s="95">
        <v>1</v>
      </c>
      <c r="C3814" s="131" t="s">
        <v>527</v>
      </c>
      <c r="D3814" s="187"/>
      <c r="E3814" s="195"/>
      <c r="F3814" s="107" t="s">
        <v>2374</v>
      </c>
      <c r="G3814" s="179">
        <v>8</v>
      </c>
      <c r="H3814" s="179">
        <f>'HIRE CHARGES'!$F$508</f>
        <v>219.7</v>
      </c>
      <c r="I3814" s="155">
        <f t="shared" ref="I3814:I3820" si="67">H3814*G3814</f>
        <v>1757.6</v>
      </c>
      <c r="J3814" s="78"/>
    </row>
    <row r="3815" spans="2:10">
      <c r="B3815" s="105">
        <v>2</v>
      </c>
      <c r="C3815" s="135" t="s">
        <v>999</v>
      </c>
      <c r="D3815" s="31"/>
      <c r="E3815" s="189"/>
      <c r="F3815" s="210" t="s">
        <v>2374</v>
      </c>
      <c r="G3815" s="190">
        <v>1</v>
      </c>
      <c r="H3815" s="207">
        <f>'HIRE CHARGES'!$F$520</f>
        <v>83.3</v>
      </c>
      <c r="I3815" s="155">
        <f t="shared" si="67"/>
        <v>83.3</v>
      </c>
      <c r="J3815" s="78"/>
    </row>
    <row r="3816" spans="2:10">
      <c r="B3816" s="105">
        <v>3</v>
      </c>
      <c r="C3816" s="135" t="s">
        <v>4206</v>
      </c>
      <c r="D3816" s="31"/>
      <c r="E3816" s="189"/>
      <c r="F3816" s="210" t="s">
        <v>1172</v>
      </c>
      <c r="G3816" s="190">
        <v>1</v>
      </c>
      <c r="H3816" s="190">
        <f>'BASIC DATA'!$C$473</f>
        <v>450</v>
      </c>
      <c r="I3816" s="155">
        <f t="shared" si="67"/>
        <v>450</v>
      </c>
      <c r="J3816" s="78"/>
    </row>
    <row r="3817" spans="2:10">
      <c r="B3817" s="105">
        <v>4</v>
      </c>
      <c r="C3817" s="135" t="s">
        <v>6460</v>
      </c>
      <c r="D3817" s="31"/>
      <c r="E3817" s="189"/>
      <c r="F3817" s="210" t="s">
        <v>1172</v>
      </c>
      <c r="G3817" s="190">
        <v>7</v>
      </c>
      <c r="H3817" s="207">
        <f>'BASIC DATA'!$C$545</f>
        <v>400</v>
      </c>
      <c r="I3817" s="155">
        <f t="shared" si="67"/>
        <v>2800</v>
      </c>
      <c r="J3817" s="78"/>
    </row>
    <row r="3818" spans="2:10">
      <c r="B3818" s="105">
        <v>5</v>
      </c>
      <c r="C3818" s="135" t="s">
        <v>440</v>
      </c>
      <c r="D3818" s="31"/>
      <c r="E3818" s="189"/>
      <c r="F3818" s="210" t="s">
        <v>1172</v>
      </c>
      <c r="G3818" s="190">
        <v>2.5</v>
      </c>
      <c r="H3818" s="207">
        <f>'BASIC DATA'!$C$474</f>
        <v>445</v>
      </c>
      <c r="I3818" s="155">
        <f t="shared" si="67"/>
        <v>1112.5</v>
      </c>
      <c r="J3818" s="78"/>
    </row>
    <row r="3819" spans="2:10">
      <c r="B3819" s="105">
        <v>6</v>
      </c>
      <c r="C3819" s="135" t="s">
        <v>1356</v>
      </c>
      <c r="D3819" s="31"/>
      <c r="E3819" s="189"/>
      <c r="F3819" s="210" t="s">
        <v>1172</v>
      </c>
      <c r="G3819" s="190">
        <v>4</v>
      </c>
      <c r="H3819" s="207">
        <f>'BASIC DATA'!$C$541</f>
        <v>400</v>
      </c>
      <c r="I3819" s="155">
        <f t="shared" si="67"/>
        <v>1600</v>
      </c>
      <c r="J3819" s="78"/>
    </row>
    <row r="3820" spans="2:10">
      <c r="B3820" s="105">
        <v>7</v>
      </c>
      <c r="C3820" s="135" t="s">
        <v>4393</v>
      </c>
      <c r="D3820" s="31"/>
      <c r="E3820" s="189"/>
      <c r="F3820" s="210" t="s">
        <v>1172</v>
      </c>
      <c r="G3820" s="190">
        <v>16</v>
      </c>
      <c r="H3820" s="207">
        <f>'BASIC DATA'!$C$513</f>
        <v>400</v>
      </c>
      <c r="I3820" s="155">
        <f t="shared" si="67"/>
        <v>6400</v>
      </c>
      <c r="J3820" s="78"/>
    </row>
    <row r="3821" spans="2:10">
      <c r="B3821" s="105">
        <v>8</v>
      </c>
      <c r="C3821" s="135" t="s">
        <v>2697</v>
      </c>
      <c r="D3821" s="31"/>
      <c r="E3821" s="189"/>
      <c r="F3821" s="210"/>
      <c r="G3821" s="210"/>
      <c r="H3821" s="189"/>
      <c r="I3821" s="138"/>
      <c r="J3821" s="78"/>
    </row>
    <row r="3822" spans="2:10">
      <c r="B3822" s="105"/>
      <c r="C3822" s="135" t="s">
        <v>4413</v>
      </c>
      <c r="D3822" s="31"/>
      <c r="E3822" s="189"/>
      <c r="F3822" s="210" t="s">
        <v>1172</v>
      </c>
      <c r="G3822" s="190">
        <v>2</v>
      </c>
      <c r="H3822" s="207">
        <f>'BASIC DATA'!$C$552</f>
        <v>350</v>
      </c>
      <c r="I3822" s="155">
        <f t="shared" ref="I3822:I3828" si="68">H3822*G3822</f>
        <v>700</v>
      </c>
      <c r="J3822" s="78"/>
    </row>
    <row r="3823" spans="2:10">
      <c r="B3823" s="105"/>
      <c r="C3823" s="135" t="s">
        <v>2831</v>
      </c>
      <c r="D3823" s="31"/>
      <c r="E3823" s="189"/>
      <c r="F3823" s="210" t="s">
        <v>1172</v>
      </c>
      <c r="G3823" s="190">
        <v>6</v>
      </c>
      <c r="H3823" s="207">
        <f>'BASIC DATA'!$C$552</f>
        <v>350</v>
      </c>
      <c r="I3823" s="155">
        <f t="shared" si="68"/>
        <v>2100</v>
      </c>
      <c r="J3823" s="78"/>
    </row>
    <row r="3824" spans="2:10">
      <c r="B3824" s="105"/>
      <c r="C3824" s="135" t="s">
        <v>442</v>
      </c>
      <c r="D3824" s="31"/>
      <c r="E3824" s="189"/>
      <c r="F3824" s="210" t="s">
        <v>1172</v>
      </c>
      <c r="G3824" s="190">
        <v>4</v>
      </c>
      <c r="H3824" s="207">
        <f>'BASIC DATA'!$C$552</f>
        <v>350</v>
      </c>
      <c r="I3824" s="155">
        <f t="shared" si="68"/>
        <v>1400</v>
      </c>
      <c r="J3824" s="78"/>
    </row>
    <row r="3825" spans="2:10">
      <c r="B3825" s="105"/>
      <c r="C3825" s="135" t="s">
        <v>1109</v>
      </c>
      <c r="D3825" s="31"/>
      <c r="E3825" s="189"/>
      <c r="F3825" s="210" t="s">
        <v>1172</v>
      </c>
      <c r="G3825" s="190">
        <v>10</v>
      </c>
      <c r="H3825" s="207">
        <f>'BASIC DATA'!$C$552</f>
        <v>350</v>
      </c>
      <c r="I3825" s="155">
        <f t="shared" si="68"/>
        <v>3500</v>
      </c>
      <c r="J3825" s="78"/>
    </row>
    <row r="3826" spans="2:10">
      <c r="B3826" s="105"/>
      <c r="C3826" s="135" t="s">
        <v>2789</v>
      </c>
      <c r="D3826" s="31"/>
      <c r="E3826" s="189"/>
      <c r="F3826" s="210" t="s">
        <v>1172</v>
      </c>
      <c r="G3826" s="190">
        <v>1</v>
      </c>
      <c r="H3826" s="207">
        <f>'BASIC DATA'!$C$552</f>
        <v>350</v>
      </c>
      <c r="I3826" s="155">
        <f t="shared" si="68"/>
        <v>350</v>
      </c>
      <c r="J3826" s="78"/>
    </row>
    <row r="3827" spans="2:10">
      <c r="B3827" s="210"/>
      <c r="C3827" s="135" t="s">
        <v>1110</v>
      </c>
      <c r="D3827" s="31"/>
      <c r="E3827" s="189"/>
      <c r="F3827" s="210" t="s">
        <v>1172</v>
      </c>
      <c r="G3827" s="190">
        <v>4</v>
      </c>
      <c r="H3827" s="207">
        <f>'BASIC DATA'!$C$552</f>
        <v>350</v>
      </c>
      <c r="I3827" s="155">
        <f t="shared" si="68"/>
        <v>1400</v>
      </c>
      <c r="J3827" s="78"/>
    </row>
    <row r="3828" spans="2:10">
      <c r="B3828" s="191"/>
      <c r="C3828" s="139" t="s">
        <v>6254</v>
      </c>
      <c r="D3828" s="174"/>
      <c r="E3828" s="192"/>
      <c r="F3828" s="191" t="s">
        <v>1172</v>
      </c>
      <c r="G3828" s="182">
        <v>12</v>
      </c>
      <c r="H3828" s="207">
        <f>'BASIC DATA'!$C$552</f>
        <v>350</v>
      </c>
      <c r="I3828" s="155">
        <f t="shared" si="68"/>
        <v>4200</v>
      </c>
      <c r="J3828" s="78"/>
    </row>
    <row r="3829" spans="2:10">
      <c r="B3829" s="184"/>
      <c r="C3829" s="151"/>
      <c r="D3829" s="159"/>
      <c r="E3829" s="159" t="s">
        <v>1174</v>
      </c>
      <c r="F3829" s="159"/>
      <c r="G3829" s="159"/>
      <c r="H3829" s="208" t="s">
        <v>1698</v>
      </c>
      <c r="I3829" s="209">
        <f>SUM(I3814:I3828)</f>
        <v>27853.4</v>
      </c>
      <c r="J3829" s="78"/>
    </row>
    <row r="3830" spans="2:10">
      <c r="B3830" s="60" t="s">
        <v>5948</v>
      </c>
      <c r="C3830" s="76"/>
      <c r="D3830" s="31"/>
      <c r="E3830" s="31"/>
      <c r="F3830" s="31"/>
      <c r="G3830" s="85">
        <f>ROUND(I3829/H3792,1)</f>
        <v>1114.0999999999999</v>
      </c>
      <c r="J3830" s="78"/>
    </row>
    <row r="3831" spans="2:10">
      <c r="B3831" s="60" t="s">
        <v>3163</v>
      </c>
      <c r="C3831" s="76"/>
      <c r="D3831" s="31"/>
      <c r="E3831" s="31"/>
      <c r="F3831" s="922">
        <f>'BASIC DATA'!$C$577</f>
        <v>0.13614999999999999</v>
      </c>
      <c r="G3831" s="85">
        <f>ROUND(G3830*F3831,1)</f>
        <v>151.69999999999999</v>
      </c>
      <c r="J3831" s="78"/>
    </row>
    <row r="3832" spans="2:10">
      <c r="B3832" s="60" t="s">
        <v>5949</v>
      </c>
      <c r="C3832" s="76"/>
      <c r="D3832" s="31"/>
      <c r="E3832" s="31"/>
      <c r="F3832" s="31"/>
      <c r="G3832" s="199">
        <f>ROUND(G3831+G3830,1)</f>
        <v>1265.8</v>
      </c>
      <c r="J3832" s="78"/>
    </row>
    <row r="3833" spans="2:10">
      <c r="B3833" s="31"/>
      <c r="C3833" s="76"/>
      <c r="D3833" s="31"/>
      <c r="E3833" s="31"/>
      <c r="F3833" s="31"/>
      <c r="G3833" s="200"/>
      <c r="I3833" s="31"/>
      <c r="J3833" s="78"/>
    </row>
    <row r="3834" spans="2:10">
      <c r="B3834" s="170" t="s">
        <v>1175</v>
      </c>
      <c r="J3834" s="78"/>
    </row>
    <row r="3835" spans="2:10">
      <c r="B3835" s="26" t="s">
        <v>1176</v>
      </c>
      <c r="H3835" s="171" t="s">
        <v>1698</v>
      </c>
      <c r="I3835" s="117">
        <f>I3801</f>
        <v>37193.375</v>
      </c>
      <c r="J3835" s="78"/>
    </row>
    <row r="3836" spans="2:10">
      <c r="B3836" s="26" t="s">
        <v>1186</v>
      </c>
      <c r="H3836" s="171" t="s">
        <v>1698</v>
      </c>
      <c r="I3836" s="117">
        <f>I3810</f>
        <v>700.30000000000007</v>
      </c>
      <c r="J3836" s="78"/>
    </row>
    <row r="3837" spans="2:10">
      <c r="B3837" s="26" t="s">
        <v>2660</v>
      </c>
      <c r="H3837" s="171" t="s">
        <v>1698</v>
      </c>
      <c r="I3837" s="117">
        <f>I3829</f>
        <v>27853.4</v>
      </c>
      <c r="J3837" s="78"/>
    </row>
    <row r="3838" spans="2:10">
      <c r="G3838" s="26" t="s">
        <v>1518</v>
      </c>
      <c r="H3838" s="171" t="s">
        <v>1698</v>
      </c>
      <c r="I3838" s="130">
        <f>SUM(I3834:I3837)</f>
        <v>65747.075000000012</v>
      </c>
      <c r="J3838" s="78"/>
    </row>
    <row r="3839" spans="2:10" ht="18.75">
      <c r="B3839" s="1207" t="s">
        <v>8375</v>
      </c>
      <c r="C3839" s="1207"/>
      <c r="D3839" s="1207"/>
      <c r="E3839" s="1207"/>
      <c r="F3839" s="1207"/>
      <c r="G3839" s="922">
        <f>'BASIC DATA'!$C$577</f>
        <v>0.13614999999999999</v>
      </c>
      <c r="H3839" s="171" t="s">
        <v>4108</v>
      </c>
      <c r="I3839" s="76">
        <f>ROUND(I3838*G3839,2)</f>
        <v>8951.4599999999991</v>
      </c>
      <c r="J3839" s="78"/>
    </row>
    <row r="3840" spans="2:10">
      <c r="B3840" s="27" t="s">
        <v>9590</v>
      </c>
      <c r="C3840" s="43"/>
      <c r="D3840" s="43"/>
      <c r="E3840" s="43"/>
      <c r="F3840" s="779">
        <f>G3800</f>
        <v>9.375</v>
      </c>
      <c r="G3840" s="201" t="s">
        <v>9591</v>
      </c>
      <c r="H3840" s="68" t="str">
        <f>CONCATENATE((leadcharges!$D$65)," ","Rs./Cum")</f>
        <v>31.5 Rs./Cum</v>
      </c>
      <c r="I3840" s="76">
        <f>leadcharges!$D$65*F3840</f>
        <v>295.3125</v>
      </c>
      <c r="J3840" s="78"/>
    </row>
    <row r="3841" spans="1:10">
      <c r="B3841" s="27" t="s">
        <v>9595</v>
      </c>
      <c r="C3841" s="43"/>
      <c r="D3841" s="43"/>
      <c r="E3841" s="43"/>
      <c r="F3841" s="779">
        <f>SUM(G3798:G3799)+(0.3*0.3*0.6*G3797)+(0.3*0.3*0.45*G3796)</f>
        <v>26.810000000000002</v>
      </c>
      <c r="G3841" s="201" t="s">
        <v>9591</v>
      </c>
      <c r="H3841" s="68" t="str">
        <f>CONCATENATE((leadcharges!$E$65)," ","Rs./Cum")</f>
        <v>30.4 Rs./Cum</v>
      </c>
      <c r="I3841" s="85">
        <f>leadcharges!$E$65*F3841</f>
        <v>815.024</v>
      </c>
      <c r="J3841" s="78"/>
    </row>
    <row r="3842" spans="1:10" ht="42" hidden="1" customHeight="1">
      <c r="B3842" s="1207"/>
      <c r="C3842" s="1207"/>
      <c r="D3842" s="1207"/>
      <c r="E3842" s="1207"/>
      <c r="F3842" s="779"/>
      <c r="G3842" s="201"/>
      <c r="H3842" s="68"/>
      <c r="I3842" s="76"/>
      <c r="J3842" s="78"/>
    </row>
    <row r="3843" spans="1:10">
      <c r="B3843" s="1206" t="s">
        <v>1191</v>
      </c>
      <c r="C3843" s="1206"/>
      <c r="D3843" s="1206"/>
      <c r="E3843" s="1206"/>
      <c r="F3843" s="202">
        <f>H3792</f>
        <v>25</v>
      </c>
      <c r="G3843" s="217" t="str">
        <f>I3792</f>
        <v xml:space="preserve"> cum</v>
      </c>
      <c r="H3843" s="171" t="s">
        <v>1698</v>
      </c>
      <c r="I3843" s="199">
        <f>SUM(I3838:I3842)</f>
        <v>75808.871500000008</v>
      </c>
      <c r="J3843" s="78"/>
    </row>
    <row r="3844" spans="1:10">
      <c r="B3844" s="1161" t="s">
        <v>3884</v>
      </c>
      <c r="C3844" s="1161"/>
      <c r="D3844" s="246" t="str">
        <f>G3843</f>
        <v xml:space="preserve"> cum</v>
      </c>
      <c r="F3844" s="26" t="s">
        <v>1646</v>
      </c>
      <c r="H3844" s="171" t="s">
        <v>1698</v>
      </c>
      <c r="I3844" s="204">
        <f>ROUND(I3843/F3843,1)</f>
        <v>3032.4</v>
      </c>
      <c r="J3844" s="78"/>
    </row>
    <row r="3845" spans="1:10">
      <c r="J3845" s="78"/>
    </row>
    <row r="3846" spans="1:10">
      <c r="J3846" s="78"/>
    </row>
    <row r="3847" spans="1:10" ht="18.75">
      <c r="A3847" s="822" t="s">
        <v>7353</v>
      </c>
      <c r="B3847" s="26" t="s">
        <v>8489</v>
      </c>
      <c r="J3847" s="78"/>
    </row>
    <row r="3848" spans="1:10" ht="18.75">
      <c r="B3848" s="26" t="s">
        <v>8492</v>
      </c>
      <c r="J3848" s="78"/>
    </row>
    <row r="3849" spans="1:10">
      <c r="B3849" s="26" t="s">
        <v>2636</v>
      </c>
      <c r="J3849" s="78"/>
    </row>
    <row r="3850" spans="1:10" ht="18.75">
      <c r="B3850" s="26" t="s">
        <v>8493</v>
      </c>
      <c r="J3850" s="78"/>
    </row>
    <row r="3851" spans="1:10">
      <c r="B3851" s="170" t="s">
        <v>5094</v>
      </c>
      <c r="J3851" s="78"/>
    </row>
    <row r="3852" spans="1:10">
      <c r="B3852" s="170" t="s">
        <v>6861</v>
      </c>
      <c r="J3852" s="78"/>
    </row>
    <row r="3853" spans="1:10">
      <c r="B3853" s="170" t="s">
        <v>6859</v>
      </c>
      <c r="J3853" s="78"/>
    </row>
    <row r="3854" spans="1:10">
      <c r="B3854" s="170" t="s">
        <v>6860</v>
      </c>
      <c r="J3854" s="78"/>
    </row>
    <row r="3855" spans="1:10" hidden="1">
      <c r="A3855" s="822" t="s">
        <v>3984</v>
      </c>
      <c r="B3855" s="26" t="s">
        <v>6890</v>
      </c>
      <c r="G3855" s="171" t="s">
        <v>1697</v>
      </c>
      <c r="H3855" s="68">
        <v>75</v>
      </c>
      <c r="I3855" s="26" t="s">
        <v>3135</v>
      </c>
      <c r="J3855" s="78"/>
    </row>
    <row r="3856" spans="1:10" hidden="1">
      <c r="B3856" s="26" t="s">
        <v>19</v>
      </c>
      <c r="D3856" s="26" t="s">
        <v>6891</v>
      </c>
      <c r="G3856" s="27" t="s">
        <v>21</v>
      </c>
      <c r="H3856" s="68">
        <v>9.75</v>
      </c>
      <c r="I3856" s="26" t="s">
        <v>4041</v>
      </c>
      <c r="J3856" s="78"/>
    </row>
    <row r="3857" spans="1:10" hidden="1">
      <c r="B3857" s="26" t="s">
        <v>6892</v>
      </c>
      <c r="E3857" s="26" t="s">
        <v>21</v>
      </c>
      <c r="G3857" s="171" t="s">
        <v>1697</v>
      </c>
      <c r="H3857" s="68">
        <v>3.25</v>
      </c>
      <c r="I3857" s="26" t="s">
        <v>3032</v>
      </c>
      <c r="J3857" s="78"/>
    </row>
    <row r="3858" spans="1:10" hidden="1">
      <c r="B3858" s="26" t="s">
        <v>6893</v>
      </c>
      <c r="G3858" s="171" t="s">
        <v>1697</v>
      </c>
      <c r="H3858" s="68">
        <v>0.35</v>
      </c>
      <c r="I3858" s="26" t="s">
        <v>3477</v>
      </c>
      <c r="J3858" s="78"/>
    </row>
    <row r="3859" spans="1:10" hidden="1">
      <c r="B3859" s="26" t="s">
        <v>4547</v>
      </c>
      <c r="G3859" s="171" t="s">
        <v>1697</v>
      </c>
      <c r="H3859" s="68">
        <v>0.375</v>
      </c>
      <c r="I3859" s="26" t="s">
        <v>6714</v>
      </c>
      <c r="J3859" s="78"/>
    </row>
    <row r="3860" spans="1:10" hidden="1">
      <c r="B3860" s="26" t="s">
        <v>5853</v>
      </c>
      <c r="G3860" s="171" t="s">
        <v>1697</v>
      </c>
      <c r="H3860" s="68">
        <v>134</v>
      </c>
      <c r="I3860" s="26" t="s">
        <v>3478</v>
      </c>
      <c r="J3860" s="78"/>
    </row>
    <row r="3861" spans="1:10" hidden="1">
      <c r="B3861" s="26" t="s">
        <v>4950</v>
      </c>
      <c r="G3861" s="171" t="s">
        <v>1697</v>
      </c>
      <c r="H3861" s="68">
        <v>10</v>
      </c>
      <c r="I3861" s="26" t="s">
        <v>1312</v>
      </c>
      <c r="J3861" s="78"/>
    </row>
    <row r="3862" spans="1:10" hidden="1">
      <c r="B3862" s="26" t="s">
        <v>6889</v>
      </c>
      <c r="G3862" s="78"/>
      <c r="H3862" s="26">
        <v>26.65</v>
      </c>
      <c r="I3862" s="26" t="s">
        <v>6901</v>
      </c>
      <c r="J3862" s="78"/>
    </row>
    <row r="3863" spans="1:10" hidden="1">
      <c r="B3863" s="26" t="s">
        <v>268</v>
      </c>
      <c r="G3863" s="78"/>
      <c r="J3863" s="78"/>
    </row>
    <row r="3864" spans="1:10" hidden="1">
      <c r="B3864" s="26" t="s">
        <v>3027</v>
      </c>
      <c r="J3864" s="78"/>
    </row>
    <row r="3865" spans="1:10" hidden="1">
      <c r="B3865" s="26" t="s">
        <v>3083</v>
      </c>
      <c r="D3865" s="26" t="s">
        <v>5924</v>
      </c>
      <c r="G3865" s="78" t="s">
        <v>1697</v>
      </c>
      <c r="H3865" s="68">
        <v>7</v>
      </c>
      <c r="I3865" s="26" t="s">
        <v>4041</v>
      </c>
      <c r="J3865" s="78"/>
    </row>
    <row r="3866" spans="1:10" hidden="1">
      <c r="B3866" s="26" t="s">
        <v>590</v>
      </c>
      <c r="J3866" s="78"/>
    </row>
    <row r="3867" spans="1:10">
      <c r="J3867" s="78"/>
    </row>
    <row r="3868" spans="1:10">
      <c r="A3868" s="822" t="s">
        <v>3984</v>
      </c>
      <c r="E3868" s="170" t="s">
        <v>2367</v>
      </c>
      <c r="J3868" s="78"/>
    </row>
    <row r="3869" spans="1:10">
      <c r="H3869" s="171" t="s">
        <v>1188</v>
      </c>
      <c r="J3869" s="78"/>
    </row>
    <row r="3870" spans="1:10">
      <c r="B3870" s="170" t="s">
        <v>2368</v>
      </c>
      <c r="C3870" s="89"/>
      <c r="H3870" s="211">
        <v>25</v>
      </c>
      <c r="I3870" s="26" t="s">
        <v>3477</v>
      </c>
      <c r="J3870" s="78"/>
    </row>
    <row r="3871" spans="1:10">
      <c r="B3871" s="95" t="s">
        <v>2369</v>
      </c>
      <c r="D3871" s="157" t="s">
        <v>4443</v>
      </c>
      <c r="E3871" s="97"/>
      <c r="F3871" s="95" t="s">
        <v>2370</v>
      </c>
      <c r="G3871" s="95" t="s">
        <v>1166</v>
      </c>
      <c r="H3871" s="97" t="s">
        <v>6664</v>
      </c>
      <c r="I3871" s="97" t="s">
        <v>6665</v>
      </c>
      <c r="J3871" s="78"/>
    </row>
    <row r="3872" spans="1:10">
      <c r="B3872" s="191"/>
      <c r="C3872" s="139"/>
      <c r="D3872" s="174"/>
      <c r="E3872" s="192"/>
      <c r="F3872" s="191"/>
      <c r="G3872" s="114"/>
      <c r="H3872" s="115" t="s">
        <v>3856</v>
      </c>
      <c r="I3872" s="115" t="s">
        <v>3857</v>
      </c>
      <c r="J3872" s="78"/>
    </row>
    <row r="3873" spans="1:10">
      <c r="B3873" s="95">
        <v>1</v>
      </c>
      <c r="C3873" s="131" t="s">
        <v>997</v>
      </c>
      <c r="D3873" s="187"/>
      <c r="E3873" s="195"/>
      <c r="F3873" s="107" t="s">
        <v>3478</v>
      </c>
      <c r="G3873" s="107">
        <f>134*25</f>
        <v>3350</v>
      </c>
      <c r="H3873" s="212">
        <f>'BASIC DATA'!$D$32/1000</f>
        <v>5.35</v>
      </c>
      <c r="I3873" s="155">
        <f t="shared" ref="I3873:I3878" si="69">H3873*G3873</f>
        <v>17922.5</v>
      </c>
    </row>
    <row r="3874" spans="1:10">
      <c r="B3874" s="105">
        <v>2</v>
      </c>
      <c r="C3874" s="135" t="s">
        <v>7000</v>
      </c>
      <c r="D3874" s="31"/>
      <c r="E3874" s="189"/>
      <c r="F3874" s="210" t="s">
        <v>2059</v>
      </c>
      <c r="G3874" s="210">
        <f>CEILING(9.75*25,1)</f>
        <v>244</v>
      </c>
      <c r="H3874" s="214">
        <f>'BASIC DATA'!$D$41</f>
        <v>23</v>
      </c>
      <c r="I3874" s="155">
        <f t="shared" si="69"/>
        <v>5612</v>
      </c>
    </row>
    <row r="3875" spans="1:10">
      <c r="B3875" s="105">
        <v>3</v>
      </c>
      <c r="C3875" s="135" t="s">
        <v>5700</v>
      </c>
      <c r="D3875" s="31"/>
      <c r="E3875" s="189"/>
      <c r="F3875" s="210" t="s">
        <v>2059</v>
      </c>
      <c r="G3875" s="210">
        <f>CEILING(3.25*25,1)</f>
        <v>82</v>
      </c>
      <c r="H3875" s="214">
        <f>'BASIC DATA'!$D$42</f>
        <v>26</v>
      </c>
      <c r="I3875" s="155">
        <f t="shared" si="69"/>
        <v>2132</v>
      </c>
    </row>
    <row r="3876" spans="1:10">
      <c r="B3876" s="105">
        <v>4</v>
      </c>
      <c r="C3876" s="135" t="s">
        <v>5012</v>
      </c>
      <c r="D3876" s="31"/>
      <c r="E3876" s="189"/>
      <c r="F3876" s="210" t="s">
        <v>3477</v>
      </c>
      <c r="G3876" s="210">
        <f>0.35*25</f>
        <v>8.75</v>
      </c>
      <c r="H3876" s="214">
        <f>'BASIC DATA'!$D$108</f>
        <v>318</v>
      </c>
      <c r="I3876" s="155">
        <f t="shared" si="69"/>
        <v>2782.5</v>
      </c>
    </row>
    <row r="3877" spans="1:10">
      <c r="B3877" s="105">
        <v>5</v>
      </c>
      <c r="C3877" s="135" t="s">
        <v>1358</v>
      </c>
      <c r="D3877" s="31"/>
      <c r="E3877" s="189"/>
      <c r="F3877" s="210" t="s">
        <v>3477</v>
      </c>
      <c r="G3877" s="210">
        <f>0.15*25</f>
        <v>3.75</v>
      </c>
      <c r="H3877" s="214">
        <f>'BASIC DATA'!$D$96</f>
        <v>350</v>
      </c>
      <c r="I3877" s="155">
        <f t="shared" si="69"/>
        <v>1312.5</v>
      </c>
    </row>
    <row r="3878" spans="1:10">
      <c r="A3878" s="853"/>
      <c r="B3878" s="237">
        <v>6</v>
      </c>
      <c r="C3878" s="306" t="s">
        <v>7937</v>
      </c>
      <c r="D3878" s="241"/>
      <c r="E3878" s="242"/>
      <c r="F3878" s="277" t="s">
        <v>3477</v>
      </c>
      <c r="G3878" s="277">
        <v>9.375</v>
      </c>
      <c r="H3878" s="284">
        <f>'BASIC DATA'!$D$57</f>
        <v>165</v>
      </c>
      <c r="I3878" s="244">
        <f t="shared" si="69"/>
        <v>1546.875</v>
      </c>
      <c r="J3878" s="61"/>
    </row>
    <row r="3879" spans="1:10">
      <c r="B3879" s="184"/>
      <c r="C3879" s="151"/>
      <c r="D3879" s="159"/>
      <c r="E3879" s="159" t="s">
        <v>2376</v>
      </c>
      <c r="F3879" s="159"/>
      <c r="G3879" s="159"/>
      <c r="H3879" s="208" t="s">
        <v>1698</v>
      </c>
      <c r="I3879" s="209">
        <f>SUM(I3873:I3878)</f>
        <v>31308.375</v>
      </c>
      <c r="J3879" s="78"/>
    </row>
    <row r="3880" spans="1:10">
      <c r="B3880" s="31"/>
      <c r="C3880" s="76"/>
      <c r="D3880" s="31"/>
      <c r="E3880" s="31"/>
      <c r="F3880" s="31"/>
      <c r="G3880" s="31"/>
      <c r="H3880" s="200"/>
      <c r="I3880" s="75"/>
      <c r="J3880" s="78"/>
    </row>
    <row r="3881" spans="1:10">
      <c r="B3881" s="170" t="s">
        <v>2377</v>
      </c>
      <c r="C3881" s="89"/>
      <c r="J3881" s="78"/>
    </row>
    <row r="3882" spans="1:10">
      <c r="B3882" s="95" t="s">
        <v>2369</v>
      </c>
      <c r="D3882" s="157" t="s">
        <v>2378</v>
      </c>
      <c r="E3882" s="97"/>
      <c r="F3882" s="95" t="s">
        <v>2370</v>
      </c>
      <c r="G3882" s="95" t="s">
        <v>1166</v>
      </c>
      <c r="H3882" s="97" t="s">
        <v>6664</v>
      </c>
      <c r="I3882" s="97" t="s">
        <v>6665</v>
      </c>
      <c r="J3882" s="78"/>
    </row>
    <row r="3883" spans="1:10">
      <c r="B3883" s="191"/>
      <c r="C3883" s="139"/>
      <c r="D3883" s="174"/>
      <c r="E3883" s="192"/>
      <c r="F3883" s="191"/>
      <c r="G3883" s="114"/>
      <c r="H3883" s="115" t="s">
        <v>3856</v>
      </c>
      <c r="I3883" s="115" t="s">
        <v>3857</v>
      </c>
      <c r="J3883" s="78"/>
    </row>
    <row r="3884" spans="1:10">
      <c r="B3884" s="95">
        <v>1</v>
      </c>
      <c r="C3884" s="131" t="s">
        <v>6641</v>
      </c>
      <c r="D3884" s="187"/>
      <c r="E3884" s="195"/>
      <c r="F3884" s="107" t="s">
        <v>2374</v>
      </c>
      <c r="G3884" s="179">
        <v>8</v>
      </c>
      <c r="H3884" s="178">
        <f>'HIRE CHARGES'!$D$508</f>
        <v>51.7</v>
      </c>
      <c r="I3884" s="155">
        <f>H3884*G3884</f>
        <v>413.6</v>
      </c>
      <c r="J3884" s="78"/>
    </row>
    <row r="3885" spans="1:10">
      <c r="B3885" s="105"/>
      <c r="C3885" s="135" t="s">
        <v>2379</v>
      </c>
      <c r="D3885" s="31"/>
      <c r="E3885" s="189"/>
      <c r="F3885" s="210" t="s">
        <v>2374</v>
      </c>
      <c r="G3885" s="190">
        <v>8</v>
      </c>
      <c r="H3885" s="207">
        <f>'HIRE CHARGES'!$E$508</f>
        <v>28</v>
      </c>
      <c r="I3885" s="155">
        <f>H3885*G3885</f>
        <v>224</v>
      </c>
      <c r="J3885" s="78"/>
    </row>
    <row r="3886" spans="1:10">
      <c r="B3886" s="105">
        <v>2</v>
      </c>
      <c r="C3886" s="135" t="s">
        <v>383</v>
      </c>
      <c r="D3886" s="31"/>
      <c r="E3886" s="189"/>
      <c r="F3886" s="210" t="s">
        <v>2374</v>
      </c>
      <c r="G3886" s="190">
        <v>1</v>
      </c>
      <c r="H3886" s="190">
        <f>'HIRE CHARGES'!$D$520</f>
        <v>6.7</v>
      </c>
      <c r="I3886" s="155">
        <f>H3886*G3886</f>
        <v>6.7</v>
      </c>
      <c r="J3886" s="78"/>
    </row>
    <row r="3887" spans="1:10">
      <c r="B3887" s="191"/>
      <c r="C3887" s="139" t="s">
        <v>2379</v>
      </c>
      <c r="D3887" s="174"/>
      <c r="E3887" s="192"/>
      <c r="F3887" s="191" t="s">
        <v>2374</v>
      </c>
      <c r="G3887" s="182">
        <v>1</v>
      </c>
      <c r="H3887" s="207">
        <f>'HIRE CHARGES'!$E$520</f>
        <v>56</v>
      </c>
      <c r="I3887" s="155">
        <f>H3887*G3887</f>
        <v>56</v>
      </c>
      <c r="J3887" s="78"/>
    </row>
    <row r="3888" spans="1:10">
      <c r="B3888" s="184"/>
      <c r="C3888" s="151"/>
      <c r="D3888" s="159"/>
      <c r="E3888" s="159" t="s">
        <v>2380</v>
      </c>
      <c r="F3888" s="159"/>
      <c r="G3888" s="159"/>
      <c r="H3888" s="208" t="s">
        <v>1698</v>
      </c>
      <c r="I3888" s="209">
        <f>SUM(I3884:I3887)</f>
        <v>700.30000000000007</v>
      </c>
      <c r="J3888" s="78"/>
    </row>
    <row r="3889" spans="2:10">
      <c r="B3889" s="31"/>
      <c r="C3889" s="76"/>
      <c r="D3889" s="31"/>
      <c r="E3889" s="31"/>
      <c r="F3889" s="31"/>
      <c r="G3889" s="31"/>
      <c r="H3889" s="200"/>
      <c r="I3889" s="75"/>
      <c r="J3889" s="78"/>
    </row>
    <row r="3890" spans="2:10">
      <c r="B3890" s="170" t="s">
        <v>2381</v>
      </c>
      <c r="C3890" s="89"/>
      <c r="J3890" s="78"/>
    </row>
    <row r="3891" spans="2:10">
      <c r="B3891" s="95" t="s">
        <v>2369</v>
      </c>
      <c r="D3891" s="157" t="s">
        <v>2378</v>
      </c>
      <c r="E3891" s="97"/>
      <c r="F3891" s="95" t="s">
        <v>2370</v>
      </c>
      <c r="G3891" s="95" t="s">
        <v>1166</v>
      </c>
      <c r="H3891" s="97" t="s">
        <v>6664</v>
      </c>
      <c r="I3891" s="97" t="s">
        <v>6665</v>
      </c>
      <c r="J3891" s="78"/>
    </row>
    <row r="3892" spans="2:10">
      <c r="B3892" s="191"/>
      <c r="C3892" s="139"/>
      <c r="D3892" s="174"/>
      <c r="E3892" s="192"/>
      <c r="F3892" s="191"/>
      <c r="G3892" s="114"/>
      <c r="H3892" s="115" t="s">
        <v>3856</v>
      </c>
      <c r="I3892" s="115" t="s">
        <v>3857</v>
      </c>
      <c r="J3892" s="78"/>
    </row>
    <row r="3893" spans="2:10">
      <c r="B3893" s="95">
        <v>1</v>
      </c>
      <c r="C3893" s="131" t="s">
        <v>527</v>
      </c>
      <c r="D3893" s="187"/>
      <c r="E3893" s="195"/>
      <c r="F3893" s="107" t="s">
        <v>2374</v>
      </c>
      <c r="G3893" s="179">
        <v>8</v>
      </c>
      <c r="H3893" s="179">
        <f>'HIRE CHARGES'!$F$508</f>
        <v>219.7</v>
      </c>
      <c r="I3893" s="155">
        <f t="shared" ref="I3893:I3899" si="70">H3893*G3893</f>
        <v>1757.6</v>
      </c>
      <c r="J3893" s="78"/>
    </row>
    <row r="3894" spans="2:10">
      <c r="B3894" s="105">
        <v>2</v>
      </c>
      <c r="C3894" s="135" t="s">
        <v>999</v>
      </c>
      <c r="D3894" s="31"/>
      <c r="E3894" s="189"/>
      <c r="F3894" s="210" t="s">
        <v>2374</v>
      </c>
      <c r="G3894" s="190">
        <v>1</v>
      </c>
      <c r="H3894" s="207">
        <f>'HIRE CHARGES'!$F$520</f>
        <v>83.3</v>
      </c>
      <c r="I3894" s="155">
        <f t="shared" si="70"/>
        <v>83.3</v>
      </c>
      <c r="J3894" s="78"/>
    </row>
    <row r="3895" spans="2:10">
      <c r="B3895" s="105">
        <v>3</v>
      </c>
      <c r="C3895" s="135" t="s">
        <v>4206</v>
      </c>
      <c r="D3895" s="31"/>
      <c r="E3895" s="189"/>
      <c r="F3895" s="210" t="s">
        <v>1172</v>
      </c>
      <c r="G3895" s="190">
        <v>1</v>
      </c>
      <c r="H3895" s="190">
        <f>'BASIC DATA'!$C$473</f>
        <v>450</v>
      </c>
      <c r="I3895" s="155">
        <f t="shared" si="70"/>
        <v>450</v>
      </c>
      <c r="J3895" s="78"/>
    </row>
    <row r="3896" spans="2:10">
      <c r="B3896" s="105">
        <v>4</v>
      </c>
      <c r="C3896" s="135" t="s">
        <v>6460</v>
      </c>
      <c r="D3896" s="31"/>
      <c r="E3896" s="189"/>
      <c r="F3896" s="210" t="s">
        <v>1172</v>
      </c>
      <c r="G3896" s="190">
        <v>7</v>
      </c>
      <c r="H3896" s="207">
        <f>'BASIC DATA'!$C$545</f>
        <v>400</v>
      </c>
      <c r="I3896" s="155">
        <f t="shared" si="70"/>
        <v>2800</v>
      </c>
      <c r="J3896" s="78"/>
    </row>
    <row r="3897" spans="2:10">
      <c r="B3897" s="105">
        <v>5</v>
      </c>
      <c r="C3897" s="135" t="s">
        <v>440</v>
      </c>
      <c r="D3897" s="31"/>
      <c r="E3897" s="189"/>
      <c r="F3897" s="210" t="s">
        <v>1172</v>
      </c>
      <c r="G3897" s="190">
        <v>2.5</v>
      </c>
      <c r="H3897" s="207">
        <f>'BASIC DATA'!$C$474</f>
        <v>445</v>
      </c>
      <c r="I3897" s="155">
        <f t="shared" si="70"/>
        <v>1112.5</v>
      </c>
      <c r="J3897" s="78"/>
    </row>
    <row r="3898" spans="2:10">
      <c r="B3898" s="105">
        <v>6</v>
      </c>
      <c r="C3898" s="135" t="s">
        <v>1356</v>
      </c>
      <c r="D3898" s="31"/>
      <c r="E3898" s="189"/>
      <c r="F3898" s="210" t="s">
        <v>1172</v>
      </c>
      <c r="G3898" s="190">
        <v>4</v>
      </c>
      <c r="H3898" s="207">
        <f>'BASIC DATA'!$C$541</f>
        <v>400</v>
      </c>
      <c r="I3898" s="155">
        <f t="shared" si="70"/>
        <v>1600</v>
      </c>
      <c r="J3898" s="78"/>
    </row>
    <row r="3899" spans="2:10">
      <c r="B3899" s="105">
        <v>7</v>
      </c>
      <c r="C3899" s="135" t="s">
        <v>4393</v>
      </c>
      <c r="D3899" s="31"/>
      <c r="E3899" s="189"/>
      <c r="F3899" s="210" t="s">
        <v>1172</v>
      </c>
      <c r="G3899" s="190">
        <v>16</v>
      </c>
      <c r="H3899" s="207">
        <f>'BASIC DATA'!$C$513</f>
        <v>400</v>
      </c>
      <c r="I3899" s="155">
        <f t="shared" si="70"/>
        <v>6400</v>
      </c>
      <c r="J3899" s="78"/>
    </row>
    <row r="3900" spans="2:10">
      <c r="B3900" s="105">
        <v>8</v>
      </c>
      <c r="C3900" s="135" t="s">
        <v>2697</v>
      </c>
      <c r="D3900" s="31"/>
      <c r="E3900" s="189"/>
      <c r="F3900" s="210"/>
      <c r="G3900" s="210"/>
      <c r="H3900" s="189"/>
      <c r="I3900" s="138"/>
      <c r="J3900" s="78"/>
    </row>
    <row r="3901" spans="2:10">
      <c r="B3901" s="210"/>
      <c r="C3901" s="135" t="s">
        <v>4413</v>
      </c>
      <c r="D3901" s="31"/>
      <c r="E3901" s="189"/>
      <c r="F3901" s="210" t="s">
        <v>1172</v>
      </c>
      <c r="G3901" s="190">
        <v>2</v>
      </c>
      <c r="H3901" s="207">
        <f>'BASIC DATA'!$C$552</f>
        <v>350</v>
      </c>
      <c r="I3901" s="155">
        <f t="shared" ref="I3901:I3907" si="71">H3901*G3901</f>
        <v>700</v>
      </c>
      <c r="J3901" s="78"/>
    </row>
    <row r="3902" spans="2:10">
      <c r="B3902" s="210"/>
      <c r="C3902" s="135" t="s">
        <v>2831</v>
      </c>
      <c r="D3902" s="31"/>
      <c r="E3902" s="189"/>
      <c r="F3902" s="210" t="s">
        <v>1172</v>
      </c>
      <c r="G3902" s="190">
        <v>6</v>
      </c>
      <c r="H3902" s="207">
        <f>'BASIC DATA'!$C$552</f>
        <v>350</v>
      </c>
      <c r="I3902" s="155">
        <f t="shared" si="71"/>
        <v>2100</v>
      </c>
      <c r="J3902" s="78"/>
    </row>
    <row r="3903" spans="2:10">
      <c r="B3903" s="210"/>
      <c r="C3903" s="135" t="s">
        <v>442</v>
      </c>
      <c r="D3903" s="31"/>
      <c r="E3903" s="189"/>
      <c r="F3903" s="210" t="s">
        <v>1172</v>
      </c>
      <c r="G3903" s="190">
        <v>4</v>
      </c>
      <c r="H3903" s="207">
        <f>'BASIC DATA'!$C$552</f>
        <v>350</v>
      </c>
      <c r="I3903" s="155">
        <f t="shared" si="71"/>
        <v>1400</v>
      </c>
      <c r="J3903" s="78"/>
    </row>
    <row r="3904" spans="2:10">
      <c r="B3904" s="210"/>
      <c r="C3904" s="135" t="s">
        <v>1109</v>
      </c>
      <c r="D3904" s="31"/>
      <c r="E3904" s="189"/>
      <c r="F3904" s="210" t="s">
        <v>1172</v>
      </c>
      <c r="G3904" s="190">
        <v>10</v>
      </c>
      <c r="H3904" s="207">
        <f>'BASIC DATA'!$C$552</f>
        <v>350</v>
      </c>
      <c r="I3904" s="155">
        <f t="shared" si="71"/>
        <v>3500</v>
      </c>
      <c r="J3904" s="78"/>
    </row>
    <row r="3905" spans="2:10">
      <c r="B3905" s="210"/>
      <c r="C3905" s="135" t="s">
        <v>2789</v>
      </c>
      <c r="D3905" s="31"/>
      <c r="E3905" s="189"/>
      <c r="F3905" s="210" t="s">
        <v>1172</v>
      </c>
      <c r="G3905" s="190">
        <v>1</v>
      </c>
      <c r="H3905" s="207">
        <f>'BASIC DATA'!$C$552</f>
        <v>350</v>
      </c>
      <c r="I3905" s="155">
        <f t="shared" si="71"/>
        <v>350</v>
      </c>
      <c r="J3905" s="78"/>
    </row>
    <row r="3906" spans="2:10">
      <c r="B3906" s="210"/>
      <c r="C3906" s="135" t="s">
        <v>1110</v>
      </c>
      <c r="D3906" s="31"/>
      <c r="E3906" s="189"/>
      <c r="F3906" s="210" t="s">
        <v>1172</v>
      </c>
      <c r="G3906" s="190">
        <v>4</v>
      </c>
      <c r="H3906" s="207">
        <f>'BASIC DATA'!$C$552</f>
        <v>350</v>
      </c>
      <c r="I3906" s="155">
        <f t="shared" si="71"/>
        <v>1400</v>
      </c>
      <c r="J3906" s="78"/>
    </row>
    <row r="3907" spans="2:10">
      <c r="B3907" s="191"/>
      <c r="C3907" s="139" t="s">
        <v>6254</v>
      </c>
      <c r="D3907" s="174"/>
      <c r="E3907" s="192"/>
      <c r="F3907" s="191" t="s">
        <v>1172</v>
      </c>
      <c r="G3907" s="182">
        <v>12</v>
      </c>
      <c r="H3907" s="207">
        <f>'BASIC DATA'!$C$552</f>
        <v>350</v>
      </c>
      <c r="I3907" s="155">
        <f t="shared" si="71"/>
        <v>4200</v>
      </c>
      <c r="J3907" s="78"/>
    </row>
    <row r="3908" spans="2:10">
      <c r="B3908" s="184"/>
      <c r="C3908" s="151"/>
      <c r="D3908" s="159"/>
      <c r="E3908" s="159" t="s">
        <v>1174</v>
      </c>
      <c r="F3908" s="159"/>
      <c r="G3908" s="159"/>
      <c r="H3908" s="206" t="s">
        <v>1698</v>
      </c>
      <c r="I3908" s="209">
        <f>SUM(I3893:I3907)</f>
        <v>27853.4</v>
      </c>
      <c r="J3908" s="78"/>
    </row>
    <row r="3909" spans="2:10">
      <c r="B3909" s="60" t="s">
        <v>5948</v>
      </c>
      <c r="C3909" s="76"/>
      <c r="D3909" s="31"/>
      <c r="E3909" s="31"/>
      <c r="F3909" s="31"/>
      <c r="G3909" s="85">
        <f>ROUND(I3908/H3870,1)</f>
        <v>1114.0999999999999</v>
      </c>
      <c r="J3909" s="78"/>
    </row>
    <row r="3910" spans="2:10">
      <c r="B3910" s="60" t="s">
        <v>3163</v>
      </c>
      <c r="C3910" s="76"/>
      <c r="D3910" s="31"/>
      <c r="E3910" s="31"/>
      <c r="F3910" s="922">
        <f>'BASIC DATA'!$C$577</f>
        <v>0.13614999999999999</v>
      </c>
      <c r="G3910" s="85">
        <f>ROUND(G3909*F3910,1)</f>
        <v>151.69999999999999</v>
      </c>
      <c r="J3910" s="78"/>
    </row>
    <row r="3911" spans="2:10">
      <c r="B3911" s="60" t="s">
        <v>5949</v>
      </c>
      <c r="C3911" s="76"/>
      <c r="D3911" s="31"/>
      <c r="E3911" s="31"/>
      <c r="F3911" s="31"/>
      <c r="G3911" s="199">
        <f>ROUND(G3910+G3909,1)</f>
        <v>1265.8</v>
      </c>
      <c r="J3911" s="78"/>
    </row>
    <row r="3912" spans="2:10">
      <c r="B3912" s="31"/>
      <c r="C3912" s="76"/>
      <c r="D3912" s="31"/>
      <c r="E3912" s="31"/>
      <c r="F3912" s="31"/>
      <c r="G3912" s="33"/>
      <c r="I3912" s="31"/>
      <c r="J3912" s="78"/>
    </row>
    <row r="3913" spans="2:10">
      <c r="B3913" s="170" t="s">
        <v>1175</v>
      </c>
      <c r="J3913" s="78"/>
    </row>
    <row r="3914" spans="2:10">
      <c r="B3914" s="26" t="s">
        <v>1176</v>
      </c>
      <c r="H3914" s="171" t="s">
        <v>1698</v>
      </c>
      <c r="I3914" s="117">
        <f>I3879</f>
        <v>31308.375</v>
      </c>
      <c r="J3914" s="78"/>
    </row>
    <row r="3915" spans="2:10">
      <c r="B3915" s="26" t="s">
        <v>1186</v>
      </c>
      <c r="H3915" s="171" t="s">
        <v>1698</v>
      </c>
      <c r="I3915" s="117">
        <f>I3888</f>
        <v>700.30000000000007</v>
      </c>
      <c r="J3915" s="78"/>
    </row>
    <row r="3916" spans="2:10">
      <c r="B3916" s="26" t="s">
        <v>2660</v>
      </c>
      <c r="H3916" s="171" t="s">
        <v>1698</v>
      </c>
      <c r="I3916" s="85">
        <f>I3908</f>
        <v>27853.4</v>
      </c>
      <c r="J3916" s="78"/>
    </row>
    <row r="3917" spans="2:10">
      <c r="G3917" s="26" t="s">
        <v>1518</v>
      </c>
      <c r="H3917" s="171" t="s">
        <v>1698</v>
      </c>
      <c r="I3917" s="130">
        <f>SUM(I3913:I3916)</f>
        <v>59862.074999999997</v>
      </c>
      <c r="J3917" s="78"/>
    </row>
    <row r="3918" spans="2:10" ht="18.75">
      <c r="B3918" s="1207" t="s">
        <v>8375</v>
      </c>
      <c r="C3918" s="1207"/>
      <c r="D3918" s="1207"/>
      <c r="E3918" s="1207"/>
      <c r="F3918" s="1207"/>
      <c r="G3918" s="922">
        <f>'BASIC DATA'!$C$577</f>
        <v>0.13614999999999999</v>
      </c>
      <c r="H3918" s="171" t="s">
        <v>4108</v>
      </c>
      <c r="I3918" s="76">
        <f>ROUND(I3917*G3918,2)</f>
        <v>8150.22</v>
      </c>
      <c r="J3918" s="78"/>
    </row>
    <row r="3919" spans="2:10">
      <c r="B3919" s="27" t="s">
        <v>9590</v>
      </c>
      <c r="C3919" s="43"/>
      <c r="D3919" s="43"/>
      <c r="E3919" s="43"/>
      <c r="F3919" s="779">
        <f>G3878</f>
        <v>9.375</v>
      </c>
      <c r="G3919" s="201" t="s">
        <v>9591</v>
      </c>
      <c r="H3919" s="68" t="str">
        <f>CONCATENATE((leadcharges!$D$65)," ","Rs./Cum")</f>
        <v>31.5 Rs./Cum</v>
      </c>
      <c r="I3919" s="76">
        <f>leadcharges!$D$65*F3919</f>
        <v>295.3125</v>
      </c>
      <c r="J3919" s="78"/>
    </row>
    <row r="3920" spans="2:10">
      <c r="B3920" s="27" t="s">
        <v>9595</v>
      </c>
      <c r="C3920" s="43"/>
      <c r="D3920" s="43"/>
      <c r="E3920" s="43"/>
      <c r="F3920" s="779">
        <f>SUM(G3876:G3877)+(0.3*0.3*0.6*G3875)+(0.3*0.3*0.45*G3874)</f>
        <v>26.810000000000002</v>
      </c>
      <c r="G3920" s="201" t="s">
        <v>9591</v>
      </c>
      <c r="H3920" s="68" t="str">
        <f>CONCATENATE((leadcharges!$E$65)," ","Rs./Cum")</f>
        <v>30.4 Rs./Cum</v>
      </c>
      <c r="I3920" s="85">
        <f>leadcharges!$E$65*F3920</f>
        <v>815.024</v>
      </c>
      <c r="J3920" s="78"/>
    </row>
    <row r="3921" spans="1:10" ht="35.25" hidden="1" customHeight="1">
      <c r="B3921" s="1207"/>
      <c r="C3921" s="1207"/>
      <c r="D3921" s="1207"/>
      <c r="E3921" s="1207"/>
      <c r="F3921" s="779"/>
      <c r="G3921" s="201"/>
      <c r="H3921" s="68"/>
      <c r="I3921" s="76"/>
      <c r="J3921" s="78"/>
    </row>
    <row r="3922" spans="1:10">
      <c r="B3922" s="1206" t="s">
        <v>1191</v>
      </c>
      <c r="C3922" s="1206"/>
      <c r="D3922" s="1206"/>
      <c r="E3922" s="1206"/>
      <c r="F3922" s="202">
        <f>H3870</f>
        <v>25</v>
      </c>
      <c r="G3922" s="217" t="str">
        <f>I3870</f>
        <v>cum</v>
      </c>
      <c r="H3922" s="171" t="s">
        <v>1698</v>
      </c>
      <c r="I3922" s="199">
        <f>SUM(I3917:I3921)</f>
        <v>69122.631500000003</v>
      </c>
      <c r="J3922" s="78"/>
    </row>
    <row r="3923" spans="1:10">
      <c r="B3923" s="1161" t="s">
        <v>3884</v>
      </c>
      <c r="C3923" s="1161"/>
      <c r="D3923" s="246" t="str">
        <f>G3922</f>
        <v>cum</v>
      </c>
      <c r="F3923" s="26" t="s">
        <v>1646</v>
      </c>
      <c r="H3923" s="171" t="s">
        <v>1698</v>
      </c>
      <c r="I3923" s="204">
        <f>ROUND(I3922/F3922,1)</f>
        <v>2764.9</v>
      </c>
      <c r="J3923" s="78"/>
    </row>
    <row r="3924" spans="1:10">
      <c r="J3924" s="78"/>
    </row>
    <row r="3925" spans="1:10">
      <c r="J3925" s="78"/>
    </row>
    <row r="3926" spans="1:10" ht="18.75">
      <c r="A3926" s="822" t="s">
        <v>7354</v>
      </c>
      <c r="B3926" s="26" t="s">
        <v>8494</v>
      </c>
      <c r="J3926" s="78"/>
    </row>
    <row r="3927" spans="1:10" ht="18.75">
      <c r="B3927" s="26" t="s">
        <v>8495</v>
      </c>
      <c r="J3927" s="78"/>
    </row>
    <row r="3928" spans="1:10">
      <c r="B3928" s="26" t="s">
        <v>5421</v>
      </c>
      <c r="J3928" s="78"/>
    </row>
    <row r="3929" spans="1:10">
      <c r="B3929" s="26" t="s">
        <v>2813</v>
      </c>
      <c r="J3929" s="78"/>
    </row>
    <row r="3930" spans="1:10">
      <c r="B3930" s="170" t="s">
        <v>4738</v>
      </c>
      <c r="J3930" s="78"/>
    </row>
    <row r="3931" spans="1:10">
      <c r="B3931" s="170" t="s">
        <v>6862</v>
      </c>
      <c r="J3931" s="78"/>
    </row>
    <row r="3932" spans="1:10">
      <c r="B3932" s="170" t="s">
        <v>6863</v>
      </c>
      <c r="J3932" s="78"/>
    </row>
    <row r="3933" spans="1:10">
      <c r="B3933" s="170" t="s">
        <v>6864</v>
      </c>
      <c r="J3933" s="78"/>
    </row>
    <row r="3934" spans="1:10" hidden="1">
      <c r="A3934" s="822" t="s">
        <v>3984</v>
      </c>
      <c r="B3934" s="26" t="s">
        <v>4951</v>
      </c>
      <c r="H3934" s="68">
        <v>75</v>
      </c>
      <c r="I3934" s="26" t="s">
        <v>21</v>
      </c>
      <c r="J3934" s="78"/>
    </row>
    <row r="3935" spans="1:10" hidden="1">
      <c r="B3935" s="26" t="s">
        <v>4952</v>
      </c>
      <c r="J3935" s="78"/>
    </row>
    <row r="3936" spans="1:10" hidden="1">
      <c r="B3936" s="26" t="s">
        <v>5436</v>
      </c>
      <c r="G3936" s="171" t="s">
        <v>1697</v>
      </c>
      <c r="H3936" s="68">
        <v>10</v>
      </c>
      <c r="I3936" s="26" t="s">
        <v>3032</v>
      </c>
      <c r="J3936" s="78"/>
    </row>
    <row r="3937" spans="1:10" hidden="1">
      <c r="B3937" s="26" t="s">
        <v>1358</v>
      </c>
      <c r="G3937" s="171" t="s">
        <v>1697</v>
      </c>
      <c r="H3937" s="68">
        <v>0.15</v>
      </c>
      <c r="I3937" s="26" t="s">
        <v>3477</v>
      </c>
      <c r="J3937" s="78"/>
    </row>
    <row r="3938" spans="1:10" hidden="1">
      <c r="B3938" s="26" t="s">
        <v>3419</v>
      </c>
      <c r="G3938" s="171" t="s">
        <v>1697</v>
      </c>
      <c r="H3938" s="68">
        <v>3.4</v>
      </c>
      <c r="I3938" s="26" t="s">
        <v>3032</v>
      </c>
      <c r="J3938" s="78"/>
    </row>
    <row r="3939" spans="1:10" hidden="1">
      <c r="B3939" s="26" t="s">
        <v>5012</v>
      </c>
      <c r="G3939" s="171" t="s">
        <v>1697</v>
      </c>
      <c r="H3939" s="68">
        <v>0.35</v>
      </c>
      <c r="I3939" s="26" t="s">
        <v>3477</v>
      </c>
      <c r="J3939" s="78"/>
    </row>
    <row r="3940" spans="1:10" hidden="1">
      <c r="B3940" s="26" t="s">
        <v>4547</v>
      </c>
      <c r="G3940" s="171" t="s">
        <v>1697</v>
      </c>
      <c r="H3940" s="68">
        <v>0.35</v>
      </c>
      <c r="I3940" s="26" t="s">
        <v>6901</v>
      </c>
      <c r="J3940" s="78"/>
    </row>
    <row r="3941" spans="1:10" hidden="1">
      <c r="B3941" s="26" t="s">
        <v>5853</v>
      </c>
      <c r="G3941" s="171" t="s">
        <v>1697</v>
      </c>
      <c r="H3941" s="68">
        <v>167</v>
      </c>
      <c r="I3941" s="26" t="s">
        <v>3478</v>
      </c>
      <c r="J3941" s="78"/>
    </row>
    <row r="3942" spans="1:10" hidden="1">
      <c r="B3942" s="26" t="s">
        <v>6016</v>
      </c>
      <c r="F3942" s="26" t="s">
        <v>1564</v>
      </c>
      <c r="G3942" s="171" t="s">
        <v>1697</v>
      </c>
      <c r="H3942" s="68">
        <v>10</v>
      </c>
      <c r="I3942" s="26" t="s">
        <v>1312</v>
      </c>
      <c r="J3942" s="78"/>
    </row>
    <row r="3943" spans="1:10" hidden="1">
      <c r="B3943" s="26" t="s">
        <v>3183</v>
      </c>
      <c r="H3943" s="26">
        <v>28.57</v>
      </c>
      <c r="I3943" s="26" t="s">
        <v>6901</v>
      </c>
      <c r="J3943" s="78"/>
    </row>
    <row r="3944" spans="1:10" hidden="1">
      <c r="B3944" s="26" t="s">
        <v>268</v>
      </c>
      <c r="J3944" s="78"/>
    </row>
    <row r="3945" spans="1:10" hidden="1">
      <c r="B3945" s="26" t="s">
        <v>3027</v>
      </c>
      <c r="J3945" s="78"/>
    </row>
    <row r="3946" spans="1:10" hidden="1">
      <c r="B3946" s="26" t="s">
        <v>3083</v>
      </c>
      <c r="D3946" s="26" t="s">
        <v>5924</v>
      </c>
      <c r="G3946" s="171" t="s">
        <v>1697</v>
      </c>
      <c r="H3946" s="68">
        <v>7</v>
      </c>
      <c r="I3946" s="26" t="s">
        <v>4041</v>
      </c>
      <c r="J3946" s="78"/>
    </row>
    <row r="3947" spans="1:10" hidden="1">
      <c r="D3947" s="26" t="s">
        <v>3015</v>
      </c>
      <c r="G3947" s="171" t="s">
        <v>1697</v>
      </c>
      <c r="H3947" s="68">
        <v>14</v>
      </c>
      <c r="I3947" s="26" t="s">
        <v>4041</v>
      </c>
      <c r="J3947" s="78"/>
    </row>
    <row r="3948" spans="1:10" hidden="1">
      <c r="D3948" s="26" t="s">
        <v>589</v>
      </c>
      <c r="J3948" s="78"/>
    </row>
    <row r="3949" spans="1:10" hidden="1">
      <c r="J3949" s="78"/>
    </row>
    <row r="3950" spans="1:10">
      <c r="J3950" s="78"/>
    </row>
    <row r="3951" spans="1:10">
      <c r="A3951" s="822" t="s">
        <v>3984</v>
      </c>
      <c r="E3951" s="170" t="s">
        <v>2367</v>
      </c>
      <c r="J3951" s="78"/>
    </row>
    <row r="3952" spans="1:10">
      <c r="H3952" s="171" t="s">
        <v>1188</v>
      </c>
      <c r="J3952" s="78"/>
    </row>
    <row r="3953" spans="1:10">
      <c r="B3953" s="170" t="s">
        <v>2368</v>
      </c>
      <c r="C3953" s="89"/>
      <c r="H3953" s="211">
        <v>25</v>
      </c>
      <c r="I3953" s="26" t="s">
        <v>6901</v>
      </c>
      <c r="J3953" s="78"/>
    </row>
    <row r="3954" spans="1:10">
      <c r="B3954" s="95" t="s">
        <v>2369</v>
      </c>
      <c r="D3954" s="157" t="s">
        <v>4443</v>
      </c>
      <c r="E3954" s="97"/>
      <c r="F3954" s="95" t="s">
        <v>2370</v>
      </c>
      <c r="G3954" s="95" t="s">
        <v>1166</v>
      </c>
      <c r="H3954" s="97" t="s">
        <v>6664</v>
      </c>
      <c r="I3954" s="97" t="s">
        <v>6665</v>
      </c>
      <c r="J3954" s="78"/>
    </row>
    <row r="3955" spans="1:10">
      <c r="B3955" s="191"/>
      <c r="C3955" s="139"/>
      <c r="D3955" s="174"/>
      <c r="E3955" s="192"/>
      <c r="F3955" s="191"/>
      <c r="G3955" s="114"/>
      <c r="H3955" s="115" t="s">
        <v>3856</v>
      </c>
      <c r="I3955" s="115" t="s">
        <v>3857</v>
      </c>
      <c r="J3955" s="78"/>
    </row>
    <row r="3956" spans="1:10">
      <c r="B3956" s="95">
        <v>1</v>
      </c>
      <c r="C3956" s="131" t="s">
        <v>3808</v>
      </c>
      <c r="D3956" s="187"/>
      <c r="E3956" s="195"/>
      <c r="F3956" s="107" t="s">
        <v>3478</v>
      </c>
      <c r="G3956" s="107">
        <f>167*25</f>
        <v>4175</v>
      </c>
      <c r="H3956" s="218">
        <f>'BASIC DATA'!$D$32/1000</f>
        <v>5.35</v>
      </c>
      <c r="I3956" s="155">
        <f t="shared" ref="I3956:I3961" si="72">H3956*G3956</f>
        <v>22336.25</v>
      </c>
      <c r="J3956" s="78"/>
    </row>
    <row r="3957" spans="1:10">
      <c r="B3957" s="105">
        <v>2</v>
      </c>
      <c r="C3957" s="135" t="s">
        <v>7000</v>
      </c>
      <c r="D3957" s="31"/>
      <c r="E3957" s="189"/>
      <c r="F3957" s="210" t="s">
        <v>2059</v>
      </c>
      <c r="G3957" s="210">
        <f>CEILING(10*25,1)</f>
        <v>250</v>
      </c>
      <c r="H3957" s="220">
        <f>'BASIC DATA'!$D$41</f>
        <v>23</v>
      </c>
      <c r="I3957" s="155">
        <f t="shared" si="72"/>
        <v>5750</v>
      </c>
      <c r="J3957" s="78"/>
    </row>
    <row r="3958" spans="1:10">
      <c r="B3958" s="105">
        <v>3</v>
      </c>
      <c r="C3958" s="135" t="s">
        <v>5700</v>
      </c>
      <c r="D3958" s="31"/>
      <c r="E3958" s="189"/>
      <c r="F3958" s="210" t="s">
        <v>2059</v>
      </c>
      <c r="G3958" s="210">
        <f>CEILING(3.4*25,1)</f>
        <v>85</v>
      </c>
      <c r="H3958" s="220">
        <f>'BASIC DATA'!$D$42</f>
        <v>26</v>
      </c>
      <c r="I3958" s="155">
        <f t="shared" si="72"/>
        <v>2210</v>
      </c>
      <c r="J3958" s="78"/>
    </row>
    <row r="3959" spans="1:10">
      <c r="B3959" s="105">
        <v>4</v>
      </c>
      <c r="C3959" s="135" t="s">
        <v>5012</v>
      </c>
      <c r="D3959" s="31"/>
      <c r="E3959" s="189"/>
      <c r="F3959" s="210" t="s">
        <v>3477</v>
      </c>
      <c r="G3959" s="210">
        <f>0.35*25</f>
        <v>8.75</v>
      </c>
      <c r="H3959" s="220">
        <f>'BASIC DATA'!$D$108</f>
        <v>318</v>
      </c>
      <c r="I3959" s="155">
        <f t="shared" si="72"/>
        <v>2782.5</v>
      </c>
      <c r="J3959" s="78"/>
    </row>
    <row r="3960" spans="1:10">
      <c r="B3960" s="105">
        <v>5</v>
      </c>
      <c r="C3960" s="135" t="s">
        <v>1358</v>
      </c>
      <c r="D3960" s="31"/>
      <c r="E3960" s="189"/>
      <c r="F3960" s="210" t="s">
        <v>3477</v>
      </c>
      <c r="G3960" s="210">
        <f>0.15*25</f>
        <v>3.75</v>
      </c>
      <c r="H3960" s="220">
        <f>'BASIC DATA'!$D$96</f>
        <v>350</v>
      </c>
      <c r="I3960" s="155">
        <f t="shared" si="72"/>
        <v>1312.5</v>
      </c>
      <c r="J3960" s="78"/>
    </row>
    <row r="3961" spans="1:10">
      <c r="A3961" s="853"/>
      <c r="B3961" s="237">
        <v>6</v>
      </c>
      <c r="C3961" s="306" t="s">
        <v>7937</v>
      </c>
      <c r="D3961" s="241"/>
      <c r="E3961" s="242"/>
      <c r="F3961" s="277" t="s">
        <v>3477</v>
      </c>
      <c r="G3961" s="277">
        <f>0.35*25</f>
        <v>8.75</v>
      </c>
      <c r="H3961" s="258">
        <f>'BASIC DATA'!$D$57</f>
        <v>165</v>
      </c>
      <c r="I3961" s="244">
        <f t="shared" si="72"/>
        <v>1443.75</v>
      </c>
      <c r="J3961" s="62"/>
    </row>
    <row r="3962" spans="1:10">
      <c r="B3962" s="184"/>
      <c r="C3962" s="151"/>
      <c r="D3962" s="159"/>
      <c r="E3962" s="159" t="s">
        <v>2376</v>
      </c>
      <c r="F3962" s="159"/>
      <c r="G3962" s="159"/>
      <c r="H3962" s="208" t="s">
        <v>1698</v>
      </c>
      <c r="I3962" s="209">
        <f>SUM(I3956:I3961)</f>
        <v>35835</v>
      </c>
      <c r="J3962" s="78"/>
    </row>
    <row r="3963" spans="1:10">
      <c r="B3963" s="31"/>
      <c r="C3963" s="76"/>
      <c r="D3963" s="31"/>
      <c r="E3963" s="31"/>
      <c r="F3963" s="31"/>
      <c r="G3963" s="31"/>
      <c r="H3963" s="200"/>
      <c r="I3963" s="75"/>
      <c r="J3963" s="78"/>
    </row>
    <row r="3964" spans="1:10">
      <c r="B3964" s="170" t="s">
        <v>2377</v>
      </c>
      <c r="J3964" s="78"/>
    </row>
    <row r="3965" spans="1:10">
      <c r="B3965" s="95" t="s">
        <v>2369</v>
      </c>
      <c r="C3965" s="131"/>
      <c r="D3965" s="175" t="s">
        <v>2378</v>
      </c>
      <c r="E3965" s="97"/>
      <c r="F3965" s="95" t="s">
        <v>2370</v>
      </c>
      <c r="G3965" s="95" t="s">
        <v>1166</v>
      </c>
      <c r="H3965" s="97" t="s">
        <v>6664</v>
      </c>
      <c r="I3965" s="97" t="s">
        <v>6665</v>
      </c>
      <c r="J3965" s="78"/>
    </row>
    <row r="3966" spans="1:10">
      <c r="B3966" s="191"/>
      <c r="C3966" s="139"/>
      <c r="D3966" s="174"/>
      <c r="E3966" s="192"/>
      <c r="F3966" s="191"/>
      <c r="G3966" s="114"/>
      <c r="H3966" s="115" t="s">
        <v>3856</v>
      </c>
      <c r="I3966" s="115" t="s">
        <v>3857</v>
      </c>
      <c r="J3966" s="78"/>
    </row>
    <row r="3967" spans="1:10">
      <c r="B3967" s="95">
        <v>1</v>
      </c>
      <c r="C3967" s="131" t="s">
        <v>6641</v>
      </c>
      <c r="D3967" s="187"/>
      <c r="E3967" s="195"/>
      <c r="F3967" s="107" t="s">
        <v>2374</v>
      </c>
      <c r="G3967" s="179">
        <v>8</v>
      </c>
      <c r="H3967" s="178">
        <f>'HIRE CHARGES'!$D$508</f>
        <v>51.7</v>
      </c>
      <c r="I3967" s="155">
        <f>H3967*G3967</f>
        <v>413.6</v>
      </c>
      <c r="J3967" s="78"/>
    </row>
    <row r="3968" spans="1:10">
      <c r="B3968" s="105"/>
      <c r="C3968" s="135" t="s">
        <v>2379</v>
      </c>
      <c r="D3968" s="31"/>
      <c r="E3968" s="189"/>
      <c r="F3968" s="210" t="s">
        <v>2374</v>
      </c>
      <c r="G3968" s="190">
        <v>8</v>
      </c>
      <c r="H3968" s="207">
        <f>'HIRE CHARGES'!$E$508</f>
        <v>28</v>
      </c>
      <c r="I3968" s="155">
        <f>H3968*G3968</f>
        <v>224</v>
      </c>
      <c r="J3968" s="78"/>
    </row>
    <row r="3969" spans="2:10">
      <c r="B3969" s="105">
        <v>2</v>
      </c>
      <c r="C3969" s="135" t="s">
        <v>383</v>
      </c>
      <c r="D3969" s="31"/>
      <c r="E3969" s="189"/>
      <c r="F3969" s="210" t="s">
        <v>2374</v>
      </c>
      <c r="G3969" s="190">
        <v>1</v>
      </c>
      <c r="H3969" s="190">
        <f>'HIRE CHARGES'!$D$520</f>
        <v>6.7</v>
      </c>
      <c r="I3969" s="155">
        <f>H3969*G3969</f>
        <v>6.7</v>
      </c>
      <c r="J3969" s="78"/>
    </row>
    <row r="3970" spans="2:10">
      <c r="B3970" s="191"/>
      <c r="C3970" s="139" t="s">
        <v>2379</v>
      </c>
      <c r="D3970" s="174"/>
      <c r="E3970" s="192"/>
      <c r="F3970" s="191" t="s">
        <v>2374</v>
      </c>
      <c r="G3970" s="182">
        <v>1</v>
      </c>
      <c r="H3970" s="207">
        <f>'HIRE CHARGES'!$E$520</f>
        <v>56</v>
      </c>
      <c r="I3970" s="155">
        <f>H3970*G3970</f>
        <v>56</v>
      </c>
      <c r="J3970" s="78"/>
    </row>
    <row r="3971" spans="2:10">
      <c r="B3971" s="184"/>
      <c r="C3971" s="151"/>
      <c r="D3971" s="159"/>
      <c r="E3971" s="159" t="s">
        <v>2380</v>
      </c>
      <c r="F3971" s="159"/>
      <c r="G3971" s="159"/>
      <c r="H3971" s="208" t="s">
        <v>1698</v>
      </c>
      <c r="I3971" s="209">
        <f>SUM(I3967:I3970)</f>
        <v>700.30000000000007</v>
      </c>
      <c r="J3971" s="78"/>
    </row>
    <row r="3972" spans="2:10">
      <c r="B3972" s="31"/>
      <c r="C3972" s="76"/>
      <c r="D3972" s="31"/>
      <c r="E3972" s="31"/>
      <c r="F3972" s="31"/>
      <c r="G3972" s="31"/>
      <c r="H3972" s="200"/>
      <c r="I3972" s="75"/>
      <c r="J3972" s="78"/>
    </row>
    <row r="3973" spans="2:10">
      <c r="B3973" s="170" t="s">
        <v>2381</v>
      </c>
      <c r="C3973" s="89"/>
      <c r="J3973" s="78"/>
    </row>
    <row r="3974" spans="2:10">
      <c r="B3974" s="95" t="s">
        <v>2369</v>
      </c>
      <c r="D3974" s="157" t="s">
        <v>2378</v>
      </c>
      <c r="E3974" s="97"/>
      <c r="F3974" s="95" t="s">
        <v>2370</v>
      </c>
      <c r="G3974" s="95" t="s">
        <v>1166</v>
      </c>
      <c r="H3974" s="97" t="s">
        <v>6664</v>
      </c>
      <c r="I3974" s="97" t="s">
        <v>6665</v>
      </c>
      <c r="J3974" s="78"/>
    </row>
    <row r="3975" spans="2:10">
      <c r="B3975" s="191"/>
      <c r="C3975" s="139"/>
      <c r="D3975" s="174"/>
      <c r="E3975" s="192"/>
      <c r="F3975" s="191"/>
      <c r="G3975" s="114"/>
      <c r="H3975" s="115" t="s">
        <v>3856</v>
      </c>
      <c r="I3975" s="115" t="s">
        <v>3857</v>
      </c>
      <c r="J3975" s="78"/>
    </row>
    <row r="3976" spans="2:10">
      <c r="B3976" s="95">
        <v>1</v>
      </c>
      <c r="C3976" s="131" t="s">
        <v>527</v>
      </c>
      <c r="D3976" s="187"/>
      <c r="E3976" s="195"/>
      <c r="F3976" s="107" t="s">
        <v>2374</v>
      </c>
      <c r="G3976" s="179">
        <v>8</v>
      </c>
      <c r="H3976" s="179">
        <f>'HIRE CHARGES'!$F$508</f>
        <v>219.7</v>
      </c>
      <c r="I3976" s="155">
        <f t="shared" ref="I3976:I3983" si="73">H3976*G3976</f>
        <v>1757.6</v>
      </c>
      <c r="J3976" s="78"/>
    </row>
    <row r="3977" spans="2:10">
      <c r="B3977" s="105">
        <v>2</v>
      </c>
      <c r="C3977" s="135" t="s">
        <v>999</v>
      </c>
      <c r="D3977" s="31"/>
      <c r="E3977" s="189"/>
      <c r="F3977" s="210" t="s">
        <v>2374</v>
      </c>
      <c r="G3977" s="190">
        <v>1</v>
      </c>
      <c r="H3977" s="207">
        <f>'HIRE CHARGES'!$F$520</f>
        <v>83.3</v>
      </c>
      <c r="I3977" s="155">
        <f t="shared" si="73"/>
        <v>83.3</v>
      </c>
      <c r="J3977" s="78"/>
    </row>
    <row r="3978" spans="2:10">
      <c r="B3978" s="105">
        <v>3</v>
      </c>
      <c r="C3978" s="135" t="s">
        <v>4206</v>
      </c>
      <c r="D3978" s="31"/>
      <c r="E3978" s="189"/>
      <c r="F3978" s="210" t="s">
        <v>1172</v>
      </c>
      <c r="G3978" s="190">
        <v>1</v>
      </c>
      <c r="H3978" s="190">
        <f>'BASIC DATA'!$C$473</f>
        <v>450</v>
      </c>
      <c r="I3978" s="155">
        <f t="shared" si="73"/>
        <v>450</v>
      </c>
      <c r="J3978" s="78"/>
    </row>
    <row r="3979" spans="2:10">
      <c r="B3979" s="105">
        <v>4</v>
      </c>
      <c r="C3979" s="135" t="s">
        <v>3184</v>
      </c>
      <c r="D3979" s="31"/>
      <c r="E3979" s="189"/>
      <c r="F3979" s="210" t="s">
        <v>1172</v>
      </c>
      <c r="G3979" s="190">
        <v>14</v>
      </c>
      <c r="H3979" s="207">
        <f>'BASIC DATA'!$C$502</f>
        <v>445</v>
      </c>
      <c r="I3979" s="155">
        <f t="shared" si="73"/>
        <v>6230</v>
      </c>
      <c r="J3979" s="78"/>
    </row>
    <row r="3980" spans="2:10">
      <c r="B3980" s="105">
        <v>5</v>
      </c>
      <c r="C3980" s="135" t="s">
        <v>6460</v>
      </c>
      <c r="D3980" s="31"/>
      <c r="E3980" s="189"/>
      <c r="F3980" s="210" t="s">
        <v>1172</v>
      </c>
      <c r="G3980" s="190">
        <v>7</v>
      </c>
      <c r="H3980" s="207">
        <f>'BASIC DATA'!$C$545</f>
        <v>400</v>
      </c>
      <c r="I3980" s="155">
        <f t="shared" si="73"/>
        <v>2800</v>
      </c>
      <c r="J3980" s="78"/>
    </row>
    <row r="3981" spans="2:10">
      <c r="B3981" s="105">
        <v>6</v>
      </c>
      <c r="C3981" s="135" t="s">
        <v>440</v>
      </c>
      <c r="D3981" s="31"/>
      <c r="E3981" s="189"/>
      <c r="F3981" s="210" t="s">
        <v>1172</v>
      </c>
      <c r="G3981" s="190">
        <v>2.5</v>
      </c>
      <c r="H3981" s="207">
        <f>'BASIC DATA'!$C$474</f>
        <v>445</v>
      </c>
      <c r="I3981" s="155">
        <f t="shared" si="73"/>
        <v>1112.5</v>
      </c>
      <c r="J3981" s="78"/>
    </row>
    <row r="3982" spans="2:10">
      <c r="B3982" s="105">
        <v>7</v>
      </c>
      <c r="C3982" s="135" t="s">
        <v>1356</v>
      </c>
      <c r="D3982" s="31"/>
      <c r="E3982" s="189"/>
      <c r="F3982" s="210" t="s">
        <v>1172</v>
      </c>
      <c r="G3982" s="190">
        <v>4</v>
      </c>
      <c r="H3982" s="207">
        <f>'BASIC DATA'!$C$541</f>
        <v>400</v>
      </c>
      <c r="I3982" s="155">
        <f t="shared" si="73"/>
        <v>1600</v>
      </c>
      <c r="J3982" s="78"/>
    </row>
    <row r="3983" spans="2:10">
      <c r="B3983" s="105">
        <v>8</v>
      </c>
      <c r="C3983" s="135" t="s">
        <v>4393</v>
      </c>
      <c r="D3983" s="31"/>
      <c r="E3983" s="189"/>
      <c r="F3983" s="210" t="s">
        <v>1172</v>
      </c>
      <c r="G3983" s="190">
        <v>16</v>
      </c>
      <c r="H3983" s="207">
        <f>'BASIC DATA'!$C$513</f>
        <v>400</v>
      </c>
      <c r="I3983" s="155">
        <f t="shared" si="73"/>
        <v>6400</v>
      </c>
      <c r="J3983" s="78"/>
    </row>
    <row r="3984" spans="2:10">
      <c r="B3984" s="105">
        <v>9</v>
      </c>
      <c r="C3984" s="135" t="s">
        <v>2697</v>
      </c>
      <c r="D3984" s="31"/>
      <c r="E3984" s="189"/>
      <c r="F3984" s="210"/>
      <c r="G3984" s="190"/>
      <c r="H3984" s="207"/>
      <c r="I3984" s="138"/>
      <c r="J3984" s="78"/>
    </row>
    <row r="3985" spans="2:10">
      <c r="B3985" s="105"/>
      <c r="C3985" s="135" t="s">
        <v>4413</v>
      </c>
      <c r="D3985" s="31"/>
      <c r="E3985" s="189"/>
      <c r="F3985" s="210" t="s">
        <v>1172</v>
      </c>
      <c r="G3985" s="190">
        <v>2</v>
      </c>
      <c r="H3985" s="207">
        <f>'BASIC DATA'!$C$552</f>
        <v>350</v>
      </c>
      <c r="I3985" s="155">
        <f t="shared" ref="I3985:I3991" si="74">H3985*G3985</f>
        <v>700</v>
      </c>
      <c r="J3985" s="78"/>
    </row>
    <row r="3986" spans="2:10">
      <c r="B3986" s="105"/>
      <c r="C3986" s="135" t="s">
        <v>2831</v>
      </c>
      <c r="D3986" s="31"/>
      <c r="E3986" s="189"/>
      <c r="F3986" s="210" t="s">
        <v>1172</v>
      </c>
      <c r="G3986" s="190">
        <v>6</v>
      </c>
      <c r="H3986" s="207">
        <f>'BASIC DATA'!$C$552</f>
        <v>350</v>
      </c>
      <c r="I3986" s="155">
        <f t="shared" si="74"/>
        <v>2100</v>
      </c>
      <c r="J3986" s="78"/>
    </row>
    <row r="3987" spans="2:10">
      <c r="B3987" s="105"/>
      <c r="C3987" s="135" t="s">
        <v>442</v>
      </c>
      <c r="D3987" s="31"/>
      <c r="E3987" s="189"/>
      <c r="F3987" s="210" t="s">
        <v>1172</v>
      </c>
      <c r="G3987" s="190">
        <v>4</v>
      </c>
      <c r="H3987" s="207">
        <f>'BASIC DATA'!$C$552</f>
        <v>350</v>
      </c>
      <c r="I3987" s="155">
        <f t="shared" si="74"/>
        <v>1400</v>
      </c>
      <c r="J3987" s="78"/>
    </row>
    <row r="3988" spans="2:10">
      <c r="B3988" s="105"/>
      <c r="C3988" s="135" t="s">
        <v>1109</v>
      </c>
      <c r="D3988" s="31"/>
      <c r="E3988" s="189"/>
      <c r="F3988" s="210" t="s">
        <v>1172</v>
      </c>
      <c r="G3988" s="190">
        <v>10</v>
      </c>
      <c r="H3988" s="207">
        <f>'BASIC DATA'!$C$552</f>
        <v>350</v>
      </c>
      <c r="I3988" s="155">
        <f t="shared" si="74"/>
        <v>3500</v>
      </c>
      <c r="J3988" s="78"/>
    </row>
    <row r="3989" spans="2:10">
      <c r="B3989" s="105"/>
      <c r="C3989" s="135" t="s">
        <v>2789</v>
      </c>
      <c r="D3989" s="31"/>
      <c r="E3989" s="189"/>
      <c r="F3989" s="210" t="s">
        <v>1172</v>
      </c>
      <c r="G3989" s="190">
        <v>1</v>
      </c>
      <c r="H3989" s="207">
        <f>'BASIC DATA'!$C$552</f>
        <v>350</v>
      </c>
      <c r="I3989" s="155">
        <f t="shared" si="74"/>
        <v>350</v>
      </c>
      <c r="J3989" s="78"/>
    </row>
    <row r="3990" spans="2:10">
      <c r="B3990" s="210"/>
      <c r="C3990" s="135" t="s">
        <v>1110</v>
      </c>
      <c r="D3990" s="31"/>
      <c r="E3990" s="189"/>
      <c r="F3990" s="210" t="s">
        <v>1172</v>
      </c>
      <c r="G3990" s="190">
        <v>4</v>
      </c>
      <c r="H3990" s="207">
        <f>'BASIC DATA'!$C$552</f>
        <v>350</v>
      </c>
      <c r="I3990" s="155">
        <f t="shared" si="74"/>
        <v>1400</v>
      </c>
      <c r="J3990" s="78"/>
    </row>
    <row r="3991" spans="2:10">
      <c r="B3991" s="191"/>
      <c r="C3991" s="139" t="s">
        <v>6254</v>
      </c>
      <c r="D3991" s="174"/>
      <c r="E3991" s="192"/>
      <c r="F3991" s="191" t="s">
        <v>1172</v>
      </c>
      <c r="G3991" s="182">
        <v>12</v>
      </c>
      <c r="H3991" s="207">
        <f>'BASIC DATA'!$C$552</f>
        <v>350</v>
      </c>
      <c r="I3991" s="155">
        <f t="shared" si="74"/>
        <v>4200</v>
      </c>
      <c r="J3991" s="78"/>
    </row>
    <row r="3992" spans="2:10">
      <c r="B3992" s="184"/>
      <c r="C3992" s="151"/>
      <c r="D3992" s="159"/>
      <c r="E3992" s="159" t="s">
        <v>1174</v>
      </c>
      <c r="F3992" s="159"/>
      <c r="G3992" s="193"/>
      <c r="H3992" s="208" t="s">
        <v>1698</v>
      </c>
      <c r="I3992" s="209">
        <f>SUM(I3976:I3991)</f>
        <v>34083.4</v>
      </c>
      <c r="J3992" s="78"/>
    </row>
    <row r="3993" spans="2:10">
      <c r="B3993" s="60" t="s">
        <v>5948</v>
      </c>
      <c r="C3993" s="76"/>
      <c r="D3993" s="31"/>
      <c r="E3993" s="31"/>
      <c r="F3993" s="31"/>
      <c r="G3993" s="85">
        <f>ROUND(I3992/H3953,1)</f>
        <v>1363.3</v>
      </c>
      <c r="J3993" s="78"/>
    </row>
    <row r="3994" spans="2:10">
      <c r="B3994" s="60" t="s">
        <v>3163</v>
      </c>
      <c r="C3994" s="76"/>
      <c r="D3994" s="31"/>
      <c r="E3994" s="31"/>
      <c r="F3994" s="922">
        <f>'BASIC DATA'!$C$577</f>
        <v>0.13614999999999999</v>
      </c>
      <c r="G3994" s="85">
        <f>ROUND(G3993*F3994,1)</f>
        <v>185.6</v>
      </c>
      <c r="J3994" s="78"/>
    </row>
    <row r="3995" spans="2:10">
      <c r="B3995" s="60" t="s">
        <v>5949</v>
      </c>
      <c r="C3995" s="76"/>
      <c r="D3995" s="31"/>
      <c r="E3995" s="31"/>
      <c r="F3995" s="31"/>
      <c r="G3995" s="199">
        <f>ROUND(G3994+G3993,1)</f>
        <v>1548.9</v>
      </c>
      <c r="J3995" s="78"/>
    </row>
    <row r="3996" spans="2:10">
      <c r="C3996" s="76"/>
      <c r="D3996" s="31"/>
      <c r="E3996" s="31"/>
      <c r="F3996" s="31"/>
      <c r="G3996" s="200"/>
      <c r="H3996" s="200"/>
      <c r="I3996" s="31"/>
      <c r="J3996" s="78"/>
    </row>
    <row r="3997" spans="2:10">
      <c r="B3997" s="170" t="s">
        <v>1175</v>
      </c>
      <c r="J3997" s="78"/>
    </row>
    <row r="3998" spans="2:10">
      <c r="B3998" s="26" t="s">
        <v>1176</v>
      </c>
      <c r="H3998" s="171" t="s">
        <v>1698</v>
      </c>
      <c r="I3998" s="117">
        <f>I3962</f>
        <v>35835</v>
      </c>
      <c r="J3998" s="78"/>
    </row>
    <row r="3999" spans="2:10">
      <c r="B3999" s="26" t="s">
        <v>1186</v>
      </c>
      <c r="H3999" s="171" t="s">
        <v>1698</v>
      </c>
      <c r="I3999" s="117">
        <f>I3971</f>
        <v>700.30000000000007</v>
      </c>
      <c r="J3999" s="78"/>
    </row>
    <row r="4000" spans="2:10">
      <c r="B4000" s="26" t="s">
        <v>2660</v>
      </c>
      <c r="H4000" s="171" t="s">
        <v>1698</v>
      </c>
      <c r="I4000" s="85">
        <f>I3992</f>
        <v>34083.4</v>
      </c>
      <c r="J4000" s="78"/>
    </row>
    <row r="4001" spans="1:10">
      <c r="G4001" s="26" t="s">
        <v>1518</v>
      </c>
      <c r="H4001" s="171" t="s">
        <v>1698</v>
      </c>
      <c r="I4001" s="130">
        <f>SUM(I3997:I4000)</f>
        <v>70618.700000000012</v>
      </c>
      <c r="J4001" s="78"/>
    </row>
    <row r="4002" spans="1:10" ht="18.75">
      <c r="B4002" s="1207" t="s">
        <v>8375</v>
      </c>
      <c r="C4002" s="1207"/>
      <c r="D4002" s="1207"/>
      <c r="E4002" s="1207"/>
      <c r="F4002" s="1207"/>
      <c r="G4002" s="922">
        <f>'BASIC DATA'!$C$577</f>
        <v>0.13614999999999999</v>
      </c>
      <c r="H4002" s="171" t="s">
        <v>4108</v>
      </c>
      <c r="I4002" s="76">
        <f>ROUND(I4001*G4002,2)</f>
        <v>9614.74</v>
      </c>
      <c r="J4002" s="78"/>
    </row>
    <row r="4003" spans="1:10">
      <c r="B4003" s="27" t="s">
        <v>9590</v>
      </c>
      <c r="C4003" s="43"/>
      <c r="D4003" s="43"/>
      <c r="E4003" s="43"/>
      <c r="F4003" s="779">
        <f>G3961</f>
        <v>8.75</v>
      </c>
      <c r="G4003" s="201" t="s">
        <v>9591</v>
      </c>
      <c r="H4003" s="68" t="str">
        <f>CONCATENATE((leadcharges!$D$65)," ","Rs./Cum")</f>
        <v>31.5 Rs./Cum</v>
      </c>
      <c r="I4003" s="76">
        <f>leadcharges!$D$65*F4003</f>
        <v>275.625</v>
      </c>
      <c r="J4003" s="78"/>
    </row>
    <row r="4004" spans="1:10">
      <c r="B4004" s="27" t="s">
        <v>9595</v>
      </c>
      <c r="C4004" s="43"/>
      <c r="D4004" s="43"/>
      <c r="E4004" s="43"/>
      <c r="F4004" s="779">
        <f>SUM(G3959:G3960)+(0.3*0.3*0.6*G3958)+(0.3*0.3*0.45*G3957)</f>
        <v>27.215</v>
      </c>
      <c r="G4004" s="201" t="s">
        <v>9591</v>
      </c>
      <c r="H4004" s="68" t="str">
        <f>CONCATENATE((leadcharges!$E$65)," ","Rs./Cum")</f>
        <v>30.4 Rs./Cum</v>
      </c>
      <c r="I4004" s="85">
        <f>leadcharges!$E$65*F4004</f>
        <v>827.33600000000001</v>
      </c>
      <c r="J4004" s="78"/>
    </row>
    <row r="4005" spans="1:10" ht="40.5" hidden="1" customHeight="1">
      <c r="B4005" s="1207"/>
      <c r="C4005" s="1207"/>
      <c r="D4005" s="1207"/>
      <c r="E4005" s="1207"/>
      <c r="F4005" s="779"/>
      <c r="G4005" s="201"/>
      <c r="H4005" s="68"/>
      <c r="I4005" s="76"/>
      <c r="J4005" s="78"/>
    </row>
    <row r="4006" spans="1:10">
      <c r="B4006" s="1206" t="s">
        <v>1191</v>
      </c>
      <c r="C4006" s="1206"/>
      <c r="D4006" s="1206"/>
      <c r="E4006" s="1206"/>
      <c r="F4006" s="202">
        <f>H3953</f>
        <v>25</v>
      </c>
      <c r="G4006" s="217" t="str">
        <f>I3953</f>
        <v xml:space="preserve"> cum</v>
      </c>
      <c r="H4006" s="171" t="s">
        <v>1698</v>
      </c>
      <c r="I4006" s="199">
        <f>SUM(I4001:I4005)</f>
        <v>81336.401000000013</v>
      </c>
      <c r="J4006" s="78"/>
    </row>
    <row r="4007" spans="1:10">
      <c r="B4007" s="1161" t="s">
        <v>3884</v>
      </c>
      <c r="C4007" s="1161"/>
      <c r="D4007" s="246" t="str">
        <f>G4006</f>
        <v xml:space="preserve"> cum</v>
      </c>
      <c r="F4007" s="26" t="s">
        <v>1646</v>
      </c>
      <c r="H4007" s="171" t="s">
        <v>1698</v>
      </c>
      <c r="I4007" s="204">
        <f>ROUND(I4006/F4006,1)</f>
        <v>3253.5</v>
      </c>
      <c r="J4007" s="78"/>
    </row>
    <row r="4008" spans="1:10">
      <c r="J4008" s="78"/>
    </row>
    <row r="4009" spans="1:10">
      <c r="J4009" s="78"/>
    </row>
    <row r="4010" spans="1:10" ht="18.75">
      <c r="A4010" s="822" t="s">
        <v>7355</v>
      </c>
      <c r="B4010" s="26" t="s">
        <v>8494</v>
      </c>
      <c r="J4010" s="78"/>
    </row>
    <row r="4011" spans="1:10" ht="18.75">
      <c r="B4011" s="26" t="s">
        <v>8496</v>
      </c>
      <c r="J4011" s="78"/>
    </row>
    <row r="4012" spans="1:10">
      <c r="B4012" s="26" t="s">
        <v>5421</v>
      </c>
      <c r="J4012" s="78"/>
    </row>
    <row r="4013" spans="1:10">
      <c r="B4013" s="26" t="s">
        <v>2813</v>
      </c>
      <c r="J4013" s="78"/>
    </row>
    <row r="4014" spans="1:10">
      <c r="B4014" s="170" t="s">
        <v>4738</v>
      </c>
      <c r="J4014" s="78"/>
    </row>
    <row r="4015" spans="1:10">
      <c r="B4015" s="170" t="s">
        <v>6865</v>
      </c>
      <c r="J4015" s="78"/>
    </row>
    <row r="4016" spans="1:10">
      <c r="B4016" s="170" t="s">
        <v>6863</v>
      </c>
      <c r="J4016" s="78"/>
    </row>
    <row r="4017" spans="1:10">
      <c r="B4017" s="170" t="s">
        <v>6864</v>
      </c>
      <c r="J4017" s="78"/>
    </row>
    <row r="4018" spans="1:10" hidden="1">
      <c r="A4018" s="822" t="s">
        <v>3984</v>
      </c>
      <c r="B4018" s="26" t="s">
        <v>4951</v>
      </c>
      <c r="H4018" s="68">
        <v>75</v>
      </c>
      <c r="I4018" s="26" t="s">
        <v>4809</v>
      </c>
      <c r="J4018" s="78"/>
    </row>
    <row r="4019" spans="1:10" hidden="1">
      <c r="B4019" s="26" t="s">
        <v>19</v>
      </c>
      <c r="J4019" s="78"/>
    </row>
    <row r="4020" spans="1:10" hidden="1">
      <c r="B4020" s="26" t="s">
        <v>3185</v>
      </c>
      <c r="E4020" s="26" t="s">
        <v>21</v>
      </c>
      <c r="G4020" s="171" t="s">
        <v>1697</v>
      </c>
      <c r="H4020" s="68">
        <v>10</v>
      </c>
      <c r="I4020" s="26" t="s">
        <v>4041</v>
      </c>
      <c r="J4020" s="78"/>
    </row>
    <row r="4021" spans="1:10" hidden="1">
      <c r="B4021" s="26" t="s">
        <v>1358</v>
      </c>
      <c r="G4021" s="171" t="s">
        <v>1697</v>
      </c>
      <c r="H4021" s="68">
        <v>0.15</v>
      </c>
      <c r="I4021" s="26" t="s">
        <v>3477</v>
      </c>
      <c r="J4021" s="78"/>
    </row>
    <row r="4022" spans="1:10" hidden="1">
      <c r="B4022" s="26" t="s">
        <v>3186</v>
      </c>
      <c r="E4022" s="26" t="s">
        <v>21</v>
      </c>
      <c r="G4022" s="171" t="s">
        <v>1697</v>
      </c>
      <c r="H4022" s="68">
        <v>3.4</v>
      </c>
      <c r="I4022" s="26" t="s">
        <v>4041</v>
      </c>
      <c r="J4022" s="78"/>
    </row>
    <row r="4023" spans="1:10" hidden="1">
      <c r="B4023" s="26" t="s">
        <v>5012</v>
      </c>
      <c r="G4023" s="171" t="s">
        <v>1697</v>
      </c>
      <c r="H4023" s="68">
        <v>0.35</v>
      </c>
      <c r="I4023" s="26" t="s">
        <v>3477</v>
      </c>
      <c r="J4023" s="78"/>
    </row>
    <row r="4024" spans="1:10" hidden="1">
      <c r="B4024" s="26" t="s">
        <v>4547</v>
      </c>
      <c r="G4024" s="171" t="s">
        <v>1697</v>
      </c>
      <c r="H4024" s="68">
        <v>0.35</v>
      </c>
      <c r="I4024" s="26" t="s">
        <v>6901</v>
      </c>
      <c r="J4024" s="78"/>
    </row>
    <row r="4025" spans="1:10" hidden="1">
      <c r="B4025" s="26" t="s">
        <v>5853</v>
      </c>
      <c r="G4025" s="171" t="s">
        <v>1697</v>
      </c>
      <c r="H4025" s="68">
        <v>125</v>
      </c>
      <c r="I4025" s="26" t="s">
        <v>3478</v>
      </c>
      <c r="J4025" s="78"/>
    </row>
    <row r="4026" spans="1:10" hidden="1">
      <c r="B4026" s="26" t="s">
        <v>6016</v>
      </c>
      <c r="F4026" s="26" t="s">
        <v>1564</v>
      </c>
      <c r="G4026" s="171" t="s">
        <v>1697</v>
      </c>
      <c r="H4026" s="68">
        <v>10</v>
      </c>
      <c r="I4026" s="26" t="s">
        <v>4808</v>
      </c>
      <c r="J4026" s="78"/>
    </row>
    <row r="4027" spans="1:10" hidden="1">
      <c r="B4027" s="26" t="s">
        <v>3183</v>
      </c>
      <c r="G4027" s="78"/>
      <c r="H4027" s="26">
        <v>28.57</v>
      </c>
      <c r="I4027" s="26" t="s">
        <v>6901</v>
      </c>
      <c r="J4027" s="78"/>
    </row>
    <row r="4028" spans="1:10" hidden="1">
      <c r="B4028" s="26" t="s">
        <v>268</v>
      </c>
      <c r="G4028" s="78"/>
      <c r="J4028" s="78"/>
    </row>
    <row r="4029" spans="1:10" hidden="1">
      <c r="B4029" s="26" t="s">
        <v>3027</v>
      </c>
      <c r="G4029" s="78"/>
      <c r="J4029" s="78"/>
    </row>
    <row r="4030" spans="1:10" hidden="1">
      <c r="B4030" s="26" t="s">
        <v>3083</v>
      </c>
      <c r="D4030" s="26" t="s">
        <v>5924</v>
      </c>
      <c r="G4030" s="171" t="s">
        <v>1697</v>
      </c>
      <c r="H4030" s="68">
        <v>7</v>
      </c>
      <c r="I4030" s="26" t="s">
        <v>4041</v>
      </c>
      <c r="J4030" s="78"/>
    </row>
    <row r="4031" spans="1:10" hidden="1">
      <c r="D4031" s="26" t="s">
        <v>3015</v>
      </c>
      <c r="G4031" s="171" t="s">
        <v>1697</v>
      </c>
      <c r="H4031" s="68">
        <v>14</v>
      </c>
      <c r="I4031" s="26" t="s">
        <v>4041</v>
      </c>
      <c r="J4031" s="78"/>
    </row>
    <row r="4032" spans="1:10" hidden="1">
      <c r="D4032" s="26" t="s">
        <v>589</v>
      </c>
      <c r="J4032" s="78"/>
    </row>
    <row r="4033" spans="1:10">
      <c r="J4033" s="78"/>
    </row>
    <row r="4034" spans="1:10">
      <c r="A4034" s="822" t="s">
        <v>3984</v>
      </c>
      <c r="E4034" s="170" t="s">
        <v>2367</v>
      </c>
      <c r="J4034" s="78"/>
    </row>
    <row r="4035" spans="1:10">
      <c r="H4035" s="171" t="s">
        <v>1188</v>
      </c>
      <c r="J4035" s="78"/>
    </row>
    <row r="4036" spans="1:10">
      <c r="B4036" s="170" t="s">
        <v>2368</v>
      </c>
      <c r="C4036" s="89"/>
      <c r="H4036" s="211">
        <v>25</v>
      </c>
      <c r="I4036" s="26" t="s">
        <v>3477</v>
      </c>
      <c r="J4036" s="78"/>
    </row>
    <row r="4037" spans="1:10">
      <c r="B4037" s="95" t="s">
        <v>2369</v>
      </c>
      <c r="D4037" s="157" t="s">
        <v>4443</v>
      </c>
      <c r="E4037" s="97"/>
      <c r="F4037" s="95" t="s">
        <v>2370</v>
      </c>
      <c r="G4037" s="95" t="s">
        <v>1166</v>
      </c>
      <c r="H4037" s="97" t="s">
        <v>6664</v>
      </c>
      <c r="I4037" s="97" t="s">
        <v>6665</v>
      </c>
      <c r="J4037" s="78"/>
    </row>
    <row r="4038" spans="1:10">
      <c r="B4038" s="191"/>
      <c r="C4038" s="139"/>
      <c r="D4038" s="174"/>
      <c r="E4038" s="192"/>
      <c r="F4038" s="191"/>
      <c r="G4038" s="114"/>
      <c r="H4038" s="115" t="s">
        <v>3856</v>
      </c>
      <c r="I4038" s="115" t="s">
        <v>3857</v>
      </c>
      <c r="J4038" s="78"/>
    </row>
    <row r="4039" spans="1:10">
      <c r="B4039" s="95">
        <v>1</v>
      </c>
      <c r="C4039" s="131" t="s">
        <v>997</v>
      </c>
      <c r="D4039" s="187"/>
      <c r="E4039" s="195"/>
      <c r="F4039" s="107" t="s">
        <v>3478</v>
      </c>
      <c r="G4039" s="26">
        <f>125*25</f>
        <v>3125</v>
      </c>
      <c r="H4039" s="212">
        <f>'BASIC DATA'!$D$32/1000</f>
        <v>5.35</v>
      </c>
      <c r="I4039" s="155">
        <f t="shared" ref="I4039:I4044" si="75">H4039*G4039</f>
        <v>16718.75</v>
      </c>
      <c r="J4039" s="78"/>
    </row>
    <row r="4040" spans="1:10">
      <c r="B4040" s="105">
        <v>2</v>
      </c>
      <c r="C4040" s="135" t="s">
        <v>7000</v>
      </c>
      <c r="D4040" s="31"/>
      <c r="E4040" s="189"/>
      <c r="F4040" s="210" t="s">
        <v>2059</v>
      </c>
      <c r="G4040" s="26">
        <f>10*25</f>
        <v>250</v>
      </c>
      <c r="H4040" s="214">
        <f>'BASIC DATA'!$D$41</f>
        <v>23</v>
      </c>
      <c r="I4040" s="155">
        <f t="shared" si="75"/>
        <v>5750</v>
      </c>
      <c r="J4040" s="78"/>
    </row>
    <row r="4041" spans="1:10">
      <c r="B4041" s="105">
        <v>3</v>
      </c>
      <c r="C4041" s="135" t="s">
        <v>5700</v>
      </c>
      <c r="D4041" s="31"/>
      <c r="E4041" s="189"/>
      <c r="F4041" s="210" t="s">
        <v>2059</v>
      </c>
      <c r="G4041" s="26">
        <f>3.4*25</f>
        <v>85</v>
      </c>
      <c r="H4041" s="214">
        <f>'BASIC DATA'!$D$42</f>
        <v>26</v>
      </c>
      <c r="I4041" s="155">
        <f t="shared" si="75"/>
        <v>2210</v>
      </c>
      <c r="J4041" s="78"/>
    </row>
    <row r="4042" spans="1:10">
      <c r="B4042" s="105">
        <v>4</v>
      </c>
      <c r="C4042" s="135" t="s">
        <v>5012</v>
      </c>
      <c r="D4042" s="31"/>
      <c r="E4042" s="189"/>
      <c r="F4042" s="210" t="s">
        <v>3477</v>
      </c>
      <c r="G4042" s="26">
        <f>0.35*25</f>
        <v>8.75</v>
      </c>
      <c r="H4042" s="214">
        <f>'BASIC DATA'!$D$108</f>
        <v>318</v>
      </c>
      <c r="I4042" s="155">
        <f t="shared" si="75"/>
        <v>2782.5</v>
      </c>
      <c r="J4042" s="78"/>
    </row>
    <row r="4043" spans="1:10">
      <c r="B4043" s="105">
        <v>5</v>
      </c>
      <c r="C4043" s="135" t="s">
        <v>1358</v>
      </c>
      <c r="D4043" s="31"/>
      <c r="E4043" s="189"/>
      <c r="F4043" s="210" t="s">
        <v>3477</v>
      </c>
      <c r="G4043" s="26">
        <f>0.15*25</f>
        <v>3.75</v>
      </c>
      <c r="H4043" s="214">
        <f>'BASIC DATA'!$D$96</f>
        <v>350</v>
      </c>
      <c r="I4043" s="155">
        <f t="shared" si="75"/>
        <v>1312.5</v>
      </c>
      <c r="J4043" s="78"/>
    </row>
    <row r="4044" spans="1:10">
      <c r="A4044" s="853"/>
      <c r="B4044" s="237">
        <v>6</v>
      </c>
      <c r="C4044" s="306" t="s">
        <v>7937</v>
      </c>
      <c r="D4044" s="241"/>
      <c r="E4044" s="242"/>
      <c r="F4044" s="277" t="s">
        <v>3477</v>
      </c>
      <c r="G4044" s="285">
        <f>0.35*25</f>
        <v>8.75</v>
      </c>
      <c r="H4044" s="284">
        <f>'BASIC DATA'!$D$57</f>
        <v>165</v>
      </c>
      <c r="I4044" s="244">
        <f t="shared" si="75"/>
        <v>1443.75</v>
      </c>
      <c r="J4044" s="62"/>
    </row>
    <row r="4045" spans="1:10">
      <c r="B4045" s="184"/>
      <c r="C4045" s="151"/>
      <c r="D4045" s="159"/>
      <c r="E4045" s="159" t="s">
        <v>2376</v>
      </c>
      <c r="F4045" s="159"/>
      <c r="G4045" s="159"/>
      <c r="H4045" s="208" t="s">
        <v>1698</v>
      </c>
      <c r="I4045" s="209">
        <f>SUM(I4039:I4044)</f>
        <v>30217.5</v>
      </c>
      <c r="J4045" s="78"/>
    </row>
    <row r="4046" spans="1:10">
      <c r="B4046" s="31"/>
      <c r="C4046" s="76"/>
      <c r="D4046" s="31"/>
      <c r="E4046" s="31"/>
      <c r="F4046" s="31"/>
      <c r="G4046" s="31"/>
      <c r="H4046" s="200"/>
      <c r="I4046" s="75"/>
      <c r="J4046" s="78"/>
    </row>
    <row r="4047" spans="1:10">
      <c r="B4047" s="170" t="s">
        <v>2377</v>
      </c>
      <c r="C4047" s="89"/>
      <c r="J4047" s="78"/>
    </row>
    <row r="4048" spans="1:10">
      <c r="B4048" s="95" t="s">
        <v>2369</v>
      </c>
      <c r="D4048" s="157" t="s">
        <v>2378</v>
      </c>
      <c r="E4048" s="97"/>
      <c r="F4048" s="95" t="s">
        <v>2370</v>
      </c>
      <c r="G4048" s="95" t="s">
        <v>1166</v>
      </c>
      <c r="H4048" s="97" t="s">
        <v>6664</v>
      </c>
      <c r="I4048" s="97" t="s">
        <v>6665</v>
      </c>
      <c r="J4048" s="78"/>
    </row>
    <row r="4049" spans="2:10">
      <c r="B4049" s="191"/>
      <c r="C4049" s="139"/>
      <c r="D4049" s="174"/>
      <c r="E4049" s="192"/>
      <c r="F4049" s="191"/>
      <c r="G4049" s="114"/>
      <c r="H4049" s="115" t="s">
        <v>3856</v>
      </c>
      <c r="I4049" s="115" t="s">
        <v>3857</v>
      </c>
      <c r="J4049" s="78"/>
    </row>
    <row r="4050" spans="2:10">
      <c r="B4050" s="95">
        <v>1</v>
      </c>
      <c r="C4050" s="131" t="s">
        <v>6641</v>
      </c>
      <c r="D4050" s="187"/>
      <c r="E4050" s="195"/>
      <c r="F4050" s="107" t="s">
        <v>2374</v>
      </c>
      <c r="G4050" s="179">
        <v>8</v>
      </c>
      <c r="H4050" s="178">
        <f>'HIRE CHARGES'!$D$508</f>
        <v>51.7</v>
      </c>
      <c r="I4050" s="155">
        <f>H4050*G4050</f>
        <v>413.6</v>
      </c>
      <c r="J4050" s="78"/>
    </row>
    <row r="4051" spans="2:10">
      <c r="B4051" s="105"/>
      <c r="C4051" s="135" t="s">
        <v>2379</v>
      </c>
      <c r="D4051" s="31"/>
      <c r="E4051" s="189"/>
      <c r="F4051" s="210" t="s">
        <v>2374</v>
      </c>
      <c r="G4051" s="190">
        <v>8</v>
      </c>
      <c r="H4051" s="207">
        <f>'HIRE CHARGES'!$E$508</f>
        <v>28</v>
      </c>
      <c r="I4051" s="155">
        <f>H4051*G4051</f>
        <v>224</v>
      </c>
      <c r="J4051" s="78"/>
    </row>
    <row r="4052" spans="2:10">
      <c r="B4052" s="105">
        <v>2</v>
      </c>
      <c r="C4052" s="135" t="s">
        <v>383</v>
      </c>
      <c r="D4052" s="31"/>
      <c r="E4052" s="189"/>
      <c r="F4052" s="210" t="s">
        <v>2374</v>
      </c>
      <c r="G4052" s="190">
        <v>1</v>
      </c>
      <c r="H4052" s="190">
        <f>'HIRE CHARGES'!$D$520</f>
        <v>6.7</v>
      </c>
      <c r="I4052" s="155">
        <f>H4052*G4052</f>
        <v>6.7</v>
      </c>
      <c r="J4052" s="78"/>
    </row>
    <row r="4053" spans="2:10">
      <c r="B4053" s="191"/>
      <c r="C4053" s="139" t="s">
        <v>2379</v>
      </c>
      <c r="D4053" s="174"/>
      <c r="E4053" s="192"/>
      <c r="F4053" s="191" t="s">
        <v>2374</v>
      </c>
      <c r="G4053" s="182">
        <v>1</v>
      </c>
      <c r="H4053" s="207">
        <f>'HIRE CHARGES'!$E$520</f>
        <v>56</v>
      </c>
      <c r="I4053" s="155">
        <f>H4053*G4053</f>
        <v>56</v>
      </c>
      <c r="J4053" s="78"/>
    </row>
    <row r="4054" spans="2:10">
      <c r="B4054" s="184"/>
      <c r="C4054" s="151"/>
      <c r="D4054" s="159"/>
      <c r="E4054" s="159" t="s">
        <v>2380</v>
      </c>
      <c r="F4054" s="159"/>
      <c r="G4054" s="159"/>
      <c r="H4054" s="208" t="s">
        <v>1698</v>
      </c>
      <c r="I4054" s="209">
        <f>SUM(I4050:I4053)</f>
        <v>700.30000000000007</v>
      </c>
      <c r="J4054" s="78"/>
    </row>
    <row r="4055" spans="2:10">
      <c r="B4055" s="31"/>
      <c r="C4055" s="76"/>
      <c r="D4055" s="31"/>
      <c r="E4055" s="31"/>
      <c r="F4055" s="31"/>
      <c r="G4055" s="31"/>
      <c r="H4055" s="200"/>
      <c r="I4055" s="75"/>
      <c r="J4055" s="78"/>
    </row>
    <row r="4056" spans="2:10">
      <c r="B4056" s="170" t="s">
        <v>2381</v>
      </c>
      <c r="C4056" s="89"/>
      <c r="J4056" s="78"/>
    </row>
    <row r="4057" spans="2:10">
      <c r="B4057" s="95" t="s">
        <v>2369</v>
      </c>
      <c r="D4057" s="157" t="s">
        <v>2378</v>
      </c>
      <c r="E4057" s="97"/>
      <c r="F4057" s="95" t="s">
        <v>2370</v>
      </c>
      <c r="G4057" s="95" t="s">
        <v>1166</v>
      </c>
      <c r="H4057" s="95" t="s">
        <v>6664</v>
      </c>
      <c r="I4057" s="97" t="s">
        <v>6665</v>
      </c>
      <c r="J4057" s="78"/>
    </row>
    <row r="4058" spans="2:10">
      <c r="B4058" s="114"/>
      <c r="C4058" s="139"/>
      <c r="D4058" s="174"/>
      <c r="E4058" s="192"/>
      <c r="F4058" s="191"/>
      <c r="G4058" s="114"/>
      <c r="H4058" s="114" t="s">
        <v>3856</v>
      </c>
      <c r="I4058" s="115" t="s">
        <v>3857</v>
      </c>
      <c r="J4058" s="78"/>
    </row>
    <row r="4059" spans="2:10">
      <c r="B4059" s="95">
        <v>1</v>
      </c>
      <c r="C4059" s="131" t="s">
        <v>527</v>
      </c>
      <c r="D4059" s="187"/>
      <c r="E4059" s="195"/>
      <c r="F4059" s="107" t="s">
        <v>2374</v>
      </c>
      <c r="G4059" s="179">
        <v>8</v>
      </c>
      <c r="H4059" s="179">
        <f>'HIRE CHARGES'!$F$508</f>
        <v>219.7</v>
      </c>
      <c r="I4059" s="155">
        <f t="shared" ref="I4059:I4066" si="76">H4059*G4059</f>
        <v>1757.6</v>
      </c>
      <c r="J4059" s="78"/>
    </row>
    <row r="4060" spans="2:10">
      <c r="B4060" s="105">
        <v>2</v>
      </c>
      <c r="C4060" s="135" t="s">
        <v>999</v>
      </c>
      <c r="D4060" s="31"/>
      <c r="E4060" s="189"/>
      <c r="F4060" s="210" t="s">
        <v>2374</v>
      </c>
      <c r="G4060" s="190">
        <v>1</v>
      </c>
      <c r="H4060" s="207">
        <f>'HIRE CHARGES'!$F$520</f>
        <v>83.3</v>
      </c>
      <c r="I4060" s="155">
        <f t="shared" si="76"/>
        <v>83.3</v>
      </c>
      <c r="J4060" s="78"/>
    </row>
    <row r="4061" spans="2:10">
      <c r="B4061" s="105">
        <v>3</v>
      </c>
      <c r="C4061" s="135" t="s">
        <v>4206</v>
      </c>
      <c r="D4061" s="31"/>
      <c r="E4061" s="189"/>
      <c r="F4061" s="210" t="s">
        <v>1172</v>
      </c>
      <c r="G4061" s="190">
        <v>1</v>
      </c>
      <c r="H4061" s="190">
        <f>'BASIC DATA'!$C$473</f>
        <v>450</v>
      </c>
      <c r="I4061" s="155">
        <f t="shared" si="76"/>
        <v>450</v>
      </c>
      <c r="J4061" s="78"/>
    </row>
    <row r="4062" spans="2:10">
      <c r="B4062" s="105">
        <v>4</v>
      </c>
      <c r="C4062" s="135" t="s">
        <v>3184</v>
      </c>
      <c r="D4062" s="31"/>
      <c r="E4062" s="189"/>
      <c r="F4062" s="210" t="s">
        <v>1172</v>
      </c>
      <c r="G4062" s="190">
        <v>14</v>
      </c>
      <c r="H4062" s="207">
        <f>'BASIC DATA'!$C$502</f>
        <v>445</v>
      </c>
      <c r="I4062" s="155">
        <f t="shared" si="76"/>
        <v>6230</v>
      </c>
      <c r="J4062" s="78"/>
    </row>
    <row r="4063" spans="2:10">
      <c r="B4063" s="105">
        <v>5</v>
      </c>
      <c r="C4063" s="135" t="s">
        <v>6460</v>
      </c>
      <c r="D4063" s="31"/>
      <c r="E4063" s="189"/>
      <c r="F4063" s="210" t="s">
        <v>1172</v>
      </c>
      <c r="G4063" s="190">
        <v>7</v>
      </c>
      <c r="H4063" s="207">
        <f>'BASIC DATA'!$C$545</f>
        <v>400</v>
      </c>
      <c r="I4063" s="155">
        <f t="shared" si="76"/>
        <v>2800</v>
      </c>
      <c r="J4063" s="78"/>
    </row>
    <row r="4064" spans="2:10">
      <c r="B4064" s="105">
        <v>6</v>
      </c>
      <c r="C4064" s="135" t="s">
        <v>440</v>
      </c>
      <c r="D4064" s="31"/>
      <c r="E4064" s="189"/>
      <c r="F4064" s="210" t="s">
        <v>1172</v>
      </c>
      <c r="G4064" s="190">
        <v>2.5</v>
      </c>
      <c r="H4064" s="207">
        <f>'BASIC DATA'!$C$474</f>
        <v>445</v>
      </c>
      <c r="I4064" s="155">
        <f t="shared" si="76"/>
        <v>1112.5</v>
      </c>
      <c r="J4064" s="78"/>
    </row>
    <row r="4065" spans="2:10">
      <c r="B4065" s="105">
        <v>7</v>
      </c>
      <c r="C4065" s="135" t="s">
        <v>1356</v>
      </c>
      <c r="D4065" s="31"/>
      <c r="E4065" s="189"/>
      <c r="F4065" s="210" t="s">
        <v>1172</v>
      </c>
      <c r="G4065" s="190">
        <v>4</v>
      </c>
      <c r="H4065" s="207">
        <f>'BASIC DATA'!$C$541</f>
        <v>400</v>
      </c>
      <c r="I4065" s="155">
        <f t="shared" si="76"/>
        <v>1600</v>
      </c>
      <c r="J4065" s="78"/>
    </row>
    <row r="4066" spans="2:10">
      <c r="B4066" s="105">
        <v>8</v>
      </c>
      <c r="C4066" s="135" t="s">
        <v>4393</v>
      </c>
      <c r="D4066" s="31"/>
      <c r="E4066" s="189"/>
      <c r="F4066" s="210" t="s">
        <v>1172</v>
      </c>
      <c r="G4066" s="190">
        <v>16</v>
      </c>
      <c r="H4066" s="207">
        <f>'BASIC DATA'!$C$513</f>
        <v>400</v>
      </c>
      <c r="I4066" s="155">
        <f t="shared" si="76"/>
        <v>6400</v>
      </c>
      <c r="J4066" s="78"/>
    </row>
    <row r="4067" spans="2:10">
      <c r="B4067" s="105">
        <v>9</v>
      </c>
      <c r="C4067" s="135" t="s">
        <v>2697</v>
      </c>
      <c r="D4067" s="31"/>
      <c r="E4067" s="189"/>
      <c r="F4067" s="210"/>
      <c r="G4067" s="190"/>
      <c r="H4067" s="190"/>
      <c r="I4067" s="138"/>
      <c r="J4067" s="78"/>
    </row>
    <row r="4068" spans="2:10">
      <c r="B4068" s="105"/>
      <c r="C4068" s="135" t="s">
        <v>6643</v>
      </c>
      <c r="D4068" s="31"/>
      <c r="E4068" s="189"/>
      <c r="F4068" s="210" t="s">
        <v>1172</v>
      </c>
      <c r="G4068" s="190">
        <v>2</v>
      </c>
      <c r="H4068" s="207">
        <f>'BASIC DATA'!$C$552</f>
        <v>350</v>
      </c>
      <c r="I4068" s="155">
        <f t="shared" ref="I4068:I4074" si="77">H4068*G4068</f>
        <v>700</v>
      </c>
      <c r="J4068" s="78"/>
    </row>
    <row r="4069" spans="2:10">
      <c r="B4069" s="105"/>
      <c r="C4069" s="135" t="s">
        <v>2831</v>
      </c>
      <c r="D4069" s="31"/>
      <c r="E4069" s="189"/>
      <c r="F4069" s="210" t="s">
        <v>1172</v>
      </c>
      <c r="G4069" s="190">
        <v>6</v>
      </c>
      <c r="H4069" s="207">
        <f>'BASIC DATA'!$C$552</f>
        <v>350</v>
      </c>
      <c r="I4069" s="155">
        <f t="shared" si="77"/>
        <v>2100</v>
      </c>
      <c r="J4069" s="78"/>
    </row>
    <row r="4070" spans="2:10">
      <c r="B4070" s="105"/>
      <c r="C4070" s="135" t="s">
        <v>442</v>
      </c>
      <c r="D4070" s="31"/>
      <c r="E4070" s="189"/>
      <c r="F4070" s="210" t="s">
        <v>1172</v>
      </c>
      <c r="G4070" s="190">
        <v>4</v>
      </c>
      <c r="H4070" s="207">
        <f>'BASIC DATA'!$C$552</f>
        <v>350</v>
      </c>
      <c r="I4070" s="155">
        <f t="shared" si="77"/>
        <v>1400</v>
      </c>
      <c r="J4070" s="78"/>
    </row>
    <row r="4071" spans="2:10">
      <c r="B4071" s="105"/>
      <c r="C4071" s="135" t="s">
        <v>1109</v>
      </c>
      <c r="D4071" s="31"/>
      <c r="E4071" s="189"/>
      <c r="F4071" s="210" t="s">
        <v>1172</v>
      </c>
      <c r="G4071" s="190">
        <v>10</v>
      </c>
      <c r="H4071" s="207">
        <f>'BASIC DATA'!$C$552</f>
        <v>350</v>
      </c>
      <c r="I4071" s="155">
        <f t="shared" si="77"/>
        <v>3500</v>
      </c>
      <c r="J4071" s="78"/>
    </row>
    <row r="4072" spans="2:10">
      <c r="B4072" s="105"/>
      <c r="C4072" s="135" t="s">
        <v>2789</v>
      </c>
      <c r="D4072" s="31"/>
      <c r="E4072" s="189"/>
      <c r="F4072" s="210" t="s">
        <v>1172</v>
      </c>
      <c r="G4072" s="190">
        <v>1</v>
      </c>
      <c r="H4072" s="207">
        <f>'BASIC DATA'!$C$552</f>
        <v>350</v>
      </c>
      <c r="I4072" s="155">
        <f t="shared" si="77"/>
        <v>350</v>
      </c>
      <c r="J4072" s="78"/>
    </row>
    <row r="4073" spans="2:10">
      <c r="B4073" s="105"/>
      <c r="C4073" s="135" t="s">
        <v>1110</v>
      </c>
      <c r="D4073" s="31"/>
      <c r="E4073" s="189"/>
      <c r="F4073" s="210" t="s">
        <v>1172</v>
      </c>
      <c r="G4073" s="190">
        <v>4</v>
      </c>
      <c r="H4073" s="207">
        <f>'BASIC DATA'!$C$552</f>
        <v>350</v>
      </c>
      <c r="I4073" s="155">
        <f t="shared" si="77"/>
        <v>1400</v>
      </c>
      <c r="J4073" s="78"/>
    </row>
    <row r="4074" spans="2:10">
      <c r="B4074" s="114"/>
      <c r="C4074" s="139" t="s">
        <v>6254</v>
      </c>
      <c r="D4074" s="174"/>
      <c r="E4074" s="192"/>
      <c r="F4074" s="191" t="s">
        <v>1172</v>
      </c>
      <c r="G4074" s="182">
        <v>12</v>
      </c>
      <c r="H4074" s="207">
        <f>'BASIC DATA'!$C$552</f>
        <v>350</v>
      </c>
      <c r="I4074" s="155">
        <f t="shared" si="77"/>
        <v>4200</v>
      </c>
      <c r="J4074" s="78"/>
    </row>
    <row r="4075" spans="2:10">
      <c r="B4075" s="184"/>
      <c r="C4075" s="151"/>
      <c r="D4075" s="159"/>
      <c r="E4075" s="159" t="s">
        <v>1174</v>
      </c>
      <c r="F4075" s="159"/>
      <c r="G4075" s="193"/>
      <c r="H4075" s="208" t="s">
        <v>1698</v>
      </c>
      <c r="I4075" s="209">
        <f>SUM(I4059:I4074)</f>
        <v>34083.4</v>
      </c>
      <c r="J4075" s="78"/>
    </row>
    <row r="4076" spans="2:10">
      <c r="B4076" s="60" t="s">
        <v>5948</v>
      </c>
      <c r="C4076" s="76"/>
      <c r="D4076" s="31"/>
      <c r="E4076" s="31"/>
      <c r="F4076" s="31"/>
      <c r="G4076" s="85">
        <f>ROUND(I4075/H4036,1)</f>
        <v>1363.3</v>
      </c>
      <c r="J4076" s="78"/>
    </row>
    <row r="4077" spans="2:10">
      <c r="B4077" s="60" t="s">
        <v>3163</v>
      </c>
      <c r="C4077" s="76"/>
      <c r="D4077" s="31"/>
      <c r="E4077" s="31"/>
      <c r="F4077" s="922">
        <f>'BASIC DATA'!$C$577</f>
        <v>0.13614999999999999</v>
      </c>
      <c r="G4077" s="85">
        <f>ROUND(G4076*F4077,1)</f>
        <v>185.6</v>
      </c>
      <c r="J4077" s="78"/>
    </row>
    <row r="4078" spans="2:10">
      <c r="B4078" s="60" t="s">
        <v>5949</v>
      </c>
      <c r="C4078" s="76"/>
      <c r="D4078" s="31"/>
      <c r="E4078" s="31"/>
      <c r="F4078" s="31"/>
      <c r="G4078" s="199">
        <f>ROUND(G4077+G4076,1)</f>
        <v>1548.9</v>
      </c>
      <c r="J4078" s="78"/>
    </row>
    <row r="4079" spans="2:10">
      <c r="B4079" s="31"/>
      <c r="C4079" s="76"/>
      <c r="D4079" s="31"/>
      <c r="E4079" s="31"/>
      <c r="F4079" s="200"/>
      <c r="G4079" s="200"/>
      <c r="I4079" s="31"/>
      <c r="J4079" s="78"/>
    </row>
    <row r="4080" spans="2:10">
      <c r="B4080" s="170" t="s">
        <v>1175</v>
      </c>
      <c r="J4080" s="78"/>
    </row>
    <row r="4081" spans="1:10">
      <c r="B4081" s="26" t="s">
        <v>1176</v>
      </c>
      <c r="H4081" s="171" t="s">
        <v>1698</v>
      </c>
      <c r="I4081" s="117">
        <f>I4045</f>
        <v>30217.5</v>
      </c>
      <c r="J4081" s="78"/>
    </row>
    <row r="4082" spans="1:10">
      <c r="B4082" s="26" t="s">
        <v>1186</v>
      </c>
      <c r="H4082" s="171" t="s">
        <v>1698</v>
      </c>
      <c r="I4082" s="117">
        <f>I4054</f>
        <v>700.30000000000007</v>
      </c>
      <c r="J4082" s="78"/>
    </row>
    <row r="4083" spans="1:10">
      <c r="B4083" s="26" t="s">
        <v>2660</v>
      </c>
      <c r="H4083" s="171" t="s">
        <v>1698</v>
      </c>
      <c r="I4083" s="85">
        <f>I4075</f>
        <v>34083.4</v>
      </c>
      <c r="J4083" s="78"/>
    </row>
    <row r="4084" spans="1:10">
      <c r="G4084" s="26" t="s">
        <v>1518</v>
      </c>
      <c r="H4084" s="171" t="s">
        <v>1698</v>
      </c>
      <c r="I4084" s="130">
        <f>SUM(I4080:I4083)</f>
        <v>65001.2</v>
      </c>
      <c r="J4084" s="78"/>
    </row>
    <row r="4085" spans="1:10" ht="18.75">
      <c r="B4085" s="1207" t="s">
        <v>8375</v>
      </c>
      <c r="C4085" s="1207"/>
      <c r="D4085" s="1207"/>
      <c r="E4085" s="1207"/>
      <c r="F4085" s="1207"/>
      <c r="G4085" s="922">
        <f>'BASIC DATA'!$C$577</f>
        <v>0.13614999999999999</v>
      </c>
      <c r="H4085" s="171" t="s">
        <v>4108</v>
      </c>
      <c r="I4085" s="76">
        <f>ROUND(I4084*G4085,2)</f>
        <v>8849.91</v>
      </c>
      <c r="J4085" s="78"/>
    </row>
    <row r="4086" spans="1:10">
      <c r="B4086" s="27" t="s">
        <v>9590</v>
      </c>
      <c r="C4086" s="43"/>
      <c r="D4086" s="43"/>
      <c r="E4086" s="43"/>
      <c r="F4086" s="779">
        <f>G4044</f>
        <v>8.75</v>
      </c>
      <c r="G4086" s="201" t="s">
        <v>9591</v>
      </c>
      <c r="H4086" s="68" t="str">
        <f>CONCATENATE((leadcharges!$D$65)," ","Rs./Cum")</f>
        <v>31.5 Rs./Cum</v>
      </c>
      <c r="I4086" s="76">
        <f>leadcharges!$D$65*F4086</f>
        <v>275.625</v>
      </c>
      <c r="J4086" s="78"/>
    </row>
    <row r="4087" spans="1:10">
      <c r="B4087" s="27" t="s">
        <v>9595</v>
      </c>
      <c r="C4087" s="43"/>
      <c r="D4087" s="43"/>
      <c r="E4087" s="43"/>
      <c r="F4087" s="779">
        <f>SUM(G4042:G4043)+(0.3*0.3*0.6*G4041)+(0.3*0.3*0.45*G4040)</f>
        <v>27.215</v>
      </c>
      <c r="G4087" s="201" t="s">
        <v>9591</v>
      </c>
      <c r="H4087" s="68" t="str">
        <f>CONCATENATE((leadcharges!$E$65)," ","Rs./Cum")</f>
        <v>30.4 Rs./Cum</v>
      </c>
      <c r="I4087" s="85">
        <f>leadcharges!$E$65*F4087</f>
        <v>827.33600000000001</v>
      </c>
      <c r="J4087" s="78"/>
    </row>
    <row r="4088" spans="1:10" ht="37.5" hidden="1" customHeight="1">
      <c r="B4088" s="1207"/>
      <c r="C4088" s="1207"/>
      <c r="D4088" s="1207"/>
      <c r="E4088" s="1207"/>
      <c r="F4088" s="779"/>
      <c r="G4088" s="201"/>
      <c r="H4088" s="68"/>
      <c r="I4088" s="76"/>
      <c r="J4088" s="78"/>
    </row>
    <row r="4089" spans="1:10">
      <c r="B4089" s="1206" t="s">
        <v>1191</v>
      </c>
      <c r="C4089" s="1206"/>
      <c r="D4089" s="1206"/>
      <c r="E4089" s="1206"/>
      <c r="F4089" s="202">
        <f>H4036</f>
        <v>25</v>
      </c>
      <c r="G4089" s="217" t="str">
        <f>I4036</f>
        <v>cum</v>
      </c>
      <c r="H4089" s="171" t="s">
        <v>1698</v>
      </c>
      <c r="I4089" s="199">
        <f>SUM(I4084:I4088)</f>
        <v>74954.070999999996</v>
      </c>
      <c r="J4089" s="78"/>
    </row>
    <row r="4090" spans="1:10">
      <c r="B4090" s="1161" t="s">
        <v>3884</v>
      </c>
      <c r="C4090" s="1161"/>
      <c r="D4090" s="246" t="str">
        <f>G4089</f>
        <v>cum</v>
      </c>
      <c r="F4090" s="26" t="s">
        <v>1646</v>
      </c>
      <c r="H4090" s="171" t="s">
        <v>1698</v>
      </c>
      <c r="I4090" s="204">
        <f>ROUND(I4089/F4089,1)</f>
        <v>2998.2</v>
      </c>
      <c r="J4090" s="78"/>
    </row>
    <row r="4091" spans="1:10">
      <c r="J4091" s="78"/>
    </row>
    <row r="4092" spans="1:10">
      <c r="J4092" s="78"/>
    </row>
    <row r="4093" spans="1:10" ht="18.75">
      <c r="A4093" s="822" t="s">
        <v>7356</v>
      </c>
      <c r="B4093" s="26" t="s">
        <v>8497</v>
      </c>
      <c r="J4093" s="78"/>
    </row>
    <row r="4094" spans="1:10">
      <c r="B4094" s="26" t="s">
        <v>8498</v>
      </c>
      <c r="J4094" s="78"/>
    </row>
    <row r="4095" spans="1:10">
      <c r="B4095" s="26" t="s">
        <v>1916</v>
      </c>
      <c r="J4095" s="78"/>
    </row>
    <row r="4096" spans="1:10" ht="18.75">
      <c r="B4096" s="26" t="s">
        <v>8499</v>
      </c>
      <c r="J4096" s="78"/>
    </row>
    <row r="4097" spans="1:10" hidden="1">
      <c r="A4097" s="822" t="s">
        <v>3984</v>
      </c>
      <c r="B4097" s="26" t="s">
        <v>5014</v>
      </c>
      <c r="J4097" s="78"/>
    </row>
    <row r="4098" spans="1:10" hidden="1">
      <c r="B4098" s="26" t="s">
        <v>3859</v>
      </c>
      <c r="J4098" s="78"/>
    </row>
    <row r="4099" spans="1:10" hidden="1">
      <c r="B4099" s="26" t="s">
        <v>3860</v>
      </c>
      <c r="J4099" s="78"/>
    </row>
    <row r="4100" spans="1:10" hidden="1">
      <c r="B4100" s="26" t="s">
        <v>327</v>
      </c>
      <c r="J4100" s="78"/>
    </row>
    <row r="4101" spans="1:10" hidden="1">
      <c r="B4101" s="26" t="s">
        <v>4645</v>
      </c>
      <c r="J4101" s="78"/>
    </row>
    <row r="4102" spans="1:10">
      <c r="J4102" s="78"/>
    </row>
    <row r="4103" spans="1:10">
      <c r="A4103" s="822" t="s">
        <v>3984</v>
      </c>
      <c r="E4103" s="170" t="s">
        <v>2367</v>
      </c>
      <c r="J4103" s="78"/>
    </row>
    <row r="4104" spans="1:10">
      <c r="H4104" s="171" t="s">
        <v>1188</v>
      </c>
      <c r="J4104" s="78"/>
    </row>
    <row r="4105" spans="1:10">
      <c r="B4105" s="170" t="s">
        <v>2368</v>
      </c>
      <c r="C4105" s="89"/>
      <c r="H4105" s="211">
        <v>100</v>
      </c>
      <c r="I4105" s="26" t="s">
        <v>3479</v>
      </c>
      <c r="J4105" s="78"/>
    </row>
    <row r="4106" spans="1:10">
      <c r="B4106" s="95" t="s">
        <v>2369</v>
      </c>
      <c r="D4106" s="157" t="s">
        <v>4443</v>
      </c>
      <c r="E4106" s="97"/>
      <c r="F4106" s="95" t="s">
        <v>2370</v>
      </c>
      <c r="G4106" s="95" t="s">
        <v>1166</v>
      </c>
      <c r="H4106" s="97" t="s">
        <v>6664</v>
      </c>
      <c r="I4106" s="97" t="s">
        <v>6665</v>
      </c>
      <c r="J4106" s="78"/>
    </row>
    <row r="4107" spans="1:10">
      <c r="B4107" s="191"/>
      <c r="C4107" s="139"/>
      <c r="D4107" s="174"/>
      <c r="E4107" s="192"/>
      <c r="F4107" s="191"/>
      <c r="G4107" s="114"/>
      <c r="H4107" s="115" t="s">
        <v>3856</v>
      </c>
      <c r="I4107" s="276" t="s">
        <v>3857</v>
      </c>
      <c r="J4107" s="78"/>
    </row>
    <row r="4108" spans="1:10">
      <c r="B4108" s="95">
        <v>1</v>
      </c>
      <c r="C4108" s="131" t="s">
        <v>6669</v>
      </c>
      <c r="D4108" s="187"/>
      <c r="E4108" s="195"/>
      <c r="F4108" s="107" t="s">
        <v>3478</v>
      </c>
      <c r="G4108" s="107">
        <v>455.44600000000003</v>
      </c>
      <c r="H4108" s="286">
        <f>'BASIC DATA'!$D$32/1000</f>
        <v>5.35</v>
      </c>
      <c r="I4108" s="155">
        <f>H4108*G4108</f>
        <v>2436.6361000000002</v>
      </c>
      <c r="J4108" s="78"/>
    </row>
    <row r="4109" spans="1:10">
      <c r="A4109" s="853"/>
      <c r="B4109" s="237">
        <v>2</v>
      </c>
      <c r="C4109" s="306" t="s">
        <v>7937</v>
      </c>
      <c r="D4109" s="241"/>
      <c r="E4109" s="242"/>
      <c r="F4109" s="277" t="s">
        <v>3477</v>
      </c>
      <c r="G4109" s="277">
        <v>0.73499999999999999</v>
      </c>
      <c r="H4109" s="287">
        <f>'BASIC DATA'!$D$57</f>
        <v>165</v>
      </c>
      <c r="I4109" s="288">
        <f>H4109*G4109</f>
        <v>121.27499999999999</v>
      </c>
      <c r="J4109" s="62"/>
    </row>
    <row r="4110" spans="1:10">
      <c r="B4110" s="184"/>
      <c r="C4110" s="151"/>
      <c r="D4110" s="159"/>
      <c r="E4110" s="159" t="s">
        <v>2376</v>
      </c>
      <c r="F4110" s="159"/>
      <c r="G4110" s="159"/>
      <c r="H4110" s="208" t="s">
        <v>1698</v>
      </c>
      <c r="I4110" s="269">
        <f>SUM(I4108:I4109)</f>
        <v>2557.9111000000003</v>
      </c>
      <c r="J4110" s="78"/>
    </row>
    <row r="4111" spans="1:10">
      <c r="B4111" s="31"/>
      <c r="C4111" s="76"/>
      <c r="D4111" s="31"/>
      <c r="E4111" s="31"/>
      <c r="F4111" s="31"/>
      <c r="G4111" s="31"/>
      <c r="H4111" s="200"/>
      <c r="I4111" s="75"/>
      <c r="J4111" s="78"/>
    </row>
    <row r="4112" spans="1:10">
      <c r="B4112" s="170" t="s">
        <v>2377</v>
      </c>
      <c r="C4112" s="89"/>
      <c r="J4112" s="78"/>
    </row>
    <row r="4113" spans="2:10">
      <c r="B4113" s="95" t="s">
        <v>2369</v>
      </c>
      <c r="D4113" s="157" t="s">
        <v>2378</v>
      </c>
      <c r="E4113" s="97"/>
      <c r="F4113" s="95" t="s">
        <v>2370</v>
      </c>
      <c r="G4113" s="95" t="s">
        <v>1166</v>
      </c>
      <c r="H4113" s="95" t="s">
        <v>6664</v>
      </c>
      <c r="I4113" s="97" t="s">
        <v>6665</v>
      </c>
      <c r="J4113" s="78"/>
    </row>
    <row r="4114" spans="2:10">
      <c r="B4114" s="191"/>
      <c r="C4114" s="139"/>
      <c r="D4114" s="174"/>
      <c r="E4114" s="192"/>
      <c r="F4114" s="191"/>
      <c r="G4114" s="114"/>
      <c r="H4114" s="114" t="s">
        <v>3856</v>
      </c>
      <c r="I4114" s="115" t="s">
        <v>3857</v>
      </c>
      <c r="J4114" s="78"/>
    </row>
    <row r="4115" spans="2:10">
      <c r="B4115" s="107">
        <v>1</v>
      </c>
      <c r="C4115" s="131" t="s">
        <v>6976</v>
      </c>
      <c r="D4115" s="187"/>
      <c r="E4115" s="195"/>
      <c r="F4115" s="107"/>
      <c r="G4115" s="179">
        <v>0</v>
      </c>
      <c r="H4115" s="179">
        <v>0</v>
      </c>
      <c r="I4115" s="155">
        <f>H4115*G4115</f>
        <v>0</v>
      </c>
      <c r="J4115" s="78"/>
    </row>
    <row r="4116" spans="2:10">
      <c r="B4116" s="191"/>
      <c r="C4116" s="139" t="s">
        <v>3861</v>
      </c>
      <c r="D4116" s="174"/>
      <c r="E4116" s="192"/>
      <c r="F4116" s="191"/>
      <c r="G4116" s="182">
        <v>0</v>
      </c>
      <c r="H4116" s="182">
        <v>0</v>
      </c>
      <c r="I4116" s="155">
        <f>H4116*G4116</f>
        <v>0</v>
      </c>
      <c r="J4116" s="78"/>
    </row>
    <row r="4117" spans="2:10">
      <c r="B4117" s="184"/>
      <c r="C4117" s="151"/>
      <c r="D4117" s="159"/>
      <c r="E4117" s="159" t="s">
        <v>2380</v>
      </c>
      <c r="F4117" s="159"/>
      <c r="G4117" s="159"/>
      <c r="H4117" s="208" t="s">
        <v>1698</v>
      </c>
      <c r="I4117" s="209">
        <f>SUM(I4115:I4116)</f>
        <v>0</v>
      </c>
      <c r="J4117" s="78"/>
    </row>
    <row r="4118" spans="2:10">
      <c r="B4118" s="170" t="s">
        <v>2381</v>
      </c>
      <c r="C4118" s="151"/>
      <c r="J4118" s="78"/>
    </row>
    <row r="4119" spans="2:10">
      <c r="B4119" s="95" t="s">
        <v>2369</v>
      </c>
      <c r="D4119" s="157" t="s">
        <v>2378</v>
      </c>
      <c r="E4119" s="97"/>
      <c r="F4119" s="95" t="s">
        <v>2370</v>
      </c>
      <c r="G4119" s="95" t="s">
        <v>1166</v>
      </c>
      <c r="H4119" s="97" t="s">
        <v>6664</v>
      </c>
      <c r="I4119" s="97" t="s">
        <v>6665</v>
      </c>
      <c r="J4119" s="78"/>
    </row>
    <row r="4120" spans="2:10">
      <c r="B4120" s="191"/>
      <c r="C4120" s="139"/>
      <c r="D4120" s="174"/>
      <c r="E4120" s="192"/>
      <c r="F4120" s="191"/>
      <c r="G4120" s="114"/>
      <c r="H4120" s="115" t="s">
        <v>3856</v>
      </c>
      <c r="I4120" s="115" t="s">
        <v>3857</v>
      </c>
      <c r="J4120" s="78"/>
    </row>
    <row r="4121" spans="2:10">
      <c r="B4121" s="95">
        <v>1</v>
      </c>
      <c r="C4121" s="131" t="s">
        <v>440</v>
      </c>
      <c r="D4121" s="187"/>
      <c r="E4121" s="195"/>
      <c r="F4121" s="107" t="s">
        <v>1172</v>
      </c>
      <c r="G4121" s="179">
        <v>10</v>
      </c>
      <c r="H4121" s="207">
        <f>'BASIC DATA'!$C$474</f>
        <v>445</v>
      </c>
      <c r="I4121" s="155">
        <f>H4121*G4121</f>
        <v>4450</v>
      </c>
      <c r="J4121" s="78"/>
    </row>
    <row r="4122" spans="2:10">
      <c r="B4122" s="105">
        <v>2</v>
      </c>
      <c r="C4122" s="135" t="s">
        <v>2697</v>
      </c>
      <c r="D4122" s="31"/>
      <c r="E4122" s="189"/>
      <c r="F4122" s="210" t="s">
        <v>1172</v>
      </c>
      <c r="G4122" s="190">
        <v>10</v>
      </c>
      <c r="H4122" s="207">
        <f>'BASIC DATA'!$C$552</f>
        <v>350</v>
      </c>
      <c r="I4122" s="155">
        <f>H4122*G4122</f>
        <v>3500</v>
      </c>
      <c r="J4122" s="78"/>
    </row>
    <row r="4123" spans="2:10">
      <c r="B4123" s="184"/>
      <c r="C4123" s="151"/>
      <c r="D4123" s="159"/>
      <c r="E4123" s="159" t="s">
        <v>1174</v>
      </c>
      <c r="F4123" s="159"/>
      <c r="G4123" s="159"/>
      <c r="H4123" s="208" t="s">
        <v>1698</v>
      </c>
      <c r="I4123" s="209">
        <f>SUM(I4121:I4122)</f>
        <v>7950</v>
      </c>
      <c r="J4123" s="78"/>
    </row>
    <row r="4124" spans="2:10">
      <c r="B4124" s="60" t="s">
        <v>5948</v>
      </c>
      <c r="C4124" s="76"/>
      <c r="D4124" s="31"/>
      <c r="E4124" s="31"/>
      <c r="F4124" s="31"/>
      <c r="G4124" s="85">
        <f>ROUND(I4123/H4105,1)</f>
        <v>79.5</v>
      </c>
      <c r="J4124" s="78"/>
    </row>
    <row r="4125" spans="2:10">
      <c r="B4125" s="60" t="s">
        <v>3163</v>
      </c>
      <c r="C4125" s="76"/>
      <c r="D4125" s="31"/>
      <c r="E4125" s="31"/>
      <c r="F4125" s="922">
        <f>'BASIC DATA'!$C$577</f>
        <v>0.13614999999999999</v>
      </c>
      <c r="G4125" s="85">
        <f>ROUND(G4124*F4125,1)</f>
        <v>10.8</v>
      </c>
      <c r="J4125" s="78"/>
    </row>
    <row r="4126" spans="2:10">
      <c r="B4126" s="60" t="s">
        <v>5949</v>
      </c>
      <c r="C4126" s="76"/>
      <c r="D4126" s="31"/>
      <c r="E4126" s="31"/>
      <c r="F4126" s="31"/>
      <c r="G4126" s="199">
        <f>ROUND(G4125+G4124,1)</f>
        <v>90.3</v>
      </c>
      <c r="J4126" s="78"/>
    </row>
    <row r="4127" spans="2:10">
      <c r="J4127" s="78"/>
    </row>
    <row r="4128" spans="2:10">
      <c r="B4128" s="170" t="s">
        <v>1175</v>
      </c>
      <c r="J4128" s="78"/>
    </row>
    <row r="4129" spans="1:10">
      <c r="B4129" s="26" t="s">
        <v>1176</v>
      </c>
      <c r="H4129" s="171" t="s">
        <v>1698</v>
      </c>
      <c r="I4129" s="117">
        <f>I4110</f>
        <v>2557.9111000000003</v>
      </c>
      <c r="J4129" s="78"/>
    </row>
    <row r="4130" spans="1:10">
      <c r="B4130" s="26" t="s">
        <v>1186</v>
      </c>
      <c r="H4130" s="171" t="s">
        <v>1698</v>
      </c>
      <c r="I4130" s="117">
        <f>I4117</f>
        <v>0</v>
      </c>
      <c r="J4130" s="78"/>
    </row>
    <row r="4131" spans="1:10">
      <c r="B4131" s="26" t="s">
        <v>2660</v>
      </c>
      <c r="H4131" s="171" t="s">
        <v>1698</v>
      </c>
      <c r="I4131" s="85">
        <f>I4123</f>
        <v>7950</v>
      </c>
      <c r="J4131" s="78"/>
    </row>
    <row r="4132" spans="1:10">
      <c r="G4132" s="26" t="s">
        <v>1518</v>
      </c>
      <c r="H4132" s="171" t="s">
        <v>1698</v>
      </c>
      <c r="I4132" s="130">
        <f>SUM(I4128:I4131)</f>
        <v>10507.911100000001</v>
      </c>
      <c r="J4132" s="78"/>
    </row>
    <row r="4133" spans="1:10" ht="18.75">
      <c r="B4133" s="1207" t="s">
        <v>8375</v>
      </c>
      <c r="C4133" s="1207"/>
      <c r="D4133" s="1207"/>
      <c r="E4133" s="1207"/>
      <c r="F4133" s="1207"/>
      <c r="G4133" s="922">
        <f>'BASIC DATA'!$C$577</f>
        <v>0.13614999999999999</v>
      </c>
      <c r="H4133" s="171" t="s">
        <v>4108</v>
      </c>
      <c r="I4133" s="76">
        <f>ROUND(I4132*G4133,2)</f>
        <v>1430.65</v>
      </c>
      <c r="J4133" s="78"/>
    </row>
    <row r="4134" spans="1:10">
      <c r="B4134" s="27" t="s">
        <v>9590</v>
      </c>
      <c r="C4134" s="43"/>
      <c r="D4134" s="43"/>
      <c r="E4134" s="43"/>
      <c r="F4134" s="779">
        <f>G4109</f>
        <v>0.73499999999999999</v>
      </c>
      <c r="G4134" s="201" t="s">
        <v>9591</v>
      </c>
      <c r="H4134" s="68" t="str">
        <f>CONCATENATE((leadcharges!$D$65)," ","Rs./Cum")</f>
        <v>31.5 Rs./Cum</v>
      </c>
      <c r="I4134" s="76">
        <f>leadcharges!$D$65*F4134</f>
        <v>23.1525</v>
      </c>
      <c r="J4134" s="78"/>
    </row>
    <row r="4135" spans="1:10" ht="38.25" hidden="1" customHeight="1">
      <c r="B4135" s="1207"/>
      <c r="C4135" s="1207"/>
      <c r="D4135" s="1207"/>
      <c r="E4135" s="1207"/>
      <c r="F4135" s="779"/>
      <c r="G4135" s="201"/>
      <c r="H4135" s="68"/>
      <c r="I4135" s="76"/>
      <c r="J4135" s="78"/>
    </row>
    <row r="4136" spans="1:10">
      <c r="B4136" s="1206" t="s">
        <v>1191</v>
      </c>
      <c r="C4136" s="1206"/>
      <c r="D4136" s="1206"/>
      <c r="E4136" s="1206"/>
      <c r="F4136" s="202">
        <f>H4105</f>
        <v>100</v>
      </c>
      <c r="G4136" s="217" t="str">
        <f>I4105</f>
        <v>sqm</v>
      </c>
      <c r="H4136" s="171" t="s">
        <v>1698</v>
      </c>
      <c r="I4136" s="199">
        <f>SUM(I4132:I4135)</f>
        <v>11961.713600000001</v>
      </c>
      <c r="J4136" s="78"/>
    </row>
    <row r="4137" spans="1:10">
      <c r="B4137" s="1161" t="s">
        <v>3884</v>
      </c>
      <c r="C4137" s="1161"/>
      <c r="D4137" s="246" t="str">
        <f>G4136</f>
        <v>sqm</v>
      </c>
      <c r="F4137" s="26" t="s">
        <v>1380</v>
      </c>
      <c r="H4137" s="171" t="s">
        <v>1698</v>
      </c>
      <c r="I4137" s="204">
        <f>ROUND(I4136/F4136,1)</f>
        <v>119.6</v>
      </c>
      <c r="J4137" s="78"/>
    </row>
    <row r="4138" spans="1:10">
      <c r="I4138" s="27"/>
      <c r="J4138" s="78"/>
    </row>
    <row r="4139" spans="1:10">
      <c r="J4139" s="78"/>
    </row>
    <row r="4140" spans="1:10">
      <c r="J4140" s="78"/>
    </row>
    <row r="4141" spans="1:10" ht="18.75">
      <c r="A4141" s="822" t="s">
        <v>7357</v>
      </c>
      <c r="B4141" s="26" t="s">
        <v>8497</v>
      </c>
      <c r="J4141" s="78"/>
    </row>
    <row r="4142" spans="1:10" ht="18.75">
      <c r="B4142" s="26" t="s">
        <v>8500</v>
      </c>
      <c r="J4142" s="78"/>
    </row>
    <row r="4143" spans="1:10">
      <c r="B4143" s="26" t="s">
        <v>5260</v>
      </c>
      <c r="J4143" s="78"/>
    </row>
    <row r="4144" spans="1:10" ht="18.75">
      <c r="B4144" s="26" t="s">
        <v>8501</v>
      </c>
      <c r="J4144" s="78"/>
    </row>
    <row r="4145" spans="1:10" hidden="1">
      <c r="A4145" s="822" t="s">
        <v>3984</v>
      </c>
      <c r="B4145" s="26" t="s">
        <v>5014</v>
      </c>
      <c r="J4145" s="78"/>
    </row>
    <row r="4146" spans="1:10" hidden="1">
      <c r="B4146" s="26" t="s">
        <v>3859</v>
      </c>
      <c r="J4146" s="78"/>
    </row>
    <row r="4147" spans="1:10" hidden="1">
      <c r="B4147" s="26" t="s">
        <v>3860</v>
      </c>
      <c r="J4147" s="78"/>
    </row>
    <row r="4148" spans="1:10" hidden="1">
      <c r="B4148" s="26" t="s">
        <v>329</v>
      </c>
      <c r="F4148" s="26" t="s">
        <v>330</v>
      </c>
      <c r="G4148" s="26" t="s">
        <v>6901</v>
      </c>
      <c r="J4148" s="78"/>
    </row>
    <row r="4149" spans="1:10" hidden="1">
      <c r="B4149" s="26" t="s">
        <v>5861</v>
      </c>
      <c r="J4149" s="78"/>
    </row>
    <row r="4150" spans="1:10">
      <c r="J4150" s="78"/>
    </row>
    <row r="4151" spans="1:10">
      <c r="A4151" s="822" t="s">
        <v>3984</v>
      </c>
      <c r="E4151" s="170" t="s">
        <v>2367</v>
      </c>
      <c r="J4151" s="78"/>
    </row>
    <row r="4152" spans="1:10">
      <c r="H4152" s="171" t="s">
        <v>1188</v>
      </c>
      <c r="J4152" s="78"/>
    </row>
    <row r="4153" spans="1:10">
      <c r="B4153" s="170" t="s">
        <v>2368</v>
      </c>
      <c r="C4153" s="89"/>
      <c r="H4153" s="211">
        <v>100</v>
      </c>
      <c r="I4153" s="26" t="s">
        <v>3883</v>
      </c>
      <c r="J4153" s="78"/>
    </row>
    <row r="4154" spans="1:10">
      <c r="B4154" s="95" t="s">
        <v>2369</v>
      </c>
      <c r="D4154" s="157" t="s">
        <v>4443</v>
      </c>
      <c r="E4154" s="97"/>
      <c r="F4154" s="95" t="s">
        <v>2370</v>
      </c>
      <c r="G4154" s="95" t="s">
        <v>1166</v>
      </c>
      <c r="H4154" s="97" t="s">
        <v>6664</v>
      </c>
      <c r="I4154" s="97" t="s">
        <v>6665</v>
      </c>
      <c r="J4154" s="78"/>
    </row>
    <row r="4155" spans="1:10">
      <c r="B4155" s="191"/>
      <c r="C4155" s="139"/>
      <c r="D4155" s="174"/>
      <c r="E4155" s="192"/>
      <c r="F4155" s="191"/>
      <c r="G4155" s="114"/>
      <c r="H4155" s="115" t="s">
        <v>3856</v>
      </c>
      <c r="I4155" s="276" t="s">
        <v>3857</v>
      </c>
      <c r="J4155" s="78"/>
    </row>
    <row r="4156" spans="1:10">
      <c r="B4156" s="95">
        <v>1</v>
      </c>
      <c r="C4156" s="131" t="s">
        <v>5853</v>
      </c>
      <c r="D4156" s="187"/>
      <c r="E4156" s="195"/>
      <c r="F4156" s="107" t="s">
        <v>3478</v>
      </c>
      <c r="G4156" s="179">
        <v>321.8</v>
      </c>
      <c r="H4156" s="286">
        <f>'BASIC DATA'!$D$32/1000</f>
        <v>5.35</v>
      </c>
      <c r="I4156" s="155">
        <f>H4156*G4156</f>
        <v>1721.6299999999999</v>
      </c>
      <c r="J4156" s="78"/>
    </row>
    <row r="4157" spans="1:10">
      <c r="A4157" s="853"/>
      <c r="B4157" s="237">
        <v>2</v>
      </c>
      <c r="C4157" s="306" t="s">
        <v>7937</v>
      </c>
      <c r="D4157" s="241"/>
      <c r="E4157" s="242"/>
      <c r="F4157" s="277" t="s">
        <v>3477</v>
      </c>
      <c r="G4157" s="289">
        <v>0.73499999999999999</v>
      </c>
      <c r="H4157" s="287">
        <f>'BASIC DATA'!$D$57</f>
        <v>165</v>
      </c>
      <c r="I4157" s="288">
        <f>H4157*G4157</f>
        <v>121.27499999999999</v>
      </c>
      <c r="J4157" s="62"/>
    </row>
    <row r="4158" spans="1:10">
      <c r="B4158" s="184"/>
      <c r="C4158" s="151"/>
      <c r="D4158" s="159"/>
      <c r="E4158" s="159" t="s">
        <v>2376</v>
      </c>
      <c r="F4158" s="159"/>
      <c r="G4158" s="159"/>
      <c r="H4158" s="208" t="s">
        <v>1698</v>
      </c>
      <c r="I4158" s="269">
        <f>SUM(I4156:I4157)</f>
        <v>1842.905</v>
      </c>
      <c r="J4158" s="78"/>
    </row>
    <row r="4159" spans="1:10">
      <c r="B4159" s="31"/>
      <c r="C4159" s="76"/>
      <c r="D4159" s="31"/>
      <c r="E4159" s="31"/>
      <c r="F4159" s="31"/>
      <c r="G4159" s="31"/>
      <c r="H4159" s="200"/>
      <c r="I4159" s="31"/>
      <c r="J4159" s="78"/>
    </row>
    <row r="4160" spans="1:10">
      <c r="B4160" s="170" t="s">
        <v>2377</v>
      </c>
      <c r="C4160" s="89"/>
      <c r="J4160" s="78"/>
    </row>
    <row r="4161" spans="2:10">
      <c r="B4161" s="95" t="s">
        <v>2369</v>
      </c>
      <c r="D4161" s="157" t="s">
        <v>2378</v>
      </c>
      <c r="E4161" s="175"/>
      <c r="F4161" s="97" t="s">
        <v>2370</v>
      </c>
      <c r="G4161" s="95" t="s">
        <v>1166</v>
      </c>
      <c r="H4161" s="97" t="s">
        <v>6664</v>
      </c>
      <c r="I4161" s="97" t="s">
        <v>6665</v>
      </c>
      <c r="J4161" s="78"/>
    </row>
    <row r="4162" spans="2:10">
      <c r="B4162" s="191"/>
      <c r="C4162" s="139"/>
      <c r="D4162" s="192"/>
      <c r="E4162" s="174"/>
      <c r="F4162" s="192"/>
      <c r="G4162" s="114"/>
      <c r="H4162" s="115" t="s">
        <v>3856</v>
      </c>
      <c r="I4162" s="115" t="s">
        <v>3857</v>
      </c>
      <c r="J4162" s="78"/>
    </row>
    <row r="4163" spans="2:10">
      <c r="B4163" s="95">
        <v>1</v>
      </c>
      <c r="C4163" s="131" t="s">
        <v>6976</v>
      </c>
      <c r="D4163" s="195"/>
      <c r="E4163" s="187"/>
      <c r="F4163" s="195"/>
      <c r="G4163" s="179">
        <v>0</v>
      </c>
      <c r="H4163" s="178">
        <v>0</v>
      </c>
      <c r="I4163" s="155">
        <f>H4163*G4163</f>
        <v>0</v>
      </c>
      <c r="J4163" s="78"/>
    </row>
    <row r="4164" spans="2:10">
      <c r="B4164" s="191"/>
      <c r="C4164" s="139" t="s">
        <v>328</v>
      </c>
      <c r="D4164" s="192"/>
      <c r="E4164" s="174"/>
      <c r="F4164" s="192"/>
      <c r="G4164" s="182">
        <v>0</v>
      </c>
      <c r="H4164" s="181">
        <v>0</v>
      </c>
      <c r="I4164" s="155">
        <f>H4164*G4164</f>
        <v>0</v>
      </c>
      <c r="J4164" s="78"/>
    </row>
    <row r="4165" spans="2:10">
      <c r="B4165" s="184"/>
      <c r="C4165" s="151"/>
      <c r="D4165" s="159"/>
      <c r="E4165" s="159" t="s">
        <v>2380</v>
      </c>
      <c r="F4165" s="159"/>
      <c r="G4165" s="159"/>
      <c r="H4165" s="208" t="s">
        <v>1698</v>
      </c>
      <c r="I4165" s="209">
        <f>SUM(I4163:I4164)</f>
        <v>0</v>
      </c>
      <c r="J4165" s="78"/>
    </row>
    <row r="4166" spans="2:10">
      <c r="B4166" s="31"/>
      <c r="C4166" s="76"/>
      <c r="D4166" s="31"/>
      <c r="E4166" s="31"/>
      <c r="F4166" s="31"/>
      <c r="G4166" s="31"/>
      <c r="H4166" s="200"/>
      <c r="I4166" s="75"/>
      <c r="J4166" s="78"/>
    </row>
    <row r="4167" spans="2:10">
      <c r="B4167" s="170" t="s">
        <v>2381</v>
      </c>
      <c r="C4167" s="89"/>
      <c r="J4167" s="78"/>
    </row>
    <row r="4168" spans="2:10">
      <c r="B4168" s="95" t="s">
        <v>2369</v>
      </c>
      <c r="D4168" s="157" t="s">
        <v>2378</v>
      </c>
      <c r="E4168" s="97"/>
      <c r="F4168" s="95" t="s">
        <v>2370</v>
      </c>
      <c r="G4168" s="95" t="s">
        <v>1166</v>
      </c>
      <c r="H4168" s="97" t="s">
        <v>6664</v>
      </c>
      <c r="I4168" s="97" t="s">
        <v>6665</v>
      </c>
      <c r="J4168" s="78"/>
    </row>
    <row r="4169" spans="2:10">
      <c r="B4169" s="191"/>
      <c r="C4169" s="139"/>
      <c r="D4169" s="174"/>
      <c r="E4169" s="192"/>
      <c r="F4169" s="191"/>
      <c r="G4169" s="114"/>
      <c r="H4169" s="115" t="s">
        <v>3856</v>
      </c>
      <c r="I4169" s="115" t="s">
        <v>3857</v>
      </c>
      <c r="J4169" s="78"/>
    </row>
    <row r="4170" spans="2:10">
      <c r="B4170" s="95">
        <v>1</v>
      </c>
      <c r="C4170" s="131" t="s">
        <v>440</v>
      </c>
      <c r="D4170" s="187"/>
      <c r="E4170" s="195"/>
      <c r="F4170" s="107" t="s">
        <v>1172</v>
      </c>
      <c r="G4170" s="179">
        <v>10</v>
      </c>
      <c r="H4170" s="207">
        <f>'BASIC DATA'!$C$474</f>
        <v>445</v>
      </c>
      <c r="I4170" s="155">
        <f>H4170*G4170</f>
        <v>4450</v>
      </c>
      <c r="J4170" s="78"/>
    </row>
    <row r="4171" spans="2:10">
      <c r="B4171" s="105">
        <v>2</v>
      </c>
      <c r="C4171" s="135" t="s">
        <v>2697</v>
      </c>
      <c r="D4171" s="31"/>
      <c r="E4171" s="189"/>
      <c r="F4171" s="210" t="s">
        <v>1172</v>
      </c>
      <c r="G4171" s="190">
        <v>10</v>
      </c>
      <c r="H4171" s="207">
        <f>'BASIC DATA'!$C$552</f>
        <v>350</v>
      </c>
      <c r="I4171" s="155">
        <f>H4171*G4171</f>
        <v>3500</v>
      </c>
      <c r="J4171" s="78"/>
    </row>
    <row r="4172" spans="2:10">
      <c r="B4172" s="184"/>
      <c r="C4172" s="151"/>
      <c r="D4172" s="159"/>
      <c r="E4172" s="159" t="s">
        <v>1174</v>
      </c>
      <c r="F4172" s="159"/>
      <c r="G4172" s="193"/>
      <c r="H4172" s="208" t="s">
        <v>1698</v>
      </c>
      <c r="I4172" s="209">
        <f>SUM(I4170:I4171)</f>
        <v>7950</v>
      </c>
      <c r="J4172" s="78"/>
    </row>
    <row r="4173" spans="2:10">
      <c r="B4173" s="60" t="s">
        <v>5948</v>
      </c>
      <c r="C4173" s="76"/>
      <c r="D4173" s="31"/>
      <c r="E4173" s="31"/>
      <c r="F4173" s="31"/>
      <c r="G4173" s="85">
        <f>ROUND(I4172/H4153,1)</f>
        <v>79.5</v>
      </c>
      <c r="J4173" s="78"/>
    </row>
    <row r="4174" spans="2:10">
      <c r="B4174" s="60" t="s">
        <v>3163</v>
      </c>
      <c r="C4174" s="76"/>
      <c r="D4174" s="31"/>
      <c r="E4174" s="31"/>
      <c r="F4174" s="922">
        <f>'BASIC DATA'!$C$577</f>
        <v>0.13614999999999999</v>
      </c>
      <c r="G4174" s="85">
        <f>ROUND(G4173*F4174,1)</f>
        <v>10.8</v>
      </c>
      <c r="J4174" s="78"/>
    </row>
    <row r="4175" spans="2:10">
      <c r="B4175" s="60" t="s">
        <v>5949</v>
      </c>
      <c r="C4175" s="76"/>
      <c r="D4175" s="31"/>
      <c r="E4175" s="31"/>
      <c r="F4175" s="31"/>
      <c r="G4175" s="199">
        <f>ROUND(G4174+G4173,1)</f>
        <v>90.3</v>
      </c>
      <c r="J4175" s="78"/>
    </row>
    <row r="4176" spans="2:10">
      <c r="B4176" s="31"/>
      <c r="C4176" s="76"/>
      <c r="D4176" s="31"/>
      <c r="E4176" s="31"/>
      <c r="F4176" s="200"/>
      <c r="G4176" s="200"/>
      <c r="I4176" s="75"/>
      <c r="J4176" s="78"/>
    </row>
    <row r="4177" spans="1:10">
      <c r="B4177" s="170" t="s">
        <v>1175</v>
      </c>
      <c r="J4177" s="78"/>
    </row>
    <row r="4178" spans="1:10">
      <c r="B4178" s="26" t="s">
        <v>1176</v>
      </c>
      <c r="H4178" s="171" t="s">
        <v>1698</v>
      </c>
      <c r="I4178" s="117">
        <f>I4158</f>
        <v>1842.905</v>
      </c>
      <c r="J4178" s="78"/>
    </row>
    <row r="4179" spans="1:10">
      <c r="B4179" s="26" t="s">
        <v>1186</v>
      </c>
      <c r="H4179" s="171" t="s">
        <v>1698</v>
      </c>
      <c r="I4179" s="117">
        <f>I4165</f>
        <v>0</v>
      </c>
      <c r="J4179" s="78"/>
    </row>
    <row r="4180" spans="1:10">
      <c r="B4180" s="26" t="s">
        <v>2660</v>
      </c>
      <c r="H4180" s="171" t="s">
        <v>1698</v>
      </c>
      <c r="I4180" s="85">
        <f>I4172</f>
        <v>7950</v>
      </c>
      <c r="J4180" s="78"/>
    </row>
    <row r="4181" spans="1:10">
      <c r="G4181" s="26" t="s">
        <v>1518</v>
      </c>
      <c r="H4181" s="171" t="s">
        <v>1698</v>
      </c>
      <c r="I4181" s="130">
        <f>SUM(I4177:I4180)</f>
        <v>9792.9050000000007</v>
      </c>
      <c r="J4181" s="78"/>
    </row>
    <row r="4182" spans="1:10" ht="18.75">
      <c r="B4182" s="1207" t="s">
        <v>8375</v>
      </c>
      <c r="C4182" s="1207"/>
      <c r="D4182" s="1207"/>
      <c r="E4182" s="1207"/>
      <c r="F4182" s="1207"/>
      <c r="G4182" s="922">
        <f>'BASIC DATA'!$C$577</f>
        <v>0.13614999999999999</v>
      </c>
      <c r="H4182" s="171" t="s">
        <v>4108</v>
      </c>
      <c r="I4182" s="76">
        <f>ROUND(I4181*G4182,2)</f>
        <v>1333.3</v>
      </c>
      <c r="J4182" s="78"/>
    </row>
    <row r="4183" spans="1:10">
      <c r="B4183" s="27" t="s">
        <v>9590</v>
      </c>
      <c r="C4183" s="43"/>
      <c r="D4183" s="43"/>
      <c r="E4183" s="43"/>
      <c r="F4183" s="779">
        <f>G4157</f>
        <v>0.73499999999999999</v>
      </c>
      <c r="G4183" s="201" t="s">
        <v>9591</v>
      </c>
      <c r="H4183" s="68" t="str">
        <f>CONCATENATE((leadcharges!$D$65)," ","Rs./Cum")</f>
        <v>31.5 Rs./Cum</v>
      </c>
      <c r="I4183" s="76">
        <f>leadcharges!$D$65*F4183</f>
        <v>23.1525</v>
      </c>
      <c r="J4183" s="78"/>
    </row>
    <row r="4184" spans="1:10" ht="38.25" hidden="1" customHeight="1">
      <c r="B4184" s="1207"/>
      <c r="C4184" s="1207"/>
      <c r="D4184" s="1207"/>
      <c r="E4184" s="1207"/>
      <c r="F4184" s="779"/>
      <c r="G4184" s="201"/>
      <c r="H4184" s="68"/>
      <c r="I4184" s="76"/>
      <c r="J4184" s="78"/>
    </row>
    <row r="4185" spans="1:10">
      <c r="B4185" s="1206" t="s">
        <v>1191</v>
      </c>
      <c r="C4185" s="1206"/>
      <c r="D4185" s="1206"/>
      <c r="E4185" s="1206"/>
      <c r="F4185" s="202">
        <f>H4153</f>
        <v>100</v>
      </c>
      <c r="G4185" s="217" t="str">
        <f>I4153</f>
        <v xml:space="preserve"> sqm</v>
      </c>
      <c r="H4185" s="171" t="s">
        <v>1698</v>
      </c>
      <c r="I4185" s="199">
        <f>SUM(I4181:I4184)</f>
        <v>11149.3575</v>
      </c>
      <c r="J4185" s="78"/>
    </row>
    <row r="4186" spans="1:10">
      <c r="B4186" s="1161" t="s">
        <v>3884</v>
      </c>
      <c r="C4186" s="1161"/>
      <c r="D4186" s="246" t="str">
        <f>G4185</f>
        <v xml:space="preserve"> sqm</v>
      </c>
      <c r="F4186" s="26" t="s">
        <v>1380</v>
      </c>
      <c r="H4186" s="171" t="s">
        <v>1698</v>
      </c>
      <c r="I4186" s="204">
        <f>ROUND(I4185/F4185,1)</f>
        <v>111.5</v>
      </c>
      <c r="J4186" s="78"/>
    </row>
    <row r="4187" spans="1:10">
      <c r="H4187" s="171"/>
      <c r="I4187" s="117"/>
      <c r="J4187" s="78"/>
    </row>
    <row r="4188" spans="1:10">
      <c r="A4188" s="822" t="s">
        <v>7403</v>
      </c>
      <c r="B4188" s="170" t="s">
        <v>690</v>
      </c>
      <c r="J4188" s="78"/>
    </row>
    <row r="4189" spans="1:10">
      <c r="J4189" s="78"/>
    </row>
    <row r="4190" spans="1:10" ht="18.75">
      <c r="A4190" s="822" t="s">
        <v>7358</v>
      </c>
      <c r="B4190" s="26" t="s">
        <v>8502</v>
      </c>
      <c r="J4190" s="78"/>
    </row>
    <row r="4191" spans="1:10">
      <c r="B4191" s="26" t="s">
        <v>8503</v>
      </c>
      <c r="J4191" s="78"/>
    </row>
    <row r="4192" spans="1:10">
      <c r="B4192" s="26" t="s">
        <v>860</v>
      </c>
      <c r="J4192" s="78"/>
    </row>
    <row r="4193" spans="1:10" ht="18.75">
      <c r="B4193" s="26" t="s">
        <v>8504</v>
      </c>
      <c r="J4193" s="78"/>
    </row>
    <row r="4194" spans="1:10">
      <c r="B4194" s="170" t="s">
        <v>5094</v>
      </c>
      <c r="J4194" s="78"/>
    </row>
    <row r="4195" spans="1:10" hidden="1">
      <c r="A4195" s="822" t="s">
        <v>3984</v>
      </c>
      <c r="B4195" s="26" t="s">
        <v>5266</v>
      </c>
      <c r="H4195" s="68">
        <v>25</v>
      </c>
      <c r="I4195" s="26" t="s">
        <v>4938</v>
      </c>
      <c r="J4195" s="78"/>
    </row>
    <row r="4196" spans="1:10" hidden="1">
      <c r="B4196" s="26" t="s">
        <v>5267</v>
      </c>
      <c r="H4196" s="68">
        <v>4.3749999999999997E-2</v>
      </c>
      <c r="J4196" s="78"/>
    </row>
    <row r="4197" spans="1:10" hidden="1">
      <c r="B4197" s="26" t="s">
        <v>5268</v>
      </c>
      <c r="H4197" s="68">
        <v>0.35</v>
      </c>
      <c r="J4197" s="78"/>
    </row>
    <row r="4198" spans="1:10" hidden="1">
      <c r="B4198" s="26" t="s">
        <v>1926</v>
      </c>
      <c r="H4198" s="68">
        <v>2350</v>
      </c>
      <c r="J4198" s="78"/>
    </row>
    <row r="4199" spans="1:10" hidden="1">
      <c r="B4199" s="26" t="s">
        <v>5270</v>
      </c>
      <c r="H4199" s="68">
        <v>540</v>
      </c>
      <c r="I4199" s="26" t="s">
        <v>3478</v>
      </c>
      <c r="J4199" s="78"/>
    </row>
    <row r="4200" spans="1:10" hidden="1">
      <c r="B4200" s="26" t="s">
        <v>5271</v>
      </c>
      <c r="H4200" s="68">
        <v>0.98</v>
      </c>
      <c r="I4200" s="26" t="s">
        <v>3477</v>
      </c>
      <c r="J4200" s="78"/>
    </row>
    <row r="4201" spans="1:10" hidden="1">
      <c r="B4201" s="26" t="s">
        <v>3576</v>
      </c>
      <c r="J4201" s="78"/>
    </row>
    <row r="4202" spans="1:10" hidden="1">
      <c r="B4202" s="26" t="s">
        <v>3577</v>
      </c>
      <c r="J4202" s="78"/>
    </row>
    <row r="4203" spans="1:10" hidden="1">
      <c r="B4203" s="26" t="s">
        <v>5818</v>
      </c>
      <c r="J4203" s="78"/>
    </row>
    <row r="4204" spans="1:10" hidden="1">
      <c r="B4204" s="26" t="s">
        <v>1686</v>
      </c>
      <c r="J4204" s="78"/>
    </row>
    <row r="4205" spans="1:10" hidden="1">
      <c r="B4205" s="26" t="s">
        <v>1927</v>
      </c>
      <c r="J4205" s="78"/>
    </row>
    <row r="4206" spans="1:10" hidden="1">
      <c r="B4206" s="26" t="s">
        <v>1688</v>
      </c>
      <c r="J4206" s="78"/>
    </row>
    <row r="4207" spans="1:10" hidden="1">
      <c r="B4207" s="26" t="s">
        <v>1928</v>
      </c>
      <c r="H4207" s="26">
        <v>1.08</v>
      </c>
      <c r="I4207" s="26" t="s">
        <v>3477</v>
      </c>
      <c r="J4207" s="78"/>
    </row>
    <row r="4208" spans="1:10" hidden="1">
      <c r="B4208" s="26" t="s">
        <v>1929</v>
      </c>
      <c r="G4208" s="171" t="s">
        <v>1697</v>
      </c>
      <c r="H4208" s="26">
        <v>0.05</v>
      </c>
      <c r="I4208" s="26" t="s">
        <v>3477</v>
      </c>
      <c r="J4208" s="78"/>
    </row>
    <row r="4209" spans="2:10" hidden="1">
      <c r="B4209" s="26" t="s">
        <v>5272</v>
      </c>
      <c r="G4209" s="171" t="s">
        <v>1697</v>
      </c>
      <c r="H4209" s="26">
        <v>1.1299999999999999</v>
      </c>
      <c r="I4209" s="26" t="s">
        <v>3477</v>
      </c>
      <c r="J4209" s="78"/>
    </row>
    <row r="4210" spans="2:10" hidden="1">
      <c r="B4210" s="26" t="s">
        <v>5869</v>
      </c>
      <c r="G4210" s="171" t="s">
        <v>1697</v>
      </c>
      <c r="H4210" s="26">
        <v>609.9</v>
      </c>
      <c r="I4210" s="26" t="s">
        <v>3478</v>
      </c>
      <c r="J4210" s="78"/>
    </row>
    <row r="4211" spans="2:10" hidden="1">
      <c r="B4211" s="26" t="s">
        <v>5870</v>
      </c>
      <c r="G4211" s="171" t="s">
        <v>1697</v>
      </c>
      <c r="H4211" s="26">
        <v>1.0900000000000001</v>
      </c>
      <c r="I4211" s="26" t="s">
        <v>3477</v>
      </c>
      <c r="J4211" s="78"/>
    </row>
    <row r="4212" spans="2:10" hidden="1">
      <c r="B4212" s="26" t="s">
        <v>5273</v>
      </c>
      <c r="G4212" s="171"/>
      <c r="J4212" s="78"/>
    </row>
    <row r="4213" spans="2:10" hidden="1">
      <c r="B4213" s="26" t="s">
        <v>2958</v>
      </c>
      <c r="G4213" s="171"/>
      <c r="J4213" s="78"/>
    </row>
    <row r="4214" spans="2:10" hidden="1">
      <c r="B4214" s="26" t="s">
        <v>2695</v>
      </c>
      <c r="J4214" s="78"/>
    </row>
    <row r="4215" spans="2:10" hidden="1">
      <c r="B4215" s="26" t="s">
        <v>2705</v>
      </c>
      <c r="J4215" s="78"/>
    </row>
    <row r="4216" spans="2:10" hidden="1">
      <c r="B4216" s="26" t="s">
        <v>3378</v>
      </c>
      <c r="E4216" s="68">
        <f>'BASIC DATA'!$D$344</f>
        <v>185</v>
      </c>
      <c r="F4216" s="26" t="s">
        <v>4945</v>
      </c>
      <c r="G4216" s="171" t="s">
        <v>1698</v>
      </c>
      <c r="H4216" s="68">
        <f>25*E4216</f>
        <v>4625</v>
      </c>
      <c r="J4216" s="78"/>
    </row>
    <row r="4217" spans="2:10" hidden="1">
      <c r="B4217" s="26" t="s">
        <v>5599</v>
      </c>
      <c r="G4217" s="171" t="s">
        <v>1697</v>
      </c>
      <c r="H4217" s="68">
        <v>800</v>
      </c>
      <c r="I4217" s="26" t="s">
        <v>3428</v>
      </c>
      <c r="J4217" s="78"/>
    </row>
    <row r="4218" spans="2:10" hidden="1">
      <c r="B4218" s="26" t="s">
        <v>7330</v>
      </c>
      <c r="E4218" s="26" t="s">
        <v>7593</v>
      </c>
      <c r="G4218" s="171" t="s">
        <v>1698</v>
      </c>
      <c r="H4218" s="68">
        <f>H4216/H4217</f>
        <v>5.78125</v>
      </c>
      <c r="J4218" s="78"/>
    </row>
    <row r="4219" spans="2:10" hidden="1">
      <c r="B4219" s="26" t="s">
        <v>3379</v>
      </c>
      <c r="E4219" s="68">
        <f>'BASIC DATA'!$D$360</f>
        <v>185</v>
      </c>
      <c r="F4219" s="26" t="s">
        <v>4945</v>
      </c>
      <c r="G4219" s="171" t="s">
        <v>1698</v>
      </c>
      <c r="H4219" s="68">
        <f>25*E4219</f>
        <v>4625</v>
      </c>
      <c r="J4219" s="78"/>
    </row>
    <row r="4220" spans="2:10" hidden="1">
      <c r="B4220" s="26" t="s">
        <v>3943</v>
      </c>
      <c r="G4220" s="171" t="s">
        <v>1697</v>
      </c>
      <c r="H4220" s="68">
        <v>800</v>
      </c>
      <c r="I4220" s="26" t="s">
        <v>3428</v>
      </c>
      <c r="J4220" s="78"/>
    </row>
    <row r="4221" spans="2:10" hidden="1">
      <c r="B4221" s="26" t="s">
        <v>2353</v>
      </c>
      <c r="E4221" s="26" t="s">
        <v>3969</v>
      </c>
      <c r="G4221" s="171" t="s">
        <v>1698</v>
      </c>
      <c r="H4221" s="68">
        <f>H4219/H4220</f>
        <v>5.78125</v>
      </c>
      <c r="J4221" s="78"/>
    </row>
    <row r="4222" spans="2:10" hidden="1">
      <c r="B4222" s="26" t="s">
        <v>3380</v>
      </c>
      <c r="E4222" s="68">
        <f>'BASIC DATA'!$D$309</f>
        <v>700</v>
      </c>
      <c r="F4222" s="26" t="s">
        <v>4945</v>
      </c>
      <c r="G4222" s="171" t="s">
        <v>1698</v>
      </c>
      <c r="H4222" s="68">
        <f>E4222</f>
        <v>700</v>
      </c>
      <c r="J4222" s="78"/>
    </row>
    <row r="4223" spans="2:10" hidden="1">
      <c r="B4223" s="26" t="s">
        <v>3899</v>
      </c>
      <c r="G4223" s="171" t="s">
        <v>1697</v>
      </c>
      <c r="H4223" s="68">
        <v>200</v>
      </c>
      <c r="I4223" s="26" t="s">
        <v>3428</v>
      </c>
      <c r="J4223" s="78"/>
    </row>
    <row r="4224" spans="2:10" hidden="1">
      <c r="B4224" s="26" t="s">
        <v>3970</v>
      </c>
      <c r="E4224" s="26" t="s">
        <v>7593</v>
      </c>
      <c r="G4224" s="171" t="s">
        <v>1698</v>
      </c>
      <c r="H4224" s="68">
        <f>H4222/H4223</f>
        <v>3.5</v>
      </c>
      <c r="J4224" s="78"/>
    </row>
    <row r="4225" spans="1:10">
      <c r="J4225" s="78"/>
    </row>
    <row r="4226" spans="1:10">
      <c r="A4226" s="822" t="s">
        <v>3984</v>
      </c>
      <c r="E4226" s="170" t="s">
        <v>2367</v>
      </c>
      <c r="J4226" s="78"/>
    </row>
    <row r="4227" spans="1:10">
      <c r="H4227" s="171" t="s">
        <v>297</v>
      </c>
      <c r="J4227" s="78"/>
    </row>
    <row r="4228" spans="1:10">
      <c r="B4228" s="170" t="s">
        <v>2368</v>
      </c>
      <c r="C4228" s="89"/>
      <c r="H4228" s="211">
        <v>36</v>
      </c>
      <c r="I4228" s="26" t="s">
        <v>3479</v>
      </c>
      <c r="J4228" s="78"/>
    </row>
    <row r="4229" spans="1:10">
      <c r="B4229" s="95" t="s">
        <v>2369</v>
      </c>
      <c r="D4229" s="157" t="s">
        <v>4443</v>
      </c>
      <c r="E4229" s="97"/>
      <c r="F4229" s="95" t="s">
        <v>2370</v>
      </c>
      <c r="G4229" s="95" t="s">
        <v>1166</v>
      </c>
      <c r="H4229" s="97" t="s">
        <v>6664</v>
      </c>
      <c r="I4229" s="97" t="s">
        <v>6665</v>
      </c>
      <c r="J4229" s="78"/>
    </row>
    <row r="4230" spans="1:10">
      <c r="B4230" s="191"/>
      <c r="C4230" s="139"/>
      <c r="D4230" s="174"/>
      <c r="E4230" s="192"/>
      <c r="F4230" s="191"/>
      <c r="G4230" s="114"/>
      <c r="H4230" s="115" t="s">
        <v>3856</v>
      </c>
      <c r="I4230" s="115" t="s">
        <v>3857</v>
      </c>
      <c r="J4230" s="78"/>
    </row>
    <row r="4231" spans="1:10">
      <c r="B4231" s="95">
        <v>1</v>
      </c>
      <c r="C4231" s="131" t="s">
        <v>6669</v>
      </c>
      <c r="D4231" s="187"/>
      <c r="E4231" s="195"/>
      <c r="F4231" s="107" t="s">
        <v>3478</v>
      </c>
      <c r="G4231" s="179">
        <v>609.9</v>
      </c>
      <c r="H4231" s="218">
        <f>'BASIC DATA'!$D$32/1000</f>
        <v>5.35</v>
      </c>
      <c r="I4231" s="155">
        <f t="shared" ref="I4231:I4236" si="78">H4231*G4231</f>
        <v>3262.9649999999997</v>
      </c>
      <c r="J4231" s="78"/>
    </row>
    <row r="4232" spans="1:10">
      <c r="A4232" s="853"/>
      <c r="B4232" s="240">
        <v>2</v>
      </c>
      <c r="C4232" s="326" t="s">
        <v>7937</v>
      </c>
      <c r="D4232" s="60"/>
      <c r="E4232" s="253"/>
      <c r="F4232" s="254" t="s">
        <v>3477</v>
      </c>
      <c r="G4232" s="255">
        <v>1.0900000000000001</v>
      </c>
      <c r="H4232" s="258">
        <f>'BASIC DATA'!$D$57</f>
        <v>165</v>
      </c>
      <c r="I4232" s="244">
        <f t="shared" si="78"/>
        <v>179.85000000000002</v>
      </c>
      <c r="J4232" s="62"/>
    </row>
    <row r="4233" spans="1:10">
      <c r="B4233" s="105">
        <v>3</v>
      </c>
      <c r="C4233" s="135" t="s">
        <v>4197</v>
      </c>
      <c r="D4233" s="31"/>
      <c r="E4233" s="189"/>
      <c r="F4233" s="210" t="s">
        <v>2374</v>
      </c>
      <c r="G4233" s="190">
        <v>8</v>
      </c>
      <c r="H4233" s="220">
        <f>H4218</f>
        <v>5.78125</v>
      </c>
      <c r="I4233" s="155">
        <f t="shared" si="78"/>
        <v>46.25</v>
      </c>
      <c r="J4233" s="78"/>
    </row>
    <row r="4234" spans="1:10">
      <c r="B4234" s="105">
        <v>4</v>
      </c>
      <c r="C4234" s="135" t="s">
        <v>4198</v>
      </c>
      <c r="D4234" s="31"/>
      <c r="E4234" s="189"/>
      <c r="F4234" s="210" t="s">
        <v>2374</v>
      </c>
      <c r="G4234" s="190">
        <v>8</v>
      </c>
      <c r="H4234" s="220">
        <f>H4221</f>
        <v>5.78125</v>
      </c>
      <c r="I4234" s="155">
        <f t="shared" si="78"/>
        <v>46.25</v>
      </c>
      <c r="J4234" s="78"/>
    </row>
    <row r="4235" spans="1:10">
      <c r="B4235" s="105">
        <v>5</v>
      </c>
      <c r="C4235" s="135" t="s">
        <v>2197</v>
      </c>
      <c r="D4235" s="31"/>
      <c r="E4235" s="189"/>
      <c r="F4235" s="210" t="s">
        <v>2374</v>
      </c>
      <c r="G4235" s="190">
        <v>8</v>
      </c>
      <c r="H4235" s="220">
        <f>H4224</f>
        <v>3.5</v>
      </c>
      <c r="I4235" s="155">
        <f t="shared" si="78"/>
        <v>28</v>
      </c>
      <c r="J4235" s="78"/>
    </row>
    <row r="4236" spans="1:10">
      <c r="B4236" s="114">
        <v>6</v>
      </c>
      <c r="C4236" s="139" t="s">
        <v>2373</v>
      </c>
      <c r="D4236" s="174"/>
      <c r="E4236" s="192"/>
      <c r="F4236" s="191" t="s">
        <v>2173</v>
      </c>
      <c r="G4236" s="182">
        <v>2</v>
      </c>
      <c r="H4236" s="257">
        <f>'BASIC DATA'!$D$359</f>
        <v>30</v>
      </c>
      <c r="I4236" s="155">
        <f t="shared" si="78"/>
        <v>60</v>
      </c>
      <c r="J4236" s="78"/>
    </row>
    <row r="4237" spans="1:10">
      <c r="B4237" s="184"/>
      <c r="C4237" s="151" t="s">
        <v>2376</v>
      </c>
      <c r="D4237" s="159"/>
      <c r="E4237" s="159"/>
      <c r="F4237" s="159"/>
      <c r="G4237" s="159"/>
      <c r="H4237" s="208" t="s">
        <v>1698</v>
      </c>
      <c r="I4237" s="209">
        <f>SUM(I4231:I4236)</f>
        <v>3623.3149999999996</v>
      </c>
      <c r="J4237" s="78"/>
    </row>
    <row r="4238" spans="1:10">
      <c r="H4238" s="78"/>
      <c r="J4238" s="78"/>
    </row>
    <row r="4239" spans="1:10">
      <c r="B4239" s="170" t="s">
        <v>2377</v>
      </c>
      <c r="J4239" s="78"/>
    </row>
    <row r="4240" spans="1:10">
      <c r="B4240" s="95" t="s">
        <v>2369</v>
      </c>
      <c r="C4240" s="153"/>
      <c r="D4240" s="157" t="s">
        <v>2378</v>
      </c>
      <c r="E4240" s="97"/>
      <c r="F4240" s="95" t="s">
        <v>2370</v>
      </c>
      <c r="G4240" s="95" t="s">
        <v>1166</v>
      </c>
      <c r="H4240" s="97" t="s">
        <v>6664</v>
      </c>
      <c r="I4240" s="97" t="s">
        <v>6665</v>
      </c>
      <c r="J4240" s="78"/>
    </row>
    <row r="4241" spans="2:10">
      <c r="B4241" s="191"/>
      <c r="C4241" s="139"/>
      <c r="D4241" s="174"/>
      <c r="E4241" s="192"/>
      <c r="F4241" s="191"/>
      <c r="G4241" s="114"/>
      <c r="H4241" s="115" t="s">
        <v>3856</v>
      </c>
      <c r="I4241" s="115" t="s">
        <v>3857</v>
      </c>
      <c r="J4241" s="78"/>
    </row>
    <row r="4242" spans="2:10">
      <c r="B4242" s="95">
        <v>1</v>
      </c>
      <c r="C4242" s="131" t="s">
        <v>384</v>
      </c>
      <c r="D4242" s="187"/>
      <c r="E4242" s="195"/>
      <c r="F4242" s="107" t="s">
        <v>2374</v>
      </c>
      <c r="G4242" s="179">
        <v>8</v>
      </c>
      <c r="H4242" s="178">
        <f>'HIRE CHARGES'!$D$528</f>
        <v>110.1</v>
      </c>
      <c r="I4242" s="155">
        <f t="shared" ref="I4242:I4248" si="79">H4242*G4242</f>
        <v>880.8</v>
      </c>
      <c r="J4242" s="78"/>
    </row>
    <row r="4243" spans="2:10">
      <c r="B4243" s="105"/>
      <c r="C4243" s="135" t="s">
        <v>2379</v>
      </c>
      <c r="D4243" s="31"/>
      <c r="E4243" s="189"/>
      <c r="F4243" s="210" t="s">
        <v>2374</v>
      </c>
      <c r="G4243" s="190">
        <v>8</v>
      </c>
      <c r="H4243" s="207">
        <f>'HIRE CHARGES'!$E$528</f>
        <v>0</v>
      </c>
      <c r="I4243" s="155">
        <f t="shared" si="79"/>
        <v>0</v>
      </c>
      <c r="J4243" s="78"/>
    </row>
    <row r="4244" spans="2:10">
      <c r="B4244" s="105">
        <v>2</v>
      </c>
      <c r="C4244" s="135" t="s">
        <v>7127</v>
      </c>
      <c r="D4244" s="31"/>
      <c r="E4244" s="189"/>
      <c r="F4244" s="210" t="s">
        <v>2374</v>
      </c>
      <c r="G4244" s="190">
        <v>8</v>
      </c>
      <c r="H4244" s="207">
        <f>'HIRE CHARGES'!$D$497</f>
        <v>170.8</v>
      </c>
      <c r="I4244" s="155">
        <f t="shared" si="79"/>
        <v>1366.4</v>
      </c>
      <c r="J4244" s="78"/>
    </row>
    <row r="4245" spans="2:10">
      <c r="B4245" s="105"/>
      <c r="C4245" s="135" t="s">
        <v>2379</v>
      </c>
      <c r="D4245" s="31"/>
      <c r="E4245" s="189"/>
      <c r="F4245" s="210" t="s">
        <v>2374</v>
      </c>
      <c r="G4245" s="190">
        <v>8</v>
      </c>
      <c r="H4245" s="207">
        <f>'HIRE CHARGES'!$E$497</f>
        <v>315.2</v>
      </c>
      <c r="I4245" s="155">
        <f t="shared" si="79"/>
        <v>2521.6</v>
      </c>
      <c r="J4245" s="78"/>
    </row>
    <row r="4246" spans="2:10">
      <c r="B4246" s="105">
        <v>3</v>
      </c>
      <c r="C4246" s="135" t="s">
        <v>4484</v>
      </c>
      <c r="D4246" s="31"/>
      <c r="E4246" s="189"/>
      <c r="F4246" s="210" t="s">
        <v>2374</v>
      </c>
      <c r="G4246" s="190">
        <v>1</v>
      </c>
      <c r="H4246" s="190">
        <f>'HIRE CHARGES'!$D$520</f>
        <v>6.7</v>
      </c>
      <c r="I4246" s="155">
        <f t="shared" si="79"/>
        <v>6.7</v>
      </c>
      <c r="J4246" s="78"/>
    </row>
    <row r="4247" spans="2:10">
      <c r="B4247" s="105"/>
      <c r="C4247" s="135" t="s">
        <v>2379</v>
      </c>
      <c r="D4247" s="31"/>
      <c r="E4247" s="189"/>
      <c r="F4247" s="210" t="s">
        <v>2374</v>
      </c>
      <c r="G4247" s="190">
        <v>1</v>
      </c>
      <c r="H4247" s="207">
        <f>'HIRE CHARGES'!$E$520</f>
        <v>56</v>
      </c>
      <c r="I4247" s="155">
        <f t="shared" si="79"/>
        <v>56</v>
      </c>
      <c r="J4247" s="78"/>
    </row>
    <row r="4248" spans="2:10">
      <c r="B4248" s="114">
        <v>4</v>
      </c>
      <c r="C4248" s="139" t="s">
        <v>2373</v>
      </c>
      <c r="D4248" s="174"/>
      <c r="E4248" s="192"/>
      <c r="F4248" s="191" t="s">
        <v>2173</v>
      </c>
      <c r="G4248" s="182">
        <v>2</v>
      </c>
      <c r="H4248" s="257">
        <f>'BASIC DATA'!$D$359</f>
        <v>30</v>
      </c>
      <c r="I4248" s="155">
        <f t="shared" si="79"/>
        <v>60</v>
      </c>
      <c r="J4248" s="78"/>
    </row>
    <row r="4249" spans="2:10">
      <c r="B4249" s="184"/>
      <c r="C4249" s="151"/>
      <c r="D4249" s="159"/>
      <c r="E4249" s="159" t="s">
        <v>2380</v>
      </c>
      <c r="F4249" s="159"/>
      <c r="G4249" s="159"/>
      <c r="H4249" s="208" t="s">
        <v>1698</v>
      </c>
      <c r="I4249" s="209">
        <f>SUM(I4242:I4248)</f>
        <v>4891.4999999999991</v>
      </c>
      <c r="J4249" s="78"/>
    </row>
    <row r="4250" spans="2:10">
      <c r="B4250" s="31"/>
      <c r="C4250" s="76"/>
      <c r="D4250" s="31"/>
      <c r="E4250" s="31"/>
      <c r="F4250" s="31"/>
      <c r="G4250" s="31"/>
      <c r="H4250" s="200"/>
      <c r="I4250" s="75"/>
      <c r="J4250" s="78"/>
    </row>
    <row r="4251" spans="2:10">
      <c r="B4251" s="170" t="s">
        <v>2381</v>
      </c>
      <c r="J4251" s="78"/>
    </row>
    <row r="4252" spans="2:10">
      <c r="B4252" s="95" t="s">
        <v>2369</v>
      </c>
      <c r="C4252" s="153"/>
      <c r="D4252" s="157" t="s">
        <v>2378</v>
      </c>
      <c r="E4252" s="97"/>
      <c r="F4252" s="95" t="s">
        <v>2370</v>
      </c>
      <c r="G4252" s="95" t="s">
        <v>1166</v>
      </c>
      <c r="H4252" s="97" t="s">
        <v>6664</v>
      </c>
      <c r="I4252" s="97" t="s">
        <v>6665</v>
      </c>
      <c r="J4252" s="78"/>
    </row>
    <row r="4253" spans="2:10">
      <c r="B4253" s="191"/>
      <c r="C4253" s="139"/>
      <c r="D4253" s="174"/>
      <c r="E4253" s="192"/>
      <c r="F4253" s="191"/>
      <c r="G4253" s="114"/>
      <c r="H4253" s="115" t="s">
        <v>3856</v>
      </c>
      <c r="I4253" s="115" t="s">
        <v>3857</v>
      </c>
      <c r="J4253" s="78"/>
    </row>
    <row r="4254" spans="2:10">
      <c r="B4254" s="95">
        <v>1</v>
      </c>
      <c r="C4254" s="131" t="s">
        <v>7128</v>
      </c>
      <c r="D4254" s="187"/>
      <c r="E4254" s="195"/>
      <c r="F4254" s="107" t="s">
        <v>2374</v>
      </c>
      <c r="G4254" s="179">
        <v>8</v>
      </c>
      <c r="H4254" s="178">
        <f>'HIRE CHARGES'!$F$528</f>
        <v>219.7</v>
      </c>
      <c r="I4254" s="155">
        <f>H4254*G4254</f>
        <v>1757.6</v>
      </c>
      <c r="J4254" s="78"/>
    </row>
    <row r="4255" spans="2:10">
      <c r="B4255" s="105">
        <v>2</v>
      </c>
      <c r="C4255" s="135" t="s">
        <v>4606</v>
      </c>
      <c r="D4255" s="31"/>
      <c r="E4255" s="189"/>
      <c r="F4255" s="210" t="s">
        <v>2374</v>
      </c>
      <c r="G4255" s="190">
        <v>8</v>
      </c>
      <c r="H4255" s="207">
        <f>'HIRE CHARGES'!$F$497</f>
        <v>164.8</v>
      </c>
      <c r="I4255" s="155">
        <f>H4255*G4255</f>
        <v>1318.4</v>
      </c>
      <c r="J4255" s="78"/>
    </row>
    <row r="4256" spans="2:10">
      <c r="B4256" s="105">
        <v>3</v>
      </c>
      <c r="C4256" s="135" t="s">
        <v>1171</v>
      </c>
      <c r="D4256" s="31"/>
      <c r="E4256" s="189"/>
      <c r="F4256" s="210" t="s">
        <v>2374</v>
      </c>
      <c r="G4256" s="190">
        <v>1</v>
      </c>
      <c r="H4256" s="207">
        <f>'HIRE CHARGES'!$F$520</f>
        <v>83.3</v>
      </c>
      <c r="I4256" s="155">
        <f>H4256*G4256</f>
        <v>83.3</v>
      </c>
      <c r="J4256" s="78"/>
    </row>
    <row r="4257" spans="2:10">
      <c r="B4257" s="105">
        <v>4</v>
      </c>
      <c r="C4257" s="135" t="s">
        <v>3014</v>
      </c>
      <c r="D4257" s="31"/>
      <c r="E4257" s="189"/>
      <c r="F4257" s="210" t="s">
        <v>1172</v>
      </c>
      <c r="G4257" s="190">
        <v>1</v>
      </c>
      <c r="H4257" s="207">
        <f>'BASIC DATA'!$C$541</f>
        <v>400</v>
      </c>
      <c r="I4257" s="155">
        <f>H4257*G4257</f>
        <v>400</v>
      </c>
      <c r="J4257" s="78"/>
    </row>
    <row r="4258" spans="2:10">
      <c r="B4258" s="105">
        <v>5</v>
      </c>
      <c r="C4258" s="135" t="s">
        <v>2697</v>
      </c>
      <c r="D4258" s="31"/>
      <c r="E4258" s="189"/>
      <c r="F4258" s="210"/>
      <c r="G4258" s="190"/>
      <c r="H4258" s="207"/>
      <c r="I4258" s="138"/>
      <c r="J4258" s="78"/>
    </row>
    <row r="4259" spans="2:10">
      <c r="B4259" s="210"/>
      <c r="C4259" s="135" t="s">
        <v>4199</v>
      </c>
      <c r="D4259" s="31"/>
      <c r="E4259" s="189"/>
      <c r="F4259" s="210" t="s">
        <v>1172</v>
      </c>
      <c r="G4259" s="190">
        <v>2</v>
      </c>
      <c r="H4259" s="207">
        <f>'BASIC DATA'!$C$552</f>
        <v>350</v>
      </c>
      <c r="I4259" s="155">
        <f>H4259*G4259</f>
        <v>700</v>
      </c>
      <c r="J4259" s="78"/>
    </row>
    <row r="4260" spans="2:10">
      <c r="B4260" s="210"/>
      <c r="C4260" s="135" t="s">
        <v>4200</v>
      </c>
      <c r="D4260" s="31"/>
      <c r="E4260" s="189"/>
      <c r="F4260" s="210" t="s">
        <v>1172</v>
      </c>
      <c r="G4260" s="190">
        <v>2</v>
      </c>
      <c r="H4260" s="207">
        <f>'BASIC DATA'!$C$552</f>
        <v>350</v>
      </c>
      <c r="I4260" s="155">
        <f>H4260*G4260</f>
        <v>700</v>
      </c>
      <c r="J4260" s="78"/>
    </row>
    <row r="4261" spans="2:10">
      <c r="B4261" s="114"/>
      <c r="C4261" s="139" t="s">
        <v>5329</v>
      </c>
      <c r="D4261" s="174"/>
      <c r="E4261" s="192"/>
      <c r="F4261" s="191" t="s">
        <v>1172</v>
      </c>
      <c r="G4261" s="182">
        <v>2</v>
      </c>
      <c r="H4261" s="207">
        <f>'BASIC DATA'!$C$552</f>
        <v>350</v>
      </c>
      <c r="I4261" s="155">
        <f>H4261*G4261</f>
        <v>700</v>
      </c>
      <c r="J4261" s="78"/>
    </row>
    <row r="4262" spans="2:10">
      <c r="B4262" s="184"/>
      <c r="C4262" s="151"/>
      <c r="D4262" s="159"/>
      <c r="E4262" s="159" t="s">
        <v>1174</v>
      </c>
      <c r="F4262" s="159"/>
      <c r="G4262" s="159"/>
      <c r="H4262" s="208" t="s">
        <v>1698</v>
      </c>
      <c r="I4262" s="209">
        <f>SUM(I4254:I4261)</f>
        <v>5659.3</v>
      </c>
      <c r="J4262" s="78"/>
    </row>
    <row r="4263" spans="2:10">
      <c r="B4263" s="60" t="s">
        <v>5948</v>
      </c>
      <c r="D4263" s="31"/>
      <c r="E4263" s="31"/>
      <c r="F4263" s="31"/>
      <c r="G4263" s="85">
        <f>ROUND(I4262/H4228,1)</f>
        <v>157.19999999999999</v>
      </c>
      <c r="J4263" s="78"/>
    </row>
    <row r="4264" spans="2:10">
      <c r="B4264" s="60" t="s">
        <v>3163</v>
      </c>
      <c r="D4264" s="31"/>
      <c r="E4264" s="31"/>
      <c r="F4264" s="922">
        <f>'BASIC DATA'!$C$577</f>
        <v>0.13614999999999999</v>
      </c>
      <c r="G4264" s="85">
        <f>ROUND(G4263*F4264,1)</f>
        <v>21.4</v>
      </c>
      <c r="J4264" s="78"/>
    </row>
    <row r="4265" spans="2:10">
      <c r="B4265" s="60" t="s">
        <v>5949</v>
      </c>
      <c r="D4265" s="31"/>
      <c r="E4265" s="31"/>
      <c r="F4265" s="31"/>
      <c r="G4265" s="199">
        <f>ROUND(G4264+G4263,1)</f>
        <v>178.6</v>
      </c>
      <c r="J4265" s="78"/>
    </row>
    <row r="4266" spans="2:10">
      <c r="B4266" s="31"/>
      <c r="D4266" s="31"/>
      <c r="E4266" s="31"/>
      <c r="F4266" s="31"/>
      <c r="G4266" s="31"/>
      <c r="H4266" s="200"/>
      <c r="I4266" s="31"/>
      <c r="J4266" s="78"/>
    </row>
    <row r="4267" spans="2:10">
      <c r="B4267" s="170" t="s">
        <v>1175</v>
      </c>
      <c r="J4267" s="78"/>
    </row>
    <row r="4268" spans="2:10">
      <c r="B4268" s="26" t="s">
        <v>1176</v>
      </c>
      <c r="H4268" s="171" t="s">
        <v>1698</v>
      </c>
      <c r="I4268" s="117">
        <f>I4237</f>
        <v>3623.3149999999996</v>
      </c>
      <c r="J4268" s="78"/>
    </row>
    <row r="4269" spans="2:10">
      <c r="B4269" s="26" t="s">
        <v>1186</v>
      </c>
      <c r="H4269" s="171" t="s">
        <v>1698</v>
      </c>
      <c r="I4269" s="117">
        <f>I4249</f>
        <v>4891.4999999999991</v>
      </c>
      <c r="J4269" s="78"/>
    </row>
    <row r="4270" spans="2:10">
      <c r="B4270" s="26" t="s">
        <v>2660</v>
      </c>
      <c r="H4270" s="171" t="s">
        <v>1698</v>
      </c>
      <c r="I4270" s="85">
        <f>I4262</f>
        <v>5659.3</v>
      </c>
      <c r="J4270" s="78"/>
    </row>
    <row r="4271" spans="2:10">
      <c r="G4271" s="171" t="s">
        <v>1518</v>
      </c>
      <c r="H4271" s="171" t="s">
        <v>1698</v>
      </c>
      <c r="I4271" s="130">
        <f>SUM(I4268:I4270)</f>
        <v>14174.114999999998</v>
      </c>
      <c r="J4271" s="78"/>
    </row>
    <row r="4272" spans="2:10">
      <c r="B4272" s="61" t="s">
        <v>1415</v>
      </c>
      <c r="D4272" s="61"/>
      <c r="E4272" s="61"/>
      <c r="F4272" s="290">
        <f>'BASIC DATA'!$C$589</f>
        <v>2.5000000000000001E-2</v>
      </c>
      <c r="G4272" s="291"/>
      <c r="H4272" s="222"/>
      <c r="I4272" s="126">
        <f>I4271*F4272</f>
        <v>354.35287499999998</v>
      </c>
      <c r="J4272" s="78"/>
    </row>
    <row r="4273" spans="1:10">
      <c r="G4273" s="171" t="s">
        <v>1518</v>
      </c>
      <c r="H4273" s="171" t="s">
        <v>1698</v>
      </c>
      <c r="I4273" s="130">
        <f>SUM(I4271:I4272)</f>
        <v>14528.467874999998</v>
      </c>
      <c r="J4273" s="78"/>
    </row>
    <row r="4274" spans="1:10" ht="18.75">
      <c r="B4274" s="1207" t="s">
        <v>8424</v>
      </c>
      <c r="C4274" s="1207"/>
      <c r="D4274" s="1207"/>
      <c r="E4274" s="1207"/>
      <c r="F4274" s="1207"/>
      <c r="G4274" s="922">
        <f>'BASIC DATA'!$C$577</f>
        <v>0.13614999999999999</v>
      </c>
      <c r="H4274" s="171" t="s">
        <v>4108</v>
      </c>
      <c r="I4274" s="76">
        <f>ROUND(I4273*G4274,2)</f>
        <v>1978.05</v>
      </c>
      <c r="J4274" s="78"/>
    </row>
    <row r="4275" spans="1:10">
      <c r="B4275" s="27" t="s">
        <v>9590</v>
      </c>
      <c r="C4275" s="43"/>
      <c r="D4275" s="43"/>
      <c r="E4275" s="43"/>
      <c r="F4275" s="779">
        <f>G4232</f>
        <v>1.0900000000000001</v>
      </c>
      <c r="G4275" s="201" t="s">
        <v>9591</v>
      </c>
      <c r="H4275" s="68" t="str">
        <f>CONCATENATE((leadcharges!$D$65)," ","Rs./Cum")</f>
        <v>31.5 Rs./Cum</v>
      </c>
      <c r="I4275" s="76">
        <f>leadcharges!$D$65*F4275</f>
        <v>34.335000000000001</v>
      </c>
      <c r="J4275" s="78"/>
    </row>
    <row r="4276" spans="1:10" ht="37.5" hidden="1" customHeight="1">
      <c r="B4276" s="1207"/>
      <c r="C4276" s="1207"/>
      <c r="D4276" s="1207"/>
      <c r="E4276" s="1207"/>
      <c r="F4276" s="779"/>
      <c r="G4276" s="201"/>
      <c r="H4276" s="68"/>
      <c r="I4276" s="76"/>
      <c r="J4276" s="78"/>
    </row>
    <row r="4277" spans="1:10">
      <c r="B4277" s="1206" t="s">
        <v>1191</v>
      </c>
      <c r="C4277" s="1206"/>
      <c r="D4277" s="1206"/>
      <c r="E4277" s="1206"/>
      <c r="F4277" s="202">
        <f>H4228</f>
        <v>36</v>
      </c>
      <c r="G4277" s="217" t="str">
        <f>I4228</f>
        <v>sqm</v>
      </c>
      <c r="H4277" s="171" t="s">
        <v>1698</v>
      </c>
      <c r="I4277" s="199">
        <f>SUM(I4273:I4276)</f>
        <v>16540.852874999997</v>
      </c>
      <c r="J4277" s="78"/>
    </row>
    <row r="4278" spans="1:10">
      <c r="B4278" s="1161" t="s">
        <v>3884</v>
      </c>
      <c r="C4278" s="1161"/>
      <c r="D4278" s="246" t="str">
        <f>G4277</f>
        <v>sqm</v>
      </c>
      <c r="F4278" s="26" t="s">
        <v>1388</v>
      </c>
      <c r="H4278" s="171" t="s">
        <v>1698</v>
      </c>
      <c r="I4278" s="204">
        <f>ROUND(I4277/F4277,1)</f>
        <v>459.5</v>
      </c>
      <c r="J4278" s="78"/>
    </row>
    <row r="4279" spans="1:10">
      <c r="J4279" s="78"/>
    </row>
    <row r="4280" spans="1:10">
      <c r="J4280" s="78"/>
    </row>
    <row r="4281" spans="1:10" ht="18.75">
      <c r="A4281" s="822" t="s">
        <v>7359</v>
      </c>
      <c r="B4281" s="26" t="s">
        <v>8505</v>
      </c>
      <c r="J4281" s="78"/>
    </row>
    <row r="4282" spans="1:10">
      <c r="B4282" s="26" t="s">
        <v>8506</v>
      </c>
      <c r="J4282" s="78"/>
    </row>
    <row r="4283" spans="1:10">
      <c r="B4283" s="26" t="s">
        <v>5994</v>
      </c>
      <c r="J4283" s="78"/>
    </row>
    <row r="4284" spans="1:10">
      <c r="B4284" s="26" t="s">
        <v>6624</v>
      </c>
      <c r="J4284" s="78"/>
    </row>
    <row r="4285" spans="1:10">
      <c r="B4285" s="26" t="s">
        <v>4641</v>
      </c>
      <c r="J4285" s="78"/>
    </row>
    <row r="4286" spans="1:10">
      <c r="B4286" s="26" t="s">
        <v>4642</v>
      </c>
      <c r="J4286" s="78"/>
    </row>
    <row r="4287" spans="1:10">
      <c r="B4287" s="26" t="s">
        <v>6592</v>
      </c>
      <c r="J4287" s="78"/>
    </row>
    <row r="4288" spans="1:10">
      <c r="B4288" s="26" t="s">
        <v>6593</v>
      </c>
      <c r="J4288" s="78"/>
    </row>
    <row r="4289" spans="1:10">
      <c r="B4289" s="26" t="s">
        <v>6594</v>
      </c>
      <c r="J4289" s="78"/>
    </row>
    <row r="4290" spans="1:10" hidden="1">
      <c r="A4290" s="822" t="s">
        <v>3984</v>
      </c>
      <c r="B4290" s="26" t="s">
        <v>6595</v>
      </c>
      <c r="J4290" s="78"/>
    </row>
    <row r="4291" spans="1:10" hidden="1">
      <c r="B4291" s="26" t="s">
        <v>6596</v>
      </c>
      <c r="H4291" s="26">
        <v>24</v>
      </c>
      <c r="I4291" s="26" t="s">
        <v>2602</v>
      </c>
      <c r="J4291" s="78"/>
    </row>
    <row r="4292" spans="1:10" hidden="1">
      <c r="B4292" s="26" t="s">
        <v>2703</v>
      </c>
      <c r="H4292" s="26">
        <v>215</v>
      </c>
      <c r="I4292" s="26" t="s">
        <v>6670</v>
      </c>
      <c r="J4292" s="78"/>
    </row>
    <row r="4293" spans="1:10" hidden="1">
      <c r="B4293" s="26" t="s">
        <v>3695</v>
      </c>
      <c r="H4293" s="26">
        <v>30</v>
      </c>
      <c r="I4293" s="26" t="s">
        <v>3478</v>
      </c>
      <c r="J4293" s="78"/>
    </row>
    <row r="4294" spans="1:10" hidden="1">
      <c r="B4294" s="26" t="s">
        <v>3697</v>
      </c>
      <c r="H4294" s="26">
        <v>192</v>
      </c>
      <c r="I4294" s="26" t="s">
        <v>2704</v>
      </c>
      <c r="J4294" s="78"/>
    </row>
    <row r="4295" spans="1:10">
      <c r="A4295" s="822" t="s">
        <v>3984</v>
      </c>
      <c r="E4295" s="170" t="s">
        <v>2367</v>
      </c>
      <c r="J4295" s="78"/>
    </row>
    <row r="4296" spans="1:10">
      <c r="H4296" s="171" t="s">
        <v>1188</v>
      </c>
      <c r="J4296" s="78"/>
    </row>
    <row r="4297" spans="1:10">
      <c r="B4297" s="170" t="s">
        <v>2368</v>
      </c>
      <c r="C4297" s="89"/>
      <c r="H4297" s="211">
        <v>12</v>
      </c>
      <c r="I4297" s="26" t="s">
        <v>3483</v>
      </c>
      <c r="J4297" s="78"/>
    </row>
    <row r="4298" spans="1:10">
      <c r="B4298" s="95" t="s">
        <v>2369</v>
      </c>
      <c r="D4298" s="157" t="s">
        <v>4443</v>
      </c>
      <c r="E4298" s="97"/>
      <c r="F4298" s="95" t="s">
        <v>2370</v>
      </c>
      <c r="G4298" s="95" t="s">
        <v>1166</v>
      </c>
      <c r="H4298" s="97" t="s">
        <v>6664</v>
      </c>
      <c r="I4298" s="97" t="s">
        <v>6665</v>
      </c>
      <c r="J4298" s="78"/>
    </row>
    <row r="4299" spans="1:10">
      <c r="B4299" s="191"/>
      <c r="C4299" s="139"/>
      <c r="D4299" s="174"/>
      <c r="E4299" s="192"/>
      <c r="F4299" s="191"/>
      <c r="G4299" s="114"/>
      <c r="H4299" s="115" t="s">
        <v>3856</v>
      </c>
      <c r="I4299" s="115" t="s">
        <v>3857</v>
      </c>
      <c r="J4299" s="78"/>
    </row>
    <row r="4300" spans="1:10">
      <c r="B4300" s="95">
        <v>1</v>
      </c>
      <c r="C4300" s="131" t="s">
        <v>6999</v>
      </c>
      <c r="D4300" s="187"/>
      <c r="E4300" s="195"/>
      <c r="F4300" s="107" t="s">
        <v>3478</v>
      </c>
      <c r="G4300" s="179">
        <v>215</v>
      </c>
      <c r="H4300" s="218">
        <f>'BASIC DATA'!$D$40</f>
        <v>695</v>
      </c>
      <c r="I4300" s="155">
        <f t="shared" ref="I4300:I4305" si="80">H4300*G4300</f>
        <v>149425</v>
      </c>
      <c r="J4300" s="78"/>
    </row>
    <row r="4301" spans="1:10">
      <c r="B4301" s="105">
        <v>2</v>
      </c>
      <c r="C4301" s="135" t="s">
        <v>4166</v>
      </c>
      <c r="D4301" s="31"/>
      <c r="E4301" s="189"/>
      <c r="F4301" s="210" t="s">
        <v>3478</v>
      </c>
      <c r="G4301" s="190">
        <v>30</v>
      </c>
      <c r="H4301" s="220">
        <f>'BASIC DATA'!$D$91/1000</f>
        <v>34</v>
      </c>
      <c r="I4301" s="155">
        <f t="shared" si="80"/>
        <v>1020</v>
      </c>
      <c r="J4301" s="78"/>
    </row>
    <row r="4302" spans="1:10">
      <c r="B4302" s="105">
        <v>3</v>
      </c>
      <c r="C4302" s="135" t="s">
        <v>4167</v>
      </c>
      <c r="D4302" s="31"/>
      <c r="E4302" s="189"/>
      <c r="F4302" s="210" t="s">
        <v>3483</v>
      </c>
      <c r="G4302" s="190">
        <v>24</v>
      </c>
      <c r="H4302" s="220">
        <f>'BASIC DATA'!$D$62</f>
        <v>100</v>
      </c>
      <c r="I4302" s="155">
        <f t="shared" si="80"/>
        <v>2400</v>
      </c>
      <c r="J4302" s="78"/>
    </row>
    <row r="4303" spans="1:10">
      <c r="B4303" s="105">
        <v>4</v>
      </c>
      <c r="C4303" s="135" t="s">
        <v>5000</v>
      </c>
      <c r="D4303" s="31"/>
      <c r="E4303" s="189"/>
      <c r="F4303" s="210" t="s">
        <v>3478</v>
      </c>
      <c r="G4303" s="190">
        <v>192</v>
      </c>
      <c r="H4303" s="220">
        <f>'BASIC DATA'!$D$29</f>
        <v>46</v>
      </c>
      <c r="I4303" s="155">
        <f t="shared" si="80"/>
        <v>8832</v>
      </c>
      <c r="J4303" s="78"/>
    </row>
    <row r="4304" spans="1:10">
      <c r="B4304" s="105">
        <v>5</v>
      </c>
      <c r="C4304" s="135" t="s">
        <v>5001</v>
      </c>
      <c r="D4304" s="31"/>
      <c r="E4304" s="189"/>
      <c r="F4304" s="210" t="s">
        <v>2173</v>
      </c>
      <c r="G4304" s="190">
        <v>5</v>
      </c>
      <c r="H4304" s="220">
        <f>'BASIC DATA'!$D$362</f>
        <v>17</v>
      </c>
      <c r="I4304" s="155">
        <f t="shared" si="80"/>
        <v>85</v>
      </c>
      <c r="J4304" s="78"/>
    </row>
    <row r="4305" spans="2:10">
      <c r="B4305" s="114">
        <v>6</v>
      </c>
      <c r="C4305" s="139" t="s">
        <v>5002</v>
      </c>
      <c r="D4305" s="174"/>
      <c r="E4305" s="192"/>
      <c r="F4305" s="191" t="s">
        <v>2173</v>
      </c>
      <c r="G4305" s="182">
        <v>40</v>
      </c>
      <c r="H4305" s="257">
        <f>'BASIC DATA'!$D$363</f>
        <v>17</v>
      </c>
      <c r="I4305" s="155">
        <f t="shared" si="80"/>
        <v>680</v>
      </c>
      <c r="J4305" s="78"/>
    </row>
    <row r="4306" spans="2:10">
      <c r="B4306" s="184"/>
      <c r="C4306" s="151"/>
      <c r="D4306" s="159"/>
      <c r="E4306" s="159" t="s">
        <v>2376</v>
      </c>
      <c r="F4306" s="159"/>
      <c r="G4306" s="159"/>
      <c r="H4306" s="206" t="s">
        <v>1698</v>
      </c>
      <c r="I4306" s="209">
        <f>SUM(I4300:I4305)</f>
        <v>162442</v>
      </c>
      <c r="J4306" s="78"/>
    </row>
    <row r="4307" spans="2:10">
      <c r="B4307" s="31"/>
      <c r="C4307" s="76"/>
      <c r="D4307" s="31"/>
      <c r="E4307" s="31"/>
      <c r="F4307" s="31"/>
      <c r="G4307" s="31"/>
      <c r="H4307" s="33"/>
      <c r="I4307" s="75"/>
      <c r="J4307" s="78"/>
    </row>
    <row r="4308" spans="2:10">
      <c r="B4308" s="170" t="s">
        <v>2377</v>
      </c>
      <c r="C4308" s="89"/>
      <c r="J4308" s="78"/>
    </row>
    <row r="4309" spans="2:10">
      <c r="B4309" s="95" t="s">
        <v>2369</v>
      </c>
      <c r="D4309" s="157" t="s">
        <v>2378</v>
      </c>
      <c r="E4309" s="97"/>
      <c r="F4309" s="95" t="s">
        <v>2370</v>
      </c>
      <c r="G4309" s="95" t="s">
        <v>1166</v>
      </c>
      <c r="H4309" s="97" t="s">
        <v>6664</v>
      </c>
      <c r="I4309" s="97" t="s">
        <v>6665</v>
      </c>
      <c r="J4309" s="78"/>
    </row>
    <row r="4310" spans="2:10">
      <c r="B4310" s="191"/>
      <c r="C4310" s="139"/>
      <c r="D4310" s="174"/>
      <c r="E4310" s="192"/>
      <c r="F4310" s="191"/>
      <c r="G4310" s="114"/>
      <c r="H4310" s="115" t="s">
        <v>3856</v>
      </c>
      <c r="I4310" s="115" t="s">
        <v>3857</v>
      </c>
      <c r="J4310" s="78"/>
    </row>
    <row r="4311" spans="2:10">
      <c r="B4311" s="107">
        <v>1</v>
      </c>
      <c r="C4311" s="131" t="s">
        <v>5003</v>
      </c>
      <c r="D4311" s="187"/>
      <c r="E4311" s="195"/>
      <c r="F4311" s="107" t="s">
        <v>2173</v>
      </c>
      <c r="G4311" s="179">
        <v>8</v>
      </c>
      <c r="H4311" s="212">
        <f>'BASIC DATA'!$D$364</f>
        <v>17</v>
      </c>
      <c r="I4311" s="155">
        <f>H4311*G4311</f>
        <v>136</v>
      </c>
      <c r="J4311" s="78"/>
    </row>
    <row r="4312" spans="2:10">
      <c r="B4312" s="191"/>
      <c r="C4312" s="139" t="s">
        <v>3692</v>
      </c>
      <c r="D4312" s="174"/>
      <c r="E4312" s="192"/>
      <c r="F4312" s="191" t="s">
        <v>2173</v>
      </c>
      <c r="G4312" s="182">
        <v>10</v>
      </c>
      <c r="H4312" s="215">
        <f>'BASIC DATA'!$D$365</f>
        <v>17</v>
      </c>
      <c r="I4312" s="155">
        <f>H4312*G4312</f>
        <v>170</v>
      </c>
      <c r="J4312" s="78"/>
    </row>
    <row r="4313" spans="2:10">
      <c r="B4313" s="184"/>
      <c r="C4313" s="151"/>
      <c r="D4313" s="159"/>
      <c r="E4313" s="159" t="s">
        <v>2380</v>
      </c>
      <c r="F4313" s="159"/>
      <c r="G4313" s="159"/>
      <c r="H4313" s="208" t="s">
        <v>1698</v>
      </c>
      <c r="I4313" s="209">
        <f>SUM(I4311:I4312)</f>
        <v>306</v>
      </c>
      <c r="J4313" s="78"/>
    </row>
    <row r="4314" spans="2:10">
      <c r="B4314" s="31"/>
      <c r="C4314" s="76"/>
      <c r="D4314" s="31"/>
      <c r="E4314" s="31"/>
      <c r="F4314" s="31"/>
      <c r="G4314" s="31"/>
      <c r="H4314" s="200"/>
      <c r="I4314" s="75"/>
      <c r="J4314" s="78"/>
    </row>
    <row r="4315" spans="2:10">
      <c r="B4315" s="170" t="s">
        <v>2381</v>
      </c>
      <c r="C4315" s="89"/>
      <c r="J4315" s="78"/>
    </row>
    <row r="4316" spans="2:10">
      <c r="B4316" s="95" t="s">
        <v>2369</v>
      </c>
      <c r="D4316" s="157" t="s">
        <v>2378</v>
      </c>
      <c r="E4316" s="157"/>
      <c r="F4316" s="97" t="s">
        <v>2370</v>
      </c>
      <c r="G4316" s="95" t="s">
        <v>1166</v>
      </c>
      <c r="H4316" s="97" t="s">
        <v>6664</v>
      </c>
      <c r="I4316" s="97" t="s">
        <v>6665</v>
      </c>
      <c r="J4316" s="78"/>
    </row>
    <row r="4317" spans="2:10">
      <c r="B4317" s="191"/>
      <c r="C4317" s="139"/>
      <c r="D4317" s="192"/>
      <c r="E4317" s="154"/>
      <c r="F4317" s="192"/>
      <c r="G4317" s="114"/>
      <c r="H4317" s="115" t="s">
        <v>3856</v>
      </c>
      <c r="I4317" s="115" t="s">
        <v>3857</v>
      </c>
      <c r="J4317" s="78"/>
    </row>
    <row r="4318" spans="2:10">
      <c r="B4318" s="95">
        <v>1</v>
      </c>
      <c r="C4318" s="131" t="s">
        <v>4905</v>
      </c>
      <c r="D4318" s="195"/>
      <c r="E4318" s="146"/>
      <c r="F4318" s="195" t="s">
        <v>1172</v>
      </c>
      <c r="G4318" s="179">
        <v>1</v>
      </c>
      <c r="H4318" s="207">
        <f>'BASIC DATA'!$C$504</f>
        <v>445</v>
      </c>
      <c r="I4318" s="155">
        <f t="shared" ref="I4318:I4323" si="81">H4318*G4318</f>
        <v>445</v>
      </c>
      <c r="J4318" s="78"/>
    </row>
    <row r="4319" spans="2:10">
      <c r="B4319" s="105">
        <v>2</v>
      </c>
      <c r="C4319" s="135" t="s">
        <v>2447</v>
      </c>
      <c r="D4319" s="189"/>
      <c r="E4319" s="147"/>
      <c r="F4319" s="189" t="s">
        <v>1172</v>
      </c>
      <c r="G4319" s="190">
        <v>1</v>
      </c>
      <c r="H4319" s="207">
        <f>'BASIC DATA'!$C$465</f>
        <v>445</v>
      </c>
      <c r="I4319" s="155">
        <f t="shared" si="81"/>
        <v>445</v>
      </c>
      <c r="J4319" s="78"/>
    </row>
    <row r="4320" spans="2:10">
      <c r="B4320" s="105">
        <v>3</v>
      </c>
      <c r="C4320" s="135" t="s">
        <v>3836</v>
      </c>
      <c r="D4320" s="189"/>
      <c r="E4320" s="147"/>
      <c r="F4320" s="189" t="s">
        <v>1172</v>
      </c>
      <c r="G4320" s="190">
        <v>0.5</v>
      </c>
      <c r="H4320" s="207">
        <f>'BASIC DATA'!$C$464</f>
        <v>555</v>
      </c>
      <c r="I4320" s="155">
        <f t="shared" si="81"/>
        <v>277.5</v>
      </c>
      <c r="J4320" s="78"/>
    </row>
    <row r="4321" spans="2:10">
      <c r="B4321" s="105">
        <v>4</v>
      </c>
      <c r="C4321" s="135" t="s">
        <v>5608</v>
      </c>
      <c r="D4321" s="189"/>
      <c r="E4321" s="147"/>
      <c r="F4321" s="189" t="s">
        <v>1172</v>
      </c>
      <c r="G4321" s="190">
        <v>0.5</v>
      </c>
      <c r="H4321" s="207">
        <f>'BASIC DATA'!$C$499</f>
        <v>510</v>
      </c>
      <c r="I4321" s="155">
        <f t="shared" si="81"/>
        <v>255</v>
      </c>
      <c r="J4321" s="78"/>
    </row>
    <row r="4322" spans="2:10">
      <c r="B4322" s="105">
        <v>5</v>
      </c>
      <c r="C4322" s="135" t="s">
        <v>440</v>
      </c>
      <c r="D4322" s="189"/>
      <c r="E4322" s="147"/>
      <c r="F4322" s="189" t="s">
        <v>1172</v>
      </c>
      <c r="G4322" s="190">
        <v>0.5</v>
      </c>
      <c r="H4322" s="207">
        <f>'BASIC DATA'!$C$474</f>
        <v>445</v>
      </c>
      <c r="I4322" s="155">
        <f t="shared" si="81"/>
        <v>222.5</v>
      </c>
      <c r="J4322" s="78"/>
    </row>
    <row r="4323" spans="2:10">
      <c r="B4323" s="114">
        <v>6</v>
      </c>
      <c r="C4323" s="139" t="s">
        <v>2697</v>
      </c>
      <c r="D4323" s="192"/>
      <c r="E4323" s="154"/>
      <c r="F4323" s="192" t="s">
        <v>1172</v>
      </c>
      <c r="G4323" s="182">
        <v>1</v>
      </c>
      <c r="H4323" s="207">
        <f>'BASIC DATA'!$C$552</f>
        <v>350</v>
      </c>
      <c r="I4323" s="155">
        <f t="shared" si="81"/>
        <v>350</v>
      </c>
      <c r="J4323" s="78"/>
    </row>
    <row r="4324" spans="2:10">
      <c r="B4324" s="184"/>
      <c r="C4324" s="151"/>
      <c r="D4324" s="159"/>
      <c r="E4324" s="159" t="s">
        <v>1174</v>
      </c>
      <c r="F4324" s="159"/>
      <c r="G4324" s="193"/>
      <c r="H4324" s="208" t="s">
        <v>1698</v>
      </c>
      <c r="I4324" s="209">
        <f>SUM(I4318:I4323)</f>
        <v>1995</v>
      </c>
      <c r="J4324" s="78"/>
    </row>
    <row r="4325" spans="2:10">
      <c r="B4325" s="60" t="s">
        <v>5948</v>
      </c>
      <c r="C4325" s="76"/>
      <c r="D4325" s="31"/>
      <c r="E4325" s="31"/>
      <c r="F4325" s="31"/>
      <c r="G4325" s="85">
        <f>ROUND(I4324/H4297,1)</f>
        <v>166.3</v>
      </c>
      <c r="J4325" s="78"/>
    </row>
    <row r="4326" spans="2:10">
      <c r="B4326" s="60" t="s">
        <v>3163</v>
      </c>
      <c r="C4326" s="76"/>
      <c r="D4326" s="31"/>
      <c r="E4326" s="31"/>
      <c r="F4326" s="922">
        <f>'BASIC DATA'!$C$577</f>
        <v>0.13614999999999999</v>
      </c>
      <c r="G4326" s="85">
        <f>ROUND(G4325*F4326,1)</f>
        <v>22.6</v>
      </c>
      <c r="J4326" s="78"/>
    </row>
    <row r="4327" spans="2:10">
      <c r="B4327" s="60" t="s">
        <v>5949</v>
      </c>
      <c r="C4327" s="76"/>
      <c r="D4327" s="31"/>
      <c r="E4327" s="31"/>
      <c r="F4327" s="31"/>
      <c r="G4327" s="199">
        <f>ROUND(G4326+G4325,1)</f>
        <v>188.9</v>
      </c>
      <c r="J4327" s="78"/>
    </row>
    <row r="4328" spans="2:10">
      <c r="B4328" s="31"/>
      <c r="C4328" s="76"/>
      <c r="D4328" s="31"/>
      <c r="E4328" s="31"/>
      <c r="F4328" s="200"/>
      <c r="G4328" s="200"/>
      <c r="I4328" s="31"/>
      <c r="J4328" s="78"/>
    </row>
    <row r="4329" spans="2:10">
      <c r="B4329" s="170" t="s">
        <v>1175</v>
      </c>
      <c r="J4329" s="78"/>
    </row>
    <row r="4330" spans="2:10">
      <c r="B4330" s="26" t="s">
        <v>1176</v>
      </c>
      <c r="H4330" s="171" t="s">
        <v>1698</v>
      </c>
      <c r="I4330" s="117">
        <f>I4306</f>
        <v>162442</v>
      </c>
      <c r="J4330" s="78"/>
    </row>
    <row r="4331" spans="2:10">
      <c r="B4331" s="26" t="s">
        <v>1186</v>
      </c>
      <c r="H4331" s="171" t="s">
        <v>1698</v>
      </c>
      <c r="I4331" s="117">
        <f>I4313</f>
        <v>306</v>
      </c>
      <c r="J4331" s="78"/>
    </row>
    <row r="4332" spans="2:10">
      <c r="B4332" s="26" t="s">
        <v>2660</v>
      </c>
      <c r="H4332" s="171" t="s">
        <v>1698</v>
      </c>
      <c r="I4332" s="85">
        <f>I4324</f>
        <v>1995</v>
      </c>
      <c r="J4332" s="78"/>
    </row>
    <row r="4333" spans="2:10">
      <c r="G4333" s="171" t="s">
        <v>1518</v>
      </c>
      <c r="H4333" s="171" t="s">
        <v>1698</v>
      </c>
      <c r="I4333" s="130">
        <f>SUM(I4330:I4332)</f>
        <v>164743</v>
      </c>
      <c r="J4333" s="78"/>
    </row>
    <row r="4334" spans="2:10" ht="18.75">
      <c r="B4334" s="1207" t="s">
        <v>8375</v>
      </c>
      <c r="C4334" s="1207"/>
      <c r="D4334" s="1207"/>
      <c r="E4334" s="1207"/>
      <c r="F4334" s="1207"/>
      <c r="G4334" s="922">
        <f>'BASIC DATA'!$C$577</f>
        <v>0.13614999999999999</v>
      </c>
      <c r="H4334" s="171" t="s">
        <v>4108</v>
      </c>
      <c r="I4334" s="76">
        <f>ROUND(I4333*G4334,2)</f>
        <v>22429.759999999998</v>
      </c>
      <c r="J4334" s="78"/>
    </row>
    <row r="4335" spans="2:10">
      <c r="B4335" s="1206" t="s">
        <v>1191</v>
      </c>
      <c r="C4335" s="1206"/>
      <c r="D4335" s="1206"/>
      <c r="E4335" s="1206"/>
      <c r="F4335" s="202">
        <f>H4297</f>
        <v>12</v>
      </c>
      <c r="G4335" s="202" t="str">
        <f>I4297</f>
        <v>Rm</v>
      </c>
      <c r="H4335" s="171" t="s">
        <v>1698</v>
      </c>
      <c r="I4335" s="199">
        <f>I4334+I4333</f>
        <v>187172.76</v>
      </c>
      <c r="J4335" s="78"/>
    </row>
    <row r="4336" spans="2:10">
      <c r="B4336" s="1161" t="s">
        <v>3884</v>
      </c>
      <c r="C4336" s="1161"/>
      <c r="D4336" s="246" t="str">
        <f>G4335</f>
        <v>Rm</v>
      </c>
      <c r="F4336" s="26" t="s">
        <v>1392</v>
      </c>
      <c r="H4336" s="171" t="s">
        <v>1698</v>
      </c>
      <c r="I4336" s="204">
        <f>ROUND(I4335/F4335,1)</f>
        <v>15597.7</v>
      </c>
      <c r="J4336" s="78"/>
    </row>
    <row r="4337" spans="1:10">
      <c r="J4337" s="78"/>
    </row>
    <row r="4338" spans="1:10">
      <c r="J4338" s="78"/>
    </row>
    <row r="4339" spans="1:10" ht="18.75">
      <c r="A4339" s="822" t="s">
        <v>7360</v>
      </c>
      <c r="B4339" s="26" t="s">
        <v>8507</v>
      </c>
      <c r="J4339" s="78"/>
    </row>
    <row r="4340" spans="1:10" ht="18.75">
      <c r="B4340" s="26" t="s">
        <v>8508</v>
      </c>
      <c r="J4340" s="78"/>
    </row>
    <row r="4341" spans="1:10">
      <c r="B4341" s="26" t="s">
        <v>1727</v>
      </c>
      <c r="J4341" s="78"/>
    </row>
    <row r="4342" spans="1:10">
      <c r="B4342" s="26" t="s">
        <v>5379</v>
      </c>
      <c r="J4342" s="78"/>
    </row>
    <row r="4343" spans="1:10">
      <c r="B4343" s="26" t="s">
        <v>5380</v>
      </c>
      <c r="J4343" s="78"/>
    </row>
    <row r="4344" spans="1:10">
      <c r="B4344" s="26" t="s">
        <v>5381</v>
      </c>
      <c r="J4344" s="78"/>
    </row>
    <row r="4345" spans="1:10">
      <c r="B4345" s="26" t="s">
        <v>4519</v>
      </c>
      <c r="J4345" s="78"/>
    </row>
    <row r="4346" spans="1:10">
      <c r="B4346" s="26" t="s">
        <v>8509</v>
      </c>
      <c r="J4346" s="78"/>
    </row>
    <row r="4347" spans="1:10" hidden="1">
      <c r="A4347" s="822" t="s">
        <v>3984</v>
      </c>
      <c r="B4347" s="26" t="s">
        <v>4165</v>
      </c>
      <c r="J4347" s="78"/>
    </row>
    <row r="4348" spans="1:10" hidden="1">
      <c r="B4348" s="26" t="s">
        <v>3693</v>
      </c>
      <c r="H4348" s="68">
        <v>24.5</v>
      </c>
      <c r="I4348" s="26" t="s">
        <v>3694</v>
      </c>
      <c r="J4348" s="78"/>
    </row>
    <row r="4349" spans="1:10" hidden="1">
      <c r="B4349" s="26" t="s">
        <v>3695</v>
      </c>
      <c r="H4349" s="68">
        <v>30</v>
      </c>
      <c r="I4349" s="26" t="s">
        <v>6670</v>
      </c>
      <c r="J4349" s="78"/>
    </row>
    <row r="4350" spans="1:10" hidden="1">
      <c r="B4350" s="26" t="s">
        <v>3696</v>
      </c>
      <c r="H4350" s="68">
        <v>24</v>
      </c>
      <c r="I4350" s="26" t="s">
        <v>3694</v>
      </c>
      <c r="J4350" s="78"/>
    </row>
    <row r="4351" spans="1:10" hidden="1">
      <c r="B4351" s="26" t="s">
        <v>3697</v>
      </c>
      <c r="H4351" s="68">
        <v>192</v>
      </c>
      <c r="I4351" s="26" t="s">
        <v>6670</v>
      </c>
      <c r="J4351" s="78"/>
    </row>
    <row r="4352" spans="1:10">
      <c r="J4352" s="78"/>
    </row>
    <row r="4353" spans="1:10">
      <c r="J4353" s="78"/>
    </row>
    <row r="4354" spans="1:10">
      <c r="A4354" s="822" t="s">
        <v>3984</v>
      </c>
      <c r="E4354" s="170" t="s">
        <v>2367</v>
      </c>
      <c r="J4354" s="78"/>
    </row>
    <row r="4355" spans="1:10">
      <c r="H4355" s="171" t="s">
        <v>1188</v>
      </c>
      <c r="J4355" s="78"/>
    </row>
    <row r="4356" spans="1:10">
      <c r="B4356" s="170" t="s">
        <v>2368</v>
      </c>
      <c r="C4356" s="89"/>
      <c r="H4356" s="211">
        <v>12</v>
      </c>
      <c r="I4356" s="26" t="s">
        <v>2822</v>
      </c>
      <c r="J4356" s="78"/>
    </row>
    <row r="4357" spans="1:10">
      <c r="B4357" s="95" t="s">
        <v>2369</v>
      </c>
      <c r="D4357" s="157" t="s">
        <v>4443</v>
      </c>
      <c r="E4357" s="97"/>
      <c r="F4357" s="95" t="s">
        <v>2370</v>
      </c>
      <c r="G4357" s="95" t="s">
        <v>1166</v>
      </c>
      <c r="H4357" s="97" t="s">
        <v>6664</v>
      </c>
      <c r="I4357" s="97" t="s">
        <v>6665</v>
      </c>
      <c r="J4357" s="78"/>
    </row>
    <row r="4358" spans="1:10">
      <c r="B4358" s="191"/>
      <c r="C4358" s="139"/>
      <c r="D4358" s="174"/>
      <c r="E4358" s="192"/>
      <c r="F4358" s="191"/>
      <c r="G4358" s="114"/>
      <c r="H4358" s="115" t="s">
        <v>3856</v>
      </c>
      <c r="I4358" s="115" t="s">
        <v>3857</v>
      </c>
      <c r="J4358" s="78"/>
    </row>
    <row r="4359" spans="1:10">
      <c r="B4359" s="95">
        <v>1</v>
      </c>
      <c r="C4359" s="131" t="s">
        <v>3698</v>
      </c>
      <c r="D4359" s="187"/>
      <c r="E4359" s="195"/>
      <c r="F4359" s="107" t="s">
        <v>3483</v>
      </c>
      <c r="G4359" s="179">
        <v>24.5</v>
      </c>
      <c r="H4359" s="218">
        <f>'BASIC DATA'!$D$89</f>
        <v>470</v>
      </c>
      <c r="I4359" s="155">
        <f t="shared" ref="I4359:I4364" si="82">H4359*G4359</f>
        <v>11515</v>
      </c>
      <c r="J4359" s="78"/>
    </row>
    <row r="4360" spans="1:10">
      <c r="B4360" s="105">
        <v>2</v>
      </c>
      <c r="C4360" s="135" t="s">
        <v>4166</v>
      </c>
      <c r="D4360" s="31"/>
      <c r="E4360" s="189"/>
      <c r="F4360" s="210" t="s">
        <v>3478</v>
      </c>
      <c r="G4360" s="190">
        <v>30</v>
      </c>
      <c r="H4360" s="220">
        <f>'BASIC DATA'!$D$91/1000</f>
        <v>34</v>
      </c>
      <c r="I4360" s="155">
        <f t="shared" si="82"/>
        <v>1020</v>
      </c>
      <c r="J4360" s="78"/>
    </row>
    <row r="4361" spans="1:10">
      <c r="B4361" s="105">
        <v>3</v>
      </c>
      <c r="C4361" s="135" t="s">
        <v>4167</v>
      </c>
      <c r="D4361" s="31"/>
      <c r="E4361" s="189"/>
      <c r="F4361" s="210" t="s">
        <v>3483</v>
      </c>
      <c r="G4361" s="190">
        <v>24</v>
      </c>
      <c r="H4361" s="220">
        <f>'BASIC DATA'!$D$62</f>
        <v>100</v>
      </c>
      <c r="I4361" s="155">
        <f t="shared" si="82"/>
        <v>2400</v>
      </c>
      <c r="J4361" s="78"/>
    </row>
    <row r="4362" spans="1:10">
      <c r="B4362" s="105">
        <v>4</v>
      </c>
      <c r="C4362" s="135" t="s">
        <v>5000</v>
      </c>
      <c r="D4362" s="31"/>
      <c r="E4362" s="189"/>
      <c r="F4362" s="210" t="s">
        <v>3478</v>
      </c>
      <c r="G4362" s="190">
        <v>192</v>
      </c>
      <c r="H4362" s="220">
        <f>'BASIC DATA'!$D$29</f>
        <v>46</v>
      </c>
      <c r="I4362" s="155">
        <f t="shared" si="82"/>
        <v>8832</v>
      </c>
      <c r="J4362" s="78"/>
    </row>
    <row r="4363" spans="1:10">
      <c r="B4363" s="105">
        <v>5</v>
      </c>
      <c r="C4363" s="135" t="s">
        <v>5001</v>
      </c>
      <c r="D4363" s="31"/>
      <c r="E4363" s="189"/>
      <c r="F4363" s="210" t="s">
        <v>2173</v>
      </c>
      <c r="G4363" s="190">
        <v>5</v>
      </c>
      <c r="H4363" s="220">
        <f>'BASIC DATA'!$D$362</f>
        <v>17</v>
      </c>
      <c r="I4363" s="155">
        <f t="shared" si="82"/>
        <v>85</v>
      </c>
      <c r="J4363" s="78"/>
    </row>
    <row r="4364" spans="1:10">
      <c r="B4364" s="114">
        <v>6</v>
      </c>
      <c r="C4364" s="139" t="s">
        <v>3699</v>
      </c>
      <c r="D4364" s="174"/>
      <c r="E4364" s="192"/>
      <c r="F4364" s="191" t="s">
        <v>2173</v>
      </c>
      <c r="G4364" s="182">
        <v>25</v>
      </c>
      <c r="H4364" s="257">
        <f>'BASIC DATA'!$D$366</f>
        <v>17</v>
      </c>
      <c r="I4364" s="155">
        <f t="shared" si="82"/>
        <v>425</v>
      </c>
      <c r="J4364" s="78"/>
    </row>
    <row r="4365" spans="1:10">
      <c r="B4365" s="184"/>
      <c r="C4365" s="151"/>
      <c r="D4365" s="159"/>
      <c r="E4365" s="159" t="s">
        <v>2376</v>
      </c>
      <c r="F4365" s="159"/>
      <c r="G4365" s="159"/>
      <c r="H4365" s="208" t="s">
        <v>1698</v>
      </c>
      <c r="I4365" s="209">
        <f>SUM(I4359:I4364)</f>
        <v>24277</v>
      </c>
      <c r="J4365" s="78"/>
    </row>
    <row r="4366" spans="1:10">
      <c r="J4366" s="78"/>
    </row>
    <row r="4367" spans="1:10">
      <c r="B4367" s="170" t="s">
        <v>2377</v>
      </c>
      <c r="C4367" s="89"/>
      <c r="J4367" s="78"/>
    </row>
    <row r="4368" spans="1:10">
      <c r="B4368" s="95" t="s">
        <v>2369</v>
      </c>
      <c r="D4368" s="157" t="s">
        <v>2378</v>
      </c>
      <c r="E4368" s="97"/>
      <c r="F4368" s="95" t="s">
        <v>2370</v>
      </c>
      <c r="G4368" s="95" t="s">
        <v>1166</v>
      </c>
      <c r="H4368" s="97" t="s">
        <v>6664</v>
      </c>
      <c r="I4368" s="97" t="s">
        <v>6665</v>
      </c>
      <c r="J4368" s="78"/>
    </row>
    <row r="4369" spans="2:10">
      <c r="B4369" s="191"/>
      <c r="C4369" s="139"/>
      <c r="D4369" s="174"/>
      <c r="E4369" s="192"/>
      <c r="F4369" s="191"/>
      <c r="G4369" s="114"/>
      <c r="H4369" s="115" t="s">
        <v>3856</v>
      </c>
      <c r="I4369" s="115" t="s">
        <v>3857</v>
      </c>
      <c r="J4369" s="78"/>
    </row>
    <row r="4370" spans="2:10">
      <c r="B4370" s="95">
        <v>1</v>
      </c>
      <c r="C4370" s="131" t="s">
        <v>5003</v>
      </c>
      <c r="D4370" s="187"/>
      <c r="E4370" s="195"/>
      <c r="F4370" s="107" t="s">
        <v>2173</v>
      </c>
      <c r="G4370" s="179">
        <v>8</v>
      </c>
      <c r="H4370" s="212">
        <f>'BASIC DATA'!$D$364</f>
        <v>17</v>
      </c>
      <c r="I4370" s="155">
        <f>H4370*G4370</f>
        <v>136</v>
      </c>
      <c r="J4370" s="78"/>
    </row>
    <row r="4371" spans="2:10">
      <c r="B4371" s="191"/>
      <c r="C4371" s="139" t="s">
        <v>3692</v>
      </c>
      <c r="D4371" s="174"/>
      <c r="E4371" s="192"/>
      <c r="F4371" s="191" t="s">
        <v>2173</v>
      </c>
      <c r="G4371" s="182">
        <v>10</v>
      </c>
      <c r="H4371" s="215">
        <f>'BASIC DATA'!$D$365</f>
        <v>17</v>
      </c>
      <c r="I4371" s="155">
        <f>H4371*G4371</f>
        <v>170</v>
      </c>
      <c r="J4371" s="78"/>
    </row>
    <row r="4372" spans="2:10">
      <c r="B4372" s="184"/>
      <c r="C4372" s="151"/>
      <c r="D4372" s="159"/>
      <c r="E4372" s="159" t="s">
        <v>2380</v>
      </c>
      <c r="F4372" s="159"/>
      <c r="G4372" s="159"/>
      <c r="H4372" s="208" t="s">
        <v>1698</v>
      </c>
      <c r="I4372" s="209">
        <f>SUM(I4370:I4371)</f>
        <v>306</v>
      </c>
      <c r="J4372" s="78"/>
    </row>
    <row r="4373" spans="2:10">
      <c r="B4373" s="31"/>
      <c r="C4373" s="76"/>
      <c r="D4373" s="31"/>
      <c r="E4373" s="31"/>
      <c r="F4373" s="31"/>
      <c r="G4373" s="31"/>
      <c r="H4373" s="200"/>
      <c r="I4373" s="75"/>
      <c r="J4373" s="78"/>
    </row>
    <row r="4374" spans="2:10">
      <c r="B4374" s="170" t="s">
        <v>2381</v>
      </c>
      <c r="C4374" s="89"/>
      <c r="J4374" s="78"/>
    </row>
    <row r="4375" spans="2:10">
      <c r="B4375" s="95" t="s">
        <v>2369</v>
      </c>
      <c r="D4375" s="157" t="s">
        <v>2378</v>
      </c>
      <c r="E4375" s="97"/>
      <c r="F4375" s="95" t="s">
        <v>2370</v>
      </c>
      <c r="G4375" s="95" t="s">
        <v>1166</v>
      </c>
      <c r="H4375" s="97" t="s">
        <v>6664</v>
      </c>
      <c r="I4375" s="97" t="s">
        <v>6665</v>
      </c>
      <c r="J4375" s="78"/>
    </row>
    <row r="4376" spans="2:10">
      <c r="B4376" s="191"/>
      <c r="C4376" s="139"/>
      <c r="D4376" s="174"/>
      <c r="E4376" s="192"/>
      <c r="F4376" s="191"/>
      <c r="G4376" s="114"/>
      <c r="H4376" s="115" t="s">
        <v>3856</v>
      </c>
      <c r="I4376" s="115" t="s">
        <v>3857</v>
      </c>
      <c r="J4376" s="78"/>
    </row>
    <row r="4377" spans="2:10">
      <c r="B4377" s="95">
        <v>1</v>
      </c>
      <c r="C4377" s="131" t="s">
        <v>4905</v>
      </c>
      <c r="D4377" s="187"/>
      <c r="E4377" s="195"/>
      <c r="F4377" s="107" t="s">
        <v>1172</v>
      </c>
      <c r="G4377" s="179">
        <v>0.5</v>
      </c>
      <c r="H4377" s="207">
        <f>'BASIC DATA'!$C$504</f>
        <v>445</v>
      </c>
      <c r="I4377" s="155">
        <f>H4377*G4377</f>
        <v>222.5</v>
      </c>
      <c r="J4377" s="78"/>
    </row>
    <row r="4378" spans="2:10">
      <c r="B4378" s="105">
        <v>2</v>
      </c>
      <c r="C4378" s="135" t="s">
        <v>3836</v>
      </c>
      <c r="D4378" s="31"/>
      <c r="E4378" s="189"/>
      <c r="F4378" s="210" t="s">
        <v>1172</v>
      </c>
      <c r="G4378" s="190">
        <v>0.5</v>
      </c>
      <c r="H4378" s="207">
        <f>'BASIC DATA'!$C$464</f>
        <v>555</v>
      </c>
      <c r="I4378" s="155">
        <f>H4378*G4378</f>
        <v>277.5</v>
      </c>
      <c r="J4378" s="78"/>
    </row>
    <row r="4379" spans="2:10">
      <c r="B4379" s="105">
        <v>3</v>
      </c>
      <c r="C4379" s="135" t="s">
        <v>5608</v>
      </c>
      <c r="D4379" s="31"/>
      <c r="E4379" s="189"/>
      <c r="F4379" s="210" t="s">
        <v>1172</v>
      </c>
      <c r="G4379" s="190">
        <v>0.5</v>
      </c>
      <c r="H4379" s="207">
        <f>'BASIC DATA'!$C$499</f>
        <v>510</v>
      </c>
      <c r="I4379" s="155">
        <f>H4379*G4379</f>
        <v>255</v>
      </c>
      <c r="J4379" s="78"/>
    </row>
    <row r="4380" spans="2:10">
      <c r="B4380" s="105">
        <v>4</v>
      </c>
      <c r="C4380" s="135" t="s">
        <v>440</v>
      </c>
      <c r="D4380" s="31"/>
      <c r="E4380" s="189"/>
      <c r="F4380" s="210" t="s">
        <v>1172</v>
      </c>
      <c r="G4380" s="190">
        <v>0.5</v>
      </c>
      <c r="H4380" s="207">
        <f>'BASIC DATA'!$C$474</f>
        <v>445</v>
      </c>
      <c r="I4380" s="155">
        <f>H4380*G4380</f>
        <v>222.5</v>
      </c>
      <c r="J4380" s="78"/>
    </row>
    <row r="4381" spans="2:10">
      <c r="B4381" s="114">
        <v>5</v>
      </c>
      <c r="C4381" s="139" t="s">
        <v>2697</v>
      </c>
      <c r="D4381" s="174"/>
      <c r="E4381" s="192"/>
      <c r="F4381" s="191" t="s">
        <v>1172</v>
      </c>
      <c r="G4381" s="182">
        <v>1</v>
      </c>
      <c r="H4381" s="207">
        <f>'BASIC DATA'!$C$552</f>
        <v>350</v>
      </c>
      <c r="I4381" s="155">
        <f>H4381*G4381</f>
        <v>350</v>
      </c>
      <c r="J4381" s="78"/>
    </row>
    <row r="4382" spans="2:10">
      <c r="B4382" s="184"/>
      <c r="C4382" s="151"/>
      <c r="D4382" s="159"/>
      <c r="E4382" s="159" t="s">
        <v>1174</v>
      </c>
      <c r="F4382" s="159"/>
      <c r="G4382" s="193"/>
      <c r="H4382" s="208" t="s">
        <v>1698</v>
      </c>
      <c r="I4382" s="209">
        <f>SUM(I4377:I4381)</f>
        <v>1327.5</v>
      </c>
      <c r="J4382" s="78"/>
    </row>
    <row r="4383" spans="2:10">
      <c r="B4383" s="60" t="s">
        <v>5948</v>
      </c>
      <c r="C4383" s="76"/>
      <c r="D4383" s="31"/>
      <c r="E4383" s="31"/>
      <c r="F4383" s="31"/>
      <c r="G4383" s="85">
        <f>ROUND(I4382/H4356,1)</f>
        <v>110.6</v>
      </c>
      <c r="J4383" s="78"/>
    </row>
    <row r="4384" spans="2:10">
      <c r="B4384" s="60" t="s">
        <v>3163</v>
      </c>
      <c r="C4384" s="76"/>
      <c r="D4384" s="31"/>
      <c r="E4384" s="31"/>
      <c r="F4384" s="922">
        <f>'BASIC DATA'!$C$577</f>
        <v>0.13614999999999999</v>
      </c>
      <c r="G4384" s="85">
        <f>ROUND(G4383*F4384,1)</f>
        <v>15.1</v>
      </c>
      <c r="J4384" s="78"/>
    </row>
    <row r="4385" spans="1:10">
      <c r="B4385" s="60" t="s">
        <v>5949</v>
      </c>
      <c r="C4385" s="76"/>
      <c r="D4385" s="31"/>
      <c r="E4385" s="31"/>
      <c r="F4385" s="31"/>
      <c r="G4385" s="199">
        <f>ROUND(G4384+G4383,1)</f>
        <v>125.7</v>
      </c>
      <c r="J4385" s="78"/>
    </row>
    <row r="4386" spans="1:10">
      <c r="B4386" s="31"/>
      <c r="C4386" s="76"/>
      <c r="D4386" s="31"/>
      <c r="E4386" s="31"/>
      <c r="F4386" s="200"/>
      <c r="G4386" s="200"/>
      <c r="I4386" s="75"/>
      <c r="J4386" s="78"/>
    </row>
    <row r="4387" spans="1:10">
      <c r="B4387" s="170" t="s">
        <v>1175</v>
      </c>
      <c r="J4387" s="78"/>
    </row>
    <row r="4388" spans="1:10">
      <c r="B4388" s="26" t="s">
        <v>1176</v>
      </c>
      <c r="H4388" s="171" t="s">
        <v>1698</v>
      </c>
      <c r="I4388" s="117">
        <f>I4365</f>
        <v>24277</v>
      </c>
      <c r="J4388" s="78"/>
    </row>
    <row r="4389" spans="1:10">
      <c r="B4389" s="26" t="s">
        <v>1186</v>
      </c>
      <c r="H4389" s="171" t="s">
        <v>1698</v>
      </c>
      <c r="I4389" s="117">
        <f>I4372</f>
        <v>306</v>
      </c>
      <c r="J4389" s="78"/>
    </row>
    <row r="4390" spans="1:10">
      <c r="B4390" s="26" t="s">
        <v>2660</v>
      </c>
      <c r="H4390" s="171" t="s">
        <v>1698</v>
      </c>
      <c r="I4390" s="117">
        <f>I4382</f>
        <v>1327.5</v>
      </c>
      <c r="J4390" s="78"/>
    </row>
    <row r="4391" spans="1:10">
      <c r="G4391" s="171" t="s">
        <v>1518</v>
      </c>
      <c r="H4391" s="171" t="s">
        <v>1698</v>
      </c>
      <c r="I4391" s="130">
        <f>SUM(I4388:I4390)</f>
        <v>25910.5</v>
      </c>
      <c r="J4391" s="78"/>
    </row>
    <row r="4392" spans="1:10" ht="18.75">
      <c r="B4392" s="1207" t="s">
        <v>8375</v>
      </c>
      <c r="C4392" s="1207"/>
      <c r="D4392" s="1207"/>
      <c r="E4392" s="1207"/>
      <c r="F4392" s="1207"/>
      <c r="G4392" s="922">
        <f>'BASIC DATA'!$C$577</f>
        <v>0.13614999999999999</v>
      </c>
      <c r="H4392" s="171" t="s">
        <v>4108</v>
      </c>
      <c r="I4392" s="76">
        <f>ROUND(I4391*G4392,2)</f>
        <v>3527.71</v>
      </c>
      <c r="J4392" s="78"/>
    </row>
    <row r="4393" spans="1:10">
      <c r="B4393" s="1206" t="s">
        <v>1191</v>
      </c>
      <c r="C4393" s="1206"/>
      <c r="D4393" s="1206"/>
      <c r="E4393" s="1206"/>
      <c r="F4393" s="202">
        <f>H4356</f>
        <v>12</v>
      </c>
      <c r="G4393" s="202" t="str">
        <f>I4356</f>
        <v>Rm.</v>
      </c>
      <c r="H4393" s="171" t="s">
        <v>1698</v>
      </c>
      <c r="I4393" s="199">
        <f>I4392+I4391</f>
        <v>29438.21</v>
      </c>
      <c r="J4393" s="78"/>
    </row>
    <row r="4394" spans="1:10">
      <c r="B4394" s="1161" t="s">
        <v>3884</v>
      </c>
      <c r="C4394" s="1161"/>
      <c r="D4394" s="246" t="str">
        <f>G4393</f>
        <v>Rm.</v>
      </c>
      <c r="F4394" s="26" t="s">
        <v>1392</v>
      </c>
      <c r="H4394" s="171" t="s">
        <v>1698</v>
      </c>
      <c r="I4394" s="204">
        <f>ROUND(I4393/F4393,1)</f>
        <v>2453.1999999999998</v>
      </c>
      <c r="J4394" s="78"/>
    </row>
    <row r="4395" spans="1:10">
      <c r="J4395" s="78"/>
    </row>
    <row r="4396" spans="1:10">
      <c r="J4396" s="78"/>
    </row>
    <row r="4397" spans="1:10" ht="18.75">
      <c r="A4397" s="822" t="s">
        <v>7361</v>
      </c>
      <c r="B4397" s="26" t="s">
        <v>8505</v>
      </c>
      <c r="J4397" s="78"/>
    </row>
    <row r="4398" spans="1:10" ht="18.75">
      <c r="B4398" s="26" t="s">
        <v>8510</v>
      </c>
      <c r="J4398" s="78"/>
    </row>
    <row r="4399" spans="1:10">
      <c r="B4399" s="26" t="s">
        <v>1684</v>
      </c>
      <c r="J4399" s="78"/>
    </row>
    <row r="4400" spans="1:10">
      <c r="B4400" s="26" t="s">
        <v>8511</v>
      </c>
      <c r="J4400" s="78"/>
    </row>
    <row r="4401" spans="1:10" hidden="1">
      <c r="A4401" s="822" t="s">
        <v>3984</v>
      </c>
      <c r="B4401" s="26" t="s">
        <v>335</v>
      </c>
      <c r="J4401" s="78"/>
    </row>
    <row r="4402" spans="1:10" hidden="1">
      <c r="B4402" s="26" t="s">
        <v>4253</v>
      </c>
      <c r="G4402" s="26">
        <v>8.6999999999999993</v>
      </c>
      <c r="H4402" s="26" t="s">
        <v>2602</v>
      </c>
      <c r="J4402" s="78"/>
    </row>
    <row r="4403" spans="1:10" hidden="1">
      <c r="B4403" s="26" t="s">
        <v>4254</v>
      </c>
      <c r="G4403" s="26">
        <v>81</v>
      </c>
      <c r="H4403" s="26" t="s">
        <v>6670</v>
      </c>
      <c r="J4403" s="78"/>
    </row>
    <row r="4404" spans="1:10" hidden="1">
      <c r="B4404" s="26" t="s">
        <v>336</v>
      </c>
      <c r="F4404" s="26" t="s">
        <v>1697</v>
      </c>
      <c r="G4404" s="68">
        <v>15</v>
      </c>
      <c r="H4404" s="26" t="s">
        <v>3478</v>
      </c>
      <c r="J4404" s="78"/>
    </row>
    <row r="4405" spans="1:10">
      <c r="J4405" s="78"/>
    </row>
    <row r="4406" spans="1:10">
      <c r="J4406" s="78"/>
    </row>
    <row r="4407" spans="1:10">
      <c r="A4407" s="822" t="s">
        <v>3984</v>
      </c>
      <c r="E4407" s="170" t="s">
        <v>2367</v>
      </c>
      <c r="J4407" s="78"/>
    </row>
    <row r="4408" spans="1:10">
      <c r="H4408" s="171" t="s">
        <v>1188</v>
      </c>
      <c r="J4408" s="78"/>
    </row>
    <row r="4409" spans="1:10">
      <c r="B4409" s="170" t="s">
        <v>2368</v>
      </c>
      <c r="C4409" s="89"/>
      <c r="H4409" s="170">
        <v>8.6999999999999993</v>
      </c>
      <c r="I4409" s="26" t="s">
        <v>3483</v>
      </c>
      <c r="J4409" s="78"/>
    </row>
    <row r="4410" spans="1:10">
      <c r="B4410" s="95" t="s">
        <v>2369</v>
      </c>
      <c r="D4410" s="157" t="s">
        <v>4443</v>
      </c>
      <c r="E4410" s="97"/>
      <c r="F4410" s="95" t="s">
        <v>2370</v>
      </c>
      <c r="G4410" s="95" t="s">
        <v>1166</v>
      </c>
      <c r="H4410" s="97" t="s">
        <v>6664</v>
      </c>
      <c r="I4410" s="97" t="s">
        <v>6665</v>
      </c>
      <c r="J4410" s="78"/>
    </row>
    <row r="4411" spans="1:10">
      <c r="B4411" s="191"/>
      <c r="C4411" s="139"/>
      <c r="D4411" s="174"/>
      <c r="E4411" s="192"/>
      <c r="F4411" s="191"/>
      <c r="G4411" s="114"/>
      <c r="H4411" s="115" t="s">
        <v>3856</v>
      </c>
      <c r="I4411" s="115" t="s">
        <v>3857</v>
      </c>
      <c r="J4411" s="78"/>
    </row>
    <row r="4412" spans="1:10">
      <c r="B4412" s="95">
        <v>1</v>
      </c>
      <c r="C4412" s="131" t="s">
        <v>6999</v>
      </c>
      <c r="D4412" s="187"/>
      <c r="E4412" s="195"/>
      <c r="F4412" s="107" t="s">
        <v>3478</v>
      </c>
      <c r="G4412" s="179">
        <v>77</v>
      </c>
      <c r="H4412" s="218">
        <f>'BASIC DATA'!$D$40</f>
        <v>695</v>
      </c>
      <c r="I4412" s="155">
        <f>H4412*G4412</f>
        <v>53515</v>
      </c>
      <c r="J4412" s="78"/>
    </row>
    <row r="4413" spans="1:10">
      <c r="B4413" s="105">
        <v>2</v>
      </c>
      <c r="C4413" s="135" t="s">
        <v>4166</v>
      </c>
      <c r="D4413" s="31"/>
      <c r="E4413" s="189"/>
      <c r="F4413" s="210" t="s">
        <v>3478</v>
      </c>
      <c r="G4413" s="190">
        <v>15</v>
      </c>
      <c r="H4413" s="220">
        <f>'BASIC DATA'!$D$91/1000</f>
        <v>34</v>
      </c>
      <c r="I4413" s="155">
        <f>H4413*G4413</f>
        <v>510</v>
      </c>
      <c r="J4413" s="78"/>
    </row>
    <row r="4414" spans="1:10">
      <c r="B4414" s="114">
        <v>3</v>
      </c>
      <c r="C4414" s="139" t="s">
        <v>5002</v>
      </c>
      <c r="D4414" s="174"/>
      <c r="E4414" s="192"/>
      <c r="F4414" s="191" t="s">
        <v>2173</v>
      </c>
      <c r="G4414" s="182">
        <v>10</v>
      </c>
      <c r="H4414" s="257">
        <f>'BASIC DATA'!$D$363</f>
        <v>17</v>
      </c>
      <c r="I4414" s="155">
        <f>H4414*G4414</f>
        <v>170</v>
      </c>
      <c r="J4414" s="78"/>
    </row>
    <row r="4415" spans="1:10">
      <c r="B4415" s="184"/>
      <c r="C4415" s="151"/>
      <c r="D4415" s="159"/>
      <c r="E4415" s="159" t="s">
        <v>2376</v>
      </c>
      <c r="F4415" s="159"/>
      <c r="G4415" s="159"/>
      <c r="H4415" s="208" t="s">
        <v>1698</v>
      </c>
      <c r="I4415" s="209">
        <f>SUM(I4412:I4414)</f>
        <v>54195</v>
      </c>
      <c r="J4415" s="78"/>
    </row>
    <row r="4416" spans="1:10">
      <c r="B4416" s="31"/>
      <c r="C4416" s="76"/>
      <c r="D4416" s="31"/>
      <c r="E4416" s="31"/>
      <c r="F4416" s="31"/>
      <c r="G4416" s="31"/>
      <c r="H4416" s="33"/>
      <c r="I4416" s="75"/>
      <c r="J4416" s="78"/>
    </row>
    <row r="4417" spans="2:10">
      <c r="B4417" s="170" t="s">
        <v>2377</v>
      </c>
      <c r="C4417" s="89"/>
      <c r="J4417" s="78"/>
    </row>
    <row r="4418" spans="2:10">
      <c r="B4418" s="95" t="s">
        <v>2369</v>
      </c>
      <c r="D4418" s="175" t="s">
        <v>2378</v>
      </c>
      <c r="E4418" s="175"/>
      <c r="F4418" s="95" t="s">
        <v>2370</v>
      </c>
      <c r="G4418" s="175" t="s">
        <v>1166</v>
      </c>
      <c r="H4418" s="95" t="s">
        <v>6664</v>
      </c>
      <c r="I4418" s="97" t="s">
        <v>6665</v>
      </c>
      <c r="J4418" s="78"/>
    </row>
    <row r="4419" spans="2:10">
      <c r="B4419" s="191"/>
      <c r="C4419" s="89"/>
      <c r="D4419" s="174"/>
      <c r="E4419" s="174"/>
      <c r="F4419" s="191"/>
      <c r="G4419" s="188"/>
      <c r="H4419" s="114" t="s">
        <v>3856</v>
      </c>
      <c r="I4419" s="115" t="s">
        <v>3857</v>
      </c>
      <c r="J4419" s="78"/>
    </row>
    <row r="4420" spans="2:10">
      <c r="B4420" s="95">
        <v>1</v>
      </c>
      <c r="C4420" s="148" t="s">
        <v>337</v>
      </c>
      <c r="D4420" s="187"/>
      <c r="E4420" s="187"/>
      <c r="F4420" s="107" t="s">
        <v>2173</v>
      </c>
      <c r="G4420" s="292">
        <v>3</v>
      </c>
      <c r="H4420" s="235">
        <f>'BASIC DATA'!$D$359</f>
        <v>30</v>
      </c>
      <c r="I4420" s="155">
        <f>H4420*G4420</f>
        <v>90</v>
      </c>
      <c r="J4420" s="78"/>
    </row>
    <row r="4421" spans="2:10">
      <c r="B4421" s="191"/>
      <c r="C4421" s="89" t="s">
        <v>2430</v>
      </c>
      <c r="D4421" s="174"/>
      <c r="E4421" s="174"/>
      <c r="F4421" s="191" t="s">
        <v>2173</v>
      </c>
      <c r="G4421" s="173">
        <v>5</v>
      </c>
      <c r="H4421" s="215">
        <f>'BASIC DATA'!$D$365</f>
        <v>17</v>
      </c>
      <c r="I4421" s="155">
        <f>H4421*G4421</f>
        <v>85</v>
      </c>
      <c r="J4421" s="78"/>
    </row>
    <row r="4422" spans="2:10">
      <c r="B4422" s="184"/>
      <c r="C4422" s="151"/>
      <c r="D4422" s="159" t="s">
        <v>2380</v>
      </c>
      <c r="E4422" s="159"/>
      <c r="F4422" s="159"/>
      <c r="G4422" s="159"/>
      <c r="H4422" s="208" t="s">
        <v>1698</v>
      </c>
      <c r="I4422" s="209">
        <f>SUM(I4420:I4421)</f>
        <v>175</v>
      </c>
      <c r="J4422" s="78"/>
    </row>
    <row r="4423" spans="2:10">
      <c r="B4423" s="31"/>
      <c r="C4423" s="76"/>
      <c r="D4423" s="31"/>
      <c r="E4423" s="31"/>
      <c r="F4423" s="31"/>
      <c r="G4423" s="31"/>
      <c r="H4423" s="31"/>
      <c r="I4423" s="75"/>
      <c r="J4423" s="78"/>
    </row>
    <row r="4424" spans="2:10">
      <c r="B4424" s="170" t="s">
        <v>2381</v>
      </c>
      <c r="C4424" s="89"/>
      <c r="J4424" s="78"/>
    </row>
    <row r="4425" spans="2:10">
      <c r="B4425" s="95" t="s">
        <v>2369</v>
      </c>
      <c r="D4425" s="175" t="s">
        <v>2378</v>
      </c>
      <c r="E4425" s="175"/>
      <c r="F4425" s="95" t="s">
        <v>2370</v>
      </c>
      <c r="G4425" s="95" t="s">
        <v>1166</v>
      </c>
      <c r="H4425" s="95" t="s">
        <v>6664</v>
      </c>
      <c r="I4425" s="95" t="s">
        <v>6665</v>
      </c>
      <c r="J4425" s="78"/>
    </row>
    <row r="4426" spans="2:10">
      <c r="B4426" s="191"/>
      <c r="C4426" s="89"/>
      <c r="D4426" s="174"/>
      <c r="E4426" s="174"/>
      <c r="F4426" s="191"/>
      <c r="G4426" s="114"/>
      <c r="H4426" s="114" t="s">
        <v>3856</v>
      </c>
      <c r="I4426" s="114" t="s">
        <v>3857</v>
      </c>
      <c r="J4426" s="78"/>
    </row>
    <row r="4427" spans="2:10">
      <c r="B4427" s="95">
        <v>1</v>
      </c>
      <c r="C4427" s="148" t="s">
        <v>4905</v>
      </c>
      <c r="D4427" s="187"/>
      <c r="E4427" s="187"/>
      <c r="F4427" s="107" t="s">
        <v>1172</v>
      </c>
      <c r="G4427" s="107">
        <v>0.5</v>
      </c>
      <c r="H4427" s="207">
        <f>'BASIC DATA'!$C$504</f>
        <v>445</v>
      </c>
      <c r="I4427" s="155">
        <f>H4427*G4427</f>
        <v>222.5</v>
      </c>
      <c r="J4427" s="78"/>
    </row>
    <row r="4428" spans="2:10">
      <c r="B4428" s="105">
        <v>2</v>
      </c>
      <c r="C4428" s="76" t="s">
        <v>2447</v>
      </c>
      <c r="D4428" s="31"/>
      <c r="E4428" s="31"/>
      <c r="F4428" s="210" t="s">
        <v>1172</v>
      </c>
      <c r="G4428" s="210">
        <v>0.5</v>
      </c>
      <c r="H4428" s="207">
        <f>'BASIC DATA'!$C$465</f>
        <v>445</v>
      </c>
      <c r="I4428" s="155">
        <f>H4428*G4428</f>
        <v>222.5</v>
      </c>
      <c r="J4428" s="78"/>
    </row>
    <row r="4429" spans="2:10">
      <c r="B4429" s="105">
        <v>3</v>
      </c>
      <c r="C4429" s="76" t="s">
        <v>3836</v>
      </c>
      <c r="D4429" s="31"/>
      <c r="E4429" s="31"/>
      <c r="F4429" s="210" t="s">
        <v>1172</v>
      </c>
      <c r="G4429" s="210">
        <v>0.5</v>
      </c>
      <c r="H4429" s="207">
        <f>'BASIC DATA'!$C$464</f>
        <v>555</v>
      </c>
      <c r="I4429" s="155">
        <f>H4429*G4429</f>
        <v>277.5</v>
      </c>
      <c r="J4429" s="78"/>
    </row>
    <row r="4430" spans="2:10">
      <c r="B4430" s="105">
        <v>4</v>
      </c>
      <c r="C4430" s="76" t="s">
        <v>440</v>
      </c>
      <c r="D4430" s="31"/>
      <c r="E4430" s="31"/>
      <c r="F4430" s="210" t="s">
        <v>1172</v>
      </c>
      <c r="G4430" s="210">
        <v>0.5</v>
      </c>
      <c r="H4430" s="207">
        <f>'BASIC DATA'!$C$474</f>
        <v>445</v>
      </c>
      <c r="I4430" s="155">
        <f>H4430*G4430</f>
        <v>222.5</v>
      </c>
      <c r="J4430" s="78"/>
    </row>
    <row r="4431" spans="2:10">
      <c r="B4431" s="114">
        <v>5</v>
      </c>
      <c r="C4431" s="89" t="s">
        <v>2697</v>
      </c>
      <c r="D4431" s="174"/>
      <c r="E4431" s="174"/>
      <c r="F4431" s="191" t="s">
        <v>1172</v>
      </c>
      <c r="G4431" s="191">
        <v>0.5</v>
      </c>
      <c r="H4431" s="207">
        <f>'BASIC DATA'!$C$552</f>
        <v>350</v>
      </c>
      <c r="I4431" s="155">
        <f>H4431*G4431</f>
        <v>175</v>
      </c>
      <c r="J4431" s="78"/>
    </row>
    <row r="4432" spans="2:10">
      <c r="B4432" s="184"/>
      <c r="C4432" s="151"/>
      <c r="D4432" s="159"/>
      <c r="E4432" s="159" t="s">
        <v>1174</v>
      </c>
      <c r="F4432" s="159"/>
      <c r="G4432" s="193"/>
      <c r="H4432" s="208" t="s">
        <v>1698</v>
      </c>
      <c r="I4432" s="209">
        <f>SUM(I4427:I4431)</f>
        <v>1120</v>
      </c>
      <c r="J4432" s="78"/>
    </row>
    <row r="4433" spans="1:10">
      <c r="B4433" s="60" t="s">
        <v>5948</v>
      </c>
      <c r="D4433" s="31"/>
      <c r="E4433" s="31"/>
      <c r="F4433" s="31"/>
      <c r="G4433" s="85">
        <f>ROUND(I4432/H4409,1)</f>
        <v>128.69999999999999</v>
      </c>
      <c r="H4433" s="85"/>
      <c r="J4433" s="78"/>
    </row>
    <row r="4434" spans="1:10">
      <c r="B4434" s="60" t="s">
        <v>3163</v>
      </c>
      <c r="D4434" s="31"/>
      <c r="E4434" s="31"/>
      <c r="F4434" s="922">
        <f>'BASIC DATA'!$C$577</f>
        <v>0.13614999999999999</v>
      </c>
      <c r="G4434" s="85">
        <f>ROUND(G4433*F4434,1)</f>
        <v>17.5</v>
      </c>
      <c r="H4434" s="85"/>
      <c r="J4434" s="78"/>
    </row>
    <row r="4435" spans="1:10">
      <c r="B4435" s="60" t="s">
        <v>5949</v>
      </c>
      <c r="D4435" s="31"/>
      <c r="E4435" s="31"/>
      <c r="F4435" s="31"/>
      <c r="G4435" s="199">
        <f>ROUND(G4433+G4434,1)</f>
        <v>146.19999999999999</v>
      </c>
      <c r="H4435" s="85"/>
      <c r="J4435" s="78"/>
    </row>
    <row r="4436" spans="1:10">
      <c r="B4436" s="31"/>
      <c r="D4436" s="31"/>
      <c r="E4436" s="31"/>
      <c r="F4436" s="31"/>
      <c r="G4436" s="200"/>
      <c r="H4436" s="200"/>
      <c r="I4436" s="31"/>
      <c r="J4436" s="78"/>
    </row>
    <row r="4437" spans="1:10">
      <c r="B4437" s="170" t="s">
        <v>1175</v>
      </c>
      <c r="J4437" s="78"/>
    </row>
    <row r="4438" spans="1:10">
      <c r="B4438" s="26" t="s">
        <v>1176</v>
      </c>
      <c r="H4438" s="171" t="s">
        <v>1698</v>
      </c>
      <c r="I4438" s="117">
        <f>I4415</f>
        <v>54195</v>
      </c>
      <c r="J4438" s="78"/>
    </row>
    <row r="4439" spans="1:10">
      <c r="B4439" s="26" t="s">
        <v>1186</v>
      </c>
      <c r="H4439" s="171" t="s">
        <v>1698</v>
      </c>
      <c r="I4439" s="117">
        <f>I4422</f>
        <v>175</v>
      </c>
      <c r="J4439" s="78"/>
    </row>
    <row r="4440" spans="1:10">
      <c r="B4440" s="26" t="s">
        <v>2660</v>
      </c>
      <c r="H4440" s="171" t="s">
        <v>1698</v>
      </c>
      <c r="I4440" s="117">
        <f>I4432</f>
        <v>1120</v>
      </c>
      <c r="J4440" s="78"/>
    </row>
    <row r="4441" spans="1:10">
      <c r="G4441" s="171" t="s">
        <v>1518</v>
      </c>
      <c r="H4441" s="171" t="s">
        <v>1698</v>
      </c>
      <c r="I4441" s="130">
        <f>SUM(I4438:I4440)</f>
        <v>55490</v>
      </c>
      <c r="J4441" s="78"/>
    </row>
    <row r="4442" spans="1:10" ht="18.75">
      <c r="B4442" s="1207" t="s">
        <v>8375</v>
      </c>
      <c r="C4442" s="1207"/>
      <c r="D4442" s="1207"/>
      <c r="E4442" s="1207"/>
      <c r="F4442" s="1207"/>
      <c r="G4442" s="922">
        <f>'BASIC DATA'!$C$577</f>
        <v>0.13614999999999999</v>
      </c>
      <c r="H4442" s="171" t="s">
        <v>4108</v>
      </c>
      <c r="I4442" s="76">
        <f>ROUND(I4441*G4442,2)</f>
        <v>7554.96</v>
      </c>
      <c r="J4442" s="78"/>
    </row>
    <row r="4443" spans="1:10">
      <c r="B4443" s="1206" t="s">
        <v>1191</v>
      </c>
      <c r="C4443" s="1206"/>
      <c r="D4443" s="1206"/>
      <c r="E4443" s="1206"/>
      <c r="F4443" s="202">
        <f>H4409</f>
        <v>8.6999999999999993</v>
      </c>
      <c r="G4443" s="202" t="str">
        <f>I4409</f>
        <v>Rm</v>
      </c>
      <c r="H4443" s="171" t="s">
        <v>1698</v>
      </c>
      <c r="I4443" s="199">
        <f>I4442+I4441</f>
        <v>63044.959999999999</v>
      </c>
      <c r="J4443" s="78"/>
    </row>
    <row r="4444" spans="1:10">
      <c r="B4444" s="1161" t="s">
        <v>3884</v>
      </c>
      <c r="C4444" s="1161"/>
      <c r="D4444" s="246" t="str">
        <f>G4443</f>
        <v>Rm</v>
      </c>
      <c r="F4444" s="26" t="s">
        <v>1393</v>
      </c>
      <c r="H4444" s="171" t="s">
        <v>1698</v>
      </c>
      <c r="I4444" s="204">
        <f>ROUND(I4443/F4443,1)</f>
        <v>7246.5</v>
      </c>
      <c r="J4444" s="78"/>
    </row>
    <row r="4445" spans="1:10">
      <c r="J4445" s="78"/>
    </row>
    <row r="4446" spans="1:10">
      <c r="J4446" s="78"/>
    </row>
    <row r="4447" spans="1:10" ht="18.75">
      <c r="A4447" s="822" t="s">
        <v>7362</v>
      </c>
      <c r="B4447" s="26" t="s">
        <v>8512</v>
      </c>
      <c r="J4447" s="78"/>
    </row>
    <row r="4448" spans="1:10">
      <c r="B4448" s="26" t="s">
        <v>8513</v>
      </c>
      <c r="J4448" s="78"/>
    </row>
    <row r="4449" spans="1:10">
      <c r="B4449" s="26" t="s">
        <v>4132</v>
      </c>
      <c r="J4449" s="78"/>
    </row>
    <row r="4450" spans="1:10" ht="18.75">
      <c r="B4450" s="26" t="s">
        <v>8514</v>
      </c>
      <c r="J4450" s="78"/>
    </row>
    <row r="4451" spans="1:10">
      <c r="B4451" s="170" t="s">
        <v>3441</v>
      </c>
      <c r="J4451" s="78"/>
    </row>
    <row r="4452" spans="1:10" hidden="1">
      <c r="A4452" s="822" t="s">
        <v>3984</v>
      </c>
      <c r="B4452" s="26" t="s">
        <v>335</v>
      </c>
      <c r="J4452" s="78"/>
    </row>
    <row r="4453" spans="1:10" hidden="1">
      <c r="B4453" s="26" t="s">
        <v>3447</v>
      </c>
      <c r="G4453" s="68">
        <v>8.6999999999999993</v>
      </c>
      <c r="H4453" s="26" t="s">
        <v>3694</v>
      </c>
      <c r="J4453" s="78"/>
    </row>
    <row r="4454" spans="1:10" hidden="1">
      <c r="B4454" s="26" t="s">
        <v>3448</v>
      </c>
      <c r="G4454" s="68">
        <v>9</v>
      </c>
      <c r="H4454" s="26" t="s">
        <v>3694</v>
      </c>
      <c r="J4454" s="78"/>
    </row>
    <row r="4455" spans="1:10" hidden="1">
      <c r="B4455" s="26" t="s">
        <v>2758</v>
      </c>
      <c r="G4455" s="68">
        <v>10</v>
      </c>
      <c r="H4455" s="26" t="s">
        <v>3478</v>
      </c>
      <c r="J4455" s="78"/>
    </row>
    <row r="4456" spans="1:10">
      <c r="J4456" s="78"/>
    </row>
    <row r="4457" spans="1:10">
      <c r="A4457" s="822" t="s">
        <v>3984</v>
      </c>
      <c r="E4457" s="170" t="s">
        <v>2367</v>
      </c>
      <c r="J4457" s="78"/>
    </row>
    <row r="4458" spans="1:10">
      <c r="H4458" s="171" t="s">
        <v>1188</v>
      </c>
      <c r="J4458" s="78"/>
    </row>
    <row r="4459" spans="1:10">
      <c r="B4459" s="170" t="s">
        <v>2368</v>
      </c>
      <c r="C4459" s="89"/>
      <c r="H4459" s="211">
        <v>8.6999999999999993</v>
      </c>
      <c r="I4459" s="26" t="s">
        <v>3483</v>
      </c>
      <c r="J4459" s="78"/>
    </row>
    <row r="4460" spans="1:10">
      <c r="B4460" s="95" t="s">
        <v>2369</v>
      </c>
      <c r="D4460" s="175" t="s">
        <v>4443</v>
      </c>
      <c r="E4460" s="175"/>
      <c r="F4460" s="95" t="s">
        <v>2370</v>
      </c>
      <c r="G4460" s="95" t="s">
        <v>1166</v>
      </c>
      <c r="H4460" s="95" t="s">
        <v>6664</v>
      </c>
      <c r="I4460" s="95" t="s">
        <v>6665</v>
      </c>
      <c r="J4460" s="78"/>
    </row>
    <row r="4461" spans="1:10">
      <c r="B4461" s="191"/>
      <c r="C4461" s="89"/>
      <c r="D4461" s="174"/>
      <c r="E4461" s="174"/>
      <c r="F4461" s="191"/>
      <c r="G4461" s="114"/>
      <c r="H4461" s="114" t="s">
        <v>3856</v>
      </c>
      <c r="I4461" s="114" t="s">
        <v>3857</v>
      </c>
      <c r="J4461" s="78"/>
    </row>
    <row r="4462" spans="1:10">
      <c r="B4462" s="95">
        <v>1</v>
      </c>
      <c r="C4462" s="148" t="s">
        <v>2759</v>
      </c>
      <c r="D4462" s="187"/>
      <c r="E4462" s="187"/>
      <c r="F4462" s="107" t="s">
        <v>3483</v>
      </c>
      <c r="G4462" s="179">
        <v>9</v>
      </c>
      <c r="H4462" s="212">
        <f>'BASIC DATA'!$D$88</f>
        <v>45</v>
      </c>
      <c r="I4462" s="155">
        <f>H4462*G4462</f>
        <v>405</v>
      </c>
      <c r="J4462" s="78"/>
    </row>
    <row r="4463" spans="1:10">
      <c r="B4463" s="105">
        <v>2</v>
      </c>
      <c r="C4463" s="76" t="s">
        <v>879</v>
      </c>
      <c r="D4463" s="31"/>
      <c r="E4463" s="31"/>
      <c r="F4463" s="210" t="s">
        <v>3478</v>
      </c>
      <c r="G4463" s="190">
        <v>10</v>
      </c>
      <c r="H4463" s="220">
        <f>'BASIC DATA'!$D$91/1000</f>
        <v>34</v>
      </c>
      <c r="I4463" s="155">
        <f>H4463*G4463</f>
        <v>340</v>
      </c>
      <c r="J4463" s="78"/>
    </row>
    <row r="4464" spans="1:10">
      <c r="B4464" s="114">
        <v>3</v>
      </c>
      <c r="C4464" s="89" t="s">
        <v>3077</v>
      </c>
      <c r="D4464" s="174"/>
      <c r="E4464" s="174"/>
      <c r="F4464" s="191" t="s">
        <v>2173</v>
      </c>
      <c r="G4464" s="182">
        <v>2</v>
      </c>
      <c r="H4464" s="257">
        <f>'BASIC DATA'!$D$366</f>
        <v>17</v>
      </c>
      <c r="I4464" s="155">
        <f>H4464*G4464</f>
        <v>34</v>
      </c>
      <c r="J4464" s="78"/>
    </row>
    <row r="4465" spans="2:10">
      <c r="B4465" s="184"/>
      <c r="C4465" s="151"/>
      <c r="D4465" s="159"/>
      <c r="E4465" s="159" t="s">
        <v>2376</v>
      </c>
      <c r="F4465" s="159"/>
      <c r="G4465" s="293"/>
      <c r="H4465" s="252" t="s">
        <v>1698</v>
      </c>
      <c r="I4465" s="194">
        <f>SUM(I4462:I4464)</f>
        <v>779</v>
      </c>
      <c r="J4465" s="78"/>
    </row>
    <row r="4466" spans="2:10">
      <c r="B4466" s="31"/>
      <c r="C4466" s="76"/>
      <c r="D4466" s="31"/>
      <c r="E4466" s="31"/>
      <c r="F4466" s="31"/>
      <c r="G4466" s="99"/>
      <c r="H4466" s="75"/>
      <c r="I4466" s="75"/>
      <c r="J4466" s="78"/>
    </row>
    <row r="4467" spans="2:10">
      <c r="B4467" s="170" t="s">
        <v>2377</v>
      </c>
      <c r="G4467" s="80"/>
      <c r="J4467" s="78"/>
    </row>
    <row r="4468" spans="2:10">
      <c r="B4468" s="95" t="s">
        <v>2369</v>
      </c>
      <c r="C4468" s="148"/>
      <c r="D4468" s="175" t="s">
        <v>2378</v>
      </c>
      <c r="E4468" s="97"/>
      <c r="F4468" s="95" t="s">
        <v>2370</v>
      </c>
      <c r="G4468" s="95" t="s">
        <v>1166</v>
      </c>
      <c r="H4468" s="95" t="s">
        <v>6664</v>
      </c>
      <c r="I4468" s="95" t="s">
        <v>6665</v>
      </c>
      <c r="J4468" s="78"/>
    </row>
    <row r="4469" spans="2:10">
      <c r="B4469" s="191"/>
      <c r="C4469" s="89"/>
      <c r="D4469" s="174"/>
      <c r="E4469" s="192"/>
      <c r="F4469" s="191"/>
      <c r="G4469" s="114"/>
      <c r="H4469" s="114" t="s">
        <v>3856</v>
      </c>
      <c r="I4469" s="114" t="s">
        <v>3857</v>
      </c>
      <c r="J4469" s="78"/>
    </row>
    <row r="4470" spans="2:10">
      <c r="B4470" s="95">
        <v>1</v>
      </c>
      <c r="C4470" s="148" t="s">
        <v>3078</v>
      </c>
      <c r="D4470" s="187"/>
      <c r="E4470" s="187"/>
      <c r="F4470" s="107" t="s">
        <v>2173</v>
      </c>
      <c r="G4470" s="179">
        <v>0.5</v>
      </c>
      <c r="H4470" s="257">
        <f>'BASIC DATA'!$D$359</f>
        <v>30</v>
      </c>
      <c r="I4470" s="155">
        <f>H4470*G4470</f>
        <v>15</v>
      </c>
      <c r="J4470" s="78"/>
    </row>
    <row r="4471" spans="2:10">
      <c r="B4471" s="191"/>
      <c r="C4471" s="89" t="s">
        <v>3257</v>
      </c>
      <c r="D4471" s="174"/>
      <c r="E4471" s="174"/>
      <c r="F4471" s="191" t="s">
        <v>2173</v>
      </c>
      <c r="G4471" s="182">
        <v>0.5</v>
      </c>
      <c r="H4471" s="215">
        <f>'BASIC DATA'!$D$365</f>
        <v>17</v>
      </c>
      <c r="I4471" s="155">
        <f>H4471*G4471</f>
        <v>8.5</v>
      </c>
      <c r="J4471" s="78"/>
    </row>
    <row r="4472" spans="2:10">
      <c r="B4472" s="184"/>
      <c r="C4472" s="151"/>
      <c r="D4472" s="159"/>
      <c r="E4472" s="159" t="s">
        <v>2380</v>
      </c>
      <c r="F4472" s="159"/>
      <c r="G4472" s="159"/>
      <c r="H4472" s="208"/>
      <c r="I4472" s="209">
        <f>SUM(I4470:I4471)</f>
        <v>23.5</v>
      </c>
      <c r="J4472" s="78"/>
    </row>
    <row r="4473" spans="2:10">
      <c r="B4473" s="31"/>
      <c r="C4473" s="76"/>
      <c r="D4473" s="31"/>
      <c r="E4473" s="31"/>
      <c r="F4473" s="31"/>
      <c r="G4473" s="31"/>
      <c r="H4473" s="200"/>
      <c r="I4473" s="31"/>
      <c r="J4473" s="78"/>
    </row>
    <row r="4474" spans="2:10">
      <c r="B4474" s="170" t="s">
        <v>2381</v>
      </c>
      <c r="C4474" s="89"/>
      <c r="J4474" s="78"/>
    </row>
    <row r="4475" spans="2:10">
      <c r="B4475" s="95" t="s">
        <v>2369</v>
      </c>
      <c r="D4475" s="175" t="s">
        <v>2378</v>
      </c>
      <c r="E4475" s="175"/>
      <c r="F4475" s="95" t="s">
        <v>2370</v>
      </c>
      <c r="G4475" s="95" t="s">
        <v>1166</v>
      </c>
      <c r="H4475" s="95" t="s">
        <v>6664</v>
      </c>
      <c r="I4475" s="95" t="s">
        <v>6665</v>
      </c>
      <c r="J4475" s="78"/>
    </row>
    <row r="4476" spans="2:10">
      <c r="B4476" s="191"/>
      <c r="C4476" s="89"/>
      <c r="D4476" s="174"/>
      <c r="E4476" s="174"/>
      <c r="F4476" s="191"/>
      <c r="G4476" s="114"/>
      <c r="H4476" s="114" t="s">
        <v>3856</v>
      </c>
      <c r="I4476" s="114" t="s">
        <v>3857</v>
      </c>
      <c r="J4476" s="78"/>
    </row>
    <row r="4477" spans="2:10">
      <c r="B4477" s="95">
        <v>1</v>
      </c>
      <c r="C4477" s="148" t="s">
        <v>4905</v>
      </c>
      <c r="D4477" s="187"/>
      <c r="E4477" s="187"/>
      <c r="F4477" s="107" t="s">
        <v>1172</v>
      </c>
      <c r="G4477" s="179">
        <v>0.5</v>
      </c>
      <c r="H4477" s="207">
        <f>'BASIC DATA'!$C$504</f>
        <v>445</v>
      </c>
      <c r="I4477" s="155">
        <f>H4477*G4477</f>
        <v>222.5</v>
      </c>
      <c r="J4477" s="78"/>
    </row>
    <row r="4478" spans="2:10">
      <c r="B4478" s="105">
        <v>2</v>
      </c>
      <c r="C4478" s="76" t="s">
        <v>3836</v>
      </c>
      <c r="D4478" s="31"/>
      <c r="E4478" s="31"/>
      <c r="F4478" s="210" t="s">
        <v>1172</v>
      </c>
      <c r="G4478" s="190">
        <v>0.5</v>
      </c>
      <c r="H4478" s="207">
        <f>'BASIC DATA'!$C$464</f>
        <v>555</v>
      </c>
      <c r="I4478" s="155">
        <f>H4478*G4478</f>
        <v>277.5</v>
      </c>
      <c r="J4478" s="78"/>
    </row>
    <row r="4479" spans="2:10">
      <c r="B4479" s="105">
        <v>3</v>
      </c>
      <c r="C4479" s="76" t="s">
        <v>440</v>
      </c>
      <c r="D4479" s="31"/>
      <c r="E4479" s="31"/>
      <c r="F4479" s="210" t="s">
        <v>1172</v>
      </c>
      <c r="G4479" s="190">
        <v>0.5</v>
      </c>
      <c r="H4479" s="207">
        <f>'BASIC DATA'!$C$474</f>
        <v>445</v>
      </c>
      <c r="I4479" s="155">
        <f>H4479*G4479</f>
        <v>222.5</v>
      </c>
      <c r="J4479" s="78"/>
    </row>
    <row r="4480" spans="2:10">
      <c r="B4480" s="114">
        <v>4</v>
      </c>
      <c r="C4480" s="89" t="s">
        <v>2697</v>
      </c>
      <c r="D4480" s="174"/>
      <c r="E4480" s="174"/>
      <c r="F4480" s="191" t="s">
        <v>1172</v>
      </c>
      <c r="G4480" s="182">
        <v>0.5</v>
      </c>
      <c r="H4480" s="207">
        <f>'BASIC DATA'!$C$552</f>
        <v>350</v>
      </c>
      <c r="I4480" s="155">
        <f>H4480*G4480</f>
        <v>175</v>
      </c>
      <c r="J4480" s="78"/>
    </row>
    <row r="4481" spans="1:10">
      <c r="B4481" s="184"/>
      <c r="C4481" s="151"/>
      <c r="D4481" s="159"/>
      <c r="E4481" s="159" t="s">
        <v>1174</v>
      </c>
      <c r="F4481" s="159"/>
      <c r="G4481" s="159"/>
      <c r="H4481" s="208" t="s">
        <v>1698</v>
      </c>
      <c r="I4481" s="209">
        <f>SUM(I4477:I4480)</f>
        <v>897.5</v>
      </c>
      <c r="J4481" s="78"/>
    </row>
    <row r="4482" spans="1:10">
      <c r="B4482" s="60" t="s">
        <v>5948</v>
      </c>
      <c r="C4482" s="76"/>
      <c r="D4482" s="31"/>
      <c r="E4482" s="31"/>
      <c r="F4482" s="31"/>
      <c r="G4482" s="85">
        <f>ROUND(I4481/H4459,1)</f>
        <v>103.2</v>
      </c>
      <c r="J4482" s="78"/>
    </row>
    <row r="4483" spans="1:10">
      <c r="B4483" s="60" t="s">
        <v>3163</v>
      </c>
      <c r="C4483" s="76"/>
      <c r="D4483" s="31"/>
      <c r="E4483" s="31"/>
      <c r="F4483" s="922">
        <f>'BASIC DATA'!$C$577</f>
        <v>0.13614999999999999</v>
      </c>
      <c r="G4483" s="85">
        <f>ROUND(G4482*F4483,1)</f>
        <v>14.1</v>
      </c>
      <c r="J4483" s="78"/>
    </row>
    <row r="4484" spans="1:10">
      <c r="B4484" s="60" t="s">
        <v>5949</v>
      </c>
      <c r="C4484" s="76"/>
      <c r="D4484" s="31"/>
      <c r="E4484" s="31"/>
      <c r="F4484" s="31"/>
      <c r="G4484" s="199">
        <f>ROUND(G4483+G4482,1)</f>
        <v>117.3</v>
      </c>
      <c r="J4484" s="78"/>
    </row>
    <row r="4485" spans="1:10">
      <c r="B4485" s="31"/>
      <c r="C4485" s="76"/>
      <c r="D4485" s="31"/>
      <c r="E4485" s="31"/>
      <c r="F4485" s="31"/>
      <c r="G4485" s="200"/>
      <c r="I4485" s="31"/>
      <c r="J4485" s="78"/>
    </row>
    <row r="4486" spans="1:10">
      <c r="B4486" s="170" t="s">
        <v>1175</v>
      </c>
      <c r="J4486" s="78"/>
    </row>
    <row r="4487" spans="1:10">
      <c r="B4487" s="26" t="s">
        <v>1176</v>
      </c>
      <c r="H4487" s="171" t="s">
        <v>1698</v>
      </c>
      <c r="I4487" s="117">
        <f>I4465</f>
        <v>779</v>
      </c>
      <c r="J4487" s="78"/>
    </row>
    <row r="4488" spans="1:10">
      <c r="B4488" s="26" t="s">
        <v>1186</v>
      </c>
      <c r="H4488" s="171" t="s">
        <v>1698</v>
      </c>
      <c r="I4488" s="117">
        <f>I4472</f>
        <v>23.5</v>
      </c>
      <c r="J4488" s="78"/>
    </row>
    <row r="4489" spans="1:10">
      <c r="B4489" s="26" t="s">
        <v>2660</v>
      </c>
      <c r="H4489" s="171" t="s">
        <v>1698</v>
      </c>
      <c r="I4489" s="85">
        <f>I4481</f>
        <v>897.5</v>
      </c>
      <c r="J4489" s="78"/>
    </row>
    <row r="4490" spans="1:10">
      <c r="G4490" s="171" t="s">
        <v>1518</v>
      </c>
      <c r="H4490" s="171" t="s">
        <v>1698</v>
      </c>
      <c r="I4490" s="130">
        <f>SUM(I4487:I4489)</f>
        <v>1700</v>
      </c>
      <c r="J4490" s="78"/>
    </row>
    <row r="4491" spans="1:10" ht="18.75">
      <c r="B4491" s="1207" t="s">
        <v>8375</v>
      </c>
      <c r="C4491" s="1207"/>
      <c r="D4491" s="1207"/>
      <c r="E4491" s="1207"/>
      <c r="F4491" s="1207"/>
      <c r="G4491" s="922">
        <f>'BASIC DATA'!$C$577</f>
        <v>0.13614999999999999</v>
      </c>
      <c r="H4491" s="171" t="s">
        <v>4108</v>
      </c>
      <c r="I4491" s="76">
        <f>ROUND(I4490*G4491,2)</f>
        <v>231.46</v>
      </c>
      <c r="J4491" s="78"/>
    </row>
    <row r="4492" spans="1:10">
      <c r="B4492" s="1206" t="s">
        <v>1191</v>
      </c>
      <c r="C4492" s="1206"/>
      <c r="D4492" s="1206"/>
      <c r="E4492" s="1206"/>
      <c r="F4492" s="202">
        <f>H4459</f>
        <v>8.6999999999999993</v>
      </c>
      <c r="G4492" s="202" t="str">
        <f>I4459</f>
        <v>Rm</v>
      </c>
      <c r="H4492" s="171" t="s">
        <v>1698</v>
      </c>
      <c r="I4492" s="199">
        <f>I4491+I4490</f>
        <v>1931.46</v>
      </c>
      <c r="J4492" s="78"/>
    </row>
    <row r="4493" spans="1:10">
      <c r="B4493" s="1161" t="s">
        <v>3884</v>
      </c>
      <c r="C4493" s="1161"/>
      <c r="D4493" s="246" t="str">
        <f>G4492</f>
        <v>Rm</v>
      </c>
      <c r="F4493" s="26" t="s">
        <v>1393</v>
      </c>
      <c r="H4493" s="171" t="s">
        <v>1698</v>
      </c>
      <c r="I4493" s="204">
        <f>ROUND(I4492/F4492,1)</f>
        <v>222</v>
      </c>
      <c r="J4493" s="78"/>
    </row>
    <row r="4494" spans="1:10">
      <c r="F4494" s="171"/>
      <c r="G4494" s="171"/>
      <c r="H4494" s="171"/>
      <c r="I4494" s="117"/>
      <c r="J4494" s="78"/>
    </row>
    <row r="4495" spans="1:10">
      <c r="A4495" s="822" t="s">
        <v>7404</v>
      </c>
      <c r="B4495" s="170" t="s">
        <v>1642</v>
      </c>
      <c r="J4495" s="78"/>
    </row>
    <row r="4496" spans="1:10">
      <c r="J4496" s="78"/>
    </row>
    <row r="4497" spans="1:10" ht="18.75">
      <c r="A4497" s="822" t="s">
        <v>7363</v>
      </c>
      <c r="B4497" s="26" t="s">
        <v>8515</v>
      </c>
      <c r="J4497" s="78"/>
    </row>
    <row r="4498" spans="1:10">
      <c r="B4498" s="26" t="s">
        <v>8516</v>
      </c>
      <c r="J4498" s="78"/>
    </row>
    <row r="4499" spans="1:10">
      <c r="B4499" s="26" t="s">
        <v>3060</v>
      </c>
      <c r="J4499" s="78"/>
    </row>
    <row r="4500" spans="1:10">
      <c r="B4500" s="26" t="s">
        <v>3061</v>
      </c>
      <c r="J4500" s="78"/>
    </row>
    <row r="4501" spans="1:10" ht="18.75">
      <c r="B4501" s="26" t="s">
        <v>8517</v>
      </c>
      <c r="J4501" s="78"/>
    </row>
    <row r="4502" spans="1:10">
      <c r="B4502" s="26" t="s">
        <v>9254</v>
      </c>
      <c r="J4502" s="78"/>
    </row>
    <row r="4503" spans="1:10" ht="18.75">
      <c r="B4503" s="170" t="s">
        <v>9255</v>
      </c>
      <c r="J4503" s="78"/>
    </row>
    <row r="4504" spans="1:10" hidden="1">
      <c r="A4504" s="822" t="s">
        <v>3984</v>
      </c>
      <c r="B4504" s="26" t="s">
        <v>602</v>
      </c>
      <c r="G4504" s="171" t="s">
        <v>1697</v>
      </c>
      <c r="H4504" s="68">
        <v>0.85</v>
      </c>
      <c r="I4504" s="26" t="s">
        <v>3477</v>
      </c>
      <c r="J4504" s="78"/>
    </row>
    <row r="4505" spans="1:10" hidden="1">
      <c r="B4505" s="26" t="s">
        <v>603</v>
      </c>
      <c r="G4505" s="171" t="s">
        <v>1697</v>
      </c>
      <c r="H4505" s="68">
        <v>0.98</v>
      </c>
      <c r="I4505" s="26" t="s">
        <v>3477</v>
      </c>
      <c r="J4505" s="78"/>
    </row>
    <row r="4506" spans="1:10" hidden="1">
      <c r="B4506" s="26" t="s">
        <v>604</v>
      </c>
      <c r="G4506" s="171" t="s">
        <v>1697</v>
      </c>
      <c r="H4506" s="68">
        <v>5</v>
      </c>
      <c r="I4506" s="26" t="s">
        <v>3477</v>
      </c>
      <c r="J4506" s="78"/>
    </row>
    <row r="4507" spans="1:10" hidden="1">
      <c r="B4507" s="26" t="s">
        <v>2541</v>
      </c>
      <c r="G4507" s="171" t="s">
        <v>4807</v>
      </c>
      <c r="H4507" s="68">
        <v>1</v>
      </c>
      <c r="I4507" s="26" t="s">
        <v>3430</v>
      </c>
      <c r="J4507" s="78"/>
    </row>
    <row r="4508" spans="1:10" hidden="1">
      <c r="B4508" s="26" t="s">
        <v>4569</v>
      </c>
      <c r="G4508" s="171" t="s">
        <v>1697</v>
      </c>
      <c r="H4508" s="68">
        <v>20</v>
      </c>
      <c r="I4508" s="26" t="s">
        <v>6703</v>
      </c>
      <c r="J4508" s="78"/>
    </row>
    <row r="4509" spans="1:10" hidden="1">
      <c r="B4509" s="26" t="s">
        <v>5632</v>
      </c>
      <c r="G4509" s="171" t="s">
        <v>1697</v>
      </c>
      <c r="H4509" s="68">
        <v>25</v>
      </c>
      <c r="I4509" s="26" t="s">
        <v>6703</v>
      </c>
      <c r="J4509" s="78"/>
    </row>
    <row r="4510" spans="1:10" hidden="1">
      <c r="B4510" s="26" t="s">
        <v>3985</v>
      </c>
      <c r="G4510" s="171" t="s">
        <v>1697</v>
      </c>
      <c r="H4510" s="68">
        <v>2</v>
      </c>
      <c r="I4510" s="26" t="s">
        <v>2603</v>
      </c>
      <c r="J4510" s="78"/>
    </row>
    <row r="4511" spans="1:10" hidden="1">
      <c r="B4511" s="26" t="s">
        <v>4030</v>
      </c>
      <c r="G4511" s="171" t="s">
        <v>1697</v>
      </c>
      <c r="H4511" s="68">
        <v>20</v>
      </c>
      <c r="I4511" s="26" t="s">
        <v>3434</v>
      </c>
      <c r="J4511" s="78"/>
    </row>
    <row r="4512" spans="1:10" hidden="1">
      <c r="B4512" s="26" t="s">
        <v>2760</v>
      </c>
      <c r="G4512" s="171" t="s">
        <v>1697</v>
      </c>
      <c r="H4512" s="68">
        <v>0.86</v>
      </c>
      <c r="I4512" s="26" t="s">
        <v>3477</v>
      </c>
      <c r="J4512" s="78"/>
    </row>
    <row r="4513" spans="2:10" hidden="1">
      <c r="B4513" s="26" t="s">
        <v>2761</v>
      </c>
      <c r="G4513" s="171" t="s">
        <v>1697</v>
      </c>
      <c r="H4513" s="68">
        <v>4.17</v>
      </c>
      <c r="I4513" s="26" t="s">
        <v>3477</v>
      </c>
      <c r="J4513" s="78"/>
    </row>
    <row r="4514" spans="2:10" hidden="1">
      <c r="B4514" s="26" t="s">
        <v>2762</v>
      </c>
      <c r="G4514" s="171" t="s">
        <v>1123</v>
      </c>
      <c r="H4514" s="68">
        <v>5</v>
      </c>
      <c r="I4514" s="26" t="s">
        <v>4932</v>
      </c>
      <c r="J4514" s="78"/>
    </row>
    <row r="4515" spans="2:10" hidden="1">
      <c r="B4515" s="26" t="s">
        <v>2414</v>
      </c>
      <c r="G4515" s="171" t="s">
        <v>1123</v>
      </c>
      <c r="H4515" s="68">
        <v>4.3</v>
      </c>
      <c r="I4515" s="26" t="s">
        <v>3477</v>
      </c>
      <c r="J4515" s="78"/>
    </row>
    <row r="4516" spans="2:10" hidden="1">
      <c r="B4516" s="26" t="s">
        <v>808</v>
      </c>
      <c r="G4516" s="171" t="s">
        <v>1123</v>
      </c>
      <c r="H4516" s="68">
        <v>1.67</v>
      </c>
      <c r="I4516" s="26" t="s">
        <v>2603</v>
      </c>
      <c r="J4516" s="78"/>
    </row>
    <row r="4517" spans="2:10" hidden="1">
      <c r="B4517" s="26" t="s">
        <v>3706</v>
      </c>
      <c r="J4517" s="78"/>
    </row>
    <row r="4518" spans="2:10" hidden="1">
      <c r="B4518" s="26" t="s">
        <v>3707</v>
      </c>
      <c r="J4518" s="78"/>
    </row>
    <row r="4519" spans="2:10" hidden="1">
      <c r="B4519" s="26" t="s">
        <v>3979</v>
      </c>
      <c r="J4519" s="78"/>
    </row>
    <row r="4520" spans="2:10" hidden="1">
      <c r="B4520" s="26" t="s">
        <v>3980</v>
      </c>
      <c r="J4520" s="78"/>
    </row>
    <row r="4521" spans="2:10" hidden="1">
      <c r="B4521" s="26" t="s">
        <v>3981</v>
      </c>
      <c r="J4521" s="78"/>
    </row>
    <row r="4522" spans="2:10" hidden="1">
      <c r="B4522" s="26" t="s">
        <v>2993</v>
      </c>
      <c r="J4522" s="78"/>
    </row>
    <row r="4523" spans="2:10" hidden="1">
      <c r="B4523" s="26" t="s">
        <v>1613</v>
      </c>
      <c r="J4523" s="78"/>
    </row>
    <row r="4524" spans="2:10" hidden="1">
      <c r="B4524" s="26" t="s">
        <v>624</v>
      </c>
      <c r="G4524" s="171" t="s">
        <v>1697</v>
      </c>
      <c r="H4524" s="68">
        <v>2</v>
      </c>
      <c r="I4524" s="26" t="s">
        <v>6902</v>
      </c>
      <c r="J4524" s="78"/>
    </row>
    <row r="4525" spans="2:10" hidden="1">
      <c r="B4525" s="26" t="s">
        <v>1490</v>
      </c>
      <c r="G4525" s="171" t="s">
        <v>1697</v>
      </c>
      <c r="H4525" s="68">
        <v>3</v>
      </c>
      <c r="I4525" s="26" t="s">
        <v>6902</v>
      </c>
      <c r="J4525" s="78"/>
    </row>
    <row r="4526" spans="2:10" hidden="1">
      <c r="B4526" s="26" t="s">
        <v>705</v>
      </c>
      <c r="G4526" s="171" t="s">
        <v>1697</v>
      </c>
      <c r="H4526" s="68">
        <v>2</v>
      </c>
      <c r="I4526" s="26" t="s">
        <v>6902</v>
      </c>
      <c r="J4526" s="78"/>
    </row>
    <row r="4527" spans="2:10" hidden="1">
      <c r="B4527" s="26" t="s">
        <v>1491</v>
      </c>
      <c r="G4527" s="171" t="s">
        <v>1697</v>
      </c>
      <c r="H4527" s="68">
        <v>2.4</v>
      </c>
      <c r="I4527" s="26" t="s">
        <v>6902</v>
      </c>
      <c r="J4527" s="78"/>
    </row>
    <row r="4528" spans="2:10" hidden="1">
      <c r="B4528" s="26" t="s">
        <v>263</v>
      </c>
      <c r="G4528" s="171" t="s">
        <v>1697</v>
      </c>
      <c r="H4528" s="68">
        <v>0.5</v>
      </c>
      <c r="I4528" s="26" t="s">
        <v>6902</v>
      </c>
      <c r="J4528" s="78"/>
    </row>
    <row r="4529" spans="2:10" hidden="1">
      <c r="F4529" s="26" t="s">
        <v>1518</v>
      </c>
      <c r="G4529" s="171" t="s">
        <v>1697</v>
      </c>
      <c r="H4529" s="68">
        <f>SUM(H4524:H4528)</f>
        <v>9.9</v>
      </c>
      <c r="I4529" s="26" t="s">
        <v>6902</v>
      </c>
      <c r="J4529" s="78"/>
    </row>
    <row r="4530" spans="2:10" hidden="1">
      <c r="B4530" s="26" t="s">
        <v>3603</v>
      </c>
      <c r="J4530" s="78"/>
    </row>
    <row r="4531" spans="2:10" hidden="1">
      <c r="B4531" s="26" t="s">
        <v>2346</v>
      </c>
      <c r="H4531" s="68">
        <v>21.7</v>
      </c>
      <c r="I4531" s="26" t="s">
        <v>3477</v>
      </c>
      <c r="J4531" s="78"/>
    </row>
    <row r="4532" spans="2:10" hidden="1">
      <c r="B4532" s="26" t="s">
        <v>4394</v>
      </c>
      <c r="F4532" s="26" t="s">
        <v>1564</v>
      </c>
      <c r="G4532" s="171" t="s">
        <v>1697</v>
      </c>
      <c r="H4532" s="68">
        <v>870</v>
      </c>
      <c r="I4532" s="26" t="s">
        <v>3477</v>
      </c>
      <c r="J4532" s="78"/>
    </row>
    <row r="4533" spans="2:10" hidden="1">
      <c r="B4533" s="26" t="s">
        <v>2994</v>
      </c>
      <c r="J4533" s="78"/>
    </row>
    <row r="4534" spans="2:10" hidden="1">
      <c r="B4534" s="26" t="s">
        <v>4492</v>
      </c>
      <c r="J4534" s="78"/>
    </row>
    <row r="4535" spans="2:10" hidden="1">
      <c r="B4535" s="26" t="s">
        <v>4493</v>
      </c>
      <c r="J4535" s="78"/>
    </row>
    <row r="4536" spans="2:10" hidden="1">
      <c r="B4536" s="26" t="s">
        <v>4395</v>
      </c>
      <c r="G4536" s="171" t="s">
        <v>1697</v>
      </c>
      <c r="H4536" s="68">
        <v>825</v>
      </c>
      <c r="I4536" s="26" t="s">
        <v>3477</v>
      </c>
      <c r="J4536" s="78"/>
    </row>
    <row r="4537" spans="2:10" hidden="1">
      <c r="B4537" s="26" t="s">
        <v>4396</v>
      </c>
      <c r="J4537" s="78"/>
    </row>
    <row r="4538" spans="2:10" hidden="1">
      <c r="B4538" s="26" t="s">
        <v>4494</v>
      </c>
      <c r="J4538" s="78"/>
    </row>
    <row r="4539" spans="2:10" hidden="1">
      <c r="B4539" s="26" t="s">
        <v>4338</v>
      </c>
      <c r="J4539" s="78"/>
    </row>
    <row r="4540" spans="2:10" hidden="1">
      <c r="B4540" s="26" t="s">
        <v>3247</v>
      </c>
      <c r="H4540" s="68">
        <v>2610</v>
      </c>
      <c r="I4540" s="26" t="s">
        <v>3479</v>
      </c>
      <c r="J4540" s="78"/>
    </row>
    <row r="4541" spans="2:10" hidden="1">
      <c r="B4541" s="26" t="s">
        <v>4450</v>
      </c>
      <c r="H4541" s="68">
        <v>0.25</v>
      </c>
      <c r="I4541" s="26" t="s">
        <v>2602</v>
      </c>
      <c r="J4541" s="78"/>
    </row>
    <row r="4542" spans="2:10" hidden="1">
      <c r="B4542" s="26" t="s">
        <v>3459</v>
      </c>
      <c r="H4542" s="68">
        <v>685</v>
      </c>
      <c r="I4542" s="26" t="s">
        <v>3477</v>
      </c>
      <c r="J4542" s="78"/>
    </row>
    <row r="4543" spans="2:10" hidden="1">
      <c r="B4543" s="26" t="s">
        <v>3248</v>
      </c>
      <c r="H4543" s="68">
        <v>100</v>
      </c>
      <c r="I4543" s="26" t="s">
        <v>3477</v>
      </c>
      <c r="J4543" s="78"/>
    </row>
    <row r="4544" spans="2:10" hidden="1">
      <c r="B4544" s="26" t="s">
        <v>4451</v>
      </c>
      <c r="H4544" s="68">
        <v>6.85</v>
      </c>
      <c r="I4544" s="26" t="s">
        <v>4665</v>
      </c>
      <c r="J4544" s="78"/>
    </row>
    <row r="4545" spans="2:10" hidden="1">
      <c r="B4545" s="26" t="s">
        <v>3452</v>
      </c>
      <c r="H4545" s="68"/>
      <c r="J4545" s="78"/>
    </row>
    <row r="4546" spans="2:10" hidden="1">
      <c r="B4546" s="26" t="s">
        <v>3453</v>
      </c>
      <c r="H4546" s="68">
        <v>1.3</v>
      </c>
      <c r="I4546" s="26" t="s">
        <v>4665</v>
      </c>
      <c r="J4546" s="78"/>
    </row>
    <row r="4547" spans="2:10" hidden="1">
      <c r="B4547" s="26" t="s">
        <v>3454</v>
      </c>
      <c r="J4547" s="78"/>
    </row>
    <row r="4548" spans="2:10" hidden="1">
      <c r="B4548" s="26" t="s">
        <v>5213</v>
      </c>
      <c r="J4548" s="78"/>
    </row>
    <row r="4549" spans="2:10" hidden="1">
      <c r="B4549" s="26" t="s">
        <v>4339</v>
      </c>
      <c r="J4549" s="78"/>
    </row>
    <row r="4550" spans="2:10" hidden="1">
      <c r="B4550" s="26" t="s">
        <v>4340</v>
      </c>
      <c r="J4550" s="78"/>
    </row>
    <row r="4551" spans="2:10" hidden="1">
      <c r="B4551" s="26" t="s">
        <v>5214</v>
      </c>
      <c r="J4551" s="78"/>
    </row>
    <row r="4552" spans="2:10" hidden="1">
      <c r="B4552" s="26" t="s">
        <v>5215</v>
      </c>
      <c r="G4552" s="171" t="s">
        <v>1697</v>
      </c>
      <c r="H4552" s="68">
        <v>1044</v>
      </c>
      <c r="I4552" s="26" t="s">
        <v>3477</v>
      </c>
      <c r="J4552" s="78"/>
    </row>
    <row r="4553" spans="2:10" hidden="1">
      <c r="B4553" s="26" t="s">
        <v>6514</v>
      </c>
      <c r="G4553" s="171" t="s">
        <v>1697</v>
      </c>
      <c r="H4553" s="68">
        <v>250</v>
      </c>
      <c r="I4553" s="26" t="s">
        <v>3477</v>
      </c>
      <c r="J4553" s="78"/>
    </row>
    <row r="4554" spans="2:10" hidden="1">
      <c r="B4554" s="26" t="s">
        <v>5216</v>
      </c>
      <c r="G4554" s="171" t="s">
        <v>1123</v>
      </c>
      <c r="H4554" s="68">
        <v>4.2</v>
      </c>
      <c r="I4554" s="26" t="s">
        <v>4665</v>
      </c>
      <c r="J4554" s="78"/>
    </row>
    <row r="4555" spans="2:10" hidden="1">
      <c r="B4555" s="26" t="s">
        <v>5217</v>
      </c>
      <c r="J4555" s="78"/>
    </row>
    <row r="4556" spans="2:10" hidden="1">
      <c r="B4556" s="26" t="s">
        <v>4341</v>
      </c>
      <c r="J4556" s="78"/>
    </row>
    <row r="4557" spans="2:10" hidden="1">
      <c r="B4557" s="26" t="s">
        <v>4342</v>
      </c>
      <c r="J4557" s="78"/>
    </row>
    <row r="4558" spans="2:10" hidden="1">
      <c r="B4558" s="26" t="s">
        <v>7137</v>
      </c>
      <c r="J4558" s="78"/>
    </row>
    <row r="4559" spans="2:10" hidden="1">
      <c r="B4559" s="26" t="s">
        <v>7138</v>
      </c>
      <c r="J4559" s="78"/>
    </row>
    <row r="4560" spans="2:10" hidden="1">
      <c r="B4560" s="26" t="s">
        <v>7139</v>
      </c>
      <c r="J4560" s="78"/>
    </row>
    <row r="4561" spans="2:10" hidden="1">
      <c r="B4561" s="26" t="s">
        <v>7140</v>
      </c>
      <c r="J4561" s="78"/>
    </row>
    <row r="4562" spans="2:10" hidden="1">
      <c r="B4562" s="26" t="s">
        <v>7141</v>
      </c>
      <c r="J4562" s="78"/>
    </row>
    <row r="4563" spans="2:10" hidden="1">
      <c r="B4563" s="26" t="s">
        <v>7012</v>
      </c>
      <c r="J4563" s="78"/>
    </row>
    <row r="4564" spans="2:10" hidden="1">
      <c r="B4564" s="26" t="s">
        <v>6723</v>
      </c>
      <c r="J4564" s="78"/>
    </row>
    <row r="4565" spans="2:10" hidden="1">
      <c r="B4565" s="26" t="s">
        <v>5218</v>
      </c>
      <c r="J4565" s="78"/>
    </row>
    <row r="4566" spans="2:10" hidden="1">
      <c r="B4566" s="26" t="s">
        <v>7013</v>
      </c>
      <c r="J4566" s="78"/>
    </row>
    <row r="4567" spans="2:10" hidden="1">
      <c r="B4567" s="26" t="s">
        <v>7014</v>
      </c>
      <c r="J4567" s="78"/>
    </row>
    <row r="4568" spans="2:10" hidden="1">
      <c r="B4568" s="26" t="s">
        <v>9259</v>
      </c>
      <c r="J4568" s="78"/>
    </row>
    <row r="4569" spans="2:10" hidden="1">
      <c r="B4569" s="26" t="s">
        <v>7015</v>
      </c>
      <c r="J4569" s="78"/>
    </row>
    <row r="4570" spans="2:10" hidden="1">
      <c r="B4570" s="26" t="s">
        <v>3650</v>
      </c>
      <c r="G4570" s="171" t="s">
        <v>1697</v>
      </c>
      <c r="H4570" s="68">
        <v>1.9</v>
      </c>
      <c r="I4570" s="26" t="s">
        <v>2602</v>
      </c>
      <c r="J4570" s="78"/>
    </row>
    <row r="4571" spans="2:10" hidden="1">
      <c r="B4571" s="26" t="s">
        <v>4995</v>
      </c>
      <c r="G4571" s="171" t="s">
        <v>1697</v>
      </c>
      <c r="H4571" s="68">
        <v>4</v>
      </c>
      <c r="I4571" s="26" t="s">
        <v>3430</v>
      </c>
      <c r="J4571" s="78"/>
    </row>
    <row r="4572" spans="2:10" hidden="1">
      <c r="B4572" s="26" t="s">
        <v>4997</v>
      </c>
      <c r="G4572" s="171" t="s">
        <v>1697</v>
      </c>
      <c r="H4572" s="68">
        <v>0.3</v>
      </c>
      <c r="I4572" s="26" t="s">
        <v>2602</v>
      </c>
      <c r="J4572" s="78"/>
    </row>
    <row r="4573" spans="2:10" hidden="1">
      <c r="B4573" s="26" t="s">
        <v>4187</v>
      </c>
      <c r="H4573" s="68">
        <v>9</v>
      </c>
      <c r="I4573" s="26" t="s">
        <v>2059</v>
      </c>
      <c r="J4573" s="78"/>
    </row>
    <row r="4574" spans="2:10" hidden="1">
      <c r="B4574" s="26" t="s">
        <v>1126</v>
      </c>
      <c r="H4574" s="171"/>
      <c r="J4574" s="78"/>
    </row>
    <row r="4575" spans="2:10" hidden="1">
      <c r="B4575" s="26" t="s">
        <v>1127</v>
      </c>
      <c r="G4575" s="171" t="s">
        <v>1123</v>
      </c>
      <c r="H4575" s="26">
        <v>160</v>
      </c>
      <c r="I4575" s="26" t="s">
        <v>3477</v>
      </c>
      <c r="J4575" s="78"/>
    </row>
    <row r="4576" spans="2:10" hidden="1">
      <c r="B4576" s="26" t="s">
        <v>291</v>
      </c>
      <c r="G4576" s="171" t="s">
        <v>1123</v>
      </c>
      <c r="H4576" s="26">
        <v>6.5</v>
      </c>
      <c r="I4576" s="26" t="s">
        <v>4665</v>
      </c>
      <c r="J4576" s="78"/>
    </row>
    <row r="4577" spans="1:10" hidden="1">
      <c r="B4577" s="26" t="s">
        <v>292</v>
      </c>
      <c r="J4577" s="78"/>
    </row>
    <row r="4578" spans="1:10" hidden="1">
      <c r="B4578" s="26" t="s">
        <v>5043</v>
      </c>
      <c r="J4578" s="78"/>
    </row>
    <row r="4579" spans="1:10">
      <c r="J4579" s="78"/>
    </row>
    <row r="4580" spans="1:10">
      <c r="A4580" s="822" t="s">
        <v>3984</v>
      </c>
      <c r="E4580" s="170" t="s">
        <v>2367</v>
      </c>
      <c r="J4580" s="78"/>
    </row>
    <row r="4581" spans="1:10">
      <c r="H4581" s="171" t="s">
        <v>3476</v>
      </c>
      <c r="J4581" s="78"/>
    </row>
    <row r="4582" spans="1:10">
      <c r="B4582" s="170" t="s">
        <v>2368</v>
      </c>
      <c r="C4582" s="89"/>
      <c r="H4582" s="211">
        <v>825</v>
      </c>
      <c r="I4582" s="26" t="s">
        <v>3477</v>
      </c>
      <c r="J4582" s="78"/>
    </row>
    <row r="4583" spans="1:10">
      <c r="B4583" s="95" t="s">
        <v>2369</v>
      </c>
      <c r="D4583" s="175" t="s">
        <v>4443</v>
      </c>
      <c r="E4583" s="175"/>
      <c r="F4583" s="95" t="s">
        <v>2370</v>
      </c>
      <c r="G4583" s="95" t="s">
        <v>1166</v>
      </c>
      <c r="H4583" s="95" t="s">
        <v>6664</v>
      </c>
      <c r="I4583" s="95" t="s">
        <v>6665</v>
      </c>
      <c r="J4583" s="78"/>
    </row>
    <row r="4584" spans="1:10">
      <c r="B4584" s="191"/>
      <c r="C4584" s="89"/>
      <c r="D4584" s="174"/>
      <c r="E4584" s="174"/>
      <c r="F4584" s="191"/>
      <c r="G4584" s="114"/>
      <c r="H4584" s="114" t="s">
        <v>3856</v>
      </c>
      <c r="I4584" s="114" t="s">
        <v>3857</v>
      </c>
      <c r="J4584" s="78"/>
    </row>
    <row r="4585" spans="1:10">
      <c r="B4585" s="107">
        <v>1</v>
      </c>
      <c r="C4585" s="148" t="s">
        <v>6976</v>
      </c>
      <c r="D4585" s="187"/>
      <c r="E4585" s="187"/>
      <c r="F4585" s="107"/>
      <c r="G4585" s="179">
        <v>0</v>
      </c>
      <c r="H4585" s="179">
        <v>0</v>
      </c>
      <c r="I4585" s="155">
        <f>H4585*G4585</f>
        <v>0</v>
      </c>
      <c r="J4585" s="78"/>
    </row>
    <row r="4586" spans="1:10">
      <c r="B4586" s="191"/>
      <c r="C4586" s="89"/>
      <c r="D4586" s="174"/>
      <c r="E4586" s="174"/>
      <c r="F4586" s="191"/>
      <c r="G4586" s="182">
        <v>0</v>
      </c>
      <c r="H4586" s="182">
        <v>0</v>
      </c>
      <c r="I4586" s="155">
        <f>H4586*G4586</f>
        <v>0</v>
      </c>
      <c r="J4586" s="78"/>
    </row>
    <row r="4587" spans="1:10">
      <c r="B4587" s="184"/>
      <c r="C4587" s="151"/>
      <c r="D4587" s="159"/>
      <c r="E4587" s="159" t="s">
        <v>2376</v>
      </c>
      <c r="F4587" s="159"/>
      <c r="G4587" s="159"/>
      <c r="H4587" s="208" t="s">
        <v>1698</v>
      </c>
      <c r="I4587" s="209">
        <f>SUM(I4585:I4586)</f>
        <v>0</v>
      </c>
      <c r="J4587" s="78"/>
    </row>
    <row r="4588" spans="1:10">
      <c r="B4588" s="31"/>
      <c r="C4588" s="76"/>
      <c r="D4588" s="31"/>
      <c r="E4588" s="31"/>
      <c r="F4588" s="31"/>
      <c r="G4588" s="31"/>
      <c r="H4588" s="33"/>
      <c r="I4588" s="75"/>
      <c r="J4588" s="78"/>
    </row>
    <row r="4589" spans="1:10">
      <c r="B4589" s="170" t="s">
        <v>2377</v>
      </c>
      <c r="C4589" s="89"/>
      <c r="H4589" s="78"/>
      <c r="J4589" s="78"/>
    </row>
    <row r="4590" spans="1:10">
      <c r="B4590" s="95" t="s">
        <v>2369</v>
      </c>
      <c r="D4590" s="175" t="s">
        <v>2378</v>
      </c>
      <c r="E4590" s="175"/>
      <c r="F4590" s="95" t="s">
        <v>2370</v>
      </c>
      <c r="G4590" s="95" t="s">
        <v>1166</v>
      </c>
      <c r="H4590" s="95" t="s">
        <v>6664</v>
      </c>
      <c r="I4590" s="95" t="s">
        <v>6665</v>
      </c>
      <c r="J4590" s="78"/>
    </row>
    <row r="4591" spans="1:10">
      <c r="B4591" s="191"/>
      <c r="C4591" s="89"/>
      <c r="D4591" s="174"/>
      <c r="E4591" s="174"/>
      <c r="F4591" s="191"/>
      <c r="G4591" s="114"/>
      <c r="H4591" s="114" t="s">
        <v>3856</v>
      </c>
      <c r="I4591" s="114" t="s">
        <v>3857</v>
      </c>
      <c r="J4591" s="78"/>
    </row>
    <row r="4592" spans="1:10">
      <c r="B4592" s="95">
        <v>1</v>
      </c>
      <c r="C4592" s="148" t="s">
        <v>1502</v>
      </c>
      <c r="D4592" s="187"/>
      <c r="E4592" s="187"/>
      <c r="F4592" s="107" t="s">
        <v>2374</v>
      </c>
      <c r="G4592" s="179">
        <v>5.5</v>
      </c>
      <c r="H4592" s="190">
        <f>'HIRE CHARGES'!$D$499</f>
        <v>1715.5</v>
      </c>
      <c r="I4592" s="155">
        <f t="shared" ref="I4592:I4604" si="83">H4592*G4592</f>
        <v>9435.25</v>
      </c>
      <c r="J4592" s="78"/>
    </row>
    <row r="4593" spans="2:10">
      <c r="B4593" s="105"/>
      <c r="C4593" s="76" t="s">
        <v>2379</v>
      </c>
      <c r="D4593" s="31"/>
      <c r="E4593" s="31"/>
      <c r="F4593" s="210" t="s">
        <v>2374</v>
      </c>
      <c r="G4593" s="190">
        <v>5.5</v>
      </c>
      <c r="H4593" s="207">
        <f>'HIRE CHARGES'!$E$499</f>
        <v>610.5</v>
      </c>
      <c r="I4593" s="155">
        <f t="shared" si="83"/>
        <v>3357.75</v>
      </c>
      <c r="J4593" s="78"/>
    </row>
    <row r="4594" spans="2:10">
      <c r="B4594" s="105">
        <v>2</v>
      </c>
      <c r="C4594" s="76" t="s">
        <v>298</v>
      </c>
      <c r="D4594" s="31"/>
      <c r="E4594" s="31"/>
      <c r="F4594" s="210" t="s">
        <v>2374</v>
      </c>
      <c r="G4594" s="190">
        <v>8</v>
      </c>
      <c r="H4594" s="190">
        <f>'HIRE CHARGES'!$D$543</f>
        <v>1706.6</v>
      </c>
      <c r="I4594" s="155">
        <f t="shared" si="83"/>
        <v>13652.8</v>
      </c>
      <c r="J4594" s="78"/>
    </row>
    <row r="4595" spans="2:10">
      <c r="B4595" s="105"/>
      <c r="C4595" s="76" t="s">
        <v>2379</v>
      </c>
      <c r="D4595" s="31"/>
      <c r="E4595" s="31"/>
      <c r="F4595" s="210" t="s">
        <v>2374</v>
      </c>
      <c r="G4595" s="190">
        <v>8</v>
      </c>
      <c r="H4595" s="190">
        <f>'HIRE CHARGES'!$E$543</f>
        <v>872.7</v>
      </c>
      <c r="I4595" s="155">
        <f t="shared" si="83"/>
        <v>6981.6</v>
      </c>
      <c r="J4595" s="78"/>
    </row>
    <row r="4596" spans="2:10">
      <c r="B4596" s="105">
        <v>3</v>
      </c>
      <c r="C4596" s="76" t="s">
        <v>3418</v>
      </c>
      <c r="D4596" s="31"/>
      <c r="E4596" s="31"/>
      <c r="F4596" s="210" t="s">
        <v>2374</v>
      </c>
      <c r="G4596" s="190">
        <v>40</v>
      </c>
      <c r="H4596" s="190">
        <f>'HIRE CHARGES'!$D$545</f>
        <v>446.7</v>
      </c>
      <c r="I4596" s="155">
        <f t="shared" si="83"/>
        <v>17868</v>
      </c>
      <c r="J4596" s="78"/>
    </row>
    <row r="4597" spans="2:10">
      <c r="B4597" s="105"/>
      <c r="C4597" s="76" t="s">
        <v>2379</v>
      </c>
      <c r="D4597" s="31"/>
      <c r="E4597" s="31"/>
      <c r="F4597" s="210" t="s">
        <v>2374</v>
      </c>
      <c r="G4597" s="190">
        <v>40</v>
      </c>
      <c r="H4597" s="182">
        <f>'HIRE CHARGES'!$E$545</f>
        <v>299.89999999999998</v>
      </c>
      <c r="I4597" s="155">
        <f t="shared" si="83"/>
        <v>11996</v>
      </c>
      <c r="J4597" s="78"/>
    </row>
    <row r="4598" spans="2:10">
      <c r="B4598" s="105">
        <v>4</v>
      </c>
      <c r="C4598" s="76" t="s">
        <v>4497</v>
      </c>
      <c r="D4598" s="31"/>
      <c r="E4598" s="31"/>
      <c r="F4598" s="210" t="s">
        <v>2374</v>
      </c>
      <c r="G4598" s="190">
        <v>4</v>
      </c>
      <c r="H4598" s="207">
        <f>'HIRE CHARGES'!$D$518</f>
        <v>3</v>
      </c>
      <c r="I4598" s="155">
        <f t="shared" si="83"/>
        <v>12</v>
      </c>
      <c r="J4598" s="78"/>
    </row>
    <row r="4599" spans="2:10">
      <c r="B4599" s="105"/>
      <c r="C4599" s="76" t="s">
        <v>2379</v>
      </c>
      <c r="D4599" s="31"/>
      <c r="E4599" s="31"/>
      <c r="F4599" s="210" t="s">
        <v>2374</v>
      </c>
      <c r="G4599" s="190">
        <v>4</v>
      </c>
      <c r="H4599" s="181">
        <f>'HIRE CHARGES'!$E$518</f>
        <v>28</v>
      </c>
      <c r="I4599" s="155">
        <f t="shared" si="83"/>
        <v>112</v>
      </c>
      <c r="J4599" s="78"/>
    </row>
    <row r="4600" spans="2:10">
      <c r="B4600" s="105">
        <v>5</v>
      </c>
      <c r="C4600" s="76" t="s">
        <v>6286</v>
      </c>
      <c r="D4600" s="31"/>
      <c r="E4600" s="31"/>
      <c r="F4600" s="210" t="s">
        <v>2374</v>
      </c>
      <c r="G4600" s="190">
        <v>8</v>
      </c>
      <c r="H4600" s="190">
        <f>'HIRE CHARGES'!$D$555</f>
        <v>402.5</v>
      </c>
      <c r="I4600" s="155">
        <f t="shared" si="83"/>
        <v>3220</v>
      </c>
      <c r="J4600" s="78"/>
    </row>
    <row r="4601" spans="2:10">
      <c r="B4601" s="105"/>
      <c r="C4601" s="76" t="s">
        <v>2379</v>
      </c>
      <c r="D4601" s="31"/>
      <c r="E4601" s="31"/>
      <c r="F4601" s="210" t="s">
        <v>2374</v>
      </c>
      <c r="G4601" s="190">
        <v>8</v>
      </c>
      <c r="H4601" s="190">
        <f>'HIRE CHARGES'!$E$555</f>
        <v>299.89999999999998</v>
      </c>
      <c r="I4601" s="155">
        <f t="shared" si="83"/>
        <v>2399.1999999999998</v>
      </c>
      <c r="J4601" s="78"/>
    </row>
    <row r="4602" spans="2:10">
      <c r="B4602" s="105">
        <v>6</v>
      </c>
      <c r="C4602" s="76" t="s">
        <v>9251</v>
      </c>
      <c r="D4602" s="31"/>
      <c r="E4602" s="31"/>
      <c r="F4602" s="210" t="s">
        <v>2374</v>
      </c>
      <c r="G4602" s="190">
        <v>6.5</v>
      </c>
      <c r="H4602" s="190">
        <f>'HIRE CHARGES'!$D$553</f>
        <v>1342.2</v>
      </c>
      <c r="I4602" s="155">
        <f t="shared" si="83"/>
        <v>8724.3000000000011</v>
      </c>
      <c r="J4602" s="78"/>
    </row>
    <row r="4603" spans="2:10">
      <c r="B4603" s="105"/>
      <c r="C4603" s="76" t="s">
        <v>2379</v>
      </c>
      <c r="D4603" s="31"/>
      <c r="E4603" s="31"/>
      <c r="F4603" s="210" t="s">
        <v>2374</v>
      </c>
      <c r="G4603" s="190">
        <v>6.5</v>
      </c>
      <c r="H4603" s="190">
        <f>'HIRE CHARGES'!$E$553</f>
        <v>1031.4000000000001</v>
      </c>
      <c r="I4603" s="155">
        <f t="shared" si="83"/>
        <v>6704.1</v>
      </c>
      <c r="J4603" s="78"/>
    </row>
    <row r="4604" spans="2:10">
      <c r="B4604" s="114">
        <v>7</v>
      </c>
      <c r="C4604" s="89" t="s">
        <v>2373</v>
      </c>
      <c r="D4604" s="174"/>
      <c r="E4604" s="174"/>
      <c r="F4604" s="191" t="s">
        <v>2173</v>
      </c>
      <c r="G4604" s="182">
        <v>2</v>
      </c>
      <c r="H4604" s="257">
        <f>'BASIC DATA'!$D$359</f>
        <v>30</v>
      </c>
      <c r="I4604" s="155">
        <f t="shared" si="83"/>
        <v>60</v>
      </c>
      <c r="J4604" s="78"/>
    </row>
    <row r="4605" spans="2:10">
      <c r="B4605" s="184"/>
      <c r="C4605" s="151"/>
      <c r="D4605" s="159"/>
      <c r="E4605" s="159" t="s">
        <v>2380</v>
      </c>
      <c r="F4605" s="159"/>
      <c r="G4605" s="159"/>
      <c r="H4605" s="208" t="s">
        <v>1698</v>
      </c>
      <c r="I4605" s="209">
        <f>SUM(I4592:I4604)</f>
        <v>84523</v>
      </c>
      <c r="J4605" s="78"/>
    </row>
    <row r="4606" spans="2:10">
      <c r="B4606" s="31"/>
      <c r="C4606" s="76"/>
      <c r="D4606" s="31"/>
      <c r="E4606" s="31"/>
      <c r="F4606" s="31"/>
      <c r="G4606" s="31"/>
      <c r="H4606" s="200"/>
      <c r="I4606" s="31"/>
      <c r="J4606" s="78"/>
    </row>
    <row r="4607" spans="2:10">
      <c r="B4607" s="170" t="s">
        <v>2381</v>
      </c>
      <c r="C4607" s="89"/>
      <c r="J4607" s="78"/>
    </row>
    <row r="4608" spans="2:10">
      <c r="B4608" s="95" t="s">
        <v>2369</v>
      </c>
      <c r="D4608" s="175" t="s">
        <v>2378</v>
      </c>
      <c r="E4608" s="175"/>
      <c r="F4608" s="95" t="s">
        <v>2370</v>
      </c>
      <c r="G4608" s="95" t="s">
        <v>1166</v>
      </c>
      <c r="H4608" s="95" t="s">
        <v>6664</v>
      </c>
      <c r="I4608" s="95" t="s">
        <v>6665</v>
      </c>
      <c r="J4608" s="78"/>
    </row>
    <row r="4609" spans="2:10">
      <c r="B4609" s="191"/>
      <c r="C4609" s="89"/>
      <c r="D4609" s="174"/>
      <c r="E4609" s="174"/>
      <c r="F4609" s="191"/>
      <c r="G4609" s="114"/>
      <c r="H4609" s="114" t="s">
        <v>3856</v>
      </c>
      <c r="I4609" s="114" t="s">
        <v>3857</v>
      </c>
      <c r="J4609" s="78"/>
    </row>
    <row r="4610" spans="2:10">
      <c r="B4610" s="95">
        <v>1</v>
      </c>
      <c r="C4610" s="148" t="s">
        <v>2870</v>
      </c>
      <c r="D4610" s="187"/>
      <c r="E4610" s="187"/>
      <c r="F4610" s="107" t="s">
        <v>2374</v>
      </c>
      <c r="G4610" s="179">
        <v>5.5</v>
      </c>
      <c r="H4610" s="207">
        <f>'HIRE CHARGES'!$F$499</f>
        <v>236.6</v>
      </c>
      <c r="I4610" s="155">
        <f t="shared" ref="I4610:I4617" si="84">H4610*G4610</f>
        <v>1301.3</v>
      </c>
      <c r="J4610" s="78"/>
    </row>
    <row r="4611" spans="2:10">
      <c r="B4611" s="105">
        <v>2</v>
      </c>
      <c r="C4611" s="76" t="s">
        <v>300</v>
      </c>
      <c r="D4611" s="31"/>
      <c r="E4611" s="31"/>
      <c r="F4611" s="210" t="s">
        <v>2374</v>
      </c>
      <c r="G4611" s="190">
        <v>8</v>
      </c>
      <c r="H4611" s="190">
        <f>'HIRE CHARGES'!$F$543</f>
        <v>236.6</v>
      </c>
      <c r="I4611" s="155">
        <f t="shared" si="84"/>
        <v>1892.8</v>
      </c>
      <c r="J4611" s="78"/>
    </row>
    <row r="4612" spans="2:10">
      <c r="B4612" s="105">
        <v>3</v>
      </c>
      <c r="C4612" s="76" t="s">
        <v>301</v>
      </c>
      <c r="D4612" s="31"/>
      <c r="E4612" s="31"/>
      <c r="F4612" s="210" t="s">
        <v>2374</v>
      </c>
      <c r="G4612" s="190">
        <v>40</v>
      </c>
      <c r="H4612" s="190">
        <f>'HIRE CHARGES'!$F$545</f>
        <v>177.5</v>
      </c>
      <c r="I4612" s="155">
        <f t="shared" si="84"/>
        <v>7100</v>
      </c>
      <c r="J4612" s="78"/>
    </row>
    <row r="4613" spans="2:10">
      <c r="B4613" s="105">
        <v>4</v>
      </c>
      <c r="C4613" s="76" t="s">
        <v>999</v>
      </c>
      <c r="D4613" s="31"/>
      <c r="E4613" s="31"/>
      <c r="F4613" s="210" t="s">
        <v>2374</v>
      </c>
      <c r="G4613" s="190">
        <v>4</v>
      </c>
      <c r="H4613" s="207">
        <f>'HIRE CHARGES'!$F$518</f>
        <v>83.3</v>
      </c>
      <c r="I4613" s="155">
        <f t="shared" si="84"/>
        <v>333.2</v>
      </c>
      <c r="J4613" s="78"/>
    </row>
    <row r="4614" spans="2:10">
      <c r="B4614" s="105">
        <v>5</v>
      </c>
      <c r="C4614" s="76" t="s">
        <v>1000</v>
      </c>
      <c r="D4614" s="31"/>
      <c r="E4614" s="31"/>
      <c r="F4614" s="210" t="s">
        <v>2374</v>
      </c>
      <c r="G4614" s="190">
        <v>8</v>
      </c>
      <c r="H4614" s="190">
        <f>'HIRE CHARGES'!$F$555</f>
        <v>177.5</v>
      </c>
      <c r="I4614" s="155">
        <f t="shared" si="84"/>
        <v>1420</v>
      </c>
      <c r="J4614" s="78"/>
    </row>
    <row r="4615" spans="2:10">
      <c r="B4615" s="105">
        <v>6</v>
      </c>
      <c r="C4615" s="76" t="s">
        <v>1001</v>
      </c>
      <c r="D4615" s="31"/>
      <c r="E4615" s="31"/>
      <c r="F4615" s="210" t="s">
        <v>2374</v>
      </c>
      <c r="G4615" s="190">
        <v>6.5</v>
      </c>
      <c r="H4615" s="190">
        <f>'HIRE CHARGES'!$F$553</f>
        <v>263.60000000000002</v>
      </c>
      <c r="I4615" s="155">
        <f t="shared" si="84"/>
        <v>1713.4</v>
      </c>
      <c r="J4615" s="78"/>
    </row>
    <row r="4616" spans="2:10">
      <c r="B4616" s="105">
        <v>7</v>
      </c>
      <c r="C4616" s="76" t="s">
        <v>4206</v>
      </c>
      <c r="D4616" s="31"/>
      <c r="E4616" s="31"/>
      <c r="F4616" s="210" t="s">
        <v>1172</v>
      </c>
      <c r="G4616" s="190">
        <v>2</v>
      </c>
      <c r="H4616" s="190">
        <f>'BASIC DATA'!$C$473</f>
        <v>450</v>
      </c>
      <c r="I4616" s="155">
        <f t="shared" si="84"/>
        <v>900</v>
      </c>
      <c r="J4616" s="78"/>
    </row>
    <row r="4617" spans="2:10">
      <c r="B4617" s="105">
        <v>8</v>
      </c>
      <c r="C4617" s="76" t="s">
        <v>2697</v>
      </c>
      <c r="D4617" s="31"/>
      <c r="E4617" s="31"/>
      <c r="F4617" s="210" t="s">
        <v>1172</v>
      </c>
      <c r="G4617" s="190">
        <v>4</v>
      </c>
      <c r="H4617" s="207">
        <f>'BASIC DATA'!$C$552</f>
        <v>350</v>
      </c>
      <c r="I4617" s="155">
        <f t="shared" si="84"/>
        <v>1400</v>
      </c>
      <c r="J4617" s="78"/>
    </row>
    <row r="4618" spans="2:10">
      <c r="B4618" s="184"/>
      <c r="C4618" s="151"/>
      <c r="D4618" s="159"/>
      <c r="E4618" s="159" t="s">
        <v>1174</v>
      </c>
      <c r="F4618" s="159"/>
      <c r="G4618" s="159"/>
      <c r="H4618" s="208" t="s">
        <v>1698</v>
      </c>
      <c r="I4618" s="209">
        <f>SUM(I4610:I4617)</f>
        <v>16060.7</v>
      </c>
      <c r="J4618" s="78"/>
    </row>
    <row r="4619" spans="2:10">
      <c r="B4619" s="60" t="s">
        <v>5948</v>
      </c>
      <c r="C4619" s="76"/>
      <c r="D4619" s="31"/>
      <c r="E4619" s="31"/>
      <c r="F4619" s="31"/>
      <c r="G4619" s="85">
        <f>ROUND(I4618/H4582,1)</f>
        <v>19.5</v>
      </c>
      <c r="J4619" s="78"/>
    </row>
    <row r="4620" spans="2:10">
      <c r="B4620" s="60" t="s">
        <v>3163</v>
      </c>
      <c r="C4620" s="76"/>
      <c r="D4620" s="31"/>
      <c r="E4620" s="31"/>
      <c r="F4620" s="922">
        <f>'BASIC DATA'!$C$577</f>
        <v>0.13614999999999999</v>
      </c>
      <c r="G4620" s="85">
        <f>ROUND(G4619*F4620,1)</f>
        <v>2.7</v>
      </c>
      <c r="J4620" s="78"/>
    </row>
    <row r="4621" spans="2:10">
      <c r="B4621" s="60" t="s">
        <v>5949</v>
      </c>
      <c r="C4621" s="76"/>
      <c r="D4621" s="31"/>
      <c r="E4621" s="31"/>
      <c r="F4621" s="31"/>
      <c r="G4621" s="199">
        <f>ROUND(G4620+G4619,1)</f>
        <v>22.2</v>
      </c>
      <c r="J4621" s="78"/>
    </row>
    <row r="4622" spans="2:10">
      <c r="B4622" s="31"/>
      <c r="C4622" s="76"/>
      <c r="D4622" s="31"/>
      <c r="E4622" s="31"/>
      <c r="F4622" s="31"/>
      <c r="G4622" s="200"/>
      <c r="I4622" s="75"/>
      <c r="J4622" s="78"/>
    </row>
    <row r="4623" spans="2:10">
      <c r="B4623" s="170" t="s">
        <v>1175</v>
      </c>
      <c r="J4623" s="78"/>
    </row>
    <row r="4624" spans="2:10">
      <c r="B4624" s="26" t="s">
        <v>1176</v>
      </c>
      <c r="H4624" s="171" t="s">
        <v>1698</v>
      </c>
      <c r="I4624" s="117">
        <f>I4587</f>
        <v>0</v>
      </c>
      <c r="J4624" s="78"/>
    </row>
    <row r="4625" spans="1:10">
      <c r="B4625" s="26" t="s">
        <v>1186</v>
      </c>
      <c r="H4625" s="171" t="s">
        <v>1698</v>
      </c>
      <c r="I4625" s="117">
        <f>I4605</f>
        <v>84523</v>
      </c>
      <c r="J4625" s="78"/>
    </row>
    <row r="4626" spans="1:10">
      <c r="B4626" s="26" t="s">
        <v>2660</v>
      </c>
      <c r="H4626" s="171" t="s">
        <v>1698</v>
      </c>
      <c r="I4626" s="117">
        <f>I4618</f>
        <v>16060.7</v>
      </c>
      <c r="J4626" s="78"/>
    </row>
    <row r="4627" spans="1:10">
      <c r="G4627" s="171" t="s">
        <v>1518</v>
      </c>
      <c r="H4627" s="171" t="s">
        <v>1698</v>
      </c>
      <c r="I4627" s="130">
        <f>SUM(I4624:I4626)</f>
        <v>100583.7</v>
      </c>
      <c r="J4627" s="78"/>
    </row>
    <row r="4628" spans="1:10" ht="18.75">
      <c r="B4628" s="1207" t="s">
        <v>8375</v>
      </c>
      <c r="C4628" s="1207"/>
      <c r="D4628" s="1207"/>
      <c r="E4628" s="1207"/>
      <c r="F4628" s="1207"/>
      <c r="G4628" s="922">
        <f>'BASIC DATA'!$C$577</f>
        <v>0.13614999999999999</v>
      </c>
      <c r="H4628" s="171" t="s">
        <v>4108</v>
      </c>
      <c r="I4628" s="76">
        <f>ROUND(I4627*G4628,2)</f>
        <v>13694.47</v>
      </c>
      <c r="J4628" s="78"/>
    </row>
    <row r="4629" spans="1:10">
      <c r="B4629" s="1206" t="s">
        <v>1191</v>
      </c>
      <c r="C4629" s="1206"/>
      <c r="D4629" s="1206"/>
      <c r="E4629" s="1206"/>
      <c r="F4629" s="202">
        <f>H4582</f>
        <v>825</v>
      </c>
      <c r="G4629" s="202" t="str">
        <f>I4582</f>
        <v>cum</v>
      </c>
      <c r="H4629" s="171" t="s">
        <v>1698</v>
      </c>
      <c r="I4629" s="199">
        <f>I4628+I4627</f>
        <v>114278.17</v>
      </c>
      <c r="J4629" s="78"/>
    </row>
    <row r="4630" spans="1:10">
      <c r="B4630" s="1161" t="s">
        <v>3884</v>
      </c>
      <c r="C4630" s="1161"/>
      <c r="D4630" s="246" t="str">
        <f>G4629</f>
        <v>cum</v>
      </c>
      <c r="F4630" s="26" t="s">
        <v>1394</v>
      </c>
      <c r="H4630" s="171" t="s">
        <v>1698</v>
      </c>
      <c r="I4630" s="204">
        <f>ROUND(I4629/F4629,1)</f>
        <v>138.5</v>
      </c>
      <c r="J4630" s="78"/>
    </row>
    <row r="4631" spans="1:10">
      <c r="J4631" s="78"/>
    </row>
    <row r="4632" spans="1:10">
      <c r="J4632" s="78"/>
    </row>
    <row r="4633" spans="1:10" ht="18.75">
      <c r="A4633" s="822" t="s">
        <v>7364</v>
      </c>
      <c r="B4633" s="26" t="s">
        <v>8518</v>
      </c>
      <c r="J4633" s="78"/>
    </row>
    <row r="4634" spans="1:10">
      <c r="B4634" s="26" t="s">
        <v>8516</v>
      </c>
      <c r="J4634" s="78"/>
    </row>
    <row r="4635" spans="1:10">
      <c r="B4635" s="26" t="s">
        <v>3060</v>
      </c>
      <c r="J4635" s="78"/>
    </row>
    <row r="4636" spans="1:10">
      <c r="B4636" s="26" t="s">
        <v>7016</v>
      </c>
      <c r="J4636" s="78"/>
    </row>
    <row r="4637" spans="1:10" ht="18.75">
      <c r="B4637" s="26" t="s">
        <v>8519</v>
      </c>
      <c r="J4637" s="78"/>
    </row>
    <row r="4638" spans="1:10">
      <c r="B4638" s="26" t="s">
        <v>9256</v>
      </c>
      <c r="J4638" s="78"/>
    </row>
    <row r="4639" spans="1:10" ht="18.75">
      <c r="B4639" s="170" t="s">
        <v>8520</v>
      </c>
      <c r="J4639" s="78"/>
    </row>
    <row r="4640" spans="1:10" hidden="1">
      <c r="A4640" s="822" t="s">
        <v>3984</v>
      </c>
      <c r="B4640" s="26" t="s">
        <v>4840</v>
      </c>
      <c r="J4640" s="78"/>
    </row>
    <row r="4641" spans="1:10" hidden="1">
      <c r="B4641" s="26" t="s">
        <v>4841</v>
      </c>
      <c r="J4641" s="78"/>
    </row>
    <row r="4642" spans="1:10" hidden="1">
      <c r="B4642" s="26" t="s">
        <v>6597</v>
      </c>
      <c r="J4642" s="78"/>
    </row>
    <row r="4643" spans="1:10" hidden="1">
      <c r="B4643" s="26" t="s">
        <v>6598</v>
      </c>
      <c r="J4643" s="78"/>
    </row>
    <row r="4644" spans="1:10" hidden="1">
      <c r="B4644" s="26" t="s">
        <v>6599</v>
      </c>
      <c r="J4644" s="78"/>
    </row>
    <row r="4645" spans="1:10" hidden="1">
      <c r="B4645" s="26" t="s">
        <v>6600</v>
      </c>
      <c r="J4645" s="78"/>
    </row>
    <row r="4646" spans="1:10" hidden="1">
      <c r="B4646" s="26" t="s">
        <v>667</v>
      </c>
      <c r="J4646" s="78"/>
    </row>
    <row r="4647" spans="1:10" hidden="1">
      <c r="B4647" s="26" t="s">
        <v>591</v>
      </c>
      <c r="J4647" s="78"/>
    </row>
    <row r="4648" spans="1:10" hidden="1">
      <c r="J4648" s="78"/>
    </row>
    <row r="4649" spans="1:10">
      <c r="J4649" s="78"/>
    </row>
    <row r="4650" spans="1:10">
      <c r="A4650" s="822" t="s">
        <v>3984</v>
      </c>
      <c r="D4650" s="170" t="s">
        <v>2367</v>
      </c>
      <c r="J4650" s="78"/>
    </row>
    <row r="4651" spans="1:10">
      <c r="F4651" s="68"/>
      <c r="H4651" s="171" t="s">
        <v>297</v>
      </c>
      <c r="J4651" s="78"/>
    </row>
    <row r="4652" spans="1:10">
      <c r="B4652" s="170" t="s">
        <v>2368</v>
      </c>
      <c r="C4652" s="89"/>
      <c r="H4652" s="211">
        <v>825</v>
      </c>
      <c r="I4652" s="26" t="s">
        <v>3477</v>
      </c>
      <c r="J4652" s="78"/>
    </row>
    <row r="4653" spans="1:10">
      <c r="B4653" s="95" t="s">
        <v>2369</v>
      </c>
      <c r="D4653" s="175" t="s">
        <v>4443</v>
      </c>
      <c r="E4653" s="175"/>
      <c r="F4653" s="95" t="s">
        <v>2370</v>
      </c>
      <c r="G4653" s="95" t="s">
        <v>1166</v>
      </c>
      <c r="H4653" s="95" t="s">
        <v>6664</v>
      </c>
      <c r="I4653" s="95" t="s">
        <v>6665</v>
      </c>
      <c r="J4653" s="78"/>
    </row>
    <row r="4654" spans="1:10">
      <c r="B4654" s="191"/>
      <c r="C4654" s="89"/>
      <c r="D4654" s="174"/>
      <c r="E4654" s="174"/>
      <c r="F4654" s="191"/>
      <c r="G4654" s="114"/>
      <c r="H4654" s="114" t="s">
        <v>3856</v>
      </c>
      <c r="I4654" s="114" t="s">
        <v>3857</v>
      </c>
      <c r="J4654" s="78"/>
    </row>
    <row r="4655" spans="1:10">
      <c r="B4655" s="107">
        <v>1</v>
      </c>
      <c r="C4655" s="148" t="s">
        <v>6976</v>
      </c>
      <c r="D4655" s="187"/>
      <c r="E4655" s="187"/>
      <c r="F4655" s="107"/>
      <c r="G4655" s="179">
        <v>0</v>
      </c>
      <c r="H4655" s="179">
        <v>0</v>
      </c>
      <c r="I4655" s="155">
        <f>H4655*G4655</f>
        <v>0</v>
      </c>
      <c r="J4655" s="78"/>
    </row>
    <row r="4656" spans="1:10">
      <c r="B4656" s="191"/>
      <c r="C4656" s="89"/>
      <c r="D4656" s="174"/>
      <c r="E4656" s="174"/>
      <c r="F4656" s="191"/>
      <c r="G4656" s="182">
        <v>0</v>
      </c>
      <c r="H4656" s="182">
        <v>0</v>
      </c>
      <c r="I4656" s="155">
        <f>H4656*G4656</f>
        <v>0</v>
      </c>
      <c r="J4656" s="78"/>
    </row>
    <row r="4657" spans="2:10">
      <c r="B4657" s="184"/>
      <c r="C4657" s="151"/>
      <c r="D4657" s="159"/>
      <c r="E4657" s="159" t="s">
        <v>2376</v>
      </c>
      <c r="F4657" s="159"/>
      <c r="G4657" s="159"/>
      <c r="H4657" s="208" t="s">
        <v>1698</v>
      </c>
      <c r="I4657" s="209">
        <f>SUM(I4655:I4656)</f>
        <v>0</v>
      </c>
      <c r="J4657" s="78"/>
    </row>
    <row r="4658" spans="2:10">
      <c r="B4658" s="31"/>
      <c r="C4658" s="76"/>
      <c r="D4658" s="31"/>
      <c r="E4658" s="31"/>
      <c r="F4658" s="31"/>
      <c r="G4658" s="31"/>
      <c r="H4658" s="200"/>
      <c r="I4658" s="75"/>
      <c r="J4658" s="78"/>
    </row>
    <row r="4659" spans="2:10">
      <c r="B4659" s="170" t="s">
        <v>2377</v>
      </c>
      <c r="J4659" s="78"/>
    </row>
    <row r="4660" spans="2:10">
      <c r="B4660" s="95" t="s">
        <v>2369</v>
      </c>
      <c r="C4660" s="131" t="s">
        <v>2378</v>
      </c>
      <c r="D4660" s="175"/>
      <c r="E4660" s="97"/>
      <c r="F4660" s="95" t="s">
        <v>2370</v>
      </c>
      <c r="G4660" s="95" t="s">
        <v>1166</v>
      </c>
      <c r="H4660" s="97" t="s">
        <v>6664</v>
      </c>
      <c r="I4660" s="97" t="s">
        <v>6665</v>
      </c>
      <c r="J4660" s="78"/>
    </row>
    <row r="4661" spans="2:10">
      <c r="B4661" s="191"/>
      <c r="C4661" s="139"/>
      <c r="D4661" s="174"/>
      <c r="E4661" s="192"/>
      <c r="F4661" s="191"/>
      <c r="G4661" s="114"/>
      <c r="H4661" s="115" t="s">
        <v>3856</v>
      </c>
      <c r="I4661" s="115" t="s">
        <v>3857</v>
      </c>
      <c r="J4661" s="78"/>
    </row>
    <row r="4662" spans="2:10">
      <c r="B4662" s="95">
        <v>1</v>
      </c>
      <c r="C4662" s="131" t="s">
        <v>1502</v>
      </c>
      <c r="D4662" s="187"/>
      <c r="E4662" s="195"/>
      <c r="F4662" s="107" t="s">
        <v>2374</v>
      </c>
      <c r="G4662" s="179">
        <v>5.5</v>
      </c>
      <c r="H4662" s="214">
        <f>'HIRE CHARGES'!$D$499</f>
        <v>1715.5</v>
      </c>
      <c r="I4662" s="179">
        <f t="shared" ref="I4662:I4674" si="85">H4662*G4662</f>
        <v>9435.25</v>
      </c>
      <c r="J4662" s="78"/>
    </row>
    <row r="4663" spans="2:10">
      <c r="B4663" s="105"/>
      <c r="C4663" s="135" t="s">
        <v>2379</v>
      </c>
      <c r="D4663" s="31"/>
      <c r="E4663" s="189"/>
      <c r="F4663" s="210" t="s">
        <v>2374</v>
      </c>
      <c r="G4663" s="190">
        <v>5.5</v>
      </c>
      <c r="H4663" s="220">
        <f>'HIRE CHARGES'!$E$499</f>
        <v>610.5</v>
      </c>
      <c r="I4663" s="179">
        <f t="shared" si="85"/>
        <v>3357.75</v>
      </c>
      <c r="J4663" s="78"/>
    </row>
    <row r="4664" spans="2:10">
      <c r="B4664" s="105">
        <v>2</v>
      </c>
      <c r="C4664" s="135" t="s">
        <v>298</v>
      </c>
      <c r="D4664" s="31"/>
      <c r="E4664" s="189"/>
      <c r="F4664" s="210" t="s">
        <v>2374</v>
      </c>
      <c r="G4664" s="190">
        <v>8</v>
      </c>
      <c r="H4664" s="214">
        <f>'HIRE CHARGES'!$D$543</f>
        <v>1706.6</v>
      </c>
      <c r="I4664" s="179">
        <f t="shared" si="85"/>
        <v>13652.8</v>
      </c>
      <c r="J4664" s="78"/>
    </row>
    <row r="4665" spans="2:10">
      <c r="B4665" s="105"/>
      <c r="C4665" s="135" t="s">
        <v>2379</v>
      </c>
      <c r="D4665" s="31"/>
      <c r="E4665" s="189"/>
      <c r="F4665" s="210" t="s">
        <v>2374</v>
      </c>
      <c r="G4665" s="190">
        <v>8</v>
      </c>
      <c r="H4665" s="214">
        <f>'HIRE CHARGES'!$E$543</f>
        <v>872.7</v>
      </c>
      <c r="I4665" s="179">
        <f t="shared" si="85"/>
        <v>6981.6</v>
      </c>
      <c r="J4665" s="78"/>
    </row>
    <row r="4666" spans="2:10">
      <c r="B4666" s="105">
        <v>3</v>
      </c>
      <c r="C4666" s="135" t="s">
        <v>2347</v>
      </c>
      <c r="D4666" s="31"/>
      <c r="E4666" s="189"/>
      <c r="F4666" s="210" t="s">
        <v>2374</v>
      </c>
      <c r="G4666" s="190">
        <v>48</v>
      </c>
      <c r="H4666" s="214">
        <f>'HIRE CHARGES'!$D$545</f>
        <v>446.7</v>
      </c>
      <c r="I4666" s="179">
        <f t="shared" si="85"/>
        <v>21441.599999999999</v>
      </c>
      <c r="J4666" s="78"/>
    </row>
    <row r="4667" spans="2:10">
      <c r="B4667" s="105"/>
      <c r="C4667" s="135" t="s">
        <v>2379</v>
      </c>
      <c r="D4667" s="31"/>
      <c r="E4667" s="189"/>
      <c r="F4667" s="210" t="s">
        <v>2374</v>
      </c>
      <c r="G4667" s="190">
        <v>48</v>
      </c>
      <c r="H4667" s="214">
        <f>'HIRE CHARGES'!$E$545</f>
        <v>299.89999999999998</v>
      </c>
      <c r="I4667" s="179">
        <f t="shared" si="85"/>
        <v>14395.199999999999</v>
      </c>
      <c r="J4667" s="78"/>
    </row>
    <row r="4668" spans="2:10">
      <c r="B4668" s="105">
        <v>4</v>
      </c>
      <c r="C4668" s="135" t="s">
        <v>4497</v>
      </c>
      <c r="D4668" s="31"/>
      <c r="E4668" s="189"/>
      <c r="F4668" s="210" t="s">
        <v>2374</v>
      </c>
      <c r="G4668" s="221">
        <v>4</v>
      </c>
      <c r="H4668" s="214">
        <f>'HIRE CHARGES'!$D$518</f>
        <v>3</v>
      </c>
      <c r="I4668" s="178">
        <f t="shared" si="85"/>
        <v>12</v>
      </c>
      <c r="J4668" s="78"/>
    </row>
    <row r="4669" spans="2:10">
      <c r="B4669" s="105"/>
      <c r="C4669" s="135" t="s">
        <v>2379</v>
      </c>
      <c r="D4669" s="31"/>
      <c r="E4669" s="189"/>
      <c r="F4669" s="210" t="s">
        <v>2374</v>
      </c>
      <c r="G4669" s="221">
        <v>4</v>
      </c>
      <c r="H4669" s="214">
        <f>'HIRE CHARGES'!$E$518</f>
        <v>28</v>
      </c>
      <c r="I4669" s="178">
        <f t="shared" si="85"/>
        <v>112</v>
      </c>
      <c r="J4669" s="78"/>
    </row>
    <row r="4670" spans="2:10">
      <c r="B4670" s="105">
        <v>5</v>
      </c>
      <c r="C4670" s="135" t="s">
        <v>6286</v>
      </c>
      <c r="D4670" s="31"/>
      <c r="E4670" s="189"/>
      <c r="F4670" s="210" t="s">
        <v>2374</v>
      </c>
      <c r="G4670" s="190">
        <v>8</v>
      </c>
      <c r="H4670" s="214">
        <f>'HIRE CHARGES'!$D$555</f>
        <v>402.5</v>
      </c>
      <c r="I4670" s="179">
        <f t="shared" si="85"/>
        <v>3220</v>
      </c>
      <c r="J4670" s="78"/>
    </row>
    <row r="4671" spans="2:10">
      <c r="B4671" s="105"/>
      <c r="C4671" s="135" t="s">
        <v>2379</v>
      </c>
      <c r="D4671" s="31"/>
      <c r="E4671" s="189"/>
      <c r="F4671" s="210" t="s">
        <v>2374</v>
      </c>
      <c r="G4671" s="190">
        <v>8</v>
      </c>
      <c r="H4671" s="214">
        <f>'HIRE CHARGES'!$E$555</f>
        <v>299.89999999999998</v>
      </c>
      <c r="I4671" s="179">
        <f t="shared" si="85"/>
        <v>2399.1999999999998</v>
      </c>
      <c r="J4671" s="78"/>
    </row>
    <row r="4672" spans="2:10">
      <c r="B4672" s="105">
        <v>6</v>
      </c>
      <c r="C4672" s="135" t="s">
        <v>9251</v>
      </c>
      <c r="D4672" s="31"/>
      <c r="E4672" s="189"/>
      <c r="F4672" s="210" t="s">
        <v>2374</v>
      </c>
      <c r="G4672" s="190">
        <v>6.5</v>
      </c>
      <c r="H4672" s="214">
        <f>'HIRE CHARGES'!$D$553</f>
        <v>1342.2</v>
      </c>
      <c r="I4672" s="179">
        <f t="shared" si="85"/>
        <v>8724.3000000000011</v>
      </c>
      <c r="J4672" s="78"/>
    </row>
    <row r="4673" spans="2:10">
      <c r="B4673" s="105"/>
      <c r="C4673" s="135" t="s">
        <v>2379</v>
      </c>
      <c r="D4673" s="31"/>
      <c r="E4673" s="189"/>
      <c r="F4673" s="210" t="s">
        <v>2374</v>
      </c>
      <c r="G4673" s="190">
        <v>6.5</v>
      </c>
      <c r="H4673" s="214">
        <f>'HIRE CHARGES'!$E$553</f>
        <v>1031.4000000000001</v>
      </c>
      <c r="I4673" s="179">
        <f t="shared" si="85"/>
        <v>6704.1</v>
      </c>
      <c r="J4673" s="78"/>
    </row>
    <row r="4674" spans="2:10">
      <c r="B4674" s="114">
        <v>7</v>
      </c>
      <c r="C4674" s="139" t="s">
        <v>2373</v>
      </c>
      <c r="D4674" s="174"/>
      <c r="E4674" s="192"/>
      <c r="F4674" s="191" t="s">
        <v>2173</v>
      </c>
      <c r="G4674" s="182">
        <v>2</v>
      </c>
      <c r="H4674" s="257">
        <f>'BASIC DATA'!$D$359</f>
        <v>30</v>
      </c>
      <c r="I4674" s="179">
        <f t="shared" si="85"/>
        <v>60</v>
      </c>
      <c r="J4674" s="78"/>
    </row>
    <row r="4675" spans="2:10">
      <c r="B4675" s="184"/>
      <c r="C4675" s="151"/>
      <c r="D4675" s="159"/>
      <c r="E4675" s="159" t="s">
        <v>2380</v>
      </c>
      <c r="F4675" s="159"/>
      <c r="G4675" s="159"/>
      <c r="H4675" s="208" t="s">
        <v>1698</v>
      </c>
      <c r="I4675" s="282">
        <f>SUM(I4662:I4674)</f>
        <v>90495.8</v>
      </c>
      <c r="J4675" s="78"/>
    </row>
    <row r="4676" spans="2:10">
      <c r="B4676" s="31"/>
      <c r="C4676" s="76"/>
      <c r="D4676" s="31"/>
      <c r="E4676" s="31"/>
      <c r="F4676" s="31"/>
      <c r="G4676" s="31"/>
      <c r="H4676" s="200"/>
      <c r="I4676" s="75"/>
      <c r="J4676" s="78"/>
    </row>
    <row r="4677" spans="2:10">
      <c r="B4677" s="170" t="s">
        <v>2381</v>
      </c>
      <c r="J4677" s="78"/>
    </row>
    <row r="4678" spans="2:10">
      <c r="B4678" s="95" t="s">
        <v>2369</v>
      </c>
      <c r="C4678" s="148" t="s">
        <v>2378</v>
      </c>
      <c r="D4678" s="175"/>
      <c r="E4678" s="175"/>
      <c r="F4678" s="95" t="s">
        <v>2370</v>
      </c>
      <c r="G4678" s="95" t="s">
        <v>1166</v>
      </c>
      <c r="H4678" s="95" t="s">
        <v>6664</v>
      </c>
      <c r="I4678" s="95" t="s">
        <v>6665</v>
      </c>
      <c r="J4678" s="78"/>
    </row>
    <row r="4679" spans="2:10">
      <c r="B4679" s="191"/>
      <c r="C4679" s="89"/>
      <c r="D4679" s="174"/>
      <c r="E4679" s="174"/>
      <c r="F4679" s="191"/>
      <c r="G4679" s="114"/>
      <c r="H4679" s="114" t="s">
        <v>3856</v>
      </c>
      <c r="I4679" s="114" t="s">
        <v>3857</v>
      </c>
      <c r="J4679" s="78"/>
    </row>
    <row r="4680" spans="2:10">
      <c r="B4680" s="95">
        <v>1</v>
      </c>
      <c r="C4680" s="148" t="s">
        <v>2870</v>
      </c>
      <c r="D4680" s="187"/>
      <c r="E4680" s="187"/>
      <c r="F4680" s="107" t="s">
        <v>2374</v>
      </c>
      <c r="G4680" s="180">
        <v>5.5</v>
      </c>
      <c r="H4680" s="190">
        <f>'HIRE CHARGES'!$F$499</f>
        <v>236.6</v>
      </c>
      <c r="I4680" s="179">
        <f t="shared" ref="I4680:I4687" si="86">H4680*G4680</f>
        <v>1301.3</v>
      </c>
      <c r="J4680" s="78"/>
    </row>
    <row r="4681" spans="2:10">
      <c r="B4681" s="105">
        <v>2</v>
      </c>
      <c r="C4681" s="76" t="s">
        <v>300</v>
      </c>
      <c r="D4681" s="31"/>
      <c r="E4681" s="31"/>
      <c r="F4681" s="210" t="s">
        <v>2374</v>
      </c>
      <c r="G4681" s="190">
        <v>8</v>
      </c>
      <c r="H4681" s="190">
        <f>'HIRE CHARGES'!$F$543</f>
        <v>236.6</v>
      </c>
      <c r="I4681" s="179">
        <f t="shared" si="86"/>
        <v>1892.8</v>
      </c>
      <c r="J4681" s="78"/>
    </row>
    <row r="4682" spans="2:10">
      <c r="B4682" s="105">
        <v>3</v>
      </c>
      <c r="C4682" s="76" t="s">
        <v>301</v>
      </c>
      <c r="D4682" s="31"/>
      <c r="E4682" s="31"/>
      <c r="F4682" s="210" t="s">
        <v>2374</v>
      </c>
      <c r="G4682" s="190">
        <v>48</v>
      </c>
      <c r="H4682" s="190">
        <f>'HIRE CHARGES'!$F$545</f>
        <v>177.5</v>
      </c>
      <c r="I4682" s="179">
        <f t="shared" si="86"/>
        <v>8520</v>
      </c>
      <c r="J4682" s="78"/>
    </row>
    <row r="4683" spans="2:10">
      <c r="B4683" s="105">
        <v>4</v>
      </c>
      <c r="C4683" s="76" t="s">
        <v>999</v>
      </c>
      <c r="D4683" s="31"/>
      <c r="E4683" s="31"/>
      <c r="F4683" s="210" t="s">
        <v>2374</v>
      </c>
      <c r="G4683" s="190">
        <v>4</v>
      </c>
      <c r="H4683" s="207">
        <f>'HIRE CHARGES'!$F$518</f>
        <v>83.3</v>
      </c>
      <c r="I4683" s="179">
        <f t="shared" si="86"/>
        <v>333.2</v>
      </c>
      <c r="J4683" s="78"/>
    </row>
    <row r="4684" spans="2:10">
      <c r="B4684" s="105">
        <v>5</v>
      </c>
      <c r="C4684" s="76" t="s">
        <v>1000</v>
      </c>
      <c r="D4684" s="31"/>
      <c r="E4684" s="31"/>
      <c r="F4684" s="210" t="s">
        <v>2374</v>
      </c>
      <c r="G4684" s="190">
        <v>8</v>
      </c>
      <c r="H4684" s="190">
        <f>'HIRE CHARGES'!$F$555</f>
        <v>177.5</v>
      </c>
      <c r="I4684" s="179">
        <f t="shared" si="86"/>
        <v>1420</v>
      </c>
      <c r="J4684" s="78"/>
    </row>
    <row r="4685" spans="2:10">
      <c r="B4685" s="105">
        <v>6</v>
      </c>
      <c r="C4685" s="76" t="s">
        <v>1001</v>
      </c>
      <c r="D4685" s="31"/>
      <c r="E4685" s="31"/>
      <c r="F4685" s="210" t="s">
        <v>2374</v>
      </c>
      <c r="G4685" s="190">
        <v>6.5</v>
      </c>
      <c r="H4685" s="190">
        <f>'HIRE CHARGES'!$F$553</f>
        <v>263.60000000000002</v>
      </c>
      <c r="I4685" s="179">
        <f t="shared" si="86"/>
        <v>1713.4</v>
      </c>
      <c r="J4685" s="78"/>
    </row>
    <row r="4686" spans="2:10">
      <c r="B4686" s="105">
        <v>7</v>
      </c>
      <c r="C4686" s="76" t="s">
        <v>4206</v>
      </c>
      <c r="D4686" s="31"/>
      <c r="E4686" s="31"/>
      <c r="F4686" s="210" t="s">
        <v>1172</v>
      </c>
      <c r="G4686" s="190">
        <v>2</v>
      </c>
      <c r="H4686" s="190">
        <f>'BASIC DATA'!$C$473</f>
        <v>450</v>
      </c>
      <c r="I4686" s="179">
        <f t="shared" si="86"/>
        <v>900</v>
      </c>
      <c r="J4686" s="78"/>
    </row>
    <row r="4687" spans="2:10">
      <c r="B4687" s="105">
        <v>8</v>
      </c>
      <c r="C4687" s="76" t="s">
        <v>2697</v>
      </c>
      <c r="D4687" s="31"/>
      <c r="E4687" s="31"/>
      <c r="F4687" s="210" t="s">
        <v>1172</v>
      </c>
      <c r="G4687" s="190">
        <v>4</v>
      </c>
      <c r="H4687" s="207">
        <f>'BASIC DATA'!$C$552</f>
        <v>350</v>
      </c>
      <c r="I4687" s="179">
        <f t="shared" si="86"/>
        <v>1400</v>
      </c>
      <c r="J4687" s="78"/>
    </row>
    <row r="4688" spans="2:10">
      <c r="B4688" s="184"/>
      <c r="C4688" s="151"/>
      <c r="D4688" s="159"/>
      <c r="E4688" s="159" t="s">
        <v>1174</v>
      </c>
      <c r="F4688" s="159"/>
      <c r="G4688" s="193"/>
      <c r="H4688" s="208" t="s">
        <v>1698</v>
      </c>
      <c r="I4688" s="282">
        <f>SUM(I4680:I4687)</f>
        <v>17480.7</v>
      </c>
      <c r="J4688" s="78"/>
    </row>
    <row r="4689" spans="1:10">
      <c r="B4689" s="60" t="s">
        <v>5948</v>
      </c>
      <c r="C4689" s="76"/>
      <c r="D4689" s="31"/>
      <c r="E4689" s="31"/>
      <c r="F4689" s="31"/>
      <c r="G4689" s="85">
        <f>ROUND(I4688/H4652,1)</f>
        <v>21.2</v>
      </c>
      <c r="J4689" s="78"/>
    </row>
    <row r="4690" spans="1:10">
      <c r="B4690" s="60" t="s">
        <v>3163</v>
      </c>
      <c r="C4690" s="76"/>
      <c r="D4690" s="31"/>
      <c r="E4690" s="31"/>
      <c r="F4690" s="922">
        <f>'BASIC DATA'!$C$577</f>
        <v>0.13614999999999999</v>
      </c>
      <c r="G4690" s="85">
        <f>ROUND(G4689*F4690,1)</f>
        <v>2.9</v>
      </c>
      <c r="J4690" s="78"/>
    </row>
    <row r="4691" spans="1:10">
      <c r="B4691" s="60" t="s">
        <v>5949</v>
      </c>
      <c r="C4691" s="76"/>
      <c r="D4691" s="31"/>
      <c r="E4691" s="31"/>
      <c r="F4691" s="31"/>
      <c r="G4691" s="199">
        <f>ROUND(G4690+G4689,1)</f>
        <v>24.1</v>
      </c>
      <c r="J4691" s="78"/>
    </row>
    <row r="4692" spans="1:10">
      <c r="B4692" s="31"/>
      <c r="C4692" s="76"/>
      <c r="D4692" s="31"/>
      <c r="E4692" s="31"/>
      <c r="F4692" s="200"/>
      <c r="G4692" s="200"/>
      <c r="I4692" s="75"/>
      <c r="J4692" s="78"/>
    </row>
    <row r="4693" spans="1:10">
      <c r="B4693" s="170" t="s">
        <v>1175</v>
      </c>
      <c r="J4693" s="78"/>
    </row>
    <row r="4694" spans="1:10">
      <c r="B4694" s="26" t="s">
        <v>1176</v>
      </c>
      <c r="H4694" s="171" t="s">
        <v>1698</v>
      </c>
      <c r="I4694" s="117">
        <f>I4657</f>
        <v>0</v>
      </c>
      <c r="J4694" s="78"/>
    </row>
    <row r="4695" spans="1:10">
      <c r="B4695" s="26" t="s">
        <v>1186</v>
      </c>
      <c r="H4695" s="171" t="s">
        <v>1698</v>
      </c>
      <c r="I4695" s="68">
        <f>I4675</f>
        <v>90495.8</v>
      </c>
      <c r="J4695" s="78"/>
    </row>
    <row r="4696" spans="1:10">
      <c r="B4696" s="26" t="s">
        <v>2660</v>
      </c>
      <c r="H4696" s="171" t="s">
        <v>1698</v>
      </c>
      <c r="I4696" s="68">
        <f>I4688</f>
        <v>17480.7</v>
      </c>
      <c r="J4696" s="78"/>
    </row>
    <row r="4697" spans="1:10">
      <c r="G4697" s="171" t="s">
        <v>1518</v>
      </c>
      <c r="H4697" s="171" t="s">
        <v>1698</v>
      </c>
      <c r="I4697" s="205">
        <f>SUM(I4694:I4696)</f>
        <v>107976.5</v>
      </c>
      <c r="J4697" s="78"/>
    </row>
    <row r="4698" spans="1:10" ht="18.75">
      <c r="B4698" s="1207" t="s">
        <v>8375</v>
      </c>
      <c r="C4698" s="1207"/>
      <c r="D4698" s="1207"/>
      <c r="E4698" s="1207"/>
      <c r="F4698" s="1207"/>
      <c r="G4698" s="922">
        <f>'BASIC DATA'!$C$577</f>
        <v>0.13614999999999999</v>
      </c>
      <c r="H4698" s="171" t="s">
        <v>4108</v>
      </c>
      <c r="I4698" s="76">
        <f>ROUND(I4697*G4698,2)</f>
        <v>14701</v>
      </c>
      <c r="J4698" s="78"/>
    </row>
    <row r="4699" spans="1:10">
      <c r="B4699" s="1206" t="s">
        <v>1191</v>
      </c>
      <c r="C4699" s="1206"/>
      <c r="D4699" s="1206"/>
      <c r="E4699" s="1206"/>
      <c r="F4699" s="202">
        <f>H4652</f>
        <v>825</v>
      </c>
      <c r="G4699" s="202" t="str">
        <f>I4652</f>
        <v>cum</v>
      </c>
      <c r="H4699" s="171" t="s">
        <v>1698</v>
      </c>
      <c r="I4699" s="199">
        <f>I4698+I4697</f>
        <v>122677.5</v>
      </c>
      <c r="J4699" s="78"/>
    </row>
    <row r="4700" spans="1:10">
      <c r="B4700" s="1161" t="s">
        <v>3884</v>
      </c>
      <c r="C4700" s="1161"/>
      <c r="D4700" s="246" t="str">
        <f>G4699</f>
        <v>cum</v>
      </c>
      <c r="F4700" s="26" t="s">
        <v>1394</v>
      </c>
      <c r="H4700" s="171" t="s">
        <v>1698</v>
      </c>
      <c r="I4700" s="204">
        <f>ROUND(I4699/F4699,1)</f>
        <v>148.69999999999999</v>
      </c>
      <c r="J4700" s="78"/>
    </row>
    <row r="4701" spans="1:10">
      <c r="J4701" s="78"/>
    </row>
    <row r="4702" spans="1:10">
      <c r="J4702" s="78"/>
    </row>
    <row r="4703" spans="1:10" ht="18.75">
      <c r="A4703" s="822" t="s">
        <v>7365</v>
      </c>
      <c r="B4703" s="26" t="s">
        <v>8521</v>
      </c>
      <c r="J4703" s="78"/>
    </row>
    <row r="4704" spans="1:10">
      <c r="B4704" s="26" t="s">
        <v>8522</v>
      </c>
      <c r="J4704" s="78"/>
    </row>
    <row r="4705" spans="1:10">
      <c r="B4705" s="26" t="s">
        <v>1425</v>
      </c>
      <c r="J4705" s="78"/>
    </row>
    <row r="4706" spans="1:10">
      <c r="B4706" s="26" t="s">
        <v>1426</v>
      </c>
      <c r="J4706" s="78"/>
    </row>
    <row r="4707" spans="1:10" ht="18.75">
      <c r="B4707" s="26" t="s">
        <v>8523</v>
      </c>
      <c r="J4707" s="78"/>
    </row>
    <row r="4708" spans="1:10">
      <c r="B4708" s="26" t="s">
        <v>9256</v>
      </c>
      <c r="J4708" s="78"/>
    </row>
    <row r="4709" spans="1:10" ht="18.75">
      <c r="B4709" s="170" t="s">
        <v>8524</v>
      </c>
      <c r="J4709" s="78"/>
    </row>
    <row r="4710" spans="1:10" hidden="1">
      <c r="A4710" s="822" t="s">
        <v>3984</v>
      </c>
      <c r="B4710" s="26" t="s">
        <v>602</v>
      </c>
      <c r="G4710" s="171" t="s">
        <v>1697</v>
      </c>
      <c r="H4710" s="68">
        <v>0.85</v>
      </c>
      <c r="I4710" s="26" t="s">
        <v>3477</v>
      </c>
      <c r="J4710" s="78"/>
    </row>
    <row r="4711" spans="1:10" hidden="1">
      <c r="B4711" s="26" t="s">
        <v>603</v>
      </c>
      <c r="G4711" s="171" t="s">
        <v>1697</v>
      </c>
      <c r="H4711" s="68">
        <v>0.98</v>
      </c>
      <c r="I4711" s="26" t="s">
        <v>3477</v>
      </c>
      <c r="J4711" s="78"/>
    </row>
    <row r="4712" spans="1:10" hidden="1">
      <c r="B4712" s="26" t="s">
        <v>604</v>
      </c>
      <c r="G4712" s="171" t="s">
        <v>1697</v>
      </c>
      <c r="H4712" s="68">
        <v>5</v>
      </c>
      <c r="I4712" s="26" t="s">
        <v>3477</v>
      </c>
      <c r="J4712" s="78"/>
    </row>
    <row r="4713" spans="1:10" hidden="1">
      <c r="B4713" s="26" t="s">
        <v>2541</v>
      </c>
      <c r="G4713" s="171" t="s">
        <v>2982</v>
      </c>
      <c r="H4713" s="68">
        <v>1</v>
      </c>
      <c r="I4713" s="26" t="s">
        <v>3430</v>
      </c>
      <c r="J4713" s="78"/>
    </row>
    <row r="4714" spans="1:10" hidden="1">
      <c r="B4714" s="26" t="s">
        <v>4569</v>
      </c>
      <c r="G4714" s="171" t="s">
        <v>1697</v>
      </c>
      <c r="H4714" s="68">
        <v>20</v>
      </c>
      <c r="I4714" s="26" t="s">
        <v>6703</v>
      </c>
      <c r="J4714" s="78"/>
    </row>
    <row r="4715" spans="1:10" hidden="1">
      <c r="B4715" s="26" t="s">
        <v>5632</v>
      </c>
      <c r="G4715" s="171" t="s">
        <v>1697</v>
      </c>
      <c r="H4715" s="68">
        <v>25</v>
      </c>
      <c r="I4715" s="26" t="s">
        <v>6703</v>
      </c>
      <c r="J4715" s="78"/>
    </row>
    <row r="4716" spans="1:10" hidden="1">
      <c r="B4716" s="26" t="s">
        <v>3985</v>
      </c>
      <c r="G4716" s="171" t="s">
        <v>1697</v>
      </c>
      <c r="H4716" s="68">
        <v>2</v>
      </c>
      <c r="I4716" s="26" t="s">
        <v>2603</v>
      </c>
      <c r="J4716" s="78"/>
    </row>
    <row r="4717" spans="1:10" hidden="1">
      <c r="B4717" s="26" t="s">
        <v>4030</v>
      </c>
      <c r="G4717" s="171" t="s">
        <v>1697</v>
      </c>
      <c r="H4717" s="68">
        <v>25</v>
      </c>
      <c r="I4717" s="26" t="s">
        <v>3434</v>
      </c>
      <c r="J4717" s="78"/>
    </row>
    <row r="4718" spans="1:10" hidden="1">
      <c r="B4718" s="26" t="s">
        <v>2760</v>
      </c>
      <c r="G4718" s="171" t="s">
        <v>1697</v>
      </c>
      <c r="H4718" s="68">
        <v>0.86</v>
      </c>
      <c r="I4718" s="26" t="s">
        <v>3477</v>
      </c>
      <c r="J4718" s="78"/>
    </row>
    <row r="4719" spans="1:10" hidden="1">
      <c r="B4719" s="26" t="s">
        <v>2761</v>
      </c>
      <c r="G4719" s="171" t="s">
        <v>1697</v>
      </c>
      <c r="H4719" s="68">
        <v>4.17</v>
      </c>
      <c r="I4719" s="26" t="s">
        <v>3477</v>
      </c>
      <c r="J4719" s="78"/>
    </row>
    <row r="4720" spans="1:10" hidden="1">
      <c r="B4720" s="26" t="s">
        <v>2762</v>
      </c>
      <c r="G4720" s="171" t="s">
        <v>1123</v>
      </c>
      <c r="H4720" s="68">
        <v>5</v>
      </c>
      <c r="I4720" s="26" t="s">
        <v>4932</v>
      </c>
      <c r="J4720" s="78"/>
    </row>
    <row r="4721" spans="2:10" hidden="1">
      <c r="B4721" s="26" t="s">
        <v>2414</v>
      </c>
      <c r="G4721" s="171" t="s">
        <v>1123</v>
      </c>
      <c r="H4721" s="68">
        <v>4.3</v>
      </c>
      <c r="I4721" s="26" t="s">
        <v>3477</v>
      </c>
      <c r="J4721" s="78"/>
    </row>
    <row r="4722" spans="2:10" hidden="1">
      <c r="B4722" s="26" t="s">
        <v>2348</v>
      </c>
      <c r="G4722" s="171" t="s">
        <v>1602</v>
      </c>
      <c r="H4722" s="26">
        <v>2.08</v>
      </c>
      <c r="I4722" s="26" t="s">
        <v>1433</v>
      </c>
      <c r="J4722" s="78"/>
    </row>
    <row r="4723" spans="2:10" hidden="1">
      <c r="B4723" s="26" t="s">
        <v>1427</v>
      </c>
      <c r="J4723" s="78"/>
    </row>
    <row r="4724" spans="2:10" hidden="1">
      <c r="B4724" s="26" t="s">
        <v>5067</v>
      </c>
      <c r="J4724" s="78"/>
    </row>
    <row r="4725" spans="2:10" hidden="1">
      <c r="B4725" s="26" t="s">
        <v>5068</v>
      </c>
      <c r="J4725" s="78"/>
    </row>
    <row r="4726" spans="2:10" hidden="1">
      <c r="B4726" s="26" t="s">
        <v>5069</v>
      </c>
      <c r="J4726" s="78"/>
    </row>
    <row r="4727" spans="2:10" hidden="1">
      <c r="B4727" s="26" t="s">
        <v>5070</v>
      </c>
      <c r="J4727" s="78"/>
    </row>
    <row r="4728" spans="2:10" hidden="1">
      <c r="B4728" s="26" t="s">
        <v>5071</v>
      </c>
      <c r="J4728" s="78"/>
    </row>
    <row r="4729" spans="2:10" hidden="1">
      <c r="B4729" s="26" t="s">
        <v>1613</v>
      </c>
      <c r="J4729" s="78"/>
    </row>
    <row r="4730" spans="2:10" hidden="1">
      <c r="B4730" s="26" t="s">
        <v>624</v>
      </c>
      <c r="G4730" s="171" t="s">
        <v>1697</v>
      </c>
      <c r="H4730" s="68">
        <v>2.5</v>
      </c>
      <c r="I4730" s="26" t="s">
        <v>2603</v>
      </c>
      <c r="J4730" s="78"/>
    </row>
    <row r="4731" spans="2:10" hidden="1">
      <c r="B4731" s="26" t="s">
        <v>1490</v>
      </c>
      <c r="G4731" s="171" t="s">
        <v>1697</v>
      </c>
      <c r="H4731" s="68">
        <v>3</v>
      </c>
      <c r="I4731" s="26" t="s">
        <v>2603</v>
      </c>
      <c r="J4731" s="78"/>
    </row>
    <row r="4732" spans="2:10" hidden="1">
      <c r="B4732" s="26" t="s">
        <v>705</v>
      </c>
      <c r="G4732" s="171" t="s">
        <v>1697</v>
      </c>
      <c r="H4732" s="68">
        <v>2</v>
      </c>
      <c r="I4732" s="26" t="s">
        <v>2603</v>
      </c>
      <c r="J4732" s="78"/>
    </row>
    <row r="4733" spans="2:10" hidden="1">
      <c r="B4733" s="26" t="s">
        <v>1491</v>
      </c>
      <c r="G4733" s="171" t="s">
        <v>1697</v>
      </c>
      <c r="H4733" s="68">
        <v>2.4</v>
      </c>
      <c r="I4733" s="26" t="s">
        <v>2603</v>
      </c>
      <c r="J4733" s="78"/>
    </row>
    <row r="4734" spans="2:10" hidden="1">
      <c r="B4734" s="26" t="s">
        <v>263</v>
      </c>
      <c r="G4734" s="171" t="s">
        <v>1697</v>
      </c>
      <c r="H4734" s="68">
        <v>0.5</v>
      </c>
      <c r="I4734" s="26" t="s">
        <v>2603</v>
      </c>
      <c r="J4734" s="78"/>
    </row>
    <row r="4735" spans="2:10" hidden="1">
      <c r="F4735" s="26" t="s">
        <v>1518</v>
      </c>
      <c r="G4735" s="171" t="s">
        <v>1697</v>
      </c>
      <c r="H4735" s="68">
        <f>SUM(H4730:H4734)</f>
        <v>10.4</v>
      </c>
      <c r="I4735" s="26" t="s">
        <v>2603</v>
      </c>
      <c r="J4735" s="78"/>
    </row>
    <row r="4736" spans="2:10" hidden="1">
      <c r="B4736" s="26" t="s">
        <v>4559</v>
      </c>
      <c r="H4736" s="68">
        <v>4</v>
      </c>
      <c r="I4736" s="26" t="s">
        <v>4041</v>
      </c>
      <c r="J4736" s="78"/>
    </row>
    <row r="4737" spans="2:10" hidden="1">
      <c r="B4737" s="26" t="s">
        <v>4560</v>
      </c>
      <c r="H4737" s="68">
        <v>20.7</v>
      </c>
      <c r="I4737" s="26" t="s">
        <v>5336</v>
      </c>
      <c r="J4737" s="78"/>
    </row>
    <row r="4738" spans="2:10" hidden="1">
      <c r="B4738" s="26" t="s">
        <v>4561</v>
      </c>
      <c r="H4738" s="68">
        <v>660</v>
      </c>
      <c r="I4738" s="26" t="s">
        <v>5336</v>
      </c>
      <c r="J4738" s="78"/>
    </row>
    <row r="4739" spans="2:10" hidden="1">
      <c r="B4739" s="26" t="s">
        <v>5072</v>
      </c>
      <c r="J4739" s="78"/>
    </row>
    <row r="4740" spans="2:10" hidden="1">
      <c r="B4740" s="26" t="s">
        <v>56</v>
      </c>
      <c r="J4740" s="78"/>
    </row>
    <row r="4741" spans="2:10" hidden="1">
      <c r="B4741" s="26" t="s">
        <v>57</v>
      </c>
      <c r="J4741" s="78"/>
    </row>
    <row r="4742" spans="2:10" hidden="1">
      <c r="B4742" s="26" t="s">
        <v>58</v>
      </c>
      <c r="G4742" s="78" t="s">
        <v>1697</v>
      </c>
      <c r="H4742" s="68">
        <v>630</v>
      </c>
      <c r="I4742" s="26" t="s">
        <v>3477</v>
      </c>
      <c r="J4742" s="78"/>
    </row>
    <row r="4743" spans="2:10" hidden="1">
      <c r="B4743" s="26" t="s">
        <v>4396</v>
      </c>
      <c r="J4743" s="78"/>
    </row>
    <row r="4744" spans="2:10" hidden="1">
      <c r="B4744" s="26" t="s">
        <v>59</v>
      </c>
      <c r="J4744" s="78"/>
    </row>
    <row r="4745" spans="2:10" hidden="1">
      <c r="B4745" s="26" t="s">
        <v>1439</v>
      </c>
      <c r="J4745" s="78"/>
    </row>
    <row r="4746" spans="2:10" hidden="1">
      <c r="B4746" s="26" t="s">
        <v>4562</v>
      </c>
      <c r="H4746" s="68">
        <v>1890</v>
      </c>
      <c r="I4746" s="26" t="s">
        <v>3479</v>
      </c>
      <c r="J4746" s="78"/>
    </row>
    <row r="4747" spans="2:10" hidden="1">
      <c r="B4747" s="26" t="s">
        <v>4450</v>
      </c>
      <c r="H4747" s="68">
        <v>0.25</v>
      </c>
      <c r="I4747" s="26" t="s">
        <v>2602</v>
      </c>
      <c r="J4747" s="78"/>
    </row>
    <row r="4748" spans="2:10" hidden="1">
      <c r="B4748" s="26" t="s">
        <v>4563</v>
      </c>
      <c r="H4748" s="68">
        <v>496</v>
      </c>
      <c r="I4748" s="26" t="s">
        <v>3477</v>
      </c>
      <c r="J4748" s="78"/>
    </row>
    <row r="4749" spans="2:10" hidden="1">
      <c r="B4749" s="26" t="s">
        <v>3248</v>
      </c>
      <c r="H4749" s="68">
        <v>100</v>
      </c>
      <c r="I4749" s="26" t="s">
        <v>3477</v>
      </c>
      <c r="J4749" s="78"/>
    </row>
    <row r="4750" spans="2:10" hidden="1">
      <c r="B4750" s="26" t="s">
        <v>4564</v>
      </c>
      <c r="H4750" s="68">
        <v>4.96</v>
      </c>
      <c r="I4750" s="26" t="s">
        <v>4665</v>
      </c>
      <c r="J4750" s="78"/>
    </row>
    <row r="4751" spans="2:10" hidden="1">
      <c r="B4751" s="26" t="s">
        <v>6679</v>
      </c>
      <c r="J4751" s="78"/>
    </row>
    <row r="4752" spans="2:10" hidden="1">
      <c r="B4752" s="26" t="s">
        <v>6680</v>
      </c>
      <c r="H4752" s="68">
        <v>0.8</v>
      </c>
      <c r="I4752" s="26" t="s">
        <v>4665</v>
      </c>
      <c r="J4752" s="78"/>
    </row>
    <row r="4753" spans="2:10" hidden="1">
      <c r="B4753" s="26" t="s">
        <v>3454</v>
      </c>
      <c r="J4753" s="78"/>
    </row>
    <row r="4754" spans="2:10" hidden="1">
      <c r="B4754" s="26" t="s">
        <v>5213</v>
      </c>
      <c r="J4754" s="78"/>
    </row>
    <row r="4755" spans="2:10" hidden="1">
      <c r="B4755" s="26" t="s">
        <v>1440</v>
      </c>
      <c r="J4755" s="78"/>
    </row>
    <row r="4756" spans="2:10" hidden="1">
      <c r="B4756" s="26" t="s">
        <v>4340</v>
      </c>
      <c r="J4756" s="78"/>
    </row>
    <row r="4757" spans="2:10" hidden="1">
      <c r="B4757" s="26" t="s">
        <v>5214</v>
      </c>
      <c r="J4757" s="78"/>
    </row>
    <row r="4758" spans="2:10" hidden="1">
      <c r="B4758" s="26" t="s">
        <v>6681</v>
      </c>
      <c r="G4758" s="171" t="s">
        <v>1697</v>
      </c>
      <c r="H4758" s="68">
        <v>792</v>
      </c>
      <c r="I4758" s="26" t="s">
        <v>3477</v>
      </c>
      <c r="J4758" s="78"/>
    </row>
    <row r="4759" spans="2:10" hidden="1">
      <c r="B4759" s="26" t="s">
        <v>6514</v>
      </c>
      <c r="G4759" s="171" t="s">
        <v>1697</v>
      </c>
      <c r="H4759" s="68">
        <v>250</v>
      </c>
      <c r="I4759" s="26" t="s">
        <v>3477</v>
      </c>
      <c r="J4759" s="78"/>
    </row>
    <row r="4760" spans="2:10" hidden="1">
      <c r="B4760" s="26" t="s">
        <v>6682</v>
      </c>
      <c r="G4760" s="171" t="s">
        <v>1123</v>
      </c>
      <c r="H4760" s="68">
        <v>3.2</v>
      </c>
      <c r="I4760" s="26" t="s">
        <v>4665</v>
      </c>
      <c r="J4760" s="78"/>
    </row>
    <row r="4761" spans="2:10" hidden="1">
      <c r="B4761" s="26" t="s">
        <v>5217</v>
      </c>
      <c r="J4761" s="78"/>
    </row>
    <row r="4762" spans="2:10" hidden="1">
      <c r="B4762" s="26" t="s">
        <v>4341</v>
      </c>
      <c r="J4762" s="78"/>
    </row>
    <row r="4763" spans="2:10" hidden="1">
      <c r="B4763" s="26" t="s">
        <v>1441</v>
      </c>
      <c r="J4763" s="78"/>
    </row>
    <row r="4764" spans="2:10" hidden="1">
      <c r="B4764" s="26" t="s">
        <v>6677</v>
      </c>
      <c r="J4764" s="78"/>
    </row>
    <row r="4765" spans="2:10" hidden="1">
      <c r="B4765" s="26" t="s">
        <v>458</v>
      </c>
      <c r="J4765" s="78"/>
    </row>
    <row r="4766" spans="2:10" hidden="1">
      <c r="B4766" s="26" t="s">
        <v>459</v>
      </c>
      <c r="J4766" s="78"/>
    </row>
    <row r="4767" spans="2:10" hidden="1">
      <c r="B4767" s="26" t="s">
        <v>3733</v>
      </c>
      <c r="J4767" s="78"/>
    </row>
    <row r="4768" spans="2:10" hidden="1">
      <c r="B4768" s="26" t="s">
        <v>460</v>
      </c>
      <c r="J4768" s="78"/>
    </row>
    <row r="4769" spans="2:10" hidden="1">
      <c r="B4769" s="26" t="s">
        <v>7012</v>
      </c>
      <c r="J4769" s="78"/>
    </row>
    <row r="4770" spans="2:10" hidden="1">
      <c r="B4770" s="26" t="s">
        <v>2325</v>
      </c>
      <c r="J4770" s="78"/>
    </row>
    <row r="4771" spans="2:10" hidden="1">
      <c r="B4771" s="26" t="s">
        <v>5218</v>
      </c>
      <c r="J4771" s="78"/>
    </row>
    <row r="4772" spans="2:10" hidden="1">
      <c r="B4772" s="26" t="s">
        <v>7013</v>
      </c>
      <c r="J4772" s="78"/>
    </row>
    <row r="4773" spans="2:10" hidden="1">
      <c r="B4773" s="26" t="s">
        <v>7014</v>
      </c>
      <c r="J4773" s="78"/>
    </row>
    <row r="4774" spans="2:10" hidden="1">
      <c r="B4774" s="26" t="s">
        <v>9259</v>
      </c>
      <c r="J4774" s="78"/>
    </row>
    <row r="4775" spans="2:10" hidden="1">
      <c r="B4775" s="26" t="s">
        <v>7015</v>
      </c>
      <c r="J4775" s="78"/>
    </row>
    <row r="4776" spans="2:10" hidden="1">
      <c r="B4776" s="26" t="s">
        <v>3650</v>
      </c>
      <c r="G4776" s="171" t="s">
        <v>1697</v>
      </c>
      <c r="H4776" s="68">
        <v>1.9</v>
      </c>
      <c r="I4776" s="26" t="s">
        <v>2602</v>
      </c>
      <c r="J4776" s="78"/>
    </row>
    <row r="4777" spans="2:10" hidden="1">
      <c r="B4777" s="26" t="s">
        <v>4995</v>
      </c>
      <c r="G4777" s="171" t="s">
        <v>1697</v>
      </c>
      <c r="H4777" s="68">
        <v>4</v>
      </c>
      <c r="I4777" s="26" t="s">
        <v>3430</v>
      </c>
      <c r="J4777" s="78"/>
    </row>
    <row r="4778" spans="2:10" hidden="1">
      <c r="B4778" s="26" t="s">
        <v>4997</v>
      </c>
      <c r="G4778" s="171" t="s">
        <v>1697</v>
      </c>
      <c r="H4778" s="68">
        <v>0.3</v>
      </c>
      <c r="I4778" s="26" t="s">
        <v>2602</v>
      </c>
      <c r="J4778" s="78"/>
    </row>
    <row r="4779" spans="2:10" hidden="1">
      <c r="B4779" s="26" t="s">
        <v>4187</v>
      </c>
      <c r="G4779" s="171" t="s">
        <v>1697</v>
      </c>
      <c r="H4779" s="68">
        <v>9</v>
      </c>
      <c r="I4779" s="26" t="s">
        <v>2059</v>
      </c>
      <c r="J4779" s="78"/>
    </row>
    <row r="4780" spans="2:10" hidden="1">
      <c r="B4780" s="26" t="s">
        <v>2980</v>
      </c>
      <c r="G4780" s="171"/>
      <c r="H4780" s="68"/>
      <c r="J4780" s="78"/>
    </row>
    <row r="4781" spans="2:10" hidden="1">
      <c r="B4781" s="26" t="s">
        <v>1127</v>
      </c>
      <c r="G4781" s="171" t="s">
        <v>1123</v>
      </c>
      <c r="H4781" s="68">
        <v>160</v>
      </c>
      <c r="I4781" s="26" t="s">
        <v>3477</v>
      </c>
      <c r="J4781" s="78"/>
    </row>
    <row r="4782" spans="2:10" hidden="1">
      <c r="B4782" s="26" t="s">
        <v>4169</v>
      </c>
      <c r="G4782" s="171" t="s">
        <v>1123</v>
      </c>
      <c r="H4782" s="68">
        <v>5</v>
      </c>
      <c r="I4782" s="26" t="s">
        <v>4665</v>
      </c>
      <c r="J4782" s="78"/>
    </row>
    <row r="4783" spans="2:10" hidden="1">
      <c r="B4783" s="26" t="s">
        <v>292</v>
      </c>
      <c r="J4783" s="78"/>
    </row>
    <row r="4784" spans="2:10" hidden="1">
      <c r="B4784" s="26" t="s">
        <v>5043</v>
      </c>
      <c r="J4784" s="78"/>
    </row>
    <row r="4785" spans="1:10" hidden="1">
      <c r="J4785" s="78"/>
    </row>
    <row r="4786" spans="1:10">
      <c r="J4786" s="78"/>
    </row>
    <row r="4787" spans="1:10">
      <c r="A4787" s="822" t="s">
        <v>3984</v>
      </c>
      <c r="E4787" s="170" t="s">
        <v>2367</v>
      </c>
      <c r="J4787" s="78"/>
    </row>
    <row r="4788" spans="1:10">
      <c r="H4788" s="171" t="s">
        <v>297</v>
      </c>
      <c r="J4788" s="78"/>
    </row>
    <row r="4789" spans="1:10">
      <c r="B4789" s="170" t="s">
        <v>2368</v>
      </c>
      <c r="C4789" s="89"/>
      <c r="H4789" s="170">
        <v>630</v>
      </c>
      <c r="I4789" s="26" t="s">
        <v>3477</v>
      </c>
      <c r="J4789" s="78"/>
    </row>
    <row r="4790" spans="1:10">
      <c r="B4790" s="95" t="s">
        <v>2369</v>
      </c>
      <c r="D4790" s="175" t="s">
        <v>4443</v>
      </c>
      <c r="E4790" s="175"/>
      <c r="F4790" s="95" t="s">
        <v>2370</v>
      </c>
      <c r="G4790" s="95" t="s">
        <v>1166</v>
      </c>
      <c r="H4790" s="95" t="s">
        <v>6664</v>
      </c>
      <c r="I4790" s="95" t="s">
        <v>6665</v>
      </c>
      <c r="J4790" s="78"/>
    </row>
    <row r="4791" spans="1:10">
      <c r="B4791" s="191"/>
      <c r="C4791" s="89"/>
      <c r="D4791" s="174"/>
      <c r="E4791" s="174"/>
      <c r="F4791" s="191"/>
      <c r="G4791" s="114"/>
      <c r="H4791" s="114" t="s">
        <v>3856</v>
      </c>
      <c r="I4791" s="114" t="s">
        <v>3857</v>
      </c>
      <c r="J4791" s="78"/>
    </row>
    <row r="4792" spans="1:10">
      <c r="B4792" s="107">
        <v>1</v>
      </c>
      <c r="C4792" s="148" t="s">
        <v>6976</v>
      </c>
      <c r="D4792" s="187"/>
      <c r="E4792" s="187"/>
      <c r="F4792" s="107"/>
      <c r="G4792" s="179">
        <v>0</v>
      </c>
      <c r="H4792" s="179">
        <v>0</v>
      </c>
      <c r="I4792" s="155">
        <f>H4792*G4792</f>
        <v>0</v>
      </c>
      <c r="J4792" s="78"/>
    </row>
    <row r="4793" spans="1:10">
      <c r="B4793" s="191"/>
      <c r="C4793" s="89"/>
      <c r="D4793" s="174"/>
      <c r="E4793" s="174"/>
      <c r="F4793" s="191"/>
      <c r="G4793" s="182">
        <v>0</v>
      </c>
      <c r="H4793" s="182">
        <v>0</v>
      </c>
      <c r="I4793" s="155">
        <f>H4793*G4793</f>
        <v>0</v>
      </c>
      <c r="J4793" s="78"/>
    </row>
    <row r="4794" spans="1:10">
      <c r="B4794" s="184"/>
      <c r="C4794" s="151"/>
      <c r="D4794" s="159"/>
      <c r="E4794" s="159" t="s">
        <v>2376</v>
      </c>
      <c r="F4794" s="159"/>
      <c r="G4794" s="159"/>
      <c r="H4794" s="208" t="s">
        <v>1698</v>
      </c>
      <c r="I4794" s="209">
        <f>SUM(I4792:I4793)</f>
        <v>0</v>
      </c>
      <c r="J4794" s="78"/>
    </row>
    <row r="4795" spans="1:10">
      <c r="B4795" s="31"/>
      <c r="C4795" s="76"/>
      <c r="D4795" s="31"/>
      <c r="E4795" s="31"/>
      <c r="F4795" s="31"/>
      <c r="G4795" s="31"/>
      <c r="H4795" s="200"/>
      <c r="I4795" s="75"/>
      <c r="J4795" s="78"/>
    </row>
    <row r="4796" spans="1:10">
      <c r="B4796" s="170" t="s">
        <v>2377</v>
      </c>
      <c r="C4796" s="89"/>
      <c r="J4796" s="78"/>
    </row>
    <row r="4797" spans="1:10">
      <c r="B4797" s="95" t="s">
        <v>2369</v>
      </c>
      <c r="D4797" s="175" t="s">
        <v>2378</v>
      </c>
      <c r="E4797" s="175"/>
      <c r="F4797" s="95" t="s">
        <v>2370</v>
      </c>
      <c r="G4797" s="95" t="s">
        <v>1166</v>
      </c>
      <c r="H4797" s="95" t="s">
        <v>6664</v>
      </c>
      <c r="I4797" s="95" t="s">
        <v>6665</v>
      </c>
      <c r="J4797" s="78"/>
    </row>
    <row r="4798" spans="1:10">
      <c r="B4798" s="191"/>
      <c r="C4798" s="89"/>
      <c r="D4798" s="174"/>
      <c r="E4798" s="174"/>
      <c r="F4798" s="191"/>
      <c r="G4798" s="114"/>
      <c r="H4798" s="114" t="s">
        <v>3856</v>
      </c>
      <c r="I4798" s="114" t="s">
        <v>3857</v>
      </c>
      <c r="J4798" s="78"/>
    </row>
    <row r="4799" spans="1:10">
      <c r="B4799" s="105">
        <v>1</v>
      </c>
      <c r="C4799" s="76" t="s">
        <v>1502</v>
      </c>
      <c r="D4799" s="31"/>
      <c r="E4799" s="31"/>
      <c r="F4799" s="210" t="s">
        <v>2374</v>
      </c>
      <c r="G4799" s="190">
        <v>4</v>
      </c>
      <c r="H4799" s="190">
        <f>'HIRE CHARGES'!$D$499</f>
        <v>1715.5</v>
      </c>
      <c r="I4799" s="155">
        <f t="shared" ref="I4799:I4811" si="87">H4799*G4799</f>
        <v>6862</v>
      </c>
      <c r="J4799" s="78"/>
    </row>
    <row r="4800" spans="1:10">
      <c r="B4800" s="105"/>
      <c r="C4800" s="76" t="s">
        <v>2379</v>
      </c>
      <c r="D4800" s="31"/>
      <c r="E4800" s="31"/>
      <c r="F4800" s="210" t="s">
        <v>2374</v>
      </c>
      <c r="G4800" s="190">
        <v>4</v>
      </c>
      <c r="H4800" s="207">
        <f>'HIRE CHARGES'!$E$499</f>
        <v>610.5</v>
      </c>
      <c r="I4800" s="155">
        <f t="shared" si="87"/>
        <v>2442</v>
      </c>
      <c r="J4800" s="78"/>
    </row>
    <row r="4801" spans="2:10">
      <c r="B4801" s="105">
        <v>2</v>
      </c>
      <c r="C4801" s="76" t="s">
        <v>4170</v>
      </c>
      <c r="D4801" s="31"/>
      <c r="E4801" s="31"/>
      <c r="F4801" s="210" t="s">
        <v>2374</v>
      </c>
      <c r="G4801" s="190">
        <v>8</v>
      </c>
      <c r="H4801" s="190">
        <f>'HIRE CHARGES'!$D$543</f>
        <v>1706.6</v>
      </c>
      <c r="I4801" s="155">
        <f t="shared" si="87"/>
        <v>13652.8</v>
      </c>
      <c r="J4801" s="78"/>
    </row>
    <row r="4802" spans="2:10">
      <c r="B4802" s="105"/>
      <c r="C4802" s="76" t="s">
        <v>2379</v>
      </c>
      <c r="D4802" s="31"/>
      <c r="E4802" s="31"/>
      <c r="F4802" s="210" t="s">
        <v>2374</v>
      </c>
      <c r="G4802" s="190">
        <v>8</v>
      </c>
      <c r="H4802" s="190">
        <f>'HIRE CHARGES'!$E$543</f>
        <v>872.7</v>
      </c>
      <c r="I4802" s="155">
        <f t="shared" si="87"/>
        <v>6981.6</v>
      </c>
      <c r="J4802" s="78"/>
    </row>
    <row r="4803" spans="2:10">
      <c r="B4803" s="105">
        <v>3</v>
      </c>
      <c r="C4803" s="76" t="s">
        <v>6282</v>
      </c>
      <c r="D4803" s="31"/>
      <c r="E4803" s="31"/>
      <c r="F4803" s="210" t="s">
        <v>2374</v>
      </c>
      <c r="G4803" s="190">
        <v>32</v>
      </c>
      <c r="H4803" s="190">
        <f>'HIRE CHARGES'!$D$545</f>
        <v>446.7</v>
      </c>
      <c r="I4803" s="155">
        <f t="shared" si="87"/>
        <v>14294.4</v>
      </c>
      <c r="J4803" s="78"/>
    </row>
    <row r="4804" spans="2:10">
      <c r="B4804" s="105"/>
      <c r="C4804" s="76" t="s">
        <v>2379</v>
      </c>
      <c r="D4804" s="31"/>
      <c r="E4804" s="31"/>
      <c r="F4804" s="210" t="s">
        <v>2374</v>
      </c>
      <c r="G4804" s="190">
        <v>32</v>
      </c>
      <c r="H4804" s="182">
        <f>'HIRE CHARGES'!$E$545</f>
        <v>299.89999999999998</v>
      </c>
      <c r="I4804" s="155">
        <f t="shared" si="87"/>
        <v>9596.7999999999993</v>
      </c>
      <c r="J4804" s="78"/>
    </row>
    <row r="4805" spans="2:10">
      <c r="B4805" s="105">
        <v>4</v>
      </c>
      <c r="C4805" s="76" t="s">
        <v>4497</v>
      </c>
      <c r="D4805" s="31"/>
      <c r="E4805" s="31"/>
      <c r="F4805" s="210" t="s">
        <v>2374</v>
      </c>
      <c r="G4805" s="190">
        <v>3</v>
      </c>
      <c r="H4805" s="207">
        <f>'HIRE CHARGES'!$D$518</f>
        <v>3</v>
      </c>
      <c r="I4805" s="155">
        <f t="shared" si="87"/>
        <v>9</v>
      </c>
      <c r="J4805" s="78"/>
    </row>
    <row r="4806" spans="2:10">
      <c r="B4806" s="105"/>
      <c r="C4806" s="76" t="s">
        <v>2379</v>
      </c>
      <c r="D4806" s="31"/>
      <c r="E4806" s="31"/>
      <c r="F4806" s="210" t="s">
        <v>2374</v>
      </c>
      <c r="G4806" s="190">
        <v>3</v>
      </c>
      <c r="H4806" s="181">
        <f>'HIRE CHARGES'!$E$518</f>
        <v>28</v>
      </c>
      <c r="I4806" s="155">
        <f t="shared" si="87"/>
        <v>84</v>
      </c>
      <c r="J4806" s="78"/>
    </row>
    <row r="4807" spans="2:10">
      <c r="B4807" s="105">
        <v>5</v>
      </c>
      <c r="C4807" s="76" t="s">
        <v>6286</v>
      </c>
      <c r="D4807" s="31"/>
      <c r="E4807" s="31"/>
      <c r="F4807" s="210" t="s">
        <v>2374</v>
      </c>
      <c r="G4807" s="190">
        <v>5</v>
      </c>
      <c r="H4807" s="190">
        <f>'HIRE CHARGES'!$D$555</f>
        <v>402.5</v>
      </c>
      <c r="I4807" s="155">
        <f t="shared" si="87"/>
        <v>2012.5</v>
      </c>
      <c r="J4807" s="78"/>
    </row>
    <row r="4808" spans="2:10">
      <c r="B4808" s="105"/>
      <c r="C4808" s="76" t="s">
        <v>2379</v>
      </c>
      <c r="D4808" s="31"/>
      <c r="E4808" s="31"/>
      <c r="F4808" s="210" t="s">
        <v>2374</v>
      </c>
      <c r="G4808" s="190">
        <v>5</v>
      </c>
      <c r="H4808" s="190">
        <f>'HIRE CHARGES'!$E$555</f>
        <v>299.89999999999998</v>
      </c>
      <c r="I4808" s="155">
        <f t="shared" si="87"/>
        <v>1499.5</v>
      </c>
      <c r="J4808" s="78"/>
    </row>
    <row r="4809" spans="2:10">
      <c r="B4809" s="105">
        <v>6</v>
      </c>
      <c r="C4809" s="76" t="s">
        <v>9251</v>
      </c>
      <c r="D4809" s="31"/>
      <c r="E4809" s="31"/>
      <c r="F4809" s="210" t="s">
        <v>2374</v>
      </c>
      <c r="G4809" s="190">
        <v>5</v>
      </c>
      <c r="H4809" s="190">
        <f>'HIRE CHARGES'!$D$553</f>
        <v>1342.2</v>
      </c>
      <c r="I4809" s="155">
        <f t="shared" si="87"/>
        <v>6711</v>
      </c>
      <c r="J4809" s="78"/>
    </row>
    <row r="4810" spans="2:10">
      <c r="B4810" s="105"/>
      <c r="C4810" s="76" t="s">
        <v>2379</v>
      </c>
      <c r="D4810" s="31"/>
      <c r="E4810" s="31"/>
      <c r="F4810" s="210" t="s">
        <v>2374</v>
      </c>
      <c r="G4810" s="190">
        <v>5</v>
      </c>
      <c r="H4810" s="190">
        <f>'HIRE CHARGES'!$E$553</f>
        <v>1031.4000000000001</v>
      </c>
      <c r="I4810" s="155">
        <f t="shared" si="87"/>
        <v>5157</v>
      </c>
      <c r="J4810" s="78"/>
    </row>
    <row r="4811" spans="2:10">
      <c r="B4811" s="114">
        <v>7</v>
      </c>
      <c r="C4811" s="89" t="s">
        <v>2373</v>
      </c>
      <c r="D4811" s="174"/>
      <c r="E4811" s="174"/>
      <c r="F4811" s="191" t="s">
        <v>2173</v>
      </c>
      <c r="G4811" s="182">
        <v>5</v>
      </c>
      <c r="H4811" s="257">
        <f>'BASIC DATA'!$D$359</f>
        <v>30</v>
      </c>
      <c r="I4811" s="155">
        <f t="shared" si="87"/>
        <v>150</v>
      </c>
      <c r="J4811" s="78"/>
    </row>
    <row r="4812" spans="2:10">
      <c r="B4812" s="184"/>
      <c r="C4812" s="151"/>
      <c r="D4812" s="159"/>
      <c r="E4812" s="159" t="s">
        <v>2380</v>
      </c>
      <c r="F4812" s="159"/>
      <c r="G4812" s="159"/>
      <c r="H4812" s="208" t="s">
        <v>1698</v>
      </c>
      <c r="I4812" s="209">
        <f>SUM(I4799:I4811)</f>
        <v>69452.600000000006</v>
      </c>
      <c r="J4812" s="78"/>
    </row>
    <row r="4813" spans="2:10">
      <c r="B4813" s="31"/>
      <c r="C4813" s="76"/>
      <c r="D4813" s="31"/>
      <c r="E4813" s="31"/>
      <c r="F4813" s="31"/>
      <c r="G4813" s="31"/>
      <c r="H4813" s="200"/>
      <c r="I4813" s="75"/>
      <c r="J4813" s="78"/>
    </row>
    <row r="4814" spans="2:10">
      <c r="B4814" s="170" t="s">
        <v>2381</v>
      </c>
      <c r="C4814" s="89"/>
      <c r="J4814" s="78"/>
    </row>
    <row r="4815" spans="2:10">
      <c r="B4815" s="95" t="s">
        <v>2369</v>
      </c>
      <c r="D4815" s="175" t="s">
        <v>2378</v>
      </c>
      <c r="E4815" s="175"/>
      <c r="F4815" s="95" t="s">
        <v>2370</v>
      </c>
      <c r="G4815" s="95" t="s">
        <v>1166</v>
      </c>
      <c r="H4815" s="95" t="s">
        <v>6664</v>
      </c>
      <c r="I4815" s="95" t="s">
        <v>6665</v>
      </c>
      <c r="J4815" s="78"/>
    </row>
    <row r="4816" spans="2:10">
      <c r="B4816" s="191"/>
      <c r="C4816" s="89"/>
      <c r="D4816" s="174"/>
      <c r="E4816" s="174"/>
      <c r="F4816" s="191"/>
      <c r="G4816" s="114"/>
      <c r="H4816" s="114" t="s">
        <v>3856</v>
      </c>
      <c r="I4816" s="114" t="s">
        <v>3857</v>
      </c>
      <c r="J4816" s="78"/>
    </row>
    <row r="4817" spans="2:10">
      <c r="B4817" s="95">
        <v>1</v>
      </c>
      <c r="C4817" s="148" t="s">
        <v>2870</v>
      </c>
      <c r="D4817" s="187"/>
      <c r="E4817" s="187"/>
      <c r="F4817" s="107" t="s">
        <v>2374</v>
      </c>
      <c r="G4817" s="179">
        <v>4</v>
      </c>
      <c r="H4817" s="190">
        <f>'HIRE CHARGES'!$F$499</f>
        <v>236.6</v>
      </c>
      <c r="I4817" s="155">
        <f t="shared" ref="I4817:I4824" si="88">H4817*G4817</f>
        <v>946.4</v>
      </c>
      <c r="J4817" s="78"/>
    </row>
    <row r="4818" spans="2:10">
      <c r="B4818" s="105">
        <v>2</v>
      </c>
      <c r="C4818" s="76" t="s">
        <v>300</v>
      </c>
      <c r="D4818" s="31"/>
      <c r="E4818" s="31"/>
      <c r="F4818" s="210" t="s">
        <v>2374</v>
      </c>
      <c r="G4818" s="190">
        <v>8</v>
      </c>
      <c r="H4818" s="179">
        <f>'HIRE CHARGES'!$F$543</f>
        <v>236.6</v>
      </c>
      <c r="I4818" s="155">
        <f t="shared" si="88"/>
        <v>1892.8</v>
      </c>
      <c r="J4818" s="78"/>
    </row>
    <row r="4819" spans="2:10">
      <c r="B4819" s="105">
        <v>3</v>
      </c>
      <c r="C4819" s="76" t="s">
        <v>301</v>
      </c>
      <c r="D4819" s="31"/>
      <c r="E4819" s="31"/>
      <c r="F4819" s="210" t="s">
        <v>2374</v>
      </c>
      <c r="G4819" s="190">
        <v>32</v>
      </c>
      <c r="H4819" s="190">
        <f>'HIRE CHARGES'!$F$545</f>
        <v>177.5</v>
      </c>
      <c r="I4819" s="155">
        <f t="shared" si="88"/>
        <v>5680</v>
      </c>
      <c r="J4819" s="78"/>
    </row>
    <row r="4820" spans="2:10">
      <c r="B4820" s="105">
        <v>4</v>
      </c>
      <c r="C4820" s="76" t="s">
        <v>999</v>
      </c>
      <c r="D4820" s="31"/>
      <c r="E4820" s="31"/>
      <c r="F4820" s="210" t="s">
        <v>2374</v>
      </c>
      <c r="G4820" s="190">
        <v>3</v>
      </c>
      <c r="H4820" s="207">
        <f>'HIRE CHARGES'!$F$518</f>
        <v>83.3</v>
      </c>
      <c r="I4820" s="155">
        <f t="shared" si="88"/>
        <v>249.89999999999998</v>
      </c>
      <c r="J4820" s="78"/>
    </row>
    <row r="4821" spans="2:10">
      <c r="B4821" s="105">
        <v>5</v>
      </c>
      <c r="C4821" s="76" t="s">
        <v>1000</v>
      </c>
      <c r="D4821" s="31"/>
      <c r="E4821" s="31"/>
      <c r="F4821" s="210" t="s">
        <v>2374</v>
      </c>
      <c r="G4821" s="190">
        <v>5</v>
      </c>
      <c r="H4821" s="190">
        <f>'HIRE CHARGES'!$F$555</f>
        <v>177.5</v>
      </c>
      <c r="I4821" s="155">
        <f t="shared" si="88"/>
        <v>887.5</v>
      </c>
      <c r="J4821" s="78"/>
    </row>
    <row r="4822" spans="2:10">
      <c r="B4822" s="105">
        <v>6</v>
      </c>
      <c r="C4822" s="76" t="s">
        <v>1001</v>
      </c>
      <c r="D4822" s="31"/>
      <c r="E4822" s="31"/>
      <c r="F4822" s="210" t="s">
        <v>2374</v>
      </c>
      <c r="G4822" s="190">
        <v>5</v>
      </c>
      <c r="H4822" s="190">
        <f>'HIRE CHARGES'!$F$553</f>
        <v>263.60000000000002</v>
      </c>
      <c r="I4822" s="155">
        <f t="shared" si="88"/>
        <v>1318</v>
      </c>
      <c r="J4822" s="78"/>
    </row>
    <row r="4823" spans="2:10">
      <c r="B4823" s="105">
        <v>7</v>
      </c>
      <c r="C4823" s="76" t="s">
        <v>4206</v>
      </c>
      <c r="D4823" s="31"/>
      <c r="E4823" s="31"/>
      <c r="F4823" s="210" t="s">
        <v>1172</v>
      </c>
      <c r="G4823" s="190">
        <v>2</v>
      </c>
      <c r="H4823" s="190">
        <f>'BASIC DATA'!$C$473</f>
        <v>450</v>
      </c>
      <c r="I4823" s="155">
        <f t="shared" si="88"/>
        <v>900</v>
      </c>
      <c r="J4823" s="78"/>
    </row>
    <row r="4824" spans="2:10">
      <c r="B4824" s="105">
        <v>8</v>
      </c>
      <c r="C4824" s="76" t="s">
        <v>2697</v>
      </c>
      <c r="D4824" s="31"/>
      <c r="E4824" s="31"/>
      <c r="F4824" s="210" t="s">
        <v>1172</v>
      </c>
      <c r="G4824" s="190">
        <v>4</v>
      </c>
      <c r="H4824" s="207">
        <f>'BASIC DATA'!$C$552</f>
        <v>350</v>
      </c>
      <c r="I4824" s="155">
        <f t="shared" si="88"/>
        <v>1400</v>
      </c>
      <c r="J4824" s="78"/>
    </row>
    <row r="4825" spans="2:10">
      <c r="B4825" s="184"/>
      <c r="C4825" s="151"/>
      <c r="D4825" s="159"/>
      <c r="E4825" s="159"/>
      <c r="F4825" s="159" t="s">
        <v>1174</v>
      </c>
      <c r="G4825" s="159"/>
      <c r="H4825" s="208" t="s">
        <v>1698</v>
      </c>
      <c r="I4825" s="209">
        <f>SUM(I4817:I4824)</f>
        <v>13274.6</v>
      </c>
      <c r="J4825" s="78"/>
    </row>
    <row r="4826" spans="2:10">
      <c r="B4826" s="60" t="s">
        <v>5948</v>
      </c>
      <c r="C4826" s="76"/>
      <c r="D4826" s="31"/>
      <c r="E4826" s="31"/>
      <c r="F4826" s="31"/>
      <c r="G4826" s="85">
        <f>ROUND(I4825/H4789,1)</f>
        <v>21.1</v>
      </c>
      <c r="J4826" s="78"/>
    </row>
    <row r="4827" spans="2:10">
      <c r="B4827" s="60" t="s">
        <v>3163</v>
      </c>
      <c r="C4827" s="76"/>
      <c r="D4827" s="31"/>
      <c r="E4827" s="31"/>
      <c r="F4827" s="922">
        <f>'BASIC DATA'!$C$577</f>
        <v>0.13614999999999999</v>
      </c>
      <c r="G4827" s="85">
        <f>ROUND(G4826*F4827,1)</f>
        <v>2.9</v>
      </c>
      <c r="J4827" s="78"/>
    </row>
    <row r="4828" spans="2:10">
      <c r="B4828" s="60" t="s">
        <v>5949</v>
      </c>
      <c r="C4828" s="76"/>
      <c r="D4828" s="31"/>
      <c r="E4828" s="31"/>
      <c r="F4828" s="31"/>
      <c r="G4828" s="199">
        <f>ROUND(G4827+G4826,1)</f>
        <v>24</v>
      </c>
      <c r="J4828" s="78"/>
    </row>
    <row r="4829" spans="2:10">
      <c r="B4829" s="31"/>
      <c r="C4829" s="76"/>
      <c r="D4829" s="31"/>
      <c r="E4829" s="31"/>
      <c r="F4829" s="31"/>
      <c r="G4829" s="200"/>
      <c r="I4829" s="31"/>
      <c r="J4829" s="78"/>
    </row>
    <row r="4830" spans="2:10">
      <c r="B4830" s="170" t="s">
        <v>1175</v>
      </c>
      <c r="J4830" s="78"/>
    </row>
    <row r="4831" spans="2:10">
      <c r="B4831" s="26" t="s">
        <v>1176</v>
      </c>
      <c r="H4831" s="171" t="s">
        <v>1698</v>
      </c>
      <c r="I4831" s="117">
        <f>I4794</f>
        <v>0</v>
      </c>
      <c r="J4831" s="78"/>
    </row>
    <row r="4832" spans="2:10">
      <c r="B4832" s="26" t="s">
        <v>1186</v>
      </c>
      <c r="H4832" s="171" t="s">
        <v>1698</v>
      </c>
      <c r="I4832" s="117">
        <f>I4812</f>
        <v>69452.600000000006</v>
      </c>
      <c r="J4832" s="78"/>
    </row>
    <row r="4833" spans="1:10">
      <c r="B4833" s="26" t="s">
        <v>2660</v>
      </c>
      <c r="H4833" s="171" t="s">
        <v>1698</v>
      </c>
      <c r="I4833" s="117">
        <f>I4825</f>
        <v>13274.6</v>
      </c>
      <c r="J4833" s="78"/>
    </row>
    <row r="4834" spans="1:10">
      <c r="G4834" s="171" t="s">
        <v>1518</v>
      </c>
      <c r="H4834" s="171" t="s">
        <v>1698</v>
      </c>
      <c r="I4834" s="130">
        <f>SUM(I4831:I4833)</f>
        <v>82727.200000000012</v>
      </c>
      <c r="J4834" s="78"/>
    </row>
    <row r="4835" spans="1:10" ht="18.75">
      <c r="B4835" s="1207" t="s">
        <v>8375</v>
      </c>
      <c r="C4835" s="1207"/>
      <c r="D4835" s="1207"/>
      <c r="E4835" s="1207"/>
      <c r="F4835" s="1207"/>
      <c r="G4835" s="922">
        <f>'BASIC DATA'!$C$577</f>
        <v>0.13614999999999999</v>
      </c>
      <c r="H4835" s="171" t="s">
        <v>4108</v>
      </c>
      <c r="I4835" s="76">
        <f>ROUND(I4834*G4835,2)</f>
        <v>11263.31</v>
      </c>
      <c r="J4835" s="78"/>
    </row>
    <row r="4836" spans="1:10">
      <c r="B4836" s="1206" t="s">
        <v>1191</v>
      </c>
      <c r="C4836" s="1206"/>
      <c r="D4836" s="1206"/>
      <c r="E4836" s="1206"/>
      <c r="F4836" s="202">
        <f>H4789</f>
        <v>630</v>
      </c>
      <c r="G4836" s="202" t="str">
        <f>I4789</f>
        <v>cum</v>
      </c>
      <c r="H4836" s="171" t="s">
        <v>1698</v>
      </c>
      <c r="I4836" s="199">
        <f>I4835+I4834</f>
        <v>93990.510000000009</v>
      </c>
      <c r="J4836" s="78"/>
    </row>
    <row r="4837" spans="1:10">
      <c r="B4837" s="1161" t="s">
        <v>3884</v>
      </c>
      <c r="C4837" s="1161"/>
      <c r="D4837" s="246" t="str">
        <f>G4836</f>
        <v>cum</v>
      </c>
      <c r="F4837" s="26" t="s">
        <v>1395</v>
      </c>
      <c r="H4837" s="171" t="s">
        <v>1698</v>
      </c>
      <c r="I4837" s="204">
        <f>ROUND(I4836/F4836,1)</f>
        <v>149.19999999999999</v>
      </c>
      <c r="J4837" s="78"/>
    </row>
    <row r="4838" spans="1:10">
      <c r="J4838" s="78"/>
    </row>
    <row r="4839" spans="1:10">
      <c r="J4839" s="78"/>
    </row>
    <row r="4840" spans="1:10" ht="18.75">
      <c r="A4840" s="822" t="s">
        <v>7366</v>
      </c>
      <c r="B4840" s="26" t="s">
        <v>8525</v>
      </c>
      <c r="J4840" s="78"/>
    </row>
    <row r="4841" spans="1:10">
      <c r="B4841" s="26" t="s">
        <v>8526</v>
      </c>
      <c r="J4841" s="78"/>
    </row>
    <row r="4842" spans="1:10">
      <c r="B4842" s="26" t="s">
        <v>1204</v>
      </c>
      <c r="J4842" s="78"/>
    </row>
    <row r="4843" spans="1:10">
      <c r="B4843" s="26" t="s">
        <v>6678</v>
      </c>
      <c r="J4843" s="78"/>
    </row>
    <row r="4844" spans="1:10" ht="18.75">
      <c r="B4844" s="26" t="s">
        <v>8527</v>
      </c>
      <c r="J4844" s="78"/>
    </row>
    <row r="4845" spans="1:10">
      <c r="B4845" s="26" t="s">
        <v>9257</v>
      </c>
      <c r="J4845" s="78"/>
    </row>
    <row r="4846" spans="1:10" ht="18.75">
      <c r="B4846" s="170" t="s">
        <v>8528</v>
      </c>
      <c r="J4846" s="78"/>
    </row>
    <row r="4847" spans="1:10" hidden="1">
      <c r="A4847" s="822" t="s">
        <v>3984</v>
      </c>
      <c r="B4847" s="26" t="s">
        <v>602</v>
      </c>
      <c r="G4847" s="171" t="s">
        <v>1697</v>
      </c>
      <c r="H4847" s="68">
        <v>0.85</v>
      </c>
      <c r="I4847" s="26" t="s">
        <v>3477</v>
      </c>
      <c r="J4847" s="78"/>
    </row>
    <row r="4848" spans="1:10" hidden="1">
      <c r="B4848" s="26" t="s">
        <v>603</v>
      </c>
      <c r="G4848" s="171" t="s">
        <v>1697</v>
      </c>
      <c r="H4848" s="68">
        <v>0.98</v>
      </c>
      <c r="I4848" s="26" t="s">
        <v>3477</v>
      </c>
      <c r="J4848" s="78"/>
    </row>
    <row r="4849" spans="2:10" hidden="1">
      <c r="B4849" s="26" t="s">
        <v>604</v>
      </c>
      <c r="G4849" s="171" t="s">
        <v>1697</v>
      </c>
      <c r="H4849" s="68">
        <v>5</v>
      </c>
      <c r="I4849" s="26" t="s">
        <v>3477</v>
      </c>
      <c r="J4849" s="78"/>
    </row>
    <row r="4850" spans="2:10" hidden="1">
      <c r="B4850" s="26" t="s">
        <v>2541</v>
      </c>
      <c r="G4850" s="171" t="s">
        <v>2982</v>
      </c>
      <c r="H4850" s="68">
        <v>1</v>
      </c>
      <c r="I4850" s="26" t="s">
        <v>3430</v>
      </c>
      <c r="J4850" s="78"/>
    </row>
    <row r="4851" spans="2:10" hidden="1">
      <c r="B4851" s="26" t="s">
        <v>4569</v>
      </c>
      <c r="G4851" s="171" t="s">
        <v>1697</v>
      </c>
      <c r="H4851" s="68">
        <v>20</v>
      </c>
      <c r="I4851" s="26" t="s">
        <v>6703</v>
      </c>
      <c r="J4851" s="78"/>
    </row>
    <row r="4852" spans="2:10" hidden="1">
      <c r="B4852" s="26" t="s">
        <v>5632</v>
      </c>
      <c r="G4852" s="171" t="s">
        <v>1697</v>
      </c>
      <c r="H4852" s="68">
        <v>25</v>
      </c>
      <c r="I4852" s="26" t="s">
        <v>6703</v>
      </c>
      <c r="J4852" s="78"/>
    </row>
    <row r="4853" spans="2:10" hidden="1">
      <c r="B4853" s="26" t="s">
        <v>3985</v>
      </c>
      <c r="G4853" s="171" t="s">
        <v>1697</v>
      </c>
      <c r="H4853" s="68">
        <v>2</v>
      </c>
      <c r="I4853" s="26" t="s">
        <v>2603</v>
      </c>
      <c r="J4853" s="78"/>
    </row>
    <row r="4854" spans="2:10" hidden="1">
      <c r="B4854" s="26" t="s">
        <v>5578</v>
      </c>
      <c r="G4854" s="171" t="s">
        <v>1697</v>
      </c>
      <c r="H4854" s="68">
        <v>16</v>
      </c>
      <c r="I4854" s="26" t="s">
        <v>3434</v>
      </c>
      <c r="J4854" s="78"/>
    </row>
    <row r="4855" spans="2:10" hidden="1">
      <c r="B4855" s="26" t="s">
        <v>2450</v>
      </c>
      <c r="G4855" s="171" t="s">
        <v>1697</v>
      </c>
      <c r="H4855" s="68">
        <v>0.9</v>
      </c>
      <c r="I4855" s="26" t="s">
        <v>3477</v>
      </c>
      <c r="J4855" s="78"/>
    </row>
    <row r="4856" spans="2:10" hidden="1">
      <c r="B4856" s="26" t="s">
        <v>728</v>
      </c>
      <c r="G4856" s="171" t="s">
        <v>1697</v>
      </c>
      <c r="H4856" s="68">
        <v>4.5</v>
      </c>
      <c r="I4856" s="26" t="s">
        <v>3477</v>
      </c>
      <c r="J4856" s="78"/>
    </row>
    <row r="4857" spans="2:10" hidden="1">
      <c r="B4857" s="26" t="s">
        <v>729</v>
      </c>
      <c r="G4857" s="171" t="s">
        <v>1123</v>
      </c>
      <c r="H4857" s="68">
        <v>5</v>
      </c>
      <c r="I4857" s="26" t="s">
        <v>4932</v>
      </c>
      <c r="J4857" s="78"/>
    </row>
    <row r="4858" spans="2:10" hidden="1">
      <c r="B4858" s="26" t="s">
        <v>4612</v>
      </c>
      <c r="G4858" s="171" t="s">
        <v>1123</v>
      </c>
      <c r="H4858" s="68">
        <v>4.5</v>
      </c>
      <c r="I4858" s="26" t="s">
        <v>3477</v>
      </c>
      <c r="J4858" s="78"/>
    </row>
    <row r="4859" spans="2:10" hidden="1">
      <c r="B4859" s="26" t="s">
        <v>3735</v>
      </c>
      <c r="G4859" s="171" t="s">
        <v>1123</v>
      </c>
      <c r="H4859" s="68">
        <v>1.33</v>
      </c>
      <c r="I4859" s="26" t="s">
        <v>2603</v>
      </c>
      <c r="J4859" s="78"/>
    </row>
    <row r="4860" spans="2:10" hidden="1">
      <c r="B4860" s="26" t="s">
        <v>560</v>
      </c>
      <c r="J4860" s="78"/>
    </row>
    <row r="4861" spans="2:10" hidden="1">
      <c r="B4861" s="26" t="s">
        <v>5067</v>
      </c>
      <c r="J4861" s="78"/>
    </row>
    <row r="4862" spans="2:10" hidden="1">
      <c r="B4862" s="26" t="s">
        <v>5068</v>
      </c>
      <c r="J4862" s="78"/>
    </row>
    <row r="4863" spans="2:10" hidden="1">
      <c r="B4863" s="26" t="s">
        <v>5069</v>
      </c>
      <c r="J4863" s="78"/>
    </row>
    <row r="4864" spans="2:10" hidden="1">
      <c r="B4864" s="26" t="s">
        <v>5070</v>
      </c>
      <c r="J4864" s="78"/>
    </row>
    <row r="4865" spans="2:10" hidden="1">
      <c r="B4865" s="26" t="s">
        <v>561</v>
      </c>
      <c r="J4865" s="78"/>
    </row>
    <row r="4866" spans="2:10" hidden="1">
      <c r="B4866" s="26" t="s">
        <v>1613</v>
      </c>
      <c r="J4866" s="78"/>
    </row>
    <row r="4867" spans="2:10" hidden="1">
      <c r="B4867" s="26" t="s">
        <v>624</v>
      </c>
      <c r="G4867" s="171" t="s">
        <v>1697</v>
      </c>
      <c r="H4867" s="68">
        <v>1.6</v>
      </c>
      <c r="I4867" s="26" t="s">
        <v>6902</v>
      </c>
      <c r="J4867" s="78"/>
    </row>
    <row r="4868" spans="2:10" hidden="1">
      <c r="B4868" s="26" t="s">
        <v>1490</v>
      </c>
      <c r="G4868" s="171" t="s">
        <v>1697</v>
      </c>
      <c r="H4868" s="68">
        <v>3</v>
      </c>
      <c r="I4868" s="26" t="s">
        <v>6902</v>
      </c>
      <c r="J4868" s="78"/>
    </row>
    <row r="4869" spans="2:10" hidden="1">
      <c r="B4869" s="26" t="s">
        <v>705</v>
      </c>
      <c r="G4869" s="171" t="s">
        <v>1697</v>
      </c>
      <c r="H4869" s="68">
        <v>2</v>
      </c>
      <c r="I4869" s="26" t="s">
        <v>6902</v>
      </c>
      <c r="J4869" s="78"/>
    </row>
    <row r="4870" spans="2:10" hidden="1">
      <c r="B4870" s="26" t="s">
        <v>1491</v>
      </c>
      <c r="G4870" s="171" t="s">
        <v>1697</v>
      </c>
      <c r="H4870" s="68">
        <v>2.4</v>
      </c>
      <c r="I4870" s="26" t="s">
        <v>6902</v>
      </c>
      <c r="J4870" s="78"/>
    </row>
    <row r="4871" spans="2:10" hidden="1">
      <c r="B4871" s="26" t="s">
        <v>263</v>
      </c>
      <c r="G4871" s="171" t="s">
        <v>1697</v>
      </c>
      <c r="H4871" s="68">
        <v>0.5</v>
      </c>
      <c r="I4871" s="26" t="s">
        <v>6902</v>
      </c>
      <c r="J4871" s="78"/>
    </row>
    <row r="4872" spans="2:10" hidden="1">
      <c r="F4872" s="26" t="s">
        <v>1518</v>
      </c>
      <c r="G4872" s="171" t="s">
        <v>1697</v>
      </c>
      <c r="H4872" s="68">
        <f>SUM(H4867:H4871)</f>
        <v>9.5</v>
      </c>
      <c r="I4872" s="26" t="s">
        <v>6902</v>
      </c>
      <c r="J4872" s="78"/>
    </row>
    <row r="4873" spans="2:10" hidden="1">
      <c r="B4873" s="26" t="s">
        <v>3991</v>
      </c>
      <c r="H4873" s="68">
        <v>6</v>
      </c>
      <c r="I4873" s="26" t="s">
        <v>4041</v>
      </c>
      <c r="J4873" s="78"/>
    </row>
    <row r="4874" spans="2:10" hidden="1">
      <c r="B4874" s="26" t="s">
        <v>7110</v>
      </c>
      <c r="H4874" s="68">
        <v>23.7</v>
      </c>
      <c r="I4874" s="26" t="s">
        <v>5336</v>
      </c>
      <c r="J4874" s="78"/>
    </row>
    <row r="4875" spans="2:10" hidden="1">
      <c r="B4875" s="26" t="s">
        <v>7111</v>
      </c>
      <c r="F4875" s="26" t="s">
        <v>1564</v>
      </c>
      <c r="G4875" s="78" t="s">
        <v>1697</v>
      </c>
      <c r="H4875" s="68">
        <v>1140</v>
      </c>
      <c r="I4875" s="26" t="s">
        <v>5336</v>
      </c>
      <c r="J4875" s="78"/>
    </row>
    <row r="4876" spans="2:10" hidden="1">
      <c r="B4876" s="26" t="s">
        <v>562</v>
      </c>
      <c r="J4876" s="78"/>
    </row>
    <row r="4877" spans="2:10" hidden="1">
      <c r="B4877" s="26" t="s">
        <v>4492</v>
      </c>
      <c r="J4877" s="78"/>
    </row>
    <row r="4878" spans="2:10" hidden="1">
      <c r="B4878" s="26" t="s">
        <v>3844</v>
      </c>
      <c r="J4878" s="78"/>
    </row>
    <row r="4879" spans="2:10" hidden="1">
      <c r="B4879" s="26" t="s">
        <v>3845</v>
      </c>
      <c r="G4879" s="171" t="s">
        <v>1697</v>
      </c>
      <c r="H4879" s="68">
        <v>970</v>
      </c>
      <c r="I4879" s="26" t="s">
        <v>3477</v>
      </c>
      <c r="J4879" s="78"/>
    </row>
    <row r="4880" spans="2:10" hidden="1">
      <c r="B4880" s="26" t="s">
        <v>4396</v>
      </c>
      <c r="J4880" s="78"/>
    </row>
    <row r="4881" spans="2:10" hidden="1">
      <c r="B4881" s="26" t="s">
        <v>2551</v>
      </c>
      <c r="J4881" s="78"/>
    </row>
    <row r="4882" spans="2:10" hidden="1">
      <c r="B4882" s="26" t="s">
        <v>3454</v>
      </c>
      <c r="J4882" s="78"/>
    </row>
    <row r="4883" spans="2:10" hidden="1">
      <c r="B4883" s="26" t="s">
        <v>5213</v>
      </c>
      <c r="J4883" s="78"/>
    </row>
    <row r="4884" spans="2:10" hidden="1">
      <c r="B4884" s="26" t="s">
        <v>3846</v>
      </c>
      <c r="J4884" s="78"/>
    </row>
    <row r="4885" spans="2:10" hidden="1">
      <c r="B4885" s="26" t="s">
        <v>4340</v>
      </c>
      <c r="J4885" s="78"/>
    </row>
    <row r="4886" spans="2:10" hidden="1">
      <c r="B4886" s="26" t="s">
        <v>5214</v>
      </c>
      <c r="J4886" s="78"/>
    </row>
    <row r="4887" spans="2:10" hidden="1">
      <c r="B4887" s="26" t="s">
        <v>4300</v>
      </c>
      <c r="G4887" s="171" t="s">
        <v>1697</v>
      </c>
      <c r="H4887" s="68">
        <v>1140</v>
      </c>
      <c r="I4887" s="26" t="s">
        <v>3477</v>
      </c>
      <c r="J4887" s="78"/>
    </row>
    <row r="4888" spans="2:10" hidden="1">
      <c r="B4888" s="26" t="s">
        <v>6514</v>
      </c>
      <c r="G4888" s="171" t="s">
        <v>1697</v>
      </c>
      <c r="H4888" s="68">
        <v>250</v>
      </c>
      <c r="I4888" s="26" t="s">
        <v>3477</v>
      </c>
      <c r="J4888" s="78"/>
    </row>
    <row r="4889" spans="2:10" hidden="1">
      <c r="B4889" s="26" t="s">
        <v>4301</v>
      </c>
      <c r="G4889" s="171" t="s">
        <v>1123</v>
      </c>
      <c r="H4889" s="68">
        <v>4.5999999999999996</v>
      </c>
      <c r="I4889" s="26" t="s">
        <v>4665</v>
      </c>
      <c r="J4889" s="78"/>
    </row>
    <row r="4890" spans="2:10" hidden="1">
      <c r="B4890" s="26" t="s">
        <v>5217</v>
      </c>
      <c r="G4890" s="171"/>
      <c r="J4890" s="78"/>
    </row>
    <row r="4891" spans="2:10" hidden="1">
      <c r="B4891" s="26" t="s">
        <v>4341</v>
      </c>
      <c r="J4891" s="78"/>
    </row>
    <row r="4892" spans="2:10" hidden="1">
      <c r="B4892" s="26" t="s">
        <v>4342</v>
      </c>
      <c r="J4892" s="78"/>
    </row>
    <row r="4893" spans="2:10" hidden="1">
      <c r="B4893" s="26" t="s">
        <v>2228</v>
      </c>
      <c r="J4893" s="78"/>
    </row>
    <row r="4894" spans="2:10" hidden="1">
      <c r="B4894" s="26" t="s">
        <v>7138</v>
      </c>
      <c r="J4894" s="78"/>
    </row>
    <row r="4895" spans="2:10" hidden="1">
      <c r="B4895" s="26" t="s">
        <v>2229</v>
      </c>
      <c r="J4895" s="78"/>
    </row>
    <row r="4896" spans="2:10" hidden="1">
      <c r="B4896" s="26" t="s">
        <v>3762</v>
      </c>
      <c r="J4896" s="78"/>
    </row>
    <row r="4897" spans="2:10" hidden="1">
      <c r="B4897" s="26" t="s">
        <v>6047</v>
      </c>
      <c r="J4897" s="78"/>
    </row>
    <row r="4898" spans="2:10" hidden="1">
      <c r="B4898" s="26" t="s">
        <v>6723</v>
      </c>
      <c r="J4898" s="78"/>
    </row>
    <row r="4899" spans="2:10" hidden="1">
      <c r="B4899" s="26" t="s">
        <v>5218</v>
      </c>
      <c r="J4899" s="78"/>
    </row>
    <row r="4900" spans="2:10" hidden="1">
      <c r="B4900" s="26" t="s">
        <v>7013</v>
      </c>
      <c r="J4900" s="78"/>
    </row>
    <row r="4901" spans="2:10" hidden="1">
      <c r="B4901" s="26" t="s">
        <v>7014</v>
      </c>
      <c r="J4901" s="78"/>
    </row>
    <row r="4902" spans="2:10" hidden="1">
      <c r="B4902" s="26" t="s">
        <v>9259</v>
      </c>
      <c r="J4902" s="78"/>
    </row>
    <row r="4903" spans="2:10" hidden="1">
      <c r="B4903" s="26" t="s">
        <v>7015</v>
      </c>
      <c r="J4903" s="78"/>
    </row>
    <row r="4904" spans="2:10" hidden="1">
      <c r="B4904" s="26" t="s">
        <v>3650</v>
      </c>
      <c r="G4904" s="171" t="s">
        <v>1697</v>
      </c>
      <c r="H4904" s="68">
        <v>1.9</v>
      </c>
      <c r="I4904" s="26" t="s">
        <v>2602</v>
      </c>
      <c r="J4904" s="78"/>
    </row>
    <row r="4905" spans="2:10" hidden="1">
      <c r="B4905" s="26" t="s">
        <v>4995</v>
      </c>
      <c r="G4905" s="171" t="s">
        <v>1697</v>
      </c>
      <c r="H4905" s="68">
        <v>4</v>
      </c>
      <c r="I4905" s="26" t="s">
        <v>3430</v>
      </c>
      <c r="J4905" s="78"/>
    </row>
    <row r="4906" spans="2:10" hidden="1">
      <c r="B4906" s="26" t="s">
        <v>4997</v>
      </c>
      <c r="G4906" s="171" t="s">
        <v>1697</v>
      </c>
      <c r="H4906" s="68">
        <v>0.3</v>
      </c>
      <c r="I4906" s="26" t="s">
        <v>2602</v>
      </c>
      <c r="J4906" s="78"/>
    </row>
    <row r="4907" spans="2:10" hidden="1">
      <c r="B4907" s="26" t="s">
        <v>4187</v>
      </c>
      <c r="G4907" s="171" t="s">
        <v>1697</v>
      </c>
      <c r="H4907" s="68">
        <v>9</v>
      </c>
      <c r="I4907" s="26" t="s">
        <v>2059</v>
      </c>
      <c r="J4907" s="78"/>
    </row>
    <row r="4908" spans="2:10" hidden="1">
      <c r="B4908" s="26" t="s">
        <v>2980</v>
      </c>
      <c r="G4908" s="171"/>
      <c r="J4908" s="78"/>
    </row>
    <row r="4909" spans="2:10" hidden="1">
      <c r="B4909" s="26" t="s">
        <v>1127</v>
      </c>
      <c r="G4909" s="171" t="s">
        <v>1123</v>
      </c>
      <c r="H4909" s="68">
        <v>160</v>
      </c>
      <c r="I4909" s="26" t="s">
        <v>3477</v>
      </c>
      <c r="J4909" s="78"/>
    </row>
    <row r="4910" spans="2:10" hidden="1">
      <c r="B4910" s="26" t="s">
        <v>3763</v>
      </c>
      <c r="G4910" s="171" t="s">
        <v>1123</v>
      </c>
      <c r="H4910" s="68">
        <v>7</v>
      </c>
      <c r="I4910" s="26" t="s">
        <v>4665</v>
      </c>
      <c r="J4910" s="78"/>
    </row>
    <row r="4911" spans="2:10" hidden="1">
      <c r="B4911" s="26" t="s">
        <v>292</v>
      </c>
      <c r="J4911" s="78"/>
    </row>
    <row r="4912" spans="2:10" hidden="1">
      <c r="B4912" s="26" t="s">
        <v>5043</v>
      </c>
      <c r="J4912" s="78"/>
    </row>
    <row r="4913" spans="1:10">
      <c r="J4913" s="78"/>
    </row>
    <row r="4914" spans="1:10">
      <c r="A4914" s="822" t="s">
        <v>3984</v>
      </c>
      <c r="E4914" s="170" t="s">
        <v>2367</v>
      </c>
      <c r="J4914" s="78"/>
    </row>
    <row r="4915" spans="1:10">
      <c r="F4915" s="68"/>
      <c r="H4915" s="26" t="s">
        <v>297</v>
      </c>
      <c r="J4915" s="78"/>
    </row>
    <row r="4916" spans="1:10">
      <c r="B4916" s="170" t="s">
        <v>2368</v>
      </c>
      <c r="C4916" s="89"/>
      <c r="H4916" s="211">
        <v>970</v>
      </c>
      <c r="I4916" s="26" t="s">
        <v>3477</v>
      </c>
      <c r="J4916" s="78"/>
    </row>
    <row r="4917" spans="1:10">
      <c r="B4917" s="95" t="s">
        <v>2369</v>
      </c>
      <c r="D4917" s="175" t="s">
        <v>4443</v>
      </c>
      <c r="E4917" s="175"/>
      <c r="F4917" s="95" t="s">
        <v>2370</v>
      </c>
      <c r="G4917" s="95" t="s">
        <v>1166</v>
      </c>
      <c r="H4917" s="95" t="s">
        <v>6664</v>
      </c>
      <c r="I4917" s="95" t="s">
        <v>6665</v>
      </c>
      <c r="J4917" s="78"/>
    </row>
    <row r="4918" spans="1:10">
      <c r="B4918" s="191"/>
      <c r="C4918" s="89"/>
      <c r="D4918" s="174"/>
      <c r="E4918" s="174"/>
      <c r="F4918" s="191"/>
      <c r="G4918" s="114"/>
      <c r="H4918" s="114" t="s">
        <v>3856</v>
      </c>
      <c r="I4918" s="114" t="s">
        <v>3857</v>
      </c>
      <c r="J4918" s="78"/>
    </row>
    <row r="4919" spans="1:10">
      <c r="B4919" s="107">
        <v>1</v>
      </c>
      <c r="C4919" s="148" t="s">
        <v>6976</v>
      </c>
      <c r="D4919" s="187"/>
      <c r="E4919" s="187"/>
      <c r="F4919" s="107"/>
      <c r="G4919" s="179">
        <v>0</v>
      </c>
      <c r="H4919" s="179">
        <v>0</v>
      </c>
      <c r="I4919" s="155">
        <f>H4919*G4919</f>
        <v>0</v>
      </c>
      <c r="J4919" s="78"/>
    </row>
    <row r="4920" spans="1:10">
      <c r="B4920" s="191"/>
      <c r="C4920" s="89"/>
      <c r="D4920" s="174"/>
      <c r="E4920" s="174"/>
      <c r="F4920" s="191"/>
      <c r="G4920" s="182">
        <v>0</v>
      </c>
      <c r="H4920" s="182">
        <v>0</v>
      </c>
      <c r="I4920" s="155">
        <f>H4920*G4920</f>
        <v>0</v>
      </c>
      <c r="J4920" s="78"/>
    </row>
    <row r="4921" spans="1:10">
      <c r="B4921" s="184"/>
      <c r="C4921" s="151"/>
      <c r="D4921" s="159"/>
      <c r="E4921" s="159" t="s">
        <v>2376</v>
      </c>
      <c r="F4921" s="159"/>
      <c r="G4921" s="159"/>
      <c r="H4921" s="208" t="s">
        <v>1698</v>
      </c>
      <c r="I4921" s="209">
        <f>SUM(I4919:I4920)</f>
        <v>0</v>
      </c>
      <c r="J4921" s="78"/>
    </row>
    <row r="4922" spans="1:10">
      <c r="B4922" s="31"/>
      <c r="C4922" s="76"/>
      <c r="D4922" s="31"/>
      <c r="E4922" s="31"/>
      <c r="F4922" s="31"/>
      <c r="G4922" s="31"/>
      <c r="H4922" s="200"/>
      <c r="I4922" s="75"/>
      <c r="J4922" s="78"/>
    </row>
    <row r="4923" spans="1:10">
      <c r="B4923" s="170" t="s">
        <v>2377</v>
      </c>
      <c r="C4923" s="89"/>
      <c r="J4923" s="78"/>
    </row>
    <row r="4924" spans="1:10">
      <c r="B4924" s="95" t="s">
        <v>2369</v>
      </c>
      <c r="D4924" s="175" t="s">
        <v>2378</v>
      </c>
      <c r="E4924" s="175"/>
      <c r="F4924" s="95" t="s">
        <v>2370</v>
      </c>
      <c r="G4924" s="95" t="s">
        <v>1166</v>
      </c>
      <c r="H4924" s="95" t="s">
        <v>6664</v>
      </c>
      <c r="I4924" s="95" t="s">
        <v>6665</v>
      </c>
      <c r="J4924" s="78"/>
    </row>
    <row r="4925" spans="1:10">
      <c r="B4925" s="191"/>
      <c r="C4925" s="89"/>
      <c r="D4925" s="174"/>
      <c r="E4925" s="174"/>
      <c r="F4925" s="191"/>
      <c r="G4925" s="114"/>
      <c r="H4925" s="114" t="s">
        <v>3856</v>
      </c>
      <c r="I4925" s="114" t="s">
        <v>3857</v>
      </c>
      <c r="J4925" s="78"/>
    </row>
    <row r="4926" spans="1:10">
      <c r="B4926" s="95">
        <v>1</v>
      </c>
      <c r="C4926" s="148" t="s">
        <v>1502</v>
      </c>
      <c r="D4926" s="187"/>
      <c r="E4926" s="187"/>
      <c r="F4926" s="107" t="s">
        <v>2374</v>
      </c>
      <c r="G4926" s="179">
        <v>4.5999999999999996</v>
      </c>
      <c r="H4926" s="190">
        <f>'HIRE CHARGES'!$D$499</f>
        <v>1715.5</v>
      </c>
      <c r="I4926" s="155">
        <f t="shared" ref="I4926:I4938" si="89">H4926*G4926</f>
        <v>7891.2999999999993</v>
      </c>
      <c r="J4926" s="78"/>
    </row>
    <row r="4927" spans="1:10">
      <c r="B4927" s="105"/>
      <c r="C4927" s="76" t="s">
        <v>2379</v>
      </c>
      <c r="D4927" s="31"/>
      <c r="E4927" s="31"/>
      <c r="F4927" s="210" t="s">
        <v>2374</v>
      </c>
      <c r="G4927" s="190">
        <v>4.5999999999999996</v>
      </c>
      <c r="H4927" s="207">
        <f>'HIRE CHARGES'!$E$499</f>
        <v>610.5</v>
      </c>
      <c r="I4927" s="155">
        <f t="shared" si="89"/>
        <v>2808.2999999999997</v>
      </c>
      <c r="J4927" s="78"/>
    </row>
    <row r="4928" spans="1:10">
      <c r="B4928" s="105">
        <v>2</v>
      </c>
      <c r="C4928" s="76" t="s">
        <v>4170</v>
      </c>
      <c r="D4928" s="31"/>
      <c r="E4928" s="31"/>
      <c r="F4928" s="210" t="s">
        <v>2374</v>
      </c>
      <c r="G4928" s="190">
        <v>8</v>
      </c>
      <c r="H4928" s="190">
        <f>'HIRE CHARGES'!$D$543</f>
        <v>1706.6</v>
      </c>
      <c r="I4928" s="155">
        <f t="shared" si="89"/>
        <v>13652.8</v>
      </c>
      <c r="J4928" s="78"/>
    </row>
    <row r="4929" spans="2:10">
      <c r="B4929" s="105"/>
      <c r="C4929" s="76" t="s">
        <v>2379</v>
      </c>
      <c r="D4929" s="31"/>
      <c r="E4929" s="31"/>
      <c r="F4929" s="210" t="s">
        <v>2374</v>
      </c>
      <c r="G4929" s="190">
        <v>8</v>
      </c>
      <c r="H4929" s="190">
        <f>'HIRE CHARGES'!$E$543</f>
        <v>872.7</v>
      </c>
      <c r="I4929" s="155">
        <f t="shared" si="89"/>
        <v>6981.6</v>
      </c>
      <c r="J4929" s="78"/>
    </row>
    <row r="4930" spans="2:10">
      <c r="B4930" s="105">
        <v>3</v>
      </c>
      <c r="C4930" s="76" t="s">
        <v>6282</v>
      </c>
      <c r="D4930" s="31"/>
      <c r="E4930" s="31"/>
      <c r="F4930" s="210" t="s">
        <v>2374</v>
      </c>
      <c r="G4930" s="190">
        <v>48</v>
      </c>
      <c r="H4930" s="190">
        <f>'HIRE CHARGES'!$D$545</f>
        <v>446.7</v>
      </c>
      <c r="I4930" s="155">
        <f t="shared" si="89"/>
        <v>21441.599999999999</v>
      </c>
      <c r="J4930" s="78"/>
    </row>
    <row r="4931" spans="2:10">
      <c r="B4931" s="105"/>
      <c r="C4931" s="76" t="s">
        <v>2379</v>
      </c>
      <c r="D4931" s="31"/>
      <c r="E4931" s="31"/>
      <c r="F4931" s="210" t="s">
        <v>2374</v>
      </c>
      <c r="G4931" s="190">
        <v>48</v>
      </c>
      <c r="H4931" s="182">
        <f>'HIRE CHARGES'!$E$545</f>
        <v>299.89999999999998</v>
      </c>
      <c r="I4931" s="155">
        <f t="shared" si="89"/>
        <v>14395.199999999999</v>
      </c>
      <c r="J4931" s="78"/>
    </row>
    <row r="4932" spans="2:10">
      <c r="B4932" s="105">
        <v>4</v>
      </c>
      <c r="C4932" s="76" t="s">
        <v>4497</v>
      </c>
      <c r="D4932" s="31"/>
      <c r="E4932" s="31"/>
      <c r="F4932" s="210" t="s">
        <v>2374</v>
      </c>
      <c r="G4932" s="190">
        <v>4</v>
      </c>
      <c r="H4932" s="207">
        <f>'HIRE CHARGES'!$D$518</f>
        <v>3</v>
      </c>
      <c r="I4932" s="155">
        <f t="shared" si="89"/>
        <v>12</v>
      </c>
      <c r="J4932" s="78"/>
    </row>
    <row r="4933" spans="2:10">
      <c r="B4933" s="105"/>
      <c r="C4933" s="76" t="s">
        <v>2379</v>
      </c>
      <c r="D4933" s="31"/>
      <c r="E4933" s="31"/>
      <c r="F4933" s="210" t="s">
        <v>2374</v>
      </c>
      <c r="G4933" s="190">
        <v>4</v>
      </c>
      <c r="H4933" s="181">
        <f>'HIRE CHARGES'!$E$518</f>
        <v>28</v>
      </c>
      <c r="I4933" s="155">
        <f t="shared" si="89"/>
        <v>112</v>
      </c>
      <c r="J4933" s="78"/>
    </row>
    <row r="4934" spans="2:10">
      <c r="B4934" s="105">
        <v>5</v>
      </c>
      <c r="C4934" s="76" t="s">
        <v>6286</v>
      </c>
      <c r="D4934" s="31"/>
      <c r="E4934" s="31"/>
      <c r="F4934" s="210" t="s">
        <v>2374</v>
      </c>
      <c r="G4934" s="190">
        <v>8</v>
      </c>
      <c r="H4934" s="190">
        <f>'HIRE CHARGES'!$D$555</f>
        <v>402.5</v>
      </c>
      <c r="I4934" s="155">
        <f t="shared" si="89"/>
        <v>3220</v>
      </c>
      <c r="J4934" s="78"/>
    </row>
    <row r="4935" spans="2:10">
      <c r="B4935" s="105"/>
      <c r="C4935" s="76" t="s">
        <v>2379</v>
      </c>
      <c r="D4935" s="31"/>
      <c r="E4935" s="31"/>
      <c r="F4935" s="210" t="s">
        <v>2374</v>
      </c>
      <c r="G4935" s="190">
        <v>8</v>
      </c>
      <c r="H4935" s="190">
        <f>'HIRE CHARGES'!$E$555</f>
        <v>299.89999999999998</v>
      </c>
      <c r="I4935" s="155">
        <f t="shared" si="89"/>
        <v>2399.1999999999998</v>
      </c>
      <c r="J4935" s="78"/>
    </row>
    <row r="4936" spans="2:10">
      <c r="B4936" s="105">
        <v>6</v>
      </c>
      <c r="C4936" s="76" t="s">
        <v>9251</v>
      </c>
      <c r="D4936" s="31"/>
      <c r="E4936" s="31"/>
      <c r="F4936" s="210" t="s">
        <v>2374</v>
      </c>
      <c r="G4936" s="190">
        <v>7</v>
      </c>
      <c r="H4936" s="190">
        <f>'HIRE CHARGES'!$D$553</f>
        <v>1342.2</v>
      </c>
      <c r="I4936" s="155">
        <f t="shared" si="89"/>
        <v>9395.4</v>
      </c>
      <c r="J4936" s="78"/>
    </row>
    <row r="4937" spans="2:10">
      <c r="B4937" s="105"/>
      <c r="C4937" s="76" t="s">
        <v>2379</v>
      </c>
      <c r="D4937" s="31"/>
      <c r="E4937" s="31"/>
      <c r="F4937" s="210" t="s">
        <v>2374</v>
      </c>
      <c r="G4937" s="190">
        <v>7</v>
      </c>
      <c r="H4937" s="190">
        <f>'HIRE CHARGES'!$E$553</f>
        <v>1031.4000000000001</v>
      </c>
      <c r="I4937" s="155">
        <f t="shared" si="89"/>
        <v>7219.8000000000011</v>
      </c>
      <c r="J4937" s="78"/>
    </row>
    <row r="4938" spans="2:10">
      <c r="B4938" s="114">
        <v>7</v>
      </c>
      <c r="C4938" s="89" t="s">
        <v>2373</v>
      </c>
      <c r="D4938" s="174"/>
      <c r="E4938" s="174"/>
      <c r="F4938" s="191" t="s">
        <v>2173</v>
      </c>
      <c r="G4938" s="182">
        <v>5</v>
      </c>
      <c r="H4938" s="257">
        <f>'BASIC DATA'!$D$359</f>
        <v>30</v>
      </c>
      <c r="I4938" s="155">
        <f t="shared" si="89"/>
        <v>150</v>
      </c>
      <c r="J4938" s="78"/>
    </row>
    <row r="4939" spans="2:10">
      <c r="B4939" s="184"/>
      <c r="C4939" s="151" t="s">
        <v>2380</v>
      </c>
      <c r="D4939" s="159"/>
      <c r="E4939" s="159"/>
      <c r="F4939" s="159"/>
      <c r="G4939" s="159"/>
      <c r="H4939" s="208" t="s">
        <v>1698</v>
      </c>
      <c r="I4939" s="209">
        <f>SUM(I4926:I4938)</f>
        <v>89679.2</v>
      </c>
      <c r="J4939" s="78"/>
    </row>
    <row r="4940" spans="2:10">
      <c r="B4940" s="31"/>
      <c r="C4940" s="76"/>
      <c r="D4940" s="31"/>
      <c r="E4940" s="31"/>
      <c r="F4940" s="31"/>
      <c r="G4940" s="31"/>
      <c r="H4940" s="200"/>
      <c r="I4940" s="75"/>
      <c r="J4940" s="78"/>
    </row>
    <row r="4941" spans="2:10">
      <c r="B4941" s="170" t="s">
        <v>2381</v>
      </c>
      <c r="C4941" s="89"/>
      <c r="J4941" s="78"/>
    </row>
    <row r="4942" spans="2:10">
      <c r="B4942" s="95" t="s">
        <v>2369</v>
      </c>
      <c r="D4942" s="175" t="s">
        <v>2378</v>
      </c>
      <c r="E4942" s="175"/>
      <c r="F4942" s="95" t="s">
        <v>2370</v>
      </c>
      <c r="G4942" s="95" t="s">
        <v>1166</v>
      </c>
      <c r="H4942" s="95" t="s">
        <v>6664</v>
      </c>
      <c r="I4942" s="95" t="s">
        <v>6665</v>
      </c>
      <c r="J4942" s="78"/>
    </row>
    <row r="4943" spans="2:10">
      <c r="B4943" s="191"/>
      <c r="C4943" s="89"/>
      <c r="D4943" s="174"/>
      <c r="E4943" s="174"/>
      <c r="F4943" s="191"/>
      <c r="G4943" s="114"/>
      <c r="H4943" s="114" t="s">
        <v>3856</v>
      </c>
      <c r="I4943" s="114" t="s">
        <v>3857</v>
      </c>
      <c r="J4943" s="78"/>
    </row>
    <row r="4944" spans="2:10">
      <c r="B4944" s="95">
        <v>1</v>
      </c>
      <c r="C4944" s="148" t="s">
        <v>2870</v>
      </c>
      <c r="D4944" s="187"/>
      <c r="E4944" s="187"/>
      <c r="F4944" s="107" t="s">
        <v>2374</v>
      </c>
      <c r="G4944" s="179">
        <v>4.5999999999999996</v>
      </c>
      <c r="H4944" s="190">
        <f>'HIRE CHARGES'!$F$499</f>
        <v>236.6</v>
      </c>
      <c r="I4944" s="155">
        <f t="shared" ref="I4944:I4951" si="90">H4944*G4944</f>
        <v>1088.3599999999999</v>
      </c>
      <c r="J4944" s="78"/>
    </row>
    <row r="4945" spans="2:10">
      <c r="B4945" s="105">
        <v>2</v>
      </c>
      <c r="C4945" s="76" t="s">
        <v>300</v>
      </c>
      <c r="D4945" s="31"/>
      <c r="E4945" s="31"/>
      <c r="F4945" s="210" t="s">
        <v>2374</v>
      </c>
      <c r="G4945" s="190">
        <v>8</v>
      </c>
      <c r="H4945" s="179">
        <f>'HIRE CHARGES'!$F$543</f>
        <v>236.6</v>
      </c>
      <c r="I4945" s="155">
        <f t="shared" si="90"/>
        <v>1892.8</v>
      </c>
      <c r="J4945" s="78"/>
    </row>
    <row r="4946" spans="2:10">
      <c r="B4946" s="105">
        <v>3</v>
      </c>
      <c r="C4946" s="76" t="s">
        <v>301</v>
      </c>
      <c r="D4946" s="31"/>
      <c r="E4946" s="31"/>
      <c r="F4946" s="210" t="s">
        <v>2374</v>
      </c>
      <c r="G4946" s="190">
        <v>48</v>
      </c>
      <c r="H4946" s="190">
        <f>'HIRE CHARGES'!$F$545</f>
        <v>177.5</v>
      </c>
      <c r="I4946" s="155">
        <f t="shared" si="90"/>
        <v>8520</v>
      </c>
      <c r="J4946" s="78"/>
    </row>
    <row r="4947" spans="2:10">
      <c r="B4947" s="105">
        <v>4</v>
      </c>
      <c r="C4947" s="76" t="s">
        <v>999</v>
      </c>
      <c r="D4947" s="31"/>
      <c r="E4947" s="31"/>
      <c r="F4947" s="210" t="s">
        <v>2374</v>
      </c>
      <c r="G4947" s="190">
        <v>4</v>
      </c>
      <c r="H4947" s="207">
        <f>'HIRE CHARGES'!$F$518</f>
        <v>83.3</v>
      </c>
      <c r="I4947" s="155">
        <f t="shared" si="90"/>
        <v>333.2</v>
      </c>
      <c r="J4947" s="78"/>
    </row>
    <row r="4948" spans="2:10">
      <c r="B4948" s="105">
        <v>5</v>
      </c>
      <c r="C4948" s="76" t="s">
        <v>1000</v>
      </c>
      <c r="D4948" s="31"/>
      <c r="E4948" s="31"/>
      <c r="F4948" s="210" t="s">
        <v>2374</v>
      </c>
      <c r="G4948" s="190">
        <v>8</v>
      </c>
      <c r="H4948" s="190">
        <f>'HIRE CHARGES'!$F$555</f>
        <v>177.5</v>
      </c>
      <c r="I4948" s="155">
        <f t="shared" si="90"/>
        <v>1420</v>
      </c>
      <c r="J4948" s="78"/>
    </row>
    <row r="4949" spans="2:10">
      <c r="B4949" s="105">
        <v>6</v>
      </c>
      <c r="C4949" s="76" t="s">
        <v>1001</v>
      </c>
      <c r="D4949" s="31"/>
      <c r="E4949" s="31"/>
      <c r="F4949" s="210" t="s">
        <v>2374</v>
      </c>
      <c r="G4949" s="190">
        <v>7</v>
      </c>
      <c r="H4949" s="190">
        <f>'HIRE CHARGES'!$F$553</f>
        <v>263.60000000000002</v>
      </c>
      <c r="I4949" s="155">
        <f t="shared" si="90"/>
        <v>1845.2000000000003</v>
      </c>
      <c r="J4949" s="78"/>
    </row>
    <row r="4950" spans="2:10">
      <c r="B4950" s="105">
        <v>7</v>
      </c>
      <c r="C4950" s="76" t="s">
        <v>4206</v>
      </c>
      <c r="D4950" s="31"/>
      <c r="E4950" s="31"/>
      <c r="F4950" s="210" t="s">
        <v>1172</v>
      </c>
      <c r="G4950" s="190">
        <v>2</v>
      </c>
      <c r="H4950" s="190">
        <f>'BASIC DATA'!$C$473</f>
        <v>450</v>
      </c>
      <c r="I4950" s="155">
        <f t="shared" si="90"/>
        <v>900</v>
      </c>
      <c r="J4950" s="78"/>
    </row>
    <row r="4951" spans="2:10">
      <c r="B4951" s="105">
        <v>8</v>
      </c>
      <c r="C4951" s="76" t="s">
        <v>2697</v>
      </c>
      <c r="D4951" s="31"/>
      <c r="E4951" s="31"/>
      <c r="F4951" s="210" t="s">
        <v>1172</v>
      </c>
      <c r="G4951" s="190">
        <v>4</v>
      </c>
      <c r="H4951" s="207">
        <f>'BASIC DATA'!$C$552</f>
        <v>350</v>
      </c>
      <c r="I4951" s="155">
        <f t="shared" si="90"/>
        <v>1400</v>
      </c>
      <c r="J4951" s="78"/>
    </row>
    <row r="4952" spans="2:10">
      <c r="B4952" s="184"/>
      <c r="C4952" s="151"/>
      <c r="D4952" s="159"/>
      <c r="E4952" s="159" t="s">
        <v>1174</v>
      </c>
      <c r="F4952" s="159"/>
      <c r="G4952" s="193"/>
      <c r="H4952" s="208" t="s">
        <v>1698</v>
      </c>
      <c r="I4952" s="209">
        <f>SUM(I4944:I4951)</f>
        <v>17399.560000000001</v>
      </c>
      <c r="J4952" s="78"/>
    </row>
    <row r="4953" spans="2:10">
      <c r="B4953" s="60" t="s">
        <v>5948</v>
      </c>
      <c r="C4953" s="76"/>
      <c r="D4953" s="31"/>
      <c r="E4953" s="31"/>
      <c r="F4953" s="31"/>
      <c r="G4953" s="85">
        <f>ROUND(I4952/H4916,1)</f>
        <v>17.899999999999999</v>
      </c>
      <c r="J4953" s="78"/>
    </row>
    <row r="4954" spans="2:10">
      <c r="B4954" s="60" t="s">
        <v>3163</v>
      </c>
      <c r="C4954" s="76"/>
      <c r="D4954" s="31"/>
      <c r="E4954" s="31"/>
      <c r="F4954" s="922">
        <f>'BASIC DATA'!$C$577</f>
        <v>0.13614999999999999</v>
      </c>
      <c r="G4954" s="85">
        <f>ROUND(G4953*F4954,1)</f>
        <v>2.4</v>
      </c>
      <c r="J4954" s="78"/>
    </row>
    <row r="4955" spans="2:10">
      <c r="B4955" s="60" t="s">
        <v>5949</v>
      </c>
      <c r="C4955" s="76"/>
      <c r="D4955" s="31"/>
      <c r="E4955" s="31"/>
      <c r="F4955" s="31"/>
      <c r="G4955" s="199">
        <f>ROUND(G4954+G4953,1)</f>
        <v>20.3</v>
      </c>
      <c r="J4955" s="78"/>
    </row>
    <row r="4956" spans="2:10">
      <c r="B4956" s="31"/>
      <c r="C4956" s="76"/>
      <c r="D4956" s="31"/>
      <c r="E4956" s="31"/>
      <c r="F4956" s="200"/>
      <c r="G4956" s="200"/>
      <c r="I4956" s="75"/>
      <c r="J4956" s="78"/>
    </row>
    <row r="4957" spans="2:10">
      <c r="B4957" s="170" t="s">
        <v>1175</v>
      </c>
      <c r="J4957" s="78"/>
    </row>
    <row r="4958" spans="2:10">
      <c r="B4958" s="26" t="s">
        <v>1176</v>
      </c>
      <c r="H4958" s="171" t="s">
        <v>1698</v>
      </c>
      <c r="I4958" s="117">
        <f>I4921</f>
        <v>0</v>
      </c>
      <c r="J4958" s="78"/>
    </row>
    <row r="4959" spans="2:10">
      <c r="B4959" s="26" t="s">
        <v>1186</v>
      </c>
      <c r="H4959" s="171" t="s">
        <v>1698</v>
      </c>
      <c r="I4959" s="117">
        <f>I4939</f>
        <v>89679.2</v>
      </c>
      <c r="J4959" s="78"/>
    </row>
    <row r="4960" spans="2:10">
      <c r="B4960" s="26" t="s">
        <v>2660</v>
      </c>
      <c r="H4960" s="171" t="s">
        <v>1698</v>
      </c>
      <c r="I4960" s="117">
        <f>I4952</f>
        <v>17399.560000000001</v>
      </c>
      <c r="J4960" s="78"/>
    </row>
    <row r="4961" spans="1:10">
      <c r="G4961" s="171" t="s">
        <v>1518</v>
      </c>
      <c r="H4961" s="171" t="s">
        <v>1698</v>
      </c>
      <c r="I4961" s="130">
        <f>SUM(I4958:I4960)</f>
        <v>107078.76</v>
      </c>
      <c r="J4961" s="78"/>
    </row>
    <row r="4962" spans="1:10" ht="18.75">
      <c r="B4962" s="1207" t="s">
        <v>8375</v>
      </c>
      <c r="C4962" s="1207"/>
      <c r="D4962" s="1207"/>
      <c r="E4962" s="1207"/>
      <c r="F4962" s="1207"/>
      <c r="G4962" s="922">
        <f>'BASIC DATA'!$C$577</f>
        <v>0.13614999999999999</v>
      </c>
      <c r="H4962" s="171" t="s">
        <v>4108</v>
      </c>
      <c r="I4962" s="76">
        <f>ROUND(I4961*G4962,2)</f>
        <v>14578.77</v>
      </c>
      <c r="J4962" s="78"/>
    </row>
    <row r="4963" spans="1:10">
      <c r="B4963" s="1206" t="s">
        <v>1191</v>
      </c>
      <c r="C4963" s="1206"/>
      <c r="D4963" s="1206"/>
      <c r="E4963" s="1206"/>
      <c r="F4963" s="202">
        <f>H4916</f>
        <v>970</v>
      </c>
      <c r="G4963" s="202" t="str">
        <f>I4916</f>
        <v>cum</v>
      </c>
      <c r="H4963" s="171" t="s">
        <v>1698</v>
      </c>
      <c r="I4963" s="199">
        <f>I4962+I4961</f>
        <v>121657.53</v>
      </c>
      <c r="J4963" s="78"/>
    </row>
    <row r="4964" spans="1:10">
      <c r="B4964" s="1161" t="s">
        <v>3884</v>
      </c>
      <c r="C4964" s="1161"/>
      <c r="D4964" s="246" t="str">
        <f>G4963</f>
        <v>cum</v>
      </c>
      <c r="F4964" s="26" t="s">
        <v>1396</v>
      </c>
      <c r="H4964" s="171" t="s">
        <v>1698</v>
      </c>
      <c r="I4964" s="204">
        <f>ROUND(I4963/F4963,1)</f>
        <v>125.4</v>
      </c>
      <c r="J4964" s="78"/>
    </row>
    <row r="4965" spans="1:10">
      <c r="G4965" s="171"/>
      <c r="H4965" s="171"/>
      <c r="I4965" s="68"/>
      <c r="J4965" s="78"/>
    </row>
    <row r="4966" spans="1:10" ht="18.75">
      <c r="A4966" s="822" t="s">
        <v>486</v>
      </c>
      <c r="B4966" s="26" t="s">
        <v>8529</v>
      </c>
      <c r="J4966" s="78"/>
    </row>
    <row r="4967" spans="1:10">
      <c r="A4967" s="874" t="s">
        <v>502</v>
      </c>
      <c r="B4967" s="26" t="s">
        <v>8530</v>
      </c>
      <c r="J4967" s="78"/>
    </row>
    <row r="4968" spans="1:10">
      <c r="B4968" s="26" t="s">
        <v>1204</v>
      </c>
      <c r="J4968" s="78"/>
    </row>
    <row r="4969" spans="1:10">
      <c r="B4969" s="26" t="s">
        <v>6678</v>
      </c>
      <c r="J4969" s="78"/>
    </row>
    <row r="4970" spans="1:10" ht="18.75">
      <c r="B4970" s="26" t="s">
        <v>8527</v>
      </c>
      <c r="J4970" s="78"/>
    </row>
    <row r="4971" spans="1:10" ht="18.75">
      <c r="B4971" s="26" t="s">
        <v>8531</v>
      </c>
      <c r="J4971" s="78"/>
    </row>
    <row r="4972" spans="1:10" ht="18.75">
      <c r="B4972" s="170" t="s">
        <v>8528</v>
      </c>
      <c r="J4972" s="78"/>
    </row>
    <row r="4973" spans="1:10">
      <c r="B4973" s="170" t="s">
        <v>487</v>
      </c>
      <c r="J4973" s="78"/>
    </row>
    <row r="4974" spans="1:10" hidden="1">
      <c r="A4974" s="822" t="s">
        <v>3984</v>
      </c>
      <c r="B4974" s="26" t="s">
        <v>602</v>
      </c>
      <c r="G4974" s="171" t="s">
        <v>1697</v>
      </c>
      <c r="H4974" s="68">
        <v>0.85</v>
      </c>
      <c r="I4974" s="26" t="s">
        <v>3477</v>
      </c>
      <c r="J4974" s="78"/>
    </row>
    <row r="4975" spans="1:10" hidden="1">
      <c r="B4975" s="26" t="s">
        <v>603</v>
      </c>
      <c r="G4975" s="171" t="s">
        <v>1697</v>
      </c>
      <c r="H4975" s="68">
        <v>0.98</v>
      </c>
      <c r="I4975" s="26" t="s">
        <v>3477</v>
      </c>
      <c r="J4975" s="78"/>
    </row>
    <row r="4976" spans="1:10" hidden="1">
      <c r="B4976" s="26" t="s">
        <v>604</v>
      </c>
      <c r="G4976" s="171" t="s">
        <v>1697</v>
      </c>
      <c r="H4976" s="68">
        <v>5</v>
      </c>
      <c r="I4976" s="26" t="s">
        <v>3477</v>
      </c>
      <c r="J4976" s="78"/>
    </row>
    <row r="4977" spans="2:10" hidden="1">
      <c r="B4977" s="26" t="s">
        <v>2541</v>
      </c>
      <c r="G4977" s="171" t="s">
        <v>2982</v>
      </c>
      <c r="H4977" s="68">
        <v>1</v>
      </c>
      <c r="I4977" s="26" t="s">
        <v>3430</v>
      </c>
      <c r="J4977" s="78"/>
    </row>
    <row r="4978" spans="2:10" hidden="1">
      <c r="B4978" s="26" t="s">
        <v>4569</v>
      </c>
      <c r="G4978" s="171" t="s">
        <v>1697</v>
      </c>
      <c r="H4978" s="68">
        <v>20</v>
      </c>
      <c r="I4978" s="26" t="s">
        <v>6703</v>
      </c>
      <c r="J4978" s="78"/>
    </row>
    <row r="4979" spans="2:10" hidden="1">
      <c r="B4979" s="26" t="s">
        <v>5632</v>
      </c>
      <c r="G4979" s="171" t="s">
        <v>1697</v>
      </c>
      <c r="H4979" s="68">
        <v>25</v>
      </c>
      <c r="I4979" s="26" t="s">
        <v>6703</v>
      </c>
      <c r="J4979" s="78"/>
    </row>
    <row r="4980" spans="2:10" hidden="1">
      <c r="B4980" s="26" t="s">
        <v>3985</v>
      </c>
      <c r="G4980" s="171" t="s">
        <v>1697</v>
      </c>
      <c r="H4980" s="68">
        <v>2</v>
      </c>
      <c r="I4980" s="26" t="s">
        <v>2603</v>
      </c>
      <c r="J4980" s="78"/>
    </row>
    <row r="4981" spans="2:10" hidden="1">
      <c r="B4981" s="26" t="s">
        <v>5578</v>
      </c>
      <c r="G4981" s="171" t="s">
        <v>1697</v>
      </c>
      <c r="H4981" s="68">
        <v>16</v>
      </c>
      <c r="I4981" s="26" t="s">
        <v>3434</v>
      </c>
      <c r="J4981" s="78"/>
    </row>
    <row r="4982" spans="2:10" hidden="1">
      <c r="B4982" s="26" t="s">
        <v>2450</v>
      </c>
      <c r="G4982" s="171" t="s">
        <v>1697</v>
      </c>
      <c r="H4982" s="68">
        <v>0.9</v>
      </c>
      <c r="I4982" s="26" t="s">
        <v>3477</v>
      </c>
      <c r="J4982" s="78"/>
    </row>
    <row r="4983" spans="2:10" hidden="1">
      <c r="B4983" s="26" t="s">
        <v>728</v>
      </c>
      <c r="G4983" s="171" t="s">
        <v>1697</v>
      </c>
      <c r="H4983" s="68">
        <v>4.5</v>
      </c>
      <c r="I4983" s="26" t="s">
        <v>3477</v>
      </c>
      <c r="J4983" s="78"/>
    </row>
    <row r="4984" spans="2:10" hidden="1">
      <c r="B4984" s="26" t="s">
        <v>729</v>
      </c>
      <c r="G4984" s="171" t="s">
        <v>1123</v>
      </c>
      <c r="H4984" s="68">
        <v>5</v>
      </c>
      <c r="I4984" s="26" t="s">
        <v>4932</v>
      </c>
      <c r="J4984" s="78"/>
    </row>
    <row r="4985" spans="2:10" hidden="1">
      <c r="B4985" s="26" t="s">
        <v>4612</v>
      </c>
      <c r="G4985" s="171" t="s">
        <v>1123</v>
      </c>
      <c r="H4985" s="68">
        <v>4.5</v>
      </c>
      <c r="I4985" s="26" t="s">
        <v>3477</v>
      </c>
      <c r="J4985" s="78"/>
    </row>
    <row r="4986" spans="2:10" hidden="1">
      <c r="B4986" s="26" t="s">
        <v>3735</v>
      </c>
      <c r="G4986" s="171" t="s">
        <v>1123</v>
      </c>
      <c r="H4986" s="68">
        <v>1.33</v>
      </c>
      <c r="I4986" s="26" t="s">
        <v>2603</v>
      </c>
      <c r="J4986" s="78"/>
    </row>
    <row r="4987" spans="2:10" hidden="1">
      <c r="B4987" s="26" t="s">
        <v>560</v>
      </c>
      <c r="J4987" s="78"/>
    </row>
    <row r="4988" spans="2:10" hidden="1">
      <c r="B4988" s="26" t="s">
        <v>5067</v>
      </c>
      <c r="J4988" s="78"/>
    </row>
    <row r="4989" spans="2:10" hidden="1">
      <c r="B4989" s="26" t="s">
        <v>5068</v>
      </c>
      <c r="J4989" s="78"/>
    </row>
    <row r="4990" spans="2:10" hidden="1">
      <c r="B4990" s="26" t="s">
        <v>5069</v>
      </c>
      <c r="J4990" s="78"/>
    </row>
    <row r="4991" spans="2:10" hidden="1">
      <c r="B4991" s="26" t="s">
        <v>5070</v>
      </c>
      <c r="J4991" s="78"/>
    </row>
    <row r="4992" spans="2:10" hidden="1">
      <c r="B4992" s="26" t="s">
        <v>561</v>
      </c>
      <c r="J4992" s="78"/>
    </row>
    <row r="4993" spans="2:10" hidden="1">
      <c r="B4993" s="26" t="s">
        <v>1613</v>
      </c>
      <c r="J4993" s="78"/>
    </row>
    <row r="4994" spans="2:10" hidden="1">
      <c r="B4994" s="26" t="s">
        <v>624</v>
      </c>
      <c r="G4994" s="171" t="s">
        <v>1697</v>
      </c>
      <c r="H4994" s="68">
        <v>1.6</v>
      </c>
      <c r="I4994" s="26" t="s">
        <v>6902</v>
      </c>
      <c r="J4994" s="78"/>
    </row>
    <row r="4995" spans="2:10" hidden="1">
      <c r="B4995" s="26" t="s">
        <v>1490</v>
      </c>
      <c r="G4995" s="171" t="s">
        <v>1697</v>
      </c>
      <c r="H4995" s="68">
        <v>3</v>
      </c>
      <c r="I4995" s="26" t="s">
        <v>6902</v>
      </c>
      <c r="J4995" s="78"/>
    </row>
    <row r="4996" spans="2:10" hidden="1">
      <c r="B4996" s="26" t="s">
        <v>705</v>
      </c>
      <c r="G4996" s="171" t="s">
        <v>1697</v>
      </c>
      <c r="H4996" s="68">
        <v>2</v>
      </c>
      <c r="I4996" s="26" t="s">
        <v>6902</v>
      </c>
      <c r="J4996" s="78"/>
    </row>
    <row r="4997" spans="2:10" hidden="1">
      <c r="B4997" s="26" t="s">
        <v>1491</v>
      </c>
      <c r="G4997" s="171" t="s">
        <v>1697</v>
      </c>
      <c r="H4997" s="68">
        <v>2.4</v>
      </c>
      <c r="I4997" s="26" t="s">
        <v>6902</v>
      </c>
      <c r="J4997" s="78"/>
    </row>
    <row r="4998" spans="2:10" hidden="1">
      <c r="B4998" s="26" t="s">
        <v>263</v>
      </c>
      <c r="G4998" s="171" t="s">
        <v>1697</v>
      </c>
      <c r="H4998" s="68">
        <v>0.5</v>
      </c>
      <c r="I4998" s="26" t="s">
        <v>6902</v>
      </c>
      <c r="J4998" s="78"/>
    </row>
    <row r="4999" spans="2:10" hidden="1">
      <c r="F4999" s="26" t="s">
        <v>1518</v>
      </c>
      <c r="G4999" s="171" t="s">
        <v>1697</v>
      </c>
      <c r="H4999" s="68">
        <f>SUM(H4994:H4998)</f>
        <v>9.5</v>
      </c>
      <c r="I4999" s="26" t="s">
        <v>6902</v>
      </c>
      <c r="J4999" s="78"/>
    </row>
    <row r="5000" spans="2:10" hidden="1">
      <c r="B5000" s="26" t="s">
        <v>3991</v>
      </c>
      <c r="H5000" s="68">
        <v>6</v>
      </c>
      <c r="I5000" s="26" t="s">
        <v>4041</v>
      </c>
      <c r="J5000" s="78"/>
    </row>
    <row r="5001" spans="2:10" hidden="1">
      <c r="B5001" s="26" t="s">
        <v>7110</v>
      </c>
      <c r="H5001" s="68">
        <v>23.7</v>
      </c>
      <c r="I5001" s="26" t="s">
        <v>5336</v>
      </c>
      <c r="J5001" s="78"/>
    </row>
    <row r="5002" spans="2:10" hidden="1">
      <c r="B5002" s="26" t="s">
        <v>7111</v>
      </c>
      <c r="F5002" s="26" t="s">
        <v>1564</v>
      </c>
      <c r="G5002" s="78" t="s">
        <v>1697</v>
      </c>
      <c r="H5002" s="68">
        <v>1140</v>
      </c>
      <c r="I5002" s="26" t="s">
        <v>5336</v>
      </c>
      <c r="J5002" s="78"/>
    </row>
    <row r="5003" spans="2:10" hidden="1">
      <c r="B5003" s="26" t="s">
        <v>562</v>
      </c>
      <c r="J5003" s="78"/>
    </row>
    <row r="5004" spans="2:10" hidden="1">
      <c r="B5004" s="26" t="s">
        <v>4492</v>
      </c>
      <c r="J5004" s="78"/>
    </row>
    <row r="5005" spans="2:10" hidden="1">
      <c r="B5005" s="26" t="s">
        <v>3844</v>
      </c>
      <c r="J5005" s="78"/>
    </row>
    <row r="5006" spans="2:10" hidden="1">
      <c r="B5006" s="26" t="s">
        <v>3845</v>
      </c>
      <c r="G5006" s="171" t="s">
        <v>1697</v>
      </c>
      <c r="H5006" s="68">
        <v>970</v>
      </c>
      <c r="I5006" s="26" t="s">
        <v>3477</v>
      </c>
      <c r="J5006" s="78"/>
    </row>
    <row r="5007" spans="2:10" hidden="1">
      <c r="B5007" s="26" t="s">
        <v>4396</v>
      </c>
      <c r="J5007" s="78"/>
    </row>
    <row r="5008" spans="2:10" hidden="1">
      <c r="B5008" s="26" t="s">
        <v>2551</v>
      </c>
      <c r="J5008" s="78"/>
    </row>
    <row r="5009" spans="2:10" hidden="1">
      <c r="B5009" s="26" t="s">
        <v>3454</v>
      </c>
      <c r="J5009" s="78"/>
    </row>
    <row r="5010" spans="2:10" hidden="1">
      <c r="B5010" s="26" t="s">
        <v>5213</v>
      </c>
      <c r="J5010" s="78"/>
    </row>
    <row r="5011" spans="2:10" hidden="1">
      <c r="B5011" s="26" t="s">
        <v>3846</v>
      </c>
      <c r="J5011" s="78"/>
    </row>
    <row r="5012" spans="2:10" hidden="1">
      <c r="B5012" s="26" t="s">
        <v>4340</v>
      </c>
      <c r="J5012" s="78"/>
    </row>
    <row r="5013" spans="2:10" hidden="1">
      <c r="B5013" s="26" t="s">
        <v>5214</v>
      </c>
      <c r="J5013" s="78"/>
    </row>
    <row r="5014" spans="2:10" hidden="1">
      <c r="B5014" s="26" t="s">
        <v>4300</v>
      </c>
      <c r="G5014" s="171" t="s">
        <v>1697</v>
      </c>
      <c r="H5014" s="68">
        <v>1140</v>
      </c>
      <c r="I5014" s="26" t="s">
        <v>3477</v>
      </c>
      <c r="J5014" s="78"/>
    </row>
    <row r="5015" spans="2:10" hidden="1">
      <c r="B5015" s="26" t="s">
        <v>6514</v>
      </c>
      <c r="G5015" s="171" t="s">
        <v>1697</v>
      </c>
      <c r="H5015" s="68">
        <v>250</v>
      </c>
      <c r="I5015" s="26" t="s">
        <v>3477</v>
      </c>
      <c r="J5015" s="78"/>
    </row>
    <row r="5016" spans="2:10" hidden="1">
      <c r="B5016" s="26" t="s">
        <v>4301</v>
      </c>
      <c r="G5016" s="171" t="s">
        <v>1123</v>
      </c>
      <c r="H5016" s="68">
        <v>4.5999999999999996</v>
      </c>
      <c r="I5016" s="26" t="s">
        <v>4665</v>
      </c>
      <c r="J5016" s="78"/>
    </row>
    <row r="5017" spans="2:10" hidden="1">
      <c r="B5017" s="26" t="s">
        <v>5217</v>
      </c>
      <c r="G5017" s="171"/>
      <c r="J5017" s="78"/>
    </row>
    <row r="5018" spans="2:10" hidden="1">
      <c r="B5018" s="26" t="s">
        <v>4341</v>
      </c>
      <c r="J5018" s="78"/>
    </row>
    <row r="5019" spans="2:10" hidden="1">
      <c r="B5019" s="26" t="s">
        <v>4342</v>
      </c>
      <c r="J5019" s="78"/>
    </row>
    <row r="5020" spans="2:10" hidden="1">
      <c r="B5020" s="26" t="s">
        <v>2228</v>
      </c>
      <c r="J5020" s="78"/>
    </row>
    <row r="5021" spans="2:10" hidden="1">
      <c r="B5021" s="26" t="s">
        <v>7138</v>
      </c>
      <c r="J5021" s="78"/>
    </row>
    <row r="5022" spans="2:10" hidden="1">
      <c r="B5022" s="26" t="s">
        <v>2229</v>
      </c>
      <c r="J5022" s="78"/>
    </row>
    <row r="5023" spans="2:10" hidden="1">
      <c r="B5023" s="26" t="s">
        <v>3762</v>
      </c>
      <c r="J5023" s="78"/>
    </row>
    <row r="5024" spans="2:10" hidden="1">
      <c r="B5024" s="26" t="s">
        <v>6047</v>
      </c>
      <c r="J5024" s="78"/>
    </row>
    <row r="5025" spans="2:10" hidden="1">
      <c r="B5025" s="26" t="s">
        <v>6723</v>
      </c>
      <c r="J5025" s="78"/>
    </row>
    <row r="5026" spans="2:10" hidden="1">
      <c r="B5026" s="26" t="s">
        <v>5218</v>
      </c>
      <c r="J5026" s="78"/>
    </row>
    <row r="5027" spans="2:10" hidden="1">
      <c r="B5027" s="26" t="s">
        <v>7013</v>
      </c>
      <c r="J5027" s="78"/>
    </row>
    <row r="5028" spans="2:10" hidden="1">
      <c r="B5028" s="26" t="s">
        <v>7014</v>
      </c>
      <c r="J5028" s="78"/>
    </row>
    <row r="5029" spans="2:10" hidden="1">
      <c r="B5029" s="26" t="s">
        <v>9259</v>
      </c>
      <c r="J5029" s="78"/>
    </row>
    <row r="5030" spans="2:10" hidden="1">
      <c r="B5030" s="26" t="s">
        <v>7015</v>
      </c>
      <c r="J5030" s="78"/>
    </row>
    <row r="5031" spans="2:10" hidden="1">
      <c r="B5031" s="26" t="s">
        <v>3650</v>
      </c>
      <c r="G5031" s="171" t="s">
        <v>1697</v>
      </c>
      <c r="H5031" s="68">
        <v>1.9</v>
      </c>
      <c r="I5031" s="26" t="s">
        <v>2602</v>
      </c>
      <c r="J5031" s="78"/>
    </row>
    <row r="5032" spans="2:10" hidden="1">
      <c r="B5032" s="26" t="s">
        <v>4995</v>
      </c>
      <c r="G5032" s="171" t="s">
        <v>1697</v>
      </c>
      <c r="H5032" s="68">
        <v>4</v>
      </c>
      <c r="I5032" s="26" t="s">
        <v>3430</v>
      </c>
      <c r="J5032" s="78"/>
    </row>
    <row r="5033" spans="2:10" hidden="1">
      <c r="B5033" s="26" t="s">
        <v>4997</v>
      </c>
      <c r="G5033" s="171" t="s">
        <v>1697</v>
      </c>
      <c r="H5033" s="68">
        <v>0.3</v>
      </c>
      <c r="I5033" s="26" t="s">
        <v>2602</v>
      </c>
      <c r="J5033" s="78"/>
    </row>
    <row r="5034" spans="2:10" hidden="1">
      <c r="B5034" s="26" t="s">
        <v>4187</v>
      </c>
      <c r="G5034" s="171" t="s">
        <v>1697</v>
      </c>
      <c r="H5034" s="68">
        <v>9</v>
      </c>
      <c r="I5034" s="26" t="s">
        <v>2059</v>
      </c>
      <c r="J5034" s="78"/>
    </row>
    <row r="5035" spans="2:10" hidden="1">
      <c r="B5035" s="26" t="s">
        <v>2980</v>
      </c>
      <c r="G5035" s="171"/>
      <c r="J5035" s="78"/>
    </row>
    <row r="5036" spans="2:10" hidden="1">
      <c r="B5036" s="26" t="s">
        <v>1127</v>
      </c>
      <c r="G5036" s="171" t="s">
        <v>1123</v>
      </c>
      <c r="H5036" s="68">
        <v>160</v>
      </c>
      <c r="I5036" s="26" t="s">
        <v>3477</v>
      </c>
      <c r="J5036" s="78"/>
    </row>
    <row r="5037" spans="2:10" hidden="1">
      <c r="B5037" s="26" t="s">
        <v>3763</v>
      </c>
      <c r="G5037" s="171" t="s">
        <v>1123</v>
      </c>
      <c r="H5037" s="68">
        <v>7</v>
      </c>
      <c r="I5037" s="26" t="s">
        <v>4665</v>
      </c>
      <c r="J5037" s="78"/>
    </row>
    <row r="5038" spans="2:10" hidden="1">
      <c r="B5038" s="26" t="s">
        <v>292</v>
      </c>
      <c r="J5038" s="78"/>
    </row>
    <row r="5039" spans="2:10" hidden="1">
      <c r="B5039" s="26" t="s">
        <v>5043</v>
      </c>
      <c r="J5039" s="78"/>
    </row>
    <row r="5040" spans="2:10">
      <c r="J5040" s="78"/>
    </row>
    <row r="5041" spans="1:10">
      <c r="A5041" s="822" t="s">
        <v>3984</v>
      </c>
      <c r="E5041" s="170" t="s">
        <v>2367</v>
      </c>
      <c r="J5041" s="78"/>
    </row>
    <row r="5042" spans="1:10">
      <c r="F5042" s="68"/>
      <c r="H5042" s="26" t="s">
        <v>297</v>
      </c>
      <c r="J5042" s="78"/>
    </row>
    <row r="5043" spans="1:10">
      <c r="B5043" s="170" t="s">
        <v>2368</v>
      </c>
      <c r="C5043" s="89"/>
      <c r="H5043" s="211">
        <v>970</v>
      </c>
      <c r="I5043" s="26" t="s">
        <v>3477</v>
      </c>
      <c r="J5043" s="78"/>
    </row>
    <row r="5044" spans="1:10">
      <c r="B5044" s="95" t="s">
        <v>2369</v>
      </c>
      <c r="D5044" s="175" t="s">
        <v>4443</v>
      </c>
      <c r="E5044" s="175"/>
      <c r="F5044" s="95" t="s">
        <v>2370</v>
      </c>
      <c r="G5044" s="95" t="s">
        <v>1166</v>
      </c>
      <c r="H5044" s="95" t="s">
        <v>6664</v>
      </c>
      <c r="I5044" s="95" t="s">
        <v>6665</v>
      </c>
      <c r="J5044" s="78"/>
    </row>
    <row r="5045" spans="1:10">
      <c r="B5045" s="191"/>
      <c r="C5045" s="89"/>
      <c r="D5045" s="174"/>
      <c r="E5045" s="174"/>
      <c r="F5045" s="191"/>
      <c r="G5045" s="114"/>
      <c r="H5045" s="114" t="s">
        <v>3856</v>
      </c>
      <c r="I5045" s="114" t="s">
        <v>3857</v>
      </c>
      <c r="J5045" s="78"/>
    </row>
    <row r="5046" spans="1:10">
      <c r="B5046" s="107">
        <v>1</v>
      </c>
      <c r="C5046" s="148" t="s">
        <v>6976</v>
      </c>
      <c r="D5046" s="187"/>
      <c r="E5046" s="187"/>
      <c r="F5046" s="107"/>
      <c r="G5046" s="179">
        <v>0</v>
      </c>
      <c r="H5046" s="179">
        <v>0</v>
      </c>
      <c r="I5046" s="155">
        <f>H5046*G5046</f>
        <v>0</v>
      </c>
      <c r="J5046" s="78"/>
    </row>
    <row r="5047" spans="1:10">
      <c r="B5047" s="191"/>
      <c r="C5047" s="89"/>
      <c r="D5047" s="174"/>
      <c r="E5047" s="174"/>
      <c r="F5047" s="191"/>
      <c r="G5047" s="182">
        <v>0</v>
      </c>
      <c r="H5047" s="182">
        <v>0</v>
      </c>
      <c r="I5047" s="155">
        <f>H5047*G5047</f>
        <v>0</v>
      </c>
      <c r="J5047" s="78"/>
    </row>
    <row r="5048" spans="1:10">
      <c r="B5048" s="184"/>
      <c r="C5048" s="151"/>
      <c r="D5048" s="159"/>
      <c r="E5048" s="159" t="s">
        <v>2376</v>
      </c>
      <c r="F5048" s="159"/>
      <c r="G5048" s="159"/>
      <c r="H5048" s="208" t="s">
        <v>1698</v>
      </c>
      <c r="I5048" s="209">
        <f>SUM(I5046:I5047)</f>
        <v>0</v>
      </c>
      <c r="J5048" s="78"/>
    </row>
    <row r="5049" spans="1:10">
      <c r="B5049" s="31"/>
      <c r="C5049" s="76"/>
      <c r="D5049" s="31"/>
      <c r="E5049" s="31"/>
      <c r="F5049" s="31"/>
      <c r="G5049" s="31"/>
      <c r="H5049" s="200"/>
      <c r="I5049" s="75"/>
      <c r="J5049" s="78"/>
    </row>
    <row r="5050" spans="1:10">
      <c r="B5050" s="170" t="s">
        <v>2377</v>
      </c>
      <c r="C5050" s="89"/>
      <c r="J5050" s="78"/>
    </row>
    <row r="5051" spans="1:10">
      <c r="B5051" s="95" t="s">
        <v>2369</v>
      </c>
      <c r="D5051" s="175" t="s">
        <v>2378</v>
      </c>
      <c r="E5051" s="175"/>
      <c r="F5051" s="95" t="s">
        <v>2370</v>
      </c>
      <c r="G5051" s="95" t="s">
        <v>1166</v>
      </c>
      <c r="H5051" s="95" t="s">
        <v>6664</v>
      </c>
      <c r="I5051" s="95" t="s">
        <v>6665</v>
      </c>
      <c r="J5051" s="78"/>
    </row>
    <row r="5052" spans="1:10">
      <c r="B5052" s="191"/>
      <c r="C5052" s="89"/>
      <c r="D5052" s="174"/>
      <c r="E5052" s="174"/>
      <c r="F5052" s="191"/>
      <c r="G5052" s="114"/>
      <c r="H5052" s="114" t="s">
        <v>3856</v>
      </c>
      <c r="I5052" s="114" t="s">
        <v>3857</v>
      </c>
      <c r="J5052" s="78"/>
    </row>
    <row r="5053" spans="1:10">
      <c r="B5053" s="95">
        <v>1</v>
      </c>
      <c r="C5053" s="148" t="s">
        <v>1502</v>
      </c>
      <c r="D5053" s="187"/>
      <c r="E5053" s="187"/>
      <c r="F5053" s="107" t="s">
        <v>2374</v>
      </c>
      <c r="G5053" s="179">
        <v>4.5999999999999996</v>
      </c>
      <c r="H5053" s="190">
        <f>'HIRE CHARGES'!$D$499</f>
        <v>1715.5</v>
      </c>
      <c r="I5053" s="155">
        <f t="shared" ref="I5053:I5065" si="91">H5053*G5053</f>
        <v>7891.2999999999993</v>
      </c>
      <c r="J5053" s="78"/>
    </row>
    <row r="5054" spans="1:10">
      <c r="B5054" s="105"/>
      <c r="C5054" s="76" t="s">
        <v>2379</v>
      </c>
      <c r="D5054" s="31"/>
      <c r="E5054" s="31"/>
      <c r="F5054" s="210" t="s">
        <v>2374</v>
      </c>
      <c r="G5054" s="190">
        <v>4.5999999999999996</v>
      </c>
      <c r="H5054" s="207">
        <f>'HIRE CHARGES'!$E$499</f>
        <v>610.5</v>
      </c>
      <c r="I5054" s="155">
        <f t="shared" si="91"/>
        <v>2808.2999999999997</v>
      </c>
      <c r="J5054" s="78"/>
    </row>
    <row r="5055" spans="1:10">
      <c r="B5055" s="105">
        <v>2</v>
      </c>
      <c r="C5055" s="76" t="s">
        <v>4170</v>
      </c>
      <c r="D5055" s="31"/>
      <c r="E5055" s="31"/>
      <c r="F5055" s="210" t="s">
        <v>2374</v>
      </c>
      <c r="G5055" s="190">
        <v>8</v>
      </c>
      <c r="H5055" s="190">
        <f>'HIRE CHARGES'!$D$543</f>
        <v>1706.6</v>
      </c>
      <c r="I5055" s="155">
        <f t="shared" si="91"/>
        <v>13652.8</v>
      </c>
      <c r="J5055" s="78"/>
    </row>
    <row r="5056" spans="1:10">
      <c r="B5056" s="105"/>
      <c r="C5056" s="76" t="s">
        <v>2379</v>
      </c>
      <c r="D5056" s="31"/>
      <c r="E5056" s="31"/>
      <c r="F5056" s="210" t="s">
        <v>2374</v>
      </c>
      <c r="G5056" s="190">
        <v>8</v>
      </c>
      <c r="H5056" s="190">
        <f>'HIRE CHARGES'!$E$543</f>
        <v>872.7</v>
      </c>
      <c r="I5056" s="155">
        <f t="shared" si="91"/>
        <v>6981.6</v>
      </c>
      <c r="J5056" s="78"/>
    </row>
    <row r="5057" spans="2:10">
      <c r="B5057" s="105">
        <v>3</v>
      </c>
      <c r="C5057" s="76" t="s">
        <v>6282</v>
      </c>
      <c r="D5057" s="31"/>
      <c r="E5057" s="31"/>
      <c r="F5057" s="210" t="s">
        <v>2374</v>
      </c>
      <c r="G5057" s="190">
        <v>48</v>
      </c>
      <c r="H5057" s="190">
        <f>'HIRE CHARGES'!$D$545</f>
        <v>446.7</v>
      </c>
      <c r="I5057" s="155">
        <f t="shared" si="91"/>
        <v>21441.599999999999</v>
      </c>
      <c r="J5057" s="78"/>
    </row>
    <row r="5058" spans="2:10">
      <c r="B5058" s="105"/>
      <c r="C5058" s="76" t="s">
        <v>2379</v>
      </c>
      <c r="D5058" s="31"/>
      <c r="E5058" s="31"/>
      <c r="F5058" s="210" t="s">
        <v>2374</v>
      </c>
      <c r="G5058" s="190">
        <v>48</v>
      </c>
      <c r="H5058" s="182">
        <f>'HIRE CHARGES'!$E$545</f>
        <v>299.89999999999998</v>
      </c>
      <c r="I5058" s="155">
        <f t="shared" si="91"/>
        <v>14395.199999999999</v>
      </c>
      <c r="J5058" s="78"/>
    </row>
    <row r="5059" spans="2:10">
      <c r="B5059" s="105">
        <v>4</v>
      </c>
      <c r="C5059" s="76" t="s">
        <v>4497</v>
      </c>
      <c r="D5059" s="31"/>
      <c r="E5059" s="31"/>
      <c r="F5059" s="210" t="s">
        <v>2374</v>
      </c>
      <c r="G5059" s="190">
        <v>4</v>
      </c>
      <c r="H5059" s="207">
        <f>'HIRE CHARGES'!$D$518</f>
        <v>3</v>
      </c>
      <c r="I5059" s="155">
        <f t="shared" si="91"/>
        <v>12</v>
      </c>
      <c r="J5059" s="78"/>
    </row>
    <row r="5060" spans="2:10">
      <c r="B5060" s="105"/>
      <c r="C5060" s="76" t="s">
        <v>2379</v>
      </c>
      <c r="D5060" s="31"/>
      <c r="E5060" s="31"/>
      <c r="F5060" s="210" t="s">
        <v>2374</v>
      </c>
      <c r="G5060" s="190">
        <v>4</v>
      </c>
      <c r="H5060" s="181">
        <f>'HIRE CHARGES'!$E$518</f>
        <v>28</v>
      </c>
      <c r="I5060" s="155">
        <f t="shared" si="91"/>
        <v>112</v>
      </c>
      <c r="J5060" s="78"/>
    </row>
    <row r="5061" spans="2:10">
      <c r="B5061" s="105">
        <v>5</v>
      </c>
      <c r="C5061" s="76" t="s">
        <v>6286</v>
      </c>
      <c r="D5061" s="31"/>
      <c r="E5061" s="31"/>
      <c r="F5061" s="210" t="s">
        <v>2374</v>
      </c>
      <c r="G5061" s="190">
        <v>8</v>
      </c>
      <c r="H5061" s="190">
        <f>'HIRE CHARGES'!$D$555</f>
        <v>402.5</v>
      </c>
      <c r="I5061" s="155">
        <f t="shared" si="91"/>
        <v>3220</v>
      </c>
      <c r="J5061" s="78"/>
    </row>
    <row r="5062" spans="2:10">
      <c r="B5062" s="105"/>
      <c r="C5062" s="76" t="s">
        <v>2379</v>
      </c>
      <c r="D5062" s="31"/>
      <c r="E5062" s="31"/>
      <c r="F5062" s="210" t="s">
        <v>2374</v>
      </c>
      <c r="G5062" s="190">
        <v>8</v>
      </c>
      <c r="H5062" s="190">
        <f>'HIRE CHARGES'!$E$555</f>
        <v>299.89999999999998</v>
      </c>
      <c r="I5062" s="155">
        <f t="shared" si="91"/>
        <v>2399.1999999999998</v>
      </c>
      <c r="J5062" s="78"/>
    </row>
    <row r="5063" spans="2:10">
      <c r="B5063" s="105">
        <v>6</v>
      </c>
      <c r="C5063" s="76" t="s">
        <v>9251</v>
      </c>
      <c r="D5063" s="31"/>
      <c r="E5063" s="31"/>
      <c r="F5063" s="210" t="s">
        <v>2374</v>
      </c>
      <c r="G5063" s="190">
        <v>7</v>
      </c>
      <c r="H5063" s="190">
        <f>'HIRE CHARGES'!$D$553</f>
        <v>1342.2</v>
      </c>
      <c r="I5063" s="155">
        <f t="shared" si="91"/>
        <v>9395.4</v>
      </c>
      <c r="J5063" s="78"/>
    </row>
    <row r="5064" spans="2:10">
      <c r="B5064" s="105"/>
      <c r="C5064" s="76" t="s">
        <v>2379</v>
      </c>
      <c r="D5064" s="31"/>
      <c r="E5064" s="31"/>
      <c r="F5064" s="210" t="s">
        <v>2374</v>
      </c>
      <c r="G5064" s="190">
        <v>7</v>
      </c>
      <c r="H5064" s="190">
        <f>'HIRE CHARGES'!$E$553</f>
        <v>1031.4000000000001</v>
      </c>
      <c r="I5064" s="155">
        <f t="shared" si="91"/>
        <v>7219.8000000000011</v>
      </c>
      <c r="J5064" s="78"/>
    </row>
    <row r="5065" spans="2:10">
      <c r="B5065" s="114">
        <v>7</v>
      </c>
      <c r="C5065" s="89" t="s">
        <v>2373</v>
      </c>
      <c r="D5065" s="174"/>
      <c r="E5065" s="174"/>
      <c r="F5065" s="191" t="s">
        <v>2173</v>
      </c>
      <c r="G5065" s="182">
        <v>5</v>
      </c>
      <c r="H5065" s="257">
        <f>'BASIC DATA'!$D$359</f>
        <v>30</v>
      </c>
      <c r="I5065" s="155">
        <f t="shared" si="91"/>
        <v>150</v>
      </c>
      <c r="J5065" s="78"/>
    </row>
    <row r="5066" spans="2:10">
      <c r="B5066" s="184"/>
      <c r="C5066" s="151" t="s">
        <v>2380</v>
      </c>
      <c r="D5066" s="159"/>
      <c r="E5066" s="159"/>
      <c r="F5066" s="159"/>
      <c r="G5066" s="159"/>
      <c r="H5066" s="208" t="s">
        <v>1698</v>
      </c>
      <c r="I5066" s="209">
        <f>SUM(I5053:I5065)</f>
        <v>89679.2</v>
      </c>
      <c r="J5066" s="78"/>
    </row>
    <row r="5067" spans="2:10">
      <c r="B5067" s="31"/>
      <c r="C5067" s="76"/>
      <c r="D5067" s="31"/>
      <c r="E5067" s="31"/>
      <c r="F5067" s="31"/>
      <c r="G5067" s="31"/>
      <c r="H5067" s="200"/>
      <c r="I5067" s="75"/>
      <c r="J5067" s="78"/>
    </row>
    <row r="5068" spans="2:10">
      <c r="B5068" s="170" t="s">
        <v>2381</v>
      </c>
      <c r="C5068" s="89"/>
      <c r="J5068" s="78"/>
    </row>
    <row r="5069" spans="2:10">
      <c r="B5069" s="95" t="s">
        <v>2369</v>
      </c>
      <c r="D5069" s="175" t="s">
        <v>2378</v>
      </c>
      <c r="E5069" s="175"/>
      <c r="F5069" s="95" t="s">
        <v>2370</v>
      </c>
      <c r="G5069" s="95" t="s">
        <v>1166</v>
      </c>
      <c r="H5069" s="95" t="s">
        <v>6664</v>
      </c>
      <c r="I5069" s="95" t="s">
        <v>6665</v>
      </c>
      <c r="J5069" s="78"/>
    </row>
    <row r="5070" spans="2:10">
      <c r="B5070" s="191"/>
      <c r="C5070" s="89"/>
      <c r="D5070" s="174"/>
      <c r="E5070" s="174"/>
      <c r="F5070" s="191"/>
      <c r="G5070" s="114"/>
      <c r="H5070" s="114" t="s">
        <v>3856</v>
      </c>
      <c r="I5070" s="114" t="s">
        <v>3857</v>
      </c>
      <c r="J5070" s="78"/>
    </row>
    <row r="5071" spans="2:10">
      <c r="B5071" s="95">
        <v>1</v>
      </c>
      <c r="C5071" s="148" t="s">
        <v>2870</v>
      </c>
      <c r="D5071" s="187"/>
      <c r="E5071" s="187"/>
      <c r="F5071" s="107" t="s">
        <v>2374</v>
      </c>
      <c r="G5071" s="179">
        <v>4.5999999999999996</v>
      </c>
      <c r="H5071" s="190">
        <f>'HIRE CHARGES'!$F$499</f>
        <v>236.6</v>
      </c>
      <c r="I5071" s="155">
        <f t="shared" ref="I5071:I5078" si="92">H5071*G5071</f>
        <v>1088.3599999999999</v>
      </c>
      <c r="J5071" s="78"/>
    </row>
    <row r="5072" spans="2:10">
      <c r="B5072" s="105">
        <v>2</v>
      </c>
      <c r="C5072" s="76" t="s">
        <v>300</v>
      </c>
      <c r="D5072" s="31"/>
      <c r="E5072" s="31"/>
      <c r="F5072" s="210" t="s">
        <v>2374</v>
      </c>
      <c r="G5072" s="190">
        <v>8</v>
      </c>
      <c r="H5072" s="179">
        <f>'HIRE CHARGES'!$F$543</f>
        <v>236.6</v>
      </c>
      <c r="I5072" s="155">
        <f t="shared" si="92"/>
        <v>1892.8</v>
      </c>
      <c r="J5072" s="78"/>
    </row>
    <row r="5073" spans="2:10">
      <c r="B5073" s="105">
        <v>3</v>
      </c>
      <c r="C5073" s="76" t="s">
        <v>301</v>
      </c>
      <c r="D5073" s="31"/>
      <c r="E5073" s="31"/>
      <c r="F5073" s="210" t="s">
        <v>2374</v>
      </c>
      <c r="G5073" s="190">
        <v>48</v>
      </c>
      <c r="H5073" s="190">
        <f>'HIRE CHARGES'!$F$545</f>
        <v>177.5</v>
      </c>
      <c r="I5073" s="155">
        <f t="shared" si="92"/>
        <v>8520</v>
      </c>
      <c r="J5073" s="78"/>
    </row>
    <row r="5074" spans="2:10">
      <c r="B5074" s="105">
        <v>4</v>
      </c>
      <c r="C5074" s="76" t="s">
        <v>999</v>
      </c>
      <c r="D5074" s="31"/>
      <c r="E5074" s="31"/>
      <c r="F5074" s="210" t="s">
        <v>2374</v>
      </c>
      <c r="G5074" s="190">
        <v>4</v>
      </c>
      <c r="H5074" s="207">
        <f>'HIRE CHARGES'!$F$518</f>
        <v>83.3</v>
      </c>
      <c r="I5074" s="155">
        <f t="shared" si="92"/>
        <v>333.2</v>
      </c>
      <c r="J5074" s="78"/>
    </row>
    <row r="5075" spans="2:10">
      <c r="B5075" s="105">
        <v>5</v>
      </c>
      <c r="C5075" s="76" t="s">
        <v>1000</v>
      </c>
      <c r="D5075" s="31"/>
      <c r="E5075" s="31"/>
      <c r="F5075" s="210" t="s">
        <v>2374</v>
      </c>
      <c r="G5075" s="190">
        <v>8</v>
      </c>
      <c r="H5075" s="190">
        <f>'HIRE CHARGES'!$F$555</f>
        <v>177.5</v>
      </c>
      <c r="I5075" s="155">
        <f t="shared" si="92"/>
        <v>1420</v>
      </c>
      <c r="J5075" s="78"/>
    </row>
    <row r="5076" spans="2:10">
      <c r="B5076" s="105">
        <v>6</v>
      </c>
      <c r="C5076" s="76" t="s">
        <v>1001</v>
      </c>
      <c r="D5076" s="31"/>
      <c r="E5076" s="31"/>
      <c r="F5076" s="210" t="s">
        <v>2374</v>
      </c>
      <c r="G5076" s="190">
        <v>7</v>
      </c>
      <c r="H5076" s="190">
        <f>'HIRE CHARGES'!$F$553</f>
        <v>263.60000000000002</v>
      </c>
      <c r="I5076" s="155">
        <f t="shared" si="92"/>
        <v>1845.2000000000003</v>
      </c>
      <c r="J5076" s="78"/>
    </row>
    <row r="5077" spans="2:10">
      <c r="B5077" s="105">
        <v>7</v>
      </c>
      <c r="C5077" s="76" t="s">
        <v>4206</v>
      </c>
      <c r="D5077" s="31"/>
      <c r="E5077" s="31"/>
      <c r="F5077" s="210" t="s">
        <v>1172</v>
      </c>
      <c r="G5077" s="190">
        <v>2</v>
      </c>
      <c r="H5077" s="190">
        <f>'BASIC DATA'!$C$473</f>
        <v>450</v>
      </c>
      <c r="I5077" s="155">
        <f t="shared" si="92"/>
        <v>900</v>
      </c>
      <c r="J5077" s="78"/>
    </row>
    <row r="5078" spans="2:10">
      <c r="B5078" s="105">
        <v>8</v>
      </c>
      <c r="C5078" s="76" t="s">
        <v>2697</v>
      </c>
      <c r="D5078" s="31"/>
      <c r="E5078" s="31"/>
      <c r="F5078" s="210" t="s">
        <v>1172</v>
      </c>
      <c r="G5078" s="190">
        <v>4</v>
      </c>
      <c r="H5078" s="207">
        <f>'BASIC DATA'!$C$552</f>
        <v>350</v>
      </c>
      <c r="I5078" s="155">
        <f t="shared" si="92"/>
        <v>1400</v>
      </c>
      <c r="J5078" s="78"/>
    </row>
    <row r="5079" spans="2:10">
      <c r="B5079" s="184"/>
      <c r="C5079" s="151"/>
      <c r="D5079" s="159"/>
      <c r="E5079" s="159" t="s">
        <v>1174</v>
      </c>
      <c r="F5079" s="159"/>
      <c r="G5079" s="193"/>
      <c r="H5079" s="208" t="s">
        <v>1698</v>
      </c>
      <c r="I5079" s="209">
        <f>SUM(I5071:I5078)</f>
        <v>17399.560000000001</v>
      </c>
      <c r="J5079" s="78"/>
    </row>
    <row r="5080" spans="2:10">
      <c r="B5080" s="60" t="s">
        <v>5948</v>
      </c>
      <c r="C5080" s="76"/>
      <c r="D5080" s="31"/>
      <c r="E5080" s="31"/>
      <c r="F5080" s="31"/>
      <c r="G5080" s="85">
        <f>ROUND(I5079/H5043,1)</f>
        <v>17.899999999999999</v>
      </c>
      <c r="J5080" s="78"/>
    </row>
    <row r="5081" spans="2:10">
      <c r="B5081" s="60" t="s">
        <v>3163</v>
      </c>
      <c r="C5081" s="76"/>
      <c r="D5081" s="31"/>
      <c r="E5081" s="31"/>
      <c r="F5081" s="922">
        <f>'BASIC DATA'!$C$577</f>
        <v>0.13614999999999999</v>
      </c>
      <c r="G5081" s="85">
        <f>ROUND(G5080*F5081,1)</f>
        <v>2.4</v>
      </c>
      <c r="J5081" s="78"/>
    </row>
    <row r="5082" spans="2:10">
      <c r="B5082" s="60" t="s">
        <v>5949</v>
      </c>
      <c r="C5082" s="76"/>
      <c r="D5082" s="31"/>
      <c r="E5082" s="31"/>
      <c r="F5082" s="31"/>
      <c r="G5082" s="199">
        <f>ROUND(G5081+G5080,1)</f>
        <v>20.3</v>
      </c>
      <c r="J5082" s="78"/>
    </row>
    <row r="5083" spans="2:10">
      <c r="B5083" s="31"/>
      <c r="C5083" s="76"/>
      <c r="D5083" s="31"/>
      <c r="E5083" s="31"/>
      <c r="F5083" s="200"/>
      <c r="G5083" s="200"/>
      <c r="I5083" s="75"/>
      <c r="J5083" s="78"/>
    </row>
    <row r="5084" spans="2:10">
      <c r="B5084" s="170" t="s">
        <v>1175</v>
      </c>
      <c r="J5084" s="78"/>
    </row>
    <row r="5085" spans="2:10">
      <c r="B5085" s="26" t="s">
        <v>1176</v>
      </c>
      <c r="H5085" s="171" t="s">
        <v>1698</v>
      </c>
      <c r="I5085" s="117">
        <f>I5048</f>
        <v>0</v>
      </c>
      <c r="J5085" s="78"/>
    </row>
    <row r="5086" spans="2:10">
      <c r="B5086" s="26" t="s">
        <v>1186</v>
      </c>
      <c r="H5086" s="171" t="s">
        <v>1698</v>
      </c>
      <c r="I5086" s="117">
        <f>I5066</f>
        <v>89679.2</v>
      </c>
      <c r="J5086" s="78"/>
    </row>
    <row r="5087" spans="2:10">
      <c r="B5087" s="26" t="s">
        <v>2660</v>
      </c>
      <c r="H5087" s="171" t="s">
        <v>1698</v>
      </c>
      <c r="I5087" s="117">
        <f>I5079</f>
        <v>17399.560000000001</v>
      </c>
      <c r="J5087" s="78"/>
    </row>
    <row r="5088" spans="2:10">
      <c r="G5088" s="171" t="s">
        <v>1518</v>
      </c>
      <c r="H5088" s="171" t="s">
        <v>1698</v>
      </c>
      <c r="I5088" s="130">
        <f>SUM(I5085:I5087)</f>
        <v>107078.76</v>
      </c>
      <c r="J5088" s="78"/>
    </row>
    <row r="5089" spans="1:10" ht="18.75">
      <c r="B5089" s="1207" t="s">
        <v>8375</v>
      </c>
      <c r="C5089" s="1207"/>
      <c r="D5089" s="1207"/>
      <c r="E5089" s="1207"/>
      <c r="F5089" s="1207"/>
      <c r="G5089" s="922">
        <f>'BASIC DATA'!$C$577</f>
        <v>0.13614999999999999</v>
      </c>
      <c r="H5089" s="171" t="s">
        <v>4108</v>
      </c>
      <c r="I5089" s="76">
        <f>ROUND(I5088*G5089,2)</f>
        <v>14578.77</v>
      </c>
      <c r="J5089" s="78"/>
    </row>
    <row r="5090" spans="1:10">
      <c r="B5090" s="1206" t="s">
        <v>1191</v>
      </c>
      <c r="C5090" s="1206"/>
      <c r="D5090" s="1206"/>
      <c r="E5090" s="1206"/>
      <c r="F5090" s="202">
        <f>H5043</f>
        <v>970</v>
      </c>
      <c r="G5090" s="202" t="str">
        <f>I5043</f>
        <v>cum</v>
      </c>
      <c r="H5090" s="171" t="s">
        <v>1698</v>
      </c>
      <c r="I5090" s="199">
        <f>I5089+I5088</f>
        <v>121657.53</v>
      </c>
      <c r="J5090" s="78"/>
    </row>
    <row r="5091" spans="1:10">
      <c r="B5091" s="1206" t="s">
        <v>3884</v>
      </c>
      <c r="C5091" s="1206"/>
      <c r="D5091" s="217" t="str">
        <f>G5090</f>
        <v>cum</v>
      </c>
      <c r="F5091" s="26" t="s">
        <v>1396</v>
      </c>
      <c r="H5091" s="171" t="s">
        <v>1698</v>
      </c>
      <c r="I5091" s="117">
        <f>ROUND(I5090/F5090,1)</f>
        <v>125.4</v>
      </c>
      <c r="J5091" s="78"/>
    </row>
    <row r="5092" spans="1:10">
      <c r="B5092" s="1207" t="s">
        <v>488</v>
      </c>
      <c r="C5092" s="1207"/>
      <c r="D5092" s="1207"/>
      <c r="E5092" s="1207"/>
      <c r="F5092" s="1207"/>
      <c r="G5092" s="1207"/>
      <c r="H5092" s="1207"/>
      <c r="I5092" s="117">
        <f>'preliminary and maintanance'!G2694</f>
        <v>45.8</v>
      </c>
      <c r="J5092" s="78"/>
    </row>
    <row r="5093" spans="1:10">
      <c r="B5093" s="1207" t="s">
        <v>489</v>
      </c>
      <c r="C5093" s="1207"/>
      <c r="D5093" s="1207"/>
      <c r="E5093" s="1207"/>
      <c r="F5093" s="1207"/>
      <c r="G5093" s="1207"/>
      <c r="H5093" s="1207"/>
      <c r="I5093" s="117">
        <f>'preliminary and maintanance'!G2733</f>
        <v>6.2</v>
      </c>
      <c r="J5093" s="78"/>
    </row>
    <row r="5094" spans="1:10">
      <c r="B5094" s="170" t="s">
        <v>3884</v>
      </c>
      <c r="C5094" s="79"/>
      <c r="D5094" s="170" t="s">
        <v>3477</v>
      </c>
      <c r="H5094" s="26" t="s">
        <v>4108</v>
      </c>
      <c r="I5094" s="204">
        <f>I5091-I5092+I5093</f>
        <v>85.800000000000011</v>
      </c>
      <c r="J5094" s="78"/>
    </row>
    <row r="5095" spans="1:10">
      <c r="J5095" s="78"/>
    </row>
    <row r="5096" spans="1:10" ht="18.75">
      <c r="A5096" s="822" t="s">
        <v>7367</v>
      </c>
      <c r="B5096" s="26" t="s">
        <v>8532</v>
      </c>
      <c r="J5096" s="78"/>
    </row>
    <row r="5097" spans="1:10">
      <c r="B5097" s="26" t="s">
        <v>8533</v>
      </c>
      <c r="J5097" s="78"/>
    </row>
    <row r="5098" spans="1:10">
      <c r="B5098" s="26" t="s">
        <v>17</v>
      </c>
      <c r="J5098" s="78"/>
    </row>
    <row r="5099" spans="1:10">
      <c r="B5099" s="26" t="s">
        <v>18</v>
      </c>
      <c r="J5099" s="78"/>
    </row>
    <row r="5100" spans="1:10" ht="18.75">
      <c r="B5100" s="26" t="s">
        <v>8534</v>
      </c>
      <c r="J5100" s="78"/>
    </row>
    <row r="5101" spans="1:10">
      <c r="B5101" s="26" t="s">
        <v>9258</v>
      </c>
      <c r="J5101" s="78"/>
    </row>
    <row r="5102" spans="1:10">
      <c r="B5102" s="170" t="s">
        <v>3008</v>
      </c>
      <c r="J5102" s="78"/>
    </row>
    <row r="5103" spans="1:10" hidden="1">
      <c r="A5103" s="822" t="s">
        <v>3984</v>
      </c>
      <c r="B5103" s="26" t="s">
        <v>602</v>
      </c>
      <c r="G5103" s="171" t="s">
        <v>1697</v>
      </c>
      <c r="H5103" s="68">
        <v>0.85</v>
      </c>
      <c r="I5103" s="26" t="s">
        <v>3477</v>
      </c>
      <c r="J5103" s="78"/>
    </row>
    <row r="5104" spans="1:10" hidden="1">
      <c r="B5104" s="26" t="s">
        <v>603</v>
      </c>
      <c r="G5104" s="171" t="s">
        <v>1697</v>
      </c>
      <c r="H5104" s="68">
        <v>0.98</v>
      </c>
      <c r="I5104" s="26" t="s">
        <v>3477</v>
      </c>
      <c r="J5104" s="78"/>
    </row>
    <row r="5105" spans="2:10" hidden="1">
      <c r="B5105" s="26" t="s">
        <v>604</v>
      </c>
      <c r="G5105" s="171" t="s">
        <v>1697</v>
      </c>
      <c r="H5105" s="68">
        <v>5</v>
      </c>
      <c r="I5105" s="26" t="s">
        <v>3477</v>
      </c>
      <c r="J5105" s="78"/>
    </row>
    <row r="5106" spans="2:10" hidden="1">
      <c r="B5106" s="26" t="s">
        <v>2541</v>
      </c>
      <c r="G5106" s="171" t="s">
        <v>3992</v>
      </c>
      <c r="H5106" s="68">
        <v>1</v>
      </c>
      <c r="I5106" s="26" t="s">
        <v>3430</v>
      </c>
      <c r="J5106" s="78"/>
    </row>
    <row r="5107" spans="2:10" hidden="1">
      <c r="B5107" s="26" t="s">
        <v>4569</v>
      </c>
      <c r="G5107" s="171" t="s">
        <v>1697</v>
      </c>
      <c r="H5107" s="68">
        <v>20</v>
      </c>
      <c r="I5107" s="26" t="s">
        <v>6703</v>
      </c>
      <c r="J5107" s="78"/>
    </row>
    <row r="5108" spans="2:10" hidden="1">
      <c r="B5108" s="26" t="s">
        <v>5632</v>
      </c>
      <c r="G5108" s="171" t="s">
        <v>1697</v>
      </c>
      <c r="H5108" s="68">
        <v>25</v>
      </c>
      <c r="I5108" s="26" t="s">
        <v>6703</v>
      </c>
      <c r="J5108" s="78"/>
    </row>
    <row r="5109" spans="2:10" hidden="1">
      <c r="B5109" s="26" t="s">
        <v>3985</v>
      </c>
      <c r="G5109" s="171" t="s">
        <v>1697</v>
      </c>
      <c r="H5109" s="68">
        <v>2</v>
      </c>
      <c r="I5109" s="26" t="s">
        <v>2603</v>
      </c>
      <c r="J5109" s="78"/>
    </row>
    <row r="5110" spans="2:10" hidden="1">
      <c r="B5110" s="26" t="s">
        <v>4030</v>
      </c>
      <c r="G5110" s="171" t="s">
        <v>1697</v>
      </c>
      <c r="H5110" s="68">
        <v>22</v>
      </c>
      <c r="I5110" s="26" t="s">
        <v>3434</v>
      </c>
      <c r="J5110" s="78"/>
    </row>
    <row r="5111" spans="2:10" hidden="1">
      <c r="B5111" s="26" t="s">
        <v>2760</v>
      </c>
      <c r="G5111" s="171" t="s">
        <v>1697</v>
      </c>
      <c r="H5111" s="68">
        <v>0.86</v>
      </c>
      <c r="I5111" s="26" t="s">
        <v>3477</v>
      </c>
      <c r="J5111" s="78"/>
    </row>
    <row r="5112" spans="2:10" hidden="1">
      <c r="B5112" s="26" t="s">
        <v>2761</v>
      </c>
      <c r="G5112" s="171" t="s">
        <v>1697</v>
      </c>
      <c r="H5112" s="68">
        <v>4.17</v>
      </c>
      <c r="I5112" s="26" t="s">
        <v>3477</v>
      </c>
      <c r="J5112" s="78"/>
    </row>
    <row r="5113" spans="2:10" hidden="1">
      <c r="B5113" s="26" t="s">
        <v>2762</v>
      </c>
      <c r="G5113" s="171" t="s">
        <v>1123</v>
      </c>
      <c r="H5113" s="68">
        <v>5</v>
      </c>
      <c r="I5113" s="26" t="s">
        <v>4932</v>
      </c>
      <c r="J5113" s="78"/>
    </row>
    <row r="5114" spans="2:10" hidden="1">
      <c r="B5114" s="26" t="s">
        <v>2414</v>
      </c>
      <c r="G5114" s="171" t="s">
        <v>1123</v>
      </c>
      <c r="H5114" s="68">
        <v>4.3</v>
      </c>
      <c r="I5114" s="26" t="s">
        <v>3477</v>
      </c>
      <c r="J5114" s="78"/>
    </row>
    <row r="5115" spans="2:10" hidden="1">
      <c r="B5115" s="26" t="s">
        <v>4006</v>
      </c>
      <c r="G5115" s="171" t="s">
        <v>1123</v>
      </c>
      <c r="H5115" s="68">
        <v>1.83</v>
      </c>
      <c r="I5115" s="26" t="s">
        <v>2603</v>
      </c>
      <c r="J5115" s="78"/>
    </row>
    <row r="5116" spans="2:10" hidden="1">
      <c r="B5116" s="26" t="s">
        <v>3706</v>
      </c>
      <c r="J5116" s="78"/>
    </row>
    <row r="5117" spans="2:10" hidden="1">
      <c r="B5117" s="26" t="s">
        <v>3707</v>
      </c>
      <c r="J5117" s="78"/>
    </row>
    <row r="5118" spans="2:10" hidden="1">
      <c r="B5118" s="26" t="s">
        <v>1051</v>
      </c>
      <c r="J5118" s="78"/>
    </row>
    <row r="5119" spans="2:10" hidden="1">
      <c r="B5119" s="26" t="s">
        <v>1052</v>
      </c>
      <c r="J5119" s="78"/>
    </row>
    <row r="5120" spans="2:10" hidden="1">
      <c r="B5120" s="26" t="s">
        <v>1154</v>
      </c>
      <c r="J5120" s="78"/>
    </row>
    <row r="5121" spans="2:10" hidden="1">
      <c r="B5121" s="26" t="s">
        <v>1155</v>
      </c>
      <c r="J5121" s="78"/>
    </row>
    <row r="5122" spans="2:10" hidden="1">
      <c r="B5122" s="26" t="s">
        <v>1613</v>
      </c>
      <c r="J5122" s="78"/>
    </row>
    <row r="5123" spans="2:10" hidden="1">
      <c r="B5123" s="26" t="s">
        <v>624</v>
      </c>
      <c r="G5123" s="171" t="s">
        <v>1697</v>
      </c>
      <c r="H5123" s="68">
        <v>2.2000000000000002</v>
      </c>
      <c r="I5123" s="26" t="s">
        <v>6902</v>
      </c>
      <c r="J5123" s="78"/>
    </row>
    <row r="5124" spans="2:10" hidden="1">
      <c r="B5124" s="26" t="s">
        <v>1490</v>
      </c>
      <c r="G5124" s="171" t="s">
        <v>1697</v>
      </c>
      <c r="H5124" s="68">
        <v>3</v>
      </c>
      <c r="I5124" s="26" t="s">
        <v>6902</v>
      </c>
      <c r="J5124" s="78"/>
    </row>
    <row r="5125" spans="2:10" hidden="1">
      <c r="B5125" s="26" t="s">
        <v>705</v>
      </c>
      <c r="G5125" s="171" t="s">
        <v>1697</v>
      </c>
      <c r="H5125" s="68">
        <v>2</v>
      </c>
      <c r="I5125" s="26" t="s">
        <v>6902</v>
      </c>
      <c r="J5125" s="78"/>
    </row>
    <row r="5126" spans="2:10" hidden="1">
      <c r="B5126" s="26" t="s">
        <v>1491</v>
      </c>
      <c r="G5126" s="171" t="s">
        <v>1697</v>
      </c>
      <c r="H5126" s="68">
        <v>2.4</v>
      </c>
      <c r="I5126" s="26" t="s">
        <v>6902</v>
      </c>
      <c r="J5126" s="78"/>
    </row>
    <row r="5127" spans="2:10" hidden="1">
      <c r="B5127" s="26" t="s">
        <v>263</v>
      </c>
      <c r="G5127" s="171" t="s">
        <v>1697</v>
      </c>
      <c r="H5127" s="68">
        <v>0.5</v>
      </c>
      <c r="I5127" s="26" t="s">
        <v>6902</v>
      </c>
      <c r="J5127" s="78"/>
    </row>
    <row r="5128" spans="2:10" hidden="1">
      <c r="F5128" s="26" t="s">
        <v>1518</v>
      </c>
      <c r="G5128" s="171" t="s">
        <v>1697</v>
      </c>
      <c r="H5128" s="68">
        <f>SUM(H5123:H5127)</f>
        <v>10.1</v>
      </c>
      <c r="I5128" s="26" t="s">
        <v>6902</v>
      </c>
      <c r="J5128" s="78"/>
    </row>
    <row r="5129" spans="2:10" hidden="1">
      <c r="B5129" s="26" t="s">
        <v>4007</v>
      </c>
      <c r="G5129" s="171"/>
      <c r="H5129" s="68">
        <v>5</v>
      </c>
      <c r="I5129" s="26" t="s">
        <v>2059</v>
      </c>
      <c r="J5129" s="78"/>
    </row>
    <row r="5130" spans="2:10" hidden="1">
      <c r="B5130" s="26" t="s">
        <v>4008</v>
      </c>
      <c r="G5130" s="171" t="s">
        <v>1123</v>
      </c>
      <c r="H5130" s="68">
        <v>21.3</v>
      </c>
      <c r="I5130" s="26" t="s">
        <v>5336</v>
      </c>
      <c r="J5130" s="78"/>
    </row>
    <row r="5131" spans="2:10" hidden="1">
      <c r="B5131" s="26" t="s">
        <v>4621</v>
      </c>
      <c r="G5131" s="171" t="s">
        <v>1123</v>
      </c>
      <c r="H5131" s="68">
        <v>850</v>
      </c>
      <c r="I5131" s="26" t="s">
        <v>5336</v>
      </c>
      <c r="J5131" s="78"/>
    </row>
    <row r="5132" spans="2:10" hidden="1">
      <c r="B5132" s="26" t="s">
        <v>2994</v>
      </c>
      <c r="J5132" s="78"/>
    </row>
    <row r="5133" spans="2:10" hidden="1">
      <c r="B5133" s="26" t="s">
        <v>719</v>
      </c>
      <c r="J5133" s="78"/>
    </row>
    <row r="5134" spans="2:10" hidden="1">
      <c r="B5134" s="26" t="s">
        <v>720</v>
      </c>
      <c r="J5134" s="78"/>
    </row>
    <row r="5135" spans="2:10" hidden="1">
      <c r="B5135" s="26" t="s">
        <v>721</v>
      </c>
      <c r="G5135" s="171" t="s">
        <v>1697</v>
      </c>
      <c r="H5135" s="26">
        <v>807</v>
      </c>
      <c r="I5135" s="26" t="s">
        <v>5336</v>
      </c>
      <c r="J5135" s="78"/>
    </row>
    <row r="5136" spans="2:10" hidden="1">
      <c r="B5136" s="26" t="s">
        <v>4396</v>
      </c>
      <c r="J5136" s="78"/>
    </row>
    <row r="5137" spans="2:10" hidden="1">
      <c r="B5137" s="26" t="s">
        <v>4449</v>
      </c>
      <c r="J5137" s="78"/>
    </row>
    <row r="5138" spans="2:10" hidden="1">
      <c r="B5138" s="26" t="s">
        <v>4622</v>
      </c>
      <c r="H5138" s="68">
        <v>2550</v>
      </c>
      <c r="I5138" s="26" t="s">
        <v>3479</v>
      </c>
      <c r="J5138" s="78"/>
    </row>
    <row r="5139" spans="2:10" hidden="1">
      <c r="B5139" s="26" t="s">
        <v>4450</v>
      </c>
      <c r="H5139" s="68">
        <v>0.25</v>
      </c>
      <c r="I5139" s="26" t="s">
        <v>2602</v>
      </c>
      <c r="J5139" s="78"/>
    </row>
    <row r="5140" spans="2:10" hidden="1">
      <c r="B5140" s="26" t="s">
        <v>3095</v>
      </c>
      <c r="H5140" s="68">
        <v>670</v>
      </c>
      <c r="I5140" s="26" t="s">
        <v>3477</v>
      </c>
      <c r="J5140" s="78"/>
    </row>
    <row r="5141" spans="2:10" hidden="1">
      <c r="B5141" s="26" t="s">
        <v>3248</v>
      </c>
      <c r="H5141" s="68">
        <v>100</v>
      </c>
      <c r="I5141" s="26" t="s">
        <v>3477</v>
      </c>
      <c r="J5141" s="78"/>
    </row>
    <row r="5142" spans="2:10" hidden="1">
      <c r="B5142" s="26" t="s">
        <v>3096</v>
      </c>
      <c r="H5142" s="68">
        <v>6.7</v>
      </c>
      <c r="I5142" s="26" t="s">
        <v>4665</v>
      </c>
      <c r="J5142" s="78"/>
    </row>
    <row r="5143" spans="2:10" hidden="1">
      <c r="B5143" s="26" t="s">
        <v>3097</v>
      </c>
      <c r="H5143" s="68"/>
      <c r="J5143" s="78"/>
    </row>
    <row r="5144" spans="2:10" hidden="1">
      <c r="B5144" s="26" t="s">
        <v>5355</v>
      </c>
      <c r="H5144" s="68">
        <v>1.3</v>
      </c>
      <c r="I5144" s="26" t="s">
        <v>4665</v>
      </c>
      <c r="J5144" s="78"/>
    </row>
    <row r="5145" spans="2:10" hidden="1">
      <c r="B5145" s="26" t="s">
        <v>3454</v>
      </c>
      <c r="J5145" s="78"/>
    </row>
    <row r="5146" spans="2:10" hidden="1">
      <c r="B5146" s="26" t="s">
        <v>5213</v>
      </c>
      <c r="J5146" s="78"/>
    </row>
    <row r="5147" spans="2:10" hidden="1">
      <c r="B5147" s="26" t="s">
        <v>4339</v>
      </c>
      <c r="J5147" s="78"/>
    </row>
    <row r="5148" spans="2:10" hidden="1">
      <c r="B5148" s="26" t="s">
        <v>4340</v>
      </c>
      <c r="J5148" s="78"/>
    </row>
    <row r="5149" spans="2:10" hidden="1">
      <c r="B5149" s="26" t="s">
        <v>5214</v>
      </c>
      <c r="J5149" s="78"/>
    </row>
    <row r="5150" spans="2:10" hidden="1">
      <c r="B5150" s="26" t="s">
        <v>5356</v>
      </c>
      <c r="G5150" s="171" t="s">
        <v>1697</v>
      </c>
      <c r="H5150" s="68">
        <v>1020</v>
      </c>
      <c r="I5150" s="26" t="s">
        <v>3477</v>
      </c>
      <c r="J5150" s="78"/>
    </row>
    <row r="5151" spans="2:10" hidden="1">
      <c r="B5151" s="26" t="s">
        <v>6514</v>
      </c>
      <c r="G5151" s="171" t="s">
        <v>1697</v>
      </c>
      <c r="H5151" s="68">
        <v>250</v>
      </c>
      <c r="I5151" s="26" t="s">
        <v>3477</v>
      </c>
      <c r="J5151" s="78"/>
    </row>
    <row r="5152" spans="2:10" hidden="1">
      <c r="B5152" s="26" t="s">
        <v>5357</v>
      </c>
      <c r="G5152" s="171" t="s">
        <v>1123</v>
      </c>
      <c r="H5152" s="68">
        <v>4.0999999999999996</v>
      </c>
      <c r="I5152" s="26" t="s">
        <v>4665</v>
      </c>
      <c r="J5152" s="78"/>
    </row>
    <row r="5153" spans="2:10" hidden="1">
      <c r="B5153" s="26" t="s">
        <v>5217</v>
      </c>
      <c r="G5153" s="171"/>
      <c r="J5153" s="78"/>
    </row>
    <row r="5154" spans="2:10" hidden="1">
      <c r="B5154" s="26" t="s">
        <v>4341</v>
      </c>
      <c r="J5154" s="78"/>
    </row>
    <row r="5155" spans="2:10" hidden="1">
      <c r="B5155" s="26" t="s">
        <v>4342</v>
      </c>
      <c r="J5155" s="78"/>
    </row>
    <row r="5156" spans="2:10" hidden="1">
      <c r="B5156" s="26" t="s">
        <v>7137</v>
      </c>
      <c r="J5156" s="78"/>
    </row>
    <row r="5157" spans="2:10" hidden="1">
      <c r="B5157" s="26" t="s">
        <v>7138</v>
      </c>
      <c r="J5157" s="78"/>
    </row>
    <row r="5158" spans="2:10" hidden="1">
      <c r="B5158" s="26" t="s">
        <v>722</v>
      </c>
      <c r="J5158" s="78"/>
    </row>
    <row r="5159" spans="2:10" hidden="1">
      <c r="B5159" s="26" t="s">
        <v>7140</v>
      </c>
      <c r="J5159" s="78"/>
    </row>
    <row r="5160" spans="2:10" hidden="1">
      <c r="B5160" s="26" t="s">
        <v>6047</v>
      </c>
      <c r="J5160" s="78"/>
    </row>
    <row r="5161" spans="2:10" hidden="1">
      <c r="B5161" s="26" t="s">
        <v>6723</v>
      </c>
      <c r="J5161" s="78"/>
    </row>
    <row r="5162" spans="2:10" hidden="1">
      <c r="B5162" s="26" t="s">
        <v>5218</v>
      </c>
      <c r="J5162" s="78"/>
    </row>
    <row r="5163" spans="2:10" hidden="1">
      <c r="B5163" s="26" t="s">
        <v>723</v>
      </c>
      <c r="J5163" s="78"/>
    </row>
    <row r="5164" spans="2:10" hidden="1">
      <c r="B5164" s="26" t="s">
        <v>724</v>
      </c>
      <c r="J5164" s="78"/>
    </row>
    <row r="5165" spans="2:10" hidden="1">
      <c r="B5165" s="26" t="s">
        <v>9259</v>
      </c>
      <c r="J5165" s="78"/>
    </row>
    <row r="5166" spans="2:10" hidden="1">
      <c r="B5166" s="26" t="s">
        <v>7015</v>
      </c>
      <c r="J5166" s="78"/>
    </row>
    <row r="5167" spans="2:10" hidden="1">
      <c r="B5167" s="26" t="s">
        <v>3650</v>
      </c>
      <c r="G5167" s="78" t="s">
        <v>1697</v>
      </c>
      <c r="H5167" s="68">
        <v>1.9</v>
      </c>
      <c r="I5167" s="26" t="s">
        <v>2602</v>
      </c>
      <c r="J5167" s="78"/>
    </row>
    <row r="5168" spans="2:10" hidden="1">
      <c r="B5168" s="26" t="s">
        <v>4995</v>
      </c>
      <c r="G5168" s="78" t="s">
        <v>1697</v>
      </c>
      <c r="H5168" s="68">
        <v>4</v>
      </c>
      <c r="I5168" s="26" t="s">
        <v>3430</v>
      </c>
      <c r="J5168" s="78"/>
    </row>
    <row r="5169" spans="1:10" hidden="1">
      <c r="B5169" s="26" t="s">
        <v>4997</v>
      </c>
      <c r="G5169" s="78" t="s">
        <v>1697</v>
      </c>
      <c r="H5169" s="68">
        <v>0.3</v>
      </c>
      <c r="I5169" s="26" t="s">
        <v>2602</v>
      </c>
      <c r="J5169" s="78"/>
    </row>
    <row r="5170" spans="1:10" hidden="1">
      <c r="B5170" s="26" t="s">
        <v>4187</v>
      </c>
      <c r="G5170" s="78" t="s">
        <v>1697</v>
      </c>
      <c r="H5170" s="68">
        <v>9</v>
      </c>
      <c r="I5170" s="26" t="s">
        <v>2059</v>
      </c>
      <c r="J5170" s="78"/>
    </row>
    <row r="5171" spans="1:10" hidden="1">
      <c r="B5171" s="26" t="s">
        <v>1126</v>
      </c>
      <c r="J5171" s="78"/>
    </row>
    <row r="5172" spans="1:10" hidden="1">
      <c r="B5172" s="26" t="s">
        <v>1127</v>
      </c>
      <c r="G5172" s="78" t="s">
        <v>1123</v>
      </c>
      <c r="H5172" s="68">
        <v>160</v>
      </c>
      <c r="I5172" s="26" t="s">
        <v>3477</v>
      </c>
      <c r="J5172" s="78"/>
    </row>
    <row r="5173" spans="1:10" hidden="1">
      <c r="B5173" s="26" t="s">
        <v>5358</v>
      </c>
      <c r="G5173" s="78" t="s">
        <v>1123</v>
      </c>
      <c r="H5173" s="68">
        <v>6.4</v>
      </c>
      <c r="I5173" s="26" t="s">
        <v>4665</v>
      </c>
      <c r="J5173" s="78"/>
    </row>
    <row r="5174" spans="1:10" hidden="1">
      <c r="B5174" s="26" t="s">
        <v>292</v>
      </c>
      <c r="J5174" s="78"/>
    </row>
    <row r="5175" spans="1:10" hidden="1">
      <c r="B5175" s="26" t="s">
        <v>5043</v>
      </c>
      <c r="J5175" s="78"/>
    </row>
    <row r="5176" spans="1:10">
      <c r="J5176" s="78"/>
    </row>
    <row r="5177" spans="1:10">
      <c r="A5177" s="822" t="s">
        <v>3984</v>
      </c>
      <c r="E5177" s="170" t="s">
        <v>2367</v>
      </c>
      <c r="J5177" s="78"/>
    </row>
    <row r="5178" spans="1:10">
      <c r="F5178" s="68"/>
      <c r="H5178" s="171" t="s">
        <v>297</v>
      </c>
      <c r="J5178" s="78"/>
    </row>
    <row r="5179" spans="1:10">
      <c r="B5179" s="170" t="s">
        <v>2368</v>
      </c>
      <c r="C5179" s="89"/>
      <c r="H5179" s="211">
        <v>807</v>
      </c>
      <c r="I5179" s="26" t="s">
        <v>3477</v>
      </c>
      <c r="J5179" s="78"/>
    </row>
    <row r="5180" spans="1:10">
      <c r="B5180" s="95" t="s">
        <v>2369</v>
      </c>
      <c r="D5180" s="175" t="s">
        <v>4443</v>
      </c>
      <c r="E5180" s="175"/>
      <c r="F5180" s="95" t="s">
        <v>2370</v>
      </c>
      <c r="G5180" s="95" t="s">
        <v>1166</v>
      </c>
      <c r="H5180" s="95" t="s">
        <v>6664</v>
      </c>
      <c r="I5180" s="95" t="s">
        <v>6665</v>
      </c>
      <c r="J5180" s="78"/>
    </row>
    <row r="5181" spans="1:10">
      <c r="B5181" s="191"/>
      <c r="C5181" s="89"/>
      <c r="D5181" s="174"/>
      <c r="E5181" s="174"/>
      <c r="F5181" s="191"/>
      <c r="G5181" s="114"/>
      <c r="H5181" s="114" t="s">
        <v>3856</v>
      </c>
      <c r="I5181" s="114" t="s">
        <v>3857</v>
      </c>
      <c r="J5181" s="78"/>
    </row>
    <row r="5182" spans="1:10">
      <c r="B5182" s="95">
        <v>1</v>
      </c>
      <c r="C5182" s="148" t="s">
        <v>6976</v>
      </c>
      <c r="D5182" s="187"/>
      <c r="E5182" s="187"/>
      <c r="F5182" s="107"/>
      <c r="G5182" s="179">
        <v>0</v>
      </c>
      <c r="H5182" s="179">
        <v>0</v>
      </c>
      <c r="I5182" s="155">
        <f>H5182*G5182</f>
        <v>0</v>
      </c>
      <c r="J5182" s="78"/>
    </row>
    <row r="5183" spans="1:10">
      <c r="B5183" s="191"/>
      <c r="C5183" s="89"/>
      <c r="D5183" s="174"/>
      <c r="E5183" s="174"/>
      <c r="F5183" s="191"/>
      <c r="G5183" s="182">
        <v>0</v>
      </c>
      <c r="H5183" s="182">
        <v>0</v>
      </c>
      <c r="I5183" s="155">
        <f>H5183*G5183</f>
        <v>0</v>
      </c>
      <c r="J5183" s="78"/>
    </row>
    <row r="5184" spans="1:10">
      <c r="B5184" s="184"/>
      <c r="C5184" s="151"/>
      <c r="D5184" s="159"/>
      <c r="E5184" s="159" t="s">
        <v>2376</v>
      </c>
      <c r="F5184" s="159"/>
      <c r="G5184" s="159"/>
      <c r="H5184" s="208" t="s">
        <v>1698</v>
      </c>
      <c r="I5184" s="209">
        <f>SUM(I5182:I5183)</f>
        <v>0</v>
      </c>
      <c r="J5184" s="78"/>
    </row>
    <row r="5185" spans="2:10">
      <c r="B5185" s="31"/>
      <c r="C5185" s="76"/>
      <c r="D5185" s="31"/>
      <c r="E5185" s="31"/>
      <c r="F5185" s="31"/>
      <c r="G5185" s="31"/>
      <c r="H5185" s="200"/>
      <c r="I5185" s="75"/>
      <c r="J5185" s="78"/>
    </row>
    <row r="5186" spans="2:10">
      <c r="B5186" s="170" t="s">
        <v>2377</v>
      </c>
      <c r="C5186" s="89"/>
      <c r="J5186" s="78"/>
    </row>
    <row r="5187" spans="2:10">
      <c r="B5187" s="95" t="s">
        <v>2369</v>
      </c>
      <c r="D5187" s="175" t="s">
        <v>2378</v>
      </c>
      <c r="E5187" s="175"/>
      <c r="F5187" s="95" t="s">
        <v>2370</v>
      </c>
      <c r="G5187" s="95" t="s">
        <v>1166</v>
      </c>
      <c r="H5187" s="95" t="s">
        <v>6664</v>
      </c>
      <c r="I5187" s="95" t="s">
        <v>6665</v>
      </c>
      <c r="J5187" s="78"/>
    </row>
    <row r="5188" spans="2:10">
      <c r="B5188" s="191"/>
      <c r="C5188" s="89"/>
      <c r="D5188" s="174"/>
      <c r="E5188" s="174"/>
      <c r="F5188" s="191"/>
      <c r="G5188" s="114"/>
      <c r="H5188" s="114" t="s">
        <v>3856</v>
      </c>
      <c r="I5188" s="114" t="s">
        <v>3857</v>
      </c>
      <c r="J5188" s="78"/>
    </row>
    <row r="5189" spans="2:10">
      <c r="B5189" s="95">
        <v>1</v>
      </c>
      <c r="C5189" s="148" t="s">
        <v>1502</v>
      </c>
      <c r="D5189" s="187"/>
      <c r="E5189" s="187"/>
      <c r="F5189" s="107" t="s">
        <v>2374</v>
      </c>
      <c r="G5189" s="179">
        <v>5.4</v>
      </c>
      <c r="H5189" s="190">
        <f>'HIRE CHARGES'!$D$499</f>
        <v>1715.5</v>
      </c>
      <c r="I5189" s="155">
        <f t="shared" ref="I5189:I5201" si="93">H5189*G5189</f>
        <v>9263.7000000000007</v>
      </c>
      <c r="J5189" s="78"/>
    </row>
    <row r="5190" spans="2:10">
      <c r="B5190" s="105"/>
      <c r="C5190" s="76" t="s">
        <v>2379</v>
      </c>
      <c r="D5190" s="31"/>
      <c r="E5190" s="31"/>
      <c r="F5190" s="210" t="s">
        <v>2374</v>
      </c>
      <c r="G5190" s="190">
        <v>5.4</v>
      </c>
      <c r="H5190" s="207">
        <f>'HIRE CHARGES'!$E$499</f>
        <v>610.5</v>
      </c>
      <c r="I5190" s="155">
        <f t="shared" si="93"/>
        <v>3296.7000000000003</v>
      </c>
      <c r="J5190" s="78"/>
    </row>
    <row r="5191" spans="2:10">
      <c r="B5191" s="105">
        <v>2</v>
      </c>
      <c r="C5191" s="76" t="s">
        <v>298</v>
      </c>
      <c r="D5191" s="31"/>
      <c r="E5191" s="31"/>
      <c r="F5191" s="210" t="s">
        <v>2374</v>
      </c>
      <c r="G5191" s="190">
        <v>8</v>
      </c>
      <c r="H5191" s="190">
        <f>'HIRE CHARGES'!$D$543</f>
        <v>1706.6</v>
      </c>
      <c r="I5191" s="155">
        <f t="shared" si="93"/>
        <v>13652.8</v>
      </c>
      <c r="J5191" s="78"/>
    </row>
    <row r="5192" spans="2:10">
      <c r="B5192" s="105"/>
      <c r="C5192" s="76" t="s">
        <v>2379</v>
      </c>
      <c r="D5192" s="31"/>
      <c r="E5192" s="31"/>
      <c r="F5192" s="210" t="s">
        <v>2374</v>
      </c>
      <c r="G5192" s="190">
        <v>8</v>
      </c>
      <c r="H5192" s="190">
        <f>'HIRE CHARGES'!$E$543</f>
        <v>872.7</v>
      </c>
      <c r="I5192" s="155">
        <f t="shared" si="93"/>
        <v>6981.6</v>
      </c>
      <c r="J5192" s="78"/>
    </row>
    <row r="5193" spans="2:10">
      <c r="B5193" s="105">
        <v>3</v>
      </c>
      <c r="C5193" s="76" t="s">
        <v>3418</v>
      </c>
      <c r="D5193" s="31"/>
      <c r="E5193" s="31"/>
      <c r="F5193" s="210" t="s">
        <v>2374</v>
      </c>
      <c r="G5193" s="190">
        <v>40</v>
      </c>
      <c r="H5193" s="190">
        <f>'HIRE CHARGES'!$D$545</f>
        <v>446.7</v>
      </c>
      <c r="I5193" s="155">
        <f t="shared" si="93"/>
        <v>17868</v>
      </c>
      <c r="J5193" s="78"/>
    </row>
    <row r="5194" spans="2:10">
      <c r="B5194" s="105"/>
      <c r="C5194" s="76" t="s">
        <v>2379</v>
      </c>
      <c r="D5194" s="31"/>
      <c r="E5194" s="31"/>
      <c r="F5194" s="210" t="s">
        <v>2374</v>
      </c>
      <c r="G5194" s="190">
        <v>40</v>
      </c>
      <c r="H5194" s="182">
        <f>'HIRE CHARGES'!$E$545</f>
        <v>299.89999999999998</v>
      </c>
      <c r="I5194" s="155">
        <f t="shared" si="93"/>
        <v>11996</v>
      </c>
      <c r="J5194" s="78"/>
    </row>
    <row r="5195" spans="2:10">
      <c r="B5195" s="105">
        <v>4</v>
      </c>
      <c r="C5195" s="76" t="s">
        <v>4497</v>
      </c>
      <c r="D5195" s="31"/>
      <c r="E5195" s="31"/>
      <c r="F5195" s="210" t="s">
        <v>2374</v>
      </c>
      <c r="G5195" s="190">
        <v>4</v>
      </c>
      <c r="H5195" s="207">
        <f>'HIRE CHARGES'!$D$518</f>
        <v>3</v>
      </c>
      <c r="I5195" s="155">
        <f t="shared" si="93"/>
        <v>12</v>
      </c>
      <c r="J5195" s="78"/>
    </row>
    <row r="5196" spans="2:10">
      <c r="B5196" s="105"/>
      <c r="C5196" s="76" t="s">
        <v>2379</v>
      </c>
      <c r="D5196" s="31"/>
      <c r="E5196" s="31"/>
      <c r="F5196" s="210" t="s">
        <v>2374</v>
      </c>
      <c r="G5196" s="190">
        <v>4</v>
      </c>
      <c r="H5196" s="181">
        <f>'HIRE CHARGES'!$E$518</f>
        <v>28</v>
      </c>
      <c r="I5196" s="155">
        <f t="shared" si="93"/>
        <v>112</v>
      </c>
      <c r="J5196" s="78"/>
    </row>
    <row r="5197" spans="2:10">
      <c r="B5197" s="105">
        <v>5</v>
      </c>
      <c r="C5197" s="76" t="s">
        <v>6286</v>
      </c>
      <c r="D5197" s="31"/>
      <c r="E5197" s="31"/>
      <c r="F5197" s="210" t="s">
        <v>2374</v>
      </c>
      <c r="G5197" s="190">
        <v>8</v>
      </c>
      <c r="H5197" s="190">
        <f>'HIRE CHARGES'!$D$555</f>
        <v>402.5</v>
      </c>
      <c r="I5197" s="155">
        <f t="shared" si="93"/>
        <v>3220</v>
      </c>
      <c r="J5197" s="78"/>
    </row>
    <row r="5198" spans="2:10">
      <c r="B5198" s="105"/>
      <c r="C5198" s="76" t="s">
        <v>2379</v>
      </c>
      <c r="D5198" s="31"/>
      <c r="E5198" s="31"/>
      <c r="F5198" s="210" t="s">
        <v>2374</v>
      </c>
      <c r="G5198" s="190">
        <v>8</v>
      </c>
      <c r="H5198" s="190">
        <f>'HIRE CHARGES'!$E$555</f>
        <v>299.89999999999998</v>
      </c>
      <c r="I5198" s="155">
        <f t="shared" si="93"/>
        <v>2399.1999999999998</v>
      </c>
      <c r="J5198" s="78"/>
    </row>
    <row r="5199" spans="2:10">
      <c r="B5199" s="105">
        <v>6</v>
      </c>
      <c r="C5199" s="76" t="s">
        <v>9251</v>
      </c>
      <c r="D5199" s="31"/>
      <c r="E5199" s="31"/>
      <c r="F5199" s="210" t="s">
        <v>2374</v>
      </c>
      <c r="G5199" s="190">
        <v>6.4</v>
      </c>
      <c r="H5199" s="190">
        <f>'HIRE CHARGES'!$D$553</f>
        <v>1342.2</v>
      </c>
      <c r="I5199" s="155">
        <f t="shared" si="93"/>
        <v>8590.08</v>
      </c>
      <c r="J5199" s="78"/>
    </row>
    <row r="5200" spans="2:10">
      <c r="B5200" s="105"/>
      <c r="C5200" s="76" t="s">
        <v>2379</v>
      </c>
      <c r="D5200" s="31"/>
      <c r="E5200" s="31"/>
      <c r="F5200" s="210" t="s">
        <v>2374</v>
      </c>
      <c r="G5200" s="190">
        <v>6.4</v>
      </c>
      <c r="H5200" s="190">
        <f>'HIRE CHARGES'!$E$553</f>
        <v>1031.4000000000001</v>
      </c>
      <c r="I5200" s="155">
        <f t="shared" si="93"/>
        <v>6600.9600000000009</v>
      </c>
      <c r="J5200" s="78"/>
    </row>
    <row r="5201" spans="2:10">
      <c r="B5201" s="114">
        <v>7</v>
      </c>
      <c r="C5201" s="89" t="s">
        <v>2373</v>
      </c>
      <c r="D5201" s="174"/>
      <c r="E5201" s="174"/>
      <c r="F5201" s="191" t="s">
        <v>2173</v>
      </c>
      <c r="G5201" s="182">
        <v>2</v>
      </c>
      <c r="H5201" s="257">
        <f>'BASIC DATA'!$D$359</f>
        <v>30</v>
      </c>
      <c r="I5201" s="155">
        <f t="shared" si="93"/>
        <v>60</v>
      </c>
      <c r="J5201" s="78"/>
    </row>
    <row r="5202" spans="2:10">
      <c r="B5202" s="154"/>
      <c r="C5202" s="89"/>
      <c r="D5202" s="174"/>
      <c r="E5202" s="174" t="s">
        <v>2380</v>
      </c>
      <c r="F5202" s="174"/>
      <c r="G5202" s="174"/>
      <c r="H5202" s="245" t="s">
        <v>1698</v>
      </c>
      <c r="I5202" s="269">
        <f>SUM(I5189:I5201)</f>
        <v>84053.040000000008</v>
      </c>
      <c r="J5202" s="78"/>
    </row>
    <row r="5203" spans="2:10">
      <c r="B5203" s="31"/>
      <c r="C5203" s="76"/>
      <c r="D5203" s="31"/>
      <c r="E5203" s="31"/>
      <c r="F5203" s="31"/>
      <c r="G5203" s="31"/>
      <c r="H5203" s="200"/>
      <c r="I5203" s="75"/>
      <c r="J5203" s="78"/>
    </row>
    <row r="5204" spans="2:10">
      <c r="B5204" s="170" t="s">
        <v>2381</v>
      </c>
      <c r="C5204" s="89"/>
      <c r="J5204" s="78"/>
    </row>
    <row r="5205" spans="2:10">
      <c r="B5205" s="95" t="s">
        <v>2369</v>
      </c>
      <c r="D5205" s="175" t="s">
        <v>2378</v>
      </c>
      <c r="E5205" s="175"/>
      <c r="F5205" s="95" t="s">
        <v>2370</v>
      </c>
      <c r="G5205" s="95" t="s">
        <v>1166</v>
      </c>
      <c r="H5205" s="95" t="s">
        <v>6664</v>
      </c>
      <c r="I5205" s="95" t="s">
        <v>6665</v>
      </c>
      <c r="J5205" s="78"/>
    </row>
    <row r="5206" spans="2:10">
      <c r="B5206" s="191"/>
      <c r="C5206" s="89"/>
      <c r="D5206" s="174"/>
      <c r="E5206" s="174"/>
      <c r="F5206" s="191"/>
      <c r="G5206" s="114"/>
      <c r="H5206" s="114" t="s">
        <v>3856</v>
      </c>
      <c r="I5206" s="114" t="s">
        <v>3857</v>
      </c>
      <c r="J5206" s="78"/>
    </row>
    <row r="5207" spans="2:10">
      <c r="B5207" s="95">
        <v>1</v>
      </c>
      <c r="C5207" s="148" t="s">
        <v>2870</v>
      </c>
      <c r="D5207" s="187"/>
      <c r="E5207" s="187"/>
      <c r="F5207" s="107" t="s">
        <v>2374</v>
      </c>
      <c r="G5207" s="179">
        <v>5.4</v>
      </c>
      <c r="H5207" s="190">
        <f>'HIRE CHARGES'!$F$499</f>
        <v>236.6</v>
      </c>
      <c r="I5207" s="155">
        <f t="shared" ref="I5207:I5214" si="94">H5207*G5207</f>
        <v>1277.6400000000001</v>
      </c>
      <c r="J5207" s="78"/>
    </row>
    <row r="5208" spans="2:10">
      <c r="B5208" s="105">
        <v>2</v>
      </c>
      <c r="C5208" s="76" t="s">
        <v>300</v>
      </c>
      <c r="D5208" s="31"/>
      <c r="E5208" s="31"/>
      <c r="F5208" s="210" t="s">
        <v>2374</v>
      </c>
      <c r="G5208" s="190">
        <v>8</v>
      </c>
      <c r="H5208" s="179">
        <f>'HIRE CHARGES'!$F$543</f>
        <v>236.6</v>
      </c>
      <c r="I5208" s="155">
        <f t="shared" si="94"/>
        <v>1892.8</v>
      </c>
      <c r="J5208" s="78"/>
    </row>
    <row r="5209" spans="2:10">
      <c r="B5209" s="105">
        <v>3</v>
      </c>
      <c r="C5209" s="76" t="s">
        <v>301</v>
      </c>
      <c r="D5209" s="31"/>
      <c r="E5209" s="31"/>
      <c r="F5209" s="210" t="s">
        <v>2374</v>
      </c>
      <c r="G5209" s="190">
        <v>40</v>
      </c>
      <c r="H5209" s="190">
        <f>'HIRE CHARGES'!$F$545</f>
        <v>177.5</v>
      </c>
      <c r="I5209" s="155">
        <f t="shared" si="94"/>
        <v>7100</v>
      </c>
      <c r="J5209" s="78"/>
    </row>
    <row r="5210" spans="2:10">
      <c r="B5210" s="105">
        <v>4</v>
      </c>
      <c r="C5210" s="76" t="s">
        <v>999</v>
      </c>
      <c r="D5210" s="31"/>
      <c r="E5210" s="31"/>
      <c r="F5210" s="210" t="s">
        <v>2374</v>
      </c>
      <c r="G5210" s="190">
        <v>4</v>
      </c>
      <c r="H5210" s="207">
        <f>'HIRE CHARGES'!$F$518</f>
        <v>83.3</v>
      </c>
      <c r="I5210" s="155">
        <f t="shared" si="94"/>
        <v>333.2</v>
      </c>
      <c r="J5210" s="78"/>
    </row>
    <row r="5211" spans="2:10">
      <c r="B5211" s="105">
        <v>5</v>
      </c>
      <c r="C5211" s="76" t="s">
        <v>1000</v>
      </c>
      <c r="D5211" s="31"/>
      <c r="E5211" s="31"/>
      <c r="F5211" s="210" t="s">
        <v>2374</v>
      </c>
      <c r="G5211" s="190">
        <v>8</v>
      </c>
      <c r="H5211" s="190">
        <f>'HIRE CHARGES'!$F$555</f>
        <v>177.5</v>
      </c>
      <c r="I5211" s="155">
        <f t="shared" si="94"/>
        <v>1420</v>
      </c>
      <c r="J5211" s="78"/>
    </row>
    <row r="5212" spans="2:10">
      <c r="B5212" s="105">
        <v>6</v>
      </c>
      <c r="C5212" s="76" t="s">
        <v>1001</v>
      </c>
      <c r="D5212" s="31"/>
      <c r="E5212" s="31"/>
      <c r="F5212" s="210" t="s">
        <v>2374</v>
      </c>
      <c r="G5212" s="190">
        <v>6.4</v>
      </c>
      <c r="H5212" s="190">
        <f>'HIRE CHARGES'!$F$553</f>
        <v>263.60000000000002</v>
      </c>
      <c r="I5212" s="155">
        <f t="shared" si="94"/>
        <v>1687.0400000000002</v>
      </c>
      <c r="J5212" s="78"/>
    </row>
    <row r="5213" spans="2:10">
      <c r="B5213" s="105">
        <v>7</v>
      </c>
      <c r="C5213" s="76" t="s">
        <v>4206</v>
      </c>
      <c r="D5213" s="31"/>
      <c r="E5213" s="31"/>
      <c r="F5213" s="210" t="s">
        <v>1172</v>
      </c>
      <c r="G5213" s="190">
        <v>2</v>
      </c>
      <c r="H5213" s="190">
        <f>'BASIC DATA'!$C$473</f>
        <v>450</v>
      </c>
      <c r="I5213" s="155">
        <f t="shared" si="94"/>
        <v>900</v>
      </c>
      <c r="J5213" s="78"/>
    </row>
    <row r="5214" spans="2:10">
      <c r="B5214" s="105">
        <v>8</v>
      </c>
      <c r="C5214" s="76" t="s">
        <v>2697</v>
      </c>
      <c r="D5214" s="31"/>
      <c r="E5214" s="31"/>
      <c r="F5214" s="210" t="s">
        <v>1172</v>
      </c>
      <c r="G5214" s="190">
        <v>4</v>
      </c>
      <c r="H5214" s="207">
        <f>'BASIC DATA'!$C$552</f>
        <v>350</v>
      </c>
      <c r="I5214" s="155">
        <f t="shared" si="94"/>
        <v>1400</v>
      </c>
      <c r="J5214" s="78"/>
    </row>
    <row r="5215" spans="2:10">
      <c r="B5215" s="184"/>
      <c r="C5215" s="151"/>
      <c r="D5215" s="159"/>
      <c r="E5215" s="159" t="s">
        <v>1174</v>
      </c>
      <c r="F5215" s="159"/>
      <c r="G5215" s="193"/>
      <c r="H5215" s="208" t="s">
        <v>1698</v>
      </c>
      <c r="I5215" s="209">
        <f>SUM(I5207:I5214)</f>
        <v>16010.680000000002</v>
      </c>
      <c r="J5215" s="78"/>
    </row>
    <row r="5216" spans="2:10">
      <c r="B5216" s="60" t="s">
        <v>5948</v>
      </c>
      <c r="C5216" s="76"/>
      <c r="D5216" s="31"/>
      <c r="E5216" s="31"/>
      <c r="F5216" s="31"/>
      <c r="G5216" s="85">
        <f>ROUND(I5215/H5179,1)</f>
        <v>19.8</v>
      </c>
      <c r="J5216" s="78"/>
    </row>
    <row r="5217" spans="1:10">
      <c r="B5217" s="60" t="s">
        <v>3163</v>
      </c>
      <c r="C5217" s="76"/>
      <c r="D5217" s="31"/>
      <c r="E5217" s="31"/>
      <c r="F5217" s="922">
        <f>'BASIC DATA'!$C$577</f>
        <v>0.13614999999999999</v>
      </c>
      <c r="G5217" s="85">
        <f>ROUND(G5216*F5217,1)</f>
        <v>2.7</v>
      </c>
      <c r="J5217" s="78"/>
    </row>
    <row r="5218" spans="1:10">
      <c r="B5218" s="60" t="s">
        <v>5949</v>
      </c>
      <c r="C5218" s="76"/>
      <c r="D5218" s="31"/>
      <c r="E5218" s="31"/>
      <c r="F5218" s="31"/>
      <c r="G5218" s="199">
        <f>ROUND(G5217+G5216,1)</f>
        <v>22.5</v>
      </c>
      <c r="J5218" s="78"/>
    </row>
    <row r="5219" spans="1:10">
      <c r="B5219" s="31"/>
      <c r="C5219" s="76"/>
      <c r="D5219" s="31"/>
      <c r="E5219" s="31"/>
      <c r="F5219" s="200"/>
      <c r="G5219" s="200"/>
      <c r="I5219" s="31"/>
      <c r="J5219" s="78"/>
    </row>
    <row r="5220" spans="1:10">
      <c r="B5220" s="170" t="s">
        <v>1175</v>
      </c>
      <c r="J5220" s="78"/>
    </row>
    <row r="5221" spans="1:10">
      <c r="B5221" s="26" t="s">
        <v>1176</v>
      </c>
      <c r="H5221" s="171" t="s">
        <v>1698</v>
      </c>
      <c r="I5221" s="117">
        <f>I5184</f>
        <v>0</v>
      </c>
      <c r="J5221" s="78"/>
    </row>
    <row r="5222" spans="1:10">
      <c r="B5222" s="26" t="s">
        <v>1186</v>
      </c>
      <c r="H5222" s="171" t="s">
        <v>1698</v>
      </c>
      <c r="I5222" s="117">
        <f>I5202</f>
        <v>84053.040000000008</v>
      </c>
      <c r="J5222" s="78"/>
    </row>
    <row r="5223" spans="1:10">
      <c r="B5223" s="26" t="s">
        <v>2660</v>
      </c>
      <c r="H5223" s="171" t="s">
        <v>1698</v>
      </c>
      <c r="I5223" s="117">
        <f>I5215</f>
        <v>16010.680000000002</v>
      </c>
      <c r="J5223" s="78"/>
    </row>
    <row r="5224" spans="1:10">
      <c r="G5224" s="171" t="s">
        <v>1518</v>
      </c>
      <c r="H5224" s="171" t="s">
        <v>1698</v>
      </c>
      <c r="I5224" s="130">
        <f>SUM(I5221:I5223)</f>
        <v>100063.72000000002</v>
      </c>
      <c r="J5224" s="78"/>
    </row>
    <row r="5225" spans="1:10" ht="18.75">
      <c r="B5225" s="1207" t="s">
        <v>8375</v>
      </c>
      <c r="C5225" s="1207"/>
      <c r="D5225" s="1207"/>
      <c r="E5225" s="1207"/>
      <c r="F5225" s="1207"/>
      <c r="G5225" s="922">
        <f>'BASIC DATA'!$C$577</f>
        <v>0.13614999999999999</v>
      </c>
      <c r="H5225" s="171" t="s">
        <v>4108</v>
      </c>
      <c r="I5225" s="76">
        <f>ROUND(I5224*G5225,2)</f>
        <v>13623.68</v>
      </c>
      <c r="J5225" s="78"/>
    </row>
    <row r="5226" spans="1:10">
      <c r="B5226" s="1206" t="s">
        <v>1191</v>
      </c>
      <c r="C5226" s="1206"/>
      <c r="D5226" s="1206"/>
      <c r="E5226" s="1206"/>
      <c r="F5226" s="202">
        <f>H5179</f>
        <v>807</v>
      </c>
      <c r="G5226" s="202" t="str">
        <f>I5179</f>
        <v>cum</v>
      </c>
      <c r="H5226" s="171" t="s">
        <v>1698</v>
      </c>
      <c r="I5226" s="199">
        <f>I5225+I5224</f>
        <v>113687.40000000002</v>
      </c>
      <c r="J5226" s="78"/>
    </row>
    <row r="5227" spans="1:10">
      <c r="B5227" s="1161" t="s">
        <v>3884</v>
      </c>
      <c r="C5227" s="1161"/>
      <c r="D5227" s="246" t="str">
        <f>G5226</f>
        <v>cum</v>
      </c>
      <c r="F5227" s="26" t="s">
        <v>1397</v>
      </c>
      <c r="H5227" s="171" t="s">
        <v>1698</v>
      </c>
      <c r="I5227" s="204">
        <f>ROUND(I5226/F5226,1)</f>
        <v>140.9</v>
      </c>
      <c r="J5227" s="78"/>
    </row>
    <row r="5228" spans="1:10">
      <c r="J5228" s="78"/>
    </row>
    <row r="5229" spans="1:10">
      <c r="J5229" s="78"/>
    </row>
    <row r="5230" spans="1:10" ht="18.75">
      <c r="A5230" s="822" t="s">
        <v>7368</v>
      </c>
      <c r="B5230" s="26" t="s">
        <v>8535</v>
      </c>
      <c r="J5230" s="78"/>
    </row>
    <row r="5231" spans="1:10">
      <c r="B5231" s="26" t="s">
        <v>8536</v>
      </c>
      <c r="J5231" s="78"/>
    </row>
    <row r="5232" spans="1:10" ht="18.75">
      <c r="B5232" s="26" t="s">
        <v>8537</v>
      </c>
      <c r="J5232" s="78"/>
    </row>
    <row r="5233" spans="1:10">
      <c r="B5233" s="26" t="s">
        <v>8538</v>
      </c>
      <c r="J5233" s="78"/>
    </row>
    <row r="5234" spans="1:10" ht="18.75">
      <c r="B5234" s="26" t="s">
        <v>8539</v>
      </c>
      <c r="J5234" s="78"/>
    </row>
    <row r="5235" spans="1:10">
      <c r="B5235" s="170" t="s">
        <v>5203</v>
      </c>
      <c r="J5235" s="78"/>
    </row>
    <row r="5236" spans="1:10" hidden="1">
      <c r="A5236" s="822" t="s">
        <v>3984</v>
      </c>
      <c r="B5236" s="26" t="s">
        <v>2153</v>
      </c>
      <c r="G5236" s="171" t="s">
        <v>1697</v>
      </c>
      <c r="H5236" s="26" t="s">
        <v>2154</v>
      </c>
      <c r="I5236" s="26" t="s">
        <v>3479</v>
      </c>
      <c r="J5236" s="78"/>
    </row>
    <row r="5237" spans="1:10" hidden="1">
      <c r="B5237" s="26" t="s">
        <v>730</v>
      </c>
      <c r="G5237" s="171" t="s">
        <v>1697</v>
      </c>
      <c r="H5237" s="68">
        <v>15</v>
      </c>
      <c r="I5237" s="26" t="s">
        <v>3135</v>
      </c>
      <c r="J5237" s="78"/>
    </row>
    <row r="5238" spans="1:10" hidden="1">
      <c r="B5238" s="26" t="s">
        <v>731</v>
      </c>
      <c r="G5238" s="171" t="s">
        <v>1697</v>
      </c>
      <c r="H5238" s="68">
        <v>12</v>
      </c>
      <c r="I5238" s="26" t="s">
        <v>3135</v>
      </c>
      <c r="J5238" s="78"/>
    </row>
    <row r="5239" spans="1:10" hidden="1">
      <c r="B5239" s="26" t="s">
        <v>732</v>
      </c>
      <c r="G5239" s="171" t="s">
        <v>1697</v>
      </c>
      <c r="H5239" s="68">
        <v>6</v>
      </c>
      <c r="I5239" s="26" t="s">
        <v>3135</v>
      </c>
      <c r="J5239" s="78"/>
    </row>
    <row r="5240" spans="1:10" hidden="1">
      <c r="B5240" s="26" t="s">
        <v>461</v>
      </c>
      <c r="G5240" s="171"/>
      <c r="J5240" s="78"/>
    </row>
    <row r="5241" spans="1:10" hidden="1">
      <c r="B5241" s="26" t="s">
        <v>462</v>
      </c>
      <c r="G5241" s="171"/>
      <c r="J5241" s="78"/>
    </row>
    <row r="5242" spans="1:10" hidden="1">
      <c r="B5242" s="26" t="s">
        <v>463</v>
      </c>
      <c r="G5242" s="171" t="s">
        <v>1697</v>
      </c>
      <c r="H5242" s="68">
        <v>80</v>
      </c>
      <c r="I5242" s="26" t="s">
        <v>3135</v>
      </c>
      <c r="J5242" s="78"/>
    </row>
    <row r="5243" spans="1:10" hidden="1">
      <c r="B5243" s="26" t="s">
        <v>2127</v>
      </c>
      <c r="G5243" s="171" t="s">
        <v>1697</v>
      </c>
      <c r="H5243" s="68">
        <v>96</v>
      </c>
      <c r="I5243" s="26" t="s">
        <v>3135</v>
      </c>
      <c r="J5243" s="78"/>
    </row>
    <row r="5244" spans="1:10" hidden="1">
      <c r="B5244" s="26" t="s">
        <v>592</v>
      </c>
      <c r="G5244" s="171" t="s">
        <v>1697</v>
      </c>
      <c r="J5244" s="78"/>
    </row>
    <row r="5245" spans="1:10" hidden="1">
      <c r="B5245" s="26" t="s">
        <v>2851</v>
      </c>
      <c r="G5245" s="171" t="s">
        <v>1697</v>
      </c>
      <c r="H5245" s="68">
        <v>0.15</v>
      </c>
      <c r="I5245" s="26" t="s">
        <v>1189</v>
      </c>
      <c r="J5245" s="78"/>
    </row>
    <row r="5246" spans="1:10" hidden="1">
      <c r="B5246" s="26" t="s">
        <v>2852</v>
      </c>
      <c r="G5246" s="171" t="s">
        <v>1697</v>
      </c>
      <c r="H5246" s="68">
        <v>0.8</v>
      </c>
      <c r="I5246" s="26" t="s">
        <v>1189</v>
      </c>
      <c r="J5246" s="78"/>
    </row>
    <row r="5247" spans="1:10" hidden="1">
      <c r="B5247" s="26" t="s">
        <v>3928</v>
      </c>
      <c r="G5247" s="171" t="s">
        <v>1697</v>
      </c>
      <c r="H5247" s="68">
        <v>3</v>
      </c>
      <c r="I5247" s="26" t="s">
        <v>1189</v>
      </c>
      <c r="J5247" s="78"/>
    </row>
    <row r="5248" spans="1:10" hidden="1">
      <c r="B5248" s="26" t="s">
        <v>3929</v>
      </c>
      <c r="G5248" s="171" t="s">
        <v>1697</v>
      </c>
      <c r="H5248" s="68">
        <v>0.8</v>
      </c>
      <c r="I5248" s="26" t="s">
        <v>1189</v>
      </c>
      <c r="J5248" s="78"/>
    </row>
    <row r="5249" spans="1:10" hidden="1">
      <c r="B5249" s="26" t="s">
        <v>3930</v>
      </c>
      <c r="G5249" s="171" t="s">
        <v>1697</v>
      </c>
      <c r="H5249" s="68">
        <v>0.4</v>
      </c>
      <c r="I5249" s="26" t="s">
        <v>1189</v>
      </c>
      <c r="J5249" s="78"/>
    </row>
    <row r="5250" spans="1:10" hidden="1">
      <c r="B5250" s="26" t="s">
        <v>5815</v>
      </c>
      <c r="G5250" s="171"/>
      <c r="J5250" s="78"/>
    </row>
    <row r="5251" spans="1:10" hidden="1">
      <c r="B5251" s="26" t="s">
        <v>3931</v>
      </c>
      <c r="G5251" s="171"/>
      <c r="J5251" s="78"/>
    </row>
    <row r="5252" spans="1:10" hidden="1">
      <c r="B5252" s="26" t="s">
        <v>2697</v>
      </c>
      <c r="G5252" s="171" t="s">
        <v>1697</v>
      </c>
      <c r="H5252" s="68">
        <v>5</v>
      </c>
      <c r="I5252" s="26" t="s">
        <v>4041</v>
      </c>
      <c r="J5252" s="78"/>
    </row>
    <row r="5253" spans="1:10" hidden="1">
      <c r="B5253" s="26" t="s">
        <v>2697</v>
      </c>
      <c r="G5253" s="171" t="s">
        <v>1697</v>
      </c>
      <c r="H5253" s="68">
        <v>1</v>
      </c>
      <c r="I5253" s="26" t="s">
        <v>4089</v>
      </c>
      <c r="J5253" s="78"/>
    </row>
    <row r="5254" spans="1:10" hidden="1">
      <c r="B5254" s="26" t="s">
        <v>4329</v>
      </c>
      <c r="E5254" s="68">
        <f>'BASIC DATA'!$D$344</f>
        <v>185</v>
      </c>
      <c r="F5254" s="26" t="s">
        <v>2618</v>
      </c>
      <c r="G5254" s="171" t="s">
        <v>1698</v>
      </c>
      <c r="H5254" s="68">
        <f>50*E5254</f>
        <v>9250</v>
      </c>
      <c r="J5254" s="78"/>
    </row>
    <row r="5255" spans="1:10" hidden="1">
      <c r="B5255" s="26" t="s">
        <v>5152</v>
      </c>
      <c r="G5255" s="171" t="s">
        <v>1697</v>
      </c>
      <c r="H5255" s="68">
        <v>800</v>
      </c>
      <c r="I5255" s="26" t="s">
        <v>4665</v>
      </c>
      <c r="J5255" s="78"/>
    </row>
    <row r="5256" spans="1:10" hidden="1">
      <c r="B5256" s="26" t="s">
        <v>396</v>
      </c>
      <c r="E5256" s="26" t="s">
        <v>7593</v>
      </c>
      <c r="G5256" s="171" t="s">
        <v>1698</v>
      </c>
      <c r="H5256" s="68">
        <f>H5254/H5255</f>
        <v>11.5625</v>
      </c>
      <c r="J5256" s="78"/>
    </row>
    <row r="5257" spans="1:10">
      <c r="H5257" s="171"/>
      <c r="J5257" s="78"/>
    </row>
    <row r="5258" spans="1:10">
      <c r="A5258" s="822" t="s">
        <v>3984</v>
      </c>
      <c r="E5258" s="170" t="s">
        <v>2367</v>
      </c>
      <c r="J5258" s="78"/>
    </row>
    <row r="5259" spans="1:10">
      <c r="J5259" s="78"/>
    </row>
    <row r="5260" spans="1:10">
      <c r="B5260" s="170" t="s">
        <v>2368</v>
      </c>
      <c r="G5260" s="26" t="s">
        <v>297</v>
      </c>
      <c r="H5260" s="170">
        <v>80</v>
      </c>
      <c r="I5260" s="26" t="s">
        <v>3477</v>
      </c>
      <c r="J5260" s="78"/>
    </row>
    <row r="5261" spans="1:10">
      <c r="B5261" s="95" t="s">
        <v>2369</v>
      </c>
      <c r="C5261" s="148" t="s">
        <v>4443</v>
      </c>
      <c r="D5261" s="175"/>
      <c r="E5261" s="175"/>
      <c r="F5261" s="95" t="s">
        <v>2370</v>
      </c>
      <c r="G5261" s="95" t="s">
        <v>1166</v>
      </c>
      <c r="H5261" s="95" t="s">
        <v>6664</v>
      </c>
      <c r="I5261" s="95" t="s">
        <v>6665</v>
      </c>
      <c r="J5261" s="78"/>
    </row>
    <row r="5262" spans="1:10">
      <c r="B5262" s="191"/>
      <c r="C5262" s="89"/>
      <c r="D5262" s="174"/>
      <c r="E5262" s="174"/>
      <c r="F5262" s="191"/>
      <c r="G5262" s="114"/>
      <c r="H5262" s="114" t="s">
        <v>3856</v>
      </c>
      <c r="I5262" s="114" t="s">
        <v>3857</v>
      </c>
      <c r="J5262" s="78"/>
    </row>
    <row r="5263" spans="1:10">
      <c r="B5263" s="107">
        <v>1</v>
      </c>
      <c r="C5263" s="148" t="s">
        <v>1404</v>
      </c>
      <c r="D5263" s="187"/>
      <c r="E5263" s="187"/>
      <c r="F5263" s="107" t="s">
        <v>2374</v>
      </c>
      <c r="G5263" s="179">
        <v>16</v>
      </c>
      <c r="H5263" s="179">
        <f>H5256</f>
        <v>11.5625</v>
      </c>
      <c r="I5263" s="179">
        <f>H5263*G5263</f>
        <v>185</v>
      </c>
      <c r="J5263" s="78"/>
    </row>
    <row r="5264" spans="1:10">
      <c r="B5264" s="191"/>
      <c r="C5264" s="89"/>
      <c r="D5264" s="174"/>
      <c r="E5264" s="174"/>
      <c r="F5264" s="191"/>
      <c r="G5264" s="182">
        <v>0</v>
      </c>
      <c r="H5264" s="182">
        <v>0</v>
      </c>
      <c r="I5264" s="179">
        <f>H5264*G5264</f>
        <v>0</v>
      </c>
      <c r="J5264" s="78"/>
    </row>
    <row r="5265" spans="2:10">
      <c r="B5265" s="184"/>
      <c r="C5265" s="151"/>
      <c r="D5265" s="159"/>
      <c r="E5265" s="159" t="s">
        <v>2376</v>
      </c>
      <c r="F5265" s="159"/>
      <c r="G5265" s="159"/>
      <c r="H5265" s="208" t="s">
        <v>1698</v>
      </c>
      <c r="I5265" s="282">
        <f>SUM(I5263:I5264)</f>
        <v>185</v>
      </c>
      <c r="J5265" s="78"/>
    </row>
    <row r="5266" spans="2:10">
      <c r="B5266" s="31"/>
      <c r="C5266" s="76"/>
      <c r="D5266" s="31"/>
      <c r="E5266" s="31"/>
      <c r="F5266" s="31"/>
      <c r="G5266" s="31"/>
      <c r="H5266" s="200"/>
      <c r="I5266" s="75"/>
      <c r="J5266" s="78"/>
    </row>
    <row r="5267" spans="2:10">
      <c r="B5267" s="170" t="s">
        <v>2377</v>
      </c>
      <c r="J5267" s="78"/>
    </row>
    <row r="5268" spans="2:10">
      <c r="B5268" s="95" t="s">
        <v>2369</v>
      </c>
      <c r="C5268" s="148" t="s">
        <v>2378</v>
      </c>
      <c r="D5268" s="175"/>
      <c r="E5268" s="175"/>
      <c r="F5268" s="95" t="s">
        <v>2370</v>
      </c>
      <c r="G5268" s="95" t="s">
        <v>1166</v>
      </c>
      <c r="H5268" s="95" t="s">
        <v>6664</v>
      </c>
      <c r="I5268" s="95" t="s">
        <v>6665</v>
      </c>
      <c r="J5268" s="78"/>
    </row>
    <row r="5269" spans="2:10">
      <c r="B5269" s="191"/>
      <c r="C5269" s="89"/>
      <c r="D5269" s="174"/>
      <c r="E5269" s="174"/>
      <c r="F5269" s="191"/>
      <c r="G5269" s="114"/>
      <c r="H5269" s="114" t="s">
        <v>3856</v>
      </c>
      <c r="I5269" s="114" t="s">
        <v>3857</v>
      </c>
      <c r="J5269" s="78"/>
    </row>
    <row r="5270" spans="2:10">
      <c r="B5270" s="95">
        <v>1</v>
      </c>
      <c r="C5270" s="148" t="s">
        <v>1502</v>
      </c>
      <c r="D5270" s="187"/>
      <c r="E5270" s="187"/>
      <c r="F5270" s="107" t="s">
        <v>2374</v>
      </c>
      <c r="G5270" s="179">
        <v>0.15</v>
      </c>
      <c r="H5270" s="190">
        <f>'HIRE CHARGES'!$D$499</f>
        <v>1715.5</v>
      </c>
      <c r="I5270" s="179">
        <f t="shared" ref="I5270:I5284" si="95">H5270*G5270</f>
        <v>257.32499999999999</v>
      </c>
      <c r="J5270" s="78"/>
    </row>
    <row r="5271" spans="2:10">
      <c r="B5271" s="105"/>
      <c r="C5271" s="76" t="s">
        <v>2379</v>
      </c>
      <c r="D5271" s="31"/>
      <c r="E5271" s="31"/>
      <c r="F5271" s="210" t="s">
        <v>2374</v>
      </c>
      <c r="G5271" s="190">
        <v>0.15</v>
      </c>
      <c r="H5271" s="207">
        <f>'HIRE CHARGES'!$E$499</f>
        <v>610.5</v>
      </c>
      <c r="I5271" s="179">
        <f t="shared" si="95"/>
        <v>91.575000000000003</v>
      </c>
      <c r="J5271" s="78"/>
    </row>
    <row r="5272" spans="2:10">
      <c r="B5272" s="105">
        <v>2</v>
      </c>
      <c r="C5272" s="76" t="s">
        <v>4170</v>
      </c>
      <c r="D5272" s="31"/>
      <c r="E5272" s="31"/>
      <c r="F5272" s="210" t="s">
        <v>2374</v>
      </c>
      <c r="G5272" s="190">
        <v>0.8</v>
      </c>
      <c r="H5272" s="190">
        <f>'HIRE CHARGES'!$D$543</f>
        <v>1706.6</v>
      </c>
      <c r="I5272" s="179">
        <f t="shared" si="95"/>
        <v>1365.28</v>
      </c>
      <c r="J5272" s="78"/>
    </row>
    <row r="5273" spans="2:10">
      <c r="B5273" s="105"/>
      <c r="C5273" s="76" t="s">
        <v>2379</v>
      </c>
      <c r="D5273" s="31"/>
      <c r="E5273" s="31"/>
      <c r="F5273" s="210" t="s">
        <v>2374</v>
      </c>
      <c r="G5273" s="190">
        <v>0.8</v>
      </c>
      <c r="H5273" s="190">
        <f>'HIRE CHARGES'!$E$543</f>
        <v>872.7</v>
      </c>
      <c r="I5273" s="179">
        <f t="shared" si="95"/>
        <v>698.16000000000008</v>
      </c>
      <c r="J5273" s="78"/>
    </row>
    <row r="5274" spans="2:10">
      <c r="B5274" s="105">
        <v>3</v>
      </c>
      <c r="C5274" s="76" t="s">
        <v>6282</v>
      </c>
      <c r="D5274" s="31"/>
      <c r="E5274" s="31"/>
      <c r="F5274" s="210" t="s">
        <v>2374</v>
      </c>
      <c r="G5274" s="190">
        <v>3</v>
      </c>
      <c r="H5274" s="190">
        <f>'HIRE CHARGES'!$D$545</f>
        <v>446.7</v>
      </c>
      <c r="I5274" s="179">
        <f t="shared" si="95"/>
        <v>1340.1</v>
      </c>
      <c r="J5274" s="78"/>
    </row>
    <row r="5275" spans="2:10">
      <c r="B5275" s="105"/>
      <c r="C5275" s="76" t="s">
        <v>2379</v>
      </c>
      <c r="D5275" s="31"/>
      <c r="E5275" s="31"/>
      <c r="F5275" s="210" t="s">
        <v>2374</v>
      </c>
      <c r="G5275" s="190">
        <v>3</v>
      </c>
      <c r="H5275" s="182">
        <f>'HIRE CHARGES'!$E$545</f>
        <v>299.89999999999998</v>
      </c>
      <c r="I5275" s="179">
        <f t="shared" si="95"/>
        <v>899.69999999999993</v>
      </c>
      <c r="J5275" s="78"/>
    </row>
    <row r="5276" spans="2:10">
      <c r="B5276" s="105">
        <v>4</v>
      </c>
      <c r="C5276" s="76" t="s">
        <v>7127</v>
      </c>
      <c r="D5276" s="31"/>
      <c r="E5276" s="31"/>
      <c r="F5276" s="210" t="s">
        <v>2374</v>
      </c>
      <c r="G5276" s="190">
        <v>8</v>
      </c>
      <c r="H5276" s="207">
        <f>'HIRE CHARGES'!$D$497</f>
        <v>170.8</v>
      </c>
      <c r="I5276" s="179">
        <f t="shared" si="95"/>
        <v>1366.4</v>
      </c>
      <c r="J5276" s="78"/>
    </row>
    <row r="5277" spans="2:10">
      <c r="B5277" s="105"/>
      <c r="C5277" s="76" t="s">
        <v>2379</v>
      </c>
      <c r="D5277" s="31"/>
      <c r="E5277" s="31"/>
      <c r="F5277" s="210" t="s">
        <v>2374</v>
      </c>
      <c r="G5277" s="190">
        <v>8</v>
      </c>
      <c r="H5277" s="207">
        <f>'HIRE CHARGES'!$E$497</f>
        <v>315.2</v>
      </c>
      <c r="I5277" s="179">
        <f t="shared" si="95"/>
        <v>2521.6</v>
      </c>
      <c r="J5277" s="78"/>
    </row>
    <row r="5278" spans="2:10">
      <c r="B5278" s="105">
        <v>5</v>
      </c>
      <c r="C5278" s="76" t="s">
        <v>4497</v>
      </c>
      <c r="D5278" s="31"/>
      <c r="E5278" s="31"/>
      <c r="F5278" s="210" t="s">
        <v>2374</v>
      </c>
      <c r="G5278" s="190">
        <v>0.4</v>
      </c>
      <c r="H5278" s="207">
        <f>'HIRE CHARGES'!$D$518</f>
        <v>3</v>
      </c>
      <c r="I5278" s="179">
        <f t="shared" si="95"/>
        <v>1.2000000000000002</v>
      </c>
      <c r="J5278" s="78"/>
    </row>
    <row r="5279" spans="2:10">
      <c r="B5279" s="105"/>
      <c r="C5279" s="76" t="s">
        <v>2379</v>
      </c>
      <c r="D5279" s="31"/>
      <c r="E5279" s="31"/>
      <c r="F5279" s="210" t="s">
        <v>2374</v>
      </c>
      <c r="G5279" s="190">
        <v>0.4</v>
      </c>
      <c r="H5279" s="181">
        <f>'HIRE CHARGES'!$E$518</f>
        <v>28</v>
      </c>
      <c r="I5279" s="179">
        <f t="shared" si="95"/>
        <v>11.200000000000001</v>
      </c>
      <c r="J5279" s="78"/>
    </row>
    <row r="5280" spans="2:10">
      <c r="B5280" s="105">
        <v>6</v>
      </c>
      <c r="C5280" s="76" t="s">
        <v>6286</v>
      </c>
      <c r="D5280" s="31"/>
      <c r="E5280" s="31"/>
      <c r="F5280" s="210" t="s">
        <v>2374</v>
      </c>
      <c r="G5280" s="190">
        <v>0.8</v>
      </c>
      <c r="H5280" s="190">
        <f>'HIRE CHARGES'!$D$555</f>
        <v>402.5</v>
      </c>
      <c r="I5280" s="179">
        <f t="shared" si="95"/>
        <v>322</v>
      </c>
      <c r="J5280" s="78"/>
    </row>
    <row r="5281" spans="2:10">
      <c r="B5281" s="105"/>
      <c r="C5281" s="76" t="s">
        <v>2379</v>
      </c>
      <c r="D5281" s="31"/>
      <c r="E5281" s="31"/>
      <c r="F5281" s="210" t="s">
        <v>2374</v>
      </c>
      <c r="G5281" s="190">
        <v>0.8</v>
      </c>
      <c r="H5281" s="190">
        <f>'HIRE CHARGES'!$E$555</f>
        <v>299.89999999999998</v>
      </c>
      <c r="I5281" s="179">
        <f t="shared" si="95"/>
        <v>239.92</v>
      </c>
      <c r="J5281" s="78"/>
    </row>
    <row r="5282" spans="2:10">
      <c r="B5282" s="105">
        <v>7</v>
      </c>
      <c r="C5282" s="76" t="s">
        <v>4537</v>
      </c>
      <c r="D5282" s="31"/>
      <c r="E5282" s="31"/>
      <c r="F5282" s="210" t="s">
        <v>2374</v>
      </c>
      <c r="G5282" s="190">
        <v>16</v>
      </c>
      <c r="H5282" s="190">
        <f>'HIRE CHARGES'!$D$538</f>
        <v>20.7</v>
      </c>
      <c r="I5282" s="179">
        <f t="shared" si="95"/>
        <v>331.2</v>
      </c>
      <c r="J5282" s="78"/>
    </row>
    <row r="5283" spans="2:10">
      <c r="B5283" s="105"/>
      <c r="C5283" s="76" t="s">
        <v>2379</v>
      </c>
      <c r="D5283" s="31"/>
      <c r="E5283" s="31"/>
      <c r="F5283" s="210" t="s">
        <v>2374</v>
      </c>
      <c r="G5283" s="190">
        <v>16</v>
      </c>
      <c r="H5283" s="190">
        <f>'HIRE CHARGES'!$E$538</f>
        <v>0</v>
      </c>
      <c r="I5283" s="179">
        <f t="shared" si="95"/>
        <v>0</v>
      </c>
      <c r="J5283" s="78"/>
    </row>
    <row r="5284" spans="2:10">
      <c r="B5284" s="114">
        <v>8</v>
      </c>
      <c r="C5284" s="89" t="s">
        <v>2373</v>
      </c>
      <c r="D5284" s="174"/>
      <c r="E5284" s="174"/>
      <c r="F5284" s="191" t="s">
        <v>2173</v>
      </c>
      <c r="G5284" s="182">
        <v>1</v>
      </c>
      <c r="H5284" s="257">
        <f>'BASIC DATA'!$D$359</f>
        <v>30</v>
      </c>
      <c r="I5284" s="179">
        <f t="shared" si="95"/>
        <v>30</v>
      </c>
      <c r="J5284" s="78"/>
    </row>
    <row r="5285" spans="2:10">
      <c r="B5285" s="184"/>
      <c r="C5285" s="151"/>
      <c r="D5285" s="159" t="s">
        <v>2380</v>
      </c>
      <c r="E5285" s="159"/>
      <c r="F5285" s="159"/>
      <c r="G5285" s="252"/>
      <c r="H5285" s="216" t="s">
        <v>1698</v>
      </c>
      <c r="I5285" s="282">
        <f>SUM(I5270:I5284)</f>
        <v>9475.6600000000035</v>
      </c>
      <c r="J5285" s="78"/>
    </row>
    <row r="5286" spans="2:10">
      <c r="B5286" s="31"/>
      <c r="C5286" s="76"/>
      <c r="D5286" s="31"/>
      <c r="E5286" s="31"/>
      <c r="F5286" s="31"/>
      <c r="G5286" s="294"/>
      <c r="H5286" s="294"/>
      <c r="I5286" s="75"/>
      <c r="J5286" s="78"/>
    </row>
    <row r="5287" spans="2:10">
      <c r="B5287" s="170" t="s">
        <v>2381</v>
      </c>
      <c r="J5287" s="78"/>
    </row>
    <row r="5288" spans="2:10">
      <c r="B5288" s="95" t="s">
        <v>2369</v>
      </c>
      <c r="C5288" s="148" t="s">
        <v>2378</v>
      </c>
      <c r="D5288" s="175"/>
      <c r="E5288" s="175"/>
      <c r="F5288" s="95" t="s">
        <v>2370</v>
      </c>
      <c r="G5288" s="95" t="s">
        <v>1166</v>
      </c>
      <c r="H5288" s="95" t="s">
        <v>6664</v>
      </c>
      <c r="I5288" s="95" t="s">
        <v>6665</v>
      </c>
      <c r="J5288" s="78"/>
    </row>
    <row r="5289" spans="2:10">
      <c r="B5289" s="191"/>
      <c r="C5289" s="89"/>
      <c r="D5289" s="174"/>
      <c r="E5289" s="174"/>
      <c r="F5289" s="191"/>
      <c r="G5289" s="114"/>
      <c r="H5289" s="114" t="s">
        <v>3856</v>
      </c>
      <c r="I5289" s="114" t="s">
        <v>3857</v>
      </c>
      <c r="J5289" s="78"/>
    </row>
    <row r="5290" spans="2:10">
      <c r="B5290" s="95">
        <v>1</v>
      </c>
      <c r="C5290" s="148" t="s">
        <v>2870</v>
      </c>
      <c r="D5290" s="187"/>
      <c r="E5290" s="187"/>
      <c r="F5290" s="107" t="s">
        <v>2374</v>
      </c>
      <c r="G5290" s="179">
        <v>0.15</v>
      </c>
      <c r="H5290" s="190">
        <f>'HIRE CHARGES'!$F$499</f>
        <v>236.6</v>
      </c>
      <c r="I5290" s="179">
        <f t="shared" ref="I5290:I5298" si="96">H5290*G5290</f>
        <v>35.489999999999995</v>
      </c>
      <c r="J5290" s="78"/>
    </row>
    <row r="5291" spans="2:10">
      <c r="B5291" s="105">
        <v>2</v>
      </c>
      <c r="C5291" s="76" t="s">
        <v>300</v>
      </c>
      <c r="D5291" s="31"/>
      <c r="E5291" s="31"/>
      <c r="F5291" s="210" t="s">
        <v>2374</v>
      </c>
      <c r="G5291" s="190">
        <v>0.8</v>
      </c>
      <c r="H5291" s="179">
        <f>'HIRE CHARGES'!$F$543</f>
        <v>236.6</v>
      </c>
      <c r="I5291" s="179">
        <f t="shared" si="96"/>
        <v>189.28</v>
      </c>
      <c r="J5291" s="78"/>
    </row>
    <row r="5292" spans="2:10">
      <c r="B5292" s="105">
        <v>3</v>
      </c>
      <c r="C5292" s="76" t="s">
        <v>301</v>
      </c>
      <c r="D5292" s="31"/>
      <c r="E5292" s="31"/>
      <c r="F5292" s="210" t="s">
        <v>2374</v>
      </c>
      <c r="G5292" s="190">
        <v>3</v>
      </c>
      <c r="H5292" s="190">
        <f>'HIRE CHARGES'!$F$545</f>
        <v>177.5</v>
      </c>
      <c r="I5292" s="179">
        <f t="shared" si="96"/>
        <v>532.5</v>
      </c>
      <c r="J5292" s="78"/>
    </row>
    <row r="5293" spans="2:10">
      <c r="B5293" s="105">
        <v>4</v>
      </c>
      <c r="C5293" s="76" t="s">
        <v>4606</v>
      </c>
      <c r="D5293" s="31"/>
      <c r="E5293" s="31"/>
      <c r="F5293" s="210" t="s">
        <v>2374</v>
      </c>
      <c r="G5293" s="190">
        <v>8</v>
      </c>
      <c r="H5293" s="207">
        <f>'HIRE CHARGES'!$F$497</f>
        <v>164.8</v>
      </c>
      <c r="I5293" s="179">
        <f t="shared" si="96"/>
        <v>1318.4</v>
      </c>
      <c r="J5293" s="78"/>
    </row>
    <row r="5294" spans="2:10">
      <c r="B5294" s="105">
        <v>5</v>
      </c>
      <c r="C5294" s="76" t="s">
        <v>999</v>
      </c>
      <c r="D5294" s="31"/>
      <c r="E5294" s="31"/>
      <c r="F5294" s="210" t="s">
        <v>2374</v>
      </c>
      <c r="G5294" s="190">
        <v>0.4</v>
      </c>
      <c r="H5294" s="207">
        <f>'HIRE CHARGES'!$F$518</f>
        <v>83.3</v>
      </c>
      <c r="I5294" s="179">
        <f t="shared" si="96"/>
        <v>33.32</v>
      </c>
      <c r="J5294" s="78"/>
    </row>
    <row r="5295" spans="2:10">
      <c r="B5295" s="105">
        <v>6</v>
      </c>
      <c r="C5295" s="76" t="s">
        <v>1000</v>
      </c>
      <c r="D5295" s="31"/>
      <c r="E5295" s="31"/>
      <c r="F5295" s="210" t="s">
        <v>2374</v>
      </c>
      <c r="G5295" s="190">
        <v>0.8</v>
      </c>
      <c r="H5295" s="190">
        <f>'HIRE CHARGES'!$F$555</f>
        <v>177.5</v>
      </c>
      <c r="I5295" s="179">
        <f t="shared" si="96"/>
        <v>142</v>
      </c>
      <c r="J5295" s="78"/>
    </row>
    <row r="5296" spans="2:10">
      <c r="B5296" s="105">
        <v>7</v>
      </c>
      <c r="C5296" s="76" t="s">
        <v>6869</v>
      </c>
      <c r="D5296" s="31"/>
      <c r="E5296" s="31"/>
      <c r="F5296" s="210" t="s">
        <v>2374</v>
      </c>
      <c r="G5296" s="190">
        <v>16</v>
      </c>
      <c r="H5296" s="190">
        <f>'HIRE CHARGES'!$F$538</f>
        <v>263.60000000000002</v>
      </c>
      <c r="I5296" s="179">
        <f t="shared" si="96"/>
        <v>4217.6000000000004</v>
      </c>
      <c r="J5296" s="78"/>
    </row>
    <row r="5297" spans="2:10">
      <c r="B5297" s="105">
        <v>8</v>
      </c>
      <c r="C5297" s="76" t="s">
        <v>4206</v>
      </c>
      <c r="D5297" s="31"/>
      <c r="E5297" s="31"/>
      <c r="F5297" s="210" t="s">
        <v>1172</v>
      </c>
      <c r="G5297" s="190">
        <v>1</v>
      </c>
      <c r="H5297" s="190">
        <f>'BASIC DATA'!$C$473</f>
        <v>450</v>
      </c>
      <c r="I5297" s="179">
        <f t="shared" si="96"/>
        <v>450</v>
      </c>
      <c r="J5297" s="78"/>
    </row>
    <row r="5298" spans="2:10">
      <c r="B5298" s="105">
        <v>9</v>
      </c>
      <c r="C5298" s="76" t="s">
        <v>2697</v>
      </c>
      <c r="D5298" s="31"/>
      <c r="E5298" s="31"/>
      <c r="F5298" s="210" t="s">
        <v>1172</v>
      </c>
      <c r="G5298" s="190">
        <v>5</v>
      </c>
      <c r="H5298" s="207">
        <f>'BASIC DATA'!$C$552</f>
        <v>350</v>
      </c>
      <c r="I5298" s="179">
        <f t="shared" si="96"/>
        <v>1750</v>
      </c>
      <c r="J5298" s="78"/>
    </row>
    <row r="5299" spans="2:10">
      <c r="B5299" s="184"/>
      <c r="C5299" s="151"/>
      <c r="D5299" s="159"/>
      <c r="E5299" s="159" t="s">
        <v>1174</v>
      </c>
      <c r="F5299" s="159"/>
      <c r="G5299" s="193"/>
      <c r="H5299" s="208" t="s">
        <v>1698</v>
      </c>
      <c r="I5299" s="282">
        <f>SUM(I5290:I5298)</f>
        <v>8668.59</v>
      </c>
      <c r="J5299" s="78"/>
    </row>
    <row r="5300" spans="2:10">
      <c r="B5300" s="60" t="s">
        <v>5948</v>
      </c>
      <c r="C5300" s="76"/>
      <c r="D5300" s="31"/>
      <c r="E5300" s="31"/>
      <c r="F5300" s="31"/>
      <c r="G5300" s="85">
        <f>ROUND(I5299/H5260,1)</f>
        <v>108.4</v>
      </c>
      <c r="J5300" s="78"/>
    </row>
    <row r="5301" spans="2:10">
      <c r="B5301" s="60" t="s">
        <v>3163</v>
      </c>
      <c r="C5301" s="76"/>
      <c r="D5301" s="31"/>
      <c r="E5301" s="31"/>
      <c r="F5301" s="922">
        <f>'BASIC DATA'!$C$577</f>
        <v>0.13614999999999999</v>
      </c>
      <c r="G5301" s="85">
        <f>ROUND(G5300*F5301,1)</f>
        <v>14.8</v>
      </c>
      <c r="J5301" s="78"/>
    </row>
    <row r="5302" spans="2:10">
      <c r="B5302" s="60" t="s">
        <v>5949</v>
      </c>
      <c r="C5302" s="76"/>
      <c r="D5302" s="31"/>
      <c r="E5302" s="31"/>
      <c r="F5302" s="31"/>
      <c r="G5302" s="199">
        <f>ROUND(G5301+G5300,1)</f>
        <v>123.2</v>
      </c>
      <c r="J5302" s="78"/>
    </row>
    <row r="5303" spans="2:10">
      <c r="B5303" s="31"/>
      <c r="C5303" s="76"/>
      <c r="D5303" s="31"/>
      <c r="E5303" s="31"/>
      <c r="F5303" s="200"/>
      <c r="G5303" s="200"/>
      <c r="I5303" s="75"/>
      <c r="J5303" s="78"/>
    </row>
    <row r="5304" spans="2:10">
      <c r="B5304" s="170" t="s">
        <v>1175</v>
      </c>
      <c r="J5304" s="78"/>
    </row>
    <row r="5305" spans="2:10">
      <c r="B5305" s="26" t="s">
        <v>1176</v>
      </c>
      <c r="H5305" s="171" t="s">
        <v>1698</v>
      </c>
      <c r="I5305" s="68">
        <f>I5265</f>
        <v>185</v>
      </c>
      <c r="J5305" s="78"/>
    </row>
    <row r="5306" spans="2:10">
      <c r="B5306" s="26" t="s">
        <v>1186</v>
      </c>
      <c r="H5306" s="171" t="s">
        <v>1698</v>
      </c>
      <c r="I5306" s="68">
        <f>I5285</f>
        <v>9475.6600000000035</v>
      </c>
      <c r="J5306" s="78"/>
    </row>
    <row r="5307" spans="2:10">
      <c r="B5307" s="26" t="s">
        <v>2660</v>
      </c>
      <c r="F5307" s="171"/>
      <c r="H5307" s="171" t="s">
        <v>1698</v>
      </c>
      <c r="I5307" s="68">
        <f>I5299</f>
        <v>8668.59</v>
      </c>
      <c r="J5307" s="78"/>
    </row>
    <row r="5308" spans="2:10">
      <c r="G5308" s="171" t="s">
        <v>1518</v>
      </c>
      <c r="H5308" s="171" t="s">
        <v>1698</v>
      </c>
      <c r="I5308" s="205">
        <f>SUM(I5305:I5307)</f>
        <v>18329.250000000004</v>
      </c>
      <c r="J5308" s="78"/>
    </row>
    <row r="5309" spans="2:10" ht="18.75">
      <c r="B5309" s="1207" t="s">
        <v>8375</v>
      </c>
      <c r="C5309" s="1207"/>
      <c r="D5309" s="1207"/>
      <c r="E5309" s="1207"/>
      <c r="F5309" s="1207"/>
      <c r="G5309" s="922">
        <f>'BASIC DATA'!$C$577</f>
        <v>0.13614999999999999</v>
      </c>
      <c r="H5309" s="171" t="s">
        <v>4108</v>
      </c>
      <c r="I5309" s="76">
        <f>ROUND(I5308*G5309,2)</f>
        <v>2495.5300000000002</v>
      </c>
      <c r="J5309" s="78"/>
    </row>
    <row r="5310" spans="2:10">
      <c r="B5310" s="1206" t="s">
        <v>1191</v>
      </c>
      <c r="C5310" s="1206"/>
      <c r="D5310" s="1206"/>
      <c r="E5310" s="1206"/>
      <c r="F5310" s="202">
        <f>H5260</f>
        <v>80</v>
      </c>
      <c r="G5310" s="202" t="str">
        <f>I5260</f>
        <v>cum</v>
      </c>
      <c r="H5310" s="171" t="s">
        <v>1698</v>
      </c>
      <c r="I5310" s="199">
        <f>I5309+I5308</f>
        <v>20824.780000000002</v>
      </c>
      <c r="J5310" s="78"/>
    </row>
    <row r="5311" spans="2:10">
      <c r="B5311" s="1161" t="s">
        <v>3884</v>
      </c>
      <c r="C5311" s="1161"/>
      <c r="D5311" s="246" t="str">
        <f>G5310</f>
        <v>cum</v>
      </c>
      <c r="F5311" s="26" t="s">
        <v>1398</v>
      </c>
      <c r="H5311" s="171" t="s">
        <v>1698</v>
      </c>
      <c r="I5311" s="204">
        <f>ROUND(I5310/F5310,1)</f>
        <v>260.3</v>
      </c>
      <c r="J5311" s="78"/>
    </row>
    <row r="5312" spans="2:10">
      <c r="J5312" s="78"/>
    </row>
    <row r="5313" spans="1:10">
      <c r="J5313" s="78"/>
    </row>
    <row r="5314" spans="1:10" ht="18.75">
      <c r="A5314" s="822" t="s">
        <v>7369</v>
      </c>
      <c r="B5314" s="26" t="s">
        <v>8540</v>
      </c>
      <c r="J5314" s="78"/>
    </row>
    <row r="5315" spans="1:10" ht="18.75">
      <c r="B5315" s="26" t="s">
        <v>8541</v>
      </c>
      <c r="J5315" s="78"/>
    </row>
    <row r="5316" spans="1:10">
      <c r="B5316" s="26" t="s">
        <v>5624</v>
      </c>
      <c r="J5316" s="78"/>
    </row>
    <row r="5317" spans="1:10" ht="18.75">
      <c r="B5317" s="26" t="s">
        <v>8542</v>
      </c>
      <c r="J5317" s="78"/>
    </row>
    <row r="5318" spans="1:10" hidden="1">
      <c r="A5318" s="822" t="s">
        <v>3984</v>
      </c>
      <c r="B5318" s="26" t="s">
        <v>602</v>
      </c>
      <c r="G5318" s="171" t="s">
        <v>1697</v>
      </c>
      <c r="H5318" s="68">
        <v>0.85</v>
      </c>
      <c r="I5318" s="26" t="s">
        <v>3477</v>
      </c>
      <c r="J5318" s="78"/>
    </row>
    <row r="5319" spans="1:10" hidden="1">
      <c r="B5319" s="26" t="s">
        <v>603</v>
      </c>
      <c r="G5319" s="171" t="s">
        <v>1697</v>
      </c>
      <c r="H5319" s="68">
        <v>1</v>
      </c>
      <c r="I5319" s="26" t="s">
        <v>3477</v>
      </c>
      <c r="J5319" s="78"/>
    </row>
    <row r="5320" spans="1:10" hidden="1">
      <c r="B5320" s="26" t="s">
        <v>604</v>
      </c>
      <c r="G5320" s="171" t="s">
        <v>1697</v>
      </c>
      <c r="H5320" s="68">
        <v>5</v>
      </c>
      <c r="I5320" s="26" t="s">
        <v>3477</v>
      </c>
      <c r="J5320" s="78"/>
    </row>
    <row r="5321" spans="1:10" hidden="1">
      <c r="B5321" s="26" t="s">
        <v>6657</v>
      </c>
      <c r="G5321" s="171" t="s">
        <v>1697</v>
      </c>
      <c r="H5321" s="68">
        <v>1</v>
      </c>
      <c r="I5321" s="26" t="s">
        <v>3430</v>
      </c>
      <c r="J5321" s="78"/>
    </row>
    <row r="5322" spans="1:10" hidden="1">
      <c r="B5322" s="26" t="s">
        <v>4569</v>
      </c>
      <c r="G5322" s="171" t="s">
        <v>1697</v>
      </c>
      <c r="H5322" s="68">
        <v>15</v>
      </c>
      <c r="I5322" s="26" t="s">
        <v>6703</v>
      </c>
      <c r="J5322" s="78"/>
    </row>
    <row r="5323" spans="1:10" hidden="1">
      <c r="B5323" s="26" t="s">
        <v>5632</v>
      </c>
      <c r="G5323" s="171" t="s">
        <v>1697</v>
      </c>
      <c r="H5323" s="68">
        <v>20</v>
      </c>
      <c r="I5323" s="26" t="s">
        <v>6703</v>
      </c>
      <c r="J5323" s="78"/>
    </row>
    <row r="5324" spans="1:10" hidden="1">
      <c r="B5324" s="26" t="s">
        <v>3985</v>
      </c>
      <c r="G5324" s="171" t="s">
        <v>1697</v>
      </c>
      <c r="H5324" s="68">
        <v>2</v>
      </c>
      <c r="I5324" s="26" t="s">
        <v>2603</v>
      </c>
      <c r="J5324" s="78"/>
    </row>
    <row r="5325" spans="1:10" hidden="1">
      <c r="B5325" s="26" t="s">
        <v>4030</v>
      </c>
      <c r="G5325" s="171" t="s">
        <v>1697</v>
      </c>
      <c r="H5325" s="68">
        <v>60</v>
      </c>
      <c r="I5325" s="26" t="s">
        <v>3434</v>
      </c>
      <c r="J5325" s="78"/>
    </row>
    <row r="5326" spans="1:10" hidden="1">
      <c r="B5326" s="26" t="s">
        <v>692</v>
      </c>
      <c r="G5326" s="171" t="s">
        <v>1123</v>
      </c>
      <c r="H5326" s="68">
        <v>5</v>
      </c>
      <c r="I5326" s="26" t="s">
        <v>4932</v>
      </c>
      <c r="J5326" s="78"/>
    </row>
    <row r="5327" spans="1:10" hidden="1">
      <c r="B5327" s="26" t="s">
        <v>693</v>
      </c>
      <c r="G5327" s="78" t="s">
        <v>1697</v>
      </c>
      <c r="H5327" s="68">
        <v>5</v>
      </c>
      <c r="I5327" s="26" t="s">
        <v>2603</v>
      </c>
      <c r="J5327" s="78"/>
    </row>
    <row r="5328" spans="1:10" hidden="1">
      <c r="B5328" s="26" t="s">
        <v>2574</v>
      </c>
      <c r="J5328" s="78"/>
    </row>
    <row r="5329" spans="2:10" hidden="1">
      <c r="B5329" s="26" t="s">
        <v>2575</v>
      </c>
      <c r="J5329" s="78"/>
    </row>
    <row r="5330" spans="2:10" hidden="1">
      <c r="B5330" s="26" t="s">
        <v>3774</v>
      </c>
      <c r="J5330" s="78"/>
    </row>
    <row r="5331" spans="2:10" hidden="1">
      <c r="B5331" s="26" t="s">
        <v>3775</v>
      </c>
      <c r="J5331" s="78"/>
    </row>
    <row r="5332" spans="2:10" hidden="1">
      <c r="B5332" s="26" t="s">
        <v>3776</v>
      </c>
      <c r="J5332" s="78"/>
    </row>
    <row r="5333" spans="2:10" hidden="1">
      <c r="B5333" s="26" t="s">
        <v>1613</v>
      </c>
      <c r="J5333" s="78"/>
    </row>
    <row r="5334" spans="2:10" hidden="1">
      <c r="B5334" s="26" t="s">
        <v>3258</v>
      </c>
      <c r="G5334" s="171" t="s">
        <v>1697</v>
      </c>
      <c r="H5334" s="68">
        <v>5</v>
      </c>
      <c r="I5334" s="26" t="s">
        <v>2603</v>
      </c>
      <c r="J5334" s="78"/>
    </row>
    <row r="5335" spans="2:10" hidden="1">
      <c r="B5335" s="26" t="s">
        <v>762</v>
      </c>
      <c r="G5335" s="171" t="s">
        <v>1697</v>
      </c>
      <c r="H5335" s="68">
        <v>4</v>
      </c>
      <c r="I5335" s="26" t="s">
        <v>2603</v>
      </c>
      <c r="J5335" s="78"/>
    </row>
    <row r="5336" spans="2:10" hidden="1">
      <c r="B5336" s="26" t="s">
        <v>4867</v>
      </c>
      <c r="G5336" s="171" t="s">
        <v>1697</v>
      </c>
      <c r="H5336" s="68">
        <v>2.5</v>
      </c>
      <c r="I5336" s="26" t="s">
        <v>2603</v>
      </c>
      <c r="J5336" s="78"/>
    </row>
    <row r="5337" spans="2:10" hidden="1">
      <c r="B5337" s="26" t="s">
        <v>3918</v>
      </c>
      <c r="G5337" s="171" t="s">
        <v>1697</v>
      </c>
      <c r="H5337" s="68">
        <v>3</v>
      </c>
      <c r="I5337" s="26" t="s">
        <v>2603</v>
      </c>
      <c r="J5337" s="78"/>
    </row>
    <row r="5338" spans="2:10" hidden="1">
      <c r="B5338" s="26" t="s">
        <v>263</v>
      </c>
      <c r="G5338" s="171" t="s">
        <v>1697</v>
      </c>
      <c r="H5338" s="68">
        <v>0.5</v>
      </c>
      <c r="I5338" s="26" t="s">
        <v>2603</v>
      </c>
      <c r="J5338" s="78"/>
    </row>
    <row r="5339" spans="2:10" hidden="1">
      <c r="F5339" s="26" t="s">
        <v>1518</v>
      </c>
      <c r="G5339" s="171" t="s">
        <v>1697</v>
      </c>
      <c r="H5339" s="68">
        <f>SUM(H5334:H5338)</f>
        <v>15</v>
      </c>
      <c r="I5339" s="26" t="s">
        <v>2603</v>
      </c>
      <c r="J5339" s="78"/>
    </row>
    <row r="5340" spans="2:10" hidden="1">
      <c r="B5340" s="26" t="s">
        <v>5395</v>
      </c>
      <c r="H5340" s="68">
        <v>3</v>
      </c>
      <c r="I5340" s="26" t="s">
        <v>4041</v>
      </c>
      <c r="J5340" s="78"/>
    </row>
    <row r="5341" spans="2:10" hidden="1">
      <c r="B5341" s="26" t="s">
        <v>4499</v>
      </c>
      <c r="H5341" s="68">
        <v>16.670000000000002</v>
      </c>
      <c r="I5341" s="26" t="s">
        <v>5336</v>
      </c>
      <c r="J5341" s="78"/>
    </row>
    <row r="5342" spans="2:10" hidden="1">
      <c r="B5342" s="26" t="s">
        <v>4500</v>
      </c>
      <c r="H5342" s="68">
        <v>400</v>
      </c>
      <c r="I5342" s="26" t="s">
        <v>5336</v>
      </c>
      <c r="J5342" s="78"/>
    </row>
    <row r="5343" spans="2:10" hidden="1">
      <c r="B5343" s="26" t="s">
        <v>4501</v>
      </c>
      <c r="H5343" s="68">
        <v>285.8</v>
      </c>
      <c r="I5343" s="26" t="s">
        <v>5336</v>
      </c>
      <c r="J5343" s="78"/>
    </row>
    <row r="5344" spans="2:10" hidden="1">
      <c r="B5344" s="26" t="s">
        <v>4502</v>
      </c>
      <c r="J5344" s="78"/>
    </row>
    <row r="5345" spans="2:10" hidden="1">
      <c r="B5345" s="26" t="s">
        <v>4061</v>
      </c>
      <c r="J5345" s="78"/>
    </row>
    <row r="5346" spans="2:10" hidden="1">
      <c r="B5346" s="26" t="s">
        <v>2573</v>
      </c>
      <c r="J5346" s="78"/>
    </row>
    <row r="5347" spans="2:10" hidden="1">
      <c r="B5347" s="26" t="s">
        <v>5405</v>
      </c>
      <c r="J5347" s="78"/>
    </row>
    <row r="5348" spans="2:10" hidden="1">
      <c r="B5348" s="26" t="s">
        <v>3740</v>
      </c>
      <c r="J5348" s="78"/>
    </row>
    <row r="5349" spans="2:10" hidden="1">
      <c r="B5349" s="26" t="s">
        <v>5406</v>
      </c>
      <c r="J5349" s="78"/>
    </row>
    <row r="5350" spans="2:10" hidden="1">
      <c r="B5350" s="26" t="s">
        <v>3656</v>
      </c>
      <c r="J5350" s="78"/>
    </row>
    <row r="5351" spans="2:10" hidden="1">
      <c r="B5351" s="26" t="s">
        <v>3657</v>
      </c>
      <c r="J5351" s="78"/>
    </row>
    <row r="5352" spans="2:10" hidden="1">
      <c r="B5352" s="26" t="s">
        <v>6736</v>
      </c>
      <c r="H5352" s="68">
        <v>0.8</v>
      </c>
      <c r="I5352" s="26" t="s">
        <v>2602</v>
      </c>
      <c r="J5352" s="78"/>
    </row>
    <row r="5353" spans="2:10" hidden="1">
      <c r="B5353" s="26" t="s">
        <v>6737</v>
      </c>
      <c r="G5353" s="171" t="s">
        <v>1697</v>
      </c>
      <c r="H5353" s="68">
        <v>1</v>
      </c>
      <c r="I5353" s="26" t="s">
        <v>2602</v>
      </c>
      <c r="J5353" s="78"/>
    </row>
    <row r="5354" spans="2:10" hidden="1">
      <c r="B5354" s="26" t="s">
        <v>4334</v>
      </c>
      <c r="G5354" s="171" t="s">
        <v>1697</v>
      </c>
      <c r="H5354" s="68" t="s">
        <v>6738</v>
      </c>
      <c r="I5354" s="26" t="s">
        <v>2602</v>
      </c>
      <c r="J5354" s="78"/>
    </row>
    <row r="5355" spans="2:10" hidden="1">
      <c r="B5355" s="26" t="s">
        <v>271</v>
      </c>
      <c r="G5355" s="171" t="s">
        <v>1697</v>
      </c>
      <c r="H5355" s="68">
        <v>2.4</v>
      </c>
      <c r="I5355" s="26" t="s">
        <v>2602</v>
      </c>
      <c r="J5355" s="78"/>
    </row>
    <row r="5356" spans="2:10" hidden="1">
      <c r="B5356" s="26" t="s">
        <v>272</v>
      </c>
      <c r="G5356" s="171" t="s">
        <v>1697</v>
      </c>
      <c r="H5356" s="68">
        <v>2.25</v>
      </c>
      <c r="I5356" s="26" t="s">
        <v>2602</v>
      </c>
      <c r="J5356" s="78"/>
    </row>
    <row r="5357" spans="2:10" hidden="1">
      <c r="B5357" s="26" t="s">
        <v>273</v>
      </c>
      <c r="G5357" s="171" t="s">
        <v>1697</v>
      </c>
      <c r="H5357" s="68">
        <v>127</v>
      </c>
      <c r="I5357" s="26" t="s">
        <v>3479</v>
      </c>
      <c r="J5357" s="78"/>
    </row>
    <row r="5358" spans="2:10" hidden="1">
      <c r="B5358" s="26" t="s">
        <v>274</v>
      </c>
      <c r="G5358" s="171" t="s">
        <v>1697</v>
      </c>
      <c r="H5358" s="68">
        <v>159</v>
      </c>
      <c r="I5358" s="26" t="s">
        <v>4041</v>
      </c>
      <c r="J5358" s="78"/>
    </row>
    <row r="5359" spans="2:10" hidden="1">
      <c r="B5359" s="26" t="s">
        <v>275</v>
      </c>
      <c r="G5359" s="171" t="s">
        <v>1697</v>
      </c>
      <c r="H5359" s="68">
        <v>382</v>
      </c>
      <c r="I5359" s="26" t="s">
        <v>2602</v>
      </c>
      <c r="J5359" s="78"/>
    </row>
    <row r="5360" spans="2:10" hidden="1">
      <c r="B5360" s="26" t="s">
        <v>276</v>
      </c>
      <c r="G5360" s="171" t="s">
        <v>1697</v>
      </c>
      <c r="H5360" s="68">
        <v>5</v>
      </c>
      <c r="I5360" s="26" t="s">
        <v>2602</v>
      </c>
      <c r="J5360" s="78"/>
    </row>
    <row r="5361" spans="2:10" hidden="1">
      <c r="B5361" s="26" t="s">
        <v>1518</v>
      </c>
      <c r="G5361" s="171" t="s">
        <v>1697</v>
      </c>
      <c r="H5361" s="68">
        <v>387</v>
      </c>
      <c r="I5361" s="26" t="s">
        <v>2602</v>
      </c>
      <c r="J5361" s="78"/>
    </row>
    <row r="5362" spans="2:10" hidden="1">
      <c r="B5362" s="26" t="s">
        <v>2998</v>
      </c>
      <c r="G5362" s="171" t="s">
        <v>1697</v>
      </c>
      <c r="H5362" s="68">
        <v>8</v>
      </c>
      <c r="I5362" s="26" t="s">
        <v>2602</v>
      </c>
      <c r="J5362" s="78"/>
    </row>
    <row r="5363" spans="2:10" hidden="1">
      <c r="B5363" s="26" t="s">
        <v>5902</v>
      </c>
      <c r="G5363" s="171" t="s">
        <v>1123</v>
      </c>
      <c r="H5363" s="68">
        <v>8</v>
      </c>
      <c r="I5363" s="26" t="s">
        <v>4665</v>
      </c>
      <c r="J5363" s="78"/>
    </row>
    <row r="5364" spans="2:10" hidden="1">
      <c r="J5364" s="78"/>
    </row>
    <row r="5365" spans="2:10" hidden="1">
      <c r="B5365" s="26" t="s">
        <v>5866</v>
      </c>
      <c r="J5365" s="78"/>
    </row>
    <row r="5366" spans="2:10" hidden="1">
      <c r="B5366" s="26" t="s">
        <v>3904</v>
      </c>
      <c r="J5366" s="78"/>
    </row>
    <row r="5367" spans="2:10" hidden="1">
      <c r="B5367" s="26" t="s">
        <v>5805</v>
      </c>
      <c r="H5367" s="68">
        <v>114</v>
      </c>
      <c r="I5367" s="26" t="s">
        <v>3478</v>
      </c>
      <c r="J5367" s="78"/>
    </row>
    <row r="5368" spans="2:10" hidden="1">
      <c r="B5368" s="26" t="s">
        <v>3630</v>
      </c>
      <c r="G5368" s="171" t="s">
        <v>1697</v>
      </c>
      <c r="H5368" s="68">
        <v>4</v>
      </c>
      <c r="I5368" s="26" t="s">
        <v>3478</v>
      </c>
      <c r="J5368" s="78"/>
    </row>
    <row r="5369" spans="2:10" hidden="1">
      <c r="F5369" s="26" t="s">
        <v>2375</v>
      </c>
      <c r="G5369" s="171" t="s">
        <v>1697</v>
      </c>
      <c r="H5369" s="68">
        <f>SUM(H5367:H5368)</f>
        <v>118</v>
      </c>
      <c r="I5369" s="26" t="s">
        <v>3478</v>
      </c>
      <c r="J5369" s="78"/>
    </row>
    <row r="5370" spans="2:10" hidden="1">
      <c r="B5370" s="26" t="s">
        <v>5806</v>
      </c>
      <c r="G5370" s="171" t="s">
        <v>1697</v>
      </c>
      <c r="H5370" s="68">
        <v>159</v>
      </c>
      <c r="I5370" s="26" t="s">
        <v>4041</v>
      </c>
      <c r="J5370" s="78"/>
    </row>
    <row r="5371" spans="2:10" hidden="1">
      <c r="B5371" s="26" t="s">
        <v>3880</v>
      </c>
      <c r="G5371" s="171" t="s">
        <v>1697</v>
      </c>
      <c r="H5371" s="68">
        <v>8</v>
      </c>
      <c r="I5371" s="26" t="s">
        <v>4041</v>
      </c>
      <c r="J5371" s="78"/>
    </row>
    <row r="5372" spans="2:10" hidden="1">
      <c r="B5372" s="26" t="s">
        <v>5703</v>
      </c>
      <c r="G5372" s="171" t="s">
        <v>1697</v>
      </c>
      <c r="H5372" s="68">
        <v>200</v>
      </c>
      <c r="I5372" s="26" t="s">
        <v>2822</v>
      </c>
      <c r="J5372" s="78"/>
    </row>
    <row r="5373" spans="2:10" hidden="1">
      <c r="B5373" s="26" t="s">
        <v>5807</v>
      </c>
      <c r="H5373" s="171"/>
      <c r="J5373" s="78"/>
    </row>
    <row r="5374" spans="2:10" hidden="1">
      <c r="B5374" s="26" t="s">
        <v>5808</v>
      </c>
      <c r="G5374" s="171" t="s">
        <v>1697</v>
      </c>
      <c r="H5374" s="26">
        <v>400</v>
      </c>
      <c r="I5374" s="26" t="s">
        <v>3477</v>
      </c>
      <c r="J5374" s="78"/>
    </row>
    <row r="5375" spans="2:10" hidden="1">
      <c r="B5375" s="26" t="s">
        <v>5809</v>
      </c>
      <c r="H5375" s="171"/>
      <c r="J5375" s="78"/>
    </row>
    <row r="5376" spans="2:10" hidden="1">
      <c r="B5376" s="26" t="s">
        <v>5815</v>
      </c>
      <c r="H5376" s="171"/>
      <c r="J5376" s="78"/>
    </row>
    <row r="5377" spans="1:10" hidden="1">
      <c r="B5377" s="26" t="s">
        <v>6691</v>
      </c>
      <c r="H5377" s="171"/>
      <c r="J5377" s="78"/>
    </row>
    <row r="5378" spans="1:10" hidden="1">
      <c r="B5378" s="26" t="s">
        <v>2697</v>
      </c>
      <c r="G5378" s="171" t="s">
        <v>1697</v>
      </c>
      <c r="H5378" s="68">
        <v>8</v>
      </c>
      <c r="I5378" s="26" t="s">
        <v>4041</v>
      </c>
      <c r="J5378" s="78"/>
    </row>
    <row r="5379" spans="1:10" hidden="1">
      <c r="B5379" s="26" t="s">
        <v>6692</v>
      </c>
      <c r="G5379" s="171"/>
      <c r="J5379" s="78"/>
    </row>
    <row r="5380" spans="1:10" hidden="1">
      <c r="B5380" s="26" t="s">
        <v>1356</v>
      </c>
      <c r="G5380" s="171" t="s">
        <v>1697</v>
      </c>
      <c r="H5380" s="68">
        <v>2</v>
      </c>
      <c r="I5380" s="26" t="s">
        <v>4041</v>
      </c>
      <c r="J5380" s="78"/>
    </row>
    <row r="5381" spans="1:10" hidden="1">
      <c r="B5381" s="26" t="s">
        <v>2697</v>
      </c>
      <c r="G5381" s="171" t="s">
        <v>1697</v>
      </c>
      <c r="H5381" s="68">
        <v>2</v>
      </c>
      <c r="I5381" s="26" t="s">
        <v>4041</v>
      </c>
      <c r="J5381" s="78"/>
    </row>
    <row r="5382" spans="1:10" hidden="1">
      <c r="B5382" s="26" t="s">
        <v>6693</v>
      </c>
      <c r="G5382" s="171"/>
      <c r="J5382" s="78"/>
    </row>
    <row r="5383" spans="1:10" hidden="1">
      <c r="B5383" s="26" t="s">
        <v>4330</v>
      </c>
      <c r="F5383" s="68">
        <f>'BASIC DATA'!$D$308</f>
        <v>6254</v>
      </c>
      <c r="G5383" s="171" t="s">
        <v>1698</v>
      </c>
      <c r="H5383" s="68">
        <f>F5383</f>
        <v>6254</v>
      </c>
      <c r="J5383" s="78"/>
    </row>
    <row r="5384" spans="1:10" hidden="1">
      <c r="B5384" s="26" t="s">
        <v>99</v>
      </c>
      <c r="G5384" s="171" t="s">
        <v>1697</v>
      </c>
      <c r="H5384" s="68">
        <v>150</v>
      </c>
      <c r="I5384" s="26" t="s">
        <v>2602</v>
      </c>
      <c r="J5384" s="78"/>
    </row>
    <row r="5385" spans="1:10" hidden="1">
      <c r="B5385" s="26" t="s">
        <v>6834</v>
      </c>
      <c r="G5385" s="171" t="s">
        <v>1698</v>
      </c>
      <c r="H5385" s="68">
        <f>H5383/H5384</f>
        <v>41.693333333333335</v>
      </c>
      <c r="J5385" s="78"/>
    </row>
    <row r="5386" spans="1:10" hidden="1">
      <c r="B5386" s="26" t="s">
        <v>4331</v>
      </c>
      <c r="F5386" s="68">
        <f>'BASIC DATA'!$D$344</f>
        <v>185</v>
      </c>
      <c r="G5386" s="171" t="s">
        <v>1698</v>
      </c>
      <c r="H5386" s="68">
        <f>50*F5386</f>
        <v>9250</v>
      </c>
      <c r="J5386" s="78"/>
    </row>
    <row r="5387" spans="1:10" hidden="1">
      <c r="B5387" s="26" t="s">
        <v>5152</v>
      </c>
      <c r="G5387" s="171" t="s">
        <v>1697</v>
      </c>
      <c r="H5387" s="68">
        <v>800</v>
      </c>
      <c r="I5387" s="26" t="s">
        <v>4665</v>
      </c>
      <c r="J5387" s="78"/>
    </row>
    <row r="5388" spans="1:10" hidden="1">
      <c r="B5388" s="26" t="s">
        <v>6713</v>
      </c>
      <c r="G5388" s="171" t="s">
        <v>1698</v>
      </c>
      <c r="H5388" s="68">
        <f>H5386/H5387</f>
        <v>11.5625</v>
      </c>
      <c r="J5388" s="78"/>
    </row>
    <row r="5389" spans="1:10">
      <c r="I5389" s="171"/>
      <c r="J5389" s="78"/>
    </row>
    <row r="5390" spans="1:10">
      <c r="A5390" s="822" t="s">
        <v>3984</v>
      </c>
      <c r="E5390" s="170" t="s">
        <v>2367</v>
      </c>
      <c r="J5390" s="78"/>
    </row>
    <row r="5391" spans="1:10">
      <c r="G5391" s="78"/>
      <c r="J5391" s="78"/>
    </row>
    <row r="5392" spans="1:10">
      <c r="B5392" s="170" t="s">
        <v>2368</v>
      </c>
      <c r="G5392" s="26" t="s">
        <v>297</v>
      </c>
      <c r="H5392" s="170">
        <v>400</v>
      </c>
      <c r="I5392" s="78" t="s">
        <v>3477</v>
      </c>
      <c r="J5392" s="78"/>
    </row>
    <row r="5393" spans="2:10">
      <c r="B5393" s="95" t="s">
        <v>2369</v>
      </c>
      <c r="C5393" s="148" t="s">
        <v>4443</v>
      </c>
      <c r="D5393" s="175"/>
      <c r="E5393" s="175"/>
      <c r="F5393" s="95" t="s">
        <v>2370</v>
      </c>
      <c r="G5393" s="95" t="s">
        <v>1166</v>
      </c>
      <c r="H5393" s="95" t="s">
        <v>6664</v>
      </c>
      <c r="I5393" s="95" t="s">
        <v>6665</v>
      </c>
      <c r="J5393" s="78"/>
    </row>
    <row r="5394" spans="2:10">
      <c r="B5394" s="191"/>
      <c r="C5394" s="89"/>
      <c r="D5394" s="174"/>
      <c r="E5394" s="174"/>
      <c r="F5394" s="191"/>
      <c r="G5394" s="114"/>
      <c r="H5394" s="114" t="s">
        <v>3856</v>
      </c>
      <c r="I5394" s="114" t="s">
        <v>3857</v>
      </c>
      <c r="J5394" s="78"/>
    </row>
    <row r="5395" spans="2:10">
      <c r="B5395" s="95">
        <v>1</v>
      </c>
      <c r="C5395" s="148" t="s">
        <v>2449</v>
      </c>
      <c r="D5395" s="187"/>
      <c r="E5395" s="187"/>
      <c r="F5395" s="107" t="s">
        <v>3483</v>
      </c>
      <c r="G5395" s="179">
        <v>387</v>
      </c>
      <c r="H5395" s="212">
        <f>H5385</f>
        <v>41.693333333333335</v>
      </c>
      <c r="I5395" s="179">
        <f>H5395*G5395</f>
        <v>16135.320000000002</v>
      </c>
      <c r="J5395" s="78"/>
    </row>
    <row r="5396" spans="2:10">
      <c r="B5396" s="105"/>
      <c r="C5396" s="76" t="s">
        <v>5125</v>
      </c>
      <c r="D5396" s="31"/>
      <c r="E5396" s="31"/>
      <c r="F5396" s="213">
        <v>0.1</v>
      </c>
      <c r="G5396" s="190"/>
      <c r="H5396" s="214"/>
      <c r="I5396" s="190">
        <f>I5395*F5396</f>
        <v>1613.5320000000002</v>
      </c>
      <c r="J5396" s="78"/>
    </row>
    <row r="5397" spans="2:10">
      <c r="B5397" s="105">
        <v>2</v>
      </c>
      <c r="C5397" s="76" t="s">
        <v>6694</v>
      </c>
      <c r="D5397" s="31"/>
      <c r="E5397" s="31"/>
      <c r="F5397" s="210" t="s">
        <v>2374</v>
      </c>
      <c r="G5397" s="190">
        <v>60</v>
      </c>
      <c r="H5397" s="214">
        <f>H5388</f>
        <v>11.5625</v>
      </c>
      <c r="I5397" s="179">
        <f t="shared" ref="I5397:I5402" si="97">H5397*G5397</f>
        <v>693.75</v>
      </c>
      <c r="J5397" s="78"/>
    </row>
    <row r="5398" spans="2:10">
      <c r="B5398" s="105">
        <v>3</v>
      </c>
      <c r="C5398" s="76" t="s">
        <v>6718</v>
      </c>
      <c r="D5398" s="31"/>
      <c r="E5398" s="31"/>
      <c r="F5398" s="210" t="s">
        <v>3478</v>
      </c>
      <c r="G5398" s="190">
        <v>118</v>
      </c>
      <c r="H5398" s="214">
        <f>'BASIC DATA'!$D$54</f>
        <v>70</v>
      </c>
      <c r="I5398" s="179">
        <f t="shared" si="97"/>
        <v>8260</v>
      </c>
      <c r="J5398" s="78"/>
    </row>
    <row r="5399" spans="2:10">
      <c r="B5399" s="105">
        <v>4</v>
      </c>
      <c r="C5399" s="76" t="s">
        <v>2060</v>
      </c>
      <c r="D5399" s="31"/>
      <c r="E5399" s="31"/>
      <c r="F5399" s="210" t="s">
        <v>2059</v>
      </c>
      <c r="G5399" s="190">
        <v>159</v>
      </c>
      <c r="H5399" s="214">
        <f>'BASIC DATA'!$D$49</f>
        <v>11</v>
      </c>
      <c r="I5399" s="179">
        <f t="shared" si="97"/>
        <v>1749</v>
      </c>
      <c r="J5399" s="78"/>
    </row>
    <row r="5400" spans="2:10">
      <c r="B5400" s="105">
        <v>5</v>
      </c>
      <c r="C5400" s="76" t="s">
        <v>5707</v>
      </c>
      <c r="D5400" s="31"/>
      <c r="E5400" s="31"/>
      <c r="F5400" s="210" t="s">
        <v>2059</v>
      </c>
      <c r="G5400" s="190">
        <v>8</v>
      </c>
      <c r="H5400" s="220">
        <f>'BASIC DATA'!$D$50</f>
        <v>7</v>
      </c>
      <c r="I5400" s="179">
        <f t="shared" si="97"/>
        <v>56</v>
      </c>
      <c r="J5400" s="78"/>
    </row>
    <row r="5401" spans="2:10">
      <c r="B5401" s="105">
        <v>6</v>
      </c>
      <c r="C5401" s="76" t="s">
        <v>6094</v>
      </c>
      <c r="D5401" s="31"/>
      <c r="E5401" s="31"/>
      <c r="F5401" s="210" t="s">
        <v>3483</v>
      </c>
      <c r="G5401" s="190">
        <v>200</v>
      </c>
      <c r="H5401" s="214">
        <f>'BASIC DATA'!$D$46</f>
        <v>9</v>
      </c>
      <c r="I5401" s="179">
        <f t="shared" si="97"/>
        <v>1800</v>
      </c>
      <c r="J5401" s="78"/>
    </row>
    <row r="5402" spans="2:10">
      <c r="B5402" s="114">
        <v>7</v>
      </c>
      <c r="C5402" s="89" t="s">
        <v>6695</v>
      </c>
      <c r="D5402" s="174"/>
      <c r="E5402" s="174"/>
      <c r="F5402" s="191" t="s">
        <v>2173</v>
      </c>
      <c r="G5402" s="182">
        <v>10</v>
      </c>
      <c r="H5402" s="257">
        <f>'BASIC DATA'!$D$359</f>
        <v>30</v>
      </c>
      <c r="I5402" s="179">
        <f t="shared" si="97"/>
        <v>300</v>
      </c>
      <c r="J5402" s="78"/>
    </row>
    <row r="5403" spans="2:10">
      <c r="B5403" s="184"/>
      <c r="C5403" s="151"/>
      <c r="D5403" s="159"/>
      <c r="E5403" s="159" t="s">
        <v>2376</v>
      </c>
      <c r="F5403" s="159"/>
      <c r="G5403" s="159"/>
      <c r="H5403" s="208" t="s">
        <v>1698</v>
      </c>
      <c r="I5403" s="282">
        <f>SUM(I5395:I5402)</f>
        <v>30607.602000000003</v>
      </c>
      <c r="J5403" s="78"/>
    </row>
    <row r="5404" spans="2:10">
      <c r="B5404" s="31"/>
      <c r="C5404" s="76"/>
      <c r="D5404" s="31"/>
      <c r="E5404" s="31"/>
      <c r="F5404" s="31"/>
      <c r="G5404" s="31"/>
      <c r="H5404" s="200"/>
      <c r="I5404" s="75"/>
      <c r="J5404" s="78"/>
    </row>
    <row r="5405" spans="2:10">
      <c r="B5405" s="170" t="s">
        <v>2377</v>
      </c>
      <c r="J5405" s="78"/>
    </row>
    <row r="5406" spans="2:10">
      <c r="B5406" s="95" t="s">
        <v>2369</v>
      </c>
      <c r="C5406" s="131" t="s">
        <v>2378</v>
      </c>
      <c r="D5406" s="175"/>
      <c r="E5406" s="97"/>
      <c r="F5406" s="95" t="s">
        <v>2370</v>
      </c>
      <c r="G5406" s="95" t="s">
        <v>1166</v>
      </c>
      <c r="H5406" s="95" t="s">
        <v>6664</v>
      </c>
      <c r="I5406" s="95" t="s">
        <v>6665</v>
      </c>
      <c r="J5406" s="78"/>
    </row>
    <row r="5407" spans="2:10">
      <c r="B5407" s="114"/>
      <c r="C5407" s="139"/>
      <c r="D5407" s="174"/>
      <c r="E5407" s="192"/>
      <c r="F5407" s="191"/>
      <c r="G5407" s="114"/>
      <c r="H5407" s="114" t="s">
        <v>3856</v>
      </c>
      <c r="I5407" s="114" t="s">
        <v>3857</v>
      </c>
      <c r="J5407" s="78"/>
    </row>
    <row r="5408" spans="2:10">
      <c r="B5408" s="95">
        <v>1</v>
      </c>
      <c r="C5408" s="131" t="s">
        <v>6943</v>
      </c>
      <c r="D5408" s="187"/>
      <c r="E5408" s="195"/>
      <c r="F5408" s="107" t="s">
        <v>2374</v>
      </c>
      <c r="G5408" s="179">
        <v>30</v>
      </c>
      <c r="H5408" s="179">
        <f>'HIRE CHARGES'!$D$496</f>
        <v>275.60000000000002</v>
      </c>
      <c r="I5408" s="179">
        <f t="shared" ref="I5408:I5417" si="98">H5408*G5408</f>
        <v>8268</v>
      </c>
      <c r="J5408" s="78"/>
    </row>
    <row r="5409" spans="2:10">
      <c r="B5409" s="105"/>
      <c r="C5409" s="135" t="s">
        <v>2379</v>
      </c>
      <c r="D5409" s="31"/>
      <c r="E5409" s="189"/>
      <c r="F5409" s="210" t="s">
        <v>2374</v>
      </c>
      <c r="G5409" s="190">
        <v>30</v>
      </c>
      <c r="H5409" s="190">
        <f>'HIRE CHARGES'!$E$496</f>
        <v>892.5</v>
      </c>
      <c r="I5409" s="179">
        <f t="shared" si="98"/>
        <v>26775</v>
      </c>
      <c r="J5409" s="78"/>
    </row>
    <row r="5410" spans="2:10">
      <c r="B5410" s="105">
        <v>2</v>
      </c>
      <c r="C5410" s="135" t="s">
        <v>6696</v>
      </c>
      <c r="D5410" s="31"/>
      <c r="E5410" s="189"/>
      <c r="F5410" s="210" t="s">
        <v>2374</v>
      </c>
      <c r="G5410" s="190">
        <v>60</v>
      </c>
      <c r="H5410" s="207">
        <f>'HIRE CHARGES'!$D$530</f>
        <v>19.8</v>
      </c>
      <c r="I5410" s="179">
        <f t="shared" si="98"/>
        <v>1188</v>
      </c>
      <c r="J5410" s="78"/>
    </row>
    <row r="5411" spans="2:10">
      <c r="B5411" s="105"/>
      <c r="C5411" s="135" t="s">
        <v>2379</v>
      </c>
      <c r="D5411" s="31"/>
      <c r="E5411" s="189"/>
      <c r="F5411" s="210" t="s">
        <v>2374</v>
      </c>
      <c r="G5411" s="221">
        <v>60</v>
      </c>
      <c r="H5411" s="179">
        <f>'HIRE CHARGES'!$E$530</f>
        <v>0</v>
      </c>
      <c r="I5411" s="178">
        <f t="shared" si="98"/>
        <v>0</v>
      </c>
      <c r="J5411" s="78"/>
    </row>
    <row r="5412" spans="2:10">
      <c r="B5412" s="105">
        <v>3</v>
      </c>
      <c r="C5412" s="135" t="s">
        <v>1502</v>
      </c>
      <c r="D5412" s="31"/>
      <c r="E5412" s="189"/>
      <c r="F5412" s="210" t="s">
        <v>2374</v>
      </c>
      <c r="G5412" s="221">
        <v>4</v>
      </c>
      <c r="H5412" s="182">
        <f>'HIRE CHARGES'!$D$499</f>
        <v>1715.5</v>
      </c>
      <c r="I5412" s="178">
        <f t="shared" si="98"/>
        <v>6862</v>
      </c>
      <c r="J5412" s="78"/>
    </row>
    <row r="5413" spans="2:10">
      <c r="B5413" s="105"/>
      <c r="C5413" s="135" t="s">
        <v>2379</v>
      </c>
      <c r="D5413" s="31"/>
      <c r="E5413" s="189"/>
      <c r="F5413" s="210" t="s">
        <v>2374</v>
      </c>
      <c r="G5413" s="190">
        <v>4</v>
      </c>
      <c r="H5413" s="207">
        <f>'HIRE CHARGES'!$E$499</f>
        <v>610.5</v>
      </c>
      <c r="I5413" s="179">
        <f t="shared" si="98"/>
        <v>2442</v>
      </c>
      <c r="J5413" s="78"/>
    </row>
    <row r="5414" spans="2:10">
      <c r="B5414" s="105">
        <v>4</v>
      </c>
      <c r="C5414" s="135" t="s">
        <v>4170</v>
      </c>
      <c r="D5414" s="31"/>
      <c r="E5414" s="189"/>
      <c r="F5414" s="210" t="s">
        <v>2374</v>
      </c>
      <c r="G5414" s="190">
        <v>8</v>
      </c>
      <c r="H5414" s="190">
        <f>'HIRE CHARGES'!$D$543</f>
        <v>1706.6</v>
      </c>
      <c r="I5414" s="179">
        <f t="shared" si="98"/>
        <v>13652.8</v>
      </c>
      <c r="J5414" s="78"/>
    </row>
    <row r="5415" spans="2:10">
      <c r="B5415" s="105"/>
      <c r="C5415" s="135" t="s">
        <v>2379</v>
      </c>
      <c r="D5415" s="31"/>
      <c r="E5415" s="189"/>
      <c r="F5415" s="210" t="s">
        <v>2374</v>
      </c>
      <c r="G5415" s="190">
        <v>8</v>
      </c>
      <c r="H5415" s="190">
        <f>'HIRE CHARGES'!$E$543</f>
        <v>872.7</v>
      </c>
      <c r="I5415" s="179">
        <f t="shared" si="98"/>
        <v>6981.6</v>
      </c>
      <c r="J5415" s="78"/>
    </row>
    <row r="5416" spans="2:10">
      <c r="B5416" s="105">
        <v>5</v>
      </c>
      <c r="C5416" s="135" t="s">
        <v>6282</v>
      </c>
      <c r="D5416" s="31"/>
      <c r="E5416" s="189"/>
      <c r="F5416" s="210" t="s">
        <v>2374</v>
      </c>
      <c r="G5416" s="190">
        <v>24</v>
      </c>
      <c r="H5416" s="190">
        <f>'HIRE CHARGES'!$D$545</f>
        <v>446.7</v>
      </c>
      <c r="I5416" s="179">
        <f t="shared" si="98"/>
        <v>10720.8</v>
      </c>
      <c r="J5416" s="78"/>
    </row>
    <row r="5417" spans="2:10">
      <c r="B5417" s="114"/>
      <c r="C5417" s="139" t="s">
        <v>2379</v>
      </c>
      <c r="D5417" s="174"/>
      <c r="E5417" s="192"/>
      <c r="F5417" s="191" t="s">
        <v>2374</v>
      </c>
      <c r="G5417" s="182">
        <v>24</v>
      </c>
      <c r="H5417" s="182">
        <f>'HIRE CHARGES'!$E$545</f>
        <v>299.89999999999998</v>
      </c>
      <c r="I5417" s="179">
        <f t="shared" si="98"/>
        <v>7197.5999999999995</v>
      </c>
      <c r="J5417" s="78"/>
    </row>
    <row r="5418" spans="2:10">
      <c r="B5418" s="184"/>
      <c r="C5418" s="151"/>
      <c r="D5418" s="159"/>
      <c r="E5418" s="159" t="s">
        <v>2380</v>
      </c>
      <c r="F5418" s="159"/>
      <c r="G5418" s="159"/>
      <c r="H5418" s="208" t="s">
        <v>1698</v>
      </c>
      <c r="I5418" s="282">
        <f>SUM(I5408:I5417)</f>
        <v>84087.800000000017</v>
      </c>
      <c r="J5418" s="78"/>
    </row>
    <row r="5419" spans="2:10">
      <c r="B5419" s="31"/>
      <c r="C5419" s="76"/>
      <c r="D5419" s="31"/>
      <c r="E5419" s="31"/>
      <c r="F5419" s="31"/>
      <c r="G5419" s="31"/>
      <c r="H5419" s="200"/>
      <c r="I5419" s="75"/>
      <c r="J5419" s="78"/>
    </row>
    <row r="5420" spans="2:10">
      <c r="B5420" s="170" t="s">
        <v>2381</v>
      </c>
      <c r="H5420" s="78"/>
      <c r="J5420" s="78"/>
    </row>
    <row r="5421" spans="2:10">
      <c r="B5421" s="95" t="s">
        <v>2369</v>
      </c>
      <c r="C5421" s="148" t="s">
        <v>2378</v>
      </c>
      <c r="D5421" s="175"/>
      <c r="E5421" s="175"/>
      <c r="F5421" s="95" t="s">
        <v>2370</v>
      </c>
      <c r="G5421" s="95" t="s">
        <v>1166</v>
      </c>
      <c r="H5421" s="95" t="s">
        <v>6664</v>
      </c>
      <c r="I5421" s="95" t="s">
        <v>6665</v>
      </c>
      <c r="J5421" s="78"/>
    </row>
    <row r="5422" spans="2:10">
      <c r="B5422" s="191"/>
      <c r="C5422" s="89"/>
      <c r="D5422" s="174"/>
      <c r="E5422" s="174"/>
      <c r="F5422" s="191"/>
      <c r="G5422" s="114"/>
      <c r="H5422" s="114" t="s">
        <v>3856</v>
      </c>
      <c r="I5422" s="114" t="s">
        <v>3857</v>
      </c>
      <c r="J5422" s="78"/>
    </row>
    <row r="5423" spans="2:10">
      <c r="B5423" s="95">
        <v>1</v>
      </c>
      <c r="C5423" s="148" t="s">
        <v>4606</v>
      </c>
      <c r="D5423" s="187"/>
      <c r="E5423" s="187"/>
      <c r="F5423" s="107" t="s">
        <v>2374</v>
      </c>
      <c r="G5423" s="179">
        <v>30</v>
      </c>
      <c r="H5423" s="179">
        <f>'HIRE CHARGES'!$F$496</f>
        <v>210.9</v>
      </c>
      <c r="I5423" s="179">
        <f t="shared" ref="I5423:I5432" si="99">H5423*G5423</f>
        <v>6327</v>
      </c>
      <c r="J5423" s="78"/>
    </row>
    <row r="5424" spans="2:10">
      <c r="B5424" s="105">
        <v>2</v>
      </c>
      <c r="C5424" s="76" t="s">
        <v>4607</v>
      </c>
      <c r="D5424" s="31"/>
      <c r="E5424" s="31"/>
      <c r="F5424" s="210" t="s">
        <v>2374</v>
      </c>
      <c r="G5424" s="190">
        <v>60</v>
      </c>
      <c r="H5424" s="207">
        <f>'HIRE CHARGES'!$F$530</f>
        <v>329.6</v>
      </c>
      <c r="I5424" s="179">
        <f t="shared" si="99"/>
        <v>19776</v>
      </c>
      <c r="J5424" s="78"/>
    </row>
    <row r="5425" spans="2:10">
      <c r="B5425" s="105">
        <v>3</v>
      </c>
      <c r="C5425" s="76" t="s">
        <v>300</v>
      </c>
      <c r="D5425" s="31"/>
      <c r="E5425" s="31"/>
      <c r="F5425" s="210" t="s">
        <v>2374</v>
      </c>
      <c r="G5425" s="190">
        <v>8</v>
      </c>
      <c r="H5425" s="179">
        <f>'HIRE CHARGES'!$F$543</f>
        <v>236.6</v>
      </c>
      <c r="I5425" s="179">
        <f t="shared" si="99"/>
        <v>1892.8</v>
      </c>
      <c r="J5425" s="78"/>
    </row>
    <row r="5426" spans="2:10">
      <c r="B5426" s="105">
        <v>4</v>
      </c>
      <c r="C5426" s="76" t="s">
        <v>301</v>
      </c>
      <c r="D5426" s="31"/>
      <c r="E5426" s="31"/>
      <c r="F5426" s="210" t="s">
        <v>2374</v>
      </c>
      <c r="G5426" s="190">
        <v>24</v>
      </c>
      <c r="H5426" s="190">
        <f>'HIRE CHARGES'!$F$545</f>
        <v>177.5</v>
      </c>
      <c r="I5426" s="179">
        <f t="shared" si="99"/>
        <v>4260</v>
      </c>
      <c r="J5426" s="78"/>
    </row>
    <row r="5427" spans="2:10">
      <c r="B5427" s="105">
        <v>5</v>
      </c>
      <c r="C5427" s="76" t="s">
        <v>2870</v>
      </c>
      <c r="D5427" s="31"/>
      <c r="E5427" s="31"/>
      <c r="F5427" s="210" t="s">
        <v>2374</v>
      </c>
      <c r="G5427" s="190">
        <v>4</v>
      </c>
      <c r="H5427" s="190">
        <f>'HIRE CHARGES'!$F$499</f>
        <v>236.6</v>
      </c>
      <c r="I5427" s="179">
        <f t="shared" si="99"/>
        <v>946.4</v>
      </c>
      <c r="J5427" s="78"/>
    </row>
    <row r="5428" spans="2:10">
      <c r="B5428" s="105">
        <v>6</v>
      </c>
      <c r="C5428" s="76" t="s">
        <v>9293</v>
      </c>
      <c r="D5428" s="31"/>
      <c r="E5428" s="31"/>
      <c r="F5428" s="210" t="s">
        <v>1172</v>
      </c>
      <c r="G5428" s="190">
        <v>1</v>
      </c>
      <c r="H5428" s="207">
        <f>'BASIC DATA'!$C$466</f>
        <v>510</v>
      </c>
      <c r="I5428" s="179">
        <f t="shared" si="99"/>
        <v>510</v>
      </c>
      <c r="J5428" s="78"/>
    </row>
    <row r="5429" spans="2:10">
      <c r="B5429" s="105">
        <v>7</v>
      </c>
      <c r="C5429" s="76" t="s">
        <v>4609</v>
      </c>
      <c r="D5429" s="31"/>
      <c r="E5429" s="31"/>
      <c r="F5429" s="210" t="s">
        <v>1172</v>
      </c>
      <c r="G5429" s="190">
        <v>1</v>
      </c>
      <c r="H5429" s="207">
        <f>'BASIC DATA'!$C$520</f>
        <v>400</v>
      </c>
      <c r="I5429" s="179">
        <f t="shared" si="99"/>
        <v>400</v>
      </c>
      <c r="J5429" s="78"/>
    </row>
    <row r="5430" spans="2:10">
      <c r="B5430" s="105">
        <v>8</v>
      </c>
      <c r="C5430" s="76" t="s">
        <v>4206</v>
      </c>
      <c r="D5430" s="31"/>
      <c r="E5430" s="31"/>
      <c r="F5430" s="210" t="s">
        <v>1172</v>
      </c>
      <c r="G5430" s="190">
        <v>2</v>
      </c>
      <c r="H5430" s="190">
        <f>'BASIC DATA'!$C$473</f>
        <v>450</v>
      </c>
      <c r="I5430" s="179">
        <f t="shared" si="99"/>
        <v>900</v>
      </c>
      <c r="J5430" s="78"/>
    </row>
    <row r="5431" spans="2:10">
      <c r="B5431" s="105">
        <v>9</v>
      </c>
      <c r="C5431" s="76" t="s">
        <v>1356</v>
      </c>
      <c r="D5431" s="31"/>
      <c r="E5431" s="31"/>
      <c r="F5431" s="210" t="s">
        <v>1172</v>
      </c>
      <c r="G5431" s="190">
        <v>2</v>
      </c>
      <c r="H5431" s="207">
        <f>'BASIC DATA'!$C$541</f>
        <v>400</v>
      </c>
      <c r="I5431" s="179">
        <f t="shared" si="99"/>
        <v>800</v>
      </c>
      <c r="J5431" s="78"/>
    </row>
    <row r="5432" spans="2:10">
      <c r="B5432" s="105">
        <v>10</v>
      </c>
      <c r="C5432" s="76" t="s">
        <v>2697</v>
      </c>
      <c r="D5432" s="31"/>
      <c r="E5432" s="31"/>
      <c r="F5432" s="210" t="s">
        <v>1172</v>
      </c>
      <c r="G5432" s="190">
        <v>10</v>
      </c>
      <c r="H5432" s="207">
        <f>'BASIC DATA'!$C$552</f>
        <v>350</v>
      </c>
      <c r="I5432" s="179">
        <f t="shared" si="99"/>
        <v>3500</v>
      </c>
      <c r="J5432" s="78"/>
    </row>
    <row r="5433" spans="2:10">
      <c r="B5433" s="184"/>
      <c r="C5433" s="151"/>
      <c r="D5433" s="159"/>
      <c r="E5433" s="159" t="s">
        <v>1174</v>
      </c>
      <c r="F5433" s="159"/>
      <c r="G5433" s="193"/>
      <c r="H5433" s="208" t="s">
        <v>1698</v>
      </c>
      <c r="I5433" s="282">
        <f>SUM(I5423:I5432)</f>
        <v>39312.199999999997</v>
      </c>
      <c r="J5433" s="78"/>
    </row>
    <row r="5434" spans="2:10">
      <c r="B5434" s="60" t="s">
        <v>5948</v>
      </c>
      <c r="C5434" s="76"/>
      <c r="D5434" s="31"/>
      <c r="E5434" s="31"/>
      <c r="F5434" s="31"/>
      <c r="G5434" s="85">
        <f>ROUND(I5433/H5392,1)</f>
        <v>98.3</v>
      </c>
      <c r="J5434" s="78"/>
    </row>
    <row r="5435" spans="2:10">
      <c r="B5435" s="60" t="s">
        <v>3163</v>
      </c>
      <c r="C5435" s="76"/>
      <c r="D5435" s="31"/>
      <c r="E5435" s="31"/>
      <c r="F5435" s="922">
        <f>'BASIC DATA'!$C$577</f>
        <v>0.13614999999999999</v>
      </c>
      <c r="G5435" s="85">
        <f>ROUND(G5434*F5435,1)</f>
        <v>13.4</v>
      </c>
      <c r="J5435" s="78"/>
    </row>
    <row r="5436" spans="2:10">
      <c r="B5436" s="60" t="s">
        <v>5949</v>
      </c>
      <c r="C5436" s="76"/>
      <c r="D5436" s="31"/>
      <c r="E5436" s="31"/>
      <c r="F5436" s="31"/>
      <c r="G5436" s="199">
        <f>ROUND(G5435+G5434,1)</f>
        <v>111.7</v>
      </c>
      <c r="J5436" s="78"/>
    </row>
    <row r="5437" spans="2:10">
      <c r="B5437" s="31"/>
      <c r="C5437" s="76"/>
      <c r="D5437" s="31"/>
      <c r="E5437" s="31"/>
      <c r="F5437" s="200"/>
      <c r="G5437" s="200"/>
      <c r="I5437" s="75"/>
      <c r="J5437" s="78"/>
    </row>
    <row r="5438" spans="2:10">
      <c r="B5438" s="170" t="s">
        <v>1175</v>
      </c>
      <c r="J5438" s="78"/>
    </row>
    <row r="5439" spans="2:10">
      <c r="B5439" s="26" t="s">
        <v>1176</v>
      </c>
      <c r="H5439" s="171" t="s">
        <v>1698</v>
      </c>
      <c r="I5439" s="68">
        <f>I5403</f>
        <v>30607.602000000003</v>
      </c>
      <c r="J5439" s="78"/>
    </row>
    <row r="5440" spans="2:10">
      <c r="B5440" s="26" t="s">
        <v>1186</v>
      </c>
      <c r="H5440" s="171" t="s">
        <v>1698</v>
      </c>
      <c r="I5440" s="68">
        <f>I5418</f>
        <v>84087.800000000017</v>
      </c>
      <c r="J5440" s="78"/>
    </row>
    <row r="5441" spans="1:10">
      <c r="B5441" s="26" t="s">
        <v>2660</v>
      </c>
      <c r="H5441" s="171" t="s">
        <v>1698</v>
      </c>
      <c r="I5441" s="68">
        <f>I5433</f>
        <v>39312.199999999997</v>
      </c>
      <c r="J5441" s="78"/>
    </row>
    <row r="5442" spans="1:10">
      <c r="G5442" s="171" t="s">
        <v>1518</v>
      </c>
      <c r="H5442" s="171" t="s">
        <v>1698</v>
      </c>
      <c r="I5442" s="205">
        <f>SUM(I5439:I5441)</f>
        <v>154007.60200000001</v>
      </c>
      <c r="J5442" s="78"/>
    </row>
    <row r="5443" spans="1:10" ht="18.75">
      <c r="B5443" s="1207" t="s">
        <v>8375</v>
      </c>
      <c r="C5443" s="1207"/>
      <c r="D5443" s="1207"/>
      <c r="E5443" s="1207"/>
      <c r="F5443" s="1207"/>
      <c r="G5443" s="922">
        <f>'BASIC DATA'!$C$577</f>
        <v>0.13614999999999999</v>
      </c>
      <c r="H5443" s="171" t="s">
        <v>4108</v>
      </c>
      <c r="I5443" s="76">
        <f>ROUND(I5442*G5443,2)</f>
        <v>20968.14</v>
      </c>
      <c r="J5443" s="78"/>
    </row>
    <row r="5444" spans="1:10">
      <c r="B5444" s="1206" t="s">
        <v>1191</v>
      </c>
      <c r="C5444" s="1206"/>
      <c r="D5444" s="1206"/>
      <c r="E5444" s="1206"/>
      <c r="F5444" s="202">
        <f>H5392</f>
        <v>400</v>
      </c>
      <c r="G5444" s="202" t="str">
        <f>I5392</f>
        <v>cum</v>
      </c>
      <c r="H5444" s="171" t="s">
        <v>1698</v>
      </c>
      <c r="I5444" s="199">
        <f>I5443+I5442</f>
        <v>174975.74200000003</v>
      </c>
      <c r="J5444" s="78"/>
    </row>
    <row r="5445" spans="1:10">
      <c r="B5445" s="1161" t="s">
        <v>3884</v>
      </c>
      <c r="C5445" s="1161"/>
      <c r="D5445" s="246" t="str">
        <f>G5444</f>
        <v>cum</v>
      </c>
      <c r="F5445" s="26" t="s">
        <v>1399</v>
      </c>
      <c r="H5445" s="171" t="s">
        <v>1698</v>
      </c>
      <c r="I5445" s="204">
        <f>ROUND(I5444/F5444,1)</f>
        <v>437.4</v>
      </c>
      <c r="J5445" s="78"/>
    </row>
    <row r="5446" spans="1:10">
      <c r="J5446" s="78"/>
    </row>
    <row r="5447" spans="1:10">
      <c r="J5447" s="78"/>
    </row>
    <row r="5448" spans="1:10">
      <c r="J5448" s="78"/>
    </row>
    <row r="5449" spans="1:10" ht="18.75">
      <c r="A5449" s="822" t="s">
        <v>7370</v>
      </c>
      <c r="B5449" s="26" t="s">
        <v>8543</v>
      </c>
      <c r="J5449" s="78"/>
    </row>
    <row r="5450" spans="1:10">
      <c r="B5450" s="26" t="s">
        <v>7978</v>
      </c>
      <c r="J5450" s="78"/>
    </row>
    <row r="5451" spans="1:10" ht="18.75">
      <c r="B5451" s="26" t="s">
        <v>8544</v>
      </c>
      <c r="J5451" s="78"/>
    </row>
    <row r="5452" spans="1:10">
      <c r="B5452" s="170" t="s">
        <v>5203</v>
      </c>
      <c r="J5452" s="78"/>
    </row>
    <row r="5453" spans="1:10" hidden="1">
      <c r="A5453" s="822" t="s">
        <v>3984</v>
      </c>
      <c r="B5453" s="26" t="s">
        <v>6003</v>
      </c>
      <c r="G5453" s="171" t="s">
        <v>1697</v>
      </c>
      <c r="H5453" s="68">
        <v>1.5</v>
      </c>
      <c r="I5453" s="26" t="s">
        <v>2602</v>
      </c>
      <c r="J5453" s="78"/>
    </row>
    <row r="5454" spans="1:10" hidden="1">
      <c r="B5454" s="26" t="s">
        <v>5567</v>
      </c>
      <c r="G5454" s="171" t="s">
        <v>1697</v>
      </c>
      <c r="H5454" s="26" t="s">
        <v>3362</v>
      </c>
      <c r="J5454" s="78"/>
    </row>
    <row r="5455" spans="1:10" hidden="1">
      <c r="B5455" s="26" t="s">
        <v>3363</v>
      </c>
      <c r="G5455" s="171" t="s">
        <v>1697</v>
      </c>
      <c r="H5455" s="26" t="s">
        <v>2906</v>
      </c>
      <c r="J5455" s="78"/>
    </row>
    <row r="5456" spans="1:10" hidden="1">
      <c r="B5456" s="26" t="s">
        <v>3365</v>
      </c>
      <c r="G5456" s="171" t="s">
        <v>1697</v>
      </c>
      <c r="H5456" s="68">
        <v>3</v>
      </c>
      <c r="I5456" s="26" t="s">
        <v>2602</v>
      </c>
      <c r="J5456" s="78"/>
    </row>
    <row r="5457" spans="2:10" hidden="1">
      <c r="B5457" s="26" t="s">
        <v>2907</v>
      </c>
      <c r="G5457" s="171" t="s">
        <v>1697</v>
      </c>
      <c r="H5457" s="68">
        <v>18</v>
      </c>
      <c r="I5457" s="26" t="s">
        <v>1409</v>
      </c>
      <c r="J5457" s="78"/>
    </row>
    <row r="5458" spans="2:10" hidden="1">
      <c r="B5458" s="26" t="s">
        <v>3201</v>
      </c>
      <c r="G5458" s="171"/>
      <c r="J5458" s="78"/>
    </row>
    <row r="5459" spans="2:10" hidden="1">
      <c r="B5459" s="26" t="s">
        <v>593</v>
      </c>
      <c r="G5459" s="171"/>
      <c r="J5459" s="78"/>
    </row>
    <row r="5460" spans="2:10" hidden="1">
      <c r="B5460" s="26" t="s">
        <v>1859</v>
      </c>
      <c r="G5460" s="171" t="s">
        <v>1697</v>
      </c>
      <c r="H5460" s="68">
        <v>97</v>
      </c>
      <c r="I5460" s="26" t="s">
        <v>3483</v>
      </c>
      <c r="J5460" s="78"/>
    </row>
    <row r="5461" spans="2:10" hidden="1">
      <c r="B5461" s="26" t="s">
        <v>4058</v>
      </c>
      <c r="G5461" s="171" t="s">
        <v>1697</v>
      </c>
      <c r="H5461" s="68">
        <v>30</v>
      </c>
      <c r="I5461" s="26" t="s">
        <v>6670</v>
      </c>
      <c r="J5461" s="78"/>
    </row>
    <row r="5462" spans="2:10" hidden="1">
      <c r="B5462" s="26" t="s">
        <v>4059</v>
      </c>
      <c r="G5462" s="171" t="s">
        <v>1697</v>
      </c>
      <c r="H5462" s="68">
        <v>40</v>
      </c>
      <c r="I5462" s="26" t="s">
        <v>2059</v>
      </c>
      <c r="J5462" s="78"/>
    </row>
    <row r="5463" spans="2:10" hidden="1">
      <c r="B5463" s="26" t="s">
        <v>4060</v>
      </c>
      <c r="G5463" s="171" t="s">
        <v>1697</v>
      </c>
      <c r="H5463" s="68">
        <v>2</v>
      </c>
      <c r="I5463" s="26" t="s">
        <v>4041</v>
      </c>
      <c r="J5463" s="78"/>
    </row>
    <row r="5464" spans="2:10" hidden="1">
      <c r="B5464" s="26" t="s">
        <v>2755</v>
      </c>
      <c r="G5464" s="171" t="s">
        <v>1697</v>
      </c>
      <c r="H5464" s="68">
        <v>50</v>
      </c>
      <c r="I5464" s="26" t="s">
        <v>3483</v>
      </c>
      <c r="J5464" s="78"/>
    </row>
    <row r="5465" spans="2:10" hidden="1">
      <c r="B5465" s="26" t="s">
        <v>596</v>
      </c>
      <c r="G5465" s="171"/>
      <c r="J5465" s="78"/>
    </row>
    <row r="5466" spans="2:10" hidden="1">
      <c r="B5466" s="26" t="s">
        <v>2756</v>
      </c>
      <c r="G5466" s="171" t="s">
        <v>1697</v>
      </c>
      <c r="H5466" s="68">
        <v>7.5</v>
      </c>
      <c r="I5466" s="26" t="s">
        <v>4665</v>
      </c>
      <c r="J5466" s="78"/>
    </row>
    <row r="5467" spans="2:10" hidden="1">
      <c r="B5467" s="26" t="s">
        <v>4280</v>
      </c>
      <c r="G5467" s="171" t="s">
        <v>1697</v>
      </c>
      <c r="H5467" s="68">
        <v>15</v>
      </c>
      <c r="I5467" s="26" t="s">
        <v>4665</v>
      </c>
      <c r="J5467" s="78"/>
    </row>
    <row r="5468" spans="2:10" hidden="1">
      <c r="B5468" s="26" t="s">
        <v>351</v>
      </c>
      <c r="G5468" s="171" t="s">
        <v>1697</v>
      </c>
      <c r="H5468" s="68">
        <v>2</v>
      </c>
      <c r="I5468" s="26" t="s">
        <v>4665</v>
      </c>
      <c r="J5468" s="78"/>
    </row>
    <row r="5469" spans="2:10" hidden="1">
      <c r="B5469" s="26" t="s">
        <v>804</v>
      </c>
      <c r="G5469" s="171" t="s">
        <v>1697</v>
      </c>
      <c r="H5469" s="68">
        <v>6</v>
      </c>
      <c r="I5469" s="26" t="s">
        <v>4665</v>
      </c>
      <c r="J5469" s="78"/>
    </row>
    <row r="5470" spans="2:10" hidden="1">
      <c r="B5470" s="26" t="s">
        <v>805</v>
      </c>
      <c r="G5470" s="171" t="s">
        <v>1697</v>
      </c>
      <c r="H5470" s="68">
        <v>69</v>
      </c>
      <c r="I5470" s="26" t="s">
        <v>3479</v>
      </c>
      <c r="J5470" s="78"/>
    </row>
    <row r="5471" spans="2:10" hidden="1">
      <c r="B5471" s="26" t="s">
        <v>5815</v>
      </c>
      <c r="G5471" s="171"/>
      <c r="J5471" s="78"/>
    </row>
    <row r="5472" spans="2:10" hidden="1">
      <c r="B5472" s="26" t="s">
        <v>1627</v>
      </c>
      <c r="J5472" s="78"/>
    </row>
    <row r="5473" spans="1:10" hidden="1">
      <c r="B5473" s="26" t="s">
        <v>6684</v>
      </c>
      <c r="J5473" s="78"/>
    </row>
    <row r="5474" spans="1:10" hidden="1">
      <c r="B5474" s="26" t="s">
        <v>6685</v>
      </c>
      <c r="J5474" s="78"/>
    </row>
    <row r="5475" spans="1:10" hidden="1">
      <c r="B5475" s="26" t="s">
        <v>5327</v>
      </c>
      <c r="G5475" s="171" t="s">
        <v>1697</v>
      </c>
      <c r="H5475" s="68">
        <v>10</v>
      </c>
      <c r="I5475" s="26" t="s">
        <v>4041</v>
      </c>
      <c r="J5475" s="78"/>
    </row>
    <row r="5476" spans="1:10" hidden="1">
      <c r="B5476" s="26" t="s">
        <v>5173</v>
      </c>
      <c r="G5476" s="171" t="s">
        <v>1697</v>
      </c>
      <c r="H5476" s="68">
        <v>2</v>
      </c>
      <c r="I5476" s="26" t="s">
        <v>4041</v>
      </c>
      <c r="J5476" s="78"/>
    </row>
    <row r="5477" spans="1:10" hidden="1">
      <c r="B5477" s="26" t="s">
        <v>1355</v>
      </c>
      <c r="G5477" s="171" t="s">
        <v>1697</v>
      </c>
      <c r="J5477" s="78"/>
    </row>
    <row r="5478" spans="1:10" hidden="1">
      <c r="B5478" s="26" t="s">
        <v>2697</v>
      </c>
      <c r="G5478" s="171" t="s">
        <v>1697</v>
      </c>
      <c r="H5478" s="68">
        <v>7</v>
      </c>
      <c r="I5478" s="26" t="s">
        <v>4041</v>
      </c>
      <c r="J5478" s="78"/>
    </row>
    <row r="5479" spans="1:10" hidden="1">
      <c r="B5479" s="26" t="s">
        <v>1356</v>
      </c>
      <c r="G5479" s="171"/>
      <c r="H5479" s="68">
        <v>7</v>
      </c>
      <c r="I5479" s="26" t="s">
        <v>4041</v>
      </c>
      <c r="J5479" s="78"/>
    </row>
    <row r="5480" spans="1:10" hidden="1">
      <c r="B5480" s="26" t="s">
        <v>4330</v>
      </c>
      <c r="F5480" s="68">
        <f>'BASIC DATA'!$D$308</f>
        <v>6254</v>
      </c>
      <c r="G5480" s="171" t="s">
        <v>1698</v>
      </c>
      <c r="H5480" s="68">
        <f>F5480</f>
        <v>6254</v>
      </c>
      <c r="J5480" s="78"/>
    </row>
    <row r="5481" spans="1:10" hidden="1">
      <c r="B5481" s="26" t="s">
        <v>99</v>
      </c>
      <c r="G5481" s="171" t="s">
        <v>1697</v>
      </c>
      <c r="H5481" s="68">
        <v>150</v>
      </c>
      <c r="I5481" s="26" t="s">
        <v>806</v>
      </c>
      <c r="J5481" s="78"/>
    </row>
    <row r="5482" spans="1:10" hidden="1">
      <c r="B5482" s="26" t="s">
        <v>6834</v>
      </c>
      <c r="G5482" s="171" t="s">
        <v>1698</v>
      </c>
      <c r="H5482" s="68">
        <f>H5480/H5481</f>
        <v>41.693333333333335</v>
      </c>
      <c r="J5482" s="78"/>
    </row>
    <row r="5483" spans="1:10" hidden="1">
      <c r="B5483" s="26" t="s">
        <v>4331</v>
      </c>
      <c r="F5483" s="68">
        <f>'BASIC DATA'!$D$344</f>
        <v>185</v>
      </c>
      <c r="G5483" s="171" t="s">
        <v>1698</v>
      </c>
      <c r="H5483" s="68">
        <f>50*F5483</f>
        <v>9250</v>
      </c>
      <c r="J5483" s="78"/>
    </row>
    <row r="5484" spans="1:10" hidden="1">
      <c r="B5484" s="26" t="s">
        <v>5152</v>
      </c>
      <c r="G5484" s="171" t="s">
        <v>1697</v>
      </c>
      <c r="H5484" s="68">
        <v>800</v>
      </c>
      <c r="I5484" s="26" t="s">
        <v>4665</v>
      </c>
      <c r="J5484" s="78"/>
    </row>
    <row r="5485" spans="1:10" hidden="1">
      <c r="B5485" s="26" t="s">
        <v>6713</v>
      </c>
      <c r="G5485" s="171" t="s">
        <v>1698</v>
      </c>
      <c r="H5485" s="68">
        <f>H5483/H5484</f>
        <v>11.5625</v>
      </c>
      <c r="J5485" s="78"/>
    </row>
    <row r="5486" spans="1:10">
      <c r="J5486" s="78"/>
    </row>
    <row r="5487" spans="1:10">
      <c r="A5487" s="822" t="s">
        <v>3984</v>
      </c>
      <c r="E5487" s="170" t="s">
        <v>2367</v>
      </c>
      <c r="J5487" s="78"/>
    </row>
    <row r="5488" spans="1:10">
      <c r="J5488" s="78"/>
    </row>
    <row r="5489" spans="2:10">
      <c r="B5489" s="170" t="s">
        <v>2368</v>
      </c>
      <c r="G5489" s="26" t="s">
        <v>297</v>
      </c>
      <c r="H5489" s="170">
        <v>100</v>
      </c>
      <c r="I5489" s="26" t="s">
        <v>3477</v>
      </c>
      <c r="J5489" s="78"/>
    </row>
    <row r="5490" spans="2:10">
      <c r="B5490" s="95" t="s">
        <v>2369</v>
      </c>
      <c r="C5490" s="148" t="s">
        <v>4443</v>
      </c>
      <c r="D5490" s="175"/>
      <c r="E5490" s="175"/>
      <c r="F5490" s="95" t="s">
        <v>2370</v>
      </c>
      <c r="G5490" s="95" t="s">
        <v>1166</v>
      </c>
      <c r="H5490" s="95" t="s">
        <v>6664</v>
      </c>
      <c r="I5490" s="95" t="s">
        <v>6665</v>
      </c>
      <c r="J5490" s="78"/>
    </row>
    <row r="5491" spans="2:10">
      <c r="B5491" s="191"/>
      <c r="C5491" s="89"/>
      <c r="D5491" s="174"/>
      <c r="E5491" s="174"/>
      <c r="F5491" s="191"/>
      <c r="G5491" s="114"/>
      <c r="H5491" s="114" t="s">
        <v>3856</v>
      </c>
      <c r="I5491" s="114" t="s">
        <v>3857</v>
      </c>
      <c r="J5491" s="78"/>
    </row>
    <row r="5492" spans="2:10">
      <c r="B5492" s="95">
        <v>1</v>
      </c>
      <c r="C5492" s="148" t="s">
        <v>4392</v>
      </c>
      <c r="D5492" s="187"/>
      <c r="E5492" s="187"/>
      <c r="F5492" s="107" t="s">
        <v>3483</v>
      </c>
      <c r="G5492" s="179">
        <v>97</v>
      </c>
      <c r="H5492" s="212">
        <f>H5482</f>
        <v>41.693333333333335</v>
      </c>
      <c r="I5492" s="179">
        <f>H5492*G5492</f>
        <v>4044.2533333333336</v>
      </c>
      <c r="J5492" s="78"/>
    </row>
    <row r="5493" spans="2:10">
      <c r="B5493" s="105"/>
      <c r="C5493" s="76" t="s">
        <v>4332</v>
      </c>
      <c r="D5493" s="31"/>
      <c r="E5493" s="31"/>
      <c r="F5493" s="213">
        <v>0.1</v>
      </c>
      <c r="G5493" s="190"/>
      <c r="H5493" s="214"/>
      <c r="I5493" s="190">
        <f>F5493*I5492</f>
        <v>404.42533333333336</v>
      </c>
      <c r="J5493" s="78"/>
    </row>
    <row r="5494" spans="2:10">
      <c r="B5494" s="105">
        <v>2</v>
      </c>
      <c r="C5494" s="76" t="s">
        <v>1404</v>
      </c>
      <c r="D5494" s="31"/>
      <c r="E5494" s="31"/>
      <c r="F5494" s="210" t="s">
        <v>2374</v>
      </c>
      <c r="G5494" s="190">
        <v>15</v>
      </c>
      <c r="H5494" s="214">
        <f>H5485</f>
        <v>11.5625</v>
      </c>
      <c r="I5494" s="179">
        <f t="shared" ref="I5494:I5499" si="100">H5494*G5494</f>
        <v>173.4375</v>
      </c>
      <c r="J5494" s="78"/>
    </row>
    <row r="5495" spans="2:10">
      <c r="B5495" s="105">
        <v>3</v>
      </c>
      <c r="C5495" s="76" t="s">
        <v>6718</v>
      </c>
      <c r="D5495" s="31"/>
      <c r="E5495" s="31"/>
      <c r="F5495" s="210" t="s">
        <v>3478</v>
      </c>
      <c r="G5495" s="190">
        <v>30</v>
      </c>
      <c r="H5495" s="214">
        <f>'BASIC DATA'!$D$54</f>
        <v>70</v>
      </c>
      <c r="I5495" s="179">
        <f t="shared" si="100"/>
        <v>2100</v>
      </c>
      <c r="J5495" s="78"/>
    </row>
    <row r="5496" spans="2:10">
      <c r="B5496" s="105">
        <v>4</v>
      </c>
      <c r="C5496" s="76" t="s">
        <v>4211</v>
      </c>
      <c r="D5496" s="31"/>
      <c r="E5496" s="31"/>
      <c r="F5496" s="210" t="s">
        <v>2059</v>
      </c>
      <c r="G5496" s="190">
        <v>40</v>
      </c>
      <c r="H5496" s="214">
        <f>'BASIC DATA'!$D$49</f>
        <v>11</v>
      </c>
      <c r="I5496" s="179">
        <f t="shared" si="100"/>
        <v>440</v>
      </c>
      <c r="J5496" s="78"/>
    </row>
    <row r="5497" spans="2:10">
      <c r="B5497" s="105">
        <v>5</v>
      </c>
      <c r="C5497" s="76" t="s">
        <v>5707</v>
      </c>
      <c r="D5497" s="31"/>
      <c r="E5497" s="31"/>
      <c r="F5497" s="210" t="s">
        <v>2059</v>
      </c>
      <c r="G5497" s="190">
        <v>2</v>
      </c>
      <c r="H5497" s="220">
        <f>'BASIC DATA'!$D$50</f>
        <v>7</v>
      </c>
      <c r="I5497" s="179">
        <f t="shared" si="100"/>
        <v>14</v>
      </c>
      <c r="J5497" s="78"/>
    </row>
    <row r="5498" spans="2:10">
      <c r="B5498" s="105">
        <v>6</v>
      </c>
      <c r="C5498" s="76" t="s">
        <v>6094</v>
      </c>
      <c r="D5498" s="31"/>
      <c r="E5498" s="31"/>
      <c r="F5498" s="210" t="s">
        <v>3483</v>
      </c>
      <c r="G5498" s="190">
        <v>50</v>
      </c>
      <c r="H5498" s="214">
        <f>'BASIC DATA'!$D$46</f>
        <v>9</v>
      </c>
      <c r="I5498" s="179">
        <f t="shared" si="100"/>
        <v>450</v>
      </c>
      <c r="J5498" s="78"/>
    </row>
    <row r="5499" spans="2:10">
      <c r="B5499" s="114">
        <v>7</v>
      </c>
      <c r="C5499" s="89" t="s">
        <v>2373</v>
      </c>
      <c r="D5499" s="174"/>
      <c r="E5499" s="174"/>
      <c r="F5499" s="191" t="s">
        <v>2173</v>
      </c>
      <c r="G5499" s="182">
        <v>2</v>
      </c>
      <c r="H5499" s="257">
        <f>'BASIC DATA'!$D$359</f>
        <v>30</v>
      </c>
      <c r="I5499" s="179">
        <f t="shared" si="100"/>
        <v>60</v>
      </c>
      <c r="J5499" s="78"/>
    </row>
    <row r="5500" spans="2:10">
      <c r="B5500" s="184"/>
      <c r="C5500" s="151"/>
      <c r="D5500" s="159"/>
      <c r="E5500" s="159" t="s">
        <v>2376</v>
      </c>
      <c r="F5500" s="159"/>
      <c r="G5500" s="159"/>
      <c r="H5500" s="208" t="s">
        <v>1698</v>
      </c>
      <c r="I5500" s="282">
        <f>SUM(I5492:I5499)</f>
        <v>7686.1161666666667</v>
      </c>
      <c r="J5500" s="78"/>
    </row>
    <row r="5501" spans="2:10">
      <c r="B5501" s="31"/>
      <c r="C5501" s="76"/>
      <c r="D5501" s="31"/>
      <c r="E5501" s="31"/>
      <c r="F5501" s="31"/>
      <c r="G5501" s="31"/>
      <c r="H5501" s="200"/>
      <c r="I5501" s="75"/>
      <c r="J5501" s="78"/>
    </row>
    <row r="5502" spans="2:10">
      <c r="B5502" s="170" t="s">
        <v>2377</v>
      </c>
      <c r="J5502" s="78"/>
    </row>
    <row r="5503" spans="2:10">
      <c r="B5503" s="95" t="s">
        <v>2369</v>
      </c>
      <c r="C5503" s="148" t="s">
        <v>2378</v>
      </c>
      <c r="D5503" s="175"/>
      <c r="E5503" s="175"/>
      <c r="F5503" s="95" t="s">
        <v>2370</v>
      </c>
      <c r="G5503" s="95" t="s">
        <v>1166</v>
      </c>
      <c r="H5503" s="95" t="s">
        <v>6664</v>
      </c>
      <c r="I5503" s="95" t="s">
        <v>6665</v>
      </c>
      <c r="J5503" s="78"/>
    </row>
    <row r="5504" spans="2:10">
      <c r="B5504" s="191"/>
      <c r="C5504" s="89"/>
      <c r="D5504" s="174"/>
      <c r="E5504" s="174"/>
      <c r="F5504" s="191"/>
      <c r="G5504" s="114"/>
      <c r="H5504" s="114" t="s">
        <v>3856</v>
      </c>
      <c r="I5504" s="114" t="s">
        <v>3857</v>
      </c>
      <c r="J5504" s="78"/>
    </row>
    <row r="5505" spans="2:10">
      <c r="B5505" s="95">
        <v>1</v>
      </c>
      <c r="C5505" s="148" t="s">
        <v>2062</v>
      </c>
      <c r="D5505" s="187"/>
      <c r="E5505" s="187"/>
      <c r="F5505" s="107" t="s">
        <v>2374</v>
      </c>
      <c r="G5505" s="179">
        <v>7.5</v>
      </c>
      <c r="H5505" s="179">
        <f>'HIRE CHARGES'!$D$496</f>
        <v>275.60000000000002</v>
      </c>
      <c r="I5505" s="179">
        <f t="shared" ref="I5505:I5512" si="101">H5505*G5505</f>
        <v>2067</v>
      </c>
      <c r="J5505" s="78"/>
    </row>
    <row r="5506" spans="2:10">
      <c r="B5506" s="105"/>
      <c r="C5506" s="76" t="s">
        <v>2379</v>
      </c>
      <c r="D5506" s="31"/>
      <c r="E5506" s="31"/>
      <c r="F5506" s="210" t="s">
        <v>2374</v>
      </c>
      <c r="G5506" s="190">
        <v>7.5</v>
      </c>
      <c r="H5506" s="190">
        <f>'HIRE CHARGES'!$E$496</f>
        <v>892.5</v>
      </c>
      <c r="I5506" s="179">
        <f t="shared" si="101"/>
        <v>6693.75</v>
      </c>
      <c r="J5506" s="78"/>
    </row>
    <row r="5507" spans="2:10">
      <c r="B5507" s="105">
        <v>2</v>
      </c>
      <c r="C5507" s="76" t="s">
        <v>6243</v>
      </c>
      <c r="D5507" s="31"/>
      <c r="E5507" s="31"/>
      <c r="F5507" s="210" t="s">
        <v>2374</v>
      </c>
      <c r="G5507" s="190">
        <v>15</v>
      </c>
      <c r="H5507" s="207">
        <f>'HIRE CHARGES'!$D$530</f>
        <v>19.8</v>
      </c>
      <c r="I5507" s="179">
        <f t="shared" si="101"/>
        <v>297</v>
      </c>
      <c r="J5507" s="78"/>
    </row>
    <row r="5508" spans="2:10">
      <c r="B5508" s="210"/>
      <c r="C5508" s="76" t="s">
        <v>2379</v>
      </c>
      <c r="D5508" s="31"/>
      <c r="E5508" s="31"/>
      <c r="F5508" s="210" t="s">
        <v>2374</v>
      </c>
      <c r="G5508" s="190">
        <v>15</v>
      </c>
      <c r="H5508" s="181">
        <f>'HIRE CHARGES'!$E$530</f>
        <v>0</v>
      </c>
      <c r="I5508" s="179">
        <f t="shared" si="101"/>
        <v>0</v>
      </c>
      <c r="J5508" s="78"/>
    </row>
    <row r="5509" spans="2:10">
      <c r="B5509" s="105">
        <v>3</v>
      </c>
      <c r="C5509" s="76" t="s">
        <v>4170</v>
      </c>
      <c r="D5509" s="31"/>
      <c r="E5509" s="31"/>
      <c r="F5509" s="210" t="s">
        <v>2374</v>
      </c>
      <c r="G5509" s="190">
        <v>2</v>
      </c>
      <c r="H5509" s="190">
        <f>'HIRE CHARGES'!$D$543</f>
        <v>1706.6</v>
      </c>
      <c r="I5509" s="179">
        <f t="shared" si="101"/>
        <v>3413.2</v>
      </c>
      <c r="J5509" s="78"/>
    </row>
    <row r="5510" spans="2:10">
      <c r="B5510" s="105"/>
      <c r="C5510" s="76" t="s">
        <v>2379</v>
      </c>
      <c r="D5510" s="31"/>
      <c r="E5510" s="31"/>
      <c r="F5510" s="210" t="s">
        <v>2374</v>
      </c>
      <c r="G5510" s="190">
        <v>2</v>
      </c>
      <c r="H5510" s="190">
        <f>'HIRE CHARGES'!$E$543</f>
        <v>872.7</v>
      </c>
      <c r="I5510" s="179">
        <f t="shared" si="101"/>
        <v>1745.4</v>
      </c>
      <c r="J5510" s="78"/>
    </row>
    <row r="5511" spans="2:10">
      <c r="B5511" s="105">
        <v>4</v>
      </c>
      <c r="C5511" s="76" t="s">
        <v>6282</v>
      </c>
      <c r="D5511" s="31"/>
      <c r="E5511" s="31"/>
      <c r="F5511" s="210" t="s">
        <v>2374</v>
      </c>
      <c r="G5511" s="190">
        <v>6</v>
      </c>
      <c r="H5511" s="190">
        <f>'HIRE CHARGES'!$D$545</f>
        <v>446.7</v>
      </c>
      <c r="I5511" s="179">
        <f t="shared" si="101"/>
        <v>2680.2</v>
      </c>
      <c r="J5511" s="78"/>
    </row>
    <row r="5512" spans="2:10">
      <c r="B5512" s="191"/>
      <c r="C5512" s="89" t="s">
        <v>2379</v>
      </c>
      <c r="D5512" s="174"/>
      <c r="E5512" s="174"/>
      <c r="F5512" s="191" t="s">
        <v>2374</v>
      </c>
      <c r="G5512" s="182">
        <v>6</v>
      </c>
      <c r="H5512" s="182">
        <f>'HIRE CHARGES'!$E$545</f>
        <v>299.89999999999998</v>
      </c>
      <c r="I5512" s="179">
        <f t="shared" si="101"/>
        <v>1799.3999999999999</v>
      </c>
      <c r="J5512" s="78"/>
    </row>
    <row r="5513" spans="2:10">
      <c r="B5513" s="184"/>
      <c r="C5513" s="151"/>
      <c r="D5513" s="159"/>
      <c r="E5513" s="159" t="s">
        <v>2380</v>
      </c>
      <c r="F5513" s="159"/>
      <c r="G5513" s="159"/>
      <c r="H5513" s="208" t="s">
        <v>1698</v>
      </c>
      <c r="I5513" s="282">
        <f>SUM(I5505:I5512)</f>
        <v>18695.95</v>
      </c>
      <c r="J5513" s="78"/>
    </row>
    <row r="5514" spans="2:10">
      <c r="B5514" s="31"/>
      <c r="C5514" s="76"/>
      <c r="D5514" s="31"/>
      <c r="E5514" s="31"/>
      <c r="F5514" s="31"/>
      <c r="G5514" s="31"/>
      <c r="H5514" s="200"/>
      <c r="I5514" s="75"/>
      <c r="J5514" s="78"/>
    </row>
    <row r="5515" spans="2:10">
      <c r="B5515" s="170" t="s">
        <v>2381</v>
      </c>
      <c r="J5515" s="78"/>
    </row>
    <row r="5516" spans="2:10">
      <c r="B5516" s="95" t="s">
        <v>2369</v>
      </c>
      <c r="C5516" s="148" t="s">
        <v>2378</v>
      </c>
      <c r="D5516" s="175"/>
      <c r="E5516" s="175"/>
      <c r="F5516" s="95" t="s">
        <v>2370</v>
      </c>
      <c r="G5516" s="95" t="s">
        <v>1166</v>
      </c>
      <c r="H5516" s="95" t="s">
        <v>6664</v>
      </c>
      <c r="I5516" s="95" t="s">
        <v>6665</v>
      </c>
      <c r="J5516" s="78"/>
    </row>
    <row r="5517" spans="2:10">
      <c r="B5517" s="191"/>
      <c r="C5517" s="89"/>
      <c r="D5517" s="174"/>
      <c r="E5517" s="174"/>
      <c r="F5517" s="191"/>
      <c r="G5517" s="114"/>
      <c r="H5517" s="114" t="s">
        <v>3856</v>
      </c>
      <c r="I5517" s="114" t="s">
        <v>3857</v>
      </c>
      <c r="J5517" s="78"/>
    </row>
    <row r="5518" spans="2:10">
      <c r="B5518" s="95">
        <v>1</v>
      </c>
      <c r="C5518" s="148" t="s">
        <v>4606</v>
      </c>
      <c r="D5518" s="187"/>
      <c r="E5518" s="187"/>
      <c r="F5518" s="107" t="s">
        <v>2374</v>
      </c>
      <c r="G5518" s="179">
        <v>7.5</v>
      </c>
      <c r="H5518" s="179">
        <f>'HIRE CHARGES'!$F$496</f>
        <v>210.9</v>
      </c>
      <c r="I5518" s="179">
        <f t="shared" ref="I5518:I5526" si="102">H5518*G5518</f>
        <v>1581.75</v>
      </c>
      <c r="J5518" s="78"/>
    </row>
    <row r="5519" spans="2:10">
      <c r="B5519" s="105">
        <v>2</v>
      </c>
      <c r="C5519" s="76" t="s">
        <v>4607</v>
      </c>
      <c r="D5519" s="31"/>
      <c r="E5519" s="31"/>
      <c r="F5519" s="210" t="s">
        <v>2374</v>
      </c>
      <c r="G5519" s="190">
        <v>15</v>
      </c>
      <c r="H5519" s="207">
        <f>'HIRE CHARGES'!$F$530</f>
        <v>329.6</v>
      </c>
      <c r="I5519" s="179">
        <f t="shared" si="102"/>
        <v>4944</v>
      </c>
      <c r="J5519" s="78"/>
    </row>
    <row r="5520" spans="2:10">
      <c r="B5520" s="105">
        <v>3</v>
      </c>
      <c r="C5520" s="76" t="s">
        <v>300</v>
      </c>
      <c r="D5520" s="31"/>
      <c r="E5520" s="31"/>
      <c r="F5520" s="210" t="s">
        <v>2374</v>
      </c>
      <c r="G5520" s="190">
        <v>2</v>
      </c>
      <c r="H5520" s="179">
        <f>'HIRE CHARGES'!$F$543</f>
        <v>236.6</v>
      </c>
      <c r="I5520" s="179">
        <f t="shared" si="102"/>
        <v>473.2</v>
      </c>
      <c r="J5520" s="78"/>
    </row>
    <row r="5521" spans="2:10">
      <c r="B5521" s="105">
        <v>4</v>
      </c>
      <c r="C5521" s="76" t="s">
        <v>301</v>
      </c>
      <c r="D5521" s="31"/>
      <c r="E5521" s="31"/>
      <c r="F5521" s="210" t="s">
        <v>2374</v>
      </c>
      <c r="G5521" s="190">
        <v>6</v>
      </c>
      <c r="H5521" s="190">
        <f>'HIRE CHARGES'!$F$545</f>
        <v>177.5</v>
      </c>
      <c r="I5521" s="179">
        <f t="shared" si="102"/>
        <v>1065</v>
      </c>
      <c r="J5521" s="78"/>
    </row>
    <row r="5522" spans="2:10">
      <c r="B5522" s="105">
        <v>5</v>
      </c>
      <c r="C5522" s="76" t="s">
        <v>4608</v>
      </c>
      <c r="D5522" s="31"/>
      <c r="E5522" s="31"/>
      <c r="F5522" s="210" t="s">
        <v>1172</v>
      </c>
      <c r="G5522" s="190">
        <v>0.5</v>
      </c>
      <c r="H5522" s="207">
        <f>'BASIC DATA'!$C$466</f>
        <v>510</v>
      </c>
      <c r="I5522" s="179">
        <f t="shared" si="102"/>
        <v>255</v>
      </c>
      <c r="J5522" s="78"/>
    </row>
    <row r="5523" spans="2:10">
      <c r="B5523" s="105">
        <v>6</v>
      </c>
      <c r="C5523" s="76" t="s">
        <v>4609</v>
      </c>
      <c r="D5523" s="31"/>
      <c r="E5523" s="31"/>
      <c r="F5523" s="210" t="s">
        <v>1172</v>
      </c>
      <c r="G5523" s="190">
        <v>1</v>
      </c>
      <c r="H5523" s="207">
        <f>'BASIC DATA'!$C$520</f>
        <v>400</v>
      </c>
      <c r="I5523" s="179">
        <f t="shared" si="102"/>
        <v>400</v>
      </c>
      <c r="J5523" s="78"/>
    </row>
    <row r="5524" spans="2:10">
      <c r="B5524" s="105">
        <v>7</v>
      </c>
      <c r="C5524" s="76" t="s">
        <v>4206</v>
      </c>
      <c r="D5524" s="31"/>
      <c r="E5524" s="31"/>
      <c r="F5524" s="210" t="s">
        <v>1172</v>
      </c>
      <c r="G5524" s="190">
        <v>1</v>
      </c>
      <c r="H5524" s="190">
        <f>'BASIC DATA'!$C$473</f>
        <v>450</v>
      </c>
      <c r="I5524" s="179">
        <f t="shared" si="102"/>
        <v>450</v>
      </c>
      <c r="J5524" s="78"/>
    </row>
    <row r="5525" spans="2:10">
      <c r="B5525" s="105">
        <v>8</v>
      </c>
      <c r="C5525" s="76" t="s">
        <v>1356</v>
      </c>
      <c r="D5525" s="31"/>
      <c r="E5525" s="31"/>
      <c r="F5525" s="210" t="s">
        <v>1172</v>
      </c>
      <c r="G5525" s="190">
        <v>7</v>
      </c>
      <c r="H5525" s="207">
        <f>'BASIC DATA'!$C$541</f>
        <v>400</v>
      </c>
      <c r="I5525" s="179">
        <f t="shared" si="102"/>
        <v>2800</v>
      </c>
      <c r="J5525" s="78"/>
    </row>
    <row r="5526" spans="2:10">
      <c r="B5526" s="105">
        <v>9</v>
      </c>
      <c r="C5526" s="76" t="s">
        <v>2697</v>
      </c>
      <c r="D5526" s="31"/>
      <c r="E5526" s="31"/>
      <c r="F5526" s="210" t="s">
        <v>1172</v>
      </c>
      <c r="G5526" s="190">
        <v>19</v>
      </c>
      <c r="H5526" s="207">
        <f>'BASIC DATA'!$C$552</f>
        <v>350</v>
      </c>
      <c r="I5526" s="179">
        <f t="shared" si="102"/>
        <v>6650</v>
      </c>
      <c r="J5526" s="78"/>
    </row>
    <row r="5527" spans="2:10">
      <c r="B5527" s="184"/>
      <c r="C5527" s="151"/>
      <c r="D5527" s="159"/>
      <c r="E5527" s="159" t="s">
        <v>1174</v>
      </c>
      <c r="F5527" s="159"/>
      <c r="G5527" s="205"/>
      <c r="H5527" s="216" t="s">
        <v>1698</v>
      </c>
      <c r="I5527" s="282">
        <f>SUM(I5518:I5526)</f>
        <v>18618.95</v>
      </c>
      <c r="J5527" s="78"/>
    </row>
    <row r="5528" spans="2:10">
      <c r="B5528" s="60" t="s">
        <v>5948</v>
      </c>
      <c r="C5528" s="76"/>
      <c r="D5528" s="31"/>
      <c r="E5528" s="31"/>
      <c r="F5528" s="31"/>
      <c r="G5528" s="85">
        <f>ROUND(I5527/H5489,1)</f>
        <v>186.2</v>
      </c>
      <c r="J5528" s="78"/>
    </row>
    <row r="5529" spans="2:10">
      <c r="B5529" s="60" t="s">
        <v>3163</v>
      </c>
      <c r="C5529" s="76"/>
      <c r="D5529" s="31"/>
      <c r="E5529" s="31"/>
      <c r="F5529" s="922">
        <f>'BASIC DATA'!$C$577</f>
        <v>0.13614999999999999</v>
      </c>
      <c r="G5529" s="85">
        <f>ROUND(G5528*F5529,1)</f>
        <v>25.4</v>
      </c>
      <c r="J5529" s="78"/>
    </row>
    <row r="5530" spans="2:10">
      <c r="B5530" s="60" t="s">
        <v>5949</v>
      </c>
      <c r="C5530" s="76"/>
      <c r="D5530" s="31"/>
      <c r="E5530" s="31"/>
      <c r="F5530" s="31"/>
      <c r="G5530" s="199">
        <f>ROUND(G5529+G5528,1)</f>
        <v>211.6</v>
      </c>
      <c r="J5530" s="78"/>
    </row>
    <row r="5531" spans="2:10">
      <c r="B5531" s="31"/>
      <c r="C5531" s="76"/>
      <c r="D5531" s="31"/>
      <c r="E5531" s="31"/>
      <c r="F5531" s="75"/>
      <c r="G5531" s="294"/>
      <c r="I5531" s="75"/>
      <c r="J5531" s="78"/>
    </row>
    <row r="5532" spans="2:10">
      <c r="B5532" s="170" t="s">
        <v>1175</v>
      </c>
      <c r="J5532" s="78"/>
    </row>
    <row r="5533" spans="2:10">
      <c r="B5533" s="26" t="s">
        <v>1176</v>
      </c>
      <c r="H5533" s="171" t="s">
        <v>1698</v>
      </c>
      <c r="I5533" s="68">
        <f>I5500</f>
        <v>7686.1161666666667</v>
      </c>
      <c r="J5533" s="78"/>
    </row>
    <row r="5534" spans="2:10">
      <c r="B5534" s="26" t="s">
        <v>1186</v>
      </c>
      <c r="H5534" s="171" t="s">
        <v>1698</v>
      </c>
      <c r="I5534" s="68">
        <f>I5513</f>
        <v>18695.95</v>
      </c>
      <c r="J5534" s="78"/>
    </row>
    <row r="5535" spans="2:10">
      <c r="B5535" s="26" t="s">
        <v>2660</v>
      </c>
      <c r="H5535" s="171" t="s">
        <v>1698</v>
      </c>
      <c r="I5535" s="68">
        <f>I5527</f>
        <v>18618.95</v>
      </c>
      <c r="J5535" s="78"/>
    </row>
    <row r="5536" spans="2:10">
      <c r="G5536" s="171" t="s">
        <v>1518</v>
      </c>
      <c r="H5536" s="171" t="s">
        <v>1698</v>
      </c>
      <c r="I5536" s="205">
        <f>SUM(I5533:I5535)</f>
        <v>45001.016166666668</v>
      </c>
      <c r="J5536" s="78"/>
    </row>
    <row r="5537" spans="1:10" ht="18.75">
      <c r="B5537" s="1207" t="s">
        <v>8375</v>
      </c>
      <c r="C5537" s="1207"/>
      <c r="D5537" s="1207"/>
      <c r="E5537" s="1207"/>
      <c r="F5537" s="1207"/>
      <c r="G5537" s="922">
        <f>'BASIC DATA'!$C$577</f>
        <v>0.13614999999999999</v>
      </c>
      <c r="H5537" s="171" t="s">
        <v>4108</v>
      </c>
      <c r="I5537" s="76">
        <f>ROUND(I5536*G5537,2)</f>
        <v>6126.89</v>
      </c>
      <c r="J5537" s="78"/>
    </row>
    <row r="5538" spans="1:10">
      <c r="B5538" s="1206" t="s">
        <v>1191</v>
      </c>
      <c r="C5538" s="1206"/>
      <c r="D5538" s="1206"/>
      <c r="E5538" s="1206"/>
      <c r="F5538" s="202">
        <f>H5489</f>
        <v>100</v>
      </c>
      <c r="G5538" s="202" t="str">
        <f>I5489</f>
        <v>cum</v>
      </c>
      <c r="H5538" s="171" t="s">
        <v>1698</v>
      </c>
      <c r="I5538" s="199">
        <f>I5537+I5536</f>
        <v>51127.906166666668</v>
      </c>
      <c r="J5538" s="78"/>
    </row>
    <row r="5539" spans="1:10">
      <c r="B5539" s="1161" t="s">
        <v>3884</v>
      </c>
      <c r="C5539" s="1161"/>
      <c r="D5539" s="246" t="str">
        <f>G5538</f>
        <v>cum</v>
      </c>
      <c r="F5539" s="26" t="s">
        <v>1380</v>
      </c>
      <c r="H5539" s="171" t="s">
        <v>1698</v>
      </c>
      <c r="I5539" s="204">
        <f>ROUND(I5538/F5538,1)</f>
        <v>511.3</v>
      </c>
      <c r="J5539" s="78"/>
    </row>
    <row r="5540" spans="1:10">
      <c r="J5540" s="78"/>
    </row>
    <row r="5541" spans="1:10">
      <c r="J5541" s="78"/>
    </row>
    <row r="5542" spans="1:10" ht="18.75">
      <c r="A5542" s="822" t="s">
        <v>7371</v>
      </c>
      <c r="B5542" s="26" t="s">
        <v>8545</v>
      </c>
      <c r="J5542" s="78"/>
    </row>
    <row r="5543" spans="1:10">
      <c r="B5543" s="26" t="s">
        <v>8546</v>
      </c>
      <c r="J5543" s="78"/>
    </row>
    <row r="5544" spans="1:10" ht="18.75">
      <c r="B5544" s="26" t="s">
        <v>8547</v>
      </c>
      <c r="J5544" s="78"/>
    </row>
    <row r="5545" spans="1:10">
      <c r="B5545" s="170" t="s">
        <v>3441</v>
      </c>
      <c r="J5545" s="78"/>
    </row>
    <row r="5546" spans="1:10">
      <c r="A5546" s="869" t="s">
        <v>1940</v>
      </c>
      <c r="B5546" s="26" t="s">
        <v>117</v>
      </c>
      <c r="J5546" s="78"/>
    </row>
    <row r="5547" spans="1:10">
      <c r="B5547" s="26" t="s">
        <v>118</v>
      </c>
      <c r="J5547" s="78"/>
    </row>
    <row r="5548" spans="1:10" hidden="1">
      <c r="A5548" s="822" t="s">
        <v>3984</v>
      </c>
      <c r="B5548" s="26" t="s">
        <v>6003</v>
      </c>
      <c r="G5548" s="171" t="s">
        <v>1697</v>
      </c>
      <c r="H5548" s="68">
        <v>1.5</v>
      </c>
      <c r="I5548" s="26" t="s">
        <v>2602</v>
      </c>
      <c r="J5548" s="78"/>
    </row>
    <row r="5549" spans="1:10" hidden="1">
      <c r="B5549" s="26" t="s">
        <v>5567</v>
      </c>
      <c r="G5549" s="171" t="s">
        <v>1697</v>
      </c>
      <c r="H5549" s="26" t="s">
        <v>3362</v>
      </c>
      <c r="J5549" s="78"/>
    </row>
    <row r="5550" spans="1:10" hidden="1">
      <c r="B5550" s="26" t="s">
        <v>3363</v>
      </c>
      <c r="G5550" s="171" t="s">
        <v>1697</v>
      </c>
      <c r="H5550" s="26" t="s">
        <v>2906</v>
      </c>
      <c r="J5550" s="78"/>
    </row>
    <row r="5551" spans="1:10" hidden="1">
      <c r="B5551" s="26" t="s">
        <v>3365</v>
      </c>
      <c r="G5551" s="171" t="s">
        <v>1697</v>
      </c>
      <c r="H5551" s="68">
        <v>3</v>
      </c>
      <c r="I5551" s="26" t="s">
        <v>2602</v>
      </c>
      <c r="J5551" s="78"/>
    </row>
    <row r="5552" spans="1:10" hidden="1">
      <c r="B5552" s="26" t="s">
        <v>119</v>
      </c>
      <c r="G5552" s="171" t="s">
        <v>1697</v>
      </c>
      <c r="H5552" s="68">
        <v>18</v>
      </c>
      <c r="I5552" s="26" t="s">
        <v>3479</v>
      </c>
      <c r="J5552" s="78"/>
    </row>
    <row r="5553" spans="2:10" hidden="1">
      <c r="B5553" s="26" t="s">
        <v>3201</v>
      </c>
      <c r="J5553" s="78"/>
    </row>
    <row r="5554" spans="2:10" hidden="1">
      <c r="B5554" s="26" t="s">
        <v>120</v>
      </c>
      <c r="H5554" s="68">
        <v>5.55</v>
      </c>
      <c r="I5554" s="26" t="s">
        <v>2602</v>
      </c>
      <c r="J5554" s="78"/>
    </row>
    <row r="5555" spans="2:10" hidden="1">
      <c r="B5555" s="26" t="s">
        <v>1511</v>
      </c>
      <c r="H5555" s="68">
        <v>69</v>
      </c>
      <c r="I5555" s="26" t="s">
        <v>3479</v>
      </c>
      <c r="J5555" s="78"/>
    </row>
    <row r="5556" spans="2:10" hidden="1">
      <c r="B5556" s="26" t="s">
        <v>4302</v>
      </c>
      <c r="J5556" s="78"/>
    </row>
    <row r="5557" spans="2:10" hidden="1">
      <c r="B5557" s="26" t="s">
        <v>5612</v>
      </c>
      <c r="H5557" s="68">
        <v>100</v>
      </c>
      <c r="I5557" s="26" t="s">
        <v>3477</v>
      </c>
      <c r="J5557" s="78"/>
    </row>
    <row r="5558" spans="2:10" hidden="1">
      <c r="B5558" s="26" t="s">
        <v>1069</v>
      </c>
      <c r="H5558" s="68">
        <v>15</v>
      </c>
      <c r="I5558" s="26" t="s">
        <v>3477</v>
      </c>
      <c r="J5558" s="78"/>
    </row>
    <row r="5559" spans="2:10" hidden="1">
      <c r="B5559" s="26" t="s">
        <v>5815</v>
      </c>
      <c r="J5559" s="78"/>
    </row>
    <row r="5560" spans="2:10" hidden="1">
      <c r="B5560" s="26" t="s">
        <v>1070</v>
      </c>
      <c r="J5560" s="78"/>
    </row>
    <row r="5561" spans="2:10" hidden="1">
      <c r="B5561" s="26" t="s">
        <v>2818</v>
      </c>
      <c r="J5561" s="78"/>
    </row>
    <row r="5562" spans="2:10" hidden="1">
      <c r="B5562" s="26" t="s">
        <v>1190</v>
      </c>
      <c r="H5562" s="68">
        <v>2</v>
      </c>
      <c r="I5562" s="26" t="s">
        <v>4041</v>
      </c>
      <c r="J5562" s="78"/>
    </row>
    <row r="5563" spans="2:10" hidden="1">
      <c r="B5563" s="26" t="s">
        <v>2697</v>
      </c>
      <c r="H5563" s="68">
        <v>2</v>
      </c>
      <c r="I5563" s="26" t="s">
        <v>4041</v>
      </c>
      <c r="J5563" s="78"/>
    </row>
    <row r="5564" spans="2:10" hidden="1">
      <c r="B5564" s="26" t="s">
        <v>6684</v>
      </c>
      <c r="J5564" s="78"/>
    </row>
    <row r="5565" spans="2:10" hidden="1">
      <c r="B5565" s="26" t="s">
        <v>3786</v>
      </c>
      <c r="J5565" s="78"/>
    </row>
    <row r="5566" spans="2:10" hidden="1">
      <c r="B5566" s="26" t="s">
        <v>3787</v>
      </c>
      <c r="J5566" s="78"/>
    </row>
    <row r="5567" spans="2:10" hidden="1">
      <c r="B5567" s="26" t="s">
        <v>2697</v>
      </c>
      <c r="H5567" s="68">
        <v>12</v>
      </c>
      <c r="I5567" s="26" t="s">
        <v>4041</v>
      </c>
      <c r="J5567" s="78"/>
    </row>
    <row r="5568" spans="2:10" hidden="1">
      <c r="B5568" s="26" t="s">
        <v>2823</v>
      </c>
      <c r="J5568" s="78"/>
    </row>
    <row r="5569" spans="1:10" hidden="1">
      <c r="B5569" s="26" t="s">
        <v>2697</v>
      </c>
      <c r="H5569" s="68">
        <v>7</v>
      </c>
      <c r="I5569" s="26" t="s">
        <v>4041</v>
      </c>
      <c r="J5569" s="78"/>
    </row>
    <row r="5570" spans="1:10" hidden="1">
      <c r="B5570" s="26" t="s">
        <v>1356</v>
      </c>
      <c r="H5570" s="68">
        <v>7</v>
      </c>
      <c r="I5570" s="26" t="s">
        <v>4041</v>
      </c>
      <c r="J5570" s="78"/>
    </row>
    <row r="5571" spans="1:10" hidden="1">
      <c r="J5571" s="78"/>
    </row>
    <row r="5572" spans="1:10">
      <c r="A5572" s="822" t="s">
        <v>3984</v>
      </c>
      <c r="E5572" s="170" t="s">
        <v>2367</v>
      </c>
      <c r="J5572" s="78"/>
    </row>
    <row r="5573" spans="1:10">
      <c r="G5573" s="26" t="s">
        <v>297</v>
      </c>
      <c r="H5573" s="170">
        <v>100</v>
      </c>
      <c r="I5573" s="26" t="s">
        <v>3477</v>
      </c>
      <c r="J5573" s="78"/>
    </row>
    <row r="5574" spans="1:10">
      <c r="B5574" s="170" t="s">
        <v>2368</v>
      </c>
      <c r="J5574" s="78"/>
    </row>
    <row r="5575" spans="1:10">
      <c r="B5575" s="95" t="s">
        <v>2369</v>
      </c>
      <c r="C5575" s="148" t="s">
        <v>4443</v>
      </c>
      <c r="D5575" s="175"/>
      <c r="E5575" s="175"/>
      <c r="F5575" s="95" t="s">
        <v>2370</v>
      </c>
      <c r="G5575" s="95" t="s">
        <v>1166</v>
      </c>
      <c r="H5575" s="95" t="s">
        <v>6664</v>
      </c>
      <c r="I5575" s="95" t="s">
        <v>6665</v>
      </c>
      <c r="J5575" s="78"/>
    </row>
    <row r="5576" spans="1:10">
      <c r="B5576" s="191"/>
      <c r="C5576" s="89"/>
      <c r="D5576" s="174"/>
      <c r="E5576" s="174"/>
      <c r="F5576" s="191"/>
      <c r="G5576" s="114"/>
      <c r="H5576" s="114" t="s">
        <v>3856</v>
      </c>
      <c r="I5576" s="114" t="s">
        <v>3857</v>
      </c>
      <c r="J5576" s="78"/>
    </row>
    <row r="5577" spans="1:10">
      <c r="B5577" s="95">
        <v>1</v>
      </c>
      <c r="C5577" s="148" t="s">
        <v>2622</v>
      </c>
      <c r="D5577" s="187"/>
      <c r="E5577" s="187"/>
      <c r="F5577" s="107" t="s">
        <v>3477</v>
      </c>
      <c r="G5577" s="179">
        <v>100</v>
      </c>
      <c r="H5577" s="212">
        <f>'BASIC DATA'!$D$107</f>
        <v>155</v>
      </c>
      <c r="I5577" s="179">
        <f>H5577*G5577</f>
        <v>15500</v>
      </c>
      <c r="J5577" s="78"/>
    </row>
    <row r="5578" spans="1:10">
      <c r="B5578" s="114">
        <v>2</v>
      </c>
      <c r="C5578" s="89" t="s">
        <v>1487</v>
      </c>
      <c r="D5578" s="174"/>
      <c r="E5578" s="174"/>
      <c r="F5578" s="191" t="s">
        <v>3477</v>
      </c>
      <c r="G5578" s="182">
        <v>15</v>
      </c>
      <c r="H5578" s="215">
        <f>'BASIC DATA'!$D$95</f>
        <v>185</v>
      </c>
      <c r="I5578" s="179">
        <f>H5578*G5578</f>
        <v>2775</v>
      </c>
      <c r="J5578" s="78"/>
    </row>
    <row r="5579" spans="1:10">
      <c r="B5579" s="184"/>
      <c r="C5579" s="151"/>
      <c r="D5579" s="159"/>
      <c r="E5579" s="159" t="s">
        <v>2376</v>
      </c>
      <c r="F5579" s="159"/>
      <c r="G5579" s="205"/>
      <c r="H5579" s="216" t="s">
        <v>1698</v>
      </c>
      <c r="I5579" s="282">
        <f>SUM(I5577:I5578)</f>
        <v>18275</v>
      </c>
      <c r="J5579" s="78"/>
    </row>
    <row r="5580" spans="1:10">
      <c r="B5580" s="31"/>
      <c r="C5580" s="76"/>
      <c r="D5580" s="31"/>
      <c r="E5580" s="31"/>
      <c r="F5580" s="31"/>
      <c r="G5580" s="75"/>
      <c r="H5580" s="294"/>
      <c r="I5580" s="75"/>
      <c r="J5580" s="78"/>
    </row>
    <row r="5581" spans="1:10">
      <c r="B5581" s="170" t="s">
        <v>2377</v>
      </c>
      <c r="J5581" s="78"/>
    </row>
    <row r="5582" spans="1:10">
      <c r="B5582" s="95" t="s">
        <v>2369</v>
      </c>
      <c r="C5582" s="148" t="s">
        <v>2378</v>
      </c>
      <c r="D5582" s="175"/>
      <c r="E5582" s="175"/>
      <c r="F5582" s="95" t="s">
        <v>2370</v>
      </c>
      <c r="G5582" s="95" t="s">
        <v>1166</v>
      </c>
      <c r="H5582" s="95" t="s">
        <v>6664</v>
      </c>
      <c r="I5582" s="95" t="s">
        <v>6665</v>
      </c>
      <c r="J5582" s="78"/>
    </row>
    <row r="5583" spans="1:10">
      <c r="B5583" s="191"/>
      <c r="C5583" s="89"/>
      <c r="D5583" s="174"/>
      <c r="E5583" s="174"/>
      <c r="F5583" s="191"/>
      <c r="G5583" s="114"/>
      <c r="H5583" s="114" t="s">
        <v>3856</v>
      </c>
      <c r="I5583" s="114" t="s">
        <v>3857</v>
      </c>
      <c r="J5583" s="78"/>
    </row>
    <row r="5584" spans="1:10">
      <c r="B5584" s="95">
        <v>1</v>
      </c>
      <c r="C5584" s="148" t="s">
        <v>4170</v>
      </c>
      <c r="D5584" s="187"/>
      <c r="E5584" s="187"/>
      <c r="F5584" s="107" t="s">
        <v>2374</v>
      </c>
      <c r="G5584" s="179">
        <v>2</v>
      </c>
      <c r="H5584" s="190">
        <f>'HIRE CHARGES'!$D$543</f>
        <v>1706.6</v>
      </c>
      <c r="I5584" s="179">
        <f>H5584*G5584</f>
        <v>3413.2</v>
      </c>
      <c r="J5584" s="78"/>
    </row>
    <row r="5585" spans="2:10">
      <c r="B5585" s="105"/>
      <c r="C5585" s="76" t="s">
        <v>2379</v>
      </c>
      <c r="D5585" s="31"/>
      <c r="E5585" s="31"/>
      <c r="F5585" s="210" t="s">
        <v>2374</v>
      </c>
      <c r="G5585" s="190">
        <v>2</v>
      </c>
      <c r="H5585" s="190">
        <f>'HIRE CHARGES'!$E$543</f>
        <v>872.7</v>
      </c>
      <c r="I5585" s="179">
        <f>H5585*G5585</f>
        <v>1745.4</v>
      </c>
      <c r="J5585" s="78"/>
    </row>
    <row r="5586" spans="2:10">
      <c r="B5586" s="105">
        <v>2</v>
      </c>
      <c r="C5586" s="76" t="s">
        <v>6282</v>
      </c>
      <c r="D5586" s="31"/>
      <c r="E5586" s="31"/>
      <c r="F5586" s="210" t="s">
        <v>2374</v>
      </c>
      <c r="G5586" s="190">
        <v>6</v>
      </c>
      <c r="H5586" s="190">
        <f>'HIRE CHARGES'!$D$545</f>
        <v>446.7</v>
      </c>
      <c r="I5586" s="179">
        <f>H5586*G5586</f>
        <v>2680.2</v>
      </c>
      <c r="J5586" s="78"/>
    </row>
    <row r="5587" spans="2:10">
      <c r="B5587" s="191"/>
      <c r="C5587" s="89" t="s">
        <v>2379</v>
      </c>
      <c r="D5587" s="174"/>
      <c r="E5587" s="174"/>
      <c r="F5587" s="191" t="s">
        <v>2374</v>
      </c>
      <c r="G5587" s="182">
        <v>6</v>
      </c>
      <c r="H5587" s="182">
        <f>'HIRE CHARGES'!$E$545</f>
        <v>299.89999999999998</v>
      </c>
      <c r="I5587" s="179">
        <f>H5587*G5587</f>
        <v>1799.3999999999999</v>
      </c>
      <c r="J5587" s="78"/>
    </row>
    <row r="5588" spans="2:10">
      <c r="B5588" s="184"/>
      <c r="C5588" s="151"/>
      <c r="D5588" s="159"/>
      <c r="E5588" s="159" t="s">
        <v>2380</v>
      </c>
      <c r="F5588" s="159"/>
      <c r="G5588" s="159"/>
      <c r="H5588" s="208" t="s">
        <v>1698</v>
      </c>
      <c r="I5588" s="282">
        <f>SUM(I5584:I5587)</f>
        <v>9638.2000000000007</v>
      </c>
      <c r="J5588" s="78"/>
    </row>
    <row r="5589" spans="2:10">
      <c r="B5589" s="31"/>
      <c r="C5589" s="76"/>
      <c r="D5589" s="31"/>
      <c r="E5589" s="31"/>
      <c r="F5589" s="31"/>
      <c r="G5589" s="31"/>
      <c r="H5589" s="200"/>
      <c r="I5589" s="75"/>
      <c r="J5589" s="78"/>
    </row>
    <row r="5590" spans="2:10">
      <c r="B5590" s="170" t="s">
        <v>2381</v>
      </c>
      <c r="J5590" s="78"/>
    </row>
    <row r="5591" spans="2:10">
      <c r="B5591" s="95" t="s">
        <v>2369</v>
      </c>
      <c r="C5591" s="148" t="s">
        <v>2378</v>
      </c>
      <c r="D5591" s="175"/>
      <c r="E5591" s="175"/>
      <c r="F5591" s="95" t="s">
        <v>2370</v>
      </c>
      <c r="G5591" s="95" t="s">
        <v>1166</v>
      </c>
      <c r="H5591" s="95" t="s">
        <v>6664</v>
      </c>
      <c r="I5591" s="95" t="s">
        <v>6665</v>
      </c>
      <c r="J5591" s="78"/>
    </row>
    <row r="5592" spans="2:10">
      <c r="B5592" s="191"/>
      <c r="C5592" s="89"/>
      <c r="D5592" s="174"/>
      <c r="E5592" s="174"/>
      <c r="F5592" s="191"/>
      <c r="G5592" s="114"/>
      <c r="H5592" s="114" t="s">
        <v>3856</v>
      </c>
      <c r="I5592" s="114" t="s">
        <v>3857</v>
      </c>
      <c r="J5592" s="78"/>
    </row>
    <row r="5593" spans="2:10">
      <c r="B5593" s="95">
        <v>1</v>
      </c>
      <c r="C5593" s="148" t="s">
        <v>300</v>
      </c>
      <c r="D5593" s="187"/>
      <c r="E5593" s="187"/>
      <c r="F5593" s="107" t="s">
        <v>2374</v>
      </c>
      <c r="G5593" s="179">
        <v>2</v>
      </c>
      <c r="H5593" s="179">
        <f>'HIRE CHARGES'!$F$543</f>
        <v>236.6</v>
      </c>
      <c r="I5593" s="179">
        <f t="shared" ref="I5593:I5598" si="103">H5593*G5593</f>
        <v>473.2</v>
      </c>
      <c r="J5593" s="78"/>
    </row>
    <row r="5594" spans="2:10">
      <c r="B5594" s="105">
        <v>2</v>
      </c>
      <c r="C5594" s="76" t="s">
        <v>301</v>
      </c>
      <c r="D5594" s="31"/>
      <c r="E5594" s="31"/>
      <c r="F5594" s="210" t="s">
        <v>2374</v>
      </c>
      <c r="G5594" s="190">
        <v>6</v>
      </c>
      <c r="H5594" s="190">
        <f>'HIRE CHARGES'!$F$545</f>
        <v>177.5</v>
      </c>
      <c r="I5594" s="179">
        <f t="shared" si="103"/>
        <v>1065</v>
      </c>
      <c r="J5594" s="78"/>
    </row>
    <row r="5595" spans="2:10">
      <c r="B5595" s="105">
        <v>3</v>
      </c>
      <c r="C5595" s="76" t="s">
        <v>1356</v>
      </c>
      <c r="D5595" s="31"/>
      <c r="E5595" s="31"/>
      <c r="F5595" s="210" t="s">
        <v>1172</v>
      </c>
      <c r="G5595" s="190">
        <v>7</v>
      </c>
      <c r="H5595" s="207">
        <f>'BASIC DATA'!$C$541</f>
        <v>400</v>
      </c>
      <c r="I5595" s="179">
        <f t="shared" si="103"/>
        <v>2800</v>
      </c>
      <c r="J5595" s="78"/>
    </row>
    <row r="5596" spans="2:10">
      <c r="B5596" s="105">
        <v>4</v>
      </c>
      <c r="C5596" s="76" t="s">
        <v>4206</v>
      </c>
      <c r="D5596" s="31"/>
      <c r="E5596" s="31"/>
      <c r="F5596" s="210" t="s">
        <v>1172</v>
      </c>
      <c r="G5596" s="190">
        <v>1</v>
      </c>
      <c r="H5596" s="190">
        <f>'BASIC DATA'!$C$473</f>
        <v>450</v>
      </c>
      <c r="I5596" s="179">
        <f t="shared" si="103"/>
        <v>450</v>
      </c>
      <c r="J5596" s="78"/>
    </row>
    <row r="5597" spans="2:10">
      <c r="B5597" s="105">
        <v>6</v>
      </c>
      <c r="C5597" s="76" t="s">
        <v>1190</v>
      </c>
      <c r="D5597" s="31"/>
      <c r="E5597" s="31"/>
      <c r="F5597" s="210" t="s">
        <v>1172</v>
      </c>
      <c r="G5597" s="190">
        <v>2</v>
      </c>
      <c r="H5597" s="207">
        <f>'BASIC DATA'!$C$546</f>
        <v>400</v>
      </c>
      <c r="I5597" s="179">
        <f t="shared" si="103"/>
        <v>800</v>
      </c>
      <c r="J5597" s="78"/>
    </row>
    <row r="5598" spans="2:10">
      <c r="B5598" s="105">
        <v>7</v>
      </c>
      <c r="C5598" s="76" t="s">
        <v>2697</v>
      </c>
      <c r="D5598" s="31"/>
      <c r="E5598" s="31"/>
      <c r="F5598" s="210" t="s">
        <v>1172</v>
      </c>
      <c r="G5598" s="190">
        <v>21</v>
      </c>
      <c r="H5598" s="207">
        <f>'BASIC DATA'!$C$552</f>
        <v>350</v>
      </c>
      <c r="I5598" s="179">
        <f t="shared" si="103"/>
        <v>7350</v>
      </c>
      <c r="J5598" s="78"/>
    </row>
    <row r="5599" spans="2:10">
      <c r="B5599" s="184"/>
      <c r="C5599" s="151"/>
      <c r="D5599" s="159"/>
      <c r="E5599" s="159" t="s">
        <v>1174</v>
      </c>
      <c r="F5599" s="159"/>
      <c r="G5599" s="159"/>
      <c r="H5599" s="208" t="s">
        <v>1698</v>
      </c>
      <c r="I5599" s="282">
        <f>SUM(I5593:I5598)</f>
        <v>12938.2</v>
      </c>
      <c r="J5599" s="78"/>
    </row>
    <row r="5600" spans="2:10">
      <c r="B5600" s="60" t="s">
        <v>5948</v>
      </c>
      <c r="C5600" s="76"/>
      <c r="D5600" s="31"/>
      <c r="E5600" s="31"/>
      <c r="F5600" s="31"/>
      <c r="G5600" s="85">
        <f>ROUND(I5599/H5573,1)</f>
        <v>129.4</v>
      </c>
      <c r="J5600" s="78"/>
    </row>
    <row r="5601" spans="1:10">
      <c r="B5601" s="60" t="s">
        <v>3163</v>
      </c>
      <c r="C5601" s="76"/>
      <c r="D5601" s="31"/>
      <c r="E5601" s="31"/>
      <c r="F5601" s="922">
        <f>'BASIC DATA'!$C$577</f>
        <v>0.13614999999999999</v>
      </c>
      <c r="G5601" s="85">
        <f>ROUND(G5600*F5601,1)</f>
        <v>17.600000000000001</v>
      </c>
      <c r="J5601" s="78"/>
    </row>
    <row r="5602" spans="1:10">
      <c r="B5602" s="60" t="s">
        <v>5949</v>
      </c>
      <c r="C5602" s="76"/>
      <c r="D5602" s="31"/>
      <c r="E5602" s="31"/>
      <c r="F5602" s="31"/>
      <c r="G5602" s="199">
        <f>ROUND(G5601+G5600,1)</f>
        <v>147</v>
      </c>
      <c r="J5602" s="78"/>
    </row>
    <row r="5603" spans="1:10">
      <c r="B5603" s="31"/>
      <c r="C5603" s="76"/>
      <c r="D5603" s="31"/>
      <c r="E5603" s="31"/>
      <c r="F5603" s="31"/>
      <c r="G5603" s="200"/>
      <c r="I5603" s="31"/>
      <c r="J5603" s="78"/>
    </row>
    <row r="5604" spans="1:10">
      <c r="B5604" s="170" t="s">
        <v>1175</v>
      </c>
      <c r="J5604" s="78"/>
    </row>
    <row r="5605" spans="1:10">
      <c r="B5605" s="26" t="s">
        <v>1176</v>
      </c>
      <c r="H5605" s="171" t="s">
        <v>1698</v>
      </c>
      <c r="I5605" s="68">
        <f>I5579</f>
        <v>18275</v>
      </c>
      <c r="J5605" s="78"/>
    </row>
    <row r="5606" spans="1:10">
      <c r="B5606" s="26" t="s">
        <v>1186</v>
      </c>
      <c r="H5606" s="171" t="s">
        <v>1698</v>
      </c>
      <c r="I5606" s="68">
        <f>I5588</f>
        <v>9638.2000000000007</v>
      </c>
      <c r="J5606" s="78"/>
    </row>
    <row r="5607" spans="1:10">
      <c r="B5607" s="26" t="s">
        <v>2660</v>
      </c>
      <c r="H5607" s="171" t="s">
        <v>1698</v>
      </c>
      <c r="I5607" s="68">
        <f>I5599</f>
        <v>12938.2</v>
      </c>
      <c r="J5607" s="78"/>
    </row>
    <row r="5608" spans="1:10">
      <c r="G5608" s="171" t="s">
        <v>1518</v>
      </c>
      <c r="H5608" s="171" t="s">
        <v>1698</v>
      </c>
      <c r="I5608" s="205">
        <f>SUM(I5605:I5607)</f>
        <v>40851.4</v>
      </c>
      <c r="J5608" s="78"/>
    </row>
    <row r="5609" spans="1:10" ht="18.75">
      <c r="B5609" s="1207" t="s">
        <v>8375</v>
      </c>
      <c r="C5609" s="1207"/>
      <c r="D5609" s="1207"/>
      <c r="E5609" s="1207"/>
      <c r="F5609" s="1207"/>
      <c r="G5609" s="922">
        <f>'BASIC DATA'!$C$577</f>
        <v>0.13614999999999999</v>
      </c>
      <c r="H5609" s="171" t="s">
        <v>4108</v>
      </c>
      <c r="I5609" s="76">
        <f>ROUND(I5608*G5609,2)</f>
        <v>5561.92</v>
      </c>
      <c r="J5609" s="78"/>
    </row>
    <row r="5610" spans="1:10">
      <c r="B5610" s="1206" t="s">
        <v>1191</v>
      </c>
      <c r="C5610" s="1206"/>
      <c r="D5610" s="1206"/>
      <c r="E5610" s="1206"/>
      <c r="F5610" s="202">
        <f>H5573</f>
        <v>100</v>
      </c>
      <c r="G5610" s="202" t="str">
        <f>I5573</f>
        <v>cum</v>
      </c>
      <c r="H5610" s="171" t="s">
        <v>1698</v>
      </c>
      <c r="I5610" s="199">
        <f>I5609+I5608</f>
        <v>46413.32</v>
      </c>
      <c r="J5610" s="78"/>
    </row>
    <row r="5611" spans="1:10">
      <c r="B5611" s="1161" t="s">
        <v>3884</v>
      </c>
      <c r="C5611" s="1161"/>
      <c r="D5611" s="246" t="str">
        <f>G5610</f>
        <v>cum</v>
      </c>
      <c r="F5611" s="26" t="s">
        <v>1380</v>
      </c>
      <c r="H5611" s="171" t="s">
        <v>1698</v>
      </c>
      <c r="I5611" s="204">
        <f>ROUND(I5610/F5610,1)</f>
        <v>464.1</v>
      </c>
      <c r="J5611" s="78"/>
    </row>
    <row r="5612" spans="1:10">
      <c r="J5612" s="78"/>
    </row>
    <row r="5613" spans="1:10">
      <c r="A5613" s="822" t="s">
        <v>9283</v>
      </c>
      <c r="B5613" s="808" t="s">
        <v>9284</v>
      </c>
      <c r="J5613" s="78"/>
    </row>
    <row r="5614" spans="1:10">
      <c r="A5614" s="822" t="s">
        <v>9679</v>
      </c>
      <c r="B5614" s="26" t="s">
        <v>9286</v>
      </c>
      <c r="J5614" s="78"/>
    </row>
    <row r="5615" spans="1:10">
      <c r="B5615" s="26" t="s">
        <v>9285</v>
      </c>
      <c r="J5615" s="78"/>
    </row>
    <row r="5616" spans="1:10">
      <c r="B5616" s="170"/>
      <c r="J5616" s="78"/>
    </row>
    <row r="5617" spans="1:10">
      <c r="A5617" s="822" t="s">
        <v>3984</v>
      </c>
      <c r="E5617" s="170" t="s">
        <v>2367</v>
      </c>
      <c r="J5617" s="78"/>
    </row>
    <row r="5618" spans="1:10">
      <c r="G5618" s="26" t="s">
        <v>297</v>
      </c>
      <c r="H5618" s="170">
        <v>100</v>
      </c>
      <c r="I5618" s="26" t="s">
        <v>3477</v>
      </c>
      <c r="J5618" s="78"/>
    </row>
    <row r="5619" spans="1:10">
      <c r="B5619" s="170" t="s">
        <v>2368</v>
      </c>
      <c r="J5619" s="78"/>
    </row>
    <row r="5620" spans="1:10">
      <c r="B5620" s="95" t="s">
        <v>2369</v>
      </c>
      <c r="C5620" s="148" t="s">
        <v>4443</v>
      </c>
      <c r="D5620" s="175"/>
      <c r="E5620" s="175"/>
      <c r="F5620" s="95" t="s">
        <v>2370</v>
      </c>
      <c r="G5620" s="95" t="s">
        <v>1166</v>
      </c>
      <c r="H5620" s="95" t="s">
        <v>6664</v>
      </c>
      <c r="I5620" s="95" t="s">
        <v>6665</v>
      </c>
      <c r="J5620" s="78"/>
    </row>
    <row r="5621" spans="1:10">
      <c r="B5621" s="191"/>
      <c r="C5621" s="89"/>
      <c r="D5621" s="174"/>
      <c r="E5621" s="174"/>
      <c r="F5621" s="191"/>
      <c r="G5621" s="114"/>
      <c r="H5621" s="114" t="s">
        <v>3856</v>
      </c>
      <c r="I5621" s="114" t="s">
        <v>3857</v>
      </c>
      <c r="J5621" s="78"/>
    </row>
    <row r="5622" spans="1:10">
      <c r="B5622" s="95">
        <v>1</v>
      </c>
      <c r="C5622" s="808" t="s">
        <v>9287</v>
      </c>
      <c r="D5622" s="187"/>
      <c r="E5622" s="187"/>
      <c r="F5622" s="107" t="s">
        <v>3477</v>
      </c>
      <c r="G5622" s="179">
        <v>100</v>
      </c>
      <c r="H5622" s="212">
        <f>'BASIC DATA'!$D$108</f>
        <v>318</v>
      </c>
      <c r="I5622" s="179">
        <f>H5622*G5622</f>
        <v>31800</v>
      </c>
      <c r="J5622" s="78"/>
    </row>
    <row r="5623" spans="1:10">
      <c r="B5623" s="114">
        <v>2</v>
      </c>
      <c r="C5623" s="808" t="s">
        <v>498</v>
      </c>
      <c r="D5623" s="174"/>
      <c r="E5623" s="174"/>
      <c r="F5623" s="191" t="s">
        <v>3477</v>
      </c>
      <c r="G5623" s="182">
        <v>15</v>
      </c>
      <c r="H5623" s="215">
        <f>'BASIC DATA'!$D$96</f>
        <v>350</v>
      </c>
      <c r="I5623" s="179">
        <f>H5623*G5623</f>
        <v>5250</v>
      </c>
      <c r="J5623" s="78"/>
    </row>
    <row r="5624" spans="1:10">
      <c r="B5624" s="184"/>
      <c r="C5624" s="151"/>
      <c r="D5624" s="159"/>
      <c r="E5624" s="159" t="s">
        <v>2376</v>
      </c>
      <c r="F5624" s="159"/>
      <c r="G5624" s="205"/>
      <c r="H5624" s="216" t="s">
        <v>1698</v>
      </c>
      <c r="I5624" s="282">
        <f>SUM(I5622:I5623)</f>
        <v>37050</v>
      </c>
      <c r="J5624" s="78"/>
    </row>
    <row r="5625" spans="1:10">
      <c r="B5625" s="31"/>
      <c r="C5625" s="76"/>
      <c r="D5625" s="31"/>
      <c r="E5625" s="31"/>
      <c r="F5625" s="31"/>
      <c r="G5625" s="75"/>
      <c r="H5625" s="294"/>
      <c r="I5625" s="75"/>
      <c r="J5625" s="78"/>
    </row>
    <row r="5626" spans="1:10">
      <c r="B5626" s="170" t="s">
        <v>2377</v>
      </c>
      <c r="J5626" s="78"/>
    </row>
    <row r="5627" spans="1:10">
      <c r="B5627" s="95" t="s">
        <v>2369</v>
      </c>
      <c r="C5627" s="148" t="s">
        <v>2378</v>
      </c>
      <c r="D5627" s="175"/>
      <c r="E5627" s="175"/>
      <c r="F5627" s="95" t="s">
        <v>2370</v>
      </c>
      <c r="G5627" s="95" t="s">
        <v>1166</v>
      </c>
      <c r="H5627" s="95" t="s">
        <v>6664</v>
      </c>
      <c r="I5627" s="95" t="s">
        <v>6665</v>
      </c>
      <c r="J5627" s="78"/>
    </row>
    <row r="5628" spans="1:10">
      <c r="B5628" s="191"/>
      <c r="C5628" s="89"/>
      <c r="D5628" s="174"/>
      <c r="E5628" s="174"/>
      <c r="F5628" s="191"/>
      <c r="G5628" s="114"/>
      <c r="H5628" s="114" t="s">
        <v>3856</v>
      </c>
      <c r="I5628" s="114" t="s">
        <v>3857</v>
      </c>
      <c r="J5628" s="78"/>
    </row>
    <row r="5629" spans="1:10" ht="36.75" customHeight="1">
      <c r="B5629" s="95">
        <v>1</v>
      </c>
      <c r="C5629" s="1211" t="s">
        <v>9288</v>
      </c>
      <c r="D5629" s="1212"/>
      <c r="E5629" s="1213"/>
      <c r="F5629" s="107" t="s">
        <v>2374</v>
      </c>
      <c r="G5629" s="179">
        <v>2</v>
      </c>
      <c r="H5629" s="190">
        <f>'HIRE CHARGES'!$D$543</f>
        <v>1706.6</v>
      </c>
      <c r="I5629" s="179">
        <f>H5629*G5629</f>
        <v>3413.2</v>
      </c>
      <c r="J5629" s="78"/>
    </row>
    <row r="5630" spans="1:10">
      <c r="B5630" s="105"/>
      <c r="C5630" s="76" t="s">
        <v>2379</v>
      </c>
      <c r="D5630" s="31"/>
      <c r="E5630" s="31"/>
      <c r="F5630" s="210" t="s">
        <v>2374</v>
      </c>
      <c r="G5630" s="190">
        <v>2</v>
      </c>
      <c r="H5630" s="190">
        <f>'HIRE CHARGES'!$E$543</f>
        <v>872.7</v>
      </c>
      <c r="I5630" s="179">
        <f>H5630*G5630</f>
        <v>1745.4</v>
      </c>
      <c r="J5630" s="78"/>
    </row>
    <row r="5631" spans="1:10">
      <c r="B5631" s="105">
        <v>2</v>
      </c>
      <c r="C5631" s="76" t="s">
        <v>6282</v>
      </c>
      <c r="D5631" s="31"/>
      <c r="E5631" s="31"/>
      <c r="F5631" s="210" t="s">
        <v>2374</v>
      </c>
      <c r="G5631" s="190">
        <v>6</v>
      </c>
      <c r="H5631" s="190">
        <f>'HIRE CHARGES'!$D$545</f>
        <v>446.7</v>
      </c>
      <c r="I5631" s="179">
        <f>H5631*G5631</f>
        <v>2680.2</v>
      </c>
      <c r="J5631" s="78"/>
    </row>
    <row r="5632" spans="1:10">
      <c r="B5632" s="191"/>
      <c r="C5632" s="89" t="s">
        <v>2379</v>
      </c>
      <c r="D5632" s="174"/>
      <c r="E5632" s="174"/>
      <c r="F5632" s="191" t="s">
        <v>2374</v>
      </c>
      <c r="G5632" s="182">
        <v>6</v>
      </c>
      <c r="H5632" s="182">
        <f>'HIRE CHARGES'!$E$545</f>
        <v>299.89999999999998</v>
      </c>
      <c r="I5632" s="179">
        <f>H5632*G5632</f>
        <v>1799.3999999999999</v>
      </c>
      <c r="J5632" s="78"/>
    </row>
    <row r="5633" spans="2:10">
      <c r="B5633" s="184"/>
      <c r="C5633" s="151"/>
      <c r="D5633" s="159"/>
      <c r="E5633" s="159" t="s">
        <v>2380</v>
      </c>
      <c r="F5633" s="159"/>
      <c r="G5633" s="159"/>
      <c r="H5633" s="208" t="s">
        <v>1698</v>
      </c>
      <c r="I5633" s="282">
        <f>SUM(I5629:I5632)</f>
        <v>9638.2000000000007</v>
      </c>
      <c r="J5633" s="78"/>
    </row>
    <row r="5634" spans="2:10">
      <c r="B5634" s="31"/>
      <c r="C5634" s="76"/>
      <c r="D5634" s="31"/>
      <c r="E5634" s="31"/>
      <c r="F5634" s="31"/>
      <c r="G5634" s="31"/>
      <c r="H5634" s="200"/>
      <c r="I5634" s="75"/>
      <c r="J5634" s="78"/>
    </row>
    <row r="5635" spans="2:10">
      <c r="B5635" s="170" t="s">
        <v>2381</v>
      </c>
      <c r="J5635" s="78"/>
    </row>
    <row r="5636" spans="2:10">
      <c r="B5636" s="95" t="s">
        <v>2369</v>
      </c>
      <c r="C5636" s="148" t="s">
        <v>2378</v>
      </c>
      <c r="D5636" s="175"/>
      <c r="E5636" s="175"/>
      <c r="F5636" s="95" t="s">
        <v>2370</v>
      </c>
      <c r="G5636" s="95" t="s">
        <v>1166</v>
      </c>
      <c r="H5636" s="95" t="s">
        <v>6664</v>
      </c>
      <c r="I5636" s="95" t="s">
        <v>6665</v>
      </c>
      <c r="J5636" s="78"/>
    </row>
    <row r="5637" spans="2:10">
      <c r="B5637" s="191"/>
      <c r="C5637" s="89"/>
      <c r="D5637" s="174"/>
      <c r="E5637" s="174"/>
      <c r="F5637" s="191"/>
      <c r="G5637" s="114"/>
      <c r="H5637" s="114" t="s">
        <v>3856</v>
      </c>
      <c r="I5637" s="114" t="s">
        <v>3857</v>
      </c>
      <c r="J5637" s="78"/>
    </row>
    <row r="5638" spans="2:10">
      <c r="B5638" s="95">
        <v>1</v>
      </c>
      <c r="C5638" s="148" t="s">
        <v>300</v>
      </c>
      <c r="D5638" s="187"/>
      <c r="E5638" s="187"/>
      <c r="F5638" s="107" t="s">
        <v>2374</v>
      </c>
      <c r="G5638" s="179">
        <v>2</v>
      </c>
      <c r="H5638" s="179">
        <f>'HIRE CHARGES'!$F$543</f>
        <v>236.6</v>
      </c>
      <c r="I5638" s="179">
        <f t="shared" ref="I5638:I5643" si="104">H5638*G5638</f>
        <v>473.2</v>
      </c>
      <c r="J5638" s="78"/>
    </row>
    <row r="5639" spans="2:10">
      <c r="B5639" s="105">
        <v>2</v>
      </c>
      <c r="C5639" s="76" t="s">
        <v>301</v>
      </c>
      <c r="D5639" s="31"/>
      <c r="E5639" s="31"/>
      <c r="F5639" s="210" t="s">
        <v>2374</v>
      </c>
      <c r="G5639" s="190">
        <v>6</v>
      </c>
      <c r="H5639" s="190">
        <f>'HIRE CHARGES'!$F$545</f>
        <v>177.5</v>
      </c>
      <c r="I5639" s="179">
        <f t="shared" si="104"/>
        <v>1065</v>
      </c>
      <c r="J5639" s="78"/>
    </row>
    <row r="5640" spans="2:10">
      <c r="B5640" s="105">
        <v>3</v>
      </c>
      <c r="C5640" s="76" t="s">
        <v>1356</v>
      </c>
      <c r="D5640" s="31"/>
      <c r="E5640" s="31"/>
      <c r="F5640" s="210" t="s">
        <v>1172</v>
      </c>
      <c r="G5640" s="190">
        <v>7</v>
      </c>
      <c r="H5640" s="207">
        <f>'BASIC DATA'!$C$541</f>
        <v>400</v>
      </c>
      <c r="I5640" s="179">
        <f t="shared" si="104"/>
        <v>2800</v>
      </c>
      <c r="J5640" s="78"/>
    </row>
    <row r="5641" spans="2:10">
      <c r="B5641" s="105">
        <v>4</v>
      </c>
      <c r="C5641" s="76" t="s">
        <v>4206</v>
      </c>
      <c r="D5641" s="31"/>
      <c r="E5641" s="31"/>
      <c r="F5641" s="210" t="s">
        <v>1172</v>
      </c>
      <c r="G5641" s="190">
        <v>1</v>
      </c>
      <c r="H5641" s="190">
        <f>'BASIC DATA'!$C$473</f>
        <v>450</v>
      </c>
      <c r="I5641" s="179">
        <f t="shared" si="104"/>
        <v>450</v>
      </c>
      <c r="J5641" s="78"/>
    </row>
    <row r="5642" spans="2:10">
      <c r="B5642" s="105">
        <v>6</v>
      </c>
      <c r="C5642" s="76" t="s">
        <v>1190</v>
      </c>
      <c r="D5642" s="31"/>
      <c r="E5642" s="31"/>
      <c r="F5642" s="210" t="s">
        <v>1172</v>
      </c>
      <c r="G5642" s="190">
        <v>2</v>
      </c>
      <c r="H5642" s="207">
        <f>'BASIC DATA'!$C$546</f>
        <v>400</v>
      </c>
      <c r="I5642" s="179">
        <f t="shared" si="104"/>
        <v>800</v>
      </c>
      <c r="J5642" s="78"/>
    </row>
    <row r="5643" spans="2:10">
      <c r="B5643" s="105">
        <v>7</v>
      </c>
      <c r="C5643" s="76" t="s">
        <v>2697</v>
      </c>
      <c r="D5643" s="31"/>
      <c r="E5643" s="31"/>
      <c r="F5643" s="210" t="s">
        <v>1172</v>
      </c>
      <c r="G5643" s="190">
        <v>21</v>
      </c>
      <c r="H5643" s="207">
        <f>'BASIC DATA'!$C$552</f>
        <v>350</v>
      </c>
      <c r="I5643" s="179">
        <f t="shared" si="104"/>
        <v>7350</v>
      </c>
      <c r="J5643" s="78"/>
    </row>
    <row r="5644" spans="2:10">
      <c r="B5644" s="184"/>
      <c r="C5644" s="151"/>
      <c r="D5644" s="159"/>
      <c r="E5644" s="159" t="s">
        <v>1174</v>
      </c>
      <c r="F5644" s="159"/>
      <c r="G5644" s="159"/>
      <c r="H5644" s="208" t="s">
        <v>1698</v>
      </c>
      <c r="I5644" s="282">
        <f>SUM(I5638:I5643)</f>
        <v>12938.2</v>
      </c>
      <c r="J5644" s="78"/>
    </row>
    <row r="5645" spans="2:10">
      <c r="B5645" s="60" t="s">
        <v>5948</v>
      </c>
      <c r="C5645" s="76"/>
      <c r="D5645" s="31"/>
      <c r="E5645" s="31"/>
      <c r="F5645" s="31"/>
      <c r="G5645" s="85">
        <f>ROUND(I5644/H5618,1)</f>
        <v>129.4</v>
      </c>
      <c r="J5645" s="78"/>
    </row>
    <row r="5646" spans="2:10">
      <c r="B5646" s="60" t="s">
        <v>3163</v>
      </c>
      <c r="C5646" s="76"/>
      <c r="D5646" s="31"/>
      <c r="E5646" s="31"/>
      <c r="F5646" s="922">
        <f>'BASIC DATA'!$C$577</f>
        <v>0.13614999999999999</v>
      </c>
      <c r="G5646" s="85">
        <f>ROUND(G5645*F5646,1)</f>
        <v>17.600000000000001</v>
      </c>
      <c r="J5646" s="78"/>
    </row>
    <row r="5647" spans="2:10">
      <c r="B5647" s="60" t="s">
        <v>5949</v>
      </c>
      <c r="C5647" s="76"/>
      <c r="D5647" s="31"/>
      <c r="E5647" s="31"/>
      <c r="F5647" s="31"/>
      <c r="G5647" s="199">
        <f>ROUND(G5646+G5645,1)</f>
        <v>147</v>
      </c>
      <c r="J5647" s="78"/>
    </row>
    <row r="5648" spans="2:10">
      <c r="B5648" s="31"/>
      <c r="C5648" s="76"/>
      <c r="D5648" s="31"/>
      <c r="E5648" s="31"/>
      <c r="F5648" s="31"/>
      <c r="G5648" s="200"/>
      <c r="I5648" s="31"/>
      <c r="J5648" s="78"/>
    </row>
    <row r="5649" spans="1:10">
      <c r="B5649" s="170" t="s">
        <v>1175</v>
      </c>
      <c r="J5649" s="78"/>
    </row>
    <row r="5650" spans="1:10">
      <c r="B5650" s="26" t="s">
        <v>1176</v>
      </c>
      <c r="H5650" s="171" t="s">
        <v>1698</v>
      </c>
      <c r="I5650" s="68">
        <f>I5624</f>
        <v>37050</v>
      </c>
      <c r="J5650" s="78"/>
    </row>
    <row r="5651" spans="1:10">
      <c r="B5651" s="26" t="s">
        <v>1186</v>
      </c>
      <c r="H5651" s="171" t="s">
        <v>1698</v>
      </c>
      <c r="I5651" s="68">
        <f>I5633</f>
        <v>9638.2000000000007</v>
      </c>
      <c r="J5651" s="78"/>
    </row>
    <row r="5652" spans="1:10">
      <c r="B5652" s="26" t="s">
        <v>2660</v>
      </c>
      <c r="H5652" s="171" t="s">
        <v>1698</v>
      </c>
      <c r="I5652" s="68">
        <f>I5644</f>
        <v>12938.2</v>
      </c>
      <c r="J5652" s="78"/>
    </row>
    <row r="5653" spans="1:10">
      <c r="G5653" s="171" t="s">
        <v>1518</v>
      </c>
      <c r="H5653" s="171" t="s">
        <v>1698</v>
      </c>
      <c r="I5653" s="205">
        <f>SUM(I5650:I5652)</f>
        <v>59626.399999999994</v>
      </c>
      <c r="J5653" s="78"/>
    </row>
    <row r="5654" spans="1:10" ht="18.75">
      <c r="B5654" s="1207" t="s">
        <v>8375</v>
      </c>
      <c r="C5654" s="1207"/>
      <c r="D5654" s="1207"/>
      <c r="E5654" s="1207"/>
      <c r="F5654" s="1207"/>
      <c r="G5654" s="922">
        <f>'BASIC DATA'!$C$577</f>
        <v>0.13614999999999999</v>
      </c>
      <c r="H5654" s="171" t="s">
        <v>4108</v>
      </c>
      <c r="I5654" s="76">
        <f>ROUND(I5653*G5654,2)</f>
        <v>8118.13</v>
      </c>
      <c r="J5654" s="78"/>
    </row>
    <row r="5655" spans="1:10">
      <c r="B5655" s="1206" t="s">
        <v>1191</v>
      </c>
      <c r="C5655" s="1206"/>
      <c r="D5655" s="1206"/>
      <c r="E5655" s="1206"/>
      <c r="F5655" s="202">
        <f>H5618</f>
        <v>100</v>
      </c>
      <c r="G5655" s="202" t="str">
        <f>I5618</f>
        <v>cum</v>
      </c>
      <c r="H5655" s="171" t="s">
        <v>1698</v>
      </c>
      <c r="I5655" s="199">
        <f>I5654+I5653</f>
        <v>67744.53</v>
      </c>
      <c r="J5655" s="78"/>
    </row>
    <row r="5656" spans="1:10">
      <c r="B5656" s="1161" t="s">
        <v>3884</v>
      </c>
      <c r="C5656" s="1161"/>
      <c r="D5656" s="246" t="str">
        <f>G5655</f>
        <v>cum</v>
      </c>
      <c r="F5656" s="26" t="s">
        <v>1380</v>
      </c>
      <c r="H5656" s="171" t="s">
        <v>1698</v>
      </c>
      <c r="I5656" s="204">
        <f>ROUND(I5655/F5655,1)</f>
        <v>677.4</v>
      </c>
      <c r="J5656" s="78"/>
    </row>
    <row r="5657" spans="1:10">
      <c r="J5657" s="78"/>
    </row>
    <row r="5658" spans="1:10">
      <c r="J5658" s="78"/>
    </row>
    <row r="5659" spans="1:10" ht="18.75">
      <c r="A5659" s="822" t="s">
        <v>7372</v>
      </c>
      <c r="B5659" s="26" t="s">
        <v>8548</v>
      </c>
      <c r="J5659" s="78"/>
    </row>
    <row r="5660" spans="1:10" ht="18.75">
      <c r="B5660" s="26" t="s">
        <v>8549</v>
      </c>
      <c r="J5660" s="78"/>
    </row>
    <row r="5661" spans="1:10">
      <c r="B5661" s="170" t="s">
        <v>2873</v>
      </c>
      <c r="J5661" s="78"/>
    </row>
    <row r="5662" spans="1:10" hidden="1">
      <c r="A5662" s="822" t="s">
        <v>3984</v>
      </c>
      <c r="B5662" s="26" t="s">
        <v>7129</v>
      </c>
      <c r="J5662" s="78"/>
    </row>
    <row r="5663" spans="1:10" hidden="1">
      <c r="B5663" s="26" t="s">
        <v>7130</v>
      </c>
      <c r="H5663" s="68">
        <v>40</v>
      </c>
      <c r="I5663" s="26" t="s">
        <v>4041</v>
      </c>
      <c r="J5663" s="78"/>
    </row>
    <row r="5664" spans="1:10" hidden="1">
      <c r="B5664" s="26" t="s">
        <v>7131</v>
      </c>
      <c r="E5664" s="68">
        <v>80</v>
      </c>
      <c r="F5664" s="26" t="s">
        <v>7132</v>
      </c>
      <c r="H5664" s="68">
        <v>8</v>
      </c>
      <c r="I5664" s="26" t="s">
        <v>7133</v>
      </c>
      <c r="J5664" s="78"/>
    </row>
    <row r="5665" spans="1:10" hidden="1">
      <c r="B5665" s="26" t="s">
        <v>3292</v>
      </c>
      <c r="J5665" s="78"/>
    </row>
    <row r="5666" spans="1:10" hidden="1">
      <c r="B5666" s="26" t="s">
        <v>5328</v>
      </c>
      <c r="J5666" s="78"/>
    </row>
    <row r="5667" spans="1:10">
      <c r="J5667" s="78"/>
    </row>
    <row r="5668" spans="1:10">
      <c r="A5668" s="822" t="s">
        <v>3984</v>
      </c>
      <c r="E5668" s="170" t="s">
        <v>2367</v>
      </c>
      <c r="J5668" s="78"/>
    </row>
    <row r="5669" spans="1:10">
      <c r="J5669" s="78"/>
    </row>
    <row r="5670" spans="1:10">
      <c r="B5670" s="170" t="s">
        <v>2368</v>
      </c>
      <c r="G5670" s="26" t="s">
        <v>297</v>
      </c>
      <c r="H5670" s="170">
        <v>100</v>
      </c>
      <c r="I5670" s="26" t="s">
        <v>3483</v>
      </c>
      <c r="J5670" s="78"/>
    </row>
    <row r="5671" spans="1:10">
      <c r="B5671" s="95" t="s">
        <v>2369</v>
      </c>
      <c r="C5671" s="148" t="s">
        <v>4443</v>
      </c>
      <c r="D5671" s="175"/>
      <c r="E5671" s="175"/>
      <c r="F5671" s="95" t="s">
        <v>2370</v>
      </c>
      <c r="G5671" s="95" t="s">
        <v>1166</v>
      </c>
      <c r="H5671" s="95" t="s">
        <v>6664</v>
      </c>
      <c r="I5671" s="95" t="s">
        <v>6665</v>
      </c>
      <c r="J5671" s="78"/>
    </row>
    <row r="5672" spans="1:10">
      <c r="B5672" s="191"/>
      <c r="C5672" s="89"/>
      <c r="D5672" s="174"/>
      <c r="E5672" s="174"/>
      <c r="F5672" s="191"/>
      <c r="G5672" s="114"/>
      <c r="H5672" s="114" t="s">
        <v>3856</v>
      </c>
      <c r="I5672" s="114" t="s">
        <v>3857</v>
      </c>
      <c r="J5672" s="78"/>
    </row>
    <row r="5673" spans="1:10">
      <c r="B5673" s="95">
        <v>1</v>
      </c>
      <c r="C5673" s="148" t="s">
        <v>7134</v>
      </c>
      <c r="D5673" s="187"/>
      <c r="E5673" s="187"/>
      <c r="F5673" s="107" t="s">
        <v>3483</v>
      </c>
      <c r="G5673" s="179">
        <v>100</v>
      </c>
      <c r="H5673" s="212">
        <f>'BASIC DATA'!$D$74</f>
        <v>600</v>
      </c>
      <c r="I5673" s="179">
        <f>H5673*G5673</f>
        <v>60000</v>
      </c>
      <c r="J5673" s="78"/>
    </row>
    <row r="5674" spans="1:10">
      <c r="B5674" s="191"/>
      <c r="C5674" s="89"/>
      <c r="D5674" s="174"/>
      <c r="E5674" s="174"/>
      <c r="F5674" s="191"/>
      <c r="G5674" s="182">
        <v>0</v>
      </c>
      <c r="H5674" s="182">
        <v>0</v>
      </c>
      <c r="I5674" s="182"/>
      <c r="J5674" s="78"/>
    </row>
    <row r="5675" spans="1:10">
      <c r="B5675" s="184"/>
      <c r="C5675" s="151"/>
      <c r="D5675" s="159"/>
      <c r="E5675" s="159" t="s">
        <v>2376</v>
      </c>
      <c r="F5675" s="159"/>
      <c r="G5675" s="205"/>
      <c r="H5675" s="216" t="s">
        <v>1698</v>
      </c>
      <c r="I5675" s="282">
        <f>SUM(I5673:I5674)</f>
        <v>60000</v>
      </c>
      <c r="J5675" s="78"/>
    </row>
    <row r="5676" spans="1:10">
      <c r="B5676" s="31"/>
      <c r="C5676" s="76"/>
      <c r="D5676" s="31"/>
      <c r="E5676" s="31"/>
      <c r="F5676" s="31"/>
      <c r="G5676" s="75"/>
      <c r="H5676" s="294"/>
      <c r="I5676" s="75"/>
      <c r="J5676" s="78"/>
    </row>
    <row r="5677" spans="1:10">
      <c r="B5677" s="170" t="s">
        <v>2377</v>
      </c>
      <c r="J5677" s="78"/>
    </row>
    <row r="5678" spans="1:10">
      <c r="B5678" s="95" t="s">
        <v>2369</v>
      </c>
      <c r="C5678" s="148" t="s">
        <v>2378</v>
      </c>
      <c r="D5678" s="175"/>
      <c r="E5678" s="175"/>
      <c r="F5678" s="95" t="s">
        <v>2370</v>
      </c>
      <c r="G5678" s="95" t="s">
        <v>1166</v>
      </c>
      <c r="H5678" s="95" t="s">
        <v>6664</v>
      </c>
      <c r="I5678" s="95" t="s">
        <v>6665</v>
      </c>
      <c r="J5678" s="78"/>
    </row>
    <row r="5679" spans="1:10">
      <c r="B5679" s="191"/>
      <c r="C5679" s="89"/>
      <c r="D5679" s="174"/>
      <c r="E5679" s="174"/>
      <c r="F5679" s="191"/>
      <c r="G5679" s="114"/>
      <c r="H5679" s="114" t="s">
        <v>3856</v>
      </c>
      <c r="I5679" s="114" t="s">
        <v>3857</v>
      </c>
      <c r="J5679" s="78"/>
    </row>
    <row r="5680" spans="1:10">
      <c r="B5680" s="95">
        <v>1</v>
      </c>
      <c r="C5680" s="148" t="s">
        <v>6976</v>
      </c>
      <c r="D5680" s="187"/>
      <c r="E5680" s="187"/>
      <c r="F5680" s="107"/>
      <c r="G5680" s="179">
        <v>0</v>
      </c>
      <c r="H5680" s="179">
        <v>0</v>
      </c>
      <c r="I5680" s="179">
        <f>H5680*G5680</f>
        <v>0</v>
      </c>
      <c r="J5680" s="78"/>
    </row>
    <row r="5681" spans="2:10">
      <c r="B5681" s="191"/>
      <c r="C5681" s="89"/>
      <c r="D5681" s="174"/>
      <c r="E5681" s="174"/>
      <c r="F5681" s="191"/>
      <c r="G5681" s="182">
        <v>0</v>
      </c>
      <c r="H5681" s="182">
        <v>0</v>
      </c>
      <c r="I5681" s="179">
        <f>H5681*G5681</f>
        <v>0</v>
      </c>
      <c r="J5681" s="78"/>
    </row>
    <row r="5682" spans="2:10">
      <c r="B5682" s="184"/>
      <c r="C5682" s="151"/>
      <c r="D5682" s="159"/>
      <c r="E5682" s="159" t="s">
        <v>2380</v>
      </c>
      <c r="F5682" s="159"/>
      <c r="G5682" s="159"/>
      <c r="H5682" s="206" t="s">
        <v>1698</v>
      </c>
      <c r="I5682" s="282">
        <f>SUM(I5680:I5681)</f>
        <v>0</v>
      </c>
      <c r="J5682" s="78"/>
    </row>
    <row r="5683" spans="2:10">
      <c r="B5683" s="31"/>
      <c r="C5683" s="76"/>
      <c r="D5683" s="31"/>
      <c r="E5683" s="31"/>
      <c r="F5683" s="31"/>
      <c r="G5683" s="31"/>
      <c r="H5683" s="33"/>
      <c r="I5683" s="75"/>
      <c r="J5683" s="78"/>
    </row>
    <row r="5684" spans="2:10">
      <c r="B5684" s="170" t="s">
        <v>2381</v>
      </c>
      <c r="J5684" s="78"/>
    </row>
    <row r="5685" spans="2:10">
      <c r="B5685" s="95" t="s">
        <v>2369</v>
      </c>
      <c r="C5685" s="148" t="s">
        <v>2378</v>
      </c>
      <c r="D5685" s="175"/>
      <c r="E5685" s="175"/>
      <c r="F5685" s="95" t="s">
        <v>2370</v>
      </c>
      <c r="G5685" s="95" t="s">
        <v>1166</v>
      </c>
      <c r="H5685" s="95" t="s">
        <v>6664</v>
      </c>
      <c r="I5685" s="95" t="s">
        <v>6665</v>
      </c>
      <c r="J5685" s="78"/>
    </row>
    <row r="5686" spans="2:10">
      <c r="B5686" s="191"/>
      <c r="C5686" s="89"/>
      <c r="D5686" s="174"/>
      <c r="E5686" s="174"/>
      <c r="F5686" s="191"/>
      <c r="G5686" s="114"/>
      <c r="H5686" s="114" t="s">
        <v>3856</v>
      </c>
      <c r="I5686" s="114" t="s">
        <v>3857</v>
      </c>
      <c r="J5686" s="78"/>
    </row>
    <row r="5687" spans="2:10">
      <c r="B5687" s="95">
        <v>1</v>
      </c>
      <c r="C5687" s="148" t="s">
        <v>4203</v>
      </c>
      <c r="D5687" s="187"/>
      <c r="E5687" s="187"/>
      <c r="F5687" s="107" t="s">
        <v>1172</v>
      </c>
      <c r="G5687" s="107">
        <v>2</v>
      </c>
      <c r="H5687" s="207">
        <f>'BASIC DATA'!$C$541</f>
        <v>400</v>
      </c>
      <c r="I5687" s="179">
        <f>H5687*G5687</f>
        <v>800</v>
      </c>
      <c r="J5687" s="78"/>
    </row>
    <row r="5688" spans="2:10">
      <c r="B5688" s="114">
        <v>2</v>
      </c>
      <c r="C5688" s="89" t="s">
        <v>2697</v>
      </c>
      <c r="D5688" s="174"/>
      <c r="E5688" s="174"/>
      <c r="F5688" s="191" t="s">
        <v>1172</v>
      </c>
      <c r="G5688" s="191">
        <v>6</v>
      </c>
      <c r="H5688" s="207">
        <f>'BASIC DATA'!$C$552</f>
        <v>350</v>
      </c>
      <c r="I5688" s="179">
        <f>H5688*G5688</f>
        <v>2100</v>
      </c>
      <c r="J5688" s="78"/>
    </row>
    <row r="5689" spans="2:10">
      <c r="B5689" s="184"/>
      <c r="C5689" s="151"/>
      <c r="D5689" s="159"/>
      <c r="E5689" s="159" t="s">
        <v>1174</v>
      </c>
      <c r="F5689" s="159"/>
      <c r="G5689" s="193"/>
      <c r="H5689" s="208" t="s">
        <v>1698</v>
      </c>
      <c r="I5689" s="282">
        <f>SUM(I5687:I5688)</f>
        <v>2900</v>
      </c>
      <c r="J5689" s="78"/>
    </row>
    <row r="5690" spans="2:10">
      <c r="B5690" s="60" t="s">
        <v>5948</v>
      </c>
      <c r="C5690" s="76"/>
      <c r="D5690" s="31"/>
      <c r="E5690" s="31"/>
      <c r="F5690" s="31"/>
      <c r="G5690" s="85">
        <f>ROUND(I5689/H5670,1)</f>
        <v>29</v>
      </c>
      <c r="J5690" s="78"/>
    </row>
    <row r="5691" spans="2:10">
      <c r="B5691" s="60" t="s">
        <v>3163</v>
      </c>
      <c r="C5691" s="76"/>
      <c r="D5691" s="31"/>
      <c r="E5691" s="31"/>
      <c r="F5691" s="922">
        <f>'BASIC DATA'!$C$577</f>
        <v>0.13614999999999999</v>
      </c>
      <c r="G5691" s="85">
        <f>ROUND(G5690*F5691,1)</f>
        <v>3.9</v>
      </c>
      <c r="J5691" s="78"/>
    </row>
    <row r="5692" spans="2:10">
      <c r="B5692" s="60" t="s">
        <v>5949</v>
      </c>
      <c r="C5692" s="76"/>
      <c r="D5692" s="31"/>
      <c r="E5692" s="31"/>
      <c r="F5692" s="31"/>
      <c r="G5692" s="199">
        <f>ROUND(G5691+G5690,1)</f>
        <v>32.9</v>
      </c>
      <c r="J5692" s="78"/>
    </row>
    <row r="5693" spans="2:10">
      <c r="B5693" s="31"/>
      <c r="C5693" s="76"/>
      <c r="D5693" s="31"/>
      <c r="E5693" s="31"/>
      <c r="F5693" s="200"/>
      <c r="G5693" s="200"/>
      <c r="I5693" s="31"/>
      <c r="J5693" s="78"/>
    </row>
    <row r="5694" spans="2:10">
      <c r="B5694" s="170" t="s">
        <v>1175</v>
      </c>
      <c r="J5694" s="78"/>
    </row>
    <row r="5695" spans="2:10">
      <c r="B5695" s="26" t="s">
        <v>1176</v>
      </c>
      <c r="H5695" s="171" t="s">
        <v>1698</v>
      </c>
      <c r="I5695" s="68">
        <f>I5675</f>
        <v>60000</v>
      </c>
      <c r="J5695" s="78"/>
    </row>
    <row r="5696" spans="2:10">
      <c r="B5696" s="26" t="s">
        <v>1186</v>
      </c>
      <c r="H5696" s="171" t="s">
        <v>1698</v>
      </c>
      <c r="I5696" s="68">
        <f>I5682</f>
        <v>0</v>
      </c>
      <c r="J5696" s="78"/>
    </row>
    <row r="5697" spans="1:10">
      <c r="B5697" s="26" t="s">
        <v>2660</v>
      </c>
      <c r="H5697" s="171" t="s">
        <v>1698</v>
      </c>
      <c r="I5697" s="68">
        <f>I5689</f>
        <v>2900</v>
      </c>
      <c r="J5697" s="78"/>
    </row>
    <row r="5698" spans="1:10">
      <c r="G5698" s="171" t="s">
        <v>1518</v>
      </c>
      <c r="H5698" s="171" t="s">
        <v>1698</v>
      </c>
      <c r="I5698" s="205">
        <f>SUM(I5695:I5697)</f>
        <v>62900</v>
      </c>
      <c r="J5698" s="78"/>
    </row>
    <row r="5699" spans="1:10" ht="18.75">
      <c r="B5699" s="1207" t="s">
        <v>8375</v>
      </c>
      <c r="C5699" s="1207"/>
      <c r="D5699" s="1207"/>
      <c r="E5699" s="1207"/>
      <c r="F5699" s="1207"/>
      <c r="G5699" s="922">
        <f>'BASIC DATA'!$C$577</f>
        <v>0.13614999999999999</v>
      </c>
      <c r="H5699" s="171" t="s">
        <v>4108</v>
      </c>
      <c r="I5699" s="76">
        <f>ROUND(I5698*G5699,2)</f>
        <v>8563.84</v>
      </c>
      <c r="J5699" s="78"/>
    </row>
    <row r="5700" spans="1:10">
      <c r="B5700" s="1206" t="s">
        <v>1191</v>
      </c>
      <c r="C5700" s="1206"/>
      <c r="D5700" s="1206"/>
      <c r="E5700" s="1206"/>
      <c r="F5700" s="202">
        <f>H5670</f>
        <v>100</v>
      </c>
      <c r="G5700" s="202" t="str">
        <f>I5670</f>
        <v>Rm</v>
      </c>
      <c r="H5700" s="171" t="s">
        <v>1698</v>
      </c>
      <c r="I5700" s="199">
        <f>I5699+I5698</f>
        <v>71463.839999999997</v>
      </c>
      <c r="J5700" s="78"/>
    </row>
    <row r="5701" spans="1:10">
      <c r="B5701" s="1161" t="s">
        <v>3884</v>
      </c>
      <c r="C5701" s="1161"/>
      <c r="D5701" s="246" t="str">
        <f>G5700</f>
        <v>Rm</v>
      </c>
      <c r="F5701" s="26" t="s">
        <v>1380</v>
      </c>
      <c r="H5701" s="171" t="s">
        <v>1698</v>
      </c>
      <c r="I5701" s="204">
        <f>ROUND(I5700/F5700,1)</f>
        <v>714.6</v>
      </c>
      <c r="J5701" s="78"/>
    </row>
    <row r="5702" spans="1:10">
      <c r="H5702" s="171"/>
      <c r="I5702" s="68"/>
      <c r="J5702" s="78"/>
    </row>
    <row r="5703" spans="1:10">
      <c r="A5703" s="822" t="s">
        <v>7405</v>
      </c>
      <c r="B5703" s="170" t="s">
        <v>2241</v>
      </c>
      <c r="J5703" s="78"/>
    </row>
    <row r="5704" spans="1:10">
      <c r="J5704" s="78"/>
    </row>
    <row r="5705" spans="1:10" ht="18.75">
      <c r="A5705" s="822" t="s">
        <v>7373</v>
      </c>
      <c r="B5705" s="26" t="s">
        <v>8550</v>
      </c>
      <c r="J5705" s="78"/>
    </row>
    <row r="5706" spans="1:10" ht="18.75">
      <c r="B5706" s="26" t="s">
        <v>8551</v>
      </c>
      <c r="J5706" s="78"/>
    </row>
    <row r="5707" spans="1:10">
      <c r="B5707" s="26" t="s">
        <v>6544</v>
      </c>
      <c r="J5707" s="78"/>
    </row>
    <row r="5708" spans="1:10">
      <c r="B5708" s="26" t="s">
        <v>6545</v>
      </c>
      <c r="J5708" s="78"/>
    </row>
    <row r="5709" spans="1:10">
      <c r="B5709" s="26" t="s">
        <v>6546</v>
      </c>
      <c r="J5709" s="78"/>
    </row>
    <row r="5710" spans="1:10">
      <c r="B5710" s="26" t="s">
        <v>792</v>
      </c>
      <c r="J5710" s="78"/>
    </row>
    <row r="5711" spans="1:10">
      <c r="B5711" s="26" t="s">
        <v>793</v>
      </c>
      <c r="J5711" s="78"/>
    </row>
    <row r="5712" spans="1:10" ht="18.75">
      <c r="B5712" s="170" t="s">
        <v>8552</v>
      </c>
      <c r="J5712" s="78"/>
    </row>
    <row r="5713" spans="1:10">
      <c r="B5713" s="170" t="s">
        <v>6868</v>
      </c>
      <c r="J5713" s="78"/>
    </row>
    <row r="5714" spans="1:10">
      <c r="B5714" s="170" t="s">
        <v>6867</v>
      </c>
      <c r="J5714" s="78"/>
    </row>
    <row r="5715" spans="1:10" hidden="1">
      <c r="A5715" s="822" t="s">
        <v>3984</v>
      </c>
      <c r="B5715" s="26" t="s">
        <v>794</v>
      </c>
      <c r="J5715" s="78"/>
    </row>
    <row r="5716" spans="1:10"/>
    <row r="5717" spans="1:10"/>
    <row r="5718" spans="1:10"/>
    <row r="5719" spans="1:10"/>
    <row r="5720" spans="1:10"/>
    <row r="5721" spans="1:10"/>
    <row r="5722" spans="1:10"/>
    <row r="5723" spans="1:10"/>
    <row r="5724" spans="1:10"/>
    <row r="5725" spans="1:10"/>
    <row r="5726" spans="1:10"/>
    <row r="5727" spans="1:10"/>
    <row r="5728" spans="1:10"/>
    <row r="5729" spans="2:10" hidden="1"/>
    <row r="5730" spans="2:10" hidden="1"/>
    <row r="5731" spans="2:10" hidden="1"/>
    <row r="5732" spans="2:10" hidden="1"/>
    <row r="5733" spans="2:10" hidden="1"/>
    <row r="5734" spans="2:10" hidden="1">
      <c r="B5734" s="26" t="s">
        <v>795</v>
      </c>
      <c r="J5734" s="78"/>
    </row>
    <row r="5735" spans="2:10" hidden="1">
      <c r="B5735" s="26" t="s">
        <v>6055</v>
      </c>
      <c r="G5735" s="171" t="s">
        <v>1697</v>
      </c>
      <c r="H5735" s="26">
        <v>0.76500000000000001</v>
      </c>
      <c r="I5735" s="26" t="s">
        <v>3477</v>
      </c>
      <c r="J5735" s="78"/>
    </row>
    <row r="5736" spans="2:10" hidden="1">
      <c r="B5736" s="26" t="s">
        <v>6056</v>
      </c>
      <c r="G5736" s="171" t="s">
        <v>1697</v>
      </c>
      <c r="H5736" s="26">
        <v>3.3029999999999999</v>
      </c>
      <c r="I5736" s="26" t="s">
        <v>3477</v>
      </c>
      <c r="J5736" s="78"/>
    </row>
    <row r="5737" spans="2:10" hidden="1">
      <c r="B5737" s="26" t="s">
        <v>284</v>
      </c>
      <c r="G5737" s="171" t="s">
        <v>1697</v>
      </c>
      <c r="H5737" s="26">
        <v>0.34599999999999997</v>
      </c>
      <c r="I5737" s="26" t="s">
        <v>3477</v>
      </c>
      <c r="J5737" s="78"/>
    </row>
    <row r="5738" spans="2:10" hidden="1">
      <c r="B5738" s="26" t="s">
        <v>285</v>
      </c>
      <c r="G5738" s="171" t="s">
        <v>1697</v>
      </c>
      <c r="H5738" s="26">
        <v>2.5000000000000001E-2</v>
      </c>
      <c r="I5738" s="26" t="s">
        <v>3477</v>
      </c>
      <c r="J5738" s="78"/>
    </row>
    <row r="5739" spans="2:10" hidden="1">
      <c r="F5739" s="26" t="s">
        <v>1518</v>
      </c>
      <c r="G5739" s="171" t="s">
        <v>1697</v>
      </c>
      <c r="H5739" s="159">
        <f>SUM(H5735:H5738)</f>
        <v>4.4390000000000001</v>
      </c>
      <c r="I5739" s="26" t="s">
        <v>3477</v>
      </c>
      <c r="J5739" s="78"/>
    </row>
    <row r="5740" spans="2:10" hidden="1">
      <c r="B5740" s="26" t="s">
        <v>286</v>
      </c>
      <c r="J5740" s="78"/>
    </row>
    <row r="5741" spans="2:10" hidden="1">
      <c r="B5741" s="26" t="s">
        <v>287</v>
      </c>
      <c r="J5741" s="78"/>
    </row>
    <row r="5742" spans="2:10" hidden="1">
      <c r="B5742" s="26" t="s">
        <v>402</v>
      </c>
      <c r="J5742" s="78"/>
    </row>
    <row r="5743" spans="2:10" hidden="1">
      <c r="B5743" s="26" t="s">
        <v>403</v>
      </c>
      <c r="E5743" s="26" t="s">
        <v>6866</v>
      </c>
      <c r="H5743" s="68">
        <f>H5739*300</f>
        <v>1331.7</v>
      </c>
      <c r="I5743" s="26" t="s">
        <v>3478</v>
      </c>
      <c r="J5743" s="78"/>
    </row>
    <row r="5744" spans="2:10" hidden="1">
      <c r="B5744" s="26" t="s">
        <v>404</v>
      </c>
      <c r="E5744" s="26" t="s">
        <v>6097</v>
      </c>
      <c r="H5744" s="68">
        <f>H5739*0.8*0.65</f>
        <v>2.3082800000000003</v>
      </c>
      <c r="I5744" s="26" t="s">
        <v>3477</v>
      </c>
      <c r="J5744" s="78"/>
    </row>
    <row r="5745" spans="1:10" hidden="1">
      <c r="B5745" s="26" t="s">
        <v>5088</v>
      </c>
      <c r="E5745" s="26" t="s">
        <v>6098</v>
      </c>
      <c r="H5745" s="68">
        <f>H5739*0.8*0.35</f>
        <v>1.24292</v>
      </c>
      <c r="I5745" s="26" t="s">
        <v>3477</v>
      </c>
      <c r="J5745" s="78"/>
    </row>
    <row r="5746" spans="1:10" hidden="1">
      <c r="B5746" s="26" t="s">
        <v>3414</v>
      </c>
      <c r="E5746" s="26" t="s">
        <v>6099</v>
      </c>
      <c r="H5746" s="68">
        <f>H5739*0.44</f>
        <v>1.95316</v>
      </c>
      <c r="I5746" s="26" t="s">
        <v>3477</v>
      </c>
      <c r="J5746" s="78"/>
    </row>
    <row r="5747" spans="1:10" hidden="1">
      <c r="A5747" s="853"/>
      <c r="B5747" s="61" t="s">
        <v>4282</v>
      </c>
      <c r="C5747" s="125"/>
      <c r="D5747" s="61"/>
      <c r="E5747" s="61"/>
      <c r="F5747" s="61"/>
      <c r="G5747" s="61"/>
      <c r="H5747" s="223">
        <f>H5743*0.4%</f>
        <v>5.3268000000000004</v>
      </c>
      <c r="I5747" s="61" t="s">
        <v>3478</v>
      </c>
      <c r="J5747" s="78"/>
    </row>
    <row r="5748" spans="1:10" hidden="1">
      <c r="A5748" s="853"/>
      <c r="B5748" s="61" t="s">
        <v>6100</v>
      </c>
      <c r="C5748" s="125"/>
      <c r="D5748" s="61"/>
      <c r="E5748" s="61"/>
      <c r="F5748" s="61"/>
      <c r="G5748" s="61"/>
      <c r="H5748" s="223"/>
      <c r="I5748" s="61"/>
      <c r="J5748" s="78"/>
    </row>
    <row r="5749" spans="1:10" hidden="1">
      <c r="B5749" s="61" t="s">
        <v>6101</v>
      </c>
      <c r="E5749" s="26" t="s">
        <v>405</v>
      </c>
      <c r="H5749" s="68">
        <v>17.27</v>
      </c>
      <c r="I5749" s="26" t="s">
        <v>3478</v>
      </c>
      <c r="J5749" s="78"/>
    </row>
    <row r="5750" spans="1:10" hidden="1">
      <c r="B5750" s="26" t="s">
        <v>406</v>
      </c>
      <c r="E5750" s="26" t="s">
        <v>3351</v>
      </c>
      <c r="H5750" s="68">
        <v>3.03</v>
      </c>
      <c r="I5750" s="26" t="s">
        <v>3478</v>
      </c>
      <c r="J5750" s="78"/>
    </row>
    <row r="5751" spans="1:10" hidden="1">
      <c r="B5751" s="26" t="s">
        <v>3352</v>
      </c>
      <c r="E5751" s="26" t="s">
        <v>3353</v>
      </c>
      <c r="H5751" s="68">
        <v>80.099999999999994</v>
      </c>
      <c r="I5751" s="26" t="s">
        <v>3478</v>
      </c>
      <c r="J5751" s="78"/>
    </row>
    <row r="5752" spans="1:10" hidden="1">
      <c r="B5752" s="26" t="s">
        <v>3354</v>
      </c>
      <c r="E5752" s="26" t="s">
        <v>3355</v>
      </c>
      <c r="H5752" s="68">
        <v>33.1</v>
      </c>
      <c r="I5752" s="26" t="s">
        <v>3478</v>
      </c>
      <c r="J5752" s="78"/>
    </row>
    <row r="5753" spans="1:10" hidden="1">
      <c r="B5753" s="26" t="s">
        <v>3356</v>
      </c>
      <c r="E5753" s="26" t="s">
        <v>3357</v>
      </c>
      <c r="H5753" s="68">
        <v>7.12</v>
      </c>
      <c r="I5753" s="26" t="s">
        <v>3478</v>
      </c>
      <c r="J5753" s="78"/>
    </row>
    <row r="5754" spans="1:10" hidden="1">
      <c r="B5754" s="26" t="s">
        <v>3358</v>
      </c>
      <c r="E5754" s="26" t="s">
        <v>3359</v>
      </c>
      <c r="H5754" s="68">
        <v>12.28</v>
      </c>
      <c r="I5754" s="26" t="s">
        <v>3478</v>
      </c>
      <c r="J5754" s="78"/>
    </row>
    <row r="5755" spans="1:10" hidden="1">
      <c r="B5755" s="26" t="s">
        <v>3360</v>
      </c>
      <c r="E5755" s="26" t="s">
        <v>2173</v>
      </c>
      <c r="H5755" s="68">
        <v>3</v>
      </c>
      <c r="I5755" s="26" t="s">
        <v>3478</v>
      </c>
      <c r="J5755" s="78"/>
    </row>
    <row r="5756" spans="1:10" hidden="1">
      <c r="H5756" s="205">
        <v>155.9</v>
      </c>
      <c r="I5756" s="26" t="s">
        <v>3033</v>
      </c>
      <c r="J5756" s="78"/>
    </row>
    <row r="5757" spans="1:10" hidden="1">
      <c r="A5757" s="853"/>
      <c r="B5757" s="61" t="s">
        <v>6102</v>
      </c>
      <c r="C5757" s="125"/>
      <c r="D5757" s="61"/>
      <c r="E5757" s="291">
        <v>0.05</v>
      </c>
      <c r="F5757" s="61"/>
      <c r="G5757" s="61"/>
      <c r="H5757" s="223">
        <f>H5756*E5757</f>
        <v>7.7950000000000008</v>
      </c>
      <c r="I5757" s="61" t="s">
        <v>3478</v>
      </c>
      <c r="J5757" s="78"/>
    </row>
    <row r="5758" spans="1:10" hidden="1">
      <c r="E5758" s="26" t="s">
        <v>2392</v>
      </c>
      <c r="G5758" s="26" t="s">
        <v>1564</v>
      </c>
      <c r="H5758" s="205">
        <f>H5757+H5756</f>
        <v>163.69499999999999</v>
      </c>
      <c r="I5758" s="26" t="s">
        <v>3478</v>
      </c>
      <c r="J5758" s="78"/>
    </row>
    <row r="5759" spans="1:10" hidden="1">
      <c r="B5759" s="26" t="s">
        <v>2451</v>
      </c>
      <c r="H5759" s="68">
        <v>25.64</v>
      </c>
      <c r="I5759" s="26" t="s">
        <v>3479</v>
      </c>
      <c r="J5759" s="78"/>
    </row>
    <row r="5760" spans="1:10" hidden="1">
      <c r="B5760" s="26" t="s">
        <v>2452</v>
      </c>
      <c r="H5760" s="68">
        <v>8.4</v>
      </c>
      <c r="I5760" s="26" t="s">
        <v>3479</v>
      </c>
      <c r="J5760" s="78"/>
    </row>
    <row r="5761" spans="1:10" hidden="1">
      <c r="B5761" s="26" t="s">
        <v>2453</v>
      </c>
      <c r="H5761" s="68">
        <v>1.1299999999999999</v>
      </c>
      <c r="I5761" s="26" t="s">
        <v>3479</v>
      </c>
      <c r="J5761" s="78"/>
    </row>
    <row r="5762" spans="1:10" hidden="1">
      <c r="B5762" s="26" t="s">
        <v>2454</v>
      </c>
      <c r="H5762" s="68">
        <v>36</v>
      </c>
      <c r="I5762" s="26" t="s">
        <v>3479</v>
      </c>
      <c r="J5762" s="78"/>
    </row>
    <row r="5763" spans="1:10" hidden="1">
      <c r="B5763" s="26" t="s">
        <v>594</v>
      </c>
      <c r="G5763" s="171" t="s">
        <v>1698</v>
      </c>
      <c r="H5763" s="68">
        <f>H1604</f>
        <v>216.75</v>
      </c>
      <c r="J5763" s="78"/>
    </row>
    <row r="5764" spans="1:10" hidden="1">
      <c r="B5764" s="26" t="s">
        <v>595</v>
      </c>
      <c r="H5764" s="27" t="s">
        <v>1698</v>
      </c>
      <c r="I5764" s="117">
        <f>H1621</f>
        <v>88.5</v>
      </c>
      <c r="J5764" s="78"/>
    </row>
    <row r="5765" spans="1:10">
      <c r="J5765" s="78"/>
    </row>
    <row r="5766" spans="1:10">
      <c r="A5766" s="822" t="s">
        <v>3984</v>
      </c>
      <c r="E5766" s="170" t="s">
        <v>2367</v>
      </c>
      <c r="J5766" s="78"/>
    </row>
    <row r="5767" spans="1:10">
      <c r="J5767" s="78"/>
    </row>
    <row r="5768" spans="1:10">
      <c r="B5768" s="170" t="s">
        <v>2368</v>
      </c>
      <c r="G5768" s="26" t="s">
        <v>3476</v>
      </c>
      <c r="H5768" s="170">
        <v>1</v>
      </c>
      <c r="I5768" s="26" t="s">
        <v>3481</v>
      </c>
      <c r="J5768" s="78"/>
    </row>
    <row r="5769" spans="1:10">
      <c r="B5769" s="95" t="s">
        <v>2369</v>
      </c>
      <c r="C5769" s="148" t="s">
        <v>4443</v>
      </c>
      <c r="D5769" s="175"/>
      <c r="E5769" s="175"/>
      <c r="F5769" s="95" t="s">
        <v>2370</v>
      </c>
      <c r="G5769" s="95" t="s">
        <v>1166</v>
      </c>
      <c r="H5769" s="95" t="s">
        <v>6664</v>
      </c>
      <c r="I5769" s="95" t="s">
        <v>6665</v>
      </c>
      <c r="J5769" s="78"/>
    </row>
    <row r="5770" spans="1:10">
      <c r="B5770" s="191"/>
      <c r="C5770" s="89"/>
      <c r="D5770" s="174"/>
      <c r="E5770" s="174"/>
      <c r="F5770" s="191"/>
      <c r="G5770" s="114"/>
      <c r="H5770" s="114" t="s">
        <v>3856</v>
      </c>
      <c r="I5770" s="114" t="s">
        <v>3857</v>
      </c>
      <c r="J5770" s="78"/>
    </row>
    <row r="5771" spans="1:10">
      <c r="B5771" s="95">
        <v>1</v>
      </c>
      <c r="C5771" s="148" t="s">
        <v>5853</v>
      </c>
      <c r="D5771" s="187"/>
      <c r="E5771" s="187"/>
      <c r="F5771" s="107" t="s">
        <v>3478</v>
      </c>
      <c r="G5771" s="179">
        <f>H5743</f>
        <v>1331.7</v>
      </c>
      <c r="H5771" s="218">
        <f>'BASIC DATA'!$D$32/1000</f>
        <v>5.35</v>
      </c>
      <c r="I5771" s="179">
        <f t="shared" ref="I5771:I5780" si="105">H5771*G5771</f>
        <v>7124.5949999999993</v>
      </c>
      <c r="J5771" s="78"/>
    </row>
    <row r="5772" spans="1:10">
      <c r="B5772" s="105"/>
      <c r="C5772" s="76" t="s">
        <v>7212</v>
      </c>
      <c r="D5772" s="31"/>
      <c r="E5772" s="31"/>
      <c r="F5772" s="210" t="s">
        <v>3478</v>
      </c>
      <c r="G5772" s="190">
        <f>H5739*3</f>
        <v>13.317</v>
      </c>
      <c r="H5772" s="218">
        <f>'BASIC DATA'!$D$32/1000</f>
        <v>5.35</v>
      </c>
      <c r="I5772" s="179">
        <f t="shared" si="105"/>
        <v>71.245949999999993</v>
      </c>
      <c r="J5772" s="78"/>
    </row>
    <row r="5773" spans="1:10">
      <c r="B5773" s="105">
        <v>2</v>
      </c>
      <c r="C5773" s="76" t="s">
        <v>2455</v>
      </c>
      <c r="D5773" s="31"/>
      <c r="E5773" s="31"/>
      <c r="F5773" s="210" t="s">
        <v>3477</v>
      </c>
      <c r="G5773" s="190">
        <f>H5744</f>
        <v>2.3082800000000003</v>
      </c>
      <c r="H5773" s="214">
        <f>'BASIC DATA'!$D$35</f>
        <v>1225</v>
      </c>
      <c r="I5773" s="179">
        <f t="shared" si="105"/>
        <v>2827.6430000000005</v>
      </c>
      <c r="J5773" s="78"/>
    </row>
    <row r="5774" spans="1:10">
      <c r="B5774" s="105"/>
      <c r="C5774" s="76" t="s">
        <v>2456</v>
      </c>
      <c r="D5774" s="31"/>
      <c r="E5774" s="31"/>
      <c r="F5774" s="210" t="s">
        <v>3477</v>
      </c>
      <c r="G5774" s="190">
        <f>H5745</f>
        <v>1.24292</v>
      </c>
      <c r="H5774" s="220">
        <f>'BASIC DATA'!$D$34</f>
        <v>900</v>
      </c>
      <c r="I5774" s="179">
        <f t="shared" si="105"/>
        <v>1118.6279999999999</v>
      </c>
      <c r="J5774" s="78"/>
    </row>
    <row r="5775" spans="1:10">
      <c r="A5775" s="853"/>
      <c r="B5775" s="240">
        <v>3</v>
      </c>
      <c r="C5775" s="101" t="s">
        <v>7935</v>
      </c>
      <c r="D5775" s="60"/>
      <c r="E5775" s="60"/>
      <c r="F5775" s="254" t="s">
        <v>3477</v>
      </c>
      <c r="G5775" s="255">
        <f>H5746</f>
        <v>1.95316</v>
      </c>
      <c r="H5775" s="256">
        <f>'BASIC DATA'!$D$55</f>
        <v>95</v>
      </c>
      <c r="I5775" s="281">
        <f t="shared" si="105"/>
        <v>185.55019999999999</v>
      </c>
      <c r="J5775" s="62"/>
    </row>
    <row r="5776" spans="1:10">
      <c r="B5776" s="105">
        <v>4</v>
      </c>
      <c r="C5776" s="76" t="s">
        <v>4282</v>
      </c>
      <c r="D5776" s="31"/>
      <c r="E5776" s="31"/>
      <c r="F5776" s="210" t="s">
        <v>3478</v>
      </c>
      <c r="G5776" s="190">
        <f>H5747*H5739</f>
        <v>23.645665200000003</v>
      </c>
      <c r="H5776" s="256">
        <f>'BASIC DATA'!$D$99</f>
        <v>55</v>
      </c>
      <c r="I5776" s="179">
        <f t="shared" si="105"/>
        <v>1300.5115860000001</v>
      </c>
      <c r="J5776" s="78"/>
    </row>
    <row r="5777" spans="2:10">
      <c r="B5777" s="105">
        <v>5</v>
      </c>
      <c r="C5777" s="76" t="s">
        <v>6103</v>
      </c>
      <c r="D5777" s="31"/>
      <c r="E5777" s="31"/>
      <c r="F5777" s="210" t="s">
        <v>3478</v>
      </c>
      <c r="G5777" s="190">
        <f>H5758</f>
        <v>163.69499999999999</v>
      </c>
      <c r="H5777" s="220">
        <f>'BASIC DATA'!$D$91/1000</f>
        <v>34</v>
      </c>
      <c r="I5777" s="179">
        <f t="shared" si="105"/>
        <v>5565.63</v>
      </c>
      <c r="J5777" s="78"/>
    </row>
    <row r="5778" spans="2:10">
      <c r="B5778" s="105">
        <v>6</v>
      </c>
      <c r="C5778" s="76" t="s">
        <v>5730</v>
      </c>
      <c r="D5778" s="31"/>
      <c r="E5778" s="31"/>
      <c r="F5778" s="210" t="s">
        <v>3478</v>
      </c>
      <c r="G5778" s="190">
        <v>4</v>
      </c>
      <c r="H5778" s="214">
        <f>'BASIC DATA'!$D$30</f>
        <v>60</v>
      </c>
      <c r="I5778" s="179">
        <f t="shared" si="105"/>
        <v>240</v>
      </c>
      <c r="J5778" s="78"/>
    </row>
    <row r="5779" spans="2:10">
      <c r="B5779" s="105">
        <v>7</v>
      </c>
      <c r="C5779" s="76" t="s">
        <v>2457</v>
      </c>
      <c r="D5779" s="31"/>
      <c r="E5779" s="31"/>
      <c r="F5779" s="210" t="s">
        <v>3483</v>
      </c>
      <c r="G5779" s="190">
        <v>1</v>
      </c>
      <c r="H5779" s="214">
        <f>'BASIC DATA'!$D$74</f>
        <v>600</v>
      </c>
      <c r="I5779" s="179">
        <f t="shared" si="105"/>
        <v>600</v>
      </c>
      <c r="J5779" s="78"/>
    </row>
    <row r="5780" spans="2:10">
      <c r="B5780" s="105">
        <v>8</v>
      </c>
      <c r="C5780" s="76" t="s">
        <v>5315</v>
      </c>
      <c r="D5780" s="31"/>
      <c r="E5780" s="31"/>
      <c r="F5780" s="210" t="s">
        <v>3479</v>
      </c>
      <c r="G5780" s="190">
        <v>36</v>
      </c>
      <c r="H5780" s="214">
        <f>H5763</f>
        <v>216.75</v>
      </c>
      <c r="I5780" s="179">
        <f t="shared" si="105"/>
        <v>7803</v>
      </c>
      <c r="J5780" s="78"/>
    </row>
    <row r="5781" spans="2:10">
      <c r="B5781" s="105">
        <v>9</v>
      </c>
      <c r="C5781" s="76" t="s">
        <v>6722</v>
      </c>
      <c r="D5781" s="31"/>
      <c r="E5781" s="31"/>
      <c r="F5781" s="213">
        <v>0.05</v>
      </c>
      <c r="G5781" s="190"/>
      <c r="H5781" s="214"/>
      <c r="I5781" s="190">
        <f>I5780*F5781</f>
        <v>390.15000000000003</v>
      </c>
      <c r="J5781" s="78"/>
    </row>
    <row r="5782" spans="2:10">
      <c r="B5782" s="114">
        <v>10</v>
      </c>
      <c r="C5782" s="89" t="s">
        <v>2373</v>
      </c>
      <c r="D5782" s="174"/>
      <c r="E5782" s="174"/>
      <c r="F5782" s="191" t="s">
        <v>2173</v>
      </c>
      <c r="G5782" s="182">
        <v>2</v>
      </c>
      <c r="H5782" s="257">
        <f>'BASIC DATA'!$D$359</f>
        <v>30</v>
      </c>
      <c r="I5782" s="179">
        <f>H5782*G5782</f>
        <v>60</v>
      </c>
      <c r="J5782" s="78"/>
    </row>
    <row r="5783" spans="2:10">
      <c r="B5783" s="184"/>
      <c r="C5783" s="151"/>
      <c r="D5783" s="159"/>
      <c r="E5783" s="159"/>
      <c r="F5783" s="159" t="s">
        <v>2376</v>
      </c>
      <c r="G5783" s="205"/>
      <c r="H5783" s="216" t="s">
        <v>1698</v>
      </c>
      <c r="I5783" s="282">
        <f>SUM(I5771:I5782)</f>
        <v>27286.953736000003</v>
      </c>
      <c r="J5783" s="78"/>
    </row>
    <row r="5784" spans="2:10">
      <c r="B5784" s="31"/>
      <c r="C5784" s="76"/>
      <c r="D5784" s="31"/>
      <c r="E5784" s="31"/>
      <c r="F5784" s="31"/>
      <c r="G5784" s="75"/>
      <c r="H5784" s="294"/>
      <c r="I5784" s="75"/>
      <c r="J5784" s="78"/>
    </row>
    <row r="5785" spans="2:10">
      <c r="B5785" s="170" t="s">
        <v>2377</v>
      </c>
      <c r="J5785" s="78"/>
    </row>
    <row r="5786" spans="2:10">
      <c r="B5786" s="95" t="s">
        <v>2369</v>
      </c>
      <c r="C5786" s="148" t="s">
        <v>2378</v>
      </c>
      <c r="D5786" s="175"/>
      <c r="E5786" s="175"/>
      <c r="F5786" s="95" t="s">
        <v>2370</v>
      </c>
      <c r="G5786" s="95" t="s">
        <v>1166</v>
      </c>
      <c r="H5786" s="95" t="s">
        <v>6664</v>
      </c>
      <c r="I5786" s="95" t="s">
        <v>6665</v>
      </c>
      <c r="J5786" s="78"/>
    </row>
    <row r="5787" spans="2:10">
      <c r="B5787" s="191"/>
      <c r="C5787" s="89"/>
      <c r="D5787" s="174"/>
      <c r="E5787" s="174"/>
      <c r="F5787" s="191"/>
      <c r="G5787" s="114"/>
      <c r="H5787" s="114" t="s">
        <v>3856</v>
      </c>
      <c r="I5787" s="114" t="s">
        <v>3857</v>
      </c>
      <c r="J5787" s="78"/>
    </row>
    <row r="5788" spans="2:10">
      <c r="B5788" s="95">
        <v>1</v>
      </c>
      <c r="C5788" s="148" t="s">
        <v>2458</v>
      </c>
      <c r="D5788" s="187"/>
      <c r="E5788" s="187"/>
      <c r="F5788" s="107" t="s">
        <v>2374</v>
      </c>
      <c r="G5788" s="179">
        <v>4</v>
      </c>
      <c r="H5788" s="218">
        <f>'HIRE CHARGES'!$D$508</f>
        <v>51.7</v>
      </c>
      <c r="I5788" s="179">
        <f t="shared" ref="I5788:I5794" si="106">H5788*G5788</f>
        <v>206.8</v>
      </c>
      <c r="J5788" s="78"/>
    </row>
    <row r="5789" spans="2:10">
      <c r="B5789" s="105"/>
      <c r="C5789" s="76" t="s">
        <v>2379</v>
      </c>
      <c r="D5789" s="31"/>
      <c r="E5789" s="31"/>
      <c r="F5789" s="107" t="s">
        <v>2374</v>
      </c>
      <c r="G5789" s="190">
        <v>4</v>
      </c>
      <c r="H5789" s="220">
        <f>'HIRE CHARGES'!$E$508</f>
        <v>28</v>
      </c>
      <c r="I5789" s="179">
        <f t="shared" si="106"/>
        <v>112</v>
      </c>
      <c r="J5789" s="78"/>
    </row>
    <row r="5790" spans="2:10">
      <c r="B5790" s="105">
        <v>2</v>
      </c>
      <c r="C5790" s="76" t="s">
        <v>6642</v>
      </c>
      <c r="D5790" s="31"/>
      <c r="E5790" s="31"/>
      <c r="F5790" s="107" t="s">
        <v>2374</v>
      </c>
      <c r="G5790" s="190">
        <v>4</v>
      </c>
      <c r="H5790" s="220">
        <f>'HIRE CHARGES'!$D$532</f>
        <v>8</v>
      </c>
      <c r="I5790" s="179">
        <f t="shared" si="106"/>
        <v>32</v>
      </c>
      <c r="J5790" s="78"/>
    </row>
    <row r="5791" spans="2:10">
      <c r="B5791" s="105"/>
      <c r="C5791" s="76" t="s">
        <v>2379</v>
      </c>
      <c r="D5791" s="31"/>
      <c r="E5791" s="31"/>
      <c r="F5791" s="107" t="s">
        <v>2374</v>
      </c>
      <c r="G5791" s="190">
        <v>4</v>
      </c>
      <c r="H5791" s="257">
        <f>'HIRE CHARGES'!$E$532</f>
        <v>5.6</v>
      </c>
      <c r="I5791" s="179">
        <f t="shared" si="106"/>
        <v>22.4</v>
      </c>
      <c r="J5791" s="78"/>
    </row>
    <row r="5792" spans="2:10">
      <c r="B5792" s="105">
        <v>3</v>
      </c>
      <c r="C5792" s="76" t="s">
        <v>4497</v>
      </c>
      <c r="D5792" s="31"/>
      <c r="E5792" s="31"/>
      <c r="F5792" s="107" t="s">
        <v>2374</v>
      </c>
      <c r="G5792" s="190">
        <v>0.5</v>
      </c>
      <c r="H5792" s="220">
        <f>'HIRE CHARGES'!$D$518</f>
        <v>3</v>
      </c>
      <c r="I5792" s="179">
        <f t="shared" si="106"/>
        <v>1.5</v>
      </c>
      <c r="J5792" s="78"/>
    </row>
    <row r="5793" spans="2:10">
      <c r="B5793" s="105"/>
      <c r="C5793" s="76" t="s">
        <v>2379</v>
      </c>
      <c r="D5793" s="31"/>
      <c r="E5793" s="31"/>
      <c r="F5793" s="107" t="s">
        <v>2374</v>
      </c>
      <c r="G5793" s="190">
        <v>0.5</v>
      </c>
      <c r="H5793" s="257">
        <f>'HIRE CHARGES'!$E$518</f>
        <v>28</v>
      </c>
      <c r="I5793" s="179">
        <f t="shared" si="106"/>
        <v>14</v>
      </c>
      <c r="J5793" s="78"/>
    </row>
    <row r="5794" spans="2:10">
      <c r="B5794" s="114">
        <v>4</v>
      </c>
      <c r="C5794" s="89" t="s">
        <v>2373</v>
      </c>
      <c r="D5794" s="174"/>
      <c r="E5794" s="174"/>
      <c r="F5794" s="107" t="s">
        <v>2173</v>
      </c>
      <c r="G5794" s="182">
        <v>1</v>
      </c>
      <c r="H5794" s="257">
        <f>'BASIC DATA'!$D$359</f>
        <v>30</v>
      </c>
      <c r="I5794" s="179">
        <f t="shared" si="106"/>
        <v>30</v>
      </c>
      <c r="J5794" s="78"/>
    </row>
    <row r="5795" spans="2:10">
      <c r="B5795" s="184"/>
      <c r="C5795" s="151"/>
      <c r="D5795" s="159" t="s">
        <v>2380</v>
      </c>
      <c r="E5795" s="159"/>
      <c r="F5795" s="159"/>
      <c r="G5795" s="205"/>
      <c r="H5795" s="216" t="s">
        <v>1698</v>
      </c>
      <c r="I5795" s="282">
        <f>SUM(I5788:I5794)</f>
        <v>418.7</v>
      </c>
      <c r="J5795" s="78"/>
    </row>
    <row r="5796" spans="2:10">
      <c r="B5796" s="31"/>
      <c r="C5796" s="76"/>
      <c r="D5796" s="31"/>
      <c r="E5796" s="31"/>
      <c r="F5796" s="31"/>
      <c r="G5796" s="75"/>
      <c r="H5796" s="294"/>
      <c r="I5796" s="75"/>
      <c r="J5796" s="78"/>
    </row>
    <row r="5797" spans="2:10">
      <c r="B5797" s="170" t="s">
        <v>2381</v>
      </c>
      <c r="J5797" s="78"/>
    </row>
    <row r="5798" spans="2:10">
      <c r="B5798" s="95" t="s">
        <v>2369</v>
      </c>
      <c r="C5798" s="148" t="s">
        <v>2378</v>
      </c>
      <c r="D5798" s="175"/>
      <c r="E5798" s="175"/>
      <c r="F5798" s="95" t="s">
        <v>2370</v>
      </c>
      <c r="G5798" s="95" t="s">
        <v>1166</v>
      </c>
      <c r="H5798" s="95" t="s">
        <v>6664</v>
      </c>
      <c r="I5798" s="95" t="s">
        <v>6665</v>
      </c>
      <c r="J5798" s="78"/>
    </row>
    <row r="5799" spans="2:10">
      <c r="B5799" s="191"/>
      <c r="C5799" s="89"/>
      <c r="D5799" s="174"/>
      <c r="E5799" s="174"/>
      <c r="F5799" s="191"/>
      <c r="G5799" s="114"/>
      <c r="H5799" s="114" t="s">
        <v>3856</v>
      </c>
      <c r="I5799" s="114" t="s">
        <v>3857</v>
      </c>
      <c r="J5799" s="78"/>
    </row>
    <row r="5800" spans="2:10">
      <c r="B5800" s="95">
        <v>1</v>
      </c>
      <c r="C5800" s="148" t="s">
        <v>4203</v>
      </c>
      <c r="D5800" s="187"/>
      <c r="E5800" s="187"/>
      <c r="F5800" s="107" t="s">
        <v>1172</v>
      </c>
      <c r="G5800" s="179">
        <v>1</v>
      </c>
      <c r="H5800" s="207">
        <f>'BASIC DATA'!$C$541</f>
        <v>400</v>
      </c>
      <c r="I5800" s="179">
        <f>H5800*G5800</f>
        <v>400</v>
      </c>
      <c r="J5800" s="78"/>
    </row>
    <row r="5801" spans="2:10">
      <c r="B5801" s="105">
        <v>2</v>
      </c>
      <c r="C5801" s="76" t="s">
        <v>3836</v>
      </c>
      <c r="D5801" s="31"/>
      <c r="E5801" s="31"/>
      <c r="F5801" s="210" t="s">
        <v>1172</v>
      </c>
      <c r="G5801" s="190">
        <v>1</v>
      </c>
      <c r="H5801" s="207">
        <f>'BASIC DATA'!$C$464</f>
        <v>555</v>
      </c>
      <c r="I5801" s="179">
        <f>H5801*G5801</f>
        <v>555</v>
      </c>
      <c r="J5801" s="78"/>
    </row>
    <row r="5802" spans="2:10">
      <c r="B5802" s="105">
        <v>3</v>
      </c>
      <c r="C5802" s="76" t="s">
        <v>4206</v>
      </c>
      <c r="D5802" s="31"/>
      <c r="E5802" s="31"/>
      <c r="F5802" s="210" t="s">
        <v>1172</v>
      </c>
      <c r="G5802" s="190">
        <v>1</v>
      </c>
      <c r="H5802" s="190">
        <f>'BASIC DATA'!$C$473</f>
        <v>450</v>
      </c>
      <c r="I5802" s="179">
        <f>H5802*G5802</f>
        <v>450</v>
      </c>
      <c r="J5802" s="78"/>
    </row>
    <row r="5803" spans="2:10">
      <c r="B5803" s="105">
        <v>4</v>
      </c>
      <c r="C5803" s="76" t="s">
        <v>2697</v>
      </c>
      <c r="D5803" s="31"/>
      <c r="E5803" s="31"/>
      <c r="F5803" s="210"/>
      <c r="G5803" s="190"/>
      <c r="H5803" s="190"/>
      <c r="I5803" s="190"/>
      <c r="J5803" s="78"/>
    </row>
    <row r="5804" spans="2:10">
      <c r="B5804" s="105"/>
      <c r="C5804" s="76" t="s">
        <v>4953</v>
      </c>
      <c r="D5804" s="31"/>
      <c r="E5804" s="31"/>
      <c r="F5804" s="210" t="s">
        <v>1172</v>
      </c>
      <c r="G5804" s="190">
        <v>2</v>
      </c>
      <c r="H5804" s="207">
        <f>'BASIC DATA'!$C$552</f>
        <v>350</v>
      </c>
      <c r="I5804" s="179">
        <f t="shared" ref="I5804:I5810" si="107">H5804*G5804</f>
        <v>700</v>
      </c>
      <c r="J5804" s="78"/>
    </row>
    <row r="5805" spans="2:10">
      <c r="B5805" s="105"/>
      <c r="C5805" s="76" t="s">
        <v>2459</v>
      </c>
      <c r="D5805" s="31"/>
      <c r="E5805" s="31"/>
      <c r="F5805" s="210" t="s">
        <v>1172</v>
      </c>
      <c r="G5805" s="190">
        <v>1</v>
      </c>
      <c r="H5805" s="207">
        <f>'BASIC DATA'!$C$552</f>
        <v>350</v>
      </c>
      <c r="I5805" s="179">
        <f t="shared" si="107"/>
        <v>350</v>
      </c>
      <c r="J5805" s="78"/>
    </row>
    <row r="5806" spans="2:10">
      <c r="B5806" s="105"/>
      <c r="C5806" s="76" t="s">
        <v>2460</v>
      </c>
      <c r="D5806" s="31"/>
      <c r="E5806" s="31"/>
      <c r="F5806" s="210" t="s">
        <v>1172</v>
      </c>
      <c r="G5806" s="190">
        <v>5</v>
      </c>
      <c r="H5806" s="207">
        <f>'BASIC DATA'!$C$552</f>
        <v>350</v>
      </c>
      <c r="I5806" s="179">
        <f t="shared" si="107"/>
        <v>1750</v>
      </c>
      <c r="J5806" s="78"/>
    </row>
    <row r="5807" spans="2:10">
      <c r="B5807" s="105"/>
      <c r="C5807" s="76" t="s">
        <v>4953</v>
      </c>
      <c r="D5807" s="31"/>
      <c r="E5807" s="31"/>
      <c r="F5807" s="210" t="s">
        <v>1172</v>
      </c>
      <c r="G5807" s="190">
        <v>2</v>
      </c>
      <c r="H5807" s="207">
        <f>'BASIC DATA'!$C$552</f>
        <v>350</v>
      </c>
      <c r="I5807" s="179">
        <f t="shared" si="107"/>
        <v>700</v>
      </c>
      <c r="J5807" s="78"/>
    </row>
    <row r="5808" spans="2:10">
      <c r="B5808" s="105"/>
      <c r="C5808" s="76" t="s">
        <v>2460</v>
      </c>
      <c r="D5808" s="31"/>
      <c r="E5808" s="31"/>
      <c r="F5808" s="210" t="s">
        <v>1172</v>
      </c>
      <c r="G5808" s="190">
        <v>4</v>
      </c>
      <c r="H5808" s="207">
        <f>'BASIC DATA'!$C$552</f>
        <v>350</v>
      </c>
      <c r="I5808" s="179">
        <f t="shared" si="107"/>
        <v>1400</v>
      </c>
      <c r="J5808" s="78"/>
    </row>
    <row r="5809" spans="2:10">
      <c r="B5809" s="105"/>
      <c r="C5809" s="76" t="s">
        <v>2461</v>
      </c>
      <c r="D5809" s="31"/>
      <c r="E5809" s="31"/>
      <c r="F5809" s="210" t="s">
        <v>1172</v>
      </c>
      <c r="G5809" s="190">
        <v>1</v>
      </c>
      <c r="H5809" s="207">
        <f>'BASIC DATA'!$C$552</f>
        <v>350</v>
      </c>
      <c r="I5809" s="179">
        <f t="shared" si="107"/>
        <v>350</v>
      </c>
      <c r="J5809" s="78"/>
    </row>
    <row r="5810" spans="2:10">
      <c r="B5810" s="114">
        <v>5</v>
      </c>
      <c r="C5810" s="89" t="s">
        <v>2126</v>
      </c>
      <c r="D5810" s="174"/>
      <c r="E5810" s="174"/>
      <c r="F5810" s="191" t="s">
        <v>3479</v>
      </c>
      <c r="G5810" s="182">
        <v>36</v>
      </c>
      <c r="H5810" s="182">
        <f>I5764</f>
        <v>88.5</v>
      </c>
      <c r="I5810" s="179">
        <f t="shared" si="107"/>
        <v>3186</v>
      </c>
      <c r="J5810" s="78"/>
    </row>
    <row r="5811" spans="2:10">
      <c r="B5811" s="184"/>
      <c r="C5811" s="151"/>
      <c r="D5811" s="159"/>
      <c r="E5811" s="159" t="s">
        <v>1174</v>
      </c>
      <c r="F5811" s="159"/>
      <c r="G5811" s="159"/>
      <c r="H5811" s="208" t="s">
        <v>1698</v>
      </c>
      <c r="I5811" s="282">
        <f>SUM(I5800:I5810)</f>
        <v>9841</v>
      </c>
      <c r="J5811" s="78"/>
    </row>
    <row r="5812" spans="2:10">
      <c r="B5812" s="60" t="s">
        <v>5948</v>
      </c>
      <c r="C5812" s="76"/>
      <c r="D5812" s="31"/>
      <c r="E5812" s="31"/>
      <c r="F5812" s="31"/>
      <c r="G5812" s="85">
        <f>ROUND(I5811/H5768,1)</f>
        <v>9841</v>
      </c>
      <c r="J5812" s="78"/>
    </row>
    <row r="5813" spans="2:10">
      <c r="B5813" s="60" t="s">
        <v>3163</v>
      </c>
      <c r="C5813" s="76"/>
      <c r="D5813" s="31"/>
      <c r="E5813" s="31"/>
      <c r="F5813" s="922">
        <f>'BASIC DATA'!$C$577</f>
        <v>0.13614999999999999</v>
      </c>
      <c r="G5813" s="85">
        <f>ROUND(G5812*F5813,1)</f>
        <v>1339.9</v>
      </c>
      <c r="J5813" s="78"/>
    </row>
    <row r="5814" spans="2:10">
      <c r="B5814" s="60" t="s">
        <v>5949</v>
      </c>
      <c r="C5814" s="76"/>
      <c r="D5814" s="31"/>
      <c r="E5814" s="31"/>
      <c r="F5814" s="31"/>
      <c r="G5814" s="199">
        <f>ROUND(G5813+G5812,1)</f>
        <v>11180.9</v>
      </c>
      <c r="J5814" s="78"/>
    </row>
    <row r="5815" spans="2:10">
      <c r="B5815" s="31"/>
      <c r="C5815" s="76"/>
      <c r="D5815" s="31"/>
      <c r="E5815" s="31"/>
      <c r="F5815" s="31"/>
      <c r="G5815" s="31"/>
      <c r="H5815" s="200"/>
      <c r="I5815" s="75"/>
      <c r="J5815" s="78"/>
    </row>
    <row r="5816" spans="2:10">
      <c r="B5816" s="170" t="s">
        <v>1175</v>
      </c>
      <c r="J5816" s="78"/>
    </row>
    <row r="5817" spans="2:10">
      <c r="B5817" s="26" t="s">
        <v>1176</v>
      </c>
      <c r="H5817" s="171" t="s">
        <v>1698</v>
      </c>
      <c r="I5817" s="68">
        <f>I5783</f>
        <v>27286.953736000003</v>
      </c>
      <c r="J5817" s="78"/>
    </row>
    <row r="5818" spans="2:10">
      <c r="B5818" s="26" t="s">
        <v>1186</v>
      </c>
      <c r="H5818" s="171" t="s">
        <v>1698</v>
      </c>
      <c r="I5818" s="68">
        <f>I5795</f>
        <v>418.7</v>
      </c>
      <c r="J5818" s="78"/>
    </row>
    <row r="5819" spans="2:10">
      <c r="B5819" s="26" t="s">
        <v>2660</v>
      </c>
      <c r="H5819" s="171" t="s">
        <v>1698</v>
      </c>
      <c r="I5819" s="68">
        <f>I5811</f>
        <v>9841</v>
      </c>
      <c r="J5819" s="78"/>
    </row>
    <row r="5820" spans="2:10">
      <c r="G5820" s="171" t="s">
        <v>1518</v>
      </c>
      <c r="H5820" s="171" t="s">
        <v>1698</v>
      </c>
      <c r="I5820" s="205">
        <f>SUM(I5817:I5819)</f>
        <v>37546.653736000007</v>
      </c>
      <c r="J5820" s="78"/>
    </row>
    <row r="5821" spans="2:10" ht="18.75">
      <c r="B5821" s="1207" t="s">
        <v>8375</v>
      </c>
      <c r="C5821" s="1207"/>
      <c r="D5821" s="1207"/>
      <c r="E5821" s="1207"/>
      <c r="F5821" s="1207"/>
      <c r="G5821" s="922">
        <f>'BASIC DATA'!$C$577</f>
        <v>0.13614999999999999</v>
      </c>
      <c r="H5821" s="171" t="s">
        <v>4108</v>
      </c>
      <c r="I5821" s="76">
        <f>ROUND(I5820*G5821,2)</f>
        <v>5111.9799999999996</v>
      </c>
      <c r="J5821" s="78"/>
    </row>
    <row r="5822" spans="2:10">
      <c r="B5822" s="27" t="s">
        <v>9590</v>
      </c>
      <c r="C5822" s="43"/>
      <c r="D5822" s="43"/>
      <c r="E5822" s="43"/>
      <c r="F5822" s="779">
        <f>G5775</f>
        <v>1.95316</v>
      </c>
      <c r="G5822" s="201" t="s">
        <v>9591</v>
      </c>
      <c r="H5822" s="68" t="str">
        <f>CONCATENATE((leadcharges!$D$65)," ","Rs./Cum")</f>
        <v>31.5 Rs./Cum</v>
      </c>
      <c r="I5822" s="76">
        <f>leadcharges!$D$65*F5822</f>
        <v>61.524540000000002</v>
      </c>
      <c r="J5822" s="78"/>
    </row>
    <row r="5823" spans="2:10">
      <c r="B5823" s="27" t="s">
        <v>9589</v>
      </c>
      <c r="C5823" s="43"/>
      <c r="D5823" s="43"/>
      <c r="E5823" s="43"/>
      <c r="F5823" s="779">
        <f>SUM(G5773:G5774)</f>
        <v>3.5512000000000006</v>
      </c>
      <c r="G5823" s="201" t="s">
        <v>9591</v>
      </c>
      <c r="H5823" s="68" t="str">
        <f>CONCATENATE((leadcharges!$E$65)," ","Rs./Cum")</f>
        <v>30.4 Rs./Cum</v>
      </c>
      <c r="I5823" s="85">
        <f>leadcharges!$E$65*F5823</f>
        <v>107.95648000000001</v>
      </c>
      <c r="J5823" s="78"/>
    </row>
    <row r="5824" spans="2:10" ht="40.5" hidden="1" customHeight="1">
      <c r="B5824" s="1207"/>
      <c r="C5824" s="1207"/>
      <c r="D5824" s="1207"/>
      <c r="E5824" s="1207"/>
      <c r="F5824" s="779"/>
      <c r="G5824" s="201"/>
      <c r="H5824" s="68"/>
      <c r="I5824" s="76"/>
      <c r="J5824" s="78"/>
    </row>
    <row r="5825" spans="1:10" ht="40.5" customHeight="1">
      <c r="B5825" s="1207" t="s">
        <v>9611</v>
      </c>
      <c r="C5825" s="1207"/>
      <c r="D5825" s="1207"/>
      <c r="E5825" s="1207"/>
      <c r="F5825" s="779">
        <f>G5777/1000</f>
        <v>0.16369499999999998</v>
      </c>
      <c r="G5825" s="201" t="s">
        <v>9592</v>
      </c>
      <c r="H5825" s="68" t="str">
        <f>CONCATENATE((leadcharges!$F$65+leadcharges!$G$78+leadcharges!$G$79)," ","Rs./Tonne")</f>
        <v>168.6 Rs./Tonne</v>
      </c>
      <c r="I5825" s="76">
        <f>(leadcharges!$F$65+leadcharges!$G$78+leadcharges!$G$79)*F5825</f>
        <v>27.598976999999994</v>
      </c>
      <c r="J5825" s="78"/>
    </row>
    <row r="5826" spans="1:10">
      <c r="B5826" s="1206" t="s">
        <v>1191</v>
      </c>
      <c r="C5826" s="1206"/>
      <c r="D5826" s="1206"/>
      <c r="E5826" s="1206"/>
      <c r="F5826" s="202">
        <f>H5768</f>
        <v>1</v>
      </c>
      <c r="G5826" s="217" t="str">
        <f>I5768</f>
        <v>Each</v>
      </c>
      <c r="H5826" s="171" t="s">
        <v>1698</v>
      </c>
      <c r="I5826" s="199">
        <f>SUM(I5820:I5825)</f>
        <v>42855.713733000004</v>
      </c>
      <c r="J5826" s="78"/>
    </row>
    <row r="5827" spans="1:10">
      <c r="B5827" s="1161" t="s">
        <v>3884</v>
      </c>
      <c r="C5827" s="1161"/>
      <c r="D5827" s="246" t="s">
        <v>3481</v>
      </c>
      <c r="F5827" s="26" t="s">
        <v>1324</v>
      </c>
      <c r="H5827" s="171" t="s">
        <v>1698</v>
      </c>
      <c r="I5827" s="204">
        <f>ROUND(I5826/F5826,1)</f>
        <v>42855.7</v>
      </c>
      <c r="J5827" s="78"/>
    </row>
    <row r="5828" spans="1:10">
      <c r="J5828" s="78"/>
    </row>
    <row r="5829" spans="1:10">
      <c r="J5829" s="78"/>
    </row>
    <row r="5830" spans="1:10" ht="18.75">
      <c r="A5830" s="822" t="s">
        <v>7374</v>
      </c>
      <c r="B5830" s="26" t="s">
        <v>8553</v>
      </c>
      <c r="J5830" s="78"/>
    </row>
    <row r="5831" spans="1:10">
      <c r="B5831" s="26" t="s">
        <v>2629</v>
      </c>
      <c r="J5831" s="78"/>
    </row>
    <row r="5832" spans="1:10">
      <c r="B5832" s="26" t="s">
        <v>2630</v>
      </c>
      <c r="J5832" s="78"/>
    </row>
    <row r="5833" spans="1:10" ht="18.75">
      <c r="B5833" s="26" t="s">
        <v>8554</v>
      </c>
      <c r="J5833" s="78"/>
    </row>
    <row r="5834" spans="1:10" hidden="1">
      <c r="A5834" s="822" t="s">
        <v>3984</v>
      </c>
      <c r="B5834" s="26" t="s">
        <v>5342</v>
      </c>
      <c r="G5834" s="171" t="s">
        <v>1697</v>
      </c>
      <c r="H5834" s="68">
        <v>1</v>
      </c>
      <c r="I5834" s="26" t="s">
        <v>2602</v>
      </c>
      <c r="J5834" s="78"/>
    </row>
    <row r="5835" spans="1:10" hidden="1">
      <c r="B5835" s="26" t="s">
        <v>5343</v>
      </c>
      <c r="G5835" s="171" t="s">
        <v>1697</v>
      </c>
      <c r="H5835" s="68">
        <v>1</v>
      </c>
      <c r="I5835" s="26" t="s">
        <v>2631</v>
      </c>
      <c r="J5835" s="78"/>
    </row>
    <row r="5836" spans="1:10" hidden="1">
      <c r="B5836" s="26" t="s">
        <v>5593</v>
      </c>
      <c r="G5836" s="171" t="s">
        <v>1697</v>
      </c>
      <c r="H5836" s="68">
        <v>1.3</v>
      </c>
      <c r="I5836" s="26" t="s">
        <v>2602</v>
      </c>
      <c r="J5836" s="78"/>
    </row>
    <row r="5837" spans="1:10" hidden="1">
      <c r="B5837" s="26" t="s">
        <v>6003</v>
      </c>
      <c r="G5837" s="171" t="s">
        <v>1697</v>
      </c>
      <c r="H5837" s="68">
        <v>2.2999999999999998</v>
      </c>
      <c r="I5837" s="26" t="s">
        <v>2602</v>
      </c>
      <c r="J5837" s="78"/>
    </row>
    <row r="5838" spans="1:10" hidden="1">
      <c r="B5838" s="26" t="s">
        <v>2632</v>
      </c>
      <c r="G5838" s="171" t="s">
        <v>1697</v>
      </c>
      <c r="H5838" s="68">
        <v>2.145</v>
      </c>
      <c r="I5838" s="26" t="s">
        <v>3479</v>
      </c>
      <c r="J5838" s="78"/>
    </row>
    <row r="5839" spans="1:10" hidden="1">
      <c r="B5839" s="26" t="s">
        <v>5595</v>
      </c>
      <c r="G5839" s="171" t="s">
        <v>1697</v>
      </c>
      <c r="H5839" s="68">
        <v>20</v>
      </c>
      <c r="I5839" s="26" t="s">
        <v>3135</v>
      </c>
      <c r="J5839" s="78"/>
    </row>
    <row r="5840" spans="1:10" hidden="1">
      <c r="B5840" s="26" t="s">
        <v>5596</v>
      </c>
      <c r="G5840" s="171" t="s">
        <v>1697</v>
      </c>
      <c r="H5840" s="68">
        <v>20</v>
      </c>
      <c r="I5840" s="26" t="s">
        <v>3135</v>
      </c>
      <c r="J5840" s="78"/>
    </row>
    <row r="5841" spans="2:10" hidden="1">
      <c r="B5841" s="26" t="s">
        <v>5597</v>
      </c>
      <c r="G5841" s="171"/>
      <c r="J5841" s="78"/>
    </row>
    <row r="5842" spans="2:10" hidden="1">
      <c r="B5842" s="26" t="s">
        <v>2633</v>
      </c>
      <c r="G5842" s="171" t="s">
        <v>1697</v>
      </c>
      <c r="H5842" s="171" t="s">
        <v>2634</v>
      </c>
      <c r="I5842" s="26" t="s">
        <v>2602</v>
      </c>
      <c r="J5842" s="78"/>
    </row>
    <row r="5843" spans="2:10" hidden="1">
      <c r="B5843" s="26" t="s">
        <v>2635</v>
      </c>
      <c r="G5843" s="171"/>
      <c r="J5843" s="78"/>
    </row>
    <row r="5844" spans="2:10" hidden="1">
      <c r="B5844" s="26" t="s">
        <v>6604</v>
      </c>
      <c r="G5844" s="171" t="s">
        <v>1697</v>
      </c>
      <c r="H5844" s="171">
        <v>19.850000000000001</v>
      </c>
      <c r="I5844" s="26" t="s">
        <v>3477</v>
      </c>
      <c r="J5844" s="78"/>
    </row>
    <row r="5845" spans="2:10" hidden="1">
      <c r="B5845" s="26" t="s">
        <v>3205</v>
      </c>
      <c r="J5845" s="78"/>
    </row>
    <row r="5846" spans="2:10" hidden="1">
      <c r="B5846" s="26" t="s">
        <v>4575</v>
      </c>
      <c r="J5846" s="78"/>
    </row>
    <row r="5847" spans="2:10" hidden="1">
      <c r="B5847" s="26" t="s">
        <v>6605</v>
      </c>
      <c r="H5847" s="68">
        <v>32.65</v>
      </c>
      <c r="I5847" s="26" t="s">
        <v>3477</v>
      </c>
      <c r="J5847" s="78"/>
    </row>
    <row r="5848" spans="2:10" hidden="1">
      <c r="B5848" s="26" t="s">
        <v>4576</v>
      </c>
      <c r="J5848" s="78"/>
    </row>
    <row r="5849" spans="2:10" hidden="1">
      <c r="B5849" s="26" t="s">
        <v>4577</v>
      </c>
      <c r="J5849" s="78"/>
    </row>
    <row r="5850" spans="2:10" hidden="1">
      <c r="B5850" s="26" t="s">
        <v>6606</v>
      </c>
      <c r="H5850" s="68">
        <v>47.5</v>
      </c>
      <c r="I5850" s="26" t="s">
        <v>5336</v>
      </c>
      <c r="J5850" s="78"/>
    </row>
    <row r="5851" spans="2:10" hidden="1">
      <c r="B5851" s="26" t="s">
        <v>5815</v>
      </c>
      <c r="J5851" s="78"/>
    </row>
    <row r="5852" spans="2:10" hidden="1">
      <c r="B5852" s="26" t="s">
        <v>5174</v>
      </c>
      <c r="J5852" s="78"/>
    </row>
    <row r="5853" spans="2:10" hidden="1">
      <c r="B5853" s="26" t="s">
        <v>2697</v>
      </c>
      <c r="H5853" s="68">
        <v>16</v>
      </c>
      <c r="I5853" s="26" t="s">
        <v>4041</v>
      </c>
      <c r="J5853" s="78"/>
    </row>
    <row r="5854" spans="2:10" hidden="1">
      <c r="B5854" s="26" t="s">
        <v>6261</v>
      </c>
      <c r="J5854" s="78"/>
    </row>
    <row r="5855" spans="2:10" hidden="1">
      <c r="B5855" s="26" t="s">
        <v>2697</v>
      </c>
      <c r="H5855" s="68">
        <v>14</v>
      </c>
      <c r="I5855" s="26" t="s">
        <v>4041</v>
      </c>
      <c r="J5855" s="78"/>
    </row>
    <row r="5856" spans="2:10" hidden="1">
      <c r="B5856" s="26" t="s">
        <v>6054</v>
      </c>
      <c r="J5856" s="78"/>
    </row>
    <row r="5857" spans="1:10" hidden="1">
      <c r="B5857" s="26" t="s">
        <v>2697</v>
      </c>
      <c r="H5857" s="68">
        <v>8</v>
      </c>
      <c r="I5857" s="26" t="s">
        <v>4041</v>
      </c>
      <c r="J5857" s="78"/>
    </row>
    <row r="5858" spans="1:10" hidden="1">
      <c r="B5858" s="26" t="s">
        <v>4206</v>
      </c>
      <c r="H5858" s="68">
        <v>1</v>
      </c>
      <c r="I5858" s="26" t="s">
        <v>4089</v>
      </c>
      <c r="J5858" s="78"/>
    </row>
    <row r="5859" spans="1:10">
      <c r="J5859" s="78"/>
    </row>
    <row r="5860" spans="1:10">
      <c r="A5860" s="822" t="s">
        <v>3984</v>
      </c>
      <c r="E5860" s="170" t="s">
        <v>2367</v>
      </c>
      <c r="J5860" s="78"/>
    </row>
    <row r="5861" spans="1:10">
      <c r="J5861" s="78"/>
    </row>
    <row r="5862" spans="1:10">
      <c r="B5862" s="170" t="s">
        <v>2368</v>
      </c>
      <c r="G5862" s="26" t="s">
        <v>297</v>
      </c>
      <c r="H5862" s="170">
        <v>100</v>
      </c>
      <c r="I5862" s="26" t="s">
        <v>3477</v>
      </c>
      <c r="J5862" s="78"/>
    </row>
    <row r="5863" spans="1:10">
      <c r="B5863" s="95" t="s">
        <v>2369</v>
      </c>
      <c r="C5863" s="148" t="s">
        <v>4443</v>
      </c>
      <c r="D5863" s="175"/>
      <c r="E5863" s="175"/>
      <c r="F5863" s="95" t="s">
        <v>2370</v>
      </c>
      <c r="G5863" s="95" t="s">
        <v>1166</v>
      </c>
      <c r="H5863" s="95" t="s">
        <v>6664</v>
      </c>
      <c r="I5863" s="95" t="s">
        <v>6665</v>
      </c>
      <c r="J5863" s="78"/>
    </row>
    <row r="5864" spans="1:10">
      <c r="B5864" s="191"/>
      <c r="C5864" s="89"/>
      <c r="D5864" s="174"/>
      <c r="E5864" s="174"/>
      <c r="F5864" s="191"/>
      <c r="G5864" s="114"/>
      <c r="H5864" s="114" t="s">
        <v>3856</v>
      </c>
      <c r="I5864" s="114" t="s">
        <v>3857</v>
      </c>
      <c r="J5864" s="78"/>
    </row>
    <row r="5865" spans="1:10">
      <c r="A5865" s="853"/>
      <c r="B5865" s="295">
        <v>1</v>
      </c>
      <c r="C5865" s="101" t="s">
        <v>7935</v>
      </c>
      <c r="D5865" s="296"/>
      <c r="E5865" s="296"/>
      <c r="F5865" s="297" t="s">
        <v>3477</v>
      </c>
      <c r="G5865" s="281">
        <v>47.5</v>
      </c>
      <c r="H5865" s="298">
        <f>'BASIC DATA'!$D$55</f>
        <v>95</v>
      </c>
      <c r="I5865" s="281">
        <f>H5865*G5865</f>
        <v>4512.5</v>
      </c>
      <c r="J5865" s="62"/>
    </row>
    <row r="5866" spans="1:10">
      <c r="B5866" s="105">
        <v>2</v>
      </c>
      <c r="C5866" s="76" t="s">
        <v>6997</v>
      </c>
      <c r="D5866" s="31"/>
      <c r="E5866" s="31"/>
      <c r="F5866" s="210" t="s">
        <v>3477</v>
      </c>
      <c r="G5866" s="26">
        <f>0.9*19.85</f>
        <v>17.865000000000002</v>
      </c>
      <c r="H5866" s="220">
        <f>'BASIC DATA'!$D$37</f>
        <v>650</v>
      </c>
      <c r="I5866" s="179">
        <f>H5866*G5866</f>
        <v>11612.250000000002</v>
      </c>
      <c r="J5866" s="78"/>
    </row>
    <row r="5867" spans="1:10">
      <c r="B5867" s="105">
        <v>3</v>
      </c>
      <c r="C5867" s="76" t="s">
        <v>6996</v>
      </c>
      <c r="D5867" s="31"/>
      <c r="E5867" s="31"/>
      <c r="F5867" s="210" t="s">
        <v>3477</v>
      </c>
      <c r="G5867" s="190">
        <f>0.1*19.85</f>
        <v>1.9850000000000003</v>
      </c>
      <c r="H5867" s="220">
        <f>'BASIC DATA'!$D$36</f>
        <v>1175</v>
      </c>
      <c r="I5867" s="179">
        <f>H5867*G5867</f>
        <v>2332.3750000000005</v>
      </c>
      <c r="J5867" s="78"/>
    </row>
    <row r="5868" spans="1:10">
      <c r="B5868" s="105">
        <v>4</v>
      </c>
      <c r="C5868" s="76" t="s">
        <v>6995</v>
      </c>
      <c r="D5868" s="31"/>
      <c r="E5868" s="31"/>
      <c r="F5868" s="210" t="s">
        <v>3477</v>
      </c>
      <c r="G5868" s="190">
        <f>0.75*32.65</f>
        <v>24.487499999999997</v>
      </c>
      <c r="H5868" s="220">
        <f>'BASIC DATA'!$D$35</f>
        <v>1225</v>
      </c>
      <c r="I5868" s="179">
        <f>H5868*G5868</f>
        <v>29997.187499999996</v>
      </c>
      <c r="J5868" s="78"/>
    </row>
    <row r="5869" spans="1:10">
      <c r="B5869" s="114">
        <v>5</v>
      </c>
      <c r="C5869" s="89" t="s">
        <v>570</v>
      </c>
      <c r="D5869" s="174"/>
      <c r="E5869" s="174"/>
      <c r="F5869" s="191" t="s">
        <v>3477</v>
      </c>
      <c r="G5869" s="182">
        <f>0.25*32.65</f>
        <v>8.1624999999999996</v>
      </c>
      <c r="H5869" s="220">
        <f>'BASIC DATA'!$D$34</f>
        <v>900</v>
      </c>
      <c r="I5869" s="179">
        <f>H5869*G5869</f>
        <v>7346.25</v>
      </c>
      <c r="J5869" s="78"/>
    </row>
    <row r="5870" spans="1:10">
      <c r="B5870" s="184"/>
      <c r="C5870" s="151"/>
      <c r="D5870" s="159"/>
      <c r="E5870" s="159" t="s">
        <v>2376</v>
      </c>
      <c r="F5870" s="159"/>
      <c r="G5870" s="159"/>
      <c r="H5870" s="208" t="s">
        <v>1698</v>
      </c>
      <c r="I5870" s="282">
        <f>SUM(I5865:I5869)</f>
        <v>55800.5625</v>
      </c>
      <c r="J5870" s="78"/>
    </row>
    <row r="5871" spans="1:10">
      <c r="B5871" s="31"/>
      <c r="C5871" s="76"/>
      <c r="D5871" s="31"/>
      <c r="E5871" s="31"/>
      <c r="F5871" s="31"/>
      <c r="G5871" s="31"/>
      <c r="H5871" s="200"/>
      <c r="I5871" s="75"/>
      <c r="J5871" s="78"/>
    </row>
    <row r="5872" spans="1:10">
      <c r="B5872" s="170" t="s">
        <v>2377</v>
      </c>
      <c r="J5872" s="78"/>
    </row>
    <row r="5873" spans="2:10">
      <c r="B5873" s="95" t="s">
        <v>2369</v>
      </c>
      <c r="C5873" s="148" t="s">
        <v>2378</v>
      </c>
      <c r="D5873" s="175"/>
      <c r="E5873" s="175"/>
      <c r="F5873" s="95" t="s">
        <v>2370</v>
      </c>
      <c r="G5873" s="95" t="s">
        <v>1166</v>
      </c>
      <c r="H5873" s="95" t="s">
        <v>6664</v>
      </c>
      <c r="I5873" s="95" t="s">
        <v>6665</v>
      </c>
      <c r="J5873" s="78"/>
    </row>
    <row r="5874" spans="2:10">
      <c r="B5874" s="191"/>
      <c r="C5874" s="89"/>
      <c r="D5874" s="174"/>
      <c r="E5874" s="174"/>
      <c r="F5874" s="191"/>
      <c r="G5874" s="114"/>
      <c r="H5874" s="114" t="s">
        <v>3856</v>
      </c>
      <c r="I5874" s="114" t="s">
        <v>3857</v>
      </c>
      <c r="J5874" s="78"/>
    </row>
    <row r="5875" spans="2:10">
      <c r="B5875" s="95">
        <v>1</v>
      </c>
      <c r="C5875" s="148" t="s">
        <v>6976</v>
      </c>
      <c r="D5875" s="187"/>
      <c r="E5875" s="187"/>
      <c r="F5875" s="107"/>
      <c r="G5875" s="179">
        <v>0</v>
      </c>
      <c r="H5875" s="179">
        <v>0</v>
      </c>
      <c r="I5875" s="179">
        <f>H5875*G5875</f>
        <v>0</v>
      </c>
      <c r="J5875" s="78"/>
    </row>
    <row r="5876" spans="2:10">
      <c r="B5876" s="191"/>
      <c r="C5876" s="89"/>
      <c r="D5876" s="174"/>
      <c r="E5876" s="174"/>
      <c r="F5876" s="191"/>
      <c r="G5876" s="182">
        <v>0</v>
      </c>
      <c r="H5876" s="182">
        <v>0</v>
      </c>
      <c r="I5876" s="179">
        <f>H5876*G5876</f>
        <v>0</v>
      </c>
      <c r="J5876" s="78"/>
    </row>
    <row r="5877" spans="2:10">
      <c r="B5877" s="184"/>
      <c r="C5877" s="151"/>
      <c r="D5877" s="159"/>
      <c r="E5877" s="159" t="s">
        <v>2380</v>
      </c>
      <c r="F5877" s="159"/>
      <c r="G5877" s="159"/>
      <c r="H5877" s="208" t="s">
        <v>1698</v>
      </c>
      <c r="I5877" s="282">
        <f>SUM(I5875:I5876)</f>
        <v>0</v>
      </c>
      <c r="J5877" s="78"/>
    </row>
    <row r="5878" spans="2:10">
      <c r="B5878" s="31"/>
      <c r="C5878" s="76"/>
      <c r="D5878" s="31"/>
      <c r="E5878" s="31"/>
      <c r="F5878" s="31"/>
      <c r="G5878" s="31"/>
      <c r="H5878" s="200"/>
      <c r="I5878" s="75"/>
      <c r="J5878" s="78"/>
    </row>
    <row r="5879" spans="2:10">
      <c r="B5879" s="170" t="s">
        <v>2381</v>
      </c>
      <c r="J5879" s="78"/>
    </row>
    <row r="5880" spans="2:10">
      <c r="B5880" s="95" t="s">
        <v>2369</v>
      </c>
      <c r="C5880" s="148" t="s">
        <v>2378</v>
      </c>
      <c r="D5880" s="175"/>
      <c r="E5880" s="175"/>
      <c r="F5880" s="95" t="s">
        <v>2370</v>
      </c>
      <c r="G5880" s="95" t="s">
        <v>1166</v>
      </c>
      <c r="H5880" s="95" t="s">
        <v>6664</v>
      </c>
      <c r="I5880" s="95" t="s">
        <v>6665</v>
      </c>
      <c r="J5880" s="78"/>
    </row>
    <row r="5881" spans="2:10">
      <c r="B5881" s="191"/>
      <c r="C5881" s="89"/>
      <c r="D5881" s="174"/>
      <c r="E5881" s="174"/>
      <c r="F5881" s="191"/>
      <c r="G5881" s="114"/>
      <c r="H5881" s="114" t="s">
        <v>3856</v>
      </c>
      <c r="I5881" s="114" t="s">
        <v>3857</v>
      </c>
      <c r="J5881" s="78"/>
    </row>
    <row r="5882" spans="2:10">
      <c r="B5882" s="95">
        <v>1</v>
      </c>
      <c r="C5882" s="148" t="s">
        <v>4206</v>
      </c>
      <c r="D5882" s="187"/>
      <c r="E5882" s="187"/>
      <c r="F5882" s="107" t="s">
        <v>1172</v>
      </c>
      <c r="G5882" s="179">
        <v>1</v>
      </c>
      <c r="H5882" s="190">
        <f>'BASIC DATA'!$C$473</f>
        <v>450</v>
      </c>
      <c r="I5882" s="179">
        <f>H5882*G5882</f>
        <v>450</v>
      </c>
      <c r="J5882" s="78"/>
    </row>
    <row r="5883" spans="2:10">
      <c r="B5883" s="105">
        <v>2</v>
      </c>
      <c r="C5883" s="76" t="s">
        <v>2697</v>
      </c>
      <c r="D5883" s="31"/>
      <c r="E5883" s="31"/>
      <c r="F5883" s="210" t="s">
        <v>1172</v>
      </c>
      <c r="G5883" s="190">
        <v>38</v>
      </c>
      <c r="H5883" s="207">
        <f>'BASIC DATA'!$C$552</f>
        <v>350</v>
      </c>
      <c r="I5883" s="179">
        <f>H5883*G5883</f>
        <v>13300</v>
      </c>
      <c r="J5883" s="78"/>
    </row>
    <row r="5884" spans="2:10">
      <c r="B5884" s="184"/>
      <c r="C5884" s="151"/>
      <c r="D5884" s="159"/>
      <c r="E5884" s="159" t="s">
        <v>1174</v>
      </c>
      <c r="F5884" s="159"/>
      <c r="G5884" s="159"/>
      <c r="H5884" s="208" t="s">
        <v>1698</v>
      </c>
      <c r="I5884" s="282">
        <f>SUM(I5882:I5883)</f>
        <v>13750</v>
      </c>
      <c r="J5884" s="78"/>
    </row>
    <row r="5885" spans="2:10">
      <c r="B5885" s="60" t="s">
        <v>5948</v>
      </c>
      <c r="C5885" s="76"/>
      <c r="D5885" s="31"/>
      <c r="E5885" s="31"/>
      <c r="F5885" s="31"/>
      <c r="G5885" s="85">
        <f>ROUND(I5884/H5862,1)</f>
        <v>137.5</v>
      </c>
      <c r="J5885" s="78"/>
    </row>
    <row r="5886" spans="2:10">
      <c r="B5886" s="60" t="s">
        <v>3163</v>
      </c>
      <c r="C5886" s="76"/>
      <c r="D5886" s="31"/>
      <c r="E5886" s="31"/>
      <c r="F5886" s="922">
        <f>'BASIC DATA'!$C$577</f>
        <v>0.13614999999999999</v>
      </c>
      <c r="G5886" s="85">
        <f>ROUND(G5885*F5886,1)</f>
        <v>18.7</v>
      </c>
      <c r="J5886" s="78"/>
    </row>
    <row r="5887" spans="2:10">
      <c r="B5887" s="60" t="s">
        <v>5949</v>
      </c>
      <c r="C5887" s="76"/>
      <c r="D5887" s="31"/>
      <c r="E5887" s="31"/>
      <c r="F5887" s="31"/>
      <c r="G5887" s="199">
        <f>ROUND(G5886+G5885,1)</f>
        <v>156.19999999999999</v>
      </c>
      <c r="J5887" s="78"/>
    </row>
    <row r="5888" spans="2:10">
      <c r="B5888" s="31"/>
      <c r="C5888" s="76"/>
      <c r="D5888" s="31"/>
      <c r="E5888" s="31"/>
      <c r="F5888" s="31"/>
      <c r="G5888" s="31"/>
      <c r="H5888" s="200"/>
      <c r="I5888" s="75"/>
      <c r="J5888" s="78"/>
    </row>
    <row r="5889" spans="1:10">
      <c r="B5889" s="170" t="s">
        <v>1175</v>
      </c>
      <c r="J5889" s="78"/>
    </row>
    <row r="5890" spans="1:10">
      <c r="B5890" s="26" t="s">
        <v>1176</v>
      </c>
      <c r="H5890" s="171" t="s">
        <v>1698</v>
      </c>
      <c r="I5890" s="68">
        <f>I5870</f>
        <v>55800.5625</v>
      </c>
      <c r="J5890" s="78"/>
    </row>
    <row r="5891" spans="1:10">
      <c r="B5891" s="26" t="s">
        <v>1186</v>
      </c>
      <c r="H5891" s="171" t="s">
        <v>1698</v>
      </c>
      <c r="I5891" s="68">
        <f>I5877</f>
        <v>0</v>
      </c>
      <c r="J5891" s="78"/>
    </row>
    <row r="5892" spans="1:10">
      <c r="B5892" s="26" t="s">
        <v>2660</v>
      </c>
      <c r="H5892" s="171" t="s">
        <v>1698</v>
      </c>
      <c r="I5892" s="68">
        <f>I5884</f>
        <v>13750</v>
      </c>
      <c r="J5892" s="78"/>
    </row>
    <row r="5893" spans="1:10">
      <c r="G5893" s="171" t="s">
        <v>1518</v>
      </c>
      <c r="H5893" s="171" t="s">
        <v>1698</v>
      </c>
      <c r="I5893" s="205">
        <f>SUM(I5890:I5892)</f>
        <v>69550.5625</v>
      </c>
      <c r="J5893" s="78"/>
    </row>
    <row r="5894" spans="1:10" ht="18.75">
      <c r="B5894" s="1207" t="s">
        <v>8375</v>
      </c>
      <c r="C5894" s="1207"/>
      <c r="D5894" s="1207"/>
      <c r="E5894" s="1207"/>
      <c r="F5894" s="1207"/>
      <c r="G5894" s="922">
        <f>'BASIC DATA'!$C$577</f>
        <v>0.13614999999999999</v>
      </c>
      <c r="H5894" s="171" t="s">
        <v>4108</v>
      </c>
      <c r="I5894" s="76">
        <f>ROUND(I5893*G5894,2)</f>
        <v>9469.31</v>
      </c>
      <c r="J5894" s="78"/>
    </row>
    <row r="5895" spans="1:10">
      <c r="B5895" s="1206" t="s">
        <v>1191</v>
      </c>
      <c r="C5895" s="1206"/>
      <c r="D5895" s="1206"/>
      <c r="E5895" s="1206"/>
      <c r="F5895" s="202">
        <f>H5862</f>
        <v>100</v>
      </c>
      <c r="G5895" s="202" t="str">
        <f>I5862</f>
        <v>cum</v>
      </c>
      <c r="H5895" s="171" t="s">
        <v>1698</v>
      </c>
      <c r="I5895" s="199">
        <f>I5894+I5893</f>
        <v>79019.872499999998</v>
      </c>
      <c r="J5895" s="78"/>
    </row>
    <row r="5896" spans="1:10">
      <c r="B5896" s="1161" t="s">
        <v>3884</v>
      </c>
      <c r="C5896" s="1161"/>
      <c r="D5896" s="246" t="str">
        <f>G5895</f>
        <v>cum</v>
      </c>
      <c r="F5896" s="26" t="s">
        <v>1380</v>
      </c>
      <c r="H5896" s="171" t="s">
        <v>1698</v>
      </c>
      <c r="I5896" s="204">
        <f>ROUND(I5895/F5895,1)</f>
        <v>790.2</v>
      </c>
      <c r="J5896" s="78"/>
    </row>
    <row r="5897" spans="1:10">
      <c r="J5897" s="78"/>
    </row>
    <row r="5898" spans="1:10">
      <c r="J5898" s="78"/>
    </row>
    <row r="5899" spans="1:10" ht="18.75">
      <c r="A5899" s="822" t="s">
        <v>7375</v>
      </c>
      <c r="B5899" s="26" t="s">
        <v>8555</v>
      </c>
      <c r="J5899" s="78"/>
    </row>
    <row r="5900" spans="1:10">
      <c r="B5900" s="26" t="s">
        <v>2213</v>
      </c>
      <c r="J5900" s="78"/>
    </row>
    <row r="5901" spans="1:10">
      <c r="B5901" s="26" t="s">
        <v>2216</v>
      </c>
      <c r="J5901" s="78"/>
    </row>
    <row r="5902" spans="1:10">
      <c r="B5902" s="26" t="s">
        <v>2217</v>
      </c>
      <c r="J5902" s="78"/>
    </row>
    <row r="5903" spans="1:10" ht="18.75">
      <c r="B5903" s="26" t="s">
        <v>8556</v>
      </c>
      <c r="J5903" s="78"/>
    </row>
    <row r="5904" spans="1:10" hidden="1">
      <c r="A5904" s="822" t="s">
        <v>3984</v>
      </c>
      <c r="B5904" s="26" t="s">
        <v>2610</v>
      </c>
      <c r="G5904" s="171" t="s">
        <v>1697</v>
      </c>
      <c r="H5904" s="68">
        <v>1.4</v>
      </c>
      <c r="I5904" s="26" t="s">
        <v>2602</v>
      </c>
      <c r="J5904" s="78"/>
    </row>
    <row r="5905" spans="2:10" hidden="1">
      <c r="B5905" s="26" t="s">
        <v>2611</v>
      </c>
      <c r="G5905" s="171" t="s">
        <v>1697</v>
      </c>
      <c r="H5905" s="68">
        <v>20</v>
      </c>
      <c r="I5905" s="26" t="s">
        <v>2218</v>
      </c>
      <c r="J5905" s="78"/>
    </row>
    <row r="5906" spans="2:10" hidden="1">
      <c r="B5906" s="26" t="s">
        <v>2219</v>
      </c>
      <c r="G5906" s="171" t="s">
        <v>1697</v>
      </c>
      <c r="H5906" s="68">
        <v>25</v>
      </c>
      <c r="I5906" s="26" t="s">
        <v>2218</v>
      </c>
      <c r="J5906" s="78"/>
    </row>
    <row r="5907" spans="2:10" hidden="1">
      <c r="B5907" s="26" t="s">
        <v>3875</v>
      </c>
      <c r="G5907" s="171" t="s">
        <v>1697</v>
      </c>
      <c r="H5907" s="68">
        <v>50</v>
      </c>
      <c r="I5907" s="26" t="s">
        <v>2602</v>
      </c>
      <c r="J5907" s="78"/>
    </row>
    <row r="5908" spans="2:10" hidden="1">
      <c r="B5908" s="26" t="s">
        <v>5597</v>
      </c>
      <c r="H5908" s="68"/>
      <c r="J5908" s="78"/>
    </row>
    <row r="5909" spans="2:10" hidden="1">
      <c r="B5909" s="26" t="s">
        <v>2220</v>
      </c>
      <c r="H5909" s="68">
        <v>71.430000000000007</v>
      </c>
      <c r="I5909" s="26" t="s">
        <v>1409</v>
      </c>
      <c r="J5909" s="78"/>
    </row>
    <row r="5910" spans="2:10" hidden="1">
      <c r="B5910" s="26" t="s">
        <v>2635</v>
      </c>
      <c r="H5910" s="68"/>
      <c r="J5910" s="78"/>
    </row>
    <row r="5911" spans="2:10" hidden="1">
      <c r="B5911" s="26" t="s">
        <v>3239</v>
      </c>
      <c r="H5911" s="68">
        <v>35.700000000000003</v>
      </c>
      <c r="I5911" s="26" t="s">
        <v>5336</v>
      </c>
      <c r="J5911" s="78"/>
    </row>
    <row r="5912" spans="2:10" hidden="1">
      <c r="B5912" s="26" t="s">
        <v>3205</v>
      </c>
      <c r="H5912" s="68"/>
      <c r="J5912" s="78"/>
    </row>
    <row r="5913" spans="2:10" hidden="1">
      <c r="B5913" s="26" t="s">
        <v>4575</v>
      </c>
      <c r="H5913" s="68"/>
      <c r="J5913" s="78"/>
    </row>
    <row r="5914" spans="2:10" hidden="1">
      <c r="B5914" s="26" t="s">
        <v>3240</v>
      </c>
      <c r="H5914" s="68">
        <v>35.700000000000003</v>
      </c>
      <c r="I5914" s="26" t="s">
        <v>5336</v>
      </c>
      <c r="J5914" s="78"/>
    </row>
    <row r="5915" spans="2:10" hidden="1">
      <c r="B5915" s="26" t="s">
        <v>4576</v>
      </c>
      <c r="J5915" s="78"/>
    </row>
    <row r="5916" spans="2:10" hidden="1">
      <c r="B5916" s="26" t="s">
        <v>4577</v>
      </c>
      <c r="J5916" s="78"/>
    </row>
    <row r="5917" spans="2:10" hidden="1">
      <c r="B5917" s="26" t="s">
        <v>3241</v>
      </c>
      <c r="H5917" s="26">
        <v>28.6</v>
      </c>
      <c r="I5917" s="26" t="s">
        <v>3477</v>
      </c>
      <c r="J5917" s="78"/>
    </row>
    <row r="5918" spans="2:10" hidden="1">
      <c r="B5918" s="26" t="s">
        <v>5815</v>
      </c>
      <c r="J5918" s="78"/>
    </row>
    <row r="5919" spans="2:10" hidden="1">
      <c r="B5919" s="26" t="s">
        <v>5175</v>
      </c>
      <c r="J5919" s="78"/>
    </row>
    <row r="5920" spans="2:10" hidden="1">
      <c r="B5920" s="26" t="s">
        <v>2697</v>
      </c>
      <c r="H5920" s="68">
        <v>10</v>
      </c>
      <c r="I5920" s="26" t="s">
        <v>4041</v>
      </c>
      <c r="J5920" s="78"/>
    </row>
    <row r="5921" spans="1:10" hidden="1">
      <c r="B5921" s="26" t="s">
        <v>5176</v>
      </c>
      <c r="H5921" s="68"/>
      <c r="J5921" s="78"/>
    </row>
    <row r="5922" spans="1:10" hidden="1">
      <c r="B5922" s="26" t="s">
        <v>2697</v>
      </c>
      <c r="H5922" s="68">
        <v>14</v>
      </c>
      <c r="I5922" s="26" t="s">
        <v>4041</v>
      </c>
      <c r="J5922" s="78"/>
    </row>
    <row r="5923" spans="1:10" hidden="1">
      <c r="B5923" s="26" t="s">
        <v>5177</v>
      </c>
      <c r="H5923" s="68"/>
      <c r="J5923" s="78"/>
    </row>
    <row r="5924" spans="1:10" hidden="1">
      <c r="B5924" s="26" t="s">
        <v>2697</v>
      </c>
      <c r="H5924" s="68">
        <v>14</v>
      </c>
      <c r="I5924" s="26" t="s">
        <v>4041</v>
      </c>
      <c r="J5924" s="78"/>
    </row>
    <row r="5925" spans="1:10" hidden="1">
      <c r="B5925" s="26" t="s">
        <v>4206</v>
      </c>
      <c r="H5925" s="68">
        <v>1</v>
      </c>
      <c r="I5925" s="26" t="s">
        <v>4089</v>
      </c>
      <c r="J5925" s="78"/>
    </row>
    <row r="5926" spans="1:10">
      <c r="J5926" s="78"/>
    </row>
    <row r="5927" spans="1:10">
      <c r="A5927" s="822" t="s">
        <v>3984</v>
      </c>
      <c r="E5927" s="170" t="s">
        <v>2367</v>
      </c>
      <c r="J5927" s="78"/>
    </row>
    <row r="5928" spans="1:10">
      <c r="J5928" s="78"/>
    </row>
    <row r="5929" spans="1:10">
      <c r="B5929" s="170" t="s">
        <v>2368</v>
      </c>
      <c r="G5929" s="26" t="s">
        <v>297</v>
      </c>
      <c r="H5929" s="170">
        <v>100</v>
      </c>
      <c r="I5929" s="26" t="s">
        <v>3477</v>
      </c>
      <c r="J5929" s="78"/>
    </row>
    <row r="5930" spans="1:10">
      <c r="B5930" s="95" t="s">
        <v>2369</v>
      </c>
      <c r="C5930" s="148" t="s">
        <v>4443</v>
      </c>
      <c r="D5930" s="175"/>
      <c r="E5930" s="175"/>
      <c r="F5930" s="95" t="s">
        <v>2370</v>
      </c>
      <c r="G5930" s="95" t="s">
        <v>1166</v>
      </c>
      <c r="H5930" s="95" t="s">
        <v>6664</v>
      </c>
      <c r="I5930" s="95" t="s">
        <v>6665</v>
      </c>
      <c r="J5930" s="78"/>
    </row>
    <row r="5931" spans="1:10">
      <c r="B5931" s="191"/>
      <c r="C5931" s="89"/>
      <c r="D5931" s="174"/>
      <c r="E5931" s="174"/>
      <c r="F5931" s="191"/>
      <c r="G5931" s="114"/>
      <c r="H5931" s="114" t="s">
        <v>3856</v>
      </c>
      <c r="I5931" s="114" t="s">
        <v>3857</v>
      </c>
      <c r="J5931" s="78"/>
    </row>
    <row r="5932" spans="1:10">
      <c r="A5932" s="853"/>
      <c r="B5932" s="295">
        <v>1</v>
      </c>
      <c r="C5932" s="345" t="s">
        <v>7935</v>
      </c>
      <c r="D5932" s="296"/>
      <c r="E5932" s="296"/>
      <c r="F5932" s="297" t="s">
        <v>3477</v>
      </c>
      <c r="G5932" s="281">
        <v>28.6</v>
      </c>
      <c r="H5932" s="258">
        <f>'BASIC DATA'!$D$55</f>
        <v>95</v>
      </c>
      <c r="I5932" s="281">
        <f>H5932*G5932</f>
        <v>2717</v>
      </c>
      <c r="J5932" s="62"/>
    </row>
    <row r="5933" spans="1:10">
      <c r="B5933" s="105">
        <v>2</v>
      </c>
      <c r="C5933" s="76" t="s">
        <v>6997</v>
      </c>
      <c r="D5933" s="31"/>
      <c r="E5933" s="31"/>
      <c r="F5933" s="210" t="s">
        <v>3477</v>
      </c>
      <c r="G5933" s="190">
        <f>0.9*35.7</f>
        <v>32.130000000000003</v>
      </c>
      <c r="H5933" s="220">
        <f>'BASIC DATA'!$D$37</f>
        <v>650</v>
      </c>
      <c r="I5933" s="179">
        <f>H5933*G5933</f>
        <v>20884.5</v>
      </c>
      <c r="J5933" s="78"/>
    </row>
    <row r="5934" spans="1:10">
      <c r="B5934" s="105">
        <v>3</v>
      </c>
      <c r="C5934" s="76" t="s">
        <v>6996</v>
      </c>
      <c r="D5934" s="31"/>
      <c r="E5934" s="31"/>
      <c r="F5934" s="210" t="s">
        <v>3477</v>
      </c>
      <c r="G5934" s="190">
        <f>0.1*35.7</f>
        <v>3.5700000000000003</v>
      </c>
      <c r="H5934" s="220">
        <f>'BASIC DATA'!$D$36</f>
        <v>1175</v>
      </c>
      <c r="I5934" s="179">
        <f>H5934*G5934</f>
        <v>4194.75</v>
      </c>
      <c r="J5934" s="78"/>
    </row>
    <row r="5935" spans="1:10">
      <c r="B5935" s="105">
        <v>4</v>
      </c>
      <c r="C5935" s="76" t="s">
        <v>6995</v>
      </c>
      <c r="D5935" s="31"/>
      <c r="E5935" s="31"/>
      <c r="F5935" s="210" t="s">
        <v>3477</v>
      </c>
      <c r="G5935" s="190">
        <f>0.75*37.5</f>
        <v>28.125</v>
      </c>
      <c r="H5935" s="220">
        <f>'BASIC DATA'!$D$35</f>
        <v>1225</v>
      </c>
      <c r="I5935" s="179">
        <f>H5935*G5935</f>
        <v>34453.125</v>
      </c>
      <c r="J5935" s="78"/>
    </row>
    <row r="5936" spans="1:10">
      <c r="B5936" s="114">
        <v>5</v>
      </c>
      <c r="C5936" s="89" t="s">
        <v>570</v>
      </c>
      <c r="D5936" s="174"/>
      <c r="E5936" s="174"/>
      <c r="F5936" s="191" t="s">
        <v>3477</v>
      </c>
      <c r="G5936" s="182">
        <f>0.25*35.7</f>
        <v>8.9250000000000007</v>
      </c>
      <c r="H5936" s="220">
        <f>'BASIC DATA'!$D$34</f>
        <v>900</v>
      </c>
      <c r="I5936" s="179">
        <f>H5936*G5936</f>
        <v>8032.5000000000009</v>
      </c>
      <c r="J5936" s="78"/>
    </row>
    <row r="5937" spans="2:10">
      <c r="B5937" s="184"/>
      <c r="C5937" s="151"/>
      <c r="D5937" s="159"/>
      <c r="E5937" s="159"/>
      <c r="F5937" s="159" t="s">
        <v>2376</v>
      </c>
      <c r="G5937" s="159"/>
      <c r="H5937" s="208" t="s">
        <v>1698</v>
      </c>
      <c r="I5937" s="282">
        <f>SUM(I5932:I5936)</f>
        <v>70281.875</v>
      </c>
      <c r="J5937" s="78"/>
    </row>
    <row r="5938" spans="2:10">
      <c r="J5938" s="78"/>
    </row>
    <row r="5939" spans="2:10">
      <c r="B5939" s="170" t="s">
        <v>2377</v>
      </c>
      <c r="J5939" s="78"/>
    </row>
    <row r="5940" spans="2:10">
      <c r="B5940" s="95" t="s">
        <v>2369</v>
      </c>
      <c r="C5940" s="148" t="s">
        <v>2378</v>
      </c>
      <c r="D5940" s="175"/>
      <c r="E5940" s="175"/>
      <c r="F5940" s="95" t="s">
        <v>2370</v>
      </c>
      <c r="G5940" s="95" t="s">
        <v>1166</v>
      </c>
      <c r="H5940" s="95" t="s">
        <v>6664</v>
      </c>
      <c r="I5940" s="95" t="s">
        <v>6665</v>
      </c>
      <c r="J5940" s="78"/>
    </row>
    <row r="5941" spans="2:10">
      <c r="B5941" s="191"/>
      <c r="C5941" s="89"/>
      <c r="D5941" s="174"/>
      <c r="E5941" s="174"/>
      <c r="F5941" s="191"/>
      <c r="G5941" s="114"/>
      <c r="H5941" s="114" t="s">
        <v>3856</v>
      </c>
      <c r="I5941" s="114" t="s">
        <v>3857</v>
      </c>
      <c r="J5941" s="78"/>
    </row>
    <row r="5942" spans="2:10">
      <c r="B5942" s="107">
        <v>1</v>
      </c>
      <c r="C5942" s="148" t="s">
        <v>6976</v>
      </c>
      <c r="D5942" s="187"/>
      <c r="E5942" s="187"/>
      <c r="F5942" s="107"/>
      <c r="G5942" s="179">
        <v>0</v>
      </c>
      <c r="H5942" s="179">
        <v>0</v>
      </c>
      <c r="I5942" s="179">
        <f>H5942*G5942</f>
        <v>0</v>
      </c>
      <c r="J5942" s="78"/>
    </row>
    <row r="5943" spans="2:10">
      <c r="B5943" s="191"/>
      <c r="C5943" s="89"/>
      <c r="D5943" s="174"/>
      <c r="E5943" s="174"/>
      <c r="F5943" s="191"/>
      <c r="G5943" s="182">
        <v>0</v>
      </c>
      <c r="H5943" s="182">
        <v>0</v>
      </c>
      <c r="I5943" s="179">
        <f>H5943*G5943</f>
        <v>0</v>
      </c>
      <c r="J5943" s="78"/>
    </row>
    <row r="5944" spans="2:10">
      <c r="B5944" s="184"/>
      <c r="C5944" s="151"/>
      <c r="D5944" s="159"/>
      <c r="E5944" s="159" t="s">
        <v>2380</v>
      </c>
      <c r="F5944" s="159"/>
      <c r="G5944" s="159"/>
      <c r="H5944" s="208" t="s">
        <v>1698</v>
      </c>
      <c r="I5944" s="282">
        <f>SUM(I5942:I5943)</f>
        <v>0</v>
      </c>
      <c r="J5944" s="78"/>
    </row>
    <row r="5945" spans="2:10">
      <c r="B5945" s="31"/>
      <c r="C5945" s="76"/>
      <c r="D5945" s="31"/>
      <c r="E5945" s="31"/>
      <c r="F5945" s="31"/>
      <c r="G5945" s="31"/>
      <c r="H5945" s="200"/>
      <c r="I5945" s="75"/>
      <c r="J5945" s="78"/>
    </row>
    <row r="5946" spans="2:10">
      <c r="B5946" s="170" t="s">
        <v>2381</v>
      </c>
      <c r="J5946" s="78"/>
    </row>
    <row r="5947" spans="2:10">
      <c r="B5947" s="95" t="s">
        <v>2369</v>
      </c>
      <c r="C5947" s="148" t="s">
        <v>2378</v>
      </c>
      <c r="D5947" s="175"/>
      <c r="E5947" s="175"/>
      <c r="F5947" s="95" t="s">
        <v>2370</v>
      </c>
      <c r="G5947" s="95" t="s">
        <v>1166</v>
      </c>
      <c r="H5947" s="95" t="s">
        <v>6664</v>
      </c>
      <c r="I5947" s="95" t="s">
        <v>6665</v>
      </c>
      <c r="J5947" s="78"/>
    </row>
    <row r="5948" spans="2:10">
      <c r="B5948" s="191"/>
      <c r="C5948" s="89"/>
      <c r="D5948" s="174"/>
      <c r="E5948" s="174"/>
      <c r="F5948" s="191"/>
      <c r="G5948" s="114"/>
      <c r="H5948" s="114" t="s">
        <v>3856</v>
      </c>
      <c r="I5948" s="114" t="s">
        <v>3857</v>
      </c>
      <c r="J5948" s="78"/>
    </row>
    <row r="5949" spans="2:10">
      <c r="B5949" s="95">
        <v>1</v>
      </c>
      <c r="C5949" s="148" t="s">
        <v>4206</v>
      </c>
      <c r="D5949" s="187"/>
      <c r="E5949" s="187"/>
      <c r="F5949" s="107" t="s">
        <v>1172</v>
      </c>
      <c r="G5949" s="179">
        <v>1</v>
      </c>
      <c r="H5949" s="190">
        <f>'BASIC DATA'!$C$473</f>
        <v>450</v>
      </c>
      <c r="I5949" s="179">
        <f>H5949*G5949</f>
        <v>450</v>
      </c>
      <c r="J5949" s="78"/>
    </row>
    <row r="5950" spans="2:10">
      <c r="B5950" s="105">
        <v>2</v>
      </c>
      <c r="C5950" s="76" t="s">
        <v>2697</v>
      </c>
      <c r="D5950" s="31"/>
      <c r="E5950" s="31"/>
      <c r="F5950" s="210" t="s">
        <v>1172</v>
      </c>
      <c r="G5950" s="190">
        <v>38</v>
      </c>
      <c r="H5950" s="207">
        <f>'BASIC DATA'!$C$552</f>
        <v>350</v>
      </c>
      <c r="I5950" s="179">
        <f>H5950*G5950</f>
        <v>13300</v>
      </c>
      <c r="J5950" s="78"/>
    </row>
    <row r="5951" spans="2:10">
      <c r="B5951" s="184"/>
      <c r="C5951" s="151"/>
      <c r="D5951" s="159"/>
      <c r="E5951" s="159" t="s">
        <v>1174</v>
      </c>
      <c r="F5951" s="159"/>
      <c r="G5951" s="159"/>
      <c r="H5951" s="208" t="s">
        <v>1698</v>
      </c>
      <c r="I5951" s="282">
        <f>SUM(I5949:I5950)</f>
        <v>13750</v>
      </c>
      <c r="J5951" s="78"/>
    </row>
    <row r="5952" spans="2:10">
      <c r="B5952" s="60" t="s">
        <v>5948</v>
      </c>
      <c r="C5952" s="76"/>
      <c r="D5952" s="31"/>
      <c r="E5952" s="31"/>
      <c r="F5952" s="31"/>
      <c r="G5952" s="85">
        <f>ROUND(I5951/H5929,1)</f>
        <v>137.5</v>
      </c>
      <c r="J5952" s="78"/>
    </row>
    <row r="5953" spans="1:10">
      <c r="B5953" s="60" t="s">
        <v>3163</v>
      </c>
      <c r="C5953" s="76"/>
      <c r="D5953" s="31"/>
      <c r="E5953" s="31"/>
      <c r="F5953" s="922">
        <f>'BASIC DATA'!$C$577</f>
        <v>0.13614999999999999</v>
      </c>
      <c r="G5953" s="85">
        <f>ROUND(G5952*F5953,1)</f>
        <v>18.7</v>
      </c>
      <c r="J5953" s="78"/>
    </row>
    <row r="5954" spans="1:10">
      <c r="B5954" s="60" t="s">
        <v>5949</v>
      </c>
      <c r="C5954" s="76"/>
      <c r="D5954" s="31"/>
      <c r="E5954" s="31"/>
      <c r="F5954" s="31"/>
      <c r="G5954" s="199">
        <f>ROUND(G5953+G5952,1)</f>
        <v>156.19999999999999</v>
      </c>
      <c r="J5954" s="78"/>
    </row>
    <row r="5955" spans="1:10">
      <c r="J5955" s="78"/>
    </row>
    <row r="5956" spans="1:10">
      <c r="B5956" s="170" t="s">
        <v>1175</v>
      </c>
      <c r="J5956" s="78"/>
    </row>
    <row r="5957" spans="1:10">
      <c r="B5957" s="26" t="s">
        <v>1176</v>
      </c>
      <c r="H5957" s="171" t="s">
        <v>1698</v>
      </c>
      <c r="I5957" s="68">
        <f>I5937</f>
        <v>70281.875</v>
      </c>
      <c r="J5957" s="78"/>
    </row>
    <row r="5958" spans="1:10">
      <c r="B5958" s="26" t="s">
        <v>1186</v>
      </c>
      <c r="H5958" s="171" t="s">
        <v>1698</v>
      </c>
      <c r="I5958" s="68">
        <f>I5944</f>
        <v>0</v>
      </c>
      <c r="J5958" s="78"/>
    </row>
    <row r="5959" spans="1:10">
      <c r="B5959" s="26" t="s">
        <v>2660</v>
      </c>
      <c r="H5959" s="171" t="s">
        <v>1698</v>
      </c>
      <c r="I5959" s="68">
        <f>I5951</f>
        <v>13750</v>
      </c>
      <c r="J5959" s="78"/>
    </row>
    <row r="5960" spans="1:10">
      <c r="G5960" s="171" t="s">
        <v>1518</v>
      </c>
      <c r="H5960" s="171" t="s">
        <v>1698</v>
      </c>
      <c r="I5960" s="205">
        <f>SUM(I5957:I5959)</f>
        <v>84031.875</v>
      </c>
      <c r="J5960" s="78"/>
    </row>
    <row r="5961" spans="1:10" ht="18.75">
      <c r="B5961" s="1207" t="s">
        <v>8375</v>
      </c>
      <c r="C5961" s="1207"/>
      <c r="D5961" s="1207"/>
      <c r="E5961" s="1207"/>
      <c r="F5961" s="1207"/>
      <c r="G5961" s="922">
        <f>'BASIC DATA'!$C$577</f>
        <v>0.13614999999999999</v>
      </c>
      <c r="H5961" s="171" t="s">
        <v>4108</v>
      </c>
      <c r="I5961" s="76">
        <f>ROUND(I5960*G5961,2)</f>
        <v>11440.94</v>
      </c>
      <c r="J5961" s="78"/>
    </row>
    <row r="5962" spans="1:10">
      <c r="B5962" s="1206" t="s">
        <v>1191</v>
      </c>
      <c r="C5962" s="1206"/>
      <c r="D5962" s="1206"/>
      <c r="E5962" s="1206"/>
      <c r="F5962" s="202">
        <f>H5929</f>
        <v>100</v>
      </c>
      <c r="G5962" s="202" t="str">
        <f>I5929</f>
        <v>cum</v>
      </c>
      <c r="H5962" s="171" t="s">
        <v>1698</v>
      </c>
      <c r="I5962" s="199">
        <f>I5961+I5960</f>
        <v>95472.815000000002</v>
      </c>
      <c r="J5962" s="78"/>
    </row>
    <row r="5963" spans="1:10">
      <c r="B5963" s="1161" t="s">
        <v>3884</v>
      </c>
      <c r="C5963" s="1161"/>
      <c r="D5963" s="246" t="str">
        <f>G5962</f>
        <v>cum</v>
      </c>
      <c r="F5963" s="26" t="s">
        <v>1380</v>
      </c>
      <c r="H5963" s="171" t="s">
        <v>1698</v>
      </c>
      <c r="I5963" s="204">
        <f>ROUND(I5962/F5962,1)</f>
        <v>954.7</v>
      </c>
      <c r="J5963" s="78"/>
    </row>
    <row r="5964" spans="1:10">
      <c r="J5964" s="78"/>
    </row>
    <row r="5965" spans="1:10">
      <c r="J5965" s="78"/>
    </row>
    <row r="5966" spans="1:10" ht="18.75">
      <c r="A5966" s="822" t="s">
        <v>7376</v>
      </c>
      <c r="B5966" s="26" t="s">
        <v>8557</v>
      </c>
      <c r="J5966" s="78"/>
    </row>
    <row r="5967" spans="1:10">
      <c r="B5967" s="26" t="s">
        <v>2221</v>
      </c>
      <c r="J5967" s="78"/>
    </row>
    <row r="5968" spans="1:10">
      <c r="B5968" s="26" t="s">
        <v>1038</v>
      </c>
      <c r="J5968" s="78"/>
    </row>
    <row r="5969" spans="1:10" ht="18.75">
      <c r="B5969" s="26" t="s">
        <v>8558</v>
      </c>
      <c r="J5969" s="78"/>
    </row>
    <row r="5970" spans="1:10">
      <c r="B5970" s="170" t="s">
        <v>5094</v>
      </c>
      <c r="J5970" s="78"/>
    </row>
    <row r="5971" spans="1:10" hidden="1">
      <c r="A5971" s="822" t="s">
        <v>3984</v>
      </c>
      <c r="B5971" s="26" t="s">
        <v>2610</v>
      </c>
      <c r="H5971" s="68">
        <v>0.85</v>
      </c>
      <c r="I5971" s="26" t="s">
        <v>2602</v>
      </c>
      <c r="J5971" s="78"/>
    </row>
    <row r="5972" spans="1:10" hidden="1">
      <c r="B5972" s="26" t="s">
        <v>2899</v>
      </c>
      <c r="H5972" s="68">
        <v>20</v>
      </c>
      <c r="I5972" s="26" t="s">
        <v>3135</v>
      </c>
      <c r="J5972" s="78"/>
    </row>
    <row r="5973" spans="1:10" hidden="1">
      <c r="B5973" s="26" t="s">
        <v>3874</v>
      </c>
      <c r="H5973" s="68">
        <v>25</v>
      </c>
      <c r="I5973" s="26" t="s">
        <v>3135</v>
      </c>
      <c r="J5973" s="78"/>
    </row>
    <row r="5974" spans="1:10" hidden="1">
      <c r="B5974" s="26" t="s">
        <v>3875</v>
      </c>
      <c r="H5974" s="68">
        <v>40</v>
      </c>
      <c r="I5974" s="26" t="s">
        <v>3135</v>
      </c>
      <c r="J5974" s="78"/>
    </row>
    <row r="5975" spans="1:10" hidden="1">
      <c r="B5975" s="26" t="s">
        <v>5597</v>
      </c>
      <c r="H5975" s="68"/>
      <c r="J5975" s="78"/>
    </row>
    <row r="5976" spans="1:10" hidden="1">
      <c r="B5976" s="26" t="s">
        <v>1039</v>
      </c>
      <c r="H5976" s="68">
        <v>117.65</v>
      </c>
      <c r="I5976" s="26" t="s">
        <v>1409</v>
      </c>
      <c r="J5976" s="78"/>
    </row>
    <row r="5977" spans="1:10" hidden="1">
      <c r="B5977" s="26" t="s">
        <v>6317</v>
      </c>
      <c r="H5977" s="68"/>
      <c r="J5977" s="78"/>
    </row>
    <row r="5978" spans="1:10" hidden="1">
      <c r="B5978" s="26" t="s">
        <v>2635</v>
      </c>
      <c r="H5978" s="68"/>
      <c r="J5978" s="78"/>
    </row>
    <row r="5979" spans="1:10" hidden="1">
      <c r="B5979" s="26" t="s">
        <v>6318</v>
      </c>
      <c r="H5979" s="68">
        <v>47.1</v>
      </c>
      <c r="I5979" s="26" t="s">
        <v>3477</v>
      </c>
      <c r="J5979" s="78"/>
    </row>
    <row r="5980" spans="1:10" hidden="1">
      <c r="B5980" s="26" t="s">
        <v>3205</v>
      </c>
      <c r="H5980" s="68"/>
      <c r="J5980" s="78"/>
    </row>
    <row r="5981" spans="1:10" hidden="1">
      <c r="B5981" s="26" t="s">
        <v>4575</v>
      </c>
      <c r="H5981" s="68"/>
      <c r="I5981" s="26" t="s">
        <v>5336</v>
      </c>
      <c r="J5981" s="78"/>
    </row>
    <row r="5982" spans="1:10" hidden="1">
      <c r="B5982" s="26" t="s">
        <v>6319</v>
      </c>
      <c r="H5982" s="68">
        <v>29.4</v>
      </c>
      <c r="J5982" s="78"/>
    </row>
    <row r="5983" spans="1:10" hidden="1">
      <c r="B5983" s="26" t="s">
        <v>4576</v>
      </c>
      <c r="H5983" s="68"/>
      <c r="J5983" s="78"/>
    </row>
    <row r="5984" spans="1:10" hidden="1">
      <c r="B5984" s="26" t="s">
        <v>4577</v>
      </c>
      <c r="H5984" s="68"/>
      <c r="J5984" s="78"/>
    </row>
    <row r="5985" spans="1:10" hidden="1">
      <c r="B5985" s="26" t="s">
        <v>6320</v>
      </c>
      <c r="H5985" s="68">
        <v>23.55</v>
      </c>
      <c r="I5985" s="26" t="s">
        <v>5336</v>
      </c>
      <c r="J5985" s="78"/>
    </row>
    <row r="5986" spans="1:10" hidden="1">
      <c r="B5986" s="26" t="s">
        <v>5815</v>
      </c>
      <c r="H5986" s="68"/>
      <c r="J5986" s="78"/>
    </row>
    <row r="5987" spans="1:10" hidden="1">
      <c r="B5987" s="26" t="s">
        <v>5178</v>
      </c>
      <c r="H5987" s="68"/>
      <c r="J5987" s="78"/>
    </row>
    <row r="5988" spans="1:10" hidden="1">
      <c r="B5988" s="26" t="s">
        <v>2697</v>
      </c>
      <c r="H5988" s="68">
        <v>8</v>
      </c>
      <c r="I5988" s="26" t="s">
        <v>4041</v>
      </c>
      <c r="J5988" s="78"/>
    </row>
    <row r="5989" spans="1:10" hidden="1">
      <c r="B5989" s="26" t="s">
        <v>5179</v>
      </c>
      <c r="H5989" s="68"/>
      <c r="J5989" s="78"/>
    </row>
    <row r="5990" spans="1:10" hidden="1">
      <c r="B5990" s="26" t="s">
        <v>2697</v>
      </c>
      <c r="H5990" s="68">
        <v>10</v>
      </c>
      <c r="I5990" s="26" t="s">
        <v>4041</v>
      </c>
      <c r="J5990" s="78"/>
    </row>
    <row r="5991" spans="1:10" hidden="1">
      <c r="B5991" s="26" t="s">
        <v>5180</v>
      </c>
      <c r="H5991" s="68"/>
      <c r="J5991" s="78"/>
    </row>
    <row r="5992" spans="1:10" hidden="1">
      <c r="B5992" s="26" t="s">
        <v>2697</v>
      </c>
      <c r="H5992" s="68">
        <v>16</v>
      </c>
      <c r="I5992" s="26" t="s">
        <v>4041</v>
      </c>
      <c r="J5992" s="78"/>
    </row>
    <row r="5993" spans="1:10" hidden="1">
      <c r="B5993" s="26" t="s">
        <v>4206</v>
      </c>
      <c r="H5993" s="68">
        <v>1</v>
      </c>
      <c r="I5993" s="26" t="s">
        <v>4089</v>
      </c>
      <c r="J5993" s="78"/>
    </row>
    <row r="5994" spans="1:10">
      <c r="J5994" s="78"/>
    </row>
    <row r="5995" spans="1:10">
      <c r="A5995" s="822" t="s">
        <v>3984</v>
      </c>
      <c r="E5995" s="170" t="s">
        <v>2367</v>
      </c>
      <c r="J5995" s="78"/>
    </row>
    <row r="5996" spans="1:10">
      <c r="J5996" s="78"/>
    </row>
    <row r="5997" spans="1:10">
      <c r="B5997" s="170" t="s">
        <v>2368</v>
      </c>
      <c r="G5997" s="26" t="s">
        <v>3476</v>
      </c>
      <c r="H5997" s="170">
        <v>100</v>
      </c>
      <c r="I5997" s="26" t="s">
        <v>3477</v>
      </c>
      <c r="J5997" s="78"/>
    </row>
    <row r="5998" spans="1:10">
      <c r="B5998" s="95" t="s">
        <v>2369</v>
      </c>
      <c r="C5998" s="148" t="s">
        <v>4443</v>
      </c>
      <c r="D5998" s="175"/>
      <c r="E5998" s="175"/>
      <c r="F5998" s="95" t="s">
        <v>2370</v>
      </c>
      <c r="G5998" s="95" t="s">
        <v>1166</v>
      </c>
      <c r="H5998" s="95" t="s">
        <v>6664</v>
      </c>
      <c r="I5998" s="95" t="s">
        <v>6665</v>
      </c>
      <c r="J5998" s="78"/>
    </row>
    <row r="5999" spans="1:10">
      <c r="B5999" s="191"/>
      <c r="C5999" s="89"/>
      <c r="D5999" s="174"/>
      <c r="E5999" s="174"/>
      <c r="F5999" s="191"/>
      <c r="G5999" s="114"/>
      <c r="H5999" s="114" t="s">
        <v>3856</v>
      </c>
      <c r="I5999" s="114" t="s">
        <v>3857</v>
      </c>
      <c r="J5999" s="78"/>
    </row>
    <row r="6000" spans="1:10">
      <c r="A6000" s="853"/>
      <c r="B6000" s="295">
        <v>1</v>
      </c>
      <c r="C6000" s="345" t="s">
        <v>7935</v>
      </c>
      <c r="D6000" s="296"/>
      <c r="E6000" s="296"/>
      <c r="F6000" s="297" t="s">
        <v>3477</v>
      </c>
      <c r="G6000" s="281">
        <v>23.55</v>
      </c>
      <c r="H6000" s="258">
        <f>'BASIC DATA'!$D$55</f>
        <v>95</v>
      </c>
      <c r="I6000" s="281">
        <f>H6000*G6000</f>
        <v>2237.25</v>
      </c>
      <c r="J6000" s="62"/>
    </row>
    <row r="6001" spans="2:10">
      <c r="B6001" s="105">
        <v>2</v>
      </c>
      <c r="C6001" s="76" t="s">
        <v>6997</v>
      </c>
      <c r="D6001" s="31"/>
      <c r="E6001" s="31"/>
      <c r="F6001" s="210" t="s">
        <v>3477</v>
      </c>
      <c r="G6001" s="190">
        <f>0.9*47.1</f>
        <v>42.39</v>
      </c>
      <c r="H6001" s="207">
        <f>'BASIC DATA'!$D$37</f>
        <v>650</v>
      </c>
      <c r="I6001" s="179">
        <f>H6001*G6001</f>
        <v>27553.5</v>
      </c>
      <c r="J6001" s="78"/>
    </row>
    <row r="6002" spans="2:10">
      <c r="B6002" s="105">
        <v>3</v>
      </c>
      <c r="C6002" s="76" t="s">
        <v>6996</v>
      </c>
      <c r="D6002" s="31"/>
      <c r="E6002" s="31"/>
      <c r="F6002" s="210" t="s">
        <v>3477</v>
      </c>
      <c r="G6002" s="190">
        <f>0.1*47.1</f>
        <v>4.71</v>
      </c>
      <c r="H6002" s="207">
        <f>'BASIC DATA'!$D$36</f>
        <v>1175</v>
      </c>
      <c r="I6002" s="179">
        <f>H6002*G6002</f>
        <v>5534.25</v>
      </c>
      <c r="J6002" s="78"/>
    </row>
    <row r="6003" spans="2:10">
      <c r="B6003" s="105">
        <v>4</v>
      </c>
      <c r="C6003" s="76" t="s">
        <v>6995</v>
      </c>
      <c r="D6003" s="31"/>
      <c r="E6003" s="31"/>
      <c r="F6003" s="210" t="s">
        <v>3477</v>
      </c>
      <c r="G6003" s="190">
        <f>0.75*29.4</f>
        <v>22.049999999999997</v>
      </c>
      <c r="H6003" s="207">
        <f>'BASIC DATA'!$D$35</f>
        <v>1225</v>
      </c>
      <c r="I6003" s="179">
        <f>H6003*G6003</f>
        <v>27011.249999999996</v>
      </c>
      <c r="J6003" s="78"/>
    </row>
    <row r="6004" spans="2:10">
      <c r="B6004" s="114">
        <v>5</v>
      </c>
      <c r="C6004" s="89" t="s">
        <v>570</v>
      </c>
      <c r="D6004" s="174"/>
      <c r="E6004" s="174"/>
      <c r="F6004" s="191" t="s">
        <v>3477</v>
      </c>
      <c r="G6004" s="182">
        <f>0.25*29.4</f>
        <v>7.35</v>
      </c>
      <c r="H6004" s="207">
        <f>'BASIC DATA'!$D$34</f>
        <v>900</v>
      </c>
      <c r="I6004" s="179">
        <f>H6004*G6004</f>
        <v>6615</v>
      </c>
      <c r="J6004" s="78"/>
    </row>
    <row r="6005" spans="2:10">
      <c r="B6005" s="184"/>
      <c r="C6005" s="151"/>
      <c r="D6005" s="159"/>
      <c r="E6005" s="159" t="s">
        <v>2376</v>
      </c>
      <c r="F6005" s="159"/>
      <c r="G6005" s="159"/>
      <c r="H6005" s="208" t="s">
        <v>1698</v>
      </c>
      <c r="I6005" s="282">
        <f>SUM(I6000:I6004)</f>
        <v>68951.25</v>
      </c>
      <c r="J6005" s="78"/>
    </row>
    <row r="6006" spans="2:10">
      <c r="B6006" s="31"/>
      <c r="C6006" s="76"/>
      <c r="D6006" s="31"/>
      <c r="E6006" s="31"/>
      <c r="F6006" s="31"/>
      <c r="G6006" s="31"/>
      <c r="H6006" s="200"/>
      <c r="I6006" s="75"/>
      <c r="J6006" s="78"/>
    </row>
    <row r="6007" spans="2:10">
      <c r="B6007" s="170" t="s">
        <v>2377</v>
      </c>
      <c r="J6007" s="78"/>
    </row>
    <row r="6008" spans="2:10">
      <c r="B6008" s="95" t="s">
        <v>2369</v>
      </c>
      <c r="C6008" s="148" t="s">
        <v>2378</v>
      </c>
      <c r="D6008" s="175"/>
      <c r="E6008" s="175"/>
      <c r="F6008" s="95" t="s">
        <v>2370</v>
      </c>
      <c r="G6008" s="95" t="s">
        <v>1166</v>
      </c>
      <c r="H6008" s="95" t="s">
        <v>6664</v>
      </c>
      <c r="I6008" s="95" t="s">
        <v>6665</v>
      </c>
      <c r="J6008" s="78"/>
    </row>
    <row r="6009" spans="2:10">
      <c r="B6009" s="191"/>
      <c r="C6009" s="89"/>
      <c r="D6009" s="174"/>
      <c r="E6009" s="174"/>
      <c r="F6009" s="191"/>
      <c r="G6009" s="114"/>
      <c r="H6009" s="114" t="s">
        <v>3856</v>
      </c>
      <c r="I6009" s="114" t="s">
        <v>3857</v>
      </c>
      <c r="J6009" s="78"/>
    </row>
    <row r="6010" spans="2:10">
      <c r="B6010" s="95">
        <v>1</v>
      </c>
      <c r="C6010" s="148" t="s">
        <v>6976</v>
      </c>
      <c r="D6010" s="187"/>
      <c r="E6010" s="187"/>
      <c r="F6010" s="107"/>
      <c r="G6010" s="179">
        <v>0</v>
      </c>
      <c r="H6010" s="179">
        <v>0</v>
      </c>
      <c r="I6010" s="179">
        <f>H6010*G6010</f>
        <v>0</v>
      </c>
      <c r="J6010" s="78"/>
    </row>
    <row r="6011" spans="2:10">
      <c r="B6011" s="191"/>
      <c r="C6011" s="89"/>
      <c r="D6011" s="174"/>
      <c r="E6011" s="174"/>
      <c r="F6011" s="191"/>
      <c r="G6011" s="182">
        <v>0</v>
      </c>
      <c r="H6011" s="182">
        <v>0</v>
      </c>
      <c r="I6011" s="179">
        <f>H6011*G6011</f>
        <v>0</v>
      </c>
      <c r="J6011" s="78"/>
    </row>
    <row r="6012" spans="2:10">
      <c r="B6012" s="184"/>
      <c r="C6012" s="151"/>
      <c r="D6012" s="159"/>
      <c r="E6012" s="159" t="s">
        <v>2380</v>
      </c>
      <c r="F6012" s="159"/>
      <c r="G6012" s="159"/>
      <c r="H6012" s="208" t="s">
        <v>1698</v>
      </c>
      <c r="I6012" s="282">
        <f>SUM(I6010:I6011)</f>
        <v>0</v>
      </c>
      <c r="J6012" s="78"/>
    </row>
    <row r="6013" spans="2:10">
      <c r="B6013" s="31"/>
      <c r="C6013" s="76"/>
      <c r="D6013" s="31"/>
      <c r="E6013" s="31"/>
      <c r="F6013" s="31"/>
      <c r="G6013" s="31"/>
      <c r="H6013" s="200"/>
      <c r="I6013" s="75"/>
      <c r="J6013" s="78"/>
    </row>
    <row r="6014" spans="2:10">
      <c r="B6014" s="170" t="s">
        <v>2381</v>
      </c>
      <c r="J6014" s="78"/>
    </row>
    <row r="6015" spans="2:10">
      <c r="B6015" s="95" t="s">
        <v>2369</v>
      </c>
      <c r="C6015" s="1220" t="s">
        <v>2378</v>
      </c>
      <c r="D6015" s="1221"/>
      <c r="E6015" s="1222"/>
      <c r="F6015" s="95" t="s">
        <v>2370</v>
      </c>
      <c r="G6015" s="95" t="s">
        <v>1166</v>
      </c>
      <c r="H6015" s="95" t="s">
        <v>6664</v>
      </c>
      <c r="I6015" s="95" t="s">
        <v>6665</v>
      </c>
      <c r="J6015" s="78"/>
    </row>
    <row r="6016" spans="2:10">
      <c r="B6016" s="191"/>
      <c r="C6016" s="89"/>
      <c r="D6016" s="174"/>
      <c r="E6016" s="174"/>
      <c r="F6016" s="191"/>
      <c r="G6016" s="114"/>
      <c r="H6016" s="114" t="s">
        <v>3856</v>
      </c>
      <c r="I6016" s="114" t="s">
        <v>3857</v>
      </c>
      <c r="J6016" s="78"/>
    </row>
    <row r="6017" spans="2:10">
      <c r="B6017" s="95">
        <v>1</v>
      </c>
      <c r="C6017" s="148" t="s">
        <v>4206</v>
      </c>
      <c r="D6017" s="187"/>
      <c r="E6017" s="187"/>
      <c r="F6017" s="107" t="s">
        <v>1172</v>
      </c>
      <c r="G6017" s="179">
        <v>1</v>
      </c>
      <c r="H6017" s="190">
        <f>'BASIC DATA'!$C$473</f>
        <v>450</v>
      </c>
      <c r="I6017" s="179">
        <f>H6017*G6017</f>
        <v>450</v>
      </c>
      <c r="J6017" s="78"/>
    </row>
    <row r="6018" spans="2:10">
      <c r="B6018" s="105">
        <v>2</v>
      </c>
      <c r="C6018" s="76" t="s">
        <v>2697</v>
      </c>
      <c r="D6018" s="31"/>
      <c r="E6018" s="31"/>
      <c r="F6018" s="210" t="s">
        <v>1172</v>
      </c>
      <c r="G6018" s="190">
        <v>34</v>
      </c>
      <c r="H6018" s="207">
        <f>'BASIC DATA'!$C$552</f>
        <v>350</v>
      </c>
      <c r="I6018" s="179">
        <f>H6018*G6018</f>
        <v>11900</v>
      </c>
      <c r="J6018" s="78"/>
    </row>
    <row r="6019" spans="2:10">
      <c r="B6019" s="184"/>
      <c r="C6019" s="151"/>
      <c r="D6019" s="159"/>
      <c r="E6019" s="159" t="s">
        <v>1174</v>
      </c>
      <c r="F6019" s="159"/>
      <c r="G6019" s="205"/>
      <c r="H6019" s="216" t="s">
        <v>1698</v>
      </c>
      <c r="I6019" s="282">
        <f>SUM(I6017:I6018)</f>
        <v>12350</v>
      </c>
      <c r="J6019" s="78"/>
    </row>
    <row r="6020" spans="2:10">
      <c r="B6020" s="60" t="s">
        <v>5948</v>
      </c>
      <c r="C6020" s="76"/>
      <c r="D6020" s="31"/>
      <c r="E6020" s="31"/>
      <c r="F6020" s="31"/>
      <c r="G6020" s="85">
        <f>ROUND(I6019/H5997,1)</f>
        <v>123.5</v>
      </c>
      <c r="J6020" s="78"/>
    </row>
    <row r="6021" spans="2:10">
      <c r="B6021" s="60" t="s">
        <v>3163</v>
      </c>
      <c r="C6021" s="76"/>
      <c r="D6021" s="31"/>
      <c r="E6021" s="31"/>
      <c r="F6021" s="922">
        <f>'BASIC DATA'!$C$577</f>
        <v>0.13614999999999999</v>
      </c>
      <c r="G6021" s="85">
        <f>ROUND(G6020*F6021,1)</f>
        <v>16.8</v>
      </c>
      <c r="J6021" s="78"/>
    </row>
    <row r="6022" spans="2:10">
      <c r="B6022" s="60" t="s">
        <v>5949</v>
      </c>
      <c r="C6022" s="76"/>
      <c r="D6022" s="31"/>
      <c r="E6022" s="31"/>
      <c r="F6022" s="31"/>
      <c r="G6022" s="199">
        <f>ROUND(G6021+G6020,1)</f>
        <v>140.30000000000001</v>
      </c>
      <c r="J6022" s="78"/>
    </row>
    <row r="6023" spans="2:10">
      <c r="J6023" s="78"/>
    </row>
    <row r="6024" spans="2:10">
      <c r="B6024" s="170" t="s">
        <v>1175</v>
      </c>
      <c r="J6024" s="78"/>
    </row>
    <row r="6025" spans="2:10">
      <c r="B6025" s="26" t="s">
        <v>1176</v>
      </c>
      <c r="H6025" s="171" t="s">
        <v>1698</v>
      </c>
      <c r="I6025" s="68">
        <f>I6005</f>
        <v>68951.25</v>
      </c>
      <c r="J6025" s="78"/>
    </row>
    <row r="6026" spans="2:10">
      <c r="B6026" s="26" t="s">
        <v>1186</v>
      </c>
      <c r="H6026" s="171" t="s">
        <v>1698</v>
      </c>
      <c r="I6026" s="68">
        <f>I6012</f>
        <v>0</v>
      </c>
      <c r="J6026" s="78"/>
    </row>
    <row r="6027" spans="2:10">
      <c r="B6027" s="26" t="s">
        <v>2660</v>
      </c>
      <c r="H6027" s="171" t="s">
        <v>1698</v>
      </c>
      <c r="I6027" s="68">
        <f>I6019</f>
        <v>12350</v>
      </c>
      <c r="J6027" s="78"/>
    </row>
    <row r="6028" spans="2:10">
      <c r="G6028" s="171" t="s">
        <v>1518</v>
      </c>
      <c r="H6028" s="171" t="s">
        <v>1698</v>
      </c>
      <c r="I6028" s="205">
        <f>SUM(I6025:I6027)</f>
        <v>81301.25</v>
      </c>
      <c r="J6028" s="78"/>
    </row>
    <row r="6029" spans="2:10" ht="18.75">
      <c r="B6029" s="1207" t="s">
        <v>8375</v>
      </c>
      <c r="C6029" s="1207"/>
      <c r="D6029" s="1207"/>
      <c r="E6029" s="1207"/>
      <c r="F6029" s="1207"/>
      <c r="G6029" s="922">
        <f>'BASIC DATA'!$C$577</f>
        <v>0.13614999999999999</v>
      </c>
      <c r="H6029" s="171" t="s">
        <v>4108</v>
      </c>
      <c r="I6029" s="76">
        <f>ROUND(I6028*G6029,2)</f>
        <v>11069.17</v>
      </c>
      <c r="J6029" s="78"/>
    </row>
    <row r="6030" spans="2:10">
      <c r="B6030" s="1206" t="s">
        <v>1191</v>
      </c>
      <c r="C6030" s="1206"/>
      <c r="D6030" s="1206"/>
      <c r="E6030" s="1206"/>
      <c r="F6030" s="202">
        <f>H5997</f>
        <v>100</v>
      </c>
      <c r="G6030" s="202" t="str">
        <f>I5997</f>
        <v>cum</v>
      </c>
      <c r="H6030" s="171" t="s">
        <v>1698</v>
      </c>
      <c r="I6030" s="199">
        <f>I6029+I6028</f>
        <v>92370.42</v>
      </c>
      <c r="J6030" s="78"/>
    </row>
    <row r="6031" spans="2:10">
      <c r="B6031" s="1161" t="s">
        <v>3884</v>
      </c>
      <c r="C6031" s="1161"/>
      <c r="D6031" s="246" t="str">
        <f>G6030</f>
        <v>cum</v>
      </c>
      <c r="F6031" s="26" t="s">
        <v>1380</v>
      </c>
      <c r="H6031" s="171" t="s">
        <v>1698</v>
      </c>
      <c r="I6031" s="204">
        <f>ROUND(I6030/F6030,1)</f>
        <v>923.7</v>
      </c>
      <c r="J6031" s="78"/>
    </row>
    <row r="6032" spans="2:10">
      <c r="J6032" s="78"/>
    </row>
    <row r="6033" spans="1:10" ht="18.75">
      <c r="A6033" s="822" t="s">
        <v>481</v>
      </c>
      <c r="B6033" s="26" t="s">
        <v>8559</v>
      </c>
      <c r="J6033" s="78"/>
    </row>
    <row r="6034" spans="1:10">
      <c r="A6034" s="874" t="s">
        <v>503</v>
      </c>
      <c r="B6034" s="26" t="s">
        <v>482</v>
      </c>
      <c r="J6034" s="78"/>
    </row>
    <row r="6035" spans="1:10">
      <c r="B6035" s="26" t="s">
        <v>1038</v>
      </c>
      <c r="J6035" s="78"/>
    </row>
    <row r="6036" spans="1:10" ht="18.75">
      <c r="B6036" s="26" t="s">
        <v>8558</v>
      </c>
      <c r="J6036" s="78"/>
    </row>
    <row r="6037" spans="1:10">
      <c r="B6037" s="170" t="s">
        <v>5094</v>
      </c>
      <c r="J6037" s="78"/>
    </row>
    <row r="6038" spans="1:10" hidden="1">
      <c r="A6038" s="822" t="s">
        <v>3984</v>
      </c>
      <c r="B6038" s="26" t="s">
        <v>2610</v>
      </c>
      <c r="H6038" s="68">
        <v>0.3</v>
      </c>
      <c r="I6038" s="26" t="s">
        <v>2602</v>
      </c>
      <c r="J6038" s="78"/>
    </row>
    <row r="6039" spans="1:10" hidden="1">
      <c r="B6039" s="26" t="s">
        <v>3875</v>
      </c>
      <c r="H6039" s="68">
        <v>30</v>
      </c>
      <c r="I6039" s="26" t="s">
        <v>3135</v>
      </c>
      <c r="J6039" s="78"/>
    </row>
    <row r="6040" spans="1:10" hidden="1">
      <c r="B6040" s="26" t="s">
        <v>5597</v>
      </c>
      <c r="H6040" s="68"/>
      <c r="J6040" s="78"/>
    </row>
    <row r="6041" spans="1:10" hidden="1">
      <c r="B6041" s="26" t="s">
        <v>483</v>
      </c>
      <c r="H6041" s="68">
        <f>100/H6038</f>
        <v>333.33333333333337</v>
      </c>
      <c r="I6041" s="26" t="s">
        <v>1409</v>
      </c>
      <c r="J6041" s="78"/>
    </row>
    <row r="6042" spans="1:10" hidden="1">
      <c r="B6042" s="26" t="s">
        <v>6317</v>
      </c>
      <c r="H6042" s="68"/>
      <c r="J6042" s="78"/>
    </row>
    <row r="6043" spans="1:10" hidden="1">
      <c r="B6043" s="26" t="s">
        <v>2635</v>
      </c>
      <c r="H6043" s="68"/>
      <c r="J6043" s="78"/>
    </row>
    <row r="6044" spans="1:10" hidden="1">
      <c r="B6044" s="26" t="s">
        <v>484</v>
      </c>
      <c r="H6044" s="68">
        <f>H6041*H6038</f>
        <v>100.00000000000001</v>
      </c>
      <c r="I6044" s="26" t="s">
        <v>3477</v>
      </c>
      <c r="J6044" s="78"/>
    </row>
    <row r="6045" spans="1:10" hidden="1">
      <c r="B6045" s="26" t="s">
        <v>485</v>
      </c>
      <c r="H6045" s="68"/>
      <c r="J6045" s="78"/>
    </row>
    <row r="6046" spans="1:10" hidden="1">
      <c r="B6046" s="26" t="s">
        <v>4647</v>
      </c>
      <c r="D6046" s="26">
        <f>34/0.85*0.3</f>
        <v>12</v>
      </c>
      <c r="H6046" s="68"/>
      <c r="J6046" s="78"/>
    </row>
    <row r="6047" spans="1:10">
      <c r="H6047" s="68"/>
      <c r="J6047" s="78"/>
    </row>
    <row r="6048" spans="1:10">
      <c r="J6048" s="78"/>
    </row>
    <row r="6049" spans="1:10">
      <c r="A6049" s="822" t="s">
        <v>3984</v>
      </c>
      <c r="E6049" s="170" t="s">
        <v>2367</v>
      </c>
      <c r="J6049" s="78"/>
    </row>
    <row r="6050" spans="1:10">
      <c r="J6050" s="78"/>
    </row>
    <row r="6051" spans="1:10">
      <c r="B6051" s="170" t="s">
        <v>2368</v>
      </c>
      <c r="G6051" s="26" t="s">
        <v>3476</v>
      </c>
      <c r="H6051" s="170">
        <v>100</v>
      </c>
      <c r="I6051" s="26" t="s">
        <v>3477</v>
      </c>
      <c r="J6051" s="78"/>
    </row>
    <row r="6052" spans="1:10">
      <c r="B6052" s="95" t="s">
        <v>2369</v>
      </c>
      <c r="C6052" s="148" t="s">
        <v>4443</v>
      </c>
      <c r="D6052" s="175"/>
      <c r="E6052" s="175"/>
      <c r="F6052" s="95" t="s">
        <v>2370</v>
      </c>
      <c r="G6052" s="95" t="s">
        <v>1166</v>
      </c>
      <c r="H6052" s="95" t="s">
        <v>6664</v>
      </c>
      <c r="I6052" s="95" t="s">
        <v>6665</v>
      </c>
      <c r="J6052" s="78"/>
    </row>
    <row r="6053" spans="1:10">
      <c r="B6053" s="191"/>
      <c r="C6053" s="89"/>
      <c r="D6053" s="174"/>
      <c r="E6053" s="174"/>
      <c r="F6053" s="191"/>
      <c r="G6053" s="114"/>
      <c r="H6053" s="114" t="s">
        <v>3856</v>
      </c>
      <c r="I6053" s="114" t="s">
        <v>3857</v>
      </c>
      <c r="J6053" s="78"/>
    </row>
    <row r="6054" spans="1:10">
      <c r="B6054" s="105">
        <v>1</v>
      </c>
      <c r="C6054" s="76" t="s">
        <v>6997</v>
      </c>
      <c r="D6054" s="31"/>
      <c r="E6054" s="31"/>
      <c r="F6054" s="210" t="s">
        <v>3477</v>
      </c>
      <c r="G6054" s="190">
        <v>35</v>
      </c>
      <c r="H6054" s="220">
        <f>'BASIC DATA'!$D$37</f>
        <v>650</v>
      </c>
      <c r="I6054" s="179">
        <f>H6054*G6054</f>
        <v>22750</v>
      </c>
      <c r="J6054" s="78"/>
    </row>
    <row r="6055" spans="1:10">
      <c r="B6055" s="105">
        <v>2</v>
      </c>
      <c r="C6055" s="76" t="s">
        <v>6996</v>
      </c>
      <c r="D6055" s="31"/>
      <c r="E6055" s="31"/>
      <c r="F6055" s="210" t="s">
        <v>3477</v>
      </c>
      <c r="G6055" s="190">
        <v>55</v>
      </c>
      <c r="H6055" s="220">
        <f>'BASIC DATA'!$D$36</f>
        <v>1175</v>
      </c>
      <c r="I6055" s="179">
        <f>H6055*G6055</f>
        <v>64625</v>
      </c>
      <c r="J6055" s="78"/>
    </row>
    <row r="6056" spans="1:10">
      <c r="B6056" s="105">
        <v>3</v>
      </c>
      <c r="C6056" s="76" t="s">
        <v>6995</v>
      </c>
      <c r="D6056" s="31"/>
      <c r="E6056" s="31"/>
      <c r="F6056" s="210" t="s">
        <v>3477</v>
      </c>
      <c r="G6056" s="190">
        <v>5</v>
      </c>
      <c r="H6056" s="220">
        <f>'BASIC DATA'!$D$35</f>
        <v>1225</v>
      </c>
      <c r="I6056" s="179">
        <f>H6056*G6056</f>
        <v>6125</v>
      </c>
      <c r="J6056" s="78"/>
    </row>
    <row r="6057" spans="1:10">
      <c r="B6057" s="114">
        <v>4</v>
      </c>
      <c r="C6057" s="89" t="s">
        <v>570</v>
      </c>
      <c r="D6057" s="174"/>
      <c r="E6057" s="174"/>
      <c r="F6057" s="191" t="s">
        <v>3477</v>
      </c>
      <c r="G6057" s="182">
        <v>5</v>
      </c>
      <c r="H6057" s="220">
        <f>'BASIC DATA'!$D$34</f>
        <v>900</v>
      </c>
      <c r="I6057" s="179">
        <f>H6057*G6057</f>
        <v>4500</v>
      </c>
      <c r="J6057" s="78"/>
    </row>
    <row r="6058" spans="1:10">
      <c r="B6058" s="184"/>
      <c r="C6058" s="151"/>
      <c r="D6058" s="159"/>
      <c r="E6058" s="159" t="s">
        <v>2376</v>
      </c>
      <c r="F6058" s="159"/>
      <c r="G6058" s="159"/>
      <c r="H6058" s="208" t="s">
        <v>1698</v>
      </c>
      <c r="I6058" s="282">
        <f>SUM(I6054:I6057)</f>
        <v>98000</v>
      </c>
      <c r="J6058" s="78"/>
    </row>
    <row r="6059" spans="1:10">
      <c r="B6059" s="31"/>
      <c r="C6059" s="76"/>
      <c r="D6059" s="31"/>
      <c r="E6059" s="31"/>
      <c r="F6059" s="31"/>
      <c r="G6059" s="31"/>
      <c r="H6059" s="200"/>
      <c r="I6059" s="75"/>
      <c r="J6059" s="78"/>
    </row>
    <row r="6060" spans="1:10">
      <c r="B6060" s="170" t="s">
        <v>2377</v>
      </c>
      <c r="J6060" s="78"/>
    </row>
    <row r="6061" spans="1:10">
      <c r="B6061" s="95" t="s">
        <v>2369</v>
      </c>
      <c r="C6061" s="148" t="s">
        <v>2378</v>
      </c>
      <c r="D6061" s="175"/>
      <c r="E6061" s="175"/>
      <c r="F6061" s="95" t="s">
        <v>2370</v>
      </c>
      <c r="G6061" s="95" t="s">
        <v>1166</v>
      </c>
      <c r="H6061" s="95" t="s">
        <v>6664</v>
      </c>
      <c r="I6061" s="95" t="s">
        <v>6665</v>
      </c>
      <c r="J6061" s="78"/>
    </row>
    <row r="6062" spans="1:10">
      <c r="B6062" s="191"/>
      <c r="C6062" s="89"/>
      <c r="D6062" s="174"/>
      <c r="E6062" s="174"/>
      <c r="F6062" s="191"/>
      <c r="G6062" s="114"/>
      <c r="H6062" s="114" t="s">
        <v>3856</v>
      </c>
      <c r="I6062" s="114" t="s">
        <v>3857</v>
      </c>
      <c r="J6062" s="78"/>
    </row>
    <row r="6063" spans="1:10">
      <c r="B6063" s="95">
        <v>1</v>
      </c>
      <c r="C6063" s="148" t="s">
        <v>6976</v>
      </c>
      <c r="D6063" s="187"/>
      <c r="E6063" s="187"/>
      <c r="F6063" s="107"/>
      <c r="G6063" s="179">
        <v>0</v>
      </c>
      <c r="H6063" s="179">
        <v>0</v>
      </c>
      <c r="I6063" s="179">
        <f>H6063*G6063</f>
        <v>0</v>
      </c>
      <c r="J6063" s="78"/>
    </row>
    <row r="6064" spans="1:10">
      <c r="B6064" s="191"/>
      <c r="C6064" s="89"/>
      <c r="D6064" s="174"/>
      <c r="E6064" s="174"/>
      <c r="F6064" s="191"/>
      <c r="G6064" s="182">
        <v>0</v>
      </c>
      <c r="H6064" s="182">
        <v>0</v>
      </c>
      <c r="I6064" s="179">
        <f>H6064*G6064</f>
        <v>0</v>
      </c>
      <c r="J6064" s="78"/>
    </row>
    <row r="6065" spans="2:10">
      <c r="B6065" s="184"/>
      <c r="C6065" s="151"/>
      <c r="D6065" s="159"/>
      <c r="E6065" s="159" t="s">
        <v>2380</v>
      </c>
      <c r="F6065" s="159"/>
      <c r="G6065" s="159"/>
      <c r="H6065" s="208" t="s">
        <v>1698</v>
      </c>
      <c r="I6065" s="282">
        <f>SUM(I6063:I6064)</f>
        <v>0</v>
      </c>
      <c r="J6065" s="78"/>
    </row>
    <row r="6066" spans="2:10">
      <c r="B6066" s="31"/>
      <c r="C6066" s="76"/>
      <c r="D6066" s="31"/>
      <c r="E6066" s="31"/>
      <c r="F6066" s="31"/>
      <c r="G6066" s="31"/>
      <c r="H6066" s="200"/>
      <c r="I6066" s="75"/>
      <c r="J6066" s="78"/>
    </row>
    <row r="6067" spans="2:10">
      <c r="B6067" s="170" t="s">
        <v>2381</v>
      </c>
      <c r="J6067" s="78"/>
    </row>
    <row r="6068" spans="2:10">
      <c r="B6068" s="95" t="s">
        <v>2369</v>
      </c>
      <c r="C6068" s="148" t="s">
        <v>2378</v>
      </c>
      <c r="D6068" s="175"/>
      <c r="E6068" s="175"/>
      <c r="F6068" s="95" t="s">
        <v>2370</v>
      </c>
      <c r="G6068" s="95" t="s">
        <v>1166</v>
      </c>
      <c r="H6068" s="95" t="s">
        <v>6664</v>
      </c>
      <c r="I6068" s="95" t="s">
        <v>6665</v>
      </c>
      <c r="J6068" s="78"/>
    </row>
    <row r="6069" spans="2:10">
      <c r="B6069" s="191"/>
      <c r="C6069" s="89"/>
      <c r="D6069" s="174"/>
      <c r="E6069" s="174"/>
      <c r="F6069" s="191"/>
      <c r="G6069" s="114"/>
      <c r="H6069" s="114" t="s">
        <v>3856</v>
      </c>
      <c r="I6069" s="114" t="s">
        <v>3857</v>
      </c>
      <c r="J6069" s="78"/>
    </row>
    <row r="6070" spans="2:10">
      <c r="B6070" s="95">
        <v>1</v>
      </c>
      <c r="C6070" s="148" t="s">
        <v>4206</v>
      </c>
      <c r="D6070" s="187"/>
      <c r="E6070" s="187"/>
      <c r="F6070" s="107" t="s">
        <v>1172</v>
      </c>
      <c r="G6070" s="179">
        <v>1</v>
      </c>
      <c r="H6070" s="190">
        <f>'BASIC DATA'!$C$473</f>
        <v>450</v>
      </c>
      <c r="I6070" s="179">
        <f>H6070*G6070</f>
        <v>450</v>
      </c>
      <c r="J6070" s="78"/>
    </row>
    <row r="6071" spans="2:10">
      <c r="B6071" s="105">
        <v>2</v>
      </c>
      <c r="C6071" s="76" t="s">
        <v>2697</v>
      </c>
      <c r="D6071" s="31"/>
      <c r="E6071" s="31"/>
      <c r="F6071" s="210" t="s">
        <v>1172</v>
      </c>
      <c r="G6071" s="190">
        <v>12</v>
      </c>
      <c r="H6071" s="207">
        <f>'BASIC DATA'!$C$552</f>
        <v>350</v>
      </c>
      <c r="I6071" s="179">
        <f>H6071*G6071</f>
        <v>4200</v>
      </c>
      <c r="J6071" s="78"/>
    </row>
    <row r="6072" spans="2:10">
      <c r="B6072" s="184"/>
      <c r="C6072" s="151"/>
      <c r="D6072" s="159"/>
      <c r="E6072" s="159" t="s">
        <v>1174</v>
      </c>
      <c r="F6072" s="159"/>
      <c r="G6072" s="205"/>
      <c r="H6072" s="216" t="s">
        <v>1698</v>
      </c>
      <c r="I6072" s="282">
        <f>SUM(I6070:I6071)</f>
        <v>4650</v>
      </c>
      <c r="J6072" s="78"/>
    </row>
    <row r="6073" spans="2:10">
      <c r="B6073" s="60" t="s">
        <v>5948</v>
      </c>
      <c r="C6073" s="76"/>
      <c r="D6073" s="31"/>
      <c r="E6073" s="31"/>
      <c r="F6073" s="31"/>
      <c r="G6073" s="85">
        <f>ROUND(I6072/H6051,1)</f>
        <v>46.5</v>
      </c>
      <c r="J6073" s="78"/>
    </row>
    <row r="6074" spans="2:10">
      <c r="B6074" s="60" t="s">
        <v>3163</v>
      </c>
      <c r="C6074" s="76"/>
      <c r="D6074" s="31"/>
      <c r="E6074" s="31"/>
      <c r="F6074" s="922">
        <f>'BASIC DATA'!$C$577</f>
        <v>0.13614999999999999</v>
      </c>
      <c r="G6074" s="85">
        <f>ROUND(G6073*F6074,1)</f>
        <v>6.3</v>
      </c>
      <c r="J6074" s="78"/>
    </row>
    <row r="6075" spans="2:10">
      <c r="B6075" s="60" t="s">
        <v>5949</v>
      </c>
      <c r="C6075" s="76"/>
      <c r="D6075" s="31"/>
      <c r="E6075" s="31"/>
      <c r="F6075" s="31"/>
      <c r="G6075" s="199">
        <f>ROUND(G6074+G6073,1)</f>
        <v>52.8</v>
      </c>
      <c r="J6075" s="78"/>
    </row>
    <row r="6076" spans="2:10">
      <c r="J6076" s="78"/>
    </row>
    <row r="6077" spans="2:10">
      <c r="B6077" s="170" t="s">
        <v>1175</v>
      </c>
      <c r="J6077" s="78"/>
    </row>
    <row r="6078" spans="2:10">
      <c r="B6078" s="26" t="s">
        <v>1176</v>
      </c>
      <c r="H6078" s="171" t="s">
        <v>1698</v>
      </c>
      <c r="I6078" s="68">
        <f>I6058</f>
        <v>98000</v>
      </c>
      <c r="J6078" s="78"/>
    </row>
    <row r="6079" spans="2:10">
      <c r="B6079" s="26" t="s">
        <v>1186</v>
      </c>
      <c r="H6079" s="171" t="s">
        <v>1698</v>
      </c>
      <c r="I6079" s="68">
        <f>I6065</f>
        <v>0</v>
      </c>
      <c r="J6079" s="78"/>
    </row>
    <row r="6080" spans="2:10">
      <c r="B6080" s="26" t="s">
        <v>2660</v>
      </c>
      <c r="H6080" s="171" t="s">
        <v>1698</v>
      </c>
      <c r="I6080" s="68">
        <f>I6072</f>
        <v>4650</v>
      </c>
      <c r="J6080" s="78"/>
    </row>
    <row r="6081" spans="1:10">
      <c r="G6081" s="171" t="s">
        <v>1518</v>
      </c>
      <c r="H6081" s="171" t="s">
        <v>1698</v>
      </c>
      <c r="I6081" s="205">
        <f>SUM(I6078:I6080)</f>
        <v>102650</v>
      </c>
      <c r="J6081" s="78"/>
    </row>
    <row r="6082" spans="1:10" ht="18.75">
      <c r="B6082" s="1207" t="s">
        <v>8375</v>
      </c>
      <c r="C6082" s="1207"/>
      <c r="D6082" s="1207"/>
      <c r="E6082" s="1207"/>
      <c r="F6082" s="1207"/>
      <c r="G6082" s="922">
        <f>'BASIC DATA'!$C$577</f>
        <v>0.13614999999999999</v>
      </c>
      <c r="H6082" s="171" t="s">
        <v>4108</v>
      </c>
      <c r="I6082" s="76">
        <f>ROUND(I6081*G6082,2)</f>
        <v>13975.8</v>
      </c>
      <c r="J6082" s="78"/>
    </row>
    <row r="6083" spans="1:10">
      <c r="B6083" s="1206" t="s">
        <v>1191</v>
      </c>
      <c r="C6083" s="1206"/>
      <c r="D6083" s="1206"/>
      <c r="E6083" s="1206"/>
      <c r="F6083" s="202">
        <f>H6051</f>
        <v>100</v>
      </c>
      <c r="G6083" s="202" t="str">
        <f>I6051</f>
        <v>cum</v>
      </c>
      <c r="H6083" s="171" t="s">
        <v>1698</v>
      </c>
      <c r="I6083" s="199">
        <f>I6082+I6081</f>
        <v>116625.8</v>
      </c>
      <c r="J6083" s="78"/>
    </row>
    <row r="6084" spans="1:10">
      <c r="B6084" s="1161" t="s">
        <v>3884</v>
      </c>
      <c r="C6084" s="1161"/>
      <c r="D6084" s="246" t="str">
        <f>G6083</f>
        <v>cum</v>
      </c>
      <c r="F6084" s="26" t="s">
        <v>1380</v>
      </c>
      <c r="H6084" s="171" t="s">
        <v>1698</v>
      </c>
      <c r="I6084" s="204">
        <f>ROUND(I6083/F6083,1)</f>
        <v>1166.3</v>
      </c>
      <c r="J6084" s="78"/>
    </row>
    <row r="6085" spans="1:10"/>
    <row r="6086" spans="1:10"/>
    <row r="6087" spans="1:10" ht="18.75">
      <c r="A6087" s="822" t="s">
        <v>7377</v>
      </c>
      <c r="B6087" s="26" t="s">
        <v>8560</v>
      </c>
      <c r="J6087" s="78"/>
    </row>
    <row r="6088" spans="1:10" ht="18.75">
      <c r="B6088" s="26" t="s">
        <v>8561</v>
      </c>
      <c r="J6088" s="78"/>
    </row>
    <row r="6089" spans="1:10">
      <c r="B6089" s="26" t="s">
        <v>6792</v>
      </c>
      <c r="J6089" s="78"/>
    </row>
    <row r="6090" spans="1:10" ht="18.75">
      <c r="B6090" s="26" t="s">
        <v>8562</v>
      </c>
      <c r="J6090" s="78"/>
    </row>
    <row r="6091" spans="1:10" hidden="1">
      <c r="A6091" s="822" t="s">
        <v>3984</v>
      </c>
      <c r="B6091" s="26" t="s">
        <v>6793</v>
      </c>
      <c r="J6091" s="78"/>
    </row>
    <row r="6092" spans="1:10" hidden="1">
      <c r="B6092" s="26" t="s">
        <v>4553</v>
      </c>
      <c r="H6092" s="68">
        <v>220</v>
      </c>
      <c r="I6092" s="26" t="s">
        <v>1409</v>
      </c>
      <c r="J6092" s="78"/>
    </row>
    <row r="6093" spans="1:10" hidden="1">
      <c r="B6093" s="26" t="s">
        <v>4643</v>
      </c>
      <c r="H6093" s="68">
        <f>100*0.4</f>
        <v>40</v>
      </c>
      <c r="I6093" s="26" t="s">
        <v>5336</v>
      </c>
      <c r="J6093" s="78"/>
    </row>
    <row r="6094" spans="1:10" hidden="1"/>
    <row r="6095" spans="1:10"/>
    <row r="6096" spans="1:10"/>
    <row r="6097"/>
    <row r="6098"/>
    <row r="6099"/>
    <row r="6100"/>
    <row r="6101"/>
    <row r="6102"/>
    <row r="6103"/>
    <row r="6104"/>
    <row r="6105"/>
    <row r="6106"/>
    <row r="6107"/>
    <row r="6108"/>
    <row r="6109" hidden="1"/>
    <row r="6110" hidden="1"/>
    <row r="6111" hidden="1"/>
    <row r="6112"/>
    <row r="6113" spans="1:10">
      <c r="A6113" s="822" t="s">
        <v>3984</v>
      </c>
      <c r="E6113" s="170" t="s">
        <v>2367</v>
      </c>
      <c r="J6113" s="78"/>
    </row>
    <row r="6114" spans="1:10">
      <c r="J6114" s="78"/>
    </row>
    <row r="6115" spans="1:10">
      <c r="B6115" s="170" t="s">
        <v>2368</v>
      </c>
      <c r="G6115" s="26" t="s">
        <v>297</v>
      </c>
      <c r="H6115" s="170">
        <v>100</v>
      </c>
      <c r="I6115" s="26" t="s">
        <v>3479</v>
      </c>
      <c r="J6115" s="78"/>
    </row>
    <row r="6116" spans="1:10">
      <c r="B6116" s="95" t="s">
        <v>2369</v>
      </c>
      <c r="C6116" s="148" t="s">
        <v>4443</v>
      </c>
      <c r="D6116" s="175"/>
      <c r="E6116" s="175"/>
      <c r="F6116" s="95" t="s">
        <v>2370</v>
      </c>
      <c r="G6116" s="95" t="s">
        <v>1166</v>
      </c>
      <c r="H6116" s="95" t="s">
        <v>6664</v>
      </c>
      <c r="I6116" s="95" t="s">
        <v>6665</v>
      </c>
      <c r="J6116" s="78"/>
    </row>
    <row r="6117" spans="1:10">
      <c r="B6117" s="191"/>
      <c r="C6117" s="89"/>
      <c r="D6117" s="174"/>
      <c r="E6117" s="174"/>
      <c r="F6117" s="191"/>
      <c r="G6117" s="114"/>
      <c r="H6117" s="114" t="s">
        <v>3856</v>
      </c>
      <c r="I6117" s="114" t="s">
        <v>3857</v>
      </c>
      <c r="J6117" s="78"/>
    </row>
    <row r="6118" spans="1:10">
      <c r="B6118" s="95">
        <v>1</v>
      </c>
      <c r="C6118" s="148" t="s">
        <v>1659</v>
      </c>
      <c r="D6118" s="187"/>
      <c r="E6118" s="187"/>
      <c r="F6118" s="107" t="s">
        <v>3479</v>
      </c>
      <c r="G6118" s="179">
        <v>220</v>
      </c>
      <c r="H6118" s="212">
        <f>'BASIC DATA'!$D$60</f>
        <v>150</v>
      </c>
      <c r="I6118" s="179">
        <f>H6118*G6118</f>
        <v>33000</v>
      </c>
      <c r="J6118" s="78"/>
    </row>
    <row r="6119" spans="1:10">
      <c r="B6119" s="105">
        <v>2</v>
      </c>
      <c r="C6119" s="76" t="s">
        <v>5583</v>
      </c>
      <c r="D6119" s="31"/>
      <c r="E6119" s="31"/>
      <c r="F6119" s="210" t="s">
        <v>3477</v>
      </c>
      <c r="G6119" s="190">
        <f>0.75*40</f>
        <v>30</v>
      </c>
      <c r="H6119" s="214">
        <f>'BASIC DATA'!$D$35</f>
        <v>1225</v>
      </c>
      <c r="I6119" s="179">
        <f>H6119*G6119</f>
        <v>36750</v>
      </c>
      <c r="J6119" s="78"/>
    </row>
    <row r="6120" spans="1:10">
      <c r="B6120" s="191"/>
      <c r="C6120" s="89" t="s">
        <v>2445</v>
      </c>
      <c r="D6120" s="174"/>
      <c r="E6120" s="174"/>
      <c r="F6120" s="191" t="s">
        <v>3477</v>
      </c>
      <c r="G6120" s="182">
        <f>0.25*40</f>
        <v>10</v>
      </c>
      <c r="H6120" s="215">
        <f>'BASIC DATA'!$D$34</f>
        <v>900</v>
      </c>
      <c r="I6120" s="179">
        <f>H6120*G6120</f>
        <v>9000</v>
      </c>
      <c r="J6120" s="78"/>
    </row>
    <row r="6121" spans="1:10">
      <c r="B6121" s="184"/>
      <c r="C6121" s="151"/>
      <c r="D6121" s="159"/>
      <c r="E6121" s="159" t="s">
        <v>2376</v>
      </c>
      <c r="F6121" s="159"/>
      <c r="G6121" s="205"/>
      <c r="H6121" s="216" t="s">
        <v>1698</v>
      </c>
      <c r="I6121" s="282">
        <f>SUM(I6118:I6120)</f>
        <v>78750</v>
      </c>
      <c r="J6121" s="78"/>
    </row>
    <row r="6122" spans="1:10">
      <c r="B6122" s="31"/>
      <c r="C6122" s="76"/>
      <c r="D6122" s="31"/>
      <c r="E6122" s="31"/>
      <c r="F6122" s="31"/>
      <c r="G6122" s="75"/>
      <c r="H6122" s="294"/>
      <c r="I6122" s="75"/>
      <c r="J6122" s="78"/>
    </row>
    <row r="6123" spans="1:10">
      <c r="B6123" s="170" t="s">
        <v>2377</v>
      </c>
      <c r="J6123" s="78"/>
    </row>
    <row r="6124" spans="1:10">
      <c r="B6124" s="95" t="s">
        <v>2369</v>
      </c>
      <c r="C6124" s="148" t="s">
        <v>2378</v>
      </c>
      <c r="D6124" s="175"/>
      <c r="E6124" s="175"/>
      <c r="F6124" s="95" t="s">
        <v>2370</v>
      </c>
      <c r="G6124" s="95" t="s">
        <v>1166</v>
      </c>
      <c r="H6124" s="95" t="s">
        <v>6664</v>
      </c>
      <c r="I6124" s="95" t="s">
        <v>6665</v>
      </c>
      <c r="J6124" s="78"/>
    </row>
    <row r="6125" spans="1:10">
      <c r="B6125" s="191"/>
      <c r="C6125" s="89"/>
      <c r="D6125" s="174"/>
      <c r="E6125" s="174"/>
      <c r="F6125" s="191"/>
      <c r="G6125" s="114"/>
      <c r="H6125" s="114" t="s">
        <v>3856</v>
      </c>
      <c r="I6125" s="114" t="s">
        <v>3857</v>
      </c>
      <c r="J6125" s="78"/>
    </row>
    <row r="6126" spans="1:10">
      <c r="B6126" s="95">
        <v>1</v>
      </c>
      <c r="C6126" s="148" t="s">
        <v>6976</v>
      </c>
      <c r="D6126" s="187"/>
      <c r="E6126" s="187"/>
      <c r="F6126" s="107"/>
      <c r="G6126" s="179">
        <v>0</v>
      </c>
      <c r="H6126" s="179">
        <v>0</v>
      </c>
      <c r="I6126" s="179">
        <f>H6126*G6126</f>
        <v>0</v>
      </c>
      <c r="J6126" s="78"/>
    </row>
    <row r="6127" spans="1:10">
      <c r="B6127" s="191"/>
      <c r="C6127" s="89"/>
      <c r="D6127" s="174"/>
      <c r="E6127" s="174"/>
      <c r="F6127" s="191"/>
      <c r="G6127" s="182">
        <v>0</v>
      </c>
      <c r="H6127" s="182">
        <v>0</v>
      </c>
      <c r="I6127" s="179">
        <f>H6127*G6127</f>
        <v>0</v>
      </c>
      <c r="J6127" s="78"/>
    </row>
    <row r="6128" spans="1:10">
      <c r="B6128" s="184"/>
      <c r="C6128" s="151"/>
      <c r="D6128" s="159"/>
      <c r="E6128" s="159" t="s">
        <v>2380</v>
      </c>
      <c r="F6128" s="159"/>
      <c r="G6128" s="159"/>
      <c r="H6128" s="208" t="s">
        <v>1698</v>
      </c>
      <c r="I6128" s="282">
        <f>SUM(I6126:I6127)</f>
        <v>0</v>
      </c>
      <c r="J6128" s="78"/>
    </row>
    <row r="6129" spans="2:10">
      <c r="B6129" s="31"/>
      <c r="C6129" s="76"/>
      <c r="D6129" s="31"/>
      <c r="E6129" s="31"/>
      <c r="F6129" s="31"/>
      <c r="G6129" s="31"/>
      <c r="H6129" s="200"/>
      <c r="I6129" s="75"/>
      <c r="J6129" s="78"/>
    </row>
    <row r="6130" spans="2:10">
      <c r="B6130" s="170" t="s">
        <v>2381</v>
      </c>
      <c r="J6130" s="78"/>
    </row>
    <row r="6131" spans="2:10">
      <c r="B6131" s="95" t="s">
        <v>2369</v>
      </c>
      <c r="C6131" s="148" t="s">
        <v>2378</v>
      </c>
      <c r="D6131" s="175"/>
      <c r="E6131" s="175"/>
      <c r="F6131" s="95" t="s">
        <v>2370</v>
      </c>
      <c r="G6131" s="95" t="s">
        <v>1166</v>
      </c>
      <c r="H6131" s="95" t="s">
        <v>6664</v>
      </c>
      <c r="I6131" s="95" t="s">
        <v>6665</v>
      </c>
      <c r="J6131" s="78"/>
    </row>
    <row r="6132" spans="2:10">
      <c r="B6132" s="191"/>
      <c r="C6132" s="89"/>
      <c r="D6132" s="174"/>
      <c r="E6132" s="174"/>
      <c r="F6132" s="191"/>
      <c r="G6132" s="114"/>
      <c r="H6132" s="114" t="s">
        <v>3856</v>
      </c>
      <c r="I6132" s="114" t="s">
        <v>3857</v>
      </c>
      <c r="J6132" s="78"/>
    </row>
    <row r="6133" spans="2:10">
      <c r="B6133" s="95">
        <v>1</v>
      </c>
      <c r="C6133" s="148" t="s">
        <v>4206</v>
      </c>
      <c r="D6133" s="187"/>
      <c r="E6133" s="187"/>
      <c r="F6133" s="107" t="s">
        <v>1172</v>
      </c>
      <c r="G6133" s="179">
        <v>1</v>
      </c>
      <c r="H6133" s="190">
        <f>'BASIC DATA'!$C$473</f>
        <v>450</v>
      </c>
      <c r="I6133" s="179">
        <f>H6133*G6133</f>
        <v>450</v>
      </c>
      <c r="J6133" s="78"/>
    </row>
    <row r="6134" spans="2:10">
      <c r="B6134" s="105">
        <v>2</v>
      </c>
      <c r="C6134" s="76" t="s">
        <v>2697</v>
      </c>
      <c r="D6134" s="31"/>
      <c r="E6134" s="31"/>
      <c r="F6134" s="210" t="s">
        <v>1172</v>
      </c>
      <c r="G6134" s="190">
        <v>14</v>
      </c>
      <c r="H6134" s="207">
        <f>'BASIC DATA'!$C$552</f>
        <v>350</v>
      </c>
      <c r="I6134" s="179">
        <f>H6134*G6134</f>
        <v>4900</v>
      </c>
      <c r="J6134" s="78"/>
    </row>
    <row r="6135" spans="2:10">
      <c r="B6135" s="184"/>
      <c r="C6135" s="151"/>
      <c r="D6135" s="159"/>
      <c r="E6135" s="159" t="s">
        <v>1174</v>
      </c>
      <c r="F6135" s="159"/>
      <c r="G6135" s="300"/>
      <c r="H6135" s="216" t="s">
        <v>1698</v>
      </c>
      <c r="I6135" s="282">
        <f>SUM(I6133:I6134)</f>
        <v>5350</v>
      </c>
      <c r="J6135" s="78"/>
    </row>
    <row r="6136" spans="2:10">
      <c r="B6136" s="60" t="s">
        <v>5948</v>
      </c>
      <c r="C6136" s="76"/>
      <c r="D6136" s="31"/>
      <c r="E6136" s="31"/>
      <c r="F6136" s="31"/>
      <c r="G6136" s="85">
        <f>ROUND(I6135/H6115,1)</f>
        <v>53.5</v>
      </c>
      <c r="J6136" s="78"/>
    </row>
    <row r="6137" spans="2:10">
      <c r="B6137" s="60" t="s">
        <v>3163</v>
      </c>
      <c r="C6137" s="76"/>
      <c r="D6137" s="31"/>
      <c r="E6137" s="31"/>
      <c r="F6137" s="922">
        <f>'BASIC DATA'!$C$577</f>
        <v>0.13614999999999999</v>
      </c>
      <c r="G6137" s="85">
        <f>ROUND(G6136*F6137,1)</f>
        <v>7.3</v>
      </c>
      <c r="J6137" s="78"/>
    </row>
    <row r="6138" spans="2:10">
      <c r="B6138" s="60" t="s">
        <v>5949</v>
      </c>
      <c r="C6138" s="76"/>
      <c r="D6138" s="31"/>
      <c r="E6138" s="31"/>
      <c r="F6138" s="31"/>
      <c r="G6138" s="199">
        <f>ROUND(G6137+G6136,1)</f>
        <v>60.8</v>
      </c>
      <c r="J6138" s="78"/>
    </row>
    <row r="6139" spans="2:10">
      <c r="B6139" s="31"/>
      <c r="C6139" s="76"/>
      <c r="D6139" s="31"/>
      <c r="E6139" s="31"/>
      <c r="F6139" s="301"/>
      <c r="G6139" s="294"/>
      <c r="I6139" s="75"/>
      <c r="J6139" s="78"/>
    </row>
    <row r="6140" spans="2:10">
      <c r="B6140" s="170" t="s">
        <v>1175</v>
      </c>
      <c r="J6140" s="78"/>
    </row>
    <row r="6141" spans="2:10">
      <c r="B6141" s="26" t="s">
        <v>1176</v>
      </c>
      <c r="H6141" s="171" t="s">
        <v>1698</v>
      </c>
      <c r="I6141" s="68">
        <f>I6121</f>
        <v>78750</v>
      </c>
      <c r="J6141" s="78"/>
    </row>
    <row r="6142" spans="2:10">
      <c r="B6142" s="26" t="s">
        <v>1186</v>
      </c>
      <c r="H6142" s="171" t="s">
        <v>1698</v>
      </c>
      <c r="I6142" s="68">
        <f>I6128</f>
        <v>0</v>
      </c>
      <c r="J6142" s="78"/>
    </row>
    <row r="6143" spans="2:10">
      <c r="B6143" s="26" t="s">
        <v>2660</v>
      </c>
      <c r="H6143" s="171" t="s">
        <v>1698</v>
      </c>
      <c r="I6143" s="68">
        <f>I6135</f>
        <v>5350</v>
      </c>
      <c r="J6143" s="78"/>
    </row>
    <row r="6144" spans="2:10">
      <c r="G6144" s="171" t="s">
        <v>1518</v>
      </c>
      <c r="H6144" s="171" t="s">
        <v>1698</v>
      </c>
      <c r="I6144" s="205">
        <f>SUM(I6141:I6143)</f>
        <v>84100</v>
      </c>
      <c r="J6144" s="78"/>
    </row>
    <row r="6145" spans="1:10" ht="18.75">
      <c r="B6145" s="1207" t="s">
        <v>8375</v>
      </c>
      <c r="C6145" s="1207"/>
      <c r="D6145" s="1207"/>
      <c r="E6145" s="1207"/>
      <c r="F6145" s="1207"/>
      <c r="G6145" s="922">
        <f>'BASIC DATA'!$C$577</f>
        <v>0.13614999999999999</v>
      </c>
      <c r="H6145" s="171" t="s">
        <v>4108</v>
      </c>
      <c r="I6145" s="76">
        <f>ROUND(I6144*G6145,2)</f>
        <v>11450.22</v>
      </c>
      <c r="J6145" s="78"/>
    </row>
    <row r="6146" spans="1:10">
      <c r="B6146" s="1206" t="s">
        <v>1191</v>
      </c>
      <c r="C6146" s="1206"/>
      <c r="D6146" s="1206"/>
      <c r="E6146" s="1206"/>
      <c r="F6146" s="202">
        <f>H6115</f>
        <v>100</v>
      </c>
      <c r="G6146" s="202" t="str">
        <f>I6115</f>
        <v>sqm</v>
      </c>
      <c r="H6146" s="171" t="s">
        <v>1698</v>
      </c>
      <c r="I6146" s="199">
        <f>I6145+I6144</f>
        <v>95550.22</v>
      </c>
      <c r="J6146" s="78"/>
    </row>
    <row r="6147" spans="1:10">
      <c r="B6147" s="1161" t="s">
        <v>3884</v>
      </c>
      <c r="C6147" s="1161"/>
      <c r="D6147" s="246" t="str">
        <f>G6146</f>
        <v>sqm</v>
      </c>
      <c r="F6147" s="26" t="s">
        <v>1380</v>
      </c>
      <c r="H6147" s="171" t="s">
        <v>1698</v>
      </c>
      <c r="I6147" s="204">
        <f>ROUND(I6146/F6146,1)</f>
        <v>955.5</v>
      </c>
      <c r="J6147" s="78"/>
    </row>
    <row r="6148" spans="1:10">
      <c r="J6148" s="78"/>
    </row>
    <row r="6149" spans="1:10">
      <c r="J6149" s="78"/>
    </row>
    <row r="6150" spans="1:10" ht="18.75">
      <c r="A6150" s="822" t="s">
        <v>7378</v>
      </c>
      <c r="B6150" s="26" t="s">
        <v>8563</v>
      </c>
      <c r="J6150" s="78"/>
    </row>
    <row r="6151" spans="1:10">
      <c r="B6151" s="26" t="s">
        <v>3840</v>
      </c>
      <c r="J6151" s="78"/>
    </row>
    <row r="6152" spans="1:10">
      <c r="B6152" s="170" t="s">
        <v>3639</v>
      </c>
      <c r="J6152" s="78"/>
    </row>
    <row r="6153" spans="1:10" hidden="1">
      <c r="A6153" s="822" t="s">
        <v>3984</v>
      </c>
      <c r="B6153" s="26" t="s">
        <v>316</v>
      </c>
      <c r="H6153" s="68">
        <v>0.45</v>
      </c>
      <c r="I6153" s="26" t="s">
        <v>2602</v>
      </c>
      <c r="J6153" s="78"/>
    </row>
    <row r="6154" spans="1:10" hidden="1">
      <c r="B6154" s="26" t="s">
        <v>783</v>
      </c>
      <c r="H6154" s="68"/>
      <c r="J6154" s="78"/>
    </row>
    <row r="6155" spans="1:10" hidden="1">
      <c r="A6155" s="853"/>
      <c r="B6155" s="61" t="s">
        <v>4036</v>
      </c>
      <c r="C6155" s="125"/>
      <c r="D6155" s="61"/>
      <c r="E6155" s="61"/>
      <c r="F6155" s="61"/>
      <c r="G6155" s="61"/>
      <c r="H6155" s="223"/>
      <c r="I6155" s="61"/>
      <c r="J6155" s="78"/>
    </row>
    <row r="6156" spans="1:10" hidden="1">
      <c r="B6156" s="26" t="s">
        <v>4037</v>
      </c>
      <c r="H6156" s="68">
        <v>105</v>
      </c>
      <c r="I6156" s="26" t="s">
        <v>5336</v>
      </c>
      <c r="J6156" s="78"/>
    </row>
    <row r="6157" spans="1:10" hidden="1">
      <c r="B6157" s="26" t="s">
        <v>5815</v>
      </c>
      <c r="H6157" s="68"/>
      <c r="J6157" s="78"/>
    </row>
    <row r="6158" spans="1:10" hidden="1">
      <c r="B6158" s="26" t="s">
        <v>3831</v>
      </c>
      <c r="H6158" s="68"/>
      <c r="J6158" s="78"/>
    </row>
    <row r="6159" spans="1:10" hidden="1">
      <c r="B6159" s="26" t="s">
        <v>4206</v>
      </c>
      <c r="H6159" s="68">
        <v>1</v>
      </c>
      <c r="I6159" s="26" t="s">
        <v>4041</v>
      </c>
      <c r="J6159" s="78"/>
    </row>
    <row r="6160" spans="1:10" hidden="1">
      <c r="B6160" s="26" t="s">
        <v>2697</v>
      </c>
      <c r="H6160" s="68">
        <v>30</v>
      </c>
      <c r="I6160" s="26" t="s">
        <v>4041</v>
      </c>
      <c r="J6160" s="78"/>
    </row>
    <row r="6161" spans="1:10">
      <c r="J6161" s="78"/>
    </row>
    <row r="6162" spans="1:10">
      <c r="A6162" s="822" t="s">
        <v>3984</v>
      </c>
      <c r="E6162" s="170" t="s">
        <v>2367</v>
      </c>
      <c r="J6162" s="78"/>
    </row>
    <row r="6163" spans="1:10">
      <c r="J6163" s="78"/>
    </row>
    <row r="6164" spans="1:10">
      <c r="B6164" s="170" t="s">
        <v>2368</v>
      </c>
      <c r="G6164" s="26" t="s">
        <v>297</v>
      </c>
      <c r="H6164" s="170">
        <v>100</v>
      </c>
      <c r="I6164" s="26" t="s">
        <v>3477</v>
      </c>
      <c r="J6164" s="78"/>
    </row>
    <row r="6165" spans="1:10">
      <c r="B6165" s="95" t="s">
        <v>2369</v>
      </c>
      <c r="C6165" s="148" t="s">
        <v>4443</v>
      </c>
      <c r="D6165" s="175"/>
      <c r="E6165" s="175"/>
      <c r="F6165" s="95" t="s">
        <v>2370</v>
      </c>
      <c r="G6165" s="95" t="s">
        <v>1166</v>
      </c>
      <c r="H6165" s="95" t="s">
        <v>6664</v>
      </c>
      <c r="I6165" s="95" t="s">
        <v>6665</v>
      </c>
      <c r="J6165" s="78"/>
    </row>
    <row r="6166" spans="1:10">
      <c r="B6166" s="191"/>
      <c r="C6166" s="89"/>
      <c r="D6166" s="174"/>
      <c r="E6166" s="174"/>
      <c r="F6166" s="191"/>
      <c r="G6166" s="114"/>
      <c r="H6166" s="114" t="s">
        <v>3856</v>
      </c>
      <c r="I6166" s="114" t="s">
        <v>3857</v>
      </c>
      <c r="J6166" s="78"/>
    </row>
    <row r="6167" spans="1:10">
      <c r="A6167" s="853"/>
      <c r="B6167" s="295">
        <v>1</v>
      </c>
      <c r="C6167" s="345" t="s">
        <v>7938</v>
      </c>
      <c r="D6167" s="296"/>
      <c r="E6167" s="296"/>
      <c r="F6167" s="297" t="s">
        <v>3477</v>
      </c>
      <c r="G6167" s="281">
        <v>105</v>
      </c>
      <c r="H6167" s="258">
        <f>'BASIC DATA'!$D$55</f>
        <v>95</v>
      </c>
      <c r="I6167" s="281">
        <f>H6167*G6167</f>
        <v>9975</v>
      </c>
      <c r="J6167" s="62"/>
    </row>
    <row r="6168" spans="1:10">
      <c r="B6168" s="191"/>
      <c r="C6168" s="89"/>
      <c r="D6168" s="174"/>
      <c r="E6168" s="174"/>
      <c r="F6168" s="191"/>
      <c r="G6168" s="182">
        <v>0</v>
      </c>
      <c r="H6168" s="215">
        <v>0</v>
      </c>
      <c r="I6168" s="182"/>
      <c r="J6168" s="78"/>
    </row>
    <row r="6169" spans="1:10">
      <c r="B6169" s="184"/>
      <c r="C6169" s="151"/>
      <c r="D6169" s="159"/>
      <c r="E6169" s="159" t="s">
        <v>2376</v>
      </c>
      <c r="F6169" s="159"/>
      <c r="G6169" s="205"/>
      <c r="H6169" s="216" t="s">
        <v>1698</v>
      </c>
      <c r="I6169" s="282">
        <f>SUM(I6167:I6168)</f>
        <v>9975</v>
      </c>
      <c r="J6169" s="78"/>
    </row>
    <row r="6170" spans="1:10">
      <c r="B6170" s="31"/>
      <c r="C6170" s="76"/>
      <c r="D6170" s="31"/>
      <c r="E6170" s="31"/>
      <c r="F6170" s="31"/>
      <c r="G6170" s="75"/>
      <c r="H6170" s="294"/>
      <c r="I6170" s="75"/>
      <c r="J6170" s="78"/>
    </row>
    <row r="6171" spans="1:10">
      <c r="B6171" s="170" t="s">
        <v>2377</v>
      </c>
      <c r="J6171" s="78"/>
    </row>
    <row r="6172" spans="1:10">
      <c r="B6172" s="95" t="s">
        <v>2369</v>
      </c>
      <c r="C6172" s="148" t="s">
        <v>2378</v>
      </c>
      <c r="D6172" s="175"/>
      <c r="E6172" s="175"/>
      <c r="F6172" s="95" t="s">
        <v>2370</v>
      </c>
      <c r="G6172" s="95" t="s">
        <v>1166</v>
      </c>
      <c r="H6172" s="95" t="s">
        <v>6664</v>
      </c>
      <c r="I6172" s="95" t="s">
        <v>6665</v>
      </c>
      <c r="J6172" s="78"/>
    </row>
    <row r="6173" spans="1:10">
      <c r="B6173" s="114"/>
      <c r="C6173" s="89"/>
      <c r="D6173" s="188"/>
      <c r="E6173" s="188"/>
      <c r="F6173" s="114"/>
      <c r="G6173" s="114"/>
      <c r="H6173" s="114" t="s">
        <v>3856</v>
      </c>
      <c r="I6173" s="114" t="s">
        <v>3857</v>
      </c>
      <c r="J6173" s="78"/>
    </row>
    <row r="6174" spans="1:10">
      <c r="B6174" s="95">
        <v>1</v>
      </c>
      <c r="C6174" s="148" t="s">
        <v>6976</v>
      </c>
      <c r="D6174" s="187"/>
      <c r="E6174" s="187"/>
      <c r="F6174" s="107"/>
      <c r="G6174" s="179">
        <v>0</v>
      </c>
      <c r="H6174" s="179">
        <v>0</v>
      </c>
      <c r="I6174" s="179">
        <f>H6174*G6174</f>
        <v>0</v>
      </c>
      <c r="J6174" s="78"/>
    </row>
    <row r="6175" spans="1:10">
      <c r="B6175" s="191"/>
      <c r="C6175" s="89"/>
      <c r="D6175" s="174"/>
      <c r="E6175" s="174"/>
      <c r="F6175" s="191"/>
      <c r="G6175" s="182">
        <v>0</v>
      </c>
      <c r="H6175" s="182">
        <v>0</v>
      </c>
      <c r="I6175" s="179">
        <f>H6175*G6175</f>
        <v>0</v>
      </c>
      <c r="J6175" s="78"/>
    </row>
    <row r="6176" spans="1:10">
      <c r="B6176" s="184"/>
      <c r="C6176" s="151"/>
      <c r="D6176" s="159"/>
      <c r="E6176" s="159" t="s">
        <v>2380</v>
      </c>
      <c r="F6176" s="159"/>
      <c r="G6176" s="193"/>
      <c r="H6176" s="193" t="s">
        <v>1698</v>
      </c>
      <c r="I6176" s="282">
        <f>SUM(I6174:I6175)</f>
        <v>0</v>
      </c>
      <c r="J6176" s="78"/>
    </row>
    <row r="6177" spans="2:10">
      <c r="B6177" s="31"/>
      <c r="C6177" s="76"/>
      <c r="D6177" s="31"/>
      <c r="E6177" s="31"/>
      <c r="F6177" s="31"/>
      <c r="G6177" s="200"/>
      <c r="H6177" s="200"/>
      <c r="I6177" s="75"/>
      <c r="J6177" s="78"/>
    </row>
    <row r="6178" spans="2:10">
      <c r="B6178" s="170" t="s">
        <v>2381</v>
      </c>
      <c r="J6178" s="78"/>
    </row>
    <row r="6179" spans="2:10">
      <c r="B6179" s="95" t="s">
        <v>2369</v>
      </c>
      <c r="C6179" s="148" t="s">
        <v>2378</v>
      </c>
      <c r="D6179" s="175"/>
      <c r="E6179" s="175"/>
      <c r="F6179" s="95" t="s">
        <v>2370</v>
      </c>
      <c r="G6179" s="95" t="s">
        <v>1166</v>
      </c>
      <c r="H6179" s="95" t="s">
        <v>6664</v>
      </c>
      <c r="I6179" s="95" t="s">
        <v>6665</v>
      </c>
      <c r="J6179" s="78"/>
    </row>
    <row r="6180" spans="2:10">
      <c r="B6180" s="191"/>
      <c r="C6180" s="89"/>
      <c r="D6180" s="174"/>
      <c r="E6180" s="174"/>
      <c r="F6180" s="191"/>
      <c r="G6180" s="114"/>
      <c r="H6180" s="114" t="s">
        <v>3856</v>
      </c>
      <c r="I6180" s="114" t="s">
        <v>3857</v>
      </c>
      <c r="J6180" s="78"/>
    </row>
    <row r="6181" spans="2:10">
      <c r="B6181" s="95">
        <v>1</v>
      </c>
      <c r="C6181" s="148" t="s">
        <v>4206</v>
      </c>
      <c r="D6181" s="187"/>
      <c r="E6181" s="187"/>
      <c r="F6181" s="107" t="s">
        <v>1172</v>
      </c>
      <c r="G6181" s="179">
        <v>1</v>
      </c>
      <c r="H6181" s="190">
        <f>'BASIC DATA'!$C$473</f>
        <v>450</v>
      </c>
      <c r="I6181" s="179">
        <f>H6181*G6181</f>
        <v>450</v>
      </c>
      <c r="J6181" s="78"/>
    </row>
    <row r="6182" spans="2:10">
      <c r="B6182" s="105">
        <v>2</v>
      </c>
      <c r="C6182" s="76" t="s">
        <v>2697</v>
      </c>
      <c r="D6182" s="31"/>
      <c r="E6182" s="31"/>
      <c r="F6182" s="210" t="s">
        <v>1172</v>
      </c>
      <c r="G6182" s="190">
        <v>30</v>
      </c>
      <c r="H6182" s="207">
        <f>'BASIC DATA'!$C$552</f>
        <v>350</v>
      </c>
      <c r="I6182" s="179">
        <f>H6182*G6182</f>
        <v>10500</v>
      </c>
      <c r="J6182" s="78"/>
    </row>
    <row r="6183" spans="2:10">
      <c r="B6183" s="184"/>
      <c r="C6183" s="151"/>
      <c r="D6183" s="159"/>
      <c r="E6183" s="159" t="s">
        <v>1174</v>
      </c>
      <c r="F6183" s="159"/>
      <c r="G6183" s="252"/>
      <c r="H6183" s="216" t="s">
        <v>1698</v>
      </c>
      <c r="I6183" s="282">
        <f>SUM(I6181:I6182)</f>
        <v>10950</v>
      </c>
      <c r="J6183" s="78"/>
    </row>
    <row r="6184" spans="2:10">
      <c r="B6184" s="60" t="s">
        <v>5948</v>
      </c>
      <c r="C6184" s="76"/>
      <c r="D6184" s="31"/>
      <c r="E6184" s="31"/>
      <c r="F6184" s="31"/>
      <c r="G6184" s="85">
        <f>ROUND(I6183/H6164,1)</f>
        <v>109.5</v>
      </c>
      <c r="J6184" s="78"/>
    </row>
    <row r="6185" spans="2:10">
      <c r="B6185" s="60" t="s">
        <v>3163</v>
      </c>
      <c r="C6185" s="76"/>
      <c r="D6185" s="31"/>
      <c r="E6185" s="31"/>
      <c r="F6185" s="922">
        <f>'BASIC DATA'!$C$577</f>
        <v>0.13614999999999999</v>
      </c>
      <c r="G6185" s="85">
        <f>ROUND(G6184*F6185,1)</f>
        <v>14.9</v>
      </c>
      <c r="J6185" s="78"/>
    </row>
    <row r="6186" spans="2:10">
      <c r="B6186" s="60" t="s">
        <v>5949</v>
      </c>
      <c r="C6186" s="76"/>
      <c r="D6186" s="31"/>
      <c r="E6186" s="31"/>
      <c r="F6186" s="31"/>
      <c r="G6186" s="199">
        <f>ROUND(G6185+G6184,1)</f>
        <v>124.4</v>
      </c>
      <c r="J6186" s="78"/>
    </row>
    <row r="6187" spans="2:10">
      <c r="G6187" s="171"/>
      <c r="J6187" s="78"/>
    </row>
    <row r="6188" spans="2:10">
      <c r="B6188" s="170" t="s">
        <v>1175</v>
      </c>
      <c r="J6188" s="78"/>
    </row>
    <row r="6189" spans="2:10">
      <c r="B6189" s="26" t="s">
        <v>1176</v>
      </c>
      <c r="H6189" s="171" t="s">
        <v>1698</v>
      </c>
      <c r="I6189" s="68">
        <f>I6169</f>
        <v>9975</v>
      </c>
      <c r="J6189" s="78"/>
    </row>
    <row r="6190" spans="2:10">
      <c r="B6190" s="26" t="s">
        <v>1186</v>
      </c>
      <c r="H6190" s="171" t="s">
        <v>1698</v>
      </c>
      <c r="I6190" s="68">
        <f>I6176</f>
        <v>0</v>
      </c>
      <c r="J6190" s="78"/>
    </row>
    <row r="6191" spans="2:10">
      <c r="B6191" s="26" t="s">
        <v>2660</v>
      </c>
      <c r="H6191" s="171" t="s">
        <v>1698</v>
      </c>
      <c r="I6191" s="68">
        <f>I6183</f>
        <v>10950</v>
      </c>
      <c r="J6191" s="78"/>
    </row>
    <row r="6192" spans="2:10">
      <c r="G6192" s="171" t="s">
        <v>1518</v>
      </c>
      <c r="H6192" s="171" t="s">
        <v>1698</v>
      </c>
      <c r="I6192" s="205">
        <f>SUM(I6189:I6191)</f>
        <v>20925</v>
      </c>
      <c r="J6192" s="78"/>
    </row>
    <row r="6193" spans="1:10" ht="18.75">
      <c r="B6193" s="1207" t="s">
        <v>8375</v>
      </c>
      <c r="C6193" s="1207"/>
      <c r="D6193" s="1207"/>
      <c r="E6193" s="1207"/>
      <c r="F6193" s="1207"/>
      <c r="G6193" s="922">
        <f>'BASIC DATA'!$C$577</f>
        <v>0.13614999999999999</v>
      </c>
      <c r="H6193" s="171" t="s">
        <v>4108</v>
      </c>
      <c r="I6193" s="76">
        <f>ROUND(I6192*G6193,2)</f>
        <v>2848.94</v>
      </c>
      <c r="J6193" s="78"/>
    </row>
    <row r="6194" spans="1:10">
      <c r="B6194" s="1206" t="s">
        <v>1191</v>
      </c>
      <c r="C6194" s="1206"/>
      <c r="D6194" s="1206"/>
      <c r="E6194" s="1206"/>
      <c r="F6194" s="202">
        <f>H6164</f>
        <v>100</v>
      </c>
      <c r="G6194" s="202" t="str">
        <f>I6164</f>
        <v>cum</v>
      </c>
      <c r="H6194" s="171" t="s">
        <v>1698</v>
      </c>
      <c r="I6194" s="199">
        <f>I6193+I6192</f>
        <v>23773.94</v>
      </c>
      <c r="J6194" s="78"/>
    </row>
    <row r="6195" spans="1:10">
      <c r="B6195" s="1161" t="s">
        <v>3884</v>
      </c>
      <c r="C6195" s="1161"/>
      <c r="D6195" s="246" t="str">
        <f>G6194</f>
        <v>cum</v>
      </c>
      <c r="F6195" s="26" t="s">
        <v>1380</v>
      </c>
      <c r="H6195" s="171" t="s">
        <v>1698</v>
      </c>
      <c r="I6195" s="204">
        <f>ROUND(I6194/F6194,1)</f>
        <v>237.7</v>
      </c>
      <c r="J6195" s="78"/>
    </row>
    <row r="6196" spans="1:10">
      <c r="J6196" s="78"/>
    </row>
    <row r="6197" spans="1:10">
      <c r="J6197" s="78"/>
    </row>
    <row r="6198" spans="1:10">
      <c r="A6198" s="822" t="s">
        <v>7379</v>
      </c>
      <c r="B6198" s="26" t="s">
        <v>8564</v>
      </c>
      <c r="J6198" s="78"/>
    </row>
    <row r="6199" spans="1:10">
      <c r="B6199" s="26" t="s">
        <v>4762</v>
      </c>
      <c r="J6199" s="78"/>
    </row>
    <row r="6200" spans="1:10">
      <c r="B6200" s="26" t="s">
        <v>4763</v>
      </c>
      <c r="J6200" s="78"/>
    </row>
    <row r="6201" spans="1:10">
      <c r="B6201" s="26" t="s">
        <v>4032</v>
      </c>
      <c r="J6201" s="78"/>
    </row>
    <row r="6202" spans="1:10">
      <c r="B6202" s="170" t="s">
        <v>992</v>
      </c>
      <c r="J6202" s="78"/>
    </row>
    <row r="6203" spans="1:10">
      <c r="J6203" s="78"/>
    </row>
    <row r="6204" spans="1:10" hidden="1">
      <c r="A6204" s="822" t="s">
        <v>3984</v>
      </c>
      <c r="B6204" s="26" t="s">
        <v>2610</v>
      </c>
      <c r="H6204" s="68">
        <v>90</v>
      </c>
      <c r="I6204" s="26" t="s">
        <v>21</v>
      </c>
      <c r="J6204" s="78"/>
    </row>
    <row r="6205" spans="1:10" hidden="1">
      <c r="B6205" s="26" t="s">
        <v>5595</v>
      </c>
      <c r="H6205" s="68">
        <v>30</v>
      </c>
      <c r="I6205" s="26" t="s">
        <v>21</v>
      </c>
      <c r="J6205" s="78"/>
    </row>
    <row r="6206" spans="1:10" hidden="1">
      <c r="B6206" s="26" t="s">
        <v>5596</v>
      </c>
      <c r="H6206" s="68">
        <v>30</v>
      </c>
      <c r="I6206" s="26" t="s">
        <v>21</v>
      </c>
      <c r="J6206" s="78"/>
    </row>
    <row r="6207" spans="1:10" hidden="1">
      <c r="B6207" s="26" t="s">
        <v>4033</v>
      </c>
      <c r="H6207" s="68">
        <v>30</v>
      </c>
      <c r="I6207" s="26" t="s">
        <v>21</v>
      </c>
      <c r="J6207" s="78"/>
    </row>
    <row r="6208" spans="1:10" hidden="1">
      <c r="B6208" s="26" t="s">
        <v>5597</v>
      </c>
      <c r="H6208" s="68"/>
      <c r="J6208" s="78"/>
    </row>
    <row r="6209" spans="2:10" hidden="1">
      <c r="B6209" s="26" t="s">
        <v>4034</v>
      </c>
      <c r="H6209" s="68">
        <v>111.1</v>
      </c>
      <c r="I6209" s="26" t="s">
        <v>1409</v>
      </c>
      <c r="J6209" s="78"/>
    </row>
    <row r="6210" spans="2:10" hidden="1">
      <c r="B6210" s="26" t="s">
        <v>4574</v>
      </c>
      <c r="H6210" s="68"/>
      <c r="J6210" s="78"/>
    </row>
    <row r="6211" spans="2:10" hidden="1">
      <c r="B6211" s="26" t="s">
        <v>2635</v>
      </c>
      <c r="H6211" s="68"/>
      <c r="J6211" s="78"/>
    </row>
    <row r="6212" spans="2:10" hidden="1">
      <c r="B6212" s="26" t="s">
        <v>4035</v>
      </c>
      <c r="H6212" s="68">
        <v>34</v>
      </c>
      <c r="I6212" s="26" t="s">
        <v>5336</v>
      </c>
      <c r="J6212" s="78"/>
    </row>
    <row r="6213" spans="2:10" hidden="1">
      <c r="B6213" s="26" t="s">
        <v>3205</v>
      </c>
      <c r="H6213" s="68"/>
      <c r="J6213" s="78"/>
    </row>
    <row r="6214" spans="2:10" hidden="1">
      <c r="B6214" s="26" t="s">
        <v>4575</v>
      </c>
      <c r="H6214" s="68"/>
      <c r="J6214" s="78"/>
    </row>
    <row r="6215" spans="2:10" hidden="1">
      <c r="B6215" s="26" t="s">
        <v>4035</v>
      </c>
      <c r="H6215" s="68">
        <v>34</v>
      </c>
      <c r="I6215" s="26" t="s">
        <v>5336</v>
      </c>
      <c r="J6215" s="78"/>
    </row>
    <row r="6216" spans="2:10" hidden="1">
      <c r="B6216" s="26" t="s">
        <v>4576</v>
      </c>
      <c r="H6216" s="68"/>
      <c r="J6216" s="78"/>
    </row>
    <row r="6217" spans="2:10" hidden="1">
      <c r="B6217" s="26" t="s">
        <v>4577</v>
      </c>
      <c r="H6217" s="68"/>
      <c r="J6217" s="78"/>
    </row>
    <row r="6218" spans="2:10" hidden="1">
      <c r="B6218" s="26" t="s">
        <v>4035</v>
      </c>
      <c r="H6218" s="68">
        <v>34</v>
      </c>
      <c r="I6218" s="26" t="s">
        <v>5336</v>
      </c>
      <c r="J6218" s="78"/>
    </row>
    <row r="6219" spans="2:10" hidden="1">
      <c r="B6219" s="26" t="s">
        <v>5815</v>
      </c>
      <c r="H6219" s="68"/>
      <c r="J6219" s="78"/>
    </row>
    <row r="6220" spans="2:10" hidden="1">
      <c r="B6220" s="26" t="s">
        <v>5178</v>
      </c>
      <c r="H6220" s="68"/>
      <c r="J6220" s="78"/>
    </row>
    <row r="6221" spans="2:10" hidden="1">
      <c r="B6221" s="26" t="s">
        <v>2697</v>
      </c>
      <c r="H6221" s="68">
        <v>12</v>
      </c>
      <c r="I6221" s="26" t="s">
        <v>4041</v>
      </c>
      <c r="J6221" s="78"/>
    </row>
    <row r="6222" spans="2:10" hidden="1">
      <c r="B6222" s="26" t="s">
        <v>4549</v>
      </c>
      <c r="H6222" s="68"/>
      <c r="J6222" s="78"/>
    </row>
    <row r="6223" spans="2:10" hidden="1">
      <c r="B6223" s="26" t="s">
        <v>2697</v>
      </c>
      <c r="H6223" s="68">
        <v>14</v>
      </c>
      <c r="I6223" s="26" t="s">
        <v>4041</v>
      </c>
      <c r="J6223" s="78"/>
    </row>
    <row r="6224" spans="2:10" hidden="1">
      <c r="B6224" s="26" t="s">
        <v>4548</v>
      </c>
      <c r="H6224" s="68"/>
      <c r="J6224" s="78"/>
    </row>
    <row r="6225" spans="1:10" hidden="1">
      <c r="B6225" s="26" t="s">
        <v>2697</v>
      </c>
      <c r="H6225" s="68">
        <v>14</v>
      </c>
      <c r="I6225" s="26" t="s">
        <v>4041</v>
      </c>
      <c r="J6225" s="78"/>
    </row>
    <row r="6226" spans="1:10" hidden="1">
      <c r="B6226" s="26" t="s">
        <v>4206</v>
      </c>
      <c r="H6226" s="68">
        <v>1</v>
      </c>
      <c r="I6226" s="26" t="s">
        <v>4089</v>
      </c>
      <c r="J6226" s="78"/>
    </row>
    <row r="6227" spans="1:10">
      <c r="J6227" s="78"/>
    </row>
    <row r="6228" spans="1:10">
      <c r="A6228" s="822" t="s">
        <v>3984</v>
      </c>
      <c r="E6228" s="170" t="s">
        <v>2367</v>
      </c>
      <c r="J6228" s="78"/>
    </row>
    <row r="6229" spans="1:10">
      <c r="J6229" s="78"/>
    </row>
    <row r="6230" spans="1:10">
      <c r="B6230" s="170" t="s">
        <v>2368</v>
      </c>
      <c r="G6230" s="26" t="s">
        <v>297</v>
      </c>
      <c r="H6230" s="170">
        <v>100</v>
      </c>
      <c r="I6230" s="26" t="s">
        <v>5336</v>
      </c>
      <c r="J6230" s="78"/>
    </row>
    <row r="6231" spans="1:10">
      <c r="B6231" s="95" t="s">
        <v>2369</v>
      </c>
      <c r="C6231" s="148" t="s">
        <v>4443</v>
      </c>
      <c r="D6231" s="175"/>
      <c r="E6231" s="175"/>
      <c r="F6231" s="95" t="s">
        <v>2370</v>
      </c>
      <c r="G6231" s="95" t="s">
        <v>1166</v>
      </c>
      <c r="H6231" s="95" t="s">
        <v>6664</v>
      </c>
      <c r="I6231" s="95" t="s">
        <v>6665</v>
      </c>
      <c r="J6231" s="78"/>
    </row>
    <row r="6232" spans="1:10">
      <c r="B6232" s="191"/>
      <c r="C6232" s="89"/>
      <c r="D6232" s="174"/>
      <c r="E6232" s="174"/>
      <c r="F6232" s="191"/>
      <c r="G6232" s="114"/>
      <c r="H6232" s="114" t="s">
        <v>3856</v>
      </c>
      <c r="I6232" s="114" t="s">
        <v>3857</v>
      </c>
      <c r="J6232" s="78"/>
    </row>
    <row r="6233" spans="1:10">
      <c r="A6233" s="853"/>
      <c r="B6233" s="295">
        <v>1</v>
      </c>
      <c r="C6233" s="345" t="s">
        <v>7936</v>
      </c>
      <c r="D6233" s="296"/>
      <c r="E6233" s="296"/>
      <c r="F6233" s="297" t="s">
        <v>3477</v>
      </c>
      <c r="G6233" s="281">
        <v>34</v>
      </c>
      <c r="H6233" s="258">
        <f>'BASIC DATA'!$D$55</f>
        <v>95</v>
      </c>
      <c r="I6233" s="281">
        <f>H6233*G6233</f>
        <v>3230</v>
      </c>
      <c r="J6233" s="62"/>
    </row>
    <row r="6234" spans="1:10">
      <c r="B6234" s="105">
        <v>2</v>
      </c>
      <c r="C6234" s="76" t="s">
        <v>6997</v>
      </c>
      <c r="D6234" s="31"/>
      <c r="E6234" s="31"/>
      <c r="F6234" s="210" t="s">
        <v>3477</v>
      </c>
      <c r="G6234" s="190">
        <v>30.6</v>
      </c>
      <c r="H6234" s="207">
        <f>'BASIC DATA'!$D$37</f>
        <v>650</v>
      </c>
      <c r="I6234" s="179">
        <f>H6234*G6234</f>
        <v>19890</v>
      </c>
      <c r="J6234" s="78"/>
    </row>
    <row r="6235" spans="1:10">
      <c r="B6235" s="105">
        <v>3</v>
      </c>
      <c r="C6235" s="76" t="s">
        <v>6996</v>
      </c>
      <c r="D6235" s="31"/>
      <c r="E6235" s="31"/>
      <c r="F6235" s="210" t="s">
        <v>3477</v>
      </c>
      <c r="G6235" s="190">
        <v>3.4</v>
      </c>
      <c r="H6235" s="207">
        <f>'BASIC DATA'!$D$36</f>
        <v>1175</v>
      </c>
      <c r="I6235" s="179">
        <f>H6235*G6235</f>
        <v>3995</v>
      </c>
      <c r="J6235" s="78"/>
    </row>
    <row r="6236" spans="1:10">
      <c r="B6236" s="105">
        <v>4</v>
      </c>
      <c r="C6236" s="76" t="s">
        <v>6995</v>
      </c>
      <c r="D6236" s="31"/>
      <c r="E6236" s="31"/>
      <c r="F6236" s="210" t="s">
        <v>3477</v>
      </c>
      <c r="G6236" s="190">
        <v>25.5</v>
      </c>
      <c r="H6236" s="207">
        <f>'BASIC DATA'!$D$35</f>
        <v>1225</v>
      </c>
      <c r="I6236" s="179">
        <f>H6236*G6236</f>
        <v>31237.5</v>
      </c>
      <c r="J6236" s="78"/>
    </row>
    <row r="6237" spans="1:10">
      <c r="B6237" s="114">
        <v>5</v>
      </c>
      <c r="C6237" s="89" t="s">
        <v>570</v>
      </c>
      <c r="D6237" s="174"/>
      <c r="E6237" s="174"/>
      <c r="F6237" s="191" t="s">
        <v>3477</v>
      </c>
      <c r="G6237" s="182">
        <v>8.5</v>
      </c>
      <c r="H6237" s="207">
        <f>'BASIC DATA'!$D$34</f>
        <v>900</v>
      </c>
      <c r="I6237" s="179">
        <f>H6237*G6237</f>
        <v>7650</v>
      </c>
      <c r="J6237" s="78"/>
    </row>
    <row r="6238" spans="1:10">
      <c r="B6238" s="184"/>
      <c r="C6238" s="151"/>
      <c r="D6238" s="159"/>
      <c r="E6238" s="159" t="s">
        <v>2376</v>
      </c>
      <c r="F6238" s="159"/>
      <c r="G6238" s="205"/>
      <c r="H6238" s="216" t="s">
        <v>1698</v>
      </c>
      <c r="I6238" s="282">
        <f>SUM(I6233:I6237)</f>
        <v>66002.5</v>
      </c>
      <c r="J6238" s="78"/>
    </row>
    <row r="6239" spans="1:10">
      <c r="J6239" s="78"/>
    </row>
    <row r="6240" spans="1:10">
      <c r="B6240" s="170" t="s">
        <v>2377</v>
      </c>
      <c r="J6240" s="78"/>
    </row>
    <row r="6241" spans="2:10">
      <c r="B6241" s="95" t="s">
        <v>2369</v>
      </c>
      <c r="C6241" s="148" t="s">
        <v>2378</v>
      </c>
      <c r="D6241" s="175"/>
      <c r="E6241" s="175"/>
      <c r="F6241" s="95" t="s">
        <v>2370</v>
      </c>
      <c r="G6241" s="95" t="s">
        <v>1166</v>
      </c>
      <c r="H6241" s="95" t="s">
        <v>6664</v>
      </c>
      <c r="I6241" s="95" t="s">
        <v>6665</v>
      </c>
      <c r="J6241" s="78"/>
    </row>
    <row r="6242" spans="2:10">
      <c r="B6242" s="114"/>
      <c r="C6242" s="89"/>
      <c r="D6242" s="188"/>
      <c r="E6242" s="188"/>
      <c r="F6242" s="114"/>
      <c r="G6242" s="114"/>
      <c r="H6242" s="114" t="s">
        <v>3856</v>
      </c>
      <c r="I6242" s="114" t="s">
        <v>3857</v>
      </c>
      <c r="J6242" s="78"/>
    </row>
    <row r="6243" spans="2:10">
      <c r="B6243" s="95">
        <v>1</v>
      </c>
      <c r="C6243" s="148" t="s">
        <v>6976</v>
      </c>
      <c r="D6243" s="187"/>
      <c r="E6243" s="187"/>
      <c r="F6243" s="107"/>
      <c r="G6243" s="179">
        <v>0</v>
      </c>
      <c r="H6243" s="179">
        <v>0</v>
      </c>
      <c r="I6243" s="179">
        <f>H6243*G6243</f>
        <v>0</v>
      </c>
      <c r="J6243" s="78"/>
    </row>
    <row r="6244" spans="2:10">
      <c r="B6244" s="191"/>
      <c r="C6244" s="89"/>
      <c r="D6244" s="174"/>
      <c r="E6244" s="174"/>
      <c r="F6244" s="191"/>
      <c r="G6244" s="182">
        <v>0</v>
      </c>
      <c r="H6244" s="182">
        <v>0</v>
      </c>
      <c r="I6244" s="179">
        <f>H6244*G6244</f>
        <v>0</v>
      </c>
      <c r="J6244" s="78"/>
    </row>
    <row r="6245" spans="2:10">
      <c r="B6245" s="184"/>
      <c r="C6245" s="151"/>
      <c r="D6245" s="159"/>
      <c r="E6245" s="159" t="s">
        <v>2380</v>
      </c>
      <c r="F6245" s="159"/>
      <c r="G6245" s="159"/>
      <c r="H6245" s="208" t="s">
        <v>1698</v>
      </c>
      <c r="I6245" s="282">
        <f>SUM(I6243:I6244)</f>
        <v>0</v>
      </c>
      <c r="J6245" s="78"/>
    </row>
    <row r="6246" spans="2:10">
      <c r="J6246" s="78"/>
    </row>
    <row r="6247" spans="2:10">
      <c r="B6247" s="170" t="s">
        <v>2381</v>
      </c>
      <c r="J6247" s="78"/>
    </row>
    <row r="6248" spans="2:10">
      <c r="B6248" s="95" t="s">
        <v>2369</v>
      </c>
      <c r="C6248" s="148" t="s">
        <v>2378</v>
      </c>
      <c r="D6248" s="175"/>
      <c r="E6248" s="175"/>
      <c r="F6248" s="95" t="s">
        <v>2370</v>
      </c>
      <c r="G6248" s="95" t="s">
        <v>1166</v>
      </c>
      <c r="H6248" s="95" t="s">
        <v>6664</v>
      </c>
      <c r="I6248" s="95" t="s">
        <v>6665</v>
      </c>
      <c r="J6248" s="78"/>
    </row>
    <row r="6249" spans="2:10">
      <c r="B6249" s="191"/>
      <c r="C6249" s="89"/>
      <c r="D6249" s="174"/>
      <c r="E6249" s="174"/>
      <c r="F6249" s="191"/>
      <c r="G6249" s="114"/>
      <c r="H6249" s="114" t="s">
        <v>3856</v>
      </c>
      <c r="I6249" s="114" t="s">
        <v>3857</v>
      </c>
      <c r="J6249" s="78"/>
    </row>
    <row r="6250" spans="2:10">
      <c r="B6250" s="95">
        <v>1</v>
      </c>
      <c r="C6250" s="148" t="s">
        <v>4206</v>
      </c>
      <c r="D6250" s="187"/>
      <c r="E6250" s="187"/>
      <c r="F6250" s="107" t="s">
        <v>1172</v>
      </c>
      <c r="G6250" s="179">
        <v>1</v>
      </c>
      <c r="H6250" s="190">
        <f>'BASIC DATA'!$C$473</f>
        <v>450</v>
      </c>
      <c r="I6250" s="179">
        <f>H6250*G6250</f>
        <v>450</v>
      </c>
      <c r="J6250" s="78"/>
    </row>
    <row r="6251" spans="2:10">
      <c r="B6251" s="105">
        <v>2</v>
      </c>
      <c r="C6251" s="76" t="s">
        <v>2697</v>
      </c>
      <c r="D6251" s="31"/>
      <c r="E6251" s="31"/>
      <c r="F6251" s="210" t="s">
        <v>1172</v>
      </c>
      <c r="G6251" s="190">
        <v>40</v>
      </c>
      <c r="H6251" s="207">
        <f>'BASIC DATA'!$C$552</f>
        <v>350</v>
      </c>
      <c r="I6251" s="179">
        <f>H6251*G6251</f>
        <v>14000</v>
      </c>
      <c r="J6251" s="78"/>
    </row>
    <row r="6252" spans="2:10">
      <c r="B6252" s="184"/>
      <c r="C6252" s="151"/>
      <c r="D6252" s="159"/>
      <c r="E6252" s="159" t="s">
        <v>1174</v>
      </c>
      <c r="F6252" s="159"/>
      <c r="G6252" s="205"/>
      <c r="H6252" s="252" t="s">
        <v>1698</v>
      </c>
      <c r="I6252" s="282">
        <f>SUM(I6250:I6251)</f>
        <v>14450</v>
      </c>
      <c r="J6252" s="78"/>
    </row>
    <row r="6253" spans="2:10">
      <c r="B6253" s="60" t="s">
        <v>5948</v>
      </c>
      <c r="C6253" s="76"/>
      <c r="D6253" s="31"/>
      <c r="E6253" s="31"/>
      <c r="F6253" s="31"/>
      <c r="G6253" s="85">
        <f>ROUND(I6252/H6230,1)</f>
        <v>144.5</v>
      </c>
      <c r="J6253" s="78"/>
    </row>
    <row r="6254" spans="2:10">
      <c r="B6254" s="60" t="s">
        <v>3163</v>
      </c>
      <c r="C6254" s="76"/>
      <c r="D6254" s="31"/>
      <c r="E6254" s="31"/>
      <c r="F6254" s="922">
        <f>'BASIC DATA'!$C$577</f>
        <v>0.13614999999999999</v>
      </c>
      <c r="G6254" s="85">
        <f>ROUND(G6253*F6254,1)</f>
        <v>19.7</v>
      </c>
      <c r="J6254" s="78"/>
    </row>
    <row r="6255" spans="2:10">
      <c r="B6255" s="60" t="s">
        <v>5949</v>
      </c>
      <c r="C6255" s="76"/>
      <c r="D6255" s="31"/>
      <c r="E6255" s="31"/>
      <c r="F6255" s="31"/>
      <c r="G6255" s="199">
        <f>ROUND(G6254+G6253,1)</f>
        <v>164.2</v>
      </c>
      <c r="J6255" s="78"/>
    </row>
    <row r="6256" spans="2:10">
      <c r="B6256" s="31"/>
      <c r="C6256" s="76"/>
      <c r="D6256" s="31"/>
      <c r="E6256" s="31"/>
      <c r="F6256" s="75"/>
      <c r="G6256" s="294"/>
      <c r="I6256" s="75"/>
      <c r="J6256" s="78"/>
    </row>
    <row r="6257" spans="1:10">
      <c r="B6257" s="170" t="s">
        <v>1175</v>
      </c>
      <c r="J6257" s="78"/>
    </row>
    <row r="6258" spans="1:10">
      <c r="B6258" s="26" t="s">
        <v>1176</v>
      </c>
      <c r="H6258" s="171" t="s">
        <v>1698</v>
      </c>
      <c r="I6258" s="68">
        <f>I6238</f>
        <v>66002.5</v>
      </c>
      <c r="J6258" s="78"/>
    </row>
    <row r="6259" spans="1:10">
      <c r="B6259" s="26" t="s">
        <v>1186</v>
      </c>
      <c r="H6259" s="171" t="s">
        <v>1698</v>
      </c>
      <c r="I6259" s="68">
        <f>I6245</f>
        <v>0</v>
      </c>
      <c r="J6259" s="78"/>
    </row>
    <row r="6260" spans="1:10">
      <c r="B6260" s="26" t="s">
        <v>2660</v>
      </c>
      <c r="H6260" s="171" t="s">
        <v>1698</v>
      </c>
      <c r="I6260" s="68">
        <f>I6252</f>
        <v>14450</v>
      </c>
      <c r="J6260" s="78"/>
    </row>
    <row r="6261" spans="1:10">
      <c r="G6261" s="171" t="s">
        <v>1518</v>
      </c>
      <c r="H6261" s="171" t="s">
        <v>1698</v>
      </c>
      <c r="I6261" s="205">
        <f>SUM(I6258:I6260)</f>
        <v>80452.5</v>
      </c>
      <c r="J6261" s="78"/>
    </row>
    <row r="6262" spans="1:10" ht="18.75">
      <c r="B6262" s="1207" t="s">
        <v>8375</v>
      </c>
      <c r="C6262" s="1207"/>
      <c r="D6262" s="1207"/>
      <c r="E6262" s="1207"/>
      <c r="F6262" s="1207"/>
      <c r="G6262" s="922">
        <f>'BASIC DATA'!$C$577</f>
        <v>0.13614999999999999</v>
      </c>
      <c r="H6262" s="171" t="s">
        <v>4108</v>
      </c>
      <c r="I6262" s="76">
        <f>ROUND(I6261*G6262,2)</f>
        <v>10953.61</v>
      </c>
      <c r="J6262" s="78"/>
    </row>
    <row r="6263" spans="1:10">
      <c r="B6263" s="1206" t="s">
        <v>1191</v>
      </c>
      <c r="C6263" s="1206"/>
      <c r="D6263" s="1206"/>
      <c r="E6263" s="1206"/>
      <c r="F6263" s="202">
        <f>H6230</f>
        <v>100</v>
      </c>
      <c r="G6263" s="202" t="str">
        <f>I6230</f>
        <v>cum.</v>
      </c>
      <c r="H6263" s="171" t="s">
        <v>1698</v>
      </c>
      <c r="I6263" s="199">
        <f>I6262+I6261</f>
        <v>91406.11</v>
      </c>
      <c r="J6263" s="78"/>
    </row>
    <row r="6264" spans="1:10">
      <c r="B6264" s="1161" t="s">
        <v>3884</v>
      </c>
      <c r="C6264" s="1161"/>
      <c r="D6264" s="246" t="str">
        <f>G6263</f>
        <v>cum.</v>
      </c>
      <c r="F6264" s="26" t="s">
        <v>1380</v>
      </c>
      <c r="H6264" s="171" t="s">
        <v>1698</v>
      </c>
      <c r="I6264" s="204">
        <f>ROUND(I6263/F6263,1)</f>
        <v>914.1</v>
      </c>
      <c r="J6264" s="78"/>
    </row>
    <row r="6265" spans="1:10">
      <c r="J6265" s="78"/>
    </row>
    <row r="6266" spans="1:10">
      <c r="J6266" s="78"/>
    </row>
    <row r="6267" spans="1:10">
      <c r="A6267" s="822" t="s">
        <v>7380</v>
      </c>
      <c r="B6267" s="26" t="s">
        <v>8565</v>
      </c>
      <c r="J6267" s="78"/>
    </row>
    <row r="6268" spans="1:10">
      <c r="B6268" s="26" t="s">
        <v>5963</v>
      </c>
      <c r="J6268" s="78"/>
    </row>
    <row r="6269" spans="1:10">
      <c r="B6269" s="26" t="s">
        <v>3302</v>
      </c>
      <c r="J6269" s="78"/>
    </row>
    <row r="6270" spans="1:10">
      <c r="B6270" s="26" t="s">
        <v>3303</v>
      </c>
      <c r="J6270" s="78"/>
    </row>
    <row r="6271" spans="1:10">
      <c r="B6271" s="26" t="s">
        <v>8566</v>
      </c>
      <c r="J6271" s="78"/>
    </row>
    <row r="6272" spans="1:10">
      <c r="J6272" s="78"/>
    </row>
    <row r="6273" spans="1:10" hidden="1">
      <c r="A6273" s="822" t="s">
        <v>3984</v>
      </c>
      <c r="B6273" s="26" t="s">
        <v>2802</v>
      </c>
      <c r="G6273" s="171" t="s">
        <v>1697</v>
      </c>
      <c r="H6273" s="68">
        <v>1.05</v>
      </c>
      <c r="I6273" s="26" t="s">
        <v>2602</v>
      </c>
      <c r="J6273" s="78"/>
    </row>
    <row r="6274" spans="1:10" hidden="1">
      <c r="B6274" s="26" t="s">
        <v>5595</v>
      </c>
      <c r="G6274" s="171" t="s">
        <v>1697</v>
      </c>
      <c r="H6274" s="68">
        <v>15</v>
      </c>
      <c r="I6274" s="26" t="s">
        <v>3135</v>
      </c>
      <c r="J6274" s="78"/>
    </row>
    <row r="6275" spans="1:10" hidden="1">
      <c r="B6275" s="26" t="s">
        <v>4244</v>
      </c>
      <c r="G6275" s="171" t="s">
        <v>1697</v>
      </c>
      <c r="H6275" s="68">
        <v>15</v>
      </c>
      <c r="I6275" s="26" t="s">
        <v>3135</v>
      </c>
      <c r="J6275" s="78"/>
    </row>
    <row r="6276" spans="1:10" hidden="1">
      <c r="B6276" s="26" t="s">
        <v>4245</v>
      </c>
      <c r="G6276" s="171" t="s">
        <v>1697</v>
      </c>
      <c r="H6276" s="68">
        <v>15</v>
      </c>
      <c r="I6276" s="26" t="s">
        <v>3135</v>
      </c>
      <c r="J6276" s="78"/>
    </row>
    <row r="6277" spans="1:10" hidden="1">
      <c r="B6277" s="26" t="s">
        <v>3809</v>
      </c>
      <c r="G6277" s="171" t="s">
        <v>1697</v>
      </c>
      <c r="H6277" s="68">
        <v>60</v>
      </c>
      <c r="I6277" s="26" t="s">
        <v>3135</v>
      </c>
      <c r="J6277" s="78"/>
    </row>
    <row r="6278" spans="1:10" hidden="1">
      <c r="B6278" s="26" t="s">
        <v>3810</v>
      </c>
      <c r="G6278" s="171"/>
      <c r="J6278" s="78"/>
    </row>
    <row r="6279" spans="1:10" hidden="1">
      <c r="B6279" s="26" t="s">
        <v>4215</v>
      </c>
      <c r="G6279" s="171"/>
      <c r="J6279" s="78"/>
    </row>
    <row r="6280" spans="1:10" hidden="1">
      <c r="B6280" s="26" t="s">
        <v>3811</v>
      </c>
      <c r="G6280" s="171" t="s">
        <v>1697</v>
      </c>
      <c r="H6280" s="68">
        <v>57.6</v>
      </c>
      <c r="I6280" s="26" t="s">
        <v>3477</v>
      </c>
      <c r="J6280" s="78"/>
    </row>
    <row r="6281" spans="1:10" hidden="1">
      <c r="B6281" s="26" t="s">
        <v>2732</v>
      </c>
      <c r="G6281" s="171" t="s">
        <v>1697</v>
      </c>
      <c r="H6281" s="68">
        <v>44</v>
      </c>
      <c r="I6281" s="26" t="s">
        <v>2059</v>
      </c>
      <c r="J6281" s="78"/>
    </row>
    <row r="6282" spans="1:10" hidden="1">
      <c r="B6282" s="26" t="s">
        <v>2733</v>
      </c>
      <c r="G6282" s="171" t="s">
        <v>1697</v>
      </c>
      <c r="H6282" s="68">
        <v>9</v>
      </c>
      <c r="I6282" s="26" t="s">
        <v>3477</v>
      </c>
      <c r="J6282" s="78"/>
    </row>
    <row r="6283" spans="1:10" hidden="1">
      <c r="B6283" s="26" t="s">
        <v>4795</v>
      </c>
      <c r="G6283" s="171" t="s">
        <v>1697</v>
      </c>
      <c r="H6283" s="68">
        <v>15.3</v>
      </c>
      <c r="I6283" s="26" t="s">
        <v>3477</v>
      </c>
      <c r="J6283" s="78"/>
    </row>
    <row r="6284" spans="1:10" hidden="1">
      <c r="B6284" s="26" t="s">
        <v>4796</v>
      </c>
      <c r="G6284" s="171" t="s">
        <v>1697</v>
      </c>
      <c r="H6284" s="68">
        <v>15.3</v>
      </c>
      <c r="I6284" s="26" t="s">
        <v>3477</v>
      </c>
      <c r="J6284" s="78"/>
    </row>
    <row r="6285" spans="1:10" hidden="1">
      <c r="B6285" s="26" t="s">
        <v>4797</v>
      </c>
      <c r="G6285" s="171" t="s">
        <v>1697</v>
      </c>
      <c r="H6285" s="68">
        <v>15.3</v>
      </c>
      <c r="I6285" s="26" t="s">
        <v>3477</v>
      </c>
      <c r="J6285" s="78"/>
    </row>
    <row r="6286" spans="1:10" hidden="1">
      <c r="B6286" s="26" t="s">
        <v>5815</v>
      </c>
      <c r="H6286" s="68"/>
      <c r="J6286" s="78"/>
    </row>
    <row r="6287" spans="1:10" hidden="1">
      <c r="B6287" s="26" t="s">
        <v>3824</v>
      </c>
      <c r="H6287" s="68"/>
      <c r="J6287" s="78"/>
    </row>
    <row r="6288" spans="1:10" hidden="1">
      <c r="B6288" s="26" t="s">
        <v>5620</v>
      </c>
      <c r="H6288" s="68"/>
      <c r="J6288" s="78"/>
    </row>
    <row r="6289" spans="1:10" hidden="1">
      <c r="B6289" s="26" t="s">
        <v>2697</v>
      </c>
      <c r="H6289" s="68">
        <v>6</v>
      </c>
      <c r="I6289" s="26" t="s">
        <v>4041</v>
      </c>
      <c r="J6289" s="78"/>
    </row>
    <row r="6290" spans="1:10" hidden="1">
      <c r="B6290" s="26" t="s">
        <v>5621</v>
      </c>
      <c r="H6290" s="68"/>
      <c r="J6290" s="78"/>
    </row>
    <row r="6291" spans="1:10" hidden="1">
      <c r="B6291" s="26" t="s">
        <v>2697</v>
      </c>
      <c r="H6291" s="68">
        <v>6</v>
      </c>
      <c r="I6291" s="26" t="s">
        <v>4041</v>
      </c>
      <c r="J6291" s="78"/>
    </row>
    <row r="6292" spans="1:10" hidden="1">
      <c r="B6292" s="26" t="s">
        <v>5622</v>
      </c>
      <c r="H6292" s="68"/>
      <c r="J6292" s="78"/>
    </row>
    <row r="6293" spans="1:10" hidden="1">
      <c r="B6293" s="26" t="s">
        <v>2697</v>
      </c>
      <c r="H6293" s="68">
        <v>6</v>
      </c>
      <c r="I6293" s="26" t="s">
        <v>4041</v>
      </c>
      <c r="J6293" s="78"/>
    </row>
    <row r="6294" spans="1:10" hidden="1">
      <c r="B6294" s="26" t="s">
        <v>3021</v>
      </c>
      <c r="H6294" s="68"/>
      <c r="J6294" s="78"/>
    </row>
    <row r="6295" spans="1:10" hidden="1">
      <c r="B6295" s="26" t="s">
        <v>4798</v>
      </c>
      <c r="H6295" s="68">
        <v>10</v>
      </c>
      <c r="I6295" s="26" t="s">
        <v>4041</v>
      </c>
      <c r="J6295" s="78"/>
    </row>
    <row r="6296" spans="1:10" hidden="1">
      <c r="B6296" s="26" t="s">
        <v>2697</v>
      </c>
      <c r="H6296" s="68">
        <v>15</v>
      </c>
      <c r="I6296" s="26" t="s">
        <v>4041</v>
      </c>
      <c r="J6296" s="78"/>
    </row>
    <row r="6297" spans="1:10" hidden="1">
      <c r="B6297" s="26" t="s">
        <v>4206</v>
      </c>
      <c r="H6297" s="68">
        <v>1</v>
      </c>
      <c r="I6297" s="26" t="s">
        <v>4089</v>
      </c>
      <c r="J6297" s="78"/>
    </row>
    <row r="6298" spans="1:10">
      <c r="J6298" s="78"/>
    </row>
    <row r="6299" spans="1:10">
      <c r="A6299" s="822" t="s">
        <v>3984</v>
      </c>
      <c r="E6299" s="170" t="s">
        <v>2367</v>
      </c>
      <c r="J6299" s="78"/>
    </row>
    <row r="6300" spans="1:10">
      <c r="J6300" s="78"/>
    </row>
    <row r="6301" spans="1:10">
      <c r="B6301" s="170" t="s">
        <v>2368</v>
      </c>
      <c r="G6301" s="26" t="s">
        <v>297</v>
      </c>
      <c r="H6301" s="170">
        <v>100</v>
      </c>
      <c r="I6301" s="26" t="s">
        <v>3479</v>
      </c>
      <c r="J6301" s="78"/>
    </row>
    <row r="6302" spans="1:10">
      <c r="B6302" s="95" t="s">
        <v>2369</v>
      </c>
      <c r="C6302" s="148" t="s">
        <v>4443</v>
      </c>
      <c r="D6302" s="175"/>
      <c r="E6302" s="175"/>
      <c r="F6302" s="95" t="s">
        <v>2370</v>
      </c>
      <c r="G6302" s="95" t="s">
        <v>1166</v>
      </c>
      <c r="H6302" s="95" t="s">
        <v>6664</v>
      </c>
      <c r="I6302" s="95" t="s">
        <v>6665</v>
      </c>
      <c r="J6302" s="78"/>
    </row>
    <row r="6303" spans="1:10">
      <c r="B6303" s="191"/>
      <c r="C6303" s="89"/>
      <c r="D6303" s="174"/>
      <c r="E6303" s="174"/>
      <c r="F6303" s="191"/>
      <c r="G6303" s="114"/>
      <c r="H6303" s="114" t="s">
        <v>3856</v>
      </c>
      <c r="I6303" s="114" t="s">
        <v>3857</v>
      </c>
      <c r="J6303" s="78"/>
    </row>
    <row r="6304" spans="1:10">
      <c r="A6304" s="853"/>
      <c r="B6304" s="295">
        <v>1</v>
      </c>
      <c r="C6304" s="345" t="s">
        <v>7936</v>
      </c>
      <c r="D6304" s="296"/>
      <c r="E6304" s="296"/>
      <c r="F6304" s="297" t="s">
        <v>3477</v>
      </c>
      <c r="G6304" s="281">
        <v>15.3</v>
      </c>
      <c r="H6304" s="258">
        <f>'BASIC DATA'!$D$55</f>
        <v>95</v>
      </c>
      <c r="I6304" s="281">
        <f t="shared" ref="I6304:I6309" si="108">H6304*G6304</f>
        <v>1453.5</v>
      </c>
      <c r="J6304" s="62"/>
    </row>
    <row r="6305" spans="2:10">
      <c r="B6305" s="105">
        <v>2</v>
      </c>
      <c r="C6305" s="76" t="s">
        <v>570</v>
      </c>
      <c r="D6305" s="31"/>
      <c r="E6305" s="31"/>
      <c r="F6305" s="210" t="s">
        <v>3477</v>
      </c>
      <c r="G6305" s="190">
        <v>15.3</v>
      </c>
      <c r="H6305" s="220">
        <f>'BASIC DATA'!$D$34</f>
        <v>900</v>
      </c>
      <c r="I6305" s="179">
        <f t="shared" si="108"/>
        <v>13770</v>
      </c>
      <c r="J6305" s="78"/>
    </row>
    <row r="6306" spans="2:10">
      <c r="B6306" s="105">
        <v>3</v>
      </c>
      <c r="C6306" s="76" t="s">
        <v>6996</v>
      </c>
      <c r="D6306" s="31"/>
      <c r="E6306" s="31"/>
      <c r="F6306" s="210" t="s">
        <v>3477</v>
      </c>
      <c r="G6306" s="190">
        <v>15.3</v>
      </c>
      <c r="H6306" s="220">
        <f>'BASIC DATA'!$D$36</f>
        <v>1175</v>
      </c>
      <c r="I6306" s="179">
        <f t="shared" si="108"/>
        <v>17977.5</v>
      </c>
      <c r="J6306" s="78"/>
    </row>
    <row r="6307" spans="2:10">
      <c r="B6307" s="105">
        <v>4</v>
      </c>
      <c r="C6307" s="76" t="s">
        <v>1358</v>
      </c>
      <c r="D6307" s="31"/>
      <c r="E6307" s="31"/>
      <c r="F6307" s="210" t="s">
        <v>3477</v>
      </c>
      <c r="G6307" s="190">
        <v>9</v>
      </c>
      <c r="H6307" s="220">
        <f>'BASIC DATA'!$D$96</f>
        <v>350</v>
      </c>
      <c r="I6307" s="179">
        <f t="shared" si="108"/>
        <v>3150</v>
      </c>
      <c r="J6307" s="78"/>
    </row>
    <row r="6308" spans="2:10">
      <c r="B6308" s="105">
        <v>5</v>
      </c>
      <c r="C6308" s="1214" t="s">
        <v>3058</v>
      </c>
      <c r="D6308" s="1215"/>
      <c r="E6308" s="1216"/>
      <c r="F6308" s="210" t="s">
        <v>3477</v>
      </c>
      <c r="G6308" s="190">
        <v>57.6</v>
      </c>
      <c r="H6308" s="214">
        <f>'BASIC DATA'!$D$108</f>
        <v>318</v>
      </c>
      <c r="I6308" s="179">
        <f t="shared" si="108"/>
        <v>18316.8</v>
      </c>
      <c r="J6308" s="78"/>
    </row>
    <row r="6309" spans="2:10">
      <c r="B6309" s="114">
        <v>6</v>
      </c>
      <c r="C6309" s="1217" t="s">
        <v>3059</v>
      </c>
      <c r="D6309" s="1218"/>
      <c r="E6309" s="1219"/>
      <c r="F6309" s="191" t="s">
        <v>2059</v>
      </c>
      <c r="G6309" s="182">
        <v>44</v>
      </c>
      <c r="H6309" s="215">
        <f>'BASIC DATA'!$D$106</f>
        <v>59</v>
      </c>
      <c r="I6309" s="179">
        <f t="shared" si="108"/>
        <v>2596</v>
      </c>
      <c r="J6309" s="78"/>
    </row>
    <row r="6310" spans="2:10">
      <c r="B6310" s="184"/>
      <c r="C6310" s="151"/>
      <c r="D6310" s="159"/>
      <c r="E6310" s="159" t="s">
        <v>2376</v>
      </c>
      <c r="F6310" s="159"/>
      <c r="G6310" s="205"/>
      <c r="H6310" s="216" t="s">
        <v>1698</v>
      </c>
      <c r="I6310" s="282">
        <f>SUM(I6304:I6309)</f>
        <v>57263.8</v>
      </c>
      <c r="J6310" s="78"/>
    </row>
    <row r="6311" spans="2:10">
      <c r="J6311" s="78"/>
    </row>
    <row r="6312" spans="2:10">
      <c r="B6312" s="170" t="s">
        <v>2377</v>
      </c>
      <c r="J6312" s="78"/>
    </row>
    <row r="6313" spans="2:10">
      <c r="B6313" s="95" t="s">
        <v>2369</v>
      </c>
      <c r="C6313" s="148" t="s">
        <v>2378</v>
      </c>
      <c r="D6313" s="175"/>
      <c r="E6313" s="175"/>
      <c r="F6313" s="95" t="s">
        <v>2370</v>
      </c>
      <c r="G6313" s="95" t="s">
        <v>1166</v>
      </c>
      <c r="H6313" s="95" t="s">
        <v>6664</v>
      </c>
      <c r="I6313" s="95" t="s">
        <v>6665</v>
      </c>
      <c r="J6313" s="78"/>
    </row>
    <row r="6314" spans="2:10">
      <c r="B6314" s="114"/>
      <c r="C6314" s="89"/>
      <c r="D6314" s="188"/>
      <c r="E6314" s="188"/>
      <c r="F6314" s="114"/>
      <c r="G6314" s="114"/>
      <c r="H6314" s="114" t="s">
        <v>3856</v>
      </c>
      <c r="I6314" s="114" t="s">
        <v>3857</v>
      </c>
      <c r="J6314" s="78"/>
    </row>
    <row r="6315" spans="2:10">
      <c r="B6315" s="95">
        <v>1</v>
      </c>
      <c r="C6315" s="148" t="s">
        <v>6976</v>
      </c>
      <c r="D6315" s="187"/>
      <c r="E6315" s="187"/>
      <c r="F6315" s="107"/>
      <c r="G6315" s="179">
        <v>0</v>
      </c>
      <c r="H6315" s="179">
        <v>0</v>
      </c>
      <c r="I6315" s="179">
        <f>H6315*G6315</f>
        <v>0</v>
      </c>
      <c r="J6315" s="78"/>
    </row>
    <row r="6316" spans="2:10">
      <c r="B6316" s="191"/>
      <c r="C6316" s="89"/>
      <c r="D6316" s="174"/>
      <c r="E6316" s="174"/>
      <c r="F6316" s="191"/>
      <c r="G6316" s="182">
        <v>0</v>
      </c>
      <c r="H6316" s="182">
        <v>0</v>
      </c>
      <c r="I6316" s="179">
        <f>H6316*G6316</f>
        <v>0</v>
      </c>
      <c r="J6316" s="78"/>
    </row>
    <row r="6317" spans="2:10">
      <c r="B6317" s="184"/>
      <c r="C6317" s="151"/>
      <c r="D6317" s="159"/>
      <c r="E6317" s="159" t="s">
        <v>2380</v>
      </c>
      <c r="F6317" s="159"/>
      <c r="G6317" s="159"/>
      <c r="H6317" s="208" t="s">
        <v>1698</v>
      </c>
      <c r="I6317" s="282">
        <f>SUM(I6315:I6316)</f>
        <v>0</v>
      </c>
      <c r="J6317" s="78"/>
    </row>
    <row r="6318" spans="2:10">
      <c r="J6318" s="78"/>
    </row>
    <row r="6319" spans="2:10">
      <c r="B6319" s="170" t="s">
        <v>2381</v>
      </c>
      <c r="J6319" s="78"/>
    </row>
    <row r="6320" spans="2:10">
      <c r="B6320" s="95" t="s">
        <v>2369</v>
      </c>
      <c r="C6320" s="148" t="s">
        <v>2378</v>
      </c>
      <c r="D6320" s="175"/>
      <c r="E6320" s="175"/>
      <c r="F6320" s="95" t="s">
        <v>2370</v>
      </c>
      <c r="G6320" s="95" t="s">
        <v>1166</v>
      </c>
      <c r="H6320" s="95" t="s">
        <v>6664</v>
      </c>
      <c r="I6320" s="95" t="s">
        <v>6665</v>
      </c>
      <c r="J6320" s="78"/>
    </row>
    <row r="6321" spans="2:10">
      <c r="B6321" s="191"/>
      <c r="C6321" s="89"/>
      <c r="D6321" s="174"/>
      <c r="E6321" s="174"/>
      <c r="F6321" s="191"/>
      <c r="G6321" s="114"/>
      <c r="H6321" s="114" t="s">
        <v>3856</v>
      </c>
      <c r="I6321" s="114" t="s">
        <v>3857</v>
      </c>
      <c r="J6321" s="78"/>
    </row>
    <row r="6322" spans="2:10">
      <c r="B6322" s="95">
        <v>1</v>
      </c>
      <c r="C6322" s="148" t="s">
        <v>4206</v>
      </c>
      <c r="D6322" s="187"/>
      <c r="E6322" s="187"/>
      <c r="F6322" s="107" t="s">
        <v>1172</v>
      </c>
      <c r="G6322" s="179">
        <v>1</v>
      </c>
      <c r="H6322" s="190">
        <f>'BASIC DATA'!$C$473</f>
        <v>450</v>
      </c>
      <c r="I6322" s="179">
        <f>H6322*G6322</f>
        <v>450</v>
      </c>
      <c r="J6322" s="78"/>
    </row>
    <row r="6323" spans="2:10">
      <c r="B6323" s="105">
        <v>2</v>
      </c>
      <c r="C6323" s="76" t="s">
        <v>1356</v>
      </c>
      <c r="D6323" s="31"/>
      <c r="E6323" s="31"/>
      <c r="F6323" s="210" t="s">
        <v>1172</v>
      </c>
      <c r="G6323" s="190">
        <v>10</v>
      </c>
      <c r="H6323" s="207">
        <f>'BASIC DATA'!$C$541</f>
        <v>400</v>
      </c>
      <c r="I6323" s="179">
        <f>H6323*G6323</f>
        <v>4000</v>
      </c>
      <c r="J6323" s="78"/>
    </row>
    <row r="6324" spans="2:10">
      <c r="B6324" s="105">
        <v>3</v>
      </c>
      <c r="C6324" s="76" t="s">
        <v>2697</v>
      </c>
      <c r="D6324" s="31"/>
      <c r="E6324" s="31"/>
      <c r="F6324" s="210" t="s">
        <v>1172</v>
      </c>
      <c r="G6324" s="190">
        <v>33</v>
      </c>
      <c r="H6324" s="207">
        <f>'BASIC DATA'!$C$552</f>
        <v>350</v>
      </c>
      <c r="I6324" s="179">
        <f>H6324*G6324</f>
        <v>11550</v>
      </c>
      <c r="J6324" s="78"/>
    </row>
    <row r="6325" spans="2:10">
      <c r="B6325" s="184"/>
      <c r="C6325" s="151"/>
      <c r="D6325" s="159"/>
      <c r="E6325" s="159" t="s">
        <v>1174</v>
      </c>
      <c r="F6325" s="159"/>
      <c r="G6325" s="205"/>
      <c r="H6325" s="216" t="s">
        <v>1698</v>
      </c>
      <c r="I6325" s="282">
        <f>SUM(I6322:I6324)</f>
        <v>16000</v>
      </c>
      <c r="J6325" s="78"/>
    </row>
    <row r="6326" spans="2:10">
      <c r="B6326" s="60" t="s">
        <v>5948</v>
      </c>
      <c r="C6326" s="76"/>
      <c r="D6326" s="31"/>
      <c r="E6326" s="31"/>
      <c r="F6326" s="31"/>
      <c r="G6326" s="85">
        <f>ROUND(I6325/H6301,1)</f>
        <v>160</v>
      </c>
      <c r="J6326" s="78"/>
    </row>
    <row r="6327" spans="2:10">
      <c r="B6327" s="60" t="s">
        <v>3163</v>
      </c>
      <c r="C6327" s="76"/>
      <c r="D6327" s="31"/>
      <c r="E6327" s="31"/>
      <c r="F6327" s="922">
        <f>'BASIC DATA'!$C$577</f>
        <v>0.13614999999999999</v>
      </c>
      <c r="G6327" s="85">
        <f>ROUND(G6326*F6327,1)</f>
        <v>21.8</v>
      </c>
      <c r="J6327" s="78"/>
    </row>
    <row r="6328" spans="2:10">
      <c r="B6328" s="60" t="s">
        <v>5949</v>
      </c>
      <c r="C6328" s="76"/>
      <c r="D6328" s="31"/>
      <c r="E6328" s="31"/>
      <c r="F6328" s="31"/>
      <c r="G6328" s="199">
        <f>ROUND(G6327+G6326,1)</f>
        <v>181.8</v>
      </c>
      <c r="J6328" s="78"/>
    </row>
    <row r="6329" spans="2:10">
      <c r="B6329" s="31"/>
      <c r="C6329" s="76"/>
      <c r="D6329" s="31"/>
      <c r="E6329" s="31"/>
      <c r="F6329" s="31"/>
      <c r="G6329" s="75"/>
      <c r="H6329" s="294"/>
      <c r="I6329" s="75"/>
      <c r="J6329" s="78"/>
    </row>
    <row r="6330" spans="2:10">
      <c r="B6330" s="170" t="s">
        <v>1175</v>
      </c>
      <c r="J6330" s="78"/>
    </row>
    <row r="6331" spans="2:10">
      <c r="B6331" s="26" t="s">
        <v>1176</v>
      </c>
      <c r="H6331" s="171" t="s">
        <v>1698</v>
      </c>
      <c r="I6331" s="68">
        <f>I6310</f>
        <v>57263.8</v>
      </c>
      <c r="J6331" s="78"/>
    </row>
    <row r="6332" spans="2:10">
      <c r="B6332" s="26" t="s">
        <v>1186</v>
      </c>
      <c r="H6332" s="171" t="s">
        <v>1698</v>
      </c>
      <c r="I6332" s="68">
        <f>I6317</f>
        <v>0</v>
      </c>
      <c r="J6332" s="78"/>
    </row>
    <row r="6333" spans="2:10">
      <c r="B6333" s="26" t="s">
        <v>2660</v>
      </c>
      <c r="H6333" s="171" t="s">
        <v>1698</v>
      </c>
      <c r="I6333" s="68">
        <f>I6325</f>
        <v>16000</v>
      </c>
      <c r="J6333" s="78"/>
    </row>
    <row r="6334" spans="2:10">
      <c r="G6334" s="171" t="s">
        <v>1518</v>
      </c>
      <c r="H6334" s="171" t="s">
        <v>1698</v>
      </c>
      <c r="I6334" s="205">
        <f>SUM(I6331:I6333)</f>
        <v>73263.8</v>
      </c>
      <c r="J6334" s="78"/>
    </row>
    <row r="6335" spans="2:10" ht="18.75">
      <c r="B6335" s="1207" t="s">
        <v>8375</v>
      </c>
      <c r="C6335" s="1207"/>
      <c r="D6335" s="1207"/>
      <c r="E6335" s="1207"/>
      <c r="F6335" s="1207"/>
      <c r="G6335" s="922">
        <f>'BASIC DATA'!$C$577</f>
        <v>0.13614999999999999</v>
      </c>
      <c r="H6335" s="171" t="s">
        <v>4108</v>
      </c>
      <c r="I6335" s="76">
        <f>ROUND(I6334*G6335,2)</f>
        <v>9974.8700000000008</v>
      </c>
      <c r="J6335" s="78"/>
    </row>
    <row r="6336" spans="2:10">
      <c r="B6336" s="1206" t="s">
        <v>1191</v>
      </c>
      <c r="C6336" s="1206"/>
      <c r="D6336" s="1206"/>
      <c r="E6336" s="1206"/>
      <c r="F6336" s="202">
        <f>H6301</f>
        <v>100</v>
      </c>
      <c r="G6336" s="202" t="str">
        <f>I6301</f>
        <v>sqm</v>
      </c>
      <c r="H6336" s="171" t="s">
        <v>1698</v>
      </c>
      <c r="I6336" s="199">
        <f>I6335+I6334</f>
        <v>83238.67</v>
      </c>
      <c r="J6336" s="78"/>
    </row>
    <row r="6337" spans="1:10">
      <c r="B6337" s="1161" t="s">
        <v>3884</v>
      </c>
      <c r="C6337" s="1161"/>
      <c r="D6337" s="246" t="str">
        <f>G6336</f>
        <v>sqm</v>
      </c>
      <c r="F6337" s="26" t="s">
        <v>1380</v>
      </c>
      <c r="H6337" s="171" t="s">
        <v>1698</v>
      </c>
      <c r="I6337" s="204">
        <f>ROUND(I6336/F6336,1)</f>
        <v>832.4</v>
      </c>
      <c r="J6337" s="78"/>
    </row>
    <row r="6338" spans="1:10">
      <c r="J6338" s="78"/>
    </row>
    <row r="6339" spans="1:10">
      <c r="J6339" s="78"/>
    </row>
    <row r="6340" spans="1:10">
      <c r="A6340" s="822" t="s">
        <v>7381</v>
      </c>
      <c r="B6340" s="26" t="s">
        <v>8567</v>
      </c>
      <c r="J6340" s="78"/>
    </row>
    <row r="6341" spans="1:10">
      <c r="B6341" s="26" t="s">
        <v>260</v>
      </c>
      <c r="J6341" s="78"/>
    </row>
    <row r="6342" spans="1:10">
      <c r="B6342" s="26" t="s">
        <v>261</v>
      </c>
      <c r="J6342" s="78"/>
    </row>
    <row r="6343" spans="1:10">
      <c r="B6343" s="26" t="s">
        <v>3303</v>
      </c>
      <c r="J6343" s="78"/>
    </row>
    <row r="6344" spans="1:10">
      <c r="B6344" s="26" t="s">
        <v>8566</v>
      </c>
      <c r="J6344" s="78"/>
    </row>
    <row r="6345" spans="1:10">
      <c r="J6345" s="78"/>
    </row>
    <row r="6346" spans="1:10" hidden="1">
      <c r="A6346" s="822" t="s">
        <v>3984</v>
      </c>
      <c r="C6346" s="27" t="s">
        <v>2802</v>
      </c>
      <c r="G6346" s="171" t="s">
        <v>1697</v>
      </c>
      <c r="H6346" s="68">
        <v>1.2</v>
      </c>
      <c r="I6346" s="26" t="s">
        <v>2602</v>
      </c>
      <c r="J6346" s="78"/>
    </row>
    <row r="6347" spans="1:10" hidden="1">
      <c r="C6347" s="27" t="s">
        <v>5595</v>
      </c>
      <c r="G6347" s="171" t="s">
        <v>1697</v>
      </c>
      <c r="H6347" s="68">
        <v>20</v>
      </c>
      <c r="I6347" s="26" t="s">
        <v>3135</v>
      </c>
      <c r="J6347" s="78"/>
    </row>
    <row r="6348" spans="1:10" hidden="1">
      <c r="C6348" s="27" t="s">
        <v>4244</v>
      </c>
      <c r="G6348" s="171" t="s">
        <v>1697</v>
      </c>
      <c r="H6348" s="68">
        <v>20</v>
      </c>
      <c r="I6348" s="26" t="s">
        <v>3135</v>
      </c>
      <c r="J6348" s="78"/>
    </row>
    <row r="6349" spans="1:10" hidden="1">
      <c r="C6349" s="27" t="s">
        <v>4245</v>
      </c>
      <c r="G6349" s="171" t="s">
        <v>1697</v>
      </c>
      <c r="H6349" s="68">
        <v>20</v>
      </c>
      <c r="I6349" s="26" t="s">
        <v>3135</v>
      </c>
      <c r="J6349" s="78"/>
    </row>
    <row r="6350" spans="1:10" hidden="1">
      <c r="C6350" s="27" t="s">
        <v>3809</v>
      </c>
      <c r="G6350" s="171" t="s">
        <v>1697</v>
      </c>
      <c r="H6350" s="68">
        <v>60</v>
      </c>
      <c r="I6350" s="26" t="s">
        <v>3135</v>
      </c>
      <c r="J6350" s="78"/>
    </row>
    <row r="6351" spans="1:10" hidden="1">
      <c r="C6351" s="27" t="s">
        <v>3810</v>
      </c>
      <c r="G6351" s="171" t="s">
        <v>1697</v>
      </c>
      <c r="J6351" s="78"/>
    </row>
    <row r="6352" spans="1:10" hidden="1">
      <c r="C6352" s="27" t="s">
        <v>4215</v>
      </c>
      <c r="G6352" s="171" t="s">
        <v>1697</v>
      </c>
      <c r="J6352" s="78"/>
    </row>
    <row r="6353" spans="3:10" hidden="1">
      <c r="C6353" s="27" t="s">
        <v>3811</v>
      </c>
      <c r="G6353" s="171" t="s">
        <v>1697</v>
      </c>
      <c r="H6353" s="68">
        <v>57.6</v>
      </c>
      <c r="I6353" s="26" t="s">
        <v>3477</v>
      </c>
      <c r="J6353" s="78"/>
    </row>
    <row r="6354" spans="3:10" hidden="1">
      <c r="C6354" s="27" t="s">
        <v>2732</v>
      </c>
      <c r="G6354" s="171" t="s">
        <v>1697</v>
      </c>
      <c r="H6354" s="68">
        <v>44</v>
      </c>
      <c r="I6354" s="26" t="s">
        <v>2059</v>
      </c>
      <c r="J6354" s="78"/>
    </row>
    <row r="6355" spans="3:10" hidden="1">
      <c r="C6355" s="27" t="s">
        <v>2733</v>
      </c>
      <c r="G6355" s="171" t="s">
        <v>1697</v>
      </c>
      <c r="H6355" s="68">
        <v>9</v>
      </c>
      <c r="I6355" s="26" t="s">
        <v>3477</v>
      </c>
      <c r="J6355" s="78"/>
    </row>
    <row r="6356" spans="3:10" hidden="1">
      <c r="C6356" s="27" t="s">
        <v>4795</v>
      </c>
      <c r="G6356" s="171" t="s">
        <v>1697</v>
      </c>
      <c r="H6356" s="68">
        <v>20.399999999999999</v>
      </c>
      <c r="I6356" s="26" t="s">
        <v>3477</v>
      </c>
      <c r="J6356" s="78"/>
    </row>
    <row r="6357" spans="3:10" hidden="1">
      <c r="C6357" s="27" t="s">
        <v>4796</v>
      </c>
      <c r="G6357" s="171" t="s">
        <v>1697</v>
      </c>
      <c r="H6357" s="68">
        <v>20.399999999999999</v>
      </c>
      <c r="I6357" s="26" t="s">
        <v>3477</v>
      </c>
      <c r="J6357" s="78"/>
    </row>
    <row r="6358" spans="3:10" hidden="1">
      <c r="C6358" s="27" t="s">
        <v>4797</v>
      </c>
      <c r="G6358" s="171" t="s">
        <v>1697</v>
      </c>
      <c r="H6358" s="68">
        <v>20.399999999999999</v>
      </c>
      <c r="I6358" s="26" t="s">
        <v>3477</v>
      </c>
      <c r="J6358" s="78"/>
    </row>
    <row r="6359" spans="3:10" hidden="1">
      <c r="C6359" s="27" t="s">
        <v>5815</v>
      </c>
      <c r="G6359" s="171" t="s">
        <v>1697</v>
      </c>
      <c r="H6359" s="68"/>
      <c r="J6359" s="78"/>
    </row>
    <row r="6360" spans="3:10" hidden="1">
      <c r="C6360" s="27" t="s">
        <v>3824</v>
      </c>
      <c r="I6360" s="68"/>
      <c r="J6360" s="78"/>
    </row>
    <row r="6361" spans="3:10" hidden="1">
      <c r="C6361" s="27" t="s">
        <v>5620</v>
      </c>
      <c r="I6361" s="68"/>
      <c r="J6361" s="78"/>
    </row>
    <row r="6362" spans="3:10" hidden="1">
      <c r="C6362" s="27" t="s">
        <v>2697</v>
      </c>
      <c r="G6362" s="171" t="s">
        <v>1697</v>
      </c>
      <c r="H6362" s="68">
        <v>8</v>
      </c>
      <c r="I6362" s="26" t="s">
        <v>4041</v>
      </c>
      <c r="J6362" s="78"/>
    </row>
    <row r="6363" spans="3:10" hidden="1">
      <c r="C6363" s="27" t="s">
        <v>5623</v>
      </c>
      <c r="I6363" s="68"/>
      <c r="J6363" s="78"/>
    </row>
    <row r="6364" spans="3:10" hidden="1">
      <c r="C6364" s="27" t="s">
        <v>2697</v>
      </c>
      <c r="G6364" s="171" t="s">
        <v>1697</v>
      </c>
      <c r="H6364" s="68">
        <v>8</v>
      </c>
      <c r="I6364" s="26" t="s">
        <v>4041</v>
      </c>
      <c r="J6364" s="78"/>
    </row>
    <row r="6365" spans="3:10" hidden="1">
      <c r="C6365" s="27" t="s">
        <v>5622</v>
      </c>
      <c r="I6365" s="68"/>
      <c r="J6365" s="78"/>
    </row>
    <row r="6366" spans="3:10" hidden="1">
      <c r="C6366" s="27" t="s">
        <v>2697</v>
      </c>
      <c r="G6366" s="171" t="s">
        <v>1697</v>
      </c>
      <c r="H6366" s="68">
        <v>8</v>
      </c>
      <c r="I6366" s="26" t="s">
        <v>4041</v>
      </c>
      <c r="J6366" s="78"/>
    </row>
    <row r="6367" spans="3:10" hidden="1">
      <c r="C6367" s="27" t="s">
        <v>3021</v>
      </c>
      <c r="H6367" s="68"/>
      <c r="J6367" s="78"/>
    </row>
    <row r="6368" spans="3:10" hidden="1">
      <c r="C6368" s="27" t="s">
        <v>4798</v>
      </c>
      <c r="G6368" s="171" t="s">
        <v>1697</v>
      </c>
      <c r="H6368" s="68">
        <v>10</v>
      </c>
      <c r="I6368" s="26" t="s">
        <v>4041</v>
      </c>
      <c r="J6368" s="78"/>
    </row>
    <row r="6369" spans="1:10" hidden="1">
      <c r="C6369" s="27" t="s">
        <v>2697</v>
      </c>
      <c r="G6369" s="171" t="s">
        <v>1697</v>
      </c>
      <c r="H6369" s="68">
        <v>15</v>
      </c>
      <c r="I6369" s="26" t="s">
        <v>4041</v>
      </c>
      <c r="J6369" s="78"/>
    </row>
    <row r="6370" spans="1:10" hidden="1">
      <c r="C6370" s="27" t="s">
        <v>4206</v>
      </c>
      <c r="G6370" s="171" t="s">
        <v>1697</v>
      </c>
      <c r="H6370" s="68">
        <v>1</v>
      </c>
      <c r="I6370" s="26" t="s">
        <v>4089</v>
      </c>
      <c r="J6370" s="78"/>
    </row>
    <row r="6371" spans="1:10">
      <c r="J6371" s="78"/>
    </row>
    <row r="6372" spans="1:10">
      <c r="A6372" s="822" t="s">
        <v>3984</v>
      </c>
      <c r="E6372" s="170" t="s">
        <v>2367</v>
      </c>
      <c r="J6372" s="78"/>
    </row>
    <row r="6373" spans="1:10">
      <c r="J6373" s="78"/>
    </row>
    <row r="6374" spans="1:10">
      <c r="B6374" s="170" t="s">
        <v>2368</v>
      </c>
      <c r="G6374" s="26" t="s">
        <v>297</v>
      </c>
      <c r="H6374" s="170">
        <v>100</v>
      </c>
      <c r="I6374" s="26" t="s">
        <v>3479</v>
      </c>
      <c r="J6374" s="78"/>
    </row>
    <row r="6375" spans="1:10">
      <c r="B6375" s="95" t="s">
        <v>2369</v>
      </c>
      <c r="C6375" s="148" t="s">
        <v>4443</v>
      </c>
      <c r="D6375" s="175"/>
      <c r="E6375" s="175"/>
      <c r="F6375" s="95" t="s">
        <v>2370</v>
      </c>
      <c r="G6375" s="95" t="s">
        <v>1166</v>
      </c>
      <c r="H6375" s="95" t="s">
        <v>6664</v>
      </c>
      <c r="I6375" s="95" t="s">
        <v>6665</v>
      </c>
      <c r="J6375" s="78"/>
    </row>
    <row r="6376" spans="1:10">
      <c r="B6376" s="191"/>
      <c r="C6376" s="89"/>
      <c r="D6376" s="174"/>
      <c r="E6376" s="174"/>
      <c r="F6376" s="191"/>
      <c r="G6376" s="114"/>
      <c r="H6376" s="114" t="s">
        <v>3856</v>
      </c>
      <c r="I6376" s="114" t="s">
        <v>3857</v>
      </c>
      <c r="J6376" s="78"/>
    </row>
    <row r="6377" spans="1:10">
      <c r="A6377" s="853"/>
      <c r="B6377" s="295">
        <v>1</v>
      </c>
      <c r="C6377" s="345" t="s">
        <v>7936</v>
      </c>
      <c r="D6377" s="296"/>
      <c r="E6377" s="296"/>
      <c r="F6377" s="297" t="s">
        <v>3477</v>
      </c>
      <c r="G6377" s="281">
        <v>20.399999999999999</v>
      </c>
      <c r="H6377" s="258">
        <f>'BASIC DATA'!$D$55</f>
        <v>95</v>
      </c>
      <c r="I6377" s="281">
        <f t="shared" ref="I6377:I6382" si="109">H6377*G6377</f>
        <v>1937.9999999999998</v>
      </c>
      <c r="J6377" s="62"/>
    </row>
    <row r="6378" spans="1:10">
      <c r="B6378" s="105">
        <v>2</v>
      </c>
      <c r="C6378" s="76" t="s">
        <v>570</v>
      </c>
      <c r="D6378" s="31"/>
      <c r="E6378" s="31"/>
      <c r="F6378" s="210" t="s">
        <v>3477</v>
      </c>
      <c r="G6378" s="190">
        <v>20.399999999999999</v>
      </c>
      <c r="H6378" s="220">
        <f>'BASIC DATA'!$D$34</f>
        <v>900</v>
      </c>
      <c r="I6378" s="179">
        <f t="shared" si="109"/>
        <v>18360</v>
      </c>
      <c r="J6378" s="78"/>
    </row>
    <row r="6379" spans="1:10">
      <c r="B6379" s="105">
        <v>3</v>
      </c>
      <c r="C6379" s="76" t="s">
        <v>6996</v>
      </c>
      <c r="D6379" s="31"/>
      <c r="E6379" s="31"/>
      <c r="F6379" s="210" t="s">
        <v>3477</v>
      </c>
      <c r="G6379" s="190">
        <v>20.399999999999999</v>
      </c>
      <c r="H6379" s="220">
        <f>'BASIC DATA'!$D$36</f>
        <v>1175</v>
      </c>
      <c r="I6379" s="179">
        <f t="shared" si="109"/>
        <v>23970</v>
      </c>
      <c r="J6379" s="78"/>
    </row>
    <row r="6380" spans="1:10">
      <c r="B6380" s="105">
        <v>4</v>
      </c>
      <c r="C6380" s="76" t="s">
        <v>1358</v>
      </c>
      <c r="D6380" s="31"/>
      <c r="E6380" s="31"/>
      <c r="F6380" s="210" t="s">
        <v>3477</v>
      </c>
      <c r="G6380" s="190">
        <v>9</v>
      </c>
      <c r="H6380" s="220">
        <f>'BASIC DATA'!$D$96</f>
        <v>350</v>
      </c>
      <c r="I6380" s="179">
        <f t="shared" si="109"/>
        <v>3150</v>
      </c>
      <c r="J6380" s="78"/>
    </row>
    <row r="6381" spans="1:10">
      <c r="B6381" s="105">
        <v>5</v>
      </c>
      <c r="C6381" s="76" t="s">
        <v>3058</v>
      </c>
      <c r="D6381" s="31"/>
      <c r="E6381" s="31"/>
      <c r="F6381" s="210" t="s">
        <v>3477</v>
      </c>
      <c r="G6381" s="190">
        <v>57.6</v>
      </c>
      <c r="H6381" s="214">
        <f>'BASIC DATA'!$D$108</f>
        <v>318</v>
      </c>
      <c r="I6381" s="179">
        <f t="shared" si="109"/>
        <v>18316.8</v>
      </c>
      <c r="J6381" s="78"/>
    </row>
    <row r="6382" spans="1:10">
      <c r="B6382" s="114">
        <v>6</v>
      </c>
      <c r="C6382" s="89" t="s">
        <v>3059</v>
      </c>
      <c r="D6382" s="174"/>
      <c r="E6382" s="174"/>
      <c r="F6382" s="191" t="s">
        <v>2059</v>
      </c>
      <c r="G6382" s="182">
        <v>44</v>
      </c>
      <c r="H6382" s="215">
        <f>'BASIC DATA'!$D$106</f>
        <v>59</v>
      </c>
      <c r="I6382" s="179">
        <f t="shared" si="109"/>
        <v>2596</v>
      </c>
      <c r="J6382" s="78"/>
    </row>
    <row r="6383" spans="1:10">
      <c r="B6383" s="184"/>
      <c r="C6383" s="151"/>
      <c r="D6383" s="159"/>
      <c r="E6383" s="159" t="s">
        <v>2376</v>
      </c>
      <c r="F6383" s="159"/>
      <c r="G6383" s="205"/>
      <c r="H6383" s="216" t="s">
        <v>1698</v>
      </c>
      <c r="I6383" s="282">
        <f>SUM(I6377:I6382)</f>
        <v>68330.8</v>
      </c>
      <c r="J6383" s="78"/>
    </row>
    <row r="6384" spans="1:10">
      <c r="J6384" s="78"/>
    </row>
    <row r="6385" spans="2:10">
      <c r="B6385" s="170" t="s">
        <v>2377</v>
      </c>
      <c r="J6385" s="78"/>
    </row>
    <row r="6386" spans="2:10">
      <c r="B6386" s="95" t="s">
        <v>2369</v>
      </c>
      <c r="C6386" s="148" t="s">
        <v>2378</v>
      </c>
      <c r="D6386" s="175"/>
      <c r="E6386" s="175"/>
      <c r="F6386" s="95" t="s">
        <v>2370</v>
      </c>
      <c r="G6386" s="95" t="s">
        <v>1166</v>
      </c>
      <c r="H6386" s="95" t="s">
        <v>6664</v>
      </c>
      <c r="I6386" s="95" t="s">
        <v>6665</v>
      </c>
      <c r="J6386" s="78"/>
    </row>
    <row r="6387" spans="2:10">
      <c r="B6387" s="114"/>
      <c r="C6387" s="89"/>
      <c r="D6387" s="188"/>
      <c r="E6387" s="188"/>
      <c r="F6387" s="114"/>
      <c r="G6387" s="114"/>
      <c r="H6387" s="114" t="s">
        <v>3856</v>
      </c>
      <c r="I6387" s="114" t="s">
        <v>3857</v>
      </c>
      <c r="J6387" s="78"/>
    </row>
    <row r="6388" spans="2:10">
      <c r="B6388" s="95">
        <v>1</v>
      </c>
      <c r="C6388" s="148" t="s">
        <v>6976</v>
      </c>
      <c r="D6388" s="187"/>
      <c r="E6388" s="187"/>
      <c r="F6388" s="107"/>
      <c r="G6388" s="179">
        <v>0</v>
      </c>
      <c r="H6388" s="179">
        <v>0</v>
      </c>
      <c r="I6388" s="179">
        <f>H6388*G6388</f>
        <v>0</v>
      </c>
      <c r="J6388" s="78"/>
    </row>
    <row r="6389" spans="2:10">
      <c r="B6389" s="191"/>
      <c r="C6389" s="89"/>
      <c r="D6389" s="174"/>
      <c r="E6389" s="174"/>
      <c r="F6389" s="191"/>
      <c r="G6389" s="182">
        <v>0</v>
      </c>
      <c r="H6389" s="182">
        <v>0</v>
      </c>
      <c r="I6389" s="179">
        <f>H6389*G6389</f>
        <v>0</v>
      </c>
      <c r="J6389" s="78"/>
    </row>
    <row r="6390" spans="2:10">
      <c r="B6390" s="184"/>
      <c r="C6390" s="151"/>
      <c r="D6390" s="159"/>
      <c r="E6390" s="159" t="s">
        <v>2380</v>
      </c>
      <c r="F6390" s="159"/>
      <c r="G6390" s="159"/>
      <c r="H6390" s="208" t="s">
        <v>1698</v>
      </c>
      <c r="I6390" s="282">
        <f>SUM(I6388:I6389)</f>
        <v>0</v>
      </c>
      <c r="J6390" s="78"/>
    </row>
    <row r="6391" spans="2:10">
      <c r="J6391" s="78"/>
    </row>
    <row r="6392" spans="2:10">
      <c r="B6392" s="170" t="s">
        <v>2381</v>
      </c>
      <c r="J6392" s="78"/>
    </row>
    <row r="6393" spans="2:10">
      <c r="B6393" s="95" t="s">
        <v>2369</v>
      </c>
      <c r="C6393" s="148" t="s">
        <v>2378</v>
      </c>
      <c r="D6393" s="175"/>
      <c r="E6393" s="175"/>
      <c r="F6393" s="95" t="s">
        <v>2370</v>
      </c>
      <c r="G6393" s="95" t="s">
        <v>1166</v>
      </c>
      <c r="H6393" s="95" t="s">
        <v>6664</v>
      </c>
      <c r="I6393" s="95" t="s">
        <v>6665</v>
      </c>
      <c r="J6393" s="78"/>
    </row>
    <row r="6394" spans="2:10">
      <c r="B6394" s="191"/>
      <c r="C6394" s="89"/>
      <c r="D6394" s="174"/>
      <c r="E6394" s="174"/>
      <c r="F6394" s="191"/>
      <c r="G6394" s="114"/>
      <c r="H6394" s="114" t="s">
        <v>3856</v>
      </c>
      <c r="I6394" s="114" t="s">
        <v>3857</v>
      </c>
      <c r="J6394" s="78"/>
    </row>
    <row r="6395" spans="2:10">
      <c r="B6395" s="95">
        <v>1</v>
      </c>
      <c r="C6395" s="148" t="s">
        <v>4206</v>
      </c>
      <c r="D6395" s="187"/>
      <c r="E6395" s="187"/>
      <c r="F6395" s="107" t="s">
        <v>1172</v>
      </c>
      <c r="G6395" s="179">
        <v>1</v>
      </c>
      <c r="H6395" s="190">
        <f>'BASIC DATA'!$C$473</f>
        <v>450</v>
      </c>
      <c r="I6395" s="179">
        <f>H6395*G6395</f>
        <v>450</v>
      </c>
      <c r="J6395" s="78"/>
    </row>
    <row r="6396" spans="2:10">
      <c r="B6396" s="105">
        <v>2</v>
      </c>
      <c r="C6396" s="76" t="s">
        <v>1356</v>
      </c>
      <c r="D6396" s="31"/>
      <c r="E6396" s="31"/>
      <c r="F6396" s="210" t="s">
        <v>1172</v>
      </c>
      <c r="G6396" s="190">
        <v>10</v>
      </c>
      <c r="H6396" s="207">
        <f>'BASIC DATA'!$C$541</f>
        <v>400</v>
      </c>
      <c r="I6396" s="179">
        <f>H6396*G6396</f>
        <v>4000</v>
      </c>
      <c r="J6396" s="78"/>
    </row>
    <row r="6397" spans="2:10">
      <c r="B6397" s="105">
        <v>3</v>
      </c>
      <c r="C6397" s="76" t="s">
        <v>2697</v>
      </c>
      <c r="D6397" s="31"/>
      <c r="E6397" s="31"/>
      <c r="F6397" s="210" t="s">
        <v>1172</v>
      </c>
      <c r="G6397" s="190">
        <v>39</v>
      </c>
      <c r="H6397" s="207">
        <f>'BASIC DATA'!$C$552</f>
        <v>350</v>
      </c>
      <c r="I6397" s="179">
        <f>H6397*G6397</f>
        <v>13650</v>
      </c>
      <c r="J6397" s="78"/>
    </row>
    <row r="6398" spans="2:10">
      <c r="B6398" s="184"/>
      <c r="C6398" s="151"/>
      <c r="D6398" s="159"/>
      <c r="E6398" s="159" t="s">
        <v>1174</v>
      </c>
      <c r="F6398" s="159"/>
      <c r="G6398" s="159"/>
      <c r="H6398" s="252" t="s">
        <v>1698</v>
      </c>
      <c r="I6398" s="282">
        <f>SUM(I6395:I6397)</f>
        <v>18100</v>
      </c>
      <c r="J6398" s="78"/>
    </row>
    <row r="6399" spans="2:10">
      <c r="B6399" s="60" t="s">
        <v>5948</v>
      </c>
      <c r="C6399" s="76"/>
      <c r="D6399" s="31"/>
      <c r="E6399" s="31"/>
      <c r="F6399" s="31"/>
      <c r="G6399" s="85">
        <f>ROUND(I6398/H6374,1)</f>
        <v>181</v>
      </c>
      <c r="J6399" s="78"/>
    </row>
    <row r="6400" spans="2:10">
      <c r="B6400" s="60" t="s">
        <v>3163</v>
      </c>
      <c r="C6400" s="76"/>
      <c r="D6400" s="31"/>
      <c r="E6400" s="31"/>
      <c r="F6400" s="922">
        <f>'BASIC DATA'!$C$577</f>
        <v>0.13614999999999999</v>
      </c>
      <c r="G6400" s="85">
        <f>ROUND(G6399*F6400,1)</f>
        <v>24.6</v>
      </c>
      <c r="J6400" s="78"/>
    </row>
    <row r="6401" spans="1:10">
      <c r="B6401" s="60" t="s">
        <v>5949</v>
      </c>
      <c r="C6401" s="76"/>
      <c r="D6401" s="31"/>
      <c r="E6401" s="31"/>
      <c r="F6401" s="31"/>
      <c r="G6401" s="199">
        <f>ROUND(G6400+G6399,1)</f>
        <v>205.6</v>
      </c>
      <c r="J6401" s="78"/>
    </row>
    <row r="6402" spans="1:10">
      <c r="J6402" s="78"/>
    </row>
    <row r="6403" spans="1:10">
      <c r="B6403" s="170" t="s">
        <v>1175</v>
      </c>
      <c r="J6403" s="78"/>
    </row>
    <row r="6404" spans="1:10">
      <c r="B6404" s="26" t="s">
        <v>1176</v>
      </c>
      <c r="H6404" s="171" t="s">
        <v>1698</v>
      </c>
      <c r="I6404" s="68">
        <f>I6383</f>
        <v>68330.8</v>
      </c>
      <c r="J6404" s="78"/>
    </row>
    <row r="6405" spans="1:10">
      <c r="B6405" s="26" t="s">
        <v>1186</v>
      </c>
      <c r="H6405" s="171" t="s">
        <v>1698</v>
      </c>
      <c r="I6405" s="68">
        <f>I6390</f>
        <v>0</v>
      </c>
      <c r="J6405" s="78"/>
    </row>
    <row r="6406" spans="1:10">
      <c r="B6406" s="26" t="s">
        <v>2660</v>
      </c>
      <c r="H6406" s="171" t="s">
        <v>1698</v>
      </c>
      <c r="I6406" s="68">
        <f>I6398</f>
        <v>18100</v>
      </c>
      <c r="J6406" s="78"/>
    </row>
    <row r="6407" spans="1:10">
      <c r="G6407" s="171" t="s">
        <v>1518</v>
      </c>
      <c r="H6407" s="171" t="s">
        <v>1698</v>
      </c>
      <c r="I6407" s="205">
        <f>SUM(I6404:I6406)</f>
        <v>86430.8</v>
      </c>
      <c r="J6407" s="78"/>
    </row>
    <row r="6408" spans="1:10" ht="18.75">
      <c r="B6408" s="1207" t="s">
        <v>8375</v>
      </c>
      <c r="C6408" s="1207"/>
      <c r="D6408" s="1207"/>
      <c r="E6408" s="1207"/>
      <c r="F6408" s="1207"/>
      <c r="G6408" s="922">
        <f>'BASIC DATA'!$C$577</f>
        <v>0.13614999999999999</v>
      </c>
      <c r="H6408" s="171" t="s">
        <v>4108</v>
      </c>
      <c r="I6408" s="76">
        <f>ROUND(I6407*G6408,2)</f>
        <v>11767.55</v>
      </c>
      <c r="J6408" s="78"/>
    </row>
    <row r="6409" spans="1:10">
      <c r="B6409" s="1206" t="s">
        <v>1191</v>
      </c>
      <c r="C6409" s="1206"/>
      <c r="D6409" s="1206"/>
      <c r="E6409" s="1206"/>
      <c r="F6409" s="202">
        <f>H6374</f>
        <v>100</v>
      </c>
      <c r="G6409" s="202" t="str">
        <f>I6374</f>
        <v>sqm</v>
      </c>
      <c r="H6409" s="171" t="s">
        <v>1698</v>
      </c>
      <c r="I6409" s="199">
        <f>I6408+I6407</f>
        <v>98198.35</v>
      </c>
      <c r="J6409" s="78"/>
    </row>
    <row r="6410" spans="1:10">
      <c r="B6410" s="1161" t="s">
        <v>3884</v>
      </c>
      <c r="C6410" s="1161"/>
      <c r="D6410" s="246" t="str">
        <f>G6409</f>
        <v>sqm</v>
      </c>
      <c r="F6410" s="26" t="s">
        <v>1380</v>
      </c>
      <c r="H6410" s="171" t="s">
        <v>1698</v>
      </c>
      <c r="I6410" s="204">
        <f>ROUND(I6409/F6409,1)</f>
        <v>982</v>
      </c>
      <c r="J6410" s="78"/>
    </row>
    <row r="6411" spans="1:10">
      <c r="J6411" s="78"/>
    </row>
    <row r="6412" spans="1:10">
      <c r="J6412" s="78"/>
    </row>
    <row r="6413" spans="1:10">
      <c r="A6413" s="822" t="s">
        <v>7382</v>
      </c>
      <c r="B6413" s="26" t="s">
        <v>8568</v>
      </c>
      <c r="J6413" s="78"/>
    </row>
    <row r="6414" spans="1:10">
      <c r="B6414" s="26" t="s">
        <v>8569</v>
      </c>
      <c r="J6414" s="78"/>
    </row>
    <row r="6415" spans="1:10">
      <c r="B6415" s="26" t="s">
        <v>2044</v>
      </c>
      <c r="J6415" s="78"/>
    </row>
    <row r="6416" spans="1:10">
      <c r="B6416" s="26" t="s">
        <v>8570</v>
      </c>
      <c r="J6416" s="78"/>
    </row>
    <row r="6417" spans="1:10">
      <c r="B6417" s="170" t="s">
        <v>2735</v>
      </c>
      <c r="J6417" s="78"/>
    </row>
    <row r="6418" spans="1:10" hidden="1">
      <c r="A6418" s="822" t="s">
        <v>3984</v>
      </c>
      <c r="B6418" s="26" t="s">
        <v>3832</v>
      </c>
      <c r="H6418" s="68">
        <v>1.05</v>
      </c>
      <c r="I6418" s="26" t="s">
        <v>2602</v>
      </c>
      <c r="J6418" s="78"/>
    </row>
    <row r="6419" spans="1:10" hidden="1">
      <c r="B6419" s="26" t="s">
        <v>5595</v>
      </c>
      <c r="H6419" s="68">
        <v>15</v>
      </c>
      <c r="I6419" s="26" t="s">
        <v>3135</v>
      </c>
      <c r="J6419" s="78"/>
    </row>
    <row r="6420" spans="1:10" hidden="1">
      <c r="B6420" s="26" t="s">
        <v>4244</v>
      </c>
      <c r="H6420" s="68">
        <v>15</v>
      </c>
      <c r="I6420" s="26" t="s">
        <v>3135</v>
      </c>
      <c r="J6420" s="78"/>
    </row>
    <row r="6421" spans="1:10" hidden="1">
      <c r="B6421" s="26" t="s">
        <v>4245</v>
      </c>
      <c r="H6421" s="68">
        <v>15</v>
      </c>
      <c r="I6421" s="26" t="s">
        <v>3135</v>
      </c>
      <c r="J6421" s="78"/>
    </row>
    <row r="6422" spans="1:10" hidden="1">
      <c r="B6422" s="26" t="s">
        <v>3809</v>
      </c>
      <c r="H6422" s="68">
        <v>60</v>
      </c>
      <c r="I6422" s="26" t="s">
        <v>3135</v>
      </c>
      <c r="J6422" s="78"/>
    </row>
    <row r="6423" spans="1:10" hidden="1">
      <c r="B6423" s="26" t="s">
        <v>5338</v>
      </c>
      <c r="H6423" s="68"/>
      <c r="J6423" s="78"/>
    </row>
    <row r="6424" spans="1:10" hidden="1">
      <c r="B6424" s="26" t="s">
        <v>4215</v>
      </c>
      <c r="H6424" s="68"/>
      <c r="J6424" s="78"/>
    </row>
    <row r="6425" spans="1:10" hidden="1">
      <c r="B6425" s="26" t="s">
        <v>5339</v>
      </c>
      <c r="H6425" s="68">
        <v>60</v>
      </c>
      <c r="I6425" s="26" t="s">
        <v>3477</v>
      </c>
      <c r="J6425" s="78"/>
    </row>
    <row r="6426" spans="1:10" hidden="1">
      <c r="B6426" s="26" t="s">
        <v>2733</v>
      </c>
      <c r="H6426" s="68">
        <v>9</v>
      </c>
      <c r="I6426" s="26" t="s">
        <v>3477</v>
      </c>
      <c r="J6426" s="78"/>
    </row>
    <row r="6427" spans="1:10" hidden="1">
      <c r="B6427" s="26" t="s">
        <v>4795</v>
      </c>
      <c r="H6427" s="68">
        <v>15.3</v>
      </c>
      <c r="I6427" s="26" t="s">
        <v>3477</v>
      </c>
      <c r="J6427" s="78"/>
    </row>
    <row r="6428" spans="1:10" hidden="1">
      <c r="B6428" s="26" t="s">
        <v>4796</v>
      </c>
      <c r="H6428" s="68">
        <v>15.3</v>
      </c>
      <c r="I6428" s="26" t="s">
        <v>3477</v>
      </c>
      <c r="J6428" s="78"/>
    </row>
    <row r="6429" spans="1:10" hidden="1">
      <c r="B6429" s="26" t="s">
        <v>4797</v>
      </c>
      <c r="H6429" s="68">
        <v>15.3</v>
      </c>
      <c r="I6429" s="26" t="s">
        <v>3477</v>
      </c>
      <c r="J6429" s="78"/>
    </row>
    <row r="6430" spans="1:10" hidden="1">
      <c r="B6430" s="26" t="s">
        <v>5815</v>
      </c>
      <c r="H6430" s="68"/>
      <c r="J6430" s="78"/>
    </row>
    <row r="6431" spans="1:10" hidden="1">
      <c r="B6431" s="26" t="s">
        <v>3824</v>
      </c>
      <c r="H6431" s="68"/>
      <c r="J6431" s="78"/>
    </row>
    <row r="6432" spans="1:10" hidden="1">
      <c r="B6432" s="26" t="s">
        <v>5620</v>
      </c>
      <c r="H6432" s="68">
        <v>6</v>
      </c>
      <c r="I6432" s="26" t="s">
        <v>4041</v>
      </c>
      <c r="J6432" s="78"/>
    </row>
    <row r="6433" spans="1:10" hidden="1">
      <c r="B6433" s="26" t="s">
        <v>2697</v>
      </c>
      <c r="H6433" s="68">
        <v>3</v>
      </c>
      <c r="I6433" s="26" t="s">
        <v>4041</v>
      </c>
      <c r="J6433" s="78"/>
    </row>
    <row r="6434" spans="1:10" hidden="1">
      <c r="B6434" s="26" t="s">
        <v>5623</v>
      </c>
      <c r="H6434" s="68"/>
      <c r="J6434" s="78"/>
    </row>
    <row r="6435" spans="1:10" hidden="1">
      <c r="B6435" s="26" t="s">
        <v>2697</v>
      </c>
      <c r="H6435" s="68">
        <v>6</v>
      </c>
      <c r="I6435" s="26" t="s">
        <v>4041</v>
      </c>
      <c r="J6435" s="78"/>
    </row>
    <row r="6436" spans="1:10" hidden="1">
      <c r="B6436" s="26" t="s">
        <v>5622</v>
      </c>
      <c r="H6436" s="68"/>
      <c r="J6436" s="78"/>
    </row>
    <row r="6437" spans="1:10" hidden="1">
      <c r="B6437" s="26" t="s">
        <v>2697</v>
      </c>
      <c r="H6437" s="68">
        <v>6</v>
      </c>
      <c r="I6437" s="26" t="s">
        <v>4041</v>
      </c>
      <c r="J6437" s="78"/>
    </row>
    <row r="6438" spans="1:10" hidden="1">
      <c r="B6438" s="26" t="s">
        <v>3021</v>
      </c>
      <c r="H6438" s="68"/>
      <c r="J6438" s="78"/>
    </row>
    <row r="6439" spans="1:10" hidden="1">
      <c r="B6439" s="26" t="s">
        <v>4798</v>
      </c>
      <c r="H6439" s="68">
        <v>5</v>
      </c>
      <c r="I6439" s="26" t="s">
        <v>4041</v>
      </c>
      <c r="J6439" s="78"/>
    </row>
    <row r="6440" spans="1:10" hidden="1">
      <c r="B6440" s="26" t="s">
        <v>2697</v>
      </c>
      <c r="H6440" s="68">
        <v>10</v>
      </c>
      <c r="I6440" s="26" t="s">
        <v>4041</v>
      </c>
      <c r="J6440" s="78"/>
    </row>
    <row r="6441" spans="1:10" hidden="1">
      <c r="B6441" s="26" t="s">
        <v>4206</v>
      </c>
      <c r="H6441" s="68">
        <v>1</v>
      </c>
      <c r="I6441" s="26" t="s">
        <v>4089</v>
      </c>
      <c r="J6441" s="78"/>
    </row>
    <row r="6442" spans="1:10">
      <c r="J6442" s="78"/>
    </row>
    <row r="6443" spans="1:10">
      <c r="A6443" s="822" t="s">
        <v>3984</v>
      </c>
      <c r="E6443" s="170" t="s">
        <v>2367</v>
      </c>
      <c r="J6443" s="78"/>
    </row>
    <row r="6444" spans="1:10">
      <c r="J6444" s="78"/>
    </row>
    <row r="6445" spans="1:10">
      <c r="B6445" s="170" t="s">
        <v>2368</v>
      </c>
      <c r="G6445" s="26" t="s">
        <v>297</v>
      </c>
      <c r="H6445" s="170">
        <v>100</v>
      </c>
      <c r="I6445" s="26" t="s">
        <v>1409</v>
      </c>
      <c r="J6445" s="78"/>
    </row>
    <row r="6446" spans="1:10">
      <c r="B6446" s="95" t="s">
        <v>2369</v>
      </c>
      <c r="C6446" s="148" t="s">
        <v>4443</v>
      </c>
      <c r="D6446" s="175"/>
      <c r="E6446" s="175"/>
      <c r="F6446" s="95" t="s">
        <v>2370</v>
      </c>
      <c r="G6446" s="95" t="s">
        <v>1166</v>
      </c>
      <c r="H6446" s="95" t="s">
        <v>6664</v>
      </c>
      <c r="I6446" s="95" t="s">
        <v>6665</v>
      </c>
      <c r="J6446" s="78"/>
    </row>
    <row r="6447" spans="1:10">
      <c r="B6447" s="191"/>
      <c r="C6447" s="89"/>
      <c r="D6447" s="174"/>
      <c r="E6447" s="174"/>
      <c r="F6447" s="191"/>
      <c r="G6447" s="114"/>
      <c r="H6447" s="114" t="s">
        <v>3856</v>
      </c>
      <c r="I6447" s="114" t="s">
        <v>3857</v>
      </c>
      <c r="J6447" s="78"/>
    </row>
    <row r="6448" spans="1:10">
      <c r="A6448" s="853"/>
      <c r="B6448" s="295">
        <v>1</v>
      </c>
      <c r="C6448" s="345" t="s">
        <v>7936</v>
      </c>
      <c r="D6448" s="296"/>
      <c r="E6448" s="296"/>
      <c r="F6448" s="297" t="s">
        <v>3477</v>
      </c>
      <c r="G6448" s="281">
        <v>15.3</v>
      </c>
      <c r="H6448" s="258">
        <f>'BASIC DATA'!$D$55</f>
        <v>95</v>
      </c>
      <c r="I6448" s="281">
        <f>H6448*G6448</f>
        <v>1453.5</v>
      </c>
      <c r="J6448" s="62"/>
    </row>
    <row r="6449" spans="2:10">
      <c r="B6449" s="105">
        <v>2</v>
      </c>
      <c r="C6449" s="76" t="s">
        <v>570</v>
      </c>
      <c r="D6449" s="31"/>
      <c r="E6449" s="31"/>
      <c r="F6449" s="210" t="s">
        <v>3477</v>
      </c>
      <c r="G6449" s="190">
        <v>15.3</v>
      </c>
      <c r="H6449" s="220">
        <f>'BASIC DATA'!$D$34</f>
        <v>900</v>
      </c>
      <c r="I6449" s="179">
        <f>H6449*G6449</f>
        <v>13770</v>
      </c>
      <c r="J6449" s="78"/>
    </row>
    <row r="6450" spans="2:10">
      <c r="B6450" s="105">
        <v>3</v>
      </c>
      <c r="C6450" s="76" t="s">
        <v>6996</v>
      </c>
      <c r="D6450" s="31"/>
      <c r="E6450" s="31"/>
      <c r="F6450" s="210" t="s">
        <v>3477</v>
      </c>
      <c r="G6450" s="190">
        <v>15.3</v>
      </c>
      <c r="H6450" s="220">
        <f>'BASIC DATA'!$D$36</f>
        <v>1175</v>
      </c>
      <c r="I6450" s="179">
        <f>H6450*G6450</f>
        <v>17977.5</v>
      </c>
      <c r="J6450" s="78"/>
    </row>
    <row r="6451" spans="2:10">
      <c r="B6451" s="105">
        <v>4</v>
      </c>
      <c r="C6451" s="76" t="s">
        <v>1358</v>
      </c>
      <c r="D6451" s="31"/>
      <c r="E6451" s="31"/>
      <c r="F6451" s="210" t="s">
        <v>3477</v>
      </c>
      <c r="G6451" s="190">
        <v>9</v>
      </c>
      <c r="H6451" s="220">
        <f>'BASIC DATA'!$D$96</f>
        <v>350</v>
      </c>
      <c r="I6451" s="179">
        <f>H6451*G6451</f>
        <v>3150</v>
      </c>
      <c r="J6451" s="78"/>
    </row>
    <row r="6452" spans="2:10">
      <c r="B6452" s="114">
        <v>5</v>
      </c>
      <c r="C6452" s="89" t="s">
        <v>5340</v>
      </c>
      <c r="D6452" s="174"/>
      <c r="E6452" s="174"/>
      <c r="F6452" s="191" t="s">
        <v>3477</v>
      </c>
      <c r="G6452" s="182">
        <v>60</v>
      </c>
      <c r="H6452" s="215">
        <f>'BASIC DATA'!$D$108</f>
        <v>318</v>
      </c>
      <c r="I6452" s="179">
        <f>H6452*G6452</f>
        <v>19080</v>
      </c>
      <c r="J6452" s="78"/>
    </row>
    <row r="6453" spans="2:10">
      <c r="B6453" s="184"/>
      <c r="C6453" s="151"/>
      <c r="D6453" s="159"/>
      <c r="E6453" s="159" t="s">
        <v>2376</v>
      </c>
      <c r="F6453" s="159"/>
      <c r="G6453" s="205"/>
      <c r="H6453" s="216" t="s">
        <v>1698</v>
      </c>
      <c r="I6453" s="282">
        <f>SUM(I6448:I6452)</f>
        <v>55431</v>
      </c>
      <c r="J6453" s="78"/>
    </row>
    <row r="6454" spans="2:10">
      <c r="J6454" s="78"/>
    </row>
    <row r="6455" spans="2:10">
      <c r="B6455" s="170" t="s">
        <v>2377</v>
      </c>
      <c r="J6455" s="78"/>
    </row>
    <row r="6456" spans="2:10">
      <c r="B6456" s="95" t="s">
        <v>2369</v>
      </c>
      <c r="C6456" s="148" t="s">
        <v>2378</v>
      </c>
      <c r="D6456" s="175"/>
      <c r="E6456" s="175"/>
      <c r="F6456" s="95" t="s">
        <v>2370</v>
      </c>
      <c r="G6456" s="95" t="s">
        <v>1166</v>
      </c>
      <c r="H6456" s="95" t="s">
        <v>6664</v>
      </c>
      <c r="I6456" s="95" t="s">
        <v>6665</v>
      </c>
      <c r="J6456" s="78"/>
    </row>
    <row r="6457" spans="2:10">
      <c r="B6457" s="114"/>
      <c r="C6457" s="89"/>
      <c r="D6457" s="188"/>
      <c r="E6457" s="188"/>
      <c r="F6457" s="114"/>
      <c r="G6457" s="114"/>
      <c r="H6457" s="114" t="s">
        <v>3856</v>
      </c>
      <c r="I6457" s="114" t="s">
        <v>3857</v>
      </c>
      <c r="J6457" s="78"/>
    </row>
    <row r="6458" spans="2:10">
      <c r="B6458" s="95">
        <v>1</v>
      </c>
      <c r="C6458" s="148" t="s">
        <v>6976</v>
      </c>
      <c r="D6458" s="187"/>
      <c r="E6458" s="187"/>
      <c r="F6458" s="107"/>
      <c r="G6458" s="179">
        <v>0</v>
      </c>
      <c r="H6458" s="180">
        <v>0</v>
      </c>
      <c r="I6458" s="180">
        <f>H6458*G6458</f>
        <v>0</v>
      </c>
      <c r="J6458" s="78"/>
    </row>
    <row r="6459" spans="2:10">
      <c r="B6459" s="191"/>
      <c r="C6459" s="89"/>
      <c r="D6459" s="174"/>
      <c r="E6459" s="174"/>
      <c r="F6459" s="191"/>
      <c r="G6459" s="182">
        <v>0</v>
      </c>
      <c r="H6459" s="182">
        <v>0</v>
      </c>
      <c r="I6459" s="182">
        <f>H6459*G6459</f>
        <v>0</v>
      </c>
      <c r="J6459" s="78"/>
    </row>
    <row r="6460" spans="2:10">
      <c r="B6460" s="184"/>
      <c r="C6460" s="151"/>
      <c r="D6460" s="159"/>
      <c r="E6460" s="159" t="s">
        <v>2380</v>
      </c>
      <c r="F6460" s="159"/>
      <c r="G6460" s="159"/>
      <c r="H6460" s="208" t="s">
        <v>1698</v>
      </c>
      <c r="I6460" s="282">
        <f>SUM(I6458:I6459)</f>
        <v>0</v>
      </c>
      <c r="J6460" s="78"/>
    </row>
    <row r="6461" spans="2:10">
      <c r="J6461" s="78"/>
    </row>
    <row r="6462" spans="2:10">
      <c r="B6462" s="170" t="s">
        <v>2381</v>
      </c>
      <c r="J6462" s="78"/>
    </row>
    <row r="6463" spans="2:10">
      <c r="B6463" s="95" t="s">
        <v>2369</v>
      </c>
      <c r="C6463" s="148" t="s">
        <v>2378</v>
      </c>
      <c r="D6463" s="175"/>
      <c r="E6463" s="175"/>
      <c r="F6463" s="95" t="s">
        <v>2370</v>
      </c>
      <c r="G6463" s="95" t="s">
        <v>1166</v>
      </c>
      <c r="H6463" s="95" t="s">
        <v>6664</v>
      </c>
      <c r="I6463" s="95" t="s">
        <v>6665</v>
      </c>
      <c r="J6463" s="78"/>
    </row>
    <row r="6464" spans="2:10">
      <c r="B6464" s="191"/>
      <c r="C6464" s="89"/>
      <c r="D6464" s="174"/>
      <c r="E6464" s="174"/>
      <c r="F6464" s="191"/>
      <c r="G6464" s="114"/>
      <c r="H6464" s="114" t="s">
        <v>3856</v>
      </c>
      <c r="I6464" s="114" t="s">
        <v>3857</v>
      </c>
      <c r="J6464" s="78"/>
    </row>
    <row r="6465" spans="2:10">
      <c r="B6465" s="95">
        <v>1</v>
      </c>
      <c r="C6465" s="148" t="s">
        <v>4206</v>
      </c>
      <c r="D6465" s="187"/>
      <c r="E6465" s="187"/>
      <c r="F6465" s="107" t="s">
        <v>1172</v>
      </c>
      <c r="G6465" s="179">
        <v>1</v>
      </c>
      <c r="H6465" s="190">
        <f>'BASIC DATA'!$C$473</f>
        <v>450</v>
      </c>
      <c r="I6465" s="179">
        <f>H6465*G6465</f>
        <v>450</v>
      </c>
      <c r="J6465" s="78"/>
    </row>
    <row r="6466" spans="2:10">
      <c r="B6466" s="105">
        <v>2</v>
      </c>
      <c r="C6466" s="76" t="s">
        <v>1356</v>
      </c>
      <c r="D6466" s="31"/>
      <c r="E6466" s="31"/>
      <c r="F6466" s="210" t="s">
        <v>1172</v>
      </c>
      <c r="G6466" s="190">
        <v>5</v>
      </c>
      <c r="H6466" s="207">
        <f>'BASIC DATA'!$C$541</f>
        <v>400</v>
      </c>
      <c r="I6466" s="179">
        <f>H6466*G6466</f>
        <v>2000</v>
      </c>
      <c r="J6466" s="78"/>
    </row>
    <row r="6467" spans="2:10">
      <c r="B6467" s="105">
        <v>3</v>
      </c>
      <c r="C6467" s="76" t="s">
        <v>2697</v>
      </c>
      <c r="D6467" s="31"/>
      <c r="E6467" s="31"/>
      <c r="F6467" s="210" t="s">
        <v>1172</v>
      </c>
      <c r="G6467" s="190">
        <v>28</v>
      </c>
      <c r="H6467" s="207">
        <f>'BASIC DATA'!$C$552</f>
        <v>350</v>
      </c>
      <c r="I6467" s="179">
        <f>H6467*G6467</f>
        <v>9800</v>
      </c>
      <c r="J6467" s="78"/>
    </row>
    <row r="6468" spans="2:10">
      <c r="B6468" s="184"/>
      <c r="C6468" s="151"/>
      <c r="D6468" s="159"/>
      <c r="E6468" s="159" t="s">
        <v>1174</v>
      </c>
      <c r="F6468" s="159"/>
      <c r="G6468" s="252"/>
      <c r="H6468" s="216" t="s">
        <v>1698</v>
      </c>
      <c r="I6468" s="282">
        <f>SUM(I6465:I6467)</f>
        <v>12250</v>
      </c>
      <c r="J6468" s="78"/>
    </row>
    <row r="6469" spans="2:10">
      <c r="B6469" s="60" t="s">
        <v>5948</v>
      </c>
      <c r="C6469" s="76"/>
      <c r="D6469" s="31"/>
      <c r="E6469" s="31"/>
      <c r="F6469" s="31"/>
      <c r="G6469" s="85">
        <f>ROUND(I6468/H6445,1)</f>
        <v>122.5</v>
      </c>
      <c r="J6469" s="78"/>
    </row>
    <row r="6470" spans="2:10">
      <c r="B6470" s="60" t="s">
        <v>3163</v>
      </c>
      <c r="C6470" s="76"/>
      <c r="D6470" s="31"/>
      <c r="E6470" s="31"/>
      <c r="F6470" s="922">
        <f>'BASIC DATA'!$C$577</f>
        <v>0.13614999999999999</v>
      </c>
      <c r="G6470" s="85">
        <f>ROUND(G6469*F6470,1)</f>
        <v>16.7</v>
      </c>
      <c r="J6470" s="78"/>
    </row>
    <row r="6471" spans="2:10">
      <c r="B6471" s="60" t="s">
        <v>5949</v>
      </c>
      <c r="C6471" s="76"/>
      <c r="D6471" s="31"/>
      <c r="E6471" s="31"/>
      <c r="F6471" s="31"/>
      <c r="G6471" s="199">
        <f>ROUND(G6470+G6469,1)</f>
        <v>139.19999999999999</v>
      </c>
      <c r="J6471" s="78"/>
    </row>
    <row r="6472" spans="2:10">
      <c r="J6472" s="78"/>
    </row>
    <row r="6473" spans="2:10">
      <c r="B6473" s="170" t="s">
        <v>1175</v>
      </c>
      <c r="J6473" s="78"/>
    </row>
    <row r="6474" spans="2:10">
      <c r="B6474" s="26" t="s">
        <v>1176</v>
      </c>
      <c r="H6474" s="171" t="s">
        <v>1698</v>
      </c>
      <c r="I6474" s="68">
        <f>I6453</f>
        <v>55431</v>
      </c>
      <c r="J6474" s="78"/>
    </row>
    <row r="6475" spans="2:10">
      <c r="B6475" s="26" t="s">
        <v>1186</v>
      </c>
      <c r="H6475" s="171" t="s">
        <v>1698</v>
      </c>
      <c r="I6475" s="68">
        <f>I6460</f>
        <v>0</v>
      </c>
      <c r="J6475" s="78"/>
    </row>
    <row r="6476" spans="2:10">
      <c r="B6476" s="26" t="s">
        <v>2660</v>
      </c>
      <c r="H6476" s="171" t="s">
        <v>1698</v>
      </c>
      <c r="I6476" s="68">
        <f>I6468</f>
        <v>12250</v>
      </c>
      <c r="J6476" s="78"/>
    </row>
    <row r="6477" spans="2:10">
      <c r="G6477" s="171" t="s">
        <v>1518</v>
      </c>
      <c r="H6477" s="171" t="s">
        <v>1698</v>
      </c>
      <c r="I6477" s="205">
        <f>SUM(I6474:I6476)</f>
        <v>67681</v>
      </c>
      <c r="J6477" s="78"/>
    </row>
    <row r="6478" spans="2:10" ht="18.75">
      <c r="B6478" s="1207" t="s">
        <v>8375</v>
      </c>
      <c r="C6478" s="1207"/>
      <c r="D6478" s="1207"/>
      <c r="E6478" s="1207"/>
      <c r="F6478" s="1207"/>
      <c r="G6478" s="922">
        <f>'BASIC DATA'!$C$577</f>
        <v>0.13614999999999999</v>
      </c>
      <c r="H6478" s="171" t="s">
        <v>4108</v>
      </c>
      <c r="I6478" s="76">
        <f>ROUND(I6477*G6478,2)</f>
        <v>9214.77</v>
      </c>
      <c r="J6478" s="78"/>
    </row>
    <row r="6479" spans="2:10">
      <c r="B6479" s="1206" t="s">
        <v>1191</v>
      </c>
      <c r="C6479" s="1206"/>
      <c r="D6479" s="1206"/>
      <c r="E6479" s="1206"/>
      <c r="F6479" s="202">
        <f>H6445</f>
        <v>100</v>
      </c>
      <c r="G6479" s="202" t="str">
        <f>I6445</f>
        <v>sqm.</v>
      </c>
      <c r="H6479" s="171" t="s">
        <v>1698</v>
      </c>
      <c r="I6479" s="199">
        <f>I6478+I6477</f>
        <v>76895.77</v>
      </c>
      <c r="J6479" s="78"/>
    </row>
    <row r="6480" spans="2:10">
      <c r="B6480" s="1161" t="s">
        <v>3884</v>
      </c>
      <c r="C6480" s="1161"/>
      <c r="D6480" s="246" t="str">
        <f>G6479</f>
        <v>sqm.</v>
      </c>
      <c r="F6480" s="26" t="s">
        <v>1380</v>
      </c>
      <c r="H6480" s="171" t="s">
        <v>1698</v>
      </c>
      <c r="I6480" s="204">
        <f>ROUND(I6479/F6479,1)</f>
        <v>769</v>
      </c>
      <c r="J6480" s="78"/>
    </row>
    <row r="6481" spans="1:10">
      <c r="F6481" s="171"/>
      <c r="J6481" s="78"/>
    </row>
    <row r="6482" spans="1:10">
      <c r="J6482" s="78"/>
    </row>
    <row r="6483" spans="1:10">
      <c r="A6483" s="822" t="s">
        <v>7383</v>
      </c>
      <c r="B6483" s="26" t="s">
        <v>8571</v>
      </c>
      <c r="J6483" s="78"/>
    </row>
    <row r="6484" spans="1:10">
      <c r="B6484" s="26" t="s">
        <v>262</v>
      </c>
      <c r="J6484" s="78"/>
    </row>
    <row r="6485" spans="1:10">
      <c r="B6485" s="26" t="s">
        <v>3837</v>
      </c>
      <c r="J6485" s="78"/>
    </row>
    <row r="6486" spans="1:10">
      <c r="B6486" s="26" t="s">
        <v>8572</v>
      </c>
      <c r="J6486" s="78"/>
    </row>
    <row r="6487" spans="1:10">
      <c r="B6487" s="170" t="s">
        <v>2873</v>
      </c>
      <c r="J6487" s="78"/>
    </row>
    <row r="6488" spans="1:10" hidden="1">
      <c r="A6488" s="822" t="s">
        <v>3984</v>
      </c>
      <c r="B6488" s="26" t="s">
        <v>3832</v>
      </c>
      <c r="H6488" s="68">
        <v>1.2</v>
      </c>
      <c r="I6488" s="26" t="s">
        <v>2602</v>
      </c>
      <c r="J6488" s="78"/>
    </row>
    <row r="6489" spans="1:10" hidden="1">
      <c r="B6489" s="26" t="s">
        <v>5595</v>
      </c>
      <c r="H6489" s="68">
        <v>15</v>
      </c>
      <c r="I6489" s="26" t="s">
        <v>3135</v>
      </c>
      <c r="J6489" s="78"/>
    </row>
    <row r="6490" spans="1:10" hidden="1">
      <c r="B6490" s="26" t="s">
        <v>4244</v>
      </c>
      <c r="H6490" s="68">
        <v>15</v>
      </c>
      <c r="I6490" s="26" t="s">
        <v>3135</v>
      </c>
      <c r="J6490" s="78"/>
    </row>
    <row r="6491" spans="1:10" hidden="1">
      <c r="B6491" s="26" t="s">
        <v>4245</v>
      </c>
      <c r="H6491" s="68">
        <v>15</v>
      </c>
      <c r="I6491" s="26" t="s">
        <v>3135</v>
      </c>
      <c r="J6491" s="78"/>
    </row>
    <row r="6492" spans="1:10" hidden="1">
      <c r="B6492" s="26" t="s">
        <v>3809</v>
      </c>
      <c r="H6492" s="68">
        <v>75</v>
      </c>
      <c r="I6492" s="26" t="s">
        <v>3135</v>
      </c>
      <c r="J6492" s="78"/>
    </row>
    <row r="6493" spans="1:10" hidden="1">
      <c r="B6493" s="26" t="s">
        <v>5338</v>
      </c>
      <c r="H6493" s="68"/>
      <c r="J6493" s="78"/>
    </row>
    <row r="6494" spans="1:10" hidden="1">
      <c r="B6494" s="26" t="s">
        <v>4215</v>
      </c>
      <c r="H6494" s="68"/>
      <c r="J6494" s="78"/>
    </row>
    <row r="6495" spans="1:10" hidden="1">
      <c r="B6495" s="26" t="s">
        <v>5339</v>
      </c>
      <c r="H6495" s="68">
        <v>75</v>
      </c>
      <c r="I6495" s="26" t="s">
        <v>3477</v>
      </c>
      <c r="J6495" s="78"/>
    </row>
    <row r="6496" spans="1:10" hidden="1">
      <c r="B6496" s="26" t="s">
        <v>2733</v>
      </c>
      <c r="H6496" s="68">
        <v>11</v>
      </c>
      <c r="I6496" s="26" t="s">
        <v>3477</v>
      </c>
      <c r="J6496" s="78"/>
    </row>
    <row r="6497" spans="2:10" hidden="1">
      <c r="B6497" s="26" t="s">
        <v>4795</v>
      </c>
      <c r="H6497" s="68">
        <v>15.3</v>
      </c>
      <c r="I6497" s="26" t="s">
        <v>3477</v>
      </c>
      <c r="J6497" s="78"/>
    </row>
    <row r="6498" spans="2:10" hidden="1">
      <c r="B6498" s="26" t="s">
        <v>4796</v>
      </c>
      <c r="H6498" s="68">
        <v>15.3</v>
      </c>
      <c r="I6498" s="26" t="s">
        <v>3477</v>
      </c>
      <c r="J6498" s="78"/>
    </row>
    <row r="6499" spans="2:10" hidden="1">
      <c r="B6499" s="26" t="s">
        <v>4797</v>
      </c>
      <c r="H6499" s="68">
        <v>15.3</v>
      </c>
      <c r="I6499" s="26" t="s">
        <v>3477</v>
      </c>
      <c r="J6499" s="78"/>
    </row>
    <row r="6500" spans="2:10" hidden="1">
      <c r="B6500" s="26" t="s">
        <v>5815</v>
      </c>
      <c r="H6500" s="68"/>
      <c r="J6500" s="78"/>
    </row>
    <row r="6501" spans="2:10" hidden="1">
      <c r="B6501" s="26" t="s">
        <v>3824</v>
      </c>
      <c r="H6501" s="68"/>
      <c r="J6501" s="78"/>
    </row>
    <row r="6502" spans="2:10" hidden="1">
      <c r="B6502" s="26" t="s">
        <v>5620</v>
      </c>
      <c r="H6502" s="68"/>
      <c r="J6502" s="78"/>
    </row>
    <row r="6503" spans="2:10" hidden="1">
      <c r="B6503" s="26" t="s">
        <v>2697</v>
      </c>
      <c r="H6503" s="68">
        <v>6</v>
      </c>
      <c r="I6503" s="26" t="s">
        <v>4041</v>
      </c>
      <c r="J6503" s="78"/>
    </row>
    <row r="6504" spans="2:10" hidden="1">
      <c r="B6504" s="26" t="s">
        <v>7117</v>
      </c>
      <c r="H6504" s="68"/>
      <c r="J6504" s="78"/>
    </row>
    <row r="6505" spans="2:10" hidden="1">
      <c r="B6505" s="26" t="s">
        <v>2697</v>
      </c>
      <c r="H6505" s="68">
        <v>6</v>
      </c>
      <c r="I6505" s="26" t="s">
        <v>4041</v>
      </c>
      <c r="J6505" s="78"/>
    </row>
    <row r="6506" spans="2:10" hidden="1">
      <c r="B6506" s="26" t="s">
        <v>4550</v>
      </c>
      <c r="H6506" s="68"/>
      <c r="J6506" s="78"/>
    </row>
    <row r="6507" spans="2:10" hidden="1">
      <c r="B6507" s="26" t="s">
        <v>2697</v>
      </c>
      <c r="H6507" s="68">
        <v>6</v>
      </c>
      <c r="I6507" s="26" t="s">
        <v>4041</v>
      </c>
      <c r="J6507" s="78"/>
    </row>
    <row r="6508" spans="2:10" hidden="1">
      <c r="B6508" s="26" t="s">
        <v>3021</v>
      </c>
      <c r="H6508" s="68"/>
      <c r="J6508" s="78"/>
    </row>
    <row r="6509" spans="2:10" hidden="1">
      <c r="B6509" s="26" t="s">
        <v>4798</v>
      </c>
      <c r="H6509" s="68">
        <v>6</v>
      </c>
      <c r="I6509" s="26" t="s">
        <v>4041</v>
      </c>
      <c r="J6509" s="78"/>
    </row>
    <row r="6510" spans="2:10" hidden="1">
      <c r="B6510" s="26" t="s">
        <v>2697</v>
      </c>
      <c r="H6510" s="68">
        <v>12</v>
      </c>
      <c r="I6510" s="26" t="s">
        <v>4041</v>
      </c>
      <c r="J6510" s="78"/>
    </row>
    <row r="6511" spans="2:10" hidden="1">
      <c r="B6511" s="26" t="s">
        <v>4206</v>
      </c>
      <c r="H6511" s="68">
        <v>1</v>
      </c>
      <c r="I6511" s="26" t="s">
        <v>4089</v>
      </c>
      <c r="J6511" s="78"/>
    </row>
    <row r="6512" spans="2:10">
      <c r="J6512" s="78"/>
    </row>
    <row r="6513" spans="1:10">
      <c r="J6513" s="78"/>
    </row>
    <row r="6514" spans="1:10">
      <c r="A6514" s="822" t="s">
        <v>3984</v>
      </c>
      <c r="E6514" s="170" t="s">
        <v>2367</v>
      </c>
      <c r="J6514" s="78"/>
    </row>
    <row r="6515" spans="1:10">
      <c r="J6515" s="78"/>
    </row>
    <row r="6516" spans="1:10">
      <c r="B6516" s="170" t="s">
        <v>2368</v>
      </c>
      <c r="G6516" s="26" t="s">
        <v>297</v>
      </c>
      <c r="H6516" s="170">
        <v>100</v>
      </c>
      <c r="I6516" s="26" t="s">
        <v>3479</v>
      </c>
      <c r="J6516" s="78"/>
    </row>
    <row r="6517" spans="1:10">
      <c r="B6517" s="95" t="s">
        <v>2369</v>
      </c>
      <c r="C6517" s="148" t="s">
        <v>4443</v>
      </c>
      <c r="D6517" s="175"/>
      <c r="E6517" s="175"/>
      <c r="F6517" s="95" t="s">
        <v>2370</v>
      </c>
      <c r="G6517" s="95" t="s">
        <v>1166</v>
      </c>
      <c r="H6517" s="95" t="s">
        <v>6664</v>
      </c>
      <c r="I6517" s="95" t="s">
        <v>6665</v>
      </c>
      <c r="J6517" s="78"/>
    </row>
    <row r="6518" spans="1:10">
      <c r="B6518" s="191"/>
      <c r="C6518" s="89"/>
      <c r="D6518" s="174"/>
      <c r="E6518" s="174"/>
      <c r="F6518" s="191"/>
      <c r="G6518" s="114"/>
      <c r="H6518" s="114" t="s">
        <v>3856</v>
      </c>
      <c r="I6518" s="114" t="s">
        <v>3857</v>
      </c>
      <c r="J6518" s="78"/>
    </row>
    <row r="6519" spans="1:10">
      <c r="A6519" s="853"/>
      <c r="B6519" s="295">
        <v>1</v>
      </c>
      <c r="C6519" s="345" t="s">
        <v>7936</v>
      </c>
      <c r="D6519" s="296"/>
      <c r="E6519" s="296"/>
      <c r="F6519" s="297" t="s">
        <v>3477</v>
      </c>
      <c r="G6519" s="281">
        <v>15.3</v>
      </c>
      <c r="H6519" s="258">
        <f>'BASIC DATA'!$D$55</f>
        <v>95</v>
      </c>
      <c r="I6519" s="281">
        <f>H6519*G6519</f>
        <v>1453.5</v>
      </c>
      <c r="J6519" s="62"/>
    </row>
    <row r="6520" spans="1:10">
      <c r="B6520" s="105">
        <v>2</v>
      </c>
      <c r="C6520" s="76" t="s">
        <v>570</v>
      </c>
      <c r="D6520" s="31"/>
      <c r="E6520" s="31"/>
      <c r="F6520" s="210" t="s">
        <v>3477</v>
      </c>
      <c r="G6520" s="190">
        <v>15.3</v>
      </c>
      <c r="H6520" s="220">
        <f>'BASIC DATA'!$D$34</f>
        <v>900</v>
      </c>
      <c r="I6520" s="179">
        <f>H6520*G6520</f>
        <v>13770</v>
      </c>
      <c r="J6520" s="78"/>
    </row>
    <row r="6521" spans="1:10">
      <c r="B6521" s="105">
        <v>3</v>
      </c>
      <c r="C6521" s="76" t="s">
        <v>6996</v>
      </c>
      <c r="D6521" s="31"/>
      <c r="E6521" s="31"/>
      <c r="F6521" s="210" t="s">
        <v>3477</v>
      </c>
      <c r="G6521" s="190">
        <v>15.3</v>
      </c>
      <c r="H6521" s="220">
        <f>'BASIC DATA'!$D$36</f>
        <v>1175</v>
      </c>
      <c r="I6521" s="179">
        <f>H6521*G6521</f>
        <v>17977.5</v>
      </c>
      <c r="J6521" s="78"/>
    </row>
    <row r="6522" spans="1:10">
      <c r="B6522" s="105">
        <v>4</v>
      </c>
      <c r="C6522" s="76" t="s">
        <v>1358</v>
      </c>
      <c r="D6522" s="31"/>
      <c r="E6522" s="31"/>
      <c r="F6522" s="210" t="s">
        <v>3477</v>
      </c>
      <c r="G6522" s="190">
        <v>11</v>
      </c>
      <c r="H6522" s="220">
        <f>'BASIC DATA'!$D$96</f>
        <v>350</v>
      </c>
      <c r="I6522" s="179">
        <f>H6522*G6522</f>
        <v>3850</v>
      </c>
      <c r="J6522" s="78"/>
    </row>
    <row r="6523" spans="1:10">
      <c r="B6523" s="114">
        <v>5</v>
      </c>
      <c r="C6523" s="89" t="s">
        <v>5340</v>
      </c>
      <c r="D6523" s="174"/>
      <c r="E6523" s="174"/>
      <c r="F6523" s="191" t="s">
        <v>3477</v>
      </c>
      <c r="G6523" s="182">
        <v>75</v>
      </c>
      <c r="H6523" s="215">
        <f>'BASIC DATA'!$D$108</f>
        <v>318</v>
      </c>
      <c r="I6523" s="179">
        <f>H6523*G6523</f>
        <v>23850</v>
      </c>
      <c r="J6523" s="78"/>
    </row>
    <row r="6524" spans="1:10">
      <c r="B6524" s="184"/>
      <c r="C6524" s="151"/>
      <c r="D6524" s="158"/>
      <c r="E6524" s="158"/>
      <c r="F6524" s="158" t="s">
        <v>2376</v>
      </c>
      <c r="G6524" s="158"/>
      <c r="H6524" s="216" t="s">
        <v>1698</v>
      </c>
      <c r="I6524" s="282">
        <f>SUM(I6519:I6523)</f>
        <v>60901</v>
      </c>
      <c r="J6524" s="78"/>
    </row>
    <row r="6525" spans="1:10">
      <c r="J6525" s="78"/>
    </row>
    <row r="6526" spans="1:10">
      <c r="B6526" s="170" t="s">
        <v>2377</v>
      </c>
      <c r="J6526" s="78"/>
    </row>
    <row r="6527" spans="1:10">
      <c r="B6527" s="95" t="s">
        <v>2369</v>
      </c>
      <c r="C6527" s="148" t="s">
        <v>2378</v>
      </c>
      <c r="D6527" s="175"/>
      <c r="E6527" s="175"/>
      <c r="F6527" s="95" t="s">
        <v>2370</v>
      </c>
      <c r="G6527" s="95" t="s">
        <v>1166</v>
      </c>
      <c r="H6527" s="95" t="s">
        <v>6664</v>
      </c>
      <c r="I6527" s="95" t="s">
        <v>6665</v>
      </c>
      <c r="J6527" s="78"/>
    </row>
    <row r="6528" spans="1:10">
      <c r="B6528" s="114"/>
      <c r="C6528" s="89"/>
      <c r="D6528" s="188"/>
      <c r="E6528" s="188"/>
      <c r="F6528" s="114"/>
      <c r="G6528" s="114"/>
      <c r="H6528" s="114" t="s">
        <v>3856</v>
      </c>
      <c r="I6528" s="114" t="s">
        <v>3857</v>
      </c>
      <c r="J6528" s="78"/>
    </row>
    <row r="6529" spans="2:10">
      <c r="B6529" s="95">
        <v>1</v>
      </c>
      <c r="C6529" s="148" t="s">
        <v>6976</v>
      </c>
      <c r="D6529" s="187"/>
      <c r="E6529" s="187"/>
      <c r="F6529" s="107"/>
      <c r="G6529" s="179">
        <v>0</v>
      </c>
      <c r="H6529" s="179">
        <v>0</v>
      </c>
      <c r="I6529" s="179">
        <f>H6529*G6529</f>
        <v>0</v>
      </c>
      <c r="J6529" s="78"/>
    </row>
    <row r="6530" spans="2:10">
      <c r="B6530" s="191"/>
      <c r="C6530" s="89"/>
      <c r="D6530" s="174"/>
      <c r="E6530" s="174"/>
      <c r="F6530" s="191"/>
      <c r="G6530" s="182">
        <v>0</v>
      </c>
      <c r="H6530" s="182">
        <v>0</v>
      </c>
      <c r="I6530" s="67">
        <f>H6530*G6530</f>
        <v>0</v>
      </c>
      <c r="J6530" s="78"/>
    </row>
    <row r="6531" spans="2:10">
      <c r="B6531" s="184"/>
      <c r="C6531" s="151"/>
      <c r="D6531" s="159"/>
      <c r="E6531" s="159" t="s">
        <v>2380</v>
      </c>
      <c r="F6531" s="159"/>
      <c r="G6531" s="159"/>
      <c r="H6531" s="208" t="s">
        <v>1698</v>
      </c>
      <c r="I6531" s="282">
        <f>SUM(I6529:I6530)</f>
        <v>0</v>
      </c>
      <c r="J6531" s="78"/>
    </row>
    <row r="6532" spans="2:10">
      <c r="J6532" s="78"/>
    </row>
    <row r="6533" spans="2:10">
      <c r="B6533" s="170" t="s">
        <v>2381</v>
      </c>
      <c r="J6533" s="78"/>
    </row>
    <row r="6534" spans="2:10">
      <c r="B6534" s="95" t="s">
        <v>2369</v>
      </c>
      <c r="C6534" s="148" t="s">
        <v>2378</v>
      </c>
      <c r="D6534" s="175"/>
      <c r="E6534" s="175"/>
      <c r="F6534" s="95" t="s">
        <v>2370</v>
      </c>
      <c r="G6534" s="95" t="s">
        <v>1166</v>
      </c>
      <c r="H6534" s="95" t="s">
        <v>6664</v>
      </c>
      <c r="I6534" s="95" t="s">
        <v>6665</v>
      </c>
      <c r="J6534" s="78"/>
    </row>
    <row r="6535" spans="2:10">
      <c r="B6535" s="191"/>
      <c r="C6535" s="89"/>
      <c r="D6535" s="174"/>
      <c r="E6535" s="174"/>
      <c r="F6535" s="191"/>
      <c r="G6535" s="114"/>
      <c r="H6535" s="114" t="s">
        <v>3856</v>
      </c>
      <c r="I6535" s="114" t="s">
        <v>3857</v>
      </c>
      <c r="J6535" s="78"/>
    </row>
    <row r="6536" spans="2:10">
      <c r="B6536" s="95">
        <v>1</v>
      </c>
      <c r="C6536" s="148" t="s">
        <v>4206</v>
      </c>
      <c r="D6536" s="187"/>
      <c r="E6536" s="187"/>
      <c r="F6536" s="107" t="s">
        <v>1172</v>
      </c>
      <c r="G6536" s="179">
        <v>1</v>
      </c>
      <c r="H6536" s="190">
        <f>'BASIC DATA'!$C$473</f>
        <v>450</v>
      </c>
      <c r="I6536" s="179">
        <f>H6536*G6536</f>
        <v>450</v>
      </c>
      <c r="J6536" s="78"/>
    </row>
    <row r="6537" spans="2:10">
      <c r="B6537" s="105">
        <v>2</v>
      </c>
      <c r="C6537" s="76" t="s">
        <v>1356</v>
      </c>
      <c r="D6537" s="31"/>
      <c r="E6537" s="31"/>
      <c r="F6537" s="210" t="s">
        <v>1172</v>
      </c>
      <c r="G6537" s="190">
        <v>6</v>
      </c>
      <c r="H6537" s="207">
        <f>'BASIC DATA'!$C$541</f>
        <v>400</v>
      </c>
      <c r="I6537" s="179">
        <f>H6537*G6537</f>
        <v>2400</v>
      </c>
      <c r="J6537" s="78"/>
    </row>
    <row r="6538" spans="2:10">
      <c r="B6538" s="105">
        <v>3</v>
      </c>
      <c r="C6538" s="76" t="s">
        <v>2697</v>
      </c>
      <c r="D6538" s="31"/>
      <c r="E6538" s="31"/>
      <c r="F6538" s="210" t="s">
        <v>1172</v>
      </c>
      <c r="G6538" s="190">
        <v>30</v>
      </c>
      <c r="H6538" s="207">
        <f>'BASIC DATA'!$C$552</f>
        <v>350</v>
      </c>
      <c r="I6538" s="179">
        <f>H6538*G6538</f>
        <v>10500</v>
      </c>
      <c r="J6538" s="78"/>
    </row>
    <row r="6539" spans="2:10">
      <c r="B6539" s="184"/>
      <c r="C6539" s="151"/>
      <c r="D6539" s="159"/>
      <c r="E6539" s="159" t="s">
        <v>1174</v>
      </c>
      <c r="F6539" s="159"/>
      <c r="G6539" s="205"/>
      <c r="H6539" s="216" t="s">
        <v>1698</v>
      </c>
      <c r="I6539" s="282">
        <f>SUM(I6536:I6538)</f>
        <v>13350</v>
      </c>
      <c r="J6539" s="78"/>
    </row>
    <row r="6540" spans="2:10">
      <c r="B6540" s="60" t="s">
        <v>5948</v>
      </c>
      <c r="C6540" s="76"/>
      <c r="D6540" s="31"/>
      <c r="E6540" s="31"/>
      <c r="F6540" s="31"/>
      <c r="G6540" s="85">
        <f>ROUND(I6539/H6516,1)</f>
        <v>133.5</v>
      </c>
      <c r="J6540" s="78"/>
    </row>
    <row r="6541" spans="2:10">
      <c r="B6541" s="60" t="s">
        <v>3163</v>
      </c>
      <c r="C6541" s="76"/>
      <c r="D6541" s="31"/>
      <c r="E6541" s="31"/>
      <c r="F6541" s="922">
        <f>'BASIC DATA'!$C$577</f>
        <v>0.13614999999999999</v>
      </c>
      <c r="G6541" s="85">
        <f>ROUND(G6540*F6541,1)</f>
        <v>18.2</v>
      </c>
      <c r="J6541" s="78"/>
    </row>
    <row r="6542" spans="2:10">
      <c r="B6542" s="60" t="s">
        <v>5949</v>
      </c>
      <c r="C6542" s="76"/>
      <c r="D6542" s="31"/>
      <c r="E6542" s="31"/>
      <c r="F6542" s="31"/>
      <c r="G6542" s="199">
        <f>ROUND(G6541+G6540,1)</f>
        <v>151.69999999999999</v>
      </c>
      <c r="J6542" s="78"/>
    </row>
    <row r="6543" spans="2:10">
      <c r="J6543" s="78"/>
    </row>
    <row r="6544" spans="2:10">
      <c r="B6544" s="170" t="s">
        <v>1175</v>
      </c>
      <c r="J6544" s="78"/>
    </row>
    <row r="6545" spans="1:10">
      <c r="B6545" s="26" t="s">
        <v>1176</v>
      </c>
      <c r="H6545" s="171" t="s">
        <v>1698</v>
      </c>
      <c r="I6545" s="68">
        <f>I6524</f>
        <v>60901</v>
      </c>
      <c r="J6545" s="78"/>
    </row>
    <row r="6546" spans="1:10">
      <c r="B6546" s="26" t="s">
        <v>1186</v>
      </c>
      <c r="H6546" s="171" t="s">
        <v>1698</v>
      </c>
      <c r="I6546" s="68">
        <f>I6531</f>
        <v>0</v>
      </c>
      <c r="J6546" s="78"/>
    </row>
    <row r="6547" spans="1:10">
      <c r="B6547" s="26" t="s">
        <v>2660</v>
      </c>
      <c r="H6547" s="171" t="s">
        <v>1698</v>
      </c>
      <c r="I6547" s="68">
        <f>I6539</f>
        <v>13350</v>
      </c>
      <c r="J6547" s="78"/>
    </row>
    <row r="6548" spans="1:10">
      <c r="G6548" s="171" t="s">
        <v>1518</v>
      </c>
      <c r="H6548" s="171" t="s">
        <v>1698</v>
      </c>
      <c r="I6548" s="205">
        <f>SUM(I6545:I6547)</f>
        <v>74251</v>
      </c>
      <c r="J6548" s="78"/>
    </row>
    <row r="6549" spans="1:10" ht="18.75">
      <c r="B6549" s="1207" t="s">
        <v>8375</v>
      </c>
      <c r="C6549" s="1207"/>
      <c r="D6549" s="1207"/>
      <c r="E6549" s="1207"/>
      <c r="F6549" s="1207"/>
      <c r="G6549" s="922">
        <f>'BASIC DATA'!$C$577</f>
        <v>0.13614999999999999</v>
      </c>
      <c r="H6549" s="171" t="s">
        <v>4108</v>
      </c>
      <c r="I6549" s="76">
        <f>ROUND(I6548*G6549,2)</f>
        <v>10109.27</v>
      </c>
      <c r="J6549" s="78"/>
    </row>
    <row r="6550" spans="1:10">
      <c r="B6550" s="1206" t="s">
        <v>1191</v>
      </c>
      <c r="C6550" s="1206"/>
      <c r="D6550" s="1206"/>
      <c r="E6550" s="1206"/>
      <c r="F6550" s="202">
        <f>H6516</f>
        <v>100</v>
      </c>
      <c r="G6550" s="202" t="str">
        <f>I6516</f>
        <v>sqm</v>
      </c>
      <c r="H6550" s="171" t="s">
        <v>1698</v>
      </c>
      <c r="I6550" s="199">
        <f>I6549+I6548</f>
        <v>84360.27</v>
      </c>
      <c r="J6550" s="78"/>
    </row>
    <row r="6551" spans="1:10">
      <c r="B6551" s="1161" t="s">
        <v>3884</v>
      </c>
      <c r="C6551" s="1161"/>
      <c r="D6551" s="246" t="str">
        <f>G6550</f>
        <v>sqm</v>
      </c>
      <c r="F6551" s="26" t="s">
        <v>1380</v>
      </c>
      <c r="H6551" s="171" t="s">
        <v>1698</v>
      </c>
      <c r="I6551" s="204">
        <f>ROUND(I6550/F6550,1)</f>
        <v>843.6</v>
      </c>
      <c r="J6551" s="78"/>
    </row>
    <row r="6552" spans="1:10">
      <c r="J6552" s="78"/>
    </row>
    <row r="6553" spans="1:10">
      <c r="J6553" s="78"/>
    </row>
    <row r="6554" spans="1:10">
      <c r="A6554" s="822" t="s">
        <v>7384</v>
      </c>
      <c r="B6554" s="26" t="s">
        <v>8573</v>
      </c>
      <c r="J6554" s="78"/>
    </row>
    <row r="6555" spans="1:10">
      <c r="B6555" s="26" t="s">
        <v>8569</v>
      </c>
      <c r="J6555" s="78"/>
    </row>
    <row r="6556" spans="1:10">
      <c r="B6556" s="26" t="s">
        <v>2044</v>
      </c>
      <c r="J6556" s="78"/>
    </row>
    <row r="6557" spans="1:10">
      <c r="B6557" s="26" t="s">
        <v>8574</v>
      </c>
      <c r="J6557" s="78"/>
    </row>
    <row r="6558" spans="1:10">
      <c r="B6558" s="170" t="s">
        <v>2735</v>
      </c>
      <c r="J6558" s="78"/>
    </row>
    <row r="6559" spans="1:10">
      <c r="J6559" s="78"/>
    </row>
    <row r="6560" spans="1:10" hidden="1">
      <c r="A6560" s="822" t="s">
        <v>3984</v>
      </c>
      <c r="B6560" s="26" t="s">
        <v>3832</v>
      </c>
      <c r="G6560" s="171" t="s">
        <v>1697</v>
      </c>
      <c r="H6560" s="68">
        <v>1.35</v>
      </c>
      <c r="I6560" s="26" t="s">
        <v>2602</v>
      </c>
      <c r="J6560" s="78"/>
    </row>
    <row r="6561" spans="2:10" hidden="1">
      <c r="B6561" s="26" t="s">
        <v>5595</v>
      </c>
      <c r="G6561" s="171" t="s">
        <v>1697</v>
      </c>
      <c r="H6561" s="68">
        <v>15</v>
      </c>
      <c r="I6561" s="26" t="s">
        <v>3135</v>
      </c>
      <c r="J6561" s="78"/>
    </row>
    <row r="6562" spans="2:10" hidden="1">
      <c r="B6562" s="26" t="s">
        <v>4244</v>
      </c>
      <c r="G6562" s="171" t="s">
        <v>1697</v>
      </c>
      <c r="H6562" s="68">
        <v>15</v>
      </c>
      <c r="I6562" s="26" t="s">
        <v>3135</v>
      </c>
      <c r="J6562" s="78"/>
    </row>
    <row r="6563" spans="2:10" hidden="1">
      <c r="B6563" s="26" t="s">
        <v>4245</v>
      </c>
      <c r="G6563" s="171" t="s">
        <v>1697</v>
      </c>
      <c r="H6563" s="68">
        <v>15</v>
      </c>
      <c r="I6563" s="26" t="s">
        <v>3135</v>
      </c>
      <c r="J6563" s="78"/>
    </row>
    <row r="6564" spans="2:10" hidden="1">
      <c r="B6564" s="26" t="s">
        <v>3809</v>
      </c>
      <c r="G6564" s="171" t="s">
        <v>1697</v>
      </c>
      <c r="H6564" s="68">
        <v>90</v>
      </c>
      <c r="I6564" s="26" t="s">
        <v>3135</v>
      </c>
      <c r="J6564" s="78"/>
    </row>
    <row r="6565" spans="2:10" hidden="1">
      <c r="B6565" s="26" t="s">
        <v>5338</v>
      </c>
      <c r="G6565" s="171"/>
      <c r="H6565" s="68"/>
      <c r="J6565" s="78"/>
    </row>
    <row r="6566" spans="2:10" hidden="1">
      <c r="B6566" s="26" t="s">
        <v>4215</v>
      </c>
      <c r="G6566" s="171"/>
      <c r="H6566" s="68"/>
      <c r="J6566" s="78"/>
    </row>
    <row r="6567" spans="2:10" hidden="1">
      <c r="B6567" s="26" t="s">
        <v>5339</v>
      </c>
      <c r="G6567" s="171" t="s">
        <v>1697</v>
      </c>
      <c r="H6567" s="68">
        <v>90</v>
      </c>
      <c r="I6567" s="26" t="s">
        <v>3477</v>
      </c>
      <c r="J6567" s="78"/>
    </row>
    <row r="6568" spans="2:10" hidden="1">
      <c r="B6568" s="26" t="s">
        <v>2733</v>
      </c>
      <c r="G6568" s="171" t="s">
        <v>1697</v>
      </c>
      <c r="H6568" s="68">
        <v>13.5</v>
      </c>
      <c r="I6568" s="26" t="s">
        <v>3477</v>
      </c>
      <c r="J6568" s="78"/>
    </row>
    <row r="6569" spans="2:10" hidden="1">
      <c r="B6569" s="26" t="s">
        <v>4795</v>
      </c>
      <c r="G6569" s="171" t="s">
        <v>1697</v>
      </c>
      <c r="H6569" s="68">
        <v>15.3</v>
      </c>
      <c r="I6569" s="26" t="s">
        <v>3477</v>
      </c>
      <c r="J6569" s="78"/>
    </row>
    <row r="6570" spans="2:10" hidden="1">
      <c r="B6570" s="26" t="s">
        <v>4796</v>
      </c>
      <c r="G6570" s="171" t="s">
        <v>1697</v>
      </c>
      <c r="H6570" s="68">
        <v>15.3</v>
      </c>
      <c r="I6570" s="26" t="s">
        <v>3477</v>
      </c>
      <c r="J6570" s="78"/>
    </row>
    <row r="6571" spans="2:10" hidden="1">
      <c r="B6571" s="26" t="s">
        <v>4797</v>
      </c>
      <c r="G6571" s="171" t="s">
        <v>1697</v>
      </c>
      <c r="H6571" s="68">
        <v>15.3</v>
      </c>
      <c r="I6571" s="26" t="s">
        <v>3477</v>
      </c>
      <c r="J6571" s="78"/>
    </row>
    <row r="6572" spans="2:10" hidden="1">
      <c r="B6572" s="26" t="s">
        <v>5815</v>
      </c>
      <c r="G6572" s="171"/>
      <c r="H6572" s="68"/>
      <c r="J6572" s="78"/>
    </row>
    <row r="6573" spans="2:10" hidden="1">
      <c r="B6573" s="26" t="s">
        <v>3824</v>
      </c>
      <c r="G6573" s="171"/>
      <c r="H6573" s="68"/>
      <c r="J6573" s="78"/>
    </row>
    <row r="6574" spans="2:10" hidden="1">
      <c r="B6574" s="26" t="s">
        <v>5620</v>
      </c>
      <c r="G6574" s="171"/>
      <c r="H6574" s="68"/>
      <c r="J6574" s="78"/>
    </row>
    <row r="6575" spans="2:10" hidden="1">
      <c r="B6575" s="26" t="s">
        <v>2697</v>
      </c>
      <c r="G6575" s="171" t="s">
        <v>1697</v>
      </c>
      <c r="H6575" s="68">
        <v>6</v>
      </c>
      <c r="I6575" s="26" t="s">
        <v>4041</v>
      </c>
      <c r="J6575" s="78"/>
    </row>
    <row r="6576" spans="2:10" hidden="1">
      <c r="B6576" s="26" t="s">
        <v>5623</v>
      </c>
      <c r="G6576" s="171"/>
      <c r="H6576" s="68"/>
      <c r="J6576" s="78"/>
    </row>
    <row r="6577" spans="1:10" hidden="1">
      <c r="B6577" s="26" t="s">
        <v>2697</v>
      </c>
      <c r="G6577" s="171" t="s">
        <v>1697</v>
      </c>
      <c r="H6577" s="68">
        <v>6</v>
      </c>
      <c r="I6577" s="26" t="s">
        <v>4041</v>
      </c>
      <c r="J6577" s="78"/>
    </row>
    <row r="6578" spans="1:10" hidden="1">
      <c r="B6578" s="26" t="s">
        <v>4551</v>
      </c>
      <c r="G6578" s="171"/>
      <c r="H6578" s="68"/>
      <c r="J6578" s="78"/>
    </row>
    <row r="6579" spans="1:10" hidden="1">
      <c r="B6579" s="26" t="s">
        <v>2697</v>
      </c>
      <c r="G6579" s="171" t="s">
        <v>1697</v>
      </c>
      <c r="H6579" s="68">
        <v>6</v>
      </c>
      <c r="I6579" s="26" t="s">
        <v>4041</v>
      </c>
      <c r="J6579" s="78"/>
    </row>
    <row r="6580" spans="1:10" hidden="1">
      <c r="B6580" s="26" t="s">
        <v>3021</v>
      </c>
      <c r="G6580" s="171"/>
      <c r="H6580" s="68"/>
      <c r="J6580" s="78"/>
    </row>
    <row r="6581" spans="1:10" hidden="1">
      <c r="B6581" s="26" t="s">
        <v>4798</v>
      </c>
      <c r="G6581" s="171" t="s">
        <v>1697</v>
      </c>
      <c r="H6581" s="68">
        <v>8</v>
      </c>
      <c r="I6581" s="26" t="s">
        <v>4041</v>
      </c>
      <c r="J6581" s="78"/>
    </row>
    <row r="6582" spans="1:10" hidden="1">
      <c r="B6582" s="26" t="s">
        <v>2697</v>
      </c>
      <c r="G6582" s="171" t="s">
        <v>1697</v>
      </c>
      <c r="H6582" s="68">
        <v>16</v>
      </c>
      <c r="I6582" s="26" t="s">
        <v>4041</v>
      </c>
      <c r="J6582" s="78"/>
    </row>
    <row r="6583" spans="1:10" hidden="1">
      <c r="B6583" s="26" t="s">
        <v>4206</v>
      </c>
      <c r="G6583" s="171" t="s">
        <v>1697</v>
      </c>
      <c r="H6583" s="68">
        <v>1</v>
      </c>
      <c r="I6583" s="26" t="s">
        <v>4089</v>
      </c>
      <c r="J6583" s="78"/>
    </row>
    <row r="6584" spans="1:10">
      <c r="J6584" s="78"/>
    </row>
    <row r="6585" spans="1:10">
      <c r="A6585" s="822" t="s">
        <v>3984</v>
      </c>
      <c r="E6585" s="170" t="s">
        <v>2367</v>
      </c>
      <c r="J6585" s="78"/>
    </row>
    <row r="6586" spans="1:10">
      <c r="J6586" s="78"/>
    </row>
    <row r="6587" spans="1:10">
      <c r="B6587" s="170" t="s">
        <v>2368</v>
      </c>
      <c r="G6587" s="26" t="s">
        <v>297</v>
      </c>
      <c r="H6587" s="170">
        <v>100</v>
      </c>
      <c r="I6587" s="26" t="s">
        <v>3479</v>
      </c>
      <c r="J6587" s="78"/>
    </row>
    <row r="6588" spans="1:10">
      <c r="B6588" s="95" t="s">
        <v>2369</v>
      </c>
      <c r="C6588" s="148" t="s">
        <v>4443</v>
      </c>
      <c r="D6588" s="175"/>
      <c r="E6588" s="175"/>
      <c r="F6588" s="95" t="s">
        <v>2370</v>
      </c>
      <c r="G6588" s="95" t="s">
        <v>1166</v>
      </c>
      <c r="H6588" s="95" t="s">
        <v>6664</v>
      </c>
      <c r="I6588" s="95" t="s">
        <v>6665</v>
      </c>
      <c r="J6588" s="78"/>
    </row>
    <row r="6589" spans="1:10">
      <c r="B6589" s="191"/>
      <c r="C6589" s="89"/>
      <c r="D6589" s="174"/>
      <c r="E6589" s="174"/>
      <c r="F6589" s="191"/>
      <c r="G6589" s="114"/>
      <c r="H6589" s="114" t="s">
        <v>3856</v>
      </c>
      <c r="I6589" s="114" t="s">
        <v>3857</v>
      </c>
      <c r="J6589" s="78"/>
    </row>
    <row r="6590" spans="1:10">
      <c r="A6590" s="853"/>
      <c r="B6590" s="295">
        <v>1</v>
      </c>
      <c r="C6590" s="345" t="s">
        <v>7936</v>
      </c>
      <c r="D6590" s="296"/>
      <c r="E6590" s="296"/>
      <c r="F6590" s="297" t="s">
        <v>3477</v>
      </c>
      <c r="G6590" s="281">
        <v>15.3</v>
      </c>
      <c r="H6590" s="258">
        <f>'BASIC DATA'!$D$55</f>
        <v>95</v>
      </c>
      <c r="I6590" s="281">
        <f>H6590*G6590</f>
        <v>1453.5</v>
      </c>
      <c r="J6590" s="62"/>
    </row>
    <row r="6591" spans="1:10">
      <c r="B6591" s="105">
        <v>2</v>
      </c>
      <c r="C6591" s="76" t="s">
        <v>570</v>
      </c>
      <c r="D6591" s="31"/>
      <c r="E6591" s="31"/>
      <c r="F6591" s="210" t="s">
        <v>3477</v>
      </c>
      <c r="G6591" s="190">
        <v>15.3</v>
      </c>
      <c r="H6591" s="220">
        <f>'BASIC DATA'!$D$34</f>
        <v>900</v>
      </c>
      <c r="I6591" s="179">
        <f>H6591*G6591</f>
        <v>13770</v>
      </c>
      <c r="J6591" s="78"/>
    </row>
    <row r="6592" spans="1:10">
      <c r="B6592" s="105">
        <v>3</v>
      </c>
      <c r="C6592" s="76" t="s">
        <v>6996</v>
      </c>
      <c r="D6592" s="31"/>
      <c r="E6592" s="31"/>
      <c r="F6592" s="210" t="s">
        <v>3477</v>
      </c>
      <c r="G6592" s="190">
        <v>15.3</v>
      </c>
      <c r="H6592" s="220">
        <f>'BASIC DATA'!$D$36</f>
        <v>1175</v>
      </c>
      <c r="I6592" s="179">
        <f>H6592*G6592</f>
        <v>17977.5</v>
      </c>
      <c r="J6592" s="78"/>
    </row>
    <row r="6593" spans="2:10">
      <c r="B6593" s="105">
        <v>4</v>
      </c>
      <c r="C6593" s="76" t="s">
        <v>1358</v>
      </c>
      <c r="D6593" s="31"/>
      <c r="E6593" s="31"/>
      <c r="F6593" s="210" t="s">
        <v>3477</v>
      </c>
      <c r="G6593" s="190">
        <v>13.5</v>
      </c>
      <c r="H6593" s="220">
        <f>'BASIC DATA'!$D$96</f>
        <v>350</v>
      </c>
      <c r="I6593" s="179">
        <f>H6593*G6593</f>
        <v>4725</v>
      </c>
      <c r="J6593" s="78"/>
    </row>
    <row r="6594" spans="2:10">
      <c r="B6594" s="114">
        <v>5</v>
      </c>
      <c r="C6594" s="89" t="s">
        <v>5340</v>
      </c>
      <c r="D6594" s="174"/>
      <c r="E6594" s="174"/>
      <c r="F6594" s="191" t="s">
        <v>3477</v>
      </c>
      <c r="G6594" s="182">
        <v>90</v>
      </c>
      <c r="H6594" s="215">
        <f>'BASIC DATA'!$D$108</f>
        <v>318</v>
      </c>
      <c r="I6594" s="179">
        <f>H6594*G6594</f>
        <v>28620</v>
      </c>
      <c r="J6594" s="78"/>
    </row>
    <row r="6595" spans="2:10">
      <c r="B6595" s="184"/>
      <c r="C6595" s="151"/>
      <c r="D6595" s="1209" t="s">
        <v>2376</v>
      </c>
      <c r="E6595" s="1209"/>
      <c r="F6595" s="1209"/>
      <c r="G6595" s="1209"/>
      <c r="H6595" s="208" t="s">
        <v>1698</v>
      </c>
      <c r="I6595" s="282">
        <f>SUM(I6590:I6594)</f>
        <v>66546</v>
      </c>
      <c r="J6595" s="78"/>
    </row>
    <row r="6596" spans="2:10">
      <c r="J6596" s="78"/>
    </row>
    <row r="6597" spans="2:10">
      <c r="B6597" s="170" t="s">
        <v>2377</v>
      </c>
      <c r="J6597" s="78"/>
    </row>
    <row r="6598" spans="2:10">
      <c r="B6598" s="95" t="s">
        <v>2369</v>
      </c>
      <c r="C6598" s="148" t="s">
        <v>2378</v>
      </c>
      <c r="D6598" s="175"/>
      <c r="E6598" s="175"/>
      <c r="F6598" s="95" t="s">
        <v>2370</v>
      </c>
      <c r="G6598" s="95" t="s">
        <v>1166</v>
      </c>
      <c r="H6598" s="95" t="s">
        <v>6664</v>
      </c>
      <c r="I6598" s="95" t="s">
        <v>6665</v>
      </c>
      <c r="J6598" s="78"/>
    </row>
    <row r="6599" spans="2:10">
      <c r="B6599" s="114"/>
      <c r="C6599" s="89"/>
      <c r="D6599" s="188"/>
      <c r="E6599" s="188"/>
      <c r="F6599" s="114"/>
      <c r="G6599" s="114"/>
      <c r="H6599" s="114" t="s">
        <v>3856</v>
      </c>
      <c r="I6599" s="114" t="s">
        <v>3857</v>
      </c>
      <c r="J6599" s="78"/>
    </row>
    <row r="6600" spans="2:10">
      <c r="B6600" s="95">
        <v>1</v>
      </c>
      <c r="C6600" s="148" t="s">
        <v>6976</v>
      </c>
      <c r="D6600" s="187"/>
      <c r="E6600" s="187"/>
      <c r="F6600" s="107"/>
      <c r="G6600" s="179">
        <v>0</v>
      </c>
      <c r="H6600" s="179">
        <v>0</v>
      </c>
      <c r="I6600" s="179">
        <f>H6600*G6600</f>
        <v>0</v>
      </c>
      <c r="J6600" s="78"/>
    </row>
    <row r="6601" spans="2:10">
      <c r="B6601" s="191"/>
      <c r="C6601" s="89"/>
      <c r="D6601" s="174"/>
      <c r="E6601" s="174"/>
      <c r="F6601" s="191"/>
      <c r="G6601" s="182">
        <v>0</v>
      </c>
      <c r="H6601" s="182">
        <v>0</v>
      </c>
      <c r="I6601" s="179">
        <f>H6601*G6601</f>
        <v>0</v>
      </c>
      <c r="J6601" s="78"/>
    </row>
    <row r="6602" spans="2:10">
      <c r="B6602" s="184"/>
      <c r="C6602" s="151"/>
      <c r="D6602" s="159"/>
      <c r="E6602" s="159" t="s">
        <v>2380</v>
      </c>
      <c r="F6602" s="159"/>
      <c r="G6602" s="159"/>
      <c r="H6602" s="208" t="s">
        <v>1698</v>
      </c>
      <c r="I6602" s="282">
        <f>SUM(I6600:I6601)</f>
        <v>0</v>
      </c>
      <c r="J6602" s="78"/>
    </row>
    <row r="6603" spans="2:10">
      <c r="J6603" s="78"/>
    </row>
    <row r="6604" spans="2:10">
      <c r="B6604" s="170" t="s">
        <v>2381</v>
      </c>
      <c r="J6604" s="78"/>
    </row>
    <row r="6605" spans="2:10">
      <c r="B6605" s="95" t="s">
        <v>2369</v>
      </c>
      <c r="C6605" s="148" t="s">
        <v>2378</v>
      </c>
      <c r="D6605" s="175"/>
      <c r="E6605" s="175"/>
      <c r="F6605" s="95" t="s">
        <v>2370</v>
      </c>
      <c r="G6605" s="95" t="s">
        <v>1166</v>
      </c>
      <c r="H6605" s="95" t="s">
        <v>6664</v>
      </c>
      <c r="I6605" s="95" t="s">
        <v>6665</v>
      </c>
      <c r="J6605" s="78"/>
    </row>
    <row r="6606" spans="2:10">
      <c r="B6606" s="191"/>
      <c r="C6606" s="89"/>
      <c r="D6606" s="174"/>
      <c r="E6606" s="174"/>
      <c r="F6606" s="191"/>
      <c r="G6606" s="114"/>
      <c r="H6606" s="114" t="s">
        <v>3856</v>
      </c>
      <c r="I6606" s="114" t="s">
        <v>3857</v>
      </c>
      <c r="J6606" s="78"/>
    </row>
    <row r="6607" spans="2:10">
      <c r="B6607" s="95">
        <v>1</v>
      </c>
      <c r="C6607" s="148" t="s">
        <v>4206</v>
      </c>
      <c r="D6607" s="187"/>
      <c r="E6607" s="187"/>
      <c r="F6607" s="107" t="s">
        <v>1172</v>
      </c>
      <c r="G6607" s="179">
        <v>1</v>
      </c>
      <c r="H6607" s="190">
        <f>'BASIC DATA'!$C$473</f>
        <v>450</v>
      </c>
      <c r="I6607" s="179">
        <f>H6607*G6607</f>
        <v>450</v>
      </c>
      <c r="J6607" s="78"/>
    </row>
    <row r="6608" spans="2:10">
      <c r="B6608" s="105">
        <v>2</v>
      </c>
      <c r="C6608" s="76" t="s">
        <v>1356</v>
      </c>
      <c r="D6608" s="31"/>
      <c r="E6608" s="31"/>
      <c r="F6608" s="210" t="s">
        <v>1172</v>
      </c>
      <c r="G6608" s="190">
        <v>8</v>
      </c>
      <c r="H6608" s="207">
        <f>'BASIC DATA'!$C$541</f>
        <v>400</v>
      </c>
      <c r="I6608" s="179">
        <f>H6608*G6608</f>
        <v>3200</v>
      </c>
      <c r="J6608" s="78"/>
    </row>
    <row r="6609" spans="2:10">
      <c r="B6609" s="105">
        <v>3</v>
      </c>
      <c r="C6609" s="76" t="s">
        <v>2697</v>
      </c>
      <c r="D6609" s="31"/>
      <c r="E6609" s="31"/>
      <c r="F6609" s="210" t="s">
        <v>1172</v>
      </c>
      <c r="G6609" s="190">
        <v>34</v>
      </c>
      <c r="H6609" s="207">
        <f>'BASIC DATA'!$C$552</f>
        <v>350</v>
      </c>
      <c r="I6609" s="179">
        <f>H6609*G6609</f>
        <v>11900</v>
      </c>
      <c r="J6609" s="78"/>
    </row>
    <row r="6610" spans="2:10">
      <c r="B6610" s="184"/>
      <c r="C6610" s="151"/>
      <c r="D6610" s="159"/>
      <c r="E6610" s="159" t="s">
        <v>1174</v>
      </c>
      <c r="F6610" s="159"/>
      <c r="G6610" s="193"/>
      <c r="H6610" s="208" t="s">
        <v>1698</v>
      </c>
      <c r="I6610" s="282">
        <f>SUM(I6607:I6609)</f>
        <v>15550</v>
      </c>
      <c r="J6610" s="78"/>
    </row>
    <row r="6611" spans="2:10">
      <c r="B6611" s="60" t="s">
        <v>5948</v>
      </c>
      <c r="C6611" s="76"/>
      <c r="D6611" s="31"/>
      <c r="E6611" s="31"/>
      <c r="F6611" s="31"/>
      <c r="G6611" s="85">
        <f>ROUND(I6610/H6587,1)</f>
        <v>155.5</v>
      </c>
      <c r="J6611" s="78"/>
    </row>
    <row r="6612" spans="2:10">
      <c r="B6612" s="60" t="s">
        <v>3163</v>
      </c>
      <c r="C6612" s="76"/>
      <c r="D6612" s="31"/>
      <c r="E6612" s="31"/>
      <c r="F6612" s="922">
        <f>'BASIC DATA'!$C$577</f>
        <v>0.13614999999999999</v>
      </c>
      <c r="G6612" s="85">
        <f>ROUND(G6611*F6612,1)</f>
        <v>21.2</v>
      </c>
      <c r="J6612" s="78"/>
    </row>
    <row r="6613" spans="2:10">
      <c r="B6613" s="60" t="s">
        <v>5949</v>
      </c>
      <c r="C6613" s="76"/>
      <c r="D6613" s="31"/>
      <c r="E6613" s="31"/>
      <c r="F6613" s="31"/>
      <c r="G6613" s="199">
        <f>ROUND(G6612+G6611,1)</f>
        <v>176.7</v>
      </c>
      <c r="J6613" s="78"/>
    </row>
    <row r="6614" spans="2:10">
      <c r="J6614" s="78"/>
    </row>
    <row r="6615" spans="2:10">
      <c r="B6615" s="170" t="s">
        <v>1175</v>
      </c>
      <c r="J6615" s="78"/>
    </row>
    <row r="6616" spans="2:10">
      <c r="B6616" s="26" t="s">
        <v>1176</v>
      </c>
      <c r="H6616" s="171" t="s">
        <v>1698</v>
      </c>
      <c r="I6616" s="68">
        <f>I6595</f>
        <v>66546</v>
      </c>
      <c r="J6616" s="78"/>
    </row>
    <row r="6617" spans="2:10">
      <c r="B6617" s="26" t="s">
        <v>1186</v>
      </c>
      <c r="H6617" s="171" t="s">
        <v>1698</v>
      </c>
      <c r="I6617" s="68">
        <f>I6602</f>
        <v>0</v>
      </c>
      <c r="J6617" s="78"/>
    </row>
    <row r="6618" spans="2:10">
      <c r="B6618" s="26" t="s">
        <v>2660</v>
      </c>
      <c r="H6618" s="171" t="s">
        <v>1698</v>
      </c>
      <c r="I6618" s="68">
        <f>I6610</f>
        <v>15550</v>
      </c>
      <c r="J6618" s="78"/>
    </row>
    <row r="6619" spans="2:10">
      <c r="G6619" s="171" t="s">
        <v>1518</v>
      </c>
      <c r="H6619" s="171" t="s">
        <v>1698</v>
      </c>
      <c r="I6619" s="205">
        <f>SUM(I6616:I6618)</f>
        <v>82096</v>
      </c>
      <c r="J6619" s="78"/>
    </row>
    <row r="6620" spans="2:10" ht="18.75">
      <c r="B6620" s="1207" t="s">
        <v>8375</v>
      </c>
      <c r="C6620" s="1207"/>
      <c r="D6620" s="1207"/>
      <c r="E6620" s="1207"/>
      <c r="F6620" s="1207"/>
      <c r="G6620" s="922">
        <f>'BASIC DATA'!$C$577</f>
        <v>0.13614999999999999</v>
      </c>
      <c r="H6620" s="171" t="s">
        <v>4108</v>
      </c>
      <c r="I6620" s="76">
        <f>ROUND(I6619*G6620,2)</f>
        <v>11177.37</v>
      </c>
      <c r="J6620" s="78"/>
    </row>
    <row r="6621" spans="2:10">
      <c r="B6621" s="1206" t="s">
        <v>1191</v>
      </c>
      <c r="C6621" s="1206"/>
      <c r="D6621" s="1206"/>
      <c r="E6621" s="1206"/>
      <c r="F6621" s="202">
        <f>H6587</f>
        <v>100</v>
      </c>
      <c r="G6621" s="202" t="str">
        <f>I6587</f>
        <v>sqm</v>
      </c>
      <c r="H6621" s="171" t="s">
        <v>1698</v>
      </c>
      <c r="I6621" s="199">
        <f>I6620+I6619</f>
        <v>93273.37</v>
      </c>
      <c r="J6621" s="78"/>
    </row>
    <row r="6622" spans="2:10">
      <c r="B6622" s="1161" t="s">
        <v>3884</v>
      </c>
      <c r="C6622" s="1161"/>
      <c r="D6622" s="246" t="str">
        <f>G6621</f>
        <v>sqm</v>
      </c>
      <c r="F6622" s="26" t="s">
        <v>1380</v>
      </c>
      <c r="H6622" s="171" t="s">
        <v>1698</v>
      </c>
      <c r="I6622" s="204">
        <f>ROUND(I6621/F6621,1)</f>
        <v>932.7</v>
      </c>
      <c r="J6622" s="78"/>
    </row>
    <row r="6623" spans="2:10">
      <c r="J6623" s="78"/>
    </row>
    <row r="6624" spans="2:10">
      <c r="J6624" s="78"/>
    </row>
    <row r="6625" spans="1:10">
      <c r="A6625" s="822" t="s">
        <v>7385</v>
      </c>
      <c r="B6625" s="26" t="s">
        <v>8575</v>
      </c>
      <c r="J6625" s="78"/>
    </row>
    <row r="6626" spans="1:10">
      <c r="B6626" s="26" t="s">
        <v>6433</v>
      </c>
      <c r="J6626" s="78"/>
    </row>
    <row r="6627" spans="1:10">
      <c r="B6627" s="26" t="s">
        <v>6434</v>
      </c>
      <c r="J6627" s="78"/>
    </row>
    <row r="6628" spans="1:10">
      <c r="B6628" s="170" t="s">
        <v>4738</v>
      </c>
      <c r="J6628" s="78"/>
    </row>
    <row r="6629" spans="1:10">
      <c r="J6629" s="78"/>
    </row>
    <row r="6630" spans="1:10" hidden="1">
      <c r="A6630" s="822" t="s">
        <v>3984</v>
      </c>
      <c r="B6630" s="26" t="s">
        <v>138</v>
      </c>
      <c r="G6630" s="171" t="s">
        <v>1697</v>
      </c>
      <c r="H6630" s="68">
        <v>2</v>
      </c>
      <c r="I6630" s="26" t="s">
        <v>3477</v>
      </c>
      <c r="J6630" s="78"/>
    </row>
    <row r="6631" spans="1:10" hidden="1">
      <c r="B6631" s="26" t="s">
        <v>139</v>
      </c>
      <c r="G6631" s="171" t="s">
        <v>1697</v>
      </c>
      <c r="H6631" s="68">
        <v>100</v>
      </c>
      <c r="I6631" s="26" t="s">
        <v>3479</v>
      </c>
      <c r="J6631" s="78"/>
    </row>
    <row r="6632" spans="1:10" hidden="1">
      <c r="B6632" s="26" t="s">
        <v>140</v>
      </c>
      <c r="G6632" s="171" t="s">
        <v>1697</v>
      </c>
      <c r="H6632" s="68"/>
      <c r="J6632" s="78"/>
    </row>
    <row r="6633" spans="1:10" hidden="1">
      <c r="B6633" s="26" t="s">
        <v>2426</v>
      </c>
      <c r="G6633" s="171" t="s">
        <v>1697</v>
      </c>
      <c r="H6633" s="68"/>
      <c r="J6633" s="78"/>
    </row>
    <row r="6634" spans="1:10" hidden="1">
      <c r="B6634" s="26" t="s">
        <v>5815</v>
      </c>
      <c r="G6634" s="171" t="s">
        <v>1697</v>
      </c>
      <c r="H6634" s="68"/>
      <c r="J6634" s="78"/>
    </row>
    <row r="6635" spans="1:10" hidden="1">
      <c r="B6635" s="26" t="s">
        <v>2427</v>
      </c>
      <c r="G6635" s="171" t="s">
        <v>1697</v>
      </c>
      <c r="H6635" s="68"/>
      <c r="J6635" s="78"/>
    </row>
    <row r="6636" spans="1:10" hidden="1">
      <c r="B6636" s="26" t="s">
        <v>2697</v>
      </c>
      <c r="G6636" s="171" t="s">
        <v>1697</v>
      </c>
      <c r="H6636" s="68">
        <v>8</v>
      </c>
      <c r="I6636" s="26" t="s">
        <v>4041</v>
      </c>
      <c r="J6636" s="78"/>
    </row>
    <row r="6637" spans="1:10" hidden="1">
      <c r="B6637" s="26" t="s">
        <v>2428</v>
      </c>
      <c r="G6637" s="171" t="s">
        <v>1697</v>
      </c>
      <c r="H6637" s="68"/>
      <c r="J6637" s="78"/>
    </row>
    <row r="6638" spans="1:10" hidden="1">
      <c r="B6638" s="26" t="s">
        <v>2697</v>
      </c>
      <c r="G6638" s="171" t="s">
        <v>1697</v>
      </c>
      <c r="H6638" s="68">
        <v>4</v>
      </c>
      <c r="I6638" s="26" t="s">
        <v>4041</v>
      </c>
      <c r="J6638" s="78"/>
    </row>
    <row r="6639" spans="1:10" hidden="1">
      <c r="B6639" s="26" t="s">
        <v>2429</v>
      </c>
      <c r="G6639" s="171" t="s">
        <v>1697</v>
      </c>
      <c r="H6639" s="68"/>
      <c r="J6639" s="78"/>
    </row>
    <row r="6640" spans="1:10" hidden="1">
      <c r="B6640" s="26" t="s">
        <v>2697</v>
      </c>
      <c r="G6640" s="171" t="s">
        <v>1697</v>
      </c>
      <c r="H6640" s="68">
        <v>2</v>
      </c>
      <c r="I6640" s="26" t="s">
        <v>4041</v>
      </c>
      <c r="J6640" s="78"/>
    </row>
    <row r="6641" spans="1:10" hidden="1">
      <c r="B6641" s="26" t="s">
        <v>4552</v>
      </c>
      <c r="G6641" s="171" t="s">
        <v>1697</v>
      </c>
      <c r="J6641" s="78"/>
    </row>
    <row r="6642" spans="1:10" hidden="1">
      <c r="B6642" s="26" t="s">
        <v>2697</v>
      </c>
      <c r="G6642" s="171" t="s">
        <v>1697</v>
      </c>
      <c r="H6642" s="68">
        <v>1</v>
      </c>
      <c r="I6642" s="26" t="s">
        <v>4041</v>
      </c>
      <c r="J6642" s="78"/>
    </row>
    <row r="6643" spans="1:10">
      <c r="J6643" s="78"/>
    </row>
    <row r="6644" spans="1:10">
      <c r="A6644" s="822" t="s">
        <v>3984</v>
      </c>
      <c r="E6644" s="170" t="s">
        <v>2367</v>
      </c>
      <c r="J6644" s="78"/>
    </row>
    <row r="6645" spans="1:10">
      <c r="J6645" s="78"/>
    </row>
    <row r="6646" spans="1:10">
      <c r="B6646" s="170" t="s">
        <v>2368</v>
      </c>
      <c r="G6646" s="26" t="s">
        <v>297</v>
      </c>
      <c r="H6646" s="170">
        <v>100</v>
      </c>
      <c r="I6646" s="26" t="s">
        <v>1409</v>
      </c>
      <c r="J6646" s="78"/>
    </row>
    <row r="6647" spans="1:10">
      <c r="B6647" s="95" t="s">
        <v>2369</v>
      </c>
      <c r="C6647" s="148" t="s">
        <v>4443</v>
      </c>
      <c r="D6647" s="175"/>
      <c r="E6647" s="175"/>
      <c r="F6647" s="95" t="s">
        <v>2370</v>
      </c>
      <c r="G6647" s="95" t="s">
        <v>1166</v>
      </c>
      <c r="H6647" s="95" t="s">
        <v>6664</v>
      </c>
      <c r="I6647" s="95" t="s">
        <v>6665</v>
      </c>
      <c r="J6647" s="78"/>
    </row>
    <row r="6648" spans="1:10">
      <c r="B6648" s="191"/>
      <c r="C6648" s="89"/>
      <c r="D6648" s="174"/>
      <c r="E6648" s="174"/>
      <c r="F6648" s="191"/>
      <c r="G6648" s="114"/>
      <c r="H6648" s="114" t="s">
        <v>3856</v>
      </c>
      <c r="I6648" s="114" t="s">
        <v>3857</v>
      </c>
      <c r="J6648" s="78"/>
    </row>
    <row r="6649" spans="1:10">
      <c r="A6649" s="853"/>
      <c r="B6649" s="295">
        <v>1</v>
      </c>
      <c r="C6649" s="345" t="s">
        <v>7871</v>
      </c>
      <c r="D6649" s="296"/>
      <c r="E6649" s="296"/>
      <c r="F6649" s="297" t="s">
        <v>3477</v>
      </c>
      <c r="G6649" s="281">
        <v>2</v>
      </c>
      <c r="H6649" s="258">
        <f>'BASIC DATA'!$D$56</f>
        <v>95</v>
      </c>
      <c r="I6649" s="281">
        <f>H6649*G6649</f>
        <v>190</v>
      </c>
      <c r="J6649" s="62"/>
    </row>
    <row r="6650" spans="1:10">
      <c r="B6650" s="114">
        <v>2</v>
      </c>
      <c r="C6650" s="89" t="s">
        <v>6760</v>
      </c>
      <c r="D6650" s="174"/>
      <c r="E6650" s="174"/>
      <c r="F6650" s="191" t="s">
        <v>3479</v>
      </c>
      <c r="G6650" s="182">
        <v>100</v>
      </c>
      <c r="H6650" s="215">
        <f>'BASIC DATA'!$D$69</f>
        <v>28</v>
      </c>
      <c r="I6650" s="179">
        <f>H6650*G6650</f>
        <v>2800</v>
      </c>
      <c r="J6650" s="78"/>
    </row>
    <row r="6651" spans="1:10">
      <c r="B6651" s="184"/>
      <c r="C6651" s="151"/>
      <c r="D6651" s="159"/>
      <c r="E6651" s="159" t="s">
        <v>2376</v>
      </c>
      <c r="F6651" s="159"/>
      <c r="G6651" s="205"/>
      <c r="H6651" s="216" t="s">
        <v>1698</v>
      </c>
      <c r="I6651" s="282">
        <f>SUM(I6649:I6650)</f>
        <v>2990</v>
      </c>
      <c r="J6651" s="78"/>
    </row>
    <row r="6652" spans="1:10">
      <c r="B6652" s="31"/>
      <c r="C6652" s="76"/>
      <c r="D6652" s="31"/>
      <c r="E6652" s="31"/>
      <c r="F6652" s="31"/>
      <c r="G6652" s="75"/>
      <c r="H6652" s="294"/>
      <c r="I6652" s="75"/>
      <c r="J6652" s="78"/>
    </row>
    <row r="6653" spans="1:10">
      <c r="B6653" s="170" t="s">
        <v>2377</v>
      </c>
      <c r="J6653" s="78"/>
    </row>
    <row r="6654" spans="1:10">
      <c r="B6654" s="95" t="s">
        <v>2369</v>
      </c>
      <c r="C6654" s="148" t="s">
        <v>2378</v>
      </c>
      <c r="D6654" s="175"/>
      <c r="E6654" s="175"/>
      <c r="F6654" s="95" t="s">
        <v>2370</v>
      </c>
      <c r="G6654" s="95" t="s">
        <v>1166</v>
      </c>
      <c r="H6654" s="95" t="s">
        <v>6664</v>
      </c>
      <c r="I6654" s="95" t="s">
        <v>6665</v>
      </c>
      <c r="J6654" s="78"/>
    </row>
    <row r="6655" spans="1:10">
      <c r="B6655" s="114"/>
      <c r="C6655" s="89"/>
      <c r="D6655" s="188"/>
      <c r="E6655" s="188"/>
      <c r="F6655" s="114"/>
      <c r="G6655" s="114"/>
      <c r="H6655" s="114" t="s">
        <v>3856</v>
      </c>
      <c r="I6655" s="114" t="s">
        <v>3857</v>
      </c>
      <c r="J6655" s="78"/>
    </row>
    <row r="6656" spans="1:10">
      <c r="B6656" s="95">
        <v>1</v>
      </c>
      <c r="C6656" s="148" t="s">
        <v>6976</v>
      </c>
      <c r="D6656" s="187"/>
      <c r="E6656" s="187"/>
      <c r="F6656" s="107"/>
      <c r="G6656" s="179">
        <v>0</v>
      </c>
      <c r="H6656" s="179">
        <v>0</v>
      </c>
      <c r="I6656" s="179">
        <f>H6656*G6656</f>
        <v>0</v>
      </c>
      <c r="J6656" s="78"/>
    </row>
    <row r="6657" spans="2:10">
      <c r="B6657" s="191"/>
      <c r="C6657" s="89"/>
      <c r="D6657" s="174"/>
      <c r="E6657" s="174"/>
      <c r="F6657" s="191"/>
      <c r="G6657" s="182">
        <v>0</v>
      </c>
      <c r="H6657" s="182">
        <v>0</v>
      </c>
      <c r="I6657" s="67">
        <f>H6657*G6657</f>
        <v>0</v>
      </c>
      <c r="J6657" s="78"/>
    </row>
    <row r="6658" spans="2:10">
      <c r="B6658" s="184"/>
      <c r="C6658" s="151"/>
      <c r="D6658" s="159"/>
      <c r="E6658" s="159" t="s">
        <v>2380</v>
      </c>
      <c r="F6658" s="159"/>
      <c r="G6658" s="159"/>
      <c r="H6658" s="208" t="s">
        <v>1698</v>
      </c>
      <c r="I6658" s="282">
        <f>SUM(I6656:I6657)</f>
        <v>0</v>
      </c>
      <c r="J6658" s="78"/>
    </row>
    <row r="6659" spans="2:10">
      <c r="B6659" s="31"/>
      <c r="C6659" s="76"/>
      <c r="D6659" s="31"/>
      <c r="E6659" s="31"/>
      <c r="F6659" s="31"/>
      <c r="G6659" s="31"/>
      <c r="H6659" s="200"/>
      <c r="I6659" s="75"/>
      <c r="J6659" s="78"/>
    </row>
    <row r="6660" spans="2:10">
      <c r="B6660" s="170" t="s">
        <v>2381</v>
      </c>
      <c r="J6660" s="78"/>
    </row>
    <row r="6661" spans="2:10">
      <c r="B6661" s="95" t="s">
        <v>2369</v>
      </c>
      <c r="C6661" s="148" t="s">
        <v>2378</v>
      </c>
      <c r="D6661" s="175"/>
      <c r="E6661" s="175"/>
      <c r="F6661" s="95" t="s">
        <v>2370</v>
      </c>
      <c r="G6661" s="95" t="s">
        <v>1166</v>
      </c>
      <c r="H6661" s="95" t="s">
        <v>6664</v>
      </c>
      <c r="I6661" s="95" t="s">
        <v>6665</v>
      </c>
      <c r="J6661" s="78"/>
    </row>
    <row r="6662" spans="2:10">
      <c r="B6662" s="191"/>
      <c r="C6662" s="89"/>
      <c r="D6662" s="174"/>
      <c r="E6662" s="174"/>
      <c r="F6662" s="191"/>
      <c r="G6662" s="114"/>
      <c r="H6662" s="114" t="s">
        <v>3856</v>
      </c>
      <c r="I6662" s="114" t="s">
        <v>3857</v>
      </c>
      <c r="J6662" s="78"/>
    </row>
    <row r="6663" spans="2:10">
      <c r="B6663" s="95">
        <v>1</v>
      </c>
      <c r="C6663" s="1211" t="s">
        <v>684</v>
      </c>
      <c r="D6663" s="1212"/>
      <c r="E6663" s="1213"/>
      <c r="F6663" s="107" t="s">
        <v>1172</v>
      </c>
      <c r="G6663" s="179">
        <v>2</v>
      </c>
      <c r="H6663" s="179">
        <f>'BASIC DATA'!$C$511</f>
        <v>465</v>
      </c>
      <c r="I6663" s="179">
        <f>H6663*G6663</f>
        <v>930</v>
      </c>
      <c r="J6663" s="78"/>
    </row>
    <row r="6664" spans="2:10">
      <c r="B6664" s="105">
        <v>2</v>
      </c>
      <c r="C6664" s="76" t="s">
        <v>2697</v>
      </c>
      <c r="D6664" s="31"/>
      <c r="E6664" s="31"/>
      <c r="F6664" s="210" t="s">
        <v>1172</v>
      </c>
      <c r="G6664" s="190">
        <v>15</v>
      </c>
      <c r="H6664" s="207">
        <f>'BASIC DATA'!$C$552</f>
        <v>350</v>
      </c>
      <c r="I6664" s="179">
        <f>H6664*G6664</f>
        <v>5250</v>
      </c>
      <c r="J6664" s="78"/>
    </row>
    <row r="6665" spans="2:10">
      <c r="B6665" s="184"/>
      <c r="C6665" s="151"/>
      <c r="D6665" s="159"/>
      <c r="E6665" s="159" t="s">
        <v>1174</v>
      </c>
      <c r="F6665" s="159"/>
      <c r="G6665" s="193"/>
      <c r="H6665" s="208" t="s">
        <v>1698</v>
      </c>
      <c r="I6665" s="282">
        <f>SUM(I6663:I6664)</f>
        <v>6180</v>
      </c>
      <c r="J6665" s="78"/>
    </row>
    <row r="6666" spans="2:10">
      <c r="B6666" s="60" t="s">
        <v>5948</v>
      </c>
      <c r="C6666" s="76"/>
      <c r="D6666" s="31"/>
      <c r="E6666" s="31"/>
      <c r="F6666" s="31"/>
      <c r="G6666" s="85">
        <f>ROUND(I6665/H6646,1)</f>
        <v>61.8</v>
      </c>
      <c r="J6666" s="78"/>
    </row>
    <row r="6667" spans="2:10">
      <c r="B6667" s="60" t="s">
        <v>3163</v>
      </c>
      <c r="C6667" s="76"/>
      <c r="D6667" s="31"/>
      <c r="E6667" s="31"/>
      <c r="F6667" s="922">
        <f>'BASIC DATA'!$C$577</f>
        <v>0.13614999999999999</v>
      </c>
      <c r="G6667" s="85">
        <f>ROUND(G6666*F6667,1)</f>
        <v>8.4</v>
      </c>
      <c r="J6667" s="78"/>
    </row>
    <row r="6668" spans="2:10">
      <c r="B6668" s="60" t="s">
        <v>5949</v>
      </c>
      <c r="C6668" s="76"/>
      <c r="D6668" s="31"/>
      <c r="E6668" s="31"/>
      <c r="F6668" s="31"/>
      <c r="G6668" s="199">
        <f>ROUND(G6667+G6666,1)</f>
        <v>70.2</v>
      </c>
      <c r="J6668" s="78"/>
    </row>
    <row r="6669" spans="2:10">
      <c r="B6669" s="31"/>
      <c r="C6669" s="76"/>
      <c r="D6669" s="31"/>
      <c r="E6669" s="31"/>
      <c r="F6669" s="31"/>
      <c r="G6669" s="200"/>
      <c r="H6669" s="200"/>
      <c r="I6669" s="75"/>
      <c r="J6669" s="78"/>
    </row>
    <row r="6670" spans="2:10">
      <c r="B6670" s="31"/>
      <c r="C6670" s="76"/>
      <c r="D6670" s="31"/>
      <c r="E6670" s="31"/>
      <c r="F6670" s="31"/>
      <c r="G6670" s="200"/>
      <c r="H6670" s="200"/>
      <c r="I6670" s="75"/>
      <c r="J6670" s="78"/>
    </row>
    <row r="6671" spans="2:10">
      <c r="B6671" s="170" t="s">
        <v>1175</v>
      </c>
      <c r="I6671" s="68"/>
      <c r="J6671" s="78"/>
    </row>
    <row r="6672" spans="2:10">
      <c r="B6672" s="26" t="s">
        <v>1176</v>
      </c>
      <c r="H6672" s="171" t="s">
        <v>1698</v>
      </c>
      <c r="I6672" s="68">
        <f>I6651</f>
        <v>2990</v>
      </c>
      <c r="J6672" s="78"/>
    </row>
    <row r="6673" spans="2:10">
      <c r="B6673" s="26" t="s">
        <v>1186</v>
      </c>
      <c r="H6673" s="171" t="s">
        <v>1698</v>
      </c>
      <c r="I6673" s="68">
        <f>I6658</f>
        <v>0</v>
      </c>
      <c r="J6673" s="78"/>
    </row>
    <row r="6674" spans="2:10">
      <c r="B6674" s="26" t="s">
        <v>2660</v>
      </c>
      <c r="H6674" s="171" t="s">
        <v>1698</v>
      </c>
      <c r="I6674" s="68">
        <f>I6665</f>
        <v>6180</v>
      </c>
      <c r="J6674" s="78"/>
    </row>
    <row r="6675" spans="2:10">
      <c r="G6675" s="171" t="s">
        <v>1518</v>
      </c>
      <c r="H6675" s="171" t="s">
        <v>1698</v>
      </c>
      <c r="I6675" s="205">
        <f>SUM(I6672:I6674)</f>
        <v>9170</v>
      </c>
      <c r="J6675" s="78"/>
    </row>
    <row r="6676" spans="2:10" ht="18.75">
      <c r="B6676" s="1207" t="s">
        <v>8375</v>
      </c>
      <c r="C6676" s="1207"/>
      <c r="D6676" s="1207"/>
      <c r="E6676" s="1207"/>
      <c r="F6676" s="1207"/>
      <c r="G6676" s="922">
        <f>'BASIC DATA'!$C$577</f>
        <v>0.13614999999999999</v>
      </c>
      <c r="H6676" s="171" t="s">
        <v>4108</v>
      </c>
      <c r="I6676" s="76">
        <f>ROUND(I6675*G6676,2)</f>
        <v>1248.5</v>
      </c>
      <c r="J6676" s="78"/>
    </row>
    <row r="6677" spans="2:10">
      <c r="B6677" s="27" t="s">
        <v>9590</v>
      </c>
      <c r="C6677" s="43"/>
      <c r="D6677" s="43"/>
      <c r="E6677" s="43"/>
      <c r="F6677" s="779">
        <f>G6649</f>
        <v>2</v>
      </c>
      <c r="G6677" s="201" t="s">
        <v>9591</v>
      </c>
      <c r="H6677" s="68" t="str">
        <f>CONCATENATE((leadcharges!$D$65)," ","Rs./Cum")</f>
        <v>31.5 Rs./Cum</v>
      </c>
      <c r="I6677" s="76">
        <f>leadcharges!$D$65*F6677</f>
        <v>63</v>
      </c>
      <c r="J6677" s="78"/>
    </row>
    <row r="6678" spans="2:10">
      <c r="B6678" s="1206" t="s">
        <v>1191</v>
      </c>
      <c r="C6678" s="1206"/>
      <c r="D6678" s="1206"/>
      <c r="E6678" s="1206"/>
      <c r="F6678" s="202">
        <f>H6646</f>
        <v>100</v>
      </c>
      <c r="G6678" s="202" t="str">
        <f>I6646</f>
        <v>sqm.</v>
      </c>
      <c r="H6678" s="171" t="s">
        <v>1698</v>
      </c>
      <c r="I6678" s="199">
        <f>I6676+I6675+I6677</f>
        <v>10481.5</v>
      </c>
      <c r="J6678" s="78"/>
    </row>
    <row r="6679" spans="2:10">
      <c r="B6679" s="1161" t="s">
        <v>3884</v>
      </c>
      <c r="C6679" s="1161"/>
      <c r="D6679" s="246" t="str">
        <f>G6678</f>
        <v>sqm.</v>
      </c>
      <c r="F6679" s="26" t="s">
        <v>1380</v>
      </c>
      <c r="H6679" s="171" t="s">
        <v>1698</v>
      </c>
      <c r="I6679" s="204">
        <f>ROUND(I6678/F6678,1)</f>
        <v>104.8</v>
      </c>
      <c r="J6679" s="78"/>
    </row>
    <row r="6680" spans="2:10" hidden="1"/>
    <row r="6681" spans="2:10" hidden="1"/>
    <row r="6682" spans="2:10" hidden="1"/>
    <row r="6683" spans="2:10" hidden="1"/>
    <row r="6684" spans="2:10" hidden="1"/>
    <row r="6685" spans="2:10" hidden="1"/>
    <row r="6686" spans="2:10" hidden="1"/>
    <row r="6687" spans="2:10" hidden="1"/>
    <row r="6688" spans="2:10"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sheetData>
  <mergeCells count="274">
    <mergeCell ref="B5699:F5699"/>
    <mergeCell ref="B5700:E5700"/>
    <mergeCell ref="B5701:C5701"/>
    <mergeCell ref="B5537:F5537"/>
    <mergeCell ref="B5538:E5538"/>
    <mergeCell ref="B5539:C5539"/>
    <mergeCell ref="B5609:F5609"/>
    <mergeCell ref="B1900:E1900"/>
    <mergeCell ref="B3613:E3613"/>
    <mergeCell ref="B5611:C5611"/>
    <mergeCell ref="B5444:E5444"/>
    <mergeCell ref="B5445:C5445"/>
    <mergeCell ref="B5226:E5226"/>
    <mergeCell ref="B5610:E5610"/>
    <mergeCell ref="B5654:F5654"/>
    <mergeCell ref="B5655:E5655"/>
    <mergeCell ref="B5311:C5311"/>
    <mergeCell ref="B5443:F5443"/>
    <mergeCell ref="B5089:F5089"/>
    <mergeCell ref="B5090:E5090"/>
    <mergeCell ref="B5091:C5091"/>
    <mergeCell ref="B5092:H5092"/>
    <mergeCell ref="B5093:H5093"/>
    <mergeCell ref="B5227:C5227"/>
    <mergeCell ref="B5309:F5309"/>
    <mergeCell ref="B5310:E5310"/>
    <mergeCell ref="B4698:F4698"/>
    <mergeCell ref="B4699:E4699"/>
    <mergeCell ref="B4700:C4700"/>
    <mergeCell ref="B5225:F5225"/>
    <mergeCell ref="B4835:F4835"/>
    <mergeCell ref="B4836:E4836"/>
    <mergeCell ref="B4837:C4837"/>
    <mergeCell ref="B4962:F4962"/>
    <mergeCell ref="B4963:E4963"/>
    <mergeCell ref="B4964:C4964"/>
    <mergeCell ref="B4442:F4442"/>
    <mergeCell ref="B4443:E4443"/>
    <mergeCell ref="B4444:C4444"/>
    <mergeCell ref="B4491:F4491"/>
    <mergeCell ref="B4492:E4492"/>
    <mergeCell ref="B4493:C4493"/>
    <mergeCell ref="B4628:F4628"/>
    <mergeCell ref="B4629:E4629"/>
    <mergeCell ref="B4630:C4630"/>
    <mergeCell ref="B4277:E4277"/>
    <mergeCell ref="B4278:C4278"/>
    <mergeCell ref="B4334:F4334"/>
    <mergeCell ref="B4335:E4335"/>
    <mergeCell ref="B4336:C4336"/>
    <mergeCell ref="B4276:E4276"/>
    <mergeCell ref="B4392:F4392"/>
    <mergeCell ref="B4393:E4393"/>
    <mergeCell ref="B4394:C4394"/>
    <mergeCell ref="B4133:F4133"/>
    <mergeCell ref="B4136:E4136"/>
    <mergeCell ref="B4137:C4137"/>
    <mergeCell ref="B4182:F4182"/>
    <mergeCell ref="B4185:E4185"/>
    <mergeCell ref="B4186:C4186"/>
    <mergeCell ref="B4135:E4135"/>
    <mergeCell ref="B4184:E4184"/>
    <mergeCell ref="B4274:F4274"/>
    <mergeCell ref="B3344:F3344"/>
    <mergeCell ref="B3454:F3454"/>
    <mergeCell ref="B3455:E3455"/>
    <mergeCell ref="B3551:E3551"/>
    <mergeCell ref="B3612:E3612"/>
    <mergeCell ref="B3692:E3692"/>
    <mergeCell ref="B3456:C3456"/>
    <mergeCell ref="B3499:F3499"/>
    <mergeCell ref="B3614:C3614"/>
    <mergeCell ref="B3689:F3689"/>
    <mergeCell ref="B3553:C3553"/>
    <mergeCell ref="B3611:F3611"/>
    <mergeCell ref="B3501:C3501"/>
    <mergeCell ref="B3548:F3548"/>
    <mergeCell ref="B3552:E3552"/>
    <mergeCell ref="B2707:E2707"/>
    <mergeCell ref="B2708:C2708"/>
    <mergeCell ref="B2604:C2604"/>
    <mergeCell ref="B2703:F2703"/>
    <mergeCell ref="B2706:E2706"/>
    <mergeCell ref="B2805:F2805"/>
    <mergeCell ref="B2809:E2809"/>
    <mergeCell ref="B2267:C2267"/>
    <mergeCell ref="B2384:F2384"/>
    <mergeCell ref="B2388:E2388"/>
    <mergeCell ref="B2389:C2389"/>
    <mergeCell ref="B2485:F2485"/>
    <mergeCell ref="B2602:E2602"/>
    <mergeCell ref="B2599:F2599"/>
    <mergeCell ref="B2603:E2603"/>
    <mergeCell ref="B2808:E2808"/>
    <mergeCell ref="E1560:G1560"/>
    <mergeCell ref="B1751:F1751"/>
    <mergeCell ref="B1755:E1755"/>
    <mergeCell ref="B1756:C1756"/>
    <mergeCell ref="B3500:E3500"/>
    <mergeCell ref="B2909:F2909"/>
    <mergeCell ref="B1896:F1896"/>
    <mergeCell ref="B2015:F2015"/>
    <mergeCell ref="B2019:E2019"/>
    <mergeCell ref="B2020:C2020"/>
    <mergeCell ref="B3038:G3038"/>
    <mergeCell ref="B3349:C3349"/>
    <mergeCell ref="B3114:F3114"/>
    <mergeCell ref="B3118:E3118"/>
    <mergeCell ref="B3119:C3119"/>
    <mergeCell ref="B3251:F3251"/>
    <mergeCell ref="B3348:E3348"/>
    <mergeCell ref="B3347:E3347"/>
    <mergeCell ref="B3255:E3255"/>
    <mergeCell ref="B3256:C3256"/>
    <mergeCell ref="B2262:F2262"/>
    <mergeCell ref="B2266:E2266"/>
    <mergeCell ref="B2489:E2489"/>
    <mergeCell ref="B2490:C2490"/>
    <mergeCell ref="B1222:E1222"/>
    <mergeCell ref="B1223:C1223"/>
    <mergeCell ref="B1273:F1273"/>
    <mergeCell ref="B1275:E1275"/>
    <mergeCell ref="B1276:C1276"/>
    <mergeCell ref="B1332:F1332"/>
    <mergeCell ref="H1349:I1349"/>
    <mergeCell ref="B1363:C1363"/>
    <mergeCell ref="B1333:F1333"/>
    <mergeCell ref="B1010:E1010"/>
    <mergeCell ref="B1011:C1011"/>
    <mergeCell ref="B1051:F1051"/>
    <mergeCell ref="B1052:E1052"/>
    <mergeCell ref="B1053:C1053"/>
    <mergeCell ref="B1122:F1122"/>
    <mergeCell ref="B1123:E1123"/>
    <mergeCell ref="B1124:C1124"/>
    <mergeCell ref="B1221:F1221"/>
    <mergeCell ref="B613:D613"/>
    <mergeCell ref="C752:E753"/>
    <mergeCell ref="B792:F792"/>
    <mergeCell ref="B793:E793"/>
    <mergeCell ref="B794:C794"/>
    <mergeCell ref="B961:F961"/>
    <mergeCell ref="B962:E962"/>
    <mergeCell ref="B963:C963"/>
    <mergeCell ref="B1009:F1009"/>
    <mergeCell ref="B229:F229"/>
    <mergeCell ref="B230:E230"/>
    <mergeCell ref="B231:D231"/>
    <mergeCell ref="B330:F330"/>
    <mergeCell ref="B331:E331"/>
    <mergeCell ref="B332:D332"/>
    <mergeCell ref="B611:F611"/>
    <mergeCell ref="B612:E612"/>
    <mergeCell ref="C103:E103"/>
    <mergeCell ref="B140:F140"/>
    <mergeCell ref="B141:E141"/>
    <mergeCell ref="B142:D142"/>
    <mergeCell ref="C190:E190"/>
    <mergeCell ref="C210:E210"/>
    <mergeCell ref="B467:F467"/>
    <mergeCell ref="B468:E468"/>
    <mergeCell ref="B469:D469"/>
    <mergeCell ref="B6030:E6030"/>
    <mergeCell ref="B6031:C6031"/>
    <mergeCell ref="B6082:F6082"/>
    <mergeCell ref="B6083:E6083"/>
    <mergeCell ref="B5962:E5962"/>
    <mergeCell ref="B5963:C5963"/>
    <mergeCell ref="C6015:E6015"/>
    <mergeCell ref="B6029:F6029"/>
    <mergeCell ref="B5821:F5821"/>
    <mergeCell ref="B5827:C5827"/>
    <mergeCell ref="B5894:F5894"/>
    <mergeCell ref="B5895:E5895"/>
    <mergeCell ref="B5896:C5896"/>
    <mergeCell ref="B5961:F5961"/>
    <mergeCell ref="B5824:E5824"/>
    <mergeCell ref="B5825:E5825"/>
    <mergeCell ref="B5826:E5826"/>
    <mergeCell ref="B6264:C6264"/>
    <mergeCell ref="C6308:E6308"/>
    <mergeCell ref="C6309:E6309"/>
    <mergeCell ref="B6194:E6194"/>
    <mergeCell ref="B6195:C6195"/>
    <mergeCell ref="B6262:F6262"/>
    <mergeCell ref="B6263:E6263"/>
    <mergeCell ref="B6084:C6084"/>
    <mergeCell ref="B6145:F6145"/>
    <mergeCell ref="B6146:E6146"/>
    <mergeCell ref="B6147:C6147"/>
    <mergeCell ref="B6193:F6193"/>
    <mergeCell ref="B1559:E1559"/>
    <mergeCell ref="B5656:C5656"/>
    <mergeCell ref="C5629:E5629"/>
    <mergeCell ref="B6678:E6678"/>
    <mergeCell ref="B6478:F6478"/>
    <mergeCell ref="B6479:E6479"/>
    <mergeCell ref="B6480:C6480"/>
    <mergeCell ref="C6663:E6663"/>
    <mergeCell ref="B6679:C6679"/>
    <mergeCell ref="D6595:G6595"/>
    <mergeCell ref="B6620:F6620"/>
    <mergeCell ref="B6621:E6621"/>
    <mergeCell ref="B6622:C6622"/>
    <mergeCell ref="B1754:E1754"/>
    <mergeCell ref="B6676:F6676"/>
    <mergeCell ref="B6549:F6549"/>
    <mergeCell ref="B6550:E6550"/>
    <mergeCell ref="B6551:C6551"/>
    <mergeCell ref="B6408:F6408"/>
    <mergeCell ref="B6409:E6409"/>
    <mergeCell ref="B6410:C6410"/>
    <mergeCell ref="B6335:F6335"/>
    <mergeCell ref="B6336:E6336"/>
    <mergeCell ref="B6337:C6337"/>
    <mergeCell ref="B1515:E1515"/>
    <mergeCell ref="B1558:E1558"/>
    <mergeCell ref="B1274:F1274"/>
    <mergeCell ref="B1401:E1401"/>
    <mergeCell ref="B1402:E1402"/>
    <mergeCell ref="B1470:E1470"/>
    <mergeCell ref="B1471:E1471"/>
    <mergeCell ref="B1334:E1334"/>
    <mergeCell ref="B1335:C1335"/>
    <mergeCell ref="B1516:E1516"/>
    <mergeCell ref="B1399:F1399"/>
    <mergeCell ref="B1403:E1403"/>
    <mergeCell ref="B1404:C1404"/>
    <mergeCell ref="B1469:F1469"/>
    <mergeCell ref="B1472:E1472"/>
    <mergeCell ref="B1473:C1473"/>
    <mergeCell ref="B1899:E1899"/>
    <mergeCell ref="B2018:E2018"/>
    <mergeCell ref="B2142:E2142"/>
    <mergeCell ref="B2265:E2265"/>
    <mergeCell ref="B2387:E2387"/>
    <mergeCell ref="B2488:E2488"/>
    <mergeCell ref="B1901:C1901"/>
    <mergeCell ref="B2139:F2139"/>
    <mergeCell ref="B2143:E2143"/>
    <mergeCell ref="B2144:C2144"/>
    <mergeCell ref="B2912:E2912"/>
    <mergeCell ref="B2984:E2984"/>
    <mergeCell ref="B3117:E3117"/>
    <mergeCell ref="B3254:E3254"/>
    <mergeCell ref="B2810:C2810"/>
    <mergeCell ref="B2914:C2914"/>
    <mergeCell ref="B2982:F2982"/>
    <mergeCell ref="B2985:E2985"/>
    <mergeCell ref="B2986:C2986"/>
    <mergeCell ref="B2913:E2913"/>
    <mergeCell ref="B4089:E4089"/>
    <mergeCell ref="B4090:C4090"/>
    <mergeCell ref="B4005:E4005"/>
    <mergeCell ref="B3693:E3693"/>
    <mergeCell ref="B3694:C3694"/>
    <mergeCell ref="B3759:F3759"/>
    <mergeCell ref="B3763:E3763"/>
    <mergeCell ref="B4088:E4088"/>
    <mergeCell ref="B4002:F4002"/>
    <mergeCell ref="B4006:E4006"/>
    <mergeCell ref="B4007:C4007"/>
    <mergeCell ref="B4085:F4085"/>
    <mergeCell ref="B3764:C3764"/>
    <mergeCell ref="B3801:G3801"/>
    <mergeCell ref="B3762:E3762"/>
    <mergeCell ref="B3839:F3839"/>
    <mergeCell ref="B3843:E3843"/>
    <mergeCell ref="B3844:C3844"/>
    <mergeCell ref="B3918:F3918"/>
    <mergeCell ref="B3922:E3922"/>
    <mergeCell ref="B3923:C3923"/>
    <mergeCell ref="B3842:E3842"/>
    <mergeCell ref="B3921:E3921"/>
  </mergeCells>
  <printOptions horizontalCentered="1"/>
  <pageMargins left="0.70866141732283472" right="0.70866141732283472" top="0.74803149606299213" bottom="0.74803149606299213" header="0.31496062992125984" footer="0.31496062992125984"/>
  <pageSetup scale="41" firstPageNumber="48" orientation="portrait" useFirstPageNumber="1" r:id="rId1"/>
  <headerFooter>
    <oddHeader>&amp;RDam and Allied Works - Item Unit Rates 2016-17</oddHeader>
    <oddFooter>&amp;R&amp;18&amp;P</oddFooter>
  </headerFooter>
  <rowBreaks count="20" manualBreakCount="20">
    <brk id="1128" max="9" man="1"/>
    <brk id="2074" max="9" man="1"/>
    <brk id="2589" max="9" man="1"/>
    <brk id="2755" max="9" man="1"/>
    <brk id="2793" max="9" man="1"/>
    <brk id="3258" max="9" man="1"/>
    <brk id="3514" max="9" man="1"/>
    <brk id="3912" max="9" man="1"/>
    <brk id="4117" max="9" man="1"/>
    <brk id="4328" max="9" man="1"/>
    <brk id="4422" max="9" man="1"/>
    <brk id="5066" max="9" man="1"/>
    <brk id="5227" max="9" man="1"/>
    <brk id="5404" max="9" man="1"/>
    <brk id="5527" max="9" man="1"/>
    <brk id="5888" max="9" man="1"/>
    <brk id="6023" max="9" man="1"/>
    <brk id="6391" max="9" man="1"/>
    <brk id="6531" max="9" man="1"/>
    <brk id="6659" max="9" man="1"/>
  </rowBreaks>
  <drawing r:id="rId2"/>
</worksheet>
</file>

<file path=xl/worksheets/sheet7.xml><?xml version="1.0" encoding="utf-8"?>
<worksheet xmlns="http://schemas.openxmlformats.org/spreadsheetml/2006/main" xmlns:r="http://schemas.openxmlformats.org/officeDocument/2006/relationships">
  <sheetPr codeName="Sheet5"/>
  <dimension ref="A1:IU2806"/>
  <sheetViews>
    <sheetView showGridLines="0" zoomScale="60" zoomScaleNormal="60" workbookViewId="0">
      <selection activeCell="H1" sqref="H1"/>
    </sheetView>
  </sheetViews>
  <sheetFormatPr defaultColWidth="0" defaultRowHeight="18" zeroHeight="1"/>
  <cols>
    <col min="1" max="1" width="16.85546875" style="822" customWidth="1"/>
    <col min="2" max="2" width="12" style="26" customWidth="1"/>
    <col min="3" max="3" width="45.7109375" style="26" customWidth="1"/>
    <col min="4" max="4" width="18.85546875" style="26" customWidth="1"/>
    <col min="5" max="5" width="13" style="26" customWidth="1"/>
    <col min="6" max="6" width="20.85546875" style="26" customWidth="1"/>
    <col min="7" max="7" width="17.28515625" style="26" customWidth="1"/>
    <col min="8" max="8" width="18.5703125" style="26" customWidth="1"/>
    <col min="9" max="255" width="9.140625" style="26" hidden="1" customWidth="1"/>
    <col min="256" max="16384" width="0" style="26" hidden="1"/>
  </cols>
  <sheetData>
    <row r="1" spans="1:10">
      <c r="A1" s="861"/>
      <c r="B1" s="164"/>
      <c r="C1" s="164" t="s">
        <v>1475</v>
      </c>
      <c r="D1" s="163"/>
      <c r="E1" s="165"/>
      <c r="F1" s="163"/>
      <c r="G1" s="163"/>
    </row>
    <row r="2" spans="1:10">
      <c r="A2" s="860"/>
      <c r="B2" s="163"/>
      <c r="C2" s="163"/>
      <c r="D2" s="163"/>
      <c r="E2" s="163"/>
      <c r="F2" s="163"/>
      <c r="G2" s="163"/>
    </row>
    <row r="3" spans="1:10">
      <c r="A3" s="862"/>
      <c r="B3" s="165"/>
      <c r="C3" s="166" t="s">
        <v>7979</v>
      </c>
      <c r="D3" s="166"/>
      <c r="E3" s="166"/>
      <c r="F3" s="165"/>
      <c r="G3" s="165"/>
    </row>
    <row r="4" spans="1:10">
      <c r="A4" s="862"/>
      <c r="B4" s="165"/>
      <c r="C4" s="164"/>
      <c r="D4" s="164"/>
      <c r="E4" s="164"/>
      <c r="F4" s="164"/>
      <c r="G4" s="164"/>
    </row>
    <row r="5" spans="1:10">
      <c r="A5" s="853"/>
      <c r="B5" s="61"/>
      <c r="C5" s="168"/>
      <c r="D5" s="168"/>
      <c r="E5" s="168"/>
      <c r="F5" s="168"/>
      <c r="G5" s="168"/>
    </row>
    <row r="6" spans="1:10">
      <c r="A6" s="853"/>
      <c r="B6" s="61"/>
      <c r="C6" s="26" t="s">
        <v>1959</v>
      </c>
      <c r="D6" s="33"/>
      <c r="E6" s="33"/>
      <c r="F6" s="33"/>
      <c r="G6" s="33"/>
    </row>
    <row r="7" spans="1:10" ht="18.75" thickBot="1">
      <c r="C7" s="1080" t="s">
        <v>9895</v>
      </c>
      <c r="F7" s="47"/>
    </row>
    <row r="8" spans="1:10" ht="18.75" thickBot="1">
      <c r="A8" s="866" t="s">
        <v>7038</v>
      </c>
      <c r="C8" s="78"/>
      <c r="F8" s="47"/>
    </row>
    <row r="9" spans="1:10">
      <c r="A9" s="825"/>
      <c r="C9" s="1161" t="s">
        <v>332</v>
      </c>
      <c r="D9" s="1161"/>
      <c r="E9" s="1161"/>
      <c r="F9" s="1161"/>
    </row>
    <row r="10" spans="1:10">
      <c r="A10" s="822" t="s">
        <v>7386</v>
      </c>
      <c r="C10" s="78"/>
      <c r="F10" s="47"/>
    </row>
    <row r="11" spans="1:10" ht="23.25">
      <c r="A11" s="868" t="s">
        <v>9633</v>
      </c>
      <c r="C11" s="78"/>
      <c r="F11" s="47"/>
    </row>
    <row r="12" spans="1:10">
      <c r="A12" s="869" t="s">
        <v>9603</v>
      </c>
      <c r="C12" s="27"/>
      <c r="J12" s="78"/>
    </row>
    <row r="13" spans="1:10">
      <c r="A13" s="822" t="s">
        <v>9604</v>
      </c>
      <c r="C13" s="27"/>
      <c r="J13" s="78"/>
    </row>
    <row r="14" spans="1:10">
      <c r="A14" s="822" t="s">
        <v>9634</v>
      </c>
      <c r="C14" s="27"/>
      <c r="J14" s="78"/>
    </row>
    <row r="15" spans="1:10">
      <c r="A15" s="822" t="s">
        <v>9635</v>
      </c>
      <c r="C15" s="27"/>
      <c r="J15" s="78"/>
    </row>
    <row r="16" spans="1:10">
      <c r="A16" s="822" t="s">
        <v>9636</v>
      </c>
      <c r="C16" s="27"/>
      <c r="J16" s="78"/>
    </row>
    <row r="17" spans="1:10">
      <c r="A17" s="822" t="s">
        <v>9637</v>
      </c>
      <c r="C17" s="27"/>
      <c r="J17" s="78"/>
    </row>
    <row r="18" spans="1:10">
      <c r="A18" s="869" t="s">
        <v>9608</v>
      </c>
      <c r="C18" s="27"/>
      <c r="J18" s="78"/>
    </row>
    <row r="19" spans="1:10">
      <c r="A19" s="822" t="s">
        <v>9609</v>
      </c>
      <c r="C19" s="27"/>
      <c r="J19" s="78"/>
    </row>
    <row r="20" spans="1:10">
      <c r="A20" s="846" t="s">
        <v>9661</v>
      </c>
      <c r="C20" s="27"/>
      <c r="J20" s="78"/>
    </row>
    <row r="21" spans="1:10">
      <c r="A21" s="846" t="s">
        <v>9662</v>
      </c>
      <c r="C21" s="27"/>
      <c r="J21" s="78"/>
    </row>
    <row r="22" spans="1:10">
      <c r="A22" s="846" t="s">
        <v>9875</v>
      </c>
      <c r="C22" s="27"/>
      <c r="J22" s="78"/>
    </row>
    <row r="23" spans="1:10">
      <c r="A23" s="846" t="s">
        <v>9638</v>
      </c>
      <c r="C23" s="27"/>
      <c r="J23" s="78"/>
    </row>
    <row r="24" spans="1:10">
      <c r="A24" s="822" t="s">
        <v>9639</v>
      </c>
      <c r="C24" s="27"/>
      <c r="J24" s="78"/>
    </row>
    <row r="25" spans="1:10">
      <c r="A25" s="822" t="s">
        <v>9640</v>
      </c>
      <c r="C25" s="27"/>
      <c r="J25" s="78"/>
    </row>
    <row r="26" spans="1:10">
      <c r="A26" s="822" t="s">
        <v>9641</v>
      </c>
      <c r="C26" s="27"/>
      <c r="J26" s="78"/>
    </row>
    <row r="27" spans="1:10">
      <c r="A27" s="822" t="s">
        <v>9618</v>
      </c>
      <c r="C27" s="27"/>
      <c r="J27" s="78"/>
    </row>
    <row r="28" spans="1:10">
      <c r="A28" s="26" t="s">
        <v>9619</v>
      </c>
      <c r="C28" s="27"/>
      <c r="G28" s="26">
        <v>15</v>
      </c>
      <c r="H28" s="26" t="s">
        <v>9620</v>
      </c>
      <c r="J28" s="78"/>
    </row>
    <row r="29" spans="1:10">
      <c r="A29" s="26" t="s">
        <v>9621</v>
      </c>
      <c r="C29" s="27"/>
      <c r="G29" s="26">
        <v>1</v>
      </c>
      <c r="H29" s="26" t="s">
        <v>9620</v>
      </c>
      <c r="J29" s="78"/>
    </row>
    <row r="30" spans="1:10">
      <c r="A30" s="26" t="s">
        <v>9622</v>
      </c>
      <c r="C30" s="26" t="s">
        <v>9623</v>
      </c>
      <c r="F30" s="26" t="s">
        <v>4108</v>
      </c>
      <c r="G30" s="68">
        <f>leadcharges!$D$69</f>
        <v>84</v>
      </c>
      <c r="J30" s="78"/>
    </row>
    <row r="31" spans="1:10">
      <c r="C31" s="26" t="s">
        <v>9624</v>
      </c>
      <c r="F31" s="26" t="s">
        <v>4108</v>
      </c>
      <c r="G31" s="26">
        <f>(15-5)*leadcharges!$D$70</f>
        <v>126</v>
      </c>
      <c r="J31" s="78"/>
    </row>
    <row r="32" spans="1:10">
      <c r="C32" s="26" t="s">
        <v>9625</v>
      </c>
      <c r="F32" s="26" t="s">
        <v>4108</v>
      </c>
      <c r="G32" s="68">
        <f>SUM(G30:G31)</f>
        <v>210</v>
      </c>
      <c r="J32" s="78"/>
    </row>
    <row r="33" spans="1:10">
      <c r="C33" s="26" t="s">
        <v>9626</v>
      </c>
      <c r="F33" s="26" t="s">
        <v>4108</v>
      </c>
      <c r="G33" s="68">
        <f>leadcharges!$D$65</f>
        <v>31.5</v>
      </c>
      <c r="H33" s="26" t="s">
        <v>9628</v>
      </c>
      <c r="J33" s="78"/>
    </row>
    <row r="34" spans="1:10">
      <c r="C34" s="26" t="s">
        <v>9627</v>
      </c>
      <c r="F34" s="26" t="s">
        <v>4108</v>
      </c>
      <c r="G34" s="68">
        <f>G32-G33</f>
        <v>178.5</v>
      </c>
      <c r="J34" s="78"/>
    </row>
    <row r="35" spans="1:10">
      <c r="C35" s="27"/>
      <c r="J35" s="78"/>
    </row>
    <row r="36" spans="1:10">
      <c r="C36" s="27"/>
      <c r="J36" s="78"/>
    </row>
    <row r="37" spans="1:10">
      <c r="A37" s="822" t="s">
        <v>9874</v>
      </c>
      <c r="C37" s="27"/>
      <c r="J37" s="78"/>
    </row>
    <row r="38" spans="1:10">
      <c r="C38" s="27"/>
      <c r="J38" s="78"/>
    </row>
    <row r="39" spans="1:10">
      <c r="A39" s="846" t="s">
        <v>9668</v>
      </c>
      <c r="C39" s="27"/>
      <c r="J39" s="78"/>
    </row>
    <row r="40" spans="1:10">
      <c r="A40" s="846" t="s">
        <v>9660</v>
      </c>
      <c r="C40" s="27"/>
      <c r="J40" s="78"/>
    </row>
    <row r="41" spans="1:10">
      <c r="A41" s="846" t="s">
        <v>9642</v>
      </c>
      <c r="C41" s="27"/>
      <c r="J41" s="78"/>
    </row>
    <row r="42" spans="1:10">
      <c r="A42" s="846" t="s">
        <v>9643</v>
      </c>
      <c r="C42" s="27"/>
      <c r="J42" s="78"/>
    </row>
    <row r="43" spans="1:10">
      <c r="A43" s="822" t="s">
        <v>9618</v>
      </c>
      <c r="C43" s="27"/>
      <c r="J43" s="78"/>
    </row>
    <row r="44" spans="1:10">
      <c r="A44" s="26" t="s">
        <v>9631</v>
      </c>
      <c r="C44" s="27"/>
      <c r="G44" s="26">
        <v>15</v>
      </c>
      <c r="H44" s="26" t="s">
        <v>9620</v>
      </c>
      <c r="J44" s="78"/>
    </row>
    <row r="45" spans="1:10">
      <c r="A45" s="26" t="s">
        <v>9621</v>
      </c>
      <c r="C45" s="27"/>
      <c r="G45" s="26">
        <v>1</v>
      </c>
      <c r="H45" s="26" t="s">
        <v>9620</v>
      </c>
      <c r="J45" s="78"/>
    </row>
    <row r="46" spans="1:10">
      <c r="A46" s="26" t="s">
        <v>9622</v>
      </c>
      <c r="C46" s="26" t="s">
        <v>9623</v>
      </c>
      <c r="F46" s="26" t="s">
        <v>4108</v>
      </c>
      <c r="G46" s="68">
        <f>leadcharges!$D$69</f>
        <v>84</v>
      </c>
      <c r="J46" s="78"/>
    </row>
    <row r="47" spans="1:10">
      <c r="C47" s="26" t="s">
        <v>9624</v>
      </c>
      <c r="F47" s="26" t="s">
        <v>4108</v>
      </c>
      <c r="G47" s="26">
        <f>(15-5)*leadcharges!$D$70</f>
        <v>126</v>
      </c>
      <c r="J47" s="78"/>
    </row>
    <row r="48" spans="1:10">
      <c r="C48" s="26" t="s">
        <v>9625</v>
      </c>
      <c r="F48" s="26" t="s">
        <v>4108</v>
      </c>
      <c r="G48" s="68">
        <f>SUM(G46:G47)</f>
        <v>210</v>
      </c>
      <c r="J48" s="78"/>
    </row>
    <row r="49" spans="1:10">
      <c r="C49" s="26" t="s">
        <v>9626</v>
      </c>
      <c r="F49" s="26" t="s">
        <v>4108</v>
      </c>
      <c r="G49" s="68">
        <f>leadcharges!$D$65</f>
        <v>31.5</v>
      </c>
      <c r="H49" s="26" t="s">
        <v>9628</v>
      </c>
      <c r="J49" s="78"/>
    </row>
    <row r="50" spans="1:10">
      <c r="C50" s="26" t="s">
        <v>9627</v>
      </c>
      <c r="F50" s="26" t="s">
        <v>4108</v>
      </c>
      <c r="G50" s="68">
        <f>G48-G49</f>
        <v>178.5</v>
      </c>
      <c r="J50" s="78"/>
    </row>
    <row r="51" spans="1:10">
      <c r="C51" s="78"/>
      <c r="F51" s="47"/>
    </row>
    <row r="52" spans="1:10">
      <c r="A52" s="822" t="s">
        <v>9684</v>
      </c>
      <c r="C52" s="78"/>
      <c r="F52" s="47"/>
    </row>
    <row r="53" spans="1:10">
      <c r="A53" s="822" t="s">
        <v>9685</v>
      </c>
      <c r="C53" s="78"/>
      <c r="F53" s="47"/>
    </row>
    <row r="54" spans="1:10">
      <c r="A54" s="822" t="s">
        <v>9686</v>
      </c>
      <c r="C54" s="78"/>
      <c r="F54" s="47"/>
    </row>
    <row r="55" spans="1:10">
      <c r="D55" s="325" t="s">
        <v>9657</v>
      </c>
      <c r="F55" s="47"/>
    </row>
    <row r="56" spans="1:10">
      <c r="A56" s="865"/>
      <c r="B56" s="78"/>
    </row>
    <row r="57" spans="1:10">
      <c r="A57" s="822" t="s">
        <v>7387</v>
      </c>
      <c r="B57" s="314" t="s">
        <v>764</v>
      </c>
    </row>
    <row r="58" spans="1:10">
      <c r="A58" s="865"/>
    </row>
    <row r="59" spans="1:10">
      <c r="A59" s="822" t="s">
        <v>7388</v>
      </c>
      <c r="B59" s="26" t="s">
        <v>8577</v>
      </c>
    </row>
    <row r="60" spans="1:10">
      <c r="A60" s="865"/>
      <c r="B60" s="26" t="s">
        <v>6880</v>
      </c>
    </row>
    <row r="61" spans="1:10">
      <c r="A61" s="865"/>
      <c r="B61" s="26" t="s">
        <v>6881</v>
      </c>
    </row>
    <row r="62" spans="1:10" ht="18.75">
      <c r="A62" s="865"/>
      <c r="B62" s="26" t="s">
        <v>8578</v>
      </c>
    </row>
    <row r="63" spans="1:10">
      <c r="A63" s="865"/>
    </row>
    <row r="64" spans="1:10" hidden="1">
      <c r="A64" s="865" t="s">
        <v>3984</v>
      </c>
      <c r="B64" s="26" t="s">
        <v>4031</v>
      </c>
      <c r="D64" s="78" t="s">
        <v>1697</v>
      </c>
      <c r="E64" s="68">
        <v>4.5</v>
      </c>
      <c r="F64" s="26" t="s">
        <v>40</v>
      </c>
    </row>
    <row r="65" spans="1:6" hidden="1">
      <c r="A65" s="865"/>
      <c r="B65" s="26" t="s">
        <v>843</v>
      </c>
      <c r="D65" s="78" t="s">
        <v>1697</v>
      </c>
      <c r="E65" s="26" t="s">
        <v>844</v>
      </c>
    </row>
    <row r="66" spans="1:6" hidden="1">
      <c r="A66" s="865"/>
      <c r="B66" s="26" t="s">
        <v>845</v>
      </c>
      <c r="D66" s="78" t="s">
        <v>1697</v>
      </c>
      <c r="E66" s="68">
        <v>4.5</v>
      </c>
      <c r="F66" s="26" t="s">
        <v>2602</v>
      </c>
    </row>
    <row r="67" spans="1:6" hidden="1">
      <c r="A67" s="865"/>
      <c r="B67" s="26" t="s">
        <v>846</v>
      </c>
      <c r="D67" s="78" t="s">
        <v>1697</v>
      </c>
      <c r="E67" s="68">
        <v>0.2</v>
      </c>
      <c r="F67" s="26" t="s">
        <v>2602</v>
      </c>
    </row>
    <row r="68" spans="1:6" hidden="1">
      <c r="A68" s="865"/>
      <c r="B68" s="26" t="s">
        <v>6111</v>
      </c>
      <c r="D68" s="78" t="s">
        <v>1697</v>
      </c>
      <c r="E68" s="68">
        <v>4.9000000000000004</v>
      </c>
      <c r="F68" s="26" t="s">
        <v>2602</v>
      </c>
    </row>
    <row r="69" spans="1:6" hidden="1">
      <c r="A69" s="865"/>
      <c r="B69" s="26" t="s">
        <v>6112</v>
      </c>
      <c r="D69" s="78" t="s">
        <v>41</v>
      </c>
      <c r="E69" s="26">
        <v>500</v>
      </c>
      <c r="F69" s="26" t="s">
        <v>2602</v>
      </c>
    </row>
    <row r="70" spans="1:6" hidden="1">
      <c r="A70" s="865"/>
      <c r="B70" s="26" t="s">
        <v>6113</v>
      </c>
      <c r="D70" s="78" t="s">
        <v>1697</v>
      </c>
      <c r="E70" s="26" t="s">
        <v>6114</v>
      </c>
    </row>
    <row r="71" spans="1:6"/>
    <row r="72" spans="1:6"/>
    <row r="73" spans="1:6"/>
    <row r="74" spans="1:6"/>
    <row r="75" spans="1:6"/>
    <row r="76" spans="1:6"/>
    <row r="77" spans="1:6"/>
    <row r="78" spans="1:6"/>
    <row r="79" spans="1:6"/>
    <row r="80" spans="1:6"/>
    <row r="81" spans="1:6"/>
    <row r="82" spans="1:6"/>
    <row r="83" spans="1:6" hidden="1">
      <c r="A83" s="865">
        <v>1</v>
      </c>
      <c r="B83" s="26" t="s">
        <v>6115</v>
      </c>
    </row>
    <row r="84" spans="1:6" hidden="1">
      <c r="A84" s="880"/>
      <c r="B84" s="26" t="s">
        <v>6533</v>
      </c>
    </row>
    <row r="85" spans="1:6" hidden="1">
      <c r="A85" s="865">
        <v>2</v>
      </c>
      <c r="B85" s="26" t="s">
        <v>6534</v>
      </c>
    </row>
    <row r="86" spans="1:6" hidden="1">
      <c r="A86" s="865"/>
      <c r="B86" s="26" t="s">
        <v>6053</v>
      </c>
    </row>
    <row r="87" spans="1:6" hidden="1">
      <c r="A87" s="865"/>
      <c r="B87" s="26" t="s">
        <v>6260</v>
      </c>
      <c r="D87" s="78" t="s">
        <v>1697</v>
      </c>
      <c r="E87" s="26">
        <v>21.43</v>
      </c>
      <c r="F87" s="26" t="s">
        <v>3479</v>
      </c>
    </row>
    <row r="88" spans="1:6" hidden="1">
      <c r="A88" s="865"/>
      <c r="B88" s="26" t="s">
        <v>4978</v>
      </c>
    </row>
    <row r="89" spans="1:6" hidden="1">
      <c r="A89" s="865"/>
      <c r="B89" s="26" t="s">
        <v>4979</v>
      </c>
    </row>
    <row r="90" spans="1:6" hidden="1">
      <c r="A90" s="865"/>
      <c r="B90" s="26" t="s">
        <v>4980</v>
      </c>
    </row>
    <row r="91" spans="1:6" hidden="1">
      <c r="A91" s="865"/>
      <c r="B91" s="26" t="s">
        <v>4964</v>
      </c>
    </row>
    <row r="92" spans="1:6" hidden="1">
      <c r="A92" s="865"/>
      <c r="B92" s="26" t="s">
        <v>4965</v>
      </c>
    </row>
    <row r="93" spans="1:6" hidden="1">
      <c r="A93" s="865"/>
      <c r="B93" s="26" t="s">
        <v>4863</v>
      </c>
    </row>
    <row r="94" spans="1:6" hidden="1">
      <c r="A94" s="865"/>
      <c r="B94" s="26" t="s">
        <v>1111</v>
      </c>
    </row>
    <row r="95" spans="1:6" hidden="1">
      <c r="A95" s="865"/>
      <c r="B95" s="26" t="s">
        <v>6766</v>
      </c>
    </row>
    <row r="96" spans="1:6" hidden="1">
      <c r="A96" s="865"/>
      <c r="B96" s="26" t="s">
        <v>6767</v>
      </c>
    </row>
    <row r="97" spans="1:6" hidden="1"/>
    <row r="98" spans="1:6"/>
    <row r="99" spans="1:6"/>
    <row r="100" spans="1:6"/>
    <row r="101" spans="1:6"/>
    <row r="102" spans="1:6"/>
    <row r="103" spans="1:6"/>
    <row r="104" spans="1:6"/>
    <row r="105" spans="1:6"/>
    <row r="106" spans="1:6"/>
    <row r="107" spans="1:6"/>
    <row r="108" spans="1:6"/>
    <row r="109" spans="1:6" hidden="1">
      <c r="A109" s="865"/>
      <c r="B109" s="26" t="s">
        <v>6768</v>
      </c>
      <c r="D109" s="78" t="s">
        <v>1697</v>
      </c>
      <c r="E109" s="26">
        <v>54</v>
      </c>
      <c r="F109" s="26" t="s">
        <v>2059</v>
      </c>
    </row>
    <row r="110" spans="1:6" hidden="1">
      <c r="A110" s="865"/>
      <c r="B110" s="26" t="s">
        <v>6769</v>
      </c>
      <c r="D110" s="78" t="s">
        <v>1697</v>
      </c>
      <c r="E110" s="26">
        <v>2</v>
      </c>
      <c r="F110" s="26" t="s">
        <v>2602</v>
      </c>
    </row>
    <row r="111" spans="1:6" hidden="1">
      <c r="A111" s="865"/>
      <c r="B111" s="26" t="s">
        <v>4633</v>
      </c>
    </row>
    <row r="112" spans="1:6" hidden="1">
      <c r="A112" s="865"/>
      <c r="B112" s="26" t="s">
        <v>4634</v>
      </c>
    </row>
    <row r="113" spans="1:6" hidden="1">
      <c r="A113" s="865"/>
      <c r="B113" s="26" t="s">
        <v>3402</v>
      </c>
      <c r="D113" s="78" t="s">
        <v>1697</v>
      </c>
      <c r="E113" s="26">
        <v>119</v>
      </c>
      <c r="F113" s="26" t="s">
        <v>2602</v>
      </c>
    </row>
    <row r="114" spans="1:6" hidden="1">
      <c r="A114" s="865"/>
      <c r="B114" s="26" t="s">
        <v>3403</v>
      </c>
      <c r="D114" s="78" t="s">
        <v>1697</v>
      </c>
      <c r="E114" s="26">
        <v>6</v>
      </c>
      <c r="F114" s="26" t="s">
        <v>2602</v>
      </c>
    </row>
    <row r="115" spans="1:6" hidden="1">
      <c r="A115" s="865"/>
      <c r="B115" s="26" t="s">
        <v>3279</v>
      </c>
      <c r="D115" s="78" t="s">
        <v>3280</v>
      </c>
      <c r="E115" s="26">
        <v>5</v>
      </c>
      <c r="F115" s="26" t="s">
        <v>4665</v>
      </c>
    </row>
    <row r="116" spans="1:6" hidden="1">
      <c r="A116" s="865"/>
      <c r="B116" s="26" t="s">
        <v>3281</v>
      </c>
      <c r="D116" s="78" t="s">
        <v>1697</v>
      </c>
      <c r="E116" s="26">
        <v>5</v>
      </c>
      <c r="F116" s="26" t="s">
        <v>4665</v>
      </c>
    </row>
    <row r="117" spans="1:6" hidden="1">
      <c r="A117" s="865"/>
      <c r="B117" s="26" t="s">
        <v>3282</v>
      </c>
      <c r="D117" s="78" t="s">
        <v>1697</v>
      </c>
      <c r="E117" s="26">
        <v>5</v>
      </c>
      <c r="F117" s="26" t="s">
        <v>4665</v>
      </c>
    </row>
    <row r="118" spans="1:6" hidden="1">
      <c r="A118" s="865"/>
      <c r="B118" s="26" t="s">
        <v>3283</v>
      </c>
      <c r="D118" s="78" t="s">
        <v>1697</v>
      </c>
      <c r="E118" s="26">
        <v>5</v>
      </c>
      <c r="F118" s="26" t="s">
        <v>4665</v>
      </c>
    </row>
    <row r="119" spans="1:6" hidden="1">
      <c r="A119" s="865">
        <v>3</v>
      </c>
      <c r="B119" s="26" t="s">
        <v>2968</v>
      </c>
      <c r="D119" s="78"/>
    </row>
    <row r="120" spans="1:6" hidden="1">
      <c r="A120" s="865"/>
      <c r="B120" s="26" t="s">
        <v>3284</v>
      </c>
      <c r="D120" s="78" t="s">
        <v>1697</v>
      </c>
      <c r="E120" s="68">
        <v>1.8</v>
      </c>
      <c r="F120" s="26" t="s">
        <v>2602</v>
      </c>
    </row>
    <row r="121" spans="1:6" hidden="1">
      <c r="A121" s="865"/>
      <c r="B121" s="26" t="s">
        <v>3285</v>
      </c>
      <c r="D121" s="78" t="s">
        <v>1697</v>
      </c>
      <c r="E121" s="26">
        <v>38.5</v>
      </c>
      <c r="F121" s="26" t="s">
        <v>3477</v>
      </c>
    </row>
    <row r="122" spans="1:6" hidden="1">
      <c r="A122" s="865"/>
      <c r="B122" s="26" t="s">
        <v>3286</v>
      </c>
      <c r="D122" s="78" t="s">
        <v>1697</v>
      </c>
      <c r="E122" s="26">
        <v>38</v>
      </c>
      <c r="F122" s="26" t="s">
        <v>3478</v>
      </c>
    </row>
    <row r="123" spans="1:6" hidden="1">
      <c r="A123" s="865"/>
      <c r="B123" s="26" t="s">
        <v>3472</v>
      </c>
      <c r="D123" s="78" t="s">
        <v>1697</v>
      </c>
      <c r="E123" s="26">
        <v>2</v>
      </c>
      <c r="F123" s="26" t="s">
        <v>3478</v>
      </c>
    </row>
    <row r="124" spans="1:6" hidden="1">
      <c r="A124" s="865"/>
      <c r="B124" s="26" t="s">
        <v>4914</v>
      </c>
      <c r="D124" s="78" t="s">
        <v>1697</v>
      </c>
      <c r="E124" s="26">
        <v>40</v>
      </c>
      <c r="F124" s="26" t="s">
        <v>3478</v>
      </c>
    </row>
    <row r="125" spans="1:6" hidden="1">
      <c r="A125" s="865"/>
      <c r="B125" s="26" t="s">
        <v>3673</v>
      </c>
      <c r="D125" s="78" t="s">
        <v>1697</v>
      </c>
      <c r="E125" s="26">
        <v>54</v>
      </c>
      <c r="F125" s="26" t="s">
        <v>2059</v>
      </c>
    </row>
    <row r="126" spans="1:6" hidden="1">
      <c r="A126" s="865"/>
      <c r="B126" s="26" t="s">
        <v>2560</v>
      </c>
      <c r="D126" s="78" t="s">
        <v>2561</v>
      </c>
      <c r="E126" s="26">
        <v>5</v>
      </c>
      <c r="F126" s="26" t="s">
        <v>2059</v>
      </c>
    </row>
    <row r="127" spans="1:6" hidden="1">
      <c r="A127" s="865"/>
      <c r="B127" s="26" t="s">
        <v>6094</v>
      </c>
      <c r="D127" s="78" t="s">
        <v>1697</v>
      </c>
      <c r="E127" s="26">
        <v>50</v>
      </c>
      <c r="F127" s="26" t="s">
        <v>3483</v>
      </c>
    </row>
    <row r="128" spans="1:6" hidden="1">
      <c r="A128" s="865"/>
      <c r="B128" s="26" t="s">
        <v>2562</v>
      </c>
    </row>
    <row r="129" spans="1:6" hidden="1">
      <c r="A129" s="865">
        <v>4</v>
      </c>
      <c r="B129" s="26" t="s">
        <v>2563</v>
      </c>
    </row>
    <row r="130" spans="1:6" hidden="1">
      <c r="A130" s="865"/>
      <c r="B130" s="26" t="s">
        <v>4667</v>
      </c>
    </row>
    <row r="131" spans="1:6" hidden="1">
      <c r="A131" s="865"/>
      <c r="B131" s="26" t="s">
        <v>3674</v>
      </c>
    </row>
    <row r="132" spans="1:6" hidden="1">
      <c r="A132" s="865"/>
      <c r="B132" s="26" t="s">
        <v>5961</v>
      </c>
    </row>
    <row r="133" spans="1:6" hidden="1">
      <c r="A133" s="865">
        <v>5</v>
      </c>
      <c r="B133" s="26" t="s">
        <v>5962</v>
      </c>
    </row>
    <row r="134" spans="1:6" hidden="1">
      <c r="A134" s="865"/>
      <c r="B134" s="26" t="s">
        <v>6106</v>
      </c>
      <c r="D134" s="78" t="s">
        <v>1697</v>
      </c>
      <c r="E134" s="26">
        <v>58</v>
      </c>
      <c r="F134" s="26" t="s">
        <v>3477</v>
      </c>
    </row>
    <row r="135" spans="1:6" hidden="1">
      <c r="A135" s="865"/>
      <c r="B135" s="26" t="s">
        <v>6107</v>
      </c>
      <c r="D135" s="78" t="s">
        <v>1697</v>
      </c>
      <c r="E135" s="68">
        <v>5</v>
      </c>
      <c r="F135" s="26" t="s">
        <v>3477</v>
      </c>
    </row>
    <row r="136" spans="1:6" hidden="1">
      <c r="A136" s="865"/>
      <c r="B136" s="26" t="s">
        <v>6108</v>
      </c>
      <c r="D136" s="78" t="s">
        <v>1697</v>
      </c>
      <c r="E136" s="68">
        <v>4.5</v>
      </c>
      <c r="F136" s="26" t="s">
        <v>3477</v>
      </c>
    </row>
    <row r="137" spans="1:6" hidden="1">
      <c r="A137" s="865"/>
      <c r="B137" s="26" t="s">
        <v>6109</v>
      </c>
      <c r="D137" s="78"/>
    </row>
    <row r="138" spans="1:6" hidden="1">
      <c r="A138" s="865"/>
      <c r="B138" s="26" t="s">
        <v>2252</v>
      </c>
      <c r="D138" s="78" t="s">
        <v>1697</v>
      </c>
      <c r="E138" s="26">
        <v>1</v>
      </c>
      <c r="F138" s="26" t="s">
        <v>6902</v>
      </c>
    </row>
    <row r="139" spans="1:6" hidden="1">
      <c r="A139" s="865"/>
      <c r="B139" s="26" t="s">
        <v>2253</v>
      </c>
      <c r="D139" s="78" t="s">
        <v>1697</v>
      </c>
      <c r="E139" s="174">
        <v>20</v>
      </c>
      <c r="F139" s="26" t="s">
        <v>6902</v>
      </c>
    </row>
    <row r="140" spans="1:6" hidden="1">
      <c r="A140" s="865"/>
      <c r="B140" s="26" t="s">
        <v>3677</v>
      </c>
      <c r="D140" s="78" t="s">
        <v>1697</v>
      </c>
      <c r="E140" s="26">
        <f>E139+E138</f>
        <v>21</v>
      </c>
      <c r="F140" s="26" t="s">
        <v>6902</v>
      </c>
    </row>
    <row r="141" spans="1:6" hidden="1">
      <c r="A141" s="865"/>
      <c r="B141" s="26" t="s">
        <v>3678</v>
      </c>
      <c r="D141" s="78"/>
      <c r="F141" s="26" t="s">
        <v>6902</v>
      </c>
    </row>
    <row r="142" spans="1:6" hidden="1">
      <c r="A142" s="865"/>
      <c r="B142" s="26" t="s">
        <v>3679</v>
      </c>
      <c r="D142" s="78" t="s">
        <v>1697</v>
      </c>
      <c r="E142" s="68">
        <v>3</v>
      </c>
      <c r="F142" s="26" t="s">
        <v>6902</v>
      </c>
    </row>
    <row r="143" spans="1:6" hidden="1">
      <c r="A143" s="865"/>
      <c r="B143" s="26" t="s">
        <v>3615</v>
      </c>
      <c r="D143" s="78" t="s">
        <v>1697</v>
      </c>
      <c r="E143" s="68">
        <v>2</v>
      </c>
      <c r="F143" s="26" t="s">
        <v>6902</v>
      </c>
    </row>
    <row r="144" spans="1:6" hidden="1">
      <c r="A144" s="865"/>
      <c r="B144" s="26" t="s">
        <v>3616</v>
      </c>
      <c r="D144" s="78" t="s">
        <v>1697</v>
      </c>
      <c r="E144" s="173">
        <v>2</v>
      </c>
      <c r="F144" s="26" t="s">
        <v>6902</v>
      </c>
    </row>
    <row r="145" spans="1:6" hidden="1">
      <c r="A145" s="865"/>
      <c r="B145" s="26" t="s">
        <v>3617</v>
      </c>
      <c r="D145" s="78" t="s">
        <v>1697</v>
      </c>
      <c r="E145" s="68">
        <f>E144+E143+E142</f>
        <v>7</v>
      </c>
      <c r="F145" s="26" t="s">
        <v>6902</v>
      </c>
    </row>
    <row r="146" spans="1:6" hidden="1">
      <c r="A146" s="865"/>
      <c r="B146" s="26" t="s">
        <v>3618</v>
      </c>
    </row>
    <row r="147" spans="1:6" hidden="1">
      <c r="A147" s="865"/>
      <c r="B147" s="26" t="s">
        <v>3619</v>
      </c>
      <c r="E147" s="68">
        <f>E145+E140</f>
        <v>28</v>
      </c>
      <c r="F147" s="26" t="s">
        <v>6902</v>
      </c>
    </row>
    <row r="148" spans="1:6" hidden="1">
      <c r="A148" s="865"/>
      <c r="B148" s="26" t="s">
        <v>5932</v>
      </c>
      <c r="D148" s="78" t="s">
        <v>3280</v>
      </c>
      <c r="E148" s="26">
        <v>30</v>
      </c>
      <c r="F148" s="26" t="s">
        <v>6902</v>
      </c>
    </row>
    <row r="149" spans="1:6" hidden="1">
      <c r="A149" s="865"/>
      <c r="B149" s="26" t="s">
        <v>6110</v>
      </c>
      <c r="D149" s="78" t="s">
        <v>1697</v>
      </c>
      <c r="E149" s="68">
        <v>9</v>
      </c>
      <c r="F149" s="26" t="s">
        <v>3477</v>
      </c>
    </row>
    <row r="150" spans="1:6" hidden="1">
      <c r="A150" s="865"/>
      <c r="B150" s="26" t="s">
        <v>3893</v>
      </c>
      <c r="D150" s="78" t="s">
        <v>1697</v>
      </c>
      <c r="E150" s="26">
        <v>6.5</v>
      </c>
      <c r="F150" s="26" t="s">
        <v>4665</v>
      </c>
    </row>
    <row r="151" spans="1:6" hidden="1">
      <c r="A151" s="865"/>
      <c r="B151" s="26" t="s">
        <v>3894</v>
      </c>
      <c r="D151" s="78" t="s">
        <v>1697</v>
      </c>
      <c r="E151" s="26">
        <v>6.5</v>
      </c>
      <c r="F151" s="26" t="s">
        <v>4665</v>
      </c>
    </row>
    <row r="152" spans="1:6" hidden="1">
      <c r="A152" s="865">
        <v>6</v>
      </c>
      <c r="B152" s="26" t="s">
        <v>3895</v>
      </c>
      <c r="D152" s="78"/>
    </row>
    <row r="153" spans="1:6" hidden="1">
      <c r="A153" s="865"/>
      <c r="B153" s="26" t="s">
        <v>3896</v>
      </c>
      <c r="D153" s="78" t="s">
        <v>1697</v>
      </c>
      <c r="E153" s="68">
        <v>2</v>
      </c>
      <c r="F153" s="26" t="s">
        <v>4665</v>
      </c>
    </row>
    <row r="154" spans="1:6" hidden="1">
      <c r="A154" s="865"/>
      <c r="B154" s="26" t="s">
        <v>3897</v>
      </c>
      <c r="D154" s="78" t="s">
        <v>1697</v>
      </c>
      <c r="E154" s="68">
        <v>5</v>
      </c>
      <c r="F154" s="26" t="s">
        <v>4665</v>
      </c>
    </row>
    <row r="155" spans="1:6" hidden="1">
      <c r="A155" s="865"/>
      <c r="B155" s="26" t="s">
        <v>3898</v>
      </c>
      <c r="D155" s="78" t="s">
        <v>1697</v>
      </c>
      <c r="E155" s="68">
        <v>2</v>
      </c>
      <c r="F155" s="26" t="s">
        <v>4665</v>
      </c>
    </row>
    <row r="156" spans="1:6" hidden="1">
      <c r="A156" s="865"/>
      <c r="B156" s="26" t="s">
        <v>3936</v>
      </c>
      <c r="D156" s="78" t="s">
        <v>1697</v>
      </c>
      <c r="E156" s="68">
        <v>2</v>
      </c>
      <c r="F156" s="26" t="s">
        <v>4665</v>
      </c>
    </row>
    <row r="157" spans="1:6" hidden="1">
      <c r="A157" s="865"/>
      <c r="B157" s="26" t="s">
        <v>3937</v>
      </c>
      <c r="D157" s="78" t="s">
        <v>1697</v>
      </c>
      <c r="E157" s="68">
        <v>6.5</v>
      </c>
      <c r="F157" s="26" t="s">
        <v>4665</v>
      </c>
    </row>
    <row r="158" spans="1:6" hidden="1">
      <c r="A158" s="865"/>
      <c r="B158" s="26" t="s">
        <v>3938</v>
      </c>
      <c r="D158" s="78" t="s">
        <v>3280</v>
      </c>
      <c r="E158" s="173">
        <v>6.5</v>
      </c>
      <c r="F158" s="26" t="s">
        <v>4665</v>
      </c>
    </row>
    <row r="159" spans="1:6" hidden="1">
      <c r="A159" s="865"/>
      <c r="B159" s="26" t="s">
        <v>3939</v>
      </c>
      <c r="D159" s="78" t="s">
        <v>1697</v>
      </c>
      <c r="E159" s="68">
        <f>SUM(E153:E158)</f>
        <v>24</v>
      </c>
      <c r="F159" s="26" t="s">
        <v>4665</v>
      </c>
    </row>
    <row r="160" spans="1:6" hidden="1">
      <c r="A160" s="865"/>
      <c r="B160" s="26" t="s">
        <v>3940</v>
      </c>
      <c r="D160" s="78"/>
    </row>
    <row r="161" spans="1:7" hidden="1">
      <c r="A161" s="865"/>
      <c r="B161" s="26" t="s">
        <v>4184</v>
      </c>
      <c r="D161" s="78"/>
    </row>
    <row r="162" spans="1:7" hidden="1">
      <c r="A162" s="865"/>
      <c r="B162" s="26" t="s">
        <v>6840</v>
      </c>
      <c r="C162" s="68">
        <f>'BASIC DATA'!$D$308</f>
        <v>6254</v>
      </c>
      <c r="D162" s="78" t="s">
        <v>1698</v>
      </c>
      <c r="E162" s="68">
        <f>C162</f>
        <v>6254</v>
      </c>
    </row>
    <row r="163" spans="1:7" hidden="1">
      <c r="A163" s="865"/>
      <c r="B163" s="26" t="s">
        <v>3941</v>
      </c>
      <c r="D163" s="78" t="s">
        <v>1697</v>
      </c>
      <c r="E163" s="26">
        <v>150</v>
      </c>
      <c r="F163" s="26" t="s">
        <v>3561</v>
      </c>
    </row>
    <row r="164" spans="1:7" hidden="1">
      <c r="A164" s="865"/>
      <c r="B164" s="26" t="s">
        <v>7592</v>
      </c>
      <c r="C164" s="26" t="s">
        <v>7593</v>
      </c>
      <c r="D164" s="78" t="s">
        <v>1698</v>
      </c>
      <c r="E164" s="68">
        <f>E162/E163</f>
        <v>41.693333333333335</v>
      </c>
    </row>
    <row r="165" spans="1:7" hidden="1">
      <c r="A165" s="865"/>
      <c r="B165" s="26" t="s">
        <v>3942</v>
      </c>
      <c r="D165" s="78" t="s">
        <v>1697</v>
      </c>
      <c r="E165" s="316">
        <v>25</v>
      </c>
      <c r="F165" s="26" t="s">
        <v>42</v>
      </c>
    </row>
    <row r="166" spans="1:7" hidden="1">
      <c r="A166" s="865"/>
      <c r="B166" s="26" t="s">
        <v>5774</v>
      </c>
      <c r="C166" s="68">
        <f>'BASIC DATA'!$D$344</f>
        <v>185</v>
      </c>
      <c r="D166" s="78" t="s">
        <v>1698</v>
      </c>
      <c r="E166" s="68">
        <f>E165*C166</f>
        <v>4625</v>
      </c>
    </row>
    <row r="167" spans="1:7" hidden="1">
      <c r="A167" s="865"/>
      <c r="B167" s="26" t="s">
        <v>5152</v>
      </c>
      <c r="D167" s="78" t="s">
        <v>1697</v>
      </c>
      <c r="E167" s="316">
        <v>800</v>
      </c>
      <c r="F167" s="26" t="s">
        <v>4665</v>
      </c>
    </row>
    <row r="168" spans="1:7" hidden="1">
      <c r="A168" s="865"/>
      <c r="B168" s="26" t="s">
        <v>4110</v>
      </c>
      <c r="C168" s="26" t="s">
        <v>7593</v>
      </c>
      <c r="D168" s="78" t="s">
        <v>1698</v>
      </c>
      <c r="E168" s="68">
        <f>E166/E167</f>
        <v>5.78125</v>
      </c>
    </row>
    <row r="169" spans="1:7" hidden="1">
      <c r="A169" s="865"/>
      <c r="B169" s="26" t="s">
        <v>847</v>
      </c>
      <c r="C169" s="68">
        <f>'BASIC DATA'!$D$360</f>
        <v>185</v>
      </c>
      <c r="D169" s="78" t="s">
        <v>1698</v>
      </c>
      <c r="E169" s="68">
        <f>E165*C169</f>
        <v>4625</v>
      </c>
    </row>
    <row r="170" spans="1:7" hidden="1">
      <c r="A170" s="865"/>
      <c r="B170" s="26" t="s">
        <v>3943</v>
      </c>
      <c r="D170" s="78" t="s">
        <v>1697</v>
      </c>
      <c r="E170" s="316">
        <v>800</v>
      </c>
      <c r="F170" s="26" t="s">
        <v>4665</v>
      </c>
    </row>
    <row r="171" spans="1:7" hidden="1">
      <c r="A171" s="865"/>
      <c r="B171" s="26" t="s">
        <v>5829</v>
      </c>
      <c r="C171" s="26" t="s">
        <v>7593</v>
      </c>
      <c r="D171" s="78" t="s">
        <v>1698</v>
      </c>
      <c r="E171" s="68">
        <f>E169/E170</f>
        <v>5.78125</v>
      </c>
    </row>
    <row r="172" spans="1:7"/>
    <row r="173" spans="1:7">
      <c r="A173" s="822" t="s">
        <v>3984</v>
      </c>
      <c r="B173" s="78"/>
      <c r="C173" s="203" t="s">
        <v>2367</v>
      </c>
      <c r="E173" s="171" t="s">
        <v>297</v>
      </c>
      <c r="F173" s="246">
        <f>E121</f>
        <v>38.5</v>
      </c>
      <c r="G173" s="26" t="s">
        <v>3477</v>
      </c>
    </row>
    <row r="174" spans="1:7">
      <c r="B174" s="79" t="s">
        <v>2368</v>
      </c>
    </row>
    <row r="175" spans="1:7">
      <c r="B175" s="95" t="s">
        <v>2369</v>
      </c>
      <c r="C175" s="157" t="s">
        <v>4443</v>
      </c>
      <c r="D175" s="95" t="s">
        <v>2370</v>
      </c>
      <c r="E175" s="95" t="s">
        <v>1166</v>
      </c>
      <c r="F175" s="95" t="s">
        <v>2371</v>
      </c>
      <c r="G175" s="95" t="s">
        <v>2372</v>
      </c>
    </row>
    <row r="176" spans="1:7">
      <c r="B176" s="114"/>
      <c r="C176" s="154"/>
      <c r="D176" s="114"/>
      <c r="E176" s="114"/>
      <c r="F176" s="114" t="s">
        <v>3485</v>
      </c>
      <c r="G176" s="114" t="s">
        <v>3485</v>
      </c>
    </row>
    <row r="177" spans="2:7">
      <c r="B177" s="95">
        <v>1</v>
      </c>
      <c r="C177" s="135" t="s">
        <v>5830</v>
      </c>
      <c r="D177" s="95" t="s">
        <v>3478</v>
      </c>
      <c r="E177" s="190">
        <v>40</v>
      </c>
      <c r="F177" s="214">
        <f>'BASIC DATA'!$D$54</f>
        <v>70</v>
      </c>
      <c r="G177" s="190">
        <f>E177*F177</f>
        <v>2800</v>
      </c>
    </row>
    <row r="178" spans="2:7">
      <c r="B178" s="105">
        <v>2</v>
      </c>
      <c r="C178" s="135" t="s">
        <v>5831</v>
      </c>
      <c r="D178" s="105" t="s">
        <v>2059</v>
      </c>
      <c r="E178" s="190">
        <v>54</v>
      </c>
      <c r="F178" s="214">
        <f>'BASIC DATA'!$D$48</f>
        <v>20</v>
      </c>
      <c r="G178" s="190">
        <f t="shared" ref="G178:G185" si="0">E178*F178</f>
        <v>1080</v>
      </c>
    </row>
    <row r="179" spans="2:7">
      <c r="B179" s="105">
        <v>3</v>
      </c>
      <c r="C179" s="135" t="s">
        <v>2060</v>
      </c>
      <c r="D179" s="105" t="s">
        <v>2059</v>
      </c>
      <c r="E179" s="190">
        <v>5</v>
      </c>
      <c r="F179" s="214">
        <f>'BASIC DATA'!$D$49</f>
        <v>11</v>
      </c>
      <c r="G179" s="190">
        <f t="shared" si="0"/>
        <v>55</v>
      </c>
    </row>
    <row r="180" spans="2:7">
      <c r="B180" s="105">
        <v>4</v>
      </c>
      <c r="C180" s="135" t="s">
        <v>5703</v>
      </c>
      <c r="D180" s="105" t="s">
        <v>3483</v>
      </c>
      <c r="E180" s="190">
        <v>50</v>
      </c>
      <c r="F180" s="214">
        <f>'BASIC DATA'!$D$46</f>
        <v>9</v>
      </c>
      <c r="G180" s="190">
        <f t="shared" si="0"/>
        <v>450</v>
      </c>
    </row>
    <row r="181" spans="2:7">
      <c r="B181" s="105">
        <v>5</v>
      </c>
      <c r="C181" s="135" t="s">
        <v>2449</v>
      </c>
      <c r="D181" s="105" t="s">
        <v>3483</v>
      </c>
      <c r="E181" s="190">
        <v>119</v>
      </c>
      <c r="F181" s="214">
        <f>E164</f>
        <v>41.693333333333335</v>
      </c>
      <c r="G181" s="190">
        <f t="shared" si="0"/>
        <v>4961.5066666666671</v>
      </c>
    </row>
    <row r="182" spans="2:7">
      <c r="B182" s="317"/>
      <c r="C182" s="135" t="s">
        <v>5125</v>
      </c>
      <c r="D182" s="224">
        <v>0.1</v>
      </c>
      <c r="E182" s="190"/>
      <c r="F182" s="214"/>
      <c r="G182" s="190">
        <f>G181*D182</f>
        <v>496.15066666666672</v>
      </c>
    </row>
    <row r="183" spans="2:7">
      <c r="B183" s="105">
        <v>6</v>
      </c>
      <c r="C183" s="135" t="s">
        <v>1404</v>
      </c>
      <c r="D183" s="105" t="s">
        <v>2374</v>
      </c>
      <c r="E183" s="190">
        <v>20</v>
      </c>
      <c r="F183" s="214">
        <f>E168</f>
        <v>5.78125</v>
      </c>
      <c r="G183" s="190">
        <f t="shared" si="0"/>
        <v>115.625</v>
      </c>
    </row>
    <row r="184" spans="2:7">
      <c r="B184" s="105">
        <v>7</v>
      </c>
      <c r="C184" s="135" t="s">
        <v>4479</v>
      </c>
      <c r="D184" s="105" t="s">
        <v>2374</v>
      </c>
      <c r="E184" s="190">
        <v>20</v>
      </c>
      <c r="F184" s="214">
        <f>E171</f>
        <v>5.78125</v>
      </c>
      <c r="G184" s="190">
        <f t="shared" si="0"/>
        <v>115.625</v>
      </c>
    </row>
    <row r="185" spans="2:7">
      <c r="B185" s="114">
        <v>8</v>
      </c>
      <c r="C185" s="135" t="s">
        <v>4480</v>
      </c>
      <c r="D185" s="105" t="s">
        <v>2173</v>
      </c>
      <c r="E185" s="190">
        <v>2</v>
      </c>
      <c r="F185" s="214">
        <f>'BASIC DATA'!$D$359</f>
        <v>30</v>
      </c>
      <c r="G185" s="190">
        <f t="shared" si="0"/>
        <v>60</v>
      </c>
    </row>
    <row r="186" spans="2:7">
      <c r="B186" s="92"/>
      <c r="C186" s="193" t="s">
        <v>2376</v>
      </c>
      <c r="D186" s="159"/>
      <c r="E186" s="238"/>
      <c r="F186" s="236" t="s">
        <v>1698</v>
      </c>
      <c r="G186" s="318">
        <f>SUM(G177:G185)</f>
        <v>10133.907333333334</v>
      </c>
    </row>
    <row r="187" spans="2:7">
      <c r="B187" s="78"/>
    </row>
    <row r="188" spans="2:7">
      <c r="B188" s="79" t="s">
        <v>2377</v>
      </c>
    </row>
    <row r="189" spans="2:7">
      <c r="B189" s="95" t="s">
        <v>2369</v>
      </c>
      <c r="C189" s="157" t="s">
        <v>2378</v>
      </c>
      <c r="D189" s="95" t="s">
        <v>2370</v>
      </c>
      <c r="E189" s="95" t="s">
        <v>1166</v>
      </c>
      <c r="F189" s="95" t="s">
        <v>2371</v>
      </c>
      <c r="G189" s="95" t="s">
        <v>2372</v>
      </c>
    </row>
    <row r="190" spans="2:7">
      <c r="B190" s="114"/>
      <c r="C190" s="154"/>
      <c r="D190" s="114"/>
      <c r="E190" s="114"/>
      <c r="F190" s="114" t="s">
        <v>3485</v>
      </c>
      <c r="G190" s="114" t="s">
        <v>3485</v>
      </c>
    </row>
    <row r="191" spans="2:7">
      <c r="B191" s="95">
        <v>1</v>
      </c>
      <c r="C191" s="135" t="s">
        <v>7102</v>
      </c>
      <c r="D191" s="95" t="s">
        <v>2374</v>
      </c>
      <c r="E191" s="190">
        <v>8</v>
      </c>
      <c r="F191" s="190">
        <f>'HIRE CHARGES'!$D$524</f>
        <v>368.40000000000003</v>
      </c>
      <c r="G191" s="190">
        <f>E191*F191</f>
        <v>2947.2000000000003</v>
      </c>
    </row>
    <row r="192" spans="2:7">
      <c r="B192" s="317"/>
      <c r="C192" s="135" t="s">
        <v>2379</v>
      </c>
      <c r="D192" s="105" t="s">
        <v>2374</v>
      </c>
      <c r="E192" s="190">
        <v>8</v>
      </c>
      <c r="F192" s="190">
        <f>'HIRE CHARGES'!$E$524</f>
        <v>42.8</v>
      </c>
      <c r="G192" s="190">
        <f t="shared" ref="G192:G207" si="1">E192*F192</f>
        <v>342.4</v>
      </c>
    </row>
    <row r="193" spans="2:7">
      <c r="B193" s="105">
        <v>2</v>
      </c>
      <c r="C193" s="135" t="s">
        <v>4481</v>
      </c>
      <c r="D193" s="105" t="s">
        <v>2374</v>
      </c>
      <c r="E193" s="190">
        <v>5</v>
      </c>
      <c r="F193" s="190">
        <f>'HIRE CHARGES'!$D$498</f>
        <v>138.80000000000001</v>
      </c>
      <c r="G193" s="190">
        <f t="shared" si="1"/>
        <v>694</v>
      </c>
    </row>
    <row r="194" spans="2:7">
      <c r="B194" s="317"/>
      <c r="C194" s="135" t="s">
        <v>2379</v>
      </c>
      <c r="D194" s="105" t="s">
        <v>2374</v>
      </c>
      <c r="E194" s="190">
        <v>5</v>
      </c>
      <c r="F194" s="190">
        <f>'HIRE CHARGES'!$E$498</f>
        <v>700.5</v>
      </c>
      <c r="G194" s="190">
        <f t="shared" si="1"/>
        <v>3502.5</v>
      </c>
    </row>
    <row r="195" spans="2:7">
      <c r="B195" s="105">
        <v>3</v>
      </c>
      <c r="C195" s="135" t="s">
        <v>4482</v>
      </c>
      <c r="D195" s="105" t="s">
        <v>2374</v>
      </c>
      <c r="E195" s="190">
        <v>20</v>
      </c>
      <c r="F195" s="190">
        <f>'HIRE CHARGES'!$D$530</f>
        <v>19.8</v>
      </c>
      <c r="G195" s="190">
        <f t="shared" si="1"/>
        <v>396</v>
      </c>
    </row>
    <row r="196" spans="2:7">
      <c r="B196" s="317"/>
      <c r="C196" s="135" t="s">
        <v>2379</v>
      </c>
      <c r="D196" s="105" t="s">
        <v>2374</v>
      </c>
      <c r="E196" s="190">
        <v>20</v>
      </c>
      <c r="F196" s="190">
        <f>'HIRE CHARGES'!$E$530</f>
        <v>0</v>
      </c>
      <c r="G196" s="190">
        <f t="shared" si="1"/>
        <v>0</v>
      </c>
    </row>
    <row r="197" spans="2:7">
      <c r="B197" s="105">
        <v>4</v>
      </c>
      <c r="C197" s="135" t="s">
        <v>6061</v>
      </c>
      <c r="D197" s="105" t="s">
        <v>2374</v>
      </c>
      <c r="E197" s="190">
        <v>20</v>
      </c>
      <c r="F197" s="190">
        <f>'HIRE CHARGES'!$D$540</f>
        <v>12.7</v>
      </c>
      <c r="G197" s="190">
        <f t="shared" si="1"/>
        <v>254</v>
      </c>
    </row>
    <row r="198" spans="2:7">
      <c r="B198" s="317"/>
      <c r="C198" s="135" t="s">
        <v>2379</v>
      </c>
      <c r="D198" s="105" t="s">
        <v>2374</v>
      </c>
      <c r="E198" s="190">
        <v>20</v>
      </c>
      <c r="F198" s="190">
        <f>'HIRE CHARGES'!$E$540</f>
        <v>0</v>
      </c>
      <c r="G198" s="190">
        <f t="shared" si="1"/>
        <v>0</v>
      </c>
    </row>
    <row r="199" spans="2:7">
      <c r="B199" s="105">
        <v>5</v>
      </c>
      <c r="C199" s="135" t="s">
        <v>3090</v>
      </c>
      <c r="D199" s="105" t="s">
        <v>2374</v>
      </c>
      <c r="E199" s="190">
        <v>6.5</v>
      </c>
      <c r="F199" s="190">
        <f>'HIRE CHARGES'!$D$512</f>
        <v>822.8</v>
      </c>
      <c r="G199" s="190">
        <f t="shared" si="1"/>
        <v>5348.2</v>
      </c>
    </row>
    <row r="200" spans="2:7">
      <c r="B200" s="317"/>
      <c r="C200" s="135" t="s">
        <v>2379</v>
      </c>
      <c r="D200" s="105" t="s">
        <v>2374</v>
      </c>
      <c r="E200" s="190">
        <v>6.5</v>
      </c>
      <c r="F200" s="190">
        <f>'HIRE CHARGES'!$E$512</f>
        <v>195</v>
      </c>
      <c r="G200" s="190">
        <f t="shared" si="1"/>
        <v>1267.5</v>
      </c>
    </row>
    <row r="201" spans="2:7">
      <c r="B201" s="105">
        <v>6</v>
      </c>
      <c r="C201" s="135" t="s">
        <v>4483</v>
      </c>
      <c r="D201" s="105" t="s">
        <v>2374</v>
      </c>
      <c r="E201" s="190">
        <v>6.5</v>
      </c>
      <c r="F201" s="190">
        <f>'HIRE CHARGES'!$D$525</f>
        <v>580.69999999999993</v>
      </c>
      <c r="G201" s="190">
        <f t="shared" si="1"/>
        <v>3774.5499999999997</v>
      </c>
    </row>
    <row r="202" spans="2:7">
      <c r="B202" s="317"/>
      <c r="C202" s="135" t="s">
        <v>2379</v>
      </c>
      <c r="D202" s="105" t="s">
        <v>2374</v>
      </c>
      <c r="E202" s="190">
        <v>6.5</v>
      </c>
      <c r="F202" s="190">
        <f>'HIRE CHARGES'!$E$525</f>
        <v>399.9</v>
      </c>
      <c r="G202" s="190">
        <f t="shared" si="1"/>
        <v>2599.35</v>
      </c>
    </row>
    <row r="203" spans="2:7">
      <c r="B203" s="105">
        <v>7</v>
      </c>
      <c r="C203" s="135" t="s">
        <v>4484</v>
      </c>
      <c r="D203" s="105" t="s">
        <v>2374</v>
      </c>
      <c r="E203" s="190">
        <v>5</v>
      </c>
      <c r="F203" s="190">
        <f>'HIRE CHARGES'!$D$520</f>
        <v>6.7</v>
      </c>
      <c r="G203" s="190">
        <f t="shared" si="1"/>
        <v>33.5</v>
      </c>
    </row>
    <row r="204" spans="2:7">
      <c r="B204" s="317"/>
      <c r="C204" s="135" t="s">
        <v>2379</v>
      </c>
      <c r="D204" s="105" t="s">
        <v>2374</v>
      </c>
      <c r="E204" s="190">
        <v>5</v>
      </c>
      <c r="F204" s="190">
        <f>'HIRE CHARGES'!$E$520</f>
        <v>56</v>
      </c>
      <c r="G204" s="190">
        <f t="shared" si="1"/>
        <v>280</v>
      </c>
    </row>
    <row r="205" spans="2:7">
      <c r="B205" s="105">
        <v>8</v>
      </c>
      <c r="C205" s="135" t="s">
        <v>4485</v>
      </c>
      <c r="D205" s="105" t="s">
        <v>2374</v>
      </c>
      <c r="E205" s="190">
        <v>1</v>
      </c>
      <c r="F205" s="190">
        <f>'HIRE CHARGES'!$D$552</f>
        <v>11.5</v>
      </c>
      <c r="G205" s="190">
        <f t="shared" si="1"/>
        <v>11.5</v>
      </c>
    </row>
    <row r="206" spans="2:7">
      <c r="B206" s="317"/>
      <c r="C206" s="135" t="s">
        <v>2379</v>
      </c>
      <c r="D206" s="105" t="s">
        <v>2374</v>
      </c>
      <c r="E206" s="190">
        <v>1</v>
      </c>
      <c r="F206" s="190">
        <f>'HIRE CHARGES'!$E$552</f>
        <v>112.1</v>
      </c>
      <c r="G206" s="190">
        <f t="shared" si="1"/>
        <v>112.1</v>
      </c>
    </row>
    <row r="207" spans="2:7">
      <c r="B207" s="105">
        <v>9</v>
      </c>
      <c r="C207" s="135" t="s">
        <v>4486</v>
      </c>
      <c r="D207" s="105" t="s">
        <v>2173</v>
      </c>
      <c r="E207" s="190">
        <v>2</v>
      </c>
      <c r="F207" s="214">
        <f>'BASIC DATA'!$D$359</f>
        <v>30</v>
      </c>
      <c r="G207" s="190">
        <f t="shared" si="1"/>
        <v>60</v>
      </c>
    </row>
    <row r="208" spans="2:7">
      <c r="B208" s="176"/>
      <c r="C208" s="172" t="s">
        <v>2380</v>
      </c>
      <c r="D208" s="174"/>
      <c r="E208" s="192"/>
      <c r="F208" s="236" t="s">
        <v>1698</v>
      </c>
      <c r="G208" s="318">
        <f>SUM(G191:G207)</f>
        <v>21622.799999999996</v>
      </c>
    </row>
    <row r="209" spans="2:7">
      <c r="B209" s="78"/>
    </row>
    <row r="210" spans="2:7">
      <c r="B210" s="79" t="s">
        <v>2381</v>
      </c>
    </row>
    <row r="211" spans="2:7">
      <c r="B211" s="95" t="s">
        <v>2369</v>
      </c>
      <c r="C211" s="157" t="s">
        <v>2378</v>
      </c>
      <c r="D211" s="95" t="s">
        <v>2370</v>
      </c>
      <c r="E211" s="95" t="s">
        <v>1166</v>
      </c>
      <c r="F211" s="95" t="s">
        <v>2371</v>
      </c>
      <c r="G211" s="95" t="s">
        <v>2372</v>
      </c>
    </row>
    <row r="212" spans="2:7">
      <c r="B212" s="114"/>
      <c r="C212" s="154"/>
      <c r="D212" s="114"/>
      <c r="E212" s="114"/>
      <c r="F212" s="114" t="s">
        <v>3485</v>
      </c>
      <c r="G212" s="114" t="s">
        <v>3485</v>
      </c>
    </row>
    <row r="213" spans="2:7">
      <c r="B213" s="105">
        <v>1</v>
      </c>
      <c r="C213" s="76" t="s">
        <v>4487</v>
      </c>
      <c r="D213" s="105" t="s">
        <v>2374</v>
      </c>
      <c r="E213" s="207">
        <v>8</v>
      </c>
      <c r="F213" s="190">
        <f>'HIRE CHARGES'!$F$524</f>
        <v>175.8</v>
      </c>
      <c r="G213" s="190">
        <f>E213*F213</f>
        <v>1406.4</v>
      </c>
    </row>
    <row r="214" spans="2:7">
      <c r="B214" s="105">
        <v>2</v>
      </c>
      <c r="C214" s="76" t="s">
        <v>4606</v>
      </c>
      <c r="D214" s="105" t="s">
        <v>2374</v>
      </c>
      <c r="E214" s="207">
        <v>5</v>
      </c>
      <c r="F214" s="190">
        <f>'HIRE CHARGES'!$F$498</f>
        <v>175.8</v>
      </c>
      <c r="G214" s="190">
        <f t="shared" ref="G214:G231" si="2">E214*F214</f>
        <v>879</v>
      </c>
    </row>
    <row r="215" spans="2:7">
      <c r="B215" s="105">
        <v>3</v>
      </c>
      <c r="C215" s="76" t="s">
        <v>4607</v>
      </c>
      <c r="D215" s="105" t="s">
        <v>2374</v>
      </c>
      <c r="E215" s="207">
        <v>20</v>
      </c>
      <c r="F215" s="190">
        <f>'HIRE CHARGES'!$F$530</f>
        <v>329.6</v>
      </c>
      <c r="G215" s="190">
        <f t="shared" si="2"/>
        <v>6592</v>
      </c>
    </row>
    <row r="216" spans="2:7">
      <c r="B216" s="105">
        <v>4</v>
      </c>
      <c r="C216" s="76" t="s">
        <v>4584</v>
      </c>
      <c r="D216" s="105" t="s">
        <v>2374</v>
      </c>
      <c r="E216" s="207">
        <v>6.5</v>
      </c>
      <c r="F216" s="190">
        <f>'HIRE CHARGES'!$F$512</f>
        <v>175.8</v>
      </c>
      <c r="G216" s="190">
        <f t="shared" si="2"/>
        <v>1142.7</v>
      </c>
    </row>
    <row r="217" spans="2:7">
      <c r="B217" s="105">
        <v>5</v>
      </c>
      <c r="C217" s="76" t="s">
        <v>4585</v>
      </c>
      <c r="D217" s="105" t="s">
        <v>2374</v>
      </c>
      <c r="E217" s="207">
        <v>6.5</v>
      </c>
      <c r="F217" s="190">
        <f>'HIRE CHARGES'!$F$525</f>
        <v>227.1</v>
      </c>
      <c r="G217" s="190">
        <f t="shared" si="2"/>
        <v>1476.1499999999999</v>
      </c>
    </row>
    <row r="218" spans="2:7">
      <c r="B218" s="105">
        <v>6</v>
      </c>
      <c r="C218" s="76" t="s">
        <v>999</v>
      </c>
      <c r="D218" s="105" t="s">
        <v>2374</v>
      </c>
      <c r="E218" s="207">
        <v>5</v>
      </c>
      <c r="F218" s="190">
        <f>'HIRE CHARGES'!$F$520</f>
        <v>83.3</v>
      </c>
      <c r="G218" s="190">
        <f t="shared" si="2"/>
        <v>416.5</v>
      </c>
    </row>
    <row r="219" spans="2:7">
      <c r="B219" s="105">
        <v>7</v>
      </c>
      <c r="C219" s="76" t="s">
        <v>4586</v>
      </c>
      <c r="D219" s="105" t="s">
        <v>2374</v>
      </c>
      <c r="E219" s="207">
        <v>1</v>
      </c>
      <c r="F219" s="190">
        <f>'HIRE CHARGES'!$F$552</f>
        <v>28.7</v>
      </c>
      <c r="G219" s="190">
        <f t="shared" si="2"/>
        <v>28.7</v>
      </c>
    </row>
    <row r="220" spans="2:7">
      <c r="B220" s="105">
        <v>8</v>
      </c>
      <c r="C220" s="76" t="s">
        <v>2446</v>
      </c>
      <c r="D220" s="105" t="s">
        <v>1172</v>
      </c>
      <c r="E220" s="207">
        <v>0.5</v>
      </c>
      <c r="F220" s="190">
        <f>'BASIC DATA'!$C$558</f>
        <v>645</v>
      </c>
      <c r="G220" s="190">
        <f t="shared" si="2"/>
        <v>322.5</v>
      </c>
    </row>
    <row r="221" spans="2:7">
      <c r="B221" s="105">
        <v>9</v>
      </c>
      <c r="C221" s="76" t="s">
        <v>2468</v>
      </c>
      <c r="D221" s="105" t="s">
        <v>1172</v>
      </c>
      <c r="E221" s="207">
        <v>1</v>
      </c>
      <c r="F221" s="190">
        <f>'BASIC DATA'!$C$471</f>
        <v>510</v>
      </c>
      <c r="G221" s="190">
        <f t="shared" si="2"/>
        <v>510</v>
      </c>
    </row>
    <row r="222" spans="2:7">
      <c r="B222" s="105">
        <v>10</v>
      </c>
      <c r="C222" s="76" t="s">
        <v>4587</v>
      </c>
      <c r="D222" s="105" t="s">
        <v>1172</v>
      </c>
      <c r="E222" s="207">
        <v>2</v>
      </c>
      <c r="F222" s="190">
        <f>'BASIC DATA'!$C$475</f>
        <v>475</v>
      </c>
      <c r="G222" s="190">
        <f t="shared" si="2"/>
        <v>950</v>
      </c>
    </row>
    <row r="223" spans="2:7">
      <c r="B223" s="105">
        <v>11</v>
      </c>
      <c r="C223" s="76" t="s">
        <v>2463</v>
      </c>
      <c r="D223" s="105" t="s">
        <v>1172</v>
      </c>
      <c r="E223" s="207">
        <v>1</v>
      </c>
      <c r="F223" s="190">
        <f>'BASIC DATA'!$C$466</f>
        <v>510</v>
      </c>
      <c r="G223" s="190">
        <f t="shared" si="2"/>
        <v>510</v>
      </c>
    </row>
    <row r="224" spans="2:7">
      <c r="B224" s="105">
        <v>12</v>
      </c>
      <c r="C224" s="76" t="s">
        <v>5605</v>
      </c>
      <c r="D224" s="105" t="s">
        <v>1172</v>
      </c>
      <c r="E224" s="207">
        <v>2</v>
      </c>
      <c r="F224" s="190">
        <f>'BASIC DATA'!$C$520</f>
        <v>400</v>
      </c>
      <c r="G224" s="190">
        <f t="shared" si="2"/>
        <v>800</v>
      </c>
    </row>
    <row r="225" spans="2:7">
      <c r="B225" s="105">
        <v>13</v>
      </c>
      <c r="C225" s="76" t="s">
        <v>2310</v>
      </c>
      <c r="D225" s="105" t="s">
        <v>1172</v>
      </c>
      <c r="E225" s="207">
        <v>2</v>
      </c>
      <c r="F225" s="190">
        <f>'BASIC DATA'!$C$546</f>
        <v>400</v>
      </c>
      <c r="G225" s="190">
        <f t="shared" si="2"/>
        <v>800</v>
      </c>
    </row>
    <row r="226" spans="2:7">
      <c r="B226" s="105">
        <v>14</v>
      </c>
      <c r="C226" s="76" t="s">
        <v>4207</v>
      </c>
      <c r="D226" s="105" t="s">
        <v>1172</v>
      </c>
      <c r="E226" s="207">
        <v>3</v>
      </c>
      <c r="F226" s="190">
        <f>'BASIC DATA'!$C$473</f>
        <v>450</v>
      </c>
      <c r="G226" s="190">
        <f t="shared" si="2"/>
        <v>1350</v>
      </c>
    </row>
    <row r="227" spans="2:7">
      <c r="B227" s="105">
        <v>15</v>
      </c>
      <c r="C227" s="76" t="s">
        <v>3400</v>
      </c>
      <c r="D227" s="105" t="s">
        <v>1172</v>
      </c>
      <c r="E227" s="207">
        <v>4</v>
      </c>
      <c r="F227" s="190">
        <f>'BASIC DATA'!$C$500</f>
        <v>445</v>
      </c>
      <c r="G227" s="190">
        <f t="shared" si="2"/>
        <v>1780</v>
      </c>
    </row>
    <row r="228" spans="2:7">
      <c r="B228" s="105">
        <v>16</v>
      </c>
      <c r="C228" s="76" t="s">
        <v>2697</v>
      </c>
      <c r="D228" s="105"/>
      <c r="E228" s="207"/>
      <c r="F228" s="190"/>
      <c r="G228" s="190"/>
    </row>
    <row r="229" spans="2:7">
      <c r="B229" s="319"/>
      <c r="C229" s="76" t="s">
        <v>2311</v>
      </c>
      <c r="D229" s="105" t="s">
        <v>1172</v>
      </c>
      <c r="E229" s="207">
        <v>4</v>
      </c>
      <c r="F229" s="190">
        <f>'BASIC DATA'!$C$552</f>
        <v>350</v>
      </c>
      <c r="G229" s="190">
        <f t="shared" si="2"/>
        <v>1400</v>
      </c>
    </row>
    <row r="230" spans="2:7">
      <c r="B230" s="319"/>
      <c r="C230" s="76" t="s">
        <v>2312</v>
      </c>
      <c r="D230" s="105" t="s">
        <v>1172</v>
      </c>
      <c r="E230" s="207">
        <v>2</v>
      </c>
      <c r="F230" s="190">
        <f>'BASIC DATA'!$C$552</f>
        <v>350</v>
      </c>
      <c r="G230" s="190">
        <f t="shared" si="2"/>
        <v>700</v>
      </c>
    </row>
    <row r="231" spans="2:7">
      <c r="B231" s="319"/>
      <c r="C231" s="76" t="s">
        <v>1185</v>
      </c>
      <c r="D231" s="105" t="s">
        <v>1172</v>
      </c>
      <c r="E231" s="207">
        <v>2</v>
      </c>
      <c r="F231" s="190">
        <f>'BASIC DATA'!$C$552</f>
        <v>350</v>
      </c>
      <c r="G231" s="190">
        <f t="shared" si="2"/>
        <v>700</v>
      </c>
    </row>
    <row r="232" spans="2:7">
      <c r="B232" s="92"/>
      <c r="C232" s="193" t="s">
        <v>1174</v>
      </c>
      <c r="D232" s="159"/>
      <c r="E232" s="238"/>
      <c r="F232" s="236" t="s">
        <v>1698</v>
      </c>
      <c r="G232" s="318">
        <f>SUM(G213:G231)</f>
        <v>21763.95</v>
      </c>
    </row>
    <row r="233" spans="2:7">
      <c r="B233" s="60" t="s">
        <v>5948</v>
      </c>
      <c r="D233" s="31"/>
      <c r="E233" s="85">
        <f>ROUND(G232/F173,1)</f>
        <v>565.29999999999995</v>
      </c>
    </row>
    <row r="234" spans="2:7">
      <c r="B234" s="60" t="s">
        <v>3163</v>
      </c>
      <c r="D234" s="922">
        <f>'BASIC DATA'!$C$577</f>
        <v>0.13614999999999999</v>
      </c>
      <c r="E234" s="85">
        <f>ROUND(E233*D234,1)</f>
        <v>77</v>
      </c>
    </row>
    <row r="235" spans="2:7">
      <c r="B235" s="60" t="s">
        <v>5949</v>
      </c>
      <c r="D235" s="31"/>
      <c r="E235" s="199">
        <f>ROUND(E234+E233,1)</f>
        <v>642.29999999999995</v>
      </c>
    </row>
    <row r="236" spans="2:7">
      <c r="B236" s="78"/>
    </row>
    <row r="237" spans="2:7">
      <c r="B237" s="170" t="s">
        <v>1175</v>
      </c>
    </row>
    <row r="238" spans="2:7">
      <c r="B238" s="26" t="s">
        <v>1176</v>
      </c>
      <c r="F238" s="171" t="s">
        <v>1698</v>
      </c>
      <c r="G238" s="68">
        <f>G186</f>
        <v>10133.907333333334</v>
      </c>
    </row>
    <row r="239" spans="2:7">
      <c r="B239" s="26" t="s">
        <v>1186</v>
      </c>
      <c r="F239" s="171" t="s">
        <v>1698</v>
      </c>
      <c r="G239" s="68">
        <f>G208</f>
        <v>21622.799999999996</v>
      </c>
    </row>
    <row r="240" spans="2:7">
      <c r="B240" s="26" t="s">
        <v>2660</v>
      </c>
      <c r="F240" s="171" t="s">
        <v>1698</v>
      </c>
      <c r="G240" s="75">
        <f>G232</f>
        <v>21763.95</v>
      </c>
    </row>
    <row r="241" spans="1:7">
      <c r="E241" s="171"/>
      <c r="F241" s="171" t="s">
        <v>302</v>
      </c>
      <c r="G241" s="205">
        <f>SUM(G238:G240)</f>
        <v>53520.657333333336</v>
      </c>
    </row>
    <row r="242" spans="1:7">
      <c r="A242" s="853"/>
      <c r="B242" s="61" t="s">
        <v>2313</v>
      </c>
      <c r="C242" s="61"/>
      <c r="D242" s="61"/>
      <c r="E242" s="320">
        <f>'BASIC DATA'!$C$595</f>
        <v>0.01</v>
      </c>
      <c r="F242" s="222" t="s">
        <v>1698</v>
      </c>
      <c r="G242" s="321">
        <f>$G$241*E242</f>
        <v>535.20657333333338</v>
      </c>
    </row>
    <row r="243" spans="1:7">
      <c r="A243" s="853"/>
      <c r="B243" s="61" t="s">
        <v>2314</v>
      </c>
      <c r="C243" s="61"/>
      <c r="D243" s="61"/>
      <c r="E243" s="291">
        <f>'BASIC DATA'!$C$596</f>
        <v>4.4999999999999998E-2</v>
      </c>
      <c r="F243" s="222" t="s">
        <v>1698</v>
      </c>
      <c r="G243" s="321">
        <f>$G$241*E243</f>
        <v>2408.42958</v>
      </c>
    </row>
    <row r="244" spans="1:7">
      <c r="A244" s="853"/>
      <c r="B244" s="61" t="s">
        <v>2315</v>
      </c>
      <c r="C244" s="61"/>
      <c r="D244" s="61"/>
      <c r="E244" s="291">
        <f>'BASIC DATA'!$C$597</f>
        <v>1.6E-2</v>
      </c>
      <c r="F244" s="222" t="s">
        <v>1698</v>
      </c>
      <c r="G244" s="321">
        <f>$G$241*E244</f>
        <v>856.33051733333343</v>
      </c>
    </row>
    <row r="245" spans="1:7">
      <c r="A245" s="853"/>
      <c r="B245" s="61" t="s">
        <v>1259</v>
      </c>
      <c r="C245" s="61"/>
      <c r="D245" s="61"/>
      <c r="E245" s="291">
        <f>'BASIC DATA'!$C$598</f>
        <v>2.5000000000000001E-2</v>
      </c>
      <c r="F245" s="222" t="s">
        <v>1698</v>
      </c>
      <c r="G245" s="321">
        <f>$G$241*E245</f>
        <v>1338.0164333333335</v>
      </c>
    </row>
    <row r="246" spans="1:7">
      <c r="A246" s="853"/>
      <c r="B246" s="61"/>
      <c r="C246" s="61"/>
      <c r="D246" s="61"/>
      <c r="E246" s="291"/>
      <c r="F246" s="171" t="s">
        <v>302</v>
      </c>
      <c r="G246" s="205">
        <f>SUM(G241:G245)</f>
        <v>58658.640437333343</v>
      </c>
    </row>
    <row r="247" spans="1:7" ht="35.25" customHeight="1">
      <c r="B247" s="1207" t="s">
        <v>6259</v>
      </c>
      <c r="C247" s="1207"/>
      <c r="D247" s="1207"/>
      <c r="E247" s="922">
        <f>'BASIC DATA'!$C$577</f>
        <v>0.13614999999999999</v>
      </c>
      <c r="F247" s="171" t="s">
        <v>1698</v>
      </c>
      <c r="G247" s="75">
        <f>G246*E247</f>
        <v>7986.3738955429344</v>
      </c>
    </row>
    <row r="248" spans="1:7">
      <c r="B248" s="26" t="s">
        <v>1191</v>
      </c>
      <c r="D248" s="68">
        <f>F173</f>
        <v>38.5</v>
      </c>
      <c r="E248" s="26" t="str">
        <f>G173</f>
        <v>cum</v>
      </c>
      <c r="F248" s="171" t="s">
        <v>1698</v>
      </c>
      <c r="G248" s="211">
        <f>G247+G246</f>
        <v>66645.014332876279</v>
      </c>
    </row>
    <row r="249" spans="1:7">
      <c r="B249" s="170" t="s">
        <v>3884</v>
      </c>
      <c r="C249" s="170" t="str">
        <f>E248</f>
        <v>cum</v>
      </c>
      <c r="D249" s="26" t="s">
        <v>6258</v>
      </c>
      <c r="F249" s="171" t="s">
        <v>1698</v>
      </c>
      <c r="G249" s="211">
        <f>ROUND(G248/D248,1)</f>
        <v>1731</v>
      </c>
    </row>
    <row r="250" spans="1:7"/>
    <row r="251" spans="1:7"/>
    <row r="252" spans="1:7" ht="18.75">
      <c r="A252" s="822" t="s">
        <v>7389</v>
      </c>
      <c r="B252" s="26" t="s">
        <v>8579</v>
      </c>
    </row>
    <row r="253" spans="1:7">
      <c r="A253" s="865"/>
      <c r="B253" s="26" t="s">
        <v>2719</v>
      </c>
    </row>
    <row r="254" spans="1:7">
      <c r="A254" s="865"/>
      <c r="B254" s="26" t="s">
        <v>2720</v>
      </c>
    </row>
    <row r="255" spans="1:7" ht="18.75">
      <c r="A255" s="865"/>
      <c r="B255" s="26" t="s">
        <v>8580</v>
      </c>
    </row>
    <row r="256" spans="1:7">
      <c r="A256" s="865"/>
    </row>
    <row r="257" spans="1:6" hidden="1">
      <c r="A257" s="865" t="s">
        <v>3984</v>
      </c>
      <c r="B257" s="26" t="s">
        <v>2721</v>
      </c>
      <c r="D257" s="78" t="s">
        <v>1697</v>
      </c>
      <c r="E257" s="68">
        <v>5</v>
      </c>
      <c r="F257" s="26" t="s">
        <v>40</v>
      </c>
    </row>
    <row r="258" spans="1:6" hidden="1">
      <c r="A258" s="865"/>
      <c r="B258" s="26" t="s">
        <v>2722</v>
      </c>
      <c r="D258" s="78" t="s">
        <v>1697</v>
      </c>
      <c r="E258" s="26" t="s">
        <v>2723</v>
      </c>
    </row>
    <row r="259" spans="1:6" hidden="1">
      <c r="A259" s="865"/>
      <c r="B259" s="26" t="s">
        <v>2724</v>
      </c>
      <c r="D259" s="78" t="s">
        <v>1697</v>
      </c>
      <c r="E259" s="26">
        <v>75</v>
      </c>
      <c r="F259" s="26" t="s">
        <v>2602</v>
      </c>
    </row>
    <row r="260" spans="1:6" hidden="1">
      <c r="A260" s="865"/>
      <c r="B260" s="26" t="s">
        <v>846</v>
      </c>
      <c r="D260" s="78" t="s">
        <v>1697</v>
      </c>
      <c r="E260" s="26">
        <v>0.2</v>
      </c>
      <c r="F260" s="26" t="s">
        <v>2602</v>
      </c>
    </row>
    <row r="261" spans="1:6" hidden="1">
      <c r="A261" s="865"/>
      <c r="B261" s="26" t="s">
        <v>2725</v>
      </c>
      <c r="D261" s="78" t="s">
        <v>1697</v>
      </c>
      <c r="E261" s="26">
        <v>5.4</v>
      </c>
      <c r="F261" s="26" t="s">
        <v>2602</v>
      </c>
    </row>
    <row r="262" spans="1:6" hidden="1">
      <c r="A262" s="865"/>
      <c r="B262" s="26" t="s">
        <v>6112</v>
      </c>
      <c r="D262" s="78" t="s">
        <v>43</v>
      </c>
      <c r="E262" s="26">
        <v>500</v>
      </c>
      <c r="F262" s="26" t="s">
        <v>2602</v>
      </c>
    </row>
    <row r="263" spans="1:6" hidden="1">
      <c r="A263" s="865"/>
      <c r="B263" s="26" t="s">
        <v>2726</v>
      </c>
      <c r="D263" s="78" t="s">
        <v>1697</v>
      </c>
      <c r="E263" s="26">
        <v>40</v>
      </c>
      <c r="F263" s="26" t="s">
        <v>2602</v>
      </c>
    </row>
    <row r="264" spans="1:6" hidden="1">
      <c r="A264" s="865">
        <v>1</v>
      </c>
      <c r="B264" s="26" t="s">
        <v>6115</v>
      </c>
      <c r="D264" s="78"/>
    </row>
    <row r="265" spans="1:6" hidden="1">
      <c r="A265" s="865"/>
      <c r="B265" s="26" t="s">
        <v>2727</v>
      </c>
      <c r="D265" s="78"/>
    </row>
    <row r="266" spans="1:6" hidden="1">
      <c r="A266" s="865">
        <v>2</v>
      </c>
      <c r="B266" s="26" t="s">
        <v>6534</v>
      </c>
      <c r="D266" s="78"/>
    </row>
    <row r="267" spans="1:6" hidden="1">
      <c r="A267" s="865"/>
      <c r="B267" s="26" t="s">
        <v>6369</v>
      </c>
      <c r="D267" s="78" t="s">
        <v>1697</v>
      </c>
      <c r="E267" s="26">
        <v>22.91</v>
      </c>
      <c r="F267" s="26" t="s">
        <v>3479</v>
      </c>
    </row>
    <row r="268" spans="1:6" hidden="1">
      <c r="A268" s="865"/>
      <c r="B268" s="26" t="s">
        <v>6370</v>
      </c>
      <c r="D268" s="78" t="s">
        <v>1697</v>
      </c>
      <c r="E268" s="68">
        <v>1.5</v>
      </c>
      <c r="F268" s="26" t="s">
        <v>2602</v>
      </c>
    </row>
    <row r="269" spans="1:6" hidden="1">
      <c r="A269" s="865"/>
      <c r="B269" s="26" t="s">
        <v>6371</v>
      </c>
      <c r="D269" s="78" t="s">
        <v>1697</v>
      </c>
      <c r="E269" s="68">
        <v>1.3</v>
      </c>
      <c r="F269" s="26" t="s">
        <v>2602</v>
      </c>
    </row>
    <row r="270" spans="1:6" hidden="1">
      <c r="A270" s="865"/>
      <c r="B270" s="26" t="s">
        <v>2728</v>
      </c>
      <c r="D270" s="78" t="s">
        <v>1697</v>
      </c>
      <c r="E270" s="26">
        <v>20</v>
      </c>
      <c r="F270" s="26" t="s">
        <v>4041</v>
      </c>
    </row>
    <row r="271" spans="1:6" hidden="1">
      <c r="A271" s="865"/>
      <c r="B271" s="26" t="s">
        <v>2249</v>
      </c>
      <c r="D271" s="78" t="s">
        <v>1697</v>
      </c>
      <c r="E271" s="26">
        <v>40</v>
      </c>
      <c r="F271" s="26" t="s">
        <v>4041</v>
      </c>
    </row>
    <row r="272" spans="1:6" hidden="1">
      <c r="A272" s="865"/>
      <c r="B272" s="26" t="s">
        <v>2250</v>
      </c>
      <c r="D272" s="78" t="s">
        <v>1697</v>
      </c>
      <c r="E272" s="26">
        <v>90</v>
      </c>
      <c r="F272" s="26" t="s">
        <v>2602</v>
      </c>
    </row>
    <row r="273" spans="1:6" hidden="1">
      <c r="A273" s="865"/>
      <c r="B273" s="26" t="s">
        <v>3227</v>
      </c>
      <c r="D273" s="78"/>
      <c r="E273" s="322"/>
    </row>
    <row r="274" spans="1:6" hidden="1">
      <c r="A274" s="865"/>
      <c r="B274" s="26" t="s">
        <v>3228</v>
      </c>
      <c r="D274" s="78" t="s">
        <v>1697</v>
      </c>
      <c r="E274" s="26">
        <v>95</v>
      </c>
      <c r="F274" s="26" t="s">
        <v>2602</v>
      </c>
    </row>
    <row r="275" spans="1:6" hidden="1">
      <c r="A275" s="865"/>
      <c r="B275" s="26" t="s">
        <v>3403</v>
      </c>
      <c r="D275" s="78" t="s">
        <v>1697</v>
      </c>
      <c r="E275" s="26">
        <v>6</v>
      </c>
      <c r="F275" s="26" t="s">
        <v>2602</v>
      </c>
    </row>
    <row r="276" spans="1:6" hidden="1">
      <c r="A276" s="865"/>
      <c r="B276" s="26" t="s">
        <v>4588</v>
      </c>
      <c r="D276" s="78" t="s">
        <v>1697</v>
      </c>
      <c r="E276" s="26">
        <v>4</v>
      </c>
      <c r="F276" s="26" t="s">
        <v>4665</v>
      </c>
    </row>
    <row r="277" spans="1:6" hidden="1">
      <c r="A277" s="865"/>
      <c r="B277" s="26" t="s">
        <v>4589</v>
      </c>
      <c r="D277" s="78" t="s">
        <v>1697</v>
      </c>
      <c r="E277" s="26">
        <v>4</v>
      </c>
      <c r="F277" s="26" t="s">
        <v>4665</v>
      </c>
    </row>
    <row r="278" spans="1:6" hidden="1">
      <c r="A278" s="865"/>
      <c r="B278" s="26" t="s">
        <v>4590</v>
      </c>
      <c r="D278" s="78" t="s">
        <v>1697</v>
      </c>
      <c r="E278" s="26">
        <v>4</v>
      </c>
      <c r="F278" s="26" t="s">
        <v>4665</v>
      </c>
    </row>
    <row r="279" spans="1:6" hidden="1">
      <c r="A279" s="865"/>
      <c r="B279" s="26" t="s">
        <v>543</v>
      </c>
      <c r="D279" s="78" t="s">
        <v>1697</v>
      </c>
      <c r="E279" s="26">
        <v>2</v>
      </c>
      <c r="F279" s="26" t="s">
        <v>4665</v>
      </c>
    </row>
    <row r="280" spans="1:6" hidden="1">
      <c r="A280" s="865"/>
      <c r="B280" s="26" t="s">
        <v>544</v>
      </c>
      <c r="D280" s="78" t="s">
        <v>1697</v>
      </c>
      <c r="E280" s="26">
        <v>5</v>
      </c>
      <c r="F280" s="26" t="s">
        <v>4665</v>
      </c>
    </row>
    <row r="281" spans="1:6" hidden="1">
      <c r="A281" s="865">
        <v>3</v>
      </c>
      <c r="B281" s="26" t="s">
        <v>2968</v>
      </c>
      <c r="D281" s="78"/>
    </row>
    <row r="282" spans="1:6" hidden="1">
      <c r="A282" s="865"/>
      <c r="B282" s="26" t="s">
        <v>545</v>
      </c>
      <c r="D282" s="78" t="s">
        <v>1697</v>
      </c>
      <c r="E282" s="26">
        <v>30</v>
      </c>
      <c r="F282" s="26" t="s">
        <v>3477</v>
      </c>
    </row>
    <row r="283" spans="1:6" hidden="1">
      <c r="A283" s="865"/>
      <c r="B283" s="26" t="s">
        <v>1044</v>
      </c>
      <c r="D283" s="78" t="s">
        <v>1697</v>
      </c>
      <c r="E283" s="26">
        <v>30</v>
      </c>
      <c r="F283" s="26" t="s">
        <v>3478</v>
      </c>
    </row>
    <row r="284" spans="1:6" hidden="1">
      <c r="A284" s="865"/>
      <c r="B284" s="26" t="s">
        <v>3472</v>
      </c>
      <c r="D284" s="78" t="s">
        <v>1697</v>
      </c>
      <c r="E284" s="26">
        <v>2</v>
      </c>
      <c r="F284" s="26" t="s">
        <v>3478</v>
      </c>
    </row>
    <row r="285" spans="1:6" hidden="1">
      <c r="A285" s="865"/>
      <c r="B285" s="26" t="s">
        <v>1045</v>
      </c>
      <c r="D285" s="78" t="s">
        <v>1697</v>
      </c>
      <c r="E285" s="26">
        <v>32</v>
      </c>
      <c r="F285" s="26" t="s">
        <v>3478</v>
      </c>
    </row>
    <row r="286" spans="1:6" hidden="1">
      <c r="A286" s="865"/>
      <c r="B286" s="26" t="s">
        <v>6830</v>
      </c>
      <c r="D286" s="78" t="s">
        <v>1697</v>
      </c>
      <c r="E286" s="26">
        <v>65</v>
      </c>
      <c r="F286" s="26" t="s">
        <v>4041</v>
      </c>
    </row>
    <row r="287" spans="1:6" hidden="1">
      <c r="A287" s="865"/>
      <c r="B287" s="26" t="s">
        <v>5703</v>
      </c>
      <c r="D287" s="78" t="s">
        <v>1697</v>
      </c>
      <c r="E287" s="26">
        <v>50</v>
      </c>
      <c r="F287" s="26" t="s">
        <v>3483</v>
      </c>
    </row>
    <row r="288" spans="1:6" hidden="1">
      <c r="A288" s="865">
        <v>4</v>
      </c>
      <c r="B288" s="26" t="s">
        <v>6831</v>
      </c>
    </row>
    <row r="289" spans="1:7" hidden="1">
      <c r="A289" s="865"/>
      <c r="B289" s="26" t="s">
        <v>4966</v>
      </c>
    </row>
    <row r="290" spans="1:7" hidden="1">
      <c r="A290" s="865"/>
      <c r="B290" s="26" t="s">
        <v>4967</v>
      </c>
    </row>
    <row r="291" spans="1:7" hidden="1">
      <c r="A291" s="865">
        <v>5</v>
      </c>
      <c r="B291" s="26" t="s">
        <v>5962</v>
      </c>
    </row>
    <row r="292" spans="1:7" hidden="1">
      <c r="A292" s="865"/>
      <c r="B292" s="26" t="s">
        <v>4968</v>
      </c>
    </row>
    <row r="293" spans="1:7" hidden="1">
      <c r="A293" s="865"/>
      <c r="B293" s="26" t="s">
        <v>4969</v>
      </c>
    </row>
    <row r="294" spans="1:7" hidden="1">
      <c r="A294" s="865"/>
      <c r="B294" s="26" t="s">
        <v>6106</v>
      </c>
      <c r="E294" s="78" t="s">
        <v>1697</v>
      </c>
      <c r="F294" s="26">
        <v>45</v>
      </c>
      <c r="G294" s="26" t="s">
        <v>3477</v>
      </c>
    </row>
    <row r="295" spans="1:7" hidden="1">
      <c r="A295" s="865"/>
      <c r="B295" s="26" t="s">
        <v>4970</v>
      </c>
      <c r="E295" s="78"/>
    </row>
    <row r="296" spans="1:7" hidden="1">
      <c r="A296" s="865"/>
      <c r="B296" s="26" t="s">
        <v>4971</v>
      </c>
      <c r="E296" s="78" t="s">
        <v>1697</v>
      </c>
      <c r="F296" s="68">
        <v>3</v>
      </c>
      <c r="G296" s="26" t="s">
        <v>2603</v>
      </c>
    </row>
    <row r="297" spans="1:7" hidden="1">
      <c r="A297" s="865"/>
      <c r="B297" s="26" t="s">
        <v>4972</v>
      </c>
      <c r="E297" s="78" t="s">
        <v>1697</v>
      </c>
      <c r="F297" s="68">
        <v>7.5</v>
      </c>
      <c r="G297" s="26" t="s">
        <v>2603</v>
      </c>
    </row>
    <row r="298" spans="1:7" hidden="1">
      <c r="A298" s="865"/>
      <c r="B298" s="26" t="s">
        <v>4973</v>
      </c>
      <c r="E298" s="78" t="s">
        <v>1697</v>
      </c>
      <c r="F298" s="68">
        <v>3</v>
      </c>
      <c r="G298" s="26" t="s">
        <v>2603</v>
      </c>
    </row>
    <row r="299" spans="1:7" hidden="1">
      <c r="A299" s="865"/>
      <c r="B299" s="26" t="s">
        <v>4974</v>
      </c>
      <c r="E299" s="78" t="s">
        <v>1697</v>
      </c>
      <c r="F299" s="68">
        <v>1.5</v>
      </c>
      <c r="G299" s="26" t="s">
        <v>2603</v>
      </c>
    </row>
    <row r="300" spans="1:7" hidden="1">
      <c r="A300" s="865"/>
      <c r="E300" s="78"/>
      <c r="F300" s="205">
        <f>SUM(F296:F299)</f>
        <v>15</v>
      </c>
      <c r="G300" s="26" t="s">
        <v>2603</v>
      </c>
    </row>
    <row r="301" spans="1:7" hidden="1">
      <c r="A301" s="865"/>
      <c r="E301" s="78" t="s">
        <v>3280</v>
      </c>
      <c r="F301" s="68">
        <v>15</v>
      </c>
      <c r="G301" s="26" t="s">
        <v>2603</v>
      </c>
    </row>
    <row r="302" spans="1:7" hidden="1">
      <c r="A302" s="865"/>
      <c r="B302" s="26" t="s">
        <v>4975</v>
      </c>
      <c r="E302" s="78" t="s">
        <v>1697</v>
      </c>
      <c r="F302" s="68">
        <v>0.5</v>
      </c>
      <c r="G302" s="26" t="s">
        <v>3477</v>
      </c>
    </row>
    <row r="303" spans="1:7" hidden="1">
      <c r="A303" s="865"/>
      <c r="B303" s="26" t="s">
        <v>3297</v>
      </c>
      <c r="E303" s="78" t="s">
        <v>1697</v>
      </c>
      <c r="F303" s="26">
        <v>22.5</v>
      </c>
      <c r="G303" s="26" t="s">
        <v>4665</v>
      </c>
    </row>
    <row r="304" spans="1:7" hidden="1">
      <c r="A304" s="865"/>
      <c r="B304" s="26" t="s">
        <v>3298</v>
      </c>
      <c r="E304" s="322"/>
    </row>
    <row r="305" spans="1:7" hidden="1">
      <c r="A305" s="865"/>
      <c r="B305" s="26" t="s">
        <v>3299</v>
      </c>
      <c r="E305" s="322"/>
    </row>
    <row r="306" spans="1:7" hidden="1">
      <c r="A306" s="865"/>
      <c r="B306" s="26" t="s">
        <v>5061</v>
      </c>
      <c r="E306" s="322"/>
    </row>
    <row r="307" spans="1:7" hidden="1">
      <c r="A307" s="865">
        <v>6</v>
      </c>
      <c r="B307" s="26" t="s">
        <v>3895</v>
      </c>
      <c r="E307" s="322"/>
    </row>
    <row r="308" spans="1:7" hidden="1">
      <c r="A308" s="865"/>
      <c r="B308" s="26" t="s">
        <v>5062</v>
      </c>
      <c r="E308" s="78" t="s">
        <v>1697</v>
      </c>
      <c r="F308" s="68">
        <v>1.5</v>
      </c>
      <c r="G308" s="26" t="s">
        <v>4665</v>
      </c>
    </row>
    <row r="309" spans="1:7" hidden="1">
      <c r="A309" s="865"/>
      <c r="B309" s="26" t="s">
        <v>3897</v>
      </c>
      <c r="E309" s="78" t="s">
        <v>1697</v>
      </c>
      <c r="F309" s="68">
        <v>4</v>
      </c>
      <c r="G309" s="26" t="s">
        <v>4665</v>
      </c>
    </row>
    <row r="310" spans="1:7" hidden="1">
      <c r="A310" s="865"/>
      <c r="B310" s="26" t="s">
        <v>3898</v>
      </c>
      <c r="E310" s="78" t="s">
        <v>1697</v>
      </c>
      <c r="F310" s="68">
        <v>2</v>
      </c>
      <c r="G310" s="26" t="s">
        <v>4665</v>
      </c>
    </row>
    <row r="311" spans="1:7" hidden="1">
      <c r="A311" s="865"/>
      <c r="B311" s="26" t="s">
        <v>2887</v>
      </c>
      <c r="E311" s="78" t="s">
        <v>1697</v>
      </c>
      <c r="F311" s="68">
        <v>0.5</v>
      </c>
      <c r="G311" s="26" t="s">
        <v>4665</v>
      </c>
    </row>
    <row r="312" spans="1:7" hidden="1">
      <c r="A312" s="865"/>
      <c r="B312" s="26" t="s">
        <v>3937</v>
      </c>
      <c r="E312" s="78" t="s">
        <v>1697</v>
      </c>
      <c r="F312" s="68">
        <v>24</v>
      </c>
      <c r="G312" s="26" t="s">
        <v>4665</v>
      </c>
    </row>
    <row r="313" spans="1:7" hidden="1">
      <c r="A313" s="865"/>
      <c r="B313" s="26" t="s">
        <v>2888</v>
      </c>
      <c r="E313" s="78" t="s">
        <v>1697</v>
      </c>
      <c r="F313" s="68">
        <v>32</v>
      </c>
      <c r="G313" s="26" t="s">
        <v>4665</v>
      </c>
    </row>
    <row r="314" spans="1:7" hidden="1">
      <c r="A314" s="865">
        <v>7</v>
      </c>
      <c r="B314" s="26" t="s">
        <v>4184</v>
      </c>
      <c r="E314" s="78"/>
    </row>
    <row r="315" spans="1:7" hidden="1">
      <c r="A315" s="865"/>
      <c r="B315" s="26" t="s">
        <v>3449</v>
      </c>
      <c r="D315" s="68">
        <f>'BASIC DATA'!$D$307</f>
        <v>4028</v>
      </c>
      <c r="E315" s="171" t="s">
        <v>1698</v>
      </c>
      <c r="F315" s="68">
        <f>D315</f>
        <v>4028</v>
      </c>
    </row>
    <row r="316" spans="1:7" hidden="1">
      <c r="A316" s="865"/>
      <c r="B316" s="26" t="s">
        <v>5105</v>
      </c>
      <c r="E316" s="78" t="s">
        <v>1697</v>
      </c>
      <c r="F316" s="26">
        <v>150</v>
      </c>
      <c r="G316" s="26" t="s">
        <v>2602</v>
      </c>
    </row>
    <row r="317" spans="1:7" hidden="1">
      <c r="A317" s="865"/>
      <c r="B317" s="26" t="s">
        <v>6834</v>
      </c>
      <c r="E317" s="171" t="s">
        <v>1698</v>
      </c>
      <c r="F317" s="68">
        <f>F315/F316</f>
        <v>26.853333333333332</v>
      </c>
    </row>
    <row r="318" spans="1:7" hidden="1">
      <c r="A318" s="865"/>
      <c r="B318" s="26" t="s">
        <v>3942</v>
      </c>
      <c r="E318" s="78" t="s">
        <v>1697</v>
      </c>
      <c r="F318" s="316">
        <v>100</v>
      </c>
      <c r="G318" s="26" t="s">
        <v>42</v>
      </c>
    </row>
    <row r="319" spans="1:7" hidden="1">
      <c r="A319" s="865"/>
      <c r="B319" s="26" t="s">
        <v>3450</v>
      </c>
      <c r="D319" s="68">
        <f>'BASIC DATA'!$D$344</f>
        <v>185</v>
      </c>
      <c r="E319" s="171" t="s">
        <v>1698</v>
      </c>
      <c r="F319" s="68">
        <f>D319*F318</f>
        <v>18500</v>
      </c>
    </row>
    <row r="320" spans="1:7" hidden="1">
      <c r="A320" s="865"/>
      <c r="B320" s="26" t="s">
        <v>5152</v>
      </c>
      <c r="E320" s="78" t="s">
        <v>1697</v>
      </c>
      <c r="F320" s="316">
        <v>800</v>
      </c>
      <c r="G320" s="26" t="s">
        <v>4665</v>
      </c>
    </row>
    <row r="321" spans="1:7" hidden="1">
      <c r="A321" s="865"/>
      <c r="B321" s="26" t="s">
        <v>6372</v>
      </c>
      <c r="E321" s="171" t="s">
        <v>1698</v>
      </c>
      <c r="F321" s="68">
        <f>F319/F320</f>
        <v>23.125</v>
      </c>
    </row>
    <row r="322" spans="1:7" hidden="1">
      <c r="A322" s="865"/>
      <c r="B322" s="26" t="s">
        <v>3451</v>
      </c>
      <c r="D322" s="68">
        <f>'BASIC DATA'!$D$360</f>
        <v>185</v>
      </c>
      <c r="E322" s="171" t="s">
        <v>1698</v>
      </c>
      <c r="F322" s="68">
        <f>D322*F318</f>
        <v>18500</v>
      </c>
    </row>
    <row r="323" spans="1:7" hidden="1">
      <c r="A323" s="865"/>
      <c r="B323" s="26" t="s">
        <v>3943</v>
      </c>
      <c r="E323" s="78" t="s">
        <v>1697</v>
      </c>
      <c r="F323" s="316">
        <v>800</v>
      </c>
      <c r="G323" s="26" t="s">
        <v>4665</v>
      </c>
    </row>
    <row r="324" spans="1:7" hidden="1">
      <c r="A324" s="865"/>
      <c r="B324" s="26" t="s">
        <v>4582</v>
      </c>
      <c r="E324" s="171" t="s">
        <v>1698</v>
      </c>
      <c r="F324" s="68">
        <f>F322/F323</f>
        <v>23.125</v>
      </c>
    </row>
    <row r="325" spans="1:7" hidden="1">
      <c r="A325" s="865"/>
      <c r="B325" s="26" t="s">
        <v>4583</v>
      </c>
      <c r="E325" s="78" t="s">
        <v>1697</v>
      </c>
      <c r="F325" s="68" t="s">
        <v>44</v>
      </c>
      <c r="G325" s="26" t="s">
        <v>2602</v>
      </c>
    </row>
    <row r="326" spans="1:7" hidden="1">
      <c r="A326" s="865"/>
      <c r="B326" s="26" t="s">
        <v>4691</v>
      </c>
      <c r="E326" s="78" t="s">
        <v>1697</v>
      </c>
      <c r="F326" s="316">
        <v>9</v>
      </c>
      <c r="G326" s="26" t="s">
        <v>45</v>
      </c>
    </row>
    <row r="327" spans="1:7" hidden="1">
      <c r="A327" s="865"/>
      <c r="B327" s="26" t="s">
        <v>6341</v>
      </c>
      <c r="D327" s="68">
        <f>'BASIC DATA'!$D$311</f>
        <v>51500</v>
      </c>
      <c r="E327" s="171" t="s">
        <v>1698</v>
      </c>
      <c r="F327" s="68">
        <f>D327*F326</f>
        <v>463500</v>
      </c>
    </row>
    <row r="328" spans="1:7" hidden="1">
      <c r="A328" s="865"/>
      <c r="B328" s="26" t="s">
        <v>5998</v>
      </c>
      <c r="D328" s="323">
        <v>0.25</v>
      </c>
      <c r="E328" s="171" t="s">
        <v>1698</v>
      </c>
      <c r="F328" s="173">
        <f>F327*D328</f>
        <v>115875</v>
      </c>
    </row>
    <row r="329" spans="1:7" hidden="1">
      <c r="A329" s="865"/>
      <c r="D329" s="171" t="s">
        <v>1518</v>
      </c>
      <c r="E329" s="171" t="s">
        <v>1698</v>
      </c>
      <c r="F329" s="68">
        <f>SUM(F327:F328)</f>
        <v>579375</v>
      </c>
    </row>
    <row r="330" spans="1:7" hidden="1">
      <c r="A330" s="865"/>
      <c r="B330" s="26" t="s">
        <v>6339</v>
      </c>
      <c r="D330" s="323">
        <v>0.1</v>
      </c>
      <c r="E330" s="171" t="s">
        <v>1698</v>
      </c>
      <c r="F330" s="173">
        <f>F329*D330</f>
        <v>57937.5</v>
      </c>
    </row>
    <row r="331" spans="1:7" hidden="1">
      <c r="A331" s="865"/>
      <c r="D331" s="171" t="s">
        <v>1518</v>
      </c>
      <c r="E331" s="171" t="s">
        <v>1698</v>
      </c>
      <c r="F331" s="68">
        <f>F329-F330</f>
        <v>521437.5</v>
      </c>
    </row>
    <row r="332" spans="1:7" hidden="1">
      <c r="A332" s="865"/>
      <c r="B332" s="26" t="s">
        <v>5999</v>
      </c>
      <c r="E332" s="78" t="s">
        <v>1697</v>
      </c>
      <c r="F332" s="316">
        <v>15</v>
      </c>
      <c r="G332" s="26" t="s">
        <v>1364</v>
      </c>
    </row>
    <row r="333" spans="1:7" hidden="1">
      <c r="A333" s="865"/>
      <c r="B333" s="26" t="s">
        <v>6000</v>
      </c>
      <c r="E333" s="171" t="s">
        <v>1698</v>
      </c>
      <c r="F333" s="68">
        <f>F331/F332</f>
        <v>34762.5</v>
      </c>
    </row>
    <row r="334" spans="1:7" hidden="1">
      <c r="A334" s="865"/>
      <c r="B334" s="26" t="s">
        <v>6001</v>
      </c>
      <c r="D334" s="323">
        <v>0.1</v>
      </c>
      <c r="E334" s="171" t="s">
        <v>1698</v>
      </c>
      <c r="F334" s="68">
        <f>F333*D334</f>
        <v>3476.25</v>
      </c>
    </row>
    <row r="335" spans="1:7" hidden="1">
      <c r="A335" s="865"/>
      <c r="D335" s="171" t="s">
        <v>1518</v>
      </c>
      <c r="E335" s="171" t="s">
        <v>1698</v>
      </c>
      <c r="F335" s="68">
        <f>SUM(F333:F334)</f>
        <v>38238.75</v>
      </c>
    </row>
    <row r="336" spans="1:7" hidden="1">
      <c r="A336" s="865"/>
      <c r="B336" s="26" t="s">
        <v>6346</v>
      </c>
      <c r="D336" s="26">
        <v>300</v>
      </c>
    </row>
    <row r="337" spans="1:7" hidden="1">
      <c r="A337" s="865"/>
      <c r="B337" s="26" t="s">
        <v>5995</v>
      </c>
      <c r="E337" s="171" t="s">
        <v>1698</v>
      </c>
      <c r="F337" s="68">
        <f>F335/300</f>
        <v>127.46250000000001</v>
      </c>
    </row>
    <row r="338" spans="1:7" hidden="1">
      <c r="A338" s="865"/>
      <c r="B338" s="26" t="s">
        <v>5996</v>
      </c>
      <c r="E338" s="78" t="s">
        <v>1697</v>
      </c>
      <c r="F338" s="26">
        <v>150</v>
      </c>
      <c r="G338" s="26" t="s">
        <v>2602</v>
      </c>
    </row>
    <row r="339" spans="1:7" hidden="1">
      <c r="A339" s="865"/>
      <c r="B339" s="26" t="s">
        <v>6345</v>
      </c>
      <c r="D339" s="68">
        <f>'BASIC DATA'!$D$317</f>
        <v>265</v>
      </c>
      <c r="E339" s="171" t="s">
        <v>1698</v>
      </c>
      <c r="F339" s="68">
        <f>F338*D339</f>
        <v>39750</v>
      </c>
    </row>
    <row r="340" spans="1:7" hidden="1">
      <c r="A340" s="865"/>
      <c r="B340" s="26" t="s">
        <v>5997</v>
      </c>
      <c r="E340" s="78" t="s">
        <v>1697</v>
      </c>
      <c r="F340" s="316">
        <v>2500</v>
      </c>
      <c r="G340" s="26" t="s">
        <v>4665</v>
      </c>
    </row>
    <row r="341" spans="1:7" hidden="1">
      <c r="A341" s="865"/>
      <c r="B341" s="26" t="s">
        <v>2890</v>
      </c>
      <c r="E341" s="171" t="s">
        <v>1698</v>
      </c>
      <c r="F341" s="68">
        <f>F339/F340</f>
        <v>15.9</v>
      </c>
    </row>
    <row r="342" spans="1:7" hidden="1">
      <c r="A342" s="865"/>
      <c r="B342" s="26" t="s">
        <v>2891</v>
      </c>
      <c r="E342" s="78" t="s">
        <v>1697</v>
      </c>
      <c r="F342" s="316">
        <v>250</v>
      </c>
      <c r="G342" s="26" t="s">
        <v>3478</v>
      </c>
    </row>
    <row r="343" spans="1:7" hidden="1">
      <c r="A343" s="865"/>
      <c r="B343" s="26" t="s">
        <v>6342</v>
      </c>
      <c r="D343" s="68">
        <f>'BASIC DATA'!$D$98/1000</f>
        <v>37.4</v>
      </c>
      <c r="E343" s="171" t="s">
        <v>1698</v>
      </c>
      <c r="F343" s="68">
        <f>(F342*D343)*75%</f>
        <v>7012.5</v>
      </c>
    </row>
    <row r="344" spans="1:7" hidden="1">
      <c r="A344" s="865"/>
      <c r="B344" s="26" t="s">
        <v>6343</v>
      </c>
      <c r="D344" s="68">
        <f>'BASIC DATA'!$D$97/1000</f>
        <v>37.5</v>
      </c>
      <c r="E344" s="171" t="s">
        <v>1698</v>
      </c>
      <c r="F344" s="68">
        <f>(F342*D344)*25%</f>
        <v>2343.75</v>
      </c>
    </row>
    <row r="345" spans="1:7" hidden="1">
      <c r="A345" s="865"/>
      <c r="B345" s="26" t="s">
        <v>6344</v>
      </c>
      <c r="D345" s="68">
        <f>'BASIC DATA'!$D$358</f>
        <v>24</v>
      </c>
      <c r="E345" s="171" t="s">
        <v>1698</v>
      </c>
      <c r="F345" s="173">
        <f>F342*D345</f>
        <v>6000</v>
      </c>
    </row>
    <row r="346" spans="1:7" hidden="1">
      <c r="A346" s="865"/>
      <c r="D346" s="171" t="s">
        <v>1518</v>
      </c>
      <c r="E346" s="171" t="s">
        <v>1698</v>
      </c>
      <c r="F346" s="68">
        <f>SUM(F343:F345)</f>
        <v>15356.25</v>
      </c>
    </row>
    <row r="347" spans="1:7" hidden="1">
      <c r="A347" s="865"/>
      <c r="B347" s="26" t="s">
        <v>2892</v>
      </c>
      <c r="D347" s="323">
        <v>0.2</v>
      </c>
      <c r="E347" s="171" t="s">
        <v>1698</v>
      </c>
      <c r="F347" s="173">
        <f>F346*D347</f>
        <v>3071.25</v>
      </c>
    </row>
    <row r="348" spans="1:7" hidden="1">
      <c r="A348" s="865"/>
      <c r="D348" s="171" t="s">
        <v>1518</v>
      </c>
      <c r="E348" s="171" t="s">
        <v>1698</v>
      </c>
      <c r="F348" s="68">
        <f>SUM(F346:F347)</f>
        <v>18427.5</v>
      </c>
    </row>
    <row r="349" spans="1:7" hidden="1">
      <c r="A349" s="865"/>
      <c r="B349" s="26" t="s">
        <v>6340</v>
      </c>
      <c r="D349" s="323">
        <v>0.1</v>
      </c>
      <c r="E349" s="171" t="s">
        <v>1698</v>
      </c>
      <c r="F349" s="173">
        <f>F348*D349</f>
        <v>1842.75</v>
      </c>
    </row>
    <row r="350" spans="1:7" hidden="1">
      <c r="A350" s="865"/>
      <c r="D350" s="171" t="s">
        <v>1518</v>
      </c>
      <c r="E350" s="171" t="s">
        <v>1698</v>
      </c>
      <c r="F350" s="68">
        <f>F348-F349</f>
        <v>16584.75</v>
      </c>
    </row>
    <row r="351" spans="1:7" hidden="1">
      <c r="A351" s="865"/>
      <c r="B351" s="26" t="s">
        <v>2893</v>
      </c>
      <c r="D351" s="323">
        <v>0.1</v>
      </c>
      <c r="E351" s="171" t="s">
        <v>1698</v>
      </c>
      <c r="F351" s="173">
        <f>F350*D351</f>
        <v>1658.4750000000001</v>
      </c>
    </row>
    <row r="352" spans="1:7" hidden="1">
      <c r="A352" s="865"/>
      <c r="D352" s="171" t="s">
        <v>1518</v>
      </c>
      <c r="E352" s="171" t="s">
        <v>1698</v>
      </c>
      <c r="F352" s="68">
        <f>F346+F347+F348-F349+F350+F351</f>
        <v>53255.474999999999</v>
      </c>
    </row>
    <row r="353" spans="1:7" hidden="1">
      <c r="A353" s="865"/>
      <c r="B353" s="26" t="s">
        <v>2894</v>
      </c>
      <c r="E353" s="78" t="s">
        <v>1697</v>
      </c>
      <c r="F353" s="316">
        <v>2500</v>
      </c>
      <c r="G353" s="26" t="s">
        <v>4665</v>
      </c>
    </row>
    <row r="354" spans="1:7" hidden="1">
      <c r="A354" s="865"/>
      <c r="B354" s="26" t="s">
        <v>5153</v>
      </c>
      <c r="E354" s="171" t="s">
        <v>1698</v>
      </c>
      <c r="F354" s="68">
        <f>F352/F353</f>
        <v>21.30219</v>
      </c>
    </row>
    <row r="355" spans="1:7" hidden="1">
      <c r="A355" s="865"/>
    </row>
    <row r="356" spans="1:7">
      <c r="B356" s="78"/>
    </row>
    <row r="357" spans="1:7">
      <c r="A357" s="822" t="s">
        <v>1907</v>
      </c>
      <c r="B357" s="78"/>
      <c r="C357" s="203" t="s">
        <v>2367</v>
      </c>
      <c r="E357" s="171" t="s">
        <v>297</v>
      </c>
      <c r="F357" s="246">
        <f>E282</f>
        <v>30</v>
      </c>
      <c r="G357" s="26" t="s">
        <v>3477</v>
      </c>
    </row>
    <row r="358" spans="1:7">
      <c r="B358" s="79" t="s">
        <v>2368</v>
      </c>
    </row>
    <row r="359" spans="1:7">
      <c r="B359" s="95" t="s">
        <v>2369</v>
      </c>
      <c r="C359" s="157" t="s">
        <v>4443</v>
      </c>
      <c r="D359" s="95" t="s">
        <v>2370</v>
      </c>
      <c r="E359" s="95" t="s">
        <v>1166</v>
      </c>
      <c r="F359" s="95" t="s">
        <v>2371</v>
      </c>
      <c r="G359" s="95" t="s">
        <v>2372</v>
      </c>
    </row>
    <row r="360" spans="1:7">
      <c r="B360" s="114"/>
      <c r="C360" s="154"/>
      <c r="D360" s="114"/>
      <c r="E360" s="114"/>
      <c r="F360" s="114" t="s">
        <v>3485</v>
      </c>
      <c r="G360" s="114" t="s">
        <v>3485</v>
      </c>
    </row>
    <row r="361" spans="1:7">
      <c r="B361" s="95">
        <v>1</v>
      </c>
      <c r="C361" s="135" t="s">
        <v>5830</v>
      </c>
      <c r="D361" s="95" t="s">
        <v>3478</v>
      </c>
      <c r="E361" s="190">
        <v>32</v>
      </c>
      <c r="F361" s="214">
        <f>'BASIC DATA'!$D$54</f>
        <v>70</v>
      </c>
      <c r="G361" s="190">
        <f>E361*F361</f>
        <v>2240</v>
      </c>
    </row>
    <row r="362" spans="1:7">
      <c r="B362" s="105">
        <v>2</v>
      </c>
      <c r="C362" s="135" t="s">
        <v>4211</v>
      </c>
      <c r="D362" s="105" t="s">
        <v>2059</v>
      </c>
      <c r="E362" s="190">
        <v>65</v>
      </c>
      <c r="F362" s="214">
        <f>'BASIC DATA'!$D$49</f>
        <v>11</v>
      </c>
      <c r="G362" s="190">
        <f t="shared" ref="G362:G370" si="3">E362*F362</f>
        <v>715</v>
      </c>
    </row>
    <row r="363" spans="1:7">
      <c r="B363" s="105">
        <v>3</v>
      </c>
      <c r="C363" s="135" t="s">
        <v>5703</v>
      </c>
      <c r="D363" s="105" t="s">
        <v>3483</v>
      </c>
      <c r="E363" s="190">
        <v>50</v>
      </c>
      <c r="F363" s="214">
        <f>'BASIC DATA'!$D$46</f>
        <v>9</v>
      </c>
      <c r="G363" s="190">
        <f t="shared" si="3"/>
        <v>450</v>
      </c>
    </row>
    <row r="364" spans="1:7">
      <c r="B364" s="105">
        <v>4</v>
      </c>
      <c r="C364" s="135" t="s">
        <v>4112</v>
      </c>
      <c r="D364" s="105" t="s">
        <v>3483</v>
      </c>
      <c r="E364" s="190">
        <v>95</v>
      </c>
      <c r="F364" s="214">
        <f>F317</f>
        <v>26.853333333333332</v>
      </c>
      <c r="G364" s="190">
        <f t="shared" si="3"/>
        <v>2551.0666666666666</v>
      </c>
    </row>
    <row r="365" spans="1:7">
      <c r="B365" s="105">
        <v>5</v>
      </c>
      <c r="C365" s="135" t="s">
        <v>5125</v>
      </c>
      <c r="D365" s="224">
        <v>0.1</v>
      </c>
      <c r="E365" s="190"/>
      <c r="F365" s="214"/>
      <c r="G365" s="190">
        <f>G364*D365</f>
        <v>255.10666666666668</v>
      </c>
    </row>
    <row r="366" spans="1:7">
      <c r="B366" s="105">
        <v>6</v>
      </c>
      <c r="C366" s="135" t="s">
        <v>1404</v>
      </c>
      <c r="D366" s="105" t="s">
        <v>2374</v>
      </c>
      <c r="E366" s="190">
        <v>18</v>
      </c>
      <c r="F366" s="214">
        <f>F321</f>
        <v>23.125</v>
      </c>
      <c r="G366" s="190">
        <f t="shared" si="3"/>
        <v>416.25</v>
      </c>
    </row>
    <row r="367" spans="1:7">
      <c r="B367" s="105">
        <v>7</v>
      </c>
      <c r="C367" s="135" t="s">
        <v>4479</v>
      </c>
      <c r="D367" s="105" t="s">
        <v>2374</v>
      </c>
      <c r="E367" s="190">
        <v>16</v>
      </c>
      <c r="F367" s="214">
        <f>F324</f>
        <v>23.125</v>
      </c>
      <c r="G367" s="190">
        <f t="shared" si="3"/>
        <v>370</v>
      </c>
    </row>
    <row r="368" spans="1:7">
      <c r="B368" s="105">
        <v>8</v>
      </c>
      <c r="C368" s="135" t="s">
        <v>5154</v>
      </c>
      <c r="D368" s="105" t="s">
        <v>5155</v>
      </c>
      <c r="E368" s="190">
        <v>3</v>
      </c>
      <c r="F368" s="214">
        <f>F337</f>
        <v>127.46250000000001</v>
      </c>
      <c r="G368" s="190">
        <f t="shared" si="3"/>
        <v>382.38750000000005</v>
      </c>
    </row>
    <row r="369" spans="2:7">
      <c r="B369" s="105">
        <v>9</v>
      </c>
      <c r="C369" s="135" t="s">
        <v>6311</v>
      </c>
      <c r="D369" s="105" t="s">
        <v>2374</v>
      </c>
      <c r="E369" s="190">
        <v>24</v>
      </c>
      <c r="F369" s="214">
        <f>F354</f>
        <v>21.30219</v>
      </c>
      <c r="G369" s="190">
        <f t="shared" si="3"/>
        <v>511.25256000000002</v>
      </c>
    </row>
    <row r="370" spans="2:7">
      <c r="B370" s="114">
        <v>10</v>
      </c>
      <c r="C370" s="135" t="s">
        <v>4480</v>
      </c>
      <c r="D370" s="105" t="s">
        <v>2173</v>
      </c>
      <c r="E370" s="190">
        <v>2</v>
      </c>
      <c r="F370" s="214">
        <f>'BASIC DATA'!$D$359</f>
        <v>30</v>
      </c>
      <c r="G370" s="190">
        <f t="shared" si="3"/>
        <v>60</v>
      </c>
    </row>
    <row r="371" spans="2:7">
      <c r="B371" s="92"/>
      <c r="C371" s="193" t="s">
        <v>2376</v>
      </c>
      <c r="D371" s="159"/>
      <c r="E371" s="238"/>
      <c r="F371" s="236" t="s">
        <v>1698</v>
      </c>
      <c r="G371" s="318">
        <f>SUM(G361:G370)</f>
        <v>7951.0633933333329</v>
      </c>
    </row>
    <row r="372" spans="2:7">
      <c r="B372" s="78"/>
    </row>
    <row r="373" spans="2:7">
      <c r="B373" s="79" t="s">
        <v>2377</v>
      </c>
    </row>
    <row r="374" spans="2:7">
      <c r="B374" s="95" t="s">
        <v>2369</v>
      </c>
      <c r="C374" s="157" t="s">
        <v>2378</v>
      </c>
      <c r="D374" s="95" t="s">
        <v>2370</v>
      </c>
      <c r="E374" s="95" t="s">
        <v>1166</v>
      </c>
      <c r="F374" s="95" t="s">
        <v>2371</v>
      </c>
      <c r="G374" s="95" t="s">
        <v>2372</v>
      </c>
    </row>
    <row r="375" spans="2:7">
      <c r="B375" s="114"/>
      <c r="C375" s="154"/>
      <c r="D375" s="114"/>
      <c r="E375" s="114"/>
      <c r="F375" s="114" t="s">
        <v>3485</v>
      </c>
      <c r="G375" s="114" t="s">
        <v>3485</v>
      </c>
    </row>
    <row r="376" spans="2:7">
      <c r="B376" s="95">
        <v>1</v>
      </c>
      <c r="C376" s="135" t="s">
        <v>4481</v>
      </c>
      <c r="D376" s="95" t="s">
        <v>2374</v>
      </c>
      <c r="E376" s="190">
        <v>4.5</v>
      </c>
      <c r="F376" s="190">
        <f>'HIRE CHARGES'!$D$498</f>
        <v>138.80000000000001</v>
      </c>
      <c r="G376" s="190">
        <f>E376*F376</f>
        <v>624.6</v>
      </c>
    </row>
    <row r="377" spans="2:7">
      <c r="B377" s="317"/>
      <c r="C377" s="135" t="s">
        <v>2379</v>
      </c>
      <c r="D377" s="105" t="s">
        <v>2374</v>
      </c>
      <c r="E377" s="190">
        <v>4.5</v>
      </c>
      <c r="F377" s="190">
        <f>'HIRE CHARGES'!$E$498</f>
        <v>700.5</v>
      </c>
      <c r="G377" s="190">
        <f t="shared" ref="G377:G388" si="4">E377*F377</f>
        <v>3152.25</v>
      </c>
    </row>
    <row r="378" spans="2:7">
      <c r="B378" s="105">
        <v>2</v>
      </c>
      <c r="C378" s="135" t="s">
        <v>6312</v>
      </c>
      <c r="D378" s="105" t="s">
        <v>2374</v>
      </c>
      <c r="E378" s="190">
        <v>16</v>
      </c>
      <c r="F378" s="190">
        <f>'HIRE CHARGES'!$D$530</f>
        <v>19.8</v>
      </c>
      <c r="G378" s="190">
        <f t="shared" si="4"/>
        <v>316.8</v>
      </c>
    </row>
    <row r="379" spans="2:7">
      <c r="B379" s="317"/>
      <c r="C379" s="135" t="s">
        <v>2379</v>
      </c>
      <c r="D379" s="105" t="s">
        <v>2374</v>
      </c>
      <c r="E379" s="190">
        <v>16</v>
      </c>
      <c r="F379" s="190">
        <f>'HIRE CHARGES'!$E$530</f>
        <v>0</v>
      </c>
      <c r="G379" s="190">
        <f t="shared" si="4"/>
        <v>0</v>
      </c>
    </row>
    <row r="380" spans="2:7">
      <c r="B380" s="105">
        <v>3</v>
      </c>
      <c r="C380" s="135" t="s">
        <v>4484</v>
      </c>
      <c r="D380" s="105" t="s">
        <v>2374</v>
      </c>
      <c r="E380" s="190">
        <v>4</v>
      </c>
      <c r="F380" s="190">
        <f>'HIRE CHARGES'!$D$520</f>
        <v>6.7</v>
      </c>
      <c r="G380" s="190">
        <f t="shared" si="4"/>
        <v>26.8</v>
      </c>
    </row>
    <row r="381" spans="2:7">
      <c r="B381" s="317"/>
      <c r="C381" s="135" t="s">
        <v>2379</v>
      </c>
      <c r="D381" s="105" t="s">
        <v>2374</v>
      </c>
      <c r="E381" s="190">
        <v>4</v>
      </c>
      <c r="F381" s="190">
        <f>'HIRE CHARGES'!$E$520</f>
        <v>56</v>
      </c>
      <c r="G381" s="190">
        <f t="shared" si="4"/>
        <v>224</v>
      </c>
    </row>
    <row r="382" spans="2:7">
      <c r="B382" s="105">
        <v>4</v>
      </c>
      <c r="C382" s="135" t="s">
        <v>1112</v>
      </c>
      <c r="D382" s="105" t="s">
        <v>2374</v>
      </c>
      <c r="E382" s="190">
        <v>2</v>
      </c>
      <c r="F382" s="190">
        <f>'HIRE CHARGES'!$D$522</f>
        <v>12.3</v>
      </c>
      <c r="G382" s="190">
        <f t="shared" si="4"/>
        <v>24.6</v>
      </c>
    </row>
    <row r="383" spans="2:7">
      <c r="B383" s="317"/>
      <c r="C383" s="135" t="s">
        <v>2379</v>
      </c>
      <c r="D383" s="105" t="s">
        <v>2374</v>
      </c>
      <c r="E383" s="190">
        <v>2</v>
      </c>
      <c r="F383" s="190">
        <f>'HIRE CHARGES'!$E$522</f>
        <v>112.1</v>
      </c>
      <c r="G383" s="190">
        <f t="shared" si="4"/>
        <v>224.2</v>
      </c>
    </row>
    <row r="384" spans="2:7">
      <c r="B384" s="105">
        <v>5</v>
      </c>
      <c r="C384" s="135" t="s">
        <v>1339</v>
      </c>
      <c r="D384" s="105" t="s">
        <v>2374</v>
      </c>
      <c r="E384" s="190">
        <v>28</v>
      </c>
      <c r="F384" s="190">
        <f>'HIRE CHARGES'!$D$557</f>
        <v>129.4</v>
      </c>
      <c r="G384" s="190">
        <f t="shared" si="4"/>
        <v>3623.2000000000003</v>
      </c>
    </row>
    <row r="385" spans="2:7">
      <c r="B385" s="317"/>
      <c r="C385" s="135" t="s">
        <v>2379</v>
      </c>
      <c r="D385" s="105" t="s">
        <v>2374</v>
      </c>
      <c r="E385" s="190">
        <v>28</v>
      </c>
      <c r="F385" s="190">
        <f>'HIRE CHARGES'!$E$557</f>
        <v>137.30000000000001</v>
      </c>
      <c r="G385" s="190">
        <f t="shared" si="4"/>
        <v>3844.4000000000005</v>
      </c>
    </row>
    <row r="386" spans="2:7">
      <c r="B386" s="105">
        <v>6</v>
      </c>
      <c r="C386" s="135" t="s">
        <v>4326</v>
      </c>
      <c r="D386" s="105" t="s">
        <v>2374</v>
      </c>
      <c r="E386" s="190">
        <v>24</v>
      </c>
      <c r="F386" s="190">
        <f>'HIRE CHARGES'!$D$546</f>
        <v>64.2</v>
      </c>
      <c r="G386" s="190">
        <f t="shared" si="4"/>
        <v>1540.8000000000002</v>
      </c>
    </row>
    <row r="387" spans="2:7">
      <c r="B387" s="317"/>
      <c r="C387" s="135" t="s">
        <v>2379</v>
      </c>
      <c r="D387" s="105" t="s">
        <v>2374</v>
      </c>
      <c r="E387" s="190">
        <v>24</v>
      </c>
      <c r="F387" s="190">
        <f>'HIRE CHARGES'!$E$546</f>
        <v>0</v>
      </c>
      <c r="G387" s="190">
        <f t="shared" si="4"/>
        <v>0</v>
      </c>
    </row>
    <row r="388" spans="2:7">
      <c r="B388" s="105">
        <v>7</v>
      </c>
      <c r="C388" s="135" t="s">
        <v>4486</v>
      </c>
      <c r="D388" s="105" t="s">
        <v>2173</v>
      </c>
      <c r="E388" s="190">
        <v>2</v>
      </c>
      <c r="F388" s="214">
        <f>'BASIC DATA'!$D$359</f>
        <v>30</v>
      </c>
      <c r="G388" s="190">
        <f t="shared" si="4"/>
        <v>60</v>
      </c>
    </row>
    <row r="389" spans="2:7">
      <c r="B389" s="176"/>
      <c r="C389" s="172" t="s">
        <v>2380</v>
      </c>
      <c r="D389" s="174"/>
      <c r="E389" s="192"/>
      <c r="F389" s="236" t="s">
        <v>1698</v>
      </c>
      <c r="G389" s="318">
        <f>SUM(G376:G388)</f>
        <v>13661.650000000001</v>
      </c>
    </row>
    <row r="390" spans="2:7">
      <c r="B390" s="78"/>
    </row>
    <row r="391" spans="2:7">
      <c r="B391" s="79" t="s">
        <v>2381</v>
      </c>
    </row>
    <row r="392" spans="2:7">
      <c r="B392" s="95" t="s">
        <v>2369</v>
      </c>
      <c r="C392" s="157" t="s">
        <v>2378</v>
      </c>
      <c r="D392" s="95" t="s">
        <v>2370</v>
      </c>
      <c r="E392" s="95" t="s">
        <v>1166</v>
      </c>
      <c r="F392" s="95" t="s">
        <v>2371</v>
      </c>
      <c r="G392" s="95" t="s">
        <v>2372</v>
      </c>
    </row>
    <row r="393" spans="2:7">
      <c r="B393" s="114"/>
      <c r="C393" s="154"/>
      <c r="D393" s="114"/>
      <c r="E393" s="114"/>
      <c r="F393" s="114" t="s">
        <v>3485</v>
      </c>
      <c r="G393" s="114" t="s">
        <v>3485</v>
      </c>
    </row>
    <row r="394" spans="2:7">
      <c r="B394" s="105">
        <v>1</v>
      </c>
      <c r="C394" s="76" t="s">
        <v>4606</v>
      </c>
      <c r="D394" s="105" t="s">
        <v>2374</v>
      </c>
      <c r="E394" s="207">
        <v>4.5</v>
      </c>
      <c r="F394" s="190">
        <f>'HIRE CHARGES'!$F$498</f>
        <v>175.8</v>
      </c>
      <c r="G394" s="190">
        <f>E394*F394</f>
        <v>791.1</v>
      </c>
    </row>
    <row r="395" spans="2:7">
      <c r="B395" s="105">
        <v>2</v>
      </c>
      <c r="C395" s="76" t="s">
        <v>4607</v>
      </c>
      <c r="D395" s="105" t="s">
        <v>2374</v>
      </c>
      <c r="E395" s="207">
        <v>16</v>
      </c>
      <c r="F395" s="190">
        <f>'HIRE CHARGES'!$F$530</f>
        <v>329.6</v>
      </c>
      <c r="G395" s="190">
        <f t="shared" ref="G395:G410" si="5">E395*F395</f>
        <v>5273.6</v>
      </c>
    </row>
    <row r="396" spans="2:7">
      <c r="B396" s="105">
        <v>3</v>
      </c>
      <c r="C396" s="76" t="s">
        <v>1113</v>
      </c>
      <c r="D396" s="105" t="s">
        <v>2374</v>
      </c>
      <c r="E396" s="207">
        <v>4</v>
      </c>
      <c r="F396" s="190">
        <f>'HIRE CHARGES'!$F$520</f>
        <v>83.3</v>
      </c>
      <c r="G396" s="190">
        <f t="shared" si="5"/>
        <v>333.2</v>
      </c>
    </row>
    <row r="397" spans="2:7">
      <c r="B397" s="105">
        <v>4</v>
      </c>
      <c r="C397" s="76" t="s">
        <v>1114</v>
      </c>
      <c r="D397" s="105" t="s">
        <v>2374</v>
      </c>
      <c r="E397" s="207">
        <v>2</v>
      </c>
      <c r="F397" s="190">
        <f>'HIRE CHARGES'!$F$522</f>
        <v>83.3</v>
      </c>
      <c r="G397" s="190">
        <f t="shared" si="5"/>
        <v>166.6</v>
      </c>
    </row>
    <row r="398" spans="2:7">
      <c r="B398" s="105">
        <v>5</v>
      </c>
      <c r="C398" s="76" t="s">
        <v>1115</v>
      </c>
      <c r="D398" s="105" t="s">
        <v>2374</v>
      </c>
      <c r="E398" s="207">
        <v>28</v>
      </c>
      <c r="F398" s="190">
        <f>'HIRE CHARGES'!$F$557</f>
        <v>263.60000000000002</v>
      </c>
      <c r="G398" s="190">
        <f t="shared" si="5"/>
        <v>7380.8000000000011</v>
      </c>
    </row>
    <row r="399" spans="2:7">
      <c r="B399" s="105">
        <v>6</v>
      </c>
      <c r="C399" s="76" t="s">
        <v>2446</v>
      </c>
      <c r="D399" s="105" t="s">
        <v>1172</v>
      </c>
      <c r="E399" s="207">
        <v>0.5</v>
      </c>
      <c r="F399" s="190">
        <f>'BASIC DATA'!$C$558</f>
        <v>645</v>
      </c>
      <c r="G399" s="190">
        <f t="shared" si="5"/>
        <v>322.5</v>
      </c>
    </row>
    <row r="400" spans="2:7">
      <c r="B400" s="105">
        <v>7</v>
      </c>
      <c r="C400" s="76" t="s">
        <v>2468</v>
      </c>
      <c r="D400" s="105" t="s">
        <v>1172</v>
      </c>
      <c r="E400" s="207">
        <v>4</v>
      </c>
      <c r="F400" s="190">
        <f>'BASIC DATA'!$C$471</f>
        <v>510</v>
      </c>
      <c r="G400" s="190">
        <f t="shared" si="5"/>
        <v>2040</v>
      </c>
    </row>
    <row r="401" spans="2:7">
      <c r="B401" s="105">
        <v>8</v>
      </c>
      <c r="C401" s="76" t="s">
        <v>4587</v>
      </c>
      <c r="D401" s="105" t="s">
        <v>1172</v>
      </c>
      <c r="E401" s="207">
        <v>2</v>
      </c>
      <c r="F401" s="190">
        <f>'BASIC DATA'!$C$475</f>
        <v>475</v>
      </c>
      <c r="G401" s="190">
        <f t="shared" si="5"/>
        <v>950</v>
      </c>
    </row>
    <row r="402" spans="2:7">
      <c r="B402" s="105">
        <v>9</v>
      </c>
      <c r="C402" s="76" t="s">
        <v>2463</v>
      </c>
      <c r="D402" s="105" t="s">
        <v>1172</v>
      </c>
      <c r="E402" s="207">
        <v>1</v>
      </c>
      <c r="F402" s="190">
        <f>'BASIC DATA'!$C$466</f>
        <v>510</v>
      </c>
      <c r="G402" s="190">
        <f t="shared" si="5"/>
        <v>510</v>
      </c>
    </row>
    <row r="403" spans="2:7">
      <c r="B403" s="105">
        <v>10</v>
      </c>
      <c r="C403" s="33" t="s">
        <v>5605</v>
      </c>
      <c r="D403" s="105" t="s">
        <v>1172</v>
      </c>
      <c r="E403" s="207">
        <v>2</v>
      </c>
      <c r="F403" s="190">
        <f>'BASIC DATA'!$C$520</f>
        <v>400</v>
      </c>
      <c r="G403" s="190">
        <f t="shared" si="5"/>
        <v>800</v>
      </c>
    </row>
    <row r="404" spans="2:7">
      <c r="B404" s="105">
        <v>11</v>
      </c>
      <c r="C404" s="76" t="s">
        <v>1116</v>
      </c>
      <c r="D404" s="105" t="s">
        <v>1172</v>
      </c>
      <c r="E404" s="207">
        <v>3</v>
      </c>
      <c r="F404" s="190">
        <f>'BASIC DATA'!$C$546</f>
        <v>400</v>
      </c>
      <c r="G404" s="190">
        <f t="shared" si="5"/>
        <v>1200</v>
      </c>
    </row>
    <row r="405" spans="2:7">
      <c r="B405" s="105">
        <v>12</v>
      </c>
      <c r="C405" s="76" t="s">
        <v>4207</v>
      </c>
      <c r="D405" s="105" t="s">
        <v>1172</v>
      </c>
      <c r="E405" s="207">
        <v>4</v>
      </c>
      <c r="F405" s="190">
        <f>'BASIC DATA'!$C$473</f>
        <v>450</v>
      </c>
      <c r="G405" s="190">
        <f t="shared" si="5"/>
        <v>1800</v>
      </c>
    </row>
    <row r="406" spans="2:7">
      <c r="B406" s="105">
        <v>13</v>
      </c>
      <c r="C406" s="76" t="s">
        <v>3401</v>
      </c>
      <c r="D406" s="105" t="s">
        <v>1172</v>
      </c>
      <c r="E406" s="207">
        <v>6</v>
      </c>
      <c r="F406" s="190">
        <f>'BASIC DATA'!$C$500</f>
        <v>445</v>
      </c>
      <c r="G406" s="190">
        <f t="shared" si="5"/>
        <v>2670</v>
      </c>
    </row>
    <row r="407" spans="2:7">
      <c r="B407" s="105">
        <v>14</v>
      </c>
      <c r="C407" s="76" t="s">
        <v>2697</v>
      </c>
      <c r="D407" s="105"/>
      <c r="E407" s="207"/>
      <c r="F407" s="190"/>
      <c r="G407" s="190"/>
    </row>
    <row r="408" spans="2:7">
      <c r="B408" s="319"/>
      <c r="C408" s="76" t="s">
        <v>1117</v>
      </c>
      <c r="D408" s="105" t="s">
        <v>1172</v>
      </c>
      <c r="E408" s="207">
        <v>24</v>
      </c>
      <c r="F408" s="190">
        <f>'BASIC DATA'!$C$552</f>
        <v>350</v>
      </c>
      <c r="G408" s="190">
        <f t="shared" si="5"/>
        <v>8400</v>
      </c>
    </row>
    <row r="409" spans="2:7">
      <c r="B409" s="319"/>
      <c r="C409" s="76" t="s">
        <v>1118</v>
      </c>
      <c r="D409" s="105" t="s">
        <v>1172</v>
      </c>
      <c r="E409" s="207">
        <v>2</v>
      </c>
      <c r="F409" s="190">
        <f>'BASIC DATA'!$C$552</f>
        <v>350</v>
      </c>
      <c r="G409" s="190">
        <f t="shared" si="5"/>
        <v>700</v>
      </c>
    </row>
    <row r="410" spans="2:7">
      <c r="B410" s="319"/>
      <c r="C410" s="76" t="s">
        <v>1185</v>
      </c>
      <c r="D410" s="105" t="s">
        <v>1172</v>
      </c>
      <c r="E410" s="207">
        <v>2</v>
      </c>
      <c r="F410" s="190">
        <f>'BASIC DATA'!$C$552</f>
        <v>350</v>
      </c>
      <c r="G410" s="190">
        <f t="shared" si="5"/>
        <v>700</v>
      </c>
    </row>
    <row r="411" spans="2:7">
      <c r="B411" s="92"/>
      <c r="C411" s="193" t="s">
        <v>1174</v>
      </c>
      <c r="D411" s="159"/>
      <c r="E411" s="238"/>
      <c r="F411" s="236" t="s">
        <v>1698</v>
      </c>
      <c r="G411" s="318">
        <f>SUM(G394:G410)</f>
        <v>34037.800000000003</v>
      </c>
    </row>
    <row r="412" spans="2:7">
      <c r="B412" s="60" t="s">
        <v>5948</v>
      </c>
      <c r="D412" s="31"/>
      <c r="E412" s="85">
        <f>ROUND(G411/F357,1)</f>
        <v>1134.5999999999999</v>
      </c>
    </row>
    <row r="413" spans="2:7">
      <c r="B413" s="60" t="s">
        <v>3163</v>
      </c>
      <c r="D413" s="922">
        <f>'BASIC DATA'!$C$577</f>
        <v>0.13614999999999999</v>
      </c>
      <c r="E413" s="85">
        <f>ROUND(E412*D413,1)</f>
        <v>154.5</v>
      </c>
    </row>
    <row r="414" spans="2:7">
      <c r="B414" s="60" t="s">
        <v>5949</v>
      </c>
      <c r="D414" s="31"/>
      <c r="E414" s="199">
        <f>ROUND(E413+E412,1)</f>
        <v>1289.0999999999999</v>
      </c>
    </row>
    <row r="415" spans="2:7"/>
    <row r="416" spans="2:7">
      <c r="B416" s="170" t="s">
        <v>1175</v>
      </c>
    </row>
    <row r="417" spans="1:7">
      <c r="B417" s="26" t="s">
        <v>1176</v>
      </c>
      <c r="F417" s="171" t="s">
        <v>1698</v>
      </c>
      <c r="G417" s="68">
        <f>G371</f>
        <v>7951.0633933333329</v>
      </c>
    </row>
    <row r="418" spans="1:7">
      <c r="B418" s="26" t="s">
        <v>1186</v>
      </c>
      <c r="F418" s="171" t="s">
        <v>1698</v>
      </c>
      <c r="G418" s="68">
        <f>G389</f>
        <v>13661.650000000001</v>
      </c>
    </row>
    <row r="419" spans="1:7">
      <c r="B419" s="26" t="s">
        <v>2660</v>
      </c>
      <c r="F419" s="171" t="s">
        <v>1698</v>
      </c>
      <c r="G419" s="75">
        <f>G411</f>
        <v>34037.800000000003</v>
      </c>
    </row>
    <row r="420" spans="1:7">
      <c r="E420" s="171"/>
      <c r="F420" s="171" t="s">
        <v>302</v>
      </c>
      <c r="G420" s="205">
        <f>SUM(G417:G419)</f>
        <v>55650.513393333342</v>
      </c>
    </row>
    <row r="421" spans="1:7">
      <c r="A421" s="853"/>
      <c r="B421" s="61" t="s">
        <v>2313</v>
      </c>
      <c r="C421" s="61"/>
      <c r="D421" s="61"/>
      <c r="E421" s="320">
        <f>'BASIC DATA'!$C$595</f>
        <v>0.01</v>
      </c>
      <c r="F421" s="222" t="s">
        <v>1698</v>
      </c>
      <c r="G421" s="321">
        <f>$G$420*E421</f>
        <v>556.50513393333347</v>
      </c>
    </row>
    <row r="422" spans="1:7">
      <c r="A422" s="853"/>
      <c r="B422" s="61" t="s">
        <v>2314</v>
      </c>
      <c r="C422" s="61"/>
      <c r="D422" s="61"/>
      <c r="E422" s="291">
        <f>'BASIC DATA'!$C$596</f>
        <v>4.4999999999999998E-2</v>
      </c>
      <c r="F422" s="222" t="s">
        <v>1698</v>
      </c>
      <c r="G422" s="321">
        <f>$G$420*E422</f>
        <v>2504.2731027000004</v>
      </c>
    </row>
    <row r="423" spans="1:7">
      <c r="A423" s="853"/>
      <c r="B423" s="61" t="s">
        <v>2315</v>
      </c>
      <c r="C423" s="61"/>
      <c r="D423" s="61"/>
      <c r="E423" s="291">
        <f>'BASIC DATA'!$C$597</f>
        <v>1.6E-2</v>
      </c>
      <c r="F423" s="222" t="s">
        <v>1698</v>
      </c>
      <c r="G423" s="321">
        <f>$G$420*E423</f>
        <v>890.40821429333346</v>
      </c>
    </row>
    <row r="424" spans="1:7">
      <c r="A424" s="853"/>
      <c r="B424" s="61" t="s">
        <v>1259</v>
      </c>
      <c r="C424" s="61"/>
      <c r="D424" s="61"/>
      <c r="E424" s="291">
        <f>'BASIC DATA'!$C$598</f>
        <v>2.5000000000000001E-2</v>
      </c>
      <c r="F424" s="222" t="s">
        <v>1698</v>
      </c>
      <c r="G424" s="321">
        <f>$G$420*E424</f>
        <v>1391.2628348333337</v>
      </c>
    </row>
    <row r="425" spans="1:7">
      <c r="A425" s="853"/>
      <c r="B425" s="61"/>
      <c r="C425" s="61"/>
      <c r="D425" s="61"/>
      <c r="E425" s="291"/>
      <c r="F425" s="171" t="s">
        <v>302</v>
      </c>
      <c r="G425" s="205">
        <f>SUM(G420:G424)</f>
        <v>60992.96267909334</v>
      </c>
    </row>
    <row r="426" spans="1:7" ht="35.25" customHeight="1">
      <c r="B426" s="1207" t="s">
        <v>6259</v>
      </c>
      <c r="C426" s="1207"/>
      <c r="D426" s="1207"/>
      <c r="E426" s="922">
        <f>'BASIC DATA'!$C$577</f>
        <v>0.13614999999999999</v>
      </c>
      <c r="F426" s="171" t="s">
        <v>1698</v>
      </c>
      <c r="G426" s="75">
        <f>G425*E426</f>
        <v>8304.1918687585585</v>
      </c>
    </row>
    <row r="427" spans="1:7">
      <c r="B427" s="26" t="s">
        <v>1191</v>
      </c>
      <c r="D427" s="68">
        <f>F357</f>
        <v>30</v>
      </c>
      <c r="E427" s="68" t="str">
        <f>G357</f>
        <v>cum</v>
      </c>
      <c r="F427" s="171" t="s">
        <v>1698</v>
      </c>
      <c r="G427" s="211">
        <f>G426+G425</f>
        <v>69297.154547851896</v>
      </c>
    </row>
    <row r="428" spans="1:7">
      <c r="B428" s="170" t="s">
        <v>3884</v>
      </c>
      <c r="C428" s="170" t="str">
        <f>E427</f>
        <v>cum</v>
      </c>
      <c r="D428" s="26" t="s">
        <v>6565</v>
      </c>
      <c r="F428" s="171" t="s">
        <v>1698</v>
      </c>
      <c r="G428" s="211">
        <f>ROUND(G427/D427,1)</f>
        <v>2309.9</v>
      </c>
    </row>
    <row r="429" spans="1:7">
      <c r="B429" s="78"/>
    </row>
    <row r="430" spans="1:7">
      <c r="B430" s="78"/>
    </row>
    <row r="431" spans="1:7">
      <c r="A431" s="822" t="s">
        <v>7390</v>
      </c>
      <c r="B431" s="26" t="s">
        <v>8581</v>
      </c>
    </row>
    <row r="432" spans="1:7">
      <c r="A432" s="865"/>
      <c r="B432" s="26" t="s">
        <v>1119</v>
      </c>
    </row>
    <row r="433" spans="1:7">
      <c r="A433" s="865"/>
      <c r="B433" s="26" t="s">
        <v>1120</v>
      </c>
    </row>
    <row r="434" spans="1:7" ht="18.75">
      <c r="A434" s="865"/>
      <c r="B434" s="26" t="s">
        <v>8582</v>
      </c>
    </row>
    <row r="435" spans="1:7">
      <c r="A435" s="865"/>
      <c r="B435" s="170" t="s">
        <v>5094</v>
      </c>
    </row>
    <row r="436" spans="1:7">
      <c r="A436" s="865"/>
    </row>
    <row r="437" spans="1:7">
      <c r="A437" s="865" t="s">
        <v>3984</v>
      </c>
      <c r="B437" s="26" t="s">
        <v>6381</v>
      </c>
      <c r="E437" s="78" t="s">
        <v>1697</v>
      </c>
      <c r="F437" s="68">
        <v>4.5</v>
      </c>
      <c r="G437" s="26" t="s">
        <v>40</v>
      </c>
    </row>
    <row r="438" spans="1:7">
      <c r="A438" s="865"/>
      <c r="B438" s="26" t="s">
        <v>6382</v>
      </c>
      <c r="E438" s="78" t="s">
        <v>1697</v>
      </c>
      <c r="F438" s="26" t="s">
        <v>844</v>
      </c>
    </row>
    <row r="439" spans="1:7">
      <c r="A439" s="865"/>
      <c r="B439" s="26" t="s">
        <v>6383</v>
      </c>
      <c r="E439" s="78" t="s">
        <v>1697</v>
      </c>
      <c r="F439" s="68">
        <v>4.5</v>
      </c>
      <c r="G439" s="26" t="s">
        <v>2602</v>
      </c>
    </row>
    <row r="440" spans="1:7">
      <c r="A440" s="865"/>
      <c r="B440" s="26" t="s">
        <v>3236</v>
      </c>
      <c r="E440" s="78" t="s">
        <v>1697</v>
      </c>
      <c r="F440" s="26">
        <v>1000</v>
      </c>
      <c r="G440" s="26" t="s">
        <v>2602</v>
      </c>
    </row>
    <row r="441" spans="1:7">
      <c r="A441" s="865"/>
      <c r="B441" s="26" t="s">
        <v>3237</v>
      </c>
      <c r="E441" s="78" t="s">
        <v>1697</v>
      </c>
      <c r="F441" s="68">
        <v>0.3</v>
      </c>
      <c r="G441" s="26" t="s">
        <v>2602</v>
      </c>
    </row>
    <row r="442" spans="1:7">
      <c r="A442" s="865"/>
      <c r="B442" s="26" t="s">
        <v>846</v>
      </c>
      <c r="E442" s="78" t="s">
        <v>1697</v>
      </c>
      <c r="F442" s="68">
        <v>0.2</v>
      </c>
      <c r="G442" s="26" t="s">
        <v>2602</v>
      </c>
    </row>
    <row r="443" spans="1:7">
      <c r="A443" s="865"/>
      <c r="B443" s="26" t="s">
        <v>3238</v>
      </c>
      <c r="E443" s="78" t="s">
        <v>1697</v>
      </c>
      <c r="F443" s="68">
        <v>5.5</v>
      </c>
      <c r="G443" s="26" t="s">
        <v>2602</v>
      </c>
    </row>
    <row r="444" spans="1:7">
      <c r="A444" s="865"/>
      <c r="B444" s="26" t="s">
        <v>6112</v>
      </c>
      <c r="E444" s="78" t="s">
        <v>43</v>
      </c>
      <c r="F444" s="26">
        <v>500</v>
      </c>
      <c r="G444" s="26" t="s">
        <v>2602</v>
      </c>
    </row>
    <row r="445" spans="1:7">
      <c r="A445" s="865"/>
      <c r="B445" s="26" t="s">
        <v>6113</v>
      </c>
      <c r="E445" s="78" t="s">
        <v>1697</v>
      </c>
      <c r="F445" s="26" t="s">
        <v>6114</v>
      </c>
    </row>
    <row r="446" spans="1:7"/>
    <row r="447" spans="1:7"/>
    <row r="448" spans="1:7"/>
    <row r="449" spans="1:7"/>
    <row r="450" spans="1:7"/>
    <row r="451" spans="1:7"/>
    <row r="452" spans="1:7"/>
    <row r="453" spans="1:7"/>
    <row r="454" spans="1:7"/>
    <row r="455" spans="1:7"/>
    <row r="456" spans="1:7" hidden="1"/>
    <row r="457" spans="1:7" hidden="1"/>
    <row r="458" spans="1:7" hidden="1">
      <c r="A458" s="865">
        <v>1</v>
      </c>
      <c r="B458" s="26" t="s">
        <v>6115</v>
      </c>
    </row>
    <row r="459" spans="1:7" hidden="1">
      <c r="A459" s="880"/>
      <c r="B459" s="26" t="s">
        <v>6533</v>
      </c>
    </row>
    <row r="460" spans="1:7" hidden="1">
      <c r="A460" s="865">
        <v>2</v>
      </c>
      <c r="B460" s="26" t="s">
        <v>6534</v>
      </c>
    </row>
    <row r="461" spans="1:7" hidden="1">
      <c r="A461" s="865"/>
      <c r="B461" s="26" t="s">
        <v>2150</v>
      </c>
      <c r="E461" s="78" t="s">
        <v>1697</v>
      </c>
      <c r="F461" s="68">
        <v>27</v>
      </c>
      <c r="G461" s="26" t="s">
        <v>3479</v>
      </c>
    </row>
    <row r="462" spans="1:7" hidden="1">
      <c r="A462" s="865"/>
      <c r="B462" s="26" t="s">
        <v>3045</v>
      </c>
    </row>
    <row r="463" spans="1:7" hidden="1">
      <c r="A463" s="865"/>
      <c r="B463" s="26" t="s">
        <v>3043</v>
      </c>
    </row>
    <row r="464" spans="1:7" hidden="1">
      <c r="A464" s="865"/>
      <c r="B464" s="26" t="s">
        <v>3044</v>
      </c>
    </row>
    <row r="465" spans="1:7" hidden="1">
      <c r="A465" s="865"/>
      <c r="B465" s="26" t="s">
        <v>6767</v>
      </c>
    </row>
    <row r="466" spans="1:7" hidden="1">
      <c r="A466" s="865"/>
      <c r="B466" s="26" t="s">
        <v>6768</v>
      </c>
      <c r="E466" s="78" t="s">
        <v>1697</v>
      </c>
      <c r="F466" s="26">
        <v>68</v>
      </c>
      <c r="G466" s="26" t="s">
        <v>2059</v>
      </c>
    </row>
    <row r="467" spans="1:7" hidden="1">
      <c r="A467" s="865"/>
      <c r="B467" s="26" t="s">
        <v>6769</v>
      </c>
      <c r="E467" s="78" t="s">
        <v>1697</v>
      </c>
      <c r="F467" s="26">
        <v>2</v>
      </c>
      <c r="G467" s="26" t="s">
        <v>2602</v>
      </c>
    </row>
    <row r="468" spans="1:7" hidden="1">
      <c r="A468" s="865"/>
      <c r="B468" s="26" t="s">
        <v>4749</v>
      </c>
    </row>
    <row r="469" spans="1:7" hidden="1">
      <c r="A469" s="865"/>
      <c r="B469" s="26" t="s">
        <v>5058</v>
      </c>
    </row>
    <row r="470" spans="1:7" hidden="1">
      <c r="A470" s="865"/>
      <c r="B470" s="26" t="s">
        <v>236</v>
      </c>
      <c r="E470" s="78" t="s">
        <v>1697</v>
      </c>
      <c r="F470" s="26">
        <v>150</v>
      </c>
      <c r="G470" s="26" t="s">
        <v>2602</v>
      </c>
    </row>
    <row r="471" spans="1:7" hidden="1">
      <c r="A471" s="865"/>
      <c r="B471" s="26" t="s">
        <v>3403</v>
      </c>
      <c r="E471" s="78" t="s">
        <v>1697</v>
      </c>
      <c r="F471" s="26">
        <v>6</v>
      </c>
      <c r="G471" s="26" t="s">
        <v>2602</v>
      </c>
    </row>
    <row r="472" spans="1:7" hidden="1">
      <c r="A472" s="865"/>
      <c r="B472" s="26" t="s">
        <v>3279</v>
      </c>
      <c r="E472" s="78" t="s">
        <v>1697</v>
      </c>
      <c r="F472" s="26">
        <v>6.5</v>
      </c>
      <c r="G472" s="26" t="s">
        <v>4665</v>
      </c>
    </row>
    <row r="473" spans="1:7" hidden="1">
      <c r="A473" s="865"/>
      <c r="B473" s="26" t="s">
        <v>3281</v>
      </c>
      <c r="E473" s="78" t="s">
        <v>1697</v>
      </c>
      <c r="F473" s="26">
        <v>6.5</v>
      </c>
      <c r="G473" s="26" t="s">
        <v>4665</v>
      </c>
    </row>
    <row r="474" spans="1:7" hidden="1">
      <c r="A474" s="865"/>
      <c r="B474" s="26" t="s">
        <v>3282</v>
      </c>
      <c r="E474" s="78" t="s">
        <v>1697</v>
      </c>
      <c r="F474" s="26">
        <v>6.5</v>
      </c>
      <c r="G474" s="26" t="s">
        <v>4665</v>
      </c>
    </row>
    <row r="475" spans="1:7" hidden="1">
      <c r="A475" s="865"/>
      <c r="B475" s="26" t="s">
        <v>3283</v>
      </c>
      <c r="E475" s="78" t="s">
        <v>1697</v>
      </c>
      <c r="F475" s="26">
        <v>6.5</v>
      </c>
      <c r="G475" s="26" t="s">
        <v>4665</v>
      </c>
    </row>
    <row r="476" spans="1:7" hidden="1">
      <c r="A476" s="865">
        <v>3</v>
      </c>
      <c r="B476" s="26" t="s">
        <v>2968</v>
      </c>
      <c r="E476" s="78"/>
    </row>
    <row r="477" spans="1:7" hidden="1">
      <c r="A477" s="865"/>
      <c r="B477" s="26" t="s">
        <v>3284</v>
      </c>
      <c r="E477" s="78" t="s">
        <v>1697</v>
      </c>
      <c r="F477" s="26">
        <v>1.8</v>
      </c>
      <c r="G477" s="26" t="s">
        <v>2602</v>
      </c>
    </row>
    <row r="478" spans="1:7" hidden="1">
      <c r="A478" s="865"/>
      <c r="B478" s="26" t="s">
        <v>237</v>
      </c>
      <c r="E478" s="78" t="s">
        <v>1697</v>
      </c>
      <c r="F478" s="26">
        <f>27*1.8</f>
        <v>48.6</v>
      </c>
      <c r="G478" s="26" t="s">
        <v>3477</v>
      </c>
    </row>
    <row r="479" spans="1:7" hidden="1">
      <c r="A479" s="865"/>
      <c r="B479" s="26" t="s">
        <v>3286</v>
      </c>
      <c r="E479" s="78" t="s">
        <v>1697</v>
      </c>
      <c r="F479" s="26">
        <v>49</v>
      </c>
      <c r="G479" s="26" t="s">
        <v>3478</v>
      </c>
    </row>
    <row r="480" spans="1:7" hidden="1">
      <c r="A480" s="865"/>
      <c r="B480" s="26" t="s">
        <v>238</v>
      </c>
      <c r="E480" s="78" t="s">
        <v>1697</v>
      </c>
      <c r="F480" s="26">
        <v>5</v>
      </c>
      <c r="G480" s="26" t="s">
        <v>3478</v>
      </c>
    </row>
    <row r="481" spans="1:7" hidden="1">
      <c r="A481" s="865"/>
      <c r="B481" s="26" t="s">
        <v>4914</v>
      </c>
      <c r="E481" s="78" t="s">
        <v>1697</v>
      </c>
      <c r="F481" s="26">
        <v>54</v>
      </c>
      <c r="G481" s="26" t="s">
        <v>3478</v>
      </c>
    </row>
    <row r="482" spans="1:7" hidden="1">
      <c r="A482" s="865"/>
      <c r="B482" s="26" t="s">
        <v>3673</v>
      </c>
      <c r="E482" s="78" t="s">
        <v>1697</v>
      </c>
      <c r="F482" s="26">
        <v>68</v>
      </c>
      <c r="G482" s="26" t="s">
        <v>4041</v>
      </c>
    </row>
    <row r="483" spans="1:7" hidden="1">
      <c r="A483" s="865"/>
      <c r="B483" s="26" t="s">
        <v>2560</v>
      </c>
      <c r="E483" s="78" t="s">
        <v>239</v>
      </c>
      <c r="F483" s="26">
        <v>10</v>
      </c>
      <c r="G483" s="26" t="s">
        <v>4041</v>
      </c>
    </row>
    <row r="484" spans="1:7" hidden="1">
      <c r="A484" s="865"/>
      <c r="B484" s="26" t="s">
        <v>5703</v>
      </c>
      <c r="E484" s="78" t="s">
        <v>239</v>
      </c>
      <c r="F484" s="26">
        <v>50</v>
      </c>
      <c r="G484" s="26" t="s">
        <v>3483</v>
      </c>
    </row>
    <row r="485" spans="1:7" hidden="1">
      <c r="A485" s="865"/>
      <c r="B485" s="26" t="s">
        <v>2562</v>
      </c>
    </row>
    <row r="486" spans="1:7" hidden="1">
      <c r="A486" s="865">
        <v>4</v>
      </c>
      <c r="B486" s="26" t="s">
        <v>2563</v>
      </c>
    </row>
    <row r="487" spans="1:7" hidden="1">
      <c r="A487" s="865"/>
      <c r="B487" s="26" t="s">
        <v>232</v>
      </c>
    </row>
    <row r="488" spans="1:7" hidden="1">
      <c r="A488" s="865"/>
      <c r="B488" s="26" t="s">
        <v>3674</v>
      </c>
    </row>
    <row r="489" spans="1:7" hidden="1">
      <c r="A489" s="865"/>
      <c r="B489" s="26" t="s">
        <v>3572</v>
      </c>
    </row>
    <row r="490" spans="1:7" hidden="1">
      <c r="A490" s="865">
        <v>5</v>
      </c>
      <c r="B490" s="26" t="s">
        <v>5962</v>
      </c>
    </row>
    <row r="491" spans="1:7" hidden="1">
      <c r="A491" s="880"/>
      <c r="B491" s="26" t="s">
        <v>6106</v>
      </c>
      <c r="E491" s="322" t="s">
        <v>1697</v>
      </c>
      <c r="F491" s="26">
        <v>73</v>
      </c>
      <c r="G491" s="26" t="s">
        <v>3477</v>
      </c>
    </row>
    <row r="492" spans="1:7" hidden="1">
      <c r="A492" s="880"/>
      <c r="B492" s="26" t="s">
        <v>6107</v>
      </c>
      <c r="E492" s="322" t="s">
        <v>1697</v>
      </c>
      <c r="F492" s="68">
        <v>5</v>
      </c>
      <c r="G492" s="26" t="s">
        <v>3477</v>
      </c>
    </row>
    <row r="493" spans="1:7" hidden="1">
      <c r="A493" s="880"/>
      <c r="B493" s="26" t="s">
        <v>3394</v>
      </c>
      <c r="E493" s="322" t="s">
        <v>1697</v>
      </c>
      <c r="F493" s="68">
        <v>4.5</v>
      </c>
      <c r="G493" s="26" t="s">
        <v>3477</v>
      </c>
    </row>
    <row r="494" spans="1:7" hidden="1">
      <c r="A494" s="865">
        <v>6</v>
      </c>
      <c r="B494" s="26" t="s">
        <v>6109</v>
      </c>
    </row>
    <row r="495" spans="1:7" hidden="1">
      <c r="A495" s="880"/>
      <c r="B495" s="26" t="s">
        <v>3395</v>
      </c>
      <c r="E495" s="322" t="s">
        <v>1697</v>
      </c>
      <c r="F495" s="26">
        <v>1</v>
      </c>
      <c r="G495" s="26" t="s">
        <v>6902</v>
      </c>
    </row>
    <row r="496" spans="1:7" hidden="1">
      <c r="A496" s="880"/>
      <c r="B496" s="26" t="s">
        <v>2253</v>
      </c>
      <c r="E496" s="322" t="s">
        <v>1697</v>
      </c>
      <c r="F496" s="26">
        <v>20</v>
      </c>
      <c r="G496" s="26" t="s">
        <v>6902</v>
      </c>
    </row>
    <row r="497" spans="1:7" hidden="1">
      <c r="A497" s="880"/>
      <c r="B497" s="26" t="s">
        <v>3396</v>
      </c>
      <c r="E497" s="324" t="s">
        <v>3397</v>
      </c>
      <c r="F497" s="174">
        <v>1</v>
      </c>
      <c r="G497" s="26" t="s">
        <v>6902</v>
      </c>
    </row>
    <row r="498" spans="1:7" hidden="1">
      <c r="A498" s="880"/>
      <c r="B498" s="26" t="s">
        <v>3677</v>
      </c>
      <c r="E498" s="322" t="s">
        <v>1697</v>
      </c>
      <c r="F498" s="26">
        <f>F497+F496+F495</f>
        <v>22</v>
      </c>
      <c r="G498" s="26" t="s">
        <v>6902</v>
      </c>
    </row>
    <row r="499" spans="1:7" hidden="1">
      <c r="A499" s="865">
        <v>7</v>
      </c>
      <c r="B499" s="26" t="s">
        <v>3678</v>
      </c>
    </row>
    <row r="500" spans="1:7" hidden="1">
      <c r="A500" s="880"/>
      <c r="B500" s="26" t="s">
        <v>4878</v>
      </c>
      <c r="E500" s="322" t="s">
        <v>1697</v>
      </c>
      <c r="F500" s="26">
        <v>5</v>
      </c>
      <c r="G500" s="26" t="s">
        <v>6902</v>
      </c>
    </row>
    <row r="501" spans="1:7" hidden="1">
      <c r="A501" s="880"/>
      <c r="B501" s="26" t="s">
        <v>3615</v>
      </c>
      <c r="E501" s="322" t="s">
        <v>1697</v>
      </c>
      <c r="F501" s="26">
        <v>2</v>
      </c>
      <c r="G501" s="26" t="s">
        <v>6902</v>
      </c>
    </row>
    <row r="502" spans="1:7" hidden="1">
      <c r="A502" s="880"/>
      <c r="B502" s="26" t="s">
        <v>4879</v>
      </c>
      <c r="E502" s="322" t="s">
        <v>1697</v>
      </c>
      <c r="F502" s="26">
        <v>5</v>
      </c>
      <c r="G502" s="26" t="s">
        <v>6902</v>
      </c>
    </row>
    <row r="503" spans="1:7" hidden="1">
      <c r="A503" s="880"/>
      <c r="B503" s="26" t="s">
        <v>4880</v>
      </c>
      <c r="E503" s="322" t="s">
        <v>1697</v>
      </c>
      <c r="F503" s="174">
        <v>9</v>
      </c>
      <c r="G503" s="26" t="s">
        <v>6902</v>
      </c>
    </row>
    <row r="504" spans="1:7" hidden="1">
      <c r="A504" s="880"/>
      <c r="B504" s="26" t="s">
        <v>3617</v>
      </c>
      <c r="E504" s="322" t="s">
        <v>1697</v>
      </c>
      <c r="F504" s="26">
        <f>F503+F502+F501+F500</f>
        <v>21</v>
      </c>
      <c r="G504" s="26" t="s">
        <v>6902</v>
      </c>
    </row>
    <row r="505" spans="1:7" hidden="1">
      <c r="A505" s="880"/>
      <c r="B505" s="26" t="s">
        <v>5932</v>
      </c>
      <c r="E505" s="324" t="s">
        <v>3397</v>
      </c>
      <c r="F505" s="26">
        <v>45</v>
      </c>
      <c r="G505" s="26" t="s">
        <v>6902</v>
      </c>
    </row>
    <row r="506" spans="1:7" hidden="1">
      <c r="A506" s="880"/>
      <c r="B506" s="26" t="s">
        <v>6110</v>
      </c>
      <c r="E506" s="322" t="s">
        <v>1697</v>
      </c>
      <c r="F506" s="68">
        <v>6</v>
      </c>
      <c r="G506" s="26" t="s">
        <v>3477</v>
      </c>
    </row>
    <row r="507" spans="1:7" hidden="1">
      <c r="A507" s="880"/>
      <c r="B507" s="26" t="s">
        <v>2771</v>
      </c>
      <c r="E507" s="322" t="s">
        <v>1697</v>
      </c>
      <c r="F507" s="26">
        <v>6</v>
      </c>
      <c r="G507" s="26" t="s">
        <v>4665</v>
      </c>
    </row>
    <row r="508" spans="1:7" hidden="1">
      <c r="A508" s="880"/>
      <c r="B508" s="26" t="s">
        <v>3894</v>
      </c>
      <c r="E508" s="322" t="s">
        <v>1697</v>
      </c>
      <c r="F508" s="26">
        <v>6</v>
      </c>
      <c r="G508" s="26" t="s">
        <v>4665</v>
      </c>
    </row>
    <row r="509" spans="1:7" hidden="1">
      <c r="A509" s="865">
        <v>8</v>
      </c>
      <c r="B509" s="26" t="s">
        <v>3895</v>
      </c>
      <c r="E509" s="322"/>
    </row>
    <row r="510" spans="1:7" hidden="1">
      <c r="A510" s="880"/>
      <c r="B510" s="26" t="s">
        <v>3896</v>
      </c>
      <c r="E510" s="322" t="s">
        <v>1697</v>
      </c>
      <c r="F510" s="68">
        <v>2</v>
      </c>
      <c r="G510" s="26" t="s">
        <v>4665</v>
      </c>
    </row>
    <row r="511" spans="1:7" hidden="1">
      <c r="A511" s="880"/>
      <c r="B511" s="26" t="s">
        <v>3897</v>
      </c>
      <c r="E511" s="322" t="s">
        <v>1697</v>
      </c>
      <c r="F511" s="68">
        <v>6.5</v>
      </c>
      <c r="G511" s="26" t="s">
        <v>4665</v>
      </c>
    </row>
    <row r="512" spans="1:7" hidden="1">
      <c r="A512" s="880"/>
      <c r="B512" s="26" t="s">
        <v>3898</v>
      </c>
      <c r="E512" s="322" t="s">
        <v>1697</v>
      </c>
      <c r="F512" s="68">
        <v>2</v>
      </c>
      <c r="G512" s="26" t="s">
        <v>4665</v>
      </c>
    </row>
    <row r="513" spans="1:7" hidden="1">
      <c r="A513" s="880"/>
      <c r="B513" s="26" t="s">
        <v>3936</v>
      </c>
      <c r="E513" s="322" t="s">
        <v>1697</v>
      </c>
      <c r="F513" s="68">
        <v>2</v>
      </c>
      <c r="G513" s="26" t="s">
        <v>4665</v>
      </c>
    </row>
    <row r="514" spans="1:7" hidden="1">
      <c r="A514" s="880"/>
      <c r="B514" s="26" t="s">
        <v>3937</v>
      </c>
      <c r="E514" s="322" t="s">
        <v>1697</v>
      </c>
      <c r="F514" s="68">
        <v>6</v>
      </c>
      <c r="G514" s="26" t="s">
        <v>4665</v>
      </c>
    </row>
    <row r="515" spans="1:7" hidden="1">
      <c r="A515" s="880"/>
      <c r="B515" s="26" t="s">
        <v>3938</v>
      </c>
      <c r="E515" s="324" t="s">
        <v>3397</v>
      </c>
      <c r="F515" s="173">
        <v>5.5</v>
      </c>
      <c r="G515" s="26" t="s">
        <v>4665</v>
      </c>
    </row>
    <row r="516" spans="1:7" hidden="1">
      <c r="A516" s="880"/>
      <c r="B516" s="26" t="s">
        <v>3939</v>
      </c>
      <c r="E516" s="322" t="s">
        <v>1697</v>
      </c>
      <c r="F516" s="68">
        <f>SUM(F510:F515)</f>
        <v>24</v>
      </c>
      <c r="G516" s="26" t="s">
        <v>4665</v>
      </c>
    </row>
    <row r="517" spans="1:7" hidden="1">
      <c r="A517" s="880"/>
      <c r="B517" s="26" t="s">
        <v>885</v>
      </c>
    </row>
    <row r="518" spans="1:7" hidden="1">
      <c r="A518" s="865">
        <v>9</v>
      </c>
      <c r="B518" s="26" t="s">
        <v>4184</v>
      </c>
    </row>
    <row r="519" spans="1:7" hidden="1">
      <c r="A519" s="880"/>
      <c r="B519" s="26" t="s">
        <v>1679</v>
      </c>
      <c r="D519" s="68">
        <f>'BASIC DATA'!$D$308</f>
        <v>6254</v>
      </c>
      <c r="E519" s="78" t="s">
        <v>1698</v>
      </c>
      <c r="F519" s="68">
        <f>D519</f>
        <v>6254</v>
      </c>
    </row>
    <row r="520" spans="1:7" hidden="1">
      <c r="A520" s="880"/>
      <c r="B520" s="26" t="s">
        <v>5105</v>
      </c>
      <c r="E520" s="322" t="s">
        <v>1697</v>
      </c>
      <c r="F520" s="316">
        <v>150</v>
      </c>
      <c r="G520" s="26" t="s">
        <v>2602</v>
      </c>
    </row>
    <row r="521" spans="1:7" hidden="1">
      <c r="A521" s="865"/>
      <c r="B521" s="26" t="s">
        <v>6834</v>
      </c>
      <c r="E521" s="78" t="s">
        <v>1698</v>
      </c>
      <c r="F521" s="68">
        <f>F519/F520</f>
        <v>41.693333333333335</v>
      </c>
    </row>
    <row r="522" spans="1:7" hidden="1">
      <c r="A522" s="865"/>
      <c r="B522" s="26" t="s">
        <v>3942</v>
      </c>
      <c r="E522" s="322" t="s">
        <v>1697</v>
      </c>
      <c r="F522" s="316">
        <v>25</v>
      </c>
      <c r="G522" s="26" t="s">
        <v>42</v>
      </c>
    </row>
    <row r="523" spans="1:7" hidden="1">
      <c r="A523" s="865"/>
      <c r="B523" s="26" t="s">
        <v>7238</v>
      </c>
      <c r="D523" s="68">
        <f>'BASIC DATA'!$D$344</f>
        <v>185</v>
      </c>
      <c r="E523" s="78" t="s">
        <v>1698</v>
      </c>
      <c r="F523" s="68">
        <f>D523*F522</f>
        <v>4625</v>
      </c>
    </row>
    <row r="524" spans="1:7" hidden="1">
      <c r="A524" s="865"/>
      <c r="B524" s="26" t="s">
        <v>5152</v>
      </c>
      <c r="E524" s="322" t="s">
        <v>1697</v>
      </c>
      <c r="F524" s="316">
        <v>800</v>
      </c>
      <c r="G524" s="26" t="s">
        <v>4665</v>
      </c>
    </row>
    <row r="525" spans="1:7" hidden="1">
      <c r="A525" s="865"/>
      <c r="B525" s="26" t="s">
        <v>6372</v>
      </c>
      <c r="E525" s="78" t="s">
        <v>1698</v>
      </c>
      <c r="F525" s="68">
        <f>F523/F524</f>
        <v>5.78125</v>
      </c>
    </row>
    <row r="526" spans="1:7" hidden="1">
      <c r="A526" s="865"/>
      <c r="B526" s="26" t="s">
        <v>7239</v>
      </c>
      <c r="D526" s="68">
        <f>'BASIC DATA'!$D$360</f>
        <v>185</v>
      </c>
      <c r="E526" s="78" t="s">
        <v>1698</v>
      </c>
      <c r="F526" s="68">
        <f>D526*F522</f>
        <v>4625</v>
      </c>
    </row>
    <row r="527" spans="1:7" hidden="1">
      <c r="A527" s="865"/>
      <c r="B527" s="26" t="s">
        <v>3943</v>
      </c>
      <c r="E527" s="78" t="s">
        <v>1698</v>
      </c>
      <c r="F527" s="316">
        <v>800</v>
      </c>
      <c r="G527" s="26" t="s">
        <v>4665</v>
      </c>
    </row>
    <row r="528" spans="1:7" hidden="1">
      <c r="A528" s="865"/>
      <c r="B528" s="26" t="s">
        <v>4582</v>
      </c>
      <c r="E528" s="322" t="s">
        <v>1697</v>
      </c>
      <c r="F528" s="68">
        <f>F526/F527</f>
        <v>5.78125</v>
      </c>
    </row>
    <row r="529" spans="1:7">
      <c r="A529" s="865"/>
    </row>
    <row r="530" spans="1:7">
      <c r="B530" s="78"/>
    </row>
    <row r="531" spans="1:7">
      <c r="A531" s="822" t="s">
        <v>3984</v>
      </c>
      <c r="B531" s="78"/>
      <c r="C531" s="203" t="s">
        <v>2367</v>
      </c>
      <c r="E531" s="171" t="s">
        <v>297</v>
      </c>
      <c r="F531" s="246">
        <f>F478</f>
        <v>48.6</v>
      </c>
      <c r="G531" s="26" t="s">
        <v>3477</v>
      </c>
    </row>
    <row r="532" spans="1:7">
      <c r="B532" s="79" t="s">
        <v>2368</v>
      </c>
    </row>
    <row r="533" spans="1:7">
      <c r="B533" s="95" t="s">
        <v>2369</v>
      </c>
      <c r="C533" s="157" t="s">
        <v>4443</v>
      </c>
      <c r="D533" s="95" t="s">
        <v>2370</v>
      </c>
      <c r="E533" s="95" t="s">
        <v>1166</v>
      </c>
      <c r="F533" s="95" t="s">
        <v>2371</v>
      </c>
      <c r="G533" s="95" t="s">
        <v>2372</v>
      </c>
    </row>
    <row r="534" spans="1:7">
      <c r="B534" s="114"/>
      <c r="C534" s="154"/>
      <c r="D534" s="114"/>
      <c r="E534" s="114"/>
      <c r="F534" s="114" t="s">
        <v>3485</v>
      </c>
      <c r="G534" s="114" t="s">
        <v>3485</v>
      </c>
    </row>
    <row r="535" spans="1:7">
      <c r="B535" s="95">
        <v>1</v>
      </c>
      <c r="C535" s="135" t="s">
        <v>5830</v>
      </c>
      <c r="D535" s="95" t="s">
        <v>3478</v>
      </c>
      <c r="E535" s="190">
        <v>54</v>
      </c>
      <c r="F535" s="214">
        <f>'BASIC DATA'!$D$54</f>
        <v>70</v>
      </c>
      <c r="G535" s="190">
        <f>E535*F535</f>
        <v>3780</v>
      </c>
    </row>
    <row r="536" spans="1:7">
      <c r="B536" s="105">
        <v>2</v>
      </c>
      <c r="C536" s="135" t="s">
        <v>5831</v>
      </c>
      <c r="D536" s="105" t="s">
        <v>2059</v>
      </c>
      <c r="E536" s="190">
        <v>68</v>
      </c>
      <c r="F536" s="214">
        <f>'BASIC DATA'!$D$48</f>
        <v>20</v>
      </c>
      <c r="G536" s="190">
        <f t="shared" ref="G536:G543" si="6">E536*F536</f>
        <v>1360</v>
      </c>
    </row>
    <row r="537" spans="1:7">
      <c r="B537" s="105">
        <v>3</v>
      </c>
      <c r="C537" s="135" t="s">
        <v>2060</v>
      </c>
      <c r="D537" s="105" t="s">
        <v>2059</v>
      </c>
      <c r="E537" s="190">
        <v>10</v>
      </c>
      <c r="F537" s="214">
        <f>'BASIC DATA'!$D$49</f>
        <v>11</v>
      </c>
      <c r="G537" s="190">
        <f t="shared" si="6"/>
        <v>110</v>
      </c>
    </row>
    <row r="538" spans="1:7">
      <c r="B538" s="105">
        <v>4</v>
      </c>
      <c r="C538" s="135" t="s">
        <v>5703</v>
      </c>
      <c r="D538" s="105" t="s">
        <v>3483</v>
      </c>
      <c r="E538" s="190">
        <v>50</v>
      </c>
      <c r="F538" s="214">
        <f>'BASIC DATA'!$D$46</f>
        <v>9</v>
      </c>
      <c r="G538" s="190">
        <f t="shared" si="6"/>
        <v>450</v>
      </c>
    </row>
    <row r="539" spans="1:7">
      <c r="B539" s="105">
        <v>5</v>
      </c>
      <c r="C539" s="135" t="s">
        <v>2449</v>
      </c>
      <c r="D539" s="105" t="s">
        <v>3483</v>
      </c>
      <c r="E539" s="190">
        <v>150</v>
      </c>
      <c r="F539" s="214">
        <f>F521</f>
        <v>41.693333333333335</v>
      </c>
      <c r="G539" s="190">
        <f t="shared" si="6"/>
        <v>6254</v>
      </c>
    </row>
    <row r="540" spans="1:7">
      <c r="B540" s="317"/>
      <c r="C540" s="135" t="s">
        <v>5125</v>
      </c>
      <c r="D540" s="224">
        <v>0.1</v>
      </c>
      <c r="E540" s="190"/>
      <c r="F540" s="214"/>
      <c r="G540" s="190">
        <f>G539*D540</f>
        <v>625.40000000000009</v>
      </c>
    </row>
    <row r="541" spans="1:7">
      <c r="B541" s="105">
        <v>6</v>
      </c>
      <c r="C541" s="135" t="s">
        <v>1404</v>
      </c>
      <c r="D541" s="105" t="s">
        <v>2374</v>
      </c>
      <c r="E541" s="190">
        <v>24</v>
      </c>
      <c r="F541" s="214">
        <f>F525</f>
        <v>5.78125</v>
      </c>
      <c r="G541" s="190">
        <f t="shared" si="6"/>
        <v>138.75</v>
      </c>
    </row>
    <row r="542" spans="1:7">
      <c r="B542" s="105">
        <v>7</v>
      </c>
      <c r="C542" s="135" t="s">
        <v>4479</v>
      </c>
      <c r="D542" s="105" t="s">
        <v>2374</v>
      </c>
      <c r="E542" s="190">
        <v>24</v>
      </c>
      <c r="F542" s="214">
        <f>F528</f>
        <v>5.78125</v>
      </c>
      <c r="G542" s="190">
        <f t="shared" si="6"/>
        <v>138.75</v>
      </c>
    </row>
    <row r="543" spans="1:7">
      <c r="B543" s="114">
        <v>8</v>
      </c>
      <c r="C543" s="135" t="s">
        <v>4480</v>
      </c>
      <c r="D543" s="105" t="s">
        <v>2173</v>
      </c>
      <c r="E543" s="190">
        <v>2</v>
      </c>
      <c r="F543" s="214">
        <f>'BASIC DATA'!$D$359</f>
        <v>30</v>
      </c>
      <c r="G543" s="190">
        <f t="shared" si="6"/>
        <v>60</v>
      </c>
    </row>
    <row r="544" spans="1:7">
      <c r="B544" s="92"/>
      <c r="C544" s="193" t="s">
        <v>2376</v>
      </c>
      <c r="D544" s="159"/>
      <c r="E544" s="238"/>
      <c r="F544" s="236" t="s">
        <v>1698</v>
      </c>
      <c r="G544" s="318">
        <f>SUM(G535:G543)</f>
        <v>12916.9</v>
      </c>
    </row>
    <row r="545" spans="2:7">
      <c r="B545" s="78"/>
    </row>
    <row r="546" spans="2:7">
      <c r="B546" s="79" t="s">
        <v>2377</v>
      </c>
    </row>
    <row r="547" spans="2:7">
      <c r="B547" s="95" t="s">
        <v>2369</v>
      </c>
      <c r="C547" s="157" t="s">
        <v>2378</v>
      </c>
      <c r="D547" s="95" t="s">
        <v>2370</v>
      </c>
      <c r="E547" s="95" t="s">
        <v>1166</v>
      </c>
      <c r="F547" s="95" t="s">
        <v>2371</v>
      </c>
      <c r="G547" s="95" t="s">
        <v>2372</v>
      </c>
    </row>
    <row r="548" spans="2:7">
      <c r="B548" s="114"/>
      <c r="C548" s="154"/>
      <c r="D548" s="114"/>
      <c r="E548" s="114"/>
      <c r="F548" s="114" t="s">
        <v>3485</v>
      </c>
      <c r="G548" s="114" t="s">
        <v>3485</v>
      </c>
    </row>
    <row r="549" spans="2:7">
      <c r="B549" s="95">
        <v>1</v>
      </c>
      <c r="C549" s="135" t="s">
        <v>7102</v>
      </c>
      <c r="D549" s="95" t="s">
        <v>2374</v>
      </c>
      <c r="E549" s="190">
        <v>10</v>
      </c>
      <c r="F549" s="190">
        <f>'HIRE CHARGES'!$D$524</f>
        <v>368.40000000000003</v>
      </c>
      <c r="G549" s="190">
        <f>E549*F549</f>
        <v>3684.0000000000005</v>
      </c>
    </row>
    <row r="550" spans="2:7">
      <c r="B550" s="317"/>
      <c r="C550" s="135" t="s">
        <v>2379</v>
      </c>
      <c r="D550" s="105" t="s">
        <v>2374</v>
      </c>
      <c r="E550" s="190">
        <v>10</v>
      </c>
      <c r="F550" s="190">
        <f>'HIRE CHARGES'!$E$524</f>
        <v>42.8</v>
      </c>
      <c r="G550" s="190">
        <f t="shared" ref="G550:G565" si="7">E550*F550</f>
        <v>428</v>
      </c>
    </row>
    <row r="551" spans="2:7">
      <c r="B551" s="105">
        <v>2</v>
      </c>
      <c r="C551" s="135" t="s">
        <v>4481</v>
      </c>
      <c r="D551" s="105" t="s">
        <v>2374</v>
      </c>
      <c r="E551" s="190">
        <v>6.5</v>
      </c>
      <c r="F551" s="190">
        <f>'HIRE CHARGES'!$D$498</f>
        <v>138.80000000000001</v>
      </c>
      <c r="G551" s="190">
        <f t="shared" si="7"/>
        <v>902.2</v>
      </c>
    </row>
    <row r="552" spans="2:7">
      <c r="B552" s="317"/>
      <c r="C552" s="135" t="s">
        <v>2379</v>
      </c>
      <c r="D552" s="105" t="s">
        <v>2374</v>
      </c>
      <c r="E552" s="190">
        <v>6.5</v>
      </c>
      <c r="F552" s="190">
        <f>'HIRE CHARGES'!$E$498</f>
        <v>700.5</v>
      </c>
      <c r="G552" s="190">
        <f t="shared" si="7"/>
        <v>4553.25</v>
      </c>
    </row>
    <row r="553" spans="2:7">
      <c r="B553" s="105">
        <v>3</v>
      </c>
      <c r="C553" s="135" t="s">
        <v>6043</v>
      </c>
      <c r="D553" s="105" t="s">
        <v>2374</v>
      </c>
      <c r="E553" s="190">
        <v>26</v>
      </c>
      <c r="F553" s="190">
        <f>'HIRE CHARGES'!$D$530</f>
        <v>19.8</v>
      </c>
      <c r="G553" s="190">
        <f t="shared" si="7"/>
        <v>514.80000000000007</v>
      </c>
    </row>
    <row r="554" spans="2:7">
      <c r="B554" s="317"/>
      <c r="C554" s="135" t="s">
        <v>2379</v>
      </c>
      <c r="D554" s="105" t="s">
        <v>2374</v>
      </c>
      <c r="E554" s="190">
        <v>26</v>
      </c>
      <c r="F554" s="190">
        <f>'HIRE CHARGES'!$E$530</f>
        <v>0</v>
      </c>
      <c r="G554" s="190">
        <f t="shared" si="7"/>
        <v>0</v>
      </c>
    </row>
    <row r="555" spans="2:7">
      <c r="B555" s="105">
        <v>4</v>
      </c>
      <c r="C555" s="135" t="s">
        <v>6061</v>
      </c>
      <c r="D555" s="105" t="s">
        <v>2374</v>
      </c>
      <c r="E555" s="190">
        <v>26</v>
      </c>
      <c r="F555" s="190">
        <f>'HIRE CHARGES'!$D$540</f>
        <v>12.7</v>
      </c>
      <c r="G555" s="190">
        <f t="shared" si="7"/>
        <v>330.2</v>
      </c>
    </row>
    <row r="556" spans="2:7">
      <c r="B556" s="317"/>
      <c r="C556" s="135" t="s">
        <v>2379</v>
      </c>
      <c r="D556" s="105" t="s">
        <v>2374</v>
      </c>
      <c r="E556" s="190">
        <v>26</v>
      </c>
      <c r="F556" s="190">
        <f>'HIRE CHARGES'!$E$540</f>
        <v>0</v>
      </c>
      <c r="G556" s="190">
        <f t="shared" si="7"/>
        <v>0</v>
      </c>
    </row>
    <row r="557" spans="2:7">
      <c r="B557" s="105">
        <v>5</v>
      </c>
      <c r="C557" s="135" t="s">
        <v>3090</v>
      </c>
      <c r="D557" s="105" t="s">
        <v>2374</v>
      </c>
      <c r="E557" s="190">
        <v>6</v>
      </c>
      <c r="F557" s="190">
        <f>'HIRE CHARGES'!$D$512</f>
        <v>822.8</v>
      </c>
      <c r="G557" s="190">
        <f t="shared" si="7"/>
        <v>4936.7999999999993</v>
      </c>
    </row>
    <row r="558" spans="2:7">
      <c r="B558" s="317"/>
      <c r="C558" s="135" t="s">
        <v>2379</v>
      </c>
      <c r="D558" s="105" t="s">
        <v>2374</v>
      </c>
      <c r="E558" s="190">
        <v>6</v>
      </c>
      <c r="F558" s="190">
        <f>'HIRE CHARGES'!$E$512</f>
        <v>195</v>
      </c>
      <c r="G558" s="190">
        <f t="shared" si="7"/>
        <v>1170</v>
      </c>
    </row>
    <row r="559" spans="2:7">
      <c r="B559" s="105">
        <v>6</v>
      </c>
      <c r="C559" s="135" t="s">
        <v>6044</v>
      </c>
      <c r="D559" s="105" t="s">
        <v>2374</v>
      </c>
      <c r="E559" s="190">
        <v>12</v>
      </c>
      <c r="F559" s="190">
        <f>'HIRE CHARGES'!$D$525</f>
        <v>580.69999999999993</v>
      </c>
      <c r="G559" s="190">
        <f t="shared" si="7"/>
        <v>6968.4</v>
      </c>
    </row>
    <row r="560" spans="2:7">
      <c r="B560" s="317"/>
      <c r="C560" s="135" t="s">
        <v>2379</v>
      </c>
      <c r="D560" s="105" t="s">
        <v>2374</v>
      </c>
      <c r="E560" s="190">
        <v>12</v>
      </c>
      <c r="F560" s="190">
        <f>'HIRE CHARGES'!$E$525</f>
        <v>399.9</v>
      </c>
      <c r="G560" s="190">
        <f t="shared" si="7"/>
        <v>4798.7999999999993</v>
      </c>
    </row>
    <row r="561" spans="2:7">
      <c r="B561" s="105">
        <v>7</v>
      </c>
      <c r="C561" s="135" t="s">
        <v>4484</v>
      </c>
      <c r="D561" s="105" t="s">
        <v>2374</v>
      </c>
      <c r="E561" s="190">
        <v>6.5</v>
      </c>
      <c r="F561" s="190">
        <f>'HIRE CHARGES'!$D$520</f>
        <v>6.7</v>
      </c>
      <c r="G561" s="190">
        <f t="shared" si="7"/>
        <v>43.550000000000004</v>
      </c>
    </row>
    <row r="562" spans="2:7">
      <c r="B562" s="317"/>
      <c r="C562" s="135" t="s">
        <v>2379</v>
      </c>
      <c r="D562" s="105" t="s">
        <v>2374</v>
      </c>
      <c r="E562" s="190">
        <v>6.5</v>
      </c>
      <c r="F562" s="190">
        <f>'HIRE CHARGES'!$E$520</f>
        <v>56</v>
      </c>
      <c r="G562" s="190">
        <f t="shared" si="7"/>
        <v>364</v>
      </c>
    </row>
    <row r="563" spans="2:7">
      <c r="B563" s="105">
        <v>8</v>
      </c>
      <c r="C563" s="135" t="s">
        <v>4485</v>
      </c>
      <c r="D563" s="105" t="s">
        <v>2374</v>
      </c>
      <c r="E563" s="190">
        <v>2</v>
      </c>
      <c r="F563" s="190">
        <f>'HIRE CHARGES'!$D$552</f>
        <v>11.5</v>
      </c>
      <c r="G563" s="190">
        <f t="shared" si="7"/>
        <v>23</v>
      </c>
    </row>
    <row r="564" spans="2:7">
      <c r="B564" s="317"/>
      <c r="C564" s="135" t="s">
        <v>2379</v>
      </c>
      <c r="D564" s="105" t="s">
        <v>2374</v>
      </c>
      <c r="E564" s="190">
        <v>2</v>
      </c>
      <c r="F564" s="190">
        <f>'HIRE CHARGES'!$E$552</f>
        <v>112.1</v>
      </c>
      <c r="G564" s="190">
        <f t="shared" si="7"/>
        <v>224.2</v>
      </c>
    </row>
    <row r="565" spans="2:7">
      <c r="B565" s="105">
        <v>9</v>
      </c>
      <c r="C565" s="135" t="s">
        <v>4486</v>
      </c>
      <c r="D565" s="105" t="s">
        <v>2173</v>
      </c>
      <c r="E565" s="190">
        <v>2</v>
      </c>
      <c r="F565" s="214">
        <f>'BASIC DATA'!$D$359</f>
        <v>30</v>
      </c>
      <c r="G565" s="190">
        <f t="shared" si="7"/>
        <v>60</v>
      </c>
    </row>
    <row r="566" spans="2:7">
      <c r="B566" s="176"/>
      <c r="C566" s="172" t="s">
        <v>2380</v>
      </c>
      <c r="D566" s="174"/>
      <c r="E566" s="192"/>
      <c r="F566" s="236" t="s">
        <v>1698</v>
      </c>
      <c r="G566" s="318">
        <f>SUM(G549:G565)</f>
        <v>29001.200000000001</v>
      </c>
    </row>
    <row r="567" spans="2:7">
      <c r="B567" s="78"/>
    </row>
    <row r="568" spans="2:7">
      <c r="B568" s="79" t="s">
        <v>2381</v>
      </c>
    </row>
    <row r="569" spans="2:7">
      <c r="B569" s="95" t="s">
        <v>2369</v>
      </c>
      <c r="C569" s="157" t="s">
        <v>2378</v>
      </c>
      <c r="D569" s="95" t="s">
        <v>2370</v>
      </c>
      <c r="E569" s="95" t="s">
        <v>1166</v>
      </c>
      <c r="F569" s="95" t="s">
        <v>2371</v>
      </c>
      <c r="G569" s="95" t="s">
        <v>2372</v>
      </c>
    </row>
    <row r="570" spans="2:7">
      <c r="B570" s="114"/>
      <c r="C570" s="154"/>
      <c r="D570" s="114"/>
      <c r="E570" s="114"/>
      <c r="F570" s="114" t="s">
        <v>3485</v>
      </c>
      <c r="G570" s="114" t="s">
        <v>3485</v>
      </c>
    </row>
    <row r="571" spans="2:7">
      <c r="B571" s="105">
        <v>1</v>
      </c>
      <c r="C571" s="76" t="s">
        <v>4487</v>
      </c>
      <c r="D571" s="105" t="s">
        <v>2374</v>
      </c>
      <c r="E571" s="207">
        <v>10</v>
      </c>
      <c r="F571" s="190">
        <f>'HIRE CHARGES'!$F$524</f>
        <v>175.8</v>
      </c>
      <c r="G571" s="190">
        <f>E571*F571</f>
        <v>1758</v>
      </c>
    </row>
    <row r="572" spans="2:7">
      <c r="B572" s="105">
        <v>2</v>
      </c>
      <c r="C572" s="76" t="s">
        <v>4606</v>
      </c>
      <c r="D572" s="105" t="s">
        <v>2374</v>
      </c>
      <c r="E572" s="207">
        <v>6.5</v>
      </c>
      <c r="F572" s="190">
        <f>'HIRE CHARGES'!$F$498</f>
        <v>175.8</v>
      </c>
      <c r="G572" s="190">
        <f t="shared" ref="G572:G589" si="8">E572*F572</f>
        <v>1142.7</v>
      </c>
    </row>
    <row r="573" spans="2:7">
      <c r="B573" s="105">
        <v>3</v>
      </c>
      <c r="C573" s="76" t="s">
        <v>4607</v>
      </c>
      <c r="D573" s="105" t="s">
        <v>2374</v>
      </c>
      <c r="E573" s="207">
        <v>26</v>
      </c>
      <c r="F573" s="190">
        <f>'HIRE CHARGES'!$F$530</f>
        <v>329.6</v>
      </c>
      <c r="G573" s="190">
        <f t="shared" si="8"/>
        <v>8569.6</v>
      </c>
    </row>
    <row r="574" spans="2:7">
      <c r="B574" s="105">
        <v>4</v>
      </c>
      <c r="C574" s="76" t="s">
        <v>4584</v>
      </c>
      <c r="D574" s="105" t="s">
        <v>2374</v>
      </c>
      <c r="E574" s="207">
        <v>6</v>
      </c>
      <c r="F574" s="190">
        <f>'HIRE CHARGES'!$F$512</f>
        <v>175.8</v>
      </c>
      <c r="G574" s="190">
        <f t="shared" si="8"/>
        <v>1054.8000000000002</v>
      </c>
    </row>
    <row r="575" spans="2:7">
      <c r="B575" s="105">
        <v>5</v>
      </c>
      <c r="C575" s="76" t="s">
        <v>4585</v>
      </c>
      <c r="D575" s="105" t="s">
        <v>2374</v>
      </c>
      <c r="E575" s="207">
        <v>12</v>
      </c>
      <c r="F575" s="190">
        <f>'HIRE CHARGES'!$F$525</f>
        <v>227.1</v>
      </c>
      <c r="G575" s="190">
        <f t="shared" si="8"/>
        <v>2725.2</v>
      </c>
    </row>
    <row r="576" spans="2:7">
      <c r="B576" s="105">
        <v>6</v>
      </c>
      <c r="C576" s="76" t="s">
        <v>999</v>
      </c>
      <c r="D576" s="105" t="s">
        <v>2374</v>
      </c>
      <c r="E576" s="207">
        <v>6.5</v>
      </c>
      <c r="F576" s="190">
        <f>'HIRE CHARGES'!$F$520</f>
        <v>83.3</v>
      </c>
      <c r="G576" s="190">
        <f t="shared" si="8"/>
        <v>541.44999999999993</v>
      </c>
    </row>
    <row r="577" spans="2:7">
      <c r="B577" s="105">
        <v>7</v>
      </c>
      <c r="C577" s="76" t="s">
        <v>4586</v>
      </c>
      <c r="D577" s="105" t="s">
        <v>2374</v>
      </c>
      <c r="E577" s="207">
        <v>2</v>
      </c>
      <c r="F577" s="190">
        <f>'HIRE CHARGES'!$F$552</f>
        <v>28.7</v>
      </c>
      <c r="G577" s="190">
        <f t="shared" si="8"/>
        <v>57.4</v>
      </c>
    </row>
    <row r="578" spans="2:7">
      <c r="B578" s="105">
        <v>8</v>
      </c>
      <c r="C578" s="76" t="s">
        <v>2446</v>
      </c>
      <c r="D578" s="105" t="s">
        <v>1172</v>
      </c>
      <c r="E578" s="207">
        <v>0.5</v>
      </c>
      <c r="F578" s="190">
        <f>'BASIC DATA'!$C$558</f>
        <v>645</v>
      </c>
      <c r="G578" s="190">
        <f t="shared" si="8"/>
        <v>322.5</v>
      </c>
    </row>
    <row r="579" spans="2:7">
      <c r="B579" s="105">
        <v>9</v>
      </c>
      <c r="C579" s="76" t="s">
        <v>2468</v>
      </c>
      <c r="D579" s="105" t="s">
        <v>1172</v>
      </c>
      <c r="E579" s="207">
        <v>1</v>
      </c>
      <c r="F579" s="190">
        <f>'BASIC DATA'!$C$471</f>
        <v>510</v>
      </c>
      <c r="G579" s="190">
        <f t="shared" si="8"/>
        <v>510</v>
      </c>
    </row>
    <row r="580" spans="2:7">
      <c r="B580" s="105">
        <v>10</v>
      </c>
      <c r="C580" s="76" t="s">
        <v>4587</v>
      </c>
      <c r="D580" s="105" t="s">
        <v>1172</v>
      </c>
      <c r="E580" s="207">
        <v>2</v>
      </c>
      <c r="F580" s="190">
        <f>'BASIC DATA'!$C$475</f>
        <v>475</v>
      </c>
      <c r="G580" s="190">
        <f t="shared" si="8"/>
        <v>950</v>
      </c>
    </row>
    <row r="581" spans="2:7">
      <c r="B581" s="105">
        <v>11</v>
      </c>
      <c r="C581" s="76" t="s">
        <v>2463</v>
      </c>
      <c r="D581" s="105" t="s">
        <v>1172</v>
      </c>
      <c r="E581" s="207">
        <v>1</v>
      </c>
      <c r="F581" s="190">
        <f>'BASIC DATA'!$C$466</f>
        <v>510</v>
      </c>
      <c r="G581" s="190">
        <f t="shared" si="8"/>
        <v>510</v>
      </c>
    </row>
    <row r="582" spans="2:7">
      <c r="B582" s="105">
        <v>12</v>
      </c>
      <c r="C582" s="76" t="s">
        <v>5605</v>
      </c>
      <c r="D582" s="105" t="s">
        <v>1172</v>
      </c>
      <c r="E582" s="207">
        <v>2</v>
      </c>
      <c r="F582" s="190">
        <f>'BASIC DATA'!$C$520</f>
        <v>400</v>
      </c>
      <c r="G582" s="190">
        <f t="shared" si="8"/>
        <v>800</v>
      </c>
    </row>
    <row r="583" spans="2:7">
      <c r="B583" s="105">
        <v>13</v>
      </c>
      <c r="C583" s="76" t="s">
        <v>2310</v>
      </c>
      <c r="D583" s="105" t="s">
        <v>1172</v>
      </c>
      <c r="E583" s="207">
        <v>2</v>
      </c>
      <c r="F583" s="190">
        <f>'BASIC DATA'!$C$546</f>
        <v>400</v>
      </c>
      <c r="G583" s="190">
        <f t="shared" si="8"/>
        <v>800</v>
      </c>
    </row>
    <row r="584" spans="2:7">
      <c r="B584" s="105">
        <v>14</v>
      </c>
      <c r="C584" s="76" t="s">
        <v>4207</v>
      </c>
      <c r="D584" s="105" t="s">
        <v>1172</v>
      </c>
      <c r="E584" s="207">
        <v>3</v>
      </c>
      <c r="F584" s="190">
        <f>'BASIC DATA'!$C$473</f>
        <v>450</v>
      </c>
      <c r="G584" s="190">
        <f t="shared" si="8"/>
        <v>1350</v>
      </c>
    </row>
    <row r="585" spans="2:7">
      <c r="B585" s="105">
        <v>15</v>
      </c>
      <c r="C585" s="76" t="s">
        <v>3400</v>
      </c>
      <c r="D585" s="105" t="s">
        <v>1172</v>
      </c>
      <c r="E585" s="207">
        <v>4</v>
      </c>
      <c r="F585" s="190">
        <f>'BASIC DATA'!$C$500</f>
        <v>445</v>
      </c>
      <c r="G585" s="190">
        <f t="shared" si="8"/>
        <v>1780</v>
      </c>
    </row>
    <row r="586" spans="2:7">
      <c r="B586" s="105">
        <v>16</v>
      </c>
      <c r="C586" s="76" t="s">
        <v>2697</v>
      </c>
      <c r="D586" s="105"/>
      <c r="E586" s="207"/>
      <c r="F586" s="190"/>
      <c r="G586" s="190"/>
    </row>
    <row r="587" spans="2:7">
      <c r="B587" s="319"/>
      <c r="C587" s="76" t="s">
        <v>1026</v>
      </c>
      <c r="D587" s="105" t="s">
        <v>1172</v>
      </c>
      <c r="E587" s="207">
        <v>8</v>
      </c>
      <c r="F587" s="190">
        <f>'BASIC DATA'!$C$552</f>
        <v>350</v>
      </c>
      <c r="G587" s="190">
        <f t="shared" si="8"/>
        <v>2800</v>
      </c>
    </row>
    <row r="588" spans="2:7">
      <c r="B588" s="319"/>
      <c r="C588" s="76" t="s">
        <v>2312</v>
      </c>
      <c r="D588" s="105" t="s">
        <v>1172</v>
      </c>
      <c r="E588" s="207">
        <v>2</v>
      </c>
      <c r="F588" s="190">
        <f>'BASIC DATA'!$C$552</f>
        <v>350</v>
      </c>
      <c r="G588" s="190">
        <f t="shared" si="8"/>
        <v>700</v>
      </c>
    </row>
    <row r="589" spans="2:7">
      <c r="B589" s="319"/>
      <c r="C589" s="76" t="s">
        <v>1185</v>
      </c>
      <c r="D589" s="105" t="s">
        <v>1172</v>
      </c>
      <c r="E589" s="207">
        <v>2</v>
      </c>
      <c r="F589" s="190">
        <f>'BASIC DATA'!$C$552</f>
        <v>350</v>
      </c>
      <c r="G589" s="190">
        <f t="shared" si="8"/>
        <v>700</v>
      </c>
    </row>
    <row r="590" spans="2:7">
      <c r="B590" s="92"/>
      <c r="C590" s="193" t="s">
        <v>1174</v>
      </c>
      <c r="D590" s="159"/>
      <c r="E590" s="238"/>
      <c r="F590" s="236" t="s">
        <v>1698</v>
      </c>
      <c r="G590" s="318">
        <f>SUM(G571:G589)</f>
        <v>27071.65</v>
      </c>
    </row>
    <row r="591" spans="2:7">
      <c r="B591" s="60" t="s">
        <v>5948</v>
      </c>
      <c r="D591" s="31"/>
      <c r="E591" s="85">
        <f>ROUND(G590/F531,1)</f>
        <v>557</v>
      </c>
    </row>
    <row r="592" spans="2:7">
      <c r="B592" s="60" t="s">
        <v>3163</v>
      </c>
      <c r="D592" s="922">
        <f>'BASIC DATA'!$C$577</f>
        <v>0.13614999999999999</v>
      </c>
      <c r="E592" s="85">
        <f>ROUND(E591*D592,1)</f>
        <v>75.8</v>
      </c>
    </row>
    <row r="593" spans="1:7">
      <c r="B593" s="60" t="s">
        <v>5949</v>
      </c>
      <c r="D593" s="31"/>
      <c r="E593" s="199">
        <f>ROUND(E592+E591,1)</f>
        <v>632.79999999999995</v>
      </c>
    </row>
    <row r="594" spans="1:7"/>
    <row r="595" spans="1:7">
      <c r="B595" s="170" t="s">
        <v>1175</v>
      </c>
    </row>
    <row r="596" spans="1:7">
      <c r="B596" s="26" t="s">
        <v>1176</v>
      </c>
      <c r="F596" s="171" t="s">
        <v>1698</v>
      </c>
      <c r="G596" s="68">
        <f>G544</f>
        <v>12916.9</v>
      </c>
    </row>
    <row r="597" spans="1:7">
      <c r="B597" s="26" t="s">
        <v>1186</v>
      </c>
      <c r="F597" s="171" t="s">
        <v>1698</v>
      </c>
      <c r="G597" s="68">
        <f>G566</f>
        <v>29001.200000000001</v>
      </c>
    </row>
    <row r="598" spans="1:7">
      <c r="B598" s="26" t="s">
        <v>2660</v>
      </c>
      <c r="F598" s="171" t="s">
        <v>1698</v>
      </c>
      <c r="G598" s="75">
        <f>G590</f>
        <v>27071.65</v>
      </c>
    </row>
    <row r="599" spans="1:7">
      <c r="E599" s="171"/>
      <c r="F599" s="171" t="s">
        <v>302</v>
      </c>
      <c r="G599" s="205">
        <f>SUM(G596:G598)</f>
        <v>68989.75</v>
      </c>
    </row>
    <row r="600" spans="1:7">
      <c r="A600" s="853"/>
      <c r="B600" s="61" t="s">
        <v>2313</v>
      </c>
      <c r="C600" s="61"/>
      <c r="D600" s="61"/>
      <c r="E600" s="320">
        <f>'BASIC DATA'!$C$595</f>
        <v>0.01</v>
      </c>
      <c r="F600" s="222" t="s">
        <v>1698</v>
      </c>
      <c r="G600" s="321">
        <f>E600*$G$599</f>
        <v>689.89750000000004</v>
      </c>
    </row>
    <row r="601" spans="1:7">
      <c r="A601" s="853"/>
      <c r="B601" s="61" t="s">
        <v>2314</v>
      </c>
      <c r="C601" s="61"/>
      <c r="D601" s="61"/>
      <c r="E601" s="291">
        <f>'BASIC DATA'!$C$596</f>
        <v>4.4999999999999998E-2</v>
      </c>
      <c r="F601" s="222" t="s">
        <v>1698</v>
      </c>
      <c r="G601" s="321">
        <f>E601*$G$599</f>
        <v>3104.5387499999997</v>
      </c>
    </row>
    <row r="602" spans="1:7">
      <c r="A602" s="853"/>
      <c r="B602" s="61" t="s">
        <v>2315</v>
      </c>
      <c r="C602" s="61"/>
      <c r="D602" s="61"/>
      <c r="E602" s="291">
        <f>'BASIC DATA'!$C$597</f>
        <v>1.6E-2</v>
      </c>
      <c r="F602" s="222" t="s">
        <v>1698</v>
      </c>
      <c r="G602" s="321">
        <f>E602*$G$599</f>
        <v>1103.836</v>
      </c>
    </row>
    <row r="603" spans="1:7">
      <c r="A603" s="853"/>
      <c r="B603" s="61" t="s">
        <v>1259</v>
      </c>
      <c r="C603" s="61"/>
      <c r="D603" s="61"/>
      <c r="E603" s="291">
        <f>'BASIC DATA'!$C$598</f>
        <v>2.5000000000000001E-2</v>
      </c>
      <c r="F603" s="222" t="s">
        <v>1698</v>
      </c>
      <c r="G603" s="321">
        <f>E603*$G$599</f>
        <v>1724.7437500000001</v>
      </c>
    </row>
    <row r="604" spans="1:7">
      <c r="A604" s="853"/>
      <c r="B604" s="61"/>
      <c r="C604" s="61"/>
      <c r="D604" s="61"/>
      <c r="E604" s="291"/>
      <c r="F604" s="171" t="s">
        <v>302</v>
      </c>
      <c r="G604" s="205">
        <f>SUM(G599:G603)</f>
        <v>75612.765999999989</v>
      </c>
    </row>
    <row r="605" spans="1:7" ht="39" customHeight="1">
      <c r="B605" s="1207" t="s">
        <v>6259</v>
      </c>
      <c r="C605" s="1207"/>
      <c r="D605" s="1207"/>
      <c r="E605" s="922">
        <f>'BASIC DATA'!$C$577</f>
        <v>0.13614999999999999</v>
      </c>
      <c r="F605" s="171" t="s">
        <v>1698</v>
      </c>
      <c r="G605" s="75">
        <f>G604*E605</f>
        <v>10294.678090899997</v>
      </c>
    </row>
    <row r="606" spans="1:7">
      <c r="B606" s="26" t="s">
        <v>1191</v>
      </c>
      <c r="D606" s="68">
        <f>F531</f>
        <v>48.6</v>
      </c>
      <c r="E606" s="68" t="str">
        <f>G531</f>
        <v>cum</v>
      </c>
      <c r="F606" s="171" t="s">
        <v>1698</v>
      </c>
      <c r="G606" s="211">
        <f>G605+G604</f>
        <v>85907.444090899982</v>
      </c>
    </row>
    <row r="607" spans="1:7">
      <c r="B607" s="170" t="s">
        <v>3884</v>
      </c>
      <c r="C607" s="170" t="str">
        <f>E606</f>
        <v>cum</v>
      </c>
      <c r="D607" s="26" t="s">
        <v>2607</v>
      </c>
      <c r="F607" s="171" t="s">
        <v>1698</v>
      </c>
      <c r="G607" s="211">
        <f>ROUND(G606/D606,1)</f>
        <v>1767.6</v>
      </c>
    </row>
    <row r="608" spans="1:7">
      <c r="B608" s="78"/>
    </row>
    <row r="609" spans="1:7">
      <c r="B609" s="78"/>
    </row>
    <row r="610" spans="1:7">
      <c r="A610" s="822" t="s">
        <v>7391</v>
      </c>
      <c r="B610" s="170" t="s">
        <v>7980</v>
      </c>
    </row>
    <row r="611" spans="1:7" ht="18.75">
      <c r="A611" s="865"/>
      <c r="B611" s="26" t="s">
        <v>8583</v>
      </c>
    </row>
    <row r="612" spans="1:7">
      <c r="A612" s="865"/>
      <c r="B612" s="26" t="s">
        <v>2883</v>
      </c>
    </row>
    <row r="613" spans="1:7">
      <c r="A613" s="865"/>
      <c r="B613" s="26" t="s">
        <v>4857</v>
      </c>
    </row>
    <row r="614" spans="1:7" ht="18.75">
      <c r="A614" s="865"/>
      <c r="B614" s="26" t="s">
        <v>8584</v>
      </c>
    </row>
    <row r="615" spans="1:7">
      <c r="A615" s="865"/>
    </row>
    <row r="616" spans="1:7" hidden="1">
      <c r="A616" s="865" t="s">
        <v>3984</v>
      </c>
      <c r="B616" s="26" t="s">
        <v>6381</v>
      </c>
      <c r="E616" s="78" t="s">
        <v>1697</v>
      </c>
      <c r="F616" s="68">
        <v>4.5</v>
      </c>
      <c r="G616" s="26" t="s">
        <v>40</v>
      </c>
    </row>
    <row r="617" spans="1:7" hidden="1">
      <c r="A617" s="865"/>
      <c r="B617" s="26" t="s">
        <v>6382</v>
      </c>
      <c r="E617" s="78" t="s">
        <v>1697</v>
      </c>
      <c r="F617" s="26" t="s">
        <v>844</v>
      </c>
    </row>
    <row r="618" spans="1:7" hidden="1">
      <c r="A618" s="865"/>
      <c r="B618" s="26" t="s">
        <v>6383</v>
      </c>
      <c r="E618" s="78"/>
    </row>
    <row r="619" spans="1:7" hidden="1">
      <c r="A619" s="865"/>
      <c r="B619" s="26" t="s">
        <v>3236</v>
      </c>
      <c r="E619" s="78"/>
    </row>
    <row r="620" spans="1:7" hidden="1">
      <c r="A620" s="865"/>
      <c r="B620" s="26" t="s">
        <v>3237</v>
      </c>
      <c r="E620" s="78"/>
    </row>
    <row r="621" spans="1:7" hidden="1">
      <c r="A621" s="865"/>
      <c r="B621" s="26" t="s">
        <v>4858</v>
      </c>
      <c r="E621" s="78"/>
    </row>
    <row r="622" spans="1:7" hidden="1">
      <c r="A622" s="865"/>
      <c r="B622" s="26" t="s">
        <v>846</v>
      </c>
      <c r="E622" s="78"/>
    </row>
    <row r="623" spans="1:7" hidden="1">
      <c r="A623" s="865"/>
      <c r="B623" s="26" t="s">
        <v>3238</v>
      </c>
      <c r="E623" s="78"/>
    </row>
    <row r="624" spans="1:7" hidden="1">
      <c r="A624" s="865"/>
      <c r="B624" s="26" t="s">
        <v>6112</v>
      </c>
      <c r="E624" s="78"/>
    </row>
    <row r="625" spans="1:7" hidden="1">
      <c r="A625" s="865"/>
      <c r="B625" s="26" t="s">
        <v>6113</v>
      </c>
      <c r="E625" s="78"/>
    </row>
    <row r="626" spans="1:7" hidden="1">
      <c r="A626" s="865">
        <v>1</v>
      </c>
      <c r="B626" s="26" t="s">
        <v>6115</v>
      </c>
      <c r="E626" s="78"/>
    </row>
    <row r="627" spans="1:7" hidden="1">
      <c r="A627" s="865"/>
      <c r="B627" s="26" t="s">
        <v>6533</v>
      </c>
      <c r="E627" s="78"/>
    </row>
    <row r="628" spans="1:7" hidden="1">
      <c r="A628" s="865">
        <v>2</v>
      </c>
      <c r="B628" s="26" t="s">
        <v>6534</v>
      </c>
      <c r="E628" s="78"/>
    </row>
    <row r="629" spans="1:7" hidden="1">
      <c r="A629" s="865"/>
      <c r="B629" s="26" t="s">
        <v>4859</v>
      </c>
      <c r="E629" s="78" t="s">
        <v>1697</v>
      </c>
      <c r="F629" s="26">
        <v>30.64</v>
      </c>
      <c r="G629" s="26" t="s">
        <v>3479</v>
      </c>
    </row>
    <row r="630" spans="1:7" hidden="1">
      <c r="A630" s="865"/>
      <c r="B630" s="26" t="s">
        <v>3045</v>
      </c>
    </row>
    <row r="631" spans="1:7" hidden="1">
      <c r="A631" s="865"/>
      <c r="B631" s="26" t="s">
        <v>3043</v>
      </c>
    </row>
    <row r="632" spans="1:7" hidden="1">
      <c r="A632" s="865"/>
      <c r="B632" s="26" t="s">
        <v>3044</v>
      </c>
    </row>
    <row r="633" spans="1:7" hidden="1">
      <c r="A633" s="865"/>
      <c r="B633" s="26" t="s">
        <v>6767</v>
      </c>
    </row>
    <row r="634" spans="1:7" hidden="1">
      <c r="A634" s="865"/>
      <c r="B634" s="26" t="s">
        <v>6768</v>
      </c>
      <c r="E634" s="322" t="s">
        <v>1697</v>
      </c>
      <c r="F634" s="26">
        <v>77</v>
      </c>
      <c r="G634" s="26" t="s">
        <v>2059</v>
      </c>
    </row>
    <row r="635" spans="1:7" hidden="1">
      <c r="A635" s="865"/>
      <c r="B635" s="26" t="s">
        <v>5984</v>
      </c>
      <c r="F635" s="322"/>
    </row>
    <row r="636" spans="1:7" hidden="1">
      <c r="A636" s="865"/>
      <c r="B636" s="26" t="s">
        <v>5985</v>
      </c>
      <c r="E636" s="322" t="s">
        <v>1697</v>
      </c>
      <c r="F636" s="26">
        <v>1.7</v>
      </c>
      <c r="G636" s="26" t="s">
        <v>2602</v>
      </c>
    </row>
    <row r="637" spans="1:7" hidden="1">
      <c r="A637" s="865"/>
      <c r="B637" s="26" t="s">
        <v>4749</v>
      </c>
    </row>
    <row r="638" spans="1:7" hidden="1">
      <c r="A638" s="865"/>
      <c r="B638" s="26" t="s">
        <v>5058</v>
      </c>
    </row>
    <row r="639" spans="1:7" hidden="1">
      <c r="A639" s="865"/>
      <c r="B639" s="26" t="s">
        <v>5986</v>
      </c>
      <c r="E639" s="78" t="s">
        <v>1697</v>
      </c>
      <c r="F639" s="26">
        <v>144</v>
      </c>
      <c r="G639" s="26" t="s">
        <v>2602</v>
      </c>
    </row>
    <row r="640" spans="1:7" hidden="1">
      <c r="A640" s="865"/>
      <c r="B640" s="26" t="s">
        <v>3403</v>
      </c>
      <c r="E640" s="78" t="s">
        <v>1697</v>
      </c>
      <c r="F640" s="26">
        <v>6</v>
      </c>
      <c r="G640" s="26" t="s">
        <v>2602</v>
      </c>
    </row>
    <row r="641" spans="1:7" hidden="1">
      <c r="A641" s="865"/>
      <c r="B641" s="26" t="s">
        <v>3279</v>
      </c>
      <c r="E641" s="78" t="s">
        <v>1697</v>
      </c>
      <c r="F641" s="26">
        <v>6</v>
      </c>
      <c r="G641" s="26" t="s">
        <v>4665</v>
      </c>
    </row>
    <row r="642" spans="1:7" hidden="1">
      <c r="A642" s="865"/>
      <c r="B642" s="26" t="s">
        <v>3281</v>
      </c>
      <c r="E642" s="78" t="s">
        <v>1697</v>
      </c>
      <c r="F642" s="26">
        <v>6</v>
      </c>
      <c r="G642" s="26" t="s">
        <v>4665</v>
      </c>
    </row>
    <row r="643" spans="1:7" hidden="1">
      <c r="A643" s="865"/>
      <c r="B643" s="26" t="s">
        <v>3282</v>
      </c>
      <c r="E643" s="78" t="s">
        <v>1697</v>
      </c>
      <c r="F643" s="26">
        <v>6</v>
      </c>
      <c r="G643" s="26" t="s">
        <v>4665</v>
      </c>
    </row>
    <row r="644" spans="1:7" hidden="1">
      <c r="A644" s="865"/>
      <c r="B644" s="26" t="s">
        <v>4590</v>
      </c>
      <c r="E644" s="78" t="s">
        <v>1697</v>
      </c>
      <c r="F644" s="26">
        <v>6</v>
      </c>
      <c r="G644" s="26" t="s">
        <v>4665</v>
      </c>
    </row>
    <row r="645" spans="1:7" hidden="1">
      <c r="A645" s="865">
        <v>3</v>
      </c>
      <c r="B645" s="26" t="s">
        <v>2968</v>
      </c>
      <c r="E645" s="78"/>
    </row>
    <row r="646" spans="1:7" hidden="1">
      <c r="A646" s="865"/>
      <c r="B646" s="26" t="s">
        <v>5158</v>
      </c>
      <c r="E646" s="78" t="s">
        <v>1697</v>
      </c>
      <c r="F646" s="68">
        <v>1.5</v>
      </c>
      <c r="G646" s="26" t="s">
        <v>2602</v>
      </c>
    </row>
    <row r="647" spans="1:7" hidden="1">
      <c r="A647" s="865"/>
      <c r="B647" s="26" t="s">
        <v>5159</v>
      </c>
      <c r="E647" s="78" t="s">
        <v>1697</v>
      </c>
      <c r="F647" s="26">
        <v>46</v>
      </c>
      <c r="G647" s="26" t="s">
        <v>3477</v>
      </c>
    </row>
    <row r="648" spans="1:7" hidden="1">
      <c r="A648" s="865"/>
      <c r="B648" s="26" t="s">
        <v>5804</v>
      </c>
      <c r="E648" s="78" t="s">
        <v>1697</v>
      </c>
      <c r="F648" s="26">
        <v>37</v>
      </c>
      <c r="G648" s="26" t="s">
        <v>3478</v>
      </c>
    </row>
    <row r="649" spans="1:7" hidden="1">
      <c r="A649" s="865"/>
      <c r="B649" s="26" t="s">
        <v>6510</v>
      </c>
      <c r="E649" s="78" t="s">
        <v>1697</v>
      </c>
      <c r="F649" s="26">
        <v>4</v>
      </c>
      <c r="G649" s="26" t="s">
        <v>3478</v>
      </c>
    </row>
    <row r="650" spans="1:7" hidden="1">
      <c r="A650" s="865"/>
      <c r="B650" s="26" t="s">
        <v>1045</v>
      </c>
      <c r="E650" s="78" t="s">
        <v>1697</v>
      </c>
      <c r="F650" s="26">
        <v>41</v>
      </c>
      <c r="G650" s="26" t="s">
        <v>3478</v>
      </c>
    </row>
    <row r="651" spans="1:7" hidden="1">
      <c r="A651" s="865"/>
      <c r="B651" s="26" t="s">
        <v>3673</v>
      </c>
      <c r="E651" s="78" t="s">
        <v>1697</v>
      </c>
      <c r="F651" s="26">
        <v>77</v>
      </c>
      <c r="G651" s="26" t="s">
        <v>4041</v>
      </c>
    </row>
    <row r="652" spans="1:7" hidden="1">
      <c r="A652" s="865"/>
      <c r="B652" s="26" t="s">
        <v>2560</v>
      </c>
      <c r="E652" s="78" t="s">
        <v>6511</v>
      </c>
      <c r="F652" s="26">
        <v>10</v>
      </c>
      <c r="G652" s="26" t="s">
        <v>4041</v>
      </c>
    </row>
    <row r="653" spans="1:7" hidden="1">
      <c r="A653" s="865"/>
      <c r="B653" s="26" t="s">
        <v>5703</v>
      </c>
      <c r="E653" s="78" t="s">
        <v>1697</v>
      </c>
      <c r="F653" s="26">
        <v>50</v>
      </c>
      <c r="G653" s="26" t="s">
        <v>3483</v>
      </c>
    </row>
    <row r="654" spans="1:7" hidden="1">
      <c r="A654" s="865"/>
      <c r="B654" s="26" t="s">
        <v>2562</v>
      </c>
    </row>
    <row r="655" spans="1:7" hidden="1">
      <c r="A655" s="865"/>
      <c r="B655" s="26" t="s">
        <v>2995</v>
      </c>
    </row>
    <row r="656" spans="1:7" hidden="1">
      <c r="A656" s="865"/>
      <c r="B656" s="26" t="s">
        <v>232</v>
      </c>
    </row>
    <row r="657" spans="1:7" hidden="1">
      <c r="A657" s="865"/>
      <c r="B657" s="26" t="s">
        <v>3674</v>
      </c>
    </row>
    <row r="658" spans="1:7" hidden="1">
      <c r="A658" s="865"/>
      <c r="B658" s="26" t="s">
        <v>3572</v>
      </c>
    </row>
    <row r="659" spans="1:7" hidden="1">
      <c r="A659" s="865"/>
      <c r="B659" s="26" t="s">
        <v>5962</v>
      </c>
    </row>
    <row r="660" spans="1:7" hidden="1">
      <c r="A660" s="865"/>
      <c r="B660" s="26" t="s">
        <v>6106</v>
      </c>
      <c r="E660" s="78" t="s">
        <v>1697</v>
      </c>
      <c r="F660" s="26">
        <v>69</v>
      </c>
      <c r="G660" s="26" t="s">
        <v>3477</v>
      </c>
    </row>
    <row r="661" spans="1:7" hidden="1">
      <c r="A661" s="865"/>
      <c r="B661" s="26" t="s">
        <v>6107</v>
      </c>
      <c r="E661" s="78" t="s">
        <v>1697</v>
      </c>
      <c r="F661" s="26">
        <v>5</v>
      </c>
      <c r="G661" s="26" t="s">
        <v>3477</v>
      </c>
    </row>
    <row r="662" spans="1:7" hidden="1">
      <c r="A662" s="865"/>
      <c r="B662" s="26" t="s">
        <v>3394</v>
      </c>
      <c r="E662" s="78" t="s">
        <v>1697</v>
      </c>
      <c r="F662" s="26">
        <v>4.5</v>
      </c>
      <c r="G662" s="26" t="s">
        <v>3477</v>
      </c>
    </row>
    <row r="663" spans="1:7" hidden="1">
      <c r="A663" s="865"/>
      <c r="B663" s="26" t="s">
        <v>6109</v>
      </c>
      <c r="E663" s="78"/>
    </row>
    <row r="664" spans="1:7" hidden="1">
      <c r="A664" s="865"/>
      <c r="B664" s="26" t="s">
        <v>2996</v>
      </c>
      <c r="E664" s="78" t="s">
        <v>1697</v>
      </c>
      <c r="F664" s="26">
        <v>1</v>
      </c>
      <c r="G664" s="26" t="s">
        <v>6902</v>
      </c>
    </row>
    <row r="665" spans="1:7" hidden="1">
      <c r="A665" s="865"/>
      <c r="B665" s="26" t="s">
        <v>2253</v>
      </c>
      <c r="E665" s="78" t="s">
        <v>1697</v>
      </c>
      <c r="F665" s="26">
        <v>20</v>
      </c>
      <c r="G665" s="26" t="s">
        <v>6902</v>
      </c>
    </row>
    <row r="666" spans="1:7" hidden="1">
      <c r="A666" s="865"/>
      <c r="B666" s="26" t="s">
        <v>3396</v>
      </c>
      <c r="E666" s="78" t="s">
        <v>3397</v>
      </c>
      <c r="F666" s="174">
        <v>1</v>
      </c>
      <c r="G666" s="26" t="s">
        <v>6902</v>
      </c>
    </row>
    <row r="667" spans="1:7" hidden="1">
      <c r="A667" s="865"/>
      <c r="B667" s="26" t="s">
        <v>6273</v>
      </c>
      <c r="E667" s="78" t="s">
        <v>1697</v>
      </c>
      <c r="F667" s="26">
        <f>F666+F665+F664</f>
        <v>22</v>
      </c>
      <c r="G667" s="26" t="s">
        <v>6902</v>
      </c>
    </row>
    <row r="668" spans="1:7" hidden="1">
      <c r="A668" s="865"/>
      <c r="B668" s="26" t="s">
        <v>3678</v>
      </c>
      <c r="E668" s="78"/>
    </row>
    <row r="669" spans="1:7" hidden="1">
      <c r="A669" s="865"/>
      <c r="B669" s="26" t="s">
        <v>4878</v>
      </c>
      <c r="E669" s="78" t="s">
        <v>1697</v>
      </c>
      <c r="F669" s="26">
        <v>5</v>
      </c>
      <c r="G669" s="26" t="s">
        <v>6902</v>
      </c>
    </row>
    <row r="670" spans="1:7" hidden="1">
      <c r="A670" s="865"/>
      <c r="B670" s="26" t="s">
        <v>3615</v>
      </c>
      <c r="E670" s="78" t="s">
        <v>1697</v>
      </c>
      <c r="F670" s="26">
        <v>2</v>
      </c>
      <c r="G670" s="26" t="s">
        <v>6902</v>
      </c>
    </row>
    <row r="671" spans="1:7" hidden="1">
      <c r="A671" s="865"/>
      <c r="B671" s="26" t="s">
        <v>4879</v>
      </c>
      <c r="E671" s="78" t="s">
        <v>1697</v>
      </c>
      <c r="F671" s="26">
        <v>5</v>
      </c>
      <c r="G671" s="26" t="s">
        <v>6902</v>
      </c>
    </row>
    <row r="672" spans="1:7" hidden="1">
      <c r="A672" s="865"/>
      <c r="B672" s="26" t="s">
        <v>4880</v>
      </c>
      <c r="E672" s="78" t="s">
        <v>1697</v>
      </c>
      <c r="F672" s="174">
        <v>9</v>
      </c>
      <c r="G672" s="26" t="s">
        <v>6902</v>
      </c>
    </row>
    <row r="673" spans="1:7" hidden="1">
      <c r="A673" s="865"/>
      <c r="B673" s="26" t="s">
        <v>3617</v>
      </c>
      <c r="E673" s="78" t="s">
        <v>1697</v>
      </c>
      <c r="F673" s="26">
        <f>F672+F671+F670+F669</f>
        <v>21</v>
      </c>
      <c r="G673" s="26" t="s">
        <v>6902</v>
      </c>
    </row>
    <row r="674" spans="1:7" hidden="1">
      <c r="A674" s="865"/>
      <c r="B674" s="26" t="s">
        <v>5932</v>
      </c>
      <c r="E674" s="78" t="s">
        <v>3397</v>
      </c>
      <c r="F674" s="26">
        <v>45</v>
      </c>
      <c r="G674" s="26" t="s">
        <v>6902</v>
      </c>
    </row>
    <row r="675" spans="1:7" hidden="1">
      <c r="A675" s="865"/>
      <c r="B675" s="26" t="s">
        <v>6110</v>
      </c>
      <c r="E675" s="78" t="s">
        <v>1697</v>
      </c>
      <c r="F675" s="26">
        <v>6</v>
      </c>
      <c r="G675" s="26" t="s">
        <v>3477</v>
      </c>
    </row>
    <row r="676" spans="1:7" hidden="1">
      <c r="A676" s="865"/>
      <c r="B676" s="26" t="s">
        <v>6274</v>
      </c>
      <c r="E676" s="78" t="s">
        <v>1697</v>
      </c>
      <c r="F676" s="26">
        <v>6</v>
      </c>
      <c r="G676" s="26" t="s">
        <v>4665</v>
      </c>
    </row>
    <row r="677" spans="1:7" hidden="1">
      <c r="A677" s="865"/>
      <c r="B677" s="26" t="s">
        <v>3894</v>
      </c>
      <c r="E677" s="78" t="s">
        <v>1697</v>
      </c>
      <c r="F677" s="26">
        <v>6</v>
      </c>
      <c r="G677" s="26" t="s">
        <v>4665</v>
      </c>
    </row>
    <row r="678" spans="1:7" hidden="1">
      <c r="A678" s="865"/>
      <c r="B678" s="26" t="s">
        <v>3895</v>
      </c>
      <c r="E678" s="78"/>
    </row>
    <row r="679" spans="1:7" hidden="1">
      <c r="A679" s="865"/>
      <c r="B679" s="26" t="s">
        <v>3896</v>
      </c>
      <c r="E679" s="78" t="s">
        <v>1697</v>
      </c>
      <c r="F679" s="68">
        <v>2</v>
      </c>
      <c r="G679" s="26" t="s">
        <v>4665</v>
      </c>
    </row>
    <row r="680" spans="1:7" hidden="1">
      <c r="A680" s="865"/>
      <c r="B680" s="26" t="s">
        <v>3897</v>
      </c>
      <c r="E680" s="78" t="s">
        <v>1697</v>
      </c>
      <c r="F680" s="68">
        <v>6</v>
      </c>
      <c r="G680" s="26" t="s">
        <v>4665</v>
      </c>
    </row>
    <row r="681" spans="1:7" hidden="1">
      <c r="A681" s="865"/>
      <c r="B681" s="26" t="s">
        <v>3898</v>
      </c>
      <c r="E681" s="78" t="s">
        <v>1697</v>
      </c>
      <c r="F681" s="68">
        <v>2</v>
      </c>
      <c r="G681" s="26" t="s">
        <v>4665</v>
      </c>
    </row>
    <row r="682" spans="1:7" hidden="1">
      <c r="A682" s="865"/>
      <c r="B682" s="26" t="s">
        <v>3936</v>
      </c>
      <c r="E682" s="78" t="s">
        <v>1697</v>
      </c>
      <c r="F682" s="68">
        <v>6</v>
      </c>
      <c r="G682" s="26" t="s">
        <v>4665</v>
      </c>
    </row>
    <row r="683" spans="1:7" hidden="1">
      <c r="A683" s="865"/>
      <c r="B683" s="26" t="s">
        <v>3937</v>
      </c>
      <c r="E683" s="78" t="s">
        <v>1697</v>
      </c>
      <c r="F683" s="68">
        <v>6</v>
      </c>
      <c r="G683" s="26" t="s">
        <v>4665</v>
      </c>
    </row>
    <row r="684" spans="1:7" hidden="1">
      <c r="A684" s="865"/>
      <c r="B684" s="26" t="s">
        <v>6275</v>
      </c>
      <c r="E684" s="78" t="s">
        <v>3397</v>
      </c>
      <c r="F684" s="68">
        <v>4</v>
      </c>
      <c r="G684" s="26" t="s">
        <v>4665</v>
      </c>
    </row>
    <row r="685" spans="1:7" hidden="1">
      <c r="A685" s="865"/>
      <c r="B685" s="26" t="s">
        <v>6276</v>
      </c>
      <c r="E685" s="78" t="s">
        <v>1697</v>
      </c>
      <c r="F685" s="173">
        <v>10</v>
      </c>
      <c r="G685" s="26" t="s">
        <v>4665</v>
      </c>
    </row>
    <row r="686" spans="1:7" hidden="1">
      <c r="A686" s="865"/>
      <c r="B686" s="26" t="s">
        <v>4076</v>
      </c>
      <c r="E686" s="78" t="s">
        <v>1697</v>
      </c>
      <c r="F686" s="68">
        <f>SUM(F679:F685)</f>
        <v>36</v>
      </c>
      <c r="G686" s="26" t="s">
        <v>4665</v>
      </c>
    </row>
    <row r="687" spans="1:7" hidden="1">
      <c r="A687" s="865"/>
      <c r="B687" s="26" t="s">
        <v>4077</v>
      </c>
    </row>
    <row r="688" spans="1:7" hidden="1">
      <c r="A688" s="865"/>
      <c r="B688" s="26" t="s">
        <v>4184</v>
      </c>
    </row>
    <row r="689" spans="1:7" hidden="1">
      <c r="A689" s="865"/>
      <c r="B689" s="26" t="s">
        <v>7240</v>
      </c>
      <c r="D689" s="68">
        <f>'BASIC DATA'!$D$308</f>
        <v>6254</v>
      </c>
      <c r="E689" s="78" t="s">
        <v>1698</v>
      </c>
      <c r="F689" s="68">
        <f>D689</f>
        <v>6254</v>
      </c>
    </row>
    <row r="690" spans="1:7" hidden="1">
      <c r="A690" s="865"/>
      <c r="B690" s="26" t="s">
        <v>5105</v>
      </c>
      <c r="E690" s="78" t="s">
        <v>1697</v>
      </c>
      <c r="F690" s="316">
        <v>150</v>
      </c>
      <c r="G690" s="26" t="s">
        <v>2602</v>
      </c>
    </row>
    <row r="691" spans="1:7" hidden="1">
      <c r="A691" s="865"/>
      <c r="B691" s="26" t="s">
        <v>6834</v>
      </c>
      <c r="E691" s="78" t="s">
        <v>1698</v>
      </c>
      <c r="F691" s="68">
        <f>F689/F690</f>
        <v>41.693333333333335</v>
      </c>
    </row>
    <row r="692" spans="1:7" hidden="1">
      <c r="A692" s="865"/>
      <c r="B692" s="26" t="s">
        <v>3942</v>
      </c>
      <c r="E692" s="78" t="s">
        <v>1697</v>
      </c>
      <c r="F692" s="316">
        <v>25</v>
      </c>
      <c r="G692" s="26" t="s">
        <v>42</v>
      </c>
    </row>
    <row r="693" spans="1:7" hidden="1">
      <c r="A693" s="865"/>
      <c r="B693" s="26" t="s">
        <v>7238</v>
      </c>
      <c r="D693" s="68">
        <f>'BASIC DATA'!$D$344</f>
        <v>185</v>
      </c>
      <c r="E693" s="78" t="s">
        <v>1698</v>
      </c>
      <c r="F693" s="68">
        <f>D693*F692</f>
        <v>4625</v>
      </c>
    </row>
    <row r="694" spans="1:7" hidden="1">
      <c r="A694" s="865"/>
      <c r="B694" s="26" t="s">
        <v>5152</v>
      </c>
      <c r="E694" s="78" t="s">
        <v>1697</v>
      </c>
      <c r="F694" s="316">
        <v>800</v>
      </c>
      <c r="G694" s="26" t="s">
        <v>4665</v>
      </c>
    </row>
    <row r="695" spans="1:7" hidden="1">
      <c r="A695" s="865"/>
      <c r="B695" s="26" t="s">
        <v>6372</v>
      </c>
      <c r="E695" s="78" t="s">
        <v>1698</v>
      </c>
      <c r="F695" s="68">
        <f>F693/F694</f>
        <v>5.78125</v>
      </c>
    </row>
    <row r="696" spans="1:7" hidden="1">
      <c r="A696" s="865"/>
      <c r="B696" s="26" t="s">
        <v>7239</v>
      </c>
      <c r="D696" s="68">
        <f>'BASIC DATA'!$D$360</f>
        <v>185</v>
      </c>
      <c r="E696" s="78" t="s">
        <v>1698</v>
      </c>
      <c r="F696" s="68">
        <f>D696*F692</f>
        <v>4625</v>
      </c>
    </row>
    <row r="697" spans="1:7" hidden="1">
      <c r="A697" s="865"/>
      <c r="B697" s="26" t="s">
        <v>3943</v>
      </c>
      <c r="E697" s="78" t="s">
        <v>1697</v>
      </c>
      <c r="F697" s="316">
        <v>800</v>
      </c>
      <c r="G697" s="26" t="s">
        <v>4665</v>
      </c>
    </row>
    <row r="698" spans="1:7" hidden="1">
      <c r="A698" s="865"/>
      <c r="B698" s="26" t="s">
        <v>4582</v>
      </c>
      <c r="E698" s="78" t="s">
        <v>1698</v>
      </c>
      <c r="F698" s="68">
        <f>F696/F697</f>
        <v>5.78125</v>
      </c>
    </row>
    <row r="699" spans="1:7" hidden="1">
      <c r="B699" s="78"/>
    </row>
    <row r="700" spans="1:7">
      <c r="B700" s="78"/>
    </row>
    <row r="701" spans="1:7">
      <c r="A701" s="822" t="s">
        <v>3984</v>
      </c>
      <c r="B701" s="78"/>
      <c r="C701" s="203" t="s">
        <v>2367</v>
      </c>
      <c r="E701" s="171" t="s">
        <v>297</v>
      </c>
      <c r="F701" s="246">
        <f>F647</f>
        <v>46</v>
      </c>
      <c r="G701" s="26" t="s">
        <v>3477</v>
      </c>
    </row>
    <row r="702" spans="1:7">
      <c r="B702" s="79" t="s">
        <v>2368</v>
      </c>
    </row>
    <row r="703" spans="1:7">
      <c r="B703" s="95" t="s">
        <v>2369</v>
      </c>
      <c r="C703" s="157" t="s">
        <v>4443</v>
      </c>
      <c r="D703" s="95" t="s">
        <v>2370</v>
      </c>
      <c r="E703" s="95" t="s">
        <v>1166</v>
      </c>
      <c r="F703" s="95" t="s">
        <v>2371</v>
      </c>
      <c r="G703" s="95" t="s">
        <v>2372</v>
      </c>
    </row>
    <row r="704" spans="1:7">
      <c r="B704" s="114"/>
      <c r="C704" s="154"/>
      <c r="D704" s="114"/>
      <c r="E704" s="114"/>
      <c r="F704" s="114" t="s">
        <v>3485</v>
      </c>
      <c r="G704" s="114" t="s">
        <v>3485</v>
      </c>
    </row>
    <row r="705" spans="2:7">
      <c r="B705" s="95">
        <v>1</v>
      </c>
      <c r="C705" s="135" t="s">
        <v>5830</v>
      </c>
      <c r="D705" s="95" t="s">
        <v>3478</v>
      </c>
      <c r="E705" s="190">
        <v>41</v>
      </c>
      <c r="F705" s="214">
        <f>'BASIC DATA'!$D$54</f>
        <v>70</v>
      </c>
      <c r="G705" s="190">
        <f>E705*F705</f>
        <v>2870</v>
      </c>
    </row>
    <row r="706" spans="2:7">
      <c r="B706" s="105">
        <v>2</v>
      </c>
      <c r="C706" s="135" t="s">
        <v>5831</v>
      </c>
      <c r="D706" s="105" t="s">
        <v>2059</v>
      </c>
      <c r="E706" s="190">
        <v>77</v>
      </c>
      <c r="F706" s="214">
        <f>'BASIC DATA'!$D$48</f>
        <v>20</v>
      </c>
      <c r="G706" s="190">
        <f t="shared" ref="G706:G713" si="9">E706*F706</f>
        <v>1540</v>
      </c>
    </row>
    <row r="707" spans="2:7">
      <c r="B707" s="105">
        <v>3</v>
      </c>
      <c r="C707" s="135" t="s">
        <v>2060</v>
      </c>
      <c r="D707" s="105" t="s">
        <v>2059</v>
      </c>
      <c r="E707" s="190">
        <v>10</v>
      </c>
      <c r="F707" s="214">
        <f>'BASIC DATA'!$D$49</f>
        <v>11</v>
      </c>
      <c r="G707" s="190">
        <f t="shared" si="9"/>
        <v>110</v>
      </c>
    </row>
    <row r="708" spans="2:7">
      <c r="B708" s="105">
        <v>4</v>
      </c>
      <c r="C708" s="135" t="s">
        <v>5703</v>
      </c>
      <c r="D708" s="105" t="s">
        <v>3483</v>
      </c>
      <c r="E708" s="190">
        <v>50</v>
      </c>
      <c r="F708" s="214">
        <f>'BASIC DATA'!$D$46</f>
        <v>9</v>
      </c>
      <c r="G708" s="190">
        <f t="shared" si="9"/>
        <v>450</v>
      </c>
    </row>
    <row r="709" spans="2:7">
      <c r="B709" s="105">
        <v>5</v>
      </c>
      <c r="C709" s="135" t="s">
        <v>2449</v>
      </c>
      <c r="D709" s="105" t="s">
        <v>3483</v>
      </c>
      <c r="E709" s="190">
        <v>144</v>
      </c>
      <c r="F709" s="214">
        <f>F691</f>
        <v>41.693333333333335</v>
      </c>
      <c r="G709" s="190">
        <f t="shared" si="9"/>
        <v>6003.84</v>
      </c>
    </row>
    <row r="710" spans="2:7">
      <c r="B710" s="317"/>
      <c r="C710" s="135" t="s">
        <v>5125</v>
      </c>
      <c r="D710" s="224">
        <v>0.1</v>
      </c>
      <c r="E710" s="190"/>
      <c r="F710" s="214"/>
      <c r="G710" s="190">
        <f>G709*D710</f>
        <v>600.38400000000001</v>
      </c>
    </row>
    <row r="711" spans="2:7">
      <c r="B711" s="105">
        <v>6</v>
      </c>
      <c r="C711" s="135" t="s">
        <v>1404</v>
      </c>
      <c r="D711" s="105" t="s">
        <v>2374</v>
      </c>
      <c r="E711" s="190">
        <v>24</v>
      </c>
      <c r="F711" s="214">
        <f>F695</f>
        <v>5.78125</v>
      </c>
      <c r="G711" s="190">
        <f t="shared" si="9"/>
        <v>138.75</v>
      </c>
    </row>
    <row r="712" spans="2:7">
      <c r="B712" s="105">
        <v>7</v>
      </c>
      <c r="C712" s="135" t="s">
        <v>4479</v>
      </c>
      <c r="D712" s="105" t="s">
        <v>2374</v>
      </c>
      <c r="E712" s="190">
        <v>24</v>
      </c>
      <c r="F712" s="214">
        <f>F698</f>
        <v>5.78125</v>
      </c>
      <c r="G712" s="190">
        <f t="shared" si="9"/>
        <v>138.75</v>
      </c>
    </row>
    <row r="713" spans="2:7">
      <c r="B713" s="114">
        <v>8</v>
      </c>
      <c r="C713" s="135" t="s">
        <v>4480</v>
      </c>
      <c r="D713" s="105" t="s">
        <v>2173</v>
      </c>
      <c r="E713" s="190">
        <v>2</v>
      </c>
      <c r="F713" s="214">
        <f>'BASIC DATA'!$D$359</f>
        <v>30</v>
      </c>
      <c r="G713" s="190">
        <f t="shared" si="9"/>
        <v>60</v>
      </c>
    </row>
    <row r="714" spans="2:7">
      <c r="B714" s="92"/>
      <c r="C714" s="193" t="s">
        <v>2376</v>
      </c>
      <c r="D714" s="159"/>
      <c r="E714" s="238"/>
      <c r="F714" s="236" t="s">
        <v>1698</v>
      </c>
      <c r="G714" s="318">
        <f>SUM(G705:G713)</f>
        <v>11911.724</v>
      </c>
    </row>
    <row r="715" spans="2:7">
      <c r="B715" s="78"/>
    </row>
    <row r="716" spans="2:7">
      <c r="B716" s="79" t="s">
        <v>2377</v>
      </c>
    </row>
    <row r="717" spans="2:7">
      <c r="B717" s="95" t="s">
        <v>2369</v>
      </c>
      <c r="C717" s="157" t="s">
        <v>2378</v>
      </c>
      <c r="D717" s="95" t="s">
        <v>2370</v>
      </c>
      <c r="E717" s="95" t="s">
        <v>1166</v>
      </c>
      <c r="F717" s="95" t="s">
        <v>2371</v>
      </c>
      <c r="G717" s="95" t="s">
        <v>2372</v>
      </c>
    </row>
    <row r="718" spans="2:7">
      <c r="B718" s="114"/>
      <c r="C718" s="154"/>
      <c r="D718" s="114"/>
      <c r="E718" s="114"/>
      <c r="F718" s="114" t="s">
        <v>3485</v>
      </c>
      <c r="G718" s="114" t="s">
        <v>3485</v>
      </c>
    </row>
    <row r="719" spans="2:7">
      <c r="B719" s="95">
        <v>1</v>
      </c>
      <c r="C719" s="135" t="s">
        <v>7102</v>
      </c>
      <c r="D719" s="95" t="s">
        <v>2374</v>
      </c>
      <c r="E719" s="190">
        <v>11</v>
      </c>
      <c r="F719" s="190">
        <f>'HIRE CHARGES'!$D$524</f>
        <v>368.40000000000003</v>
      </c>
      <c r="G719" s="190">
        <f>E719*F719</f>
        <v>4052.4000000000005</v>
      </c>
    </row>
    <row r="720" spans="2:7">
      <c r="B720" s="317"/>
      <c r="C720" s="135" t="s">
        <v>2379</v>
      </c>
      <c r="D720" s="105" t="s">
        <v>2374</v>
      </c>
      <c r="E720" s="190">
        <v>11</v>
      </c>
      <c r="F720" s="190">
        <f>'HIRE CHARGES'!$E$524</f>
        <v>42.8</v>
      </c>
      <c r="G720" s="190">
        <f t="shared" ref="G720:G735" si="10">E720*F720</f>
        <v>470.79999999999995</v>
      </c>
    </row>
    <row r="721" spans="2:7">
      <c r="B721" s="105">
        <v>2</v>
      </c>
      <c r="C721" s="135" t="s">
        <v>4481</v>
      </c>
      <c r="D721" s="105" t="s">
        <v>2374</v>
      </c>
      <c r="E721" s="190">
        <v>6</v>
      </c>
      <c r="F721" s="190">
        <f>'HIRE CHARGES'!$D$498</f>
        <v>138.80000000000001</v>
      </c>
      <c r="G721" s="190">
        <f t="shared" si="10"/>
        <v>832.80000000000007</v>
      </c>
    </row>
    <row r="722" spans="2:7">
      <c r="B722" s="317"/>
      <c r="C722" s="135" t="s">
        <v>2379</v>
      </c>
      <c r="D722" s="105" t="s">
        <v>2374</v>
      </c>
      <c r="E722" s="190">
        <v>6</v>
      </c>
      <c r="F722" s="190">
        <f>'HIRE CHARGES'!$E$498</f>
        <v>700.5</v>
      </c>
      <c r="G722" s="190">
        <f t="shared" si="10"/>
        <v>4203</v>
      </c>
    </row>
    <row r="723" spans="2:7">
      <c r="B723" s="105">
        <v>3</v>
      </c>
      <c r="C723" s="135" t="s">
        <v>4078</v>
      </c>
      <c r="D723" s="105" t="s">
        <v>2374</v>
      </c>
      <c r="E723" s="190">
        <v>24</v>
      </c>
      <c r="F723" s="190">
        <f>'HIRE CHARGES'!$D$530</f>
        <v>19.8</v>
      </c>
      <c r="G723" s="190">
        <f t="shared" si="10"/>
        <v>475.20000000000005</v>
      </c>
    </row>
    <row r="724" spans="2:7">
      <c r="B724" s="317"/>
      <c r="C724" s="135" t="s">
        <v>2379</v>
      </c>
      <c r="D724" s="105" t="s">
        <v>2374</v>
      </c>
      <c r="E724" s="190">
        <v>24</v>
      </c>
      <c r="F724" s="190">
        <f>'HIRE CHARGES'!$E$530</f>
        <v>0</v>
      </c>
      <c r="G724" s="190">
        <f t="shared" si="10"/>
        <v>0</v>
      </c>
    </row>
    <row r="725" spans="2:7">
      <c r="B725" s="105">
        <v>4</v>
      </c>
      <c r="C725" s="135" t="s">
        <v>6061</v>
      </c>
      <c r="D725" s="105" t="s">
        <v>2374</v>
      </c>
      <c r="E725" s="190">
        <v>24</v>
      </c>
      <c r="F725" s="190">
        <f>'HIRE CHARGES'!$D$540</f>
        <v>12.7</v>
      </c>
      <c r="G725" s="190">
        <f t="shared" si="10"/>
        <v>304.79999999999995</v>
      </c>
    </row>
    <row r="726" spans="2:7">
      <c r="B726" s="317"/>
      <c r="C726" s="135" t="s">
        <v>2379</v>
      </c>
      <c r="D726" s="105" t="s">
        <v>2374</v>
      </c>
      <c r="E726" s="190">
        <v>24</v>
      </c>
      <c r="F726" s="190">
        <f>'HIRE CHARGES'!$E$540</f>
        <v>0</v>
      </c>
      <c r="G726" s="190">
        <f t="shared" si="10"/>
        <v>0</v>
      </c>
    </row>
    <row r="727" spans="2:7">
      <c r="B727" s="105">
        <v>5</v>
      </c>
      <c r="C727" s="135" t="s">
        <v>3090</v>
      </c>
      <c r="D727" s="105" t="s">
        <v>2374</v>
      </c>
      <c r="E727" s="190">
        <v>6</v>
      </c>
      <c r="F727" s="190">
        <f>'HIRE CHARGES'!$D$512</f>
        <v>822.8</v>
      </c>
      <c r="G727" s="190">
        <f t="shared" si="10"/>
        <v>4936.7999999999993</v>
      </c>
    </row>
    <row r="728" spans="2:7">
      <c r="B728" s="317"/>
      <c r="C728" s="135" t="s">
        <v>2379</v>
      </c>
      <c r="D728" s="105" t="s">
        <v>2374</v>
      </c>
      <c r="E728" s="190">
        <v>6</v>
      </c>
      <c r="F728" s="190">
        <f>'HIRE CHARGES'!$E$512</f>
        <v>195</v>
      </c>
      <c r="G728" s="190">
        <f t="shared" si="10"/>
        <v>1170</v>
      </c>
    </row>
    <row r="729" spans="2:7">
      <c r="B729" s="105">
        <v>6</v>
      </c>
      <c r="C729" s="135" t="s">
        <v>6044</v>
      </c>
      <c r="D729" s="105" t="s">
        <v>2374</v>
      </c>
      <c r="E729" s="190">
        <v>12</v>
      </c>
      <c r="F729" s="190">
        <f>'HIRE CHARGES'!$D$525</f>
        <v>580.69999999999993</v>
      </c>
      <c r="G729" s="190">
        <f t="shared" si="10"/>
        <v>6968.4</v>
      </c>
    </row>
    <row r="730" spans="2:7">
      <c r="B730" s="317"/>
      <c r="C730" s="135" t="s">
        <v>2379</v>
      </c>
      <c r="D730" s="105" t="s">
        <v>2374</v>
      </c>
      <c r="E730" s="190">
        <v>12</v>
      </c>
      <c r="F730" s="190">
        <f>'HIRE CHARGES'!$E$525</f>
        <v>399.9</v>
      </c>
      <c r="G730" s="190">
        <f t="shared" si="10"/>
        <v>4798.7999999999993</v>
      </c>
    </row>
    <row r="731" spans="2:7">
      <c r="B731" s="105">
        <v>7</v>
      </c>
      <c r="C731" s="135" t="s">
        <v>4484</v>
      </c>
      <c r="D731" s="105" t="s">
        <v>2374</v>
      </c>
      <c r="E731" s="190">
        <v>6</v>
      </c>
      <c r="F731" s="190">
        <f>'HIRE CHARGES'!$D$520</f>
        <v>6.7</v>
      </c>
      <c r="G731" s="190">
        <f t="shared" si="10"/>
        <v>40.200000000000003</v>
      </c>
    </row>
    <row r="732" spans="2:7">
      <c r="B732" s="317"/>
      <c r="C732" s="135" t="s">
        <v>2379</v>
      </c>
      <c r="D732" s="105" t="s">
        <v>2374</v>
      </c>
      <c r="E732" s="190">
        <v>6</v>
      </c>
      <c r="F732" s="190">
        <f>'HIRE CHARGES'!$E$520</f>
        <v>56</v>
      </c>
      <c r="G732" s="190">
        <f t="shared" si="10"/>
        <v>336</v>
      </c>
    </row>
    <row r="733" spans="2:7">
      <c r="B733" s="105">
        <v>8</v>
      </c>
      <c r="C733" s="135" t="s">
        <v>4485</v>
      </c>
      <c r="D733" s="105" t="s">
        <v>2374</v>
      </c>
      <c r="E733" s="190">
        <v>2</v>
      </c>
      <c r="F733" s="190">
        <f>'HIRE CHARGES'!$D$552</f>
        <v>11.5</v>
      </c>
      <c r="G733" s="190">
        <f t="shared" si="10"/>
        <v>23</v>
      </c>
    </row>
    <row r="734" spans="2:7">
      <c r="B734" s="317"/>
      <c r="C734" s="135" t="s">
        <v>2379</v>
      </c>
      <c r="D734" s="105" t="s">
        <v>2374</v>
      </c>
      <c r="E734" s="190">
        <v>2</v>
      </c>
      <c r="F734" s="190">
        <f>'HIRE CHARGES'!$E$552</f>
        <v>112.1</v>
      </c>
      <c r="G734" s="190">
        <f t="shared" si="10"/>
        <v>224.2</v>
      </c>
    </row>
    <row r="735" spans="2:7">
      <c r="B735" s="105">
        <v>9</v>
      </c>
      <c r="C735" s="135" t="s">
        <v>4486</v>
      </c>
      <c r="D735" s="105" t="s">
        <v>2173</v>
      </c>
      <c r="E735" s="190">
        <v>2</v>
      </c>
      <c r="F735" s="214">
        <f>'BASIC DATA'!$D$359</f>
        <v>30</v>
      </c>
      <c r="G735" s="190">
        <f t="shared" si="10"/>
        <v>60</v>
      </c>
    </row>
    <row r="736" spans="2:7">
      <c r="B736" s="176"/>
      <c r="C736" s="172" t="s">
        <v>2380</v>
      </c>
      <c r="D736" s="174"/>
      <c r="E736" s="192"/>
      <c r="F736" s="236" t="s">
        <v>1698</v>
      </c>
      <c r="G736" s="318">
        <f>SUM(G719:G735)</f>
        <v>28896.399999999998</v>
      </c>
    </row>
    <row r="737" spans="2:7">
      <c r="B737" s="78"/>
    </row>
    <row r="738" spans="2:7">
      <c r="B738" s="79" t="s">
        <v>2381</v>
      </c>
    </row>
    <row r="739" spans="2:7">
      <c r="B739" s="95" t="s">
        <v>2369</v>
      </c>
      <c r="C739" s="157" t="s">
        <v>2378</v>
      </c>
      <c r="D739" s="95" t="s">
        <v>2370</v>
      </c>
      <c r="E739" s="95" t="s">
        <v>1166</v>
      </c>
      <c r="F739" s="95" t="s">
        <v>2371</v>
      </c>
      <c r="G739" s="95" t="s">
        <v>2372</v>
      </c>
    </row>
    <row r="740" spans="2:7">
      <c r="B740" s="114"/>
      <c r="C740" s="154"/>
      <c r="D740" s="114"/>
      <c r="E740" s="114"/>
      <c r="F740" s="114" t="s">
        <v>3485</v>
      </c>
      <c r="G740" s="114" t="s">
        <v>3485</v>
      </c>
    </row>
    <row r="741" spans="2:7">
      <c r="B741" s="105">
        <v>1</v>
      </c>
      <c r="C741" s="76" t="s">
        <v>4487</v>
      </c>
      <c r="D741" s="105" t="s">
        <v>2374</v>
      </c>
      <c r="E741" s="207">
        <v>11</v>
      </c>
      <c r="F741" s="190">
        <f>'HIRE CHARGES'!$F$524</f>
        <v>175.8</v>
      </c>
      <c r="G741" s="190">
        <f>E741*F741</f>
        <v>1933.8000000000002</v>
      </c>
    </row>
    <row r="742" spans="2:7">
      <c r="B742" s="105">
        <v>2</v>
      </c>
      <c r="C742" s="76" t="s">
        <v>4606</v>
      </c>
      <c r="D742" s="105" t="s">
        <v>2374</v>
      </c>
      <c r="E742" s="207">
        <v>6</v>
      </c>
      <c r="F742" s="190">
        <f>'HIRE CHARGES'!$F$498</f>
        <v>175.8</v>
      </c>
      <c r="G742" s="190">
        <f t="shared" ref="G742:G759" si="11">E742*F742</f>
        <v>1054.8000000000002</v>
      </c>
    </row>
    <row r="743" spans="2:7">
      <c r="B743" s="105">
        <v>3</v>
      </c>
      <c r="C743" s="76" t="s">
        <v>4607</v>
      </c>
      <c r="D743" s="105" t="s">
        <v>2374</v>
      </c>
      <c r="E743" s="207">
        <v>24</v>
      </c>
      <c r="F743" s="190">
        <f>'HIRE CHARGES'!$F$530</f>
        <v>329.6</v>
      </c>
      <c r="G743" s="190">
        <f t="shared" si="11"/>
        <v>7910.4000000000005</v>
      </c>
    </row>
    <row r="744" spans="2:7">
      <c r="B744" s="105">
        <v>4</v>
      </c>
      <c r="C744" s="76" t="s">
        <v>4584</v>
      </c>
      <c r="D744" s="105" t="s">
        <v>2374</v>
      </c>
      <c r="E744" s="207">
        <v>6</v>
      </c>
      <c r="F744" s="190">
        <f>'HIRE CHARGES'!$F$512</f>
        <v>175.8</v>
      </c>
      <c r="G744" s="190">
        <f t="shared" si="11"/>
        <v>1054.8000000000002</v>
      </c>
    </row>
    <row r="745" spans="2:7">
      <c r="B745" s="105">
        <v>5</v>
      </c>
      <c r="C745" s="76" t="s">
        <v>4585</v>
      </c>
      <c r="D745" s="105" t="s">
        <v>2374</v>
      </c>
      <c r="E745" s="207">
        <v>12</v>
      </c>
      <c r="F745" s="190">
        <f>'HIRE CHARGES'!$F$525</f>
        <v>227.1</v>
      </c>
      <c r="G745" s="190">
        <f t="shared" si="11"/>
        <v>2725.2</v>
      </c>
    </row>
    <row r="746" spans="2:7">
      <c r="B746" s="105">
        <v>6</v>
      </c>
      <c r="C746" s="76" t="s">
        <v>999</v>
      </c>
      <c r="D746" s="105" t="s">
        <v>2374</v>
      </c>
      <c r="E746" s="207">
        <v>6</v>
      </c>
      <c r="F746" s="190">
        <f>'HIRE CHARGES'!$F$520</f>
        <v>83.3</v>
      </c>
      <c r="G746" s="190">
        <f t="shared" si="11"/>
        <v>499.79999999999995</v>
      </c>
    </row>
    <row r="747" spans="2:7">
      <c r="B747" s="105">
        <v>7</v>
      </c>
      <c r="C747" s="76" t="s">
        <v>4586</v>
      </c>
      <c r="D747" s="105" t="s">
        <v>2374</v>
      </c>
      <c r="E747" s="207">
        <v>2</v>
      </c>
      <c r="F747" s="190">
        <f>'HIRE CHARGES'!$F$552</f>
        <v>28.7</v>
      </c>
      <c r="G747" s="190">
        <f t="shared" si="11"/>
        <v>57.4</v>
      </c>
    </row>
    <row r="748" spans="2:7">
      <c r="B748" s="105">
        <v>8</v>
      </c>
      <c r="C748" s="76" t="s">
        <v>2446</v>
      </c>
      <c r="D748" s="105" t="s">
        <v>1172</v>
      </c>
      <c r="E748" s="207">
        <v>0.5</v>
      </c>
      <c r="F748" s="190">
        <f>'BASIC DATA'!$C$558</f>
        <v>645</v>
      </c>
      <c r="G748" s="190">
        <f t="shared" si="11"/>
        <v>322.5</v>
      </c>
    </row>
    <row r="749" spans="2:7">
      <c r="B749" s="105">
        <v>9</v>
      </c>
      <c r="C749" s="76" t="s">
        <v>2468</v>
      </c>
      <c r="D749" s="105" t="s">
        <v>1172</v>
      </c>
      <c r="E749" s="207">
        <v>1</v>
      </c>
      <c r="F749" s="190">
        <f>'BASIC DATA'!$C$471</f>
        <v>510</v>
      </c>
      <c r="G749" s="190">
        <f t="shared" si="11"/>
        <v>510</v>
      </c>
    </row>
    <row r="750" spans="2:7">
      <c r="B750" s="105">
        <v>10</v>
      </c>
      <c r="C750" s="33" t="s">
        <v>4587</v>
      </c>
      <c r="D750" s="105" t="s">
        <v>1172</v>
      </c>
      <c r="E750" s="207">
        <v>2</v>
      </c>
      <c r="F750" s="190">
        <f>'BASIC DATA'!$C$475</f>
        <v>475</v>
      </c>
      <c r="G750" s="190">
        <f t="shared" si="11"/>
        <v>950</v>
      </c>
    </row>
    <row r="751" spans="2:7">
      <c r="B751" s="105">
        <v>11</v>
      </c>
      <c r="C751" s="76" t="s">
        <v>2463</v>
      </c>
      <c r="D751" s="105" t="s">
        <v>1172</v>
      </c>
      <c r="E751" s="207">
        <v>1</v>
      </c>
      <c r="F751" s="190">
        <f>'BASIC DATA'!$C$466</f>
        <v>510</v>
      </c>
      <c r="G751" s="190">
        <f t="shared" si="11"/>
        <v>510</v>
      </c>
    </row>
    <row r="752" spans="2:7">
      <c r="B752" s="105">
        <v>12</v>
      </c>
      <c r="C752" s="76" t="s">
        <v>5605</v>
      </c>
      <c r="D752" s="105" t="s">
        <v>1172</v>
      </c>
      <c r="E752" s="207">
        <v>2</v>
      </c>
      <c r="F752" s="190">
        <f>'BASIC DATA'!$C$520</f>
        <v>400</v>
      </c>
      <c r="G752" s="190">
        <f t="shared" si="11"/>
        <v>800</v>
      </c>
    </row>
    <row r="753" spans="2:7">
      <c r="B753" s="105">
        <v>13</v>
      </c>
      <c r="C753" s="76" t="s">
        <v>4079</v>
      </c>
      <c r="D753" s="105" t="s">
        <v>1172</v>
      </c>
      <c r="E753" s="207">
        <v>2</v>
      </c>
      <c r="F753" s="190">
        <f>'BASIC DATA'!$C$546</f>
        <v>400</v>
      </c>
      <c r="G753" s="190">
        <f t="shared" si="11"/>
        <v>800</v>
      </c>
    </row>
    <row r="754" spans="2:7">
      <c r="B754" s="105">
        <v>14</v>
      </c>
      <c r="C754" s="76" t="s">
        <v>4207</v>
      </c>
      <c r="D754" s="105" t="s">
        <v>1172</v>
      </c>
      <c r="E754" s="207">
        <v>3</v>
      </c>
      <c r="F754" s="190">
        <f>'BASIC DATA'!$C$473</f>
        <v>450</v>
      </c>
      <c r="G754" s="190">
        <f t="shared" si="11"/>
        <v>1350</v>
      </c>
    </row>
    <row r="755" spans="2:7">
      <c r="B755" s="105">
        <v>15</v>
      </c>
      <c r="C755" s="76" t="s">
        <v>3400</v>
      </c>
      <c r="D755" s="105" t="s">
        <v>1172</v>
      </c>
      <c r="E755" s="207">
        <v>4</v>
      </c>
      <c r="F755" s="190">
        <f>'BASIC DATA'!$C$500</f>
        <v>445</v>
      </c>
      <c r="G755" s="190">
        <f t="shared" si="11"/>
        <v>1780</v>
      </c>
    </row>
    <row r="756" spans="2:7">
      <c r="B756" s="105">
        <v>16</v>
      </c>
      <c r="C756" s="76" t="s">
        <v>2697</v>
      </c>
      <c r="D756" s="105"/>
      <c r="E756" s="207"/>
      <c r="F756" s="190"/>
      <c r="G756" s="190"/>
    </row>
    <row r="757" spans="2:7">
      <c r="B757" s="319"/>
      <c r="C757" s="76" t="s">
        <v>1026</v>
      </c>
      <c r="D757" s="105" t="s">
        <v>1172</v>
      </c>
      <c r="E757" s="207">
        <v>8</v>
      </c>
      <c r="F757" s="190">
        <f>'BASIC DATA'!$C$552</f>
        <v>350</v>
      </c>
      <c r="G757" s="190">
        <f t="shared" si="11"/>
        <v>2800</v>
      </c>
    </row>
    <row r="758" spans="2:7">
      <c r="B758" s="319"/>
      <c r="C758" s="76" t="s">
        <v>2312</v>
      </c>
      <c r="D758" s="105" t="s">
        <v>1172</v>
      </c>
      <c r="E758" s="207">
        <v>2</v>
      </c>
      <c r="F758" s="190">
        <f>'BASIC DATA'!$C$552</f>
        <v>350</v>
      </c>
      <c r="G758" s="190">
        <f t="shared" si="11"/>
        <v>700</v>
      </c>
    </row>
    <row r="759" spans="2:7">
      <c r="B759" s="319"/>
      <c r="C759" s="76" t="s">
        <v>1185</v>
      </c>
      <c r="D759" s="105" t="s">
        <v>1172</v>
      </c>
      <c r="E759" s="207">
        <v>2</v>
      </c>
      <c r="F759" s="190">
        <f>'BASIC DATA'!$C$552</f>
        <v>350</v>
      </c>
      <c r="G759" s="190">
        <f t="shared" si="11"/>
        <v>700</v>
      </c>
    </row>
    <row r="760" spans="2:7">
      <c r="B760" s="92"/>
      <c r="C760" s="193" t="s">
        <v>1174</v>
      </c>
      <c r="D760" s="159"/>
      <c r="E760" s="238"/>
      <c r="F760" s="236" t="s">
        <v>1698</v>
      </c>
      <c r="G760" s="318">
        <f>SUM(G741:G759)</f>
        <v>26458.699999999997</v>
      </c>
    </row>
    <row r="761" spans="2:7">
      <c r="B761" s="60" t="s">
        <v>5948</v>
      </c>
      <c r="D761" s="31"/>
      <c r="E761" s="85">
        <f>ROUND(G760/F701,1)</f>
        <v>575.20000000000005</v>
      </c>
    </row>
    <row r="762" spans="2:7">
      <c r="B762" s="60" t="s">
        <v>3163</v>
      </c>
      <c r="D762" s="922">
        <f>'BASIC DATA'!$C$577</f>
        <v>0.13614999999999999</v>
      </c>
      <c r="E762" s="85">
        <f>ROUND(E761*D762,1)</f>
        <v>78.3</v>
      </c>
    </row>
    <row r="763" spans="2:7">
      <c r="B763" s="60" t="s">
        <v>5949</v>
      </c>
      <c r="D763" s="31"/>
      <c r="E763" s="199">
        <f>ROUND(E762+E761,1)</f>
        <v>653.5</v>
      </c>
    </row>
    <row r="764" spans="2:7"/>
    <row r="765" spans="2:7">
      <c r="B765" s="170" t="s">
        <v>1175</v>
      </c>
    </row>
    <row r="766" spans="2:7">
      <c r="B766" s="26" t="s">
        <v>1176</v>
      </c>
      <c r="F766" s="171" t="s">
        <v>1698</v>
      </c>
      <c r="G766" s="68">
        <f>G714</f>
        <v>11911.724</v>
      </c>
    </row>
    <row r="767" spans="2:7">
      <c r="B767" s="26" t="s">
        <v>1186</v>
      </c>
      <c r="F767" s="171" t="s">
        <v>1698</v>
      </c>
      <c r="G767" s="68">
        <f>G736</f>
        <v>28896.399999999998</v>
      </c>
    </row>
    <row r="768" spans="2:7">
      <c r="B768" s="26" t="s">
        <v>2660</v>
      </c>
      <c r="F768" s="171" t="s">
        <v>1698</v>
      </c>
      <c r="G768" s="75">
        <f>G760</f>
        <v>26458.699999999997</v>
      </c>
    </row>
    <row r="769" spans="1:7">
      <c r="E769" s="171"/>
      <c r="F769" s="171" t="s">
        <v>302</v>
      </c>
      <c r="G769" s="205">
        <f>SUM(G766:G768)</f>
        <v>67266.823999999993</v>
      </c>
    </row>
    <row r="770" spans="1:7">
      <c r="A770" s="853"/>
      <c r="B770" s="61" t="s">
        <v>2313</v>
      </c>
      <c r="C770" s="61"/>
      <c r="D770" s="61"/>
      <c r="E770" s="320">
        <f>'BASIC DATA'!$C$595</f>
        <v>0.01</v>
      </c>
      <c r="F770" s="222" t="s">
        <v>1698</v>
      </c>
      <c r="G770" s="321">
        <f>E770*$G$769</f>
        <v>672.66823999999997</v>
      </c>
    </row>
    <row r="771" spans="1:7">
      <c r="A771" s="853"/>
      <c r="B771" s="61" t="s">
        <v>2314</v>
      </c>
      <c r="C771" s="61"/>
      <c r="D771" s="61"/>
      <c r="E771" s="291">
        <f>'BASIC DATA'!$C$596</f>
        <v>4.4999999999999998E-2</v>
      </c>
      <c r="F771" s="222" t="s">
        <v>1698</v>
      </c>
      <c r="G771" s="321">
        <f>E771*$G$769</f>
        <v>3027.0070799999994</v>
      </c>
    </row>
    <row r="772" spans="1:7">
      <c r="A772" s="853"/>
      <c r="B772" s="61" t="s">
        <v>2315</v>
      </c>
      <c r="C772" s="61"/>
      <c r="D772" s="61"/>
      <c r="E772" s="291">
        <f>'BASIC DATA'!$C$597</f>
        <v>1.6E-2</v>
      </c>
      <c r="F772" s="222" t="s">
        <v>1698</v>
      </c>
      <c r="G772" s="321">
        <f>E772*$G$769</f>
        <v>1076.269184</v>
      </c>
    </row>
    <row r="773" spans="1:7">
      <c r="A773" s="853"/>
      <c r="B773" s="61" t="s">
        <v>1259</v>
      </c>
      <c r="C773" s="61"/>
      <c r="D773" s="61"/>
      <c r="E773" s="291">
        <f>'BASIC DATA'!$C$598</f>
        <v>2.5000000000000001E-2</v>
      </c>
      <c r="F773" s="222" t="s">
        <v>1698</v>
      </c>
      <c r="G773" s="321">
        <f>E773*$G$769</f>
        <v>1681.6705999999999</v>
      </c>
    </row>
    <row r="774" spans="1:7">
      <c r="A774" s="853"/>
      <c r="B774" s="61"/>
      <c r="C774" s="61"/>
      <c r="D774" s="61"/>
      <c r="E774" s="291"/>
      <c r="F774" s="171" t="s">
        <v>302</v>
      </c>
      <c r="G774" s="205">
        <f>SUM(G769:G773)</f>
        <v>73724.43910399999</v>
      </c>
    </row>
    <row r="775" spans="1:7" ht="39" customHeight="1">
      <c r="B775" s="1207" t="s">
        <v>6259</v>
      </c>
      <c r="C775" s="1207"/>
      <c r="D775" s="1207"/>
      <c r="E775" s="922">
        <f>'BASIC DATA'!$C$577</f>
        <v>0.13614999999999999</v>
      </c>
      <c r="F775" s="171" t="s">
        <v>1698</v>
      </c>
      <c r="G775" s="75">
        <f>G774*E775</f>
        <v>10037.582384009598</v>
      </c>
    </row>
    <row r="776" spans="1:7">
      <c r="B776" s="26" t="s">
        <v>1191</v>
      </c>
      <c r="D776" s="68">
        <f>F701</f>
        <v>46</v>
      </c>
      <c r="E776" s="68" t="str">
        <f>G701</f>
        <v>cum</v>
      </c>
      <c r="F776" s="171" t="s">
        <v>1698</v>
      </c>
      <c r="G776" s="211">
        <f>G775+G774</f>
        <v>83762.021488009588</v>
      </c>
    </row>
    <row r="777" spans="1:7">
      <c r="B777" s="170" t="s">
        <v>3884</v>
      </c>
      <c r="C777" s="170" t="str">
        <f>E776</f>
        <v>cum</v>
      </c>
      <c r="D777" s="26" t="s">
        <v>6566</v>
      </c>
      <c r="F777" s="171" t="s">
        <v>1698</v>
      </c>
      <c r="G777" s="211">
        <f>ROUND(G776/D776,1)</f>
        <v>1820.9</v>
      </c>
    </row>
    <row r="778" spans="1:7">
      <c r="B778" s="78"/>
    </row>
    <row r="779" spans="1:7">
      <c r="B779" s="78"/>
    </row>
    <row r="780" spans="1:7">
      <c r="A780" s="822" t="s">
        <v>7392</v>
      </c>
      <c r="B780" s="170" t="s">
        <v>7981</v>
      </c>
    </row>
    <row r="781" spans="1:7" ht="18.75">
      <c r="A781" s="865"/>
      <c r="B781" s="170" t="s">
        <v>8585</v>
      </c>
    </row>
    <row r="782" spans="1:7">
      <c r="A782" s="865"/>
      <c r="B782" s="26" t="s">
        <v>8586</v>
      </c>
    </row>
    <row r="783" spans="1:7">
      <c r="A783" s="865"/>
      <c r="B783" s="26" t="s">
        <v>2625</v>
      </c>
    </row>
    <row r="784" spans="1:7">
      <c r="A784" s="865"/>
      <c r="B784" s="26" t="s">
        <v>5801</v>
      </c>
    </row>
    <row r="785" spans="1:7" ht="18.75">
      <c r="A785" s="865"/>
      <c r="B785" s="170" t="s">
        <v>8587</v>
      </c>
    </row>
    <row r="786" spans="1:7">
      <c r="A786" s="865"/>
    </row>
    <row r="787" spans="1:7" hidden="1">
      <c r="A787" s="865" t="s">
        <v>3984</v>
      </c>
      <c r="B787" s="26" t="s">
        <v>6381</v>
      </c>
      <c r="E787" s="78" t="s">
        <v>1697</v>
      </c>
      <c r="F787" s="68">
        <v>4.5</v>
      </c>
      <c r="G787" s="26" t="s">
        <v>40</v>
      </c>
    </row>
    <row r="788" spans="1:7" hidden="1">
      <c r="A788" s="865"/>
      <c r="B788" s="26" t="s">
        <v>6382</v>
      </c>
      <c r="E788" s="78" t="s">
        <v>1697</v>
      </c>
      <c r="F788" s="26" t="s">
        <v>844</v>
      </c>
    </row>
    <row r="789" spans="1:7" hidden="1">
      <c r="A789" s="865"/>
      <c r="B789" s="26" t="s">
        <v>6383</v>
      </c>
      <c r="E789" s="78" t="s">
        <v>1697</v>
      </c>
      <c r="F789" s="68">
        <v>4.5</v>
      </c>
      <c r="G789" s="26" t="s">
        <v>2602</v>
      </c>
    </row>
    <row r="790" spans="1:7" hidden="1">
      <c r="A790" s="865"/>
      <c r="B790" s="26" t="s">
        <v>3236</v>
      </c>
      <c r="E790" s="78" t="s">
        <v>1697</v>
      </c>
      <c r="F790" s="26">
        <v>1000</v>
      </c>
      <c r="G790" s="26" t="s">
        <v>2602</v>
      </c>
    </row>
    <row r="791" spans="1:7" hidden="1">
      <c r="A791" s="865"/>
      <c r="B791" s="26" t="s">
        <v>3237</v>
      </c>
      <c r="E791" s="78" t="s">
        <v>1697</v>
      </c>
      <c r="F791" s="68">
        <v>0.3</v>
      </c>
      <c r="G791" s="26" t="s">
        <v>2602</v>
      </c>
    </row>
    <row r="792" spans="1:7" hidden="1">
      <c r="A792" s="865"/>
      <c r="B792" s="26" t="s">
        <v>4858</v>
      </c>
      <c r="E792" s="78" t="s">
        <v>1697</v>
      </c>
      <c r="F792" s="68">
        <v>0.25</v>
      </c>
      <c r="G792" s="26" t="s">
        <v>2602</v>
      </c>
    </row>
    <row r="793" spans="1:7" hidden="1">
      <c r="A793" s="865"/>
      <c r="B793" s="26" t="s">
        <v>846</v>
      </c>
      <c r="E793" s="78" t="s">
        <v>1697</v>
      </c>
      <c r="F793" s="68">
        <v>0.2</v>
      </c>
      <c r="G793" s="26" t="s">
        <v>2602</v>
      </c>
    </row>
    <row r="794" spans="1:7" hidden="1">
      <c r="A794" s="865"/>
      <c r="B794" s="26" t="s">
        <v>3238</v>
      </c>
      <c r="E794" s="78" t="s">
        <v>1697</v>
      </c>
      <c r="F794" s="68">
        <v>6</v>
      </c>
      <c r="G794" s="26" t="s">
        <v>2602</v>
      </c>
    </row>
    <row r="795" spans="1:7" hidden="1">
      <c r="A795" s="865"/>
      <c r="B795" s="26" t="s">
        <v>6112</v>
      </c>
      <c r="E795" s="78" t="s">
        <v>41</v>
      </c>
      <c r="F795" s="26">
        <v>500</v>
      </c>
      <c r="G795" s="26" t="s">
        <v>2602</v>
      </c>
    </row>
    <row r="796" spans="1:7" hidden="1">
      <c r="A796" s="865"/>
      <c r="B796" s="26" t="s">
        <v>6113</v>
      </c>
      <c r="E796" s="78" t="s">
        <v>1697</v>
      </c>
      <c r="F796" s="26" t="s">
        <v>6114</v>
      </c>
    </row>
    <row r="797" spans="1:7" hidden="1">
      <c r="A797" s="865">
        <v>1</v>
      </c>
      <c r="B797" s="26" t="s">
        <v>6115</v>
      </c>
    </row>
    <row r="798" spans="1:7" hidden="1">
      <c r="A798" s="880"/>
      <c r="B798" s="26" t="s">
        <v>6533</v>
      </c>
    </row>
    <row r="799" spans="1:7" hidden="1">
      <c r="A799" s="865">
        <v>2</v>
      </c>
      <c r="B799" s="26" t="s">
        <v>6534</v>
      </c>
    </row>
    <row r="800" spans="1:7" hidden="1">
      <c r="A800" s="865"/>
      <c r="B800" s="26" t="s">
        <v>5802</v>
      </c>
    </row>
    <row r="801" spans="1:2" hidden="1">
      <c r="A801" s="865"/>
      <c r="B801" s="26" t="s">
        <v>1873</v>
      </c>
    </row>
    <row r="802" spans="1:2" hidden="1">
      <c r="A802" s="865"/>
      <c r="B802" s="26" t="s">
        <v>5320</v>
      </c>
    </row>
    <row r="803" spans="1:2" hidden="1">
      <c r="A803" s="865"/>
      <c r="B803" s="26" t="s">
        <v>5321</v>
      </c>
    </row>
    <row r="804" spans="1:2" hidden="1">
      <c r="A804" s="865"/>
      <c r="B804" s="26" t="s">
        <v>5322</v>
      </c>
    </row>
    <row r="805" spans="1:2" hidden="1">
      <c r="A805" s="865"/>
      <c r="B805" s="26" t="s">
        <v>5323</v>
      </c>
    </row>
    <row r="806" spans="1:2" hidden="1">
      <c r="A806" s="865"/>
      <c r="B806" s="26" t="s">
        <v>6316</v>
      </c>
    </row>
    <row r="807" spans="1:2"/>
    <row r="808" spans="1:2"/>
    <row r="809" spans="1:2"/>
    <row r="810" spans="1:2"/>
    <row r="811" spans="1:2"/>
    <row r="812" spans="1:2"/>
    <row r="813" spans="1:2"/>
    <row r="814" spans="1:2"/>
    <row r="815" spans="1:2"/>
    <row r="816" spans="1:2"/>
    <row r="817" spans="1:7"/>
    <row r="818" spans="1:7" hidden="1"/>
    <row r="819" spans="1:7" hidden="1">
      <c r="A819" s="865"/>
      <c r="B819" s="26" t="s">
        <v>5591</v>
      </c>
    </row>
    <row r="820" spans="1:7" hidden="1">
      <c r="A820" s="865"/>
      <c r="B820" s="26" t="s">
        <v>3498</v>
      </c>
      <c r="E820" s="78" t="s">
        <v>1697</v>
      </c>
      <c r="F820" s="26">
        <v>14.14</v>
      </c>
      <c r="G820" s="26" t="s">
        <v>3479</v>
      </c>
    </row>
    <row r="821" spans="1:7" hidden="1">
      <c r="A821" s="865"/>
      <c r="B821" s="26" t="s">
        <v>6371</v>
      </c>
      <c r="E821" s="78" t="s">
        <v>1697</v>
      </c>
      <c r="F821" s="26">
        <v>1.5</v>
      </c>
      <c r="G821" s="26" t="s">
        <v>2602</v>
      </c>
    </row>
    <row r="822" spans="1:7" hidden="1">
      <c r="A822" s="865"/>
      <c r="B822" s="26" t="s">
        <v>3499</v>
      </c>
      <c r="E822" s="78" t="s">
        <v>1697</v>
      </c>
      <c r="F822" s="26">
        <v>35</v>
      </c>
      <c r="G822" s="26" t="s">
        <v>4041</v>
      </c>
    </row>
    <row r="823" spans="1:7" hidden="1">
      <c r="A823" s="865"/>
      <c r="B823" s="26" t="s">
        <v>3500</v>
      </c>
      <c r="E823" s="78" t="s">
        <v>1697</v>
      </c>
      <c r="F823" s="26">
        <v>65.5</v>
      </c>
      <c r="G823" s="26" t="s">
        <v>2602</v>
      </c>
    </row>
    <row r="824" spans="1:7" hidden="1">
      <c r="A824" s="865"/>
      <c r="B824" s="26" t="s">
        <v>3501</v>
      </c>
      <c r="E824" s="78"/>
    </row>
    <row r="825" spans="1:7" hidden="1">
      <c r="A825" s="865"/>
      <c r="B825" s="26" t="s">
        <v>3498</v>
      </c>
      <c r="E825" s="78" t="s">
        <v>1697</v>
      </c>
      <c r="F825" s="68">
        <v>2.6</v>
      </c>
      <c r="G825" s="26" t="s">
        <v>3479</v>
      </c>
    </row>
    <row r="826" spans="1:7" hidden="1">
      <c r="A826" s="865"/>
      <c r="B826" s="26" t="s">
        <v>6370</v>
      </c>
      <c r="E826" s="78" t="s">
        <v>1697</v>
      </c>
      <c r="F826" s="68">
        <v>1.7</v>
      </c>
      <c r="G826" s="26" t="s">
        <v>2602</v>
      </c>
    </row>
    <row r="827" spans="1:7" hidden="1">
      <c r="A827" s="865"/>
      <c r="B827" s="26" t="s">
        <v>3502</v>
      </c>
      <c r="E827" s="78" t="s">
        <v>1697</v>
      </c>
      <c r="F827" s="26">
        <v>8</v>
      </c>
      <c r="G827" s="26" t="s">
        <v>4041</v>
      </c>
    </row>
    <row r="828" spans="1:7" hidden="1">
      <c r="A828" s="865"/>
      <c r="B828" s="26" t="s">
        <v>6741</v>
      </c>
      <c r="E828" s="78" t="s">
        <v>1697</v>
      </c>
      <c r="F828" s="26">
        <v>15</v>
      </c>
      <c r="G828" s="26" t="s">
        <v>2602</v>
      </c>
    </row>
    <row r="829" spans="1:7" hidden="1">
      <c r="A829" s="865"/>
      <c r="B829" s="26" t="s">
        <v>6742</v>
      </c>
      <c r="E829" s="78"/>
    </row>
    <row r="830" spans="1:7" hidden="1">
      <c r="A830" s="865"/>
      <c r="B830" s="26" t="s">
        <v>6743</v>
      </c>
      <c r="E830" s="78" t="s">
        <v>1697</v>
      </c>
      <c r="F830" s="68">
        <v>16.5</v>
      </c>
      <c r="G830" s="26" t="s">
        <v>3479</v>
      </c>
    </row>
    <row r="831" spans="1:7" hidden="1">
      <c r="A831" s="865"/>
      <c r="B831" s="26" t="s">
        <v>3499</v>
      </c>
      <c r="E831" s="78" t="s">
        <v>1697</v>
      </c>
      <c r="F831" s="26">
        <v>41</v>
      </c>
      <c r="G831" s="26" t="s">
        <v>4041</v>
      </c>
    </row>
    <row r="832" spans="1:7" hidden="1">
      <c r="A832" s="865"/>
      <c r="B832" s="26" t="s">
        <v>6370</v>
      </c>
      <c r="E832" s="78" t="s">
        <v>1697</v>
      </c>
      <c r="F832" s="68">
        <v>1.7</v>
      </c>
      <c r="G832" s="26" t="s">
        <v>2602</v>
      </c>
    </row>
    <row r="833" spans="1:7" hidden="1">
      <c r="A833" s="865"/>
      <c r="B833" s="26" t="s">
        <v>7223</v>
      </c>
      <c r="E833" s="78" t="s">
        <v>1697</v>
      </c>
      <c r="F833" s="26">
        <v>76.5</v>
      </c>
      <c r="G833" s="26" t="s">
        <v>2602</v>
      </c>
    </row>
    <row r="834" spans="1:7" hidden="1">
      <c r="A834" s="865"/>
      <c r="B834" s="26" t="s">
        <v>7224</v>
      </c>
      <c r="E834" s="78" t="s">
        <v>1697</v>
      </c>
      <c r="F834" s="26">
        <v>157</v>
      </c>
      <c r="G834" s="26" t="s">
        <v>2602</v>
      </c>
    </row>
    <row r="835" spans="1:7" hidden="1">
      <c r="A835" s="865"/>
      <c r="B835" s="26" t="s">
        <v>3403</v>
      </c>
      <c r="E835" s="78" t="s">
        <v>1697</v>
      </c>
      <c r="F835" s="26">
        <v>6</v>
      </c>
      <c r="G835" s="26" t="s">
        <v>2602</v>
      </c>
    </row>
    <row r="836" spans="1:7" hidden="1">
      <c r="A836" s="865"/>
      <c r="B836" s="26" t="s">
        <v>3279</v>
      </c>
      <c r="E836" s="78" t="s">
        <v>1697</v>
      </c>
      <c r="F836" s="26">
        <v>6.5</v>
      </c>
      <c r="G836" s="26" t="s">
        <v>4665</v>
      </c>
    </row>
    <row r="837" spans="1:7" hidden="1">
      <c r="A837" s="865"/>
      <c r="B837" s="26" t="s">
        <v>3281</v>
      </c>
      <c r="E837" s="78" t="s">
        <v>1697</v>
      </c>
      <c r="F837" s="26">
        <v>6.5</v>
      </c>
      <c r="G837" s="26" t="s">
        <v>4665</v>
      </c>
    </row>
    <row r="838" spans="1:7" hidden="1">
      <c r="A838" s="865"/>
      <c r="B838" s="26" t="s">
        <v>3282</v>
      </c>
      <c r="E838" s="78" t="s">
        <v>1697</v>
      </c>
      <c r="F838" s="26">
        <v>6.5</v>
      </c>
      <c r="G838" s="26" t="s">
        <v>4665</v>
      </c>
    </row>
    <row r="839" spans="1:7" hidden="1">
      <c r="A839" s="865"/>
      <c r="B839" s="26" t="s">
        <v>4590</v>
      </c>
      <c r="E839" s="78" t="s">
        <v>1697</v>
      </c>
      <c r="F839" s="26">
        <v>6.5</v>
      </c>
      <c r="G839" s="26" t="s">
        <v>4665</v>
      </c>
    </row>
    <row r="840" spans="1:7" hidden="1">
      <c r="A840" s="865"/>
      <c r="B840" s="26" t="s">
        <v>2968</v>
      </c>
      <c r="E840" s="78"/>
    </row>
    <row r="841" spans="1:7" hidden="1">
      <c r="A841" s="865"/>
      <c r="B841" s="26" t="s">
        <v>7225</v>
      </c>
      <c r="E841" s="78" t="s">
        <v>1697</v>
      </c>
      <c r="F841" s="26">
        <v>33.24</v>
      </c>
      <c r="G841" s="26" t="s">
        <v>3479</v>
      </c>
    </row>
    <row r="842" spans="1:7" hidden="1">
      <c r="A842" s="865"/>
      <c r="B842" s="26" t="s">
        <v>5158</v>
      </c>
      <c r="E842" s="78" t="s">
        <v>1697</v>
      </c>
      <c r="F842" s="26">
        <v>1.5</v>
      </c>
      <c r="G842" s="26" t="s">
        <v>2602</v>
      </c>
    </row>
    <row r="843" spans="1:7" hidden="1">
      <c r="A843" s="865"/>
      <c r="B843" s="26" t="s">
        <v>7226</v>
      </c>
      <c r="E843" s="78" t="s">
        <v>1697</v>
      </c>
      <c r="F843" s="26">
        <v>50</v>
      </c>
      <c r="G843" s="26" t="s">
        <v>3477</v>
      </c>
    </row>
    <row r="844" spans="1:7" hidden="1">
      <c r="A844" s="865"/>
      <c r="B844" s="26" t="s">
        <v>5804</v>
      </c>
      <c r="E844" s="78" t="s">
        <v>1697</v>
      </c>
      <c r="F844" s="26">
        <v>40</v>
      </c>
      <c r="G844" s="26" t="s">
        <v>3478</v>
      </c>
    </row>
    <row r="845" spans="1:7" hidden="1">
      <c r="A845" s="865"/>
      <c r="B845" s="26" t="s">
        <v>6510</v>
      </c>
      <c r="E845" s="78" t="s">
        <v>1697</v>
      </c>
      <c r="F845" s="26">
        <v>4</v>
      </c>
      <c r="G845" s="26" t="s">
        <v>3478</v>
      </c>
    </row>
    <row r="846" spans="1:7" hidden="1">
      <c r="A846" s="865"/>
      <c r="B846" s="26" t="s">
        <v>1045</v>
      </c>
      <c r="E846" s="78" t="s">
        <v>1697</v>
      </c>
      <c r="F846" s="26">
        <v>44</v>
      </c>
      <c r="G846" s="26" t="s">
        <v>3478</v>
      </c>
    </row>
    <row r="847" spans="1:7" hidden="1">
      <c r="A847" s="865"/>
      <c r="B847" s="26" t="s">
        <v>7227</v>
      </c>
      <c r="E847" s="78" t="s">
        <v>1697</v>
      </c>
      <c r="F847" s="26">
        <v>84</v>
      </c>
      <c r="G847" s="26" t="s">
        <v>4041</v>
      </c>
    </row>
    <row r="848" spans="1:7" hidden="1">
      <c r="A848" s="865"/>
      <c r="B848" s="26" t="s">
        <v>2560</v>
      </c>
      <c r="E848" s="78" t="s">
        <v>6511</v>
      </c>
      <c r="F848" s="26">
        <v>10</v>
      </c>
      <c r="G848" s="26" t="s">
        <v>4041</v>
      </c>
    </row>
    <row r="849" spans="1:7" hidden="1">
      <c r="A849" s="865"/>
      <c r="B849" s="26" t="s">
        <v>5703</v>
      </c>
      <c r="E849" s="78" t="s">
        <v>1697</v>
      </c>
      <c r="F849" s="26">
        <v>50</v>
      </c>
      <c r="G849" s="26" t="s">
        <v>3483</v>
      </c>
    </row>
    <row r="850" spans="1:7" hidden="1">
      <c r="A850" s="865"/>
      <c r="B850" s="26" t="s">
        <v>7228</v>
      </c>
      <c r="E850" s="78" t="s">
        <v>1697</v>
      </c>
      <c r="F850" s="26">
        <v>2</v>
      </c>
      <c r="G850" s="26" t="s">
        <v>4665</v>
      </c>
    </row>
    <row r="851" spans="1:7" hidden="1">
      <c r="A851" s="865"/>
      <c r="B851" s="26" t="s">
        <v>2995</v>
      </c>
      <c r="E851" s="78"/>
    </row>
    <row r="852" spans="1:7" hidden="1">
      <c r="A852" s="865"/>
      <c r="B852" s="26" t="s">
        <v>232</v>
      </c>
    </row>
    <row r="853" spans="1:7" hidden="1">
      <c r="A853" s="865"/>
      <c r="B853" s="26" t="s">
        <v>3674</v>
      </c>
    </row>
    <row r="854" spans="1:7" hidden="1">
      <c r="A854" s="865"/>
      <c r="B854" s="26" t="s">
        <v>7232</v>
      </c>
    </row>
    <row r="855" spans="1:7" hidden="1">
      <c r="A855" s="865"/>
      <c r="B855" s="26" t="s">
        <v>7233</v>
      </c>
    </row>
    <row r="856" spans="1:7" hidden="1">
      <c r="A856" s="865"/>
      <c r="B856" s="26" t="s">
        <v>5962</v>
      </c>
    </row>
    <row r="857" spans="1:7" hidden="1">
      <c r="A857" s="865"/>
      <c r="B857" s="26" t="s">
        <v>6106</v>
      </c>
      <c r="E857" s="322" t="s">
        <v>1697</v>
      </c>
      <c r="F857" s="26">
        <v>75</v>
      </c>
      <c r="G857" s="26" t="s">
        <v>3477</v>
      </c>
    </row>
    <row r="858" spans="1:7" hidden="1">
      <c r="A858" s="865"/>
      <c r="B858" s="26" t="s">
        <v>7234</v>
      </c>
      <c r="E858" s="322" t="s">
        <v>1697</v>
      </c>
      <c r="F858" s="26">
        <v>5</v>
      </c>
      <c r="G858" s="26" t="s">
        <v>3477</v>
      </c>
    </row>
    <row r="859" spans="1:7" hidden="1">
      <c r="A859" s="865"/>
      <c r="B859" s="26" t="s">
        <v>3394</v>
      </c>
      <c r="E859" s="322" t="s">
        <v>1697</v>
      </c>
      <c r="F859" s="26">
        <v>4.5</v>
      </c>
      <c r="G859" s="26" t="s">
        <v>3477</v>
      </c>
    </row>
    <row r="860" spans="1:7" hidden="1">
      <c r="A860" s="865"/>
      <c r="B860" s="26" t="s">
        <v>6109</v>
      </c>
    </row>
    <row r="861" spans="1:7" hidden="1">
      <c r="A861" s="865"/>
      <c r="B861" s="26" t="s">
        <v>2996</v>
      </c>
      <c r="E861" s="322" t="s">
        <v>1697</v>
      </c>
      <c r="F861" s="26">
        <v>1</v>
      </c>
      <c r="G861" s="26" t="s">
        <v>6902</v>
      </c>
    </row>
    <row r="862" spans="1:7" hidden="1">
      <c r="A862" s="865"/>
      <c r="B862" s="26" t="s">
        <v>2253</v>
      </c>
      <c r="E862" s="322" t="s">
        <v>1697</v>
      </c>
      <c r="F862" s="26">
        <v>20</v>
      </c>
      <c r="G862" s="26" t="s">
        <v>6902</v>
      </c>
    </row>
    <row r="863" spans="1:7" hidden="1">
      <c r="A863" s="865"/>
      <c r="B863" s="26" t="s">
        <v>3396</v>
      </c>
      <c r="E863" s="324" t="s">
        <v>3397</v>
      </c>
      <c r="F863" s="174">
        <v>1</v>
      </c>
      <c r="G863" s="26" t="s">
        <v>6902</v>
      </c>
    </row>
    <row r="864" spans="1:7" hidden="1">
      <c r="A864" s="865"/>
      <c r="B864" s="26" t="s">
        <v>6273</v>
      </c>
      <c r="E864" s="322" t="s">
        <v>1697</v>
      </c>
      <c r="F864" s="26">
        <f>F863+F862+F861</f>
        <v>22</v>
      </c>
      <c r="G864" s="26" t="s">
        <v>6902</v>
      </c>
    </row>
    <row r="865" spans="1:7" hidden="1">
      <c r="A865" s="865"/>
      <c r="B865" s="26" t="s">
        <v>3678</v>
      </c>
    </row>
    <row r="866" spans="1:7" hidden="1">
      <c r="A866" s="865"/>
      <c r="B866" s="26" t="s">
        <v>4878</v>
      </c>
      <c r="E866" s="322" t="s">
        <v>1697</v>
      </c>
      <c r="F866" s="26">
        <v>5</v>
      </c>
      <c r="G866" s="26" t="s">
        <v>6902</v>
      </c>
    </row>
    <row r="867" spans="1:7" hidden="1">
      <c r="A867" s="865"/>
      <c r="B867" s="26" t="s">
        <v>3615</v>
      </c>
      <c r="E867" s="322" t="s">
        <v>1697</v>
      </c>
      <c r="F867" s="26">
        <v>2</v>
      </c>
      <c r="G867" s="26" t="s">
        <v>6902</v>
      </c>
    </row>
    <row r="868" spans="1:7" hidden="1">
      <c r="A868" s="865"/>
      <c r="B868" s="26" t="s">
        <v>4879</v>
      </c>
      <c r="E868" s="322" t="s">
        <v>1697</v>
      </c>
      <c r="F868" s="26">
        <v>5</v>
      </c>
      <c r="G868" s="26" t="s">
        <v>6902</v>
      </c>
    </row>
    <row r="869" spans="1:7" hidden="1">
      <c r="A869" s="865"/>
      <c r="B869" s="26" t="s">
        <v>4880</v>
      </c>
      <c r="E869" s="322" t="s">
        <v>1697</v>
      </c>
      <c r="F869" s="174">
        <v>9</v>
      </c>
      <c r="G869" s="26" t="s">
        <v>6902</v>
      </c>
    </row>
    <row r="870" spans="1:7" hidden="1">
      <c r="A870" s="865"/>
      <c r="B870" s="26" t="s">
        <v>3617</v>
      </c>
      <c r="E870" s="322" t="s">
        <v>1697</v>
      </c>
      <c r="F870" s="26">
        <f>F869+F868+F867+F866</f>
        <v>21</v>
      </c>
      <c r="G870" s="26" t="s">
        <v>6902</v>
      </c>
    </row>
    <row r="871" spans="1:7" hidden="1">
      <c r="A871" s="865"/>
      <c r="B871" s="26" t="s">
        <v>5932</v>
      </c>
      <c r="E871" s="324" t="s">
        <v>3397</v>
      </c>
      <c r="F871" s="26">
        <v>45</v>
      </c>
      <c r="G871" s="26" t="s">
        <v>6902</v>
      </c>
    </row>
    <row r="872" spans="1:7" hidden="1">
      <c r="A872" s="865"/>
      <c r="B872" s="26" t="s">
        <v>6110</v>
      </c>
      <c r="E872" s="322" t="s">
        <v>1697</v>
      </c>
      <c r="F872" s="26">
        <v>6</v>
      </c>
      <c r="G872" s="26" t="s">
        <v>3477</v>
      </c>
    </row>
    <row r="873" spans="1:7" hidden="1">
      <c r="A873" s="865"/>
      <c r="B873" s="26" t="s">
        <v>6274</v>
      </c>
      <c r="E873" s="322" t="s">
        <v>1697</v>
      </c>
      <c r="F873" s="26">
        <v>6.5</v>
      </c>
      <c r="G873" s="26" t="s">
        <v>4665</v>
      </c>
    </row>
    <row r="874" spans="1:7" hidden="1">
      <c r="A874" s="865"/>
      <c r="B874" s="26" t="s">
        <v>3894</v>
      </c>
      <c r="E874" s="322" t="s">
        <v>1697</v>
      </c>
      <c r="F874" s="26">
        <v>6.5</v>
      </c>
      <c r="G874" s="26" t="s">
        <v>4665</v>
      </c>
    </row>
    <row r="875" spans="1:7" hidden="1">
      <c r="A875" s="865"/>
      <c r="B875" s="26" t="s">
        <v>3895</v>
      </c>
      <c r="E875" s="322"/>
    </row>
    <row r="876" spans="1:7" hidden="1">
      <c r="A876" s="865"/>
      <c r="B876" s="26" t="s">
        <v>3896</v>
      </c>
      <c r="E876" s="322" t="s">
        <v>1697</v>
      </c>
      <c r="F876" s="68">
        <v>2</v>
      </c>
      <c r="G876" s="26" t="s">
        <v>4665</v>
      </c>
    </row>
    <row r="877" spans="1:7" hidden="1">
      <c r="A877" s="865"/>
      <c r="B877" s="26" t="s">
        <v>3897</v>
      </c>
      <c r="E877" s="322" t="s">
        <v>1697</v>
      </c>
      <c r="F877" s="68">
        <v>6.5</v>
      </c>
      <c r="G877" s="26" t="s">
        <v>4665</v>
      </c>
    </row>
    <row r="878" spans="1:7" hidden="1">
      <c r="A878" s="865"/>
      <c r="B878" s="26" t="s">
        <v>3898</v>
      </c>
      <c r="E878" s="322" t="s">
        <v>1697</v>
      </c>
      <c r="F878" s="68">
        <v>2.5</v>
      </c>
      <c r="G878" s="26" t="s">
        <v>4665</v>
      </c>
    </row>
    <row r="879" spans="1:7" hidden="1">
      <c r="A879" s="865"/>
      <c r="B879" s="26" t="s">
        <v>3936</v>
      </c>
      <c r="E879" s="322" t="s">
        <v>1697</v>
      </c>
      <c r="F879" s="68">
        <v>3</v>
      </c>
      <c r="G879" s="26" t="s">
        <v>4665</v>
      </c>
    </row>
    <row r="880" spans="1:7" hidden="1">
      <c r="A880" s="865"/>
      <c r="B880" s="26" t="s">
        <v>3937</v>
      </c>
      <c r="E880" s="322" t="s">
        <v>1697</v>
      </c>
      <c r="F880" s="68">
        <v>6.5</v>
      </c>
      <c r="G880" s="26" t="s">
        <v>4665</v>
      </c>
    </row>
    <row r="881" spans="1:7" hidden="1">
      <c r="A881" s="865"/>
      <c r="B881" s="26" t="s">
        <v>6275</v>
      </c>
      <c r="E881" s="322" t="s">
        <v>1697</v>
      </c>
      <c r="F881" s="68">
        <v>4</v>
      </c>
      <c r="G881" s="26" t="s">
        <v>4665</v>
      </c>
    </row>
    <row r="882" spans="1:7" hidden="1">
      <c r="A882" s="865"/>
      <c r="B882" s="26" t="s">
        <v>7235</v>
      </c>
      <c r="E882" s="322" t="s">
        <v>1697</v>
      </c>
      <c r="F882" s="68">
        <v>7.5</v>
      </c>
      <c r="G882" s="26" t="s">
        <v>4665</v>
      </c>
    </row>
    <row r="883" spans="1:7" hidden="1">
      <c r="A883" s="865"/>
      <c r="B883" s="26" t="s">
        <v>4076</v>
      </c>
      <c r="E883" s="322" t="s">
        <v>1697</v>
      </c>
      <c r="F883" s="205">
        <f>SUM(F876:F882)</f>
        <v>32</v>
      </c>
      <c r="G883" s="26" t="s">
        <v>4665</v>
      </c>
    </row>
    <row r="884" spans="1:7" hidden="1">
      <c r="A884" s="865"/>
      <c r="B884" s="26" t="s">
        <v>4184</v>
      </c>
    </row>
    <row r="885" spans="1:7" hidden="1">
      <c r="A885" s="865"/>
      <c r="B885" s="26" t="s">
        <v>7240</v>
      </c>
      <c r="D885" s="68">
        <f>'BASIC DATA'!$D$308</f>
        <v>6254</v>
      </c>
      <c r="E885" s="315" t="s">
        <v>1698</v>
      </c>
      <c r="F885" s="68">
        <f>D885</f>
        <v>6254</v>
      </c>
    </row>
    <row r="886" spans="1:7" hidden="1">
      <c r="A886" s="865"/>
      <c r="B886" s="26" t="s">
        <v>5105</v>
      </c>
      <c r="E886" s="322" t="s">
        <v>1697</v>
      </c>
      <c r="F886" s="316">
        <v>150</v>
      </c>
      <c r="G886" s="26" t="s">
        <v>2602</v>
      </c>
    </row>
    <row r="887" spans="1:7" hidden="1">
      <c r="A887" s="865"/>
      <c r="B887" s="26" t="s">
        <v>6834</v>
      </c>
      <c r="E887" s="315" t="s">
        <v>1698</v>
      </c>
      <c r="F887" s="68">
        <f>F885/F886</f>
        <v>41.693333333333335</v>
      </c>
    </row>
    <row r="888" spans="1:7" hidden="1">
      <c r="A888" s="865"/>
      <c r="B888" s="26" t="s">
        <v>3942</v>
      </c>
      <c r="E888" s="322" t="s">
        <v>1697</v>
      </c>
      <c r="F888" s="316">
        <v>25</v>
      </c>
      <c r="G888" s="26" t="s">
        <v>42</v>
      </c>
    </row>
    <row r="889" spans="1:7" hidden="1">
      <c r="A889" s="865"/>
      <c r="B889" s="26" t="s">
        <v>7238</v>
      </c>
      <c r="D889" s="68">
        <f>'BASIC DATA'!$D$344</f>
        <v>185</v>
      </c>
      <c r="E889" s="315" t="s">
        <v>1698</v>
      </c>
      <c r="F889" s="68">
        <f>D889*F888</f>
        <v>4625</v>
      </c>
    </row>
    <row r="890" spans="1:7" hidden="1">
      <c r="A890" s="865"/>
      <c r="B890" s="26" t="s">
        <v>5152</v>
      </c>
      <c r="E890" s="322" t="s">
        <v>1697</v>
      </c>
      <c r="F890" s="316">
        <v>800</v>
      </c>
      <c r="G890" s="26" t="s">
        <v>4665</v>
      </c>
    </row>
    <row r="891" spans="1:7" hidden="1">
      <c r="A891" s="865"/>
      <c r="B891" s="26" t="s">
        <v>6372</v>
      </c>
      <c r="E891" s="315" t="s">
        <v>1698</v>
      </c>
      <c r="F891" s="68">
        <f>F889/F890</f>
        <v>5.78125</v>
      </c>
    </row>
    <row r="892" spans="1:7" hidden="1">
      <c r="A892" s="865"/>
      <c r="B892" s="26" t="s">
        <v>7239</v>
      </c>
      <c r="D892" s="68">
        <f>'BASIC DATA'!$D$360</f>
        <v>185</v>
      </c>
      <c r="E892" s="315" t="s">
        <v>1698</v>
      </c>
      <c r="F892" s="68">
        <f>D892*F888</f>
        <v>4625</v>
      </c>
    </row>
    <row r="893" spans="1:7" hidden="1">
      <c r="A893" s="865"/>
      <c r="B893" s="26" t="s">
        <v>3943</v>
      </c>
      <c r="E893" s="322" t="s">
        <v>1697</v>
      </c>
      <c r="F893" s="316">
        <v>800</v>
      </c>
      <c r="G893" s="26" t="s">
        <v>4665</v>
      </c>
    </row>
    <row r="894" spans="1:7" hidden="1">
      <c r="A894" s="865"/>
      <c r="B894" s="26" t="s">
        <v>4582</v>
      </c>
      <c r="E894" s="315" t="s">
        <v>1698</v>
      </c>
      <c r="F894" s="68">
        <f>F892/F893</f>
        <v>5.78125</v>
      </c>
    </row>
    <row r="895" spans="1:7">
      <c r="B895" s="78"/>
    </row>
    <row r="896" spans="1:7">
      <c r="B896" s="78"/>
    </row>
    <row r="897" spans="1:7">
      <c r="A897" s="822" t="s">
        <v>3984</v>
      </c>
      <c r="B897" s="78"/>
      <c r="C897" s="203" t="s">
        <v>2367</v>
      </c>
      <c r="E897" s="171" t="s">
        <v>297</v>
      </c>
      <c r="F897" s="246">
        <v>50</v>
      </c>
      <c r="G897" s="26" t="s">
        <v>3477</v>
      </c>
    </row>
    <row r="898" spans="1:7">
      <c r="B898" s="79" t="s">
        <v>2368</v>
      </c>
    </row>
    <row r="899" spans="1:7">
      <c r="B899" s="95" t="s">
        <v>2369</v>
      </c>
      <c r="C899" s="157" t="s">
        <v>4443</v>
      </c>
      <c r="D899" s="95" t="s">
        <v>2370</v>
      </c>
      <c r="E899" s="95" t="s">
        <v>1166</v>
      </c>
      <c r="F899" s="95" t="s">
        <v>2371</v>
      </c>
      <c r="G899" s="95" t="s">
        <v>2372</v>
      </c>
    </row>
    <row r="900" spans="1:7">
      <c r="B900" s="114"/>
      <c r="C900" s="154"/>
      <c r="D900" s="114"/>
      <c r="E900" s="114"/>
      <c r="F900" s="114" t="s">
        <v>3485</v>
      </c>
      <c r="G900" s="114" t="s">
        <v>3485</v>
      </c>
    </row>
    <row r="901" spans="1:7">
      <c r="B901" s="95">
        <v>1</v>
      </c>
      <c r="C901" s="135" t="s">
        <v>5830</v>
      </c>
      <c r="D901" s="95" t="s">
        <v>3478</v>
      </c>
      <c r="E901" s="190">
        <v>44</v>
      </c>
      <c r="F901" s="214">
        <f>'BASIC DATA'!$D$54</f>
        <v>70</v>
      </c>
      <c r="G901" s="190">
        <f>E901*F901</f>
        <v>3080</v>
      </c>
    </row>
    <row r="902" spans="1:7">
      <c r="B902" s="105">
        <v>2</v>
      </c>
      <c r="C902" s="135" t="s">
        <v>5831</v>
      </c>
      <c r="D902" s="105" t="s">
        <v>2059</v>
      </c>
      <c r="E902" s="190">
        <v>84</v>
      </c>
      <c r="F902" s="214">
        <f>'BASIC DATA'!$D$48</f>
        <v>20</v>
      </c>
      <c r="G902" s="190">
        <f t="shared" ref="G902:G909" si="12">E902*F902</f>
        <v>1680</v>
      </c>
    </row>
    <row r="903" spans="1:7">
      <c r="B903" s="105">
        <v>3</v>
      </c>
      <c r="C903" s="135" t="s">
        <v>4211</v>
      </c>
      <c r="D903" s="105" t="s">
        <v>2059</v>
      </c>
      <c r="E903" s="190">
        <v>10</v>
      </c>
      <c r="F903" s="214">
        <f>'BASIC DATA'!$D$49</f>
        <v>11</v>
      </c>
      <c r="G903" s="190">
        <f t="shared" si="12"/>
        <v>110</v>
      </c>
    </row>
    <row r="904" spans="1:7">
      <c r="B904" s="105">
        <v>4</v>
      </c>
      <c r="C904" s="135" t="s">
        <v>5703</v>
      </c>
      <c r="D904" s="105" t="s">
        <v>3483</v>
      </c>
      <c r="E904" s="190">
        <v>50</v>
      </c>
      <c r="F904" s="214">
        <f>'BASIC DATA'!$D$46</f>
        <v>9</v>
      </c>
      <c r="G904" s="190">
        <f t="shared" si="12"/>
        <v>450</v>
      </c>
    </row>
    <row r="905" spans="1:7">
      <c r="B905" s="105">
        <v>5</v>
      </c>
      <c r="C905" s="135" t="s">
        <v>2449</v>
      </c>
      <c r="D905" s="105" t="s">
        <v>3483</v>
      </c>
      <c r="E905" s="190">
        <v>157</v>
      </c>
      <c r="F905" s="214">
        <f>F887</f>
        <v>41.693333333333335</v>
      </c>
      <c r="G905" s="190">
        <f t="shared" si="12"/>
        <v>6545.8533333333335</v>
      </c>
    </row>
    <row r="906" spans="1:7">
      <c r="B906" s="317"/>
      <c r="C906" s="135" t="s">
        <v>5125</v>
      </c>
      <c r="D906" s="224">
        <v>0.1</v>
      </c>
      <c r="E906" s="190"/>
      <c r="F906" s="214"/>
      <c r="G906" s="190">
        <f>G905*D906</f>
        <v>654.58533333333344</v>
      </c>
    </row>
    <row r="907" spans="1:7">
      <c r="B907" s="105">
        <v>6</v>
      </c>
      <c r="C907" s="135" t="s">
        <v>1404</v>
      </c>
      <c r="D907" s="105" t="s">
        <v>2374</v>
      </c>
      <c r="E907" s="190">
        <v>26</v>
      </c>
      <c r="F907" s="214">
        <f>F891</f>
        <v>5.78125</v>
      </c>
      <c r="G907" s="190">
        <f t="shared" si="12"/>
        <v>150.3125</v>
      </c>
    </row>
    <row r="908" spans="1:7">
      <c r="B908" s="105">
        <v>7</v>
      </c>
      <c r="C908" s="135" t="s">
        <v>4479</v>
      </c>
      <c r="D908" s="105" t="s">
        <v>2374</v>
      </c>
      <c r="E908" s="190">
        <v>26</v>
      </c>
      <c r="F908" s="214">
        <f>F894</f>
        <v>5.78125</v>
      </c>
      <c r="G908" s="190">
        <f t="shared" si="12"/>
        <v>150.3125</v>
      </c>
    </row>
    <row r="909" spans="1:7">
      <c r="B909" s="114">
        <v>8</v>
      </c>
      <c r="C909" s="135" t="s">
        <v>4480</v>
      </c>
      <c r="D909" s="105" t="s">
        <v>2173</v>
      </c>
      <c r="E909" s="190">
        <v>2</v>
      </c>
      <c r="F909" s="214">
        <f>'BASIC DATA'!$D$359</f>
        <v>30</v>
      </c>
      <c r="G909" s="190">
        <f t="shared" si="12"/>
        <v>60</v>
      </c>
    </row>
    <row r="910" spans="1:7">
      <c r="B910" s="92"/>
      <c r="C910" s="193" t="s">
        <v>2376</v>
      </c>
      <c r="D910" s="159"/>
      <c r="E910" s="238"/>
      <c r="F910" s="236" t="s">
        <v>1698</v>
      </c>
      <c r="G910" s="318">
        <f>SUM(G901:G909)</f>
        <v>12881.063666666665</v>
      </c>
    </row>
    <row r="911" spans="1:7">
      <c r="B911" s="78"/>
    </row>
    <row r="912" spans="1:7">
      <c r="B912" s="79" t="s">
        <v>2377</v>
      </c>
    </row>
    <row r="913" spans="2:7">
      <c r="B913" s="95" t="s">
        <v>2369</v>
      </c>
      <c r="C913" s="157" t="s">
        <v>2378</v>
      </c>
      <c r="D913" s="95" t="s">
        <v>2370</v>
      </c>
      <c r="E913" s="95" t="s">
        <v>1166</v>
      </c>
      <c r="F913" s="95" t="s">
        <v>2371</v>
      </c>
      <c r="G913" s="95" t="s">
        <v>2372</v>
      </c>
    </row>
    <row r="914" spans="2:7">
      <c r="B914" s="114"/>
      <c r="C914" s="154"/>
      <c r="D914" s="114"/>
      <c r="E914" s="114"/>
      <c r="F914" s="114" t="s">
        <v>3485</v>
      </c>
      <c r="G914" s="114" t="s">
        <v>3485</v>
      </c>
    </row>
    <row r="915" spans="2:7">
      <c r="B915" s="95">
        <v>1</v>
      </c>
      <c r="C915" s="135" t="s">
        <v>7102</v>
      </c>
      <c r="D915" s="95" t="s">
        <v>2374</v>
      </c>
      <c r="E915" s="190">
        <v>12</v>
      </c>
      <c r="F915" s="190">
        <f>'HIRE CHARGES'!$D$524</f>
        <v>368.40000000000003</v>
      </c>
      <c r="G915" s="190">
        <f>E915*F915</f>
        <v>4420.8</v>
      </c>
    </row>
    <row r="916" spans="2:7">
      <c r="B916" s="317"/>
      <c r="C916" s="135" t="s">
        <v>2379</v>
      </c>
      <c r="D916" s="105" t="s">
        <v>2374</v>
      </c>
      <c r="E916" s="190">
        <v>12</v>
      </c>
      <c r="F916" s="190">
        <f>'HIRE CHARGES'!$E$524</f>
        <v>42.8</v>
      </c>
      <c r="G916" s="190">
        <f t="shared" ref="G916:G931" si="13">E916*F916</f>
        <v>513.59999999999991</v>
      </c>
    </row>
    <row r="917" spans="2:7">
      <c r="B917" s="105">
        <v>2</v>
      </c>
      <c r="C917" s="135" t="s">
        <v>4481</v>
      </c>
      <c r="D917" s="105" t="s">
        <v>2374</v>
      </c>
      <c r="E917" s="190">
        <v>6.5</v>
      </c>
      <c r="F917" s="190">
        <f>'HIRE CHARGES'!$D$498</f>
        <v>138.80000000000001</v>
      </c>
      <c r="G917" s="190">
        <f t="shared" si="13"/>
        <v>902.2</v>
      </c>
    </row>
    <row r="918" spans="2:7">
      <c r="B918" s="317"/>
      <c r="C918" s="135" t="s">
        <v>2379</v>
      </c>
      <c r="D918" s="105" t="s">
        <v>2374</v>
      </c>
      <c r="E918" s="190">
        <v>6.5</v>
      </c>
      <c r="F918" s="190">
        <f>'HIRE CHARGES'!$E$498</f>
        <v>700.5</v>
      </c>
      <c r="G918" s="190">
        <f t="shared" si="13"/>
        <v>4553.25</v>
      </c>
    </row>
    <row r="919" spans="2:7">
      <c r="B919" s="105">
        <v>3</v>
      </c>
      <c r="C919" s="135" t="s">
        <v>6043</v>
      </c>
      <c r="D919" s="105" t="s">
        <v>2374</v>
      </c>
      <c r="E919" s="190">
        <v>26</v>
      </c>
      <c r="F919" s="190">
        <f>'HIRE CHARGES'!$D$530</f>
        <v>19.8</v>
      </c>
      <c r="G919" s="190">
        <f t="shared" si="13"/>
        <v>514.80000000000007</v>
      </c>
    </row>
    <row r="920" spans="2:7">
      <c r="B920" s="317"/>
      <c r="C920" s="135" t="s">
        <v>2379</v>
      </c>
      <c r="D920" s="105" t="s">
        <v>2374</v>
      </c>
      <c r="E920" s="190">
        <v>26</v>
      </c>
      <c r="F920" s="190">
        <f>'HIRE CHARGES'!$E$530</f>
        <v>0</v>
      </c>
      <c r="G920" s="190">
        <f t="shared" si="13"/>
        <v>0</v>
      </c>
    </row>
    <row r="921" spans="2:7">
      <c r="B921" s="105">
        <v>4</v>
      </c>
      <c r="C921" s="135" t="s">
        <v>6061</v>
      </c>
      <c r="D921" s="105" t="s">
        <v>2374</v>
      </c>
      <c r="E921" s="190">
        <v>26</v>
      </c>
      <c r="F921" s="190">
        <f>'HIRE CHARGES'!$D$540</f>
        <v>12.7</v>
      </c>
      <c r="G921" s="190">
        <f t="shared" si="13"/>
        <v>330.2</v>
      </c>
    </row>
    <row r="922" spans="2:7">
      <c r="B922" s="317"/>
      <c r="C922" s="135" t="s">
        <v>2379</v>
      </c>
      <c r="D922" s="105" t="s">
        <v>2374</v>
      </c>
      <c r="E922" s="190">
        <v>26</v>
      </c>
      <c r="F922" s="190">
        <f>'HIRE CHARGES'!$E$540</f>
        <v>0</v>
      </c>
      <c r="G922" s="190">
        <f t="shared" si="13"/>
        <v>0</v>
      </c>
    </row>
    <row r="923" spans="2:7">
      <c r="B923" s="105">
        <v>5</v>
      </c>
      <c r="C923" s="135" t="s">
        <v>3090</v>
      </c>
      <c r="D923" s="105" t="s">
        <v>2374</v>
      </c>
      <c r="E923" s="190">
        <v>6.5</v>
      </c>
      <c r="F923" s="190">
        <f>'HIRE CHARGES'!$D$512</f>
        <v>822.8</v>
      </c>
      <c r="G923" s="190">
        <f t="shared" si="13"/>
        <v>5348.2</v>
      </c>
    </row>
    <row r="924" spans="2:7">
      <c r="B924" s="317"/>
      <c r="C924" s="135" t="s">
        <v>2379</v>
      </c>
      <c r="D924" s="105" t="s">
        <v>2374</v>
      </c>
      <c r="E924" s="190">
        <v>6.5</v>
      </c>
      <c r="F924" s="190">
        <f>'HIRE CHARGES'!$E$512</f>
        <v>195</v>
      </c>
      <c r="G924" s="190">
        <f t="shared" si="13"/>
        <v>1267.5</v>
      </c>
    </row>
    <row r="925" spans="2:7">
      <c r="B925" s="105">
        <v>6</v>
      </c>
      <c r="C925" s="135" t="s">
        <v>6588</v>
      </c>
      <c r="D925" s="105" t="s">
        <v>2374</v>
      </c>
      <c r="E925" s="190">
        <v>13</v>
      </c>
      <c r="F925" s="190">
        <f>'HIRE CHARGES'!$D$525</f>
        <v>580.69999999999993</v>
      </c>
      <c r="G925" s="190">
        <f t="shared" si="13"/>
        <v>7549.0999999999995</v>
      </c>
    </row>
    <row r="926" spans="2:7">
      <c r="B926" s="317"/>
      <c r="C926" s="135" t="s">
        <v>2379</v>
      </c>
      <c r="D926" s="105" t="s">
        <v>2374</v>
      </c>
      <c r="E926" s="190">
        <v>13</v>
      </c>
      <c r="F926" s="190">
        <f>'HIRE CHARGES'!$E$525</f>
        <v>399.9</v>
      </c>
      <c r="G926" s="190">
        <f t="shared" si="13"/>
        <v>5198.7</v>
      </c>
    </row>
    <row r="927" spans="2:7">
      <c r="B927" s="105">
        <v>7</v>
      </c>
      <c r="C927" s="135" t="s">
        <v>4484</v>
      </c>
      <c r="D927" s="105" t="s">
        <v>2374</v>
      </c>
      <c r="E927" s="190">
        <v>6.5</v>
      </c>
      <c r="F927" s="190">
        <f>'HIRE CHARGES'!$D$520</f>
        <v>6.7</v>
      </c>
      <c r="G927" s="190">
        <f t="shared" si="13"/>
        <v>43.550000000000004</v>
      </c>
    </row>
    <row r="928" spans="2:7">
      <c r="B928" s="317"/>
      <c r="C928" s="135" t="s">
        <v>2379</v>
      </c>
      <c r="D928" s="105" t="s">
        <v>2374</v>
      </c>
      <c r="E928" s="190">
        <v>6.5</v>
      </c>
      <c r="F928" s="190">
        <f>'HIRE CHARGES'!$E$520</f>
        <v>56</v>
      </c>
      <c r="G928" s="190">
        <f t="shared" si="13"/>
        <v>364</v>
      </c>
    </row>
    <row r="929" spans="2:7">
      <c r="B929" s="105">
        <v>8</v>
      </c>
      <c r="C929" s="135" t="s">
        <v>4485</v>
      </c>
      <c r="D929" s="105" t="s">
        <v>2374</v>
      </c>
      <c r="E929" s="190">
        <v>3</v>
      </c>
      <c r="F929" s="190">
        <f>'HIRE CHARGES'!$D$552</f>
        <v>11.5</v>
      </c>
      <c r="G929" s="190">
        <f t="shared" si="13"/>
        <v>34.5</v>
      </c>
    </row>
    <row r="930" spans="2:7">
      <c r="B930" s="317"/>
      <c r="C930" s="135" t="s">
        <v>2379</v>
      </c>
      <c r="D930" s="105" t="s">
        <v>2374</v>
      </c>
      <c r="E930" s="190">
        <v>3</v>
      </c>
      <c r="F930" s="190">
        <f>'HIRE CHARGES'!$E$552</f>
        <v>112.1</v>
      </c>
      <c r="G930" s="190">
        <f t="shared" si="13"/>
        <v>336.29999999999995</v>
      </c>
    </row>
    <row r="931" spans="2:7">
      <c r="B931" s="105">
        <v>9</v>
      </c>
      <c r="C931" s="135" t="s">
        <v>4486</v>
      </c>
      <c r="D931" s="105" t="s">
        <v>2173</v>
      </c>
      <c r="E931" s="190">
        <v>2</v>
      </c>
      <c r="F931" s="214">
        <f>'BASIC DATA'!$D$359</f>
        <v>30</v>
      </c>
      <c r="G931" s="190">
        <f t="shared" si="13"/>
        <v>60</v>
      </c>
    </row>
    <row r="932" spans="2:7">
      <c r="B932" s="176"/>
      <c r="C932" s="172" t="s">
        <v>2380</v>
      </c>
      <c r="D932" s="174"/>
      <c r="E932" s="192"/>
      <c r="F932" s="236" t="s">
        <v>1698</v>
      </c>
      <c r="G932" s="318">
        <f>SUM(G915:G931)</f>
        <v>31436.699999999997</v>
      </c>
    </row>
    <row r="933" spans="2:7">
      <c r="B933" s="78"/>
    </row>
    <row r="934" spans="2:7">
      <c r="B934" s="79" t="s">
        <v>2381</v>
      </c>
    </row>
    <row r="935" spans="2:7">
      <c r="B935" s="95" t="s">
        <v>2369</v>
      </c>
      <c r="C935" s="157" t="s">
        <v>2378</v>
      </c>
      <c r="D935" s="95" t="s">
        <v>2370</v>
      </c>
      <c r="E935" s="95" t="s">
        <v>1166</v>
      </c>
      <c r="F935" s="95" t="s">
        <v>2371</v>
      </c>
      <c r="G935" s="95" t="s">
        <v>2372</v>
      </c>
    </row>
    <row r="936" spans="2:7">
      <c r="B936" s="114"/>
      <c r="C936" s="154"/>
      <c r="D936" s="114"/>
      <c r="E936" s="114"/>
      <c r="F936" s="114" t="s">
        <v>3485</v>
      </c>
      <c r="G936" s="114" t="s">
        <v>3485</v>
      </c>
    </row>
    <row r="937" spans="2:7">
      <c r="B937" s="105">
        <v>1</v>
      </c>
      <c r="C937" s="76" t="s">
        <v>4487</v>
      </c>
      <c r="D937" s="105" t="s">
        <v>2374</v>
      </c>
      <c r="E937" s="207">
        <v>12</v>
      </c>
      <c r="F937" s="190">
        <f>'HIRE CHARGES'!$F$524</f>
        <v>175.8</v>
      </c>
      <c r="G937" s="190">
        <f>E937*F937</f>
        <v>2109.6000000000004</v>
      </c>
    </row>
    <row r="938" spans="2:7">
      <c r="B938" s="105">
        <v>2</v>
      </c>
      <c r="C938" s="76" t="s">
        <v>4606</v>
      </c>
      <c r="D938" s="105" t="s">
        <v>2374</v>
      </c>
      <c r="E938" s="207">
        <v>6.5</v>
      </c>
      <c r="F938" s="190">
        <f>'HIRE CHARGES'!$F$498</f>
        <v>175.8</v>
      </c>
      <c r="G938" s="190">
        <f t="shared" ref="G938:G957" si="14">E938*F938</f>
        <v>1142.7</v>
      </c>
    </row>
    <row r="939" spans="2:7">
      <c r="B939" s="105">
        <v>3</v>
      </c>
      <c r="C939" s="76" t="s">
        <v>4607</v>
      </c>
      <c r="D939" s="105" t="s">
        <v>2374</v>
      </c>
      <c r="E939" s="207">
        <v>26</v>
      </c>
      <c r="F939" s="190">
        <f>'HIRE CHARGES'!$F$530</f>
        <v>329.6</v>
      </c>
      <c r="G939" s="190">
        <f t="shared" si="14"/>
        <v>8569.6</v>
      </c>
    </row>
    <row r="940" spans="2:7">
      <c r="B940" s="105">
        <v>4</v>
      </c>
      <c r="C940" s="76" t="s">
        <v>4584</v>
      </c>
      <c r="D940" s="105" t="s">
        <v>2374</v>
      </c>
      <c r="E940" s="207">
        <v>6.5</v>
      </c>
      <c r="F940" s="190">
        <f>'HIRE CHARGES'!$F$512</f>
        <v>175.8</v>
      </c>
      <c r="G940" s="190">
        <f t="shared" si="14"/>
        <v>1142.7</v>
      </c>
    </row>
    <row r="941" spans="2:7">
      <c r="B941" s="105">
        <v>5</v>
      </c>
      <c r="C941" s="76" t="s">
        <v>4585</v>
      </c>
      <c r="D941" s="105" t="s">
        <v>2374</v>
      </c>
      <c r="E941" s="207">
        <v>13</v>
      </c>
      <c r="F941" s="190">
        <f>'HIRE CHARGES'!$F$525</f>
        <v>227.1</v>
      </c>
      <c r="G941" s="190">
        <f t="shared" si="14"/>
        <v>2952.2999999999997</v>
      </c>
    </row>
    <row r="942" spans="2:7">
      <c r="B942" s="105">
        <v>6</v>
      </c>
      <c r="C942" s="76" t="s">
        <v>999</v>
      </c>
      <c r="D942" s="105" t="s">
        <v>2374</v>
      </c>
      <c r="E942" s="207">
        <v>6.5</v>
      </c>
      <c r="F942" s="190">
        <f>'HIRE CHARGES'!$F$520</f>
        <v>83.3</v>
      </c>
      <c r="G942" s="190">
        <f t="shared" si="14"/>
        <v>541.44999999999993</v>
      </c>
    </row>
    <row r="943" spans="2:7">
      <c r="B943" s="105">
        <v>7</v>
      </c>
      <c r="C943" s="76" t="s">
        <v>6589</v>
      </c>
      <c r="D943" s="105" t="s">
        <v>2374</v>
      </c>
      <c r="E943" s="207">
        <v>3</v>
      </c>
      <c r="F943" s="190">
        <f>'HIRE CHARGES'!$F$552</f>
        <v>28.7</v>
      </c>
      <c r="G943" s="190">
        <f t="shared" si="14"/>
        <v>86.1</v>
      </c>
    </row>
    <row r="944" spans="2:7">
      <c r="B944" s="105">
        <v>8</v>
      </c>
      <c r="C944" s="76" t="s">
        <v>2446</v>
      </c>
      <c r="D944" s="105" t="s">
        <v>1172</v>
      </c>
      <c r="E944" s="207">
        <v>0.5</v>
      </c>
      <c r="F944" s="190">
        <f>'BASIC DATA'!$C$558</f>
        <v>645</v>
      </c>
      <c r="G944" s="190">
        <f t="shared" si="14"/>
        <v>322.5</v>
      </c>
    </row>
    <row r="945" spans="2:7">
      <c r="B945" s="105">
        <v>9</v>
      </c>
      <c r="C945" s="76" t="s">
        <v>2468</v>
      </c>
      <c r="D945" s="105" t="s">
        <v>1172</v>
      </c>
      <c r="E945" s="207">
        <v>1</v>
      </c>
      <c r="F945" s="190">
        <f>'BASIC DATA'!$C$471</f>
        <v>510</v>
      </c>
      <c r="G945" s="190">
        <f t="shared" si="14"/>
        <v>510</v>
      </c>
    </row>
    <row r="946" spans="2:7">
      <c r="B946" s="105">
        <v>10</v>
      </c>
      <c r="C946" s="33" t="s">
        <v>4587</v>
      </c>
      <c r="D946" s="105" t="s">
        <v>1172</v>
      </c>
      <c r="E946" s="207">
        <v>2</v>
      </c>
      <c r="F946" s="190">
        <f>'BASIC DATA'!$C$475</f>
        <v>475</v>
      </c>
      <c r="G946" s="190">
        <f t="shared" si="14"/>
        <v>950</v>
      </c>
    </row>
    <row r="947" spans="2:7">
      <c r="B947" s="105">
        <v>11</v>
      </c>
      <c r="C947" s="76" t="s">
        <v>2463</v>
      </c>
      <c r="D947" s="105" t="s">
        <v>1172</v>
      </c>
      <c r="E947" s="207">
        <v>2</v>
      </c>
      <c r="F947" s="190">
        <f>'BASIC DATA'!$C$466</f>
        <v>510</v>
      </c>
      <c r="G947" s="190">
        <f t="shared" si="14"/>
        <v>1020</v>
      </c>
    </row>
    <row r="948" spans="2:7">
      <c r="B948" s="105">
        <v>12</v>
      </c>
      <c r="C948" s="76" t="s">
        <v>5605</v>
      </c>
      <c r="D948" s="105" t="s">
        <v>1172</v>
      </c>
      <c r="E948" s="207">
        <v>4</v>
      </c>
      <c r="F948" s="190">
        <f>'BASIC DATA'!$C$520</f>
        <v>400</v>
      </c>
      <c r="G948" s="190">
        <f t="shared" si="14"/>
        <v>1600</v>
      </c>
    </row>
    <row r="949" spans="2:7">
      <c r="B949" s="105">
        <v>13</v>
      </c>
      <c r="C949" s="76" t="s">
        <v>4079</v>
      </c>
      <c r="D949" s="105" t="s">
        <v>1172</v>
      </c>
      <c r="E949" s="207">
        <v>2</v>
      </c>
      <c r="F949" s="190">
        <f>'BASIC DATA'!$C$546</f>
        <v>400</v>
      </c>
      <c r="G949" s="190">
        <f t="shared" si="14"/>
        <v>800</v>
      </c>
    </row>
    <row r="950" spans="2:7">
      <c r="B950" s="105">
        <v>14</v>
      </c>
      <c r="C950" s="76" t="s">
        <v>4207</v>
      </c>
      <c r="D950" s="105" t="s">
        <v>1172</v>
      </c>
      <c r="E950" s="207">
        <v>3</v>
      </c>
      <c r="F950" s="190">
        <f>'BASIC DATA'!$C$473</f>
        <v>450</v>
      </c>
      <c r="G950" s="190">
        <f t="shared" si="14"/>
        <v>1350</v>
      </c>
    </row>
    <row r="951" spans="2:7">
      <c r="B951" s="105">
        <v>15</v>
      </c>
      <c r="C951" s="76" t="s">
        <v>3012</v>
      </c>
      <c r="D951" s="105"/>
      <c r="E951" s="207"/>
      <c r="F951" s="190"/>
      <c r="G951" s="190"/>
    </row>
    <row r="952" spans="2:7">
      <c r="B952" s="319"/>
      <c r="C952" s="76" t="s">
        <v>6590</v>
      </c>
      <c r="D952" s="105" t="s">
        <v>1172</v>
      </c>
      <c r="E952" s="207">
        <v>4</v>
      </c>
      <c r="F952" s="190">
        <f>'BASIC DATA'!$C$500</f>
        <v>445</v>
      </c>
      <c r="G952" s="190">
        <f t="shared" si="14"/>
        <v>1780</v>
      </c>
    </row>
    <row r="953" spans="2:7">
      <c r="B953" s="319"/>
      <c r="C953" s="76" t="s">
        <v>2311</v>
      </c>
      <c r="D953" s="105" t="s">
        <v>1172</v>
      </c>
      <c r="E953" s="207">
        <v>4</v>
      </c>
      <c r="F953" s="190">
        <f>'BASIC DATA'!$C$500</f>
        <v>445</v>
      </c>
      <c r="G953" s="190">
        <f t="shared" si="14"/>
        <v>1780</v>
      </c>
    </row>
    <row r="954" spans="2:7">
      <c r="B954" s="105">
        <v>16</v>
      </c>
      <c r="C954" s="76" t="s">
        <v>2697</v>
      </c>
      <c r="D954" s="105"/>
      <c r="E954" s="207"/>
      <c r="F954" s="190"/>
      <c r="G954" s="190"/>
    </row>
    <row r="955" spans="2:7">
      <c r="B955" s="319"/>
      <c r="C955" s="76" t="s">
        <v>1026</v>
      </c>
      <c r="D955" s="105" t="s">
        <v>1172</v>
      </c>
      <c r="E955" s="207">
        <v>8</v>
      </c>
      <c r="F955" s="190">
        <f>'BASIC DATA'!$C$552</f>
        <v>350</v>
      </c>
      <c r="G955" s="190">
        <f t="shared" si="14"/>
        <v>2800</v>
      </c>
    </row>
    <row r="956" spans="2:7">
      <c r="B956" s="319"/>
      <c r="C956" s="76" t="s">
        <v>2312</v>
      </c>
      <c r="D956" s="105" t="s">
        <v>1172</v>
      </c>
      <c r="E956" s="207">
        <v>2</v>
      </c>
      <c r="F956" s="190">
        <f>'BASIC DATA'!$C$552</f>
        <v>350</v>
      </c>
      <c r="G956" s="190">
        <f t="shared" si="14"/>
        <v>700</v>
      </c>
    </row>
    <row r="957" spans="2:7">
      <c r="B957" s="319"/>
      <c r="C957" s="76" t="s">
        <v>6591</v>
      </c>
      <c r="D957" s="105" t="s">
        <v>1172</v>
      </c>
      <c r="E957" s="207">
        <v>2</v>
      </c>
      <c r="F957" s="190">
        <f>'BASIC DATA'!$C$552</f>
        <v>350</v>
      </c>
      <c r="G957" s="190">
        <f t="shared" si="14"/>
        <v>700</v>
      </c>
    </row>
    <row r="958" spans="2:7">
      <c r="B958" s="92"/>
      <c r="C958" s="193" t="s">
        <v>1174</v>
      </c>
      <c r="D958" s="159"/>
      <c r="E958" s="238"/>
      <c r="F958" s="236" t="s">
        <v>1698</v>
      </c>
      <c r="G958" s="318">
        <f>SUM(G937:G957)</f>
        <v>30856.95</v>
      </c>
    </row>
    <row r="959" spans="2:7">
      <c r="B959" s="60" t="s">
        <v>5948</v>
      </c>
      <c r="D959" s="31"/>
      <c r="E959" s="85">
        <f>ROUND(G958/F897,1)</f>
        <v>617.1</v>
      </c>
    </row>
    <row r="960" spans="2:7">
      <c r="B960" s="60" t="s">
        <v>3163</v>
      </c>
      <c r="D960" s="922">
        <f>'BASIC DATA'!$C$577</f>
        <v>0.13614999999999999</v>
      </c>
      <c r="E960" s="85">
        <f>ROUND(E959*D960,1)</f>
        <v>84</v>
      </c>
    </row>
    <row r="961" spans="1:7">
      <c r="B961" s="60" t="s">
        <v>5949</v>
      </c>
      <c r="D961" s="31"/>
      <c r="E961" s="199">
        <f>ROUND(E960+E959,1)</f>
        <v>701.1</v>
      </c>
    </row>
    <row r="962" spans="1:7"/>
    <row r="963" spans="1:7">
      <c r="B963" s="170" t="s">
        <v>1175</v>
      </c>
    </row>
    <row r="964" spans="1:7">
      <c r="B964" s="26" t="s">
        <v>1176</v>
      </c>
      <c r="F964" s="171" t="s">
        <v>1698</v>
      </c>
      <c r="G964" s="68">
        <f>G910</f>
        <v>12881.063666666665</v>
      </c>
    </row>
    <row r="965" spans="1:7">
      <c r="B965" s="26" t="s">
        <v>1186</v>
      </c>
      <c r="F965" s="171" t="s">
        <v>1698</v>
      </c>
      <c r="G965" s="68">
        <f>G932</f>
        <v>31436.699999999997</v>
      </c>
    </row>
    <row r="966" spans="1:7">
      <c r="B966" s="26" t="s">
        <v>2660</v>
      </c>
      <c r="F966" s="171" t="s">
        <v>1698</v>
      </c>
      <c r="G966" s="75">
        <f>G958</f>
        <v>30856.95</v>
      </c>
    </row>
    <row r="967" spans="1:7">
      <c r="E967" s="171"/>
      <c r="F967" s="171" t="s">
        <v>302</v>
      </c>
      <c r="G967" s="205">
        <f>SUM(G964:G966)</f>
        <v>75174.713666666663</v>
      </c>
    </row>
    <row r="968" spans="1:7">
      <c r="A968" s="853"/>
      <c r="B968" s="61" t="s">
        <v>2313</v>
      </c>
      <c r="C968" s="61"/>
      <c r="D968" s="61"/>
      <c r="E968" s="320">
        <f>'BASIC DATA'!$C$595</f>
        <v>0.01</v>
      </c>
      <c r="F968" s="222" t="s">
        <v>1698</v>
      </c>
      <c r="G968" s="321">
        <f>E968*$G$967</f>
        <v>751.74713666666662</v>
      </c>
    </row>
    <row r="969" spans="1:7">
      <c r="A969" s="853"/>
      <c r="B969" s="61" t="s">
        <v>2314</v>
      </c>
      <c r="C969" s="61"/>
      <c r="D969" s="61"/>
      <c r="E969" s="291">
        <f>'BASIC DATA'!$C$596</f>
        <v>4.4999999999999998E-2</v>
      </c>
      <c r="F969" s="222" t="s">
        <v>1698</v>
      </c>
      <c r="G969" s="321">
        <f>E969*$G$967</f>
        <v>3382.8621149999999</v>
      </c>
    </row>
    <row r="970" spans="1:7">
      <c r="A970" s="853"/>
      <c r="B970" s="61" t="s">
        <v>2315</v>
      </c>
      <c r="C970" s="61"/>
      <c r="D970" s="61"/>
      <c r="E970" s="291">
        <f>'BASIC DATA'!$C$597</f>
        <v>1.6E-2</v>
      </c>
      <c r="F970" s="222" t="s">
        <v>1698</v>
      </c>
      <c r="G970" s="321">
        <f>E970*$G$967</f>
        <v>1202.7954186666666</v>
      </c>
    </row>
    <row r="971" spans="1:7">
      <c r="A971" s="853"/>
      <c r="B971" s="61" t="s">
        <v>1259</v>
      </c>
      <c r="C971" s="61"/>
      <c r="D971" s="61"/>
      <c r="E971" s="291">
        <f>'BASIC DATA'!$C$598</f>
        <v>2.5000000000000001E-2</v>
      </c>
      <c r="F971" s="222" t="s">
        <v>1698</v>
      </c>
      <c r="G971" s="321">
        <f>E971*$G$967</f>
        <v>1879.3678416666667</v>
      </c>
    </row>
    <row r="972" spans="1:7">
      <c r="A972" s="853"/>
      <c r="B972" s="61"/>
      <c r="C972" s="61"/>
      <c r="D972" s="61"/>
      <c r="E972" s="291"/>
      <c r="F972" s="171" t="s">
        <v>302</v>
      </c>
      <c r="G972" s="205">
        <f>SUM(G967:G971)</f>
        <v>82391.486178666659</v>
      </c>
    </row>
    <row r="973" spans="1:7" ht="40.5" customHeight="1">
      <c r="B973" s="1207" t="s">
        <v>6259</v>
      </c>
      <c r="C973" s="1207"/>
      <c r="D973" s="1207"/>
      <c r="E973" s="922">
        <f>'BASIC DATA'!$C$577</f>
        <v>0.13614999999999999</v>
      </c>
      <c r="F973" s="171" t="s">
        <v>1698</v>
      </c>
      <c r="G973" s="75">
        <f>G972*E973</f>
        <v>11217.600843225466</v>
      </c>
    </row>
    <row r="974" spans="1:7">
      <c r="B974" s="26" t="s">
        <v>1191</v>
      </c>
      <c r="D974" s="68">
        <f>F897</f>
        <v>50</v>
      </c>
      <c r="E974" s="68" t="str">
        <f>G897</f>
        <v>cum</v>
      </c>
      <c r="F974" s="171" t="s">
        <v>1698</v>
      </c>
      <c r="G974" s="211">
        <f>G973+G972</f>
        <v>93609.087021892119</v>
      </c>
    </row>
    <row r="975" spans="1:7">
      <c r="B975" s="170" t="s">
        <v>3884</v>
      </c>
      <c r="C975" s="170" t="str">
        <f>E974</f>
        <v>cum</v>
      </c>
      <c r="D975" s="26" t="s">
        <v>6567</v>
      </c>
      <c r="F975" s="171" t="s">
        <v>1698</v>
      </c>
      <c r="G975" s="211">
        <f>ROUND(G974/D974,1)</f>
        <v>1872.2</v>
      </c>
    </row>
    <row r="976" spans="1:7">
      <c r="B976" s="78"/>
    </row>
    <row r="977" spans="1:7">
      <c r="B977" s="325" t="s">
        <v>1237</v>
      </c>
      <c r="C977" s="26" t="s">
        <v>6134</v>
      </c>
    </row>
    <row r="978" spans="1:7" ht="18.75">
      <c r="B978" s="78"/>
      <c r="C978" s="26" t="s">
        <v>8588</v>
      </c>
    </row>
    <row r="979" spans="1:7">
      <c r="B979" s="78"/>
    </row>
    <row r="980" spans="1:7">
      <c r="B980" s="78"/>
    </row>
    <row r="981" spans="1:7">
      <c r="A981" s="822" t="s">
        <v>7393</v>
      </c>
      <c r="B981" s="26" t="s">
        <v>8589</v>
      </c>
    </row>
    <row r="982" spans="1:7">
      <c r="A982" s="865"/>
      <c r="B982" s="26" t="s">
        <v>5590</v>
      </c>
    </row>
    <row r="983" spans="1:7">
      <c r="A983" s="865"/>
      <c r="B983" s="26" t="s">
        <v>4963</v>
      </c>
    </row>
    <row r="984" spans="1:7">
      <c r="A984" s="865"/>
      <c r="B984" s="26" t="s">
        <v>8590</v>
      </c>
    </row>
    <row r="985" spans="1:7" ht="18.75">
      <c r="A985" s="865"/>
      <c r="B985" s="170" t="s">
        <v>8591</v>
      </c>
    </row>
    <row r="986" spans="1:7">
      <c r="A986" s="865"/>
    </row>
    <row r="987" spans="1:7" hidden="1">
      <c r="A987" s="865" t="s">
        <v>3984</v>
      </c>
      <c r="B987" s="26" t="s">
        <v>1214</v>
      </c>
      <c r="E987" s="322" t="s">
        <v>1697</v>
      </c>
      <c r="F987" s="26">
        <v>100</v>
      </c>
      <c r="G987" s="26" t="s">
        <v>3477</v>
      </c>
    </row>
    <row r="988" spans="1:7" hidden="1">
      <c r="A988" s="865"/>
      <c r="B988" s="26" t="s">
        <v>3236</v>
      </c>
      <c r="E988" s="322" t="s">
        <v>1697</v>
      </c>
      <c r="F988" s="26">
        <v>1000</v>
      </c>
      <c r="G988" s="26" t="s">
        <v>2602</v>
      </c>
    </row>
    <row r="989" spans="1:7" hidden="1">
      <c r="A989" s="865"/>
      <c r="B989" s="26" t="s">
        <v>6112</v>
      </c>
      <c r="E989" s="322" t="s">
        <v>1697</v>
      </c>
      <c r="F989" s="26">
        <v>500</v>
      </c>
      <c r="G989" s="26" t="s">
        <v>2602</v>
      </c>
    </row>
    <row r="990" spans="1:7" hidden="1">
      <c r="A990" s="865"/>
      <c r="B990" s="26" t="s">
        <v>6113</v>
      </c>
      <c r="E990" s="322" t="s">
        <v>1697</v>
      </c>
      <c r="F990" s="26" t="s">
        <v>1215</v>
      </c>
    </row>
    <row r="991" spans="1:7" hidden="1">
      <c r="A991" s="865"/>
      <c r="B991" s="26" t="s">
        <v>1216</v>
      </c>
      <c r="E991" s="322" t="s">
        <v>1697</v>
      </c>
      <c r="F991" s="26">
        <v>20</v>
      </c>
      <c r="G991" s="26" t="s">
        <v>3477</v>
      </c>
    </row>
    <row r="992" spans="1:7" hidden="1">
      <c r="A992" s="865"/>
      <c r="B992" s="26" t="s">
        <v>3209</v>
      </c>
      <c r="E992" s="322" t="s">
        <v>1697</v>
      </c>
      <c r="F992" s="26">
        <v>15</v>
      </c>
      <c r="G992" s="26" t="s">
        <v>2602</v>
      </c>
    </row>
    <row r="993" spans="1:7" hidden="1">
      <c r="A993" s="865"/>
      <c r="B993" s="26" t="s">
        <v>3210</v>
      </c>
    </row>
    <row r="994" spans="1:7" hidden="1">
      <c r="A994" s="865"/>
      <c r="B994" s="26" t="s">
        <v>3211</v>
      </c>
    </row>
    <row r="995" spans="1:7" hidden="1">
      <c r="A995" s="865"/>
      <c r="B995" s="26" t="s">
        <v>7241</v>
      </c>
      <c r="D995" s="68">
        <f>'BASIC DATA'!$D$307</f>
        <v>4028</v>
      </c>
      <c r="E995" s="315" t="s">
        <v>1698</v>
      </c>
      <c r="F995" s="68">
        <f>D995</f>
        <v>4028</v>
      </c>
    </row>
    <row r="996" spans="1:7" hidden="1">
      <c r="A996" s="865"/>
      <c r="B996" s="26" t="s">
        <v>5105</v>
      </c>
      <c r="E996" s="322" t="s">
        <v>1697</v>
      </c>
      <c r="F996" s="316">
        <v>150</v>
      </c>
      <c r="G996" s="26" t="s">
        <v>2602</v>
      </c>
    </row>
    <row r="997" spans="1:7" hidden="1">
      <c r="A997" s="865"/>
      <c r="B997" s="26" t="s">
        <v>6834</v>
      </c>
      <c r="E997" s="315" t="s">
        <v>1698</v>
      </c>
      <c r="F997" s="68">
        <f>F995/F996</f>
        <v>26.853333333333332</v>
      </c>
    </row>
    <row r="998" spans="1:7" hidden="1">
      <c r="A998" s="865"/>
      <c r="B998" s="26" t="s">
        <v>3942</v>
      </c>
      <c r="D998" s="26" t="s">
        <v>4935</v>
      </c>
      <c r="E998" s="322" t="s">
        <v>1697</v>
      </c>
      <c r="F998" s="316">
        <v>25</v>
      </c>
      <c r="G998" s="26" t="s">
        <v>2602</v>
      </c>
    </row>
    <row r="999" spans="1:7" hidden="1">
      <c r="A999" s="865"/>
      <c r="B999" s="26" t="s">
        <v>7238</v>
      </c>
      <c r="D999" s="68">
        <f>'BASIC DATA'!$D$344</f>
        <v>185</v>
      </c>
      <c r="E999" s="315" t="s">
        <v>1698</v>
      </c>
      <c r="F999" s="68">
        <f>D999*F998</f>
        <v>4625</v>
      </c>
    </row>
    <row r="1000" spans="1:7" hidden="1">
      <c r="A1000" s="865"/>
      <c r="B1000" s="26" t="s">
        <v>5152</v>
      </c>
      <c r="E1000" s="322" t="s">
        <v>1697</v>
      </c>
      <c r="F1000" s="316">
        <v>800</v>
      </c>
      <c r="G1000" s="26" t="s">
        <v>4665</v>
      </c>
    </row>
    <row r="1001" spans="1:7" hidden="1">
      <c r="A1001" s="865"/>
      <c r="B1001" s="26" t="s">
        <v>6372</v>
      </c>
      <c r="E1001" s="315" t="s">
        <v>1698</v>
      </c>
      <c r="F1001" s="68">
        <f>F999/F1000</f>
        <v>5.78125</v>
      </c>
    </row>
    <row r="1002" spans="1:7" hidden="1">
      <c r="A1002" s="865"/>
      <c r="B1002" s="26" t="s">
        <v>7239</v>
      </c>
      <c r="D1002" s="68">
        <f>'BASIC DATA'!$D$360</f>
        <v>185</v>
      </c>
      <c r="E1002" s="315" t="s">
        <v>1698</v>
      </c>
      <c r="F1002" s="68">
        <f>D1002*F998</f>
        <v>4625</v>
      </c>
    </row>
    <row r="1003" spans="1:7" hidden="1">
      <c r="A1003" s="865"/>
      <c r="B1003" s="26" t="s">
        <v>3943</v>
      </c>
      <c r="E1003" s="322" t="s">
        <v>1697</v>
      </c>
      <c r="F1003" s="316">
        <v>800</v>
      </c>
      <c r="G1003" s="26" t="s">
        <v>4665</v>
      </c>
    </row>
    <row r="1004" spans="1:7" hidden="1">
      <c r="A1004" s="865"/>
      <c r="B1004" s="26" t="s">
        <v>4582</v>
      </c>
      <c r="E1004" s="315" t="s">
        <v>1698</v>
      </c>
      <c r="F1004" s="68">
        <f>F1002/F1003</f>
        <v>5.78125</v>
      </c>
    </row>
    <row r="1005" spans="1:7" hidden="1">
      <c r="A1005" s="865"/>
      <c r="B1005" s="26" t="s">
        <v>3212</v>
      </c>
      <c r="E1005" s="322" t="s">
        <v>1697</v>
      </c>
      <c r="F1005" s="316">
        <v>8</v>
      </c>
      <c r="G1005" s="26" t="s">
        <v>3478</v>
      </c>
    </row>
    <row r="1006" spans="1:7" hidden="1">
      <c r="A1006" s="865"/>
      <c r="B1006" s="26" t="s">
        <v>2143</v>
      </c>
      <c r="E1006" s="322" t="s">
        <v>1697</v>
      </c>
      <c r="F1006" s="316">
        <v>30</v>
      </c>
      <c r="G1006" s="26" t="s">
        <v>2059</v>
      </c>
    </row>
    <row r="1007" spans="1:7" hidden="1">
      <c r="A1007" s="865"/>
      <c r="B1007" s="26" t="s">
        <v>2144</v>
      </c>
      <c r="E1007" s="322" t="s">
        <v>1697</v>
      </c>
      <c r="F1007" s="316">
        <v>20</v>
      </c>
      <c r="G1007" s="26" t="s">
        <v>3483</v>
      </c>
    </row>
    <row r="1008" spans="1:7" hidden="1">
      <c r="A1008" s="865"/>
      <c r="B1008" s="26" t="s">
        <v>2146</v>
      </c>
      <c r="E1008" s="322" t="s">
        <v>1697</v>
      </c>
      <c r="F1008" s="316">
        <v>6</v>
      </c>
      <c r="G1008" s="26" t="s">
        <v>4665</v>
      </c>
    </row>
    <row r="1009" spans="1:7" hidden="1">
      <c r="A1009" s="865"/>
      <c r="B1009" s="26" t="s">
        <v>2147</v>
      </c>
      <c r="E1009" s="322" t="s">
        <v>1697</v>
      </c>
      <c r="F1009" s="316">
        <v>6</v>
      </c>
      <c r="G1009" s="26" t="s">
        <v>4665</v>
      </c>
    </row>
    <row r="1010" spans="1:7">
      <c r="B1010" s="78"/>
    </row>
    <row r="1011" spans="1:7">
      <c r="A1011" s="822" t="s">
        <v>1907</v>
      </c>
      <c r="B1011" s="78"/>
      <c r="C1011" s="203" t="s">
        <v>2367</v>
      </c>
      <c r="E1011" s="171" t="s">
        <v>297</v>
      </c>
      <c r="F1011" s="246">
        <v>100</v>
      </c>
      <c r="G1011" s="26" t="s">
        <v>3477</v>
      </c>
    </row>
    <row r="1012" spans="1:7">
      <c r="B1012" s="79" t="s">
        <v>2368</v>
      </c>
    </row>
    <row r="1013" spans="1:7">
      <c r="B1013" s="95" t="s">
        <v>2369</v>
      </c>
      <c r="C1013" s="157" t="s">
        <v>4443</v>
      </c>
      <c r="D1013" s="95" t="s">
        <v>2370</v>
      </c>
      <c r="E1013" s="95" t="s">
        <v>1166</v>
      </c>
      <c r="F1013" s="95" t="s">
        <v>2371</v>
      </c>
      <c r="G1013" s="95" t="s">
        <v>2372</v>
      </c>
    </row>
    <row r="1014" spans="1:7">
      <c r="B1014" s="114"/>
      <c r="C1014" s="154"/>
      <c r="D1014" s="114"/>
      <c r="E1014" s="114"/>
      <c r="F1014" s="114" t="s">
        <v>3485</v>
      </c>
      <c r="G1014" s="114" t="s">
        <v>3485</v>
      </c>
    </row>
    <row r="1015" spans="1:7">
      <c r="B1015" s="95">
        <v>1</v>
      </c>
      <c r="C1015" s="135" t="s">
        <v>4212</v>
      </c>
      <c r="D1015" s="95" t="s">
        <v>3483</v>
      </c>
      <c r="E1015" s="190">
        <v>15</v>
      </c>
      <c r="F1015" s="214">
        <f>F997</f>
        <v>26.853333333333332</v>
      </c>
      <c r="G1015" s="190">
        <f>E1015*F1015</f>
        <v>402.79999999999995</v>
      </c>
    </row>
    <row r="1016" spans="1:7">
      <c r="B1016" s="317"/>
      <c r="C1016" s="135" t="s">
        <v>5125</v>
      </c>
      <c r="D1016" s="224">
        <v>0.1</v>
      </c>
      <c r="E1016" s="190"/>
      <c r="F1016" s="214"/>
      <c r="G1016" s="190">
        <f>G1015*D1016</f>
        <v>40.28</v>
      </c>
    </row>
    <row r="1017" spans="1:7">
      <c r="B1017" s="105">
        <v>2</v>
      </c>
      <c r="C1017" s="135" t="s">
        <v>2148</v>
      </c>
      <c r="D1017" s="105" t="s">
        <v>3478</v>
      </c>
      <c r="E1017" s="190">
        <v>8</v>
      </c>
      <c r="F1017" s="214">
        <f>'BASIC DATA'!$D$54</f>
        <v>70</v>
      </c>
      <c r="G1017" s="190">
        <f t="shared" ref="G1017:G1022" si="15">E1017*F1017</f>
        <v>560</v>
      </c>
    </row>
    <row r="1018" spans="1:7">
      <c r="B1018" s="105">
        <v>3</v>
      </c>
      <c r="C1018" s="135" t="s">
        <v>2149</v>
      </c>
      <c r="D1018" s="105" t="s">
        <v>4041</v>
      </c>
      <c r="E1018" s="190">
        <v>30</v>
      </c>
      <c r="F1018" s="214">
        <f>'BASIC DATA'!$D$49</f>
        <v>11</v>
      </c>
      <c r="G1018" s="190">
        <f t="shared" si="15"/>
        <v>330</v>
      </c>
    </row>
    <row r="1019" spans="1:7">
      <c r="B1019" s="105">
        <v>4</v>
      </c>
      <c r="C1019" s="135" t="s">
        <v>5703</v>
      </c>
      <c r="D1019" s="105" t="s">
        <v>3483</v>
      </c>
      <c r="E1019" s="190">
        <v>20</v>
      </c>
      <c r="F1019" s="214">
        <f>'BASIC DATA'!$D$46</f>
        <v>9</v>
      </c>
      <c r="G1019" s="190">
        <f t="shared" si="15"/>
        <v>180</v>
      </c>
    </row>
    <row r="1020" spans="1:7">
      <c r="B1020" s="105">
        <v>5</v>
      </c>
      <c r="C1020" s="135" t="s">
        <v>1404</v>
      </c>
      <c r="D1020" s="105" t="s">
        <v>2374</v>
      </c>
      <c r="E1020" s="190">
        <v>4</v>
      </c>
      <c r="F1020" s="214">
        <f>F1001</f>
        <v>5.78125</v>
      </c>
      <c r="G1020" s="190">
        <f t="shared" si="15"/>
        <v>23.125</v>
      </c>
    </row>
    <row r="1021" spans="1:7">
      <c r="B1021" s="105">
        <v>6</v>
      </c>
      <c r="C1021" s="135" t="s">
        <v>4479</v>
      </c>
      <c r="D1021" s="105" t="s">
        <v>2374</v>
      </c>
      <c r="E1021" s="190">
        <v>4</v>
      </c>
      <c r="F1021" s="214">
        <f>F1004</f>
        <v>5.78125</v>
      </c>
      <c r="G1021" s="190">
        <f t="shared" si="15"/>
        <v>23.125</v>
      </c>
    </row>
    <row r="1022" spans="1:7">
      <c r="B1022" s="114">
        <v>7</v>
      </c>
      <c r="C1022" s="135" t="s">
        <v>2373</v>
      </c>
      <c r="D1022" s="105" t="s">
        <v>2173</v>
      </c>
      <c r="E1022" s="190">
        <v>1</v>
      </c>
      <c r="F1022" s="214">
        <f>'BASIC DATA'!$D$359</f>
        <v>30</v>
      </c>
      <c r="G1022" s="190">
        <f t="shared" si="15"/>
        <v>30</v>
      </c>
    </row>
    <row r="1023" spans="1:7">
      <c r="B1023" s="92"/>
      <c r="C1023" s="193" t="s">
        <v>2376</v>
      </c>
      <c r="D1023" s="159"/>
      <c r="E1023" s="238"/>
      <c r="F1023" s="236" t="s">
        <v>1698</v>
      </c>
      <c r="G1023" s="318">
        <f>SUM(G1015:G1022)</f>
        <v>1589.33</v>
      </c>
    </row>
    <row r="1024" spans="1:7">
      <c r="B1024" s="78"/>
    </row>
    <row r="1025" spans="2:7">
      <c r="B1025" s="79" t="s">
        <v>2377</v>
      </c>
    </row>
    <row r="1026" spans="2:7">
      <c r="B1026" s="95" t="s">
        <v>2369</v>
      </c>
      <c r="C1026" s="157" t="s">
        <v>2378</v>
      </c>
      <c r="D1026" s="95" t="s">
        <v>2370</v>
      </c>
      <c r="E1026" s="95" t="s">
        <v>1166</v>
      </c>
      <c r="F1026" s="95" t="s">
        <v>2371</v>
      </c>
      <c r="G1026" s="95" t="s">
        <v>2372</v>
      </c>
    </row>
    <row r="1027" spans="2:7">
      <c r="B1027" s="114"/>
      <c r="C1027" s="154"/>
      <c r="D1027" s="114"/>
      <c r="E1027" s="114"/>
      <c r="F1027" s="114" t="s">
        <v>3485</v>
      </c>
      <c r="G1027" s="114" t="s">
        <v>3485</v>
      </c>
    </row>
    <row r="1028" spans="2:7">
      <c r="B1028" s="95">
        <v>1</v>
      </c>
      <c r="C1028" s="135" t="s">
        <v>4481</v>
      </c>
      <c r="D1028" s="95" t="s">
        <v>2374</v>
      </c>
      <c r="E1028" s="190">
        <v>1</v>
      </c>
      <c r="F1028" s="190">
        <f>'HIRE CHARGES'!$D$498</f>
        <v>138.80000000000001</v>
      </c>
      <c r="G1028" s="190">
        <f>E1028*F1028</f>
        <v>138.80000000000001</v>
      </c>
    </row>
    <row r="1029" spans="2:7">
      <c r="B1029" s="317"/>
      <c r="C1029" s="135" t="s">
        <v>2379</v>
      </c>
      <c r="D1029" s="105" t="s">
        <v>2374</v>
      </c>
      <c r="E1029" s="190">
        <v>1</v>
      </c>
      <c r="F1029" s="190">
        <f>'HIRE CHARGES'!$E$498</f>
        <v>700.5</v>
      </c>
      <c r="G1029" s="190">
        <f t="shared" ref="G1029:G1038" si="16">E1029*F1029</f>
        <v>700.5</v>
      </c>
    </row>
    <row r="1030" spans="2:7">
      <c r="B1030" s="105">
        <v>2</v>
      </c>
      <c r="C1030" s="135" t="s">
        <v>6243</v>
      </c>
      <c r="D1030" s="105" t="s">
        <v>2374</v>
      </c>
      <c r="E1030" s="190">
        <v>4</v>
      </c>
      <c r="F1030" s="190">
        <f>'HIRE CHARGES'!$D$530</f>
        <v>19.8</v>
      </c>
      <c r="G1030" s="190">
        <f t="shared" si="16"/>
        <v>79.2</v>
      </c>
    </row>
    <row r="1031" spans="2:7">
      <c r="B1031" s="317"/>
      <c r="C1031" s="135" t="s">
        <v>2379</v>
      </c>
      <c r="D1031" s="105" t="s">
        <v>2374</v>
      </c>
      <c r="E1031" s="190">
        <v>4</v>
      </c>
      <c r="F1031" s="190">
        <f>'HIRE CHARGES'!$E$530</f>
        <v>0</v>
      </c>
      <c r="G1031" s="190">
        <f t="shared" si="16"/>
        <v>0</v>
      </c>
    </row>
    <row r="1032" spans="2:7">
      <c r="B1032" s="105">
        <v>3</v>
      </c>
      <c r="C1032" s="135" t="s">
        <v>4484</v>
      </c>
      <c r="D1032" s="105" t="s">
        <v>2374</v>
      </c>
      <c r="E1032" s="190">
        <v>1</v>
      </c>
      <c r="F1032" s="190">
        <f>'HIRE CHARGES'!$D$520</f>
        <v>6.7</v>
      </c>
      <c r="G1032" s="190">
        <f t="shared" si="16"/>
        <v>6.7</v>
      </c>
    </row>
    <row r="1033" spans="2:7">
      <c r="B1033" s="317"/>
      <c r="C1033" s="135" t="s">
        <v>2379</v>
      </c>
      <c r="D1033" s="105" t="s">
        <v>2374</v>
      </c>
      <c r="E1033" s="190">
        <v>1</v>
      </c>
      <c r="F1033" s="190">
        <f>'HIRE CHARGES'!$E$520</f>
        <v>56</v>
      </c>
      <c r="G1033" s="190">
        <f t="shared" si="16"/>
        <v>56</v>
      </c>
    </row>
    <row r="1034" spans="2:7">
      <c r="B1034" s="105">
        <v>4</v>
      </c>
      <c r="C1034" s="135" t="s">
        <v>3090</v>
      </c>
      <c r="D1034" s="105" t="s">
        <v>2374</v>
      </c>
      <c r="E1034" s="190">
        <v>6</v>
      </c>
      <c r="F1034" s="190">
        <f>'HIRE CHARGES'!$D$512</f>
        <v>822.8</v>
      </c>
      <c r="G1034" s="190">
        <f t="shared" si="16"/>
        <v>4936.7999999999993</v>
      </c>
    </row>
    <row r="1035" spans="2:7">
      <c r="B1035" s="317"/>
      <c r="C1035" s="135" t="s">
        <v>2379</v>
      </c>
      <c r="D1035" s="105" t="s">
        <v>2374</v>
      </c>
      <c r="E1035" s="190">
        <v>6</v>
      </c>
      <c r="F1035" s="190">
        <f>'HIRE CHARGES'!$E$512</f>
        <v>195</v>
      </c>
      <c r="G1035" s="190">
        <f t="shared" si="16"/>
        <v>1170</v>
      </c>
    </row>
    <row r="1036" spans="2:7">
      <c r="B1036" s="105">
        <v>5</v>
      </c>
      <c r="C1036" s="135" t="s">
        <v>7103</v>
      </c>
      <c r="D1036" s="105" t="s">
        <v>2374</v>
      </c>
      <c r="E1036" s="190">
        <v>12</v>
      </c>
      <c r="F1036" s="190">
        <f>'HIRE CHARGES'!$D$525</f>
        <v>580.69999999999993</v>
      </c>
      <c r="G1036" s="190">
        <f t="shared" si="16"/>
        <v>6968.4</v>
      </c>
    </row>
    <row r="1037" spans="2:7">
      <c r="B1037" s="317"/>
      <c r="C1037" s="135" t="s">
        <v>2379</v>
      </c>
      <c r="D1037" s="105" t="s">
        <v>2374</v>
      </c>
      <c r="E1037" s="190">
        <v>12</v>
      </c>
      <c r="F1037" s="190">
        <f>'HIRE CHARGES'!$E$525</f>
        <v>399.9</v>
      </c>
      <c r="G1037" s="190">
        <f t="shared" si="16"/>
        <v>4798.7999999999993</v>
      </c>
    </row>
    <row r="1038" spans="2:7">
      <c r="B1038" s="105">
        <v>6</v>
      </c>
      <c r="C1038" s="135" t="s">
        <v>2373</v>
      </c>
      <c r="D1038" s="105" t="s">
        <v>2173</v>
      </c>
      <c r="E1038" s="190">
        <v>1</v>
      </c>
      <c r="F1038" s="214">
        <f>'BASIC DATA'!$D$359</f>
        <v>30</v>
      </c>
      <c r="G1038" s="190">
        <f t="shared" si="16"/>
        <v>30</v>
      </c>
    </row>
    <row r="1039" spans="2:7">
      <c r="B1039" s="176"/>
      <c r="C1039" s="172" t="s">
        <v>2380</v>
      </c>
      <c r="D1039" s="174"/>
      <c r="E1039" s="192"/>
      <c r="F1039" s="236" t="s">
        <v>1698</v>
      </c>
      <c r="G1039" s="318">
        <f>SUM(G1028:G1038)</f>
        <v>18885.199999999997</v>
      </c>
    </row>
    <row r="1040" spans="2:7">
      <c r="B1040" s="78"/>
    </row>
    <row r="1041" spans="2:7">
      <c r="B1041" s="79" t="s">
        <v>2381</v>
      </c>
    </row>
    <row r="1042" spans="2:7">
      <c r="B1042" s="95" t="s">
        <v>2369</v>
      </c>
      <c r="C1042" s="157" t="s">
        <v>2378</v>
      </c>
      <c r="D1042" s="95" t="s">
        <v>2370</v>
      </c>
      <c r="E1042" s="95" t="s">
        <v>1166</v>
      </c>
      <c r="F1042" s="95" t="s">
        <v>2371</v>
      </c>
      <c r="G1042" s="95" t="s">
        <v>2372</v>
      </c>
    </row>
    <row r="1043" spans="2:7">
      <c r="B1043" s="114"/>
      <c r="C1043" s="154"/>
      <c r="D1043" s="114"/>
      <c r="E1043" s="114"/>
      <c r="F1043" s="114" t="s">
        <v>3485</v>
      </c>
      <c r="G1043" s="114" t="s">
        <v>3485</v>
      </c>
    </row>
    <row r="1044" spans="2:7">
      <c r="B1044" s="105">
        <v>1</v>
      </c>
      <c r="C1044" s="76" t="s">
        <v>4606</v>
      </c>
      <c r="D1044" s="105" t="s">
        <v>2374</v>
      </c>
      <c r="E1044" s="207">
        <v>1</v>
      </c>
      <c r="F1044" s="190">
        <f>'HIRE CHARGES'!$F$498</f>
        <v>175.8</v>
      </c>
      <c r="G1044" s="190">
        <f>E1044*F1044</f>
        <v>175.8</v>
      </c>
    </row>
    <row r="1045" spans="2:7">
      <c r="B1045" s="105">
        <v>2</v>
      </c>
      <c r="C1045" s="76" t="s">
        <v>4607</v>
      </c>
      <c r="D1045" s="105" t="s">
        <v>2374</v>
      </c>
      <c r="E1045" s="207">
        <v>4</v>
      </c>
      <c r="F1045" s="190">
        <f>'HIRE CHARGES'!$F$530</f>
        <v>329.6</v>
      </c>
      <c r="G1045" s="190">
        <f t="shared" ref="G1045:G1051" si="17">E1045*F1045</f>
        <v>1318.4</v>
      </c>
    </row>
    <row r="1046" spans="2:7">
      <c r="B1046" s="105">
        <v>3</v>
      </c>
      <c r="C1046" s="76" t="s">
        <v>999</v>
      </c>
      <c r="D1046" s="105" t="s">
        <v>2374</v>
      </c>
      <c r="E1046" s="207">
        <v>1</v>
      </c>
      <c r="F1046" s="190">
        <f>'HIRE CHARGES'!$F$520</f>
        <v>83.3</v>
      </c>
      <c r="G1046" s="190">
        <f t="shared" si="17"/>
        <v>83.3</v>
      </c>
    </row>
    <row r="1047" spans="2:7">
      <c r="B1047" s="105">
        <v>4</v>
      </c>
      <c r="C1047" s="76" t="s">
        <v>4584</v>
      </c>
      <c r="D1047" s="105" t="s">
        <v>2374</v>
      </c>
      <c r="E1047" s="207">
        <v>6</v>
      </c>
      <c r="F1047" s="190">
        <f>'HIRE CHARGES'!$F$512</f>
        <v>175.8</v>
      </c>
      <c r="G1047" s="190">
        <f t="shared" si="17"/>
        <v>1054.8000000000002</v>
      </c>
    </row>
    <row r="1048" spans="2:7">
      <c r="B1048" s="105">
        <v>5</v>
      </c>
      <c r="C1048" s="76" t="s">
        <v>4585</v>
      </c>
      <c r="D1048" s="105" t="s">
        <v>2374</v>
      </c>
      <c r="E1048" s="207">
        <v>12</v>
      </c>
      <c r="F1048" s="190">
        <f>'HIRE CHARGES'!$F$525</f>
        <v>227.1</v>
      </c>
      <c r="G1048" s="190">
        <f t="shared" si="17"/>
        <v>2725.2</v>
      </c>
    </row>
    <row r="1049" spans="2:7">
      <c r="B1049" s="105">
        <v>6</v>
      </c>
      <c r="C1049" s="76" t="s">
        <v>2463</v>
      </c>
      <c r="D1049" s="105" t="s">
        <v>1172</v>
      </c>
      <c r="E1049" s="207">
        <v>0.5</v>
      </c>
      <c r="F1049" s="190">
        <f>'BASIC DATA'!$C$466</f>
        <v>510</v>
      </c>
      <c r="G1049" s="190">
        <f t="shared" si="17"/>
        <v>255</v>
      </c>
    </row>
    <row r="1050" spans="2:7">
      <c r="B1050" s="105">
        <v>7</v>
      </c>
      <c r="C1050" s="76" t="s">
        <v>5605</v>
      </c>
      <c r="D1050" s="105" t="s">
        <v>1172</v>
      </c>
      <c r="E1050" s="207">
        <v>0.5</v>
      </c>
      <c r="F1050" s="190">
        <f>'BASIC DATA'!$C$520</f>
        <v>400</v>
      </c>
      <c r="G1050" s="190">
        <f t="shared" si="17"/>
        <v>200</v>
      </c>
    </row>
    <row r="1051" spans="2:7">
      <c r="B1051" s="105">
        <v>8</v>
      </c>
      <c r="C1051" s="76" t="s">
        <v>2697</v>
      </c>
      <c r="D1051" s="105" t="s">
        <v>1172</v>
      </c>
      <c r="E1051" s="207">
        <v>8</v>
      </c>
      <c r="F1051" s="190">
        <f>'BASIC DATA'!$C$552</f>
        <v>350</v>
      </c>
      <c r="G1051" s="190">
        <f t="shared" si="17"/>
        <v>2800</v>
      </c>
    </row>
    <row r="1052" spans="2:7">
      <c r="B1052" s="92"/>
      <c r="C1052" s="193" t="s">
        <v>1174</v>
      </c>
      <c r="D1052" s="159"/>
      <c r="E1052" s="238"/>
      <c r="F1052" s="236" t="s">
        <v>1698</v>
      </c>
      <c r="G1052" s="318">
        <f>SUM(G1044:G1051)</f>
        <v>8612.5</v>
      </c>
    </row>
    <row r="1053" spans="2:7">
      <c r="B1053" s="60" t="s">
        <v>5948</v>
      </c>
      <c r="D1053" s="31"/>
      <c r="E1053" s="85">
        <f>ROUND(G1052/F1011,1)</f>
        <v>86.1</v>
      </c>
    </row>
    <row r="1054" spans="2:7">
      <c r="B1054" s="60" t="s">
        <v>3163</v>
      </c>
      <c r="D1054" s="922">
        <f>'BASIC DATA'!$C$577</f>
        <v>0.13614999999999999</v>
      </c>
      <c r="E1054" s="85">
        <f>ROUND(E1053*D1054,1)</f>
        <v>11.7</v>
      </c>
    </row>
    <row r="1055" spans="2:7">
      <c r="B1055" s="60" t="s">
        <v>5949</v>
      </c>
      <c r="D1055" s="31"/>
      <c r="E1055" s="199">
        <f>ROUND(E1054+E1053,1)</f>
        <v>97.8</v>
      </c>
    </row>
    <row r="1056" spans="2:7"/>
    <row r="1057" spans="1:7">
      <c r="B1057" s="170" t="s">
        <v>1175</v>
      </c>
    </row>
    <row r="1058" spans="1:7">
      <c r="B1058" s="26" t="s">
        <v>1176</v>
      </c>
      <c r="F1058" s="171" t="s">
        <v>1698</v>
      </c>
      <c r="G1058" s="68">
        <f>G1023</f>
        <v>1589.33</v>
      </c>
    </row>
    <row r="1059" spans="1:7">
      <c r="B1059" s="26" t="s">
        <v>1186</v>
      </c>
      <c r="F1059" s="171" t="s">
        <v>1698</v>
      </c>
      <c r="G1059" s="68">
        <f>G1039</f>
        <v>18885.199999999997</v>
      </c>
    </row>
    <row r="1060" spans="1:7">
      <c r="B1060" s="26" t="s">
        <v>2660</v>
      </c>
      <c r="F1060" s="171" t="s">
        <v>1698</v>
      </c>
      <c r="G1060" s="75">
        <f>G1052</f>
        <v>8612.5</v>
      </c>
    </row>
    <row r="1061" spans="1:7">
      <c r="E1061" s="171"/>
      <c r="F1061" s="171" t="s">
        <v>302</v>
      </c>
      <c r="G1061" s="205">
        <f>SUM(G1058:G1060)</f>
        <v>29087.03</v>
      </c>
    </row>
    <row r="1062" spans="1:7">
      <c r="A1062" s="853"/>
      <c r="B1062" s="61" t="s">
        <v>2313</v>
      </c>
      <c r="C1062" s="61"/>
      <c r="D1062" s="61"/>
      <c r="E1062" s="320">
        <f>'BASIC DATA'!$C$595</f>
        <v>0.01</v>
      </c>
      <c r="F1062" s="222" t="s">
        <v>1698</v>
      </c>
      <c r="G1062" s="321">
        <f>E1062*$G$1061</f>
        <v>290.87029999999999</v>
      </c>
    </row>
    <row r="1063" spans="1:7">
      <c r="A1063" s="853"/>
      <c r="B1063" s="61" t="s">
        <v>2314</v>
      </c>
      <c r="C1063" s="61"/>
      <c r="D1063" s="61"/>
      <c r="E1063" s="291">
        <f>'BASIC DATA'!$C$596</f>
        <v>4.4999999999999998E-2</v>
      </c>
      <c r="F1063" s="222" t="s">
        <v>1698</v>
      </c>
      <c r="G1063" s="321">
        <f>E1063*$G$1061</f>
        <v>1308.91635</v>
      </c>
    </row>
    <row r="1064" spans="1:7">
      <c r="A1064" s="853"/>
      <c r="B1064" s="61" t="s">
        <v>2315</v>
      </c>
      <c r="C1064" s="61"/>
      <c r="D1064" s="61"/>
      <c r="E1064" s="291">
        <f>'BASIC DATA'!$C$597</f>
        <v>1.6E-2</v>
      </c>
      <c r="F1064" s="222" t="s">
        <v>1698</v>
      </c>
      <c r="G1064" s="321">
        <f>E1064*$G$1061</f>
        <v>465.39247999999998</v>
      </c>
    </row>
    <row r="1065" spans="1:7">
      <c r="A1065" s="853"/>
      <c r="B1065" s="61" t="s">
        <v>1259</v>
      </c>
      <c r="C1065" s="61"/>
      <c r="D1065" s="61"/>
      <c r="E1065" s="291">
        <f>'BASIC DATA'!$C$598</f>
        <v>2.5000000000000001E-2</v>
      </c>
      <c r="F1065" s="222" t="s">
        <v>1698</v>
      </c>
      <c r="G1065" s="321">
        <f>E1065*$G$1061</f>
        <v>727.17574999999999</v>
      </c>
    </row>
    <row r="1066" spans="1:7">
      <c r="A1066" s="853"/>
      <c r="B1066" s="61"/>
      <c r="C1066" s="61"/>
      <c r="D1066" s="61"/>
      <c r="E1066" s="291"/>
      <c r="F1066" s="171" t="s">
        <v>302</v>
      </c>
      <c r="G1066" s="205">
        <f>SUM(G1061:G1065)</f>
        <v>31879.384879999994</v>
      </c>
    </row>
    <row r="1067" spans="1:7" ht="38.25" customHeight="1">
      <c r="B1067" s="1207" t="s">
        <v>6259</v>
      </c>
      <c r="C1067" s="1207"/>
      <c r="D1067" s="1207"/>
      <c r="E1067" s="922">
        <f>'BASIC DATA'!$C$577</f>
        <v>0.13614999999999999</v>
      </c>
      <c r="F1067" s="171" t="s">
        <v>1698</v>
      </c>
      <c r="G1067" s="75">
        <f>G1066*E1067</f>
        <v>4340.3782514119994</v>
      </c>
    </row>
    <row r="1068" spans="1:7">
      <c r="B1068" s="26" t="s">
        <v>1191</v>
      </c>
      <c r="D1068" s="68">
        <f>F1011</f>
        <v>100</v>
      </c>
      <c r="E1068" s="68" t="str">
        <f>G1011</f>
        <v>cum</v>
      </c>
      <c r="F1068" s="171" t="s">
        <v>1698</v>
      </c>
      <c r="G1068" s="211">
        <f>G1067+G1066</f>
        <v>36219.763131411994</v>
      </c>
    </row>
    <row r="1069" spans="1:7">
      <c r="B1069" s="170" t="s">
        <v>3884</v>
      </c>
      <c r="C1069" s="170" t="str">
        <f>E1068</f>
        <v>cum</v>
      </c>
      <c r="D1069" s="26" t="s">
        <v>6568</v>
      </c>
      <c r="F1069" s="171" t="s">
        <v>1698</v>
      </c>
      <c r="G1069" s="211">
        <f>ROUND(G1068/D1068,1)</f>
        <v>362.2</v>
      </c>
    </row>
    <row r="1070" spans="1:7">
      <c r="B1070" s="78"/>
    </row>
    <row r="1071" spans="1:7">
      <c r="A1071" s="865" t="s">
        <v>7407</v>
      </c>
      <c r="B1071" s="170" t="s">
        <v>1658</v>
      </c>
    </row>
    <row r="1072" spans="1:7">
      <c r="A1072" s="865"/>
    </row>
    <row r="1073" spans="1:7">
      <c r="A1073" s="822" t="s">
        <v>7394</v>
      </c>
      <c r="B1073" s="26" t="s">
        <v>8592</v>
      </c>
    </row>
    <row r="1074" spans="1:7">
      <c r="A1074" s="865"/>
      <c r="B1074" s="26" t="s">
        <v>3309</v>
      </c>
    </row>
    <row r="1075" spans="1:7">
      <c r="A1075" s="865"/>
      <c r="B1075" s="26" t="s">
        <v>3310</v>
      </c>
    </row>
    <row r="1076" spans="1:7">
      <c r="A1076" s="865"/>
    </row>
    <row r="1077" spans="1:7" hidden="1">
      <c r="A1077" s="865" t="s">
        <v>3984</v>
      </c>
      <c r="B1077" s="26" t="s">
        <v>3311</v>
      </c>
      <c r="F1077" s="322"/>
    </row>
    <row r="1078" spans="1:7" hidden="1">
      <c r="A1078" s="865"/>
      <c r="B1078" s="26" t="s">
        <v>3312</v>
      </c>
      <c r="F1078" s="322"/>
    </row>
    <row r="1079" spans="1:7" hidden="1">
      <c r="A1079" s="865"/>
      <c r="B1079" s="26" t="s">
        <v>3313</v>
      </c>
      <c r="F1079" s="322"/>
    </row>
    <row r="1080" spans="1:7" hidden="1">
      <c r="A1080" s="865"/>
      <c r="B1080" s="26" t="s">
        <v>3314</v>
      </c>
      <c r="E1080" s="322" t="s">
        <v>1697</v>
      </c>
      <c r="F1080" s="26">
        <v>14.92</v>
      </c>
      <c r="G1080" s="26" t="s">
        <v>4936</v>
      </c>
    </row>
    <row r="1081" spans="1:7" hidden="1">
      <c r="A1081" s="865"/>
      <c r="B1081" s="26" t="s">
        <v>3315</v>
      </c>
      <c r="E1081" s="322" t="s">
        <v>1697</v>
      </c>
      <c r="F1081" s="174">
        <v>0.08</v>
      </c>
      <c r="G1081" s="26" t="s">
        <v>4936</v>
      </c>
    </row>
    <row r="1082" spans="1:7" hidden="1">
      <c r="A1082" s="865"/>
      <c r="E1082" s="78" t="s">
        <v>3316</v>
      </c>
      <c r="F1082" s="68">
        <f>SUM(F1080:F1081)</f>
        <v>15</v>
      </c>
      <c r="G1082" s="26" t="s">
        <v>4936</v>
      </c>
    </row>
    <row r="1083" spans="1:7" hidden="1">
      <c r="A1083" s="865"/>
      <c r="B1083" s="26" t="s">
        <v>3262</v>
      </c>
    </row>
    <row r="1084" spans="1:7" hidden="1">
      <c r="A1084" s="865"/>
      <c r="B1084" s="26" t="s">
        <v>3570</v>
      </c>
      <c r="E1084" s="315" t="s">
        <v>1698</v>
      </c>
      <c r="F1084" s="68">
        <v>98750</v>
      </c>
    </row>
    <row r="1085" spans="1:7" hidden="1">
      <c r="A1085" s="865"/>
      <c r="B1085" s="26" t="s">
        <v>5998</v>
      </c>
      <c r="D1085" s="323">
        <v>0.05</v>
      </c>
      <c r="E1085" s="315" t="s">
        <v>1698</v>
      </c>
      <c r="F1085" s="173">
        <v>4937.5</v>
      </c>
    </row>
    <row r="1086" spans="1:7" hidden="1">
      <c r="A1086" s="865"/>
      <c r="D1086" s="171" t="s">
        <v>1518</v>
      </c>
      <c r="E1086" s="315" t="s">
        <v>1698</v>
      </c>
      <c r="F1086" s="68">
        <f>SUM(F1084:F1085)</f>
        <v>103687.5</v>
      </c>
    </row>
    <row r="1087" spans="1:7" hidden="1">
      <c r="A1087" s="865"/>
      <c r="B1087" s="26" t="s">
        <v>2496</v>
      </c>
      <c r="D1087" s="323">
        <v>0.1</v>
      </c>
      <c r="E1087" s="315" t="s">
        <v>1698</v>
      </c>
      <c r="F1087" s="173">
        <f>F1086*D1087</f>
        <v>10368.75</v>
      </c>
    </row>
    <row r="1088" spans="1:7" hidden="1">
      <c r="A1088" s="865"/>
      <c r="D1088" s="171" t="s">
        <v>1518</v>
      </c>
      <c r="E1088" s="315" t="s">
        <v>1698</v>
      </c>
      <c r="F1088" s="68">
        <f>F1086-F1087</f>
        <v>93318.75</v>
      </c>
    </row>
    <row r="1089" spans="1:7" hidden="1">
      <c r="A1089" s="865"/>
      <c r="B1089" s="26" t="s">
        <v>3571</v>
      </c>
      <c r="E1089" s="322" t="s">
        <v>1697</v>
      </c>
      <c r="F1089" s="316">
        <v>20000</v>
      </c>
      <c r="G1089" s="26" t="s">
        <v>4937</v>
      </c>
    </row>
    <row r="1090" spans="1:7" hidden="1">
      <c r="A1090" s="865"/>
      <c r="B1090" s="26" t="s">
        <v>5837</v>
      </c>
      <c r="E1090" s="315" t="s">
        <v>1698</v>
      </c>
      <c r="F1090" s="68">
        <f>F1088/F1089</f>
        <v>4.6659375000000001</v>
      </c>
    </row>
    <row r="1091" spans="1:7">
      <c r="B1091" s="78"/>
    </row>
    <row r="1092" spans="1:7">
      <c r="A1092" s="822" t="s">
        <v>1907</v>
      </c>
      <c r="B1092" s="78"/>
      <c r="C1092" s="203" t="s">
        <v>2367</v>
      </c>
      <c r="E1092" s="171" t="s">
        <v>297</v>
      </c>
      <c r="F1092" s="246">
        <v>15</v>
      </c>
      <c r="G1092" s="26" t="s">
        <v>2169</v>
      </c>
    </row>
    <row r="1093" spans="1:7">
      <c r="B1093" s="79" t="s">
        <v>2368</v>
      </c>
    </row>
    <row r="1094" spans="1:7">
      <c r="B1094" s="95" t="s">
        <v>2369</v>
      </c>
      <c r="C1094" s="157" t="s">
        <v>4443</v>
      </c>
      <c r="D1094" s="95" t="s">
        <v>2370</v>
      </c>
      <c r="E1094" s="95" t="s">
        <v>1166</v>
      </c>
      <c r="F1094" s="95" t="s">
        <v>2371</v>
      </c>
      <c r="G1094" s="95" t="s">
        <v>2372</v>
      </c>
    </row>
    <row r="1095" spans="1:7">
      <c r="B1095" s="114"/>
      <c r="C1095" s="154"/>
      <c r="D1095" s="114"/>
      <c r="E1095" s="114"/>
      <c r="F1095" s="114" t="s">
        <v>3485</v>
      </c>
      <c r="G1095" s="114" t="s">
        <v>3485</v>
      </c>
    </row>
    <row r="1096" spans="1:7">
      <c r="B1096" s="95">
        <v>1</v>
      </c>
      <c r="C1096" s="135" t="s">
        <v>5838</v>
      </c>
      <c r="D1096" s="95" t="s">
        <v>2374</v>
      </c>
      <c r="E1096" s="190">
        <v>1</v>
      </c>
      <c r="F1096" s="214">
        <f>IF(F1097=0,0,F1090)</f>
        <v>4.6659375000000001</v>
      </c>
      <c r="G1096" s="190">
        <f>E1096*F1096</f>
        <v>4.6659375000000001</v>
      </c>
    </row>
    <row r="1097" spans="1:7">
      <c r="B1097" s="114">
        <v>2</v>
      </c>
      <c r="C1097" s="135" t="s">
        <v>2373</v>
      </c>
      <c r="D1097" s="105" t="s">
        <v>2173</v>
      </c>
      <c r="E1097" s="190">
        <v>0.1</v>
      </c>
      <c r="F1097" s="214">
        <f>'BASIC DATA'!$D$359</f>
        <v>30</v>
      </c>
      <c r="G1097" s="190">
        <f>E1097*F1097</f>
        <v>3</v>
      </c>
    </row>
    <row r="1098" spans="1:7">
      <c r="B1098" s="92"/>
      <c r="C1098" s="193" t="s">
        <v>2376</v>
      </c>
      <c r="D1098" s="159"/>
      <c r="E1098" s="238"/>
      <c r="F1098" s="236" t="s">
        <v>1698</v>
      </c>
      <c r="G1098" s="318">
        <f>SUM(G1096:G1097)</f>
        <v>7.6659375000000001</v>
      </c>
    </row>
    <row r="1099" spans="1:7">
      <c r="B1099" s="78"/>
    </row>
    <row r="1100" spans="1:7">
      <c r="B1100" s="79" t="s">
        <v>2377</v>
      </c>
    </row>
    <row r="1101" spans="1:7">
      <c r="B1101" s="95" t="s">
        <v>2369</v>
      </c>
      <c r="C1101" s="157" t="s">
        <v>2378</v>
      </c>
      <c r="D1101" s="95" t="s">
        <v>2370</v>
      </c>
      <c r="E1101" s="95" t="s">
        <v>1166</v>
      </c>
      <c r="F1101" s="95" t="s">
        <v>2371</v>
      </c>
      <c r="G1101" s="95" t="s">
        <v>2372</v>
      </c>
    </row>
    <row r="1102" spans="1:7">
      <c r="B1102" s="114"/>
      <c r="C1102" s="154"/>
      <c r="D1102" s="114"/>
      <c r="E1102" s="114"/>
      <c r="F1102" s="114" t="s">
        <v>3485</v>
      </c>
      <c r="G1102" s="114" t="s">
        <v>3485</v>
      </c>
    </row>
    <row r="1103" spans="1:7">
      <c r="B1103" s="95">
        <v>1</v>
      </c>
      <c r="C1103" s="135" t="s">
        <v>5839</v>
      </c>
      <c r="D1103" s="95" t="s">
        <v>2374</v>
      </c>
      <c r="E1103" s="190">
        <v>1</v>
      </c>
      <c r="F1103" s="214">
        <f>'HIRE CHARGES'!$D$522</f>
        <v>12.3</v>
      </c>
      <c r="G1103" s="190">
        <f>E1103*F1103</f>
        <v>12.3</v>
      </c>
    </row>
    <row r="1104" spans="1:7">
      <c r="B1104" s="105">
        <v>2</v>
      </c>
      <c r="C1104" s="135" t="s">
        <v>2379</v>
      </c>
      <c r="D1104" s="105" t="s">
        <v>2374</v>
      </c>
      <c r="E1104" s="190">
        <v>1</v>
      </c>
      <c r="F1104" s="214">
        <f>'HIRE CHARGES'!$E$522</f>
        <v>112.1</v>
      </c>
      <c r="G1104" s="190">
        <f>E1104*F1104</f>
        <v>112.1</v>
      </c>
    </row>
    <row r="1105" spans="2:7">
      <c r="B1105" s="105">
        <v>3</v>
      </c>
      <c r="C1105" s="135" t="s">
        <v>5857</v>
      </c>
      <c r="D1105" s="105" t="s">
        <v>2173</v>
      </c>
      <c r="E1105" s="190">
        <v>0.1</v>
      </c>
      <c r="F1105" s="214">
        <f>'BASIC DATA'!$D$359</f>
        <v>30</v>
      </c>
      <c r="G1105" s="190">
        <f>E1105*F1105</f>
        <v>3</v>
      </c>
    </row>
    <row r="1106" spans="2:7">
      <c r="B1106" s="176"/>
      <c r="C1106" s="172" t="s">
        <v>2380</v>
      </c>
      <c r="D1106" s="174"/>
      <c r="E1106" s="192"/>
      <c r="F1106" s="236" t="s">
        <v>1698</v>
      </c>
      <c r="G1106" s="318">
        <f>SUM(G1103:G1105)</f>
        <v>127.39999999999999</v>
      </c>
    </row>
    <row r="1107" spans="2:7">
      <c r="B1107" s="78"/>
    </row>
    <row r="1108" spans="2:7">
      <c r="B1108" s="79" t="s">
        <v>2381</v>
      </c>
    </row>
    <row r="1109" spans="2:7">
      <c r="B1109" s="95" t="s">
        <v>2369</v>
      </c>
      <c r="C1109" s="157" t="s">
        <v>2378</v>
      </c>
      <c r="D1109" s="95" t="s">
        <v>2370</v>
      </c>
      <c r="E1109" s="95" t="s">
        <v>1166</v>
      </c>
      <c r="F1109" s="95" t="s">
        <v>2371</v>
      </c>
      <c r="G1109" s="95" t="s">
        <v>2372</v>
      </c>
    </row>
    <row r="1110" spans="2:7">
      <c r="B1110" s="114"/>
      <c r="C1110" s="154"/>
      <c r="D1110" s="114"/>
      <c r="E1110" s="114"/>
      <c r="F1110" s="114" t="s">
        <v>3485</v>
      </c>
      <c r="G1110" s="114" t="s">
        <v>3485</v>
      </c>
    </row>
    <row r="1111" spans="2:7">
      <c r="B1111" s="105">
        <v>1</v>
      </c>
      <c r="C1111" s="76" t="s">
        <v>5858</v>
      </c>
      <c r="D1111" s="105" t="s">
        <v>2374</v>
      </c>
      <c r="E1111" s="207">
        <v>1</v>
      </c>
      <c r="F1111" s="190">
        <f>'HIRE CHARGES'!$F$522</f>
        <v>83.3</v>
      </c>
      <c r="G1111" s="190">
        <f>E1111*F1111</f>
        <v>83.3</v>
      </c>
    </row>
    <row r="1112" spans="2:7">
      <c r="B1112" s="105">
        <v>2</v>
      </c>
      <c r="C1112" s="76" t="s">
        <v>3847</v>
      </c>
      <c r="D1112" s="105" t="s">
        <v>2173</v>
      </c>
      <c r="E1112" s="207">
        <v>0.05</v>
      </c>
      <c r="F1112" s="214">
        <f>'BASIC DATA'!$D$359</f>
        <v>30</v>
      </c>
      <c r="G1112" s="190">
        <f>E1112*F1112</f>
        <v>1.5</v>
      </c>
    </row>
    <row r="1113" spans="2:7">
      <c r="B1113" s="105">
        <v>3</v>
      </c>
      <c r="C1113" s="76" t="s">
        <v>2697</v>
      </c>
      <c r="D1113" s="105" t="s">
        <v>1172</v>
      </c>
      <c r="E1113" s="207">
        <v>0.1</v>
      </c>
      <c r="F1113" s="190">
        <f>'BASIC DATA'!$C$552</f>
        <v>350</v>
      </c>
      <c r="G1113" s="190">
        <f>E1113*F1113</f>
        <v>35</v>
      </c>
    </row>
    <row r="1114" spans="2:7">
      <c r="B1114" s="92"/>
      <c r="C1114" s="193" t="s">
        <v>1174</v>
      </c>
      <c r="D1114" s="159"/>
      <c r="E1114" s="238"/>
      <c r="F1114" s="236" t="s">
        <v>1698</v>
      </c>
      <c r="G1114" s="318">
        <f>SUM(G1111:G1113)</f>
        <v>119.8</v>
      </c>
    </row>
    <row r="1115" spans="2:7">
      <c r="B1115" s="60" t="s">
        <v>5948</v>
      </c>
      <c r="D1115" s="31"/>
      <c r="E1115" s="85">
        <f>ROUND(G1114/F1092,1)</f>
        <v>8</v>
      </c>
    </row>
    <row r="1116" spans="2:7">
      <c r="B1116" s="60" t="s">
        <v>3163</v>
      </c>
      <c r="D1116" s="922">
        <f>'BASIC DATA'!$C$577</f>
        <v>0.13614999999999999</v>
      </c>
      <c r="E1116" s="85">
        <f>ROUND(E1115*D1116,1)</f>
        <v>1.1000000000000001</v>
      </c>
    </row>
    <row r="1117" spans="2:7">
      <c r="B1117" s="60" t="s">
        <v>5949</v>
      </c>
      <c r="D1117" s="31"/>
      <c r="E1117" s="199">
        <f>ROUND(E1116+E1115,1)</f>
        <v>9.1</v>
      </c>
    </row>
    <row r="1118" spans="2:7"/>
    <row r="1119" spans="2:7">
      <c r="B1119" s="170" t="s">
        <v>1175</v>
      </c>
    </row>
    <row r="1120" spans="2:7">
      <c r="B1120" s="26" t="s">
        <v>1176</v>
      </c>
      <c r="F1120" s="171" t="s">
        <v>1698</v>
      </c>
      <c r="G1120" s="68">
        <f>G1098</f>
        <v>7.6659375000000001</v>
      </c>
    </row>
    <row r="1121" spans="1:7">
      <c r="B1121" s="26" t="s">
        <v>1186</v>
      </c>
      <c r="F1121" s="171" t="s">
        <v>1698</v>
      </c>
      <c r="G1121" s="68">
        <f>G1106</f>
        <v>127.39999999999999</v>
      </c>
    </row>
    <row r="1122" spans="1:7">
      <c r="B1122" s="26" t="s">
        <v>2660</v>
      </c>
      <c r="F1122" s="171" t="s">
        <v>1698</v>
      </c>
      <c r="G1122" s="75">
        <f>G1114</f>
        <v>119.8</v>
      </c>
    </row>
    <row r="1123" spans="1:7">
      <c r="E1123" s="171"/>
      <c r="F1123" s="171" t="s">
        <v>302</v>
      </c>
      <c r="G1123" s="205">
        <f>SUM(G1120:G1122)</f>
        <v>254.86593749999997</v>
      </c>
    </row>
    <row r="1124" spans="1:7">
      <c r="A1124" s="853"/>
      <c r="B1124" s="61" t="s">
        <v>2313</v>
      </c>
      <c r="C1124" s="61"/>
      <c r="D1124" s="61"/>
      <c r="E1124" s="320">
        <f>'BASIC DATA'!$C$595</f>
        <v>0.01</v>
      </c>
      <c r="F1124" s="222" t="s">
        <v>1698</v>
      </c>
      <c r="G1124" s="321">
        <f>E1124*$G$1123</f>
        <v>2.5486593749999997</v>
      </c>
    </row>
    <row r="1125" spans="1:7">
      <c r="A1125" s="853"/>
      <c r="B1125" s="61" t="s">
        <v>2314</v>
      </c>
      <c r="C1125" s="61"/>
      <c r="D1125" s="61"/>
      <c r="E1125" s="291">
        <f>'BASIC DATA'!$C$596</f>
        <v>4.4999999999999998E-2</v>
      </c>
      <c r="F1125" s="222" t="s">
        <v>1698</v>
      </c>
      <c r="G1125" s="321">
        <f>E1125*$G$1123</f>
        <v>11.468967187499999</v>
      </c>
    </row>
    <row r="1126" spans="1:7">
      <c r="A1126" s="853"/>
      <c r="B1126" s="61" t="s">
        <v>2315</v>
      </c>
      <c r="C1126" s="61"/>
      <c r="D1126" s="61"/>
      <c r="E1126" s="291">
        <f>'BASIC DATA'!$C$597</f>
        <v>1.6E-2</v>
      </c>
      <c r="F1126" s="222" t="s">
        <v>1698</v>
      </c>
      <c r="G1126" s="321">
        <f>E1126*$G$1123</f>
        <v>4.0778549999999996</v>
      </c>
    </row>
    <row r="1127" spans="1:7">
      <c r="A1127" s="853"/>
      <c r="B1127" s="61" t="s">
        <v>1259</v>
      </c>
      <c r="C1127" s="61"/>
      <c r="D1127" s="61"/>
      <c r="E1127" s="291">
        <f>'BASIC DATA'!$C$598</f>
        <v>2.5000000000000001E-2</v>
      </c>
      <c r="F1127" s="222" t="s">
        <v>1698</v>
      </c>
      <c r="G1127" s="321">
        <f>E1127*$G$1123</f>
        <v>6.3716484374999993</v>
      </c>
    </row>
    <row r="1128" spans="1:7">
      <c r="A1128" s="853"/>
      <c r="B1128" s="61"/>
      <c r="C1128" s="61"/>
      <c r="D1128" s="61"/>
      <c r="E1128" s="291"/>
      <c r="F1128" s="171" t="s">
        <v>302</v>
      </c>
      <c r="G1128" s="205">
        <f>SUM(G1123:G1127)</f>
        <v>279.33306749999997</v>
      </c>
    </row>
    <row r="1129" spans="1:7" ht="42" customHeight="1">
      <c r="B1129" s="1207" t="s">
        <v>6259</v>
      </c>
      <c r="C1129" s="1207"/>
      <c r="D1129" s="1207"/>
      <c r="E1129" s="922">
        <f>'BASIC DATA'!$C$577</f>
        <v>0.13614999999999999</v>
      </c>
      <c r="F1129" s="171" t="s">
        <v>1698</v>
      </c>
      <c r="G1129" s="75">
        <f>G1128*E1129</f>
        <v>38.031197140124995</v>
      </c>
    </row>
    <row r="1130" spans="1:7">
      <c r="B1130" s="26" t="s">
        <v>1191</v>
      </c>
      <c r="D1130" s="68">
        <f>F1092</f>
        <v>15</v>
      </c>
      <c r="E1130" s="68" t="str">
        <f>G1092</f>
        <v>Kwhr</v>
      </c>
      <c r="F1130" s="171" t="s">
        <v>1698</v>
      </c>
      <c r="G1130" s="211">
        <f>G1129+G1128</f>
        <v>317.36426464012499</v>
      </c>
    </row>
    <row r="1131" spans="1:7">
      <c r="B1131" s="170" t="s">
        <v>3884</v>
      </c>
      <c r="C1131" s="170" t="str">
        <f>E1130</f>
        <v>Kwhr</v>
      </c>
      <c r="D1131" s="26" t="s">
        <v>6569</v>
      </c>
      <c r="F1131" s="171" t="s">
        <v>1698</v>
      </c>
      <c r="G1131" s="211">
        <f>ROUND(G1130/D1130,1)</f>
        <v>21.2</v>
      </c>
    </row>
    <row r="1132" spans="1:7">
      <c r="B1132" s="78"/>
    </row>
    <row r="1133" spans="1:7">
      <c r="B1133" s="78"/>
    </row>
    <row r="1134" spans="1:7" ht="18.75">
      <c r="A1134" s="822" t="s">
        <v>7395</v>
      </c>
      <c r="B1134" s="26" t="s">
        <v>8593</v>
      </c>
    </row>
    <row r="1135" spans="1:7">
      <c r="A1135" s="865"/>
      <c r="B1135" s="26" t="s">
        <v>3804</v>
      </c>
    </row>
    <row r="1136" spans="1:7" ht="18.75">
      <c r="A1136" s="865"/>
      <c r="B1136" s="26" t="s">
        <v>8594</v>
      </c>
    </row>
    <row r="1137" spans="1:7">
      <c r="A1137" s="865"/>
    </row>
    <row r="1138" spans="1:7" hidden="1">
      <c r="A1138" s="865" t="s">
        <v>3984</v>
      </c>
      <c r="B1138" s="26" t="s">
        <v>5266</v>
      </c>
      <c r="E1138" s="322" t="s">
        <v>1697</v>
      </c>
      <c r="F1138" s="26">
        <v>25</v>
      </c>
      <c r="G1138" s="26" t="s">
        <v>4938</v>
      </c>
    </row>
    <row r="1139" spans="1:7" hidden="1">
      <c r="A1139" s="865"/>
      <c r="B1139" s="26" t="s">
        <v>5267</v>
      </c>
      <c r="E1139" s="322" t="s">
        <v>1697</v>
      </c>
      <c r="F1139" s="270" t="s">
        <v>32</v>
      </c>
    </row>
    <row r="1140" spans="1:7" hidden="1">
      <c r="A1140" s="865"/>
      <c r="B1140" s="26" t="s">
        <v>5268</v>
      </c>
      <c r="E1140" s="322" t="s">
        <v>1697</v>
      </c>
      <c r="F1140" s="47">
        <v>0.35</v>
      </c>
    </row>
    <row r="1141" spans="1:7" hidden="1">
      <c r="A1141" s="865"/>
      <c r="B1141" s="26" t="s">
        <v>5269</v>
      </c>
      <c r="E1141" s="322" t="s">
        <v>1697</v>
      </c>
      <c r="F1141" s="47">
        <v>2300</v>
      </c>
    </row>
    <row r="1142" spans="1:7" hidden="1">
      <c r="A1142" s="865"/>
      <c r="B1142" s="26" t="s">
        <v>5270</v>
      </c>
      <c r="E1142" s="322" t="s">
        <v>1697</v>
      </c>
      <c r="F1142" s="26">
        <v>530</v>
      </c>
      <c r="G1142" s="26" t="s">
        <v>3478</v>
      </c>
    </row>
    <row r="1143" spans="1:7" hidden="1">
      <c r="A1143" s="865"/>
      <c r="B1143" s="26" t="s">
        <v>5271</v>
      </c>
      <c r="E1143" s="322" t="s">
        <v>1697</v>
      </c>
      <c r="F1143" s="26">
        <v>0.96</v>
      </c>
      <c r="G1143" s="26" t="s">
        <v>3477</v>
      </c>
    </row>
    <row r="1144" spans="1:7" hidden="1">
      <c r="A1144" s="865"/>
      <c r="B1144" s="26" t="s">
        <v>4696</v>
      </c>
    </row>
    <row r="1145" spans="1:7" hidden="1">
      <c r="A1145" s="865"/>
      <c r="B1145" s="26" t="s">
        <v>4697</v>
      </c>
    </row>
    <row r="1146" spans="1:7" hidden="1">
      <c r="A1146" s="865"/>
      <c r="B1146" s="26" t="s">
        <v>1685</v>
      </c>
    </row>
    <row r="1147" spans="1:7" hidden="1">
      <c r="A1147" s="865"/>
      <c r="B1147" s="26" t="s">
        <v>1686</v>
      </c>
    </row>
    <row r="1148" spans="1:7" hidden="1">
      <c r="A1148" s="865"/>
      <c r="B1148" s="26" t="s">
        <v>1687</v>
      </c>
    </row>
    <row r="1149" spans="1:7" hidden="1">
      <c r="A1149" s="865"/>
      <c r="B1149" s="26" t="s">
        <v>1688</v>
      </c>
    </row>
    <row r="1150" spans="1:7" hidden="1">
      <c r="A1150" s="865"/>
      <c r="B1150" s="26" t="s">
        <v>674</v>
      </c>
      <c r="E1150" s="322" t="s">
        <v>1697</v>
      </c>
      <c r="F1150" s="26">
        <v>1.08</v>
      </c>
      <c r="G1150" s="26" t="s">
        <v>3477</v>
      </c>
    </row>
    <row r="1151" spans="1:7" hidden="1">
      <c r="A1151" s="865"/>
      <c r="B1151" s="26" t="s">
        <v>675</v>
      </c>
      <c r="E1151" s="322" t="s">
        <v>1697</v>
      </c>
      <c r="F1151" s="174">
        <v>0.05</v>
      </c>
      <c r="G1151" s="26" t="s">
        <v>3477</v>
      </c>
    </row>
    <row r="1152" spans="1:7" hidden="1">
      <c r="A1152" s="865"/>
      <c r="B1152" s="26" t="s">
        <v>5272</v>
      </c>
      <c r="E1152" s="322" t="s">
        <v>1697</v>
      </c>
      <c r="F1152" s="26">
        <f>SUM(F1150:F1151)</f>
        <v>1.1300000000000001</v>
      </c>
      <c r="G1152" s="26" t="s">
        <v>3477</v>
      </c>
    </row>
    <row r="1153" spans="1:7" hidden="1">
      <c r="A1153" s="865"/>
      <c r="B1153" s="26" t="s">
        <v>5869</v>
      </c>
      <c r="E1153" s="322" t="s">
        <v>1697</v>
      </c>
      <c r="F1153" s="26">
        <v>600</v>
      </c>
      <c r="G1153" s="26" t="s">
        <v>3478</v>
      </c>
    </row>
    <row r="1154" spans="1:7" hidden="1">
      <c r="A1154" s="865"/>
      <c r="B1154" s="26" t="s">
        <v>4009</v>
      </c>
      <c r="E1154" s="322" t="s">
        <v>1697</v>
      </c>
      <c r="F1154" s="26">
        <v>1.1000000000000001</v>
      </c>
      <c r="G1154" s="26" t="s">
        <v>3477</v>
      </c>
    </row>
    <row r="1155" spans="1:7" hidden="1">
      <c r="A1155" s="865"/>
      <c r="B1155" s="26" t="s">
        <v>5273</v>
      </c>
    </row>
    <row r="1156" spans="1:7" hidden="1">
      <c r="A1156" s="865"/>
      <c r="B1156" s="26" t="s">
        <v>2958</v>
      </c>
    </row>
    <row r="1157" spans="1:7" hidden="1">
      <c r="A1157" s="865"/>
      <c r="B1157" s="26" t="s">
        <v>3920</v>
      </c>
    </row>
    <row r="1158" spans="1:7" hidden="1">
      <c r="A1158" s="865"/>
      <c r="B1158" s="26" t="s">
        <v>2366</v>
      </c>
    </row>
    <row r="1159" spans="1:7" hidden="1">
      <c r="A1159" s="865"/>
      <c r="B1159" s="26" t="s">
        <v>6958</v>
      </c>
      <c r="D1159" s="68">
        <f>'BASIC DATA'!$D$344</f>
        <v>185</v>
      </c>
      <c r="E1159" s="315" t="s">
        <v>1698</v>
      </c>
      <c r="F1159" s="68">
        <f>D1159*25</f>
        <v>4625</v>
      </c>
    </row>
    <row r="1160" spans="1:7" hidden="1">
      <c r="A1160" s="865"/>
      <c r="B1160" s="26" t="s">
        <v>5599</v>
      </c>
      <c r="E1160" s="322" t="s">
        <v>1697</v>
      </c>
      <c r="F1160" s="316">
        <v>800</v>
      </c>
      <c r="G1160" s="26" t="s">
        <v>4665</v>
      </c>
    </row>
    <row r="1161" spans="1:7" hidden="1">
      <c r="A1161" s="865"/>
      <c r="B1161" s="26" t="s">
        <v>5600</v>
      </c>
      <c r="E1161" s="315" t="s">
        <v>1698</v>
      </c>
      <c r="F1161" s="68">
        <f>F1159/F1160</f>
        <v>5.78125</v>
      </c>
    </row>
    <row r="1162" spans="1:7" hidden="1">
      <c r="A1162" s="865"/>
      <c r="B1162" s="26" t="s">
        <v>5601</v>
      </c>
      <c r="D1162" s="68">
        <f>'BASIC DATA'!$D$360</f>
        <v>185</v>
      </c>
      <c r="E1162" s="315" t="s">
        <v>1698</v>
      </c>
      <c r="F1162" s="68">
        <f>D1162*25</f>
        <v>4625</v>
      </c>
    </row>
    <row r="1163" spans="1:7" hidden="1">
      <c r="A1163" s="865"/>
      <c r="B1163" s="26" t="s">
        <v>3943</v>
      </c>
      <c r="E1163" s="322" t="s">
        <v>1697</v>
      </c>
      <c r="F1163" s="316">
        <v>800</v>
      </c>
      <c r="G1163" s="26" t="s">
        <v>4665</v>
      </c>
    </row>
    <row r="1164" spans="1:7" hidden="1">
      <c r="A1164" s="865"/>
      <c r="B1164" s="26" t="s">
        <v>4582</v>
      </c>
      <c r="E1164" s="315" t="s">
        <v>1698</v>
      </c>
      <c r="F1164" s="68">
        <f>F1162/F1163</f>
        <v>5.78125</v>
      </c>
    </row>
    <row r="1165" spans="1:7" hidden="1">
      <c r="A1165" s="865"/>
      <c r="B1165" s="26" t="s">
        <v>6959</v>
      </c>
      <c r="D1165" s="68">
        <f>'BASIC DATA'!$D$309</f>
        <v>700</v>
      </c>
      <c r="E1165" s="315" t="s">
        <v>1698</v>
      </c>
      <c r="F1165" s="68">
        <f>D1165</f>
        <v>700</v>
      </c>
    </row>
    <row r="1166" spans="1:7" hidden="1">
      <c r="A1166" s="865"/>
      <c r="B1166" s="26" t="s">
        <v>3899</v>
      </c>
      <c r="E1166" s="322" t="s">
        <v>1697</v>
      </c>
      <c r="F1166" s="316">
        <v>200</v>
      </c>
      <c r="G1166" s="26" t="s">
        <v>4665</v>
      </c>
    </row>
    <row r="1167" spans="1:7" hidden="1">
      <c r="A1167" s="865"/>
      <c r="B1167" s="26" t="s">
        <v>3900</v>
      </c>
      <c r="E1167" s="315" t="s">
        <v>1698</v>
      </c>
      <c r="F1167" s="68">
        <f>F1165/F1166</f>
        <v>3.5</v>
      </c>
    </row>
    <row r="1168" spans="1:7">
      <c r="B1168" s="78"/>
    </row>
    <row r="1169" spans="1:7">
      <c r="A1169" s="822" t="s">
        <v>3984</v>
      </c>
      <c r="B1169" s="78"/>
      <c r="C1169" s="203" t="s">
        <v>2367</v>
      </c>
      <c r="E1169" s="171" t="s">
        <v>297</v>
      </c>
      <c r="F1169" s="246">
        <v>36</v>
      </c>
      <c r="G1169" s="26" t="s">
        <v>3479</v>
      </c>
    </row>
    <row r="1170" spans="1:7">
      <c r="B1170" s="79" t="s">
        <v>2368</v>
      </c>
    </row>
    <row r="1171" spans="1:7">
      <c r="B1171" s="95" t="s">
        <v>2369</v>
      </c>
      <c r="C1171" s="157" t="s">
        <v>4443</v>
      </c>
      <c r="D1171" s="95" t="s">
        <v>2370</v>
      </c>
      <c r="E1171" s="95" t="s">
        <v>1166</v>
      </c>
      <c r="F1171" s="95" t="s">
        <v>2371</v>
      </c>
      <c r="G1171" s="95" t="s">
        <v>2372</v>
      </c>
    </row>
    <row r="1172" spans="1:7">
      <c r="B1172" s="114"/>
      <c r="C1172" s="154"/>
      <c r="D1172" s="114"/>
      <c r="E1172" s="114"/>
      <c r="F1172" s="114" t="s">
        <v>3485</v>
      </c>
      <c r="G1172" s="114" t="s">
        <v>3485</v>
      </c>
    </row>
    <row r="1173" spans="1:7">
      <c r="B1173" s="95">
        <v>1</v>
      </c>
      <c r="C1173" s="135" t="s">
        <v>6669</v>
      </c>
      <c r="D1173" s="95" t="s">
        <v>3478</v>
      </c>
      <c r="E1173" s="190">
        <f>F1153</f>
        <v>600</v>
      </c>
      <c r="F1173" s="214">
        <f>'BASIC DATA'!$D$32/1000</f>
        <v>5.35</v>
      </c>
      <c r="G1173" s="190">
        <f t="shared" ref="G1173:G1178" si="18">E1173*F1173</f>
        <v>3210</v>
      </c>
    </row>
    <row r="1174" spans="1:7">
      <c r="A1174" s="853"/>
      <c r="B1174" s="240">
        <v>2</v>
      </c>
      <c r="C1174" s="326" t="s">
        <v>6827</v>
      </c>
      <c r="D1174" s="240" t="s">
        <v>3477</v>
      </c>
      <c r="E1174" s="255">
        <f>F1154</f>
        <v>1.1000000000000001</v>
      </c>
      <c r="F1174" s="266">
        <f>'BASIC DATA'!$D$57</f>
        <v>165</v>
      </c>
      <c r="G1174" s="255">
        <f t="shared" si="18"/>
        <v>181.50000000000003</v>
      </c>
    </row>
    <row r="1175" spans="1:7">
      <c r="B1175" s="105">
        <v>3</v>
      </c>
      <c r="C1175" s="135" t="s">
        <v>2195</v>
      </c>
      <c r="D1175" s="105" t="s">
        <v>2374</v>
      </c>
      <c r="E1175" s="190">
        <v>8</v>
      </c>
      <c r="F1175" s="214">
        <f>F1161</f>
        <v>5.78125</v>
      </c>
      <c r="G1175" s="190">
        <f t="shared" si="18"/>
        <v>46.25</v>
      </c>
    </row>
    <row r="1176" spans="1:7">
      <c r="B1176" s="105">
        <v>4</v>
      </c>
      <c r="C1176" s="135" t="s">
        <v>2196</v>
      </c>
      <c r="D1176" s="105" t="s">
        <v>2374</v>
      </c>
      <c r="E1176" s="190">
        <v>8</v>
      </c>
      <c r="F1176" s="214">
        <f>F1164</f>
        <v>5.78125</v>
      </c>
      <c r="G1176" s="190">
        <f t="shared" si="18"/>
        <v>46.25</v>
      </c>
    </row>
    <row r="1177" spans="1:7">
      <c r="B1177" s="105">
        <v>5</v>
      </c>
      <c r="C1177" s="135" t="s">
        <v>2197</v>
      </c>
      <c r="D1177" s="105" t="s">
        <v>2374</v>
      </c>
      <c r="E1177" s="190">
        <v>8</v>
      </c>
      <c r="F1177" s="214">
        <f>F1167</f>
        <v>3.5</v>
      </c>
      <c r="G1177" s="190">
        <f t="shared" si="18"/>
        <v>28</v>
      </c>
    </row>
    <row r="1178" spans="1:7">
      <c r="B1178" s="114">
        <v>6</v>
      </c>
      <c r="C1178" s="135" t="s">
        <v>2373</v>
      </c>
      <c r="D1178" s="105" t="s">
        <v>2173</v>
      </c>
      <c r="E1178" s="190">
        <v>2</v>
      </c>
      <c r="F1178" s="214">
        <f>'BASIC DATA'!$D$359</f>
        <v>30</v>
      </c>
      <c r="G1178" s="190">
        <f t="shared" si="18"/>
        <v>60</v>
      </c>
    </row>
    <row r="1179" spans="1:7">
      <c r="B1179" s="92"/>
      <c r="C1179" s="193" t="s">
        <v>2376</v>
      </c>
      <c r="D1179" s="159"/>
      <c r="E1179" s="238"/>
      <c r="F1179" s="236" t="s">
        <v>1698</v>
      </c>
      <c r="G1179" s="318">
        <f>SUM(G1173:G1178)</f>
        <v>3572</v>
      </c>
    </row>
    <row r="1180" spans="1:7">
      <c r="B1180" s="78"/>
    </row>
    <row r="1181" spans="1:7">
      <c r="B1181" s="79" t="s">
        <v>2377</v>
      </c>
    </row>
    <row r="1182" spans="1:7">
      <c r="B1182" s="95" t="s">
        <v>2369</v>
      </c>
      <c r="C1182" s="157" t="s">
        <v>2378</v>
      </c>
      <c r="D1182" s="95" t="s">
        <v>2370</v>
      </c>
      <c r="E1182" s="95" t="s">
        <v>1166</v>
      </c>
      <c r="F1182" s="95" t="s">
        <v>2371</v>
      </c>
      <c r="G1182" s="95" t="s">
        <v>2372</v>
      </c>
    </row>
    <row r="1183" spans="1:7">
      <c r="B1183" s="114"/>
      <c r="C1183" s="154"/>
      <c r="D1183" s="114"/>
      <c r="E1183" s="114"/>
      <c r="F1183" s="114" t="s">
        <v>3485</v>
      </c>
      <c r="G1183" s="114" t="s">
        <v>3485</v>
      </c>
    </row>
    <row r="1184" spans="1:7">
      <c r="B1184" s="95">
        <v>1</v>
      </c>
      <c r="C1184" s="135" t="s">
        <v>384</v>
      </c>
      <c r="D1184" s="95" t="s">
        <v>2374</v>
      </c>
      <c r="E1184" s="190">
        <v>8</v>
      </c>
      <c r="F1184" s="190">
        <f>'HIRE CHARGES'!$D$528</f>
        <v>110.1</v>
      </c>
      <c r="G1184" s="190">
        <f>E1184*F1184</f>
        <v>880.8</v>
      </c>
    </row>
    <row r="1185" spans="2:7">
      <c r="B1185" s="317"/>
      <c r="C1185" s="135" t="s">
        <v>2379</v>
      </c>
      <c r="D1185" s="105" t="s">
        <v>2374</v>
      </c>
      <c r="E1185" s="190">
        <v>8</v>
      </c>
      <c r="F1185" s="190">
        <f>'HIRE CHARGES'!$E$528</f>
        <v>0</v>
      </c>
      <c r="G1185" s="190">
        <f t="shared" ref="G1185:G1192" si="19">E1185*F1185</f>
        <v>0</v>
      </c>
    </row>
    <row r="1186" spans="2:7">
      <c r="B1186" s="105">
        <v>2</v>
      </c>
      <c r="C1186" s="135" t="s">
        <v>7127</v>
      </c>
      <c r="D1186" s="105" t="s">
        <v>2374</v>
      </c>
      <c r="E1186" s="190">
        <v>8</v>
      </c>
      <c r="F1186" s="190">
        <f>'HIRE CHARGES'!$D$497</f>
        <v>170.8</v>
      </c>
      <c r="G1186" s="190">
        <f t="shared" si="19"/>
        <v>1366.4</v>
      </c>
    </row>
    <row r="1187" spans="2:7">
      <c r="B1187" s="317"/>
      <c r="C1187" s="135" t="s">
        <v>2379</v>
      </c>
      <c r="D1187" s="105" t="s">
        <v>2374</v>
      </c>
      <c r="E1187" s="190">
        <v>8</v>
      </c>
      <c r="F1187" s="190">
        <f>'HIRE CHARGES'!$E$497</f>
        <v>315.2</v>
      </c>
      <c r="G1187" s="190">
        <f t="shared" si="19"/>
        <v>2521.6</v>
      </c>
    </row>
    <row r="1188" spans="2:7">
      <c r="B1188" s="105">
        <v>3</v>
      </c>
      <c r="C1188" s="135" t="s">
        <v>4484</v>
      </c>
      <c r="D1188" s="105" t="s">
        <v>2374</v>
      </c>
      <c r="E1188" s="190">
        <v>1</v>
      </c>
      <c r="F1188" s="190">
        <f>'HIRE CHARGES'!$D$520</f>
        <v>6.7</v>
      </c>
      <c r="G1188" s="190">
        <f t="shared" si="19"/>
        <v>6.7</v>
      </c>
    </row>
    <row r="1189" spans="2:7">
      <c r="B1189" s="317"/>
      <c r="C1189" s="135" t="s">
        <v>2379</v>
      </c>
      <c r="D1189" s="105" t="s">
        <v>2374</v>
      </c>
      <c r="E1189" s="190">
        <v>1</v>
      </c>
      <c r="F1189" s="190">
        <f>'HIRE CHARGES'!$E$520</f>
        <v>56</v>
      </c>
      <c r="G1189" s="190">
        <f t="shared" si="19"/>
        <v>56</v>
      </c>
    </row>
    <row r="1190" spans="2:7">
      <c r="B1190" s="105">
        <v>4</v>
      </c>
      <c r="C1190" s="135" t="s">
        <v>7102</v>
      </c>
      <c r="D1190" s="105" t="s">
        <v>2374</v>
      </c>
      <c r="E1190" s="190">
        <v>4</v>
      </c>
      <c r="F1190" s="190">
        <f>'HIRE CHARGES'!$D$524</f>
        <v>368.40000000000003</v>
      </c>
      <c r="G1190" s="190">
        <f t="shared" si="19"/>
        <v>1473.6000000000001</v>
      </c>
    </row>
    <row r="1191" spans="2:7">
      <c r="B1191" s="317"/>
      <c r="C1191" s="135" t="s">
        <v>2379</v>
      </c>
      <c r="D1191" s="105" t="s">
        <v>2374</v>
      </c>
      <c r="E1191" s="190">
        <v>4</v>
      </c>
      <c r="F1191" s="190">
        <f>'HIRE CHARGES'!$E$524</f>
        <v>42.8</v>
      </c>
      <c r="G1191" s="190">
        <f t="shared" si="19"/>
        <v>171.2</v>
      </c>
    </row>
    <row r="1192" spans="2:7">
      <c r="B1192" s="105">
        <v>5</v>
      </c>
      <c r="C1192" s="135" t="s">
        <v>2373</v>
      </c>
      <c r="D1192" s="105" t="s">
        <v>2173</v>
      </c>
      <c r="E1192" s="190">
        <v>2</v>
      </c>
      <c r="F1192" s="214">
        <f>'BASIC DATA'!$D$359</f>
        <v>30</v>
      </c>
      <c r="G1192" s="190">
        <f t="shared" si="19"/>
        <v>60</v>
      </c>
    </row>
    <row r="1193" spans="2:7">
      <c r="B1193" s="176"/>
      <c r="C1193" s="172" t="s">
        <v>2380</v>
      </c>
      <c r="D1193" s="174"/>
      <c r="E1193" s="192"/>
      <c r="F1193" s="236" t="s">
        <v>1698</v>
      </c>
      <c r="G1193" s="318">
        <f>SUM(G1184:G1192)</f>
        <v>6536.2999999999993</v>
      </c>
    </row>
    <row r="1194" spans="2:7">
      <c r="B1194" s="78"/>
    </row>
    <row r="1195" spans="2:7">
      <c r="B1195" s="79" t="s">
        <v>2381</v>
      </c>
    </row>
    <row r="1196" spans="2:7">
      <c r="B1196" s="95" t="s">
        <v>2369</v>
      </c>
      <c r="C1196" s="157" t="s">
        <v>2378</v>
      </c>
      <c r="D1196" s="95" t="s">
        <v>2370</v>
      </c>
      <c r="E1196" s="95" t="s">
        <v>1166</v>
      </c>
      <c r="F1196" s="95" t="s">
        <v>2371</v>
      </c>
      <c r="G1196" s="95" t="s">
        <v>2372</v>
      </c>
    </row>
    <row r="1197" spans="2:7">
      <c r="B1197" s="114"/>
      <c r="C1197" s="154"/>
      <c r="D1197" s="114"/>
      <c r="E1197" s="114"/>
      <c r="F1197" s="114" t="s">
        <v>3485</v>
      </c>
      <c r="G1197" s="114" t="s">
        <v>3485</v>
      </c>
    </row>
    <row r="1198" spans="2:7">
      <c r="B1198" s="105">
        <v>1</v>
      </c>
      <c r="C1198" s="76" t="s">
        <v>7128</v>
      </c>
      <c r="D1198" s="105" t="s">
        <v>2374</v>
      </c>
      <c r="E1198" s="207">
        <v>8</v>
      </c>
      <c r="F1198" s="190">
        <f>'HIRE CHARGES'!$F$528</f>
        <v>219.7</v>
      </c>
      <c r="G1198" s="190">
        <f t="shared" ref="G1198:G1203" si="20">E1198*F1198</f>
        <v>1757.6</v>
      </c>
    </row>
    <row r="1199" spans="2:7">
      <c r="B1199" s="105">
        <v>2</v>
      </c>
      <c r="C1199" s="76" t="s">
        <v>4606</v>
      </c>
      <c r="D1199" s="105" t="s">
        <v>2374</v>
      </c>
      <c r="E1199" s="207">
        <v>8</v>
      </c>
      <c r="F1199" s="190">
        <f>'HIRE CHARGES'!$F$497</f>
        <v>164.8</v>
      </c>
      <c r="G1199" s="190">
        <f t="shared" si="20"/>
        <v>1318.4</v>
      </c>
    </row>
    <row r="1200" spans="2:7">
      <c r="B1200" s="105">
        <v>3</v>
      </c>
      <c r="C1200" s="76" t="s">
        <v>1171</v>
      </c>
      <c r="D1200" s="105" t="s">
        <v>2374</v>
      </c>
      <c r="E1200" s="207">
        <v>1</v>
      </c>
      <c r="F1200" s="190">
        <f>'HIRE CHARGES'!$F$520</f>
        <v>83.3</v>
      </c>
      <c r="G1200" s="190">
        <f t="shared" si="20"/>
        <v>83.3</v>
      </c>
    </row>
    <row r="1201" spans="1:7">
      <c r="B1201" s="105">
        <v>4</v>
      </c>
      <c r="C1201" s="76" t="s">
        <v>4487</v>
      </c>
      <c r="D1201" s="105" t="s">
        <v>2374</v>
      </c>
      <c r="E1201" s="207">
        <v>4</v>
      </c>
      <c r="F1201" s="190">
        <f>'HIRE CHARGES'!$F$524</f>
        <v>175.8</v>
      </c>
      <c r="G1201" s="190">
        <f t="shared" si="20"/>
        <v>703.2</v>
      </c>
    </row>
    <row r="1202" spans="1:7">
      <c r="B1202" s="105">
        <v>5</v>
      </c>
      <c r="C1202" s="76" t="s">
        <v>2389</v>
      </c>
      <c r="D1202" s="105" t="s">
        <v>1172</v>
      </c>
      <c r="E1202" s="207">
        <v>1</v>
      </c>
      <c r="F1202" s="190">
        <f>'BASIC DATA'!$C$474</f>
        <v>445</v>
      </c>
      <c r="G1202" s="190">
        <f t="shared" si="20"/>
        <v>445</v>
      </c>
    </row>
    <row r="1203" spans="1:7">
      <c r="B1203" s="105">
        <v>6</v>
      </c>
      <c r="C1203" s="76" t="s">
        <v>2697</v>
      </c>
      <c r="D1203" s="105" t="s">
        <v>1172</v>
      </c>
      <c r="E1203" s="207">
        <v>6</v>
      </c>
      <c r="F1203" s="190">
        <f>'BASIC DATA'!$C$552</f>
        <v>350</v>
      </c>
      <c r="G1203" s="190">
        <f t="shared" si="20"/>
        <v>2100</v>
      </c>
    </row>
    <row r="1204" spans="1:7">
      <c r="B1204" s="92"/>
      <c r="C1204" s="193" t="s">
        <v>1174</v>
      </c>
      <c r="D1204" s="159"/>
      <c r="E1204" s="238"/>
      <c r="F1204" s="236" t="s">
        <v>1698</v>
      </c>
      <c r="G1204" s="318">
        <f>SUM(G1198:G1203)</f>
        <v>6407.5</v>
      </c>
    </row>
    <row r="1205" spans="1:7">
      <c r="B1205" s="60" t="s">
        <v>5948</v>
      </c>
      <c r="D1205" s="31"/>
      <c r="E1205" s="85">
        <f>ROUND(G1204/F1169,1)</f>
        <v>178</v>
      </c>
    </row>
    <row r="1206" spans="1:7">
      <c r="B1206" s="60" t="s">
        <v>3163</v>
      </c>
      <c r="D1206" s="922">
        <f>'BASIC DATA'!$C$577</f>
        <v>0.13614999999999999</v>
      </c>
      <c r="E1206" s="85">
        <f>ROUND(E1205*D1206,1)</f>
        <v>24.2</v>
      </c>
    </row>
    <row r="1207" spans="1:7">
      <c r="B1207" s="60" t="s">
        <v>5949</v>
      </c>
      <c r="D1207" s="31"/>
      <c r="E1207" s="199">
        <f>ROUND(E1206+E1205,1)</f>
        <v>202.2</v>
      </c>
    </row>
    <row r="1208" spans="1:7"/>
    <row r="1209" spans="1:7">
      <c r="B1209" s="170" t="s">
        <v>1175</v>
      </c>
    </row>
    <row r="1210" spans="1:7">
      <c r="B1210" s="26" t="s">
        <v>1176</v>
      </c>
      <c r="F1210" s="171" t="s">
        <v>1698</v>
      </c>
      <c r="G1210" s="68">
        <f>G1179</f>
        <v>3572</v>
      </c>
    </row>
    <row r="1211" spans="1:7">
      <c r="B1211" s="26" t="s">
        <v>1186</v>
      </c>
      <c r="F1211" s="171" t="s">
        <v>1698</v>
      </c>
      <c r="G1211" s="68">
        <f>G1193</f>
        <v>6536.2999999999993</v>
      </c>
    </row>
    <row r="1212" spans="1:7">
      <c r="B1212" s="26" t="s">
        <v>2660</v>
      </c>
      <c r="F1212" s="171" t="s">
        <v>1698</v>
      </c>
      <c r="G1212" s="75">
        <f>G1204</f>
        <v>6407.5</v>
      </c>
    </row>
    <row r="1213" spans="1:7">
      <c r="E1213" s="171"/>
      <c r="F1213" s="171" t="s">
        <v>302</v>
      </c>
      <c r="G1213" s="205">
        <f>SUM(G1210:G1212)</f>
        <v>16515.8</v>
      </c>
    </row>
    <row r="1214" spans="1:7">
      <c r="A1214" s="853"/>
      <c r="B1214" s="61" t="s">
        <v>2313</v>
      </c>
      <c r="C1214" s="61"/>
      <c r="D1214" s="61"/>
      <c r="E1214" s="320">
        <f>'BASIC DATA'!$C$595</f>
        <v>0.01</v>
      </c>
      <c r="F1214" s="222" t="s">
        <v>1698</v>
      </c>
      <c r="G1214" s="321">
        <f>E1214*$G$1213</f>
        <v>165.15799999999999</v>
      </c>
    </row>
    <row r="1215" spans="1:7">
      <c r="A1215" s="853"/>
      <c r="B1215" s="61" t="s">
        <v>2314</v>
      </c>
      <c r="C1215" s="61"/>
      <c r="D1215" s="61"/>
      <c r="E1215" s="291">
        <f>'BASIC DATA'!$C$596</f>
        <v>4.4999999999999998E-2</v>
      </c>
      <c r="F1215" s="222" t="s">
        <v>1698</v>
      </c>
      <c r="G1215" s="321">
        <f>E1215*$G$1213</f>
        <v>743.2109999999999</v>
      </c>
    </row>
    <row r="1216" spans="1:7">
      <c r="A1216" s="853"/>
      <c r="B1216" s="61" t="s">
        <v>2315</v>
      </c>
      <c r="C1216" s="61"/>
      <c r="D1216" s="61"/>
      <c r="E1216" s="291">
        <f>'BASIC DATA'!$C$597</f>
        <v>1.6E-2</v>
      </c>
      <c r="F1216" s="222" t="s">
        <v>1698</v>
      </c>
      <c r="G1216" s="321">
        <f>E1216*$G$1213</f>
        <v>264.25279999999998</v>
      </c>
    </row>
    <row r="1217" spans="1:7">
      <c r="A1217" s="853"/>
      <c r="B1217" s="61" t="s">
        <v>1259</v>
      </c>
      <c r="C1217" s="61"/>
      <c r="D1217" s="61"/>
      <c r="E1217" s="291">
        <f>'BASIC DATA'!$C$598</f>
        <v>2.5000000000000001E-2</v>
      </c>
      <c r="F1217" s="222" t="s">
        <v>1698</v>
      </c>
      <c r="G1217" s="321">
        <f>E1217*$G$1213</f>
        <v>412.89499999999998</v>
      </c>
    </row>
    <row r="1218" spans="1:7">
      <c r="A1218" s="853"/>
      <c r="B1218" s="61"/>
      <c r="C1218" s="61"/>
      <c r="D1218" s="61"/>
      <c r="E1218" s="291"/>
      <c r="F1218" s="171" t="s">
        <v>302</v>
      </c>
      <c r="G1218" s="205">
        <f>SUM(G1213:G1217)</f>
        <v>18101.316799999997</v>
      </c>
    </row>
    <row r="1219" spans="1:7" ht="38.25" customHeight="1">
      <c r="B1219" s="1207" t="s">
        <v>6259</v>
      </c>
      <c r="C1219" s="1207"/>
      <c r="D1219" s="1207"/>
      <c r="E1219" s="922">
        <f>'BASIC DATA'!$C$577</f>
        <v>0.13614999999999999</v>
      </c>
      <c r="F1219" s="171" t="s">
        <v>1698</v>
      </c>
      <c r="G1219" s="75">
        <f>G1218*E1219</f>
        <v>2464.4942823199995</v>
      </c>
    </row>
    <row r="1220" spans="1:7">
      <c r="B1220" s="27" t="s">
        <v>9590</v>
      </c>
      <c r="C1220" s="43"/>
      <c r="D1220" s="779">
        <f>E1174</f>
        <v>1.1000000000000001</v>
      </c>
      <c r="E1220" s="201" t="s">
        <v>9591</v>
      </c>
      <c r="F1220" s="68" t="str">
        <f>CONCATENATE((leadcharges!$D$65)," ","Rs./Cum")</f>
        <v>31.5 Rs./Cum</v>
      </c>
      <c r="G1220" s="200">
        <f>leadcharges!$D$65*D1220</f>
        <v>34.650000000000006</v>
      </c>
    </row>
    <row r="1221" spans="1:7" ht="42" hidden="1" customHeight="1">
      <c r="B1221" s="1207"/>
      <c r="C1221" s="1207"/>
      <c r="D1221" s="779"/>
      <c r="E1221" s="201"/>
      <c r="F1221" s="68"/>
      <c r="G1221" s="200"/>
    </row>
    <row r="1222" spans="1:7">
      <c r="B1222" s="26" t="s">
        <v>1191</v>
      </c>
      <c r="D1222" s="68">
        <f>F1169</f>
        <v>36</v>
      </c>
      <c r="E1222" s="68" t="str">
        <f>G1169</f>
        <v>sqm</v>
      </c>
      <c r="F1222" s="171" t="s">
        <v>1698</v>
      </c>
      <c r="G1222" s="211">
        <f>SUM(G1218:G1221)</f>
        <v>20600.461082319998</v>
      </c>
    </row>
    <row r="1223" spans="1:7">
      <c r="B1223" s="170" t="s">
        <v>3884</v>
      </c>
      <c r="C1223" s="170" t="str">
        <f>E1222</f>
        <v>sqm</v>
      </c>
      <c r="D1223" s="26" t="s">
        <v>6570</v>
      </c>
      <c r="F1223" s="171" t="s">
        <v>1698</v>
      </c>
      <c r="G1223" s="211">
        <f>ROUND(G1222/D1222,1)</f>
        <v>572.20000000000005</v>
      </c>
    </row>
    <row r="1224" spans="1:7">
      <c r="F1224" s="171"/>
      <c r="G1224" s="68"/>
    </row>
    <row r="1225" spans="1:7">
      <c r="A1225" s="822" t="s">
        <v>7631</v>
      </c>
      <c r="B1225" s="26" t="s">
        <v>8595</v>
      </c>
    </row>
    <row r="1226" spans="1:7" ht="30.75">
      <c r="A1226" s="874" t="s">
        <v>7832</v>
      </c>
      <c r="B1226" s="328" t="s">
        <v>7632</v>
      </c>
    </row>
    <row r="1227" spans="1:7">
      <c r="B1227" s="26" t="s">
        <v>9612</v>
      </c>
    </row>
    <row r="1228" spans="1:7">
      <c r="B1228" s="26" t="s">
        <v>8596</v>
      </c>
    </row>
    <row r="1229" spans="1:7">
      <c r="B1229" s="170" t="s">
        <v>7633</v>
      </c>
    </row>
    <row r="1230" spans="1:7"/>
    <row r="1231" spans="1:7" hidden="1">
      <c r="A1231" s="822" t="s">
        <v>2039</v>
      </c>
      <c r="B1231" s="26" t="s">
        <v>5266</v>
      </c>
      <c r="E1231" s="322" t="s">
        <v>1697</v>
      </c>
      <c r="F1231" s="26">
        <v>76</v>
      </c>
      <c r="G1231" s="26" t="s">
        <v>4938</v>
      </c>
    </row>
    <row r="1232" spans="1:7" hidden="1">
      <c r="B1232" s="26" t="s">
        <v>5267</v>
      </c>
      <c r="E1232" s="322" t="s">
        <v>1697</v>
      </c>
      <c r="F1232" s="270" t="s">
        <v>7634</v>
      </c>
    </row>
    <row r="1233" spans="2:7" hidden="1">
      <c r="B1233" s="26" t="s">
        <v>5268</v>
      </c>
      <c r="E1233" s="322" t="s">
        <v>1697</v>
      </c>
      <c r="F1233" s="47">
        <v>0.35</v>
      </c>
    </row>
    <row r="1234" spans="2:7" hidden="1">
      <c r="B1234" s="26" t="s">
        <v>7635</v>
      </c>
      <c r="E1234" s="322" t="s">
        <v>1697</v>
      </c>
      <c r="F1234" s="47">
        <v>2300</v>
      </c>
    </row>
    <row r="1235" spans="2:7" hidden="1">
      <c r="B1235" s="26" t="s">
        <v>5270</v>
      </c>
      <c r="E1235" s="322" t="s">
        <v>1697</v>
      </c>
      <c r="F1235" s="26">
        <v>450</v>
      </c>
      <c r="G1235" s="26" t="s">
        <v>3478</v>
      </c>
    </row>
    <row r="1236" spans="2:7" hidden="1">
      <c r="B1236" s="26" t="s">
        <v>5271</v>
      </c>
      <c r="E1236" s="322" t="s">
        <v>1697</v>
      </c>
      <c r="F1236" s="26">
        <v>0.7</v>
      </c>
      <c r="G1236" s="26" t="s">
        <v>3477</v>
      </c>
    </row>
    <row r="1237" spans="2:7" hidden="1">
      <c r="B1237" s="26" t="s">
        <v>7636</v>
      </c>
      <c r="E1237" s="322"/>
      <c r="F1237" s="26">
        <v>0.3</v>
      </c>
      <c r="G1237" s="26" t="s">
        <v>3477</v>
      </c>
    </row>
    <row r="1238" spans="2:7" hidden="1">
      <c r="B1238" s="26" t="s">
        <v>4696</v>
      </c>
    </row>
    <row r="1239" spans="2:7" hidden="1">
      <c r="B1239" s="26" t="s">
        <v>4697</v>
      </c>
    </row>
    <row r="1240" spans="2:7" hidden="1">
      <c r="B1240" s="26" t="s">
        <v>1685</v>
      </c>
    </row>
    <row r="1241" spans="2:7" hidden="1">
      <c r="B1241" s="26" t="s">
        <v>7637</v>
      </c>
    </row>
    <row r="1242" spans="2:7" hidden="1">
      <c r="B1242" s="26" t="s">
        <v>1687</v>
      </c>
    </row>
    <row r="1243" spans="2:7" hidden="1">
      <c r="B1243" s="26" t="s">
        <v>1688</v>
      </c>
    </row>
    <row r="1244" spans="2:7" hidden="1">
      <c r="B1244" s="26" t="s">
        <v>7638</v>
      </c>
      <c r="E1244" s="322" t="s">
        <v>1697</v>
      </c>
      <c r="F1244" s="26">
        <f>36*1.2*0.076</f>
        <v>3.2831999999999995</v>
      </c>
      <c r="G1244" s="26" t="s">
        <v>3477</v>
      </c>
    </row>
    <row r="1245" spans="2:7" hidden="1">
      <c r="B1245" s="26" t="s">
        <v>675</v>
      </c>
      <c r="E1245" s="322" t="s">
        <v>1697</v>
      </c>
      <c r="F1245" s="174">
        <f>F1244*5%</f>
        <v>0.16415999999999997</v>
      </c>
      <c r="G1245" s="26" t="s">
        <v>3477</v>
      </c>
    </row>
    <row r="1246" spans="2:7" hidden="1">
      <c r="B1246" s="26" t="s">
        <v>5272</v>
      </c>
      <c r="E1246" s="322" t="s">
        <v>1697</v>
      </c>
      <c r="F1246" s="26">
        <f>TRUNC(SUM(F1244:F1245),2)</f>
        <v>3.44</v>
      </c>
      <c r="G1246" s="26" t="s">
        <v>3477</v>
      </c>
    </row>
    <row r="1247" spans="2:7" hidden="1">
      <c r="B1247" s="26" t="s">
        <v>5869</v>
      </c>
      <c r="E1247" s="322" t="s">
        <v>1697</v>
      </c>
      <c r="F1247" s="26">
        <f>F1246*F1235</f>
        <v>1548</v>
      </c>
      <c r="G1247" s="26" t="s">
        <v>3478</v>
      </c>
    </row>
    <row r="1248" spans="2:7" hidden="1">
      <c r="B1248" s="26" t="s">
        <v>4009</v>
      </c>
      <c r="E1248" s="322" t="s">
        <v>1697</v>
      </c>
      <c r="F1248" s="26">
        <f>ROUND(F1246*F1236,2)</f>
        <v>2.41</v>
      </c>
      <c r="G1248" s="26" t="s">
        <v>3477</v>
      </c>
    </row>
    <row r="1249" spans="2:7" hidden="1">
      <c r="B1249" s="26" t="s">
        <v>7639</v>
      </c>
      <c r="E1249" s="322" t="s">
        <v>1697</v>
      </c>
      <c r="F1249" s="26">
        <f>ROUND(F1246*F1237,2)</f>
        <v>1.03</v>
      </c>
      <c r="G1249" s="26" t="s">
        <v>3477</v>
      </c>
    </row>
    <row r="1250" spans="2:7" hidden="1">
      <c r="B1250" s="26" t="s">
        <v>5273</v>
      </c>
    </row>
    <row r="1251" spans="2:7" hidden="1">
      <c r="B1251" s="26" t="s">
        <v>2958</v>
      </c>
    </row>
    <row r="1252" spans="2:7" hidden="1">
      <c r="B1252" s="26" t="s">
        <v>3920</v>
      </c>
    </row>
    <row r="1253" spans="2:7" hidden="1">
      <c r="B1253" s="26" t="s">
        <v>2366</v>
      </c>
    </row>
    <row r="1254" spans="2:7" hidden="1">
      <c r="B1254" s="26" t="s">
        <v>6958</v>
      </c>
      <c r="D1254" s="68">
        <f>'BASIC DATA'!$D$344</f>
        <v>185</v>
      </c>
      <c r="E1254" s="315" t="s">
        <v>1698</v>
      </c>
      <c r="F1254" s="68">
        <f>D1254*25</f>
        <v>4625</v>
      </c>
    </row>
    <row r="1255" spans="2:7" hidden="1">
      <c r="B1255" s="26" t="s">
        <v>5599</v>
      </c>
      <c r="E1255" s="322" t="s">
        <v>1697</v>
      </c>
      <c r="F1255" s="316">
        <v>800</v>
      </c>
      <c r="G1255" s="26" t="s">
        <v>4665</v>
      </c>
    </row>
    <row r="1256" spans="2:7" hidden="1">
      <c r="B1256" s="26" t="s">
        <v>5600</v>
      </c>
      <c r="E1256" s="315" t="s">
        <v>1698</v>
      </c>
      <c r="F1256" s="68">
        <f>F1254/F1255</f>
        <v>5.78125</v>
      </c>
    </row>
    <row r="1257" spans="2:7" hidden="1">
      <c r="B1257" s="26" t="s">
        <v>5601</v>
      </c>
      <c r="D1257" s="68">
        <f>'BASIC DATA'!$D$360</f>
        <v>185</v>
      </c>
      <c r="E1257" s="315" t="s">
        <v>1698</v>
      </c>
      <c r="F1257" s="68">
        <f>D1257*25</f>
        <v>4625</v>
      </c>
    </row>
    <row r="1258" spans="2:7" hidden="1">
      <c r="B1258" s="26" t="s">
        <v>3943</v>
      </c>
      <c r="E1258" s="322" t="s">
        <v>1697</v>
      </c>
      <c r="F1258" s="316">
        <v>800</v>
      </c>
      <c r="G1258" s="26" t="s">
        <v>4665</v>
      </c>
    </row>
    <row r="1259" spans="2:7" hidden="1">
      <c r="B1259" s="26" t="s">
        <v>4582</v>
      </c>
      <c r="E1259" s="315" t="s">
        <v>1698</v>
      </c>
      <c r="F1259" s="68">
        <f>F1257/F1258</f>
        <v>5.78125</v>
      </c>
    </row>
    <row r="1260" spans="2:7" hidden="1">
      <c r="B1260" s="26" t="s">
        <v>6959</v>
      </c>
      <c r="D1260" s="68">
        <f>'BASIC DATA'!$D$309</f>
        <v>700</v>
      </c>
      <c r="E1260" s="315" t="s">
        <v>1698</v>
      </c>
      <c r="F1260" s="68">
        <f>D1260</f>
        <v>700</v>
      </c>
    </row>
    <row r="1261" spans="2:7" hidden="1">
      <c r="B1261" s="26" t="s">
        <v>3899</v>
      </c>
      <c r="E1261" s="322" t="s">
        <v>1697</v>
      </c>
      <c r="F1261" s="316">
        <v>200</v>
      </c>
      <c r="G1261" s="26" t="s">
        <v>4665</v>
      </c>
    </row>
    <row r="1262" spans="2:7" hidden="1">
      <c r="B1262" s="26" t="s">
        <v>3900</v>
      </c>
      <c r="E1262" s="315" t="s">
        <v>1698</v>
      </c>
      <c r="F1262" s="68">
        <f>F1260/F1261</f>
        <v>3.5</v>
      </c>
    </row>
    <row r="1263" spans="2:7" hidden="1">
      <c r="B1263" s="26" t="s">
        <v>7640</v>
      </c>
      <c r="E1263" s="315"/>
      <c r="F1263" s="68">
        <f>F1265*3</f>
        <v>108</v>
      </c>
    </row>
    <row r="1264" spans="2:7">
      <c r="B1264" s="78"/>
    </row>
    <row r="1265" spans="1:7">
      <c r="A1265" s="822" t="s">
        <v>2039</v>
      </c>
      <c r="B1265" s="78"/>
      <c r="C1265" s="203" t="s">
        <v>2367</v>
      </c>
      <c r="E1265" s="171" t="s">
        <v>297</v>
      </c>
      <c r="F1265" s="246">
        <v>36</v>
      </c>
      <c r="G1265" s="26" t="s">
        <v>3479</v>
      </c>
    </row>
    <row r="1266" spans="1:7">
      <c r="B1266" s="79" t="s">
        <v>2368</v>
      </c>
    </row>
    <row r="1267" spans="1:7">
      <c r="B1267" s="95" t="s">
        <v>2369</v>
      </c>
      <c r="C1267" s="157" t="s">
        <v>4443</v>
      </c>
      <c r="D1267" s="95" t="s">
        <v>2370</v>
      </c>
      <c r="E1267" s="95" t="s">
        <v>1166</v>
      </c>
      <c r="F1267" s="95" t="s">
        <v>2371</v>
      </c>
      <c r="G1267" s="95" t="s">
        <v>2372</v>
      </c>
    </row>
    <row r="1268" spans="1:7">
      <c r="B1268" s="114"/>
      <c r="C1268" s="154"/>
      <c r="D1268" s="114"/>
      <c r="E1268" s="114"/>
      <c r="F1268" s="114" t="s">
        <v>3485</v>
      </c>
      <c r="G1268" s="114" t="s">
        <v>3485</v>
      </c>
    </row>
    <row r="1269" spans="1:7">
      <c r="B1269" s="95">
        <v>1</v>
      </c>
      <c r="C1269" s="135" t="s">
        <v>6669</v>
      </c>
      <c r="D1269" s="95" t="s">
        <v>3478</v>
      </c>
      <c r="E1269" s="190">
        <f>F1247</f>
        <v>1548</v>
      </c>
      <c r="F1269" s="214">
        <f>'BASIC DATA'!$D$32/1000</f>
        <v>5.35</v>
      </c>
      <c r="G1269" s="190">
        <f t="shared" ref="G1269:G1276" si="21">E1269*F1269</f>
        <v>8281.7999999999993</v>
      </c>
    </row>
    <row r="1270" spans="1:7">
      <c r="A1270" s="853"/>
      <c r="B1270" s="240">
        <v>2</v>
      </c>
      <c r="C1270" s="326" t="s">
        <v>6827</v>
      </c>
      <c r="D1270" s="240" t="s">
        <v>3477</v>
      </c>
      <c r="E1270" s="255">
        <f>F1248</f>
        <v>2.41</v>
      </c>
      <c r="F1270" s="266">
        <f>'BASIC DATA'!$D$57</f>
        <v>165</v>
      </c>
      <c r="G1270" s="255">
        <f t="shared" si="21"/>
        <v>397.65000000000003</v>
      </c>
    </row>
    <row r="1271" spans="1:7">
      <c r="B1271" s="105">
        <v>3</v>
      </c>
      <c r="C1271" s="135" t="s">
        <v>7641</v>
      </c>
      <c r="D1271" s="105" t="s">
        <v>3477</v>
      </c>
      <c r="E1271" s="190">
        <f>F1249</f>
        <v>1.03</v>
      </c>
      <c r="F1271" s="214">
        <f>'BASIC DATA'!$D$34</f>
        <v>900</v>
      </c>
      <c r="G1271" s="190">
        <f>F1271*E1271</f>
        <v>927</v>
      </c>
    </row>
    <row r="1272" spans="1:7">
      <c r="B1272" s="105">
        <v>4</v>
      </c>
      <c r="C1272" s="135" t="s">
        <v>2195</v>
      </c>
      <c r="D1272" s="105" t="s">
        <v>2374</v>
      </c>
      <c r="E1272" s="190">
        <v>8</v>
      </c>
      <c r="F1272" s="214">
        <f>F1256</f>
        <v>5.78125</v>
      </c>
      <c r="G1272" s="190">
        <f t="shared" si="21"/>
        <v>46.25</v>
      </c>
    </row>
    <row r="1273" spans="1:7">
      <c r="B1273" s="105">
        <v>5</v>
      </c>
      <c r="C1273" s="135" t="s">
        <v>2196</v>
      </c>
      <c r="D1273" s="105" t="s">
        <v>2374</v>
      </c>
      <c r="E1273" s="190">
        <v>8</v>
      </c>
      <c r="F1273" s="214">
        <f>F1259</f>
        <v>5.78125</v>
      </c>
      <c r="G1273" s="190">
        <f t="shared" si="21"/>
        <v>46.25</v>
      </c>
    </row>
    <row r="1274" spans="1:7">
      <c r="B1274" s="105">
        <v>6</v>
      </c>
      <c r="C1274" s="135" t="s">
        <v>2197</v>
      </c>
      <c r="D1274" s="105" t="s">
        <v>2374</v>
      </c>
      <c r="E1274" s="190">
        <v>8</v>
      </c>
      <c r="F1274" s="214">
        <f>F1262</f>
        <v>3.5</v>
      </c>
      <c r="G1274" s="190">
        <f t="shared" si="21"/>
        <v>28</v>
      </c>
    </row>
    <row r="1275" spans="1:7">
      <c r="B1275" s="105">
        <v>7</v>
      </c>
      <c r="C1275" s="135" t="s">
        <v>7642</v>
      </c>
      <c r="D1275" s="105" t="s">
        <v>3478</v>
      </c>
      <c r="E1275" s="190">
        <v>108</v>
      </c>
      <c r="F1275" s="214">
        <f>'BASIC DATA'!$D$120</f>
        <v>185</v>
      </c>
      <c r="G1275" s="190">
        <f>E1275*F1275</f>
        <v>19980</v>
      </c>
    </row>
    <row r="1276" spans="1:7">
      <c r="B1276" s="114">
        <v>8</v>
      </c>
      <c r="C1276" s="135" t="s">
        <v>2373</v>
      </c>
      <c r="D1276" s="105" t="s">
        <v>2173</v>
      </c>
      <c r="E1276" s="190">
        <v>2</v>
      </c>
      <c r="F1276" s="214">
        <f>'BASIC DATA'!$D$359</f>
        <v>30</v>
      </c>
      <c r="G1276" s="190">
        <f t="shared" si="21"/>
        <v>60</v>
      </c>
    </row>
    <row r="1277" spans="1:7">
      <c r="B1277" s="92"/>
      <c r="C1277" s="193" t="s">
        <v>2376</v>
      </c>
      <c r="D1277" s="159"/>
      <c r="E1277" s="238"/>
      <c r="F1277" s="236" t="s">
        <v>1698</v>
      </c>
      <c r="G1277" s="318">
        <f>SUM(G1269:G1276)</f>
        <v>29766.949999999997</v>
      </c>
    </row>
    <row r="1278" spans="1:7">
      <c r="B1278" s="78"/>
    </row>
    <row r="1279" spans="1:7">
      <c r="B1279" s="79" t="s">
        <v>2377</v>
      </c>
    </row>
    <row r="1280" spans="1:7">
      <c r="B1280" s="95" t="s">
        <v>2369</v>
      </c>
      <c r="C1280" s="157" t="s">
        <v>2378</v>
      </c>
      <c r="D1280" s="95" t="s">
        <v>2370</v>
      </c>
      <c r="E1280" s="95" t="s">
        <v>1166</v>
      </c>
      <c r="F1280" s="95" t="s">
        <v>2371</v>
      </c>
      <c r="G1280" s="95" t="s">
        <v>2372</v>
      </c>
    </row>
    <row r="1281" spans="2:7">
      <c r="B1281" s="114"/>
      <c r="C1281" s="154"/>
      <c r="D1281" s="114"/>
      <c r="E1281" s="114"/>
      <c r="F1281" s="114" t="s">
        <v>3485</v>
      </c>
      <c r="G1281" s="114" t="s">
        <v>3485</v>
      </c>
    </row>
    <row r="1282" spans="2:7">
      <c r="B1282" s="95">
        <v>1</v>
      </c>
      <c r="C1282" s="135" t="s">
        <v>384</v>
      </c>
      <c r="D1282" s="95" t="s">
        <v>2374</v>
      </c>
      <c r="E1282" s="190">
        <v>8</v>
      </c>
      <c r="F1282" s="214">
        <f>'HIRE CHARGES'!$D$528</f>
        <v>110.1</v>
      </c>
      <c r="G1282" s="190">
        <f>E1282*F1282</f>
        <v>880.8</v>
      </c>
    </row>
    <row r="1283" spans="2:7">
      <c r="B1283" s="317"/>
      <c r="C1283" s="135" t="s">
        <v>2379</v>
      </c>
      <c r="D1283" s="105" t="s">
        <v>2374</v>
      </c>
      <c r="E1283" s="190">
        <v>8</v>
      </c>
      <c r="F1283" s="214">
        <f>'HIRE CHARGES'!$E$528</f>
        <v>0</v>
      </c>
      <c r="G1283" s="190">
        <f t="shared" ref="G1283:G1290" si="22">E1283*F1283</f>
        <v>0</v>
      </c>
    </row>
    <row r="1284" spans="2:7">
      <c r="B1284" s="105">
        <v>2</v>
      </c>
      <c r="C1284" s="135" t="s">
        <v>7127</v>
      </c>
      <c r="D1284" s="105" t="s">
        <v>2374</v>
      </c>
      <c r="E1284" s="190">
        <v>8</v>
      </c>
      <c r="F1284" s="214">
        <f>'HIRE CHARGES'!$D$497</f>
        <v>170.8</v>
      </c>
      <c r="G1284" s="190">
        <f t="shared" si="22"/>
        <v>1366.4</v>
      </c>
    </row>
    <row r="1285" spans="2:7">
      <c r="B1285" s="317"/>
      <c r="C1285" s="135" t="s">
        <v>2379</v>
      </c>
      <c r="D1285" s="105" t="s">
        <v>2374</v>
      </c>
      <c r="E1285" s="190">
        <v>8</v>
      </c>
      <c r="F1285" s="214">
        <f>'HIRE CHARGES'!$E$497</f>
        <v>315.2</v>
      </c>
      <c r="G1285" s="190">
        <f t="shared" si="22"/>
        <v>2521.6</v>
      </c>
    </row>
    <row r="1286" spans="2:7">
      <c r="B1286" s="105">
        <v>3</v>
      </c>
      <c r="C1286" s="135" t="s">
        <v>4484</v>
      </c>
      <c r="D1286" s="105" t="s">
        <v>2374</v>
      </c>
      <c r="E1286" s="190">
        <v>1</v>
      </c>
      <c r="F1286" s="214">
        <f>'HIRE CHARGES'!$D$520</f>
        <v>6.7</v>
      </c>
      <c r="G1286" s="190">
        <f t="shared" si="22"/>
        <v>6.7</v>
      </c>
    </row>
    <row r="1287" spans="2:7">
      <c r="B1287" s="317"/>
      <c r="C1287" s="135" t="s">
        <v>2379</v>
      </c>
      <c r="D1287" s="105" t="s">
        <v>2374</v>
      </c>
      <c r="E1287" s="190">
        <v>1</v>
      </c>
      <c r="F1287" s="214">
        <f>'HIRE CHARGES'!$E$520</f>
        <v>56</v>
      </c>
      <c r="G1287" s="190">
        <f t="shared" si="22"/>
        <v>56</v>
      </c>
    </row>
    <row r="1288" spans="2:7">
      <c r="B1288" s="105">
        <v>4</v>
      </c>
      <c r="C1288" s="135" t="s">
        <v>7102</v>
      </c>
      <c r="D1288" s="105" t="s">
        <v>2374</v>
      </c>
      <c r="E1288" s="190">
        <v>4</v>
      </c>
      <c r="F1288" s="214">
        <f>'HIRE CHARGES'!$D$524</f>
        <v>368.40000000000003</v>
      </c>
      <c r="G1288" s="190">
        <f t="shared" si="22"/>
        <v>1473.6000000000001</v>
      </c>
    </row>
    <row r="1289" spans="2:7">
      <c r="B1289" s="317"/>
      <c r="C1289" s="135" t="s">
        <v>2379</v>
      </c>
      <c r="D1289" s="105" t="s">
        <v>2374</v>
      </c>
      <c r="E1289" s="190">
        <v>4</v>
      </c>
      <c r="F1289" s="214">
        <f>'HIRE CHARGES'!$E$524</f>
        <v>42.8</v>
      </c>
      <c r="G1289" s="190">
        <f t="shared" si="22"/>
        <v>171.2</v>
      </c>
    </row>
    <row r="1290" spans="2:7">
      <c r="B1290" s="105">
        <v>5</v>
      </c>
      <c r="C1290" s="135" t="s">
        <v>2373</v>
      </c>
      <c r="D1290" s="105" t="s">
        <v>2173</v>
      </c>
      <c r="E1290" s="190">
        <v>2</v>
      </c>
      <c r="F1290" s="214">
        <f>'BASIC DATA'!$D$359</f>
        <v>30</v>
      </c>
      <c r="G1290" s="190">
        <f t="shared" si="22"/>
        <v>60</v>
      </c>
    </row>
    <row r="1291" spans="2:7">
      <c r="B1291" s="176"/>
      <c r="C1291" s="172" t="s">
        <v>2380</v>
      </c>
      <c r="D1291" s="174"/>
      <c r="E1291" s="192"/>
      <c r="F1291" s="236" t="s">
        <v>1698</v>
      </c>
      <c r="G1291" s="318">
        <f>SUM(G1282:G1290)</f>
        <v>6536.2999999999993</v>
      </c>
    </row>
    <row r="1292" spans="2:7">
      <c r="B1292" s="78"/>
    </row>
    <row r="1293" spans="2:7">
      <c r="B1293" s="79" t="s">
        <v>2381</v>
      </c>
    </row>
    <row r="1294" spans="2:7">
      <c r="B1294" s="95" t="s">
        <v>2369</v>
      </c>
      <c r="C1294" s="157" t="s">
        <v>2378</v>
      </c>
      <c r="D1294" s="95" t="s">
        <v>2370</v>
      </c>
      <c r="E1294" s="95" t="s">
        <v>1166</v>
      </c>
      <c r="F1294" s="95" t="s">
        <v>2371</v>
      </c>
      <c r="G1294" s="95" t="s">
        <v>2372</v>
      </c>
    </row>
    <row r="1295" spans="2:7">
      <c r="B1295" s="114"/>
      <c r="C1295" s="154"/>
      <c r="D1295" s="114"/>
      <c r="E1295" s="114"/>
      <c r="F1295" s="114" t="s">
        <v>3485</v>
      </c>
      <c r="G1295" s="114" t="s">
        <v>3485</v>
      </c>
    </row>
    <row r="1296" spans="2:7">
      <c r="B1296" s="105">
        <v>1</v>
      </c>
      <c r="C1296" s="76" t="s">
        <v>7128</v>
      </c>
      <c r="D1296" s="105" t="s">
        <v>2374</v>
      </c>
      <c r="E1296" s="207">
        <v>8</v>
      </c>
      <c r="F1296" s="190">
        <f>'HIRE CHARGES'!$F$528</f>
        <v>219.7</v>
      </c>
      <c r="G1296" s="190">
        <f t="shared" ref="G1296:G1301" si="23">E1296*F1296</f>
        <v>1757.6</v>
      </c>
    </row>
    <row r="1297" spans="2:7">
      <c r="B1297" s="105">
        <v>2</v>
      </c>
      <c r="C1297" s="76" t="s">
        <v>4606</v>
      </c>
      <c r="D1297" s="105" t="s">
        <v>2374</v>
      </c>
      <c r="E1297" s="207">
        <v>8</v>
      </c>
      <c r="F1297" s="190">
        <f>'HIRE CHARGES'!$F$497</f>
        <v>164.8</v>
      </c>
      <c r="G1297" s="190">
        <f t="shared" si="23"/>
        <v>1318.4</v>
      </c>
    </row>
    <row r="1298" spans="2:7">
      <c r="B1298" s="105">
        <v>3</v>
      </c>
      <c r="C1298" s="76" t="s">
        <v>1171</v>
      </c>
      <c r="D1298" s="105" t="s">
        <v>2374</v>
      </c>
      <c r="E1298" s="207">
        <v>1</v>
      </c>
      <c r="F1298" s="190">
        <f>'HIRE CHARGES'!$F$520</f>
        <v>83.3</v>
      </c>
      <c r="G1298" s="190">
        <f t="shared" si="23"/>
        <v>83.3</v>
      </c>
    </row>
    <row r="1299" spans="2:7">
      <c r="B1299" s="105">
        <v>4</v>
      </c>
      <c r="C1299" s="76" t="s">
        <v>4487</v>
      </c>
      <c r="D1299" s="105" t="s">
        <v>2374</v>
      </c>
      <c r="E1299" s="207">
        <v>4</v>
      </c>
      <c r="F1299" s="190">
        <f>'HIRE CHARGES'!$F$524</f>
        <v>175.8</v>
      </c>
      <c r="G1299" s="190">
        <f t="shared" si="23"/>
        <v>703.2</v>
      </c>
    </row>
    <row r="1300" spans="2:7">
      <c r="B1300" s="105">
        <v>5</v>
      </c>
      <c r="C1300" s="76" t="s">
        <v>2389</v>
      </c>
      <c r="D1300" s="105" t="s">
        <v>1172</v>
      </c>
      <c r="E1300" s="207">
        <v>1</v>
      </c>
      <c r="F1300" s="190">
        <f>'BASIC DATA'!$C$474</f>
        <v>445</v>
      </c>
      <c r="G1300" s="190">
        <f t="shared" si="23"/>
        <v>445</v>
      </c>
    </row>
    <row r="1301" spans="2:7">
      <c r="B1301" s="105">
        <v>6</v>
      </c>
      <c r="C1301" s="76" t="s">
        <v>2697</v>
      </c>
      <c r="D1301" s="105" t="s">
        <v>1172</v>
      </c>
      <c r="E1301" s="207">
        <v>6</v>
      </c>
      <c r="F1301" s="190">
        <f>'BASIC DATA'!$C$552</f>
        <v>350</v>
      </c>
      <c r="G1301" s="190">
        <f t="shared" si="23"/>
        <v>2100</v>
      </c>
    </row>
    <row r="1302" spans="2:7">
      <c r="B1302" s="92"/>
      <c r="C1302" s="193" t="s">
        <v>1174</v>
      </c>
      <c r="D1302" s="159"/>
      <c r="E1302" s="238"/>
      <c r="F1302" s="236" t="s">
        <v>1698</v>
      </c>
      <c r="G1302" s="318">
        <f>SUM(G1296:G1301)</f>
        <v>6407.5</v>
      </c>
    </row>
    <row r="1303" spans="2:7">
      <c r="B1303" s="60" t="s">
        <v>5948</v>
      </c>
      <c r="D1303" s="31"/>
      <c r="E1303" s="85">
        <f>ROUND(G1302/F1265,1)</f>
        <v>178</v>
      </c>
    </row>
    <row r="1304" spans="2:7">
      <c r="B1304" s="60" t="s">
        <v>3163</v>
      </c>
      <c r="D1304" s="922">
        <f>'BASIC DATA'!$C$577</f>
        <v>0.13614999999999999</v>
      </c>
      <c r="E1304" s="85">
        <f>ROUND(E1303*D1304,1)</f>
        <v>24.2</v>
      </c>
    </row>
    <row r="1305" spans="2:7">
      <c r="B1305" s="60" t="s">
        <v>5949</v>
      </c>
      <c r="D1305" s="31"/>
      <c r="E1305" s="199">
        <f>ROUND(E1304+E1303,1)</f>
        <v>202.2</v>
      </c>
    </row>
    <row r="1306" spans="2:7"/>
    <row r="1307" spans="2:7">
      <c r="B1307" s="170" t="s">
        <v>1175</v>
      </c>
    </row>
    <row r="1308" spans="2:7">
      <c r="B1308" s="26" t="s">
        <v>1176</v>
      </c>
      <c r="F1308" s="171" t="s">
        <v>1698</v>
      </c>
      <c r="G1308" s="68">
        <f>G1277</f>
        <v>29766.949999999997</v>
      </c>
    </row>
    <row r="1309" spans="2:7">
      <c r="B1309" s="26" t="s">
        <v>1186</v>
      </c>
      <c r="F1309" s="171" t="s">
        <v>1698</v>
      </c>
      <c r="G1309" s="68">
        <f>G1291</f>
        <v>6536.2999999999993</v>
      </c>
    </row>
    <row r="1310" spans="2:7">
      <c r="B1310" s="26" t="s">
        <v>2660</v>
      </c>
      <c r="F1310" s="171" t="s">
        <v>1698</v>
      </c>
      <c r="G1310" s="75">
        <f>G1302</f>
        <v>6407.5</v>
      </c>
    </row>
    <row r="1311" spans="2:7">
      <c r="E1311" s="171"/>
      <c r="F1311" s="171" t="s">
        <v>302</v>
      </c>
      <c r="G1311" s="205">
        <f>SUM(G1308:G1310)</f>
        <v>42710.75</v>
      </c>
    </row>
    <row r="1312" spans="2:7">
      <c r="B1312" s="61" t="s">
        <v>2313</v>
      </c>
      <c r="C1312" s="61"/>
      <c r="D1312" s="61"/>
      <c r="E1312" s="320">
        <f>'BASIC DATA'!$C$595</f>
        <v>0.01</v>
      </c>
      <c r="F1312" s="222" t="s">
        <v>1698</v>
      </c>
      <c r="G1312" s="321">
        <f>E1312*G1311</f>
        <v>427.10750000000002</v>
      </c>
    </row>
    <row r="1313" spans="1:7">
      <c r="B1313" s="61" t="s">
        <v>2314</v>
      </c>
      <c r="C1313" s="61"/>
      <c r="D1313" s="61"/>
      <c r="E1313" s="291">
        <f>'BASIC DATA'!$C$596</f>
        <v>4.4999999999999998E-2</v>
      </c>
      <c r="F1313" s="222" t="s">
        <v>1698</v>
      </c>
      <c r="G1313" s="321">
        <f>E1313*G1311</f>
        <v>1921.9837499999999</v>
      </c>
    </row>
    <row r="1314" spans="1:7">
      <c r="B1314" s="61" t="s">
        <v>2315</v>
      </c>
      <c r="C1314" s="61"/>
      <c r="D1314" s="61"/>
      <c r="E1314" s="291">
        <f>'BASIC DATA'!$C$597</f>
        <v>1.6E-2</v>
      </c>
      <c r="F1314" s="222" t="s">
        <v>1698</v>
      </c>
      <c r="G1314" s="321">
        <f>E1314*G1311</f>
        <v>683.37200000000007</v>
      </c>
    </row>
    <row r="1315" spans="1:7">
      <c r="B1315" s="61" t="s">
        <v>1259</v>
      </c>
      <c r="C1315" s="61"/>
      <c r="D1315" s="61"/>
      <c r="E1315" s="291">
        <f>'BASIC DATA'!$C$598</f>
        <v>2.5000000000000001E-2</v>
      </c>
      <c r="F1315" s="222" t="s">
        <v>1698</v>
      </c>
      <c r="G1315" s="321">
        <f>E1315*G1311</f>
        <v>1067.76875</v>
      </c>
    </row>
    <row r="1316" spans="1:7">
      <c r="B1316" s="61"/>
      <c r="C1316" s="61"/>
      <c r="D1316" s="61"/>
      <c r="E1316" s="291"/>
      <c r="F1316" s="171" t="s">
        <v>302</v>
      </c>
      <c r="G1316" s="205">
        <f>SUM(G1311:G1315)</f>
        <v>46810.982000000004</v>
      </c>
    </row>
    <row r="1317" spans="1:7" ht="36.75" customHeight="1">
      <c r="B1317" s="1207" t="s">
        <v>6259</v>
      </c>
      <c r="C1317" s="1207"/>
      <c r="D1317" s="1207"/>
      <c r="E1317" s="922">
        <f>'BASIC DATA'!$C$577</f>
        <v>0.13614999999999999</v>
      </c>
      <c r="F1317" s="171" t="s">
        <v>1698</v>
      </c>
      <c r="G1317" s="75">
        <f>G1316*E1317</f>
        <v>6373.3151993000001</v>
      </c>
    </row>
    <row r="1318" spans="1:7">
      <c r="B1318" s="27" t="s">
        <v>9590</v>
      </c>
      <c r="C1318" s="43"/>
      <c r="D1318" s="779">
        <f>E1270</f>
        <v>2.41</v>
      </c>
      <c r="E1318" s="201" t="s">
        <v>9591</v>
      </c>
      <c r="F1318" s="68" t="str">
        <f>CONCATENATE((leadcharges!$D$65)," ","Rs./Cum")</f>
        <v>31.5 Rs./Cum</v>
      </c>
      <c r="G1318" s="200">
        <f>leadcharges!$D$65*D1318</f>
        <v>75.915000000000006</v>
      </c>
    </row>
    <row r="1319" spans="1:7">
      <c r="B1319" s="27" t="s">
        <v>9589</v>
      </c>
      <c r="C1319" s="43"/>
      <c r="D1319" s="779">
        <f>E1271</f>
        <v>1.03</v>
      </c>
      <c r="E1319" s="201" t="s">
        <v>9591</v>
      </c>
      <c r="F1319" s="68" t="str">
        <f>CONCATENATE((leadcharges!$E$65)," ","Rs./Cum")</f>
        <v>30.4 Rs./Cum</v>
      </c>
      <c r="G1319" s="200">
        <f>leadcharges!$E$65*D1319</f>
        <v>31.311999999999998</v>
      </c>
    </row>
    <row r="1320" spans="1:7" ht="36.75" hidden="1" customHeight="1">
      <c r="B1320" s="1207"/>
      <c r="C1320" s="1207"/>
      <c r="D1320" s="779"/>
      <c r="E1320" s="201"/>
      <c r="F1320" s="68"/>
      <c r="G1320" s="200"/>
    </row>
    <row r="1321" spans="1:7">
      <c r="B1321" s="26" t="s">
        <v>1191</v>
      </c>
      <c r="D1321" s="68">
        <f>F1265</f>
        <v>36</v>
      </c>
      <c r="E1321" s="68" t="str">
        <f>G1265</f>
        <v>sqm</v>
      </c>
      <c r="F1321" s="171" t="s">
        <v>1698</v>
      </c>
      <c r="G1321" s="211">
        <f>SUM(G1316:G1320)</f>
        <v>53291.524199300002</v>
      </c>
    </row>
    <row r="1322" spans="1:7">
      <c r="B1322" s="170" t="s">
        <v>3884</v>
      </c>
      <c r="C1322" s="170" t="str">
        <f>E1321</f>
        <v>sqm</v>
      </c>
      <c r="D1322" s="26" t="s">
        <v>6570</v>
      </c>
      <c r="F1322" s="171" t="s">
        <v>1698</v>
      </c>
      <c r="G1322" s="211">
        <f>ROUND(G1321/D1321,1)</f>
        <v>1480.3</v>
      </c>
    </row>
    <row r="1323" spans="1:7">
      <c r="F1323" s="171"/>
      <c r="G1323" s="68"/>
    </row>
    <row r="1324" spans="1:7">
      <c r="B1324" s="78"/>
    </row>
    <row r="1325" spans="1:7">
      <c r="A1325" s="865" t="s">
        <v>7408</v>
      </c>
      <c r="B1325" s="170" t="s">
        <v>6515</v>
      </c>
    </row>
    <row r="1326" spans="1:7">
      <c r="A1326" s="865"/>
    </row>
    <row r="1327" spans="1:7" ht="18.75">
      <c r="A1327" s="822" t="s">
        <v>7396</v>
      </c>
      <c r="B1327" s="26" t="s">
        <v>8597</v>
      </c>
    </row>
    <row r="1328" spans="1:7">
      <c r="A1328" s="865"/>
      <c r="B1328" s="26" t="s">
        <v>8598</v>
      </c>
    </row>
    <row r="1329" spans="1:7">
      <c r="A1329" s="865"/>
      <c r="B1329" s="26" t="s">
        <v>7135</v>
      </c>
    </row>
    <row r="1330" spans="1:7">
      <c r="A1330" s="865"/>
      <c r="B1330" s="26" t="s">
        <v>7136</v>
      </c>
    </row>
    <row r="1331" spans="1:7" ht="18.75">
      <c r="A1331" s="865"/>
      <c r="B1331" s="26" t="s">
        <v>8599</v>
      </c>
      <c r="F1331" s="322"/>
    </row>
    <row r="1332" spans="1:7">
      <c r="A1332" s="865"/>
      <c r="F1332" s="322"/>
    </row>
    <row r="1333" spans="1:7" hidden="1">
      <c r="A1333" s="865" t="s">
        <v>3984</v>
      </c>
      <c r="B1333" s="26" t="s">
        <v>6894</v>
      </c>
      <c r="E1333" s="322" t="s">
        <v>1697</v>
      </c>
      <c r="F1333" s="26">
        <v>25</v>
      </c>
      <c r="G1333" s="26" t="s">
        <v>4938</v>
      </c>
    </row>
    <row r="1334" spans="1:7" hidden="1">
      <c r="A1334" s="865"/>
      <c r="B1334" s="26" t="s">
        <v>6895</v>
      </c>
      <c r="E1334" s="322" t="s">
        <v>1697</v>
      </c>
      <c r="F1334" s="26">
        <v>2.15</v>
      </c>
      <c r="G1334" s="26" t="s">
        <v>2602</v>
      </c>
    </row>
    <row r="1335" spans="1:7" hidden="1">
      <c r="A1335" s="865"/>
      <c r="B1335" s="26" t="s">
        <v>6896</v>
      </c>
      <c r="E1335" s="322" t="s">
        <v>1697</v>
      </c>
      <c r="F1335" s="26">
        <v>2</v>
      </c>
      <c r="G1335" s="26" t="s">
        <v>4041</v>
      </c>
    </row>
    <row r="1336" spans="1:7" hidden="1">
      <c r="A1336" s="865"/>
      <c r="B1336" s="26" t="s">
        <v>4919</v>
      </c>
      <c r="E1336" s="322" t="s">
        <v>1697</v>
      </c>
      <c r="F1336" s="26">
        <v>1</v>
      </c>
      <c r="G1336" s="26" t="s">
        <v>4089</v>
      </c>
    </row>
    <row r="1337" spans="1:7" hidden="1">
      <c r="A1337" s="865"/>
      <c r="B1337" s="26" t="s">
        <v>4920</v>
      </c>
      <c r="E1337" s="322" t="s">
        <v>1697</v>
      </c>
      <c r="F1337" s="26">
        <v>2</v>
      </c>
      <c r="G1337" s="26" t="s">
        <v>4041</v>
      </c>
    </row>
    <row r="1338" spans="1:7" hidden="1">
      <c r="A1338" s="865"/>
      <c r="B1338" s="26" t="s">
        <v>4921</v>
      </c>
      <c r="E1338" s="322" t="s">
        <v>1697</v>
      </c>
      <c r="F1338" s="26">
        <v>35</v>
      </c>
      <c r="G1338" s="26" t="s">
        <v>4938</v>
      </c>
    </row>
    <row r="1339" spans="1:7" hidden="1">
      <c r="A1339" s="865"/>
      <c r="B1339" s="26" t="s">
        <v>4922</v>
      </c>
      <c r="E1339" s="322" t="s">
        <v>1697</v>
      </c>
      <c r="F1339" s="68">
        <v>2</v>
      </c>
      <c r="G1339" s="26" t="s">
        <v>2602</v>
      </c>
    </row>
    <row r="1340" spans="1:7" hidden="1">
      <c r="A1340" s="865"/>
      <c r="B1340" s="26" t="s">
        <v>6217</v>
      </c>
      <c r="E1340" s="322"/>
      <c r="F1340" s="68"/>
    </row>
    <row r="1341" spans="1:7" hidden="1">
      <c r="A1341" s="865"/>
      <c r="B1341" s="26" t="s">
        <v>6218</v>
      </c>
      <c r="E1341" s="322" t="s">
        <v>1697</v>
      </c>
      <c r="F1341" s="68">
        <v>20</v>
      </c>
      <c r="G1341" s="26" t="s">
        <v>2602</v>
      </c>
    </row>
    <row r="1342" spans="1:7" hidden="1">
      <c r="A1342" s="865"/>
      <c r="B1342" s="26" t="s">
        <v>314</v>
      </c>
      <c r="E1342" s="322"/>
    </row>
    <row r="1343" spans="1:7" hidden="1">
      <c r="A1343" s="865"/>
      <c r="B1343" s="26" t="s">
        <v>1076</v>
      </c>
      <c r="E1343" s="322" t="s">
        <v>1697</v>
      </c>
      <c r="F1343" s="26">
        <f>10*2.15*3.85*1.05</f>
        <v>86.913750000000007</v>
      </c>
      <c r="G1343" s="26" t="s">
        <v>3478</v>
      </c>
    </row>
    <row r="1344" spans="1:7" hidden="1">
      <c r="A1344" s="865"/>
      <c r="B1344" s="26" t="s">
        <v>1077</v>
      </c>
      <c r="E1344" s="322"/>
    </row>
    <row r="1345" spans="1:7" hidden="1">
      <c r="A1345" s="865"/>
      <c r="B1345" s="26" t="s">
        <v>1078</v>
      </c>
      <c r="E1345" s="322" t="s">
        <v>1697</v>
      </c>
      <c r="F1345" s="26">
        <f>10*2*0.2*0.2*78.5*1.05</f>
        <v>65.940000000000012</v>
      </c>
      <c r="G1345" s="26" t="s">
        <v>3478</v>
      </c>
    </row>
    <row r="1346" spans="1:7" hidden="1">
      <c r="A1346" s="865"/>
      <c r="B1346" s="26" t="s">
        <v>1080</v>
      </c>
      <c r="E1346" s="322"/>
    </row>
    <row r="1347" spans="1:7" hidden="1">
      <c r="A1347" s="865"/>
      <c r="B1347" s="26" t="s">
        <v>1079</v>
      </c>
      <c r="E1347" s="322" t="s">
        <v>1697</v>
      </c>
      <c r="F1347" s="26">
        <f>10*0.15*0.025*157*1.05</f>
        <v>6.1818750000000016</v>
      </c>
      <c r="G1347" s="26" t="s">
        <v>3478</v>
      </c>
    </row>
    <row r="1348" spans="1:7" hidden="1">
      <c r="A1348" s="865"/>
      <c r="B1348" s="26" t="s">
        <v>3932</v>
      </c>
      <c r="E1348" s="322" t="s">
        <v>1697</v>
      </c>
      <c r="F1348" s="26">
        <v>4</v>
      </c>
      <c r="G1348" s="26" t="s">
        <v>3478</v>
      </c>
    </row>
    <row r="1349" spans="1:7" hidden="1">
      <c r="A1349" s="865"/>
      <c r="B1349" s="26" t="s">
        <v>4523</v>
      </c>
      <c r="E1349" s="322" t="s">
        <v>1697</v>
      </c>
      <c r="F1349" s="26">
        <v>20</v>
      </c>
      <c r="G1349" s="26" t="s">
        <v>2602</v>
      </c>
    </row>
    <row r="1350" spans="1:7" hidden="1">
      <c r="A1350" s="865"/>
      <c r="B1350" s="26" t="s">
        <v>4524</v>
      </c>
      <c r="E1350" s="322" t="s">
        <v>1697</v>
      </c>
      <c r="F1350" s="26">
        <v>4</v>
      </c>
      <c r="G1350" s="26" t="s">
        <v>4939</v>
      </c>
    </row>
    <row r="1351" spans="1:7" hidden="1">
      <c r="A1351" s="865"/>
      <c r="B1351" s="26" t="s">
        <v>1677</v>
      </c>
    </row>
    <row r="1352" spans="1:7" hidden="1">
      <c r="A1352" s="865"/>
      <c r="B1352" s="26" t="s">
        <v>1678</v>
      </c>
    </row>
    <row r="1353" spans="1:7" hidden="1">
      <c r="A1353" s="865"/>
      <c r="B1353" s="26" t="s">
        <v>1884</v>
      </c>
    </row>
    <row r="1354" spans="1:7" hidden="1">
      <c r="A1354" s="865"/>
      <c r="B1354" s="26" t="s">
        <v>1885</v>
      </c>
    </row>
    <row r="1355" spans="1:7" hidden="1">
      <c r="A1355" s="865"/>
      <c r="B1355" s="26" t="s">
        <v>2366</v>
      </c>
    </row>
    <row r="1356" spans="1:7" hidden="1">
      <c r="A1356" s="865"/>
      <c r="B1356" s="26" t="s">
        <v>7240</v>
      </c>
      <c r="D1356" s="68">
        <f>'BASIC DATA'!$D$308</f>
        <v>6254</v>
      </c>
      <c r="E1356" s="315" t="s">
        <v>1698</v>
      </c>
      <c r="F1356" s="68">
        <f>D1356</f>
        <v>6254</v>
      </c>
    </row>
    <row r="1357" spans="1:7" hidden="1">
      <c r="A1357" s="865"/>
      <c r="B1357" s="26" t="s">
        <v>5105</v>
      </c>
      <c r="E1357" s="322" t="s">
        <v>1697</v>
      </c>
      <c r="F1357" s="26">
        <v>150</v>
      </c>
      <c r="G1357" s="26" t="s">
        <v>2602</v>
      </c>
    </row>
    <row r="1358" spans="1:7" hidden="1">
      <c r="A1358" s="865"/>
      <c r="B1358" s="26" t="s">
        <v>2837</v>
      </c>
      <c r="E1358" s="315" t="s">
        <v>1698</v>
      </c>
      <c r="F1358" s="68">
        <f>F1356/F1357</f>
        <v>41.693333333333335</v>
      </c>
    </row>
    <row r="1359" spans="1:7" hidden="1">
      <c r="A1359" s="865"/>
      <c r="B1359" s="26" t="s">
        <v>2664</v>
      </c>
      <c r="D1359" s="68">
        <f>'BASIC DATA'!$D$344</f>
        <v>185</v>
      </c>
      <c r="E1359" s="315" t="s">
        <v>1698</v>
      </c>
      <c r="F1359" s="68">
        <f>D1359*25</f>
        <v>4625</v>
      </c>
    </row>
    <row r="1360" spans="1:7" hidden="1">
      <c r="A1360" s="865"/>
      <c r="B1360" s="26" t="s">
        <v>5152</v>
      </c>
      <c r="E1360" s="322" t="s">
        <v>1697</v>
      </c>
      <c r="F1360" s="26">
        <v>800</v>
      </c>
      <c r="G1360" s="26" t="s">
        <v>4665</v>
      </c>
    </row>
    <row r="1361" spans="1:7" hidden="1">
      <c r="A1361" s="865"/>
      <c r="B1361" s="26" t="s">
        <v>6372</v>
      </c>
      <c r="E1361" s="315" t="s">
        <v>1698</v>
      </c>
      <c r="F1361" s="26">
        <f>F1359/F1360</f>
        <v>5.78125</v>
      </c>
    </row>
    <row r="1362" spans="1:7" hidden="1">
      <c r="A1362" s="865"/>
      <c r="B1362" s="26" t="s">
        <v>5425</v>
      </c>
      <c r="D1362" s="68">
        <f>'BASIC DATA'!$D$360</f>
        <v>185</v>
      </c>
      <c r="E1362" s="315" t="s">
        <v>1698</v>
      </c>
      <c r="F1362" s="68">
        <f>D1362*25</f>
        <v>4625</v>
      </c>
    </row>
    <row r="1363" spans="1:7" hidden="1">
      <c r="A1363" s="865"/>
      <c r="B1363" s="26" t="s">
        <v>3943</v>
      </c>
      <c r="E1363" s="322" t="s">
        <v>1697</v>
      </c>
      <c r="F1363" s="26">
        <v>800</v>
      </c>
      <c r="G1363" s="26" t="s">
        <v>4665</v>
      </c>
    </row>
    <row r="1364" spans="1:7" hidden="1">
      <c r="A1364" s="865"/>
      <c r="B1364" s="26" t="s">
        <v>4582</v>
      </c>
      <c r="E1364" s="315" t="s">
        <v>1698</v>
      </c>
      <c r="F1364" s="68">
        <f>F1362/F1363</f>
        <v>5.78125</v>
      </c>
    </row>
    <row r="1365" spans="1:7" hidden="1">
      <c r="A1365" s="865"/>
      <c r="B1365" s="26" t="s">
        <v>2665</v>
      </c>
    </row>
    <row r="1366" spans="1:7" hidden="1">
      <c r="A1366" s="865"/>
      <c r="B1366" s="26" t="s">
        <v>2672</v>
      </c>
      <c r="E1366" s="322" t="s">
        <v>1697</v>
      </c>
      <c r="F1366" s="26">
        <v>1</v>
      </c>
      <c r="G1366" s="26" t="s">
        <v>4089</v>
      </c>
    </row>
    <row r="1367" spans="1:7" hidden="1">
      <c r="A1367" s="865"/>
      <c r="B1367" s="26" t="s">
        <v>2673</v>
      </c>
      <c r="E1367" s="322" t="s">
        <v>1697</v>
      </c>
      <c r="F1367" s="26">
        <v>1</v>
      </c>
      <c r="G1367" s="26" t="s">
        <v>4089</v>
      </c>
    </row>
    <row r="1368" spans="1:7" hidden="1">
      <c r="A1368" s="865"/>
      <c r="B1368" s="26" t="s">
        <v>2674</v>
      </c>
      <c r="E1368" s="322" t="s">
        <v>1697</v>
      </c>
      <c r="F1368" s="26">
        <v>1</v>
      </c>
      <c r="G1368" s="26" t="s">
        <v>4089</v>
      </c>
    </row>
    <row r="1369" spans="1:7" hidden="1">
      <c r="A1369" s="865"/>
      <c r="B1369" s="26" t="s">
        <v>2310</v>
      </c>
      <c r="E1369" s="322" t="s">
        <v>1697</v>
      </c>
      <c r="F1369" s="26">
        <v>0.5</v>
      </c>
      <c r="G1369" s="26" t="s">
        <v>4089</v>
      </c>
    </row>
    <row r="1370" spans="1:7" hidden="1">
      <c r="A1370" s="865"/>
      <c r="B1370" s="26" t="s">
        <v>2675</v>
      </c>
      <c r="E1370" s="322" t="s">
        <v>1697</v>
      </c>
      <c r="F1370" s="26">
        <v>0.5</v>
      </c>
      <c r="G1370" s="26" t="s">
        <v>4089</v>
      </c>
    </row>
    <row r="1371" spans="1:7" hidden="1">
      <c r="A1371" s="865"/>
      <c r="B1371" s="26" t="s">
        <v>2676</v>
      </c>
      <c r="E1371" s="322" t="s">
        <v>1697</v>
      </c>
      <c r="F1371" s="26">
        <v>1</v>
      </c>
      <c r="G1371" s="26" t="s">
        <v>4089</v>
      </c>
    </row>
    <row r="1372" spans="1:7" hidden="1">
      <c r="A1372" s="865"/>
      <c r="B1372" s="26" t="s">
        <v>980</v>
      </c>
      <c r="E1372" s="322" t="s">
        <v>1697</v>
      </c>
      <c r="F1372" s="26">
        <v>2</v>
      </c>
      <c r="G1372" s="26" t="s">
        <v>4041</v>
      </c>
    </row>
    <row r="1373" spans="1:7" hidden="1">
      <c r="B1373" s="78"/>
    </row>
    <row r="1374" spans="1:7">
      <c r="B1374" s="78"/>
    </row>
    <row r="1375" spans="1:7">
      <c r="A1375" s="822" t="s">
        <v>3984</v>
      </c>
      <c r="B1375" s="78"/>
      <c r="C1375" s="203" t="s">
        <v>2367</v>
      </c>
      <c r="E1375" s="171" t="s">
        <v>297</v>
      </c>
      <c r="F1375" s="246">
        <v>20</v>
      </c>
      <c r="G1375" s="26" t="s">
        <v>3483</v>
      </c>
    </row>
    <row r="1376" spans="1:7">
      <c r="B1376" s="79" t="s">
        <v>2368</v>
      </c>
    </row>
    <row r="1377" spans="2:7">
      <c r="B1377" s="95" t="s">
        <v>2369</v>
      </c>
      <c r="C1377" s="157" t="s">
        <v>4443</v>
      </c>
      <c r="D1377" s="95" t="s">
        <v>2370</v>
      </c>
      <c r="E1377" s="95" t="s">
        <v>1166</v>
      </c>
      <c r="F1377" s="95" t="s">
        <v>2371</v>
      </c>
      <c r="G1377" s="95" t="s">
        <v>2372</v>
      </c>
    </row>
    <row r="1378" spans="2:7">
      <c r="B1378" s="114"/>
      <c r="C1378" s="154"/>
      <c r="D1378" s="114"/>
      <c r="E1378" s="114"/>
      <c r="F1378" s="114" t="s">
        <v>3485</v>
      </c>
      <c r="G1378" s="114" t="s">
        <v>3485</v>
      </c>
    </row>
    <row r="1379" spans="2:7">
      <c r="B1379" s="95">
        <v>1</v>
      </c>
      <c r="C1379" s="135" t="s">
        <v>6235</v>
      </c>
      <c r="D1379" s="95" t="s">
        <v>3478</v>
      </c>
      <c r="E1379" s="190">
        <f>F1343</f>
        <v>86.913750000000007</v>
      </c>
      <c r="F1379" s="214">
        <f>'BASIC DATA'!$D$91/1000</f>
        <v>34</v>
      </c>
      <c r="G1379" s="190">
        <f>E1379*F1379</f>
        <v>2955.0675000000001</v>
      </c>
    </row>
    <row r="1380" spans="2:7">
      <c r="B1380" s="105">
        <v>2</v>
      </c>
      <c r="C1380" s="135" t="s">
        <v>2677</v>
      </c>
      <c r="D1380" s="105" t="s">
        <v>3478</v>
      </c>
      <c r="E1380" s="190">
        <f>F1345</f>
        <v>65.940000000000012</v>
      </c>
      <c r="F1380" s="214">
        <f>'BASIC DATA'!$D$98/1000</f>
        <v>37.4</v>
      </c>
      <c r="G1380" s="190">
        <f t="shared" ref="G1380:G1387" si="24">E1380*F1380</f>
        <v>2466.1560000000004</v>
      </c>
    </row>
    <row r="1381" spans="2:7">
      <c r="B1381" s="317"/>
      <c r="C1381" s="135" t="s">
        <v>2678</v>
      </c>
      <c r="D1381" s="105" t="s">
        <v>3478</v>
      </c>
      <c r="E1381" s="190">
        <f>F1347</f>
        <v>6.1818750000000016</v>
      </c>
      <c r="F1381" s="214">
        <f>'BASIC DATA'!$D$98/1000</f>
        <v>37.4</v>
      </c>
      <c r="G1381" s="190">
        <f t="shared" si="24"/>
        <v>231.20212500000005</v>
      </c>
    </row>
    <row r="1382" spans="2:7">
      <c r="B1382" s="105">
        <v>3</v>
      </c>
      <c r="C1382" s="135" t="s">
        <v>4920</v>
      </c>
      <c r="D1382" s="105" t="s">
        <v>3478</v>
      </c>
      <c r="E1382" s="190">
        <v>4</v>
      </c>
      <c r="F1382" s="214">
        <f>'BASIC DATA'!$D$84</f>
        <v>80</v>
      </c>
      <c r="G1382" s="190">
        <f t="shared" si="24"/>
        <v>320</v>
      </c>
    </row>
    <row r="1383" spans="2:7">
      <c r="B1383" s="105">
        <v>4</v>
      </c>
      <c r="C1383" s="135" t="s">
        <v>4212</v>
      </c>
      <c r="D1383" s="105" t="s">
        <v>3483</v>
      </c>
      <c r="E1383" s="190">
        <v>20</v>
      </c>
      <c r="F1383" s="214">
        <f>F1358</f>
        <v>41.693333333333335</v>
      </c>
      <c r="G1383" s="190">
        <f t="shared" si="24"/>
        <v>833.86666666666667</v>
      </c>
    </row>
    <row r="1384" spans="2:7">
      <c r="B1384" s="317"/>
      <c r="C1384" s="135" t="s">
        <v>5125</v>
      </c>
      <c r="D1384" s="224">
        <v>0.1</v>
      </c>
      <c r="E1384" s="190"/>
      <c r="F1384" s="214"/>
      <c r="G1384" s="190">
        <f>G1383*D1384</f>
        <v>83.38666666666667</v>
      </c>
    </row>
    <row r="1385" spans="2:7">
      <c r="B1385" s="105">
        <v>5</v>
      </c>
      <c r="C1385" s="135" t="s">
        <v>6042</v>
      </c>
      <c r="D1385" s="105" t="s">
        <v>2374</v>
      </c>
      <c r="E1385" s="190">
        <v>6</v>
      </c>
      <c r="F1385" s="214">
        <f>F1361</f>
        <v>5.78125</v>
      </c>
      <c r="G1385" s="190">
        <f t="shared" si="24"/>
        <v>34.6875</v>
      </c>
    </row>
    <row r="1386" spans="2:7">
      <c r="B1386" s="105">
        <v>6</v>
      </c>
      <c r="C1386" s="135" t="s">
        <v>656</v>
      </c>
      <c r="D1386" s="105" t="s">
        <v>2374</v>
      </c>
      <c r="E1386" s="190">
        <v>6</v>
      </c>
      <c r="F1386" s="214">
        <f>F1364</f>
        <v>5.78125</v>
      </c>
      <c r="G1386" s="190">
        <f t="shared" si="24"/>
        <v>34.6875</v>
      </c>
    </row>
    <row r="1387" spans="2:7">
      <c r="B1387" s="114">
        <v>7</v>
      </c>
      <c r="C1387" s="135" t="s">
        <v>657</v>
      </c>
      <c r="D1387" s="105" t="s">
        <v>2173</v>
      </c>
      <c r="E1387" s="190">
        <v>5</v>
      </c>
      <c r="F1387" s="214">
        <f>'BASIC DATA'!$D$359</f>
        <v>30</v>
      </c>
      <c r="G1387" s="190">
        <f t="shared" si="24"/>
        <v>150</v>
      </c>
    </row>
    <row r="1388" spans="2:7">
      <c r="B1388" s="92"/>
      <c r="C1388" s="193" t="s">
        <v>2376</v>
      </c>
      <c r="D1388" s="159"/>
      <c r="E1388" s="238"/>
      <c r="F1388" s="236" t="s">
        <v>1698</v>
      </c>
      <c r="G1388" s="318">
        <f>SUM(G1379:G1387)</f>
        <v>7109.053958333333</v>
      </c>
    </row>
    <row r="1389" spans="2:7">
      <c r="B1389" s="78"/>
    </row>
    <row r="1390" spans="2:7">
      <c r="B1390" s="79" t="s">
        <v>2377</v>
      </c>
    </row>
    <row r="1391" spans="2:7">
      <c r="B1391" s="95" t="s">
        <v>2369</v>
      </c>
      <c r="C1391" s="157" t="s">
        <v>2378</v>
      </c>
      <c r="D1391" s="95" t="s">
        <v>2370</v>
      </c>
      <c r="E1391" s="95" t="s">
        <v>1166</v>
      </c>
      <c r="F1391" s="95" t="s">
        <v>2371</v>
      </c>
      <c r="G1391" s="95" t="s">
        <v>2372</v>
      </c>
    </row>
    <row r="1392" spans="2:7">
      <c r="B1392" s="114"/>
      <c r="C1392" s="154"/>
      <c r="D1392" s="114"/>
      <c r="E1392" s="114"/>
      <c r="F1392" s="114" t="s">
        <v>3485</v>
      </c>
      <c r="G1392" s="114" t="s">
        <v>3485</v>
      </c>
    </row>
    <row r="1393" spans="2:7">
      <c r="B1393" s="95">
        <v>1</v>
      </c>
      <c r="C1393" s="135" t="s">
        <v>4481</v>
      </c>
      <c r="D1393" s="95" t="s">
        <v>2374</v>
      </c>
      <c r="E1393" s="190">
        <v>1.5</v>
      </c>
      <c r="F1393" s="190">
        <f>'HIRE CHARGES'!$D$498</f>
        <v>138.80000000000001</v>
      </c>
      <c r="G1393" s="190">
        <f>E1393*F1393</f>
        <v>208.20000000000002</v>
      </c>
    </row>
    <row r="1394" spans="2:7">
      <c r="B1394" s="317"/>
      <c r="C1394" s="135" t="s">
        <v>2379</v>
      </c>
      <c r="D1394" s="105" t="s">
        <v>2374</v>
      </c>
      <c r="E1394" s="190">
        <v>1.5</v>
      </c>
      <c r="F1394" s="190">
        <f>'HIRE CHARGES'!$E$498</f>
        <v>700.5</v>
      </c>
      <c r="G1394" s="190">
        <f t="shared" ref="G1394:G1403" si="25">E1394*F1394</f>
        <v>1050.75</v>
      </c>
    </row>
    <row r="1395" spans="2:7">
      <c r="B1395" s="105">
        <v>2</v>
      </c>
      <c r="C1395" s="135" t="s">
        <v>4484</v>
      </c>
      <c r="D1395" s="105" t="s">
        <v>2374</v>
      </c>
      <c r="E1395" s="190">
        <v>1</v>
      </c>
      <c r="F1395" s="190">
        <f>'HIRE CHARGES'!$D$520</f>
        <v>6.7</v>
      </c>
      <c r="G1395" s="190">
        <f t="shared" si="25"/>
        <v>6.7</v>
      </c>
    </row>
    <row r="1396" spans="2:7">
      <c r="B1396" s="317"/>
      <c r="C1396" s="135" t="s">
        <v>2379</v>
      </c>
      <c r="D1396" s="105" t="s">
        <v>2374</v>
      </c>
      <c r="E1396" s="190">
        <v>1</v>
      </c>
      <c r="F1396" s="190">
        <f>'HIRE CHARGES'!$E$520</f>
        <v>56</v>
      </c>
      <c r="G1396" s="190">
        <f t="shared" si="25"/>
        <v>56</v>
      </c>
    </row>
    <row r="1397" spans="2:7">
      <c r="B1397" s="105">
        <v>3</v>
      </c>
      <c r="C1397" s="135" t="s">
        <v>6243</v>
      </c>
      <c r="D1397" s="105" t="s">
        <v>2374</v>
      </c>
      <c r="E1397" s="190">
        <v>6</v>
      </c>
      <c r="F1397" s="190">
        <f>'HIRE CHARGES'!$D$530</f>
        <v>19.8</v>
      </c>
      <c r="G1397" s="190">
        <f t="shared" si="25"/>
        <v>118.80000000000001</v>
      </c>
    </row>
    <row r="1398" spans="2:7">
      <c r="B1398" s="317"/>
      <c r="C1398" s="135" t="s">
        <v>2379</v>
      </c>
      <c r="D1398" s="105" t="s">
        <v>2374</v>
      </c>
      <c r="E1398" s="190">
        <v>6</v>
      </c>
      <c r="F1398" s="190">
        <f>'HIRE CHARGES'!$E$530</f>
        <v>0</v>
      </c>
      <c r="G1398" s="190">
        <f t="shared" si="25"/>
        <v>0</v>
      </c>
    </row>
    <row r="1399" spans="2:7">
      <c r="B1399" s="105">
        <v>4</v>
      </c>
      <c r="C1399" s="135" t="s">
        <v>6061</v>
      </c>
      <c r="D1399" s="105" t="s">
        <v>2374</v>
      </c>
      <c r="E1399" s="190">
        <v>6</v>
      </c>
      <c r="F1399" s="190">
        <f>'HIRE CHARGES'!$D$540</f>
        <v>12.7</v>
      </c>
      <c r="G1399" s="190">
        <f t="shared" si="25"/>
        <v>76.199999999999989</v>
      </c>
    </row>
    <row r="1400" spans="2:7">
      <c r="B1400" s="317"/>
      <c r="C1400" s="135" t="s">
        <v>2379</v>
      </c>
      <c r="D1400" s="105" t="s">
        <v>2374</v>
      </c>
      <c r="E1400" s="190">
        <v>6</v>
      </c>
      <c r="F1400" s="190">
        <f>'HIRE CHARGES'!$E$540</f>
        <v>0</v>
      </c>
      <c r="G1400" s="190">
        <f t="shared" si="25"/>
        <v>0</v>
      </c>
    </row>
    <row r="1401" spans="2:7">
      <c r="B1401" s="105">
        <v>5</v>
      </c>
      <c r="C1401" s="135" t="s">
        <v>7102</v>
      </c>
      <c r="D1401" s="105" t="s">
        <v>2374</v>
      </c>
      <c r="E1401" s="190">
        <v>4</v>
      </c>
      <c r="F1401" s="190">
        <f>'HIRE CHARGES'!$D$524</f>
        <v>368.40000000000003</v>
      </c>
      <c r="G1401" s="190">
        <f t="shared" si="25"/>
        <v>1473.6000000000001</v>
      </c>
    </row>
    <row r="1402" spans="2:7">
      <c r="B1402" s="317"/>
      <c r="C1402" s="135" t="s">
        <v>2379</v>
      </c>
      <c r="D1402" s="105" t="s">
        <v>2374</v>
      </c>
      <c r="E1402" s="190">
        <v>4</v>
      </c>
      <c r="F1402" s="190">
        <f>'HIRE CHARGES'!$E$524</f>
        <v>42.8</v>
      </c>
      <c r="G1402" s="190">
        <f t="shared" si="25"/>
        <v>171.2</v>
      </c>
    </row>
    <row r="1403" spans="2:7">
      <c r="B1403" s="105">
        <v>6</v>
      </c>
      <c r="C1403" s="135" t="s">
        <v>849</v>
      </c>
      <c r="D1403" s="105" t="s">
        <v>2173</v>
      </c>
      <c r="E1403" s="190">
        <v>5</v>
      </c>
      <c r="F1403" s="214">
        <f>'BASIC DATA'!$D$359</f>
        <v>30</v>
      </c>
      <c r="G1403" s="190">
        <f t="shared" si="25"/>
        <v>150</v>
      </c>
    </row>
    <row r="1404" spans="2:7">
      <c r="B1404" s="176"/>
      <c r="C1404" s="172" t="s">
        <v>2380</v>
      </c>
      <c r="D1404" s="174"/>
      <c r="E1404" s="192"/>
      <c r="F1404" s="236" t="s">
        <v>1698</v>
      </c>
      <c r="G1404" s="318">
        <f>SUM(G1393:G1403)</f>
        <v>3311.45</v>
      </c>
    </row>
    <row r="1405" spans="2:7">
      <c r="B1405" s="78"/>
    </row>
    <row r="1406" spans="2:7">
      <c r="B1406" s="79" t="s">
        <v>2381</v>
      </c>
    </row>
    <row r="1407" spans="2:7">
      <c r="B1407" s="95" t="s">
        <v>2369</v>
      </c>
      <c r="C1407" s="157" t="s">
        <v>2378</v>
      </c>
      <c r="D1407" s="95" t="s">
        <v>2370</v>
      </c>
      <c r="E1407" s="95" t="s">
        <v>1166</v>
      </c>
      <c r="F1407" s="95" t="s">
        <v>2371</v>
      </c>
      <c r="G1407" s="95" t="s">
        <v>2372</v>
      </c>
    </row>
    <row r="1408" spans="2:7">
      <c r="B1408" s="114"/>
      <c r="C1408" s="154"/>
      <c r="D1408" s="114"/>
      <c r="E1408" s="114"/>
      <c r="F1408" s="114" t="s">
        <v>3485</v>
      </c>
      <c r="G1408" s="114" t="s">
        <v>3485</v>
      </c>
    </row>
    <row r="1409" spans="2:7">
      <c r="B1409" s="105">
        <v>1</v>
      </c>
      <c r="C1409" s="76" t="s">
        <v>4606</v>
      </c>
      <c r="D1409" s="105" t="s">
        <v>2374</v>
      </c>
      <c r="E1409" s="207">
        <v>1.5</v>
      </c>
      <c r="F1409" s="190">
        <f>'HIRE CHARGES'!$F$498</f>
        <v>175.8</v>
      </c>
      <c r="G1409" s="190">
        <f>E1409*F1409</f>
        <v>263.70000000000005</v>
      </c>
    </row>
    <row r="1410" spans="2:7">
      <c r="B1410" s="105">
        <v>2</v>
      </c>
      <c r="C1410" s="76" t="s">
        <v>1171</v>
      </c>
      <c r="D1410" s="105" t="s">
        <v>2374</v>
      </c>
      <c r="E1410" s="207">
        <v>1</v>
      </c>
      <c r="F1410" s="190">
        <f>'HIRE CHARGES'!$F$520</f>
        <v>83.3</v>
      </c>
      <c r="G1410" s="190">
        <f t="shared" ref="G1410:G1419" si="26">E1410*F1410</f>
        <v>83.3</v>
      </c>
    </row>
    <row r="1411" spans="2:7">
      <c r="B1411" s="105">
        <v>3</v>
      </c>
      <c r="C1411" s="76" t="s">
        <v>4607</v>
      </c>
      <c r="D1411" s="105" t="s">
        <v>2374</v>
      </c>
      <c r="E1411" s="207">
        <v>6</v>
      </c>
      <c r="F1411" s="190">
        <f>'HIRE CHARGES'!$F$530</f>
        <v>329.6</v>
      </c>
      <c r="G1411" s="190">
        <f t="shared" si="26"/>
        <v>1977.6000000000001</v>
      </c>
    </row>
    <row r="1412" spans="2:7">
      <c r="B1412" s="105">
        <v>4</v>
      </c>
      <c r="C1412" s="76" t="s">
        <v>4487</v>
      </c>
      <c r="D1412" s="105" t="s">
        <v>2374</v>
      </c>
      <c r="E1412" s="207">
        <v>4</v>
      </c>
      <c r="F1412" s="190">
        <f>'HIRE CHARGES'!$F$524</f>
        <v>175.8</v>
      </c>
      <c r="G1412" s="190">
        <f t="shared" si="26"/>
        <v>703.2</v>
      </c>
    </row>
    <row r="1413" spans="2:7">
      <c r="B1413" s="105">
        <v>5</v>
      </c>
      <c r="C1413" s="76" t="s">
        <v>1066</v>
      </c>
      <c r="D1413" s="105" t="s">
        <v>1172</v>
      </c>
      <c r="E1413" s="207">
        <v>0.5</v>
      </c>
      <c r="F1413" s="190">
        <f>'BASIC DATA'!$C$475</f>
        <v>475</v>
      </c>
      <c r="G1413" s="190">
        <f t="shared" si="26"/>
        <v>237.5</v>
      </c>
    </row>
    <row r="1414" spans="2:7">
      <c r="B1414" s="105">
        <v>6</v>
      </c>
      <c r="C1414" s="76" t="s">
        <v>3010</v>
      </c>
      <c r="D1414" s="105" t="s">
        <v>1172</v>
      </c>
      <c r="E1414" s="207">
        <v>1</v>
      </c>
      <c r="F1414" s="190">
        <f>'BASIC DATA'!$C$504</f>
        <v>445</v>
      </c>
      <c r="G1414" s="190">
        <f t="shared" si="26"/>
        <v>445</v>
      </c>
    </row>
    <row r="1415" spans="2:7">
      <c r="B1415" s="105">
        <v>7</v>
      </c>
      <c r="C1415" s="76" t="s">
        <v>850</v>
      </c>
      <c r="D1415" s="105" t="s">
        <v>1172</v>
      </c>
      <c r="E1415" s="207">
        <v>1</v>
      </c>
      <c r="F1415" s="190">
        <f>'BASIC DATA'!$C$488</f>
        <v>510</v>
      </c>
      <c r="G1415" s="190">
        <f t="shared" si="26"/>
        <v>510</v>
      </c>
    </row>
    <row r="1416" spans="2:7">
      <c r="B1416" s="105">
        <v>8</v>
      </c>
      <c r="C1416" s="76" t="s">
        <v>851</v>
      </c>
      <c r="D1416" s="105" t="s">
        <v>1172</v>
      </c>
      <c r="E1416" s="207">
        <v>1</v>
      </c>
      <c r="F1416" s="190">
        <f>'BASIC DATA'!$C$465</f>
        <v>445</v>
      </c>
      <c r="G1416" s="190">
        <f t="shared" si="26"/>
        <v>445</v>
      </c>
    </row>
    <row r="1417" spans="2:7">
      <c r="B1417" s="105">
        <v>9</v>
      </c>
      <c r="C1417" s="76" t="s">
        <v>6921</v>
      </c>
      <c r="D1417" s="105" t="s">
        <v>1172</v>
      </c>
      <c r="E1417" s="207">
        <v>1</v>
      </c>
      <c r="F1417" s="190">
        <f>'BASIC DATA'!$C$500</f>
        <v>445</v>
      </c>
      <c r="G1417" s="190">
        <f t="shared" si="26"/>
        <v>445</v>
      </c>
    </row>
    <row r="1418" spans="2:7">
      <c r="B1418" s="105">
        <v>10</v>
      </c>
      <c r="C1418" s="76" t="s">
        <v>2310</v>
      </c>
      <c r="D1418" s="105" t="s">
        <v>1172</v>
      </c>
      <c r="E1418" s="207">
        <v>0.5</v>
      </c>
      <c r="F1418" s="190">
        <f>'BASIC DATA'!$C$546</f>
        <v>400</v>
      </c>
      <c r="G1418" s="190">
        <f t="shared" si="26"/>
        <v>200</v>
      </c>
    </row>
    <row r="1419" spans="2:7">
      <c r="B1419" s="105">
        <v>11</v>
      </c>
      <c r="C1419" s="76" t="s">
        <v>2697</v>
      </c>
      <c r="D1419" s="105" t="s">
        <v>1172</v>
      </c>
      <c r="E1419" s="207">
        <v>2</v>
      </c>
      <c r="F1419" s="190">
        <f>'BASIC DATA'!$C$552</f>
        <v>350</v>
      </c>
      <c r="G1419" s="190">
        <f t="shared" si="26"/>
        <v>700</v>
      </c>
    </row>
    <row r="1420" spans="2:7">
      <c r="B1420" s="92"/>
      <c r="C1420" s="193" t="s">
        <v>1174</v>
      </c>
      <c r="D1420" s="159"/>
      <c r="E1420" s="238"/>
      <c r="F1420" s="236" t="s">
        <v>1698</v>
      </c>
      <c r="G1420" s="318">
        <f>SUM(G1409:G1419)</f>
        <v>6010.3</v>
      </c>
    </row>
    <row r="1421" spans="2:7">
      <c r="B1421" s="60" t="s">
        <v>5948</v>
      </c>
      <c r="D1421" s="31"/>
      <c r="E1421" s="85">
        <f>ROUND(G1420/F1375,1)</f>
        <v>300.5</v>
      </c>
    </row>
    <row r="1422" spans="2:7">
      <c r="B1422" s="60" t="s">
        <v>3163</v>
      </c>
      <c r="D1422" s="922">
        <f>'BASIC DATA'!$C$577</f>
        <v>0.13614999999999999</v>
      </c>
      <c r="E1422" s="85">
        <f>ROUND(E1421*D1422,1)</f>
        <v>40.9</v>
      </c>
    </row>
    <row r="1423" spans="2:7">
      <c r="B1423" s="60" t="s">
        <v>5949</v>
      </c>
      <c r="D1423" s="31"/>
      <c r="E1423" s="199">
        <f>ROUND(E1422+E1421,1)</f>
        <v>341.4</v>
      </c>
    </row>
    <row r="1424" spans="2:7"/>
    <row r="1425" spans="1:7">
      <c r="B1425" s="170" t="s">
        <v>1175</v>
      </c>
    </row>
    <row r="1426" spans="1:7">
      <c r="B1426" s="26" t="s">
        <v>1176</v>
      </c>
      <c r="F1426" s="171" t="s">
        <v>1698</v>
      </c>
      <c r="G1426" s="68">
        <f>G1388</f>
        <v>7109.053958333333</v>
      </c>
    </row>
    <row r="1427" spans="1:7">
      <c r="B1427" s="26" t="s">
        <v>1186</v>
      </c>
      <c r="F1427" s="171" t="s">
        <v>1698</v>
      </c>
      <c r="G1427" s="68">
        <f>G1404</f>
        <v>3311.45</v>
      </c>
    </row>
    <row r="1428" spans="1:7">
      <c r="B1428" s="26" t="s">
        <v>2660</v>
      </c>
      <c r="F1428" s="171" t="s">
        <v>1698</v>
      </c>
      <c r="G1428" s="75">
        <f>G1420</f>
        <v>6010.3</v>
      </c>
    </row>
    <row r="1429" spans="1:7">
      <c r="E1429" s="171"/>
      <c r="F1429" s="171" t="s">
        <v>302</v>
      </c>
      <c r="G1429" s="205">
        <f>SUM(G1426:G1428)</f>
        <v>16430.803958333334</v>
      </c>
    </row>
    <row r="1430" spans="1:7">
      <c r="A1430" s="853"/>
      <c r="B1430" s="61" t="s">
        <v>2313</v>
      </c>
      <c r="C1430" s="61"/>
      <c r="D1430" s="61"/>
      <c r="E1430" s="320">
        <f>'BASIC DATA'!$C$595</f>
        <v>0.01</v>
      </c>
      <c r="F1430" s="222" t="s">
        <v>1698</v>
      </c>
      <c r="G1430" s="321">
        <f>E1430*$G$1429</f>
        <v>164.30803958333334</v>
      </c>
    </row>
    <row r="1431" spans="1:7">
      <c r="A1431" s="853"/>
      <c r="B1431" s="61" t="s">
        <v>2314</v>
      </c>
      <c r="C1431" s="61"/>
      <c r="D1431" s="61"/>
      <c r="E1431" s="291">
        <f>'BASIC DATA'!$C$596</f>
        <v>4.4999999999999998E-2</v>
      </c>
      <c r="F1431" s="222" t="s">
        <v>1698</v>
      </c>
      <c r="G1431" s="321">
        <f>E1431*$G$1429</f>
        <v>739.38617812500001</v>
      </c>
    </row>
    <row r="1432" spans="1:7">
      <c r="A1432" s="853"/>
      <c r="B1432" s="61" t="s">
        <v>2315</v>
      </c>
      <c r="C1432" s="61"/>
      <c r="D1432" s="61"/>
      <c r="E1432" s="291">
        <f>'BASIC DATA'!$C$597</f>
        <v>1.6E-2</v>
      </c>
      <c r="F1432" s="222" t="s">
        <v>1698</v>
      </c>
      <c r="G1432" s="321">
        <f>E1432*$G$1429</f>
        <v>262.89286333333337</v>
      </c>
    </row>
    <row r="1433" spans="1:7">
      <c r="A1433" s="853"/>
      <c r="B1433" s="61" t="s">
        <v>1259</v>
      </c>
      <c r="C1433" s="61"/>
      <c r="D1433" s="61"/>
      <c r="E1433" s="291">
        <f>'BASIC DATA'!$C$598</f>
        <v>2.5000000000000001E-2</v>
      </c>
      <c r="F1433" s="222" t="s">
        <v>1698</v>
      </c>
      <c r="G1433" s="321">
        <f>E1433*$G$1429</f>
        <v>410.77009895833339</v>
      </c>
    </row>
    <row r="1434" spans="1:7">
      <c r="A1434" s="853"/>
      <c r="B1434" s="61"/>
      <c r="C1434" s="61"/>
      <c r="D1434" s="61"/>
      <c r="E1434" s="291"/>
      <c r="F1434" s="171" t="s">
        <v>302</v>
      </c>
      <c r="G1434" s="205">
        <f>SUM(G1429:G1433)</f>
        <v>18008.161138333337</v>
      </c>
    </row>
    <row r="1435" spans="1:7" ht="38.25" customHeight="1">
      <c r="B1435" s="1207" t="s">
        <v>6259</v>
      </c>
      <c r="C1435" s="1207"/>
      <c r="D1435" s="1207"/>
      <c r="E1435" s="922">
        <f>'BASIC DATA'!$C$577</f>
        <v>0.13614999999999999</v>
      </c>
      <c r="F1435" s="171" t="s">
        <v>1698</v>
      </c>
      <c r="G1435" s="75">
        <f>G1434*E1435</f>
        <v>2451.8111389840838</v>
      </c>
    </row>
    <row r="1436" spans="1:7" ht="36.75" customHeight="1">
      <c r="B1436" s="1207" t="s">
        <v>9611</v>
      </c>
      <c r="C1436" s="1207"/>
      <c r="D1436" s="779">
        <f>SUM(E1379:E1381)/1000</f>
        <v>0.15903562500000001</v>
      </c>
      <c r="E1436" s="201" t="s">
        <v>9592</v>
      </c>
      <c r="F1436" s="68" t="str">
        <f>CONCATENATE((leadcharges!$F$65+leadcharges!$G$78+leadcharges!$G$79)," ","Rs./Tonne")</f>
        <v>168.6 Rs./Tonne</v>
      </c>
      <c r="G1436" s="200">
        <f>(leadcharges!$F$65+leadcharges!$G$78+leadcharges!$G$79)*D1436</f>
        <v>26.813406375000003</v>
      </c>
    </row>
    <row r="1437" spans="1:7">
      <c r="B1437" s="26" t="s">
        <v>1191</v>
      </c>
      <c r="D1437" s="68">
        <f>F1375</f>
        <v>20</v>
      </c>
      <c r="E1437" s="68" t="str">
        <f>G1375</f>
        <v>Rm</v>
      </c>
      <c r="F1437" s="171" t="s">
        <v>1698</v>
      </c>
      <c r="G1437" s="211">
        <f>SUM(G1434:G1436)</f>
        <v>20486.785683692422</v>
      </c>
    </row>
    <row r="1438" spans="1:7">
      <c r="B1438" s="170" t="s">
        <v>3884</v>
      </c>
      <c r="C1438" s="170" t="str">
        <f>E1437</f>
        <v>Rm</v>
      </c>
      <c r="D1438" s="26" t="s">
        <v>6571</v>
      </c>
      <c r="F1438" s="171" t="s">
        <v>1698</v>
      </c>
      <c r="G1438" s="211">
        <f>ROUND(G1437/D1437,1)</f>
        <v>1024.3</v>
      </c>
    </row>
    <row r="1439" spans="1:7">
      <c r="B1439" s="78"/>
    </row>
    <row r="1440" spans="1:7">
      <c r="B1440" s="78"/>
    </row>
    <row r="1441" spans="1:7" ht="18.75">
      <c r="A1441" s="822" t="s">
        <v>7397</v>
      </c>
      <c r="B1441" s="26" t="s">
        <v>8600</v>
      </c>
    </row>
    <row r="1442" spans="1:7">
      <c r="A1442" s="865"/>
      <c r="B1442" s="26" t="s">
        <v>8601</v>
      </c>
    </row>
    <row r="1443" spans="1:7">
      <c r="A1443" s="865"/>
      <c r="B1443" s="26" t="s">
        <v>7009</v>
      </c>
    </row>
    <row r="1444" spans="1:7">
      <c r="A1444" s="865"/>
      <c r="B1444" s="26" t="s">
        <v>7010</v>
      </c>
    </row>
    <row r="1445" spans="1:7" ht="18.75">
      <c r="A1445" s="865"/>
      <c r="B1445" s="26" t="s">
        <v>8602</v>
      </c>
      <c r="F1445" s="322"/>
    </row>
    <row r="1446" spans="1:7">
      <c r="A1446" s="865"/>
      <c r="F1446" s="322"/>
    </row>
    <row r="1447" spans="1:7" hidden="1">
      <c r="A1447" s="865" t="s">
        <v>3984</v>
      </c>
      <c r="B1447" s="26" t="s">
        <v>6894</v>
      </c>
      <c r="E1447" s="322" t="s">
        <v>1697</v>
      </c>
      <c r="F1447" s="26">
        <v>25</v>
      </c>
      <c r="G1447" s="26" t="s">
        <v>4938</v>
      </c>
    </row>
    <row r="1448" spans="1:7" hidden="1">
      <c r="A1448" s="865"/>
      <c r="B1448" s="26" t="s">
        <v>6895</v>
      </c>
      <c r="E1448" s="322" t="s">
        <v>1697</v>
      </c>
      <c r="F1448" s="26">
        <v>2.15</v>
      </c>
      <c r="G1448" s="26" t="s">
        <v>2602</v>
      </c>
    </row>
    <row r="1449" spans="1:7" hidden="1">
      <c r="A1449" s="865"/>
      <c r="B1449" s="26" t="s">
        <v>6896</v>
      </c>
      <c r="E1449" s="322" t="s">
        <v>1697</v>
      </c>
      <c r="F1449" s="26">
        <v>2</v>
      </c>
      <c r="G1449" s="26" t="s">
        <v>4041</v>
      </c>
    </row>
    <row r="1450" spans="1:7" hidden="1">
      <c r="A1450" s="865"/>
      <c r="B1450" s="26" t="s">
        <v>4623</v>
      </c>
      <c r="E1450" s="322" t="s">
        <v>1697</v>
      </c>
      <c r="F1450" s="26">
        <v>2</v>
      </c>
      <c r="G1450" s="26" t="s">
        <v>4041</v>
      </c>
    </row>
    <row r="1451" spans="1:7" hidden="1">
      <c r="A1451" s="865"/>
      <c r="B1451" s="26" t="s">
        <v>4920</v>
      </c>
      <c r="E1451" s="322" t="s">
        <v>1697</v>
      </c>
      <c r="F1451" s="26">
        <v>2</v>
      </c>
      <c r="G1451" s="26" t="s">
        <v>4041</v>
      </c>
    </row>
    <row r="1452" spans="1:7" hidden="1">
      <c r="A1452" s="865"/>
      <c r="B1452" s="26" t="s">
        <v>4921</v>
      </c>
      <c r="E1452" s="322" t="s">
        <v>1697</v>
      </c>
      <c r="F1452" s="26">
        <v>35</v>
      </c>
      <c r="G1452" s="26" t="s">
        <v>4938</v>
      </c>
    </row>
    <row r="1453" spans="1:7" hidden="1">
      <c r="A1453" s="865"/>
      <c r="B1453" s="26" t="s">
        <v>4922</v>
      </c>
      <c r="E1453" s="322" t="s">
        <v>1697</v>
      </c>
      <c r="F1453" s="68">
        <v>2</v>
      </c>
      <c r="G1453" s="26" t="s">
        <v>2602</v>
      </c>
    </row>
    <row r="1454" spans="1:7" hidden="1">
      <c r="A1454" s="865"/>
      <c r="B1454" s="26" t="s">
        <v>6217</v>
      </c>
    </row>
    <row r="1455" spans="1:7" hidden="1">
      <c r="A1455" s="865"/>
      <c r="B1455" s="26" t="s">
        <v>6218</v>
      </c>
    </row>
    <row r="1456" spans="1:7" hidden="1">
      <c r="A1456" s="865"/>
      <c r="B1456" s="26" t="s">
        <v>314</v>
      </c>
    </row>
    <row r="1457" spans="1:7" hidden="1">
      <c r="A1457" s="865"/>
      <c r="B1457" s="26" t="s">
        <v>1076</v>
      </c>
      <c r="F1457" s="26">
        <f>10*2.15*3.85*1.05</f>
        <v>86.913750000000007</v>
      </c>
      <c r="G1457" s="26" t="s">
        <v>3478</v>
      </c>
    </row>
    <row r="1458" spans="1:7" hidden="1">
      <c r="A1458" s="865"/>
      <c r="B1458" s="26" t="s">
        <v>1077</v>
      </c>
    </row>
    <row r="1459" spans="1:7" hidden="1">
      <c r="A1459" s="865"/>
      <c r="B1459" s="26" t="s">
        <v>1078</v>
      </c>
      <c r="F1459" s="26">
        <f>10*2*0.2*0.2*78.5*1.05</f>
        <v>65.940000000000012</v>
      </c>
      <c r="G1459" s="26" t="s">
        <v>3478</v>
      </c>
    </row>
    <row r="1460" spans="1:7" hidden="1">
      <c r="A1460" s="865"/>
      <c r="B1460" s="26" t="s">
        <v>3932</v>
      </c>
      <c r="F1460" s="26">
        <v>4</v>
      </c>
      <c r="G1460" s="26" t="s">
        <v>3478</v>
      </c>
    </row>
    <row r="1461" spans="1:7" hidden="1">
      <c r="A1461" s="865"/>
      <c r="B1461" s="26" t="s">
        <v>4523</v>
      </c>
      <c r="F1461" s="26">
        <v>20</v>
      </c>
      <c r="G1461" s="26" t="s">
        <v>2602</v>
      </c>
    </row>
    <row r="1462" spans="1:7" hidden="1">
      <c r="A1462" s="865"/>
      <c r="B1462" s="26" t="s">
        <v>4524</v>
      </c>
      <c r="F1462" s="26">
        <v>4</v>
      </c>
      <c r="G1462" s="26" t="s">
        <v>4939</v>
      </c>
    </row>
    <row r="1463" spans="1:7" hidden="1">
      <c r="A1463" s="865"/>
      <c r="B1463" s="26" t="s">
        <v>1677</v>
      </c>
    </row>
    <row r="1464" spans="1:7" hidden="1">
      <c r="A1464" s="865"/>
      <c r="B1464" s="26" t="s">
        <v>1678</v>
      </c>
    </row>
    <row r="1465" spans="1:7" hidden="1">
      <c r="A1465" s="865"/>
      <c r="B1465" s="26" t="s">
        <v>1884</v>
      </c>
    </row>
    <row r="1466" spans="1:7" hidden="1">
      <c r="A1466" s="865"/>
      <c r="B1466" s="26" t="s">
        <v>1885</v>
      </c>
    </row>
    <row r="1467" spans="1:7" hidden="1">
      <c r="A1467" s="865"/>
      <c r="B1467" s="26" t="s">
        <v>2366</v>
      </c>
    </row>
    <row r="1468" spans="1:7" hidden="1">
      <c r="A1468" s="865"/>
      <c r="B1468" s="26" t="s">
        <v>7240</v>
      </c>
      <c r="D1468" s="68">
        <f>'BASIC DATA'!$D$308</f>
        <v>6254</v>
      </c>
      <c r="E1468" s="315" t="s">
        <v>1698</v>
      </c>
      <c r="F1468" s="68">
        <f>D1468</f>
        <v>6254</v>
      </c>
    </row>
    <row r="1469" spans="1:7" hidden="1">
      <c r="A1469" s="865"/>
      <c r="B1469" s="26" t="s">
        <v>5105</v>
      </c>
      <c r="E1469" s="322" t="s">
        <v>1697</v>
      </c>
      <c r="F1469" s="316">
        <v>150</v>
      </c>
      <c r="G1469" s="26" t="s">
        <v>2602</v>
      </c>
    </row>
    <row r="1470" spans="1:7" hidden="1">
      <c r="A1470" s="865"/>
      <c r="B1470" s="26" t="s">
        <v>2837</v>
      </c>
      <c r="E1470" s="315" t="s">
        <v>1698</v>
      </c>
      <c r="F1470" s="68">
        <f>F1468/F1469</f>
        <v>41.693333333333335</v>
      </c>
    </row>
    <row r="1471" spans="1:7" hidden="1">
      <c r="A1471" s="865"/>
      <c r="B1471" s="26" t="s">
        <v>5426</v>
      </c>
      <c r="D1471" s="68">
        <f>'BASIC DATA'!$D$344</f>
        <v>185</v>
      </c>
      <c r="E1471" s="315" t="s">
        <v>1698</v>
      </c>
      <c r="F1471" s="68">
        <f>D1471*25</f>
        <v>4625</v>
      </c>
    </row>
    <row r="1472" spans="1:7" hidden="1">
      <c r="A1472" s="865"/>
      <c r="B1472" s="26" t="s">
        <v>5152</v>
      </c>
      <c r="E1472" s="322" t="s">
        <v>1697</v>
      </c>
      <c r="F1472" s="316">
        <v>800</v>
      </c>
      <c r="G1472" s="26" t="s">
        <v>4665</v>
      </c>
    </row>
    <row r="1473" spans="1:7" hidden="1">
      <c r="A1473" s="865"/>
      <c r="B1473" s="26" t="s">
        <v>6372</v>
      </c>
      <c r="E1473" s="315" t="s">
        <v>1698</v>
      </c>
      <c r="F1473" s="68">
        <f>F1471/F1472</f>
        <v>5.78125</v>
      </c>
    </row>
    <row r="1474" spans="1:7" hidden="1">
      <c r="A1474" s="865"/>
      <c r="B1474" s="26" t="s">
        <v>1680</v>
      </c>
      <c r="D1474" s="68">
        <f>'BASIC DATA'!$D$360</f>
        <v>185</v>
      </c>
      <c r="E1474" s="315" t="s">
        <v>1698</v>
      </c>
      <c r="F1474" s="68">
        <f>D1474*25</f>
        <v>4625</v>
      </c>
    </row>
    <row r="1475" spans="1:7" hidden="1">
      <c r="A1475" s="865"/>
      <c r="B1475" s="26" t="s">
        <v>3943</v>
      </c>
      <c r="E1475" s="322" t="s">
        <v>1697</v>
      </c>
      <c r="F1475" s="316">
        <v>800</v>
      </c>
      <c r="G1475" s="26" t="s">
        <v>4665</v>
      </c>
    </row>
    <row r="1476" spans="1:7" hidden="1">
      <c r="A1476" s="865"/>
      <c r="B1476" s="26" t="s">
        <v>4582</v>
      </c>
      <c r="E1476" s="315" t="s">
        <v>1698</v>
      </c>
      <c r="F1476" s="68">
        <f>F1474/F1475</f>
        <v>5.78125</v>
      </c>
    </row>
    <row r="1477" spans="1:7" hidden="1">
      <c r="A1477" s="865"/>
      <c r="B1477" s="26" t="s">
        <v>2665</v>
      </c>
    </row>
    <row r="1478" spans="1:7" hidden="1">
      <c r="A1478" s="865"/>
      <c r="B1478" s="26" t="s">
        <v>4427</v>
      </c>
      <c r="E1478" s="322" t="s">
        <v>1697</v>
      </c>
      <c r="F1478" s="316">
        <v>1</v>
      </c>
      <c r="G1478" s="26" t="s">
        <v>4089</v>
      </c>
    </row>
    <row r="1479" spans="1:7" hidden="1">
      <c r="A1479" s="865"/>
      <c r="B1479" s="26" t="s">
        <v>2674</v>
      </c>
      <c r="E1479" s="322" t="s">
        <v>1697</v>
      </c>
      <c r="F1479" s="316">
        <v>1</v>
      </c>
      <c r="G1479" s="26" t="s">
        <v>4089</v>
      </c>
    </row>
    <row r="1480" spans="1:7" hidden="1">
      <c r="A1480" s="865"/>
      <c r="B1480" s="26" t="s">
        <v>2310</v>
      </c>
      <c r="E1480" s="322" t="s">
        <v>1697</v>
      </c>
      <c r="F1480" s="316">
        <v>0.5</v>
      </c>
      <c r="G1480" s="26" t="s">
        <v>4089</v>
      </c>
    </row>
    <row r="1481" spans="1:7" hidden="1">
      <c r="A1481" s="865"/>
      <c r="B1481" s="26" t="s">
        <v>2675</v>
      </c>
      <c r="E1481" s="322" t="s">
        <v>1697</v>
      </c>
      <c r="F1481" s="316">
        <v>0.5</v>
      </c>
      <c r="G1481" s="26" t="s">
        <v>4089</v>
      </c>
    </row>
    <row r="1482" spans="1:7" hidden="1">
      <c r="A1482" s="865"/>
      <c r="B1482" s="26" t="s">
        <v>2676</v>
      </c>
      <c r="E1482" s="322" t="s">
        <v>1697</v>
      </c>
      <c r="F1482" s="316">
        <v>1</v>
      </c>
      <c r="G1482" s="26" t="s">
        <v>4089</v>
      </c>
    </row>
    <row r="1483" spans="1:7" hidden="1">
      <c r="A1483" s="865"/>
      <c r="B1483" s="26" t="s">
        <v>980</v>
      </c>
      <c r="E1483" s="322" t="s">
        <v>1697</v>
      </c>
      <c r="F1483" s="316">
        <v>2</v>
      </c>
      <c r="G1483" s="26" t="s">
        <v>4041</v>
      </c>
    </row>
    <row r="1484" spans="1:7" hidden="1">
      <c r="B1484" s="78"/>
    </row>
    <row r="1485" spans="1:7">
      <c r="B1485" s="78"/>
    </row>
    <row r="1486" spans="1:7">
      <c r="A1486" s="822" t="s">
        <v>3984</v>
      </c>
      <c r="B1486" s="78"/>
      <c r="C1486" s="203" t="s">
        <v>2367</v>
      </c>
      <c r="E1486" s="171" t="s">
        <v>297</v>
      </c>
      <c r="F1486" s="246">
        <v>20</v>
      </c>
      <c r="G1486" s="68" t="s">
        <v>3483</v>
      </c>
    </row>
    <row r="1487" spans="1:7">
      <c r="B1487" s="79" t="s">
        <v>2368</v>
      </c>
    </row>
    <row r="1488" spans="1:7">
      <c r="B1488" s="95" t="s">
        <v>2369</v>
      </c>
      <c r="C1488" s="157" t="s">
        <v>4443</v>
      </c>
      <c r="D1488" s="95" t="s">
        <v>2370</v>
      </c>
      <c r="E1488" s="95" t="s">
        <v>1166</v>
      </c>
      <c r="F1488" s="95" t="s">
        <v>2371</v>
      </c>
      <c r="G1488" s="95" t="s">
        <v>2372</v>
      </c>
    </row>
    <row r="1489" spans="2:7">
      <c r="B1489" s="114"/>
      <c r="C1489" s="154"/>
      <c r="D1489" s="114"/>
      <c r="E1489" s="114"/>
      <c r="F1489" s="114" t="s">
        <v>3485</v>
      </c>
      <c r="G1489" s="114" t="s">
        <v>3485</v>
      </c>
    </row>
    <row r="1490" spans="2:7">
      <c r="B1490" s="95">
        <v>1</v>
      </c>
      <c r="C1490" s="135" t="s">
        <v>6235</v>
      </c>
      <c r="D1490" s="95" t="s">
        <v>3478</v>
      </c>
      <c r="E1490" s="190">
        <f>F1457</f>
        <v>86.913750000000007</v>
      </c>
      <c r="F1490" s="214">
        <f>'BASIC DATA'!$D$91/1000</f>
        <v>34</v>
      </c>
      <c r="G1490" s="190">
        <f>E1490*F1490</f>
        <v>2955.0675000000001</v>
      </c>
    </row>
    <row r="1491" spans="2:7">
      <c r="B1491" s="105">
        <v>2</v>
      </c>
      <c r="C1491" s="135" t="s">
        <v>2677</v>
      </c>
      <c r="D1491" s="105" t="s">
        <v>3478</v>
      </c>
      <c r="E1491" s="190">
        <f>F1459</f>
        <v>65.940000000000012</v>
      </c>
      <c r="F1491" s="214">
        <f>'BASIC DATA'!$D$98/1000</f>
        <v>37.4</v>
      </c>
      <c r="G1491" s="190">
        <f t="shared" ref="G1491:G1498" si="27">E1491*F1491</f>
        <v>2466.1560000000004</v>
      </c>
    </row>
    <row r="1492" spans="2:7">
      <c r="B1492" s="105">
        <v>3</v>
      </c>
      <c r="C1492" s="135" t="s">
        <v>4623</v>
      </c>
      <c r="D1492" s="105" t="s">
        <v>4041</v>
      </c>
      <c r="E1492" s="190">
        <v>2</v>
      </c>
      <c r="F1492" s="214">
        <f>'BASIC DATA'!$D$98/1000</f>
        <v>37.4</v>
      </c>
      <c r="G1492" s="190">
        <f t="shared" si="27"/>
        <v>74.8</v>
      </c>
    </row>
    <row r="1493" spans="2:7">
      <c r="B1493" s="105">
        <v>4</v>
      </c>
      <c r="C1493" s="135" t="s">
        <v>4920</v>
      </c>
      <c r="D1493" s="105" t="s">
        <v>3478</v>
      </c>
      <c r="E1493" s="190">
        <v>4</v>
      </c>
      <c r="F1493" s="214">
        <f>'BASIC DATA'!$D$84</f>
        <v>80</v>
      </c>
      <c r="G1493" s="190">
        <f t="shared" si="27"/>
        <v>320</v>
      </c>
    </row>
    <row r="1494" spans="2:7">
      <c r="B1494" s="105">
        <v>5</v>
      </c>
      <c r="C1494" s="135" t="s">
        <v>4212</v>
      </c>
      <c r="D1494" s="105" t="s">
        <v>3483</v>
      </c>
      <c r="E1494" s="190">
        <v>20</v>
      </c>
      <c r="F1494" s="214">
        <f>F1470</f>
        <v>41.693333333333335</v>
      </c>
      <c r="G1494" s="190">
        <f t="shared" si="27"/>
        <v>833.86666666666667</v>
      </c>
    </row>
    <row r="1495" spans="2:7">
      <c r="B1495" s="317"/>
      <c r="C1495" s="135" t="s">
        <v>5125</v>
      </c>
      <c r="D1495" s="224">
        <v>0.1</v>
      </c>
      <c r="E1495" s="190"/>
      <c r="F1495" s="214"/>
      <c r="G1495" s="190">
        <f>G1494*D1495</f>
        <v>83.38666666666667</v>
      </c>
    </row>
    <row r="1496" spans="2:7">
      <c r="B1496" s="105">
        <v>6</v>
      </c>
      <c r="C1496" s="135" t="s">
        <v>6042</v>
      </c>
      <c r="D1496" s="105" t="s">
        <v>2374</v>
      </c>
      <c r="E1496" s="190">
        <v>6</v>
      </c>
      <c r="F1496" s="214">
        <f>F1473</f>
        <v>5.78125</v>
      </c>
      <c r="G1496" s="190">
        <f t="shared" si="27"/>
        <v>34.6875</v>
      </c>
    </row>
    <row r="1497" spans="2:7">
      <c r="B1497" s="105">
        <v>7</v>
      </c>
      <c r="C1497" s="135" t="s">
        <v>656</v>
      </c>
      <c r="D1497" s="105" t="s">
        <v>2374</v>
      </c>
      <c r="E1497" s="190">
        <v>6</v>
      </c>
      <c r="F1497" s="214">
        <f>F1476</f>
        <v>5.78125</v>
      </c>
      <c r="G1497" s="190">
        <f t="shared" si="27"/>
        <v>34.6875</v>
      </c>
    </row>
    <row r="1498" spans="2:7">
      <c r="B1498" s="114">
        <v>8</v>
      </c>
      <c r="C1498" s="135" t="s">
        <v>4428</v>
      </c>
      <c r="D1498" s="105" t="s">
        <v>2173</v>
      </c>
      <c r="E1498" s="190">
        <v>3</v>
      </c>
      <c r="F1498" s="214">
        <f>'BASIC DATA'!$D$359</f>
        <v>30</v>
      </c>
      <c r="G1498" s="190">
        <f t="shared" si="27"/>
        <v>90</v>
      </c>
    </row>
    <row r="1499" spans="2:7">
      <c r="B1499" s="92"/>
      <c r="C1499" s="193" t="s">
        <v>2376</v>
      </c>
      <c r="D1499" s="159"/>
      <c r="E1499" s="238"/>
      <c r="F1499" s="236" t="s">
        <v>1698</v>
      </c>
      <c r="G1499" s="318">
        <f>SUM(G1490:G1498)</f>
        <v>6892.6518333333333</v>
      </c>
    </row>
    <row r="1500" spans="2:7">
      <c r="B1500" s="78"/>
    </row>
    <row r="1501" spans="2:7">
      <c r="B1501" s="79" t="s">
        <v>2377</v>
      </c>
    </row>
    <row r="1502" spans="2:7">
      <c r="B1502" s="95" t="s">
        <v>2369</v>
      </c>
      <c r="C1502" s="157" t="s">
        <v>2378</v>
      </c>
      <c r="D1502" s="95" t="s">
        <v>2370</v>
      </c>
      <c r="E1502" s="95" t="s">
        <v>1166</v>
      </c>
      <c r="F1502" s="95" t="s">
        <v>2371</v>
      </c>
      <c r="G1502" s="95" t="s">
        <v>2372</v>
      </c>
    </row>
    <row r="1503" spans="2:7">
      <c r="B1503" s="114"/>
      <c r="C1503" s="154"/>
      <c r="D1503" s="114"/>
      <c r="E1503" s="114"/>
      <c r="F1503" s="114" t="s">
        <v>3485</v>
      </c>
      <c r="G1503" s="114" t="s">
        <v>3485</v>
      </c>
    </row>
    <row r="1504" spans="2:7">
      <c r="B1504" s="95">
        <v>1</v>
      </c>
      <c r="C1504" s="135" t="s">
        <v>4481</v>
      </c>
      <c r="D1504" s="95" t="s">
        <v>2374</v>
      </c>
      <c r="E1504" s="190">
        <v>1.5</v>
      </c>
      <c r="F1504" s="190">
        <f>'HIRE CHARGES'!$D$498</f>
        <v>138.80000000000001</v>
      </c>
      <c r="G1504" s="190">
        <f>E1504*F1504</f>
        <v>208.20000000000002</v>
      </c>
    </row>
    <row r="1505" spans="2:7">
      <c r="B1505" s="317"/>
      <c r="C1505" s="135" t="s">
        <v>2379</v>
      </c>
      <c r="D1505" s="105" t="s">
        <v>2374</v>
      </c>
      <c r="E1505" s="190">
        <v>1.5</v>
      </c>
      <c r="F1505" s="190">
        <f>'HIRE CHARGES'!$E$498</f>
        <v>700.5</v>
      </c>
      <c r="G1505" s="190">
        <f t="shared" ref="G1505:G1514" si="28">E1505*F1505</f>
        <v>1050.75</v>
      </c>
    </row>
    <row r="1506" spans="2:7">
      <c r="B1506" s="105">
        <v>2</v>
      </c>
      <c r="C1506" s="135" t="s">
        <v>4484</v>
      </c>
      <c r="D1506" s="105" t="s">
        <v>2374</v>
      </c>
      <c r="E1506" s="190">
        <v>1</v>
      </c>
      <c r="F1506" s="190">
        <f>'HIRE CHARGES'!$D$520</f>
        <v>6.7</v>
      </c>
      <c r="G1506" s="190">
        <f t="shared" si="28"/>
        <v>6.7</v>
      </c>
    </row>
    <row r="1507" spans="2:7">
      <c r="B1507" s="317"/>
      <c r="C1507" s="135" t="s">
        <v>2379</v>
      </c>
      <c r="D1507" s="105" t="s">
        <v>2374</v>
      </c>
      <c r="E1507" s="190">
        <v>1</v>
      </c>
      <c r="F1507" s="190">
        <f>'HIRE CHARGES'!$E$520</f>
        <v>56</v>
      </c>
      <c r="G1507" s="190">
        <f t="shared" si="28"/>
        <v>56</v>
      </c>
    </row>
    <row r="1508" spans="2:7">
      <c r="B1508" s="105">
        <v>3</v>
      </c>
      <c r="C1508" s="135" t="s">
        <v>6243</v>
      </c>
      <c r="D1508" s="105" t="s">
        <v>2374</v>
      </c>
      <c r="E1508" s="190">
        <v>6</v>
      </c>
      <c r="F1508" s="190">
        <f>'HIRE CHARGES'!$D$530</f>
        <v>19.8</v>
      </c>
      <c r="G1508" s="190">
        <f t="shared" si="28"/>
        <v>118.80000000000001</v>
      </c>
    </row>
    <row r="1509" spans="2:7">
      <c r="B1509" s="317"/>
      <c r="C1509" s="135" t="s">
        <v>2379</v>
      </c>
      <c r="D1509" s="105" t="s">
        <v>2374</v>
      </c>
      <c r="E1509" s="190">
        <v>6</v>
      </c>
      <c r="F1509" s="190">
        <f>'HIRE CHARGES'!$E$530</f>
        <v>0</v>
      </c>
      <c r="G1509" s="190">
        <f t="shared" si="28"/>
        <v>0</v>
      </c>
    </row>
    <row r="1510" spans="2:7">
      <c r="B1510" s="105">
        <v>4</v>
      </c>
      <c r="C1510" s="135" t="s">
        <v>6061</v>
      </c>
      <c r="D1510" s="105" t="s">
        <v>2374</v>
      </c>
      <c r="E1510" s="190">
        <v>6</v>
      </c>
      <c r="F1510" s="190">
        <f>'HIRE CHARGES'!$D$540</f>
        <v>12.7</v>
      </c>
      <c r="G1510" s="190">
        <f t="shared" si="28"/>
        <v>76.199999999999989</v>
      </c>
    </row>
    <row r="1511" spans="2:7">
      <c r="B1511" s="317"/>
      <c r="C1511" s="135" t="s">
        <v>2379</v>
      </c>
      <c r="D1511" s="105" t="s">
        <v>2374</v>
      </c>
      <c r="E1511" s="190">
        <v>6</v>
      </c>
      <c r="F1511" s="190">
        <f>'HIRE CHARGES'!$E$540</f>
        <v>0</v>
      </c>
      <c r="G1511" s="190">
        <f t="shared" si="28"/>
        <v>0</v>
      </c>
    </row>
    <row r="1512" spans="2:7">
      <c r="B1512" s="105">
        <v>5</v>
      </c>
      <c r="C1512" s="135" t="s">
        <v>7102</v>
      </c>
      <c r="D1512" s="105" t="s">
        <v>2374</v>
      </c>
      <c r="E1512" s="190">
        <v>4</v>
      </c>
      <c r="F1512" s="190">
        <f>'HIRE CHARGES'!$D$524</f>
        <v>368.40000000000003</v>
      </c>
      <c r="G1512" s="190">
        <f t="shared" si="28"/>
        <v>1473.6000000000001</v>
      </c>
    </row>
    <row r="1513" spans="2:7">
      <c r="B1513" s="317"/>
      <c r="C1513" s="135" t="s">
        <v>2379</v>
      </c>
      <c r="D1513" s="105" t="s">
        <v>2374</v>
      </c>
      <c r="E1513" s="190">
        <v>4</v>
      </c>
      <c r="F1513" s="190">
        <f>'HIRE CHARGES'!$E$524</f>
        <v>42.8</v>
      </c>
      <c r="G1513" s="190">
        <f t="shared" si="28"/>
        <v>171.2</v>
      </c>
    </row>
    <row r="1514" spans="2:7">
      <c r="B1514" s="105">
        <v>6</v>
      </c>
      <c r="C1514" s="135" t="s">
        <v>4429</v>
      </c>
      <c r="D1514" s="105" t="s">
        <v>2173</v>
      </c>
      <c r="E1514" s="190">
        <v>3</v>
      </c>
      <c r="F1514" s="214">
        <f>'BASIC DATA'!$D$359</f>
        <v>30</v>
      </c>
      <c r="G1514" s="190">
        <f t="shared" si="28"/>
        <v>90</v>
      </c>
    </row>
    <row r="1515" spans="2:7">
      <c r="B1515" s="176"/>
      <c r="C1515" s="172" t="s">
        <v>2380</v>
      </c>
      <c r="D1515" s="174"/>
      <c r="E1515" s="192"/>
      <c r="F1515" s="236" t="s">
        <v>1698</v>
      </c>
      <c r="G1515" s="318">
        <f>SUM(G1504:G1514)</f>
        <v>3251.45</v>
      </c>
    </row>
    <row r="1516" spans="2:7">
      <c r="B1516" s="78"/>
    </row>
    <row r="1517" spans="2:7">
      <c r="B1517" s="79" t="s">
        <v>2381</v>
      </c>
    </row>
    <row r="1518" spans="2:7">
      <c r="B1518" s="95" t="s">
        <v>2369</v>
      </c>
      <c r="C1518" s="157" t="s">
        <v>2378</v>
      </c>
      <c r="D1518" s="95" t="s">
        <v>2370</v>
      </c>
      <c r="E1518" s="95" t="s">
        <v>1166</v>
      </c>
      <c r="F1518" s="95" t="s">
        <v>2371</v>
      </c>
      <c r="G1518" s="95" t="s">
        <v>2372</v>
      </c>
    </row>
    <row r="1519" spans="2:7">
      <c r="B1519" s="114"/>
      <c r="C1519" s="154"/>
      <c r="D1519" s="114"/>
      <c r="E1519" s="114"/>
      <c r="F1519" s="114" t="s">
        <v>3485</v>
      </c>
      <c r="G1519" s="114" t="s">
        <v>3485</v>
      </c>
    </row>
    <row r="1520" spans="2:7">
      <c r="B1520" s="105">
        <v>1</v>
      </c>
      <c r="C1520" s="76" t="s">
        <v>4606</v>
      </c>
      <c r="D1520" s="105" t="s">
        <v>2374</v>
      </c>
      <c r="E1520" s="207">
        <v>1.5</v>
      </c>
      <c r="F1520" s="190">
        <f>'HIRE CHARGES'!$F$498</f>
        <v>175.8</v>
      </c>
      <c r="G1520" s="190">
        <f>E1520*F1520</f>
        <v>263.70000000000005</v>
      </c>
    </row>
    <row r="1521" spans="2:7">
      <c r="B1521" s="105">
        <v>2</v>
      </c>
      <c r="C1521" s="76" t="s">
        <v>1171</v>
      </c>
      <c r="D1521" s="105" t="s">
        <v>2374</v>
      </c>
      <c r="E1521" s="207">
        <v>1</v>
      </c>
      <c r="F1521" s="190">
        <f>'HIRE CHARGES'!$F$520</f>
        <v>83.3</v>
      </c>
      <c r="G1521" s="190">
        <f t="shared" ref="G1521:G1529" si="29">E1521*F1521</f>
        <v>83.3</v>
      </c>
    </row>
    <row r="1522" spans="2:7">
      <c r="B1522" s="105">
        <v>3</v>
      </c>
      <c r="C1522" s="76" t="s">
        <v>4607</v>
      </c>
      <c r="D1522" s="105" t="s">
        <v>2374</v>
      </c>
      <c r="E1522" s="207">
        <v>6</v>
      </c>
      <c r="F1522" s="190">
        <f>'HIRE CHARGES'!$F$530</f>
        <v>329.6</v>
      </c>
      <c r="G1522" s="190">
        <f t="shared" si="29"/>
        <v>1977.6000000000001</v>
      </c>
    </row>
    <row r="1523" spans="2:7">
      <c r="B1523" s="105">
        <v>4</v>
      </c>
      <c r="C1523" s="76" t="s">
        <v>4487</v>
      </c>
      <c r="D1523" s="105" t="s">
        <v>2374</v>
      </c>
      <c r="E1523" s="207">
        <v>4</v>
      </c>
      <c r="F1523" s="190">
        <f>'HIRE CHARGES'!$F$524</f>
        <v>175.8</v>
      </c>
      <c r="G1523" s="190">
        <f t="shared" si="29"/>
        <v>703.2</v>
      </c>
    </row>
    <row r="1524" spans="2:7">
      <c r="B1524" s="105">
        <v>5</v>
      </c>
      <c r="C1524" s="76" t="s">
        <v>1066</v>
      </c>
      <c r="D1524" s="105" t="s">
        <v>1172</v>
      </c>
      <c r="E1524" s="207">
        <v>0.5</v>
      </c>
      <c r="F1524" s="190">
        <f>'BASIC DATA'!$C$515</f>
        <v>400</v>
      </c>
      <c r="G1524" s="190">
        <f t="shared" si="29"/>
        <v>200</v>
      </c>
    </row>
    <row r="1525" spans="2:7">
      <c r="B1525" s="105">
        <v>6</v>
      </c>
      <c r="C1525" s="76" t="s">
        <v>3010</v>
      </c>
      <c r="D1525" s="105" t="s">
        <v>1172</v>
      </c>
      <c r="E1525" s="207">
        <v>1</v>
      </c>
      <c r="F1525" s="190">
        <f>'BASIC DATA'!$C$504</f>
        <v>445</v>
      </c>
      <c r="G1525" s="190">
        <f t="shared" si="29"/>
        <v>445</v>
      </c>
    </row>
    <row r="1526" spans="2:7">
      <c r="B1526" s="105">
        <v>7</v>
      </c>
      <c r="C1526" s="76" t="s">
        <v>850</v>
      </c>
      <c r="D1526" s="105" t="s">
        <v>1172</v>
      </c>
      <c r="E1526" s="207">
        <v>1</v>
      </c>
      <c r="F1526" s="190">
        <f>'BASIC DATA'!$C$488</f>
        <v>510</v>
      </c>
      <c r="G1526" s="190">
        <f t="shared" si="29"/>
        <v>510</v>
      </c>
    </row>
    <row r="1527" spans="2:7">
      <c r="B1527" s="105">
        <v>8</v>
      </c>
      <c r="C1527" s="76" t="s">
        <v>6921</v>
      </c>
      <c r="D1527" s="105" t="s">
        <v>1172</v>
      </c>
      <c r="E1527" s="207">
        <v>1</v>
      </c>
      <c r="F1527" s="190">
        <f>'BASIC DATA'!$C$500</f>
        <v>445</v>
      </c>
      <c r="G1527" s="190">
        <f t="shared" si="29"/>
        <v>445</v>
      </c>
    </row>
    <row r="1528" spans="2:7">
      <c r="B1528" s="105">
        <v>9</v>
      </c>
      <c r="C1528" s="76" t="s">
        <v>2310</v>
      </c>
      <c r="D1528" s="105" t="s">
        <v>1172</v>
      </c>
      <c r="E1528" s="207">
        <v>0.5</v>
      </c>
      <c r="F1528" s="190">
        <f>'BASIC DATA'!$C$546</f>
        <v>400</v>
      </c>
      <c r="G1528" s="190">
        <f t="shared" si="29"/>
        <v>200</v>
      </c>
    </row>
    <row r="1529" spans="2:7">
      <c r="B1529" s="105">
        <v>10</v>
      </c>
      <c r="C1529" s="76" t="s">
        <v>2697</v>
      </c>
      <c r="D1529" s="105" t="s">
        <v>1172</v>
      </c>
      <c r="E1529" s="207">
        <v>2</v>
      </c>
      <c r="F1529" s="190">
        <f>'BASIC DATA'!$C$552</f>
        <v>350</v>
      </c>
      <c r="G1529" s="190">
        <f t="shared" si="29"/>
        <v>700</v>
      </c>
    </row>
    <row r="1530" spans="2:7">
      <c r="B1530" s="92"/>
      <c r="C1530" s="193" t="s">
        <v>1174</v>
      </c>
      <c r="D1530" s="159"/>
      <c r="E1530" s="238"/>
      <c r="F1530" s="236" t="s">
        <v>1698</v>
      </c>
      <c r="G1530" s="318">
        <f>SUM(G1520:G1529)</f>
        <v>5527.8</v>
      </c>
    </row>
    <row r="1531" spans="2:7">
      <c r="B1531" s="60" t="s">
        <v>5948</v>
      </c>
      <c r="D1531" s="31"/>
      <c r="E1531" s="85">
        <f>ROUND(G1530/F1486,1)</f>
        <v>276.39999999999998</v>
      </c>
    </row>
    <row r="1532" spans="2:7">
      <c r="B1532" s="60" t="s">
        <v>3163</v>
      </c>
      <c r="D1532" s="922">
        <f>'BASIC DATA'!$C$577</f>
        <v>0.13614999999999999</v>
      </c>
      <c r="E1532" s="85">
        <f>ROUND(E1531*D1532,1)</f>
        <v>37.6</v>
      </c>
    </row>
    <row r="1533" spans="2:7">
      <c r="B1533" s="60" t="s">
        <v>5949</v>
      </c>
      <c r="D1533" s="31"/>
      <c r="E1533" s="199">
        <f>ROUND(E1532+E1531,1)</f>
        <v>314</v>
      </c>
    </row>
    <row r="1534" spans="2:7"/>
    <row r="1535" spans="2:7">
      <c r="B1535" s="170" t="s">
        <v>1175</v>
      </c>
    </row>
    <row r="1536" spans="2:7">
      <c r="B1536" s="26" t="s">
        <v>1176</v>
      </c>
      <c r="F1536" s="171" t="s">
        <v>1698</v>
      </c>
      <c r="G1536" s="68">
        <f>G1499</f>
        <v>6892.6518333333333</v>
      </c>
    </row>
    <row r="1537" spans="1:7">
      <c r="B1537" s="26" t="s">
        <v>1186</v>
      </c>
      <c r="F1537" s="171" t="s">
        <v>1698</v>
      </c>
      <c r="G1537" s="68">
        <f>G1515</f>
        <v>3251.45</v>
      </c>
    </row>
    <row r="1538" spans="1:7">
      <c r="B1538" s="26" t="s">
        <v>2660</v>
      </c>
      <c r="F1538" s="171" t="s">
        <v>1698</v>
      </c>
      <c r="G1538" s="75">
        <f>G1530</f>
        <v>5527.8</v>
      </c>
    </row>
    <row r="1539" spans="1:7">
      <c r="E1539" s="171"/>
      <c r="F1539" s="171" t="s">
        <v>302</v>
      </c>
      <c r="G1539" s="205">
        <f>SUM(G1536:G1538)</f>
        <v>15671.901833333333</v>
      </c>
    </row>
    <row r="1540" spans="1:7">
      <c r="A1540" s="853"/>
      <c r="B1540" s="61" t="s">
        <v>2313</v>
      </c>
      <c r="C1540" s="61"/>
      <c r="D1540" s="61"/>
      <c r="E1540" s="320">
        <f>'BASIC DATA'!$C$595</f>
        <v>0.01</v>
      </c>
      <c r="F1540" s="222" t="s">
        <v>1698</v>
      </c>
      <c r="G1540" s="321">
        <f>E1540*$G$1539</f>
        <v>156.71901833333334</v>
      </c>
    </row>
    <row r="1541" spans="1:7">
      <c r="A1541" s="853"/>
      <c r="B1541" s="61" t="s">
        <v>2314</v>
      </c>
      <c r="C1541" s="61"/>
      <c r="D1541" s="61"/>
      <c r="E1541" s="291">
        <f>'BASIC DATA'!$C$596</f>
        <v>4.4999999999999998E-2</v>
      </c>
      <c r="F1541" s="222" t="s">
        <v>1698</v>
      </c>
      <c r="G1541" s="321">
        <f>E1541*$G$1539</f>
        <v>705.23558249999996</v>
      </c>
    </row>
    <row r="1542" spans="1:7">
      <c r="A1542" s="853"/>
      <c r="B1542" s="61" t="s">
        <v>2315</v>
      </c>
      <c r="C1542" s="61"/>
      <c r="D1542" s="61"/>
      <c r="E1542" s="291">
        <f>'BASIC DATA'!$C$597</f>
        <v>1.6E-2</v>
      </c>
      <c r="F1542" s="222" t="s">
        <v>1698</v>
      </c>
      <c r="G1542" s="321">
        <f>E1542*$G$1539</f>
        <v>250.75042933333333</v>
      </c>
    </row>
    <row r="1543" spans="1:7">
      <c r="A1543" s="853"/>
      <c r="B1543" s="61" t="s">
        <v>1259</v>
      </c>
      <c r="C1543" s="61"/>
      <c r="D1543" s="61"/>
      <c r="E1543" s="291">
        <f>'BASIC DATA'!$C$598</f>
        <v>2.5000000000000001E-2</v>
      </c>
      <c r="F1543" s="222" t="s">
        <v>1698</v>
      </c>
      <c r="G1543" s="321">
        <f>E1543*$G$1539</f>
        <v>391.79754583333334</v>
      </c>
    </row>
    <row r="1544" spans="1:7">
      <c r="A1544" s="853"/>
      <c r="B1544" s="61"/>
      <c r="C1544" s="61"/>
      <c r="D1544" s="61"/>
      <c r="E1544" s="291"/>
      <c r="F1544" s="171" t="s">
        <v>302</v>
      </c>
      <c r="G1544" s="205">
        <f>SUM(G1539:G1543)</f>
        <v>17176.404409333336</v>
      </c>
    </row>
    <row r="1545" spans="1:7" ht="39" customHeight="1">
      <c r="B1545" s="1207" t="s">
        <v>6259</v>
      </c>
      <c r="C1545" s="1207"/>
      <c r="D1545" s="1207"/>
      <c r="E1545" s="922">
        <f>'BASIC DATA'!$C$577</f>
        <v>0.13614999999999999</v>
      </c>
      <c r="F1545" s="171" t="s">
        <v>1698</v>
      </c>
      <c r="G1545" s="75">
        <f>G1544*E1545</f>
        <v>2338.5674603307334</v>
      </c>
    </row>
    <row r="1546" spans="1:7" ht="36.75" customHeight="1">
      <c r="B1546" s="1207" t="s">
        <v>9611</v>
      </c>
      <c r="C1546" s="1207"/>
      <c r="D1546" s="779">
        <f>SUM(E1490:E1491)/1000</f>
        <v>0.15285375000000001</v>
      </c>
      <c r="E1546" s="201" t="s">
        <v>9592</v>
      </c>
      <c r="F1546" s="68" t="str">
        <f>CONCATENATE((leadcharges!$F$65+leadcharges!$G$78+leadcharges!$G$79)," ","Rs./Tonne")</f>
        <v>168.6 Rs./Tonne</v>
      </c>
      <c r="G1546" s="200">
        <f>(leadcharges!$F$65+leadcharges!$G$78+leadcharges!$G$79)*D1546</f>
        <v>25.77114225</v>
      </c>
    </row>
    <row r="1547" spans="1:7">
      <c r="B1547" s="26" t="s">
        <v>1191</v>
      </c>
      <c r="D1547" s="68">
        <f>F1486</f>
        <v>20</v>
      </c>
      <c r="E1547" s="68" t="str">
        <f>G1486</f>
        <v>Rm</v>
      </c>
      <c r="F1547" s="171" t="s">
        <v>1698</v>
      </c>
      <c r="G1547" s="211">
        <f>SUM(G1544:G1546)</f>
        <v>19540.74301191407</v>
      </c>
    </row>
    <row r="1548" spans="1:7">
      <c r="B1548" s="170" t="s">
        <v>3884</v>
      </c>
      <c r="C1548" s="170" t="str">
        <f>E1547</f>
        <v>Rm</v>
      </c>
      <c r="D1548" s="26" t="s">
        <v>6571</v>
      </c>
      <c r="F1548" s="171" t="s">
        <v>1698</v>
      </c>
      <c r="G1548" s="211">
        <f>ROUND(G1547/D1547,1)</f>
        <v>977</v>
      </c>
    </row>
    <row r="1549" spans="1:7"/>
    <row r="1550" spans="1:7"/>
    <row r="1551" spans="1:7" ht="18.75">
      <c r="A1551" s="822" t="s">
        <v>7398</v>
      </c>
      <c r="B1551" s="26" t="s">
        <v>8603</v>
      </c>
    </row>
    <row r="1552" spans="1:7">
      <c r="A1552" s="865"/>
      <c r="B1552" s="26" t="s">
        <v>5987</v>
      </c>
    </row>
    <row r="1553" spans="1:7" ht="18.75">
      <c r="A1553" s="865"/>
      <c r="B1553" s="26" t="s">
        <v>8604</v>
      </c>
    </row>
    <row r="1554" spans="1:7">
      <c r="A1554" s="865"/>
      <c r="B1554" s="170" t="s">
        <v>5203</v>
      </c>
    </row>
    <row r="1555" spans="1:7">
      <c r="A1555" s="865"/>
      <c r="F1555" s="322"/>
    </row>
    <row r="1556" spans="1:7" hidden="1">
      <c r="A1556" s="865" t="s">
        <v>3984</v>
      </c>
      <c r="B1556" s="26" t="s">
        <v>6395</v>
      </c>
      <c r="E1556" s="322" t="s">
        <v>1697</v>
      </c>
      <c r="F1556" s="68">
        <v>4.5</v>
      </c>
      <c r="G1556" s="26" t="s">
        <v>2602</v>
      </c>
    </row>
    <row r="1557" spans="1:7" hidden="1">
      <c r="A1557" s="865"/>
      <c r="B1557" s="26" t="s">
        <v>2140</v>
      </c>
    </row>
    <row r="1558" spans="1:7" hidden="1">
      <c r="A1558" s="865"/>
      <c r="B1558" s="26" t="s">
        <v>2141</v>
      </c>
    </row>
    <row r="1559" spans="1:7" hidden="1">
      <c r="A1559" s="865"/>
      <c r="B1559" s="26" t="s">
        <v>2142</v>
      </c>
    </row>
    <row r="1560" spans="1:7" hidden="1">
      <c r="A1560" s="865"/>
      <c r="B1560" s="26" t="s">
        <v>1034</v>
      </c>
    </row>
    <row r="1561" spans="1:7" hidden="1">
      <c r="A1561" s="865"/>
      <c r="B1561" s="26" t="s">
        <v>4081</v>
      </c>
    </row>
    <row r="1562" spans="1:7" hidden="1">
      <c r="A1562" s="865"/>
      <c r="B1562" s="26" t="s">
        <v>4082</v>
      </c>
    </row>
    <row r="1563" spans="1:7" hidden="1"/>
    <row r="1564" spans="1:7"/>
    <row r="1565" spans="1:7"/>
    <row r="1566" spans="1:7"/>
    <row r="1567" spans="1:7"/>
    <row r="1568" spans="1:7"/>
    <row r="1569" spans="1:2"/>
    <row r="1570" spans="1:2"/>
    <row r="1571" spans="1:2"/>
    <row r="1572" spans="1:2" hidden="1"/>
    <row r="1573" spans="1:2" hidden="1"/>
    <row r="1574" spans="1:2" hidden="1"/>
    <row r="1575" spans="1:2" hidden="1"/>
    <row r="1576" spans="1:2" hidden="1">
      <c r="A1576" s="865"/>
      <c r="B1576" s="26" t="s">
        <v>3245</v>
      </c>
    </row>
    <row r="1577" spans="1:2" hidden="1">
      <c r="A1577" s="865"/>
      <c r="B1577" s="26" t="s">
        <v>3246</v>
      </c>
    </row>
    <row r="1578" spans="1:2" hidden="1">
      <c r="A1578" s="865"/>
      <c r="B1578" s="26" t="s">
        <v>4818</v>
      </c>
    </row>
    <row r="1579" spans="1:2" hidden="1">
      <c r="A1579" s="865"/>
      <c r="B1579" s="26" t="s">
        <v>4819</v>
      </c>
    </row>
    <row r="1580" spans="1:2" hidden="1">
      <c r="A1580" s="865"/>
      <c r="B1580" s="26" t="s">
        <v>5020</v>
      </c>
    </row>
    <row r="1581" spans="1:2" hidden="1">
      <c r="A1581" s="865"/>
      <c r="B1581" s="26" t="s">
        <v>625</v>
      </c>
    </row>
    <row r="1582" spans="1:2" hidden="1">
      <c r="A1582" s="865"/>
      <c r="B1582" s="26" t="s">
        <v>2296</v>
      </c>
    </row>
    <row r="1583" spans="1:2" hidden="1">
      <c r="A1583" s="865"/>
      <c r="B1583" s="26" t="s">
        <v>2297</v>
      </c>
    </row>
    <row r="1584" spans="1:2" hidden="1">
      <c r="A1584" s="865"/>
      <c r="B1584" s="26" t="s">
        <v>2298</v>
      </c>
    </row>
    <row r="1585" spans="1:7" hidden="1">
      <c r="A1585" s="865"/>
      <c r="B1585" s="26" t="s">
        <v>2299</v>
      </c>
      <c r="E1585" s="322" t="s">
        <v>1697</v>
      </c>
      <c r="F1585" s="217">
        <v>153</v>
      </c>
      <c r="G1585" s="26" t="s">
        <v>3478</v>
      </c>
    </row>
    <row r="1586" spans="1:7" hidden="1">
      <c r="A1586" s="865"/>
      <c r="B1586" s="26" t="s">
        <v>4686</v>
      </c>
      <c r="E1586" s="322" t="s">
        <v>1697</v>
      </c>
      <c r="F1586" s="217">
        <v>94</v>
      </c>
      <c r="G1586" s="26" t="s">
        <v>3478</v>
      </c>
    </row>
    <row r="1587" spans="1:7" hidden="1">
      <c r="A1587" s="865"/>
      <c r="B1587" s="26" t="s">
        <v>7112</v>
      </c>
      <c r="E1587" s="322" t="s">
        <v>1697</v>
      </c>
      <c r="F1587" s="217">
        <v>38</v>
      </c>
      <c r="G1587" s="26" t="s">
        <v>3478</v>
      </c>
    </row>
    <row r="1588" spans="1:7" hidden="1">
      <c r="A1588" s="865"/>
      <c r="B1588" s="26" t="s">
        <v>7113</v>
      </c>
      <c r="E1588" s="322" t="s">
        <v>1697</v>
      </c>
      <c r="F1588" s="217">
        <v>49</v>
      </c>
      <c r="G1588" s="26" t="s">
        <v>3478</v>
      </c>
    </row>
    <row r="1589" spans="1:7" hidden="1">
      <c r="A1589" s="865"/>
      <c r="B1589" s="26" t="s">
        <v>7114</v>
      </c>
      <c r="E1589" s="322" t="s">
        <v>1697</v>
      </c>
      <c r="F1589" s="329">
        <v>15</v>
      </c>
      <c r="G1589" s="26" t="s">
        <v>3478</v>
      </c>
    </row>
    <row r="1590" spans="1:7" hidden="1">
      <c r="A1590" s="865"/>
      <c r="B1590" s="26" t="s">
        <v>7115</v>
      </c>
      <c r="E1590" s="322"/>
      <c r="F1590" s="252">
        <f>SUM(F1585:F1589)</f>
        <v>349</v>
      </c>
      <c r="G1590" s="26" t="s">
        <v>3478</v>
      </c>
    </row>
    <row r="1591" spans="1:7" hidden="1">
      <c r="A1591" s="865"/>
      <c r="E1591" s="324" t="s">
        <v>1123</v>
      </c>
      <c r="F1591" s="217">
        <v>350</v>
      </c>
      <c r="G1591" s="26" t="s">
        <v>3478</v>
      </c>
    </row>
    <row r="1592" spans="1:7" hidden="1">
      <c r="A1592" s="865"/>
      <c r="B1592" s="26" t="s">
        <v>1272</v>
      </c>
    </row>
    <row r="1593" spans="1:7" hidden="1">
      <c r="A1593" s="865"/>
      <c r="B1593" s="26" t="s">
        <v>1273</v>
      </c>
    </row>
    <row r="1594" spans="1:7" hidden="1">
      <c r="A1594" s="865"/>
      <c r="B1594" s="26" t="s">
        <v>1274</v>
      </c>
      <c r="E1594" s="322" t="s">
        <v>1697</v>
      </c>
      <c r="F1594" s="171">
        <v>760</v>
      </c>
      <c r="G1594" s="26" t="s">
        <v>3478</v>
      </c>
    </row>
    <row r="1595" spans="1:7" hidden="1">
      <c r="A1595" s="865"/>
      <c r="B1595" s="26" t="s">
        <v>1275</v>
      </c>
      <c r="E1595" s="322" t="s">
        <v>1697</v>
      </c>
      <c r="F1595" s="171">
        <v>115</v>
      </c>
      <c r="G1595" s="26" t="s">
        <v>3478</v>
      </c>
    </row>
    <row r="1596" spans="1:7" hidden="1">
      <c r="A1596" s="865"/>
      <c r="B1596" s="26" t="s">
        <v>1276</v>
      </c>
      <c r="E1596" s="322" t="s">
        <v>1697</v>
      </c>
      <c r="F1596" s="171">
        <v>150</v>
      </c>
      <c r="G1596" s="26" t="s">
        <v>3478</v>
      </c>
    </row>
    <row r="1597" spans="1:7" hidden="1">
      <c r="A1597" s="865"/>
      <c r="B1597" s="26" t="s">
        <v>1277</v>
      </c>
      <c r="E1597" s="322" t="s">
        <v>1697</v>
      </c>
      <c r="F1597" s="171">
        <v>50</v>
      </c>
      <c r="G1597" s="26" t="s">
        <v>3478</v>
      </c>
    </row>
    <row r="1598" spans="1:7" hidden="1">
      <c r="A1598" s="865"/>
      <c r="B1598" s="26" t="s">
        <v>1278</v>
      </c>
      <c r="E1598" s="322" t="s">
        <v>1697</v>
      </c>
      <c r="F1598" s="171">
        <v>125</v>
      </c>
      <c r="G1598" s="26" t="s">
        <v>4041</v>
      </c>
    </row>
    <row r="1599" spans="1:7" hidden="1">
      <c r="A1599" s="865"/>
      <c r="B1599" s="26" t="s">
        <v>5848</v>
      </c>
      <c r="E1599" s="322" t="s">
        <v>1697</v>
      </c>
      <c r="F1599" s="171">
        <v>2.4</v>
      </c>
      <c r="G1599" s="26" t="s">
        <v>3477</v>
      </c>
    </row>
    <row r="1600" spans="1:7" hidden="1">
      <c r="A1600" s="865"/>
      <c r="B1600" s="26" t="s">
        <v>5849</v>
      </c>
      <c r="E1600" s="322" t="s">
        <v>1697</v>
      </c>
      <c r="F1600" s="171">
        <v>0.8</v>
      </c>
      <c r="G1600" s="26" t="s">
        <v>3477</v>
      </c>
    </row>
    <row r="1601" spans="1:7" hidden="1">
      <c r="A1601" s="865"/>
      <c r="B1601" s="26" t="s">
        <v>3566</v>
      </c>
    </row>
    <row r="1602" spans="1:7" hidden="1">
      <c r="A1602" s="865"/>
      <c r="B1602" s="26" t="s">
        <v>5695</v>
      </c>
    </row>
    <row r="1603" spans="1:7" hidden="1">
      <c r="A1603" s="865"/>
      <c r="B1603" s="26" t="s">
        <v>4854</v>
      </c>
    </row>
    <row r="1604" spans="1:7" hidden="1">
      <c r="A1604" s="865"/>
      <c r="B1604" s="26" t="s">
        <v>4855</v>
      </c>
    </row>
    <row r="1605" spans="1:7" hidden="1">
      <c r="A1605" s="865"/>
      <c r="B1605" s="78" t="s">
        <v>4856</v>
      </c>
      <c r="D1605" s="26">
        <f>1000*4/350</f>
        <v>11.428571428571429</v>
      </c>
      <c r="E1605" s="324" t="s">
        <v>1123</v>
      </c>
      <c r="F1605" s="26">
        <v>11.5</v>
      </c>
      <c r="G1605" s="26" t="s">
        <v>4665</v>
      </c>
    </row>
    <row r="1606" spans="1:7" hidden="1">
      <c r="A1606" s="865"/>
      <c r="B1606" s="26" t="s">
        <v>3749</v>
      </c>
    </row>
    <row r="1607" spans="1:7">
      <c r="B1607" s="78"/>
    </row>
    <row r="1608" spans="1:7">
      <c r="B1608" s="78"/>
    </row>
    <row r="1609" spans="1:7">
      <c r="A1609" s="822" t="s">
        <v>2039</v>
      </c>
      <c r="B1609" s="78"/>
      <c r="C1609" s="203" t="s">
        <v>2367</v>
      </c>
      <c r="E1609" s="171" t="s">
        <v>297</v>
      </c>
      <c r="F1609" s="246">
        <v>1</v>
      </c>
      <c r="G1609" s="68" t="s">
        <v>3480</v>
      </c>
    </row>
    <row r="1610" spans="1:7">
      <c r="B1610" s="79" t="s">
        <v>2368</v>
      </c>
    </row>
    <row r="1611" spans="1:7">
      <c r="B1611" s="95" t="s">
        <v>2369</v>
      </c>
      <c r="C1611" s="157" t="s">
        <v>4443</v>
      </c>
      <c r="D1611" s="95" t="s">
        <v>2370</v>
      </c>
      <c r="E1611" s="95" t="s">
        <v>1166</v>
      </c>
      <c r="F1611" s="95" t="s">
        <v>2371</v>
      </c>
      <c r="G1611" s="95" t="s">
        <v>2372</v>
      </c>
    </row>
    <row r="1612" spans="1:7">
      <c r="B1612" s="114"/>
      <c r="C1612" s="154"/>
      <c r="D1612" s="114"/>
      <c r="E1612" s="114"/>
      <c r="F1612" s="114" t="s">
        <v>3485</v>
      </c>
      <c r="G1612" s="114" t="s">
        <v>3485</v>
      </c>
    </row>
    <row r="1613" spans="1:7">
      <c r="B1613" s="95">
        <v>1</v>
      </c>
      <c r="C1613" s="135" t="s">
        <v>3750</v>
      </c>
      <c r="D1613" s="95" t="s">
        <v>3478</v>
      </c>
      <c r="E1613" s="190">
        <v>760</v>
      </c>
      <c r="F1613" s="214">
        <f>'BASIC DATA'!$D$97/1000</f>
        <v>37.5</v>
      </c>
      <c r="G1613" s="190">
        <f>E1613*F1613</f>
        <v>28500</v>
      </c>
    </row>
    <row r="1614" spans="1:7">
      <c r="B1614" s="105">
        <v>2</v>
      </c>
      <c r="C1614" s="135" t="s">
        <v>3751</v>
      </c>
      <c r="D1614" s="105" t="s">
        <v>3478</v>
      </c>
      <c r="E1614" s="190">
        <v>115</v>
      </c>
      <c r="F1614" s="214">
        <f>'BASIC DATA'!$D$98/1000</f>
        <v>37.4</v>
      </c>
      <c r="G1614" s="190">
        <f t="shared" ref="G1614:G1623" si="30">E1614*F1614</f>
        <v>4301</v>
      </c>
    </row>
    <row r="1615" spans="1:7">
      <c r="B1615" s="105">
        <v>3</v>
      </c>
      <c r="C1615" s="135" t="s">
        <v>3752</v>
      </c>
      <c r="D1615" s="105" t="s">
        <v>3478</v>
      </c>
      <c r="E1615" s="190">
        <v>150</v>
      </c>
      <c r="F1615" s="214">
        <f>'BASIC DATA'!$D$91/1000</f>
        <v>34</v>
      </c>
      <c r="G1615" s="190">
        <f t="shared" si="30"/>
        <v>5100</v>
      </c>
    </row>
    <row r="1616" spans="1:7">
      <c r="B1616" s="105">
        <v>4</v>
      </c>
      <c r="C1616" s="135" t="s">
        <v>3753</v>
      </c>
      <c r="D1616" s="105"/>
      <c r="E1616" s="190"/>
      <c r="F1616" s="214"/>
      <c r="G1616" s="190"/>
    </row>
    <row r="1617" spans="2:7">
      <c r="B1617" s="317"/>
      <c r="C1617" s="135" t="s">
        <v>3754</v>
      </c>
      <c r="D1617" s="105" t="s">
        <v>3477</v>
      </c>
      <c r="E1617" s="190">
        <v>2.4</v>
      </c>
      <c r="F1617" s="214">
        <f>'BASIC DATA'!$D$87</f>
        <v>42</v>
      </c>
      <c r="G1617" s="190">
        <f t="shared" si="30"/>
        <v>100.8</v>
      </c>
    </row>
    <row r="1618" spans="2:7">
      <c r="B1618" s="317"/>
      <c r="C1618" s="135" t="s">
        <v>3424</v>
      </c>
      <c r="D1618" s="105" t="s">
        <v>3477</v>
      </c>
      <c r="E1618" s="190">
        <v>0.8</v>
      </c>
      <c r="F1618" s="214">
        <f>'BASIC DATA'!$D$28</f>
        <v>335</v>
      </c>
      <c r="G1618" s="190">
        <f t="shared" si="30"/>
        <v>268</v>
      </c>
    </row>
    <row r="1619" spans="2:7">
      <c r="B1619" s="105">
        <v>5</v>
      </c>
      <c r="C1619" s="135" t="s">
        <v>3425</v>
      </c>
      <c r="D1619" s="105"/>
      <c r="E1619" s="190"/>
      <c r="F1619" s="214"/>
      <c r="G1619" s="190"/>
    </row>
    <row r="1620" spans="2:7">
      <c r="B1620" s="317"/>
      <c r="C1620" s="135" t="s">
        <v>3426</v>
      </c>
      <c r="D1620" s="105" t="s">
        <v>4041</v>
      </c>
      <c r="E1620" s="190">
        <v>125</v>
      </c>
      <c r="F1620" s="214">
        <f>'BASIC DATA'!$D$110</f>
        <v>13</v>
      </c>
      <c r="G1620" s="190">
        <f t="shared" si="30"/>
        <v>1625</v>
      </c>
    </row>
    <row r="1621" spans="2:7">
      <c r="B1621" s="105">
        <v>6</v>
      </c>
      <c r="C1621" s="135" t="s">
        <v>5045</v>
      </c>
      <c r="D1621" s="105"/>
      <c r="E1621" s="190"/>
      <c r="F1621" s="214"/>
      <c r="G1621" s="190"/>
    </row>
    <row r="1622" spans="2:7">
      <c r="B1622" s="317"/>
      <c r="C1622" s="135" t="s">
        <v>5046</v>
      </c>
      <c r="D1622" s="105" t="s">
        <v>3478</v>
      </c>
      <c r="E1622" s="190">
        <v>50</v>
      </c>
      <c r="F1622" s="214">
        <f>'BASIC DATA'!$D$84</f>
        <v>80</v>
      </c>
      <c r="G1622" s="190">
        <f t="shared" si="30"/>
        <v>4000</v>
      </c>
    </row>
    <row r="1623" spans="2:7">
      <c r="B1623" s="114">
        <v>7</v>
      </c>
      <c r="C1623" s="135" t="s">
        <v>2373</v>
      </c>
      <c r="D1623" s="105" t="s">
        <v>2173</v>
      </c>
      <c r="E1623" s="190">
        <v>5</v>
      </c>
      <c r="F1623" s="214">
        <f>'BASIC DATA'!$D$359</f>
        <v>30</v>
      </c>
      <c r="G1623" s="190">
        <f t="shared" si="30"/>
        <v>150</v>
      </c>
    </row>
    <row r="1624" spans="2:7">
      <c r="B1624" s="92"/>
      <c r="C1624" s="193" t="s">
        <v>2376</v>
      </c>
      <c r="D1624" s="159"/>
      <c r="E1624" s="238"/>
      <c r="F1624" s="236" t="s">
        <v>1698</v>
      </c>
      <c r="G1624" s="318">
        <f>SUM(G1613:G1623)</f>
        <v>44044.800000000003</v>
      </c>
    </row>
    <row r="1625" spans="2:7">
      <c r="B1625" s="78"/>
    </row>
    <row r="1626" spans="2:7">
      <c r="B1626" s="79" t="s">
        <v>2377</v>
      </c>
    </row>
    <row r="1627" spans="2:7">
      <c r="B1627" s="95" t="s">
        <v>2369</v>
      </c>
      <c r="C1627" s="157" t="s">
        <v>2378</v>
      </c>
      <c r="D1627" s="95" t="s">
        <v>2370</v>
      </c>
      <c r="E1627" s="95" t="s">
        <v>1166</v>
      </c>
      <c r="F1627" s="95" t="s">
        <v>2371</v>
      </c>
      <c r="G1627" s="95" t="s">
        <v>2372</v>
      </c>
    </row>
    <row r="1628" spans="2:7">
      <c r="B1628" s="114"/>
      <c r="C1628" s="154"/>
      <c r="D1628" s="114"/>
      <c r="E1628" s="114"/>
      <c r="F1628" s="114" t="s">
        <v>3485</v>
      </c>
      <c r="G1628" s="114" t="s">
        <v>3485</v>
      </c>
    </row>
    <row r="1629" spans="2:7">
      <c r="B1629" s="95">
        <v>1</v>
      </c>
      <c r="C1629" s="135" t="s">
        <v>6911</v>
      </c>
      <c r="D1629" s="95" t="s">
        <v>2374</v>
      </c>
      <c r="E1629" s="190">
        <v>8</v>
      </c>
      <c r="F1629" s="190">
        <f>'HIRE CHARGES'!$D$503</f>
        <v>42.6</v>
      </c>
      <c r="G1629" s="190">
        <f>E1629*F1629</f>
        <v>340.8</v>
      </c>
    </row>
    <row r="1630" spans="2:7">
      <c r="B1630" s="317"/>
      <c r="C1630" s="135" t="s">
        <v>2379</v>
      </c>
      <c r="D1630" s="105" t="s">
        <v>2374</v>
      </c>
      <c r="E1630" s="190">
        <v>8</v>
      </c>
      <c r="F1630" s="190">
        <f>'HIRE CHARGES'!$E$503</f>
        <v>84.1</v>
      </c>
      <c r="G1630" s="190">
        <f t="shared" ref="G1630:G1635" si="31">E1630*F1630</f>
        <v>672.8</v>
      </c>
    </row>
    <row r="1631" spans="2:7">
      <c r="B1631" s="105">
        <v>2</v>
      </c>
      <c r="C1631" s="135" t="s">
        <v>1338</v>
      </c>
      <c r="D1631" s="105" t="s">
        <v>2374</v>
      </c>
      <c r="E1631" s="190">
        <v>16</v>
      </c>
      <c r="F1631" s="190">
        <f>'HIRE CHARGES'!$D$556</f>
        <v>16</v>
      </c>
      <c r="G1631" s="190">
        <f t="shared" si="31"/>
        <v>256</v>
      </c>
    </row>
    <row r="1632" spans="2:7">
      <c r="B1632" s="317"/>
      <c r="C1632" s="135" t="s">
        <v>2379</v>
      </c>
      <c r="D1632" s="105" t="s">
        <v>2374</v>
      </c>
      <c r="E1632" s="190">
        <v>16</v>
      </c>
      <c r="F1632" s="190">
        <f>'HIRE CHARGES'!$E$556</f>
        <v>67.2</v>
      </c>
      <c r="G1632" s="190">
        <f t="shared" si="31"/>
        <v>1075.2</v>
      </c>
    </row>
    <row r="1633" spans="2:7">
      <c r="B1633" s="105">
        <v>3</v>
      </c>
      <c r="C1633" s="135" t="s">
        <v>3988</v>
      </c>
      <c r="D1633" s="105" t="s">
        <v>2374</v>
      </c>
      <c r="E1633" s="190">
        <v>12</v>
      </c>
      <c r="F1633" s="190">
        <f>'HIRE CHARGES'!$D$524</f>
        <v>368.40000000000003</v>
      </c>
      <c r="G1633" s="190">
        <f t="shared" si="31"/>
        <v>4420.8</v>
      </c>
    </row>
    <row r="1634" spans="2:7">
      <c r="B1634" s="317"/>
      <c r="C1634" s="135" t="s">
        <v>2379</v>
      </c>
      <c r="D1634" s="105" t="s">
        <v>2374</v>
      </c>
      <c r="E1634" s="190">
        <v>12</v>
      </c>
      <c r="F1634" s="190">
        <f>'HIRE CHARGES'!$E$524</f>
        <v>42.8</v>
      </c>
      <c r="G1634" s="190">
        <f t="shared" si="31"/>
        <v>513.59999999999991</v>
      </c>
    </row>
    <row r="1635" spans="2:7">
      <c r="B1635" s="105">
        <v>4</v>
      </c>
      <c r="C1635" s="135" t="s">
        <v>3989</v>
      </c>
      <c r="D1635" s="105" t="s">
        <v>2173</v>
      </c>
      <c r="E1635" s="190">
        <v>30</v>
      </c>
      <c r="F1635" s="214">
        <f>'BASIC DATA'!$D$359</f>
        <v>30</v>
      </c>
      <c r="G1635" s="190">
        <f t="shared" si="31"/>
        <v>900</v>
      </c>
    </row>
    <row r="1636" spans="2:7">
      <c r="B1636" s="176"/>
      <c r="C1636" s="172" t="s">
        <v>2380</v>
      </c>
      <c r="D1636" s="174"/>
      <c r="E1636" s="192"/>
      <c r="F1636" s="236" t="s">
        <v>1698</v>
      </c>
      <c r="G1636" s="318">
        <f>SUM(G1629:G1635)</f>
        <v>8179.2000000000007</v>
      </c>
    </row>
    <row r="1637" spans="2:7">
      <c r="B1637" s="78"/>
    </row>
    <row r="1638" spans="2:7">
      <c r="B1638" s="79" t="s">
        <v>2381</v>
      </c>
    </row>
    <row r="1639" spans="2:7">
      <c r="B1639" s="95" t="s">
        <v>2369</v>
      </c>
      <c r="C1639" s="157" t="s">
        <v>2378</v>
      </c>
      <c r="D1639" s="95" t="s">
        <v>2370</v>
      </c>
      <c r="E1639" s="95" t="s">
        <v>1166</v>
      </c>
      <c r="F1639" s="95" t="s">
        <v>2371</v>
      </c>
      <c r="G1639" s="95" t="s">
        <v>2372</v>
      </c>
    </row>
    <row r="1640" spans="2:7">
      <c r="B1640" s="114"/>
      <c r="C1640" s="154"/>
      <c r="D1640" s="114"/>
      <c r="E1640" s="114"/>
      <c r="F1640" s="114" t="s">
        <v>3485</v>
      </c>
      <c r="G1640" s="114" t="s">
        <v>3485</v>
      </c>
    </row>
    <row r="1641" spans="2:7">
      <c r="B1641" s="105">
        <v>1</v>
      </c>
      <c r="C1641" s="76" t="s">
        <v>1265</v>
      </c>
      <c r="D1641" s="105" t="s">
        <v>2374</v>
      </c>
      <c r="E1641" s="207">
        <v>12</v>
      </c>
      <c r="F1641" s="190">
        <f>'HIRE CHARGES'!$F$524</f>
        <v>175.8</v>
      </c>
      <c r="G1641" s="190">
        <f>E1641*F1641</f>
        <v>2109.6000000000004</v>
      </c>
    </row>
    <row r="1642" spans="2:7">
      <c r="B1642" s="105">
        <v>2</v>
      </c>
      <c r="C1642" s="76" t="s">
        <v>5037</v>
      </c>
      <c r="D1642" s="105" t="s">
        <v>2374</v>
      </c>
      <c r="E1642" s="207">
        <v>8</v>
      </c>
      <c r="F1642" s="190">
        <f>'HIRE CHARGES'!$F$503</f>
        <v>131.80000000000001</v>
      </c>
      <c r="G1642" s="190">
        <f t="shared" ref="G1642:G1658" si="32">E1642*F1642</f>
        <v>1054.4000000000001</v>
      </c>
    </row>
    <row r="1643" spans="2:7">
      <c r="B1643" s="105">
        <v>3</v>
      </c>
      <c r="C1643" s="76" t="s">
        <v>5038</v>
      </c>
      <c r="D1643" s="105"/>
      <c r="E1643" s="207"/>
      <c r="F1643" s="190"/>
      <c r="G1643" s="190"/>
    </row>
    <row r="1644" spans="2:7">
      <c r="B1644" s="317"/>
      <c r="C1644" s="76" t="s">
        <v>5039</v>
      </c>
      <c r="D1644" s="105" t="s">
        <v>1172</v>
      </c>
      <c r="E1644" s="207">
        <v>1</v>
      </c>
      <c r="F1644" s="190">
        <f>'BASIC DATA'!$C$503</f>
        <v>550</v>
      </c>
      <c r="G1644" s="190">
        <f t="shared" si="32"/>
        <v>550</v>
      </c>
    </row>
    <row r="1645" spans="2:7">
      <c r="B1645" s="317"/>
      <c r="C1645" s="76" t="s">
        <v>3010</v>
      </c>
      <c r="D1645" s="105" t="s">
        <v>1172</v>
      </c>
      <c r="E1645" s="207">
        <v>2</v>
      </c>
      <c r="F1645" s="190">
        <f>'BASIC DATA'!$C$504</f>
        <v>445</v>
      </c>
      <c r="G1645" s="190">
        <f t="shared" si="32"/>
        <v>890</v>
      </c>
    </row>
    <row r="1646" spans="2:7">
      <c r="B1646" s="317"/>
      <c r="C1646" s="76" t="s">
        <v>1066</v>
      </c>
      <c r="D1646" s="105" t="s">
        <v>1172</v>
      </c>
      <c r="E1646" s="207">
        <v>2</v>
      </c>
      <c r="F1646" s="190">
        <f>'BASIC DATA'!$C$475</f>
        <v>475</v>
      </c>
      <c r="G1646" s="190">
        <f t="shared" si="32"/>
        <v>950</v>
      </c>
    </row>
    <row r="1647" spans="2:7">
      <c r="B1647" s="317"/>
      <c r="C1647" s="76" t="s">
        <v>2448</v>
      </c>
      <c r="D1647" s="105" t="s">
        <v>1172</v>
      </c>
      <c r="E1647" s="207">
        <v>3</v>
      </c>
      <c r="F1647" s="190">
        <f>'BASIC DATA'!$C$488</f>
        <v>510</v>
      </c>
      <c r="G1647" s="190">
        <f t="shared" si="32"/>
        <v>1530</v>
      </c>
    </row>
    <row r="1648" spans="2:7">
      <c r="B1648" s="317"/>
      <c r="C1648" s="76" t="s">
        <v>3012</v>
      </c>
      <c r="D1648" s="105" t="s">
        <v>1172</v>
      </c>
      <c r="E1648" s="207">
        <v>2</v>
      </c>
      <c r="F1648" s="190">
        <f>'BASIC DATA'!$C$500</f>
        <v>445</v>
      </c>
      <c r="G1648" s="190">
        <f t="shared" si="32"/>
        <v>890</v>
      </c>
    </row>
    <row r="1649" spans="2:7">
      <c r="B1649" s="317"/>
      <c r="C1649" s="76" t="s">
        <v>5040</v>
      </c>
      <c r="D1649" s="105" t="s">
        <v>1172</v>
      </c>
      <c r="E1649" s="207">
        <v>4</v>
      </c>
      <c r="F1649" s="190">
        <f>'BASIC DATA'!$C$529</f>
        <v>400</v>
      </c>
      <c r="G1649" s="190">
        <f t="shared" si="32"/>
        <v>1600</v>
      </c>
    </row>
    <row r="1650" spans="2:7">
      <c r="B1650" s="105">
        <v>4</v>
      </c>
      <c r="C1650" s="76" t="s">
        <v>3425</v>
      </c>
      <c r="D1650" s="105"/>
      <c r="E1650" s="207"/>
      <c r="F1650" s="190"/>
      <c r="G1650" s="190"/>
    </row>
    <row r="1651" spans="2:7">
      <c r="B1651" s="317"/>
      <c r="C1651" s="76" t="s">
        <v>4905</v>
      </c>
      <c r="D1651" s="105" t="s">
        <v>1172</v>
      </c>
      <c r="E1651" s="207">
        <v>2</v>
      </c>
      <c r="F1651" s="190">
        <f>'BASIC DATA'!$C$504</f>
        <v>445</v>
      </c>
      <c r="G1651" s="190">
        <f t="shared" si="32"/>
        <v>890</v>
      </c>
    </row>
    <row r="1652" spans="2:7">
      <c r="B1652" s="317"/>
      <c r="C1652" s="76" t="s">
        <v>5040</v>
      </c>
      <c r="D1652" s="105" t="s">
        <v>1172</v>
      </c>
      <c r="E1652" s="207">
        <v>2</v>
      </c>
      <c r="F1652" s="190">
        <f>'BASIC DATA'!$C$529</f>
        <v>400</v>
      </c>
      <c r="G1652" s="190">
        <f t="shared" si="32"/>
        <v>800</v>
      </c>
    </row>
    <row r="1653" spans="2:7">
      <c r="B1653" s="317"/>
      <c r="C1653" s="76" t="s">
        <v>3012</v>
      </c>
      <c r="D1653" s="105" t="s">
        <v>1172</v>
      </c>
      <c r="E1653" s="207">
        <v>2</v>
      </c>
      <c r="F1653" s="190">
        <f>'BASIC DATA'!$C$500</f>
        <v>445</v>
      </c>
      <c r="G1653" s="190">
        <f t="shared" si="32"/>
        <v>890</v>
      </c>
    </row>
    <row r="1654" spans="2:7">
      <c r="B1654" s="105">
        <v>5</v>
      </c>
      <c r="C1654" s="76" t="s">
        <v>5041</v>
      </c>
      <c r="D1654" s="105"/>
      <c r="E1654" s="207"/>
      <c r="F1654" s="190"/>
      <c r="G1654" s="190"/>
    </row>
    <row r="1655" spans="2:7">
      <c r="B1655" s="317"/>
      <c r="C1655" s="76" t="s">
        <v>2468</v>
      </c>
      <c r="D1655" s="105" t="s">
        <v>1172</v>
      </c>
      <c r="E1655" s="207">
        <v>1</v>
      </c>
      <c r="F1655" s="190">
        <f>'BASIC DATA'!$C$471</f>
        <v>510</v>
      </c>
      <c r="G1655" s="190">
        <f t="shared" si="32"/>
        <v>510</v>
      </c>
    </row>
    <row r="1656" spans="2:7">
      <c r="B1656" s="317"/>
      <c r="C1656" s="76" t="s">
        <v>4246</v>
      </c>
      <c r="D1656" s="105" t="s">
        <v>1172</v>
      </c>
      <c r="E1656" s="207">
        <v>2</v>
      </c>
      <c r="F1656" s="190">
        <f>'BASIC DATA'!$C$503</f>
        <v>550</v>
      </c>
      <c r="G1656" s="190">
        <f t="shared" si="32"/>
        <v>1100</v>
      </c>
    </row>
    <row r="1657" spans="2:7">
      <c r="B1657" s="317"/>
      <c r="C1657" s="76" t="s">
        <v>4247</v>
      </c>
      <c r="D1657" s="105" t="s">
        <v>1172</v>
      </c>
      <c r="E1657" s="207">
        <v>2</v>
      </c>
      <c r="F1657" s="190">
        <f>'BASIC DATA'!$C$529</f>
        <v>400</v>
      </c>
      <c r="G1657" s="190">
        <f t="shared" si="32"/>
        <v>800</v>
      </c>
    </row>
    <row r="1658" spans="2:7">
      <c r="B1658" s="280"/>
      <c r="C1658" s="76" t="s">
        <v>3012</v>
      </c>
      <c r="D1658" s="105" t="s">
        <v>1172</v>
      </c>
      <c r="E1658" s="207">
        <v>4</v>
      </c>
      <c r="F1658" s="190">
        <f>'BASIC DATA'!$C$500</f>
        <v>445</v>
      </c>
      <c r="G1658" s="190">
        <f t="shared" si="32"/>
        <v>1780</v>
      </c>
    </row>
    <row r="1659" spans="2:7">
      <c r="B1659" s="92"/>
      <c r="C1659" s="193" t="s">
        <v>1174</v>
      </c>
      <c r="D1659" s="159"/>
      <c r="E1659" s="238"/>
      <c r="F1659" s="236" t="s">
        <v>1698</v>
      </c>
      <c r="G1659" s="318">
        <f>SUM(G1641:G1658)</f>
        <v>16344</v>
      </c>
    </row>
    <row r="1660" spans="2:7">
      <c r="B1660" s="60" t="s">
        <v>5948</v>
      </c>
      <c r="D1660" s="31"/>
      <c r="E1660" s="85">
        <f>ROUND(G1659/F1609,1)</f>
        <v>16344</v>
      </c>
    </row>
    <row r="1661" spans="2:7">
      <c r="B1661" s="60" t="s">
        <v>3163</v>
      </c>
      <c r="D1661" s="922">
        <f>'BASIC DATA'!$C$577</f>
        <v>0.13614999999999999</v>
      </c>
      <c r="E1661" s="85">
        <f>ROUND(E1660*D1661,1)</f>
        <v>2225.1999999999998</v>
      </c>
    </row>
    <row r="1662" spans="2:7">
      <c r="B1662" s="60" t="s">
        <v>5949</v>
      </c>
      <c r="D1662" s="31"/>
      <c r="E1662" s="199">
        <f>ROUND(E1661+E1660,1)</f>
        <v>18569.2</v>
      </c>
    </row>
    <row r="1663" spans="2:7"/>
    <row r="1664" spans="2:7">
      <c r="B1664" s="170" t="s">
        <v>1175</v>
      </c>
    </row>
    <row r="1665" spans="1:7">
      <c r="B1665" s="26" t="s">
        <v>1176</v>
      </c>
      <c r="F1665" s="171" t="s">
        <v>1698</v>
      </c>
      <c r="G1665" s="68">
        <f>G1624</f>
        <v>44044.800000000003</v>
      </c>
    </row>
    <row r="1666" spans="1:7">
      <c r="B1666" s="26" t="s">
        <v>1186</v>
      </c>
      <c r="F1666" s="171" t="s">
        <v>1698</v>
      </c>
      <c r="G1666" s="68">
        <f>G1636</f>
        <v>8179.2000000000007</v>
      </c>
    </row>
    <row r="1667" spans="1:7">
      <c r="B1667" s="26" t="s">
        <v>2660</v>
      </c>
      <c r="F1667" s="171" t="s">
        <v>1698</v>
      </c>
      <c r="G1667" s="75">
        <f>G1659</f>
        <v>16344</v>
      </c>
    </row>
    <row r="1668" spans="1:7">
      <c r="E1668" s="171"/>
      <c r="F1668" s="171" t="s">
        <v>302</v>
      </c>
      <c r="G1668" s="205">
        <f>SUM(G1665:G1667)</f>
        <v>68568</v>
      </c>
    </row>
    <row r="1669" spans="1:7">
      <c r="A1669" s="853"/>
      <c r="B1669" s="61" t="s">
        <v>2313</v>
      </c>
      <c r="C1669" s="61"/>
      <c r="D1669" s="61"/>
      <c r="E1669" s="320">
        <f>'BASIC DATA'!$C$595</f>
        <v>0.01</v>
      </c>
      <c r="F1669" s="222" t="s">
        <v>1698</v>
      </c>
      <c r="G1669" s="321">
        <f>E1669*$G$1668</f>
        <v>685.68000000000006</v>
      </c>
    </row>
    <row r="1670" spans="1:7">
      <c r="A1670" s="853"/>
      <c r="B1670" s="61" t="s">
        <v>2314</v>
      </c>
      <c r="C1670" s="61"/>
      <c r="D1670" s="61"/>
      <c r="E1670" s="291">
        <f>'BASIC DATA'!$C$596</f>
        <v>4.4999999999999998E-2</v>
      </c>
      <c r="F1670" s="222" t="s">
        <v>1698</v>
      </c>
      <c r="G1670" s="321">
        <f>E1670*$G$1668</f>
        <v>3085.56</v>
      </c>
    </row>
    <row r="1671" spans="1:7">
      <c r="A1671" s="853"/>
      <c r="B1671" s="61" t="s">
        <v>2315</v>
      </c>
      <c r="C1671" s="61"/>
      <c r="D1671" s="61"/>
      <c r="E1671" s="291">
        <f>'BASIC DATA'!$C$597</f>
        <v>1.6E-2</v>
      </c>
      <c r="F1671" s="222" t="s">
        <v>1698</v>
      </c>
      <c r="G1671" s="321">
        <f>E1671*$G$1668</f>
        <v>1097.088</v>
      </c>
    </row>
    <row r="1672" spans="1:7">
      <c r="A1672" s="853"/>
      <c r="B1672" s="61" t="s">
        <v>1259</v>
      </c>
      <c r="C1672" s="61"/>
      <c r="D1672" s="61"/>
      <c r="E1672" s="291">
        <f>'BASIC DATA'!$C$598</f>
        <v>2.5000000000000001E-2</v>
      </c>
      <c r="F1672" s="222" t="s">
        <v>1698</v>
      </c>
      <c r="G1672" s="321">
        <f>E1672*$G$1668</f>
        <v>1714.2</v>
      </c>
    </row>
    <row r="1673" spans="1:7">
      <c r="A1673" s="853"/>
      <c r="B1673" s="61"/>
      <c r="C1673" s="61"/>
      <c r="D1673" s="61"/>
      <c r="E1673" s="291"/>
      <c r="F1673" s="171" t="s">
        <v>302</v>
      </c>
      <c r="G1673" s="205">
        <f>SUM(G1668:G1672)</f>
        <v>75150.527999999991</v>
      </c>
    </row>
    <row r="1674" spans="1:7" ht="34.5" customHeight="1">
      <c r="B1674" s="1207" t="s">
        <v>6259</v>
      </c>
      <c r="C1674" s="1207"/>
      <c r="D1674" s="1207"/>
      <c r="E1674" s="922">
        <f>'BASIC DATA'!$C$577</f>
        <v>0.13614999999999999</v>
      </c>
      <c r="F1674" s="171" t="s">
        <v>1698</v>
      </c>
      <c r="G1674" s="75">
        <f>G1673*E1674</f>
        <v>10231.744387199999</v>
      </c>
    </row>
    <row r="1675" spans="1:7" ht="36.75" customHeight="1">
      <c r="B1675" s="1207" t="s">
        <v>9611</v>
      </c>
      <c r="C1675" s="1207"/>
      <c r="D1675" s="779">
        <f>SUM(E1613:E1615)/1000</f>
        <v>1.0249999999999999</v>
      </c>
      <c r="E1675" s="201" t="s">
        <v>9592</v>
      </c>
      <c r="F1675" s="68" t="str">
        <f>CONCATENATE((leadcharges!$F$65+leadcharges!$G$78+leadcharges!$G$79)," ","Rs./Tonne")</f>
        <v>168.6 Rs./Tonne</v>
      </c>
      <c r="G1675" s="200">
        <f>(leadcharges!$F$65+leadcharges!$G$78+leadcharges!$G$79)*D1675</f>
        <v>172.81499999999997</v>
      </c>
    </row>
    <row r="1676" spans="1:7" ht="34.5" customHeight="1">
      <c r="B1676" s="26" t="s">
        <v>1191</v>
      </c>
      <c r="D1676" s="68">
        <f>F1609</f>
        <v>1</v>
      </c>
      <c r="E1676" s="68" t="str">
        <f>G1609</f>
        <v>tonne</v>
      </c>
      <c r="F1676" s="171" t="s">
        <v>1698</v>
      </c>
      <c r="G1676" s="211">
        <f>SUM(G1673:G1675)</f>
        <v>85555.087387199994</v>
      </c>
    </row>
    <row r="1677" spans="1:7">
      <c r="B1677" s="170" t="s">
        <v>3884</v>
      </c>
      <c r="C1677" s="211" t="str">
        <f>E1676</f>
        <v>tonne</v>
      </c>
      <c r="D1677" s="26" t="s">
        <v>6572</v>
      </c>
      <c r="F1677" s="171" t="s">
        <v>1698</v>
      </c>
      <c r="G1677" s="211">
        <f>ROUND(G1676/D1676,1)</f>
        <v>85555.1</v>
      </c>
    </row>
    <row r="1678" spans="1:7">
      <c r="B1678" s="78"/>
    </row>
    <row r="1679" spans="1:7">
      <c r="B1679" s="78"/>
    </row>
    <row r="1680" spans="1:7" ht="18.75">
      <c r="A1680" s="822" t="s">
        <v>7399</v>
      </c>
      <c r="B1680" s="26" t="s">
        <v>8605</v>
      </c>
    </row>
    <row r="1681" spans="1:7">
      <c r="A1681" s="865"/>
      <c r="B1681" s="26" t="s">
        <v>4096</v>
      </c>
    </row>
    <row r="1682" spans="1:7">
      <c r="A1682" s="865"/>
      <c r="B1682" s="26" t="s">
        <v>6116</v>
      </c>
    </row>
    <row r="1683" spans="1:7" ht="18.75">
      <c r="A1683" s="865"/>
      <c r="B1683" s="26" t="s">
        <v>8606</v>
      </c>
    </row>
    <row r="1684" spans="1:7">
      <c r="A1684" s="865"/>
      <c r="F1684" s="322"/>
    </row>
    <row r="1685" spans="1:7" hidden="1">
      <c r="A1685" s="865" t="s">
        <v>3984</v>
      </c>
      <c r="B1685" s="26" t="s">
        <v>5684</v>
      </c>
      <c r="F1685" s="322"/>
    </row>
    <row r="1686" spans="1:7" hidden="1">
      <c r="A1686" s="865"/>
      <c r="B1686" s="26" t="s">
        <v>5685</v>
      </c>
    </row>
    <row r="1687" spans="1:7" hidden="1">
      <c r="A1687" s="865"/>
      <c r="B1687" s="26" t="s">
        <v>1756</v>
      </c>
    </row>
    <row r="1688" spans="1:7" hidden="1">
      <c r="A1688" s="865"/>
      <c r="B1688" s="26" t="s">
        <v>5686</v>
      </c>
    </row>
    <row r="1689" spans="1:7" hidden="1">
      <c r="A1689" s="865"/>
      <c r="B1689" s="26" t="s">
        <v>597</v>
      </c>
    </row>
    <row r="1690" spans="1:7" hidden="1">
      <c r="A1690" s="865"/>
      <c r="B1690" s="26" t="s">
        <v>5687</v>
      </c>
      <c r="E1690" s="322" t="s">
        <v>1697</v>
      </c>
      <c r="F1690" s="26">
        <v>760</v>
      </c>
      <c r="G1690" s="26" t="s">
        <v>3478</v>
      </c>
    </row>
    <row r="1691" spans="1:7" hidden="1">
      <c r="A1691" s="865"/>
      <c r="B1691" s="26" t="s">
        <v>5688</v>
      </c>
      <c r="E1691" s="322" t="s">
        <v>1697</v>
      </c>
      <c r="F1691" s="26">
        <v>115</v>
      </c>
      <c r="G1691" s="26" t="s">
        <v>3478</v>
      </c>
    </row>
    <row r="1692" spans="1:7" hidden="1">
      <c r="A1692" s="865"/>
      <c r="B1692" s="26" t="s">
        <v>5689</v>
      </c>
      <c r="E1692" s="322" t="s">
        <v>1697</v>
      </c>
      <c r="F1692" s="26">
        <v>150</v>
      </c>
      <c r="G1692" s="26" t="s">
        <v>3478</v>
      </c>
    </row>
    <row r="1693" spans="1:7" hidden="1">
      <c r="A1693" s="865"/>
      <c r="B1693" s="26" t="s">
        <v>4958</v>
      </c>
      <c r="E1693" s="322" t="s">
        <v>1697</v>
      </c>
      <c r="F1693" s="26">
        <v>50</v>
      </c>
      <c r="G1693" s="26" t="s">
        <v>3478</v>
      </c>
    </row>
    <row r="1694" spans="1:7" hidden="1">
      <c r="A1694" s="865"/>
      <c r="B1694" s="26" t="s">
        <v>5690</v>
      </c>
      <c r="E1694" s="322" t="s">
        <v>1697</v>
      </c>
      <c r="F1694" s="68">
        <v>2.4</v>
      </c>
      <c r="G1694" s="26" t="s">
        <v>3477</v>
      </c>
    </row>
    <row r="1695" spans="1:7" hidden="1">
      <c r="A1695" s="865"/>
      <c r="B1695" s="26" t="s">
        <v>5691</v>
      </c>
      <c r="E1695" s="322" t="s">
        <v>1697</v>
      </c>
      <c r="F1695" s="68">
        <v>0.8</v>
      </c>
      <c r="G1695" s="26" t="s">
        <v>3477</v>
      </c>
    </row>
    <row r="1696" spans="1:7" hidden="1">
      <c r="A1696" s="865"/>
      <c r="B1696" s="26" t="s">
        <v>5692</v>
      </c>
      <c r="E1696" s="322" t="s">
        <v>1697</v>
      </c>
      <c r="F1696" s="26">
        <v>125</v>
      </c>
      <c r="G1696" s="26" t="s">
        <v>4041</v>
      </c>
    </row>
    <row r="1697" spans="1:7" hidden="1">
      <c r="A1697" s="865"/>
      <c r="B1697" s="26" t="s">
        <v>598</v>
      </c>
    </row>
    <row r="1698" spans="1:7" hidden="1">
      <c r="A1698" s="865"/>
      <c r="B1698" s="26" t="s">
        <v>2293</v>
      </c>
    </row>
    <row r="1699" spans="1:7" hidden="1">
      <c r="A1699" s="865"/>
      <c r="B1699" s="26" t="s">
        <v>6911</v>
      </c>
      <c r="E1699" s="78" t="s">
        <v>1697</v>
      </c>
      <c r="F1699" s="26">
        <v>8</v>
      </c>
      <c r="G1699" s="26" t="s">
        <v>4665</v>
      </c>
    </row>
    <row r="1700" spans="1:7" hidden="1">
      <c r="A1700" s="865"/>
      <c r="B1700" s="26" t="s">
        <v>1338</v>
      </c>
      <c r="E1700" s="78" t="s">
        <v>1697</v>
      </c>
      <c r="F1700" s="26">
        <v>8</v>
      </c>
      <c r="G1700" s="26" t="s">
        <v>4665</v>
      </c>
    </row>
    <row r="1701" spans="1:7" hidden="1">
      <c r="A1701" s="865"/>
      <c r="B1701" s="26" t="s">
        <v>2294</v>
      </c>
      <c r="E1701" s="78" t="s">
        <v>1697</v>
      </c>
      <c r="F1701" s="26">
        <v>18</v>
      </c>
      <c r="G1701" s="26" t="s">
        <v>4665</v>
      </c>
    </row>
    <row r="1702" spans="1:7" hidden="1">
      <c r="A1702" s="865"/>
      <c r="B1702" s="26" t="s">
        <v>599</v>
      </c>
    </row>
    <row r="1703" spans="1:7" hidden="1">
      <c r="A1703" s="865"/>
      <c r="B1703" s="26" t="s">
        <v>2295</v>
      </c>
    </row>
    <row r="1704" spans="1:7" hidden="1">
      <c r="A1704" s="865"/>
      <c r="B1704" s="26" t="s">
        <v>4143</v>
      </c>
    </row>
    <row r="1705" spans="1:7" hidden="1">
      <c r="A1705" s="865"/>
      <c r="B1705" s="26" t="s">
        <v>4533</v>
      </c>
    </row>
    <row r="1706" spans="1:7" hidden="1">
      <c r="A1706" s="865"/>
      <c r="B1706" s="26" t="s">
        <v>4847</v>
      </c>
    </row>
    <row r="1707" spans="1:7" hidden="1">
      <c r="B1707" s="78"/>
    </row>
    <row r="1708" spans="1:7">
      <c r="B1708" s="78"/>
    </row>
    <row r="1709" spans="1:7">
      <c r="A1709" s="822" t="s">
        <v>1907</v>
      </c>
      <c r="B1709" s="78"/>
      <c r="C1709" s="203" t="s">
        <v>2367</v>
      </c>
      <c r="E1709" s="171" t="s">
        <v>297</v>
      </c>
      <c r="F1709" s="246">
        <v>1</v>
      </c>
      <c r="G1709" s="68" t="s">
        <v>3480</v>
      </c>
    </row>
    <row r="1710" spans="1:7">
      <c r="B1710" s="27" t="s">
        <v>3755</v>
      </c>
    </row>
    <row r="1711" spans="1:7">
      <c r="B1711" s="95" t="s">
        <v>2369</v>
      </c>
      <c r="C1711" s="157" t="s">
        <v>4443</v>
      </c>
      <c r="D1711" s="95" t="s">
        <v>2370</v>
      </c>
      <c r="E1711" s="95" t="s">
        <v>1166</v>
      </c>
      <c r="F1711" s="95" t="s">
        <v>2371</v>
      </c>
      <c r="G1711" s="95" t="s">
        <v>2372</v>
      </c>
    </row>
    <row r="1712" spans="1:7">
      <c r="B1712" s="114"/>
      <c r="C1712" s="154"/>
      <c r="D1712" s="114"/>
      <c r="E1712" s="114"/>
      <c r="F1712" s="114" t="s">
        <v>3485</v>
      </c>
      <c r="G1712" s="114" t="s">
        <v>3485</v>
      </c>
    </row>
    <row r="1713" spans="2:7">
      <c r="B1713" s="95">
        <v>1</v>
      </c>
      <c r="C1713" s="135" t="s">
        <v>3750</v>
      </c>
      <c r="D1713" s="95" t="s">
        <v>3478</v>
      </c>
      <c r="E1713" s="190">
        <v>760</v>
      </c>
      <c r="F1713" s="214">
        <f>'BASIC DATA'!$D$97/1000</f>
        <v>37.5</v>
      </c>
      <c r="G1713" s="190">
        <f>E1713*F1713</f>
        <v>28500</v>
      </c>
    </row>
    <row r="1714" spans="2:7">
      <c r="B1714" s="105">
        <v>2</v>
      </c>
      <c r="C1714" s="135" t="s">
        <v>3751</v>
      </c>
      <c r="D1714" s="105" t="s">
        <v>3478</v>
      </c>
      <c r="E1714" s="190">
        <v>115</v>
      </c>
      <c r="F1714" s="214">
        <f>'BASIC DATA'!$D$98/1000</f>
        <v>37.4</v>
      </c>
      <c r="G1714" s="190">
        <f t="shared" ref="G1714:G1723" si="33">E1714*F1714</f>
        <v>4301</v>
      </c>
    </row>
    <row r="1715" spans="2:7">
      <c r="B1715" s="105">
        <v>3</v>
      </c>
      <c r="C1715" s="135" t="s">
        <v>3756</v>
      </c>
      <c r="D1715" s="105" t="s">
        <v>3478</v>
      </c>
      <c r="E1715" s="190">
        <v>150</v>
      </c>
      <c r="F1715" s="214">
        <f>'BASIC DATA'!$D$91/1000</f>
        <v>34</v>
      </c>
      <c r="G1715" s="190">
        <f t="shared" si="33"/>
        <v>5100</v>
      </c>
    </row>
    <row r="1716" spans="2:7">
      <c r="B1716" s="105">
        <v>4</v>
      </c>
      <c r="C1716" s="135" t="s">
        <v>3753</v>
      </c>
      <c r="D1716" s="105"/>
      <c r="E1716" s="190"/>
      <c r="F1716" s="214"/>
      <c r="G1716" s="190"/>
    </row>
    <row r="1717" spans="2:7">
      <c r="B1717" s="317"/>
      <c r="C1717" s="135" t="s">
        <v>3757</v>
      </c>
      <c r="D1717" s="105" t="s">
        <v>3477</v>
      </c>
      <c r="E1717" s="190">
        <v>2.4</v>
      </c>
      <c r="F1717" s="214">
        <f>'BASIC DATA'!$D$87</f>
        <v>42</v>
      </c>
      <c r="G1717" s="190">
        <f t="shared" si="33"/>
        <v>100.8</v>
      </c>
    </row>
    <row r="1718" spans="2:7">
      <c r="B1718" s="317"/>
      <c r="C1718" s="135" t="s">
        <v>7121</v>
      </c>
      <c r="D1718" s="105" t="s">
        <v>3477</v>
      </c>
      <c r="E1718" s="190">
        <v>0.8</v>
      </c>
      <c r="F1718" s="214">
        <f>'BASIC DATA'!$D$28</f>
        <v>335</v>
      </c>
      <c r="G1718" s="190">
        <f t="shared" si="33"/>
        <v>268</v>
      </c>
    </row>
    <row r="1719" spans="2:7">
      <c r="B1719" s="105">
        <v>5</v>
      </c>
      <c r="C1719" s="135" t="s">
        <v>3425</v>
      </c>
      <c r="D1719" s="105"/>
      <c r="E1719" s="190"/>
      <c r="F1719" s="214"/>
      <c r="G1719" s="190"/>
    </row>
    <row r="1720" spans="2:7">
      <c r="B1720" s="317"/>
      <c r="C1720" s="135" t="s">
        <v>7122</v>
      </c>
      <c r="D1720" s="105" t="s">
        <v>4041</v>
      </c>
      <c r="E1720" s="190">
        <v>125</v>
      </c>
      <c r="F1720" s="214">
        <f>'BASIC DATA'!$D$110</f>
        <v>13</v>
      </c>
      <c r="G1720" s="190">
        <f t="shared" si="33"/>
        <v>1625</v>
      </c>
    </row>
    <row r="1721" spans="2:7">
      <c r="B1721" s="105">
        <v>6</v>
      </c>
      <c r="C1721" s="135" t="s">
        <v>5045</v>
      </c>
      <c r="D1721" s="105"/>
      <c r="E1721" s="190"/>
      <c r="F1721" s="214"/>
      <c r="G1721" s="190"/>
    </row>
    <row r="1722" spans="2:7">
      <c r="B1722" s="317"/>
      <c r="C1722" s="135" t="s">
        <v>7123</v>
      </c>
      <c r="D1722" s="105" t="s">
        <v>3478</v>
      </c>
      <c r="E1722" s="190">
        <v>50</v>
      </c>
      <c r="F1722" s="214">
        <f>'BASIC DATA'!$D$84</f>
        <v>80</v>
      </c>
      <c r="G1722" s="190">
        <f t="shared" si="33"/>
        <v>4000</v>
      </c>
    </row>
    <row r="1723" spans="2:7">
      <c r="B1723" s="114">
        <v>7</v>
      </c>
      <c r="C1723" s="135" t="s">
        <v>2373</v>
      </c>
      <c r="D1723" s="105" t="s">
        <v>2173</v>
      </c>
      <c r="E1723" s="190">
        <v>20</v>
      </c>
      <c r="F1723" s="214">
        <f>'BASIC DATA'!$D$359</f>
        <v>30</v>
      </c>
      <c r="G1723" s="190">
        <f t="shared" si="33"/>
        <v>600</v>
      </c>
    </row>
    <row r="1724" spans="2:7">
      <c r="B1724" s="92"/>
      <c r="C1724" s="193" t="s">
        <v>7124</v>
      </c>
      <c r="D1724" s="330"/>
      <c r="E1724" s="238"/>
      <c r="F1724" s="236" t="s">
        <v>1698</v>
      </c>
      <c r="G1724" s="67">
        <f>SUM(G1713:G1723)</f>
        <v>44494.8</v>
      </c>
    </row>
    <row r="1725" spans="2:7">
      <c r="B1725" s="92"/>
      <c r="C1725" s="193" t="s">
        <v>1681</v>
      </c>
      <c r="D1725" s="159">
        <v>20</v>
      </c>
      <c r="E1725" s="238" t="s">
        <v>4614</v>
      </c>
      <c r="F1725" s="236" t="s">
        <v>1698</v>
      </c>
      <c r="G1725" s="318">
        <f>G1724/D1725</f>
        <v>2224.7400000000002</v>
      </c>
    </row>
    <row r="1726" spans="2:7">
      <c r="B1726" s="33"/>
      <c r="C1726" s="200"/>
      <c r="D1726" s="31"/>
      <c r="E1726" s="31"/>
      <c r="F1726" s="200"/>
      <c r="G1726" s="31"/>
    </row>
    <row r="1727" spans="2:7">
      <c r="B1727" s="27" t="s">
        <v>5080</v>
      </c>
    </row>
    <row r="1728" spans="2:7">
      <c r="B1728" s="95" t="s">
        <v>2369</v>
      </c>
      <c r="C1728" s="157" t="s">
        <v>2378</v>
      </c>
      <c r="D1728" s="95" t="s">
        <v>2370</v>
      </c>
      <c r="E1728" s="95" t="s">
        <v>1166</v>
      </c>
      <c r="F1728" s="95" t="s">
        <v>2371</v>
      </c>
      <c r="G1728" s="95" t="s">
        <v>2372</v>
      </c>
    </row>
    <row r="1729" spans="2:7">
      <c r="B1729" s="114"/>
      <c r="C1729" s="154"/>
      <c r="D1729" s="114"/>
      <c r="E1729" s="114"/>
      <c r="F1729" s="114" t="s">
        <v>3485</v>
      </c>
      <c r="G1729" s="114" t="s">
        <v>3485</v>
      </c>
    </row>
    <row r="1730" spans="2:7">
      <c r="B1730" s="95">
        <v>1</v>
      </c>
      <c r="C1730" s="135" t="s">
        <v>6911</v>
      </c>
      <c r="D1730" s="95" t="s">
        <v>2374</v>
      </c>
      <c r="E1730" s="190">
        <v>8</v>
      </c>
      <c r="F1730" s="190">
        <f>'HIRE CHARGES'!$D$503</f>
        <v>42.6</v>
      </c>
      <c r="G1730" s="190">
        <f>E1730*F1730</f>
        <v>340.8</v>
      </c>
    </row>
    <row r="1731" spans="2:7">
      <c r="B1731" s="317"/>
      <c r="C1731" s="135" t="s">
        <v>2379</v>
      </c>
      <c r="D1731" s="105" t="s">
        <v>2374</v>
      </c>
      <c r="E1731" s="190">
        <v>8</v>
      </c>
      <c r="F1731" s="190">
        <f>'HIRE CHARGES'!$E$503</f>
        <v>84.1</v>
      </c>
      <c r="G1731" s="190">
        <f>E1731*F1731</f>
        <v>672.8</v>
      </c>
    </row>
    <row r="1732" spans="2:7">
      <c r="B1732" s="105">
        <v>2</v>
      </c>
      <c r="C1732" s="135" t="s">
        <v>1338</v>
      </c>
      <c r="D1732" s="105" t="s">
        <v>2374</v>
      </c>
      <c r="E1732" s="190">
        <v>16</v>
      </c>
      <c r="F1732" s="190">
        <f>'HIRE CHARGES'!$D$556</f>
        <v>16</v>
      </c>
      <c r="G1732" s="190">
        <f>E1732*F1732</f>
        <v>256</v>
      </c>
    </row>
    <row r="1733" spans="2:7">
      <c r="B1733" s="317"/>
      <c r="C1733" s="135" t="s">
        <v>2379</v>
      </c>
      <c r="D1733" s="105" t="s">
        <v>2374</v>
      </c>
      <c r="E1733" s="190">
        <v>16</v>
      </c>
      <c r="F1733" s="190">
        <f>'HIRE CHARGES'!$E$556</f>
        <v>67.2</v>
      </c>
      <c r="G1733" s="190">
        <f>E1733*F1733</f>
        <v>1075.2</v>
      </c>
    </row>
    <row r="1734" spans="2:7">
      <c r="B1734" s="105">
        <v>3</v>
      </c>
      <c r="C1734" s="135" t="s">
        <v>2373</v>
      </c>
      <c r="D1734" s="105" t="s">
        <v>2173</v>
      </c>
      <c r="E1734" s="190">
        <v>30</v>
      </c>
      <c r="F1734" s="214">
        <f>'BASIC DATA'!$D$359</f>
        <v>30</v>
      </c>
      <c r="G1734" s="190">
        <f>E1734*F1734</f>
        <v>900</v>
      </c>
    </row>
    <row r="1735" spans="2:7">
      <c r="B1735" s="176"/>
      <c r="C1735" s="172" t="s">
        <v>2380</v>
      </c>
      <c r="D1735" s="174"/>
      <c r="E1735" s="192"/>
      <c r="F1735" s="236" t="s">
        <v>1698</v>
      </c>
      <c r="G1735" s="67">
        <f>SUM(G1730:G1734)</f>
        <v>3244.8</v>
      </c>
    </row>
    <row r="1736" spans="2:7">
      <c r="B1736" s="176"/>
      <c r="C1736" s="172" t="s">
        <v>1681</v>
      </c>
      <c r="D1736" s="174">
        <v>20</v>
      </c>
      <c r="E1736" s="192" t="s">
        <v>4614</v>
      </c>
      <c r="F1736" s="236" t="s">
        <v>1698</v>
      </c>
      <c r="G1736" s="318">
        <f>G1735/D1736</f>
        <v>162.24</v>
      </c>
    </row>
    <row r="1737" spans="2:7">
      <c r="B1737" s="78"/>
    </row>
    <row r="1738" spans="2:7">
      <c r="B1738" s="27" t="s">
        <v>4097</v>
      </c>
    </row>
    <row r="1739" spans="2:7">
      <c r="B1739" s="95" t="s">
        <v>2369</v>
      </c>
      <c r="C1739" s="157" t="s">
        <v>2378</v>
      </c>
      <c r="D1739" s="95" t="s">
        <v>2370</v>
      </c>
      <c r="E1739" s="95" t="s">
        <v>1166</v>
      </c>
      <c r="F1739" s="95" t="s">
        <v>2371</v>
      </c>
      <c r="G1739" s="95" t="s">
        <v>2372</v>
      </c>
    </row>
    <row r="1740" spans="2:7">
      <c r="B1740" s="114"/>
      <c r="C1740" s="154"/>
      <c r="D1740" s="114"/>
      <c r="E1740" s="114"/>
      <c r="F1740" s="114" t="s">
        <v>3485</v>
      </c>
      <c r="G1740" s="114" t="s">
        <v>3485</v>
      </c>
    </row>
    <row r="1741" spans="2:7">
      <c r="B1741" s="95">
        <v>1</v>
      </c>
      <c r="C1741" s="135" t="s">
        <v>3988</v>
      </c>
      <c r="D1741" s="95" t="s">
        <v>2374</v>
      </c>
      <c r="E1741" s="190">
        <v>18</v>
      </c>
      <c r="F1741" s="190">
        <f>'HIRE CHARGES'!$D$524</f>
        <v>368.40000000000003</v>
      </c>
      <c r="G1741" s="190">
        <f>E1741*F1741</f>
        <v>6631.2000000000007</v>
      </c>
    </row>
    <row r="1742" spans="2:7">
      <c r="B1742" s="317"/>
      <c r="C1742" s="135" t="s">
        <v>2379</v>
      </c>
      <c r="D1742" s="105" t="s">
        <v>2374</v>
      </c>
      <c r="E1742" s="190">
        <v>18</v>
      </c>
      <c r="F1742" s="190">
        <f>'HIRE CHARGES'!$E$524</f>
        <v>42.8</v>
      </c>
      <c r="G1742" s="190">
        <f>E1742*F1742</f>
        <v>770.4</v>
      </c>
    </row>
    <row r="1743" spans="2:7">
      <c r="B1743" s="105">
        <v>2</v>
      </c>
      <c r="C1743" s="135" t="s">
        <v>2373</v>
      </c>
      <c r="D1743" s="105" t="s">
        <v>2173</v>
      </c>
      <c r="E1743" s="190">
        <v>10</v>
      </c>
      <c r="F1743" s="214">
        <f>'BASIC DATA'!$D$359</f>
        <v>30</v>
      </c>
      <c r="G1743" s="190">
        <f>E1743*F1743</f>
        <v>300</v>
      </c>
    </row>
    <row r="1744" spans="2:7">
      <c r="B1744" s="176"/>
      <c r="C1744" s="172" t="s">
        <v>2380</v>
      </c>
      <c r="D1744" s="174"/>
      <c r="E1744" s="274"/>
      <c r="F1744" s="236" t="s">
        <v>1698</v>
      </c>
      <c r="G1744" s="318">
        <f>SUM(G1741:G1743)</f>
        <v>7701.6</v>
      </c>
    </row>
    <row r="1745" spans="2:7">
      <c r="B1745" s="78"/>
      <c r="E1745" s="201"/>
    </row>
    <row r="1746" spans="2:7">
      <c r="B1746" s="27" t="s">
        <v>4098</v>
      </c>
    </row>
    <row r="1747" spans="2:7">
      <c r="B1747" s="95" t="s">
        <v>2369</v>
      </c>
      <c r="C1747" s="157" t="s">
        <v>2378</v>
      </c>
      <c r="D1747" s="95" t="s">
        <v>2370</v>
      </c>
      <c r="E1747" s="95" t="s">
        <v>1166</v>
      </c>
      <c r="F1747" s="95" t="s">
        <v>2371</v>
      </c>
      <c r="G1747" s="95" t="s">
        <v>2372</v>
      </c>
    </row>
    <row r="1748" spans="2:7">
      <c r="B1748" s="114"/>
      <c r="C1748" s="154"/>
      <c r="D1748" s="114"/>
      <c r="E1748" s="114"/>
      <c r="F1748" s="114" t="s">
        <v>3485</v>
      </c>
      <c r="G1748" s="114" t="s">
        <v>3485</v>
      </c>
    </row>
    <row r="1749" spans="2:7">
      <c r="B1749" s="105">
        <v>1</v>
      </c>
      <c r="C1749" s="76" t="s">
        <v>5318</v>
      </c>
      <c r="D1749" s="105" t="s">
        <v>2374</v>
      </c>
      <c r="E1749" s="207">
        <v>8</v>
      </c>
      <c r="F1749" s="190">
        <f>'HIRE CHARGES'!$F$503</f>
        <v>131.80000000000001</v>
      </c>
      <c r="G1749" s="190">
        <f>E1749*F1749</f>
        <v>1054.4000000000001</v>
      </c>
    </row>
    <row r="1750" spans="2:7">
      <c r="B1750" s="105">
        <v>2</v>
      </c>
      <c r="C1750" s="76" t="s">
        <v>5038</v>
      </c>
      <c r="D1750" s="105"/>
      <c r="E1750" s="207"/>
      <c r="F1750" s="190"/>
      <c r="G1750" s="190"/>
    </row>
    <row r="1751" spans="2:7">
      <c r="B1751" s="317"/>
      <c r="C1751" s="76" t="s">
        <v>5039</v>
      </c>
      <c r="D1751" s="105" t="s">
        <v>1172</v>
      </c>
      <c r="E1751" s="207">
        <v>1</v>
      </c>
      <c r="F1751" s="190">
        <f>'BASIC DATA'!$C$503</f>
        <v>550</v>
      </c>
      <c r="G1751" s="190">
        <f t="shared" ref="G1751:G1760" si="34">E1751*F1751</f>
        <v>550</v>
      </c>
    </row>
    <row r="1752" spans="2:7">
      <c r="B1752" s="317"/>
      <c r="C1752" s="76" t="s">
        <v>3010</v>
      </c>
      <c r="D1752" s="105" t="s">
        <v>1172</v>
      </c>
      <c r="E1752" s="207">
        <v>2</v>
      </c>
      <c r="F1752" s="190">
        <f>'BASIC DATA'!$C$504</f>
        <v>445</v>
      </c>
      <c r="G1752" s="190">
        <f t="shared" si="34"/>
        <v>890</v>
      </c>
    </row>
    <row r="1753" spans="2:7">
      <c r="B1753" s="317"/>
      <c r="C1753" s="76" t="s">
        <v>1066</v>
      </c>
      <c r="D1753" s="105" t="s">
        <v>1172</v>
      </c>
      <c r="E1753" s="207">
        <v>2</v>
      </c>
      <c r="F1753" s="190">
        <f>'BASIC DATA'!$C$475</f>
        <v>475</v>
      </c>
      <c r="G1753" s="190">
        <f t="shared" si="34"/>
        <v>950</v>
      </c>
    </row>
    <row r="1754" spans="2:7">
      <c r="B1754" s="317"/>
      <c r="C1754" s="76" t="s">
        <v>2448</v>
      </c>
      <c r="D1754" s="105" t="s">
        <v>1172</v>
      </c>
      <c r="E1754" s="207">
        <v>3</v>
      </c>
      <c r="F1754" s="190">
        <f>'BASIC DATA'!$C$488</f>
        <v>510</v>
      </c>
      <c r="G1754" s="190">
        <f t="shared" si="34"/>
        <v>1530</v>
      </c>
    </row>
    <row r="1755" spans="2:7">
      <c r="B1755" s="317"/>
      <c r="C1755" s="76" t="s">
        <v>3012</v>
      </c>
      <c r="D1755" s="105" t="s">
        <v>1172</v>
      </c>
      <c r="E1755" s="207">
        <v>2</v>
      </c>
      <c r="F1755" s="190">
        <f>'BASIC DATA'!$C$500</f>
        <v>445</v>
      </c>
      <c r="G1755" s="190">
        <f t="shared" si="34"/>
        <v>890</v>
      </c>
    </row>
    <row r="1756" spans="2:7">
      <c r="B1756" s="317"/>
      <c r="C1756" s="76" t="s">
        <v>5040</v>
      </c>
      <c r="D1756" s="105" t="s">
        <v>1172</v>
      </c>
      <c r="E1756" s="207">
        <v>4</v>
      </c>
      <c r="F1756" s="190">
        <f>'BASIC DATA'!$C$529</f>
        <v>400</v>
      </c>
      <c r="G1756" s="190">
        <f t="shared" si="34"/>
        <v>1600</v>
      </c>
    </row>
    <row r="1757" spans="2:7">
      <c r="B1757" s="105">
        <v>3</v>
      </c>
      <c r="C1757" s="76" t="s">
        <v>3425</v>
      </c>
      <c r="D1757" s="105"/>
      <c r="E1757" s="207"/>
      <c r="F1757" s="190"/>
      <c r="G1757" s="190"/>
    </row>
    <row r="1758" spans="2:7">
      <c r="B1758" s="317"/>
      <c r="C1758" s="76" t="s">
        <v>4905</v>
      </c>
      <c r="D1758" s="105" t="s">
        <v>1172</v>
      </c>
      <c r="E1758" s="207">
        <v>2</v>
      </c>
      <c r="F1758" s="190">
        <f>'BASIC DATA'!$C$504</f>
        <v>445</v>
      </c>
      <c r="G1758" s="190">
        <f t="shared" si="34"/>
        <v>890</v>
      </c>
    </row>
    <row r="1759" spans="2:7">
      <c r="B1759" s="317"/>
      <c r="C1759" s="76" t="s">
        <v>5040</v>
      </c>
      <c r="D1759" s="105" t="s">
        <v>1172</v>
      </c>
      <c r="E1759" s="207">
        <v>2</v>
      </c>
      <c r="F1759" s="190">
        <f>'BASIC DATA'!$C$529</f>
        <v>400</v>
      </c>
      <c r="G1759" s="190">
        <f t="shared" si="34"/>
        <v>800</v>
      </c>
    </row>
    <row r="1760" spans="2:7">
      <c r="B1760" s="280"/>
      <c r="C1760" s="76" t="s">
        <v>3012</v>
      </c>
      <c r="D1760" s="105" t="s">
        <v>1172</v>
      </c>
      <c r="E1760" s="207">
        <v>2</v>
      </c>
      <c r="F1760" s="190">
        <f>'BASIC DATA'!$C$500</f>
        <v>445</v>
      </c>
      <c r="G1760" s="190">
        <f t="shared" si="34"/>
        <v>890</v>
      </c>
    </row>
    <row r="1761" spans="2:7">
      <c r="B1761" s="92"/>
      <c r="C1761" s="193" t="s">
        <v>1174</v>
      </c>
      <c r="D1761" s="159"/>
      <c r="E1761" s="238"/>
      <c r="F1761" s="236" t="s">
        <v>1698</v>
      </c>
      <c r="G1761" s="67">
        <f>SUM(G1749:G1760)</f>
        <v>10044.4</v>
      </c>
    </row>
    <row r="1762" spans="2:7">
      <c r="B1762" s="92"/>
      <c r="C1762" s="193" t="s">
        <v>1681</v>
      </c>
      <c r="D1762" s="159">
        <v>20</v>
      </c>
      <c r="E1762" s="238" t="s">
        <v>4614</v>
      </c>
      <c r="F1762" s="236" t="s">
        <v>1698</v>
      </c>
      <c r="G1762" s="318">
        <f>G1761/D1762</f>
        <v>502.21999999999997</v>
      </c>
    </row>
    <row r="1763" spans="2:7">
      <c r="B1763" s="33"/>
      <c r="C1763" s="200"/>
      <c r="D1763" s="31"/>
      <c r="E1763" s="31"/>
      <c r="F1763" s="200"/>
    </row>
    <row r="1764" spans="2:7">
      <c r="B1764" s="27" t="s">
        <v>3164</v>
      </c>
    </row>
    <row r="1765" spans="2:7">
      <c r="B1765" s="95" t="s">
        <v>2369</v>
      </c>
      <c r="C1765" s="157" t="s">
        <v>2378</v>
      </c>
      <c r="D1765" s="95" t="s">
        <v>2370</v>
      </c>
      <c r="E1765" s="95" t="s">
        <v>1166</v>
      </c>
      <c r="F1765" s="95" t="s">
        <v>2371</v>
      </c>
      <c r="G1765" s="95" t="s">
        <v>2372</v>
      </c>
    </row>
    <row r="1766" spans="2:7">
      <c r="B1766" s="114"/>
      <c r="C1766" s="154"/>
      <c r="D1766" s="114"/>
      <c r="E1766" s="114"/>
      <c r="F1766" s="114" t="s">
        <v>3485</v>
      </c>
      <c r="G1766" s="114" t="s">
        <v>3485</v>
      </c>
    </row>
    <row r="1767" spans="2:7">
      <c r="B1767" s="105">
        <v>1</v>
      </c>
      <c r="C1767" s="76" t="s">
        <v>4487</v>
      </c>
      <c r="D1767" s="105" t="s">
        <v>2374</v>
      </c>
      <c r="E1767" s="207">
        <v>8</v>
      </c>
      <c r="F1767" s="190">
        <f>'HIRE CHARGES'!$F$524</f>
        <v>175.8</v>
      </c>
      <c r="G1767" s="190">
        <f>E1767*F1767</f>
        <v>1406.4</v>
      </c>
    </row>
    <row r="1768" spans="2:7">
      <c r="B1768" s="105">
        <v>2</v>
      </c>
      <c r="C1768" s="76" t="s">
        <v>5041</v>
      </c>
      <c r="D1768" s="105"/>
      <c r="E1768" s="207"/>
      <c r="F1768" s="190"/>
      <c r="G1768" s="190"/>
    </row>
    <row r="1769" spans="2:7">
      <c r="B1769" s="317"/>
      <c r="C1769" s="76" t="s">
        <v>2468</v>
      </c>
      <c r="D1769" s="105" t="s">
        <v>1172</v>
      </c>
      <c r="E1769" s="207">
        <v>1</v>
      </c>
      <c r="F1769" s="190">
        <f>'BASIC DATA'!$C$471</f>
        <v>510</v>
      </c>
      <c r="G1769" s="190">
        <f t="shared" ref="G1769:G1777" si="35">E1769*F1769</f>
        <v>510</v>
      </c>
    </row>
    <row r="1770" spans="2:7">
      <c r="B1770" s="317"/>
      <c r="C1770" s="76" t="s">
        <v>4246</v>
      </c>
      <c r="D1770" s="105" t="s">
        <v>1172</v>
      </c>
      <c r="E1770" s="207">
        <v>2</v>
      </c>
      <c r="F1770" s="190">
        <f>'BASIC DATA'!$C$503</f>
        <v>550</v>
      </c>
      <c r="G1770" s="190">
        <f t="shared" si="35"/>
        <v>1100</v>
      </c>
    </row>
    <row r="1771" spans="2:7">
      <c r="B1771" s="317"/>
      <c r="C1771" s="76" t="s">
        <v>4247</v>
      </c>
      <c r="D1771" s="105" t="s">
        <v>1172</v>
      </c>
      <c r="E1771" s="207">
        <v>2</v>
      </c>
      <c r="F1771" s="190">
        <f>'BASIC DATA'!$C$529</f>
        <v>400</v>
      </c>
      <c r="G1771" s="190">
        <f t="shared" si="35"/>
        <v>800</v>
      </c>
    </row>
    <row r="1772" spans="2:7">
      <c r="B1772" s="317"/>
      <c r="C1772" s="76" t="s">
        <v>3012</v>
      </c>
      <c r="D1772" s="105" t="s">
        <v>1172</v>
      </c>
      <c r="E1772" s="207">
        <v>4</v>
      </c>
      <c r="F1772" s="190">
        <f>'BASIC DATA'!$C$500</f>
        <v>445</v>
      </c>
      <c r="G1772" s="190">
        <f t="shared" si="35"/>
        <v>1780</v>
      </c>
    </row>
    <row r="1773" spans="2:7">
      <c r="B1773" s="105">
        <v>3</v>
      </c>
      <c r="C1773" s="76" t="s">
        <v>4099</v>
      </c>
      <c r="D1773" s="105"/>
      <c r="E1773" s="207"/>
      <c r="F1773" s="190"/>
      <c r="G1773" s="190"/>
    </row>
    <row r="1774" spans="2:7">
      <c r="B1774" s="317"/>
      <c r="C1774" s="76" t="s">
        <v>2468</v>
      </c>
      <c r="D1774" s="105" t="s">
        <v>1172</v>
      </c>
      <c r="E1774" s="207">
        <v>0.5</v>
      </c>
      <c r="F1774" s="190">
        <f>'BASIC DATA'!$C$471</f>
        <v>510</v>
      </c>
      <c r="G1774" s="190">
        <f t="shared" si="35"/>
        <v>255</v>
      </c>
    </row>
    <row r="1775" spans="2:7">
      <c r="B1775" s="317"/>
      <c r="C1775" s="76" t="s">
        <v>4246</v>
      </c>
      <c r="D1775" s="105" t="s">
        <v>1172</v>
      </c>
      <c r="E1775" s="207">
        <v>1</v>
      </c>
      <c r="F1775" s="190">
        <f>'BASIC DATA'!$C$503</f>
        <v>550</v>
      </c>
      <c r="G1775" s="190">
        <f t="shared" si="35"/>
        <v>550</v>
      </c>
    </row>
    <row r="1776" spans="2:7">
      <c r="B1776" s="317"/>
      <c r="C1776" s="76" t="s">
        <v>4247</v>
      </c>
      <c r="D1776" s="105" t="s">
        <v>1172</v>
      </c>
      <c r="E1776" s="207">
        <v>1</v>
      </c>
      <c r="F1776" s="190">
        <f>'BASIC DATA'!$C$529</f>
        <v>400</v>
      </c>
      <c r="G1776" s="190">
        <f t="shared" si="35"/>
        <v>400</v>
      </c>
    </row>
    <row r="1777" spans="1:7">
      <c r="B1777" s="280"/>
      <c r="C1777" s="76" t="s">
        <v>3012</v>
      </c>
      <c r="D1777" s="105" t="s">
        <v>1172</v>
      </c>
      <c r="E1777" s="207">
        <v>2</v>
      </c>
      <c r="F1777" s="190">
        <f>'BASIC DATA'!$C$500</f>
        <v>445</v>
      </c>
      <c r="G1777" s="190">
        <f t="shared" si="35"/>
        <v>890</v>
      </c>
    </row>
    <row r="1778" spans="1:7">
      <c r="B1778" s="92"/>
      <c r="C1778" s="193" t="s">
        <v>1174</v>
      </c>
      <c r="D1778" s="159"/>
      <c r="E1778" s="238"/>
      <c r="F1778" s="236" t="s">
        <v>1698</v>
      </c>
      <c r="G1778" s="318">
        <f>SUM(G1767:G1777)</f>
        <v>7691.4</v>
      </c>
    </row>
    <row r="1779" spans="1:7">
      <c r="B1779" s="60" t="s">
        <v>5948</v>
      </c>
      <c r="D1779" s="31"/>
      <c r="E1779" s="85">
        <f>ROUND((G1778+G1762)/F1709,1)</f>
        <v>8193.6</v>
      </c>
    </row>
    <row r="1780" spans="1:7">
      <c r="B1780" s="60" t="s">
        <v>3163</v>
      </c>
      <c r="D1780" s="922">
        <f>'BASIC DATA'!$C$577</f>
        <v>0.13614999999999999</v>
      </c>
      <c r="E1780" s="85">
        <f>ROUND(E1779*D1780,1)</f>
        <v>1115.5999999999999</v>
      </c>
    </row>
    <row r="1781" spans="1:7">
      <c r="B1781" s="60" t="s">
        <v>5949</v>
      </c>
      <c r="D1781" s="31"/>
      <c r="E1781" s="199">
        <f>ROUND(E1780+E1779,1)</f>
        <v>9309.2000000000007</v>
      </c>
    </row>
    <row r="1782" spans="1:7">
      <c r="B1782" s="200"/>
      <c r="D1782" s="31"/>
      <c r="E1782" s="31"/>
      <c r="F1782" s="200"/>
      <c r="G1782" s="31"/>
    </row>
    <row r="1783" spans="1:7">
      <c r="B1783" s="170" t="s">
        <v>1175</v>
      </c>
    </row>
    <row r="1784" spans="1:7">
      <c r="B1784" s="26" t="s">
        <v>1176</v>
      </c>
      <c r="F1784" s="171" t="s">
        <v>1698</v>
      </c>
      <c r="G1784" s="68">
        <f>G1725</f>
        <v>2224.7400000000002</v>
      </c>
    </row>
    <row r="1785" spans="1:7">
      <c r="B1785" s="26" t="s">
        <v>7218</v>
      </c>
      <c r="F1785" s="171" t="s">
        <v>1698</v>
      </c>
      <c r="G1785" s="68">
        <f>G1736</f>
        <v>162.24</v>
      </c>
    </row>
    <row r="1786" spans="1:7">
      <c r="B1786" s="26" t="s">
        <v>7219</v>
      </c>
      <c r="F1786" s="171" t="s">
        <v>1698</v>
      </c>
      <c r="G1786" s="68">
        <f>G1744</f>
        <v>7701.6</v>
      </c>
    </row>
    <row r="1787" spans="1:7">
      <c r="B1787" s="26" t="s">
        <v>7220</v>
      </c>
      <c r="F1787" s="171" t="s">
        <v>1698</v>
      </c>
      <c r="G1787" s="68">
        <f>G1762</f>
        <v>502.21999999999997</v>
      </c>
    </row>
    <row r="1788" spans="1:7">
      <c r="B1788" s="26" t="s">
        <v>5933</v>
      </c>
      <c r="F1788" s="171" t="s">
        <v>1698</v>
      </c>
      <c r="G1788" s="75">
        <f>G1778</f>
        <v>7691.4</v>
      </c>
    </row>
    <row r="1789" spans="1:7">
      <c r="E1789" s="171"/>
      <c r="F1789" s="171" t="s">
        <v>302</v>
      </c>
      <c r="G1789" s="205">
        <f>SUM(G1784:G1788)</f>
        <v>18282.2</v>
      </c>
    </row>
    <row r="1790" spans="1:7">
      <c r="A1790" s="853"/>
      <c r="B1790" s="61" t="s">
        <v>2313</v>
      </c>
      <c r="C1790" s="61"/>
      <c r="D1790" s="61"/>
      <c r="E1790" s="320">
        <f>'BASIC DATA'!$C$595</f>
        <v>0.01</v>
      </c>
      <c r="F1790" s="222" t="s">
        <v>1698</v>
      </c>
      <c r="G1790" s="321">
        <f>E1790*$G$1789</f>
        <v>182.822</v>
      </c>
    </row>
    <row r="1791" spans="1:7">
      <c r="A1791" s="853"/>
      <c r="B1791" s="61" t="s">
        <v>2314</v>
      </c>
      <c r="C1791" s="61"/>
      <c r="D1791" s="61"/>
      <c r="E1791" s="291">
        <f>'BASIC DATA'!$C$596</f>
        <v>4.4999999999999998E-2</v>
      </c>
      <c r="F1791" s="222" t="s">
        <v>1698</v>
      </c>
      <c r="G1791" s="321">
        <f>E1791*$G$1789</f>
        <v>822.69899999999996</v>
      </c>
    </row>
    <row r="1792" spans="1:7">
      <c r="A1792" s="853"/>
      <c r="B1792" s="61" t="s">
        <v>2315</v>
      </c>
      <c r="C1792" s="61"/>
      <c r="D1792" s="61"/>
      <c r="E1792" s="291">
        <f>'BASIC DATA'!$C$597</f>
        <v>1.6E-2</v>
      </c>
      <c r="F1792" s="222" t="s">
        <v>1698</v>
      </c>
      <c r="G1792" s="321">
        <f>E1792*$G$1789</f>
        <v>292.51519999999999</v>
      </c>
    </row>
    <row r="1793" spans="1:7">
      <c r="A1793" s="853"/>
      <c r="B1793" s="61" t="s">
        <v>1259</v>
      </c>
      <c r="C1793" s="61"/>
      <c r="D1793" s="61"/>
      <c r="E1793" s="291">
        <f>'BASIC DATA'!$C$598</f>
        <v>2.5000000000000001E-2</v>
      </c>
      <c r="F1793" s="222" t="s">
        <v>1698</v>
      </c>
      <c r="G1793" s="321">
        <f>E1793*$G$1789</f>
        <v>457.05500000000006</v>
      </c>
    </row>
    <row r="1794" spans="1:7">
      <c r="A1794" s="853"/>
      <c r="B1794" s="61"/>
      <c r="C1794" s="61"/>
      <c r="D1794" s="61"/>
      <c r="E1794" s="291"/>
      <c r="F1794" s="171" t="s">
        <v>302</v>
      </c>
      <c r="G1794" s="205">
        <f>SUM(G1789:G1793)</f>
        <v>20037.291200000003</v>
      </c>
    </row>
    <row r="1795" spans="1:7" ht="35.25" customHeight="1">
      <c r="A1795" s="853"/>
      <c r="B1795" s="1207" t="s">
        <v>6259</v>
      </c>
      <c r="C1795" s="1207"/>
      <c r="D1795" s="1207"/>
      <c r="E1795" s="922">
        <f>'BASIC DATA'!$C$577</f>
        <v>0.13614999999999999</v>
      </c>
      <c r="F1795" s="171" t="s">
        <v>1698</v>
      </c>
      <c r="G1795" s="75">
        <f>G1794*E1795</f>
        <v>2728.0771968800004</v>
      </c>
    </row>
    <row r="1796" spans="1:7" ht="45.75" customHeight="1">
      <c r="A1796" s="853"/>
      <c r="B1796" s="1207" t="s">
        <v>9611</v>
      </c>
      <c r="C1796" s="1207"/>
      <c r="D1796" s="779">
        <f>SUM(E1713:E1715)/1000</f>
        <v>1.0249999999999999</v>
      </c>
      <c r="E1796" s="201" t="s">
        <v>9592</v>
      </c>
      <c r="F1796" s="68" t="str">
        <f>CONCATENATE((leadcharges!$F$65+leadcharges!$G$78+leadcharges!$G$79)," ","Rs./Tonne")</f>
        <v>168.6 Rs./Tonne</v>
      </c>
      <c r="G1796" s="200">
        <f>(leadcharges!$F$65+leadcharges!$G$78+leadcharges!$G$79)*D1796</f>
        <v>172.81499999999997</v>
      </c>
    </row>
    <row r="1797" spans="1:7">
      <c r="B1797" s="26" t="s">
        <v>1191</v>
      </c>
      <c r="D1797" s="68">
        <f>F1709</f>
        <v>1</v>
      </c>
      <c r="E1797" s="68" t="str">
        <f>G1709</f>
        <v>tonne</v>
      </c>
      <c r="F1797" s="171" t="s">
        <v>1698</v>
      </c>
      <c r="G1797" s="211">
        <f>SUM(G1794:G1796)</f>
        <v>22938.183396880002</v>
      </c>
    </row>
    <row r="1798" spans="1:7">
      <c r="B1798" s="170" t="s">
        <v>3884</v>
      </c>
      <c r="C1798" s="170" t="str">
        <f>E1797</f>
        <v>tonne</v>
      </c>
      <c r="D1798" s="26" t="s">
        <v>6572</v>
      </c>
      <c r="F1798" s="171" t="s">
        <v>1698</v>
      </c>
      <c r="G1798" s="211">
        <f>ROUND(G1797/D1797,1)</f>
        <v>22938.2</v>
      </c>
    </row>
    <row r="1799" spans="1:7">
      <c r="B1799" s="78"/>
    </row>
    <row r="1800" spans="1:7">
      <c r="B1800" s="78"/>
    </row>
    <row r="1801" spans="1:7">
      <c r="A1801" s="822" t="s">
        <v>7400</v>
      </c>
      <c r="B1801" s="26" t="s">
        <v>7982</v>
      </c>
    </row>
    <row r="1802" spans="1:7">
      <c r="A1802" s="865"/>
      <c r="B1802" s="26" t="s">
        <v>2715</v>
      </c>
    </row>
    <row r="1803" spans="1:7" ht="18.75">
      <c r="A1803" s="865"/>
      <c r="B1803" s="26" t="s">
        <v>8607</v>
      </c>
    </row>
    <row r="1804" spans="1:7">
      <c r="A1804" s="865"/>
    </row>
    <row r="1805" spans="1:7" hidden="1">
      <c r="A1805" s="865" t="s">
        <v>3984</v>
      </c>
      <c r="B1805" s="26" t="s">
        <v>644</v>
      </c>
      <c r="F1805" s="322"/>
    </row>
    <row r="1806" spans="1:7" hidden="1">
      <c r="A1806" s="865"/>
      <c r="B1806" s="26" t="s">
        <v>2959</v>
      </c>
    </row>
    <row r="1807" spans="1:7" hidden="1">
      <c r="A1807" s="865"/>
      <c r="B1807" s="26" t="s">
        <v>2960</v>
      </c>
    </row>
    <row r="1808" spans="1:7" hidden="1">
      <c r="A1808" s="865"/>
      <c r="B1808" s="26" t="s">
        <v>6617</v>
      </c>
    </row>
    <row r="1809" spans="1:7" hidden="1">
      <c r="A1809" s="865"/>
      <c r="B1809" s="26" t="s">
        <v>981</v>
      </c>
    </row>
    <row r="1810" spans="1:7" hidden="1">
      <c r="A1810" s="865"/>
      <c r="B1810" s="26" t="s">
        <v>6618</v>
      </c>
    </row>
    <row r="1811" spans="1:7" hidden="1">
      <c r="A1811" s="865"/>
      <c r="B1811" s="26" t="s">
        <v>6619</v>
      </c>
    </row>
    <row r="1812" spans="1:7">
      <c r="B1812" s="78"/>
    </row>
    <row r="1813" spans="1:7">
      <c r="A1813" s="822" t="s">
        <v>3984</v>
      </c>
      <c r="B1813" s="78"/>
      <c r="C1813" s="203" t="s">
        <v>2367</v>
      </c>
      <c r="E1813" s="171" t="s">
        <v>297</v>
      </c>
      <c r="F1813" s="246">
        <v>1</v>
      </c>
      <c r="G1813" s="68" t="s">
        <v>3477</v>
      </c>
    </row>
    <row r="1814" spans="1:7">
      <c r="B1814" s="79" t="s">
        <v>2368</v>
      </c>
    </row>
    <row r="1815" spans="1:7">
      <c r="B1815" s="95" t="s">
        <v>2369</v>
      </c>
      <c r="C1815" s="157" t="s">
        <v>4443</v>
      </c>
      <c r="D1815" s="95" t="s">
        <v>2370</v>
      </c>
      <c r="E1815" s="95" t="s">
        <v>1166</v>
      </c>
      <c r="F1815" s="95" t="s">
        <v>2371</v>
      </c>
      <c r="G1815" s="95" t="s">
        <v>2372</v>
      </c>
    </row>
    <row r="1816" spans="1:7">
      <c r="B1816" s="114"/>
      <c r="C1816" s="154"/>
      <c r="D1816" s="114"/>
      <c r="E1816" s="114"/>
      <c r="F1816" s="114" t="s">
        <v>3485</v>
      </c>
      <c r="G1816" s="114" t="s">
        <v>3485</v>
      </c>
    </row>
    <row r="1817" spans="1:7">
      <c r="B1817" s="95">
        <v>1</v>
      </c>
      <c r="C1817" s="135" t="s">
        <v>6620</v>
      </c>
      <c r="D1817" s="95" t="s">
        <v>3477</v>
      </c>
      <c r="E1817" s="190">
        <v>1.05</v>
      </c>
      <c r="F1817" s="214">
        <f>'BASIC DATA'!$D$76</f>
        <v>23000</v>
      </c>
      <c r="G1817" s="190">
        <f>E1817*F1817</f>
        <v>24150</v>
      </c>
    </row>
    <row r="1818" spans="1:7">
      <c r="B1818" s="114">
        <v>2</v>
      </c>
      <c r="C1818" s="135" t="s">
        <v>2373</v>
      </c>
      <c r="D1818" s="105" t="s">
        <v>2173</v>
      </c>
      <c r="E1818" s="190">
        <v>2</v>
      </c>
      <c r="F1818" s="214">
        <f>'BASIC DATA'!$D$359</f>
        <v>30</v>
      </c>
      <c r="G1818" s="190">
        <f>E1818*F1818</f>
        <v>60</v>
      </c>
    </row>
    <row r="1819" spans="1:7">
      <c r="B1819" s="92"/>
      <c r="C1819" s="193" t="s">
        <v>2376</v>
      </c>
      <c r="D1819" s="159"/>
      <c r="E1819" s="238"/>
      <c r="F1819" s="236" t="s">
        <v>1698</v>
      </c>
      <c r="G1819" s="318">
        <f>SUM(G1817:G1818)</f>
        <v>24210</v>
      </c>
    </row>
    <row r="1820" spans="1:7">
      <c r="B1820" s="78"/>
    </row>
    <row r="1821" spans="1:7">
      <c r="B1821" s="79" t="s">
        <v>2377</v>
      </c>
    </row>
    <row r="1822" spans="1:7">
      <c r="B1822" s="95" t="s">
        <v>2369</v>
      </c>
      <c r="C1822" s="157" t="s">
        <v>2378</v>
      </c>
      <c r="D1822" s="95" t="s">
        <v>2370</v>
      </c>
      <c r="E1822" s="95" t="s">
        <v>1166</v>
      </c>
      <c r="F1822" s="95" t="s">
        <v>2371</v>
      </c>
      <c r="G1822" s="95" t="s">
        <v>2372</v>
      </c>
    </row>
    <row r="1823" spans="1:7">
      <c r="B1823" s="114"/>
      <c r="C1823" s="154"/>
      <c r="D1823" s="114"/>
      <c r="E1823" s="114"/>
      <c r="F1823" s="114" t="s">
        <v>3485</v>
      </c>
      <c r="G1823" s="114" t="s">
        <v>3485</v>
      </c>
    </row>
    <row r="1824" spans="1:7">
      <c r="B1824" s="95">
        <v>1</v>
      </c>
      <c r="C1824" s="135" t="s">
        <v>7102</v>
      </c>
      <c r="D1824" s="95" t="s">
        <v>2374</v>
      </c>
      <c r="E1824" s="190">
        <v>2</v>
      </c>
      <c r="F1824" s="190">
        <f>'HIRE CHARGES'!$D$524</f>
        <v>368.40000000000003</v>
      </c>
      <c r="G1824" s="190">
        <f>E1824*F1824</f>
        <v>736.80000000000007</v>
      </c>
    </row>
    <row r="1825" spans="2:7">
      <c r="B1825" s="317"/>
      <c r="C1825" s="135" t="s">
        <v>2379</v>
      </c>
      <c r="D1825" s="105" t="s">
        <v>2374</v>
      </c>
      <c r="E1825" s="190">
        <v>2</v>
      </c>
      <c r="F1825" s="190">
        <f>'HIRE CHARGES'!$E$524</f>
        <v>42.8</v>
      </c>
      <c r="G1825" s="190">
        <f>E1825*F1825</f>
        <v>85.6</v>
      </c>
    </row>
    <row r="1826" spans="2:7">
      <c r="B1826" s="176"/>
      <c r="C1826" s="172" t="s">
        <v>2380</v>
      </c>
      <c r="D1826" s="174"/>
      <c r="E1826" s="192"/>
      <c r="F1826" s="236" t="s">
        <v>1698</v>
      </c>
      <c r="G1826" s="318">
        <f>SUM(G1824:G1825)</f>
        <v>822.40000000000009</v>
      </c>
    </row>
    <row r="1827" spans="2:7">
      <c r="B1827" s="78"/>
    </row>
    <row r="1828" spans="2:7">
      <c r="B1828" s="79" t="s">
        <v>2381</v>
      </c>
    </row>
    <row r="1829" spans="2:7">
      <c r="B1829" s="95" t="s">
        <v>2369</v>
      </c>
      <c r="C1829" s="157" t="s">
        <v>2378</v>
      </c>
      <c r="D1829" s="95" t="s">
        <v>2370</v>
      </c>
      <c r="E1829" s="95" t="s">
        <v>1166</v>
      </c>
      <c r="F1829" s="95" t="s">
        <v>2371</v>
      </c>
      <c r="G1829" s="95" t="s">
        <v>2372</v>
      </c>
    </row>
    <row r="1830" spans="2:7">
      <c r="B1830" s="114"/>
      <c r="C1830" s="154"/>
      <c r="D1830" s="114"/>
      <c r="E1830" s="114"/>
      <c r="F1830" s="114" t="s">
        <v>3485</v>
      </c>
      <c r="G1830" s="114" t="s">
        <v>3485</v>
      </c>
    </row>
    <row r="1831" spans="2:7">
      <c r="B1831" s="105">
        <v>1</v>
      </c>
      <c r="C1831" s="76" t="s">
        <v>4487</v>
      </c>
      <c r="D1831" s="105" t="s">
        <v>2374</v>
      </c>
      <c r="E1831" s="207">
        <v>2</v>
      </c>
      <c r="F1831" s="190">
        <f>'HIRE CHARGES'!$F$524</f>
        <v>175.8</v>
      </c>
      <c r="G1831" s="190">
        <f>E1831*F1831</f>
        <v>351.6</v>
      </c>
    </row>
    <row r="1832" spans="2:7">
      <c r="B1832" s="105">
        <v>2</v>
      </c>
      <c r="C1832" s="76" t="s">
        <v>6621</v>
      </c>
      <c r="D1832" s="105" t="s">
        <v>1172</v>
      </c>
      <c r="E1832" s="207">
        <v>1</v>
      </c>
      <c r="F1832" s="190">
        <f>'BASIC DATA'!$C$510</f>
        <v>400</v>
      </c>
      <c r="G1832" s="190">
        <f>E1832*F1832</f>
        <v>400</v>
      </c>
    </row>
    <row r="1833" spans="2:7">
      <c r="B1833" s="105">
        <v>3</v>
      </c>
      <c r="C1833" s="76" t="s">
        <v>2697</v>
      </c>
      <c r="D1833" s="105" t="s">
        <v>1172</v>
      </c>
      <c r="E1833" s="207">
        <v>2</v>
      </c>
      <c r="F1833" s="190">
        <f>'BASIC DATA'!$C$552</f>
        <v>350</v>
      </c>
      <c r="G1833" s="190">
        <f>E1833*F1833</f>
        <v>700</v>
      </c>
    </row>
    <row r="1834" spans="2:7">
      <c r="B1834" s="92"/>
      <c r="C1834" s="193" t="s">
        <v>1174</v>
      </c>
      <c r="D1834" s="159"/>
      <c r="E1834" s="238"/>
      <c r="F1834" s="236" t="s">
        <v>1698</v>
      </c>
      <c r="G1834" s="318">
        <f>SUM(G1831:G1833)</f>
        <v>1451.6</v>
      </c>
    </row>
    <row r="1835" spans="2:7">
      <c r="B1835" s="60" t="s">
        <v>5948</v>
      </c>
      <c r="D1835" s="31"/>
      <c r="E1835" s="85">
        <f>ROUND(G1834/F1813,1)</f>
        <v>1451.6</v>
      </c>
    </row>
    <row r="1836" spans="2:7">
      <c r="B1836" s="60" t="s">
        <v>3163</v>
      </c>
      <c r="D1836" s="922">
        <f>'BASIC DATA'!$C$577</f>
        <v>0.13614999999999999</v>
      </c>
      <c r="E1836" s="85">
        <f>ROUND(E1835*D1836,1)</f>
        <v>197.6</v>
      </c>
    </row>
    <row r="1837" spans="2:7">
      <c r="B1837" s="60" t="s">
        <v>5949</v>
      </c>
      <c r="D1837" s="31"/>
      <c r="E1837" s="199">
        <f>ROUND(E1836+E1835,1)</f>
        <v>1649.2</v>
      </c>
    </row>
    <row r="1838" spans="2:7"/>
    <row r="1839" spans="2:7">
      <c r="B1839" s="170" t="s">
        <v>1175</v>
      </c>
    </row>
    <row r="1840" spans="2:7">
      <c r="B1840" s="26" t="s">
        <v>1176</v>
      </c>
      <c r="F1840" s="171" t="s">
        <v>1698</v>
      </c>
      <c r="G1840" s="68">
        <f>G1819</f>
        <v>24210</v>
      </c>
    </row>
    <row r="1841" spans="1:7">
      <c r="B1841" s="26" t="s">
        <v>1186</v>
      </c>
      <c r="F1841" s="171" t="s">
        <v>1698</v>
      </c>
      <c r="G1841" s="68">
        <f>G1826</f>
        <v>822.40000000000009</v>
      </c>
    </row>
    <row r="1842" spans="1:7">
      <c r="B1842" s="26" t="s">
        <v>2660</v>
      </c>
      <c r="F1842" s="171" t="s">
        <v>1698</v>
      </c>
      <c r="G1842" s="75">
        <f>G1834</f>
        <v>1451.6</v>
      </c>
    </row>
    <row r="1843" spans="1:7">
      <c r="E1843" s="171"/>
      <c r="F1843" s="171" t="s">
        <v>302</v>
      </c>
      <c r="G1843" s="205">
        <f>SUM(G1840:G1842)</f>
        <v>26484</v>
      </c>
    </row>
    <row r="1844" spans="1:7">
      <c r="A1844" s="853"/>
      <c r="B1844" s="61" t="s">
        <v>2313</v>
      </c>
      <c r="C1844" s="61"/>
      <c r="D1844" s="61"/>
      <c r="E1844" s="320">
        <f>'BASIC DATA'!$C$595</f>
        <v>0.01</v>
      </c>
      <c r="F1844" s="222" t="s">
        <v>1698</v>
      </c>
      <c r="G1844" s="321">
        <f>E1844*$G$1843</f>
        <v>264.84000000000003</v>
      </c>
    </row>
    <row r="1845" spans="1:7">
      <c r="A1845" s="853"/>
      <c r="B1845" s="61" t="s">
        <v>2314</v>
      </c>
      <c r="C1845" s="61"/>
      <c r="D1845" s="61"/>
      <c r="E1845" s="291">
        <f>'BASIC DATA'!$C$596</f>
        <v>4.4999999999999998E-2</v>
      </c>
      <c r="F1845" s="222" t="s">
        <v>1698</v>
      </c>
      <c r="G1845" s="321">
        <f>E1845*$G$1843</f>
        <v>1191.78</v>
      </c>
    </row>
    <row r="1846" spans="1:7">
      <c r="A1846" s="853"/>
      <c r="B1846" s="61" t="s">
        <v>2315</v>
      </c>
      <c r="C1846" s="61"/>
      <c r="D1846" s="61"/>
      <c r="E1846" s="291">
        <f>'BASIC DATA'!$C$597</f>
        <v>1.6E-2</v>
      </c>
      <c r="F1846" s="222" t="s">
        <v>1698</v>
      </c>
      <c r="G1846" s="321">
        <f>E1846*$G$1843</f>
        <v>423.74400000000003</v>
      </c>
    </row>
    <row r="1847" spans="1:7">
      <c r="A1847" s="853"/>
      <c r="B1847" s="61" t="s">
        <v>1259</v>
      </c>
      <c r="C1847" s="61"/>
      <c r="D1847" s="61"/>
      <c r="E1847" s="291">
        <f>'BASIC DATA'!$C$598</f>
        <v>2.5000000000000001E-2</v>
      </c>
      <c r="F1847" s="222" t="s">
        <v>1698</v>
      </c>
      <c r="G1847" s="321">
        <f>E1847*$G$1843</f>
        <v>662.1</v>
      </c>
    </row>
    <row r="1848" spans="1:7">
      <c r="A1848" s="853"/>
      <c r="B1848" s="61"/>
      <c r="C1848" s="61"/>
      <c r="D1848" s="61"/>
      <c r="E1848" s="291"/>
      <c r="F1848" s="171" t="s">
        <v>302</v>
      </c>
      <c r="G1848" s="205">
        <f>SUM(G1843:G1847)</f>
        <v>29026.463999999996</v>
      </c>
    </row>
    <row r="1849" spans="1:7" ht="36" customHeight="1">
      <c r="B1849" s="1207" t="s">
        <v>6259</v>
      </c>
      <c r="C1849" s="1207"/>
      <c r="D1849" s="1207"/>
      <c r="E1849" s="922">
        <f>'BASIC DATA'!$C$577</f>
        <v>0.13614999999999999</v>
      </c>
      <c r="F1849" s="171" t="s">
        <v>1698</v>
      </c>
      <c r="G1849" s="75">
        <f>G1848*E1849</f>
        <v>3951.9530735999992</v>
      </c>
    </row>
    <row r="1850" spans="1:7">
      <c r="B1850" s="26" t="s">
        <v>1191</v>
      </c>
      <c r="D1850" s="68">
        <f>F1813</f>
        <v>1</v>
      </c>
      <c r="E1850" s="68" t="str">
        <f>G1813</f>
        <v>cum</v>
      </c>
      <c r="F1850" s="171" t="s">
        <v>1698</v>
      </c>
      <c r="G1850" s="211">
        <f>G1849+G1848</f>
        <v>32978.417073599994</v>
      </c>
    </row>
    <row r="1851" spans="1:7">
      <c r="B1851" s="170" t="s">
        <v>3884</v>
      </c>
      <c r="C1851" s="170" t="str">
        <f>E1850</f>
        <v>cum</v>
      </c>
      <c r="D1851" s="26" t="s">
        <v>6572</v>
      </c>
      <c r="F1851" s="171" t="s">
        <v>1698</v>
      </c>
      <c r="G1851" s="211">
        <f>ROUND(G1850/D1850,1)</f>
        <v>32978.400000000001</v>
      </c>
    </row>
    <row r="1852" spans="1:7">
      <c r="E1852" s="171"/>
      <c r="F1852" s="68"/>
    </row>
    <row r="1853" spans="1:7">
      <c r="B1853" s="78"/>
    </row>
    <row r="1854" spans="1:7">
      <c r="A1854" s="865" t="s">
        <v>7406</v>
      </c>
      <c r="B1854" s="79" t="s">
        <v>228</v>
      </c>
    </row>
    <row r="1855" spans="1:7">
      <c r="A1855" s="865"/>
      <c r="B1855" s="27"/>
    </row>
    <row r="1856" spans="1:7" ht="18.75">
      <c r="A1856" s="822" t="s">
        <v>7401</v>
      </c>
      <c r="B1856" s="26" t="s">
        <v>8608</v>
      </c>
    </row>
    <row r="1857" spans="1:7" ht="18.75">
      <c r="A1857" s="865"/>
      <c r="B1857" s="26" t="s">
        <v>8609</v>
      </c>
    </row>
    <row r="1858" spans="1:7">
      <c r="A1858" s="865"/>
      <c r="B1858" s="26" t="s">
        <v>655</v>
      </c>
    </row>
    <row r="1859" spans="1:7">
      <c r="A1859" s="865"/>
      <c r="B1859" s="26" t="s">
        <v>5047</v>
      </c>
    </row>
    <row r="1860" spans="1:7" ht="18.75">
      <c r="A1860" s="865"/>
      <c r="B1860" s="26" t="s">
        <v>8610</v>
      </c>
    </row>
    <row r="1861" spans="1:7">
      <c r="A1861" s="865"/>
      <c r="B1861" s="170" t="s">
        <v>6223</v>
      </c>
    </row>
    <row r="1862" spans="1:7">
      <c r="A1862" s="865"/>
      <c r="B1862" s="170" t="s">
        <v>6224</v>
      </c>
    </row>
    <row r="1863" spans="1:7" hidden="1">
      <c r="A1863" s="865" t="s">
        <v>3984</v>
      </c>
      <c r="B1863" s="26" t="s">
        <v>5048</v>
      </c>
      <c r="F1863" s="322"/>
    </row>
    <row r="1864" spans="1:7" hidden="1">
      <c r="A1864" s="865"/>
      <c r="B1864" s="26" t="s">
        <v>3177</v>
      </c>
    </row>
    <row r="1865" spans="1:7" hidden="1">
      <c r="A1865" s="865"/>
      <c r="B1865" s="26" t="s">
        <v>3406</v>
      </c>
      <c r="E1865" s="322" t="s">
        <v>1697</v>
      </c>
      <c r="F1865" s="26" t="s">
        <v>3407</v>
      </c>
    </row>
    <row r="1866" spans="1:7" hidden="1">
      <c r="A1866" s="865"/>
      <c r="B1866" s="26" t="s">
        <v>3408</v>
      </c>
      <c r="E1866" s="322" t="s">
        <v>1697</v>
      </c>
      <c r="F1866" s="68">
        <v>5</v>
      </c>
      <c r="G1866" s="26" t="s">
        <v>3760</v>
      </c>
    </row>
    <row r="1867" spans="1:7" hidden="1">
      <c r="B1867" s="78"/>
    </row>
    <row r="1868" spans="1:7">
      <c r="B1868" s="78"/>
    </row>
    <row r="1869" spans="1:7">
      <c r="A1869" s="822" t="s">
        <v>1907</v>
      </c>
      <c r="B1869" s="78"/>
      <c r="C1869" s="203" t="s">
        <v>2367</v>
      </c>
      <c r="E1869" s="171" t="s">
        <v>297</v>
      </c>
      <c r="F1869" s="246">
        <v>10</v>
      </c>
      <c r="G1869" s="68" t="s">
        <v>3477</v>
      </c>
    </row>
    <row r="1870" spans="1:7">
      <c r="B1870" s="79" t="s">
        <v>2368</v>
      </c>
    </row>
    <row r="1871" spans="1:7">
      <c r="B1871" s="95" t="s">
        <v>2369</v>
      </c>
      <c r="C1871" s="157" t="s">
        <v>4443</v>
      </c>
      <c r="D1871" s="95" t="s">
        <v>2370</v>
      </c>
      <c r="E1871" s="95" t="s">
        <v>1166</v>
      </c>
      <c r="F1871" s="95" t="s">
        <v>2371</v>
      </c>
      <c r="G1871" s="95" t="s">
        <v>2372</v>
      </c>
    </row>
    <row r="1872" spans="1:7">
      <c r="B1872" s="114"/>
      <c r="C1872" s="154"/>
      <c r="D1872" s="114"/>
      <c r="E1872" s="114"/>
      <c r="F1872" s="114" t="s">
        <v>3485</v>
      </c>
      <c r="G1872" s="114" t="s">
        <v>3485</v>
      </c>
    </row>
    <row r="1873" spans="1:7">
      <c r="B1873" s="95">
        <v>1</v>
      </c>
      <c r="C1873" s="135" t="s">
        <v>5853</v>
      </c>
      <c r="D1873" s="95" t="s">
        <v>3478</v>
      </c>
      <c r="E1873" s="190">
        <v>950</v>
      </c>
      <c r="F1873" s="214">
        <f>'BASIC DATA'!$D$32/1000</f>
        <v>5.35</v>
      </c>
      <c r="G1873" s="190">
        <f>E1873*F1873</f>
        <v>5082.5</v>
      </c>
    </row>
    <row r="1874" spans="1:7">
      <c r="B1874" s="105">
        <v>2</v>
      </c>
      <c r="C1874" s="135" t="s">
        <v>5012</v>
      </c>
      <c r="D1874" s="105" t="s">
        <v>3477</v>
      </c>
      <c r="E1874" s="190">
        <v>8.3000000000000007</v>
      </c>
      <c r="F1874" s="214">
        <f>'BASIC DATA'!$D$108</f>
        <v>318</v>
      </c>
      <c r="G1874" s="190">
        <f>E1874*F1874</f>
        <v>2639.4</v>
      </c>
    </row>
    <row r="1875" spans="1:7">
      <c r="B1875" s="105">
        <v>3</v>
      </c>
      <c r="C1875" s="135" t="s">
        <v>1358</v>
      </c>
      <c r="D1875" s="105" t="s">
        <v>3477</v>
      </c>
      <c r="E1875" s="190">
        <v>1.25</v>
      </c>
      <c r="F1875" s="214">
        <f>'BASIC DATA'!$D$96</f>
        <v>350</v>
      </c>
      <c r="G1875" s="190">
        <f>E1875*F1875</f>
        <v>437.5</v>
      </c>
    </row>
    <row r="1876" spans="1:7">
      <c r="A1876" s="853"/>
      <c r="B1876" s="237">
        <v>4</v>
      </c>
      <c r="C1876" s="326" t="s">
        <v>6827</v>
      </c>
      <c r="D1876" s="240" t="s">
        <v>3477</v>
      </c>
      <c r="E1876" s="255">
        <v>4</v>
      </c>
      <c r="F1876" s="266">
        <f>'BASIC DATA'!$D$57</f>
        <v>165</v>
      </c>
      <c r="G1876" s="255">
        <f>E1876*F1876</f>
        <v>660</v>
      </c>
    </row>
    <row r="1877" spans="1:7">
      <c r="B1877" s="93"/>
      <c r="C1877" s="187"/>
      <c r="D1877" s="187"/>
      <c r="E1877" s="331" t="s">
        <v>2375</v>
      </c>
      <c r="F1877" s="332" t="s">
        <v>1698</v>
      </c>
      <c r="G1877" s="179">
        <f>SUM(G1873:G1876)</f>
        <v>8819.4</v>
      </c>
    </row>
    <row r="1878" spans="1:7">
      <c r="B1878" s="93"/>
      <c r="C1878" s="31" t="s">
        <v>3409</v>
      </c>
      <c r="D1878" s="31"/>
      <c r="E1878" s="333">
        <v>2.5000000000000001E-2</v>
      </c>
      <c r="F1878" s="327" t="s">
        <v>1698</v>
      </c>
      <c r="G1878" s="190">
        <f>E1878*$G$1877</f>
        <v>220.48500000000001</v>
      </c>
    </row>
    <row r="1879" spans="1:7">
      <c r="B1879" s="92"/>
      <c r="C1879" s="193" t="s">
        <v>2376</v>
      </c>
      <c r="D1879" s="159"/>
      <c r="E1879" s="238"/>
      <c r="F1879" s="236" t="s">
        <v>1698</v>
      </c>
      <c r="G1879" s="318">
        <f>SUM(G1877:G1878)</f>
        <v>9039.8850000000002</v>
      </c>
    </row>
    <row r="1880" spans="1:7">
      <c r="B1880" s="78"/>
    </row>
    <row r="1881" spans="1:7">
      <c r="B1881" s="79" t="s">
        <v>2377</v>
      </c>
    </row>
    <row r="1882" spans="1:7">
      <c r="B1882" s="95" t="s">
        <v>2369</v>
      </c>
      <c r="C1882" s="157" t="s">
        <v>2378</v>
      </c>
      <c r="D1882" s="95" t="s">
        <v>2370</v>
      </c>
      <c r="E1882" s="95" t="s">
        <v>1166</v>
      </c>
      <c r="F1882" s="95" t="s">
        <v>2371</v>
      </c>
      <c r="G1882" s="95" t="s">
        <v>2372</v>
      </c>
    </row>
    <row r="1883" spans="1:7">
      <c r="B1883" s="114"/>
      <c r="C1883" s="154"/>
      <c r="D1883" s="114"/>
      <c r="E1883" s="114"/>
      <c r="F1883" s="114" t="s">
        <v>3485</v>
      </c>
      <c r="G1883" s="114" t="s">
        <v>3485</v>
      </c>
    </row>
    <row r="1884" spans="1:7">
      <c r="B1884" s="95">
        <v>1</v>
      </c>
      <c r="C1884" s="135" t="s">
        <v>383</v>
      </c>
      <c r="D1884" s="95" t="s">
        <v>2374</v>
      </c>
      <c r="E1884" s="190">
        <v>1</v>
      </c>
      <c r="F1884" s="190">
        <f>'HIRE CHARGES'!$D$520</f>
        <v>6.7</v>
      </c>
      <c r="G1884" s="190">
        <f>E1884*F1884</f>
        <v>6.7</v>
      </c>
    </row>
    <row r="1885" spans="1:7">
      <c r="B1885" s="317"/>
      <c r="C1885" s="135" t="s">
        <v>1501</v>
      </c>
      <c r="D1885" s="105" t="s">
        <v>2374</v>
      </c>
      <c r="E1885" s="190">
        <v>1</v>
      </c>
      <c r="F1885" s="190">
        <f>'HIRE CHARGES'!$E$520</f>
        <v>56</v>
      </c>
      <c r="G1885" s="190">
        <f>E1885*F1885</f>
        <v>56</v>
      </c>
    </row>
    <row r="1886" spans="1:7">
      <c r="B1886" s="176"/>
      <c r="C1886" s="172" t="s">
        <v>2380</v>
      </c>
      <c r="D1886" s="174"/>
      <c r="E1886" s="192"/>
      <c r="F1886" s="236" t="s">
        <v>1698</v>
      </c>
      <c r="G1886" s="318">
        <f>SUM(G1884:G1885)</f>
        <v>62.7</v>
      </c>
    </row>
    <row r="1887" spans="1:7">
      <c r="B1887" s="78"/>
    </row>
    <row r="1888" spans="1:7">
      <c r="B1888" s="79" t="s">
        <v>2381</v>
      </c>
    </row>
    <row r="1889" spans="1:7">
      <c r="B1889" s="95" t="s">
        <v>2369</v>
      </c>
      <c r="C1889" s="157" t="s">
        <v>2378</v>
      </c>
      <c r="D1889" s="95" t="s">
        <v>2370</v>
      </c>
      <c r="E1889" s="95" t="s">
        <v>1166</v>
      </c>
      <c r="F1889" s="95" t="s">
        <v>2371</v>
      </c>
      <c r="G1889" s="95" t="s">
        <v>2372</v>
      </c>
    </row>
    <row r="1890" spans="1:7">
      <c r="B1890" s="114"/>
      <c r="C1890" s="154"/>
      <c r="D1890" s="114"/>
      <c r="E1890" s="114"/>
      <c r="F1890" s="114" t="s">
        <v>3485</v>
      </c>
      <c r="G1890" s="114" t="s">
        <v>3485</v>
      </c>
    </row>
    <row r="1891" spans="1:7">
      <c r="B1891" s="105">
        <v>1</v>
      </c>
      <c r="C1891" s="76" t="s">
        <v>999</v>
      </c>
      <c r="D1891" s="105" t="s">
        <v>2374</v>
      </c>
      <c r="E1891" s="207">
        <v>1</v>
      </c>
      <c r="F1891" s="190">
        <f>'HIRE CHARGES'!$F$520</f>
        <v>83.3</v>
      </c>
      <c r="G1891" s="190">
        <f>E1891*F1891</f>
        <v>83.3</v>
      </c>
    </row>
    <row r="1892" spans="1:7">
      <c r="B1892" s="105">
        <v>2</v>
      </c>
      <c r="C1892" s="76" t="s">
        <v>4206</v>
      </c>
      <c r="D1892" s="105" t="s">
        <v>1172</v>
      </c>
      <c r="E1892" s="207">
        <v>1</v>
      </c>
      <c r="F1892" s="190">
        <f>'BASIC DATA'!$C$473</f>
        <v>450</v>
      </c>
      <c r="G1892" s="190">
        <f t="shared" ref="G1892:G1902" si="36">E1892*F1892</f>
        <v>450</v>
      </c>
    </row>
    <row r="1893" spans="1:7">
      <c r="B1893" s="105">
        <v>3</v>
      </c>
      <c r="C1893" s="76" t="s">
        <v>440</v>
      </c>
      <c r="D1893" s="105" t="s">
        <v>1172</v>
      </c>
      <c r="E1893" s="207">
        <v>1</v>
      </c>
      <c r="F1893" s="190">
        <f>'BASIC DATA'!$C$474</f>
        <v>445</v>
      </c>
      <c r="G1893" s="190">
        <f t="shared" si="36"/>
        <v>445</v>
      </c>
    </row>
    <row r="1894" spans="1:7">
      <c r="B1894" s="105">
        <v>4</v>
      </c>
      <c r="C1894" s="76" t="s">
        <v>1356</v>
      </c>
      <c r="D1894" s="105" t="s">
        <v>1172</v>
      </c>
      <c r="E1894" s="207">
        <v>2</v>
      </c>
      <c r="F1894" s="190">
        <f>'BASIC DATA'!$C$541</f>
        <v>400</v>
      </c>
      <c r="G1894" s="190">
        <f t="shared" si="36"/>
        <v>800</v>
      </c>
    </row>
    <row r="1895" spans="1:7">
      <c r="B1895" s="105">
        <v>5</v>
      </c>
      <c r="C1895" s="76" t="s">
        <v>2697</v>
      </c>
      <c r="D1895" s="105"/>
      <c r="E1895" s="207"/>
      <c r="F1895" s="190"/>
      <c r="G1895" s="190"/>
    </row>
    <row r="1896" spans="1:7">
      <c r="B1896" s="317"/>
      <c r="C1896" s="76" t="s">
        <v>1857</v>
      </c>
      <c r="D1896" s="105" t="s">
        <v>1172</v>
      </c>
      <c r="E1896" s="207">
        <v>1</v>
      </c>
      <c r="F1896" s="190">
        <f>'BASIC DATA'!$C$552</f>
        <v>350</v>
      </c>
      <c r="G1896" s="190">
        <f t="shared" si="36"/>
        <v>350</v>
      </c>
    </row>
    <row r="1897" spans="1:7">
      <c r="B1897" s="317"/>
      <c r="C1897" s="76" t="s">
        <v>1858</v>
      </c>
      <c r="D1897" s="105" t="s">
        <v>1172</v>
      </c>
      <c r="E1897" s="207">
        <v>2</v>
      </c>
      <c r="F1897" s="190">
        <f>'BASIC DATA'!$C$552</f>
        <v>350</v>
      </c>
      <c r="G1897" s="190">
        <f t="shared" si="36"/>
        <v>700</v>
      </c>
    </row>
    <row r="1898" spans="1:7">
      <c r="B1898" s="317"/>
      <c r="C1898" s="76" t="s">
        <v>1108</v>
      </c>
      <c r="D1898" s="105" t="s">
        <v>1172</v>
      </c>
      <c r="E1898" s="207">
        <v>2</v>
      </c>
      <c r="F1898" s="190">
        <f>'BASIC DATA'!$C$552</f>
        <v>350</v>
      </c>
      <c r="G1898" s="190">
        <f t="shared" si="36"/>
        <v>700</v>
      </c>
    </row>
    <row r="1899" spans="1:7">
      <c r="B1899" s="317"/>
      <c r="C1899" s="76" t="s">
        <v>442</v>
      </c>
      <c r="D1899" s="105" t="s">
        <v>1172</v>
      </c>
      <c r="E1899" s="207">
        <v>1</v>
      </c>
      <c r="F1899" s="190">
        <f>'BASIC DATA'!$C$552</f>
        <v>350</v>
      </c>
      <c r="G1899" s="190">
        <f t="shared" si="36"/>
        <v>350</v>
      </c>
    </row>
    <row r="1900" spans="1:7">
      <c r="B1900" s="317"/>
      <c r="C1900" s="76" t="s">
        <v>1109</v>
      </c>
      <c r="D1900" s="105" t="s">
        <v>1172</v>
      </c>
      <c r="E1900" s="207">
        <v>4</v>
      </c>
      <c r="F1900" s="190">
        <f>'BASIC DATA'!$C$552</f>
        <v>350</v>
      </c>
      <c r="G1900" s="190">
        <f t="shared" si="36"/>
        <v>1400</v>
      </c>
    </row>
    <row r="1901" spans="1:7">
      <c r="B1901" s="317"/>
      <c r="C1901" s="76" t="s">
        <v>1110</v>
      </c>
      <c r="D1901" s="105" t="s">
        <v>1172</v>
      </c>
      <c r="E1901" s="207">
        <v>1</v>
      </c>
      <c r="F1901" s="190">
        <f>'BASIC DATA'!$C$552</f>
        <v>350</v>
      </c>
      <c r="G1901" s="190">
        <f t="shared" si="36"/>
        <v>350</v>
      </c>
    </row>
    <row r="1902" spans="1:7">
      <c r="B1902" s="317"/>
      <c r="C1902" s="76" t="s">
        <v>6254</v>
      </c>
      <c r="D1902" s="105" t="s">
        <v>1172</v>
      </c>
      <c r="E1902" s="207">
        <v>3</v>
      </c>
      <c r="F1902" s="190">
        <f>'BASIC DATA'!$C$552</f>
        <v>350</v>
      </c>
      <c r="G1902" s="190">
        <f t="shared" si="36"/>
        <v>1050</v>
      </c>
    </row>
    <row r="1903" spans="1:7">
      <c r="B1903" s="157"/>
      <c r="C1903" s="187"/>
      <c r="D1903" s="187"/>
      <c r="E1903" s="334" t="s">
        <v>2375</v>
      </c>
      <c r="F1903" s="334" t="s">
        <v>1698</v>
      </c>
      <c r="G1903" s="179">
        <f>SUM(G1891:G1902)</f>
        <v>6678.3</v>
      </c>
    </row>
    <row r="1904" spans="1:7">
      <c r="A1904" s="853"/>
      <c r="B1904" s="263"/>
      <c r="C1904" s="241" t="s">
        <v>3410</v>
      </c>
      <c r="D1904" s="241"/>
      <c r="E1904" s="335">
        <v>0.15</v>
      </c>
      <c r="F1904" s="336" t="s">
        <v>1698</v>
      </c>
      <c r="G1904" s="255">
        <f>E1904*$G$1903</f>
        <v>1001.745</v>
      </c>
    </row>
    <row r="1905" spans="1:7">
      <c r="B1905" s="92"/>
      <c r="C1905" s="193" t="s">
        <v>1174</v>
      </c>
      <c r="D1905" s="159"/>
      <c r="E1905" s="238"/>
      <c r="F1905" s="236" t="s">
        <v>1698</v>
      </c>
      <c r="G1905" s="318">
        <f>SUM(G1903:G1904)</f>
        <v>7680.0450000000001</v>
      </c>
    </row>
    <row r="1906" spans="1:7">
      <c r="B1906" s="60" t="s">
        <v>5948</v>
      </c>
      <c r="D1906" s="31"/>
      <c r="E1906" s="85">
        <f>ROUND(G1905/F1869,10)</f>
        <v>768.00450000000001</v>
      </c>
    </row>
    <row r="1907" spans="1:7">
      <c r="B1907" s="60" t="s">
        <v>3163</v>
      </c>
      <c r="D1907" s="922">
        <f>'BASIC DATA'!$C$577</f>
        <v>0.13614999999999999</v>
      </c>
      <c r="E1907" s="85">
        <f>ROUND(E1906*D1907,1)</f>
        <v>104.6</v>
      </c>
    </row>
    <row r="1908" spans="1:7">
      <c r="B1908" s="60" t="s">
        <v>5949</v>
      </c>
      <c r="D1908" s="31"/>
      <c r="E1908" s="199">
        <f>ROUND(E1907+E1906,1)</f>
        <v>872.6</v>
      </c>
    </row>
    <row r="1909" spans="1:7"/>
    <row r="1910" spans="1:7">
      <c r="B1910" s="170" t="s">
        <v>1175</v>
      </c>
    </row>
    <row r="1911" spans="1:7">
      <c r="B1911" s="26" t="s">
        <v>1176</v>
      </c>
      <c r="F1911" s="171" t="s">
        <v>1698</v>
      </c>
      <c r="G1911" s="68">
        <f>G1879</f>
        <v>9039.8850000000002</v>
      </c>
    </row>
    <row r="1912" spans="1:7">
      <c r="B1912" s="26" t="s">
        <v>1186</v>
      </c>
      <c r="F1912" s="171" t="s">
        <v>1698</v>
      </c>
      <c r="G1912" s="68">
        <f>G1886</f>
        <v>62.7</v>
      </c>
    </row>
    <row r="1913" spans="1:7">
      <c r="B1913" s="26" t="s">
        <v>2660</v>
      </c>
      <c r="F1913" s="171" t="s">
        <v>1698</v>
      </c>
      <c r="G1913" s="75">
        <f>G1905</f>
        <v>7680.0450000000001</v>
      </c>
    </row>
    <row r="1914" spans="1:7">
      <c r="E1914" s="171"/>
      <c r="F1914" s="171" t="s">
        <v>302</v>
      </c>
      <c r="G1914" s="205">
        <f>SUM(G1911:G1913)</f>
        <v>16782.63</v>
      </c>
    </row>
    <row r="1915" spans="1:7">
      <c r="A1915" s="853"/>
      <c r="B1915" s="61" t="s">
        <v>2313</v>
      </c>
      <c r="C1915" s="61"/>
      <c r="D1915" s="61"/>
      <c r="E1915" s="320">
        <f>'BASIC DATA'!$C$595</f>
        <v>0.01</v>
      </c>
      <c r="F1915" s="222" t="s">
        <v>1698</v>
      </c>
      <c r="G1915" s="321">
        <f>E1915*$G$1914</f>
        <v>167.8263</v>
      </c>
    </row>
    <row r="1916" spans="1:7">
      <c r="A1916" s="853"/>
      <c r="B1916" s="61" t="s">
        <v>2314</v>
      </c>
      <c r="C1916" s="61"/>
      <c r="D1916" s="61"/>
      <c r="E1916" s="291">
        <f>'BASIC DATA'!$C$596</f>
        <v>4.4999999999999998E-2</v>
      </c>
      <c r="F1916" s="222" t="s">
        <v>1698</v>
      </c>
      <c r="G1916" s="321">
        <f>E1916*$G$1914</f>
        <v>755.21834999999999</v>
      </c>
    </row>
    <row r="1917" spans="1:7">
      <c r="A1917" s="853"/>
      <c r="B1917" s="61" t="s">
        <v>2315</v>
      </c>
      <c r="C1917" s="61"/>
      <c r="D1917" s="61"/>
      <c r="E1917" s="291">
        <f>'BASIC DATA'!$C$597</f>
        <v>1.6E-2</v>
      </c>
      <c r="F1917" s="222" t="s">
        <v>1698</v>
      </c>
      <c r="G1917" s="321">
        <f>E1917*$G$1914</f>
        <v>268.52208000000002</v>
      </c>
    </row>
    <row r="1918" spans="1:7">
      <c r="A1918" s="853"/>
      <c r="B1918" s="61" t="s">
        <v>1259</v>
      </c>
      <c r="C1918" s="61"/>
      <c r="D1918" s="61"/>
      <c r="E1918" s="291">
        <f>'BASIC DATA'!$C$598</f>
        <v>2.5000000000000001E-2</v>
      </c>
      <c r="F1918" s="222" t="s">
        <v>1698</v>
      </c>
      <c r="G1918" s="321">
        <f>E1918*$G$1914</f>
        <v>419.56575000000004</v>
      </c>
    </row>
    <row r="1919" spans="1:7">
      <c r="A1919" s="853"/>
      <c r="B1919" s="61"/>
      <c r="C1919" s="61"/>
      <c r="D1919" s="61"/>
      <c r="E1919" s="291"/>
      <c r="F1919" s="171" t="s">
        <v>302</v>
      </c>
      <c r="G1919" s="205">
        <f>SUM(G1914:G1918)</f>
        <v>18393.762480000001</v>
      </c>
    </row>
    <row r="1920" spans="1:7" ht="35.25" customHeight="1">
      <c r="B1920" s="1207" t="s">
        <v>6259</v>
      </c>
      <c r="C1920" s="1207"/>
      <c r="D1920" s="1207"/>
      <c r="E1920" s="922">
        <f>'BASIC DATA'!$C$577</f>
        <v>0.13614999999999999</v>
      </c>
      <c r="F1920" s="171" t="s">
        <v>1698</v>
      </c>
      <c r="G1920" s="75">
        <f>G1919*E1920</f>
        <v>2504.3107616520001</v>
      </c>
    </row>
    <row r="1921" spans="1:7">
      <c r="B1921" s="27" t="s">
        <v>9590</v>
      </c>
      <c r="C1921" s="43"/>
      <c r="D1921" s="779">
        <f>E1876</f>
        <v>4</v>
      </c>
      <c r="E1921" s="201" t="s">
        <v>9591</v>
      </c>
      <c r="F1921" s="68" t="str">
        <f>CONCATENATE((leadcharges!$D$65)," ","Rs./Cum")</f>
        <v>31.5 Rs./Cum</v>
      </c>
      <c r="G1921" s="200">
        <f>leadcharges!$D$65*D1921</f>
        <v>126</v>
      </c>
    </row>
    <row r="1922" spans="1:7">
      <c r="B1922" s="27" t="s">
        <v>9596</v>
      </c>
      <c r="C1922" s="43"/>
      <c r="D1922" s="779">
        <f>SUM(E1874:E1875)</f>
        <v>9.5500000000000007</v>
      </c>
      <c r="E1922" s="201" t="s">
        <v>9591</v>
      </c>
      <c r="F1922" s="68" t="str">
        <f>CONCATENATE((leadcharges!$E$65)," ","Rs./Cum")</f>
        <v>30.4 Rs./Cum</v>
      </c>
      <c r="G1922" s="294">
        <f>leadcharges!$E$65*D1922</f>
        <v>290.32</v>
      </c>
    </row>
    <row r="1923" spans="1:7" ht="45.75" hidden="1" customHeight="1">
      <c r="B1923" s="1207"/>
      <c r="C1923" s="1207"/>
      <c r="D1923" s="779"/>
      <c r="E1923" s="201"/>
      <c r="F1923" s="68"/>
      <c r="G1923" s="200"/>
    </row>
    <row r="1924" spans="1:7">
      <c r="B1924" s="26" t="s">
        <v>1191</v>
      </c>
      <c r="D1924" s="68">
        <f>F1869</f>
        <v>10</v>
      </c>
      <c r="E1924" s="68" t="str">
        <f>G1869</f>
        <v>cum</v>
      </c>
      <c r="F1924" s="171" t="s">
        <v>1698</v>
      </c>
      <c r="G1924" s="211">
        <f>SUM(G1919:G1923)</f>
        <v>21314.393241652</v>
      </c>
    </row>
    <row r="1925" spans="1:7">
      <c r="B1925" s="170" t="s">
        <v>3884</v>
      </c>
      <c r="C1925" s="170" t="str">
        <f>E1924</f>
        <v>cum</v>
      </c>
      <c r="D1925" s="26" t="s">
        <v>6573</v>
      </c>
      <c r="F1925" s="171" t="s">
        <v>1698</v>
      </c>
      <c r="G1925" s="211">
        <f>ROUND(G1924/D1924,1)</f>
        <v>2131.4</v>
      </c>
    </row>
    <row r="1926" spans="1:7">
      <c r="F1926" s="171"/>
      <c r="G1926" s="68"/>
    </row>
    <row r="1927" spans="1:7">
      <c r="B1927" s="78"/>
    </row>
    <row r="1928" spans="1:7">
      <c r="A1928" s="865" t="s">
        <v>7409</v>
      </c>
      <c r="B1928" s="170" t="s">
        <v>2991</v>
      </c>
    </row>
    <row r="1929" spans="1:7">
      <c r="A1929" s="865"/>
    </row>
    <row r="1930" spans="1:7" ht="18.75">
      <c r="A1930" s="822" t="s">
        <v>7410</v>
      </c>
      <c r="B1930" s="26" t="s">
        <v>8611</v>
      </c>
    </row>
    <row r="1931" spans="1:7">
      <c r="A1931" s="865"/>
      <c r="B1931" s="26" t="s">
        <v>2878</v>
      </c>
    </row>
    <row r="1932" spans="1:7">
      <c r="A1932" s="865"/>
      <c r="B1932" s="26" t="s">
        <v>1341</v>
      </c>
    </row>
    <row r="1933" spans="1:7" ht="18.75">
      <c r="A1933" s="865"/>
      <c r="B1933" s="26" t="s">
        <v>8612</v>
      </c>
    </row>
    <row r="1934" spans="1:7">
      <c r="A1934" s="865"/>
    </row>
    <row r="1935" spans="1:7" hidden="1">
      <c r="A1935" s="865" t="s">
        <v>3984</v>
      </c>
      <c r="B1935" s="26" t="s">
        <v>7007</v>
      </c>
      <c r="F1935" s="322"/>
    </row>
    <row r="1936" spans="1:7" hidden="1">
      <c r="A1936" s="865"/>
      <c r="B1936" s="26" t="s">
        <v>7008</v>
      </c>
    </row>
    <row r="1937" spans="1:7" hidden="1">
      <c r="A1937" s="865"/>
      <c r="B1937" s="26" t="s">
        <v>5347</v>
      </c>
    </row>
    <row r="1938" spans="1:7" hidden="1">
      <c r="A1938" s="865"/>
      <c r="B1938" s="26" t="s">
        <v>5934</v>
      </c>
    </row>
    <row r="1939" spans="1:7" hidden="1">
      <c r="A1939" s="865"/>
      <c r="B1939" s="26" t="s">
        <v>6396</v>
      </c>
    </row>
    <row r="1940" spans="1:7" hidden="1">
      <c r="A1940" s="865"/>
      <c r="B1940" s="26" t="s">
        <v>6397</v>
      </c>
    </row>
    <row r="1941" spans="1:7" hidden="1">
      <c r="A1941" s="865"/>
      <c r="B1941" s="26" t="s">
        <v>6398</v>
      </c>
      <c r="E1941" s="322" t="s">
        <v>1697</v>
      </c>
      <c r="F1941" s="26">
        <v>9</v>
      </c>
      <c r="G1941" s="26" t="s">
        <v>4940</v>
      </c>
    </row>
    <row r="1942" spans="1:7" hidden="1">
      <c r="A1942" s="865"/>
      <c r="B1942" s="26" t="s">
        <v>6399</v>
      </c>
      <c r="E1942" s="322" t="s">
        <v>1697</v>
      </c>
      <c r="F1942" s="26">
        <v>13.5</v>
      </c>
      <c r="G1942" s="26" t="s">
        <v>4941</v>
      </c>
    </row>
    <row r="1943" spans="1:7" hidden="1">
      <c r="A1943" s="865"/>
      <c r="B1943" s="26" t="s">
        <v>4047</v>
      </c>
      <c r="E1943" s="322" t="s">
        <v>1697</v>
      </c>
      <c r="F1943" s="26">
        <v>5</v>
      </c>
      <c r="G1943" s="26" t="s">
        <v>1365</v>
      </c>
    </row>
    <row r="1944" spans="1:7" hidden="1">
      <c r="A1944" s="865"/>
      <c r="B1944" s="26" t="s">
        <v>7610</v>
      </c>
    </row>
    <row r="1945" spans="1:7" hidden="1">
      <c r="A1945" s="865"/>
      <c r="B1945" s="26" t="s">
        <v>7611</v>
      </c>
    </row>
    <row r="1946" spans="1:7" hidden="1">
      <c r="A1946" s="865"/>
      <c r="B1946" s="26" t="s">
        <v>7612</v>
      </c>
    </row>
    <row r="1947" spans="1:7" hidden="1">
      <c r="A1947" s="865"/>
      <c r="B1947" s="26" t="s">
        <v>4363</v>
      </c>
    </row>
    <row r="1948" spans="1:7" hidden="1">
      <c r="A1948" s="865"/>
      <c r="B1948" s="26" t="s">
        <v>4364</v>
      </c>
    </row>
    <row r="1949" spans="1:7" hidden="1">
      <c r="A1949" s="865"/>
      <c r="B1949" s="26" t="s">
        <v>7610</v>
      </c>
    </row>
    <row r="1950" spans="1:7" hidden="1">
      <c r="A1950" s="865"/>
      <c r="B1950" s="26" t="s">
        <v>4048</v>
      </c>
      <c r="D1950" s="322" t="s">
        <v>1697</v>
      </c>
      <c r="E1950" s="26" t="s">
        <v>6745</v>
      </c>
    </row>
    <row r="1951" spans="1:7" hidden="1">
      <c r="A1951" s="865"/>
      <c r="B1951" s="26" t="s">
        <v>4365</v>
      </c>
      <c r="D1951" s="322" t="s">
        <v>1697</v>
      </c>
      <c r="E1951" s="26" t="s">
        <v>982</v>
      </c>
    </row>
    <row r="1952" spans="1:7" hidden="1">
      <c r="A1952" s="865"/>
      <c r="B1952" s="26" t="s">
        <v>2257</v>
      </c>
      <c r="D1952" s="322" t="s">
        <v>1697</v>
      </c>
      <c r="E1952" s="26" t="s">
        <v>982</v>
      </c>
    </row>
    <row r="1953" spans="1:7" hidden="1">
      <c r="A1953" s="865"/>
      <c r="B1953" s="26" t="s">
        <v>2258</v>
      </c>
      <c r="D1953" s="322" t="s">
        <v>1697</v>
      </c>
      <c r="E1953" s="26" t="s">
        <v>4309</v>
      </c>
    </row>
    <row r="1954" spans="1:7" hidden="1">
      <c r="B1954" s="78"/>
    </row>
    <row r="1955" spans="1:7">
      <c r="B1955" s="78"/>
    </row>
    <row r="1956" spans="1:7">
      <c r="A1956" s="822" t="s">
        <v>1907</v>
      </c>
      <c r="B1956" s="78"/>
      <c r="C1956" s="203" t="s">
        <v>2367</v>
      </c>
      <c r="E1956" s="171" t="s">
        <v>297</v>
      </c>
      <c r="F1956" s="246">
        <v>1</v>
      </c>
      <c r="G1956" s="68" t="s">
        <v>3480</v>
      </c>
    </row>
    <row r="1957" spans="1:7">
      <c r="B1957" s="79" t="s">
        <v>2368</v>
      </c>
    </row>
    <row r="1958" spans="1:7">
      <c r="B1958" s="95" t="s">
        <v>2369</v>
      </c>
      <c r="C1958" s="157" t="s">
        <v>4443</v>
      </c>
      <c r="D1958" s="95" t="s">
        <v>2370</v>
      </c>
      <c r="E1958" s="95" t="s">
        <v>1166</v>
      </c>
      <c r="F1958" s="95" t="s">
        <v>2371</v>
      </c>
      <c r="G1958" s="95" t="s">
        <v>2372</v>
      </c>
    </row>
    <row r="1959" spans="1:7">
      <c r="B1959" s="114"/>
      <c r="C1959" s="154"/>
      <c r="D1959" s="114"/>
      <c r="E1959" s="114"/>
      <c r="F1959" s="114" t="s">
        <v>3485</v>
      </c>
      <c r="G1959" s="114" t="s">
        <v>3485</v>
      </c>
    </row>
    <row r="1960" spans="1:7">
      <c r="B1960" s="95">
        <v>1</v>
      </c>
      <c r="C1960" s="135" t="s">
        <v>6235</v>
      </c>
      <c r="D1960" s="95" t="s">
        <v>3480</v>
      </c>
      <c r="E1960" s="190">
        <v>1.05</v>
      </c>
      <c r="F1960" s="214">
        <f>'BASIC DATA'!$D$91</f>
        <v>34000</v>
      </c>
      <c r="G1960" s="190">
        <f>E1960*F1960</f>
        <v>35700</v>
      </c>
    </row>
    <row r="1961" spans="1:7">
      <c r="B1961" s="105">
        <v>2</v>
      </c>
      <c r="C1961" s="135" t="s">
        <v>2637</v>
      </c>
      <c r="D1961" s="105" t="s">
        <v>3478</v>
      </c>
      <c r="E1961" s="190">
        <v>13.5</v>
      </c>
      <c r="F1961" s="214">
        <f>'BASIC DATA'!$D$30</f>
        <v>60</v>
      </c>
      <c r="G1961" s="190">
        <f>E1961*F1961</f>
        <v>810</v>
      </c>
    </row>
    <row r="1962" spans="1:7">
      <c r="B1962" s="114">
        <v>3</v>
      </c>
      <c r="C1962" s="135" t="s">
        <v>2638</v>
      </c>
      <c r="D1962" s="105" t="s">
        <v>2173</v>
      </c>
      <c r="E1962" s="190">
        <v>5</v>
      </c>
      <c r="F1962" s="214">
        <f>'BASIC DATA'!$D$359</f>
        <v>30</v>
      </c>
      <c r="G1962" s="190">
        <f>E1962*F1962</f>
        <v>150</v>
      </c>
    </row>
    <row r="1963" spans="1:7">
      <c r="B1963" s="92"/>
      <c r="C1963" s="193" t="s">
        <v>2376</v>
      </c>
      <c r="D1963" s="159"/>
      <c r="E1963" s="238"/>
      <c r="F1963" s="236" t="s">
        <v>1698</v>
      </c>
      <c r="G1963" s="318">
        <f>SUM(G1960:G1962)</f>
        <v>36660</v>
      </c>
    </row>
    <row r="1964" spans="1:7">
      <c r="B1964" s="78"/>
    </row>
    <row r="1965" spans="1:7">
      <c r="B1965" s="79" t="s">
        <v>2377</v>
      </c>
    </row>
    <row r="1966" spans="1:7">
      <c r="B1966" s="95" t="s">
        <v>2369</v>
      </c>
      <c r="C1966" s="157" t="s">
        <v>2378</v>
      </c>
      <c r="D1966" s="95" t="s">
        <v>2370</v>
      </c>
      <c r="E1966" s="95" t="s">
        <v>1166</v>
      </c>
      <c r="F1966" s="95" t="s">
        <v>2371</v>
      </c>
      <c r="G1966" s="95" t="s">
        <v>2372</v>
      </c>
    </row>
    <row r="1967" spans="1:7">
      <c r="B1967" s="114"/>
      <c r="C1967" s="154"/>
      <c r="D1967" s="114"/>
      <c r="E1967" s="114"/>
      <c r="F1967" s="114" t="s">
        <v>3485</v>
      </c>
      <c r="G1967" s="114" t="s">
        <v>3485</v>
      </c>
    </row>
    <row r="1968" spans="1:7">
      <c r="B1968" s="95">
        <v>1</v>
      </c>
      <c r="C1968" s="93" t="s">
        <v>4168</v>
      </c>
      <c r="D1968" s="95"/>
      <c r="E1968" s="190">
        <v>0</v>
      </c>
      <c r="F1968" s="190">
        <v>0</v>
      </c>
      <c r="G1968" s="190">
        <f>E1968*F1968</f>
        <v>0</v>
      </c>
    </row>
    <row r="1969" spans="2:7">
      <c r="B1969" s="317"/>
      <c r="C1969" s="135"/>
      <c r="D1969" s="105"/>
      <c r="E1969" s="190">
        <v>0</v>
      </c>
      <c r="F1969" s="190">
        <v>0</v>
      </c>
      <c r="G1969" s="190">
        <f>E1969*F1969</f>
        <v>0</v>
      </c>
    </row>
    <row r="1970" spans="2:7">
      <c r="B1970" s="176"/>
      <c r="C1970" s="172" t="s">
        <v>2380</v>
      </c>
      <c r="D1970" s="174"/>
      <c r="E1970" s="192"/>
      <c r="F1970" s="236" t="s">
        <v>1698</v>
      </c>
      <c r="G1970" s="318">
        <f>SUM(G1968:G1969)</f>
        <v>0</v>
      </c>
    </row>
    <row r="1971" spans="2:7">
      <c r="B1971" s="78"/>
    </row>
    <row r="1972" spans="2:7">
      <c r="B1972" s="79" t="s">
        <v>2381</v>
      </c>
    </row>
    <row r="1973" spans="2:7">
      <c r="B1973" s="95" t="s">
        <v>2369</v>
      </c>
      <c r="C1973" s="157" t="s">
        <v>2378</v>
      </c>
      <c r="D1973" s="95" t="s">
        <v>2370</v>
      </c>
      <c r="E1973" s="95" t="s">
        <v>1166</v>
      </c>
      <c r="F1973" s="95" t="s">
        <v>2371</v>
      </c>
      <c r="G1973" s="95" t="s">
        <v>2372</v>
      </c>
    </row>
    <row r="1974" spans="2:7">
      <c r="B1974" s="114"/>
      <c r="C1974" s="154"/>
      <c r="D1974" s="114"/>
      <c r="E1974" s="114"/>
      <c r="F1974" s="114" t="s">
        <v>3485</v>
      </c>
      <c r="G1974" s="114" t="s">
        <v>3485</v>
      </c>
    </row>
    <row r="1975" spans="2:7">
      <c r="B1975" s="105">
        <v>1</v>
      </c>
      <c r="C1975" s="76" t="s">
        <v>3836</v>
      </c>
      <c r="D1975" s="105" t="s">
        <v>1172</v>
      </c>
      <c r="E1975" s="207">
        <v>9</v>
      </c>
      <c r="F1975" s="190">
        <f>'BASIC DATA'!$C$464</f>
        <v>555</v>
      </c>
      <c r="G1975" s="190">
        <f>E1975*F1975</f>
        <v>4995</v>
      </c>
    </row>
    <row r="1976" spans="2:7">
      <c r="B1976" s="105">
        <v>2</v>
      </c>
      <c r="C1976" s="76" t="s">
        <v>2697</v>
      </c>
      <c r="D1976" s="105" t="s">
        <v>1172</v>
      </c>
      <c r="E1976" s="207">
        <v>15</v>
      </c>
      <c r="F1976" s="190">
        <f>'BASIC DATA'!$C$552</f>
        <v>350</v>
      </c>
      <c r="G1976" s="190">
        <f>E1976*F1976</f>
        <v>5250</v>
      </c>
    </row>
    <row r="1977" spans="2:7">
      <c r="B1977" s="92"/>
      <c r="C1977" s="193" t="s">
        <v>1174</v>
      </c>
      <c r="D1977" s="159"/>
      <c r="E1977" s="238"/>
      <c r="F1977" s="236" t="s">
        <v>1698</v>
      </c>
      <c r="G1977" s="318">
        <f>SUM(G1975:G1976)</f>
        <v>10245</v>
      </c>
    </row>
    <row r="1978" spans="2:7">
      <c r="B1978" s="60" t="s">
        <v>5948</v>
      </c>
      <c r="D1978" s="31"/>
      <c r="E1978" s="85">
        <f>ROUND(G1977/F1956,1)</f>
        <v>10245</v>
      </c>
    </row>
    <row r="1979" spans="2:7">
      <c r="B1979" s="60" t="s">
        <v>3163</v>
      </c>
      <c r="D1979" s="922">
        <f>'BASIC DATA'!$C$577</f>
        <v>0.13614999999999999</v>
      </c>
      <c r="E1979" s="85">
        <f>ROUND(E1978*D1979,1)</f>
        <v>1394.9</v>
      </c>
    </row>
    <row r="1980" spans="2:7">
      <c r="B1980" s="60" t="s">
        <v>5949</v>
      </c>
      <c r="D1980" s="31"/>
      <c r="E1980" s="199">
        <f>ROUND(E1979+E1978,1)</f>
        <v>11639.9</v>
      </c>
    </row>
    <row r="1981" spans="2:7"/>
    <row r="1982" spans="2:7">
      <c r="B1982" s="170" t="s">
        <v>1175</v>
      </c>
    </row>
    <row r="1983" spans="2:7">
      <c r="B1983" s="26" t="s">
        <v>1176</v>
      </c>
      <c r="F1983" s="171" t="s">
        <v>1698</v>
      </c>
      <c r="G1983" s="68">
        <f>G1963</f>
        <v>36660</v>
      </c>
    </row>
    <row r="1984" spans="2:7">
      <c r="B1984" s="26" t="s">
        <v>1186</v>
      </c>
      <c r="F1984" s="171" t="s">
        <v>1698</v>
      </c>
      <c r="G1984" s="68">
        <f>G1970</f>
        <v>0</v>
      </c>
    </row>
    <row r="1985" spans="1:7">
      <c r="B1985" s="26" t="s">
        <v>2660</v>
      </c>
      <c r="F1985" s="171" t="s">
        <v>1698</v>
      </c>
      <c r="G1985" s="75">
        <f>G1977</f>
        <v>10245</v>
      </c>
    </row>
    <row r="1986" spans="1:7">
      <c r="E1986" s="171"/>
      <c r="F1986" s="171" t="s">
        <v>302</v>
      </c>
      <c r="G1986" s="205">
        <f>SUM(G1983:G1985)</f>
        <v>46905</v>
      </c>
    </row>
    <row r="1987" spans="1:7">
      <c r="A1987" s="853"/>
      <c r="B1987" s="61" t="s">
        <v>2313</v>
      </c>
      <c r="C1987" s="61"/>
      <c r="D1987" s="61"/>
      <c r="E1987" s="320">
        <f>'BASIC DATA'!$C$595</f>
        <v>0.01</v>
      </c>
      <c r="F1987" s="222" t="s">
        <v>1698</v>
      </c>
      <c r="G1987" s="321">
        <f>E1987*$G$1986</f>
        <v>469.05</v>
      </c>
    </row>
    <row r="1988" spans="1:7">
      <c r="A1988" s="853"/>
      <c r="B1988" s="61" t="s">
        <v>2314</v>
      </c>
      <c r="C1988" s="61"/>
      <c r="D1988" s="61"/>
      <c r="E1988" s="291">
        <f>'BASIC DATA'!$C$596</f>
        <v>4.4999999999999998E-2</v>
      </c>
      <c r="F1988" s="222" t="s">
        <v>1698</v>
      </c>
      <c r="G1988" s="321">
        <f>E1988*$G$1986</f>
        <v>2110.7249999999999</v>
      </c>
    </row>
    <row r="1989" spans="1:7">
      <c r="A1989" s="853"/>
      <c r="B1989" s="61" t="s">
        <v>2315</v>
      </c>
      <c r="C1989" s="61"/>
      <c r="D1989" s="61"/>
      <c r="E1989" s="291">
        <f>'BASIC DATA'!$C$597</f>
        <v>1.6E-2</v>
      </c>
      <c r="F1989" s="222" t="s">
        <v>1698</v>
      </c>
      <c r="G1989" s="321">
        <f>E1989*$G$1986</f>
        <v>750.48</v>
      </c>
    </row>
    <row r="1990" spans="1:7">
      <c r="A1990" s="853"/>
      <c r="B1990" s="61" t="s">
        <v>1259</v>
      </c>
      <c r="C1990" s="61"/>
      <c r="D1990" s="61"/>
      <c r="E1990" s="291">
        <f>'BASIC DATA'!$C$598</f>
        <v>2.5000000000000001E-2</v>
      </c>
      <c r="F1990" s="222" t="s">
        <v>1698</v>
      </c>
      <c r="G1990" s="321">
        <f>E1990*$G$1986</f>
        <v>1172.625</v>
      </c>
    </row>
    <row r="1991" spans="1:7">
      <c r="A1991" s="853"/>
      <c r="B1991" s="61"/>
      <c r="C1991" s="61"/>
      <c r="D1991" s="61"/>
      <c r="E1991" s="291"/>
      <c r="F1991" s="171" t="s">
        <v>302</v>
      </c>
      <c r="G1991" s="205">
        <f>SUM(G1986:G1990)</f>
        <v>51407.880000000005</v>
      </c>
    </row>
    <row r="1992" spans="1:7" ht="40.5" customHeight="1">
      <c r="B1992" s="1207" t="s">
        <v>6259</v>
      </c>
      <c r="C1992" s="1207"/>
      <c r="D1992" s="1207"/>
      <c r="E1992" s="922">
        <f>'BASIC DATA'!$C$577</f>
        <v>0.13614999999999999</v>
      </c>
      <c r="F1992" s="171" t="s">
        <v>1698</v>
      </c>
      <c r="G1992" s="75">
        <f>G1991*E1992</f>
        <v>6999.1828620000006</v>
      </c>
    </row>
    <row r="1993" spans="1:7" ht="38.25" customHeight="1">
      <c r="B1993" s="1207" t="s">
        <v>9611</v>
      </c>
      <c r="C1993" s="1207"/>
      <c r="D1993" s="779">
        <f>E1960</f>
        <v>1.05</v>
      </c>
      <c r="E1993" s="201" t="s">
        <v>9592</v>
      </c>
      <c r="F1993" s="68" t="str">
        <f>CONCATENATE((leadcharges!$F$65+leadcharges!$G$78+leadcharges!$G$79)," ","Rs./Tonne")</f>
        <v>168.6 Rs./Tonne</v>
      </c>
      <c r="G1993" s="200">
        <f>(leadcharges!$F$65+leadcharges!$G$78+leadcharges!$G$79)*D1993</f>
        <v>177.03</v>
      </c>
    </row>
    <row r="1994" spans="1:7">
      <c r="B1994" s="26" t="s">
        <v>1191</v>
      </c>
      <c r="D1994" s="68">
        <f>F1956</f>
        <v>1</v>
      </c>
      <c r="E1994" s="68" t="str">
        <f>G1956</f>
        <v>tonne</v>
      </c>
      <c r="F1994" s="171" t="s">
        <v>1698</v>
      </c>
      <c r="G1994" s="211">
        <f>SUM(G1991:G1993)</f>
        <v>58584.092862000005</v>
      </c>
    </row>
    <row r="1995" spans="1:7">
      <c r="B1995" s="170" t="s">
        <v>3884</v>
      </c>
      <c r="C1995" s="170" t="str">
        <f>E1994</f>
        <v>tonne</v>
      </c>
      <c r="D1995" s="26" t="s">
        <v>6572</v>
      </c>
      <c r="F1995" s="171" t="s">
        <v>1698</v>
      </c>
      <c r="G1995" s="211">
        <f>ROUND(G1994/D1994,1)</f>
        <v>58584.1</v>
      </c>
    </row>
    <row r="1996" spans="1:7">
      <c r="B1996" s="78"/>
    </row>
    <row r="1997" spans="1:7">
      <c r="B1997" s="78"/>
    </row>
    <row r="1998" spans="1:7">
      <c r="A1998" s="822" t="s">
        <v>7411</v>
      </c>
      <c r="B1998" s="61" t="s">
        <v>8613</v>
      </c>
      <c r="C1998" s="61"/>
      <c r="D1998" s="61"/>
      <c r="E1998" s="61"/>
      <c r="F1998" s="61"/>
      <c r="G1998" s="61"/>
    </row>
    <row r="1999" spans="1:7">
      <c r="A1999" s="855"/>
      <c r="B1999" s="61" t="s">
        <v>8614</v>
      </c>
      <c r="C1999" s="61"/>
      <c r="D1999" s="61"/>
      <c r="E1999" s="61"/>
      <c r="F1999" s="61"/>
      <c r="G1999" s="61"/>
    </row>
    <row r="2000" spans="1:7">
      <c r="A2000" s="855"/>
      <c r="B2000" s="61" t="s">
        <v>8615</v>
      </c>
      <c r="C2000" s="61"/>
      <c r="D2000" s="61"/>
      <c r="E2000" s="61"/>
      <c r="F2000" s="61"/>
      <c r="G2000" s="61"/>
    </row>
    <row r="2001" spans="1:7">
      <c r="A2001" s="855"/>
      <c r="B2001" s="61" t="s">
        <v>8616</v>
      </c>
      <c r="C2001" s="61"/>
      <c r="D2001" s="61"/>
      <c r="E2001" s="61"/>
      <c r="F2001" s="61"/>
      <c r="G2001" s="61"/>
    </row>
    <row r="2002" spans="1:7">
      <c r="A2002" s="855"/>
      <c r="B2002" s="61" t="s">
        <v>4685</v>
      </c>
      <c r="C2002" s="61"/>
      <c r="D2002" s="61"/>
      <c r="E2002" s="61"/>
      <c r="F2002" s="61"/>
      <c r="G2002" s="61"/>
    </row>
    <row r="2003" spans="1:7" ht="18.75">
      <c r="A2003" s="855"/>
      <c r="B2003" s="61" t="s">
        <v>8617</v>
      </c>
      <c r="C2003" s="61"/>
      <c r="D2003" s="61"/>
      <c r="E2003" s="61"/>
      <c r="F2003" s="61"/>
      <c r="G2003" s="61"/>
    </row>
    <row r="2004" spans="1:7">
      <c r="A2004" s="855"/>
      <c r="B2004" s="248" t="s">
        <v>7700</v>
      </c>
      <c r="C2004" s="61"/>
      <c r="D2004" s="61"/>
      <c r="E2004" s="61"/>
      <c r="F2004" s="61"/>
      <c r="G2004" s="61"/>
    </row>
    <row r="2005" spans="1:7">
      <c r="A2005" s="865"/>
      <c r="B2005" s="170" t="s">
        <v>4520</v>
      </c>
    </row>
    <row r="2006" spans="1:7" hidden="1">
      <c r="A2006" s="865" t="s">
        <v>3984</v>
      </c>
      <c r="B2006" s="26" t="s">
        <v>660</v>
      </c>
      <c r="F2006" s="322"/>
    </row>
    <row r="2007" spans="1:7" hidden="1">
      <c r="A2007" s="865"/>
      <c r="B2007" s="26" t="s">
        <v>7701</v>
      </c>
    </row>
    <row r="2008" spans="1:7" hidden="1">
      <c r="A2008" s="865"/>
      <c r="B2008" s="26" t="s">
        <v>661</v>
      </c>
    </row>
    <row r="2009" spans="1:7" hidden="1">
      <c r="A2009" s="865"/>
      <c r="B2009" s="26" t="s">
        <v>3998</v>
      </c>
      <c r="E2009" s="322" t="s">
        <v>1697</v>
      </c>
      <c r="F2009" s="26">
        <v>220</v>
      </c>
      <c r="G2009" s="26" t="s">
        <v>3478</v>
      </c>
    </row>
    <row r="2010" spans="1:7" hidden="1">
      <c r="A2010" s="865"/>
      <c r="B2010" s="26" t="s">
        <v>3414</v>
      </c>
      <c r="E2010" s="322" t="s">
        <v>1697</v>
      </c>
      <c r="F2010" s="26">
        <v>0.4</v>
      </c>
      <c r="G2010" s="26" t="s">
        <v>3477</v>
      </c>
    </row>
    <row r="2011" spans="1:7" hidden="1">
      <c r="A2011" s="865"/>
      <c r="B2011" s="26" t="s">
        <v>3999</v>
      </c>
      <c r="D2011" s="26" t="s">
        <v>662</v>
      </c>
      <c r="E2011" s="322" t="s">
        <v>1697</v>
      </c>
      <c r="F2011" s="26">
        <f>0.9*0.5</f>
        <v>0.45</v>
      </c>
      <c r="G2011" s="26" t="s">
        <v>3477</v>
      </c>
    </row>
    <row r="2012" spans="1:7" hidden="1">
      <c r="A2012" s="865"/>
      <c r="D2012" s="26" t="s">
        <v>663</v>
      </c>
      <c r="E2012" s="322" t="s">
        <v>1697</v>
      </c>
      <c r="F2012" s="26">
        <f>0.9*0.3</f>
        <v>0.27</v>
      </c>
      <c r="G2012" s="26" t="s">
        <v>3477</v>
      </c>
    </row>
    <row r="2013" spans="1:7" hidden="1">
      <c r="A2013" s="865"/>
      <c r="D2013" s="26" t="s">
        <v>664</v>
      </c>
      <c r="E2013" s="322" t="s">
        <v>1697</v>
      </c>
      <c r="F2013" s="26">
        <f>0.9*0.2</f>
        <v>0.18000000000000002</v>
      </c>
      <c r="G2013" s="26" t="s">
        <v>3477</v>
      </c>
    </row>
    <row r="2014" spans="1:7" hidden="1">
      <c r="A2014" s="865"/>
      <c r="B2014" s="26" t="s">
        <v>6521</v>
      </c>
      <c r="E2014" s="322" t="s">
        <v>1697</v>
      </c>
      <c r="F2014" s="26">
        <v>0.88</v>
      </c>
      <c r="G2014" s="26" t="s">
        <v>3478</v>
      </c>
    </row>
    <row r="2015" spans="1:7" hidden="1">
      <c r="A2015" s="865"/>
      <c r="B2015" s="26" t="s">
        <v>5049</v>
      </c>
    </row>
    <row r="2016" spans="1:7" hidden="1">
      <c r="A2016" s="865"/>
      <c r="B2016" s="26" t="s">
        <v>5050</v>
      </c>
    </row>
    <row r="2017" spans="1:7" hidden="1">
      <c r="A2017" s="865"/>
      <c r="B2017" s="26" t="s">
        <v>5051</v>
      </c>
      <c r="E2017" s="322" t="s">
        <v>1697</v>
      </c>
      <c r="F2017" s="26">
        <v>2</v>
      </c>
      <c r="G2017" s="26" t="s">
        <v>2603</v>
      </c>
    </row>
    <row r="2018" spans="1:7" hidden="1">
      <c r="A2018" s="865"/>
      <c r="B2018" s="26" t="s">
        <v>5052</v>
      </c>
      <c r="E2018" s="322" t="s">
        <v>1697</v>
      </c>
      <c r="F2018" s="26">
        <v>20</v>
      </c>
      <c r="G2018" s="26" t="s">
        <v>2603</v>
      </c>
    </row>
    <row r="2019" spans="1:7" hidden="1">
      <c r="A2019" s="865"/>
      <c r="B2019" s="26" t="s">
        <v>5053</v>
      </c>
      <c r="E2019" s="322" t="s">
        <v>1697</v>
      </c>
      <c r="F2019" s="26">
        <v>10</v>
      </c>
      <c r="G2019" s="26" t="s">
        <v>2603</v>
      </c>
    </row>
    <row r="2020" spans="1:7" hidden="1">
      <c r="A2020" s="865"/>
      <c r="B2020" s="26" t="s">
        <v>5054</v>
      </c>
      <c r="E2020" s="322" t="s">
        <v>1697</v>
      </c>
      <c r="F2020" s="26">
        <v>15</v>
      </c>
      <c r="G2020" s="26" t="s">
        <v>2603</v>
      </c>
    </row>
    <row r="2021" spans="1:7" hidden="1">
      <c r="A2021" s="865"/>
      <c r="B2021" s="26" t="s">
        <v>5055</v>
      </c>
      <c r="E2021" s="322" t="s">
        <v>1697</v>
      </c>
      <c r="F2021" s="174">
        <v>10</v>
      </c>
      <c r="G2021" s="26" t="s">
        <v>2603</v>
      </c>
    </row>
    <row r="2022" spans="1:7" hidden="1">
      <c r="A2022" s="865"/>
      <c r="B2022" s="26" t="s">
        <v>5056</v>
      </c>
      <c r="E2022" s="322" t="s">
        <v>1697</v>
      </c>
      <c r="F2022" s="26">
        <f>SUM(F2017:F2021)</f>
        <v>57</v>
      </c>
      <c r="G2022" s="26" t="s">
        <v>2603</v>
      </c>
    </row>
    <row r="2023" spans="1:7" hidden="1">
      <c r="A2023" s="865"/>
      <c r="B2023" s="26" t="s">
        <v>5057</v>
      </c>
      <c r="E2023" s="322"/>
    </row>
    <row r="2024" spans="1:7" hidden="1">
      <c r="A2024" s="865"/>
      <c r="B2024" s="26" t="s">
        <v>7599</v>
      </c>
      <c r="E2024" s="322" t="s">
        <v>1697</v>
      </c>
      <c r="F2024" s="68">
        <v>3.5</v>
      </c>
      <c r="G2024" s="26" t="s">
        <v>4942</v>
      </c>
    </row>
    <row r="2025" spans="1:7" hidden="1">
      <c r="A2025" s="865"/>
      <c r="B2025" s="26" t="s">
        <v>6522</v>
      </c>
    </row>
    <row r="2026" spans="1:7" hidden="1">
      <c r="A2026" s="865"/>
      <c r="B2026" s="26" t="s">
        <v>2254</v>
      </c>
    </row>
    <row r="2027" spans="1:7" hidden="1">
      <c r="A2027" s="865"/>
      <c r="B2027" s="26" t="s">
        <v>2255</v>
      </c>
    </row>
    <row r="2028" spans="1:7" hidden="1">
      <c r="A2028" s="865"/>
      <c r="B2028" s="26" t="s">
        <v>2256</v>
      </c>
      <c r="E2028" s="322" t="s">
        <v>1697</v>
      </c>
      <c r="F2028" s="26">
        <f>F2024*8</f>
        <v>28</v>
      </c>
      <c r="G2028" s="26" t="s">
        <v>3477</v>
      </c>
    </row>
    <row r="2029" spans="1:7" hidden="1">
      <c r="A2029" s="865"/>
      <c r="B2029" s="26" t="s">
        <v>4911</v>
      </c>
      <c r="E2029" s="322" t="s">
        <v>1697</v>
      </c>
      <c r="F2029" s="26" t="s">
        <v>3407</v>
      </c>
    </row>
    <row r="2030" spans="1:7" hidden="1">
      <c r="A2030" s="865"/>
      <c r="B2030" s="26" t="s">
        <v>4912</v>
      </c>
    </row>
    <row r="2031" spans="1:7">
      <c r="B2031" s="78"/>
    </row>
    <row r="2032" spans="1:7">
      <c r="A2032" s="822" t="s">
        <v>1907</v>
      </c>
      <c r="B2032" s="78"/>
      <c r="C2032" s="203" t="s">
        <v>2367</v>
      </c>
      <c r="E2032" s="171" t="s">
        <v>297</v>
      </c>
      <c r="F2032" s="246">
        <v>28</v>
      </c>
      <c r="G2032" s="68" t="s">
        <v>3477</v>
      </c>
    </row>
    <row r="2033" spans="1:7">
      <c r="B2033" s="79" t="s">
        <v>2368</v>
      </c>
    </row>
    <row r="2034" spans="1:7">
      <c r="B2034" s="95" t="s">
        <v>2369</v>
      </c>
      <c r="C2034" s="157" t="s">
        <v>4443</v>
      </c>
      <c r="D2034" s="95" t="s">
        <v>2370</v>
      </c>
      <c r="E2034" s="95" t="s">
        <v>1166</v>
      </c>
      <c r="F2034" s="95" t="s">
        <v>2371</v>
      </c>
      <c r="G2034" s="95" t="s">
        <v>2372</v>
      </c>
    </row>
    <row r="2035" spans="1:7">
      <c r="B2035" s="114"/>
      <c r="C2035" s="154"/>
      <c r="D2035" s="114"/>
      <c r="E2035" s="114"/>
      <c r="F2035" s="114" t="s">
        <v>3485</v>
      </c>
      <c r="G2035" s="114" t="s">
        <v>3485</v>
      </c>
    </row>
    <row r="2036" spans="1:7">
      <c r="B2036" s="95">
        <v>1</v>
      </c>
      <c r="C2036" s="135" t="s">
        <v>1048</v>
      </c>
      <c r="D2036" s="95" t="s">
        <v>3478</v>
      </c>
      <c r="E2036" s="190">
        <f>F2032*F2009</f>
        <v>6160</v>
      </c>
      <c r="F2036" s="214">
        <f>'BASIC DATA'!$D$32/1000</f>
        <v>5.35</v>
      </c>
      <c r="G2036" s="190">
        <f>E2036*F2036</f>
        <v>32956</v>
      </c>
    </row>
    <row r="2037" spans="1:7">
      <c r="B2037" s="105">
        <v>2</v>
      </c>
      <c r="C2037" s="135" t="s">
        <v>6996</v>
      </c>
      <c r="D2037" s="105" t="s">
        <v>3477</v>
      </c>
      <c r="E2037" s="190">
        <f>F2011*F2032</f>
        <v>12.6</v>
      </c>
      <c r="F2037" s="214">
        <f>'BASIC DATA'!$D$36</f>
        <v>1175</v>
      </c>
      <c r="G2037" s="190">
        <f t="shared" ref="G2037:G2042" si="37">E2037*F2037</f>
        <v>14805</v>
      </c>
    </row>
    <row r="2038" spans="1:7">
      <c r="B2038" s="317"/>
      <c r="C2038" s="135" t="s">
        <v>6995</v>
      </c>
      <c r="D2038" s="105" t="s">
        <v>3477</v>
      </c>
      <c r="E2038" s="190">
        <f>F2012*F2032</f>
        <v>7.5600000000000005</v>
      </c>
      <c r="F2038" s="214">
        <f>'BASIC DATA'!$D$35</f>
        <v>1225</v>
      </c>
      <c r="G2038" s="190">
        <f t="shared" si="37"/>
        <v>9261</v>
      </c>
    </row>
    <row r="2039" spans="1:7">
      <c r="B2039" s="317"/>
      <c r="C2039" s="135" t="s">
        <v>1050</v>
      </c>
      <c r="D2039" s="105" t="s">
        <v>3477</v>
      </c>
      <c r="E2039" s="190">
        <f>F2013*F2032</f>
        <v>5.0400000000000009</v>
      </c>
      <c r="F2039" s="214">
        <f>'BASIC DATA'!$D$34</f>
        <v>900</v>
      </c>
      <c r="G2039" s="190">
        <f t="shared" si="37"/>
        <v>4536.0000000000009</v>
      </c>
    </row>
    <row r="2040" spans="1:7">
      <c r="A2040" s="853"/>
      <c r="B2040" s="240">
        <v>3</v>
      </c>
      <c r="C2040" s="326" t="s">
        <v>7935</v>
      </c>
      <c r="D2040" s="240" t="s">
        <v>3477</v>
      </c>
      <c r="E2040" s="255">
        <f>0.4*F2032</f>
        <v>11.200000000000001</v>
      </c>
      <c r="F2040" s="266">
        <f>'BASIC DATA'!$D$55</f>
        <v>95</v>
      </c>
      <c r="G2040" s="255">
        <f t="shared" si="37"/>
        <v>1064</v>
      </c>
    </row>
    <row r="2041" spans="1:7">
      <c r="B2041" s="105">
        <v>4</v>
      </c>
      <c r="C2041" s="135" t="s">
        <v>523</v>
      </c>
      <c r="D2041" s="105" t="s">
        <v>3478</v>
      </c>
      <c r="E2041" s="190">
        <f>0.4%*E2036</f>
        <v>24.64</v>
      </c>
      <c r="F2041" s="214">
        <f>'BASIC DATA'!$D$99</f>
        <v>55</v>
      </c>
      <c r="G2041" s="190">
        <f t="shared" si="37"/>
        <v>1355.2</v>
      </c>
    </row>
    <row r="2042" spans="1:7">
      <c r="B2042" s="114">
        <v>5</v>
      </c>
      <c r="C2042" s="135" t="s">
        <v>2373</v>
      </c>
      <c r="D2042" s="105" t="s">
        <v>2173</v>
      </c>
      <c r="E2042" s="190">
        <v>2</v>
      </c>
      <c r="F2042" s="214">
        <f>'BASIC DATA'!$D$359</f>
        <v>30</v>
      </c>
      <c r="G2042" s="190">
        <f t="shared" si="37"/>
        <v>60</v>
      </c>
    </row>
    <row r="2043" spans="1:7">
      <c r="B2043" s="92"/>
      <c r="C2043" s="193" t="s">
        <v>2376</v>
      </c>
      <c r="D2043" s="159"/>
      <c r="E2043" s="238"/>
      <c r="F2043" s="236" t="s">
        <v>1698</v>
      </c>
      <c r="G2043" s="318">
        <f>SUM(G2036:G2042)</f>
        <v>64037.2</v>
      </c>
    </row>
    <row r="2044" spans="1:7">
      <c r="B2044" s="78"/>
    </row>
    <row r="2045" spans="1:7">
      <c r="B2045" s="79" t="s">
        <v>2377</v>
      </c>
    </row>
    <row r="2046" spans="1:7">
      <c r="B2046" s="95" t="s">
        <v>2369</v>
      </c>
      <c r="C2046" s="157" t="s">
        <v>2378</v>
      </c>
      <c r="D2046" s="95" t="s">
        <v>2370</v>
      </c>
      <c r="E2046" s="95" t="s">
        <v>1166</v>
      </c>
      <c r="F2046" s="95" t="s">
        <v>2371</v>
      </c>
      <c r="G2046" s="95" t="s">
        <v>2372</v>
      </c>
    </row>
    <row r="2047" spans="1:7">
      <c r="B2047" s="114"/>
      <c r="C2047" s="154"/>
      <c r="D2047" s="114"/>
      <c r="E2047" s="114"/>
      <c r="F2047" s="114" t="s">
        <v>3485</v>
      </c>
      <c r="G2047" s="114" t="s">
        <v>3485</v>
      </c>
    </row>
    <row r="2048" spans="1:7">
      <c r="B2048" s="95">
        <v>1</v>
      </c>
      <c r="C2048" s="135" t="s">
        <v>2334</v>
      </c>
      <c r="D2048" s="95" t="s">
        <v>2374</v>
      </c>
      <c r="E2048" s="190">
        <v>8</v>
      </c>
      <c r="F2048" s="190">
        <f>'HIRE CHARGES'!$D$501</f>
        <v>405.4</v>
      </c>
      <c r="G2048" s="190">
        <f>E2048*F2048</f>
        <v>3243.2</v>
      </c>
    </row>
    <row r="2049" spans="2:7">
      <c r="B2049" s="317"/>
      <c r="C2049" s="135" t="s">
        <v>2379</v>
      </c>
      <c r="D2049" s="105" t="s">
        <v>2374</v>
      </c>
      <c r="E2049" s="190">
        <v>8</v>
      </c>
      <c r="F2049" s="190">
        <f>'HIRE CHARGES'!$E$501</f>
        <v>252.2</v>
      </c>
      <c r="G2049" s="190">
        <f t="shared" ref="G2049:G2056" si="38">E2049*F2049</f>
        <v>2017.6</v>
      </c>
    </row>
    <row r="2050" spans="2:7">
      <c r="B2050" s="105">
        <v>2</v>
      </c>
      <c r="C2050" s="135" t="s">
        <v>4913</v>
      </c>
      <c r="D2050" s="105" t="s">
        <v>2374</v>
      </c>
      <c r="E2050" s="190">
        <v>16</v>
      </c>
      <c r="F2050" s="190">
        <f>'HIRE CHARGES'!$D$492</f>
        <v>758.40000000000009</v>
      </c>
      <c r="G2050" s="190">
        <f t="shared" si="38"/>
        <v>12134.400000000001</v>
      </c>
    </row>
    <row r="2051" spans="2:7">
      <c r="B2051" s="317"/>
      <c r="C2051" s="135" t="s">
        <v>2379</v>
      </c>
      <c r="D2051" s="105" t="s">
        <v>2374</v>
      </c>
      <c r="E2051" s="190">
        <v>16</v>
      </c>
      <c r="F2051" s="190">
        <f>'HIRE CHARGES'!$E$492</f>
        <v>872.7</v>
      </c>
      <c r="G2051" s="190">
        <f t="shared" si="38"/>
        <v>13963.2</v>
      </c>
    </row>
    <row r="2052" spans="2:7">
      <c r="B2052" s="105">
        <v>3</v>
      </c>
      <c r="C2052" s="135" t="s">
        <v>383</v>
      </c>
      <c r="D2052" s="105" t="s">
        <v>2374</v>
      </c>
      <c r="E2052" s="190">
        <v>8</v>
      </c>
      <c r="F2052" s="190">
        <f>'HIRE CHARGES'!$D$520</f>
        <v>6.7</v>
      </c>
      <c r="G2052" s="190">
        <f t="shared" si="38"/>
        <v>53.6</v>
      </c>
    </row>
    <row r="2053" spans="2:7">
      <c r="B2053" s="317"/>
      <c r="C2053" s="135" t="s">
        <v>2379</v>
      </c>
      <c r="D2053" s="105" t="s">
        <v>2374</v>
      </c>
      <c r="E2053" s="190">
        <v>8</v>
      </c>
      <c r="F2053" s="190">
        <f>'HIRE CHARGES'!$E$520</f>
        <v>56</v>
      </c>
      <c r="G2053" s="190">
        <f t="shared" si="38"/>
        <v>448</v>
      </c>
    </row>
    <row r="2054" spans="2:7">
      <c r="B2054" s="105">
        <v>4</v>
      </c>
      <c r="C2054" s="135" t="s">
        <v>2054</v>
      </c>
      <c r="D2054" s="105" t="s">
        <v>2374</v>
      </c>
      <c r="E2054" s="190">
        <v>8</v>
      </c>
      <c r="F2054" s="190">
        <f>'HIRE CHARGES'!$D$532</f>
        <v>8</v>
      </c>
      <c r="G2054" s="190">
        <f t="shared" si="38"/>
        <v>64</v>
      </c>
    </row>
    <row r="2055" spans="2:7">
      <c r="B2055" s="317"/>
      <c r="C2055" s="135" t="s">
        <v>2379</v>
      </c>
      <c r="D2055" s="105" t="s">
        <v>2374</v>
      </c>
      <c r="E2055" s="190">
        <v>8</v>
      </c>
      <c r="F2055" s="190">
        <f>'HIRE CHARGES'!$E$532</f>
        <v>5.6</v>
      </c>
      <c r="G2055" s="190">
        <f t="shared" si="38"/>
        <v>44.8</v>
      </c>
    </row>
    <row r="2056" spans="2:7">
      <c r="B2056" s="105">
        <v>5</v>
      </c>
      <c r="C2056" s="135" t="s">
        <v>2373</v>
      </c>
      <c r="D2056" s="105" t="s">
        <v>2173</v>
      </c>
      <c r="E2056" s="190">
        <v>2</v>
      </c>
      <c r="F2056" s="214">
        <f>'BASIC DATA'!$D$359</f>
        <v>30</v>
      </c>
      <c r="G2056" s="190">
        <f t="shared" si="38"/>
        <v>60</v>
      </c>
    </row>
    <row r="2057" spans="2:7">
      <c r="B2057" s="176"/>
      <c r="C2057" s="172" t="s">
        <v>2380</v>
      </c>
      <c r="D2057" s="174"/>
      <c r="E2057" s="192"/>
      <c r="F2057" s="236" t="s">
        <v>1698</v>
      </c>
      <c r="G2057" s="318">
        <f>SUM(G2048:G2056)</f>
        <v>32028.799999999999</v>
      </c>
    </row>
    <row r="2058" spans="2:7">
      <c r="B2058" s="78"/>
    </row>
    <row r="2059" spans="2:7">
      <c r="B2059" s="79" t="s">
        <v>2381</v>
      </c>
    </row>
    <row r="2060" spans="2:7">
      <c r="B2060" s="95" t="s">
        <v>2369</v>
      </c>
      <c r="C2060" s="157" t="s">
        <v>2378</v>
      </c>
      <c r="D2060" s="95" t="s">
        <v>2370</v>
      </c>
      <c r="E2060" s="95" t="s">
        <v>1166</v>
      </c>
      <c r="F2060" s="95" t="s">
        <v>2371</v>
      </c>
      <c r="G2060" s="95" t="s">
        <v>2372</v>
      </c>
    </row>
    <row r="2061" spans="2:7">
      <c r="B2061" s="114"/>
      <c r="C2061" s="154"/>
      <c r="D2061" s="114"/>
      <c r="E2061" s="114"/>
      <c r="F2061" s="114" t="s">
        <v>3485</v>
      </c>
      <c r="G2061" s="114" t="s">
        <v>3485</v>
      </c>
    </row>
    <row r="2062" spans="2:7">
      <c r="B2062" s="105">
        <v>1</v>
      </c>
      <c r="C2062" s="76" t="s">
        <v>158</v>
      </c>
      <c r="D2062" s="105" t="s">
        <v>2374</v>
      </c>
      <c r="E2062" s="207">
        <v>8</v>
      </c>
      <c r="F2062" s="190">
        <f>'HIRE CHARGES'!$F$501</f>
        <v>340.6</v>
      </c>
      <c r="G2062" s="190">
        <f>E2062*F2062</f>
        <v>2724.8</v>
      </c>
    </row>
    <row r="2063" spans="2:7">
      <c r="B2063" s="105">
        <v>2</v>
      </c>
      <c r="C2063" s="76" t="s">
        <v>2055</v>
      </c>
      <c r="D2063" s="105" t="s">
        <v>2374</v>
      </c>
      <c r="E2063" s="207">
        <v>16</v>
      </c>
      <c r="F2063" s="190">
        <f>'HIRE CHARGES'!$F$492</f>
        <v>283.89999999999998</v>
      </c>
      <c r="G2063" s="190">
        <f t="shared" ref="G2063:G2075" si="39">E2063*F2063</f>
        <v>4542.3999999999996</v>
      </c>
    </row>
    <row r="2064" spans="2:7">
      <c r="B2064" s="105">
        <v>3</v>
      </c>
      <c r="C2064" s="76" t="s">
        <v>999</v>
      </c>
      <c r="D2064" s="105" t="s">
        <v>2374</v>
      </c>
      <c r="E2064" s="207">
        <v>8</v>
      </c>
      <c r="F2064" s="190">
        <f>'HIRE CHARGES'!$F$520</f>
        <v>83.3</v>
      </c>
      <c r="G2064" s="190">
        <f t="shared" si="39"/>
        <v>666.4</v>
      </c>
    </row>
    <row r="2065" spans="2:7">
      <c r="B2065" s="105">
        <v>4</v>
      </c>
      <c r="C2065" s="76" t="s">
        <v>439</v>
      </c>
      <c r="D2065" s="105" t="s">
        <v>2374</v>
      </c>
      <c r="E2065" s="207">
        <v>8</v>
      </c>
      <c r="F2065" s="190">
        <f>'HIRE CHARGES'!$F$532</f>
        <v>158.19999999999999</v>
      </c>
      <c r="G2065" s="190">
        <f t="shared" si="39"/>
        <v>1265.5999999999999</v>
      </c>
    </row>
    <row r="2066" spans="2:7">
      <c r="B2066" s="105">
        <v>5</v>
      </c>
      <c r="C2066" s="76" t="s">
        <v>440</v>
      </c>
      <c r="D2066" s="105" t="s">
        <v>1172</v>
      </c>
      <c r="E2066" s="207">
        <v>1</v>
      </c>
      <c r="F2066" s="190">
        <f>'BASIC DATA'!$C$474</f>
        <v>445</v>
      </c>
      <c r="G2066" s="190">
        <f t="shared" si="39"/>
        <v>445</v>
      </c>
    </row>
    <row r="2067" spans="2:7">
      <c r="B2067" s="105">
        <v>6</v>
      </c>
      <c r="C2067" s="76" t="s">
        <v>4206</v>
      </c>
      <c r="D2067" s="105" t="s">
        <v>1172</v>
      </c>
      <c r="E2067" s="207">
        <v>1</v>
      </c>
      <c r="F2067" s="190">
        <f>'BASIC DATA'!$C$473</f>
        <v>450</v>
      </c>
      <c r="G2067" s="190">
        <f t="shared" si="39"/>
        <v>450</v>
      </c>
    </row>
    <row r="2068" spans="2:7">
      <c r="B2068" s="105">
        <v>7</v>
      </c>
      <c r="C2068" s="76" t="s">
        <v>2697</v>
      </c>
      <c r="D2068" s="105"/>
      <c r="E2068" s="207"/>
      <c r="F2068" s="190"/>
      <c r="G2068" s="190"/>
    </row>
    <row r="2069" spans="2:7">
      <c r="B2069" s="317"/>
      <c r="C2069" s="76" t="s">
        <v>5775</v>
      </c>
      <c r="D2069" s="105" t="s">
        <v>1172</v>
      </c>
      <c r="E2069" s="207">
        <v>2</v>
      </c>
      <c r="F2069" s="190">
        <f>'BASIC DATA'!$C$552</f>
        <v>350</v>
      </c>
      <c r="G2069" s="190">
        <f t="shared" si="39"/>
        <v>700</v>
      </c>
    </row>
    <row r="2070" spans="2:7">
      <c r="B2070" s="317"/>
      <c r="C2070" s="76" t="s">
        <v>5776</v>
      </c>
      <c r="D2070" s="105" t="s">
        <v>1172</v>
      </c>
      <c r="E2070" s="207">
        <v>3</v>
      </c>
      <c r="F2070" s="190">
        <f>'BASIC DATA'!$C$552</f>
        <v>350</v>
      </c>
      <c r="G2070" s="190">
        <f t="shared" si="39"/>
        <v>1050</v>
      </c>
    </row>
    <row r="2071" spans="2:7">
      <c r="B2071" s="317"/>
      <c r="C2071" s="76" t="s">
        <v>5777</v>
      </c>
      <c r="D2071" s="105" t="s">
        <v>1172</v>
      </c>
      <c r="E2071" s="207">
        <v>2</v>
      </c>
      <c r="F2071" s="190">
        <f>'BASIC DATA'!$C$552</f>
        <v>350</v>
      </c>
      <c r="G2071" s="190">
        <f t="shared" si="39"/>
        <v>700</v>
      </c>
    </row>
    <row r="2072" spans="2:7">
      <c r="B2072" s="317"/>
      <c r="C2072" s="76" t="s">
        <v>5778</v>
      </c>
      <c r="D2072" s="105" t="s">
        <v>1172</v>
      </c>
      <c r="E2072" s="207">
        <v>7</v>
      </c>
      <c r="F2072" s="190">
        <f>'BASIC DATA'!$C$552</f>
        <v>350</v>
      </c>
      <c r="G2072" s="190">
        <f t="shared" si="39"/>
        <v>2450</v>
      </c>
    </row>
    <row r="2073" spans="2:7">
      <c r="B2073" s="317"/>
      <c r="C2073" s="76" t="s">
        <v>6117</v>
      </c>
      <c r="D2073" s="105" t="s">
        <v>1172</v>
      </c>
      <c r="E2073" s="207">
        <v>14</v>
      </c>
      <c r="F2073" s="190">
        <f>'BASIC DATA'!$C$552</f>
        <v>350</v>
      </c>
      <c r="G2073" s="190">
        <f t="shared" si="39"/>
        <v>4900</v>
      </c>
    </row>
    <row r="2074" spans="2:7">
      <c r="B2074" s="317"/>
      <c r="C2074" s="76" t="s">
        <v>5775</v>
      </c>
      <c r="D2074" s="105" t="s">
        <v>1172</v>
      </c>
      <c r="E2074" s="207">
        <v>2</v>
      </c>
      <c r="F2074" s="190">
        <f>'BASIC DATA'!$C$552</f>
        <v>350</v>
      </c>
      <c r="G2074" s="190">
        <f t="shared" si="39"/>
        <v>700</v>
      </c>
    </row>
    <row r="2075" spans="2:7">
      <c r="B2075" s="317"/>
      <c r="C2075" s="76" t="s">
        <v>6118</v>
      </c>
      <c r="D2075" s="105" t="s">
        <v>1172</v>
      </c>
      <c r="E2075" s="207">
        <v>2</v>
      </c>
      <c r="F2075" s="190">
        <f>'BASIC DATA'!$C$552</f>
        <v>350</v>
      </c>
      <c r="G2075" s="190">
        <f t="shared" si="39"/>
        <v>700</v>
      </c>
    </row>
    <row r="2076" spans="2:7">
      <c r="B2076" s="92"/>
      <c r="C2076" s="193" t="s">
        <v>1174</v>
      </c>
      <c r="D2076" s="159"/>
      <c r="E2076" s="238"/>
      <c r="F2076" s="236" t="s">
        <v>1698</v>
      </c>
      <c r="G2076" s="318">
        <f>SUM(G2062:G2075)</f>
        <v>21294.199999999997</v>
      </c>
    </row>
    <row r="2077" spans="2:7">
      <c r="B2077" s="60" t="s">
        <v>5948</v>
      </c>
      <c r="D2077" s="31"/>
      <c r="E2077" s="85">
        <f>ROUND(G2076/F2032,1)</f>
        <v>760.5</v>
      </c>
    </row>
    <row r="2078" spans="2:7">
      <c r="B2078" s="60" t="s">
        <v>3163</v>
      </c>
      <c r="D2078" s="922">
        <f>'BASIC DATA'!$C$577</f>
        <v>0.13614999999999999</v>
      </c>
      <c r="E2078" s="85">
        <f>ROUND(E2077*D2078,1)</f>
        <v>103.5</v>
      </c>
    </row>
    <row r="2079" spans="2:7">
      <c r="B2079" s="60" t="s">
        <v>5949</v>
      </c>
      <c r="D2079" s="31"/>
      <c r="E2079" s="199">
        <f>ROUND(E2078+E2077,1)</f>
        <v>864</v>
      </c>
    </row>
    <row r="2080" spans="2:7"/>
    <row r="2081" spans="1:7">
      <c r="B2081" s="170" t="s">
        <v>1175</v>
      </c>
    </row>
    <row r="2082" spans="1:7">
      <c r="B2082" s="26" t="s">
        <v>1176</v>
      </c>
      <c r="F2082" s="171" t="s">
        <v>1698</v>
      </c>
      <c r="G2082" s="68">
        <f>G2043</f>
        <v>64037.2</v>
      </c>
    </row>
    <row r="2083" spans="1:7">
      <c r="B2083" s="26" t="s">
        <v>1186</v>
      </c>
      <c r="F2083" s="171" t="s">
        <v>1698</v>
      </c>
      <c r="G2083" s="68">
        <f>G2057</f>
        <v>32028.799999999999</v>
      </c>
    </row>
    <row r="2084" spans="1:7">
      <c r="B2084" s="26" t="s">
        <v>2660</v>
      </c>
      <c r="F2084" s="171" t="s">
        <v>1698</v>
      </c>
      <c r="G2084" s="75">
        <f>G2076</f>
        <v>21294.199999999997</v>
      </c>
    </row>
    <row r="2085" spans="1:7">
      <c r="E2085" s="171"/>
      <c r="F2085" s="171" t="s">
        <v>302</v>
      </c>
      <c r="G2085" s="205">
        <f>SUM(G2082:G2084)</f>
        <v>117360.2</v>
      </c>
    </row>
    <row r="2086" spans="1:7">
      <c r="A2086" s="853"/>
      <c r="B2086" s="61" t="s">
        <v>2313</v>
      </c>
      <c r="C2086" s="61"/>
      <c r="D2086" s="61"/>
      <c r="E2086" s="320">
        <f>'BASIC DATA'!$C$595</f>
        <v>0.01</v>
      </c>
      <c r="F2086" s="222" t="s">
        <v>1698</v>
      </c>
      <c r="G2086" s="321">
        <f>E2086*$G$2085</f>
        <v>1173.6020000000001</v>
      </c>
    </row>
    <row r="2087" spans="1:7">
      <c r="A2087" s="853"/>
      <c r="B2087" s="61" t="s">
        <v>2314</v>
      </c>
      <c r="C2087" s="61"/>
      <c r="D2087" s="61"/>
      <c r="E2087" s="291">
        <f>'BASIC DATA'!$C$596</f>
        <v>4.4999999999999998E-2</v>
      </c>
      <c r="F2087" s="222" t="s">
        <v>1698</v>
      </c>
      <c r="G2087" s="321">
        <f>E2087*$G$2085</f>
        <v>5281.2089999999998</v>
      </c>
    </row>
    <row r="2088" spans="1:7">
      <c r="A2088" s="853"/>
      <c r="B2088" s="61" t="s">
        <v>2315</v>
      </c>
      <c r="C2088" s="61"/>
      <c r="D2088" s="61"/>
      <c r="E2088" s="291">
        <f>'BASIC DATA'!$C$597</f>
        <v>1.6E-2</v>
      </c>
      <c r="F2088" s="222" t="s">
        <v>1698</v>
      </c>
      <c r="G2088" s="321">
        <f>E2088*$G$2085</f>
        <v>1877.7632000000001</v>
      </c>
    </row>
    <row r="2089" spans="1:7">
      <c r="A2089" s="853"/>
      <c r="B2089" s="61" t="s">
        <v>1259</v>
      </c>
      <c r="C2089" s="61"/>
      <c r="D2089" s="61"/>
      <c r="E2089" s="291">
        <f>'BASIC DATA'!$C$598</f>
        <v>2.5000000000000001E-2</v>
      </c>
      <c r="F2089" s="222" t="s">
        <v>1698</v>
      </c>
      <c r="G2089" s="321">
        <f>E2089*$G$2085</f>
        <v>2934.0050000000001</v>
      </c>
    </row>
    <row r="2090" spans="1:7">
      <c r="A2090" s="853"/>
      <c r="B2090" s="61"/>
      <c r="C2090" s="61"/>
      <c r="D2090" s="61"/>
      <c r="E2090" s="291"/>
      <c r="F2090" s="171" t="s">
        <v>302</v>
      </c>
      <c r="G2090" s="205">
        <f>SUM(G2085:G2089)</f>
        <v>128626.7792</v>
      </c>
    </row>
    <row r="2091" spans="1:7" ht="39" customHeight="1">
      <c r="B2091" s="1207" t="s">
        <v>6259</v>
      </c>
      <c r="C2091" s="1207"/>
      <c r="D2091" s="1207"/>
      <c r="E2091" s="922">
        <f>'BASIC DATA'!$C$577</f>
        <v>0.13614999999999999</v>
      </c>
      <c r="F2091" s="171" t="s">
        <v>1698</v>
      </c>
      <c r="G2091" s="75">
        <f>G2090*E2091</f>
        <v>17512.535988079999</v>
      </c>
    </row>
    <row r="2092" spans="1:7">
      <c r="B2092" s="27" t="s">
        <v>9590</v>
      </c>
      <c r="C2092" s="43"/>
      <c r="D2092" s="779">
        <f>E2040</f>
        <v>11.200000000000001</v>
      </c>
      <c r="E2092" s="201" t="s">
        <v>9591</v>
      </c>
      <c r="F2092" s="68" t="str">
        <f>CONCATENATE((leadcharges!$D$65)," ","Rs./Cum")</f>
        <v>31.5 Rs./Cum</v>
      </c>
      <c r="G2092" s="200">
        <f>leadcharges!$D$65*D2092</f>
        <v>352.8</v>
      </c>
    </row>
    <row r="2093" spans="1:7">
      <c r="B2093" s="27" t="s">
        <v>9589</v>
      </c>
      <c r="C2093" s="43"/>
      <c r="D2093" s="779">
        <f>SUM(E2037:E2039)</f>
        <v>25.200000000000003</v>
      </c>
      <c r="E2093" s="201" t="s">
        <v>9591</v>
      </c>
      <c r="F2093" s="68" t="str">
        <f>CONCATENATE((leadcharges!$E$65)," ","Rs./Cum")</f>
        <v>30.4 Rs./Cum</v>
      </c>
      <c r="G2093" s="294">
        <f>leadcharges!$E$65*D2093</f>
        <v>766.08</v>
      </c>
    </row>
    <row r="2094" spans="1:7" ht="40.5" hidden="1" customHeight="1">
      <c r="B2094" s="1207"/>
      <c r="C2094" s="1207"/>
      <c r="D2094" s="779"/>
      <c r="E2094" s="201"/>
      <c r="F2094" s="68"/>
      <c r="G2094" s="200"/>
    </row>
    <row r="2095" spans="1:7">
      <c r="B2095" s="26" t="s">
        <v>1191</v>
      </c>
      <c r="D2095" s="68">
        <f>F2032</f>
        <v>28</v>
      </c>
      <c r="E2095" s="68" t="str">
        <f>G2032</f>
        <v>cum</v>
      </c>
      <c r="F2095" s="171" t="s">
        <v>1698</v>
      </c>
      <c r="G2095" s="211">
        <f>SUM(G2090:G2094)</f>
        <v>147258.19518807999</v>
      </c>
    </row>
    <row r="2096" spans="1:7">
      <c r="B2096" s="170" t="s">
        <v>3884</v>
      </c>
      <c r="C2096" s="170" t="str">
        <f>E2095</f>
        <v>cum</v>
      </c>
      <c r="D2096" s="26" t="s">
        <v>6574</v>
      </c>
      <c r="F2096" s="171" t="s">
        <v>1698</v>
      </c>
      <c r="G2096" s="211">
        <f>ROUND(G2095/D2095,1)</f>
        <v>5259.2</v>
      </c>
    </row>
    <row r="2097" spans="1:7">
      <c r="B2097" s="78"/>
    </row>
    <row r="2098" spans="1:7">
      <c r="B2098" s="78"/>
    </row>
    <row r="2099" spans="1:7" ht="18.75">
      <c r="A2099" s="822" t="s">
        <v>7412</v>
      </c>
      <c r="B2099" s="26" t="s">
        <v>8618</v>
      </c>
    </row>
    <row r="2100" spans="1:7" ht="18.75">
      <c r="A2100" s="865"/>
      <c r="B2100" s="26" t="s">
        <v>8619</v>
      </c>
    </row>
    <row r="2101" spans="1:7" ht="18.75">
      <c r="A2101" s="865"/>
      <c r="B2101" s="26" t="s">
        <v>8620</v>
      </c>
    </row>
    <row r="2102" spans="1:7">
      <c r="A2102" s="865"/>
      <c r="B2102" s="26" t="s">
        <v>6119</v>
      </c>
    </row>
    <row r="2103" spans="1:7">
      <c r="A2103" s="865"/>
      <c r="B2103" s="26" t="s">
        <v>6438</v>
      </c>
    </row>
    <row r="2104" spans="1:7" ht="18.75">
      <c r="A2104" s="865"/>
      <c r="B2104" s="26" t="s">
        <v>8621</v>
      </c>
    </row>
    <row r="2105" spans="1:7">
      <c r="A2105" s="865"/>
      <c r="B2105" s="170" t="s">
        <v>7702</v>
      </c>
    </row>
    <row r="2106" spans="1:7">
      <c r="A2106" s="855"/>
      <c r="B2106" s="248" t="s">
        <v>4521</v>
      </c>
      <c r="C2106" s="61"/>
      <c r="D2106" s="61"/>
      <c r="E2106" s="61"/>
      <c r="F2106" s="61"/>
      <c r="G2106" s="61"/>
    </row>
    <row r="2107" spans="1:7">
      <c r="A2107" s="865"/>
    </row>
    <row r="2108" spans="1:7">
      <c r="A2108" s="865"/>
    </row>
    <row r="2109" spans="1:7" hidden="1">
      <c r="A2109" s="865"/>
      <c r="B2109" s="26" t="s">
        <v>6439</v>
      </c>
      <c r="F2109" s="322"/>
      <c r="G2109" s="26" t="s">
        <v>5005</v>
      </c>
    </row>
    <row r="2110" spans="1:7" hidden="1">
      <c r="A2110" s="865"/>
    </row>
    <row r="2111" spans="1:7" hidden="1">
      <c r="A2111" s="865"/>
      <c r="B2111" s="26" t="s">
        <v>5841</v>
      </c>
    </row>
    <row r="2112" spans="1:7" hidden="1">
      <c r="A2112" s="865"/>
      <c r="B2112" s="26" t="s">
        <v>5009</v>
      </c>
      <c r="E2112" s="171" t="s">
        <v>6440</v>
      </c>
      <c r="F2112" s="217">
        <v>1.2</v>
      </c>
      <c r="G2112" s="26" t="s">
        <v>3479</v>
      </c>
    </row>
    <row r="2113" spans="1:7" hidden="1">
      <c r="A2113" s="865"/>
      <c r="B2113" s="26" t="s">
        <v>5867</v>
      </c>
      <c r="E2113" s="322" t="s">
        <v>1697</v>
      </c>
      <c r="F2113" s="171">
        <v>33.909999999999997</v>
      </c>
      <c r="G2113" s="26" t="s">
        <v>3478</v>
      </c>
    </row>
    <row r="2114" spans="1:7" hidden="1">
      <c r="A2114" s="865"/>
      <c r="B2114" s="26" t="s">
        <v>4104</v>
      </c>
      <c r="E2114" s="322" t="s">
        <v>1697</v>
      </c>
      <c r="F2114" s="171">
        <v>25.08</v>
      </c>
      <c r="G2114" s="26" t="s">
        <v>3478</v>
      </c>
    </row>
    <row r="2115" spans="1:7" hidden="1">
      <c r="A2115" s="865"/>
      <c r="B2115" s="26" t="s">
        <v>4105</v>
      </c>
      <c r="E2115" s="322" t="s">
        <v>1697</v>
      </c>
      <c r="F2115" s="171">
        <v>4.2300000000000004</v>
      </c>
      <c r="G2115" s="26" t="s">
        <v>3478</v>
      </c>
    </row>
    <row r="2116" spans="1:7" hidden="1">
      <c r="A2116" s="865"/>
      <c r="B2116" s="26" t="s">
        <v>2065</v>
      </c>
      <c r="E2116" s="322" t="s">
        <v>1697</v>
      </c>
      <c r="F2116" s="171">
        <v>18.170000000000002</v>
      </c>
      <c r="G2116" s="26" t="s">
        <v>3478</v>
      </c>
    </row>
    <row r="2117" spans="1:7" hidden="1">
      <c r="A2117" s="865"/>
      <c r="B2117" s="26" t="s">
        <v>2066</v>
      </c>
      <c r="E2117" s="322" t="s">
        <v>1697</v>
      </c>
      <c r="F2117" s="171">
        <v>1.41</v>
      </c>
      <c r="G2117" s="26" t="s">
        <v>3478</v>
      </c>
    </row>
    <row r="2118" spans="1:7" hidden="1">
      <c r="A2118" s="865"/>
      <c r="B2118" s="26" t="s">
        <v>1682</v>
      </c>
      <c r="D2118" s="68">
        <f>'BASIC DATA'!$D$98/1000</f>
        <v>37.4</v>
      </c>
      <c r="E2118" s="315" t="s">
        <v>1698</v>
      </c>
      <c r="F2118" s="68">
        <f>33.91*D2118</f>
        <v>1268.2339999999999</v>
      </c>
    </row>
    <row r="2119" spans="1:7" hidden="1">
      <c r="A2119" s="865"/>
      <c r="B2119" s="26" t="s">
        <v>1683</v>
      </c>
      <c r="D2119" s="68">
        <f>'BASIC DATA'!$D$97/1000</f>
        <v>37.5</v>
      </c>
      <c r="E2119" s="315" t="s">
        <v>1698</v>
      </c>
      <c r="F2119" s="68">
        <f>25.08*D2119</f>
        <v>940.49999999999989</v>
      </c>
    </row>
    <row r="2120" spans="1:7" hidden="1">
      <c r="A2120" s="865"/>
      <c r="B2120" s="26" t="s">
        <v>2049</v>
      </c>
      <c r="D2120" s="68">
        <f>'BASIC DATA'!$D$97/1000</f>
        <v>37.5</v>
      </c>
      <c r="E2120" s="315" t="s">
        <v>1698</v>
      </c>
      <c r="F2120" s="68">
        <f>4.23*D2120</f>
        <v>158.62500000000003</v>
      </c>
    </row>
    <row r="2121" spans="1:7" hidden="1">
      <c r="A2121" s="865"/>
      <c r="B2121" s="26" t="s">
        <v>2050</v>
      </c>
      <c r="D2121" s="68">
        <f>'BASIC DATA'!$D$97/1000</f>
        <v>37.5</v>
      </c>
      <c r="E2121" s="315" t="s">
        <v>1698</v>
      </c>
      <c r="F2121" s="68">
        <f>18.17*D2121</f>
        <v>681.37500000000011</v>
      </c>
    </row>
    <row r="2122" spans="1:7" hidden="1">
      <c r="A2122" s="865"/>
      <c r="B2122" s="26" t="s">
        <v>2051</v>
      </c>
      <c r="D2122" s="68">
        <f>'BASIC DATA'!$D$98/1000</f>
        <v>37.4</v>
      </c>
      <c r="E2122" s="315" t="s">
        <v>1698</v>
      </c>
      <c r="F2122" s="173">
        <f>1.41*D2122</f>
        <v>52.733999999999995</v>
      </c>
    </row>
    <row r="2123" spans="1:7" hidden="1">
      <c r="A2123" s="865"/>
      <c r="D2123" s="78" t="s">
        <v>1518</v>
      </c>
      <c r="E2123" s="315" t="s">
        <v>1698</v>
      </c>
      <c r="F2123" s="68">
        <f>SUM(F2118:F2122)</f>
        <v>3101.4679999999998</v>
      </c>
    </row>
    <row r="2124" spans="1:7" hidden="1">
      <c r="A2124" s="865"/>
      <c r="B2124" s="26" t="s">
        <v>5156</v>
      </c>
      <c r="D2124" s="249">
        <v>2.5000000000000001E-2</v>
      </c>
      <c r="E2124" s="315" t="s">
        <v>1698</v>
      </c>
      <c r="F2124" s="68">
        <f>F2123*D2124</f>
        <v>77.536699999999996</v>
      </c>
    </row>
    <row r="2125" spans="1:7" hidden="1">
      <c r="A2125" s="865"/>
      <c r="B2125" s="26" t="s">
        <v>2052</v>
      </c>
      <c r="D2125" s="68">
        <f>'BASIC DATA'!$D$84</f>
        <v>80</v>
      </c>
      <c r="E2125" s="315" t="s">
        <v>1698</v>
      </c>
      <c r="F2125" s="68">
        <f>0.5*D2125</f>
        <v>40</v>
      </c>
    </row>
    <row r="2126" spans="1:7" hidden="1">
      <c r="A2126" s="865"/>
      <c r="B2126" s="26" t="s">
        <v>2053</v>
      </c>
      <c r="D2126" s="68">
        <f>'BASIC DATA'!$D$358</f>
        <v>24</v>
      </c>
      <c r="E2126" s="315" t="s">
        <v>1698</v>
      </c>
      <c r="F2126" s="173">
        <f>(F2113+F2114+F2115+F2116+F2117)*D2126</f>
        <v>1987.1999999999998</v>
      </c>
    </row>
    <row r="2127" spans="1:7" hidden="1">
      <c r="A2127" s="865"/>
      <c r="D2127" s="78" t="s">
        <v>1518</v>
      </c>
      <c r="E2127" s="315" t="s">
        <v>1698</v>
      </c>
      <c r="F2127" s="68">
        <f>SUM(F2123:F2126)</f>
        <v>5206.2047000000002</v>
      </c>
    </row>
    <row r="2128" spans="1:7" hidden="1">
      <c r="A2128" s="865"/>
      <c r="B2128" s="26" t="s">
        <v>2496</v>
      </c>
      <c r="D2128" s="323">
        <v>0.1</v>
      </c>
      <c r="E2128" s="315" t="s">
        <v>1698</v>
      </c>
      <c r="F2128" s="173">
        <f>F2127*D2128</f>
        <v>520.62047000000007</v>
      </c>
    </row>
    <row r="2129" spans="1:7" hidden="1">
      <c r="A2129" s="865"/>
      <c r="D2129" s="78" t="s">
        <v>1518</v>
      </c>
      <c r="E2129" s="315" t="s">
        <v>1698</v>
      </c>
      <c r="F2129" s="68">
        <f>F2127-F2128</f>
        <v>4685.5842300000004</v>
      </c>
    </row>
    <row r="2130" spans="1:7" hidden="1">
      <c r="A2130" s="865"/>
      <c r="B2130" s="26" t="s">
        <v>1527</v>
      </c>
    </row>
    <row r="2131" spans="1:7" hidden="1">
      <c r="A2131" s="865"/>
      <c r="B2131" s="26" t="s">
        <v>978</v>
      </c>
      <c r="D2131" s="26">
        <v>40</v>
      </c>
      <c r="E2131" s="315" t="s">
        <v>1698</v>
      </c>
      <c r="F2131" s="68">
        <f>F2129/D2131</f>
        <v>117.13960575000002</v>
      </c>
    </row>
    <row r="2132" spans="1:7" hidden="1">
      <c r="A2132" s="865"/>
      <c r="B2132" s="26" t="s">
        <v>2709</v>
      </c>
      <c r="D2132" s="201">
        <f>'BASIC DATA'!$C$587</f>
        <v>0.15</v>
      </c>
      <c r="E2132" s="315" t="s">
        <v>1698</v>
      </c>
      <c r="F2132" s="68">
        <f>F2131*D2132</f>
        <v>17.570940862500002</v>
      </c>
    </row>
    <row r="2133" spans="1:7" hidden="1">
      <c r="A2133" s="865"/>
      <c r="B2133" s="26" t="s">
        <v>5143</v>
      </c>
      <c r="D2133" s="201">
        <f>'BASIC DATA'!$C$588</f>
        <v>0.05</v>
      </c>
      <c r="E2133" s="315" t="s">
        <v>1698</v>
      </c>
      <c r="F2133" s="68">
        <f>F2131*D2133</f>
        <v>5.8569802875000008</v>
      </c>
    </row>
    <row r="2134" spans="1:7" hidden="1">
      <c r="A2134" s="865"/>
      <c r="B2134" s="26" t="s">
        <v>977</v>
      </c>
      <c r="D2134" s="68">
        <f>'BASIC DATA'!$D$357</f>
        <v>50</v>
      </c>
      <c r="E2134" s="315" t="s">
        <v>1698</v>
      </c>
      <c r="F2134" s="173">
        <f>0.2*D2134</f>
        <v>10</v>
      </c>
    </row>
    <row r="2135" spans="1:7" hidden="1">
      <c r="A2135" s="865"/>
      <c r="D2135" s="171" t="s">
        <v>1518</v>
      </c>
      <c r="E2135" s="315" t="s">
        <v>1698</v>
      </c>
      <c r="F2135" s="68">
        <f>SUM(F2131:F2134)</f>
        <v>150.56752690000002</v>
      </c>
    </row>
    <row r="2136" spans="1:7" hidden="1">
      <c r="A2136" s="865"/>
      <c r="B2136" s="26" t="s">
        <v>741</v>
      </c>
      <c r="E2136" s="315" t="s">
        <v>1697</v>
      </c>
      <c r="F2136" s="68">
        <v>1</v>
      </c>
      <c r="G2136" s="26" t="s">
        <v>3479</v>
      </c>
    </row>
    <row r="2137" spans="1:7" hidden="1">
      <c r="A2137" s="865"/>
      <c r="B2137" s="26" t="s">
        <v>3669</v>
      </c>
      <c r="E2137" s="315" t="s">
        <v>1698</v>
      </c>
      <c r="F2137" s="68">
        <f>F2135/F2136</f>
        <v>150.56752690000002</v>
      </c>
    </row>
    <row r="2138" spans="1:7" hidden="1">
      <c r="A2138" s="865"/>
      <c r="B2138" s="26" t="s">
        <v>3670</v>
      </c>
    </row>
    <row r="2139" spans="1:7" hidden="1">
      <c r="A2139" s="865"/>
    </row>
    <row r="2140" spans="1:7" hidden="1">
      <c r="A2140" s="865"/>
      <c r="B2140" s="26" t="s">
        <v>3671</v>
      </c>
      <c r="G2140" s="26" t="s">
        <v>4668</v>
      </c>
    </row>
    <row r="2141" spans="1:7" hidden="1">
      <c r="A2141" s="865"/>
    </row>
    <row r="2142" spans="1:7" hidden="1">
      <c r="A2142" s="865"/>
      <c r="B2142" s="26" t="s">
        <v>2849</v>
      </c>
    </row>
    <row r="2143" spans="1:7" hidden="1">
      <c r="A2143" s="865"/>
      <c r="B2143" s="26" t="s">
        <v>229</v>
      </c>
    </row>
    <row r="2144" spans="1:7" hidden="1">
      <c r="A2144" s="865"/>
      <c r="B2144" s="26" t="s">
        <v>230</v>
      </c>
      <c r="E2144" s="322" t="s">
        <v>1697</v>
      </c>
      <c r="F2144" s="26">
        <v>100</v>
      </c>
      <c r="G2144" s="26" t="s">
        <v>3479</v>
      </c>
    </row>
    <row r="2145" spans="1:7" hidden="1">
      <c r="A2145" s="865"/>
      <c r="B2145" s="26" t="s">
        <v>2671</v>
      </c>
    </row>
    <row r="2146" spans="1:7" hidden="1">
      <c r="A2146" s="865"/>
      <c r="B2146" s="26" t="s">
        <v>4669</v>
      </c>
      <c r="C2146" s="26" t="s">
        <v>2289</v>
      </c>
      <c r="E2146" s="337">
        <f>'BASIC DATA'!$C$515</f>
        <v>400</v>
      </c>
      <c r="F2146" s="315" t="s">
        <v>1698</v>
      </c>
      <c r="G2146" s="217">
        <f>4*E2146</f>
        <v>1600</v>
      </c>
    </row>
    <row r="2147" spans="1:7" hidden="1">
      <c r="A2147" s="865"/>
      <c r="B2147" s="26" t="s">
        <v>4670</v>
      </c>
      <c r="C2147" s="26" t="s">
        <v>2289</v>
      </c>
      <c r="E2147" s="337">
        <f>'BASIC DATA'!$C$510</f>
        <v>400</v>
      </c>
      <c r="F2147" s="315" t="s">
        <v>1698</v>
      </c>
      <c r="G2147" s="217">
        <f>2*E2147</f>
        <v>800</v>
      </c>
    </row>
    <row r="2148" spans="1:7" hidden="1">
      <c r="A2148" s="865"/>
      <c r="B2148" s="26" t="s">
        <v>3327</v>
      </c>
      <c r="C2148" s="26" t="s">
        <v>2289</v>
      </c>
      <c r="E2148" s="337">
        <f>'BASIC DATA'!$C$552</f>
        <v>350</v>
      </c>
      <c r="F2148" s="315" t="s">
        <v>1698</v>
      </c>
      <c r="G2148" s="217">
        <f>10*E2148</f>
        <v>3500</v>
      </c>
    </row>
    <row r="2149" spans="1:7" hidden="1">
      <c r="A2149" s="865"/>
      <c r="B2149" s="26" t="s">
        <v>4756</v>
      </c>
      <c r="E2149" s="61"/>
      <c r="F2149" s="315"/>
    </row>
    <row r="2150" spans="1:7" hidden="1">
      <c r="A2150" s="865"/>
      <c r="B2150" s="26" t="s">
        <v>4671</v>
      </c>
      <c r="C2150" s="26" t="s">
        <v>2289</v>
      </c>
      <c r="E2150" s="337">
        <f>'BASIC DATA'!$C$515</f>
        <v>400</v>
      </c>
      <c r="F2150" s="315" t="s">
        <v>1698</v>
      </c>
      <c r="G2150" s="68">
        <f>2*E2150</f>
        <v>800</v>
      </c>
    </row>
    <row r="2151" spans="1:7" hidden="1">
      <c r="A2151" s="865"/>
      <c r="B2151" s="26" t="s">
        <v>4672</v>
      </c>
      <c r="C2151" s="26" t="s">
        <v>2289</v>
      </c>
      <c r="E2151" s="337">
        <f>'BASIC DATA'!$C$510</f>
        <v>400</v>
      </c>
      <c r="F2151" s="315" t="s">
        <v>1698</v>
      </c>
      <c r="G2151" s="68">
        <f>1*E2151</f>
        <v>400</v>
      </c>
    </row>
    <row r="2152" spans="1:7" hidden="1">
      <c r="A2152" s="865"/>
      <c r="B2152" s="26" t="s">
        <v>3328</v>
      </c>
      <c r="C2152" s="26" t="s">
        <v>2289</v>
      </c>
      <c r="E2152" s="337">
        <f>'BASIC DATA'!$C$552</f>
        <v>350</v>
      </c>
      <c r="F2152" s="315" t="s">
        <v>1698</v>
      </c>
      <c r="G2152" s="173">
        <f>5*E2152</f>
        <v>1750</v>
      </c>
    </row>
    <row r="2153" spans="1:7" hidden="1">
      <c r="A2153" s="865"/>
      <c r="E2153" s="171" t="s">
        <v>1518</v>
      </c>
      <c r="F2153" s="315" t="s">
        <v>1698</v>
      </c>
      <c r="G2153" s="68">
        <f>SUM(G2146:G2152)</f>
        <v>8850</v>
      </c>
    </row>
    <row r="2154" spans="1:7" hidden="1">
      <c r="A2154" s="865"/>
      <c r="B2154" s="26" t="s">
        <v>2840</v>
      </c>
      <c r="F2154" s="315" t="s">
        <v>1698</v>
      </c>
      <c r="G2154" s="68">
        <f>G2153/F2144</f>
        <v>88.5</v>
      </c>
    </row>
    <row r="2155" spans="1:7" hidden="1">
      <c r="A2155" s="865"/>
      <c r="B2155" s="26" t="s">
        <v>2841</v>
      </c>
    </row>
    <row r="2156" spans="1:7" hidden="1">
      <c r="A2156" s="865" t="s">
        <v>3984</v>
      </c>
      <c r="B2156" s="26" t="s">
        <v>4673</v>
      </c>
    </row>
    <row r="2157" spans="1:7" hidden="1">
      <c r="A2157" s="865"/>
      <c r="B2157" s="26" t="s">
        <v>6856</v>
      </c>
    </row>
    <row r="2158" spans="1:7" hidden="1">
      <c r="A2158" s="865"/>
      <c r="B2158" s="26" t="s">
        <v>7703</v>
      </c>
    </row>
    <row r="2159" spans="1:7" hidden="1">
      <c r="A2159" s="865"/>
      <c r="B2159" s="26" t="s">
        <v>661</v>
      </c>
    </row>
    <row r="2160" spans="1:7" hidden="1">
      <c r="A2160" s="865"/>
      <c r="B2160" s="26" t="s">
        <v>3998</v>
      </c>
      <c r="E2160" s="322" t="s">
        <v>1697</v>
      </c>
      <c r="F2160" s="47">
        <v>330</v>
      </c>
      <c r="G2160" s="26" t="s">
        <v>3478</v>
      </c>
    </row>
    <row r="2161" spans="1:7" hidden="1">
      <c r="A2161" s="865"/>
      <c r="B2161" s="26" t="s">
        <v>3414</v>
      </c>
      <c r="E2161" s="322" t="s">
        <v>1697</v>
      </c>
      <c r="F2161" s="47">
        <v>0.4</v>
      </c>
      <c r="G2161" s="26" t="s">
        <v>3477</v>
      </c>
    </row>
    <row r="2162" spans="1:7" hidden="1">
      <c r="A2162" s="865"/>
      <c r="B2162" s="26" t="s">
        <v>3999</v>
      </c>
      <c r="C2162" s="26" t="s">
        <v>662</v>
      </c>
      <c r="E2162" s="322" t="s">
        <v>1697</v>
      </c>
      <c r="F2162" s="47">
        <f>0.9*0.5</f>
        <v>0.45</v>
      </c>
      <c r="G2162" s="26" t="s">
        <v>3477</v>
      </c>
    </row>
    <row r="2163" spans="1:7" hidden="1">
      <c r="A2163" s="865"/>
      <c r="C2163" s="26" t="s">
        <v>663</v>
      </c>
      <c r="E2163" s="322" t="s">
        <v>1697</v>
      </c>
      <c r="F2163" s="47">
        <f>0.9*0.3</f>
        <v>0.27</v>
      </c>
      <c r="G2163" s="26" t="s">
        <v>3477</v>
      </c>
    </row>
    <row r="2164" spans="1:7" hidden="1">
      <c r="A2164" s="865"/>
      <c r="C2164" s="26" t="s">
        <v>664</v>
      </c>
      <c r="E2164" s="322" t="s">
        <v>1697</v>
      </c>
      <c r="F2164" s="47">
        <f>0.9*0.2</f>
        <v>0.18000000000000002</v>
      </c>
      <c r="G2164" s="26" t="s">
        <v>3477</v>
      </c>
    </row>
    <row r="2165" spans="1:7" hidden="1">
      <c r="A2165" s="865"/>
      <c r="B2165" s="26" t="s">
        <v>6857</v>
      </c>
      <c r="E2165" s="322" t="s">
        <v>1697</v>
      </c>
      <c r="F2165" s="47">
        <f>0.4%*F2160</f>
        <v>1.32</v>
      </c>
      <c r="G2165" s="26" t="s">
        <v>3478</v>
      </c>
    </row>
    <row r="2166" spans="1:7" hidden="1">
      <c r="A2166" s="865"/>
      <c r="B2166" s="26" t="s">
        <v>5049</v>
      </c>
      <c r="E2166" s="322"/>
      <c r="F2166" s="47"/>
    </row>
    <row r="2167" spans="1:7" hidden="1">
      <c r="A2167" s="865"/>
      <c r="B2167" s="26" t="s">
        <v>5050</v>
      </c>
      <c r="E2167" s="322"/>
      <c r="F2167" s="47"/>
    </row>
    <row r="2168" spans="1:7" hidden="1">
      <c r="A2168" s="865"/>
      <c r="B2168" s="26" t="s">
        <v>5051</v>
      </c>
      <c r="E2168" s="322" t="s">
        <v>1697</v>
      </c>
      <c r="F2168" s="47">
        <v>2</v>
      </c>
      <c r="G2168" s="26" t="s">
        <v>2603</v>
      </c>
    </row>
    <row r="2169" spans="1:7" hidden="1">
      <c r="A2169" s="865"/>
      <c r="B2169" s="26" t="s">
        <v>5052</v>
      </c>
      <c r="E2169" s="322" t="s">
        <v>1697</v>
      </c>
      <c r="F2169" s="47">
        <v>20</v>
      </c>
      <c r="G2169" s="26" t="s">
        <v>2603</v>
      </c>
    </row>
    <row r="2170" spans="1:7" hidden="1">
      <c r="A2170" s="865"/>
      <c r="B2170" s="26" t="s">
        <v>5053</v>
      </c>
      <c r="E2170" s="322" t="s">
        <v>1697</v>
      </c>
      <c r="F2170" s="47">
        <v>10</v>
      </c>
      <c r="G2170" s="26" t="s">
        <v>2603</v>
      </c>
    </row>
    <row r="2171" spans="1:7" hidden="1">
      <c r="A2171" s="865"/>
      <c r="B2171" s="26" t="s">
        <v>5054</v>
      </c>
      <c r="E2171" s="322" t="s">
        <v>1697</v>
      </c>
      <c r="F2171" s="47">
        <v>15</v>
      </c>
      <c r="G2171" s="26" t="s">
        <v>2603</v>
      </c>
    </row>
    <row r="2172" spans="1:7" hidden="1">
      <c r="A2172" s="865"/>
      <c r="B2172" s="26" t="s">
        <v>5055</v>
      </c>
      <c r="E2172" s="322" t="s">
        <v>1697</v>
      </c>
      <c r="F2172" s="177">
        <v>10</v>
      </c>
      <c r="G2172" s="26" t="s">
        <v>2603</v>
      </c>
    </row>
    <row r="2173" spans="1:7" hidden="1">
      <c r="A2173" s="865"/>
      <c r="B2173" s="26" t="s">
        <v>5056</v>
      </c>
      <c r="E2173" s="322" t="s">
        <v>1697</v>
      </c>
      <c r="F2173" s="47">
        <v>57</v>
      </c>
      <c r="G2173" s="26" t="s">
        <v>2603</v>
      </c>
    </row>
    <row r="2174" spans="1:7" hidden="1">
      <c r="A2174" s="865"/>
      <c r="B2174" s="26" t="s">
        <v>5057</v>
      </c>
      <c r="E2174" s="322"/>
      <c r="F2174" s="47"/>
    </row>
    <row r="2175" spans="1:7" hidden="1">
      <c r="A2175" s="865"/>
      <c r="B2175" s="26" t="s">
        <v>6858</v>
      </c>
      <c r="E2175" s="322" t="s">
        <v>1697</v>
      </c>
      <c r="F2175" s="202">
        <v>3.5</v>
      </c>
      <c r="G2175" s="26" t="s">
        <v>4942</v>
      </c>
    </row>
    <row r="2176" spans="1:7" hidden="1">
      <c r="A2176" s="865"/>
      <c r="B2176" s="26" t="s">
        <v>6522</v>
      </c>
      <c r="F2176" s="47"/>
    </row>
    <row r="2177" spans="1:7" hidden="1">
      <c r="A2177" s="865"/>
      <c r="B2177" s="26" t="s">
        <v>2254</v>
      </c>
      <c r="F2177" s="47"/>
    </row>
    <row r="2178" spans="1:7" hidden="1">
      <c r="A2178" s="865"/>
      <c r="B2178" s="26" t="s">
        <v>2255</v>
      </c>
      <c r="F2178" s="47"/>
    </row>
    <row r="2179" spans="1:7" hidden="1">
      <c r="A2179" s="865"/>
      <c r="B2179" s="26" t="s">
        <v>5345</v>
      </c>
      <c r="E2179" s="322" t="s">
        <v>1697</v>
      </c>
      <c r="F2179" s="47">
        <v>28</v>
      </c>
      <c r="G2179" s="26" t="s">
        <v>3477</v>
      </c>
    </row>
    <row r="2180" spans="1:7" hidden="1">
      <c r="A2180" s="865"/>
      <c r="B2180" s="26" t="s">
        <v>5346</v>
      </c>
      <c r="E2180" s="322" t="s">
        <v>1697</v>
      </c>
      <c r="F2180" s="338" t="s">
        <v>3407</v>
      </c>
    </row>
    <row r="2181" spans="1:7" hidden="1">
      <c r="A2181" s="865"/>
      <c r="B2181" s="26" t="s">
        <v>1723</v>
      </c>
      <c r="F2181" s="322"/>
    </row>
    <row r="2182" spans="1:7" hidden="1">
      <c r="A2182" s="865"/>
      <c r="B2182" s="26" t="s">
        <v>1724</v>
      </c>
      <c r="E2182" s="322" t="s">
        <v>1697</v>
      </c>
      <c r="F2182" s="47">
        <v>28</v>
      </c>
      <c r="G2182" s="26" t="s">
        <v>3479</v>
      </c>
    </row>
    <row r="2183" spans="1:7">
      <c r="B2183" s="78"/>
    </row>
    <row r="2184" spans="1:7">
      <c r="A2184" s="822" t="s">
        <v>1907</v>
      </c>
      <c r="B2184" s="78"/>
      <c r="C2184" s="203" t="s">
        <v>2367</v>
      </c>
      <c r="E2184" s="171" t="s">
        <v>297</v>
      </c>
      <c r="F2184" s="246">
        <v>28</v>
      </c>
      <c r="G2184" s="68" t="s">
        <v>3477</v>
      </c>
    </row>
    <row r="2185" spans="1:7">
      <c r="B2185" s="79" t="s">
        <v>2368</v>
      </c>
    </row>
    <row r="2186" spans="1:7">
      <c r="B2186" s="95" t="s">
        <v>2369</v>
      </c>
      <c r="C2186" s="157" t="s">
        <v>4443</v>
      </c>
      <c r="D2186" s="95" t="s">
        <v>2370</v>
      </c>
      <c r="E2186" s="95" t="s">
        <v>1166</v>
      </c>
      <c r="F2186" s="95" t="s">
        <v>2371</v>
      </c>
      <c r="G2186" s="95" t="s">
        <v>2372</v>
      </c>
    </row>
    <row r="2187" spans="1:7">
      <c r="B2187" s="114"/>
      <c r="C2187" s="154"/>
      <c r="D2187" s="114"/>
      <c r="E2187" s="114"/>
      <c r="F2187" s="114" t="s">
        <v>3485</v>
      </c>
      <c r="G2187" s="114" t="s">
        <v>3485</v>
      </c>
    </row>
    <row r="2188" spans="1:7">
      <c r="B2188" s="95">
        <v>1</v>
      </c>
      <c r="C2188" s="135" t="s">
        <v>7327</v>
      </c>
      <c r="D2188" s="339" t="s">
        <v>3478</v>
      </c>
      <c r="E2188" s="190">
        <f>F2160*F2184</f>
        <v>9240</v>
      </c>
      <c r="F2188" s="214">
        <f>'BASIC DATA'!$D$32/1000</f>
        <v>5.35</v>
      </c>
      <c r="G2188" s="190">
        <f>E2188*F2188</f>
        <v>49434</v>
      </c>
    </row>
    <row r="2189" spans="1:7">
      <c r="B2189" s="317"/>
      <c r="C2189" s="135" t="s">
        <v>1725</v>
      </c>
      <c r="D2189" s="340" t="s">
        <v>3478</v>
      </c>
      <c r="E2189" s="190">
        <f>F2184*1</f>
        <v>28</v>
      </c>
      <c r="F2189" s="214">
        <f>'BASIC DATA'!$D$32/1000</f>
        <v>5.35</v>
      </c>
      <c r="G2189" s="190">
        <f t="shared" ref="G2189:G2196" si="40">E2189*F2189</f>
        <v>149.79999999999998</v>
      </c>
    </row>
    <row r="2190" spans="1:7">
      <c r="A2190" s="853"/>
      <c r="B2190" s="240">
        <v>2</v>
      </c>
      <c r="C2190" s="326" t="s">
        <v>7935</v>
      </c>
      <c r="D2190" s="341" t="s">
        <v>3477</v>
      </c>
      <c r="E2190" s="255">
        <f>F2184*F2161</f>
        <v>11.200000000000001</v>
      </c>
      <c r="F2190" s="266">
        <f>'BASIC DATA'!$D$55</f>
        <v>95</v>
      </c>
      <c r="G2190" s="255">
        <f t="shared" si="40"/>
        <v>1064</v>
      </c>
    </row>
    <row r="2191" spans="1:7">
      <c r="B2191" s="105">
        <v>3</v>
      </c>
      <c r="C2191" s="135" t="s">
        <v>6996</v>
      </c>
      <c r="D2191" s="340" t="s">
        <v>3477</v>
      </c>
      <c r="E2191" s="190">
        <f>F2162*F2184</f>
        <v>12.6</v>
      </c>
      <c r="F2191" s="214">
        <f>'BASIC DATA'!$D$36</f>
        <v>1175</v>
      </c>
      <c r="G2191" s="190">
        <f t="shared" si="40"/>
        <v>14805</v>
      </c>
    </row>
    <row r="2192" spans="1:7">
      <c r="B2192" s="317"/>
      <c r="C2192" s="135" t="s">
        <v>6995</v>
      </c>
      <c r="D2192" s="340" t="s">
        <v>3477</v>
      </c>
      <c r="E2192" s="190">
        <f>F2184*F2163</f>
        <v>7.5600000000000005</v>
      </c>
      <c r="F2192" s="214">
        <f>'BASIC DATA'!$D$35</f>
        <v>1225</v>
      </c>
      <c r="G2192" s="190">
        <f t="shared" si="40"/>
        <v>9261</v>
      </c>
    </row>
    <row r="2193" spans="2:7">
      <c r="B2193" s="317"/>
      <c r="C2193" s="135" t="s">
        <v>6994</v>
      </c>
      <c r="D2193" s="340" t="s">
        <v>3477</v>
      </c>
      <c r="E2193" s="190">
        <f>F2164*F2184</f>
        <v>5.0400000000000009</v>
      </c>
      <c r="F2193" s="214">
        <f>'BASIC DATA'!$D$34</f>
        <v>900</v>
      </c>
      <c r="G2193" s="190">
        <f t="shared" si="40"/>
        <v>4536.0000000000009</v>
      </c>
    </row>
    <row r="2194" spans="2:7">
      <c r="B2194" s="105">
        <v>4</v>
      </c>
      <c r="C2194" s="135" t="s">
        <v>4282</v>
      </c>
      <c r="D2194" s="340" t="s">
        <v>3478</v>
      </c>
      <c r="E2194" s="190">
        <f>E2188*0.4%</f>
        <v>36.96</v>
      </c>
      <c r="F2194" s="214">
        <f>'BASIC DATA'!$D$99</f>
        <v>55</v>
      </c>
      <c r="G2194" s="190">
        <f t="shared" si="40"/>
        <v>2032.8</v>
      </c>
    </row>
    <row r="2195" spans="2:7">
      <c r="B2195" s="105">
        <v>5</v>
      </c>
      <c r="C2195" s="135" t="s">
        <v>1726</v>
      </c>
      <c r="D2195" s="340" t="s">
        <v>3479</v>
      </c>
      <c r="E2195" s="190">
        <f>F2182</f>
        <v>28</v>
      </c>
      <c r="F2195" s="214">
        <f>IF(F2196=0,0,F2137)</f>
        <v>150.56752690000002</v>
      </c>
      <c r="G2195" s="190">
        <f t="shared" si="40"/>
        <v>4215.8907532000003</v>
      </c>
    </row>
    <row r="2196" spans="2:7">
      <c r="B2196" s="114">
        <v>6</v>
      </c>
      <c r="C2196" s="135" t="s">
        <v>2373</v>
      </c>
      <c r="D2196" s="340" t="s">
        <v>2173</v>
      </c>
      <c r="E2196" s="190">
        <v>2</v>
      </c>
      <c r="F2196" s="214">
        <f>'BASIC DATA'!$D$359</f>
        <v>30</v>
      </c>
      <c r="G2196" s="190">
        <f t="shared" si="40"/>
        <v>60</v>
      </c>
    </row>
    <row r="2197" spans="2:7">
      <c r="B2197" s="92"/>
      <c r="C2197" s="193" t="s">
        <v>2376</v>
      </c>
      <c r="D2197" s="159"/>
      <c r="E2197" s="238"/>
      <c r="F2197" s="236" t="s">
        <v>1698</v>
      </c>
      <c r="G2197" s="318">
        <f>SUM(G2188:G2196)</f>
        <v>85558.490753200007</v>
      </c>
    </row>
    <row r="2198" spans="2:7">
      <c r="B2198" s="78"/>
    </row>
    <row r="2199" spans="2:7">
      <c r="B2199" s="79" t="s">
        <v>2377</v>
      </c>
    </row>
    <row r="2200" spans="2:7">
      <c r="B2200" s="95" t="s">
        <v>2369</v>
      </c>
      <c r="C2200" s="157" t="s">
        <v>2378</v>
      </c>
      <c r="D2200" s="95" t="s">
        <v>2370</v>
      </c>
      <c r="E2200" s="95" t="s">
        <v>1166</v>
      </c>
      <c r="F2200" s="95" t="s">
        <v>2371</v>
      </c>
      <c r="G2200" s="95" t="s">
        <v>2372</v>
      </c>
    </row>
    <row r="2201" spans="2:7">
      <c r="B2201" s="114"/>
      <c r="C2201" s="154"/>
      <c r="D2201" s="114"/>
      <c r="E2201" s="114"/>
      <c r="F2201" s="114" t="s">
        <v>3485</v>
      </c>
      <c r="G2201" s="114" t="s">
        <v>3485</v>
      </c>
    </row>
    <row r="2202" spans="2:7">
      <c r="B2202" s="95">
        <v>1</v>
      </c>
      <c r="C2202" s="135" t="s">
        <v>6209</v>
      </c>
      <c r="D2202" s="339" t="s">
        <v>2374</v>
      </c>
      <c r="E2202" s="190">
        <v>8</v>
      </c>
      <c r="F2202" s="190">
        <f>'HIRE CHARGES'!$D$501</f>
        <v>405.4</v>
      </c>
      <c r="G2202" s="190">
        <f>E2202*F2202</f>
        <v>3243.2</v>
      </c>
    </row>
    <row r="2203" spans="2:7">
      <c r="B2203" s="317"/>
      <c r="C2203" s="135" t="s">
        <v>2379</v>
      </c>
      <c r="D2203" s="340" t="s">
        <v>2374</v>
      </c>
      <c r="E2203" s="190">
        <v>8</v>
      </c>
      <c r="F2203" s="190">
        <f>'HIRE CHARGES'!$E$501</f>
        <v>252.2</v>
      </c>
      <c r="G2203" s="190">
        <f t="shared" ref="G2203:G2210" si="41">E2203*F2203</f>
        <v>2017.6</v>
      </c>
    </row>
    <row r="2204" spans="2:7">
      <c r="B2204" s="105">
        <v>2</v>
      </c>
      <c r="C2204" s="135" t="s">
        <v>4225</v>
      </c>
      <c r="D2204" s="340" t="s">
        <v>2374</v>
      </c>
      <c r="E2204" s="190">
        <v>16</v>
      </c>
      <c r="F2204" s="190">
        <f>'HIRE CHARGES'!$D$492</f>
        <v>758.40000000000009</v>
      </c>
      <c r="G2204" s="190">
        <f t="shared" si="41"/>
        <v>12134.400000000001</v>
      </c>
    </row>
    <row r="2205" spans="2:7">
      <c r="B2205" s="317"/>
      <c r="C2205" s="135" t="s">
        <v>2379</v>
      </c>
      <c r="D2205" s="340" t="s">
        <v>2374</v>
      </c>
      <c r="E2205" s="190">
        <v>16</v>
      </c>
      <c r="F2205" s="190">
        <f>'HIRE CHARGES'!$E$492</f>
        <v>872.7</v>
      </c>
      <c r="G2205" s="190">
        <f t="shared" si="41"/>
        <v>13963.2</v>
      </c>
    </row>
    <row r="2206" spans="2:7">
      <c r="B2206" s="105">
        <v>3</v>
      </c>
      <c r="C2206" s="135" t="s">
        <v>4226</v>
      </c>
      <c r="D2206" s="340" t="s">
        <v>2374</v>
      </c>
      <c r="E2206" s="190">
        <v>8</v>
      </c>
      <c r="F2206" s="190">
        <f>'HIRE CHARGES'!$D$532</f>
        <v>8</v>
      </c>
      <c r="G2206" s="190">
        <f t="shared" si="41"/>
        <v>64</v>
      </c>
    </row>
    <row r="2207" spans="2:7">
      <c r="B2207" s="317"/>
      <c r="C2207" s="135" t="s">
        <v>2379</v>
      </c>
      <c r="D2207" s="340" t="s">
        <v>2374</v>
      </c>
      <c r="E2207" s="190">
        <v>8</v>
      </c>
      <c r="F2207" s="190">
        <f>'HIRE CHARGES'!$E$532</f>
        <v>5.6</v>
      </c>
      <c r="G2207" s="190">
        <f t="shared" si="41"/>
        <v>44.8</v>
      </c>
    </row>
    <row r="2208" spans="2:7">
      <c r="B2208" s="105">
        <v>4</v>
      </c>
      <c r="C2208" s="135" t="s">
        <v>4227</v>
      </c>
      <c r="D2208" s="340" t="s">
        <v>2374</v>
      </c>
      <c r="E2208" s="190">
        <v>8</v>
      </c>
      <c r="F2208" s="190">
        <f>'HIRE CHARGES'!$D$520</f>
        <v>6.7</v>
      </c>
      <c r="G2208" s="190">
        <f t="shared" si="41"/>
        <v>53.6</v>
      </c>
    </row>
    <row r="2209" spans="2:7">
      <c r="B2209" s="317"/>
      <c r="C2209" s="135" t="s">
        <v>2379</v>
      </c>
      <c r="D2209" s="340" t="s">
        <v>2374</v>
      </c>
      <c r="E2209" s="190">
        <v>8</v>
      </c>
      <c r="F2209" s="190">
        <f>'HIRE CHARGES'!$E$520</f>
        <v>56</v>
      </c>
      <c r="G2209" s="190">
        <f t="shared" si="41"/>
        <v>448</v>
      </c>
    </row>
    <row r="2210" spans="2:7">
      <c r="B2210" s="105">
        <v>5</v>
      </c>
      <c r="C2210" s="135" t="s">
        <v>2373</v>
      </c>
      <c r="D2210" s="340" t="s">
        <v>2173</v>
      </c>
      <c r="E2210" s="190">
        <v>5</v>
      </c>
      <c r="F2210" s="214">
        <f>'BASIC DATA'!$D$359</f>
        <v>30</v>
      </c>
      <c r="G2210" s="190">
        <f t="shared" si="41"/>
        <v>150</v>
      </c>
    </row>
    <row r="2211" spans="2:7">
      <c r="B2211" s="176"/>
      <c r="C2211" s="172" t="s">
        <v>2380</v>
      </c>
      <c r="D2211" s="174"/>
      <c r="E2211" s="192"/>
      <c r="F2211" s="236" t="s">
        <v>1698</v>
      </c>
      <c r="G2211" s="318">
        <f>SUM(G2202:G2210)</f>
        <v>32118.799999999999</v>
      </c>
    </row>
    <row r="2212" spans="2:7">
      <c r="B2212" s="78"/>
    </row>
    <row r="2213" spans="2:7">
      <c r="B2213" s="79" t="s">
        <v>2381</v>
      </c>
    </row>
    <row r="2214" spans="2:7">
      <c r="B2214" s="95" t="s">
        <v>2369</v>
      </c>
      <c r="C2214" s="157" t="s">
        <v>2378</v>
      </c>
      <c r="D2214" s="95" t="s">
        <v>2370</v>
      </c>
      <c r="E2214" s="95" t="s">
        <v>1166</v>
      </c>
      <c r="F2214" s="95" t="s">
        <v>2371</v>
      </c>
      <c r="G2214" s="95" t="s">
        <v>2372</v>
      </c>
    </row>
    <row r="2215" spans="2:7">
      <c r="B2215" s="114"/>
      <c r="C2215" s="154"/>
      <c r="D2215" s="114"/>
      <c r="E2215" s="114"/>
      <c r="F2215" s="114" t="s">
        <v>3485</v>
      </c>
      <c r="G2215" s="114" t="s">
        <v>3485</v>
      </c>
    </row>
    <row r="2216" spans="2:7">
      <c r="B2216" s="105">
        <v>1</v>
      </c>
      <c r="C2216" s="76" t="s">
        <v>158</v>
      </c>
      <c r="D2216" s="340" t="s">
        <v>2374</v>
      </c>
      <c r="E2216" s="207">
        <v>8</v>
      </c>
      <c r="F2216" s="190">
        <f>'HIRE CHARGES'!$F$501</f>
        <v>340.6</v>
      </c>
      <c r="G2216" s="190">
        <f>E2216*F2216</f>
        <v>2724.8</v>
      </c>
    </row>
    <row r="2217" spans="2:7">
      <c r="B2217" s="105">
        <v>2</v>
      </c>
      <c r="C2217" s="76" t="s">
        <v>2055</v>
      </c>
      <c r="D2217" s="340" t="s">
        <v>2374</v>
      </c>
      <c r="E2217" s="207">
        <v>16</v>
      </c>
      <c r="F2217" s="190">
        <f>'HIRE CHARGES'!$F$492</f>
        <v>283.89999999999998</v>
      </c>
      <c r="G2217" s="190">
        <f t="shared" ref="G2217:G2234" si="42">E2217*F2217</f>
        <v>4542.3999999999996</v>
      </c>
    </row>
    <row r="2218" spans="2:7">
      <c r="B2218" s="105">
        <v>3</v>
      </c>
      <c r="C2218" s="76" t="s">
        <v>4228</v>
      </c>
      <c r="D2218" s="340" t="s">
        <v>2374</v>
      </c>
      <c r="E2218" s="207">
        <v>8</v>
      </c>
      <c r="F2218" s="190">
        <f>'HIRE CHARGES'!$F$532</f>
        <v>158.19999999999999</v>
      </c>
      <c r="G2218" s="190">
        <f t="shared" si="42"/>
        <v>1265.5999999999999</v>
      </c>
    </row>
    <row r="2219" spans="2:7">
      <c r="B2219" s="105">
        <v>4</v>
      </c>
      <c r="C2219" s="76" t="s">
        <v>1171</v>
      </c>
      <c r="D2219" s="340" t="s">
        <v>2374</v>
      </c>
      <c r="E2219" s="207">
        <v>8</v>
      </c>
      <c r="F2219" s="190">
        <f>'HIRE CHARGES'!$F$520</f>
        <v>83.3</v>
      </c>
      <c r="G2219" s="190">
        <f t="shared" si="42"/>
        <v>666.4</v>
      </c>
    </row>
    <row r="2220" spans="2:7">
      <c r="B2220" s="105">
        <v>5</v>
      </c>
      <c r="C2220" s="76" t="s">
        <v>4683</v>
      </c>
      <c r="D2220" s="340"/>
      <c r="E2220" s="207"/>
      <c r="F2220" s="190"/>
      <c r="G2220" s="190"/>
    </row>
    <row r="2221" spans="2:7">
      <c r="B2221" s="317"/>
      <c r="C2221" s="76" t="s">
        <v>2310</v>
      </c>
      <c r="D2221" s="340" t="s">
        <v>1172</v>
      </c>
      <c r="E2221" s="207">
        <v>2</v>
      </c>
      <c r="F2221" s="190">
        <f>'BASIC DATA'!$C$546</f>
        <v>400</v>
      </c>
      <c r="G2221" s="190">
        <f t="shared" si="42"/>
        <v>800</v>
      </c>
    </row>
    <row r="2222" spans="2:7">
      <c r="B2222" s="317"/>
      <c r="C2222" s="76" t="s">
        <v>2697</v>
      </c>
      <c r="D2222" s="340" t="s">
        <v>1172</v>
      </c>
      <c r="E2222" s="207">
        <v>6</v>
      </c>
      <c r="F2222" s="190">
        <f>'BASIC DATA'!$C$552</f>
        <v>350</v>
      </c>
      <c r="G2222" s="190">
        <f t="shared" si="42"/>
        <v>2100</v>
      </c>
    </row>
    <row r="2223" spans="2:7">
      <c r="B2223" s="105">
        <v>6</v>
      </c>
      <c r="C2223" s="76" t="s">
        <v>4684</v>
      </c>
      <c r="D2223" s="340"/>
      <c r="E2223" s="207"/>
      <c r="F2223" s="190"/>
      <c r="G2223" s="190"/>
    </row>
    <row r="2224" spans="2:7">
      <c r="B2224" s="317"/>
      <c r="C2224" s="76" t="s">
        <v>2697</v>
      </c>
      <c r="D2224" s="340" t="s">
        <v>1172</v>
      </c>
      <c r="E2224" s="207">
        <v>3</v>
      </c>
      <c r="F2224" s="190">
        <f>'BASIC DATA'!$C$552</f>
        <v>350</v>
      </c>
      <c r="G2224" s="190">
        <f t="shared" si="42"/>
        <v>1050</v>
      </c>
    </row>
    <row r="2225" spans="2:7">
      <c r="B2225" s="105">
        <v>7</v>
      </c>
      <c r="C2225" s="76" t="s">
        <v>6240</v>
      </c>
      <c r="D2225" s="340"/>
      <c r="E2225" s="207"/>
      <c r="F2225" s="190"/>
      <c r="G2225" s="190"/>
    </row>
    <row r="2226" spans="2:7">
      <c r="B2226" s="317"/>
      <c r="C2226" s="76" t="s">
        <v>2697</v>
      </c>
      <c r="D2226" s="340" t="s">
        <v>1172</v>
      </c>
      <c r="E2226" s="207">
        <v>2</v>
      </c>
      <c r="F2226" s="190">
        <f>'BASIC DATA'!$C$552</f>
        <v>350</v>
      </c>
      <c r="G2226" s="190">
        <f t="shared" si="42"/>
        <v>700</v>
      </c>
    </row>
    <row r="2227" spans="2:7">
      <c r="B2227" s="105">
        <v>8</v>
      </c>
      <c r="C2227" s="76" t="s">
        <v>4815</v>
      </c>
      <c r="D2227" s="340"/>
      <c r="E2227" s="207"/>
      <c r="F2227" s="190"/>
      <c r="G2227" s="190"/>
    </row>
    <row r="2228" spans="2:7">
      <c r="B2228" s="317"/>
      <c r="C2228" s="76" t="s">
        <v>2696</v>
      </c>
      <c r="D2228" s="340" t="s">
        <v>1172</v>
      </c>
      <c r="E2228" s="207">
        <v>2</v>
      </c>
      <c r="F2228" s="190">
        <f>'BASIC DATA'!$C$552</f>
        <v>350</v>
      </c>
      <c r="G2228" s="190">
        <f t="shared" si="42"/>
        <v>700</v>
      </c>
    </row>
    <row r="2229" spans="2:7">
      <c r="B2229" s="105">
        <v>9</v>
      </c>
      <c r="C2229" s="76" t="s">
        <v>4687</v>
      </c>
      <c r="D2229" s="340"/>
      <c r="E2229" s="207"/>
      <c r="F2229" s="190"/>
      <c r="G2229" s="190"/>
    </row>
    <row r="2230" spans="2:7">
      <c r="B2230" s="317"/>
      <c r="C2230" s="76" t="s">
        <v>2389</v>
      </c>
      <c r="D2230" s="340" t="s">
        <v>1172</v>
      </c>
      <c r="E2230" s="207">
        <v>2</v>
      </c>
      <c r="F2230" s="190">
        <f>'BASIC DATA'!$C$474</f>
        <v>445</v>
      </c>
      <c r="G2230" s="190">
        <f t="shared" si="42"/>
        <v>890</v>
      </c>
    </row>
    <row r="2231" spans="2:7">
      <c r="B2231" s="317"/>
      <c r="C2231" s="76" t="s">
        <v>3014</v>
      </c>
      <c r="D2231" s="340" t="s">
        <v>1172</v>
      </c>
      <c r="E2231" s="207">
        <v>2</v>
      </c>
      <c r="F2231" s="190">
        <f>'BASIC DATA'!$C$541</f>
        <v>400</v>
      </c>
      <c r="G2231" s="190">
        <f t="shared" si="42"/>
        <v>800</v>
      </c>
    </row>
    <row r="2232" spans="2:7">
      <c r="B2232" s="317"/>
      <c r="C2232" s="76" t="s">
        <v>2697</v>
      </c>
      <c r="D2232" s="340" t="s">
        <v>1172</v>
      </c>
      <c r="E2232" s="207">
        <v>21</v>
      </c>
      <c r="F2232" s="190">
        <f>'BASIC DATA'!$C$552</f>
        <v>350</v>
      </c>
      <c r="G2232" s="190">
        <f t="shared" si="42"/>
        <v>7350</v>
      </c>
    </row>
    <row r="2233" spans="2:7">
      <c r="B2233" s="317"/>
      <c r="C2233" s="76" t="s">
        <v>4206</v>
      </c>
      <c r="D2233" s="340" t="s">
        <v>1172</v>
      </c>
      <c r="E2233" s="207">
        <v>1</v>
      </c>
      <c r="F2233" s="190">
        <f>'BASIC DATA'!$C$473</f>
        <v>450</v>
      </c>
      <c r="G2233" s="190">
        <f t="shared" si="42"/>
        <v>450</v>
      </c>
    </row>
    <row r="2234" spans="2:7">
      <c r="B2234" s="280">
        <v>10</v>
      </c>
      <c r="C2234" s="76" t="s">
        <v>4689</v>
      </c>
      <c r="D2234" s="340" t="s">
        <v>3479</v>
      </c>
      <c r="E2234" s="207">
        <v>28</v>
      </c>
      <c r="F2234" s="190">
        <f>G2154</f>
        <v>88.5</v>
      </c>
      <c r="G2234" s="190">
        <f t="shared" si="42"/>
        <v>2478</v>
      </c>
    </row>
    <row r="2235" spans="2:7">
      <c r="B2235" s="92"/>
      <c r="C2235" s="193" t="s">
        <v>1174</v>
      </c>
      <c r="D2235" s="159"/>
      <c r="E2235" s="238"/>
      <c r="F2235" s="236" t="s">
        <v>1698</v>
      </c>
      <c r="G2235" s="318">
        <f>SUM(G2216:G2234)</f>
        <v>26517.199999999997</v>
      </c>
    </row>
    <row r="2236" spans="2:7">
      <c r="B2236" s="60" t="s">
        <v>5948</v>
      </c>
      <c r="D2236" s="31"/>
      <c r="E2236" s="85">
        <f>ROUND(G2235/F2184,1)</f>
        <v>947</v>
      </c>
    </row>
    <row r="2237" spans="2:7">
      <c r="B2237" s="60" t="s">
        <v>3163</v>
      </c>
      <c r="D2237" s="922">
        <f>'BASIC DATA'!$C$577</f>
        <v>0.13614999999999999</v>
      </c>
      <c r="E2237" s="85">
        <f>ROUND(E2236*D2237,1)</f>
        <v>128.9</v>
      </c>
    </row>
    <row r="2238" spans="2:7">
      <c r="B2238" s="60" t="s">
        <v>5949</v>
      </c>
      <c r="D2238" s="31"/>
      <c r="E2238" s="199">
        <f>ROUND(E2237+E2236,1)</f>
        <v>1075.9000000000001</v>
      </c>
    </row>
    <row r="2239" spans="2:7"/>
    <row r="2240" spans="2:7">
      <c r="B2240" s="170" t="s">
        <v>1175</v>
      </c>
    </row>
    <row r="2241" spans="1:7">
      <c r="B2241" s="26" t="s">
        <v>1176</v>
      </c>
      <c r="F2241" s="171" t="s">
        <v>1698</v>
      </c>
      <c r="G2241" s="68">
        <f>G2197</f>
        <v>85558.490753200007</v>
      </c>
    </row>
    <row r="2242" spans="1:7">
      <c r="B2242" s="26" t="s">
        <v>1186</v>
      </c>
      <c r="F2242" s="171" t="s">
        <v>1698</v>
      </c>
      <c r="G2242" s="68">
        <f>G2211</f>
        <v>32118.799999999999</v>
      </c>
    </row>
    <row r="2243" spans="1:7">
      <c r="B2243" s="26" t="s">
        <v>2660</v>
      </c>
      <c r="F2243" s="171" t="s">
        <v>1698</v>
      </c>
      <c r="G2243" s="75">
        <f>G2235</f>
        <v>26517.199999999997</v>
      </c>
    </row>
    <row r="2244" spans="1:7">
      <c r="E2244" s="171"/>
      <c r="F2244" s="171" t="s">
        <v>302</v>
      </c>
      <c r="G2244" s="205">
        <f>SUM(G2241:G2243)</f>
        <v>144194.49075320002</v>
      </c>
    </row>
    <row r="2245" spans="1:7">
      <c r="A2245" s="853"/>
      <c r="B2245" s="61" t="s">
        <v>2313</v>
      </c>
      <c r="C2245" s="61"/>
      <c r="D2245" s="61"/>
      <c r="E2245" s="320">
        <f>'BASIC DATA'!$C$595</f>
        <v>0.01</v>
      </c>
      <c r="F2245" s="222" t="s">
        <v>1698</v>
      </c>
      <c r="G2245" s="321">
        <f>E2245*$G$2244</f>
        <v>1441.9449075320003</v>
      </c>
    </row>
    <row r="2246" spans="1:7">
      <c r="A2246" s="853"/>
      <c r="B2246" s="61" t="s">
        <v>2314</v>
      </c>
      <c r="C2246" s="61"/>
      <c r="D2246" s="61"/>
      <c r="E2246" s="291">
        <f>'BASIC DATA'!$C$596</f>
        <v>4.4999999999999998E-2</v>
      </c>
      <c r="F2246" s="222" t="s">
        <v>1698</v>
      </c>
      <c r="G2246" s="321">
        <f>E2246*$G$2244</f>
        <v>6488.7520838940009</v>
      </c>
    </row>
    <row r="2247" spans="1:7">
      <c r="A2247" s="853"/>
      <c r="B2247" s="61" t="s">
        <v>2315</v>
      </c>
      <c r="C2247" s="61"/>
      <c r="D2247" s="61"/>
      <c r="E2247" s="291">
        <f>'BASIC DATA'!$C$597</f>
        <v>1.6E-2</v>
      </c>
      <c r="F2247" s="222" t="s">
        <v>1698</v>
      </c>
      <c r="G2247" s="321">
        <f>E2247*$G$2244</f>
        <v>2307.1118520512005</v>
      </c>
    </row>
    <row r="2248" spans="1:7">
      <c r="A2248" s="853"/>
      <c r="B2248" s="61" t="s">
        <v>1259</v>
      </c>
      <c r="C2248" s="61"/>
      <c r="D2248" s="61"/>
      <c r="E2248" s="291">
        <f>'BASIC DATA'!$C$598</f>
        <v>2.5000000000000001E-2</v>
      </c>
      <c r="F2248" s="222" t="s">
        <v>1698</v>
      </c>
      <c r="G2248" s="321">
        <f>E2248*$G$2244</f>
        <v>3604.8622688300006</v>
      </c>
    </row>
    <row r="2249" spans="1:7">
      <c r="A2249" s="853"/>
      <c r="B2249" s="61"/>
      <c r="C2249" s="61"/>
      <c r="D2249" s="61"/>
      <c r="E2249" s="291"/>
      <c r="F2249" s="171" t="s">
        <v>302</v>
      </c>
      <c r="G2249" s="205">
        <f>SUM(G2244:G2248)</f>
        <v>158037.16186550722</v>
      </c>
    </row>
    <row r="2250" spans="1:7" ht="35.25" customHeight="1">
      <c r="B2250" s="1207" t="s">
        <v>6259</v>
      </c>
      <c r="C2250" s="1207"/>
      <c r="D2250" s="1207"/>
      <c r="E2250" s="922">
        <f>'BASIC DATA'!$C$577</f>
        <v>0.13614999999999999</v>
      </c>
      <c r="F2250" s="171" t="s">
        <v>1698</v>
      </c>
      <c r="G2250" s="75">
        <f>G2249*E2250</f>
        <v>21516.759587988807</v>
      </c>
    </row>
    <row r="2251" spans="1:7">
      <c r="B2251" s="27" t="s">
        <v>9590</v>
      </c>
      <c r="C2251" s="43"/>
      <c r="D2251" s="779">
        <f>E2190</f>
        <v>11.200000000000001</v>
      </c>
      <c r="E2251" s="201" t="s">
        <v>9591</v>
      </c>
      <c r="F2251" s="68" t="str">
        <f>CONCATENATE((leadcharges!$D$65)," ","Rs./Cum")</f>
        <v>31.5 Rs./Cum</v>
      </c>
      <c r="G2251" s="200">
        <f>leadcharges!$D$65*D2251</f>
        <v>352.8</v>
      </c>
    </row>
    <row r="2252" spans="1:7">
      <c r="B2252" s="27" t="s">
        <v>9589</v>
      </c>
      <c r="C2252" s="43"/>
      <c r="D2252" s="779">
        <f>SUM(E2191:E2193)</f>
        <v>25.200000000000003</v>
      </c>
      <c r="E2252" s="201" t="s">
        <v>9591</v>
      </c>
      <c r="F2252" s="68" t="str">
        <f>CONCATENATE((leadcharges!$E$65)," ","Rs./Cum")</f>
        <v>30.4 Rs./Cum</v>
      </c>
      <c r="G2252" s="294">
        <f>leadcharges!$E$65*D2252</f>
        <v>766.08</v>
      </c>
    </row>
    <row r="2253" spans="1:7" ht="36" hidden="1" customHeight="1">
      <c r="B2253" s="1207"/>
      <c r="C2253" s="1207"/>
      <c r="D2253" s="779"/>
      <c r="E2253" s="201"/>
      <c r="F2253" s="68"/>
      <c r="G2253" s="200"/>
    </row>
    <row r="2254" spans="1:7">
      <c r="B2254" s="26" t="s">
        <v>1191</v>
      </c>
      <c r="D2254" s="68">
        <f>F2184</f>
        <v>28</v>
      </c>
      <c r="E2254" s="68" t="str">
        <f>G2184</f>
        <v>cum</v>
      </c>
      <c r="F2254" s="171" t="s">
        <v>1698</v>
      </c>
      <c r="G2254" s="211">
        <f>SUM(G2249:G2253)</f>
        <v>180672.80145349601</v>
      </c>
    </row>
    <row r="2255" spans="1:7">
      <c r="B2255" s="170" t="s">
        <v>3884</v>
      </c>
      <c r="C2255" s="170" t="str">
        <f>E2254</f>
        <v>cum</v>
      </c>
      <c r="D2255" s="26" t="s">
        <v>6574</v>
      </c>
      <c r="F2255" s="171" t="s">
        <v>1698</v>
      </c>
      <c r="G2255" s="211">
        <f>ROUND(G2254/D2254,1)</f>
        <v>6452.6</v>
      </c>
    </row>
    <row r="2256" spans="1:7">
      <c r="B2256" s="78"/>
    </row>
    <row r="2257" spans="1:7">
      <c r="B2257" s="78"/>
    </row>
    <row r="2258" spans="1:7" ht="18.75">
      <c r="A2258" s="822" t="s">
        <v>7413</v>
      </c>
      <c r="B2258" s="26" t="s">
        <v>8622</v>
      </c>
    </row>
    <row r="2259" spans="1:7" ht="18.75">
      <c r="A2259" s="865"/>
      <c r="B2259" s="26" t="s">
        <v>8623</v>
      </c>
    </row>
    <row r="2260" spans="1:7" ht="18.75">
      <c r="A2260" s="865"/>
      <c r="B2260" s="26" t="s">
        <v>8624</v>
      </c>
    </row>
    <row r="2261" spans="1:7">
      <c r="A2261" s="865"/>
      <c r="B2261" s="26" t="s">
        <v>6119</v>
      </c>
    </row>
    <row r="2262" spans="1:7">
      <c r="A2262" s="865"/>
      <c r="B2262" s="26" t="s">
        <v>6438</v>
      </c>
    </row>
    <row r="2263" spans="1:7" ht="18.75">
      <c r="A2263" s="865"/>
      <c r="B2263" s="26" t="s">
        <v>8625</v>
      </c>
    </row>
    <row r="2264" spans="1:7">
      <c r="A2264" s="865"/>
      <c r="B2264" s="170" t="s">
        <v>7702</v>
      </c>
    </row>
    <row r="2265" spans="1:7">
      <c r="A2265" s="855"/>
      <c r="B2265" s="248" t="s">
        <v>4521</v>
      </c>
      <c r="C2265" s="61"/>
      <c r="D2265" s="61"/>
      <c r="E2265" s="61"/>
      <c r="F2265" s="61"/>
      <c r="G2265" s="61"/>
    </row>
    <row r="2266" spans="1:7">
      <c r="A2266" s="865"/>
    </row>
    <row r="2267" spans="1:7" hidden="1">
      <c r="A2267" s="865" t="s">
        <v>3984</v>
      </c>
      <c r="B2267" s="26" t="s">
        <v>2554</v>
      </c>
    </row>
    <row r="2268" spans="1:7" hidden="1">
      <c r="A2268" s="865"/>
      <c r="B2268" s="26" t="s">
        <v>7327</v>
      </c>
      <c r="E2268" s="78" t="s">
        <v>1697</v>
      </c>
      <c r="F2268" s="47">
        <v>330</v>
      </c>
      <c r="G2268" s="26" t="s">
        <v>3478</v>
      </c>
    </row>
    <row r="2269" spans="1:7" hidden="1">
      <c r="A2269" s="865"/>
      <c r="B2269" s="26" t="s">
        <v>3414</v>
      </c>
      <c r="E2269" s="78" t="s">
        <v>1697</v>
      </c>
      <c r="F2269" s="47">
        <v>700</v>
      </c>
      <c r="G2269" s="26" t="s">
        <v>3478</v>
      </c>
    </row>
    <row r="2270" spans="1:7" hidden="1">
      <c r="A2270" s="865"/>
      <c r="B2270" s="26" t="s">
        <v>2555</v>
      </c>
      <c r="E2270" s="78" t="s">
        <v>1697</v>
      </c>
      <c r="F2270" s="47">
        <v>1250</v>
      </c>
      <c r="G2270" s="26" t="s">
        <v>3478</v>
      </c>
    </row>
    <row r="2271" spans="1:7" hidden="1">
      <c r="A2271" s="865"/>
      <c r="B2271" s="26" t="s">
        <v>2556</v>
      </c>
      <c r="E2271" s="78" t="s">
        <v>1697</v>
      </c>
      <c r="F2271" s="342">
        <v>2.1043981481481482</v>
      </c>
    </row>
    <row r="2272" spans="1:7" hidden="1">
      <c r="A2272" s="865"/>
      <c r="B2272" s="26" t="s">
        <v>661</v>
      </c>
      <c r="E2272" s="78"/>
      <c r="F2272" s="47"/>
    </row>
    <row r="2273" spans="1:7" hidden="1">
      <c r="A2273" s="865"/>
      <c r="B2273" s="26" t="s">
        <v>3998</v>
      </c>
      <c r="E2273" s="78" t="s">
        <v>1697</v>
      </c>
      <c r="F2273" s="47">
        <v>330</v>
      </c>
      <c r="G2273" s="26" t="s">
        <v>3478</v>
      </c>
    </row>
    <row r="2274" spans="1:7" hidden="1">
      <c r="A2274" s="865"/>
      <c r="B2274" s="26" t="s">
        <v>3414</v>
      </c>
      <c r="E2274" s="78" t="s">
        <v>1697</v>
      </c>
      <c r="F2274" s="47">
        <v>0.4</v>
      </c>
      <c r="G2274" s="26" t="s">
        <v>3477</v>
      </c>
    </row>
    <row r="2275" spans="1:7" hidden="1">
      <c r="A2275" s="865"/>
      <c r="B2275" s="26" t="s">
        <v>3999</v>
      </c>
      <c r="D2275" s="26" t="s">
        <v>2557</v>
      </c>
      <c r="E2275" s="78" t="s">
        <v>1697</v>
      </c>
      <c r="F2275" s="47">
        <f>0.9*0.5</f>
        <v>0.45</v>
      </c>
      <c r="G2275" s="26" t="s">
        <v>3477</v>
      </c>
    </row>
    <row r="2276" spans="1:7" hidden="1">
      <c r="A2276" s="865"/>
      <c r="D2276" s="26" t="s">
        <v>2558</v>
      </c>
      <c r="E2276" s="78" t="s">
        <v>1697</v>
      </c>
      <c r="F2276" s="47">
        <f>0.9*0.3</f>
        <v>0.27</v>
      </c>
      <c r="G2276" s="26" t="s">
        <v>3477</v>
      </c>
    </row>
    <row r="2277" spans="1:7" hidden="1">
      <c r="A2277" s="865"/>
      <c r="D2277" s="26" t="s">
        <v>2559</v>
      </c>
      <c r="E2277" s="78" t="s">
        <v>1697</v>
      </c>
      <c r="F2277" s="47">
        <f>0.9*0.2</f>
        <v>0.18000000000000002</v>
      </c>
      <c r="G2277" s="26" t="s">
        <v>3477</v>
      </c>
    </row>
    <row r="2278" spans="1:7" hidden="1">
      <c r="A2278" s="865"/>
      <c r="B2278" s="26" t="s">
        <v>6857</v>
      </c>
      <c r="E2278" s="78" t="s">
        <v>1697</v>
      </c>
      <c r="F2278" s="202">
        <f>F2273*0.4%</f>
        <v>1.32</v>
      </c>
      <c r="G2278" s="26" t="s">
        <v>3478</v>
      </c>
    </row>
    <row r="2279" spans="1:7" hidden="1"/>
    <row r="2280" spans="1:7"/>
    <row r="2281" spans="1:7"/>
    <row r="2282" spans="1:7"/>
    <row r="2283" spans="1:7"/>
    <row r="2284" spans="1:7"/>
    <row r="2285" spans="1:7"/>
    <row r="2286" spans="1:7"/>
    <row r="2287" spans="1:7"/>
    <row r="2288" spans="1:7"/>
    <row r="2289" spans="1:7"/>
    <row r="2290" spans="1:7"/>
    <row r="2291" spans="1:7" hidden="1">
      <c r="A2291" s="865"/>
      <c r="B2291" s="26" t="s">
        <v>2680</v>
      </c>
    </row>
    <row r="2292" spans="1:7" hidden="1">
      <c r="A2292" s="865"/>
      <c r="B2292" s="26" t="s">
        <v>5050</v>
      </c>
    </row>
    <row r="2293" spans="1:7" hidden="1">
      <c r="A2293" s="865"/>
      <c r="B2293" s="26" t="s">
        <v>5051</v>
      </c>
      <c r="E2293" s="315" t="s">
        <v>1697</v>
      </c>
      <c r="F2293" s="26">
        <v>2</v>
      </c>
      <c r="G2293" s="26" t="s">
        <v>2603</v>
      </c>
    </row>
    <row r="2294" spans="1:7" hidden="1">
      <c r="A2294" s="865"/>
      <c r="B2294" s="26" t="s">
        <v>5052</v>
      </c>
      <c r="E2294" s="315" t="s">
        <v>1697</v>
      </c>
      <c r="F2294" s="26">
        <v>20</v>
      </c>
      <c r="G2294" s="26" t="s">
        <v>2603</v>
      </c>
    </row>
    <row r="2295" spans="1:7" hidden="1">
      <c r="A2295" s="865"/>
      <c r="B2295" s="26" t="s">
        <v>5053</v>
      </c>
      <c r="E2295" s="315" t="s">
        <v>1697</v>
      </c>
      <c r="F2295" s="26">
        <v>10</v>
      </c>
      <c r="G2295" s="26" t="s">
        <v>2603</v>
      </c>
    </row>
    <row r="2296" spans="1:7" hidden="1">
      <c r="A2296" s="865"/>
      <c r="B2296" s="26" t="s">
        <v>2681</v>
      </c>
      <c r="E2296" s="315" t="s">
        <v>1697</v>
      </c>
      <c r="F2296" s="26">
        <v>24</v>
      </c>
      <c r="G2296" s="26" t="s">
        <v>2603</v>
      </c>
    </row>
    <row r="2297" spans="1:7" hidden="1">
      <c r="A2297" s="865"/>
      <c r="B2297" s="26" t="s">
        <v>5055</v>
      </c>
      <c r="E2297" s="315" t="s">
        <v>1697</v>
      </c>
      <c r="F2297" s="174">
        <v>10</v>
      </c>
      <c r="G2297" s="26" t="s">
        <v>2603</v>
      </c>
    </row>
    <row r="2298" spans="1:7" hidden="1">
      <c r="A2298" s="865"/>
      <c r="B2298" s="26" t="s">
        <v>5056</v>
      </c>
      <c r="E2298" s="315" t="s">
        <v>1697</v>
      </c>
      <c r="F2298" s="26">
        <f>SUM(F2293:F2297)</f>
        <v>66</v>
      </c>
      <c r="G2298" s="26" t="s">
        <v>2603</v>
      </c>
    </row>
    <row r="2299" spans="1:7" hidden="1">
      <c r="A2299" s="865"/>
      <c r="B2299" s="26" t="s">
        <v>5057</v>
      </c>
      <c r="E2299" s="315"/>
    </row>
    <row r="2300" spans="1:7" hidden="1">
      <c r="A2300" s="865"/>
      <c r="B2300" s="26" t="s">
        <v>2682</v>
      </c>
      <c r="E2300" s="315" t="s">
        <v>1697</v>
      </c>
      <c r="F2300" s="26">
        <v>3</v>
      </c>
      <c r="G2300" s="26" t="s">
        <v>4942</v>
      </c>
    </row>
    <row r="2301" spans="1:7" hidden="1">
      <c r="A2301" s="865"/>
      <c r="B2301" s="26" t="s">
        <v>3421</v>
      </c>
    </row>
    <row r="2302" spans="1:7" hidden="1">
      <c r="A2302" s="865"/>
      <c r="B2302" s="26" t="s">
        <v>3422</v>
      </c>
    </row>
    <row r="2303" spans="1:7" hidden="1">
      <c r="A2303" s="865"/>
      <c r="B2303" s="26" t="s">
        <v>3423</v>
      </c>
    </row>
    <row r="2304" spans="1:7" hidden="1">
      <c r="A2304" s="865"/>
      <c r="B2304" s="26" t="s">
        <v>3165</v>
      </c>
      <c r="E2304" s="315" t="s">
        <v>1697</v>
      </c>
      <c r="F2304" s="26">
        <v>24</v>
      </c>
      <c r="G2304" s="26" t="s">
        <v>3477</v>
      </c>
    </row>
    <row r="2305" spans="1:7" hidden="1">
      <c r="A2305" s="865"/>
      <c r="B2305" s="26" t="s">
        <v>2683</v>
      </c>
      <c r="E2305" s="315" t="s">
        <v>1697</v>
      </c>
      <c r="F2305" s="26" t="s">
        <v>3407</v>
      </c>
    </row>
    <row r="2306" spans="1:7" hidden="1">
      <c r="A2306" s="865"/>
      <c r="B2306" s="26" t="s">
        <v>2684</v>
      </c>
      <c r="E2306" s="315" t="s">
        <v>1697</v>
      </c>
      <c r="F2306" s="26" t="s">
        <v>2685</v>
      </c>
    </row>
    <row r="2307" spans="1:7" hidden="1">
      <c r="A2307" s="865"/>
      <c r="B2307" s="26" t="s">
        <v>2686</v>
      </c>
    </row>
    <row r="2308" spans="1:7" hidden="1">
      <c r="A2308" s="865"/>
      <c r="B2308" s="26" t="s">
        <v>2687</v>
      </c>
    </row>
    <row r="2309" spans="1:7" hidden="1">
      <c r="A2309" s="865"/>
      <c r="B2309" s="26" t="s">
        <v>6917</v>
      </c>
    </row>
    <row r="2310" spans="1:7" hidden="1">
      <c r="A2310" s="865"/>
      <c r="B2310" s="26" t="s">
        <v>6918</v>
      </c>
      <c r="E2310" s="315" t="s">
        <v>1697</v>
      </c>
      <c r="F2310" s="68">
        <v>5</v>
      </c>
      <c r="G2310" s="26" t="s">
        <v>2602</v>
      </c>
    </row>
    <row r="2311" spans="1:7" hidden="1">
      <c r="A2311" s="865"/>
      <c r="B2311" s="26" t="s">
        <v>6919</v>
      </c>
      <c r="E2311" s="315" t="s">
        <v>1697</v>
      </c>
      <c r="F2311" s="68">
        <v>5</v>
      </c>
      <c r="G2311" s="26" t="s">
        <v>2602</v>
      </c>
    </row>
    <row r="2312" spans="1:7" hidden="1">
      <c r="A2312" s="865"/>
      <c r="B2312" s="26" t="s">
        <v>6920</v>
      </c>
      <c r="E2312" s="315" t="s">
        <v>1697</v>
      </c>
      <c r="F2312" s="26">
        <v>32.75</v>
      </c>
      <c r="G2312" s="26" t="s">
        <v>3477</v>
      </c>
    </row>
    <row r="2313" spans="1:7" hidden="1">
      <c r="A2313" s="865"/>
      <c r="B2313" s="26" t="s">
        <v>6707</v>
      </c>
      <c r="E2313" s="315"/>
    </row>
    <row r="2314" spans="1:7" hidden="1">
      <c r="A2314" s="865"/>
      <c r="B2314" s="26" t="s">
        <v>6708</v>
      </c>
      <c r="E2314" s="315" t="s">
        <v>1697</v>
      </c>
      <c r="F2314" s="26">
        <v>14.75</v>
      </c>
      <c r="G2314" s="26" t="s">
        <v>3477</v>
      </c>
    </row>
    <row r="2315" spans="1:7" hidden="1">
      <c r="A2315" s="865"/>
      <c r="B2315" s="26" t="s">
        <v>3573</v>
      </c>
    </row>
    <row r="2316" spans="1:7" hidden="1">
      <c r="A2316" s="865"/>
      <c r="B2316" s="26" t="s">
        <v>3574</v>
      </c>
      <c r="E2316" s="26" t="s">
        <v>1124</v>
      </c>
      <c r="F2316" s="68">
        <v>48</v>
      </c>
      <c r="G2316" s="26" t="s">
        <v>3477</v>
      </c>
    </row>
    <row r="2317" spans="1:7" hidden="1">
      <c r="A2317" s="865"/>
      <c r="B2317" s="26" t="s">
        <v>3575</v>
      </c>
      <c r="E2317" s="26" t="s">
        <v>1124</v>
      </c>
      <c r="F2317" s="26">
        <v>105</v>
      </c>
      <c r="G2317" s="26" t="s">
        <v>3479</v>
      </c>
    </row>
    <row r="2318" spans="1:7" hidden="1">
      <c r="A2318" s="865"/>
      <c r="B2318" s="26" t="s">
        <v>4830</v>
      </c>
      <c r="E2318" s="26" t="s">
        <v>1124</v>
      </c>
      <c r="F2318" s="26">
        <v>16</v>
      </c>
      <c r="G2318" s="26" t="s">
        <v>45</v>
      </c>
    </row>
    <row r="2319" spans="1:7" hidden="1">
      <c r="A2319" s="865"/>
      <c r="B2319" s="26" t="s">
        <v>4831</v>
      </c>
    </row>
    <row r="2320" spans="1:7" hidden="1">
      <c r="A2320" s="865"/>
      <c r="B2320" s="26" t="s">
        <v>4832</v>
      </c>
      <c r="D2320" s="68">
        <f>'BASIC DATA'!$D$97</f>
        <v>37500</v>
      </c>
      <c r="E2320" s="26" t="s">
        <v>1167</v>
      </c>
      <c r="F2320" s="324" t="s">
        <v>1698</v>
      </c>
      <c r="G2320" s="68">
        <f>F2318*D2320*50%</f>
        <v>300000</v>
      </c>
    </row>
    <row r="2321" spans="1:7" hidden="1">
      <c r="A2321" s="865"/>
      <c r="B2321" s="26" t="s">
        <v>4833</v>
      </c>
      <c r="D2321" s="68">
        <f>'BASIC DATA'!$D$98</f>
        <v>37400</v>
      </c>
      <c r="E2321" s="26" t="s">
        <v>1167</v>
      </c>
      <c r="F2321" s="324" t="s">
        <v>1698</v>
      </c>
      <c r="G2321" s="68">
        <f>F2318*D2321*40%</f>
        <v>239360</v>
      </c>
    </row>
    <row r="2322" spans="1:7" hidden="1">
      <c r="A2322" s="865"/>
      <c r="B2322" s="26" t="s">
        <v>4834</v>
      </c>
      <c r="D2322" s="68">
        <f>'BASIC DATA'!$D$84*1000</f>
        <v>80000</v>
      </c>
      <c r="E2322" s="26" t="s">
        <v>1167</v>
      </c>
      <c r="F2322" s="324" t="s">
        <v>1698</v>
      </c>
      <c r="G2322" s="68">
        <f>F2318*D2322*10%</f>
        <v>128000</v>
      </c>
    </row>
    <row r="2323" spans="1:7" hidden="1">
      <c r="A2323" s="865"/>
      <c r="B2323" s="26" t="s">
        <v>1567</v>
      </c>
      <c r="D2323" s="68">
        <f>'BASIC DATA'!$D$358*1000</f>
        <v>24000</v>
      </c>
      <c r="E2323" s="26" t="s">
        <v>1167</v>
      </c>
      <c r="F2323" s="324" t="s">
        <v>1698</v>
      </c>
      <c r="G2323" s="173">
        <f>F2318*D2323</f>
        <v>384000</v>
      </c>
    </row>
    <row r="2324" spans="1:7" hidden="1">
      <c r="A2324" s="865"/>
      <c r="E2324" s="171" t="s">
        <v>1518</v>
      </c>
      <c r="F2324" s="324" t="s">
        <v>1698</v>
      </c>
      <c r="G2324" s="68">
        <f>SUM(G2320:G2323)</f>
        <v>1051360</v>
      </c>
    </row>
    <row r="2325" spans="1:7" hidden="1">
      <c r="A2325" s="865"/>
      <c r="B2325" s="26" t="s">
        <v>1568</v>
      </c>
      <c r="E2325" s="80">
        <v>0.12</v>
      </c>
      <c r="F2325" s="324" t="s">
        <v>1698</v>
      </c>
      <c r="G2325" s="173">
        <f>G2324*E2325</f>
        <v>126163.2</v>
      </c>
    </row>
    <row r="2326" spans="1:7" hidden="1">
      <c r="A2326" s="865"/>
      <c r="E2326" s="171" t="s">
        <v>1518</v>
      </c>
      <c r="F2326" s="324" t="s">
        <v>1698</v>
      </c>
      <c r="G2326" s="68">
        <f>SUM(G2324:G2325)</f>
        <v>1177523.2</v>
      </c>
    </row>
    <row r="2327" spans="1:7" hidden="1">
      <c r="A2327" s="865"/>
      <c r="B2327" s="26" t="s">
        <v>6339</v>
      </c>
      <c r="E2327" s="201">
        <v>0.1</v>
      </c>
      <c r="F2327" s="324" t="s">
        <v>1698</v>
      </c>
      <c r="G2327" s="173">
        <f>G2326*E2327</f>
        <v>117752.32000000001</v>
      </c>
    </row>
    <row r="2328" spans="1:7" hidden="1">
      <c r="A2328" s="865"/>
      <c r="E2328" s="171" t="s">
        <v>1518</v>
      </c>
      <c r="F2328" s="324" t="s">
        <v>1698</v>
      </c>
      <c r="G2328" s="68">
        <f>G2326-G2327</f>
        <v>1059770.8799999999</v>
      </c>
    </row>
    <row r="2329" spans="1:7" hidden="1">
      <c r="A2329" s="865"/>
      <c r="B2329" s="26" t="s">
        <v>1569</v>
      </c>
      <c r="F2329" s="324" t="s">
        <v>1698</v>
      </c>
      <c r="G2329" s="68">
        <f>G2328/100</f>
        <v>10597.708799999999</v>
      </c>
    </row>
    <row r="2330" spans="1:7" hidden="1">
      <c r="A2330" s="865"/>
      <c r="B2330" s="26" t="s">
        <v>1570</v>
      </c>
      <c r="E2330" s="323">
        <v>0.25</v>
      </c>
      <c r="F2330" s="324" t="s">
        <v>1698</v>
      </c>
      <c r="G2330" s="68">
        <f>G2329*E2330</f>
        <v>2649.4271999999996</v>
      </c>
    </row>
    <row r="2331" spans="1:7" hidden="1">
      <c r="A2331" s="865"/>
      <c r="B2331" s="26" t="s">
        <v>2850</v>
      </c>
      <c r="E2331" s="323">
        <v>0.15</v>
      </c>
      <c r="F2331" s="324" t="s">
        <v>1698</v>
      </c>
      <c r="G2331" s="68">
        <f>E2331*G2329</f>
        <v>1589.6563199999998</v>
      </c>
    </row>
    <row r="2332" spans="1:7" hidden="1">
      <c r="A2332" s="865"/>
      <c r="B2332" s="26" t="s">
        <v>4141</v>
      </c>
      <c r="D2332" s="68">
        <f>'BASIC DATA'!$D$357</f>
        <v>50</v>
      </c>
      <c r="E2332" s="26" t="s">
        <v>5285</v>
      </c>
      <c r="F2332" s="324" t="s">
        <v>1698</v>
      </c>
      <c r="G2332" s="173">
        <f>D2332*0.2*F2317</f>
        <v>1050</v>
      </c>
    </row>
    <row r="2333" spans="1:7" hidden="1">
      <c r="A2333" s="865"/>
      <c r="E2333" s="171" t="s">
        <v>1518</v>
      </c>
      <c r="F2333" s="324" t="s">
        <v>1698</v>
      </c>
      <c r="G2333" s="68">
        <f>SUM(G2329:G2332)</f>
        <v>15886.792319999999</v>
      </c>
    </row>
    <row r="2334" spans="1:7" hidden="1">
      <c r="A2334" s="865"/>
      <c r="B2334" s="26" t="s">
        <v>4142</v>
      </c>
      <c r="F2334" s="324" t="s">
        <v>1698</v>
      </c>
      <c r="G2334" s="68">
        <f>G2333/100</f>
        <v>158.86792319999998</v>
      </c>
    </row>
    <row r="2335" spans="1:7" hidden="1">
      <c r="A2335" s="865"/>
      <c r="B2335" s="26" t="s">
        <v>2918</v>
      </c>
      <c r="E2335" s="324" t="s">
        <v>1697</v>
      </c>
      <c r="F2335" s="68" t="s">
        <v>2919</v>
      </c>
    </row>
    <row r="2336" spans="1:7" hidden="1">
      <c r="A2336" s="865"/>
      <c r="B2336" s="26" t="s">
        <v>600</v>
      </c>
      <c r="F2336" s="324" t="s">
        <v>1698</v>
      </c>
      <c r="G2336" s="68">
        <f>F2137</f>
        <v>150.56752690000002</v>
      </c>
    </row>
    <row r="2337" spans="1:7" hidden="1">
      <c r="A2337" s="865"/>
      <c r="B2337" s="26" t="s">
        <v>601</v>
      </c>
      <c r="F2337" s="324" t="s">
        <v>1698</v>
      </c>
      <c r="G2337" s="68">
        <f>G2154</f>
        <v>88.5</v>
      </c>
    </row>
    <row r="2338" spans="1:7" hidden="1">
      <c r="A2338" s="865"/>
      <c r="B2338" s="26" t="s">
        <v>4422</v>
      </c>
    </row>
    <row r="2339" spans="1:7" hidden="1">
      <c r="A2339" s="865"/>
      <c r="B2339" s="26" t="s">
        <v>4423</v>
      </c>
      <c r="E2339" s="315" t="s">
        <v>1697</v>
      </c>
      <c r="F2339" s="68">
        <v>2</v>
      </c>
      <c r="G2339" s="26" t="s">
        <v>4665</v>
      </c>
    </row>
    <row r="2340" spans="1:7" hidden="1">
      <c r="A2340" s="865"/>
      <c r="B2340" s="26" t="s">
        <v>852</v>
      </c>
      <c r="E2340" s="315" t="s">
        <v>1697</v>
      </c>
      <c r="F2340" s="68">
        <v>4</v>
      </c>
      <c r="G2340" s="26" t="s">
        <v>4665</v>
      </c>
    </row>
    <row r="2341" spans="1:7" hidden="1">
      <c r="A2341" s="865"/>
      <c r="B2341" s="26" t="s">
        <v>853</v>
      </c>
      <c r="E2341" s="315" t="s">
        <v>1697</v>
      </c>
      <c r="F2341" s="68">
        <v>4</v>
      </c>
      <c r="G2341" s="26" t="s">
        <v>4665</v>
      </c>
    </row>
    <row r="2342" spans="1:7" hidden="1">
      <c r="A2342" s="865"/>
      <c r="B2342" s="26" t="s">
        <v>854</v>
      </c>
      <c r="E2342" s="315" t="s">
        <v>1697</v>
      </c>
      <c r="F2342" s="68">
        <v>4</v>
      </c>
      <c r="G2342" s="26" t="s">
        <v>4665</v>
      </c>
    </row>
    <row r="2343" spans="1:7" hidden="1">
      <c r="A2343" s="865"/>
      <c r="B2343" s="26" t="s">
        <v>855</v>
      </c>
      <c r="E2343" s="315" t="s">
        <v>1697</v>
      </c>
      <c r="F2343" s="68">
        <v>6</v>
      </c>
      <c r="G2343" s="26" t="s">
        <v>4665</v>
      </c>
    </row>
    <row r="2344" spans="1:7" hidden="1">
      <c r="A2344" s="865"/>
      <c r="B2344" s="26" t="s">
        <v>4361</v>
      </c>
      <c r="E2344" s="315" t="s">
        <v>1697</v>
      </c>
      <c r="F2344" s="68">
        <v>16</v>
      </c>
      <c r="G2344" s="26" t="s">
        <v>4665</v>
      </c>
    </row>
    <row r="2345" spans="1:7" hidden="1">
      <c r="A2345" s="865"/>
      <c r="B2345" s="26" t="s">
        <v>3627</v>
      </c>
      <c r="E2345" s="315" t="s">
        <v>1697</v>
      </c>
      <c r="F2345" s="68">
        <v>4</v>
      </c>
      <c r="G2345" s="26" t="s">
        <v>4665</v>
      </c>
    </row>
    <row r="2346" spans="1:7" hidden="1">
      <c r="A2346" s="865"/>
      <c r="B2346" s="26" t="s">
        <v>3628</v>
      </c>
      <c r="E2346" s="315" t="s">
        <v>1697</v>
      </c>
      <c r="F2346" s="68">
        <v>12</v>
      </c>
      <c r="G2346" s="26" t="s">
        <v>4665</v>
      </c>
    </row>
    <row r="2347" spans="1:7" hidden="1">
      <c r="A2347" s="865"/>
      <c r="B2347" s="26" t="s">
        <v>5877</v>
      </c>
    </row>
    <row r="2348" spans="1:7" hidden="1">
      <c r="A2348" s="865"/>
      <c r="B2348" s="26" t="s">
        <v>3666</v>
      </c>
    </row>
    <row r="2349" spans="1:7" hidden="1">
      <c r="A2349" s="865"/>
      <c r="B2349" s="26" t="s">
        <v>3667</v>
      </c>
    </row>
    <row r="2350" spans="1:7" hidden="1">
      <c r="A2350" s="865"/>
      <c r="B2350" s="26" t="s">
        <v>4848</v>
      </c>
    </row>
    <row r="2351" spans="1:7" hidden="1">
      <c r="A2351" s="865"/>
      <c r="B2351" s="26" t="s">
        <v>4849</v>
      </c>
    </row>
    <row r="2352" spans="1:7">
      <c r="B2352" s="78"/>
    </row>
    <row r="2353" spans="1:7">
      <c r="B2353" s="78"/>
    </row>
    <row r="2354" spans="1:7">
      <c r="A2354" s="822" t="s">
        <v>3984</v>
      </c>
      <c r="B2354" s="78"/>
      <c r="C2354" s="203" t="s">
        <v>2367</v>
      </c>
      <c r="E2354" s="171" t="s">
        <v>297</v>
      </c>
      <c r="F2354" s="246">
        <f>F2316</f>
        <v>48</v>
      </c>
      <c r="G2354" s="68" t="s">
        <v>3477</v>
      </c>
    </row>
    <row r="2355" spans="1:7">
      <c r="B2355" s="79" t="s">
        <v>2368</v>
      </c>
    </row>
    <row r="2356" spans="1:7">
      <c r="B2356" s="95" t="s">
        <v>2369</v>
      </c>
      <c r="C2356" s="157" t="s">
        <v>4443</v>
      </c>
      <c r="D2356" s="95" t="s">
        <v>2370</v>
      </c>
      <c r="E2356" s="95" t="s">
        <v>1166</v>
      </c>
      <c r="F2356" s="95" t="s">
        <v>2371</v>
      </c>
      <c r="G2356" s="95" t="s">
        <v>2372</v>
      </c>
    </row>
    <row r="2357" spans="1:7">
      <c r="B2357" s="114"/>
      <c r="C2357" s="154"/>
      <c r="D2357" s="114"/>
      <c r="E2357" s="114"/>
      <c r="F2357" s="114" t="s">
        <v>3485</v>
      </c>
      <c r="G2357" s="114" t="s">
        <v>3485</v>
      </c>
    </row>
    <row r="2358" spans="1:7">
      <c r="B2358" s="95">
        <v>1</v>
      </c>
      <c r="C2358" s="135" t="s">
        <v>7327</v>
      </c>
      <c r="D2358" s="339" t="s">
        <v>3478</v>
      </c>
      <c r="E2358" s="190">
        <f>F2354*F2273</f>
        <v>15840</v>
      </c>
      <c r="F2358" s="214">
        <f>'BASIC DATA'!$D$32/1000</f>
        <v>5.35</v>
      </c>
      <c r="G2358" s="190">
        <f>E2358*F2358</f>
        <v>84744</v>
      </c>
    </row>
    <row r="2359" spans="1:7">
      <c r="B2359" s="317"/>
      <c r="C2359" s="135" t="s">
        <v>1725</v>
      </c>
      <c r="D2359" s="340" t="s">
        <v>3478</v>
      </c>
      <c r="E2359" s="190">
        <f>F2354*1</f>
        <v>48</v>
      </c>
      <c r="F2359" s="214">
        <f>'BASIC DATA'!$D$32/1000</f>
        <v>5.35</v>
      </c>
      <c r="G2359" s="190">
        <f t="shared" ref="G2359:G2367" si="43">E2359*F2359</f>
        <v>256.79999999999995</v>
      </c>
    </row>
    <row r="2360" spans="1:7">
      <c r="A2360" s="853"/>
      <c r="B2360" s="240">
        <v>2</v>
      </c>
      <c r="C2360" s="326" t="s">
        <v>7935</v>
      </c>
      <c r="D2360" s="341" t="s">
        <v>3477</v>
      </c>
      <c r="E2360" s="255">
        <f>F2354*F2274</f>
        <v>19.200000000000003</v>
      </c>
      <c r="F2360" s="266">
        <f>'BASIC DATA'!$D$55</f>
        <v>95</v>
      </c>
      <c r="G2360" s="255">
        <f t="shared" si="43"/>
        <v>1824.0000000000002</v>
      </c>
    </row>
    <row r="2361" spans="1:7">
      <c r="B2361" s="105">
        <v>3</v>
      </c>
      <c r="C2361" s="135" t="s">
        <v>6996</v>
      </c>
      <c r="D2361" s="340" t="s">
        <v>3477</v>
      </c>
      <c r="E2361" s="190">
        <f>F2354*F2275</f>
        <v>21.6</v>
      </c>
      <c r="F2361" s="214">
        <f>'BASIC DATA'!$D$36</f>
        <v>1175</v>
      </c>
      <c r="G2361" s="190">
        <f t="shared" si="43"/>
        <v>25380</v>
      </c>
    </row>
    <row r="2362" spans="1:7">
      <c r="B2362" s="317"/>
      <c r="C2362" s="135" t="s">
        <v>6995</v>
      </c>
      <c r="D2362" s="340" t="s">
        <v>3477</v>
      </c>
      <c r="E2362" s="190">
        <f>F2354*F2276</f>
        <v>12.96</v>
      </c>
      <c r="F2362" s="214">
        <f>'BASIC DATA'!$D$35</f>
        <v>1225</v>
      </c>
      <c r="G2362" s="190">
        <f t="shared" si="43"/>
        <v>15876.000000000002</v>
      </c>
    </row>
    <row r="2363" spans="1:7">
      <c r="B2363" s="317"/>
      <c r="C2363" s="135" t="s">
        <v>6994</v>
      </c>
      <c r="D2363" s="340" t="s">
        <v>3477</v>
      </c>
      <c r="E2363" s="190">
        <f>F2354*F2277</f>
        <v>8.64</v>
      </c>
      <c r="F2363" s="214">
        <f>'BASIC DATA'!$D$34</f>
        <v>900</v>
      </c>
      <c r="G2363" s="190">
        <f t="shared" si="43"/>
        <v>7776.0000000000009</v>
      </c>
    </row>
    <row r="2364" spans="1:7">
      <c r="B2364" s="105">
        <v>4</v>
      </c>
      <c r="C2364" s="135" t="s">
        <v>4282</v>
      </c>
      <c r="D2364" s="340" t="s">
        <v>3478</v>
      </c>
      <c r="E2364" s="190">
        <f>E2358*0.4%</f>
        <v>63.36</v>
      </c>
      <c r="F2364" s="214">
        <f>'BASIC DATA'!$D$99</f>
        <v>55</v>
      </c>
      <c r="G2364" s="190">
        <f t="shared" si="43"/>
        <v>3484.8</v>
      </c>
    </row>
    <row r="2365" spans="1:7">
      <c r="B2365" s="105">
        <v>5</v>
      </c>
      <c r="C2365" s="135" t="s">
        <v>4850</v>
      </c>
      <c r="D2365" s="340" t="s">
        <v>3479</v>
      </c>
      <c r="E2365" s="190">
        <v>6</v>
      </c>
      <c r="F2365" s="214">
        <f>IF(F2366=0,0,G2336)</f>
        <v>150.56752690000002</v>
      </c>
      <c r="G2365" s="190">
        <f t="shared" si="43"/>
        <v>903.40516140000011</v>
      </c>
    </row>
    <row r="2366" spans="1:7">
      <c r="B2366" s="105">
        <v>6</v>
      </c>
      <c r="C2366" s="135" t="s">
        <v>4851</v>
      </c>
      <c r="D2366" s="340" t="s">
        <v>3479</v>
      </c>
      <c r="E2366" s="190">
        <v>100</v>
      </c>
      <c r="F2366" s="214">
        <f>G2337</f>
        <v>88.5</v>
      </c>
      <c r="G2366" s="190">
        <f t="shared" si="43"/>
        <v>8850</v>
      </c>
    </row>
    <row r="2367" spans="1:7">
      <c r="B2367" s="114">
        <v>7</v>
      </c>
      <c r="C2367" s="135" t="s">
        <v>4852</v>
      </c>
      <c r="D2367" s="340" t="s">
        <v>2173</v>
      </c>
      <c r="E2367" s="190">
        <v>5</v>
      </c>
      <c r="F2367" s="214">
        <f>'BASIC DATA'!$D$359</f>
        <v>30</v>
      </c>
      <c r="G2367" s="190">
        <f t="shared" si="43"/>
        <v>150</v>
      </c>
    </row>
    <row r="2368" spans="1:7">
      <c r="B2368" s="92"/>
      <c r="C2368" s="193" t="s">
        <v>2376</v>
      </c>
      <c r="D2368" s="159"/>
      <c r="E2368" s="238"/>
      <c r="F2368" s="236" t="s">
        <v>1698</v>
      </c>
      <c r="G2368" s="318">
        <f>SUM(G2358:G2367)</f>
        <v>149245.00516140001</v>
      </c>
    </row>
    <row r="2369" spans="2:7">
      <c r="B2369" s="78"/>
    </row>
    <row r="2370" spans="2:7">
      <c r="B2370" s="79" t="s">
        <v>2377</v>
      </c>
    </row>
    <row r="2371" spans="2:7">
      <c r="B2371" s="95" t="s">
        <v>2369</v>
      </c>
      <c r="C2371" s="157" t="s">
        <v>2378</v>
      </c>
      <c r="D2371" s="95" t="s">
        <v>2370</v>
      </c>
      <c r="E2371" s="95" t="s">
        <v>1166</v>
      </c>
      <c r="F2371" s="95" t="s">
        <v>2371</v>
      </c>
      <c r="G2371" s="95" t="s">
        <v>2372</v>
      </c>
    </row>
    <row r="2372" spans="2:7">
      <c r="B2372" s="114"/>
      <c r="C2372" s="154"/>
      <c r="D2372" s="114"/>
      <c r="E2372" s="114"/>
      <c r="F2372" s="114" t="s">
        <v>3485</v>
      </c>
      <c r="G2372" s="114" t="s">
        <v>3485</v>
      </c>
    </row>
    <row r="2373" spans="2:7">
      <c r="B2373" s="95">
        <v>1</v>
      </c>
      <c r="C2373" s="135" t="s">
        <v>4853</v>
      </c>
      <c r="D2373" s="339" t="s">
        <v>2374</v>
      </c>
      <c r="E2373" s="190">
        <v>16</v>
      </c>
      <c r="F2373" s="190">
        <f>'HIRE CHARGES'!$D$497</f>
        <v>170.8</v>
      </c>
      <c r="G2373" s="190">
        <f>E2373*F2373</f>
        <v>2732.8</v>
      </c>
    </row>
    <row r="2374" spans="2:7">
      <c r="B2374" s="317"/>
      <c r="C2374" s="135" t="s">
        <v>6910</v>
      </c>
      <c r="D2374" s="340" t="s">
        <v>2374</v>
      </c>
      <c r="E2374" s="190">
        <v>12</v>
      </c>
      <c r="F2374" s="190">
        <f>'HIRE CHARGES'!$E$497</f>
        <v>315.2</v>
      </c>
      <c r="G2374" s="190">
        <f t="shared" ref="G2374:G2385" si="44">E2374*F2374</f>
        <v>3782.3999999999996</v>
      </c>
    </row>
    <row r="2375" spans="2:7">
      <c r="B2375" s="105">
        <v>2</v>
      </c>
      <c r="C2375" s="135" t="s">
        <v>6209</v>
      </c>
      <c r="D2375" s="340" t="s">
        <v>2374</v>
      </c>
      <c r="E2375" s="190">
        <v>12</v>
      </c>
      <c r="F2375" s="190">
        <f>'HIRE CHARGES'!$D$501</f>
        <v>405.4</v>
      </c>
      <c r="G2375" s="190">
        <f t="shared" si="44"/>
        <v>4864.7999999999993</v>
      </c>
    </row>
    <row r="2376" spans="2:7">
      <c r="B2376" s="317"/>
      <c r="C2376" s="135" t="s">
        <v>2379</v>
      </c>
      <c r="D2376" s="340" t="s">
        <v>2374</v>
      </c>
      <c r="E2376" s="190">
        <v>12</v>
      </c>
      <c r="F2376" s="190">
        <f>'HIRE CHARGES'!$E$501</f>
        <v>252.2</v>
      </c>
      <c r="G2376" s="190">
        <f t="shared" si="44"/>
        <v>3026.3999999999996</v>
      </c>
    </row>
    <row r="2377" spans="2:7">
      <c r="B2377" s="105">
        <v>3</v>
      </c>
      <c r="C2377" s="135" t="s">
        <v>4225</v>
      </c>
      <c r="D2377" s="340" t="s">
        <v>2374</v>
      </c>
      <c r="E2377" s="190">
        <v>32</v>
      </c>
      <c r="F2377" s="190">
        <f>'HIRE CHARGES'!$D$492</f>
        <v>758.40000000000009</v>
      </c>
      <c r="G2377" s="190">
        <f t="shared" si="44"/>
        <v>24268.800000000003</v>
      </c>
    </row>
    <row r="2378" spans="2:7">
      <c r="B2378" s="317"/>
      <c r="C2378" s="135" t="s">
        <v>2379</v>
      </c>
      <c r="D2378" s="340" t="s">
        <v>2374</v>
      </c>
      <c r="E2378" s="190">
        <v>32</v>
      </c>
      <c r="F2378" s="190">
        <f>'HIRE CHARGES'!$E$492</f>
        <v>872.7</v>
      </c>
      <c r="G2378" s="190">
        <f t="shared" si="44"/>
        <v>27926.400000000001</v>
      </c>
    </row>
    <row r="2379" spans="2:7">
      <c r="B2379" s="105">
        <v>4</v>
      </c>
      <c r="C2379" s="135" t="s">
        <v>4377</v>
      </c>
      <c r="D2379" s="340" t="s">
        <v>2374</v>
      </c>
      <c r="E2379" s="190">
        <v>16</v>
      </c>
      <c r="F2379" s="190">
        <f>IF(F2378=0,0,'HIRE CHARGES'!D562)</f>
        <v>1004.3</v>
      </c>
      <c r="G2379" s="190">
        <f t="shared" si="44"/>
        <v>16068.8</v>
      </c>
    </row>
    <row r="2380" spans="2:7">
      <c r="B2380" s="317"/>
      <c r="C2380" s="135" t="s">
        <v>2379</v>
      </c>
      <c r="D2380" s="340" t="s">
        <v>2374</v>
      </c>
      <c r="E2380" s="190">
        <v>16</v>
      </c>
      <c r="F2380" s="190">
        <f>IF(F2379=0,0,'HIRE CHARGES'!E562)</f>
        <v>336.2</v>
      </c>
      <c r="G2380" s="190">
        <f t="shared" si="44"/>
        <v>5379.2</v>
      </c>
    </row>
    <row r="2381" spans="2:7">
      <c r="B2381" s="105">
        <v>5</v>
      </c>
      <c r="C2381" s="135" t="s">
        <v>3585</v>
      </c>
      <c r="D2381" s="340" t="s">
        <v>2374</v>
      </c>
      <c r="E2381" s="190">
        <v>8</v>
      </c>
      <c r="F2381" s="190">
        <f>'HIRE CHARGES'!$D$532</f>
        <v>8</v>
      </c>
      <c r="G2381" s="190">
        <f t="shared" si="44"/>
        <v>64</v>
      </c>
    </row>
    <row r="2382" spans="2:7">
      <c r="B2382" s="317"/>
      <c r="C2382" s="135" t="s">
        <v>2379</v>
      </c>
      <c r="D2382" s="340" t="s">
        <v>2374</v>
      </c>
      <c r="E2382" s="190">
        <v>8</v>
      </c>
      <c r="F2382" s="190">
        <f>'HIRE CHARGES'!$E$532</f>
        <v>5.6</v>
      </c>
      <c r="G2382" s="190">
        <f t="shared" si="44"/>
        <v>44.8</v>
      </c>
    </row>
    <row r="2383" spans="2:7">
      <c r="B2383" s="105">
        <v>6</v>
      </c>
      <c r="C2383" s="135" t="s">
        <v>4227</v>
      </c>
      <c r="D2383" s="340" t="s">
        <v>2374</v>
      </c>
      <c r="E2383" s="190">
        <v>8</v>
      </c>
      <c r="F2383" s="190">
        <f>'HIRE CHARGES'!$D$520</f>
        <v>6.7</v>
      </c>
      <c r="G2383" s="190">
        <f t="shared" si="44"/>
        <v>53.6</v>
      </c>
    </row>
    <row r="2384" spans="2:7">
      <c r="B2384" s="317"/>
      <c r="C2384" s="135" t="s">
        <v>2379</v>
      </c>
      <c r="D2384" s="340" t="s">
        <v>2374</v>
      </c>
      <c r="E2384" s="190">
        <v>8</v>
      </c>
      <c r="F2384" s="190">
        <f>'HIRE CHARGES'!$E$520</f>
        <v>56</v>
      </c>
      <c r="G2384" s="190">
        <f t="shared" si="44"/>
        <v>448</v>
      </c>
    </row>
    <row r="2385" spans="2:7">
      <c r="B2385" s="105">
        <v>7</v>
      </c>
      <c r="C2385" s="135" t="s">
        <v>2373</v>
      </c>
      <c r="D2385" s="340" t="s">
        <v>2173</v>
      </c>
      <c r="E2385" s="190">
        <v>5</v>
      </c>
      <c r="F2385" s="214">
        <f>'BASIC DATA'!$D$359</f>
        <v>30</v>
      </c>
      <c r="G2385" s="190">
        <f t="shared" si="44"/>
        <v>150</v>
      </c>
    </row>
    <row r="2386" spans="2:7">
      <c r="B2386" s="176"/>
      <c r="C2386" s="172" t="s">
        <v>2380</v>
      </c>
      <c r="D2386" s="174"/>
      <c r="E2386" s="192"/>
      <c r="F2386" s="236" t="s">
        <v>1698</v>
      </c>
      <c r="G2386" s="318">
        <f>SUM(G2373:G2385)</f>
        <v>88810.000000000015</v>
      </c>
    </row>
    <row r="2387" spans="2:7">
      <c r="B2387" s="78"/>
    </row>
    <row r="2388" spans="2:7">
      <c r="B2388" s="79" t="s">
        <v>2381</v>
      </c>
    </row>
    <row r="2389" spans="2:7">
      <c r="B2389" s="95" t="s">
        <v>2369</v>
      </c>
      <c r="C2389" s="157" t="s">
        <v>2378</v>
      </c>
      <c r="D2389" s="95" t="s">
        <v>2370</v>
      </c>
      <c r="E2389" s="95" t="s">
        <v>1166</v>
      </c>
      <c r="F2389" s="95" t="s">
        <v>2371</v>
      </c>
      <c r="G2389" s="95" t="s">
        <v>2372</v>
      </c>
    </row>
    <row r="2390" spans="2:7">
      <c r="B2390" s="114"/>
      <c r="C2390" s="154"/>
      <c r="D2390" s="114"/>
      <c r="E2390" s="114"/>
      <c r="F2390" s="114" t="s">
        <v>3485</v>
      </c>
      <c r="G2390" s="114" t="s">
        <v>3485</v>
      </c>
    </row>
    <row r="2391" spans="2:7">
      <c r="B2391" s="105">
        <v>1</v>
      </c>
      <c r="C2391" s="76" t="s">
        <v>3586</v>
      </c>
      <c r="D2391" s="340" t="s">
        <v>2374</v>
      </c>
      <c r="E2391" s="207">
        <v>16</v>
      </c>
      <c r="F2391" s="190">
        <f>'HIRE CHARGES'!$F$497</f>
        <v>164.8</v>
      </c>
      <c r="G2391" s="190">
        <f>E2391*F2391</f>
        <v>2636.8</v>
      </c>
    </row>
    <row r="2392" spans="2:7">
      <c r="B2392" s="105">
        <v>2</v>
      </c>
      <c r="C2392" s="76" t="s">
        <v>3587</v>
      </c>
      <c r="D2392" s="340" t="s">
        <v>2374</v>
      </c>
      <c r="E2392" s="207">
        <v>16</v>
      </c>
      <c r="F2392" s="190">
        <f>'HIRE CHARGES'!$F$501</f>
        <v>340.6</v>
      </c>
      <c r="G2392" s="190">
        <f t="shared" ref="G2392:G2423" si="45">E2392*F2392</f>
        <v>5449.6</v>
      </c>
    </row>
    <row r="2393" spans="2:7">
      <c r="B2393" s="105">
        <v>3</v>
      </c>
      <c r="C2393" s="76" t="s">
        <v>3115</v>
      </c>
      <c r="D2393" s="340" t="s">
        <v>2374</v>
      </c>
      <c r="E2393" s="207">
        <v>32</v>
      </c>
      <c r="F2393" s="190">
        <f>'HIRE CHARGES'!$F$492</f>
        <v>283.89999999999998</v>
      </c>
      <c r="G2393" s="190">
        <f t="shared" si="45"/>
        <v>9084.7999999999993</v>
      </c>
    </row>
    <row r="2394" spans="2:7">
      <c r="B2394" s="105">
        <v>4</v>
      </c>
      <c r="C2394" s="76" t="s">
        <v>4359</v>
      </c>
      <c r="D2394" s="340" t="s">
        <v>2374</v>
      </c>
      <c r="E2394" s="207">
        <v>16</v>
      </c>
      <c r="F2394" s="190">
        <f>IF(F2393=0,0,'HIRE CHARGES'!F562)</f>
        <v>164.8</v>
      </c>
      <c r="G2394" s="190">
        <f t="shared" si="45"/>
        <v>2636.8</v>
      </c>
    </row>
    <row r="2395" spans="2:7">
      <c r="B2395" s="105">
        <v>5</v>
      </c>
      <c r="C2395" s="76" t="s">
        <v>4360</v>
      </c>
      <c r="D2395" s="340" t="s">
        <v>2374</v>
      </c>
      <c r="E2395" s="207">
        <v>8</v>
      </c>
      <c r="F2395" s="190">
        <f>'HIRE CHARGES'!$F$532</f>
        <v>158.19999999999999</v>
      </c>
      <c r="G2395" s="190">
        <f t="shared" si="45"/>
        <v>1265.5999999999999</v>
      </c>
    </row>
    <row r="2396" spans="2:7">
      <c r="B2396" s="105">
        <v>6</v>
      </c>
      <c r="C2396" s="76" t="s">
        <v>5858</v>
      </c>
      <c r="D2396" s="340" t="s">
        <v>2374</v>
      </c>
      <c r="E2396" s="207">
        <v>8</v>
      </c>
      <c r="F2396" s="190">
        <f>'HIRE CHARGES'!$F$520</f>
        <v>83.3</v>
      </c>
      <c r="G2396" s="190">
        <f t="shared" si="45"/>
        <v>666.4</v>
      </c>
    </row>
    <row r="2397" spans="2:7">
      <c r="B2397" s="105">
        <v>7</v>
      </c>
      <c r="C2397" s="76" t="s">
        <v>1874</v>
      </c>
      <c r="D2397" s="340"/>
      <c r="E2397" s="207"/>
      <c r="F2397" s="190"/>
      <c r="G2397" s="190"/>
    </row>
    <row r="2398" spans="2:7">
      <c r="B2398" s="317"/>
      <c r="C2398" s="76" t="s">
        <v>3404</v>
      </c>
      <c r="D2398" s="340" t="s">
        <v>1172</v>
      </c>
      <c r="E2398" s="207">
        <v>0.5</v>
      </c>
      <c r="F2398" s="190">
        <f>'BASIC DATA'!$C$545</f>
        <v>400</v>
      </c>
      <c r="G2398" s="190">
        <f t="shared" si="45"/>
        <v>200</v>
      </c>
    </row>
    <row r="2399" spans="2:7">
      <c r="B2399" s="317"/>
      <c r="C2399" s="76" t="s">
        <v>2697</v>
      </c>
      <c r="D2399" s="340" t="s">
        <v>1172</v>
      </c>
      <c r="E2399" s="207">
        <v>1</v>
      </c>
      <c r="F2399" s="190">
        <f>'BASIC DATA'!$C$552</f>
        <v>350</v>
      </c>
      <c r="G2399" s="190">
        <f t="shared" si="45"/>
        <v>350</v>
      </c>
    </row>
    <row r="2400" spans="2:7">
      <c r="B2400" s="105">
        <v>8</v>
      </c>
      <c r="C2400" s="76" t="s">
        <v>1875</v>
      </c>
      <c r="D2400" s="340"/>
      <c r="E2400" s="207"/>
      <c r="F2400" s="190"/>
      <c r="G2400" s="190"/>
    </row>
    <row r="2401" spans="2:7">
      <c r="B2401" s="317"/>
      <c r="C2401" s="76" t="s">
        <v>1876</v>
      </c>
      <c r="D2401" s="340" t="s">
        <v>1172</v>
      </c>
      <c r="E2401" s="207">
        <v>0.5</v>
      </c>
      <c r="F2401" s="190">
        <f>'BASIC DATA'!$C$558</f>
        <v>645</v>
      </c>
      <c r="G2401" s="190">
        <f t="shared" si="45"/>
        <v>322.5</v>
      </c>
    </row>
    <row r="2402" spans="2:7">
      <c r="B2402" s="317"/>
      <c r="C2402" s="76" t="s">
        <v>5733</v>
      </c>
      <c r="D2402" s="340" t="s">
        <v>1172</v>
      </c>
      <c r="E2402" s="207">
        <v>0.5</v>
      </c>
      <c r="F2402" s="190">
        <f>'BASIC DATA'!$C$515</f>
        <v>400</v>
      </c>
      <c r="G2402" s="190">
        <f t="shared" si="45"/>
        <v>200</v>
      </c>
    </row>
    <row r="2403" spans="2:7">
      <c r="B2403" s="317"/>
      <c r="C2403" s="76" t="s">
        <v>1877</v>
      </c>
      <c r="D2403" s="340" t="s">
        <v>1172</v>
      </c>
      <c r="E2403" s="207">
        <v>1</v>
      </c>
      <c r="F2403" s="190">
        <f>'BASIC DATA'!$C$529</f>
        <v>400</v>
      </c>
      <c r="G2403" s="190">
        <f t="shared" si="45"/>
        <v>400</v>
      </c>
    </row>
    <row r="2404" spans="2:7">
      <c r="B2404" s="317"/>
      <c r="C2404" s="76" t="s">
        <v>1878</v>
      </c>
      <c r="D2404" s="340" t="s">
        <v>1172</v>
      </c>
      <c r="E2404" s="207">
        <v>3</v>
      </c>
      <c r="F2404" s="190">
        <f>'BASIC DATA'!$C$500</f>
        <v>445</v>
      </c>
      <c r="G2404" s="190">
        <f t="shared" si="45"/>
        <v>1335</v>
      </c>
    </row>
    <row r="2405" spans="2:7">
      <c r="B2405" s="317"/>
      <c r="C2405" s="76" t="s">
        <v>983</v>
      </c>
      <c r="D2405" s="340" t="s">
        <v>1172</v>
      </c>
      <c r="E2405" s="207">
        <v>1</v>
      </c>
      <c r="F2405" s="190">
        <f>'BASIC DATA'!$C$552</f>
        <v>350</v>
      </c>
      <c r="G2405" s="190">
        <f t="shared" si="45"/>
        <v>350</v>
      </c>
    </row>
    <row r="2406" spans="2:7">
      <c r="B2406" s="105">
        <v>9</v>
      </c>
      <c r="C2406" s="76" t="s">
        <v>1879</v>
      </c>
      <c r="D2406" s="340"/>
      <c r="E2406" s="207"/>
      <c r="F2406" s="190"/>
      <c r="G2406" s="190"/>
    </row>
    <row r="2407" spans="2:7">
      <c r="B2407" s="317"/>
      <c r="C2407" s="76" t="s">
        <v>1876</v>
      </c>
      <c r="D2407" s="340" t="s">
        <v>1172</v>
      </c>
      <c r="E2407" s="207">
        <v>0.5</v>
      </c>
      <c r="F2407" s="190">
        <f>'BASIC DATA'!$C$558</f>
        <v>645</v>
      </c>
      <c r="G2407" s="190">
        <f t="shared" si="45"/>
        <v>322.5</v>
      </c>
    </row>
    <row r="2408" spans="2:7">
      <c r="B2408" s="317"/>
      <c r="C2408" s="76" t="s">
        <v>2468</v>
      </c>
      <c r="D2408" s="340" t="s">
        <v>1172</v>
      </c>
      <c r="E2408" s="207">
        <v>0.5</v>
      </c>
      <c r="F2408" s="190">
        <f>'BASIC DATA'!$C$471</f>
        <v>510</v>
      </c>
      <c r="G2408" s="190">
        <f t="shared" si="45"/>
        <v>255</v>
      </c>
    </row>
    <row r="2409" spans="2:7">
      <c r="B2409" s="317"/>
      <c r="C2409" s="76" t="s">
        <v>5733</v>
      </c>
      <c r="D2409" s="340" t="s">
        <v>1172</v>
      </c>
      <c r="E2409" s="207">
        <v>0.5</v>
      </c>
      <c r="F2409" s="190">
        <f>'BASIC DATA'!$C$515</f>
        <v>400</v>
      </c>
      <c r="G2409" s="190">
        <f t="shared" si="45"/>
        <v>200</v>
      </c>
    </row>
    <row r="2410" spans="2:7">
      <c r="B2410" s="317"/>
      <c r="C2410" s="76" t="s">
        <v>1877</v>
      </c>
      <c r="D2410" s="340" t="s">
        <v>1172</v>
      </c>
      <c r="E2410" s="207">
        <v>1</v>
      </c>
      <c r="F2410" s="190">
        <f>'BASIC DATA'!$C$529</f>
        <v>400</v>
      </c>
      <c r="G2410" s="190">
        <f t="shared" si="45"/>
        <v>400</v>
      </c>
    </row>
    <row r="2411" spans="2:7">
      <c r="B2411" s="317"/>
      <c r="C2411" s="76" t="s">
        <v>1878</v>
      </c>
      <c r="D2411" s="340" t="s">
        <v>1172</v>
      </c>
      <c r="E2411" s="207">
        <v>3</v>
      </c>
      <c r="F2411" s="190">
        <f>'BASIC DATA'!$C$500</f>
        <v>445</v>
      </c>
      <c r="G2411" s="190">
        <f t="shared" si="45"/>
        <v>1335</v>
      </c>
    </row>
    <row r="2412" spans="2:7">
      <c r="B2412" s="317"/>
      <c r="C2412" s="76" t="s">
        <v>983</v>
      </c>
      <c r="D2412" s="340" t="s">
        <v>1172</v>
      </c>
      <c r="E2412" s="207">
        <v>1</v>
      </c>
      <c r="F2412" s="190">
        <f>'BASIC DATA'!$C$552</f>
        <v>350</v>
      </c>
      <c r="G2412" s="190">
        <f t="shared" si="45"/>
        <v>350</v>
      </c>
    </row>
    <row r="2413" spans="2:7">
      <c r="B2413" s="105">
        <v>10</v>
      </c>
      <c r="C2413" s="76" t="s">
        <v>4684</v>
      </c>
      <c r="D2413" s="340"/>
      <c r="E2413" s="207"/>
      <c r="F2413" s="190"/>
      <c r="G2413" s="190"/>
    </row>
    <row r="2414" spans="2:7">
      <c r="B2414" s="280"/>
      <c r="C2414" s="76" t="s">
        <v>2697</v>
      </c>
      <c r="D2414" s="340" t="s">
        <v>1172</v>
      </c>
      <c r="E2414" s="207">
        <v>5</v>
      </c>
      <c r="F2414" s="190">
        <f>'BASIC DATA'!$C$552</f>
        <v>350</v>
      </c>
      <c r="G2414" s="190">
        <f t="shared" si="45"/>
        <v>1750</v>
      </c>
    </row>
    <row r="2415" spans="2:7">
      <c r="B2415" s="105">
        <v>11</v>
      </c>
      <c r="C2415" s="76" t="s">
        <v>1880</v>
      </c>
      <c r="D2415" s="340"/>
      <c r="E2415" s="207"/>
      <c r="F2415" s="190"/>
      <c r="G2415" s="190"/>
    </row>
    <row r="2416" spans="2:7">
      <c r="B2416" s="280"/>
      <c r="C2416" s="76" t="s">
        <v>2697</v>
      </c>
      <c r="D2416" s="340" t="s">
        <v>1172</v>
      </c>
      <c r="E2416" s="207">
        <v>2</v>
      </c>
      <c r="F2416" s="190">
        <f>'BASIC DATA'!$C$552</f>
        <v>350</v>
      </c>
      <c r="G2416" s="190">
        <f t="shared" si="45"/>
        <v>700</v>
      </c>
    </row>
    <row r="2417" spans="2:7">
      <c r="B2417" s="105">
        <v>12</v>
      </c>
      <c r="C2417" s="76" t="s">
        <v>5292</v>
      </c>
      <c r="D2417" s="340" t="s">
        <v>3479</v>
      </c>
      <c r="E2417" s="207">
        <v>6</v>
      </c>
      <c r="F2417" s="190">
        <f>G2337</f>
        <v>88.5</v>
      </c>
      <c r="G2417" s="190">
        <f t="shared" si="45"/>
        <v>531</v>
      </c>
    </row>
    <row r="2418" spans="2:7">
      <c r="B2418" s="105">
        <v>13</v>
      </c>
      <c r="C2418" s="76" t="s">
        <v>5293</v>
      </c>
      <c r="D2418" s="340"/>
      <c r="E2418" s="207"/>
      <c r="F2418" s="190"/>
      <c r="G2418" s="190"/>
    </row>
    <row r="2419" spans="2:7">
      <c r="B2419" s="280"/>
      <c r="C2419" s="76" t="s">
        <v>4688</v>
      </c>
      <c r="D2419" s="340" t="s">
        <v>1172</v>
      </c>
      <c r="E2419" s="207">
        <v>3</v>
      </c>
      <c r="F2419" s="190">
        <f>'BASIC DATA'!$C$474</f>
        <v>445</v>
      </c>
      <c r="G2419" s="190">
        <f t="shared" si="45"/>
        <v>1335</v>
      </c>
    </row>
    <row r="2420" spans="2:7">
      <c r="B2420" s="280"/>
      <c r="C2420" s="76" t="s">
        <v>2697</v>
      </c>
      <c r="D2420" s="340" t="s">
        <v>1172</v>
      </c>
      <c r="E2420" s="207">
        <v>9</v>
      </c>
      <c r="F2420" s="190">
        <f>'BASIC DATA'!$C$552</f>
        <v>350</v>
      </c>
      <c r="G2420" s="190">
        <f t="shared" si="45"/>
        <v>3150</v>
      </c>
    </row>
    <row r="2421" spans="2:7">
      <c r="B2421" s="280"/>
      <c r="C2421" s="76" t="s">
        <v>4206</v>
      </c>
      <c r="D2421" s="340" t="s">
        <v>1172</v>
      </c>
      <c r="E2421" s="207">
        <v>3</v>
      </c>
      <c r="F2421" s="190">
        <f>'BASIC DATA'!$C$473</f>
        <v>450</v>
      </c>
      <c r="G2421" s="190">
        <f t="shared" si="45"/>
        <v>1350</v>
      </c>
    </row>
    <row r="2422" spans="2:7">
      <c r="B2422" s="105">
        <v>14</v>
      </c>
      <c r="C2422" s="76" t="s">
        <v>5294</v>
      </c>
      <c r="D2422" s="340"/>
      <c r="E2422" s="207"/>
      <c r="F2422" s="190"/>
      <c r="G2422" s="190"/>
    </row>
    <row r="2423" spans="2:7">
      <c r="B2423" s="280"/>
      <c r="C2423" s="76" t="s">
        <v>2696</v>
      </c>
      <c r="D2423" s="340" t="s">
        <v>1172</v>
      </c>
      <c r="E2423" s="207">
        <v>3</v>
      </c>
      <c r="F2423" s="190">
        <f>'BASIC DATA'!$C$552</f>
        <v>350</v>
      </c>
      <c r="G2423" s="190">
        <f t="shared" si="45"/>
        <v>1050</v>
      </c>
    </row>
    <row r="2424" spans="2:7">
      <c r="B2424" s="92"/>
      <c r="C2424" s="193" t="s">
        <v>1174</v>
      </c>
      <c r="D2424" s="159"/>
      <c r="E2424" s="238"/>
      <c r="F2424" s="236" t="s">
        <v>1698</v>
      </c>
      <c r="G2424" s="318">
        <f>SUM(G2391:G2423)</f>
        <v>37626</v>
      </c>
    </row>
    <row r="2425" spans="2:7">
      <c r="B2425" s="60" t="s">
        <v>5948</v>
      </c>
      <c r="D2425" s="31"/>
      <c r="E2425" s="85">
        <f>ROUND(G2424/F2354,1)</f>
        <v>783.9</v>
      </c>
    </row>
    <row r="2426" spans="2:7">
      <c r="B2426" s="60" t="s">
        <v>3163</v>
      </c>
      <c r="D2426" s="922">
        <f>'BASIC DATA'!$C$577</f>
        <v>0.13614999999999999</v>
      </c>
      <c r="E2426" s="85">
        <f>ROUND(E2425*D2426,1)</f>
        <v>106.7</v>
      </c>
    </row>
    <row r="2427" spans="2:7">
      <c r="B2427" s="60" t="s">
        <v>5949</v>
      </c>
      <c r="D2427" s="31"/>
      <c r="E2427" s="199">
        <f>ROUND(E2426+E2425,1)</f>
        <v>890.6</v>
      </c>
    </row>
    <row r="2428" spans="2:7"/>
    <row r="2429" spans="2:7">
      <c r="B2429" s="170" t="s">
        <v>1175</v>
      </c>
    </row>
    <row r="2430" spans="2:7">
      <c r="B2430" s="26" t="s">
        <v>1176</v>
      </c>
      <c r="F2430" s="171" t="s">
        <v>1698</v>
      </c>
      <c r="G2430" s="68">
        <f>G2368</f>
        <v>149245.00516140001</v>
      </c>
    </row>
    <row r="2431" spans="2:7">
      <c r="B2431" s="26" t="s">
        <v>1186</v>
      </c>
      <c r="F2431" s="171" t="s">
        <v>1698</v>
      </c>
      <c r="G2431" s="68">
        <f>G2386</f>
        <v>88810.000000000015</v>
      </c>
    </row>
    <row r="2432" spans="2:7">
      <c r="B2432" s="26" t="s">
        <v>2660</v>
      </c>
      <c r="F2432" s="171" t="s">
        <v>1698</v>
      </c>
      <c r="G2432" s="75">
        <f>G2424</f>
        <v>37626</v>
      </c>
    </row>
    <row r="2433" spans="1:7">
      <c r="E2433" s="171"/>
      <c r="F2433" s="171" t="s">
        <v>302</v>
      </c>
      <c r="G2433" s="205">
        <f>SUM(G2430:G2432)</f>
        <v>275681.00516140001</v>
      </c>
    </row>
    <row r="2434" spans="1:7">
      <c r="A2434" s="853"/>
      <c r="B2434" s="61" t="s">
        <v>2313</v>
      </c>
      <c r="C2434" s="61"/>
      <c r="D2434" s="61"/>
      <c r="E2434" s="320">
        <f>'BASIC DATA'!$C$595</f>
        <v>0.01</v>
      </c>
      <c r="F2434" s="222" t="s">
        <v>1698</v>
      </c>
      <c r="G2434" s="321">
        <f>E2434*$G$2433</f>
        <v>2756.8100516140003</v>
      </c>
    </row>
    <row r="2435" spans="1:7">
      <c r="A2435" s="853"/>
      <c r="B2435" s="61" t="s">
        <v>2314</v>
      </c>
      <c r="C2435" s="61"/>
      <c r="D2435" s="61"/>
      <c r="E2435" s="291">
        <f>'BASIC DATA'!$C$596</f>
        <v>4.4999999999999998E-2</v>
      </c>
      <c r="F2435" s="222" t="s">
        <v>1698</v>
      </c>
      <c r="G2435" s="321">
        <f>E2435*$G$2433</f>
        <v>12405.645232262999</v>
      </c>
    </row>
    <row r="2436" spans="1:7">
      <c r="A2436" s="853"/>
      <c r="B2436" s="61" t="s">
        <v>2315</v>
      </c>
      <c r="C2436" s="61"/>
      <c r="D2436" s="61"/>
      <c r="E2436" s="291">
        <f>'BASIC DATA'!$C$597</f>
        <v>1.6E-2</v>
      </c>
      <c r="F2436" s="222" t="s">
        <v>1698</v>
      </c>
      <c r="G2436" s="321">
        <f>E2436*$G$2433</f>
        <v>4410.8960825824006</v>
      </c>
    </row>
    <row r="2437" spans="1:7">
      <c r="A2437" s="853"/>
      <c r="B2437" s="61" t="s">
        <v>1259</v>
      </c>
      <c r="C2437" s="61"/>
      <c r="D2437" s="61"/>
      <c r="E2437" s="291">
        <f>'BASIC DATA'!$C$598</f>
        <v>2.5000000000000001E-2</v>
      </c>
      <c r="F2437" s="222" t="s">
        <v>1698</v>
      </c>
      <c r="G2437" s="321">
        <f>E2437*$G$2433</f>
        <v>6892.0251290350006</v>
      </c>
    </row>
    <row r="2438" spans="1:7">
      <c r="A2438" s="853"/>
      <c r="B2438" s="61"/>
      <c r="C2438" s="61"/>
      <c r="D2438" s="61"/>
      <c r="E2438" s="291"/>
      <c r="F2438" s="171" t="s">
        <v>302</v>
      </c>
      <c r="G2438" s="205">
        <f>SUM(G2433:G2437)</f>
        <v>302146.38165689446</v>
      </c>
    </row>
    <row r="2439" spans="1:7" ht="36.75" customHeight="1">
      <c r="B2439" s="1207" t="s">
        <v>6259</v>
      </c>
      <c r="C2439" s="1207"/>
      <c r="D2439" s="1207"/>
      <c r="E2439" s="922">
        <f>'BASIC DATA'!$C$577</f>
        <v>0.13614999999999999</v>
      </c>
      <c r="F2439" s="171" t="s">
        <v>1698</v>
      </c>
      <c r="G2439" s="75">
        <f>G2438*E2439</f>
        <v>41137.22986258618</v>
      </c>
    </row>
    <row r="2440" spans="1:7">
      <c r="B2440" s="27" t="s">
        <v>9590</v>
      </c>
      <c r="C2440" s="43"/>
      <c r="D2440" s="779">
        <f>E2360</f>
        <v>19.200000000000003</v>
      </c>
      <c r="E2440" s="201" t="s">
        <v>9591</v>
      </c>
      <c r="F2440" s="68" t="str">
        <f>CONCATENATE((leadcharges!$D$65)," ","Rs./Cum")</f>
        <v>31.5 Rs./Cum</v>
      </c>
      <c r="G2440" s="200">
        <f>leadcharges!$D$65*D2440</f>
        <v>604.80000000000007</v>
      </c>
    </row>
    <row r="2441" spans="1:7">
      <c r="B2441" s="27" t="s">
        <v>9589</v>
      </c>
      <c r="C2441" s="43"/>
      <c r="D2441" s="779">
        <f>SUM(E2361:E2363)</f>
        <v>43.2</v>
      </c>
      <c r="E2441" s="201" t="s">
        <v>9591</v>
      </c>
      <c r="F2441" s="68" t="str">
        <f>CONCATENATE((leadcharges!$E$65)," ","Rs./Cum")</f>
        <v>30.4 Rs./Cum</v>
      </c>
      <c r="G2441" s="294">
        <f>leadcharges!$E$65*D2441</f>
        <v>1313.28</v>
      </c>
    </row>
    <row r="2442" spans="1:7" ht="35.25" hidden="1" customHeight="1">
      <c r="B2442" s="1207"/>
      <c r="C2442" s="1207"/>
      <c r="D2442" s="779"/>
      <c r="E2442" s="201"/>
      <c r="F2442" s="68"/>
      <c r="G2442" s="200"/>
    </row>
    <row r="2443" spans="1:7">
      <c r="B2443" s="26" t="s">
        <v>1191</v>
      </c>
      <c r="D2443" s="68">
        <f>F2354</f>
        <v>48</v>
      </c>
      <c r="E2443" s="68" t="str">
        <f>G2354</f>
        <v>cum</v>
      </c>
      <c r="F2443" s="171" t="s">
        <v>1698</v>
      </c>
      <c r="G2443" s="211">
        <f>SUM(G2438:G2442)</f>
        <v>345201.69151948066</v>
      </c>
    </row>
    <row r="2444" spans="1:7">
      <c r="B2444" s="170" t="s">
        <v>3884</v>
      </c>
      <c r="C2444" s="170" t="str">
        <f>E2443</f>
        <v>cum</v>
      </c>
      <c r="D2444" s="26" t="s">
        <v>6575</v>
      </c>
      <c r="F2444" s="171" t="s">
        <v>1698</v>
      </c>
      <c r="G2444" s="211">
        <f>ROUND(G2443/D2443,1)</f>
        <v>7191.7</v>
      </c>
    </row>
    <row r="2445" spans="1:7">
      <c r="B2445" s="78"/>
    </row>
    <row r="2446" spans="1:7">
      <c r="A2446" s="822" t="s">
        <v>7414</v>
      </c>
      <c r="B2446" s="170" t="s">
        <v>3461</v>
      </c>
    </row>
    <row r="2447" spans="1:7">
      <c r="A2447" s="865"/>
    </row>
    <row r="2448" spans="1:7" ht="18.75">
      <c r="A2448" s="822" t="s">
        <v>7415</v>
      </c>
      <c r="B2448" s="26" t="s">
        <v>8626</v>
      </c>
    </row>
    <row r="2449" spans="1:7">
      <c r="A2449" s="865"/>
      <c r="B2449" s="26" t="s">
        <v>1870</v>
      </c>
    </row>
    <row r="2450" spans="1:7">
      <c r="A2450" s="865"/>
      <c r="B2450" s="26" t="s">
        <v>6264</v>
      </c>
    </row>
    <row r="2451" spans="1:7">
      <c r="A2451" s="865"/>
      <c r="B2451" s="26" t="s">
        <v>6265</v>
      </c>
    </row>
    <row r="2452" spans="1:7">
      <c r="A2452" s="865"/>
    </row>
    <row r="2453" spans="1:7" hidden="1">
      <c r="A2453" s="865" t="s">
        <v>3984</v>
      </c>
      <c r="B2453" s="26" t="s">
        <v>6266</v>
      </c>
      <c r="E2453" s="315" t="s">
        <v>1697</v>
      </c>
      <c r="F2453" s="26">
        <v>32</v>
      </c>
      <c r="G2453" s="26" t="s">
        <v>4938</v>
      </c>
    </row>
    <row r="2454" spans="1:7" hidden="1">
      <c r="A2454" s="865"/>
      <c r="B2454" s="26" t="s">
        <v>6267</v>
      </c>
    </row>
    <row r="2455" spans="1:7" hidden="1">
      <c r="A2455" s="865"/>
      <c r="B2455" s="26" t="s">
        <v>6268</v>
      </c>
      <c r="F2455" s="26">
        <v>8</v>
      </c>
      <c r="G2455" s="26" t="s">
        <v>4943</v>
      </c>
    </row>
    <row r="2456" spans="1:7" hidden="1">
      <c r="A2456" s="865"/>
      <c r="B2456" s="26" t="s">
        <v>6269</v>
      </c>
    </row>
    <row r="2457" spans="1:7" hidden="1">
      <c r="A2457" s="865"/>
      <c r="B2457" s="26" t="s">
        <v>4164</v>
      </c>
    </row>
    <row r="2458" spans="1:7" hidden="1">
      <c r="A2458" s="865"/>
      <c r="B2458" s="26" t="s">
        <v>4445</v>
      </c>
      <c r="E2458" s="315" t="s">
        <v>1697</v>
      </c>
      <c r="F2458" s="26">
        <v>4</v>
      </c>
      <c r="G2458" s="26" t="s">
        <v>4943</v>
      </c>
    </row>
    <row r="2459" spans="1:7" hidden="1">
      <c r="A2459" s="865"/>
      <c r="B2459" s="26" t="s">
        <v>1192</v>
      </c>
    </row>
    <row r="2460" spans="1:7" hidden="1">
      <c r="A2460" s="865"/>
      <c r="B2460" s="26" t="s">
        <v>1886</v>
      </c>
    </row>
    <row r="2461" spans="1:7" hidden="1">
      <c r="A2461" s="865"/>
      <c r="B2461" s="26" t="s">
        <v>5803</v>
      </c>
    </row>
    <row r="2462" spans="1:7" hidden="1">
      <c r="A2462" s="865"/>
      <c r="B2462" s="26" t="s">
        <v>1149</v>
      </c>
    </row>
    <row r="2463" spans="1:7" hidden="1">
      <c r="A2463" s="865"/>
      <c r="B2463" s="26" t="s">
        <v>4944</v>
      </c>
      <c r="D2463" s="68">
        <f>'BASIC DATA'!$D$308</f>
        <v>6254</v>
      </c>
      <c r="E2463" s="26" t="s">
        <v>3481</v>
      </c>
      <c r="F2463" s="324" t="s">
        <v>1698</v>
      </c>
      <c r="G2463" s="68">
        <f>D2463</f>
        <v>6254</v>
      </c>
    </row>
    <row r="2464" spans="1:7" hidden="1">
      <c r="A2464" s="865"/>
      <c r="B2464" s="26" t="s">
        <v>5105</v>
      </c>
      <c r="D2464" s="78"/>
      <c r="E2464" s="315" t="s">
        <v>1697</v>
      </c>
      <c r="F2464" s="316">
        <v>150</v>
      </c>
    </row>
    <row r="2465" spans="1:7" hidden="1">
      <c r="A2465" s="865"/>
      <c r="B2465" s="26" t="s">
        <v>2352</v>
      </c>
      <c r="D2465" s="78" t="s">
        <v>7593</v>
      </c>
      <c r="F2465" s="324" t="s">
        <v>1698</v>
      </c>
      <c r="G2465" s="68">
        <f>G2463/F2464</f>
        <v>41.693333333333335</v>
      </c>
    </row>
    <row r="2466" spans="1:7" hidden="1">
      <c r="A2466" s="865"/>
      <c r="B2466" s="26" t="s">
        <v>4946</v>
      </c>
      <c r="D2466" s="202">
        <f>'BASIC DATA'!$D$344</f>
        <v>185</v>
      </c>
      <c r="E2466" s="26" t="s">
        <v>4945</v>
      </c>
      <c r="F2466" s="324" t="s">
        <v>1698</v>
      </c>
      <c r="G2466" s="68">
        <f>D2466*25</f>
        <v>4625</v>
      </c>
    </row>
    <row r="2467" spans="1:7" hidden="1">
      <c r="A2467" s="865"/>
      <c r="B2467" s="26" t="s">
        <v>5152</v>
      </c>
      <c r="D2467" s="186"/>
      <c r="E2467" s="315" t="s">
        <v>1697</v>
      </c>
      <c r="F2467" s="316">
        <v>800</v>
      </c>
      <c r="G2467" s="26" t="s">
        <v>4665</v>
      </c>
    </row>
    <row r="2468" spans="1:7" hidden="1">
      <c r="A2468" s="865"/>
      <c r="B2468" s="26" t="s">
        <v>396</v>
      </c>
      <c r="D2468" s="78" t="s">
        <v>7593</v>
      </c>
      <c r="F2468" s="324" t="s">
        <v>1698</v>
      </c>
      <c r="G2468" s="68">
        <f>G2466/F2467</f>
        <v>5.78125</v>
      </c>
    </row>
    <row r="2469" spans="1:7" hidden="1">
      <c r="A2469" s="865"/>
      <c r="B2469" s="26" t="s">
        <v>4947</v>
      </c>
      <c r="D2469" s="202">
        <f>'BASIC DATA'!$D$360</f>
        <v>185</v>
      </c>
      <c r="E2469" s="26" t="s">
        <v>4945</v>
      </c>
      <c r="F2469" s="324" t="s">
        <v>1698</v>
      </c>
      <c r="G2469" s="68">
        <f>D2469*25</f>
        <v>4625</v>
      </c>
    </row>
    <row r="2470" spans="1:7" hidden="1">
      <c r="A2470" s="865"/>
      <c r="B2470" s="26" t="s">
        <v>3943</v>
      </c>
      <c r="D2470" s="78"/>
      <c r="E2470" s="315" t="s">
        <v>1697</v>
      </c>
      <c r="F2470" s="316">
        <v>800</v>
      </c>
      <c r="G2470" s="26" t="s">
        <v>4665</v>
      </c>
    </row>
    <row r="2471" spans="1:7" hidden="1">
      <c r="A2471" s="865"/>
      <c r="B2471" s="26" t="s">
        <v>2353</v>
      </c>
      <c r="D2471" s="78" t="s">
        <v>7593</v>
      </c>
      <c r="F2471" s="324" t="s">
        <v>1698</v>
      </c>
      <c r="G2471" s="68">
        <f>G2469/F2470</f>
        <v>5.78125</v>
      </c>
    </row>
    <row r="2472" spans="1:7" hidden="1">
      <c r="A2472" s="865"/>
      <c r="B2472" s="26" t="s">
        <v>2354</v>
      </c>
    </row>
    <row r="2473" spans="1:7" hidden="1">
      <c r="B2473" s="78"/>
    </row>
    <row r="2474" spans="1:7">
      <c r="B2474" s="78"/>
    </row>
    <row r="2475" spans="1:7">
      <c r="A2475" s="822" t="s">
        <v>3984</v>
      </c>
      <c r="B2475" s="78"/>
      <c r="C2475" s="203" t="s">
        <v>2367</v>
      </c>
      <c r="E2475" s="171" t="s">
        <v>297</v>
      </c>
      <c r="F2475" s="246">
        <v>100</v>
      </c>
      <c r="G2475" s="68" t="s">
        <v>3483</v>
      </c>
    </row>
    <row r="2476" spans="1:7">
      <c r="B2476" s="79" t="s">
        <v>2368</v>
      </c>
    </row>
    <row r="2477" spans="1:7">
      <c r="B2477" s="95" t="s">
        <v>2369</v>
      </c>
      <c r="C2477" s="157" t="s">
        <v>4443</v>
      </c>
      <c r="D2477" s="95" t="s">
        <v>2370</v>
      </c>
      <c r="E2477" s="95" t="s">
        <v>1166</v>
      </c>
      <c r="F2477" s="95" t="s">
        <v>2371</v>
      </c>
      <c r="G2477" s="95" t="s">
        <v>2372</v>
      </c>
    </row>
    <row r="2478" spans="1:7">
      <c r="B2478" s="114"/>
      <c r="C2478" s="154"/>
      <c r="D2478" s="114"/>
      <c r="E2478" s="114"/>
      <c r="F2478" s="114" t="s">
        <v>3485</v>
      </c>
      <c r="G2478" s="114" t="s">
        <v>3485</v>
      </c>
    </row>
    <row r="2479" spans="1:7">
      <c r="B2479" s="95">
        <v>1</v>
      </c>
      <c r="C2479" s="135" t="s">
        <v>4212</v>
      </c>
      <c r="D2479" s="339" t="s">
        <v>3483</v>
      </c>
      <c r="E2479" s="190">
        <v>100</v>
      </c>
      <c r="F2479" s="214">
        <f>G2465</f>
        <v>41.693333333333335</v>
      </c>
      <c r="G2479" s="190">
        <f>E2479*F2479</f>
        <v>4169.3333333333339</v>
      </c>
    </row>
    <row r="2480" spans="1:7">
      <c r="B2480" s="317"/>
      <c r="C2480" s="135" t="s">
        <v>5125</v>
      </c>
      <c r="D2480" s="343">
        <v>0.1</v>
      </c>
      <c r="E2480" s="190"/>
      <c r="F2480" s="214"/>
      <c r="G2480" s="190">
        <f>G2479*D2480</f>
        <v>416.93333333333339</v>
      </c>
    </row>
    <row r="2481" spans="2:7">
      <c r="B2481" s="105">
        <v>2</v>
      </c>
      <c r="C2481" s="135" t="s">
        <v>6042</v>
      </c>
      <c r="D2481" s="340" t="s">
        <v>2374</v>
      </c>
      <c r="E2481" s="190">
        <v>32</v>
      </c>
      <c r="F2481" s="214">
        <f>G2468</f>
        <v>5.78125</v>
      </c>
      <c r="G2481" s="190">
        <f>E2481*F2481</f>
        <v>185</v>
      </c>
    </row>
    <row r="2482" spans="2:7">
      <c r="B2482" s="105">
        <v>3</v>
      </c>
      <c r="C2482" s="135" t="s">
        <v>656</v>
      </c>
      <c r="D2482" s="340" t="s">
        <v>2374</v>
      </c>
      <c r="E2482" s="190">
        <v>32</v>
      </c>
      <c r="F2482" s="214">
        <f>G2471</f>
        <v>5.78125</v>
      </c>
      <c r="G2482" s="190">
        <f>E2482*F2482</f>
        <v>185</v>
      </c>
    </row>
    <row r="2483" spans="2:7">
      <c r="B2483" s="114">
        <v>4</v>
      </c>
      <c r="C2483" s="135" t="s">
        <v>2373</v>
      </c>
      <c r="D2483" s="340" t="s">
        <v>2173</v>
      </c>
      <c r="E2483" s="190">
        <v>3</v>
      </c>
      <c r="F2483" s="214">
        <f>'BASIC DATA'!$D$359</f>
        <v>30</v>
      </c>
      <c r="G2483" s="190">
        <f>E2483*F2483</f>
        <v>90</v>
      </c>
    </row>
    <row r="2484" spans="2:7">
      <c r="B2484" s="92"/>
      <c r="C2484" s="193" t="s">
        <v>2376</v>
      </c>
      <c r="D2484" s="159"/>
      <c r="E2484" s="238"/>
      <c r="F2484" s="236" t="s">
        <v>1698</v>
      </c>
      <c r="G2484" s="318">
        <f>SUM(G2479:G2483)</f>
        <v>5046.2666666666673</v>
      </c>
    </row>
    <row r="2485" spans="2:7">
      <c r="B2485" s="78"/>
    </row>
    <row r="2486" spans="2:7">
      <c r="B2486" s="79" t="s">
        <v>2377</v>
      </c>
    </row>
    <row r="2487" spans="2:7">
      <c r="B2487" s="95" t="s">
        <v>2369</v>
      </c>
      <c r="C2487" s="157" t="s">
        <v>2378</v>
      </c>
      <c r="D2487" s="95" t="s">
        <v>2370</v>
      </c>
      <c r="E2487" s="95" t="s">
        <v>1166</v>
      </c>
      <c r="F2487" s="95" t="s">
        <v>2371</v>
      </c>
      <c r="G2487" s="95" t="s">
        <v>2372</v>
      </c>
    </row>
    <row r="2488" spans="2:7">
      <c r="B2488" s="114"/>
      <c r="C2488" s="154"/>
      <c r="D2488" s="114"/>
      <c r="E2488" s="114"/>
      <c r="F2488" s="114" t="s">
        <v>3485</v>
      </c>
      <c r="G2488" s="114" t="s">
        <v>3485</v>
      </c>
    </row>
    <row r="2489" spans="2:7">
      <c r="B2489" s="95">
        <v>1</v>
      </c>
      <c r="C2489" s="135" t="s">
        <v>4481</v>
      </c>
      <c r="D2489" s="339" t="s">
        <v>2374</v>
      </c>
      <c r="E2489" s="190">
        <v>8</v>
      </c>
      <c r="F2489" s="190">
        <f>'HIRE CHARGES'!$D$498</f>
        <v>138.80000000000001</v>
      </c>
      <c r="G2489" s="190">
        <f>E2489*F2489</f>
        <v>1110.4000000000001</v>
      </c>
    </row>
    <row r="2490" spans="2:7">
      <c r="B2490" s="317"/>
      <c r="C2490" s="135" t="s">
        <v>2379</v>
      </c>
      <c r="D2490" s="340" t="s">
        <v>2374</v>
      </c>
      <c r="E2490" s="190">
        <v>8</v>
      </c>
      <c r="F2490" s="190">
        <f>'HIRE CHARGES'!$E$498</f>
        <v>700.5</v>
      </c>
      <c r="G2490" s="190">
        <f t="shared" ref="G2490:G2499" si="46">E2490*F2490</f>
        <v>5604</v>
      </c>
    </row>
    <row r="2491" spans="2:7">
      <c r="B2491" s="105">
        <v>2</v>
      </c>
      <c r="C2491" s="135" t="s">
        <v>4484</v>
      </c>
      <c r="D2491" s="340" t="s">
        <v>2374</v>
      </c>
      <c r="E2491" s="190">
        <v>4</v>
      </c>
      <c r="F2491" s="190">
        <f>'HIRE CHARGES'!$D$520</f>
        <v>6.7</v>
      </c>
      <c r="G2491" s="190">
        <f t="shared" si="46"/>
        <v>26.8</v>
      </c>
    </row>
    <row r="2492" spans="2:7">
      <c r="B2492" s="317"/>
      <c r="C2492" s="135" t="s">
        <v>2379</v>
      </c>
      <c r="D2492" s="340" t="s">
        <v>2374</v>
      </c>
      <c r="E2492" s="190">
        <v>4</v>
      </c>
      <c r="F2492" s="190">
        <f>'HIRE CHARGES'!$E$520</f>
        <v>56</v>
      </c>
      <c r="G2492" s="190">
        <f t="shared" si="46"/>
        <v>224</v>
      </c>
    </row>
    <row r="2493" spans="2:7">
      <c r="B2493" s="105">
        <v>3</v>
      </c>
      <c r="C2493" s="135" t="s">
        <v>6243</v>
      </c>
      <c r="D2493" s="340" t="s">
        <v>2374</v>
      </c>
      <c r="E2493" s="190">
        <v>32</v>
      </c>
      <c r="F2493" s="190">
        <f>'HIRE CHARGES'!$D$530</f>
        <v>19.8</v>
      </c>
      <c r="G2493" s="190">
        <f t="shared" si="46"/>
        <v>633.6</v>
      </c>
    </row>
    <row r="2494" spans="2:7">
      <c r="B2494" s="317"/>
      <c r="C2494" s="135" t="s">
        <v>2379</v>
      </c>
      <c r="D2494" s="340" t="s">
        <v>2374</v>
      </c>
      <c r="E2494" s="190">
        <v>32</v>
      </c>
      <c r="F2494" s="190">
        <f>'HIRE CHARGES'!$E$530</f>
        <v>0</v>
      </c>
      <c r="G2494" s="190">
        <f t="shared" si="46"/>
        <v>0</v>
      </c>
    </row>
    <row r="2495" spans="2:7">
      <c r="B2495" s="105">
        <v>4</v>
      </c>
      <c r="C2495" s="135" t="s">
        <v>6061</v>
      </c>
      <c r="D2495" s="340" t="s">
        <v>2374</v>
      </c>
      <c r="E2495" s="190">
        <v>32</v>
      </c>
      <c r="F2495" s="190">
        <f>'HIRE CHARGES'!$D$540</f>
        <v>12.7</v>
      </c>
      <c r="G2495" s="190">
        <f t="shared" si="46"/>
        <v>406.4</v>
      </c>
    </row>
    <row r="2496" spans="2:7">
      <c r="B2496" s="317"/>
      <c r="C2496" s="135" t="s">
        <v>2379</v>
      </c>
      <c r="D2496" s="340" t="s">
        <v>2374</v>
      </c>
      <c r="E2496" s="190">
        <v>32</v>
      </c>
      <c r="F2496" s="190">
        <f>'HIRE CHARGES'!$E$540</f>
        <v>0</v>
      </c>
      <c r="G2496" s="190">
        <f t="shared" si="46"/>
        <v>0</v>
      </c>
    </row>
    <row r="2497" spans="2:7">
      <c r="B2497" s="105">
        <v>5</v>
      </c>
      <c r="C2497" s="135" t="s">
        <v>7102</v>
      </c>
      <c r="D2497" s="340" t="s">
        <v>2374</v>
      </c>
      <c r="E2497" s="190">
        <v>8</v>
      </c>
      <c r="F2497" s="190">
        <f>'HIRE CHARGES'!$D$524</f>
        <v>368.40000000000003</v>
      </c>
      <c r="G2497" s="190">
        <f t="shared" si="46"/>
        <v>2947.2000000000003</v>
      </c>
    </row>
    <row r="2498" spans="2:7">
      <c r="B2498" s="317"/>
      <c r="C2498" s="135" t="s">
        <v>2379</v>
      </c>
      <c r="D2498" s="340" t="s">
        <v>2374</v>
      </c>
      <c r="E2498" s="190">
        <v>8</v>
      </c>
      <c r="F2498" s="190">
        <f>'HIRE CHARGES'!$E$524</f>
        <v>42.8</v>
      </c>
      <c r="G2498" s="190">
        <f t="shared" si="46"/>
        <v>342.4</v>
      </c>
    </row>
    <row r="2499" spans="2:7">
      <c r="B2499" s="105">
        <v>6</v>
      </c>
      <c r="C2499" s="135" t="s">
        <v>2373</v>
      </c>
      <c r="D2499" s="340" t="s">
        <v>2173</v>
      </c>
      <c r="E2499" s="190">
        <v>5</v>
      </c>
      <c r="F2499" s="214">
        <f>'BASIC DATA'!$D$359</f>
        <v>30</v>
      </c>
      <c r="G2499" s="190">
        <f t="shared" si="46"/>
        <v>150</v>
      </c>
    </row>
    <row r="2500" spans="2:7">
      <c r="B2500" s="176"/>
      <c r="C2500" s="172" t="s">
        <v>2380</v>
      </c>
      <c r="D2500" s="174"/>
      <c r="E2500" s="192"/>
      <c r="F2500" s="236" t="s">
        <v>1698</v>
      </c>
      <c r="G2500" s="318">
        <f>SUM(G2489:G2499)</f>
        <v>11444.8</v>
      </c>
    </row>
    <row r="2501" spans="2:7">
      <c r="B2501" s="78"/>
    </row>
    <row r="2502" spans="2:7">
      <c r="B2502" s="79" t="s">
        <v>2381</v>
      </c>
    </row>
    <row r="2503" spans="2:7">
      <c r="B2503" s="95" t="s">
        <v>2369</v>
      </c>
      <c r="C2503" s="157" t="s">
        <v>2378</v>
      </c>
      <c r="D2503" s="95" t="s">
        <v>2370</v>
      </c>
      <c r="E2503" s="95" t="s">
        <v>1166</v>
      </c>
      <c r="F2503" s="95" t="s">
        <v>2371</v>
      </c>
      <c r="G2503" s="95" t="s">
        <v>2372</v>
      </c>
    </row>
    <row r="2504" spans="2:7">
      <c r="B2504" s="114"/>
      <c r="C2504" s="154"/>
      <c r="D2504" s="114"/>
      <c r="E2504" s="114"/>
      <c r="F2504" s="114" t="s">
        <v>3485</v>
      </c>
      <c r="G2504" s="114" t="s">
        <v>3485</v>
      </c>
    </row>
    <row r="2505" spans="2:7">
      <c r="B2505" s="105">
        <v>1</v>
      </c>
      <c r="C2505" s="76" t="s">
        <v>3586</v>
      </c>
      <c r="D2505" s="340" t="s">
        <v>2374</v>
      </c>
      <c r="E2505" s="207">
        <v>8</v>
      </c>
      <c r="F2505" s="190">
        <f>'HIRE CHARGES'!$F$498</f>
        <v>175.8</v>
      </c>
      <c r="G2505" s="190">
        <f>E2505*F2505</f>
        <v>1406.4</v>
      </c>
    </row>
    <row r="2506" spans="2:7">
      <c r="B2506" s="105">
        <v>2</v>
      </c>
      <c r="C2506" s="76" t="s">
        <v>5858</v>
      </c>
      <c r="D2506" s="340" t="s">
        <v>2374</v>
      </c>
      <c r="E2506" s="207">
        <v>4</v>
      </c>
      <c r="F2506" s="190">
        <f>'HIRE CHARGES'!$F$520</f>
        <v>83.3</v>
      </c>
      <c r="G2506" s="190">
        <f>E2506*F2506</f>
        <v>333.2</v>
      </c>
    </row>
    <row r="2507" spans="2:7">
      <c r="B2507" s="105">
        <v>3</v>
      </c>
      <c r="C2507" s="76" t="s">
        <v>3505</v>
      </c>
      <c r="D2507" s="340" t="s">
        <v>2374</v>
      </c>
      <c r="E2507" s="207">
        <v>32</v>
      </c>
      <c r="F2507" s="190">
        <f>'HIRE CHARGES'!$F$530</f>
        <v>329.6</v>
      </c>
      <c r="G2507" s="190">
        <f>E2507*F2507</f>
        <v>10547.2</v>
      </c>
    </row>
    <row r="2508" spans="2:7">
      <c r="B2508" s="105">
        <v>4</v>
      </c>
      <c r="C2508" s="76" t="s">
        <v>3506</v>
      </c>
      <c r="D2508" s="340" t="s">
        <v>2374</v>
      </c>
      <c r="E2508" s="207">
        <v>8</v>
      </c>
      <c r="F2508" s="190">
        <f>'HIRE CHARGES'!$F$524</f>
        <v>175.8</v>
      </c>
      <c r="G2508" s="190">
        <f>E2508*F2508</f>
        <v>1406.4</v>
      </c>
    </row>
    <row r="2509" spans="2:7">
      <c r="B2509" s="105">
        <v>5</v>
      </c>
      <c r="C2509" s="76" t="s">
        <v>2696</v>
      </c>
      <c r="D2509" s="340" t="s">
        <v>1172</v>
      </c>
      <c r="E2509" s="207">
        <v>2</v>
      </c>
      <c r="F2509" s="190">
        <f>'BASIC DATA'!$C$552</f>
        <v>350</v>
      </c>
      <c r="G2509" s="190">
        <f>E2509*F2509</f>
        <v>700</v>
      </c>
    </row>
    <row r="2510" spans="2:7">
      <c r="B2510" s="92"/>
      <c r="C2510" s="193" t="s">
        <v>1174</v>
      </c>
      <c r="D2510" s="159"/>
      <c r="E2510" s="238"/>
      <c r="F2510" s="344" t="s">
        <v>1698</v>
      </c>
      <c r="G2510" s="318">
        <f>SUM(G2505:G2509)</f>
        <v>14393.2</v>
      </c>
    </row>
    <row r="2511" spans="2:7">
      <c r="B2511" s="60" t="s">
        <v>5948</v>
      </c>
      <c r="D2511" s="31"/>
      <c r="E2511" s="85">
        <f>ROUND(G2510/F2475,1)</f>
        <v>143.9</v>
      </c>
      <c r="F2511" s="85"/>
    </row>
    <row r="2512" spans="2:7">
      <c r="B2512" s="60" t="s">
        <v>3163</v>
      </c>
      <c r="D2512" s="922">
        <f>'BASIC DATA'!$C$577</f>
        <v>0.13614999999999999</v>
      </c>
      <c r="E2512" s="85">
        <f>ROUND(D2512*E2511,1)</f>
        <v>19.600000000000001</v>
      </c>
      <c r="F2512" s="85"/>
    </row>
    <row r="2513" spans="1:7">
      <c r="B2513" s="60" t="s">
        <v>5949</v>
      </c>
      <c r="D2513" s="31"/>
      <c r="E2513" s="199">
        <f>ROUND(E2512+E2511,1)</f>
        <v>163.5</v>
      </c>
      <c r="F2513" s="85"/>
    </row>
    <row r="2514" spans="1:7"/>
    <row r="2515" spans="1:7">
      <c r="B2515" s="170" t="s">
        <v>1175</v>
      </c>
    </row>
    <row r="2516" spans="1:7">
      <c r="B2516" s="26" t="s">
        <v>1176</v>
      </c>
      <c r="F2516" s="171" t="s">
        <v>1698</v>
      </c>
      <c r="G2516" s="68">
        <f>G2484</f>
        <v>5046.2666666666673</v>
      </c>
    </row>
    <row r="2517" spans="1:7">
      <c r="B2517" s="26" t="s">
        <v>1186</v>
      </c>
      <c r="F2517" s="171" t="s">
        <v>1698</v>
      </c>
      <c r="G2517" s="68">
        <f>G2500</f>
        <v>11444.8</v>
      </c>
    </row>
    <row r="2518" spans="1:7">
      <c r="B2518" s="26" t="s">
        <v>2660</v>
      </c>
      <c r="F2518" s="171" t="s">
        <v>1698</v>
      </c>
      <c r="G2518" s="75">
        <f>G2510</f>
        <v>14393.2</v>
      </c>
    </row>
    <row r="2519" spans="1:7">
      <c r="E2519" s="171"/>
      <c r="F2519" s="171" t="s">
        <v>302</v>
      </c>
      <c r="G2519" s="205">
        <f>SUM(G2516:G2518)</f>
        <v>30884.266666666666</v>
      </c>
    </row>
    <row r="2520" spans="1:7">
      <c r="A2520" s="853"/>
      <c r="B2520" s="61" t="s">
        <v>2313</v>
      </c>
      <c r="C2520" s="61"/>
      <c r="D2520" s="61"/>
      <c r="E2520" s="320">
        <f>'BASIC DATA'!$C$595</f>
        <v>0.01</v>
      </c>
      <c r="F2520" s="222" t="s">
        <v>1698</v>
      </c>
      <c r="G2520" s="321">
        <f>E2520*$G$2519</f>
        <v>308.84266666666667</v>
      </c>
    </row>
    <row r="2521" spans="1:7">
      <c r="A2521" s="853"/>
      <c r="B2521" s="61" t="s">
        <v>2314</v>
      </c>
      <c r="C2521" s="61"/>
      <c r="D2521" s="61"/>
      <c r="E2521" s="291">
        <f>'BASIC DATA'!$C$596</f>
        <v>4.4999999999999998E-2</v>
      </c>
      <c r="F2521" s="222" t="s">
        <v>1698</v>
      </c>
      <c r="G2521" s="321">
        <f>E2521*$G$2519</f>
        <v>1389.7919999999999</v>
      </c>
    </row>
    <row r="2522" spans="1:7">
      <c r="A2522" s="853"/>
      <c r="B2522" s="61" t="s">
        <v>2315</v>
      </c>
      <c r="C2522" s="61"/>
      <c r="D2522" s="61"/>
      <c r="E2522" s="291">
        <f>'BASIC DATA'!$C$597</f>
        <v>1.6E-2</v>
      </c>
      <c r="F2522" s="222" t="s">
        <v>1698</v>
      </c>
      <c r="G2522" s="321">
        <f>E2522*$G$2519</f>
        <v>494.1482666666667</v>
      </c>
    </row>
    <row r="2523" spans="1:7">
      <c r="A2523" s="853"/>
      <c r="B2523" s="61" t="s">
        <v>1259</v>
      </c>
      <c r="C2523" s="61"/>
      <c r="D2523" s="61"/>
      <c r="E2523" s="291">
        <f>'BASIC DATA'!$C$598</f>
        <v>2.5000000000000001E-2</v>
      </c>
      <c r="F2523" s="222" t="s">
        <v>1698</v>
      </c>
      <c r="G2523" s="321">
        <f>E2523*$G$2519</f>
        <v>772.10666666666668</v>
      </c>
    </row>
    <row r="2524" spans="1:7">
      <c r="A2524" s="853"/>
      <c r="B2524" s="61"/>
      <c r="C2524" s="61"/>
      <c r="D2524" s="61"/>
      <c r="E2524" s="291"/>
      <c r="F2524" s="171" t="s">
        <v>302</v>
      </c>
      <c r="G2524" s="205">
        <f>SUM(G2519:G2523)</f>
        <v>33849.156266666665</v>
      </c>
    </row>
    <row r="2525" spans="1:7" ht="35.25" customHeight="1">
      <c r="B2525" s="1207" t="s">
        <v>6259</v>
      </c>
      <c r="C2525" s="1207"/>
      <c r="D2525" s="1207"/>
      <c r="E2525" s="922">
        <f>'BASIC DATA'!$C$577</f>
        <v>0.13614999999999999</v>
      </c>
      <c r="F2525" s="171" t="s">
        <v>1698</v>
      </c>
      <c r="G2525" s="75">
        <f>G2524*E2525</f>
        <v>4608.562625706666</v>
      </c>
    </row>
    <row r="2526" spans="1:7">
      <c r="B2526" s="26" t="s">
        <v>1191</v>
      </c>
      <c r="D2526" s="68">
        <f>F2475</f>
        <v>100</v>
      </c>
      <c r="E2526" s="68" t="str">
        <f>G2475</f>
        <v>Rm</v>
      </c>
      <c r="F2526" s="171" t="s">
        <v>1698</v>
      </c>
      <c r="G2526" s="211">
        <f>G2525+G2524</f>
        <v>38457.718892373334</v>
      </c>
    </row>
    <row r="2527" spans="1:7">
      <c r="B2527" s="170" t="s">
        <v>3884</v>
      </c>
      <c r="C2527" s="170" t="str">
        <f>E2526</f>
        <v>Rm</v>
      </c>
      <c r="D2527" s="26" t="s">
        <v>6568</v>
      </c>
      <c r="F2527" s="171" t="s">
        <v>1698</v>
      </c>
      <c r="G2527" s="211">
        <f>ROUND(G2526/D2526,1)</f>
        <v>384.6</v>
      </c>
    </row>
    <row r="2528" spans="1:7">
      <c r="B2528" s="78"/>
    </row>
    <row r="2529" spans="1:6">
      <c r="B2529" s="78"/>
    </row>
    <row r="2530" spans="1:6" ht="18.75">
      <c r="A2530" s="822" t="s">
        <v>7416</v>
      </c>
      <c r="B2530" s="26" t="s">
        <v>8627</v>
      </c>
    </row>
    <row r="2531" spans="1:6">
      <c r="A2531" s="865"/>
      <c r="B2531" s="26" t="s">
        <v>7983</v>
      </c>
    </row>
    <row r="2532" spans="1:6" ht="18.75">
      <c r="A2532" s="865"/>
      <c r="B2532" s="26" t="s">
        <v>8628</v>
      </c>
    </row>
    <row r="2533" spans="1:6">
      <c r="A2533" s="865"/>
      <c r="B2533" s="170" t="s">
        <v>2873</v>
      </c>
    </row>
    <row r="2534" spans="1:6">
      <c r="A2534" s="865"/>
    </row>
    <row r="2535" spans="1:6" hidden="1">
      <c r="A2535" s="865" t="s">
        <v>3984</v>
      </c>
      <c r="B2535" s="26" t="s">
        <v>7011</v>
      </c>
      <c r="F2535" s="315"/>
    </row>
    <row r="2536" spans="1:6" hidden="1">
      <c r="A2536" s="865"/>
      <c r="B2536" s="26" t="s">
        <v>2288</v>
      </c>
    </row>
    <row r="2537" spans="1:6" hidden="1">
      <c r="A2537" s="865"/>
      <c r="B2537" s="26" t="s">
        <v>4294</v>
      </c>
    </row>
    <row r="2538" spans="1:6" hidden="1">
      <c r="A2538" s="865"/>
      <c r="B2538" s="26" t="s">
        <v>4295</v>
      </c>
    </row>
    <row r="2539" spans="1:6" hidden="1">
      <c r="A2539" s="865"/>
      <c r="B2539" s="26" t="s">
        <v>3766</v>
      </c>
    </row>
    <row r="2540" spans="1:6" hidden="1">
      <c r="A2540" s="865"/>
      <c r="B2540" s="26" t="s">
        <v>3767</v>
      </c>
    </row>
    <row r="2541" spans="1:6" hidden="1">
      <c r="A2541" s="865"/>
      <c r="B2541" s="26" t="s">
        <v>3768</v>
      </c>
    </row>
    <row r="2542" spans="1:6" hidden="1">
      <c r="A2542" s="865"/>
      <c r="B2542" s="26" t="s">
        <v>3769</v>
      </c>
    </row>
    <row r="2543" spans="1:6" hidden="1">
      <c r="A2543" s="865"/>
      <c r="B2543" s="26" t="s">
        <v>3770</v>
      </c>
    </row>
    <row r="2544" spans="1:6" hidden="1">
      <c r="A2544" s="865"/>
      <c r="B2544" s="26" t="s">
        <v>7328</v>
      </c>
    </row>
    <row r="2545" spans="1:7" hidden="1">
      <c r="A2545" s="865"/>
      <c r="B2545" s="26" t="s">
        <v>7329</v>
      </c>
      <c r="D2545" s="68">
        <f>'BASIC DATA'!$D$344</f>
        <v>185</v>
      </c>
      <c r="E2545" s="26" t="s">
        <v>2618</v>
      </c>
      <c r="F2545" s="324" t="s">
        <v>1698</v>
      </c>
      <c r="G2545" s="68">
        <f>D2545*50</f>
        <v>9250</v>
      </c>
    </row>
    <row r="2546" spans="1:7" hidden="1">
      <c r="A2546" s="865"/>
      <c r="B2546" s="26" t="s">
        <v>5599</v>
      </c>
      <c r="E2546" s="315" t="s">
        <v>1697</v>
      </c>
      <c r="F2546" s="316">
        <v>800</v>
      </c>
      <c r="G2546" s="26" t="s">
        <v>4665</v>
      </c>
    </row>
    <row r="2547" spans="1:7" hidden="1">
      <c r="A2547" s="865"/>
      <c r="B2547" s="26" t="s">
        <v>7330</v>
      </c>
      <c r="D2547" s="26" t="s">
        <v>7593</v>
      </c>
      <c r="F2547" s="324" t="s">
        <v>1698</v>
      </c>
      <c r="G2547" s="68">
        <f>G2545/F2546</f>
        <v>11.5625</v>
      </c>
    </row>
    <row r="2548" spans="1:7" hidden="1">
      <c r="A2548" s="865"/>
      <c r="B2548" s="26" t="s">
        <v>7331</v>
      </c>
      <c r="D2548" s="68">
        <f>'BASIC DATA'!$D$360</f>
        <v>185</v>
      </c>
      <c r="E2548" s="26" t="s">
        <v>2618</v>
      </c>
      <c r="F2548" s="324" t="s">
        <v>1698</v>
      </c>
      <c r="G2548" s="68">
        <f>D2548*50</f>
        <v>9250</v>
      </c>
    </row>
    <row r="2549" spans="1:7" hidden="1">
      <c r="A2549" s="865"/>
      <c r="B2549" s="26" t="s">
        <v>3943</v>
      </c>
      <c r="E2549" s="315" t="s">
        <v>1697</v>
      </c>
      <c r="F2549" s="316">
        <v>800</v>
      </c>
      <c r="G2549" s="26" t="s">
        <v>4665</v>
      </c>
    </row>
    <row r="2550" spans="1:7" hidden="1">
      <c r="A2550" s="865"/>
      <c r="B2550" s="26" t="s">
        <v>2353</v>
      </c>
      <c r="D2550" s="26" t="s">
        <v>7593</v>
      </c>
      <c r="F2550" s="324" t="s">
        <v>1698</v>
      </c>
      <c r="G2550" s="68">
        <f>G2548/F2549</f>
        <v>11.5625</v>
      </c>
    </row>
    <row r="2551" spans="1:7" hidden="1">
      <c r="B2551" s="78"/>
    </row>
    <row r="2552" spans="1:7">
      <c r="A2552" s="865" t="s">
        <v>3984</v>
      </c>
      <c r="B2552" s="78"/>
    </row>
    <row r="2553" spans="1:7">
      <c r="B2553" s="78"/>
      <c r="C2553" s="203" t="s">
        <v>2367</v>
      </c>
      <c r="E2553" s="171" t="s">
        <v>297</v>
      </c>
      <c r="F2553" s="246">
        <v>1.5</v>
      </c>
      <c r="G2553" s="68" t="s">
        <v>3480</v>
      </c>
    </row>
    <row r="2554" spans="1:7">
      <c r="B2554" s="79" t="s">
        <v>2368</v>
      </c>
    </row>
    <row r="2555" spans="1:7">
      <c r="B2555" s="95" t="s">
        <v>2369</v>
      </c>
      <c r="C2555" s="157" t="s">
        <v>4443</v>
      </c>
      <c r="D2555" s="95" t="s">
        <v>2370</v>
      </c>
      <c r="E2555" s="95" t="s">
        <v>1166</v>
      </c>
      <c r="F2555" s="95" t="s">
        <v>2371</v>
      </c>
      <c r="G2555" s="95" t="s">
        <v>2372</v>
      </c>
    </row>
    <row r="2556" spans="1:7">
      <c r="B2556" s="114"/>
      <c r="C2556" s="154"/>
      <c r="D2556" s="114"/>
      <c r="E2556" s="114"/>
      <c r="F2556" s="114" t="s">
        <v>3485</v>
      </c>
      <c r="G2556" s="114" t="s">
        <v>3485</v>
      </c>
    </row>
    <row r="2557" spans="1:7">
      <c r="B2557" s="95">
        <v>1</v>
      </c>
      <c r="C2557" s="135" t="s">
        <v>6669</v>
      </c>
      <c r="D2557" s="339" t="s">
        <v>3480</v>
      </c>
      <c r="E2557" s="190">
        <v>1.5</v>
      </c>
      <c r="F2557" s="214">
        <f>'BASIC DATA'!$D$32</f>
        <v>5350</v>
      </c>
      <c r="G2557" s="190">
        <f>E2557*F2557</f>
        <v>8025</v>
      </c>
    </row>
    <row r="2558" spans="1:7">
      <c r="B2558" s="105">
        <v>2</v>
      </c>
      <c r="C2558" s="135" t="s">
        <v>3662</v>
      </c>
      <c r="D2558" s="340" t="s">
        <v>2374</v>
      </c>
      <c r="E2558" s="190">
        <v>8</v>
      </c>
      <c r="F2558" s="214">
        <f>G2547</f>
        <v>11.5625</v>
      </c>
      <c r="G2558" s="190">
        <f>E2558*F2558</f>
        <v>92.5</v>
      </c>
    </row>
    <row r="2559" spans="1:7">
      <c r="B2559" s="105">
        <v>3</v>
      </c>
      <c r="C2559" s="135" t="s">
        <v>3663</v>
      </c>
      <c r="D2559" s="340" t="s">
        <v>2374</v>
      </c>
      <c r="E2559" s="190">
        <v>8</v>
      </c>
      <c r="F2559" s="214">
        <f>G2550</f>
        <v>11.5625</v>
      </c>
      <c r="G2559" s="190">
        <f>E2559*F2559</f>
        <v>92.5</v>
      </c>
    </row>
    <row r="2560" spans="1:7">
      <c r="B2560" s="114">
        <v>4</v>
      </c>
      <c r="C2560" s="135" t="s">
        <v>2373</v>
      </c>
      <c r="D2560" s="340" t="s">
        <v>2173</v>
      </c>
      <c r="E2560" s="190">
        <v>2</v>
      </c>
      <c r="F2560" s="214">
        <f>'BASIC DATA'!$D$359</f>
        <v>30</v>
      </c>
      <c r="G2560" s="190">
        <f>E2560*F2560</f>
        <v>60</v>
      </c>
    </row>
    <row r="2561" spans="2:7">
      <c r="B2561" s="92"/>
      <c r="C2561" s="193" t="s">
        <v>2376</v>
      </c>
      <c r="D2561" s="159"/>
      <c r="E2561" s="238"/>
      <c r="F2561" s="236" t="s">
        <v>1698</v>
      </c>
      <c r="G2561" s="318">
        <f>SUM(G2557:G2560)</f>
        <v>8270</v>
      </c>
    </row>
    <row r="2562" spans="2:7">
      <c r="B2562" s="78"/>
    </row>
    <row r="2563" spans="2:7">
      <c r="B2563" s="79" t="s">
        <v>2377</v>
      </c>
    </row>
    <row r="2564" spans="2:7">
      <c r="B2564" s="95" t="s">
        <v>2369</v>
      </c>
      <c r="C2564" s="157" t="s">
        <v>2378</v>
      </c>
      <c r="D2564" s="95" t="s">
        <v>2370</v>
      </c>
      <c r="E2564" s="95" t="s">
        <v>1166</v>
      </c>
      <c r="F2564" s="95" t="s">
        <v>2371</v>
      </c>
      <c r="G2564" s="95" t="s">
        <v>2372</v>
      </c>
    </row>
    <row r="2565" spans="2:7">
      <c r="B2565" s="114"/>
      <c r="C2565" s="154"/>
      <c r="D2565" s="114"/>
      <c r="E2565" s="114"/>
      <c r="F2565" s="114" t="s">
        <v>3485</v>
      </c>
      <c r="G2565" s="114" t="s">
        <v>3485</v>
      </c>
    </row>
    <row r="2566" spans="2:7">
      <c r="B2566" s="95">
        <v>1</v>
      </c>
      <c r="C2566" s="135" t="s">
        <v>3664</v>
      </c>
      <c r="D2566" s="339" t="s">
        <v>2374</v>
      </c>
      <c r="E2566" s="190">
        <v>8</v>
      </c>
      <c r="F2566" s="190">
        <f>'HIRE CHARGES'!$D$527</f>
        <v>24.9</v>
      </c>
      <c r="G2566" s="190">
        <f>E2566*F2566</f>
        <v>199.2</v>
      </c>
    </row>
    <row r="2567" spans="2:7">
      <c r="B2567" s="317"/>
      <c r="C2567" s="135" t="s">
        <v>2379</v>
      </c>
      <c r="D2567" s="340" t="s">
        <v>2374</v>
      </c>
      <c r="E2567" s="190">
        <v>8</v>
      </c>
      <c r="F2567" s="190">
        <f>'HIRE CHARGES'!$E$527</f>
        <v>28</v>
      </c>
      <c r="G2567" s="190">
        <f t="shared" ref="G2567:G2572" si="47">E2567*F2567</f>
        <v>224</v>
      </c>
    </row>
    <row r="2568" spans="2:7">
      <c r="B2568" s="105">
        <v>2</v>
      </c>
      <c r="C2568" s="135" t="s">
        <v>4484</v>
      </c>
      <c r="D2568" s="340" t="s">
        <v>2374</v>
      </c>
      <c r="E2568" s="190">
        <v>2</v>
      </c>
      <c r="F2568" s="190">
        <f>'HIRE CHARGES'!$D$520</f>
        <v>6.7</v>
      </c>
      <c r="G2568" s="190">
        <f t="shared" si="47"/>
        <v>13.4</v>
      </c>
    </row>
    <row r="2569" spans="2:7">
      <c r="B2569" s="317"/>
      <c r="C2569" s="135" t="s">
        <v>2379</v>
      </c>
      <c r="D2569" s="340" t="s">
        <v>2374</v>
      </c>
      <c r="E2569" s="190">
        <v>2</v>
      </c>
      <c r="F2569" s="190">
        <f>'HIRE CHARGES'!$E$520</f>
        <v>56</v>
      </c>
      <c r="G2569" s="190">
        <f t="shared" si="47"/>
        <v>112</v>
      </c>
    </row>
    <row r="2570" spans="2:7">
      <c r="B2570" s="105">
        <v>3</v>
      </c>
      <c r="C2570" s="135" t="s">
        <v>7102</v>
      </c>
      <c r="D2570" s="340" t="s">
        <v>2374</v>
      </c>
      <c r="E2570" s="190">
        <v>2</v>
      </c>
      <c r="F2570" s="190">
        <f>'HIRE CHARGES'!$D$524</f>
        <v>368.40000000000003</v>
      </c>
      <c r="G2570" s="190">
        <f t="shared" si="47"/>
        <v>736.80000000000007</v>
      </c>
    </row>
    <row r="2571" spans="2:7">
      <c r="B2571" s="317"/>
      <c r="C2571" s="135" t="s">
        <v>2379</v>
      </c>
      <c r="D2571" s="340" t="s">
        <v>2374</v>
      </c>
      <c r="E2571" s="190">
        <v>2</v>
      </c>
      <c r="F2571" s="190">
        <f>'HIRE CHARGES'!$E$524</f>
        <v>42.8</v>
      </c>
      <c r="G2571" s="190">
        <f t="shared" si="47"/>
        <v>85.6</v>
      </c>
    </row>
    <row r="2572" spans="2:7">
      <c r="B2572" s="105">
        <v>4</v>
      </c>
      <c r="C2572" s="135" t="s">
        <v>2373</v>
      </c>
      <c r="D2572" s="340" t="s">
        <v>2173</v>
      </c>
      <c r="E2572" s="190">
        <v>2</v>
      </c>
      <c r="F2572" s="214">
        <f>'BASIC DATA'!$D$359</f>
        <v>30</v>
      </c>
      <c r="G2572" s="190">
        <f t="shared" si="47"/>
        <v>60</v>
      </c>
    </row>
    <row r="2573" spans="2:7">
      <c r="B2573" s="176"/>
      <c r="C2573" s="172" t="s">
        <v>2380</v>
      </c>
      <c r="D2573" s="174"/>
      <c r="E2573" s="192"/>
      <c r="F2573" s="236" t="s">
        <v>1698</v>
      </c>
      <c r="G2573" s="318">
        <f>SUM(G2566:G2572)</f>
        <v>1431</v>
      </c>
    </row>
    <row r="2574" spans="2:7">
      <c r="B2574" s="78"/>
    </row>
    <row r="2575" spans="2:7">
      <c r="B2575" s="79" t="s">
        <v>2381</v>
      </c>
    </row>
    <row r="2576" spans="2:7">
      <c r="B2576" s="95" t="s">
        <v>2369</v>
      </c>
      <c r="C2576" s="157" t="s">
        <v>2378</v>
      </c>
      <c r="D2576" s="95" t="s">
        <v>2370</v>
      </c>
      <c r="E2576" s="95" t="s">
        <v>1166</v>
      </c>
      <c r="F2576" s="95" t="s">
        <v>2371</v>
      </c>
      <c r="G2576" s="95" t="s">
        <v>2372</v>
      </c>
    </row>
    <row r="2577" spans="1:7">
      <c r="B2577" s="114"/>
      <c r="C2577" s="154"/>
      <c r="D2577" s="114"/>
      <c r="E2577" s="114"/>
      <c r="F2577" s="114" t="s">
        <v>3485</v>
      </c>
      <c r="G2577" s="114" t="s">
        <v>3485</v>
      </c>
    </row>
    <row r="2578" spans="1:7">
      <c r="B2578" s="105">
        <v>1</v>
      </c>
      <c r="C2578" s="76" t="s">
        <v>3665</v>
      </c>
      <c r="D2578" s="340" t="s">
        <v>2374</v>
      </c>
      <c r="E2578" s="207">
        <v>8</v>
      </c>
      <c r="F2578" s="190">
        <f>'HIRE CHARGES'!$F$527</f>
        <v>263.60000000000002</v>
      </c>
      <c r="G2578" s="190">
        <f>E2578*F2578</f>
        <v>2108.8000000000002</v>
      </c>
    </row>
    <row r="2579" spans="1:7">
      <c r="B2579" s="105">
        <v>2</v>
      </c>
      <c r="C2579" s="76" t="s">
        <v>1171</v>
      </c>
      <c r="D2579" s="340" t="s">
        <v>2374</v>
      </c>
      <c r="E2579" s="207">
        <v>2</v>
      </c>
      <c r="F2579" s="190">
        <f>'HIRE CHARGES'!$F$520</f>
        <v>83.3</v>
      </c>
      <c r="G2579" s="190">
        <f>E2579*F2579</f>
        <v>166.6</v>
      </c>
    </row>
    <row r="2580" spans="1:7">
      <c r="B2580" s="105">
        <v>3</v>
      </c>
      <c r="C2580" s="76" t="s">
        <v>4487</v>
      </c>
      <c r="D2580" s="340" t="s">
        <v>2374</v>
      </c>
      <c r="E2580" s="207">
        <v>2</v>
      </c>
      <c r="F2580" s="190">
        <f>'HIRE CHARGES'!$F$524</f>
        <v>175.8</v>
      </c>
      <c r="G2580" s="190">
        <f>E2580*F2580</f>
        <v>351.6</v>
      </c>
    </row>
    <row r="2581" spans="1:7">
      <c r="B2581" s="105">
        <v>4</v>
      </c>
      <c r="C2581" s="76" t="s">
        <v>2697</v>
      </c>
      <c r="D2581" s="340" t="s">
        <v>1172</v>
      </c>
      <c r="E2581" s="207">
        <v>2</v>
      </c>
      <c r="F2581" s="190">
        <f>'BASIC DATA'!$C$552</f>
        <v>350</v>
      </c>
      <c r="G2581" s="190">
        <f>E2581*F2581</f>
        <v>700</v>
      </c>
    </row>
    <row r="2582" spans="1:7">
      <c r="B2582" s="92"/>
      <c r="C2582" s="193" t="s">
        <v>1174</v>
      </c>
      <c r="D2582" s="159"/>
      <c r="E2582" s="238"/>
      <c r="F2582" s="236" t="s">
        <v>1698</v>
      </c>
      <c r="G2582" s="318">
        <f>SUM(G2578:G2581)</f>
        <v>3327</v>
      </c>
    </row>
    <row r="2583" spans="1:7">
      <c r="B2583" s="60" t="s">
        <v>5948</v>
      </c>
      <c r="D2583" s="31"/>
      <c r="E2583" s="85">
        <f>ROUND(G2582/F2553,1)</f>
        <v>2218</v>
      </c>
    </row>
    <row r="2584" spans="1:7">
      <c r="B2584" s="60" t="s">
        <v>3163</v>
      </c>
      <c r="D2584" s="922">
        <f>'BASIC DATA'!$C$577</f>
        <v>0.13614999999999999</v>
      </c>
      <c r="E2584" s="85">
        <f>ROUND(E2583*D2584,1)</f>
        <v>302</v>
      </c>
    </row>
    <row r="2585" spans="1:7">
      <c r="B2585" s="60" t="s">
        <v>5949</v>
      </c>
      <c r="D2585" s="31"/>
      <c r="E2585" s="199">
        <f>ROUND(E2584+E2583,1)</f>
        <v>2520</v>
      </c>
    </row>
    <row r="2586" spans="1:7"/>
    <row r="2587" spans="1:7">
      <c r="B2587" s="170" t="s">
        <v>1175</v>
      </c>
    </row>
    <row r="2588" spans="1:7">
      <c r="B2588" s="26" t="s">
        <v>1176</v>
      </c>
      <c r="F2588" s="171" t="s">
        <v>1698</v>
      </c>
      <c r="G2588" s="68">
        <f>G2561</f>
        <v>8270</v>
      </c>
    </row>
    <row r="2589" spans="1:7">
      <c r="B2589" s="26" t="s">
        <v>1186</v>
      </c>
      <c r="F2589" s="171" t="s">
        <v>1698</v>
      </c>
      <c r="G2589" s="68">
        <f>G2573</f>
        <v>1431</v>
      </c>
    </row>
    <row r="2590" spans="1:7">
      <c r="B2590" s="26" t="s">
        <v>2660</v>
      </c>
      <c r="F2590" s="171" t="s">
        <v>1698</v>
      </c>
      <c r="G2590" s="75">
        <f>G2582</f>
        <v>3327</v>
      </c>
    </row>
    <row r="2591" spans="1:7">
      <c r="E2591" s="171"/>
      <c r="F2591" s="171" t="s">
        <v>302</v>
      </c>
      <c r="G2591" s="205">
        <f>SUM(G2588:G2590)</f>
        <v>13028</v>
      </c>
    </row>
    <row r="2592" spans="1:7">
      <c r="A2592" s="853"/>
      <c r="B2592" s="61" t="s">
        <v>2313</v>
      </c>
      <c r="C2592" s="61"/>
      <c r="D2592" s="61"/>
      <c r="E2592" s="320">
        <f>'BASIC DATA'!$C$595</f>
        <v>0.01</v>
      </c>
      <c r="F2592" s="222" t="s">
        <v>1698</v>
      </c>
      <c r="G2592" s="321">
        <f>E2592*$G$2591</f>
        <v>130.28</v>
      </c>
    </row>
    <row r="2593" spans="1:7">
      <c r="A2593" s="853"/>
      <c r="B2593" s="61" t="s">
        <v>2314</v>
      </c>
      <c r="C2593" s="61"/>
      <c r="D2593" s="61"/>
      <c r="E2593" s="291">
        <f>'BASIC DATA'!$C$596</f>
        <v>4.4999999999999998E-2</v>
      </c>
      <c r="F2593" s="222" t="s">
        <v>1698</v>
      </c>
      <c r="G2593" s="321">
        <f>E2593*$G$2591</f>
        <v>586.26</v>
      </c>
    </row>
    <row r="2594" spans="1:7">
      <c r="A2594" s="853"/>
      <c r="B2594" s="61" t="s">
        <v>2315</v>
      </c>
      <c r="C2594" s="61"/>
      <c r="D2594" s="61"/>
      <c r="E2594" s="291">
        <f>'BASIC DATA'!$C$597</f>
        <v>1.6E-2</v>
      </c>
      <c r="F2594" s="222" t="s">
        <v>1698</v>
      </c>
      <c r="G2594" s="321">
        <f>E2594*$G$2591</f>
        <v>208.44800000000001</v>
      </c>
    </row>
    <row r="2595" spans="1:7">
      <c r="A2595" s="853"/>
      <c r="B2595" s="61" t="s">
        <v>1259</v>
      </c>
      <c r="C2595" s="61"/>
      <c r="D2595" s="61"/>
      <c r="E2595" s="291">
        <f>'BASIC DATA'!$C$598</f>
        <v>2.5000000000000001E-2</v>
      </c>
      <c r="F2595" s="222" t="s">
        <v>1698</v>
      </c>
      <c r="G2595" s="321">
        <f>E2595*$G$2591</f>
        <v>325.70000000000005</v>
      </c>
    </row>
    <row r="2596" spans="1:7">
      <c r="A2596" s="853"/>
      <c r="B2596" s="61"/>
      <c r="C2596" s="61"/>
      <c r="D2596" s="61"/>
      <c r="E2596" s="291"/>
      <c r="F2596" s="171" t="s">
        <v>302</v>
      </c>
      <c r="G2596" s="205">
        <f>SUM(G2591:G2595)</f>
        <v>14278.688000000002</v>
      </c>
    </row>
    <row r="2597" spans="1:7" ht="39" customHeight="1">
      <c r="B2597" s="1207" t="s">
        <v>6259</v>
      </c>
      <c r="C2597" s="1207"/>
      <c r="D2597" s="1207"/>
      <c r="E2597" s="922">
        <f>'BASIC DATA'!$C$577</f>
        <v>0.13614999999999999</v>
      </c>
      <c r="F2597" s="171" t="s">
        <v>1698</v>
      </c>
      <c r="G2597" s="75">
        <f>G2596*E2597</f>
        <v>1944.0433712000001</v>
      </c>
    </row>
    <row r="2598" spans="1:7" ht="42.75" hidden="1" customHeight="1">
      <c r="B2598" s="1207"/>
      <c r="C2598" s="1207"/>
      <c r="D2598" s="779"/>
      <c r="E2598" s="201"/>
      <c r="F2598" s="68"/>
      <c r="G2598" s="200"/>
    </row>
    <row r="2599" spans="1:7">
      <c r="B2599" s="26" t="s">
        <v>1191</v>
      </c>
      <c r="D2599" s="68">
        <f>F2553</f>
        <v>1.5</v>
      </c>
      <c r="E2599" s="68" t="str">
        <f>G2553</f>
        <v>tonne</v>
      </c>
      <c r="F2599" s="171" t="s">
        <v>1698</v>
      </c>
      <c r="G2599" s="211">
        <f>SUM(G2596:G2598)</f>
        <v>16222.731371200001</v>
      </c>
    </row>
    <row r="2600" spans="1:7">
      <c r="B2600" s="170" t="s">
        <v>3884</v>
      </c>
      <c r="C2600" s="170" t="str">
        <f>E2599</f>
        <v>tonne</v>
      </c>
      <c r="D2600" s="26" t="s">
        <v>6576</v>
      </c>
      <c r="F2600" s="171" t="s">
        <v>1698</v>
      </c>
      <c r="G2600" s="211">
        <f>ROUND(G2599/D2599,1)</f>
        <v>10815.2</v>
      </c>
    </row>
    <row r="2601" spans="1:7">
      <c r="B2601" s="78"/>
    </row>
    <row r="2602" spans="1:7">
      <c r="B2602" s="78"/>
    </row>
    <row r="2603" spans="1:7" ht="18.75">
      <c r="A2603" s="822" t="s">
        <v>7417</v>
      </c>
      <c r="B2603" s="26" t="s">
        <v>8629</v>
      </c>
    </row>
    <row r="2604" spans="1:7">
      <c r="A2604" s="865"/>
      <c r="B2604" s="26" t="s">
        <v>6135</v>
      </c>
    </row>
    <row r="2605" spans="1:7">
      <c r="A2605" s="865"/>
      <c r="B2605" s="26" t="s">
        <v>665</v>
      </c>
    </row>
    <row r="2606" spans="1:7">
      <c r="A2606" s="865"/>
    </row>
    <row r="2607" spans="1:7" hidden="1">
      <c r="A2607" s="865" t="s">
        <v>3984</v>
      </c>
      <c r="B2607" s="26" t="s">
        <v>666</v>
      </c>
      <c r="F2607" s="315"/>
    </row>
    <row r="2608" spans="1:7" hidden="1">
      <c r="A2608" s="865"/>
      <c r="B2608" s="26" t="s">
        <v>667</v>
      </c>
    </row>
    <row r="2609" spans="1:7" hidden="1">
      <c r="A2609" s="865"/>
      <c r="B2609" s="26" t="s">
        <v>5434</v>
      </c>
      <c r="E2609" s="315" t="s">
        <v>1697</v>
      </c>
      <c r="F2609" s="26">
        <v>12</v>
      </c>
      <c r="G2609" s="26" t="s">
        <v>4943</v>
      </c>
    </row>
    <row r="2610" spans="1:7" hidden="1">
      <c r="A2610" s="865"/>
      <c r="B2610" s="26" t="s">
        <v>5435</v>
      </c>
    </row>
    <row r="2611" spans="1:7" hidden="1">
      <c r="A2611" s="865"/>
      <c r="B2611" s="26" t="s">
        <v>3504</v>
      </c>
    </row>
    <row r="2612" spans="1:7" hidden="1">
      <c r="A2612" s="865"/>
      <c r="B2612" s="26" t="s">
        <v>2811</v>
      </c>
    </row>
    <row r="2613" spans="1:7" hidden="1">
      <c r="A2613" s="865"/>
      <c r="B2613" s="26" t="s">
        <v>2145</v>
      </c>
    </row>
    <row r="2614" spans="1:7" hidden="1">
      <c r="A2614" s="865"/>
      <c r="B2614" s="26" t="s">
        <v>3507</v>
      </c>
    </row>
    <row r="2615" spans="1:7" hidden="1">
      <c r="A2615" s="865"/>
      <c r="B2615" s="26" t="s">
        <v>3508</v>
      </c>
      <c r="E2615" s="315" t="s">
        <v>1697</v>
      </c>
      <c r="F2615" s="26">
        <v>120</v>
      </c>
      <c r="G2615" s="26" t="s">
        <v>2602</v>
      </c>
    </row>
    <row r="2616" spans="1:7" hidden="1">
      <c r="A2616" s="865"/>
      <c r="B2616" s="26" t="s">
        <v>3181</v>
      </c>
      <c r="D2616" s="68">
        <f>'BASIC DATA'!$D$314</f>
        <v>10000</v>
      </c>
      <c r="E2616" s="26" t="s">
        <v>2290</v>
      </c>
      <c r="F2616" s="324" t="s">
        <v>1698</v>
      </c>
      <c r="G2616" s="68">
        <f>D2616</f>
        <v>10000</v>
      </c>
    </row>
    <row r="2617" spans="1:7" hidden="1">
      <c r="A2617" s="865"/>
      <c r="B2617" s="26" t="s">
        <v>3509</v>
      </c>
      <c r="E2617" s="315" t="s">
        <v>1697</v>
      </c>
      <c r="F2617" s="316">
        <v>80</v>
      </c>
      <c r="G2617" s="26" t="s">
        <v>2602</v>
      </c>
    </row>
    <row r="2618" spans="1:7" hidden="1">
      <c r="A2618" s="865"/>
      <c r="B2618" s="26" t="s">
        <v>2242</v>
      </c>
      <c r="F2618" s="324" t="s">
        <v>1698</v>
      </c>
      <c r="G2618" s="68">
        <f>G2616/F2617</f>
        <v>125</v>
      </c>
    </row>
    <row r="2619" spans="1:7" hidden="1">
      <c r="A2619" s="865"/>
      <c r="B2619" s="26" t="s">
        <v>3182</v>
      </c>
      <c r="D2619" s="68">
        <f>'BASIC DATA'!$D$306</f>
        <v>2120</v>
      </c>
      <c r="E2619" s="26" t="s">
        <v>2618</v>
      </c>
      <c r="F2619" s="324" t="s">
        <v>1698</v>
      </c>
      <c r="G2619" s="68">
        <f>D2619*6</f>
        <v>12720</v>
      </c>
    </row>
    <row r="2620" spans="1:7" hidden="1">
      <c r="A2620" s="865"/>
      <c r="B2620" s="26" t="s">
        <v>176</v>
      </c>
      <c r="E2620" s="315" t="s">
        <v>1697</v>
      </c>
      <c r="F2620" s="316">
        <v>1500</v>
      </c>
      <c r="G2620" s="26" t="s">
        <v>2602</v>
      </c>
    </row>
    <row r="2621" spans="1:7" hidden="1">
      <c r="A2621" s="865"/>
      <c r="B2621" s="26" t="s">
        <v>2243</v>
      </c>
      <c r="F2621" s="324" t="s">
        <v>1698</v>
      </c>
      <c r="G2621" s="68">
        <f>G2619/F2620</f>
        <v>8.48</v>
      </c>
    </row>
    <row r="2622" spans="1:7" hidden="1">
      <c r="A2622" s="865"/>
      <c r="B2622" s="26" t="s">
        <v>1715</v>
      </c>
      <c r="D2622" s="68">
        <f>'BASIC DATA'!$D$344</f>
        <v>185</v>
      </c>
      <c r="E2622" s="26" t="s">
        <v>2618</v>
      </c>
      <c r="F2622" s="324" t="s">
        <v>1698</v>
      </c>
      <c r="G2622" s="68">
        <f>D2622*20</f>
        <v>3700</v>
      </c>
    </row>
    <row r="2623" spans="1:7" hidden="1">
      <c r="A2623" s="865"/>
      <c r="B2623" s="26" t="s">
        <v>5152</v>
      </c>
      <c r="E2623" s="315" t="s">
        <v>1697</v>
      </c>
      <c r="F2623" s="316">
        <v>800</v>
      </c>
      <c r="G2623" s="26" t="s">
        <v>4665</v>
      </c>
    </row>
    <row r="2624" spans="1:7" hidden="1">
      <c r="A2624" s="865"/>
      <c r="B2624" s="26" t="s">
        <v>1587</v>
      </c>
      <c r="F2624" s="324" t="s">
        <v>1698</v>
      </c>
      <c r="G2624" s="68">
        <f>G2622/F2623</f>
        <v>4.625</v>
      </c>
    </row>
    <row r="2625" spans="1:7" hidden="1">
      <c r="A2625" s="865"/>
      <c r="B2625" s="26" t="s">
        <v>1716</v>
      </c>
      <c r="D2625" s="68">
        <f>'BASIC DATA'!$D$360</f>
        <v>185</v>
      </c>
      <c r="E2625" s="26" t="s">
        <v>2618</v>
      </c>
      <c r="F2625" s="324" t="s">
        <v>1698</v>
      </c>
      <c r="G2625" s="68">
        <f>D2625*20</f>
        <v>3700</v>
      </c>
    </row>
    <row r="2626" spans="1:7" hidden="1">
      <c r="A2626" s="865"/>
      <c r="B2626" s="26" t="s">
        <v>3943</v>
      </c>
      <c r="E2626" s="315" t="s">
        <v>1697</v>
      </c>
      <c r="F2626" s="316">
        <v>800</v>
      </c>
      <c r="G2626" s="26" t="s">
        <v>4665</v>
      </c>
    </row>
    <row r="2627" spans="1:7" hidden="1">
      <c r="A2627" s="865"/>
      <c r="B2627" s="26" t="s">
        <v>5724</v>
      </c>
      <c r="F2627" s="324" t="s">
        <v>1698</v>
      </c>
      <c r="G2627" s="68">
        <f>G2625/F2626</f>
        <v>4.625</v>
      </c>
    </row>
    <row r="2628" spans="1:7" hidden="1">
      <c r="B2628" s="78"/>
    </row>
    <row r="2629" spans="1:7">
      <c r="B2629" s="78"/>
    </row>
    <row r="2630" spans="1:7">
      <c r="A2630" s="822" t="s">
        <v>1907</v>
      </c>
      <c r="B2630" s="78"/>
      <c r="C2630" s="203" t="s">
        <v>2367</v>
      </c>
      <c r="E2630" s="171" t="s">
        <v>297</v>
      </c>
      <c r="F2630" s="246">
        <v>120</v>
      </c>
      <c r="G2630" s="68" t="s">
        <v>3483</v>
      </c>
    </row>
    <row r="2631" spans="1:7">
      <c r="B2631" s="79" t="s">
        <v>2368</v>
      </c>
    </row>
    <row r="2632" spans="1:7">
      <c r="B2632" s="95" t="s">
        <v>2369</v>
      </c>
      <c r="C2632" s="157" t="s">
        <v>4443</v>
      </c>
      <c r="D2632" s="95" t="s">
        <v>2370</v>
      </c>
      <c r="E2632" s="95" t="s">
        <v>1166</v>
      </c>
      <c r="F2632" s="95" t="s">
        <v>2371</v>
      </c>
      <c r="G2632" s="95" t="s">
        <v>2372</v>
      </c>
    </row>
    <row r="2633" spans="1:7">
      <c r="B2633" s="114"/>
      <c r="C2633" s="154"/>
      <c r="D2633" s="114"/>
      <c r="E2633" s="114"/>
      <c r="F2633" s="114" t="s">
        <v>3485</v>
      </c>
      <c r="G2633" s="114" t="s">
        <v>3485</v>
      </c>
    </row>
    <row r="2634" spans="1:7">
      <c r="B2634" s="95">
        <v>1</v>
      </c>
      <c r="C2634" s="135" t="s">
        <v>5725</v>
      </c>
      <c r="D2634" s="339" t="s">
        <v>3483</v>
      </c>
      <c r="E2634" s="190">
        <v>120</v>
      </c>
      <c r="F2634" s="190">
        <f>G2618</f>
        <v>125</v>
      </c>
      <c r="G2634" s="190">
        <f>E2634*F2634</f>
        <v>15000</v>
      </c>
    </row>
    <row r="2635" spans="1:7">
      <c r="B2635" s="105">
        <v>2</v>
      </c>
      <c r="C2635" s="135" t="s">
        <v>5726</v>
      </c>
      <c r="D2635" s="340" t="s">
        <v>2374</v>
      </c>
      <c r="E2635" s="190">
        <v>16</v>
      </c>
      <c r="F2635" s="190">
        <f>G2624</f>
        <v>4.625</v>
      </c>
      <c r="G2635" s="190">
        <f>E2635*F2635</f>
        <v>74</v>
      </c>
    </row>
    <row r="2636" spans="1:7">
      <c r="B2636" s="105">
        <v>3</v>
      </c>
      <c r="C2636" s="135" t="s">
        <v>2196</v>
      </c>
      <c r="D2636" s="340" t="s">
        <v>2374</v>
      </c>
      <c r="E2636" s="190">
        <v>16</v>
      </c>
      <c r="F2636" s="190">
        <f>G2627</f>
        <v>4.625</v>
      </c>
      <c r="G2636" s="190">
        <f>E2636*F2636</f>
        <v>74</v>
      </c>
    </row>
    <row r="2637" spans="1:7">
      <c r="B2637" s="114">
        <v>4</v>
      </c>
      <c r="C2637" s="135" t="s">
        <v>4661</v>
      </c>
      <c r="D2637" s="340" t="s">
        <v>3483</v>
      </c>
      <c r="E2637" s="190">
        <v>120</v>
      </c>
      <c r="F2637" s="190">
        <f>G2621</f>
        <v>8.48</v>
      </c>
      <c r="G2637" s="190">
        <f>E2637*F2637</f>
        <v>1017.6</v>
      </c>
    </row>
    <row r="2638" spans="1:7">
      <c r="B2638" s="92"/>
      <c r="C2638" s="193" t="s">
        <v>2376</v>
      </c>
      <c r="D2638" s="159"/>
      <c r="E2638" s="238"/>
      <c r="F2638" s="236" t="s">
        <v>1698</v>
      </c>
      <c r="G2638" s="318">
        <f>SUM(G2634:G2637)</f>
        <v>16165.6</v>
      </c>
    </row>
    <row r="2639" spans="1:7">
      <c r="B2639" s="78"/>
    </row>
    <row r="2640" spans="1:7">
      <c r="B2640" s="79" t="s">
        <v>2377</v>
      </c>
    </row>
    <row r="2641" spans="2:7">
      <c r="B2641" s="95" t="s">
        <v>2369</v>
      </c>
      <c r="C2641" s="157" t="s">
        <v>2378</v>
      </c>
      <c r="D2641" s="95" t="s">
        <v>2370</v>
      </c>
      <c r="E2641" s="95" t="s">
        <v>1166</v>
      </c>
      <c r="F2641" s="95" t="s">
        <v>2371</v>
      </c>
      <c r="G2641" s="95" t="s">
        <v>2372</v>
      </c>
    </row>
    <row r="2642" spans="2:7">
      <c r="B2642" s="114"/>
      <c r="C2642" s="154"/>
      <c r="D2642" s="114"/>
      <c r="E2642" s="114"/>
      <c r="F2642" s="114" t="s">
        <v>3485</v>
      </c>
      <c r="G2642" s="114" t="s">
        <v>3485</v>
      </c>
    </row>
    <row r="2643" spans="2:7">
      <c r="B2643" s="95">
        <v>1</v>
      </c>
      <c r="C2643" s="135" t="s">
        <v>258</v>
      </c>
      <c r="D2643" s="339" t="s">
        <v>2374</v>
      </c>
      <c r="E2643" s="190">
        <v>16</v>
      </c>
      <c r="F2643" s="190">
        <f>'HIRE CHARGES'!$D$554</f>
        <v>188.5</v>
      </c>
      <c r="G2643" s="190">
        <f>E2643*F2643</f>
        <v>3016</v>
      </c>
    </row>
    <row r="2644" spans="2:7">
      <c r="B2644" s="317"/>
      <c r="C2644" s="135" t="s">
        <v>2379</v>
      </c>
      <c r="D2644" s="340" t="s">
        <v>2374</v>
      </c>
      <c r="E2644" s="190">
        <v>16</v>
      </c>
      <c r="F2644" s="190">
        <f>'HIRE CHARGES'!$E$554</f>
        <v>0</v>
      </c>
      <c r="G2644" s="190">
        <f t="shared" ref="G2644:G2649" si="48">E2644*F2644</f>
        <v>0</v>
      </c>
    </row>
    <row r="2645" spans="2:7">
      <c r="B2645" s="105">
        <v>2</v>
      </c>
      <c r="C2645" s="135" t="s">
        <v>4481</v>
      </c>
      <c r="D2645" s="340" t="s">
        <v>2374</v>
      </c>
      <c r="E2645" s="190">
        <v>8</v>
      </c>
      <c r="F2645" s="190">
        <f>'HIRE CHARGES'!$D$498</f>
        <v>138.80000000000001</v>
      </c>
      <c r="G2645" s="190">
        <f t="shared" si="48"/>
        <v>1110.4000000000001</v>
      </c>
    </row>
    <row r="2646" spans="2:7">
      <c r="B2646" s="317"/>
      <c r="C2646" s="135" t="s">
        <v>2379</v>
      </c>
      <c r="D2646" s="340" t="s">
        <v>2374</v>
      </c>
      <c r="E2646" s="190">
        <v>8</v>
      </c>
      <c r="F2646" s="190">
        <f>'HIRE CHARGES'!$E$498</f>
        <v>700.5</v>
      </c>
      <c r="G2646" s="190">
        <f t="shared" si="48"/>
        <v>5604</v>
      </c>
    </row>
    <row r="2647" spans="2:7">
      <c r="B2647" s="105">
        <v>3</v>
      </c>
      <c r="C2647" s="135" t="s">
        <v>4484</v>
      </c>
      <c r="D2647" s="340" t="s">
        <v>2374</v>
      </c>
      <c r="E2647" s="190">
        <v>6</v>
      </c>
      <c r="F2647" s="190">
        <f>'HIRE CHARGES'!$D$520</f>
        <v>6.7</v>
      </c>
      <c r="G2647" s="190">
        <f t="shared" si="48"/>
        <v>40.200000000000003</v>
      </c>
    </row>
    <row r="2648" spans="2:7">
      <c r="B2648" s="317"/>
      <c r="C2648" s="135" t="s">
        <v>2379</v>
      </c>
      <c r="D2648" s="340" t="s">
        <v>2374</v>
      </c>
      <c r="E2648" s="190">
        <v>6</v>
      </c>
      <c r="F2648" s="190">
        <f>'HIRE CHARGES'!$E$520</f>
        <v>56</v>
      </c>
      <c r="G2648" s="190">
        <f t="shared" si="48"/>
        <v>336</v>
      </c>
    </row>
    <row r="2649" spans="2:7">
      <c r="B2649" s="105">
        <v>4</v>
      </c>
      <c r="C2649" s="135" t="s">
        <v>2373</v>
      </c>
      <c r="D2649" s="340" t="s">
        <v>2173</v>
      </c>
      <c r="E2649" s="190">
        <v>2</v>
      </c>
      <c r="F2649" s="214">
        <f>'BASIC DATA'!$D$359</f>
        <v>30</v>
      </c>
      <c r="G2649" s="190">
        <f t="shared" si="48"/>
        <v>60</v>
      </c>
    </row>
    <row r="2650" spans="2:7">
      <c r="B2650" s="176"/>
      <c r="C2650" s="172" t="s">
        <v>2380</v>
      </c>
      <c r="D2650" s="174"/>
      <c r="E2650" s="192"/>
      <c r="F2650" s="236" t="s">
        <v>1698</v>
      </c>
      <c r="G2650" s="318">
        <f>SUM(G2643:G2649)</f>
        <v>10166.6</v>
      </c>
    </row>
    <row r="2651" spans="2:7">
      <c r="B2651" s="78"/>
    </row>
    <row r="2652" spans="2:7">
      <c r="B2652" s="79" t="s">
        <v>2381</v>
      </c>
    </row>
    <row r="2653" spans="2:7">
      <c r="B2653" s="95" t="s">
        <v>2369</v>
      </c>
      <c r="C2653" s="157" t="s">
        <v>2378</v>
      </c>
      <c r="D2653" s="95" t="s">
        <v>2370</v>
      </c>
      <c r="E2653" s="95" t="s">
        <v>1166</v>
      </c>
      <c r="F2653" s="95" t="s">
        <v>2371</v>
      </c>
      <c r="G2653" s="95" t="s">
        <v>2372</v>
      </c>
    </row>
    <row r="2654" spans="2:7">
      <c r="B2654" s="114"/>
      <c r="C2654" s="154"/>
      <c r="D2654" s="114"/>
      <c r="E2654" s="114"/>
      <c r="F2654" s="114" t="s">
        <v>3485</v>
      </c>
      <c r="G2654" s="114" t="s">
        <v>3485</v>
      </c>
    </row>
    <row r="2655" spans="2:7">
      <c r="B2655" s="105">
        <v>1</v>
      </c>
      <c r="C2655" s="76" t="s">
        <v>153</v>
      </c>
      <c r="D2655" s="340" t="s">
        <v>2374</v>
      </c>
      <c r="E2655" s="207">
        <v>16</v>
      </c>
      <c r="F2655" s="190">
        <f>'HIRE CHARGES'!$F$554</f>
        <v>283.89999999999998</v>
      </c>
      <c r="G2655" s="190">
        <f>E2655*F2655</f>
        <v>4542.3999999999996</v>
      </c>
    </row>
    <row r="2656" spans="2:7">
      <c r="B2656" s="105">
        <v>2</v>
      </c>
      <c r="C2656" s="76" t="s">
        <v>4606</v>
      </c>
      <c r="D2656" s="340" t="s">
        <v>2374</v>
      </c>
      <c r="E2656" s="207">
        <v>8</v>
      </c>
      <c r="F2656" s="190">
        <f>'HIRE CHARGES'!$F$498</f>
        <v>175.8</v>
      </c>
      <c r="G2656" s="190">
        <f>E2656*F2656</f>
        <v>1406.4</v>
      </c>
    </row>
    <row r="2657" spans="1:7">
      <c r="B2657" s="105">
        <v>3</v>
      </c>
      <c r="C2657" s="76" t="s">
        <v>999</v>
      </c>
      <c r="D2657" s="340" t="s">
        <v>2374</v>
      </c>
      <c r="E2657" s="207">
        <v>6</v>
      </c>
      <c r="F2657" s="190">
        <f>'HIRE CHARGES'!$F$520</f>
        <v>83.3</v>
      </c>
      <c r="G2657" s="190">
        <f>E2657*F2657</f>
        <v>499.79999999999995</v>
      </c>
    </row>
    <row r="2658" spans="1:7">
      <c r="B2658" s="105">
        <v>4</v>
      </c>
      <c r="C2658" s="76" t="s">
        <v>2697</v>
      </c>
      <c r="D2658" s="340" t="s">
        <v>1172</v>
      </c>
      <c r="E2658" s="207">
        <v>2</v>
      </c>
      <c r="F2658" s="190">
        <f>'BASIC DATA'!$C$552</f>
        <v>350</v>
      </c>
      <c r="G2658" s="190">
        <f>E2658*F2658</f>
        <v>700</v>
      </c>
    </row>
    <row r="2659" spans="1:7">
      <c r="B2659" s="92"/>
      <c r="C2659" s="193" t="s">
        <v>1174</v>
      </c>
      <c r="D2659" s="159"/>
      <c r="E2659" s="238"/>
      <c r="F2659" s="236" t="s">
        <v>1698</v>
      </c>
      <c r="G2659" s="318">
        <f>SUM(G2655:G2658)</f>
        <v>7148.5999999999995</v>
      </c>
    </row>
    <row r="2660" spans="1:7">
      <c r="B2660" s="60" t="s">
        <v>5948</v>
      </c>
      <c r="D2660" s="31"/>
      <c r="E2660" s="85">
        <f>ROUND(G2659/F2630,1)</f>
        <v>59.6</v>
      </c>
    </row>
    <row r="2661" spans="1:7">
      <c r="B2661" s="60" t="s">
        <v>3163</v>
      </c>
      <c r="D2661" s="922">
        <f>'BASIC DATA'!$C$577</f>
        <v>0.13614999999999999</v>
      </c>
      <c r="E2661" s="85">
        <f>ROUND(E2660*D2661,1)</f>
        <v>8.1</v>
      </c>
    </row>
    <row r="2662" spans="1:7">
      <c r="B2662" s="60" t="s">
        <v>5949</v>
      </c>
      <c r="D2662" s="31"/>
      <c r="E2662" s="199">
        <f>ROUND(E2661+E2660,1)</f>
        <v>67.7</v>
      </c>
    </row>
    <row r="2663" spans="1:7"/>
    <row r="2664" spans="1:7">
      <c r="B2664" s="170" t="s">
        <v>1175</v>
      </c>
    </row>
    <row r="2665" spans="1:7">
      <c r="B2665" s="26" t="s">
        <v>1176</v>
      </c>
      <c r="F2665" s="171" t="s">
        <v>1698</v>
      </c>
      <c r="G2665" s="68">
        <f>G2638</f>
        <v>16165.6</v>
      </c>
    </row>
    <row r="2666" spans="1:7">
      <c r="B2666" s="26" t="s">
        <v>1186</v>
      </c>
      <c r="F2666" s="171" t="s">
        <v>1698</v>
      </c>
      <c r="G2666" s="68">
        <f>G2650</f>
        <v>10166.6</v>
      </c>
    </row>
    <row r="2667" spans="1:7">
      <c r="B2667" s="26" t="s">
        <v>2660</v>
      </c>
      <c r="F2667" s="171" t="s">
        <v>1698</v>
      </c>
      <c r="G2667" s="75">
        <f>G2659</f>
        <v>7148.5999999999995</v>
      </c>
    </row>
    <row r="2668" spans="1:7">
      <c r="E2668" s="171"/>
      <c r="F2668" s="171" t="s">
        <v>302</v>
      </c>
      <c r="G2668" s="205">
        <f>SUM(G2665:G2667)</f>
        <v>33480.800000000003</v>
      </c>
    </row>
    <row r="2669" spans="1:7">
      <c r="A2669" s="853"/>
      <c r="B2669" s="61" t="s">
        <v>2313</v>
      </c>
      <c r="C2669" s="61"/>
      <c r="D2669" s="61"/>
      <c r="E2669" s="320">
        <f>'BASIC DATA'!$C$595</f>
        <v>0.01</v>
      </c>
      <c r="F2669" s="222" t="s">
        <v>1698</v>
      </c>
      <c r="G2669" s="321">
        <f>E2669*$G$2668</f>
        <v>334.80800000000005</v>
      </c>
    </row>
    <row r="2670" spans="1:7">
      <c r="A2670" s="853"/>
      <c r="B2670" s="61" t="s">
        <v>2314</v>
      </c>
      <c r="C2670" s="61"/>
      <c r="D2670" s="61"/>
      <c r="E2670" s="291">
        <f>'BASIC DATA'!$C$596</f>
        <v>4.4999999999999998E-2</v>
      </c>
      <c r="F2670" s="222" t="s">
        <v>1698</v>
      </c>
      <c r="G2670" s="321">
        <f>E2670*$G$2668</f>
        <v>1506.636</v>
      </c>
    </row>
    <row r="2671" spans="1:7">
      <c r="A2671" s="853"/>
      <c r="B2671" s="61" t="s">
        <v>2315</v>
      </c>
      <c r="C2671" s="61"/>
      <c r="D2671" s="61"/>
      <c r="E2671" s="291">
        <f>'BASIC DATA'!$C$597</f>
        <v>1.6E-2</v>
      </c>
      <c r="F2671" s="222" t="s">
        <v>1698</v>
      </c>
      <c r="G2671" s="321">
        <f>E2671*$G$2668</f>
        <v>535.69280000000003</v>
      </c>
    </row>
    <row r="2672" spans="1:7">
      <c r="A2672" s="853"/>
      <c r="B2672" s="61" t="s">
        <v>1259</v>
      </c>
      <c r="C2672" s="61"/>
      <c r="D2672" s="61"/>
      <c r="E2672" s="291">
        <f>'BASIC DATA'!$C$598</f>
        <v>2.5000000000000001E-2</v>
      </c>
      <c r="F2672" s="222" t="s">
        <v>1698</v>
      </c>
      <c r="G2672" s="321">
        <f>E2672*$G$2668</f>
        <v>837.0200000000001</v>
      </c>
    </row>
    <row r="2673" spans="1:7">
      <c r="A2673" s="853"/>
      <c r="B2673" s="61"/>
      <c r="C2673" s="61"/>
      <c r="D2673" s="61"/>
      <c r="E2673" s="291"/>
      <c r="F2673" s="171" t="s">
        <v>302</v>
      </c>
      <c r="G2673" s="205">
        <f>SUM(G2668:G2672)</f>
        <v>36694.956799999993</v>
      </c>
    </row>
    <row r="2674" spans="1:7" ht="40.5" customHeight="1">
      <c r="B2674" s="1207" t="s">
        <v>6259</v>
      </c>
      <c r="C2674" s="1207"/>
      <c r="D2674" s="1207"/>
      <c r="E2674" s="922">
        <f>'BASIC DATA'!$C$577</f>
        <v>0.13614999999999999</v>
      </c>
      <c r="F2674" s="171" t="s">
        <v>1698</v>
      </c>
      <c r="G2674" s="75">
        <f>G2673*E2674</f>
        <v>4996.0183683199984</v>
      </c>
    </row>
    <row r="2675" spans="1:7">
      <c r="B2675" s="26" t="s">
        <v>1191</v>
      </c>
      <c r="D2675" s="68">
        <f>F2630</f>
        <v>120</v>
      </c>
      <c r="E2675" s="68" t="str">
        <f>G2630</f>
        <v>Rm</v>
      </c>
      <c r="F2675" s="171" t="s">
        <v>1698</v>
      </c>
      <c r="G2675" s="211">
        <f>G2674+G2673</f>
        <v>41690.975168319994</v>
      </c>
    </row>
    <row r="2676" spans="1:7">
      <c r="B2676" s="170" t="s">
        <v>3884</v>
      </c>
      <c r="C2676" s="170" t="str">
        <f>E2675</f>
        <v>Rm</v>
      </c>
      <c r="D2676" s="26" t="s">
        <v>6577</v>
      </c>
      <c r="F2676" s="171" t="s">
        <v>1698</v>
      </c>
      <c r="G2676" s="211">
        <f>ROUND(G2675/D2675,1)</f>
        <v>347.4</v>
      </c>
    </row>
    <row r="2677" spans="1:7" hidden="1">
      <c r="A2677" s="865"/>
      <c r="B2677" s="78"/>
    </row>
    <row r="2678" spans="1:7" hidden="1"/>
    <row r="2679" spans="1:7" hidden="1"/>
    <row r="2680" spans="1:7" hidden="1"/>
    <row r="2681" spans="1:7" hidden="1"/>
    <row r="2682" spans="1:7" hidden="1"/>
    <row r="2683" spans="1:7" hidden="1"/>
    <row r="2684" spans="1:7" hidden="1"/>
    <row r="2685" spans="1:7" hidden="1"/>
    <row r="2686" spans="1:7" hidden="1"/>
    <row r="2687" spans="1:7" hidden="1"/>
    <row r="2688" spans="1:7"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sheetData>
  <mergeCells count="35">
    <mergeCell ref="B973:D973"/>
    <mergeCell ref="C9:F9"/>
    <mergeCell ref="B247:D247"/>
    <mergeCell ref="B426:D426"/>
    <mergeCell ref="B605:D605"/>
    <mergeCell ref="B775:D775"/>
    <mergeCell ref="B1067:D1067"/>
    <mergeCell ref="B1129:D1129"/>
    <mergeCell ref="B1219:D1219"/>
    <mergeCell ref="B1317:D1317"/>
    <mergeCell ref="B1435:D1435"/>
    <mergeCell ref="B1221:C1221"/>
    <mergeCell ref="B1320:C1320"/>
    <mergeCell ref="B2674:D2674"/>
    <mergeCell ref="B1674:D1674"/>
    <mergeCell ref="B1795:D1795"/>
    <mergeCell ref="B1849:D1849"/>
    <mergeCell ref="B1920:D1920"/>
    <mergeCell ref="B1992:D1992"/>
    <mergeCell ref="B2091:D2091"/>
    <mergeCell ref="B2094:C2094"/>
    <mergeCell ref="B2253:C2253"/>
    <mergeCell ref="B2442:C2442"/>
    <mergeCell ref="B2598:C2598"/>
    <mergeCell ref="B1993:C1993"/>
    <mergeCell ref="B2250:D2250"/>
    <mergeCell ref="B2439:D2439"/>
    <mergeCell ref="B2525:D2525"/>
    <mergeCell ref="B2597:D2597"/>
    <mergeCell ref="B1436:C1436"/>
    <mergeCell ref="B1546:C1546"/>
    <mergeCell ref="B1675:C1675"/>
    <mergeCell ref="B1796:C1796"/>
    <mergeCell ref="B1923:C1923"/>
    <mergeCell ref="B1545:D1545"/>
  </mergeCells>
  <printOptions horizontalCentered="1"/>
  <pageMargins left="0.70866141732283505" right="0.70866141732283505" top="0.74803149606299202" bottom="0.74803149606299202" header="0.31496062992126" footer="0.31496062992126"/>
  <pageSetup scale="55" firstPageNumber="100" orientation="portrait" useFirstPageNumber="1" r:id="rId1"/>
  <headerFooter>
    <oddHeader>&amp;RTunnel and Allied Works - Item Unit Rates 2016-17</oddHeader>
    <oddFooter>&amp;R&amp;18&amp;P</oddFooter>
  </headerFooter>
  <drawing r:id="rId2"/>
</worksheet>
</file>

<file path=xl/worksheets/sheet8.xml><?xml version="1.0" encoding="utf-8"?>
<worksheet xmlns="http://schemas.openxmlformats.org/spreadsheetml/2006/main" xmlns:r="http://schemas.openxmlformats.org/officeDocument/2006/relationships">
  <sheetPr codeName="Sheet6"/>
  <dimension ref="A1:IU8772"/>
  <sheetViews>
    <sheetView showGridLines="0" view="pageBreakPreview" zoomScale="60" zoomScaleNormal="60" workbookViewId="0">
      <selection activeCell="I2" sqref="I2"/>
    </sheetView>
  </sheetViews>
  <sheetFormatPr defaultColWidth="0" defaultRowHeight="18" zeroHeight="1"/>
  <cols>
    <col min="1" max="1" width="19.42578125" style="822" customWidth="1"/>
    <col min="2" max="2" width="16.28515625" style="47" customWidth="1"/>
    <col min="3" max="3" width="42.85546875" style="26" customWidth="1"/>
    <col min="4" max="4" width="12.28515625" style="26" customWidth="1"/>
    <col min="5" max="5" width="12.7109375" style="26" customWidth="1"/>
    <col min="6" max="6" width="10.5703125" style="26" customWidth="1"/>
    <col min="7" max="7" width="14.42578125" style="26" customWidth="1"/>
    <col min="8" max="8" width="9.140625" style="26" customWidth="1"/>
    <col min="9" max="9" width="19.85546875" style="26" customWidth="1"/>
    <col min="10" max="255" width="9.140625" style="26" hidden="1" customWidth="1"/>
    <col min="256" max="16384" width="0" style="26" hidden="1"/>
  </cols>
  <sheetData>
    <row r="1" spans="1:17">
      <c r="A1" s="886"/>
      <c r="B1" s="109"/>
      <c r="C1" s="346" t="s">
        <v>3660</v>
      </c>
      <c r="D1" s="109"/>
      <c r="E1" s="109"/>
      <c r="F1" s="109"/>
      <c r="G1" s="165"/>
      <c r="H1" s="165"/>
      <c r="I1" s="165"/>
    </row>
    <row r="2" spans="1:17">
      <c r="A2" s="887"/>
      <c r="B2" s="109"/>
      <c r="C2" s="346"/>
      <c r="D2" s="109"/>
      <c r="E2" s="109"/>
      <c r="F2" s="109"/>
      <c r="G2" s="165"/>
      <c r="H2" s="165"/>
      <c r="I2" s="165"/>
    </row>
    <row r="3" spans="1:17">
      <c r="A3" s="887"/>
      <c r="B3" s="1253" t="s">
        <v>7984</v>
      </c>
      <c r="C3" s="1253"/>
      <c r="D3" s="1253"/>
      <c r="E3" s="1253"/>
      <c r="F3" s="347"/>
      <c r="G3" s="165"/>
      <c r="H3" s="165"/>
      <c r="I3" s="165"/>
    </row>
    <row r="4" spans="1:17">
      <c r="A4" s="887"/>
      <c r="B4" s="109"/>
      <c r="C4" s="346"/>
      <c r="D4" s="109"/>
      <c r="E4" s="109"/>
      <c r="F4" s="109"/>
      <c r="G4" s="165"/>
      <c r="H4" s="165"/>
      <c r="I4" s="165"/>
    </row>
    <row r="5" spans="1:17">
      <c r="A5" s="848"/>
      <c r="B5" s="62"/>
      <c r="C5" s="348"/>
      <c r="D5" s="62"/>
      <c r="E5" s="62"/>
      <c r="F5" s="62"/>
      <c r="G5" s="61"/>
      <c r="H5" s="61"/>
      <c r="I5" s="61"/>
      <c r="J5" s="61"/>
      <c r="K5" s="61"/>
      <c r="L5" s="61"/>
      <c r="M5" s="61"/>
      <c r="N5" s="61"/>
      <c r="O5" s="61"/>
      <c r="P5" s="61"/>
      <c r="Q5" s="61"/>
    </row>
    <row r="6" spans="1:17">
      <c r="A6" s="848"/>
      <c r="B6" s="62"/>
      <c r="C6" s="47" t="s">
        <v>1959</v>
      </c>
      <c r="D6" s="33"/>
      <c r="E6" s="33"/>
      <c r="F6" s="33"/>
      <c r="G6" s="33"/>
      <c r="H6" s="33"/>
      <c r="J6" s="61"/>
      <c r="K6" s="61"/>
      <c r="L6" s="61"/>
      <c r="M6" s="61"/>
      <c r="N6" s="61"/>
      <c r="O6" s="61"/>
      <c r="P6" s="61"/>
      <c r="Q6" s="61"/>
    </row>
    <row r="7" spans="1:17" ht="18.75" thickBot="1">
      <c r="A7" s="848"/>
      <c r="B7" s="62"/>
      <c r="C7" s="1242" t="s">
        <v>9958</v>
      </c>
      <c r="D7" s="1242"/>
      <c r="E7" s="1242"/>
      <c r="F7" s="1242"/>
      <c r="G7" s="61"/>
      <c r="H7" s="61"/>
      <c r="I7" s="61"/>
      <c r="J7" s="61"/>
      <c r="K7" s="61"/>
      <c r="L7" s="61"/>
      <c r="M7" s="61"/>
      <c r="N7" s="61"/>
      <c r="O7" s="61"/>
      <c r="P7" s="61"/>
      <c r="Q7" s="61"/>
    </row>
    <row r="8" spans="1:17" ht="18.75" thickBot="1">
      <c r="A8" s="888" t="s">
        <v>7038</v>
      </c>
      <c r="B8" s="62"/>
      <c r="C8" s="348"/>
      <c r="D8" s="62"/>
      <c r="E8" s="62"/>
      <c r="F8" s="62"/>
      <c r="G8" s="61"/>
      <c r="H8" s="61"/>
      <c r="I8" s="61"/>
      <c r="J8" s="61"/>
      <c r="K8" s="61"/>
      <c r="L8" s="61"/>
      <c r="M8" s="61"/>
      <c r="N8" s="61"/>
      <c r="O8" s="61"/>
      <c r="P8" s="61"/>
      <c r="Q8" s="61"/>
    </row>
    <row r="9" spans="1:17">
      <c r="A9" s="841" t="s">
        <v>7418</v>
      </c>
      <c r="B9" s="78"/>
      <c r="C9" s="1254" t="s">
        <v>3968</v>
      </c>
      <c r="D9" s="1254"/>
      <c r="E9" s="1254"/>
      <c r="F9" s="1254"/>
    </row>
    <row r="10" spans="1:17">
      <c r="A10" s="847"/>
      <c r="B10" s="78"/>
      <c r="C10" s="48"/>
    </row>
    <row r="11" spans="1:17" ht="23.25">
      <c r="A11" s="868" t="s">
        <v>9633</v>
      </c>
      <c r="B11" s="26"/>
      <c r="C11" s="78"/>
      <c r="F11" s="47"/>
    </row>
    <row r="12" spans="1:17">
      <c r="A12" s="869" t="s">
        <v>9603</v>
      </c>
      <c r="B12" s="26"/>
      <c r="C12" s="27"/>
    </row>
    <row r="13" spans="1:17">
      <c r="A13" s="822" t="s">
        <v>9604</v>
      </c>
      <c r="B13" s="26"/>
      <c r="C13" s="27"/>
    </row>
    <row r="14" spans="1:17">
      <c r="A14" s="822" t="s">
        <v>9651</v>
      </c>
      <c r="B14" s="26"/>
      <c r="C14" s="27"/>
    </row>
    <row r="15" spans="1:17">
      <c r="A15" s="822" t="s">
        <v>9652</v>
      </c>
      <c r="B15" s="26"/>
      <c r="C15" s="27"/>
    </row>
    <row r="16" spans="1:17">
      <c r="A16" s="822" t="s">
        <v>9636</v>
      </c>
      <c r="B16" s="26"/>
      <c r="C16" s="27"/>
    </row>
    <row r="17" spans="1:8">
      <c r="A17" s="822" t="s">
        <v>9637</v>
      </c>
      <c r="B17" s="26"/>
      <c r="C17" s="27"/>
    </row>
    <row r="18" spans="1:8">
      <c r="A18" s="869" t="s">
        <v>9608</v>
      </c>
      <c r="B18" s="26"/>
      <c r="C18" s="27"/>
    </row>
    <row r="19" spans="1:8">
      <c r="A19" s="822" t="s">
        <v>9609</v>
      </c>
      <c r="B19" s="26"/>
      <c r="C19" s="27"/>
    </row>
    <row r="20" spans="1:8">
      <c r="A20" s="846" t="s">
        <v>9661</v>
      </c>
      <c r="B20" s="26"/>
      <c r="C20" s="27"/>
    </row>
    <row r="21" spans="1:8">
      <c r="A21" s="846" t="s">
        <v>9662</v>
      </c>
      <c r="B21" s="26"/>
      <c r="C21" s="27"/>
    </row>
    <row r="22" spans="1:8">
      <c r="A22" s="846" t="s">
        <v>9876</v>
      </c>
      <c r="B22" s="26"/>
      <c r="C22" s="27"/>
    </row>
    <row r="23" spans="1:8">
      <c r="A23" s="846" t="s">
        <v>9645</v>
      </c>
      <c r="B23" s="26"/>
      <c r="C23" s="27"/>
    </row>
    <row r="24" spans="1:8">
      <c r="A24" s="822" t="s">
        <v>9646</v>
      </c>
      <c r="B24" s="26"/>
      <c r="C24" s="27"/>
    </row>
    <row r="25" spans="1:8">
      <c r="A25" s="822" t="s">
        <v>9647</v>
      </c>
      <c r="B25" s="26"/>
      <c r="C25" s="27"/>
    </row>
    <row r="26" spans="1:8">
      <c r="A26" s="822" t="s">
        <v>9648</v>
      </c>
      <c r="B26" s="26"/>
      <c r="C26" s="27"/>
    </row>
    <row r="27" spans="1:8">
      <c r="A27" s="822" t="s">
        <v>9618</v>
      </c>
      <c r="B27" s="26"/>
      <c r="C27" s="27"/>
    </row>
    <row r="28" spans="1:8">
      <c r="A28" s="822" t="s">
        <v>9619</v>
      </c>
      <c r="B28" s="26"/>
      <c r="C28" s="27"/>
      <c r="G28" s="26">
        <v>15</v>
      </c>
      <c r="H28" s="26" t="s">
        <v>9620</v>
      </c>
    </row>
    <row r="29" spans="1:8">
      <c r="A29" s="822" t="s">
        <v>9621</v>
      </c>
      <c r="B29" s="26"/>
      <c r="C29" s="27"/>
      <c r="G29" s="26">
        <v>1</v>
      </c>
      <c r="H29" s="26" t="s">
        <v>9620</v>
      </c>
    </row>
    <row r="30" spans="1:8">
      <c r="A30" s="822" t="s">
        <v>9622</v>
      </c>
      <c r="B30" s="26"/>
      <c r="C30" s="26" t="s">
        <v>9623</v>
      </c>
      <c r="F30" s="26" t="s">
        <v>4108</v>
      </c>
      <c r="G30" s="68">
        <f>leadcharges!$D$69</f>
        <v>84</v>
      </c>
    </row>
    <row r="31" spans="1:8">
      <c r="B31" s="26"/>
      <c r="C31" s="26" t="s">
        <v>9624</v>
      </c>
      <c r="F31" s="26" t="s">
        <v>4108</v>
      </c>
      <c r="G31" s="26">
        <f>(15-5)*leadcharges!$D$70</f>
        <v>126</v>
      </c>
    </row>
    <row r="32" spans="1:8">
      <c r="B32" s="26"/>
      <c r="C32" s="26" t="s">
        <v>9625</v>
      </c>
      <c r="F32" s="26" t="s">
        <v>4108</v>
      </c>
      <c r="G32" s="68">
        <f>SUM(G30:G31)</f>
        <v>210</v>
      </c>
    </row>
    <row r="33" spans="1:8">
      <c r="B33" s="26"/>
      <c r="C33" s="26" t="s">
        <v>9626</v>
      </c>
      <c r="F33" s="26" t="s">
        <v>4108</v>
      </c>
      <c r="G33" s="68">
        <f>leadcharges!$D$65</f>
        <v>31.5</v>
      </c>
      <c r="H33" s="26" t="s">
        <v>9628</v>
      </c>
    </row>
    <row r="34" spans="1:8">
      <c r="B34" s="26"/>
      <c r="C34" s="26" t="s">
        <v>9627</v>
      </c>
      <c r="F34" s="26" t="s">
        <v>4108</v>
      </c>
      <c r="G34" s="68">
        <f>G32-G33</f>
        <v>178.5</v>
      </c>
    </row>
    <row r="35" spans="1:8">
      <c r="B35" s="26"/>
      <c r="C35" s="27"/>
    </row>
    <row r="36" spans="1:8">
      <c r="B36" s="26"/>
      <c r="C36" s="27"/>
    </row>
    <row r="37" spans="1:8">
      <c r="A37" s="822" t="s">
        <v>9874</v>
      </c>
      <c r="B37" s="26"/>
      <c r="C37" s="27"/>
    </row>
    <row r="38" spans="1:8">
      <c r="B38" s="26"/>
      <c r="C38" s="27"/>
    </row>
    <row r="39" spans="1:8">
      <c r="A39" s="846" t="s">
        <v>9669</v>
      </c>
      <c r="B39" s="26"/>
      <c r="C39" s="27"/>
    </row>
    <row r="40" spans="1:8">
      <c r="A40" s="846" t="s">
        <v>9662</v>
      </c>
      <c r="B40" s="26"/>
      <c r="C40" s="27"/>
    </row>
    <row r="41" spans="1:8">
      <c r="A41" s="846" t="s">
        <v>9644</v>
      </c>
      <c r="B41" s="26"/>
      <c r="C41" s="27"/>
    </row>
    <row r="42" spans="1:8">
      <c r="A42" s="846" t="s">
        <v>9649</v>
      </c>
      <c r="B42" s="26"/>
      <c r="C42" s="27"/>
    </row>
    <row r="43" spans="1:8">
      <c r="A43" s="846" t="s">
        <v>9650</v>
      </c>
      <c r="B43" s="26"/>
      <c r="C43" s="27"/>
    </row>
    <row r="44" spans="1:8">
      <c r="A44" s="822" t="s">
        <v>9618</v>
      </c>
      <c r="B44" s="26"/>
      <c r="C44" s="27"/>
    </row>
    <row r="45" spans="1:8">
      <c r="A45" s="822" t="s">
        <v>9631</v>
      </c>
      <c r="B45" s="26"/>
      <c r="C45" s="27"/>
      <c r="G45" s="26">
        <v>15</v>
      </c>
      <c r="H45" s="26" t="s">
        <v>9620</v>
      </c>
    </row>
    <row r="46" spans="1:8">
      <c r="A46" s="822" t="s">
        <v>9621</v>
      </c>
      <c r="B46" s="26"/>
      <c r="C46" s="27"/>
      <c r="G46" s="26">
        <v>1</v>
      </c>
      <c r="H46" s="26" t="s">
        <v>9620</v>
      </c>
    </row>
    <row r="47" spans="1:8">
      <c r="A47" s="822" t="s">
        <v>9622</v>
      </c>
      <c r="B47" s="26"/>
      <c r="C47" s="26" t="s">
        <v>9623</v>
      </c>
      <c r="F47" s="26" t="s">
        <v>4108</v>
      </c>
      <c r="G47" s="68">
        <f>leadcharges!$D$69</f>
        <v>84</v>
      </c>
    </row>
    <row r="48" spans="1:8">
      <c r="B48" s="26"/>
      <c r="C48" s="26" t="s">
        <v>9624</v>
      </c>
      <c r="F48" s="26" t="s">
        <v>4108</v>
      </c>
      <c r="G48" s="26">
        <f>(15-5)*leadcharges!$D$70</f>
        <v>126</v>
      </c>
    </row>
    <row r="49" spans="1:15">
      <c r="B49" s="26"/>
      <c r="C49" s="26" t="s">
        <v>9625</v>
      </c>
      <c r="F49" s="26" t="s">
        <v>4108</v>
      </c>
      <c r="G49" s="68">
        <f>SUM(G47:G48)</f>
        <v>210</v>
      </c>
    </row>
    <row r="50" spans="1:15">
      <c r="B50" s="26"/>
      <c r="C50" s="26" t="s">
        <v>9626</v>
      </c>
      <c r="F50" s="26" t="s">
        <v>4108</v>
      </c>
      <c r="G50" s="68">
        <f>leadcharges!$D$65</f>
        <v>31.5</v>
      </c>
      <c r="H50" s="26" t="s">
        <v>9628</v>
      </c>
    </row>
    <row r="51" spans="1:15">
      <c r="B51" s="26"/>
      <c r="C51" s="26" t="s">
        <v>9627</v>
      </c>
      <c r="F51" s="26" t="s">
        <v>4108</v>
      </c>
      <c r="G51" s="68">
        <f>G49-G50</f>
        <v>178.5</v>
      </c>
    </row>
    <row r="52" spans="1:15">
      <c r="A52" s="847"/>
      <c r="B52" s="78"/>
      <c r="C52" s="48"/>
    </row>
    <row r="53" spans="1:15">
      <c r="A53" s="822" t="s">
        <v>9684</v>
      </c>
      <c r="B53" s="78"/>
      <c r="C53" s="48"/>
    </row>
    <row r="54" spans="1:15">
      <c r="A54" s="822" t="s">
        <v>9685</v>
      </c>
      <c r="B54" s="78"/>
      <c r="C54" s="48"/>
    </row>
    <row r="55" spans="1:15">
      <c r="A55" s="822" t="s">
        <v>9686</v>
      </c>
      <c r="B55" s="78"/>
      <c r="C55" s="48"/>
    </row>
    <row r="56" spans="1:15">
      <c r="B56" s="78"/>
      <c r="C56" s="48"/>
    </row>
    <row r="57" spans="1:15">
      <c r="A57" s="847"/>
      <c r="B57" s="78"/>
      <c r="D57" s="325" t="s">
        <v>9653</v>
      </c>
    </row>
    <row r="58" spans="1:15">
      <c r="A58" s="847"/>
      <c r="B58" s="78"/>
      <c r="C58" s="48"/>
    </row>
    <row r="59" spans="1:15">
      <c r="A59" s="841" t="s">
        <v>7419</v>
      </c>
      <c r="B59" s="32" t="s">
        <v>340</v>
      </c>
      <c r="C59" s="48"/>
      <c r="H59" s="31"/>
      <c r="J59" s="1255"/>
      <c r="K59" s="1255"/>
      <c r="L59" s="1255"/>
      <c r="M59" s="31"/>
      <c r="N59" s="31"/>
      <c r="O59" s="31"/>
    </row>
    <row r="60" spans="1:15">
      <c r="A60" s="847"/>
      <c r="B60" s="30"/>
      <c r="C60" s="48"/>
      <c r="H60" s="31"/>
      <c r="J60" s="33"/>
      <c r="K60" s="33"/>
      <c r="L60" s="33"/>
      <c r="M60" s="31"/>
      <c r="N60" s="31"/>
      <c r="O60" s="31"/>
    </row>
    <row r="61" spans="1:15" ht="18.75">
      <c r="A61" s="841" t="s">
        <v>7420</v>
      </c>
      <c r="B61" s="47" t="s">
        <v>8630</v>
      </c>
      <c r="C61" s="48"/>
      <c r="O61" s="31"/>
    </row>
    <row r="62" spans="1:15">
      <c r="A62" s="889"/>
      <c r="B62" s="47" t="s">
        <v>2984</v>
      </c>
      <c r="C62" s="48"/>
      <c r="O62" s="31"/>
    </row>
    <row r="63" spans="1:15">
      <c r="A63" s="889"/>
      <c r="B63" s="47" t="s">
        <v>30</v>
      </c>
      <c r="C63" s="48"/>
      <c r="O63" s="31"/>
    </row>
    <row r="64" spans="1:15">
      <c r="A64" s="889"/>
      <c r="B64" s="47" t="s">
        <v>1147</v>
      </c>
      <c r="C64" s="48"/>
      <c r="O64" s="31"/>
    </row>
    <row r="65" spans="1:15" ht="18.75">
      <c r="A65" s="889"/>
      <c r="B65" s="47" t="s">
        <v>8631</v>
      </c>
      <c r="C65" s="48"/>
      <c r="O65" s="31"/>
    </row>
    <row r="66" spans="1:15">
      <c r="A66" s="889"/>
      <c r="C66" s="48"/>
      <c r="O66" s="31"/>
    </row>
    <row r="67" spans="1:15" hidden="1">
      <c r="A67" s="889" t="s">
        <v>3984</v>
      </c>
      <c r="B67" s="47" t="s">
        <v>602</v>
      </c>
      <c r="C67" s="48"/>
      <c r="E67" s="78" t="s">
        <v>1697</v>
      </c>
      <c r="F67" s="26">
        <v>0.85</v>
      </c>
      <c r="G67" s="26" t="s">
        <v>6901</v>
      </c>
      <c r="H67" s="47"/>
      <c r="O67" s="31"/>
    </row>
    <row r="68" spans="1:15" hidden="1">
      <c r="A68" s="889"/>
      <c r="B68" s="47" t="s">
        <v>603</v>
      </c>
      <c r="C68" s="48"/>
      <c r="E68" s="78" t="s">
        <v>1697</v>
      </c>
      <c r="F68" s="68">
        <v>1</v>
      </c>
      <c r="G68" s="26" t="s">
        <v>6901</v>
      </c>
      <c r="H68" s="47"/>
      <c r="O68" s="31"/>
    </row>
    <row r="69" spans="1:15" hidden="1">
      <c r="A69" s="889"/>
      <c r="B69" s="47" t="s">
        <v>604</v>
      </c>
      <c r="C69" s="48"/>
      <c r="E69" s="78" t="s">
        <v>1697</v>
      </c>
      <c r="F69" s="68">
        <v>5</v>
      </c>
      <c r="G69" s="26" t="s">
        <v>6901</v>
      </c>
      <c r="H69" s="47"/>
      <c r="O69" s="31"/>
    </row>
    <row r="70" spans="1:15" hidden="1">
      <c r="A70" s="889"/>
      <c r="B70" s="47" t="s">
        <v>605</v>
      </c>
      <c r="C70" s="48"/>
      <c r="E70" s="78" t="s">
        <v>3432</v>
      </c>
      <c r="F70" s="26">
        <v>1</v>
      </c>
      <c r="G70" s="26" t="s">
        <v>3430</v>
      </c>
      <c r="H70" s="47"/>
      <c r="O70" s="31"/>
    </row>
    <row r="71" spans="1:15" hidden="1">
      <c r="A71" s="889"/>
      <c r="B71" s="47" t="s">
        <v>1353</v>
      </c>
      <c r="C71" s="48"/>
      <c r="E71" s="78" t="s">
        <v>1697</v>
      </c>
      <c r="F71" s="26">
        <v>15</v>
      </c>
      <c r="G71" s="26" t="s">
        <v>3433</v>
      </c>
      <c r="H71" s="47"/>
      <c r="O71" s="31"/>
    </row>
    <row r="72" spans="1:15" hidden="1">
      <c r="A72" s="889"/>
      <c r="B72" s="47" t="s">
        <v>1354</v>
      </c>
      <c r="C72" s="48"/>
      <c r="E72" s="78" t="s">
        <v>1697</v>
      </c>
      <c r="F72" s="26">
        <v>15</v>
      </c>
      <c r="G72" s="26" t="s">
        <v>3433</v>
      </c>
      <c r="H72" s="47"/>
      <c r="O72" s="31"/>
    </row>
    <row r="73" spans="1:15" hidden="1">
      <c r="A73" s="889"/>
      <c r="B73" s="47" t="s">
        <v>3985</v>
      </c>
      <c r="C73" s="48"/>
      <c r="E73" s="78" t="s">
        <v>1697</v>
      </c>
      <c r="F73" s="68">
        <v>2</v>
      </c>
      <c r="G73" s="26" t="s">
        <v>1433</v>
      </c>
      <c r="H73" s="47"/>
      <c r="O73" s="31"/>
    </row>
    <row r="74" spans="1:15" hidden="1">
      <c r="A74" s="889"/>
      <c r="B74" s="47" t="s">
        <v>4030</v>
      </c>
      <c r="C74" s="48"/>
      <c r="E74" s="78" t="s">
        <v>1697</v>
      </c>
      <c r="F74" s="26">
        <v>20</v>
      </c>
      <c r="G74" s="26" t="s">
        <v>3434</v>
      </c>
      <c r="H74" s="47"/>
      <c r="O74" s="31"/>
    </row>
    <row r="75" spans="1:15" hidden="1">
      <c r="A75" s="889"/>
      <c r="B75" s="47" t="s">
        <v>397</v>
      </c>
      <c r="C75" s="48"/>
      <c r="E75" s="78" t="s">
        <v>1697</v>
      </c>
      <c r="F75" s="26">
        <v>0.83</v>
      </c>
      <c r="G75" s="26" t="s">
        <v>3477</v>
      </c>
      <c r="H75" s="47"/>
      <c r="O75" s="31"/>
    </row>
    <row r="76" spans="1:15" hidden="1">
      <c r="A76" s="889"/>
      <c r="B76" s="47" t="s">
        <v>398</v>
      </c>
      <c r="C76" s="48"/>
      <c r="E76" s="78" t="s">
        <v>1697</v>
      </c>
      <c r="F76" s="26">
        <v>4.16</v>
      </c>
      <c r="G76" s="26" t="s">
        <v>6901</v>
      </c>
      <c r="H76" s="47"/>
      <c r="O76" s="31"/>
    </row>
    <row r="77" spans="1:15" hidden="1">
      <c r="A77" s="889"/>
      <c r="B77" s="47" t="s">
        <v>399</v>
      </c>
      <c r="C77" s="48"/>
      <c r="E77" s="78" t="s">
        <v>1123</v>
      </c>
      <c r="F77" s="26">
        <v>5</v>
      </c>
      <c r="G77" s="26" t="s">
        <v>3435</v>
      </c>
      <c r="H77" s="47"/>
      <c r="O77" s="31"/>
    </row>
    <row r="78" spans="1:15" hidden="1">
      <c r="A78" s="889"/>
      <c r="B78" s="47" t="s">
        <v>807</v>
      </c>
      <c r="C78" s="48"/>
      <c r="E78" s="78" t="s">
        <v>1123</v>
      </c>
      <c r="F78" s="26">
        <v>4.16</v>
      </c>
      <c r="G78" s="26" t="s">
        <v>6901</v>
      </c>
      <c r="H78" s="47"/>
      <c r="O78" s="31"/>
    </row>
    <row r="79" spans="1:15" hidden="1">
      <c r="A79" s="889"/>
      <c r="B79" s="47" t="s">
        <v>808</v>
      </c>
      <c r="C79" s="48"/>
      <c r="E79" s="78" t="s">
        <v>1697</v>
      </c>
      <c r="F79" s="26">
        <v>1.67</v>
      </c>
      <c r="G79" s="26" t="s">
        <v>1433</v>
      </c>
      <c r="H79" s="47"/>
      <c r="O79" s="31"/>
    </row>
    <row r="80" spans="1:15" hidden="1">
      <c r="A80" s="889"/>
      <c r="B80" s="47" t="s">
        <v>809</v>
      </c>
      <c r="C80" s="48"/>
      <c r="O80" s="31"/>
    </row>
    <row r="81" spans="1:15" hidden="1">
      <c r="A81" s="889"/>
      <c r="B81" s="47" t="s">
        <v>810</v>
      </c>
      <c r="C81" s="48"/>
      <c r="O81" s="31"/>
    </row>
    <row r="82" spans="1:15" hidden="1">
      <c r="A82" s="889"/>
      <c r="B82" s="47" t="s">
        <v>811</v>
      </c>
      <c r="C82" s="48"/>
      <c r="O82" s="31"/>
    </row>
    <row r="83" spans="1:15" hidden="1">
      <c r="A83" s="889"/>
      <c r="B83" s="47" t="s">
        <v>3901</v>
      </c>
      <c r="C83" s="48"/>
      <c r="O83" s="31"/>
    </row>
    <row r="84" spans="1:15" hidden="1">
      <c r="A84" s="889"/>
      <c r="B84" s="47" t="s">
        <v>1612</v>
      </c>
      <c r="C84" s="48"/>
      <c r="O84" s="31"/>
    </row>
    <row r="85" spans="1:15" hidden="1">
      <c r="A85" s="889"/>
      <c r="B85" s="47" t="s">
        <v>1613</v>
      </c>
      <c r="C85" s="48"/>
      <c r="O85" s="31"/>
    </row>
    <row r="86" spans="1:15" hidden="1">
      <c r="A86" s="889"/>
      <c r="B86" s="47" t="s">
        <v>3258</v>
      </c>
      <c r="C86" s="48"/>
      <c r="E86" s="78" t="s">
        <v>1697</v>
      </c>
      <c r="F86" s="26">
        <v>1.67</v>
      </c>
      <c r="G86" s="26" t="s">
        <v>1433</v>
      </c>
      <c r="H86" s="47"/>
      <c r="O86" s="31"/>
    </row>
    <row r="87" spans="1:15" hidden="1">
      <c r="A87" s="889"/>
      <c r="B87" s="47" t="s">
        <v>3259</v>
      </c>
      <c r="C87" s="48"/>
      <c r="E87" s="78" t="s">
        <v>1697</v>
      </c>
      <c r="F87" s="68">
        <v>3</v>
      </c>
      <c r="G87" s="26" t="s">
        <v>1433</v>
      </c>
      <c r="H87" s="47"/>
      <c r="J87" s="1207"/>
      <c r="K87" s="1207"/>
      <c r="L87" s="1207"/>
      <c r="M87" s="1207"/>
      <c r="N87" s="1207"/>
      <c r="O87" s="31"/>
    </row>
    <row r="88" spans="1:15" hidden="1">
      <c r="A88" s="889"/>
      <c r="B88" s="47" t="s">
        <v>705</v>
      </c>
      <c r="C88" s="48"/>
      <c r="E88" s="78" t="s">
        <v>1697</v>
      </c>
      <c r="F88" s="68">
        <v>2</v>
      </c>
      <c r="G88" s="26" t="s">
        <v>1433</v>
      </c>
      <c r="H88" s="47"/>
      <c r="O88" s="31"/>
    </row>
    <row r="89" spans="1:15" hidden="1">
      <c r="A89" s="889"/>
      <c r="B89" s="47" t="s">
        <v>706</v>
      </c>
      <c r="C89" s="48"/>
      <c r="E89" s="78" t="s">
        <v>1697</v>
      </c>
      <c r="F89" s="68">
        <v>3</v>
      </c>
      <c r="G89" s="26" t="s">
        <v>1433</v>
      </c>
      <c r="H89" s="47"/>
      <c r="O89" s="31"/>
    </row>
    <row r="90" spans="1:15" hidden="1">
      <c r="A90" s="889"/>
      <c r="B90" s="47" t="s">
        <v>707</v>
      </c>
      <c r="C90" s="48"/>
      <c r="E90" s="78" t="s">
        <v>1697</v>
      </c>
      <c r="F90" s="26">
        <v>0.33</v>
      </c>
      <c r="G90" s="26" t="s">
        <v>1433</v>
      </c>
      <c r="H90" s="30"/>
      <c r="O90" s="31"/>
    </row>
    <row r="91" spans="1:15" hidden="1">
      <c r="A91" s="889"/>
      <c r="B91" s="47" t="s">
        <v>46</v>
      </c>
      <c r="C91" s="48"/>
      <c r="E91" s="78" t="s">
        <v>1697</v>
      </c>
      <c r="F91" s="68">
        <v>10</v>
      </c>
      <c r="G91" s="26" t="s">
        <v>1433</v>
      </c>
      <c r="H91" s="47"/>
      <c r="O91" s="31"/>
    </row>
    <row r="92" spans="1:15" hidden="1">
      <c r="A92" s="889"/>
      <c r="B92" s="47" t="s">
        <v>833</v>
      </c>
      <c r="C92" s="48"/>
      <c r="E92" s="78" t="s">
        <v>1697</v>
      </c>
      <c r="F92" s="26">
        <v>5</v>
      </c>
      <c r="G92" s="26" t="s">
        <v>3436</v>
      </c>
      <c r="H92" s="47"/>
      <c r="O92" s="31"/>
    </row>
    <row r="93" spans="1:15" hidden="1">
      <c r="A93" s="889"/>
      <c r="B93" s="47" t="s">
        <v>2613</v>
      </c>
      <c r="C93" s="48"/>
      <c r="E93" s="78" t="s">
        <v>1697</v>
      </c>
      <c r="F93" s="26">
        <v>20.8</v>
      </c>
      <c r="G93" s="26" t="s">
        <v>6901</v>
      </c>
      <c r="H93" s="47"/>
      <c r="O93" s="31"/>
    </row>
    <row r="94" spans="1:15" hidden="1">
      <c r="A94" s="889"/>
      <c r="B94" s="47" t="s">
        <v>2614</v>
      </c>
      <c r="C94" s="48"/>
      <c r="E94" s="78" t="s">
        <v>1697</v>
      </c>
      <c r="F94" s="26">
        <v>832</v>
      </c>
      <c r="G94" s="26" t="s">
        <v>3477</v>
      </c>
      <c r="H94" s="47"/>
      <c r="O94" s="31"/>
    </row>
    <row r="95" spans="1:15" hidden="1">
      <c r="A95" s="889"/>
      <c r="B95" s="47" t="s">
        <v>2615</v>
      </c>
      <c r="C95" s="48"/>
      <c r="O95" s="31"/>
    </row>
    <row r="96" spans="1:15" hidden="1">
      <c r="A96" s="889"/>
      <c r="B96" s="47" t="s">
        <v>2616</v>
      </c>
      <c r="C96" s="48"/>
      <c r="O96" s="31"/>
    </row>
    <row r="97" spans="1:15" hidden="1">
      <c r="A97" s="889"/>
      <c r="B97" s="47" t="s">
        <v>2617</v>
      </c>
      <c r="C97" s="48"/>
      <c r="E97" s="78" t="s">
        <v>1123</v>
      </c>
      <c r="F97" s="26">
        <v>925</v>
      </c>
      <c r="G97" s="26" t="s">
        <v>6901</v>
      </c>
      <c r="O97" s="31"/>
    </row>
    <row r="98" spans="1:15" hidden="1">
      <c r="A98" s="889"/>
      <c r="B98" s="47" t="s">
        <v>4603</v>
      </c>
      <c r="C98" s="48"/>
      <c r="O98" s="31"/>
    </row>
    <row r="99" spans="1:15" hidden="1">
      <c r="A99" s="889"/>
      <c r="B99" s="47" t="s">
        <v>4604</v>
      </c>
      <c r="C99" s="48"/>
      <c r="O99" s="31"/>
    </row>
    <row r="100" spans="1:15" hidden="1">
      <c r="A100" s="889"/>
      <c r="B100" s="47" t="s">
        <v>296</v>
      </c>
      <c r="C100" s="48"/>
      <c r="O100" s="31"/>
    </row>
    <row r="101" spans="1:15">
      <c r="A101" s="847"/>
      <c r="B101" s="78"/>
      <c r="C101" s="48"/>
      <c r="O101" s="31"/>
    </row>
    <row r="102" spans="1:15">
      <c r="A102" s="822" t="s">
        <v>3984</v>
      </c>
      <c r="B102" s="78"/>
      <c r="C102" s="349" t="s">
        <v>2367</v>
      </c>
      <c r="E102" s="171" t="s">
        <v>297</v>
      </c>
      <c r="F102" s="246">
        <v>925</v>
      </c>
      <c r="G102" s="26" t="s">
        <v>3477</v>
      </c>
      <c r="O102" s="31"/>
    </row>
    <row r="103" spans="1:15">
      <c r="A103" s="847"/>
      <c r="B103" s="79" t="s">
        <v>2368</v>
      </c>
      <c r="C103" s="48"/>
      <c r="O103" s="31"/>
    </row>
    <row r="104" spans="1:15">
      <c r="A104" s="847"/>
      <c r="B104" s="95" t="s">
        <v>2369</v>
      </c>
      <c r="C104" s="350" t="s">
        <v>6374</v>
      </c>
      <c r="D104" s="95" t="s">
        <v>2370</v>
      </c>
      <c r="E104" s="95" t="s">
        <v>1166</v>
      </c>
      <c r="F104" s="95" t="s">
        <v>2371</v>
      </c>
      <c r="G104" s="95" t="s">
        <v>2372</v>
      </c>
      <c r="O104" s="31"/>
    </row>
    <row r="105" spans="1:15">
      <c r="A105" s="847"/>
      <c r="B105" s="114"/>
      <c r="C105" s="351"/>
      <c r="D105" s="114"/>
      <c r="E105" s="114"/>
      <c r="F105" s="114" t="s">
        <v>3485</v>
      </c>
      <c r="G105" s="114" t="s">
        <v>3485</v>
      </c>
      <c r="O105" s="31"/>
    </row>
    <row r="106" spans="1:15">
      <c r="A106" s="847"/>
      <c r="B106" s="95">
        <v>1</v>
      </c>
      <c r="C106" s="352" t="s">
        <v>6976</v>
      </c>
      <c r="D106" s="95"/>
      <c r="E106" s="190">
        <v>0</v>
      </c>
      <c r="F106" s="190">
        <v>0</v>
      </c>
      <c r="G106" s="190">
        <f>E106*F106</f>
        <v>0</v>
      </c>
      <c r="O106" s="31"/>
    </row>
    <row r="107" spans="1:15">
      <c r="A107" s="847"/>
      <c r="B107" s="275"/>
      <c r="C107" s="91"/>
      <c r="D107" s="105"/>
      <c r="E107" s="190">
        <v>0</v>
      </c>
      <c r="F107" s="190">
        <v>0</v>
      </c>
      <c r="G107" s="190">
        <f>E107*F107</f>
        <v>0</v>
      </c>
      <c r="O107" s="31"/>
    </row>
    <row r="108" spans="1:15">
      <c r="A108" s="847"/>
      <c r="B108" s="92"/>
      <c r="C108" s="353" t="s">
        <v>2376</v>
      </c>
      <c r="D108" s="159"/>
      <c r="E108" s="238"/>
      <c r="F108" s="236" t="s">
        <v>1698</v>
      </c>
      <c r="G108" s="354">
        <f>SUM(G106:G107)</f>
        <v>0</v>
      </c>
      <c r="O108" s="31"/>
    </row>
    <row r="109" spans="1:15">
      <c r="A109" s="847"/>
      <c r="B109" s="78"/>
      <c r="C109" s="48"/>
      <c r="G109" s="68"/>
      <c r="O109" s="31"/>
    </row>
    <row r="110" spans="1:15">
      <c r="A110" s="847"/>
      <c r="B110" s="79" t="s">
        <v>2377</v>
      </c>
      <c r="C110" s="48"/>
      <c r="O110" s="31"/>
    </row>
    <row r="111" spans="1:15">
      <c r="A111" s="847"/>
      <c r="B111" s="95" t="s">
        <v>2369</v>
      </c>
      <c r="C111" s="350" t="s">
        <v>2378</v>
      </c>
      <c r="D111" s="95" t="s">
        <v>2370</v>
      </c>
      <c r="E111" s="95" t="s">
        <v>1166</v>
      </c>
      <c r="F111" s="95" t="s">
        <v>2371</v>
      </c>
      <c r="G111" s="95" t="s">
        <v>2372</v>
      </c>
      <c r="O111" s="31"/>
    </row>
    <row r="112" spans="1:15">
      <c r="A112" s="847"/>
      <c r="B112" s="114"/>
      <c r="C112" s="351"/>
      <c r="D112" s="114"/>
      <c r="E112" s="114"/>
      <c r="F112" s="114" t="s">
        <v>3485</v>
      </c>
      <c r="G112" s="114" t="s">
        <v>3485</v>
      </c>
      <c r="O112" s="31"/>
    </row>
    <row r="113" spans="1:15">
      <c r="A113" s="847"/>
      <c r="B113" s="95">
        <v>1</v>
      </c>
      <c r="C113" s="91" t="s">
        <v>298</v>
      </c>
      <c r="D113" s="95" t="s">
        <v>2374</v>
      </c>
      <c r="E113" s="190">
        <v>8</v>
      </c>
      <c r="F113" s="190">
        <f>'HIRE CHARGES'!$D$543</f>
        <v>1706.6</v>
      </c>
      <c r="G113" s="190">
        <f>E113*F113</f>
        <v>13652.8</v>
      </c>
      <c r="H113" s="221"/>
      <c r="I113" s="75"/>
      <c r="O113" s="31"/>
    </row>
    <row r="114" spans="1:15">
      <c r="A114" s="847"/>
      <c r="B114" s="152"/>
      <c r="C114" s="91" t="s">
        <v>2379</v>
      </c>
      <c r="D114" s="105" t="s">
        <v>2374</v>
      </c>
      <c r="E114" s="190">
        <v>8</v>
      </c>
      <c r="F114" s="190">
        <f>'HIRE CHARGES'!$E$543</f>
        <v>872.7</v>
      </c>
      <c r="G114" s="190">
        <f>E114*F114</f>
        <v>6981.6</v>
      </c>
      <c r="H114" s="221"/>
      <c r="O114" s="31"/>
    </row>
    <row r="115" spans="1:15">
      <c r="A115" s="847"/>
      <c r="B115" s="105">
        <v>2</v>
      </c>
      <c r="C115" s="91" t="s">
        <v>299</v>
      </c>
      <c r="D115" s="105" t="s">
        <v>2374</v>
      </c>
      <c r="E115" s="190">
        <v>48</v>
      </c>
      <c r="F115" s="190">
        <f>'HIRE CHARGES'!$D$545</f>
        <v>446.7</v>
      </c>
      <c r="G115" s="190">
        <f>E115*F115</f>
        <v>21441.599999999999</v>
      </c>
      <c r="H115" s="221"/>
      <c r="O115" s="31"/>
    </row>
    <row r="116" spans="1:15">
      <c r="A116" s="847"/>
      <c r="B116" s="280"/>
      <c r="C116" s="91" t="s">
        <v>2379</v>
      </c>
      <c r="D116" s="105" t="s">
        <v>2374</v>
      </c>
      <c r="E116" s="190">
        <v>48</v>
      </c>
      <c r="F116" s="190">
        <f>'HIRE CHARGES'!$E$545</f>
        <v>299.89999999999998</v>
      </c>
      <c r="G116" s="190">
        <f>E116*F116</f>
        <v>14395.199999999999</v>
      </c>
      <c r="H116" s="221"/>
      <c r="O116" s="31"/>
    </row>
    <row r="117" spans="1:15">
      <c r="A117" s="847"/>
      <c r="B117" s="92"/>
      <c r="C117" s="353" t="s">
        <v>2380</v>
      </c>
      <c r="D117" s="159"/>
      <c r="E117" s="238"/>
      <c r="F117" s="236" t="s">
        <v>1698</v>
      </c>
      <c r="G117" s="318">
        <f>SUM(G113:G116)</f>
        <v>56471.199999999997</v>
      </c>
      <c r="O117" s="31"/>
    </row>
    <row r="118" spans="1:15">
      <c r="A118" s="847"/>
      <c r="B118" s="78"/>
      <c r="C118" s="48"/>
      <c r="O118" s="31"/>
    </row>
    <row r="119" spans="1:15">
      <c r="A119" s="847"/>
      <c r="B119" s="79" t="s">
        <v>2381</v>
      </c>
      <c r="C119" s="48"/>
      <c r="O119" s="31"/>
    </row>
    <row r="120" spans="1:15">
      <c r="A120" s="847"/>
      <c r="B120" s="95" t="s">
        <v>2369</v>
      </c>
      <c r="C120" s="350" t="s">
        <v>2378</v>
      </c>
      <c r="D120" s="95" t="s">
        <v>2370</v>
      </c>
      <c r="E120" s="95" t="s">
        <v>1166</v>
      </c>
      <c r="F120" s="95" t="s">
        <v>2371</v>
      </c>
      <c r="G120" s="95" t="s">
        <v>2372</v>
      </c>
      <c r="O120" s="31"/>
    </row>
    <row r="121" spans="1:15">
      <c r="A121" s="847"/>
      <c r="B121" s="114"/>
      <c r="C121" s="351"/>
      <c r="D121" s="105"/>
      <c r="E121" s="114"/>
      <c r="F121" s="114" t="s">
        <v>3485</v>
      </c>
      <c r="G121" s="114" t="s">
        <v>3485</v>
      </c>
      <c r="O121" s="31"/>
    </row>
    <row r="122" spans="1:15">
      <c r="A122" s="847"/>
      <c r="B122" s="105">
        <v>1</v>
      </c>
      <c r="C122" s="86" t="s">
        <v>300</v>
      </c>
      <c r="D122" s="95" t="s">
        <v>2374</v>
      </c>
      <c r="E122" s="207">
        <v>8</v>
      </c>
      <c r="F122" s="190">
        <f>'HIRE CHARGES'!$F$543</f>
        <v>236.6</v>
      </c>
      <c r="G122" s="190">
        <f>E122*F122</f>
        <v>1892.8</v>
      </c>
      <c r="O122" s="31"/>
    </row>
    <row r="123" spans="1:15">
      <c r="A123" s="847"/>
      <c r="B123" s="105">
        <v>2</v>
      </c>
      <c r="C123" s="86" t="s">
        <v>301</v>
      </c>
      <c r="D123" s="105" t="s">
        <v>2374</v>
      </c>
      <c r="E123" s="207">
        <v>48</v>
      </c>
      <c r="F123" s="190">
        <f>'HIRE CHARGES'!$F$545</f>
        <v>177.5</v>
      </c>
      <c r="G123" s="190">
        <f>E123*F123</f>
        <v>8520</v>
      </c>
      <c r="O123" s="31"/>
    </row>
    <row r="124" spans="1:15">
      <c r="A124" s="847"/>
      <c r="B124" s="105">
        <v>3</v>
      </c>
      <c r="C124" s="86" t="s">
        <v>4206</v>
      </c>
      <c r="D124" s="105" t="s">
        <v>1172</v>
      </c>
      <c r="E124" s="207">
        <v>1</v>
      </c>
      <c r="F124" s="190">
        <f>'BASIC DATA'!$C$473</f>
        <v>450</v>
      </c>
      <c r="G124" s="190">
        <f>E124*F124</f>
        <v>450</v>
      </c>
      <c r="O124" s="31"/>
    </row>
    <row r="125" spans="1:15">
      <c r="A125" s="847"/>
      <c r="B125" s="105">
        <v>4</v>
      </c>
      <c r="C125" s="86" t="s">
        <v>2697</v>
      </c>
      <c r="D125" s="105" t="s">
        <v>1172</v>
      </c>
      <c r="E125" s="207">
        <v>30</v>
      </c>
      <c r="F125" s="190">
        <f>'BASIC DATA'!$C$552</f>
        <v>350</v>
      </c>
      <c r="G125" s="190">
        <f>E125*F125</f>
        <v>10500</v>
      </c>
      <c r="O125" s="31"/>
    </row>
    <row r="126" spans="1:15">
      <c r="A126" s="847"/>
      <c r="B126" s="92"/>
      <c r="C126" s="353" t="s">
        <v>1174</v>
      </c>
      <c r="D126" s="159"/>
      <c r="E126" s="238"/>
      <c r="F126" s="236" t="s">
        <v>1698</v>
      </c>
      <c r="G126" s="318">
        <f>SUM(G122:G125)</f>
        <v>21362.799999999999</v>
      </c>
      <c r="O126" s="31"/>
    </row>
    <row r="127" spans="1:15">
      <c r="A127" s="847"/>
      <c r="B127" s="359" t="s">
        <v>5948</v>
      </c>
      <c r="C127" s="355"/>
      <c r="D127" s="31"/>
      <c r="E127" s="85">
        <f>ROUND(G126/F102,1)</f>
        <v>23.1</v>
      </c>
      <c r="O127" s="31"/>
    </row>
    <row r="128" spans="1:15">
      <c r="A128" s="847"/>
      <c r="B128" s="359" t="s">
        <v>3163</v>
      </c>
      <c r="C128" s="355"/>
      <c r="D128" s="922">
        <f>'BASIC DATA'!$C$577</f>
        <v>0.13614999999999999</v>
      </c>
      <c r="E128" s="85">
        <f>ROUND(E127*D128,1)</f>
        <v>3.1</v>
      </c>
      <c r="O128" s="31"/>
    </row>
    <row r="129" spans="1:15">
      <c r="A129" s="847"/>
      <c r="B129" s="359" t="s">
        <v>5949</v>
      </c>
      <c r="C129" s="355"/>
      <c r="D129" s="31"/>
      <c r="E129" s="199">
        <f>ROUND(E128+E127,1)</f>
        <v>26.2</v>
      </c>
      <c r="O129" s="31"/>
    </row>
    <row r="130" spans="1:15">
      <c r="A130" s="847"/>
      <c r="B130" s="78"/>
      <c r="C130" s="48"/>
      <c r="G130" s="68"/>
      <c r="O130" s="31"/>
    </row>
    <row r="131" spans="1:15">
      <c r="A131" s="847"/>
      <c r="B131" s="162" t="s">
        <v>1175</v>
      </c>
      <c r="C131" s="48"/>
      <c r="O131" s="31"/>
    </row>
    <row r="132" spans="1:15">
      <c r="A132" s="847"/>
      <c r="B132" s="47" t="s">
        <v>1176</v>
      </c>
      <c r="C132" s="48"/>
      <c r="F132" s="171" t="s">
        <v>1698</v>
      </c>
      <c r="G132" s="68">
        <f>G108</f>
        <v>0</v>
      </c>
      <c r="O132" s="31"/>
    </row>
    <row r="133" spans="1:15">
      <c r="A133" s="847"/>
      <c r="B133" s="47" t="s">
        <v>1186</v>
      </c>
      <c r="C133" s="48"/>
      <c r="F133" s="171" t="s">
        <v>1698</v>
      </c>
      <c r="G133" s="68">
        <f>G117</f>
        <v>56471.199999999997</v>
      </c>
      <c r="O133" s="31"/>
    </row>
    <row r="134" spans="1:15">
      <c r="A134" s="847"/>
      <c r="B134" s="47" t="s">
        <v>2660</v>
      </c>
      <c r="C134" s="48"/>
      <c r="F134" s="171" t="s">
        <v>1698</v>
      </c>
      <c r="G134" s="75">
        <f>G126</f>
        <v>21362.799999999999</v>
      </c>
      <c r="O134" s="31"/>
    </row>
    <row r="135" spans="1:15">
      <c r="A135" s="847"/>
      <c r="B135" s="47" t="s">
        <v>1518</v>
      </c>
      <c r="C135" s="48"/>
      <c r="D135" s="250"/>
      <c r="F135" s="171" t="s">
        <v>1323</v>
      </c>
      <c r="G135" s="205">
        <f>SUM(G132:G134)</f>
        <v>77834</v>
      </c>
      <c r="O135" s="31"/>
    </row>
    <row r="136" spans="1:15" ht="38.25" customHeight="1">
      <c r="A136" s="847"/>
      <c r="B136" s="1207" t="s">
        <v>1379</v>
      </c>
      <c r="C136" s="1207"/>
      <c r="D136" s="1207"/>
      <c r="E136" s="922">
        <f>'BASIC DATA'!$C$577</f>
        <v>0.13614999999999999</v>
      </c>
      <c r="F136" s="171" t="s">
        <v>1698</v>
      </c>
      <c r="G136" s="31">
        <f>ROUND(G135*E136,2)</f>
        <v>10597.1</v>
      </c>
      <c r="O136" s="31"/>
    </row>
    <row r="137" spans="1:15">
      <c r="A137" s="847"/>
      <c r="B137" s="47" t="s">
        <v>1191</v>
      </c>
      <c r="C137" s="48"/>
      <c r="D137" s="68">
        <f>F102</f>
        <v>925</v>
      </c>
      <c r="E137" s="26" t="str">
        <f>G102</f>
        <v>cum</v>
      </c>
      <c r="F137" s="171" t="s">
        <v>1698</v>
      </c>
      <c r="G137" s="211">
        <f>G136+G135</f>
        <v>88431.1</v>
      </c>
      <c r="O137" s="31"/>
    </row>
    <row r="138" spans="1:15">
      <c r="A138" s="847"/>
      <c r="B138" s="79" t="s">
        <v>1584</v>
      </c>
      <c r="C138" s="356" t="str">
        <f>E137</f>
        <v>cum</v>
      </c>
      <c r="D138" s="26" t="s">
        <v>2210</v>
      </c>
      <c r="F138" s="171" t="s">
        <v>4108</v>
      </c>
      <c r="G138" s="211">
        <f>ROUND(G137/D137,1)</f>
        <v>95.6</v>
      </c>
      <c r="O138" s="31"/>
    </row>
    <row r="139" spans="1:15">
      <c r="A139" s="847"/>
      <c r="B139" s="78"/>
      <c r="C139" s="48"/>
      <c r="O139" s="31"/>
    </row>
    <row r="140" spans="1:15">
      <c r="A140" s="847"/>
      <c r="B140" s="78"/>
      <c r="C140" s="48"/>
      <c r="O140" s="31"/>
    </row>
    <row r="141" spans="1:15" ht="18.75">
      <c r="A141" s="841" t="s">
        <v>7421</v>
      </c>
      <c r="B141" s="47" t="s">
        <v>8632</v>
      </c>
      <c r="C141" s="48"/>
      <c r="I141" s="26" t="str">
        <f>CONCATENATE(B141," ",B142," ",B143," ",B144)</f>
        <v>Excavation in all kinds of soil including boulders upto 0.30 m dia for field channels, seating of embankment for field channels etc., including dressing of bed and sides to required profile, cost of all materials, machinery, labour, placing the excavated stuff for formation of service road / embankment as directed etc., complete with lead upto 10 m and lift upto 3 m.</v>
      </c>
      <c r="O141" s="31"/>
    </row>
    <row r="142" spans="1:15">
      <c r="A142" s="889"/>
      <c r="B142" s="47" t="s">
        <v>2979</v>
      </c>
      <c r="C142" s="48"/>
      <c r="O142" s="31"/>
    </row>
    <row r="143" spans="1:15">
      <c r="A143" s="889"/>
      <c r="B143" s="47" t="s">
        <v>3961</v>
      </c>
      <c r="C143" s="48"/>
      <c r="O143" s="31"/>
    </row>
    <row r="144" spans="1:15" ht="18.75">
      <c r="A144" s="889"/>
      <c r="B144" s="47" t="s">
        <v>8633</v>
      </c>
      <c r="C144" s="48"/>
      <c r="O144" s="31"/>
    </row>
    <row r="145" spans="1:15">
      <c r="A145" s="889"/>
      <c r="C145" s="48"/>
      <c r="O145" s="31"/>
    </row>
    <row r="146" spans="1:15" hidden="1">
      <c r="A146" s="889" t="s">
        <v>3984</v>
      </c>
      <c r="B146" s="47" t="s">
        <v>602</v>
      </c>
      <c r="C146" s="48"/>
      <c r="E146" s="78" t="s">
        <v>1697</v>
      </c>
      <c r="F146" s="26">
        <v>0.5</v>
      </c>
      <c r="G146" s="26" t="s">
        <v>6901</v>
      </c>
      <c r="H146" s="47"/>
      <c r="O146" s="31"/>
    </row>
    <row r="147" spans="1:15" hidden="1">
      <c r="A147" s="889"/>
      <c r="B147" s="47" t="s">
        <v>603</v>
      </c>
      <c r="C147" s="48"/>
      <c r="E147" s="78" t="s">
        <v>1697</v>
      </c>
      <c r="F147" s="26">
        <v>0.56999999999999995</v>
      </c>
      <c r="G147" s="26" t="s">
        <v>6901</v>
      </c>
      <c r="H147" s="47"/>
      <c r="O147" s="31"/>
    </row>
    <row r="148" spans="1:15" hidden="1">
      <c r="A148" s="889"/>
      <c r="B148" s="47" t="s">
        <v>605</v>
      </c>
      <c r="C148" s="48"/>
      <c r="E148" s="78" t="s">
        <v>3432</v>
      </c>
      <c r="F148" s="26">
        <v>10</v>
      </c>
      <c r="G148" s="26" t="s">
        <v>3561</v>
      </c>
      <c r="H148" s="47"/>
      <c r="O148" s="31"/>
    </row>
    <row r="149" spans="1:15" hidden="1">
      <c r="A149" s="889"/>
      <c r="B149" s="47" t="s">
        <v>4030</v>
      </c>
      <c r="C149" s="48"/>
      <c r="E149" s="78" t="s">
        <v>1697</v>
      </c>
      <c r="F149" s="26">
        <v>30</v>
      </c>
      <c r="G149" s="26" t="s">
        <v>3562</v>
      </c>
      <c r="H149" s="47"/>
      <c r="O149" s="31"/>
    </row>
    <row r="150" spans="1:15" hidden="1">
      <c r="A150" s="889"/>
      <c r="B150" s="47" t="s">
        <v>734</v>
      </c>
      <c r="C150" s="48"/>
      <c r="E150" s="78" t="s">
        <v>1697</v>
      </c>
      <c r="F150" s="26">
        <v>0.5</v>
      </c>
      <c r="G150" s="26" t="s">
        <v>6901</v>
      </c>
      <c r="H150" s="47"/>
      <c r="O150" s="31"/>
    </row>
    <row r="151" spans="1:15" hidden="1">
      <c r="A151" s="889"/>
      <c r="B151" s="47" t="s">
        <v>1205</v>
      </c>
      <c r="C151" s="48"/>
      <c r="E151" s="78" t="s">
        <v>1697</v>
      </c>
      <c r="F151" s="26">
        <v>50</v>
      </c>
      <c r="G151" s="26" t="s">
        <v>3563</v>
      </c>
      <c r="H151" s="47"/>
      <c r="O151" s="31"/>
    </row>
    <row r="152" spans="1:15" hidden="1">
      <c r="A152" s="889"/>
      <c r="B152" s="47" t="s">
        <v>1206</v>
      </c>
      <c r="C152" s="48"/>
      <c r="E152" s="78" t="s">
        <v>1697</v>
      </c>
      <c r="F152" s="26">
        <v>400</v>
      </c>
      <c r="G152" s="26" t="s">
        <v>6901</v>
      </c>
      <c r="H152" s="47"/>
      <c r="O152" s="31"/>
    </row>
    <row r="153" spans="1:15" hidden="1">
      <c r="A153" s="889"/>
      <c r="B153" s="47" t="s">
        <v>2615</v>
      </c>
      <c r="C153" s="48"/>
      <c r="O153" s="31"/>
    </row>
    <row r="154" spans="1:15" hidden="1">
      <c r="A154" s="889"/>
      <c r="B154" s="47" t="s">
        <v>3652</v>
      </c>
      <c r="C154" s="48"/>
      <c r="O154" s="31"/>
    </row>
    <row r="155" spans="1:15" hidden="1">
      <c r="A155" s="889"/>
      <c r="B155" s="47" t="s">
        <v>3653</v>
      </c>
      <c r="C155" s="48"/>
      <c r="E155" s="78" t="s">
        <v>1123</v>
      </c>
      <c r="F155" s="26">
        <v>440</v>
      </c>
      <c r="G155" s="26" t="s">
        <v>3477</v>
      </c>
      <c r="O155" s="31"/>
    </row>
    <row r="156" spans="1:15" hidden="1">
      <c r="A156" s="889"/>
      <c r="B156" s="47" t="s">
        <v>5696</v>
      </c>
      <c r="C156" s="48"/>
      <c r="O156" s="31"/>
    </row>
    <row r="157" spans="1:15">
      <c r="A157" s="889"/>
      <c r="B157" s="78"/>
      <c r="C157" s="48"/>
    </row>
    <row r="158" spans="1:15">
      <c r="A158" s="822" t="s">
        <v>3984</v>
      </c>
      <c r="B158" s="78"/>
      <c r="C158" s="349" t="s">
        <v>2367</v>
      </c>
      <c r="E158" s="171" t="s">
        <v>297</v>
      </c>
      <c r="F158" s="246">
        <v>440</v>
      </c>
      <c r="G158" s="26" t="s">
        <v>3477</v>
      </c>
    </row>
    <row r="159" spans="1:15">
      <c r="A159" s="847"/>
      <c r="B159" s="79" t="s">
        <v>2368</v>
      </c>
      <c r="C159" s="48"/>
      <c r="J159" s="1207"/>
      <c r="K159" s="1207"/>
      <c r="L159" s="1207"/>
      <c r="M159" s="1207"/>
      <c r="N159" s="1207"/>
    </row>
    <row r="160" spans="1:15">
      <c r="A160" s="847"/>
      <c r="B160" s="95" t="s">
        <v>2369</v>
      </c>
      <c r="C160" s="350" t="s">
        <v>6374</v>
      </c>
      <c r="D160" s="95" t="s">
        <v>2370</v>
      </c>
      <c r="E160" s="95" t="s">
        <v>1166</v>
      </c>
      <c r="F160" s="95" t="s">
        <v>2371</v>
      </c>
      <c r="G160" s="95" t="s">
        <v>2372</v>
      </c>
    </row>
    <row r="161" spans="1:7">
      <c r="A161" s="847"/>
      <c r="B161" s="114"/>
      <c r="C161" s="351"/>
      <c r="D161" s="114"/>
      <c r="E161" s="114"/>
      <c r="F161" s="114" t="s">
        <v>3485</v>
      </c>
      <c r="G161" s="114" t="s">
        <v>3485</v>
      </c>
    </row>
    <row r="162" spans="1:7">
      <c r="A162" s="847"/>
      <c r="B162" s="95">
        <v>1</v>
      </c>
      <c r="C162" s="352" t="s">
        <v>6976</v>
      </c>
      <c r="D162" s="95"/>
      <c r="E162" s="190">
        <v>0</v>
      </c>
      <c r="F162" s="190">
        <v>0</v>
      </c>
      <c r="G162" s="190">
        <f>E162*F162</f>
        <v>0</v>
      </c>
    </row>
    <row r="163" spans="1:7">
      <c r="A163" s="847"/>
      <c r="B163" s="275"/>
      <c r="C163" s="91"/>
      <c r="D163" s="105"/>
      <c r="E163" s="190">
        <v>0</v>
      </c>
      <c r="F163" s="190">
        <v>0</v>
      </c>
      <c r="G163" s="190">
        <f>E163*F163</f>
        <v>0</v>
      </c>
    </row>
    <row r="164" spans="1:7">
      <c r="A164" s="847"/>
      <c r="B164" s="92"/>
      <c r="C164" s="353" t="s">
        <v>2376</v>
      </c>
      <c r="D164" s="159"/>
      <c r="E164" s="238"/>
      <c r="F164" s="236" t="s">
        <v>1698</v>
      </c>
      <c r="G164" s="318">
        <f>SUM(G162:G163)</f>
        <v>0</v>
      </c>
    </row>
    <row r="165" spans="1:7">
      <c r="A165" s="847"/>
      <c r="B165" s="78"/>
      <c r="C165" s="48"/>
      <c r="G165" s="68"/>
    </row>
    <row r="166" spans="1:7">
      <c r="A166" s="847"/>
      <c r="B166" s="79" t="s">
        <v>2377</v>
      </c>
      <c r="C166" s="48"/>
    </row>
    <row r="167" spans="1:7">
      <c r="A167" s="847"/>
      <c r="B167" s="95" t="s">
        <v>2369</v>
      </c>
      <c r="C167" s="350" t="s">
        <v>2378</v>
      </c>
      <c r="D167" s="95" t="s">
        <v>2370</v>
      </c>
      <c r="E167" s="95" t="s">
        <v>1166</v>
      </c>
      <c r="F167" s="95" t="s">
        <v>2371</v>
      </c>
      <c r="G167" s="95" t="s">
        <v>2372</v>
      </c>
    </row>
    <row r="168" spans="1:7">
      <c r="A168" s="847"/>
      <c r="B168" s="114"/>
      <c r="C168" s="351"/>
      <c r="D168" s="114"/>
      <c r="E168" s="114"/>
      <c r="F168" s="114" t="s">
        <v>3485</v>
      </c>
      <c r="G168" s="114" t="s">
        <v>3485</v>
      </c>
    </row>
    <row r="169" spans="1:7">
      <c r="A169" s="847"/>
      <c r="B169" s="95">
        <v>1</v>
      </c>
      <c r="C169" s="91" t="s">
        <v>2951</v>
      </c>
      <c r="D169" s="95" t="s">
        <v>2374</v>
      </c>
      <c r="E169" s="190">
        <v>8</v>
      </c>
      <c r="F169" s="190">
        <f>'HIRE CHARGES'!$D$542</f>
        <v>1003.1</v>
      </c>
      <c r="G169" s="190">
        <f>E169*F169</f>
        <v>8024.8</v>
      </c>
    </row>
    <row r="170" spans="1:7">
      <c r="A170" s="847"/>
      <c r="B170" s="280"/>
      <c r="C170" s="91" t="s">
        <v>2379</v>
      </c>
      <c r="D170" s="105" t="s">
        <v>2374</v>
      </c>
      <c r="E170" s="190">
        <v>8</v>
      </c>
      <c r="F170" s="190">
        <f>'HIRE CHARGES'!$E$542</f>
        <v>476</v>
      </c>
      <c r="G170" s="190">
        <f>E170*F170</f>
        <v>3808</v>
      </c>
    </row>
    <row r="171" spans="1:7">
      <c r="A171" s="847"/>
      <c r="B171" s="176"/>
      <c r="C171" s="357" t="s">
        <v>2380</v>
      </c>
      <c r="D171" s="174"/>
      <c r="E171" s="192"/>
      <c r="F171" s="236" t="s">
        <v>1698</v>
      </c>
      <c r="G171" s="318">
        <f>SUM(G169:G170)</f>
        <v>11832.8</v>
      </c>
    </row>
    <row r="172" spans="1:7">
      <c r="A172" s="847"/>
      <c r="B172" s="78"/>
      <c r="C172" s="48"/>
    </row>
    <row r="173" spans="1:7">
      <c r="A173" s="847"/>
      <c r="B173" s="79" t="s">
        <v>2381</v>
      </c>
      <c r="C173" s="48"/>
    </row>
    <row r="174" spans="1:7">
      <c r="A174" s="847"/>
      <c r="B174" s="95" t="s">
        <v>2369</v>
      </c>
      <c r="C174" s="350" t="s">
        <v>2378</v>
      </c>
      <c r="D174" s="95" t="s">
        <v>2370</v>
      </c>
      <c r="E174" s="95" t="s">
        <v>1166</v>
      </c>
      <c r="F174" s="95" t="s">
        <v>2371</v>
      </c>
      <c r="G174" s="95" t="s">
        <v>2372</v>
      </c>
    </row>
    <row r="175" spans="1:7">
      <c r="A175" s="847"/>
      <c r="B175" s="114"/>
      <c r="C175" s="351"/>
      <c r="D175" s="105"/>
      <c r="E175" s="114"/>
      <c r="F175" s="114" t="s">
        <v>3485</v>
      </c>
      <c r="G175" s="114" t="s">
        <v>3485</v>
      </c>
    </row>
    <row r="176" spans="1:7">
      <c r="A176" s="847"/>
      <c r="B176" s="105">
        <v>1</v>
      </c>
      <c r="C176" s="86" t="s">
        <v>300</v>
      </c>
      <c r="D176" s="95" t="s">
        <v>2374</v>
      </c>
      <c r="E176" s="207">
        <v>8</v>
      </c>
      <c r="F176" s="190">
        <f>'HIRE CHARGES'!$F$542</f>
        <v>236.6</v>
      </c>
      <c r="G176" s="190">
        <f>E176*F176</f>
        <v>1892.8</v>
      </c>
    </row>
    <row r="177" spans="1:15">
      <c r="A177" s="847"/>
      <c r="B177" s="105">
        <v>2</v>
      </c>
      <c r="C177" s="86" t="s">
        <v>4206</v>
      </c>
      <c r="D177" s="105" t="s">
        <v>1172</v>
      </c>
      <c r="E177" s="207">
        <v>1</v>
      </c>
      <c r="F177" s="190">
        <f>'BASIC DATA'!$C$473</f>
        <v>450</v>
      </c>
      <c r="G177" s="190">
        <f>E177*F177</f>
        <v>450</v>
      </c>
    </row>
    <row r="178" spans="1:15">
      <c r="A178" s="847"/>
      <c r="B178" s="105">
        <v>3</v>
      </c>
      <c r="C178" s="86" t="s">
        <v>2697</v>
      </c>
      <c r="D178" s="105" t="s">
        <v>1172</v>
      </c>
      <c r="E178" s="207">
        <v>17</v>
      </c>
      <c r="F178" s="190">
        <f>'BASIC DATA'!$C$552</f>
        <v>350</v>
      </c>
      <c r="G178" s="190">
        <f>E178*F178</f>
        <v>5950</v>
      </c>
    </row>
    <row r="179" spans="1:15">
      <c r="A179" s="847"/>
      <c r="B179" s="92"/>
      <c r="C179" s="353" t="s">
        <v>1174</v>
      </c>
      <c r="D179" s="159"/>
      <c r="E179" s="238"/>
      <c r="F179" s="236" t="s">
        <v>1698</v>
      </c>
      <c r="G179" s="318">
        <f>SUM(G176:G178)</f>
        <v>8292.7999999999993</v>
      </c>
    </row>
    <row r="180" spans="1:15">
      <c r="A180" s="847"/>
      <c r="B180" s="359" t="s">
        <v>5948</v>
      </c>
      <c r="C180" s="355"/>
      <c r="D180" s="31"/>
      <c r="E180" s="85">
        <f>ROUND(G179/F158,1)</f>
        <v>18.8</v>
      </c>
    </row>
    <row r="181" spans="1:15">
      <c r="A181" s="847"/>
      <c r="B181" s="359" t="s">
        <v>3163</v>
      </c>
      <c r="C181" s="355"/>
      <c r="D181" s="922">
        <f>'BASIC DATA'!$C$577</f>
        <v>0.13614999999999999</v>
      </c>
      <c r="E181" s="85">
        <f>ROUND(E180*D181,1)</f>
        <v>2.6</v>
      </c>
    </row>
    <row r="182" spans="1:15">
      <c r="A182" s="847"/>
      <c r="B182" s="359" t="s">
        <v>5949</v>
      </c>
      <c r="C182" s="355"/>
      <c r="D182" s="31"/>
      <c r="E182" s="199">
        <f>ROUND(E181+E180,1)</f>
        <v>21.4</v>
      </c>
    </row>
    <row r="183" spans="1:15">
      <c r="A183" s="847"/>
      <c r="B183" s="78"/>
      <c r="C183" s="48"/>
    </row>
    <row r="184" spans="1:15">
      <c r="A184" s="847"/>
      <c r="B184" s="162" t="s">
        <v>1175</v>
      </c>
      <c r="C184" s="48"/>
    </row>
    <row r="185" spans="1:15">
      <c r="A185" s="847"/>
      <c r="B185" s="47" t="s">
        <v>1176</v>
      </c>
      <c r="C185" s="48"/>
      <c r="F185" s="171" t="s">
        <v>1698</v>
      </c>
      <c r="G185" s="68">
        <f>G164</f>
        <v>0</v>
      </c>
      <c r="J185" s="1207"/>
      <c r="K185" s="1207"/>
      <c r="L185" s="1207"/>
      <c r="M185" s="1207"/>
      <c r="N185" s="1207"/>
    </row>
    <row r="186" spans="1:15">
      <c r="A186" s="847"/>
      <c r="B186" s="47" t="s">
        <v>1186</v>
      </c>
      <c r="C186" s="48"/>
      <c r="F186" s="171" t="s">
        <v>1698</v>
      </c>
      <c r="G186" s="68">
        <f>G171</f>
        <v>11832.8</v>
      </c>
    </row>
    <row r="187" spans="1:15">
      <c r="A187" s="847"/>
      <c r="B187" s="47" t="s">
        <v>2660</v>
      </c>
      <c r="C187" s="48"/>
      <c r="F187" s="171" t="s">
        <v>1698</v>
      </c>
      <c r="G187" s="75">
        <f>G179</f>
        <v>8292.7999999999993</v>
      </c>
      <c r="J187" s="1207"/>
      <c r="K187" s="1207"/>
      <c r="L187" s="1207"/>
      <c r="M187" s="1207"/>
      <c r="N187" s="1207"/>
    </row>
    <row r="188" spans="1:15">
      <c r="A188" s="847"/>
      <c r="B188" s="78"/>
      <c r="C188" s="48"/>
      <c r="E188" s="250"/>
      <c r="F188" s="171" t="s">
        <v>302</v>
      </c>
      <c r="G188" s="205">
        <f>SUM(G185:G187)</f>
        <v>20125.599999999999</v>
      </c>
      <c r="O188" s="31"/>
    </row>
    <row r="189" spans="1:15" ht="38.25" customHeight="1">
      <c r="A189" s="847"/>
      <c r="B189" s="1207" t="s">
        <v>1379</v>
      </c>
      <c r="C189" s="1207"/>
      <c r="D189" s="1207"/>
      <c r="E189" s="922">
        <f>'BASIC DATA'!$C$577</f>
        <v>0.13614999999999999</v>
      </c>
      <c r="F189" s="171" t="s">
        <v>1698</v>
      </c>
      <c r="G189" s="31">
        <f>ROUND(G188*E189,2)</f>
        <v>2740.1</v>
      </c>
      <c r="O189" s="31"/>
    </row>
    <row r="190" spans="1:15">
      <c r="A190" s="847"/>
      <c r="B190" s="47" t="s">
        <v>1191</v>
      </c>
      <c r="C190" s="48"/>
      <c r="D190" s="68">
        <f>F158</f>
        <v>440</v>
      </c>
      <c r="E190" s="26" t="str">
        <f>G158</f>
        <v>cum</v>
      </c>
      <c r="F190" s="171" t="s">
        <v>1698</v>
      </c>
      <c r="G190" s="211">
        <f>G189+G188</f>
        <v>22865.699999999997</v>
      </c>
      <c r="O190" s="31"/>
    </row>
    <row r="191" spans="1:15">
      <c r="A191" s="847"/>
      <c r="B191" s="79" t="s">
        <v>1584</v>
      </c>
      <c r="C191" s="356" t="str">
        <f>E190</f>
        <v>cum</v>
      </c>
      <c r="D191" s="26" t="s">
        <v>1317</v>
      </c>
      <c r="F191" s="171" t="s">
        <v>4108</v>
      </c>
      <c r="G191" s="211">
        <f>ROUND(G190/D190,1)</f>
        <v>52</v>
      </c>
      <c r="H191" s="171"/>
    </row>
    <row r="192" spans="1:15">
      <c r="A192" s="847"/>
      <c r="B192" s="78"/>
      <c r="C192" s="48"/>
    </row>
    <row r="193" spans="1:8">
      <c r="A193" s="847"/>
      <c r="B193" s="78"/>
      <c r="C193" s="48"/>
    </row>
    <row r="194" spans="1:8" ht="18.75">
      <c r="A194" s="841" t="s">
        <v>7422</v>
      </c>
      <c r="B194" s="47" t="s">
        <v>8634</v>
      </c>
      <c r="C194" s="48"/>
    </row>
    <row r="195" spans="1:8">
      <c r="A195" s="889"/>
      <c r="B195" s="47" t="s">
        <v>7985</v>
      </c>
      <c r="C195" s="48"/>
    </row>
    <row r="196" spans="1:8">
      <c r="A196" s="889"/>
      <c r="B196" s="47" t="s">
        <v>5275</v>
      </c>
      <c r="C196" s="48"/>
    </row>
    <row r="197" spans="1:8">
      <c r="A197" s="889"/>
      <c r="B197" s="47" t="s">
        <v>5276</v>
      </c>
      <c r="C197" s="48"/>
    </row>
    <row r="198" spans="1:8" ht="18.75">
      <c r="A198" s="889"/>
      <c r="B198" s="47" t="s">
        <v>8610</v>
      </c>
      <c r="C198" s="48"/>
    </row>
    <row r="199" spans="1:8">
      <c r="A199" s="889"/>
      <c r="C199" s="48"/>
    </row>
    <row r="200" spans="1:8" hidden="1">
      <c r="A200" s="889" t="s">
        <v>3984</v>
      </c>
      <c r="B200" s="47" t="s">
        <v>602</v>
      </c>
      <c r="C200" s="48"/>
      <c r="F200" s="78" t="s">
        <v>1697</v>
      </c>
      <c r="G200" s="26">
        <v>0.85</v>
      </c>
      <c r="H200" s="26" t="s">
        <v>6901</v>
      </c>
    </row>
    <row r="201" spans="1:8" hidden="1">
      <c r="A201" s="889"/>
      <c r="B201" s="47" t="s">
        <v>603</v>
      </c>
      <c r="C201" s="48"/>
      <c r="F201" s="78" t="s">
        <v>1697</v>
      </c>
      <c r="G201" s="68">
        <v>1</v>
      </c>
      <c r="H201" s="26" t="s">
        <v>6901</v>
      </c>
    </row>
    <row r="202" spans="1:8" hidden="1">
      <c r="A202" s="889"/>
      <c r="B202" s="47" t="s">
        <v>604</v>
      </c>
      <c r="C202" s="48"/>
      <c r="F202" s="78" t="s">
        <v>1697</v>
      </c>
      <c r="G202" s="68">
        <v>5</v>
      </c>
      <c r="H202" s="26" t="s">
        <v>6901</v>
      </c>
    </row>
    <row r="203" spans="1:8" hidden="1">
      <c r="A203" s="889"/>
      <c r="B203" s="47" t="s">
        <v>5277</v>
      </c>
      <c r="C203" s="48"/>
      <c r="F203" s="78" t="s">
        <v>3432</v>
      </c>
      <c r="G203" s="26">
        <v>1</v>
      </c>
      <c r="H203" s="26" t="s">
        <v>3431</v>
      </c>
    </row>
    <row r="204" spans="1:8" hidden="1">
      <c r="A204" s="889"/>
      <c r="B204" s="47" t="s">
        <v>1353</v>
      </c>
      <c r="C204" s="48"/>
      <c r="F204" s="78" t="s">
        <v>1697</v>
      </c>
      <c r="G204" s="26">
        <v>15</v>
      </c>
      <c r="H204" s="26" t="s">
        <v>3433</v>
      </c>
    </row>
    <row r="205" spans="1:8" hidden="1">
      <c r="A205" s="889"/>
      <c r="B205" s="47" t="s">
        <v>1354</v>
      </c>
      <c r="C205" s="48"/>
      <c r="F205" s="78" t="s">
        <v>1697</v>
      </c>
      <c r="G205" s="26">
        <v>15</v>
      </c>
      <c r="H205" s="26" t="s">
        <v>3433</v>
      </c>
    </row>
    <row r="206" spans="1:8" hidden="1">
      <c r="A206" s="889"/>
      <c r="B206" s="47" t="s">
        <v>3985</v>
      </c>
      <c r="C206" s="48"/>
      <c r="F206" s="78" t="s">
        <v>1697</v>
      </c>
      <c r="G206" s="68">
        <v>2</v>
      </c>
      <c r="H206" s="26" t="s">
        <v>1433</v>
      </c>
    </row>
    <row r="207" spans="1:8" hidden="1">
      <c r="A207" s="889"/>
      <c r="B207" s="47" t="s">
        <v>4030</v>
      </c>
      <c r="C207" s="48"/>
      <c r="F207" s="78" t="s">
        <v>1697</v>
      </c>
      <c r="G207" s="26">
        <v>30</v>
      </c>
      <c r="H207" s="26" t="s">
        <v>3562</v>
      </c>
    </row>
    <row r="208" spans="1:8" hidden="1">
      <c r="A208" s="889"/>
      <c r="B208" s="47" t="s">
        <v>5278</v>
      </c>
      <c r="C208" s="48"/>
      <c r="F208" s="78" t="s">
        <v>1697</v>
      </c>
      <c r="G208" s="26">
        <v>0.77</v>
      </c>
      <c r="H208" s="26" t="s">
        <v>6901</v>
      </c>
    </row>
    <row r="209" spans="1:8" hidden="1">
      <c r="A209" s="889"/>
      <c r="B209" s="47" t="s">
        <v>5279</v>
      </c>
      <c r="C209" s="48"/>
      <c r="F209" s="78" t="s">
        <v>1697</v>
      </c>
      <c r="G209" s="26">
        <v>3.85</v>
      </c>
      <c r="H209" s="26" t="s">
        <v>6901</v>
      </c>
    </row>
    <row r="210" spans="1:8" hidden="1">
      <c r="A210" s="889"/>
      <c r="B210" s="47" t="s">
        <v>5280</v>
      </c>
      <c r="C210" s="48"/>
      <c r="F210" s="78" t="s">
        <v>1123</v>
      </c>
      <c r="G210" s="26">
        <v>5</v>
      </c>
      <c r="H210" s="26" t="s">
        <v>3435</v>
      </c>
    </row>
    <row r="211" spans="1:8" hidden="1">
      <c r="A211" s="889"/>
      <c r="B211" s="47" t="s">
        <v>5281</v>
      </c>
      <c r="C211" s="48"/>
      <c r="F211" s="78" t="s">
        <v>1697</v>
      </c>
      <c r="G211" s="68">
        <v>2.5</v>
      </c>
      <c r="H211" s="26" t="s">
        <v>1433</v>
      </c>
    </row>
    <row r="212" spans="1:8" hidden="1">
      <c r="A212" s="889"/>
      <c r="B212" s="47" t="s">
        <v>6956</v>
      </c>
      <c r="C212" s="48"/>
    </row>
    <row r="213" spans="1:8" hidden="1">
      <c r="A213" s="889"/>
      <c r="B213" s="47" t="s">
        <v>6957</v>
      </c>
      <c r="C213" s="48"/>
    </row>
    <row r="214" spans="1:8" hidden="1">
      <c r="A214" s="889"/>
      <c r="B214" s="47" t="s">
        <v>2550</v>
      </c>
      <c r="C214" s="48"/>
    </row>
    <row r="215" spans="1:8" hidden="1">
      <c r="A215" s="889"/>
      <c r="B215" s="47" t="s">
        <v>5354</v>
      </c>
      <c r="C215" s="48"/>
    </row>
    <row r="216" spans="1:8" hidden="1">
      <c r="A216" s="889"/>
      <c r="B216" s="47" t="s">
        <v>5615</v>
      </c>
      <c r="C216" s="48"/>
    </row>
    <row r="217" spans="1:8" hidden="1">
      <c r="A217" s="889"/>
      <c r="B217" s="47" t="s">
        <v>1613</v>
      </c>
      <c r="C217" s="48"/>
    </row>
    <row r="218" spans="1:8" hidden="1">
      <c r="A218" s="889"/>
      <c r="B218" s="47" t="s">
        <v>5616</v>
      </c>
      <c r="C218" s="48"/>
      <c r="F218" s="78" t="s">
        <v>1697</v>
      </c>
      <c r="G218" s="68">
        <v>2.5</v>
      </c>
      <c r="H218" s="26" t="s">
        <v>1433</v>
      </c>
    </row>
    <row r="219" spans="1:8" hidden="1">
      <c r="A219" s="889"/>
      <c r="B219" s="47" t="s">
        <v>3259</v>
      </c>
      <c r="C219" s="48"/>
      <c r="F219" s="78" t="s">
        <v>1697</v>
      </c>
      <c r="G219" s="68">
        <v>3</v>
      </c>
      <c r="H219" s="26" t="s">
        <v>1433</v>
      </c>
    </row>
    <row r="220" spans="1:8" hidden="1">
      <c r="A220" s="889"/>
      <c r="B220" s="47" t="s">
        <v>705</v>
      </c>
      <c r="C220" s="48"/>
      <c r="F220" s="78" t="s">
        <v>1697</v>
      </c>
      <c r="G220" s="68">
        <v>2</v>
      </c>
      <c r="H220" s="26" t="s">
        <v>1433</v>
      </c>
    </row>
    <row r="221" spans="1:8" hidden="1">
      <c r="A221" s="889"/>
      <c r="B221" s="47" t="s">
        <v>706</v>
      </c>
      <c r="C221" s="48"/>
      <c r="F221" s="78" t="s">
        <v>1697</v>
      </c>
      <c r="G221" s="68">
        <v>3</v>
      </c>
      <c r="H221" s="26" t="s">
        <v>1433</v>
      </c>
    </row>
    <row r="222" spans="1:8" hidden="1">
      <c r="A222" s="889"/>
      <c r="B222" s="47" t="s">
        <v>707</v>
      </c>
      <c r="C222" s="48"/>
      <c r="F222" s="78" t="s">
        <v>1697</v>
      </c>
      <c r="G222" s="174">
        <v>0.33</v>
      </c>
      <c r="H222" s="26" t="s">
        <v>1433</v>
      </c>
    </row>
    <row r="223" spans="1:8" hidden="1">
      <c r="A223" s="889"/>
      <c r="C223" s="48"/>
      <c r="E223" s="171" t="s">
        <v>1518</v>
      </c>
      <c r="F223" s="78" t="s">
        <v>1697</v>
      </c>
      <c r="G223" s="26">
        <v>10.83</v>
      </c>
      <c r="H223" s="26" t="s">
        <v>1433</v>
      </c>
    </row>
    <row r="224" spans="1:8" hidden="1">
      <c r="A224" s="889"/>
      <c r="B224" s="47" t="s">
        <v>5617</v>
      </c>
      <c r="C224" s="48"/>
      <c r="F224" s="78" t="s">
        <v>1697</v>
      </c>
      <c r="G224" s="26">
        <v>4</v>
      </c>
      <c r="H224" s="26" t="s">
        <v>3436</v>
      </c>
    </row>
    <row r="225" spans="1:8" hidden="1">
      <c r="A225" s="889"/>
      <c r="B225" s="47" t="s">
        <v>5628</v>
      </c>
      <c r="C225" s="48"/>
      <c r="F225" s="78" t="s">
        <v>1697</v>
      </c>
      <c r="G225" s="26">
        <f>ROUND(50*3.85/10.83,2)</f>
        <v>17.77</v>
      </c>
      <c r="H225" s="26" t="s">
        <v>6901</v>
      </c>
    </row>
    <row r="226" spans="1:8" hidden="1">
      <c r="A226" s="889"/>
      <c r="B226" s="47" t="s">
        <v>5618</v>
      </c>
      <c r="C226" s="48"/>
      <c r="F226" s="78" t="s">
        <v>1123</v>
      </c>
      <c r="G226" s="26">
        <v>570</v>
      </c>
      <c r="H226" s="26" t="s">
        <v>6901</v>
      </c>
    </row>
    <row r="227" spans="1:8" hidden="1">
      <c r="A227" s="889"/>
      <c r="B227" s="47" t="s">
        <v>2615</v>
      </c>
      <c r="C227" s="48"/>
    </row>
    <row r="228" spans="1:8" hidden="1">
      <c r="A228" s="889"/>
      <c r="B228" s="47" t="s">
        <v>2661</v>
      </c>
      <c r="C228" s="48"/>
    </row>
    <row r="229" spans="1:8" hidden="1">
      <c r="A229" s="889"/>
      <c r="B229" s="47" t="s">
        <v>2662</v>
      </c>
      <c r="C229" s="48"/>
      <c r="F229" s="78" t="s">
        <v>1123</v>
      </c>
      <c r="G229" s="26">
        <v>630</v>
      </c>
      <c r="H229" s="26" t="s">
        <v>6901</v>
      </c>
    </row>
    <row r="230" spans="1:8" hidden="1">
      <c r="A230" s="889"/>
      <c r="B230" s="47" t="s">
        <v>5697</v>
      </c>
      <c r="C230" s="48"/>
    </row>
    <row r="231" spans="1:8" hidden="1">
      <c r="A231" s="889"/>
      <c r="B231" s="47" t="s">
        <v>5698</v>
      </c>
      <c r="C231" s="48"/>
    </row>
    <row r="232" spans="1:8" hidden="1">
      <c r="A232" s="889"/>
      <c r="B232" s="47" t="s">
        <v>2663</v>
      </c>
      <c r="C232" s="48"/>
    </row>
    <row r="233" spans="1:8">
      <c r="A233" s="847"/>
      <c r="B233" s="78"/>
      <c r="C233" s="48"/>
    </row>
    <row r="234" spans="1:8">
      <c r="A234" s="822" t="s">
        <v>3984</v>
      </c>
      <c r="B234" s="78"/>
      <c r="C234" s="349" t="s">
        <v>2367</v>
      </c>
      <c r="E234" s="171" t="s">
        <v>297</v>
      </c>
      <c r="F234" s="246">
        <v>630</v>
      </c>
      <c r="G234" s="26" t="s">
        <v>3477</v>
      </c>
    </row>
    <row r="235" spans="1:8">
      <c r="A235" s="847"/>
      <c r="B235" s="79" t="s">
        <v>2368</v>
      </c>
      <c r="C235" s="48"/>
    </row>
    <row r="236" spans="1:8">
      <c r="A236" s="847"/>
      <c r="B236" s="95" t="s">
        <v>2369</v>
      </c>
      <c r="C236" s="350" t="s">
        <v>6374</v>
      </c>
      <c r="D236" s="95" t="s">
        <v>2370</v>
      </c>
      <c r="E236" s="95" t="s">
        <v>1166</v>
      </c>
      <c r="F236" s="95" t="s">
        <v>2371</v>
      </c>
      <c r="G236" s="95" t="s">
        <v>2372</v>
      </c>
    </row>
    <row r="237" spans="1:8">
      <c r="A237" s="847"/>
      <c r="B237" s="114"/>
      <c r="C237" s="351"/>
      <c r="D237" s="114"/>
      <c r="E237" s="114"/>
      <c r="F237" s="114" t="s">
        <v>3485</v>
      </c>
      <c r="G237" s="114" t="s">
        <v>3485</v>
      </c>
    </row>
    <row r="238" spans="1:8">
      <c r="A238" s="847"/>
      <c r="B238" s="95">
        <v>1</v>
      </c>
      <c r="C238" s="352" t="s">
        <v>6976</v>
      </c>
      <c r="D238" s="95"/>
      <c r="E238" s="190">
        <v>0</v>
      </c>
      <c r="F238" s="190">
        <v>0</v>
      </c>
      <c r="G238" s="190">
        <f>E238*F238</f>
        <v>0</v>
      </c>
    </row>
    <row r="239" spans="1:8">
      <c r="A239" s="847"/>
      <c r="B239" s="275"/>
      <c r="C239" s="91"/>
      <c r="D239" s="105"/>
      <c r="E239" s="190">
        <v>0</v>
      </c>
      <c r="F239" s="190">
        <v>0</v>
      </c>
      <c r="G239" s="190">
        <f>E239*F239</f>
        <v>0</v>
      </c>
    </row>
    <row r="240" spans="1:8">
      <c r="A240" s="847"/>
      <c r="B240" s="92"/>
      <c r="C240" s="353" t="s">
        <v>2376</v>
      </c>
      <c r="D240" s="159"/>
      <c r="E240" s="238"/>
      <c r="F240" s="236" t="s">
        <v>1698</v>
      </c>
      <c r="G240" s="318">
        <f>SUM(G238:G239)</f>
        <v>0</v>
      </c>
    </row>
    <row r="241" spans="1:7">
      <c r="A241" s="847"/>
      <c r="B241" s="78"/>
      <c r="C241" s="48"/>
    </row>
    <row r="242" spans="1:7">
      <c r="A242" s="847"/>
      <c r="B242" s="79" t="s">
        <v>2377</v>
      </c>
      <c r="C242" s="48"/>
    </row>
    <row r="243" spans="1:7">
      <c r="A243" s="847"/>
      <c r="B243" s="95" t="s">
        <v>2369</v>
      </c>
      <c r="C243" s="350" t="s">
        <v>2378</v>
      </c>
      <c r="D243" s="95" t="s">
        <v>2370</v>
      </c>
      <c r="E243" s="95" t="s">
        <v>1166</v>
      </c>
      <c r="F243" s="95" t="s">
        <v>2371</v>
      </c>
      <c r="G243" s="95" t="s">
        <v>2372</v>
      </c>
    </row>
    <row r="244" spans="1:7">
      <c r="A244" s="847"/>
      <c r="B244" s="114"/>
      <c r="C244" s="351"/>
      <c r="D244" s="114"/>
      <c r="E244" s="114"/>
      <c r="F244" s="114" t="s">
        <v>3485</v>
      </c>
      <c r="G244" s="114" t="s">
        <v>3485</v>
      </c>
    </row>
    <row r="245" spans="1:7">
      <c r="A245" s="847"/>
      <c r="B245" s="95">
        <v>1</v>
      </c>
      <c r="C245" s="91" t="s">
        <v>298</v>
      </c>
      <c r="D245" s="95" t="s">
        <v>2374</v>
      </c>
      <c r="E245" s="190">
        <v>8</v>
      </c>
      <c r="F245" s="190">
        <f>'HIRE CHARGES'!$D$543</f>
        <v>1706.6</v>
      </c>
      <c r="G245" s="190">
        <f>E245*F245</f>
        <v>13652.8</v>
      </c>
    </row>
    <row r="246" spans="1:7">
      <c r="A246" s="847"/>
      <c r="B246" s="152"/>
      <c r="C246" s="91" t="s">
        <v>2379</v>
      </c>
      <c r="D246" s="105" t="s">
        <v>2374</v>
      </c>
      <c r="E246" s="190">
        <v>8</v>
      </c>
      <c r="F246" s="190">
        <f>'HIRE CHARGES'!$E$543</f>
        <v>872.7</v>
      </c>
      <c r="G246" s="190">
        <f>E246*F246</f>
        <v>6981.6</v>
      </c>
    </row>
    <row r="247" spans="1:7">
      <c r="A247" s="847"/>
      <c r="B247" s="105">
        <v>2</v>
      </c>
      <c r="C247" s="91" t="s">
        <v>4446</v>
      </c>
      <c r="D247" s="105" t="s">
        <v>2374</v>
      </c>
      <c r="E247" s="190">
        <v>40</v>
      </c>
      <c r="F247" s="190">
        <f>'HIRE CHARGES'!$D$545</f>
        <v>446.7</v>
      </c>
      <c r="G247" s="190">
        <f>E247*F247</f>
        <v>17868</v>
      </c>
    </row>
    <row r="248" spans="1:7">
      <c r="A248" s="847"/>
      <c r="B248" s="152"/>
      <c r="C248" s="91" t="s">
        <v>2379</v>
      </c>
      <c r="D248" s="105" t="s">
        <v>2374</v>
      </c>
      <c r="E248" s="190">
        <v>40</v>
      </c>
      <c r="F248" s="190">
        <f>'HIRE CHARGES'!$E$545</f>
        <v>299.89999999999998</v>
      </c>
      <c r="G248" s="190">
        <f>E248*F248</f>
        <v>11996</v>
      </c>
    </row>
    <row r="249" spans="1:7">
      <c r="A249" s="847"/>
      <c r="B249" s="176"/>
      <c r="C249" s="357" t="s">
        <v>2380</v>
      </c>
      <c r="D249" s="174"/>
      <c r="E249" s="192"/>
      <c r="F249" s="236" t="s">
        <v>1698</v>
      </c>
      <c r="G249" s="318">
        <f>SUM(G245:G248)</f>
        <v>50498.400000000001</v>
      </c>
    </row>
    <row r="250" spans="1:7">
      <c r="A250" s="847"/>
      <c r="B250" s="78"/>
      <c r="C250" s="48"/>
    </row>
    <row r="251" spans="1:7">
      <c r="A251" s="847"/>
      <c r="B251" s="79" t="s">
        <v>2381</v>
      </c>
      <c r="C251" s="48"/>
    </row>
    <row r="252" spans="1:7">
      <c r="A252" s="847"/>
      <c r="B252" s="95" t="s">
        <v>2369</v>
      </c>
      <c r="C252" s="350" t="s">
        <v>2378</v>
      </c>
      <c r="D252" s="95" t="s">
        <v>2370</v>
      </c>
      <c r="E252" s="95" t="s">
        <v>1166</v>
      </c>
      <c r="F252" s="95" t="s">
        <v>2371</v>
      </c>
      <c r="G252" s="95" t="s">
        <v>2372</v>
      </c>
    </row>
    <row r="253" spans="1:7">
      <c r="A253" s="847"/>
      <c r="B253" s="114"/>
      <c r="C253" s="351"/>
      <c r="D253" s="105"/>
      <c r="E253" s="114"/>
      <c r="F253" s="114" t="s">
        <v>3485</v>
      </c>
      <c r="G253" s="114" t="s">
        <v>3485</v>
      </c>
    </row>
    <row r="254" spans="1:7">
      <c r="A254" s="847"/>
      <c r="B254" s="105">
        <v>1</v>
      </c>
      <c r="C254" s="86" t="s">
        <v>300</v>
      </c>
      <c r="D254" s="95" t="s">
        <v>2374</v>
      </c>
      <c r="E254" s="207">
        <v>8</v>
      </c>
      <c r="F254" s="190">
        <f>'HIRE CHARGES'!$F$543</f>
        <v>236.6</v>
      </c>
      <c r="G254" s="190">
        <f>E254*F254</f>
        <v>1892.8</v>
      </c>
    </row>
    <row r="255" spans="1:7">
      <c r="A255" s="847"/>
      <c r="B255" s="105">
        <v>2</v>
      </c>
      <c r="C255" s="86" t="s">
        <v>301</v>
      </c>
      <c r="D255" s="105" t="s">
        <v>2374</v>
      </c>
      <c r="E255" s="207">
        <v>40</v>
      </c>
      <c r="F255" s="190">
        <f>'HIRE CHARGES'!$F$545</f>
        <v>177.5</v>
      </c>
      <c r="G255" s="190">
        <f>E255*F255</f>
        <v>7100</v>
      </c>
    </row>
    <row r="256" spans="1:7">
      <c r="A256" s="847"/>
      <c r="B256" s="105">
        <v>3</v>
      </c>
      <c r="C256" s="86" t="s">
        <v>4206</v>
      </c>
      <c r="D256" s="105" t="s">
        <v>1172</v>
      </c>
      <c r="E256" s="207">
        <v>1</v>
      </c>
      <c r="F256" s="190">
        <f>'BASIC DATA'!$C$473</f>
        <v>450</v>
      </c>
      <c r="G256" s="190">
        <f>E256*F256</f>
        <v>450</v>
      </c>
    </row>
    <row r="257" spans="1:15">
      <c r="A257" s="847"/>
      <c r="B257" s="105">
        <v>4</v>
      </c>
      <c r="C257" s="86" t="s">
        <v>5603</v>
      </c>
      <c r="D257" s="105" t="s">
        <v>1172</v>
      </c>
      <c r="E257" s="207">
        <v>11</v>
      </c>
      <c r="F257" s="190">
        <f>'BASIC DATA'!$C$514</f>
        <v>400</v>
      </c>
      <c r="G257" s="190">
        <f>E257*F257</f>
        <v>4400</v>
      </c>
    </row>
    <row r="258" spans="1:15">
      <c r="A258" s="847"/>
      <c r="B258" s="105">
        <v>5</v>
      </c>
      <c r="C258" s="86" t="s">
        <v>2696</v>
      </c>
      <c r="D258" s="105" t="s">
        <v>1172</v>
      </c>
      <c r="E258" s="207">
        <v>22</v>
      </c>
      <c r="F258" s="190">
        <f>'BASIC DATA'!$C$552</f>
        <v>350</v>
      </c>
      <c r="G258" s="190">
        <f>E258*F258</f>
        <v>7700</v>
      </c>
    </row>
    <row r="259" spans="1:15">
      <c r="A259" s="847"/>
      <c r="B259" s="92"/>
      <c r="C259" s="353" t="s">
        <v>1174</v>
      </c>
      <c r="D259" s="159"/>
      <c r="E259" s="238"/>
      <c r="F259" s="236" t="s">
        <v>1698</v>
      </c>
      <c r="G259" s="318">
        <f>SUM(G254:G258)</f>
        <v>21542.799999999999</v>
      </c>
      <c r="J259" s="1207"/>
      <c r="K259" s="1207"/>
      <c r="L259" s="1207"/>
      <c r="M259" s="1207"/>
      <c r="N259" s="1207"/>
    </row>
    <row r="260" spans="1:15">
      <c r="A260" s="847"/>
      <c r="B260" s="359" t="s">
        <v>5948</v>
      </c>
      <c r="C260" s="48"/>
      <c r="D260" s="31"/>
      <c r="E260" s="85">
        <f>ROUND(G259/F234,1)</f>
        <v>34.200000000000003</v>
      </c>
    </row>
    <row r="261" spans="1:15">
      <c r="A261" s="847"/>
      <c r="B261" s="359" t="s">
        <v>3163</v>
      </c>
      <c r="C261" s="48"/>
      <c r="D261" s="922">
        <f>'BASIC DATA'!$C$577</f>
        <v>0.13614999999999999</v>
      </c>
      <c r="E261" s="85">
        <f>ROUND(E260*D261,1)</f>
        <v>4.7</v>
      </c>
    </row>
    <row r="262" spans="1:15">
      <c r="A262" s="847"/>
      <c r="B262" s="359" t="s">
        <v>5949</v>
      </c>
      <c r="C262" s="48"/>
      <c r="D262" s="31"/>
      <c r="E262" s="199">
        <f>ROUND(E261+E260,1)</f>
        <v>38.9</v>
      </c>
    </row>
    <row r="263" spans="1:15">
      <c r="A263" s="847"/>
      <c r="C263" s="48"/>
    </row>
    <row r="264" spans="1:15">
      <c r="A264" s="847"/>
      <c r="B264" s="162" t="s">
        <v>1175</v>
      </c>
      <c r="C264" s="48"/>
    </row>
    <row r="265" spans="1:15">
      <c r="A265" s="847"/>
      <c r="B265" s="47" t="s">
        <v>1176</v>
      </c>
      <c r="C265" s="48"/>
      <c r="F265" s="171" t="s">
        <v>1698</v>
      </c>
      <c r="G265" s="68">
        <f>G240</f>
        <v>0</v>
      </c>
    </row>
    <row r="266" spans="1:15">
      <c r="A266" s="847"/>
      <c r="B266" s="47" t="s">
        <v>1186</v>
      </c>
      <c r="C266" s="48"/>
      <c r="F266" s="171" t="s">
        <v>1698</v>
      </c>
      <c r="G266" s="68">
        <f>G249</f>
        <v>50498.400000000001</v>
      </c>
    </row>
    <row r="267" spans="1:15">
      <c r="A267" s="847"/>
      <c r="B267" s="47" t="s">
        <v>2660</v>
      </c>
      <c r="C267" s="48"/>
      <c r="F267" s="171" t="s">
        <v>1698</v>
      </c>
      <c r="G267" s="75">
        <f>G259</f>
        <v>21542.799999999999</v>
      </c>
    </row>
    <row r="268" spans="1:15">
      <c r="A268" s="847"/>
      <c r="B268" s="78"/>
      <c r="C268" s="48"/>
      <c r="E268" s="250"/>
      <c r="F268" s="171" t="s">
        <v>302</v>
      </c>
      <c r="G268" s="205">
        <f>SUM(G265:G267)</f>
        <v>72041.2</v>
      </c>
      <c r="O268" s="31"/>
    </row>
    <row r="269" spans="1:15" ht="35.25" customHeight="1">
      <c r="A269" s="847"/>
      <c r="B269" s="1207" t="s">
        <v>1379</v>
      </c>
      <c r="C269" s="1207"/>
      <c r="D269" s="1207"/>
      <c r="E269" s="922">
        <f>'BASIC DATA'!$C$577</f>
        <v>0.13614999999999999</v>
      </c>
      <c r="F269" s="171" t="s">
        <v>1698</v>
      </c>
      <c r="G269" s="31">
        <f>ROUND(G268*E269,2)</f>
        <v>9808.41</v>
      </c>
      <c r="O269" s="31"/>
    </row>
    <row r="270" spans="1:15">
      <c r="A270" s="847"/>
      <c r="B270" s="47" t="s">
        <v>1191</v>
      </c>
      <c r="C270" s="48"/>
      <c r="D270" s="68">
        <f>F234</f>
        <v>630</v>
      </c>
      <c r="E270" s="26" t="str">
        <f>G234</f>
        <v>cum</v>
      </c>
      <c r="F270" s="171" t="s">
        <v>1698</v>
      </c>
      <c r="G270" s="211">
        <f>G269+G268</f>
        <v>81849.61</v>
      </c>
      <c r="O270" s="31"/>
    </row>
    <row r="271" spans="1:15">
      <c r="A271" s="847"/>
      <c r="B271" s="79" t="s">
        <v>1584</v>
      </c>
      <c r="C271" s="356" t="str">
        <f>E270</f>
        <v>cum</v>
      </c>
      <c r="D271" s="26" t="s">
        <v>1395</v>
      </c>
      <c r="F271" s="171" t="s">
        <v>4108</v>
      </c>
      <c r="G271" s="211">
        <f>ROUND(G270/D270,1)</f>
        <v>129.9</v>
      </c>
      <c r="H271" s="171"/>
    </row>
    <row r="272" spans="1:15">
      <c r="A272" s="847"/>
      <c r="B272" s="78"/>
      <c r="C272" s="48"/>
    </row>
    <row r="273" spans="1:14">
      <c r="A273" s="847"/>
      <c r="B273" s="78"/>
      <c r="C273" s="48"/>
    </row>
    <row r="274" spans="1:14" ht="18.75">
      <c r="A274" s="841" t="s">
        <v>7423</v>
      </c>
      <c r="B274" s="47" t="s">
        <v>8635</v>
      </c>
      <c r="C274" s="48"/>
      <c r="J274" s="1207"/>
      <c r="K274" s="1207"/>
      <c r="L274" s="1207"/>
      <c r="M274" s="1207"/>
      <c r="N274" s="1207"/>
    </row>
    <row r="275" spans="1:14">
      <c r="A275" s="889"/>
      <c r="B275" s="47" t="s">
        <v>8636</v>
      </c>
      <c r="C275" s="48"/>
    </row>
    <row r="276" spans="1:14">
      <c r="A276" s="889"/>
      <c r="B276" s="47" t="s">
        <v>4447</v>
      </c>
      <c r="C276" s="48"/>
    </row>
    <row r="277" spans="1:14" ht="18.75">
      <c r="A277" s="889"/>
      <c r="B277" s="47" t="s">
        <v>8637</v>
      </c>
      <c r="C277" s="48"/>
    </row>
    <row r="278" spans="1:14">
      <c r="A278" s="889"/>
      <c r="C278" s="48"/>
    </row>
    <row r="279" spans="1:14" hidden="1">
      <c r="A279" s="889" t="s">
        <v>3984</v>
      </c>
      <c r="B279" s="47" t="s">
        <v>602</v>
      </c>
      <c r="C279" s="48"/>
      <c r="F279" s="78" t="s">
        <v>1697</v>
      </c>
      <c r="G279" s="68">
        <v>0.5</v>
      </c>
      <c r="H279" s="26" t="s">
        <v>6901</v>
      </c>
    </row>
    <row r="280" spans="1:14" hidden="1">
      <c r="A280" s="889"/>
      <c r="B280" s="47" t="s">
        <v>603</v>
      </c>
      <c r="C280" s="48"/>
      <c r="F280" s="78" t="s">
        <v>1697</v>
      </c>
      <c r="G280" s="26">
        <v>0.56999999999999995</v>
      </c>
      <c r="H280" s="26" t="s">
        <v>6901</v>
      </c>
      <c r="J280" s="1207"/>
      <c r="K280" s="1207"/>
      <c r="L280" s="1207"/>
      <c r="M280" s="1207"/>
      <c r="N280" s="1207"/>
    </row>
    <row r="281" spans="1:14" hidden="1">
      <c r="A281" s="889"/>
      <c r="B281" s="47" t="s">
        <v>605</v>
      </c>
      <c r="C281" s="48"/>
      <c r="F281" s="78" t="s">
        <v>3432</v>
      </c>
      <c r="G281" s="26">
        <v>10</v>
      </c>
      <c r="H281" s="26" t="s">
        <v>3561</v>
      </c>
    </row>
    <row r="282" spans="1:14" hidden="1">
      <c r="A282" s="889"/>
      <c r="B282" s="47" t="s">
        <v>4030</v>
      </c>
      <c r="C282" s="48"/>
      <c r="F282" s="78" t="s">
        <v>1697</v>
      </c>
      <c r="G282" s="26">
        <v>45</v>
      </c>
      <c r="H282" s="26" t="s">
        <v>3562</v>
      </c>
    </row>
    <row r="283" spans="1:14" hidden="1">
      <c r="A283" s="889"/>
      <c r="B283" s="47" t="s">
        <v>4515</v>
      </c>
      <c r="C283" s="48"/>
      <c r="F283" s="78" t="s">
        <v>1697</v>
      </c>
      <c r="G283" s="26">
        <v>0.45</v>
      </c>
      <c r="H283" s="26" t="s">
        <v>6901</v>
      </c>
    </row>
    <row r="284" spans="1:14" hidden="1">
      <c r="A284" s="889"/>
      <c r="B284" s="47" t="s">
        <v>4516</v>
      </c>
      <c r="C284" s="48"/>
      <c r="F284" s="78" t="s">
        <v>1697</v>
      </c>
      <c r="G284" s="26">
        <v>30</v>
      </c>
      <c r="H284" s="26" t="s">
        <v>3563</v>
      </c>
    </row>
    <row r="285" spans="1:14" hidden="1">
      <c r="A285" s="889"/>
      <c r="B285" s="47" t="s">
        <v>4517</v>
      </c>
      <c r="C285" s="48"/>
      <c r="F285" s="78" t="s">
        <v>1123</v>
      </c>
      <c r="G285" s="26">
        <v>240</v>
      </c>
      <c r="H285" s="26" t="s">
        <v>6901</v>
      </c>
    </row>
    <row r="286" spans="1:14" hidden="1">
      <c r="A286" s="889"/>
      <c r="B286" s="47" t="s">
        <v>2615</v>
      </c>
      <c r="C286" s="48"/>
    </row>
    <row r="287" spans="1:14" hidden="1">
      <c r="A287" s="889"/>
      <c r="B287" s="47" t="s">
        <v>4518</v>
      </c>
      <c r="C287" s="48"/>
    </row>
    <row r="288" spans="1:14" hidden="1">
      <c r="A288" s="889"/>
      <c r="B288" s="47" t="s">
        <v>2617</v>
      </c>
      <c r="C288" s="48"/>
      <c r="F288" s="78" t="s">
        <v>1123</v>
      </c>
      <c r="G288" s="26">
        <v>265</v>
      </c>
      <c r="H288" s="26" t="s">
        <v>6901</v>
      </c>
    </row>
    <row r="289" spans="1:7" hidden="1">
      <c r="A289" s="889"/>
      <c r="B289" s="47" t="s">
        <v>5699</v>
      </c>
      <c r="C289" s="48"/>
    </row>
    <row r="290" spans="1:7" hidden="1">
      <c r="A290" s="889"/>
      <c r="B290" s="47" t="s">
        <v>5824</v>
      </c>
      <c r="C290" s="48"/>
    </row>
    <row r="291" spans="1:7">
      <c r="A291" s="847"/>
      <c r="B291" s="78"/>
      <c r="C291" s="48"/>
    </row>
    <row r="292" spans="1:7">
      <c r="A292" s="822" t="s">
        <v>3984</v>
      </c>
      <c r="B292" s="78"/>
      <c r="C292" s="349" t="s">
        <v>2367</v>
      </c>
      <c r="E292" s="171" t="s">
        <v>297</v>
      </c>
      <c r="F292" s="246">
        <v>265</v>
      </c>
      <c r="G292" s="26" t="s">
        <v>3477</v>
      </c>
    </row>
    <row r="293" spans="1:7">
      <c r="A293" s="847"/>
      <c r="B293" s="79" t="s">
        <v>2368</v>
      </c>
      <c r="C293" s="48"/>
    </row>
    <row r="294" spans="1:7">
      <c r="A294" s="847"/>
      <c r="B294" s="95" t="s">
        <v>2369</v>
      </c>
      <c r="C294" s="350" t="s">
        <v>6374</v>
      </c>
      <c r="D294" s="95" t="s">
        <v>2370</v>
      </c>
      <c r="E294" s="95" t="s">
        <v>1166</v>
      </c>
      <c r="F294" s="95" t="s">
        <v>2371</v>
      </c>
      <c r="G294" s="95" t="s">
        <v>2372</v>
      </c>
    </row>
    <row r="295" spans="1:7">
      <c r="A295" s="847"/>
      <c r="B295" s="114"/>
      <c r="C295" s="351"/>
      <c r="D295" s="114"/>
      <c r="E295" s="114"/>
      <c r="F295" s="114" t="s">
        <v>3485</v>
      </c>
      <c r="G295" s="114" t="s">
        <v>3485</v>
      </c>
    </row>
    <row r="296" spans="1:7">
      <c r="A296" s="847"/>
      <c r="B296" s="95">
        <v>1</v>
      </c>
      <c r="C296" s="352" t="s">
        <v>6976</v>
      </c>
      <c r="D296" s="95"/>
      <c r="E296" s="190">
        <v>0</v>
      </c>
      <c r="F296" s="190">
        <v>0</v>
      </c>
      <c r="G296" s="190">
        <f>E296*F296</f>
        <v>0</v>
      </c>
    </row>
    <row r="297" spans="1:7">
      <c r="A297" s="847"/>
      <c r="B297" s="275"/>
      <c r="C297" s="91"/>
      <c r="D297" s="105"/>
      <c r="E297" s="190">
        <v>0</v>
      </c>
      <c r="F297" s="190">
        <v>0</v>
      </c>
      <c r="G297" s="190">
        <f>E297*F297</f>
        <v>0</v>
      </c>
    </row>
    <row r="298" spans="1:7">
      <c r="A298" s="847"/>
      <c r="B298" s="92"/>
      <c r="C298" s="353" t="s">
        <v>2376</v>
      </c>
      <c r="D298" s="159"/>
      <c r="E298" s="238"/>
      <c r="F298" s="236" t="s">
        <v>1698</v>
      </c>
      <c r="G298" s="318">
        <f>SUM(G296:G297)</f>
        <v>0</v>
      </c>
    </row>
    <row r="299" spans="1:7">
      <c r="A299" s="847"/>
      <c r="B299" s="78"/>
      <c r="C299" s="48"/>
    </row>
    <row r="300" spans="1:7">
      <c r="A300" s="847"/>
      <c r="B300" s="79" t="s">
        <v>2377</v>
      </c>
      <c r="C300" s="48"/>
    </row>
    <row r="301" spans="1:7">
      <c r="A301" s="847"/>
      <c r="B301" s="95" t="s">
        <v>2369</v>
      </c>
      <c r="C301" s="350" t="s">
        <v>2378</v>
      </c>
      <c r="D301" s="95" t="s">
        <v>2370</v>
      </c>
      <c r="E301" s="95" t="s">
        <v>1166</v>
      </c>
      <c r="F301" s="95" t="s">
        <v>2371</v>
      </c>
      <c r="G301" s="95" t="s">
        <v>2372</v>
      </c>
    </row>
    <row r="302" spans="1:7">
      <c r="A302" s="847"/>
      <c r="B302" s="114"/>
      <c r="C302" s="351"/>
      <c r="D302" s="114"/>
      <c r="E302" s="114"/>
      <c r="F302" s="114" t="s">
        <v>3485</v>
      </c>
      <c r="G302" s="114" t="s">
        <v>3485</v>
      </c>
    </row>
    <row r="303" spans="1:7">
      <c r="A303" s="847"/>
      <c r="B303" s="95">
        <v>1</v>
      </c>
      <c r="C303" s="91" t="s">
        <v>2951</v>
      </c>
      <c r="D303" s="95" t="s">
        <v>2374</v>
      </c>
      <c r="E303" s="190">
        <v>8</v>
      </c>
      <c r="F303" s="190">
        <f>'HIRE CHARGES'!$D$542</f>
        <v>1003.1</v>
      </c>
      <c r="G303" s="190">
        <f>E303*F303</f>
        <v>8024.8</v>
      </c>
    </row>
    <row r="304" spans="1:7">
      <c r="A304" s="847"/>
      <c r="B304" s="152"/>
      <c r="C304" s="91" t="s">
        <v>2379</v>
      </c>
      <c r="D304" s="105" t="s">
        <v>2374</v>
      </c>
      <c r="E304" s="190">
        <v>8</v>
      </c>
      <c r="F304" s="190">
        <f>'HIRE CHARGES'!$E$542</f>
        <v>476</v>
      </c>
      <c r="G304" s="190">
        <f>E304*F304</f>
        <v>3808</v>
      </c>
    </row>
    <row r="305" spans="1:7">
      <c r="A305" s="847"/>
      <c r="B305" s="176"/>
      <c r="C305" s="357" t="s">
        <v>2380</v>
      </c>
      <c r="D305" s="174"/>
      <c r="E305" s="192"/>
      <c r="F305" s="236" t="s">
        <v>1698</v>
      </c>
      <c r="G305" s="318">
        <f>SUM(G303:G304)</f>
        <v>11832.8</v>
      </c>
    </row>
    <row r="306" spans="1:7">
      <c r="A306" s="847"/>
      <c r="B306" s="78"/>
      <c r="C306" s="48"/>
    </row>
    <row r="307" spans="1:7">
      <c r="A307" s="847"/>
      <c r="B307" s="79" t="s">
        <v>2381</v>
      </c>
      <c r="C307" s="48"/>
    </row>
    <row r="308" spans="1:7">
      <c r="A308" s="847"/>
      <c r="B308" s="95" t="s">
        <v>2369</v>
      </c>
      <c r="C308" s="350" t="s">
        <v>2378</v>
      </c>
      <c r="D308" s="95" t="s">
        <v>2370</v>
      </c>
      <c r="E308" s="95" t="s">
        <v>1166</v>
      </c>
      <c r="F308" s="95" t="s">
        <v>2371</v>
      </c>
      <c r="G308" s="95" t="s">
        <v>2372</v>
      </c>
    </row>
    <row r="309" spans="1:7">
      <c r="A309" s="847"/>
      <c r="B309" s="114"/>
      <c r="C309" s="351"/>
      <c r="D309" s="105"/>
      <c r="E309" s="114"/>
      <c r="F309" s="114" t="s">
        <v>3485</v>
      </c>
      <c r="G309" s="114" t="s">
        <v>3485</v>
      </c>
    </row>
    <row r="310" spans="1:7">
      <c r="A310" s="847"/>
      <c r="B310" s="105">
        <v>1</v>
      </c>
      <c r="C310" s="86" t="s">
        <v>300</v>
      </c>
      <c r="D310" s="95" t="s">
        <v>2374</v>
      </c>
      <c r="E310" s="207">
        <v>8</v>
      </c>
      <c r="F310" s="190">
        <f>'HIRE CHARGES'!$F$542</f>
        <v>236.6</v>
      </c>
      <c r="G310" s="190">
        <f>E310*F310</f>
        <v>1892.8</v>
      </c>
    </row>
    <row r="311" spans="1:7">
      <c r="A311" s="847"/>
      <c r="B311" s="105">
        <v>2</v>
      </c>
      <c r="C311" s="86" t="s">
        <v>4206</v>
      </c>
      <c r="D311" s="105" t="s">
        <v>1172</v>
      </c>
      <c r="E311" s="207">
        <v>1</v>
      </c>
      <c r="F311" s="190">
        <f>'BASIC DATA'!$C$473</f>
        <v>450</v>
      </c>
      <c r="G311" s="190">
        <f>E311*F311</f>
        <v>450</v>
      </c>
    </row>
    <row r="312" spans="1:7">
      <c r="A312" s="847"/>
      <c r="B312" s="105">
        <v>3</v>
      </c>
      <c r="C312" s="86" t="s">
        <v>5603</v>
      </c>
      <c r="D312" s="105" t="s">
        <v>1172</v>
      </c>
      <c r="E312" s="207">
        <v>5</v>
      </c>
      <c r="F312" s="190">
        <f>'BASIC DATA'!$C$514</f>
        <v>400</v>
      </c>
      <c r="G312" s="190">
        <f>E312*F312</f>
        <v>2000</v>
      </c>
    </row>
    <row r="313" spans="1:7">
      <c r="A313" s="847"/>
      <c r="B313" s="105">
        <v>4</v>
      </c>
      <c r="C313" s="86" t="s">
        <v>2697</v>
      </c>
      <c r="D313" s="105" t="s">
        <v>1172</v>
      </c>
      <c r="E313" s="207">
        <v>11</v>
      </c>
      <c r="F313" s="190">
        <f>'BASIC DATA'!$C$552</f>
        <v>350</v>
      </c>
      <c r="G313" s="190">
        <f>E313*F313</f>
        <v>3850</v>
      </c>
    </row>
    <row r="314" spans="1:7">
      <c r="A314" s="847"/>
      <c r="B314" s="92"/>
      <c r="C314" s="353" t="s">
        <v>1174</v>
      </c>
      <c r="D314" s="159"/>
      <c r="E314" s="238"/>
      <c r="F314" s="236" t="s">
        <v>1698</v>
      </c>
      <c r="G314" s="318">
        <f>SUM(G310:G313)</f>
        <v>8192.7999999999993</v>
      </c>
    </row>
    <row r="315" spans="1:7">
      <c r="A315" s="847"/>
      <c r="B315" s="359" t="s">
        <v>5948</v>
      </c>
      <c r="C315" s="48"/>
      <c r="D315" s="31"/>
      <c r="E315" s="85">
        <f>ROUND(G314/F292,1)</f>
        <v>30.9</v>
      </c>
    </row>
    <row r="316" spans="1:7">
      <c r="A316" s="847"/>
      <c r="B316" s="359" t="s">
        <v>3163</v>
      </c>
      <c r="C316" s="48"/>
      <c r="D316" s="922">
        <f>'BASIC DATA'!$C$577</f>
        <v>0.13614999999999999</v>
      </c>
      <c r="E316" s="85">
        <f>ROUND(E315*D316,1)</f>
        <v>4.2</v>
      </c>
    </row>
    <row r="317" spans="1:7">
      <c r="A317" s="847"/>
      <c r="B317" s="359" t="s">
        <v>5949</v>
      </c>
      <c r="C317" s="48"/>
      <c r="D317" s="31"/>
      <c r="E317" s="199">
        <f>ROUND(E316+E315,1)</f>
        <v>35.1</v>
      </c>
    </row>
    <row r="318" spans="1:7">
      <c r="A318" s="847"/>
      <c r="C318" s="48"/>
    </row>
    <row r="319" spans="1:7">
      <c r="A319" s="847"/>
      <c r="B319" s="162" t="s">
        <v>1175</v>
      </c>
      <c r="C319" s="48"/>
    </row>
    <row r="320" spans="1:7">
      <c r="A320" s="847"/>
      <c r="B320" s="47" t="s">
        <v>1176</v>
      </c>
      <c r="C320" s="48"/>
      <c r="F320" s="171" t="s">
        <v>1698</v>
      </c>
      <c r="G320" s="68">
        <f>G298</f>
        <v>0</v>
      </c>
    </row>
    <row r="321" spans="1:15">
      <c r="A321" s="847"/>
      <c r="B321" s="47" t="s">
        <v>1186</v>
      </c>
      <c r="C321" s="48"/>
      <c r="F321" s="171" t="s">
        <v>1698</v>
      </c>
      <c r="G321" s="68">
        <f>G305</f>
        <v>11832.8</v>
      </c>
    </row>
    <row r="322" spans="1:15">
      <c r="A322" s="847"/>
      <c r="B322" s="47" t="s">
        <v>2660</v>
      </c>
      <c r="C322" s="48"/>
      <c r="F322" s="171" t="s">
        <v>1698</v>
      </c>
      <c r="G322" s="75">
        <f>G314</f>
        <v>8192.7999999999993</v>
      </c>
    </row>
    <row r="323" spans="1:15">
      <c r="A323" s="847"/>
      <c r="B323" s="78"/>
      <c r="C323" s="48"/>
      <c r="E323" s="250"/>
      <c r="F323" s="171" t="s">
        <v>302</v>
      </c>
      <c r="G323" s="205">
        <f>SUM(G320:G322)</f>
        <v>20025.599999999999</v>
      </c>
      <c r="O323" s="31"/>
    </row>
    <row r="324" spans="1:15" ht="38.25" customHeight="1">
      <c r="A324" s="847"/>
      <c r="B324" s="1207" t="s">
        <v>1379</v>
      </c>
      <c r="C324" s="1207"/>
      <c r="D324" s="1207"/>
      <c r="E324" s="922">
        <f>'BASIC DATA'!$C$577</f>
        <v>0.13614999999999999</v>
      </c>
      <c r="F324" s="171" t="s">
        <v>1698</v>
      </c>
      <c r="G324" s="31">
        <f>ROUND(G323*E324,2)</f>
        <v>2726.49</v>
      </c>
      <c r="O324" s="31"/>
    </row>
    <row r="325" spans="1:15">
      <c r="A325" s="847"/>
      <c r="B325" s="47" t="s">
        <v>1191</v>
      </c>
      <c r="C325" s="48"/>
      <c r="D325" s="68">
        <f>F292</f>
        <v>265</v>
      </c>
      <c r="E325" s="26" t="str">
        <f>G292</f>
        <v>cum</v>
      </c>
      <c r="F325" s="171" t="s">
        <v>1698</v>
      </c>
      <c r="G325" s="211">
        <f>G324+G323</f>
        <v>22752.089999999997</v>
      </c>
      <c r="O325" s="31"/>
    </row>
    <row r="326" spans="1:15">
      <c r="A326" s="847"/>
      <c r="B326" s="79" t="s">
        <v>1584</v>
      </c>
      <c r="C326" s="356" t="str">
        <f>E325</f>
        <v>cum</v>
      </c>
      <c r="D326" s="26" t="s">
        <v>1318</v>
      </c>
      <c r="F326" s="171" t="s">
        <v>4108</v>
      </c>
      <c r="G326" s="211">
        <f>ROUND(G325/D325,1)</f>
        <v>85.9</v>
      </c>
      <c r="H326" s="171"/>
    </row>
    <row r="327" spans="1:15">
      <c r="A327" s="847"/>
      <c r="B327" s="78"/>
      <c r="C327" s="48"/>
    </row>
    <row r="328" spans="1:15">
      <c r="A328" s="847"/>
      <c r="B328" s="78"/>
      <c r="C328" s="48"/>
    </row>
    <row r="329" spans="1:15" ht="18.75">
      <c r="A329" s="841" t="s">
        <v>7424</v>
      </c>
      <c r="B329" s="47" t="s">
        <v>8638</v>
      </c>
      <c r="C329" s="48"/>
    </row>
    <row r="330" spans="1:15">
      <c r="A330" s="889"/>
      <c r="B330" s="47" t="s">
        <v>8639</v>
      </c>
      <c r="C330" s="48"/>
    </row>
    <row r="331" spans="1:15">
      <c r="A331" s="889"/>
      <c r="B331" s="47" t="s">
        <v>479</v>
      </c>
      <c r="C331" s="48"/>
    </row>
    <row r="332" spans="1:15">
      <c r="A332" s="889"/>
      <c r="B332" s="47" t="s">
        <v>480</v>
      </c>
      <c r="C332" s="48"/>
    </row>
    <row r="333" spans="1:15" ht="18.75">
      <c r="A333" s="889"/>
      <c r="B333" s="47" t="s">
        <v>8640</v>
      </c>
      <c r="C333" s="48"/>
    </row>
    <row r="334" spans="1:15">
      <c r="A334" s="889"/>
      <c r="C334" s="48"/>
    </row>
    <row r="335" spans="1:15" hidden="1">
      <c r="A335" s="889" t="s">
        <v>3984</v>
      </c>
      <c r="B335" s="47" t="s">
        <v>1554</v>
      </c>
      <c r="C335" s="48"/>
      <c r="F335" s="78"/>
    </row>
    <row r="336" spans="1:15" hidden="1">
      <c r="A336" s="889"/>
      <c r="B336" s="47" t="s">
        <v>602</v>
      </c>
      <c r="C336" s="48"/>
      <c r="F336" s="78" t="s">
        <v>1697</v>
      </c>
      <c r="G336" s="26">
        <v>0.85</v>
      </c>
      <c r="H336" s="26" t="s">
        <v>6901</v>
      </c>
      <c r="I336" s="47"/>
    </row>
    <row r="337" spans="1:9" hidden="1">
      <c r="A337" s="889"/>
      <c r="B337" s="47" t="s">
        <v>603</v>
      </c>
      <c r="C337" s="48"/>
      <c r="F337" s="78" t="s">
        <v>1697</v>
      </c>
      <c r="G337" s="68">
        <v>1</v>
      </c>
      <c r="H337" s="26" t="s">
        <v>6901</v>
      </c>
      <c r="I337" s="202"/>
    </row>
    <row r="338" spans="1:9" hidden="1">
      <c r="A338" s="889"/>
      <c r="B338" s="47" t="s">
        <v>604</v>
      </c>
      <c r="C338" s="48"/>
      <c r="F338" s="78" t="s">
        <v>1697</v>
      </c>
      <c r="G338" s="68">
        <v>5</v>
      </c>
      <c r="H338" s="26" t="s">
        <v>6901</v>
      </c>
      <c r="I338" s="47"/>
    </row>
    <row r="339" spans="1:9" hidden="1">
      <c r="A339" s="889"/>
      <c r="B339" s="47" t="s">
        <v>5277</v>
      </c>
      <c r="C339" s="48"/>
      <c r="F339" s="78" t="s">
        <v>3432</v>
      </c>
      <c r="G339" s="26">
        <v>1</v>
      </c>
      <c r="H339" s="26" t="s">
        <v>3431</v>
      </c>
      <c r="I339" s="47"/>
    </row>
    <row r="340" spans="1:9" hidden="1">
      <c r="A340" s="889"/>
      <c r="B340" s="47" t="s">
        <v>1353</v>
      </c>
      <c r="C340" s="48"/>
      <c r="F340" s="78" t="s">
        <v>1697</v>
      </c>
      <c r="G340" s="26">
        <v>15</v>
      </c>
      <c r="H340" s="26" t="s">
        <v>3433</v>
      </c>
      <c r="I340" s="47"/>
    </row>
    <row r="341" spans="1:9" hidden="1">
      <c r="A341" s="889"/>
      <c r="B341" s="47" t="s">
        <v>1354</v>
      </c>
      <c r="C341" s="48"/>
      <c r="F341" s="78" t="s">
        <v>1697</v>
      </c>
      <c r="G341" s="26">
        <v>15</v>
      </c>
      <c r="H341" s="26" t="s">
        <v>3433</v>
      </c>
      <c r="I341" s="47"/>
    </row>
    <row r="342" spans="1:9" hidden="1">
      <c r="A342" s="889"/>
      <c r="B342" s="47" t="s">
        <v>3985</v>
      </c>
      <c r="C342" s="48"/>
      <c r="F342" s="78" t="s">
        <v>1697</v>
      </c>
      <c r="G342" s="68">
        <v>1.3</v>
      </c>
      <c r="H342" s="26" t="s">
        <v>1433</v>
      </c>
      <c r="I342" s="202"/>
    </row>
    <row r="343" spans="1:9" hidden="1">
      <c r="A343" s="889"/>
      <c r="B343" s="47" t="s">
        <v>4030</v>
      </c>
      <c r="C343" s="48"/>
      <c r="F343" s="78" t="s">
        <v>1697</v>
      </c>
      <c r="G343" s="26">
        <v>20</v>
      </c>
      <c r="H343" s="26" t="s">
        <v>3562</v>
      </c>
      <c r="I343" s="47"/>
    </row>
    <row r="344" spans="1:9" hidden="1">
      <c r="A344" s="889"/>
      <c r="B344" s="47" t="s">
        <v>6516</v>
      </c>
      <c r="C344" s="48"/>
      <c r="F344" s="78" t="s">
        <v>1697</v>
      </c>
      <c r="G344" s="26">
        <v>0.74</v>
      </c>
      <c r="H344" s="26" t="s">
        <v>6901</v>
      </c>
      <c r="I344" s="47"/>
    </row>
    <row r="345" spans="1:9" hidden="1">
      <c r="A345" s="889"/>
      <c r="B345" s="47" t="s">
        <v>6517</v>
      </c>
      <c r="C345" s="48"/>
      <c r="F345" s="78" t="s">
        <v>1697</v>
      </c>
      <c r="G345" s="68">
        <v>3.7</v>
      </c>
      <c r="H345" s="26" t="s">
        <v>6901</v>
      </c>
      <c r="I345" s="47"/>
    </row>
    <row r="346" spans="1:9" hidden="1">
      <c r="A346" s="889"/>
      <c r="B346" s="47" t="s">
        <v>6171</v>
      </c>
      <c r="C346" s="48"/>
      <c r="F346" s="78" t="s">
        <v>1123</v>
      </c>
      <c r="G346" s="26">
        <v>5</v>
      </c>
      <c r="H346" s="26" t="s">
        <v>3435</v>
      </c>
      <c r="I346" s="47"/>
    </row>
    <row r="347" spans="1:9" hidden="1">
      <c r="A347" s="889"/>
      <c r="B347" s="47" t="s">
        <v>6172</v>
      </c>
      <c r="C347" s="48"/>
      <c r="F347" s="78" t="s">
        <v>1697</v>
      </c>
      <c r="G347" s="26">
        <v>1.67</v>
      </c>
      <c r="H347" s="26" t="s">
        <v>1433</v>
      </c>
      <c r="I347" s="47"/>
    </row>
    <row r="348" spans="1:9" hidden="1">
      <c r="A348" s="889"/>
      <c r="B348" s="47" t="s">
        <v>809</v>
      </c>
      <c r="C348" s="48"/>
    </row>
    <row r="349" spans="1:9" hidden="1">
      <c r="A349" s="889"/>
      <c r="B349" s="47" t="s">
        <v>6957</v>
      </c>
      <c r="C349" s="48"/>
    </row>
    <row r="350" spans="1:9" hidden="1">
      <c r="A350" s="889"/>
      <c r="B350" s="47" t="s">
        <v>2550</v>
      </c>
      <c r="C350" s="48"/>
    </row>
    <row r="351" spans="1:9" hidden="1">
      <c r="A351" s="889"/>
      <c r="B351" s="47" t="s">
        <v>2406</v>
      </c>
      <c r="C351" s="48"/>
    </row>
    <row r="352" spans="1:9" hidden="1">
      <c r="A352" s="889"/>
      <c r="B352" s="47" t="s">
        <v>4828</v>
      </c>
      <c r="C352" s="48"/>
    </row>
    <row r="353" spans="1:9" hidden="1">
      <c r="A353" s="889"/>
      <c r="B353" s="47" t="s">
        <v>1613</v>
      </c>
      <c r="C353" s="48"/>
    </row>
    <row r="354" spans="1:9" hidden="1">
      <c r="A354" s="889"/>
      <c r="B354" s="47" t="s">
        <v>3258</v>
      </c>
      <c r="C354" s="48"/>
      <c r="F354" s="78" t="s">
        <v>1697</v>
      </c>
      <c r="G354" s="26">
        <f>G347</f>
        <v>1.67</v>
      </c>
      <c r="H354" s="26" t="s">
        <v>1433</v>
      </c>
      <c r="I354" s="47"/>
    </row>
    <row r="355" spans="1:9" hidden="1">
      <c r="A355" s="889"/>
      <c r="B355" s="47" t="s">
        <v>1148</v>
      </c>
      <c r="C355" s="48"/>
      <c r="F355" s="78" t="s">
        <v>1697</v>
      </c>
      <c r="G355" s="68">
        <v>3</v>
      </c>
      <c r="H355" s="26" t="s">
        <v>1433</v>
      </c>
      <c r="I355" s="202"/>
    </row>
    <row r="356" spans="1:9" hidden="1">
      <c r="A356" s="889"/>
      <c r="B356" s="47" t="s">
        <v>705</v>
      </c>
      <c r="C356" s="48"/>
      <c r="F356" s="78" t="s">
        <v>1697</v>
      </c>
      <c r="G356" s="68">
        <f>G342</f>
        <v>1.3</v>
      </c>
      <c r="H356" s="26" t="s">
        <v>1433</v>
      </c>
      <c r="I356" s="202"/>
    </row>
    <row r="357" spans="1:9" hidden="1">
      <c r="A357" s="889"/>
      <c r="B357" s="47" t="s">
        <v>706</v>
      </c>
      <c r="C357" s="48"/>
      <c r="F357" s="78" t="s">
        <v>1697</v>
      </c>
      <c r="G357" s="68">
        <v>3</v>
      </c>
      <c r="H357" s="26" t="s">
        <v>1433</v>
      </c>
      <c r="I357" s="202"/>
    </row>
    <row r="358" spans="1:9" hidden="1">
      <c r="A358" s="889"/>
      <c r="B358" s="47" t="s">
        <v>707</v>
      </c>
      <c r="C358" s="48"/>
      <c r="F358" s="78" t="s">
        <v>1697</v>
      </c>
      <c r="G358" s="174">
        <v>0.35</v>
      </c>
      <c r="H358" s="26" t="s">
        <v>1433</v>
      </c>
      <c r="I358" s="30"/>
    </row>
    <row r="359" spans="1:9" hidden="1">
      <c r="A359" s="889"/>
      <c r="C359" s="48"/>
      <c r="D359" s="26" t="s">
        <v>1518</v>
      </c>
      <c r="F359" s="78" t="s">
        <v>1697</v>
      </c>
      <c r="G359" s="26">
        <f>SUM(G354:G358)</f>
        <v>9.3199999999999985</v>
      </c>
      <c r="H359" s="26" t="s">
        <v>1433</v>
      </c>
      <c r="I359" s="30"/>
    </row>
    <row r="360" spans="1:9" hidden="1">
      <c r="A360" s="889"/>
      <c r="B360" s="47" t="s">
        <v>6904</v>
      </c>
      <c r="C360" s="48"/>
      <c r="F360" s="78"/>
      <c r="G360" s="26">
        <f>ROUND(9.32/2.02,2)</f>
        <v>4.6100000000000003</v>
      </c>
      <c r="H360" s="26" t="s">
        <v>3436</v>
      </c>
      <c r="I360" s="202"/>
    </row>
    <row r="361" spans="1:9" hidden="1">
      <c r="A361" s="889"/>
      <c r="B361" s="47" t="s">
        <v>6905</v>
      </c>
      <c r="C361" s="48"/>
      <c r="F361" s="78" t="s">
        <v>1697</v>
      </c>
      <c r="G361" s="26">
        <f>ROUND(50*3.7/9.32,2)</f>
        <v>19.850000000000001</v>
      </c>
      <c r="H361" s="26" t="s">
        <v>6901</v>
      </c>
      <c r="I361" s="47"/>
    </row>
    <row r="362" spans="1:9" hidden="1">
      <c r="A362" s="889"/>
      <c r="B362" s="47" t="s">
        <v>6906</v>
      </c>
      <c r="C362" s="48"/>
      <c r="F362" s="78" t="s">
        <v>1123</v>
      </c>
      <c r="G362" s="26">
        <f>ROUND(4.61*8*19.85,2)</f>
        <v>732.07</v>
      </c>
      <c r="H362" s="26" t="s">
        <v>6901</v>
      </c>
      <c r="I362" s="202"/>
    </row>
    <row r="363" spans="1:9" hidden="1">
      <c r="A363" s="889"/>
      <c r="B363" s="47" t="s">
        <v>2615</v>
      </c>
      <c r="C363" s="48"/>
    </row>
    <row r="364" spans="1:9" hidden="1">
      <c r="A364" s="889"/>
      <c r="B364" s="47" t="s">
        <v>848</v>
      </c>
      <c r="C364" s="48"/>
    </row>
    <row r="365" spans="1:9" hidden="1">
      <c r="A365" s="889"/>
      <c r="B365" s="47" t="s">
        <v>2662</v>
      </c>
      <c r="C365" s="48"/>
      <c r="F365" s="26" t="s">
        <v>1602</v>
      </c>
      <c r="G365" s="26">
        <v>73.2</v>
      </c>
      <c r="H365" s="26" t="s">
        <v>3477</v>
      </c>
    </row>
    <row r="366" spans="1:9" hidden="1">
      <c r="A366" s="889"/>
      <c r="C366" s="48"/>
      <c r="F366" s="78" t="s">
        <v>1123</v>
      </c>
      <c r="G366" s="26">
        <f>G365+G362</f>
        <v>805.2700000000001</v>
      </c>
      <c r="H366" s="26" t="s">
        <v>3477</v>
      </c>
    </row>
    <row r="367" spans="1:9" hidden="1">
      <c r="A367" s="889"/>
      <c r="B367" s="47" t="s">
        <v>5825</v>
      </c>
      <c r="C367" s="48"/>
      <c r="G367" s="26" t="s">
        <v>6907</v>
      </c>
    </row>
    <row r="368" spans="1:9" hidden="1">
      <c r="A368" s="889"/>
      <c r="B368" s="47" t="s">
        <v>5826</v>
      </c>
      <c r="C368" s="48"/>
    </row>
    <row r="369" spans="1:17" hidden="1">
      <c r="A369" s="889"/>
      <c r="B369" s="47" t="s">
        <v>6908</v>
      </c>
      <c r="C369" s="48"/>
    </row>
    <row r="370" spans="1:17" hidden="1">
      <c r="A370" s="889"/>
      <c r="B370" s="47" t="s">
        <v>3740</v>
      </c>
      <c r="C370" s="48"/>
    </row>
    <row r="371" spans="1:17" hidden="1">
      <c r="A371" s="889"/>
      <c r="B371" s="47" t="s">
        <v>3741</v>
      </c>
      <c r="C371" s="48"/>
      <c r="F371" s="78" t="s">
        <v>1697</v>
      </c>
      <c r="G371" s="26">
        <v>1.4</v>
      </c>
      <c r="H371" s="26" t="s">
        <v>3561</v>
      </c>
      <c r="O371" s="78"/>
      <c r="P371" s="47"/>
    </row>
    <row r="372" spans="1:17" hidden="1">
      <c r="A372" s="889"/>
      <c r="B372" s="47" t="s">
        <v>3742</v>
      </c>
      <c r="C372" s="48"/>
      <c r="F372" s="78" t="s">
        <v>1697</v>
      </c>
      <c r="G372" s="26">
        <v>1.25</v>
      </c>
      <c r="H372" s="26" t="s">
        <v>3561</v>
      </c>
      <c r="O372" s="78"/>
      <c r="P372" s="47"/>
    </row>
    <row r="373" spans="1:17" hidden="1">
      <c r="A373" s="889"/>
      <c r="B373" s="47" t="s">
        <v>6709</v>
      </c>
      <c r="C373" s="48"/>
      <c r="O373" s="78"/>
      <c r="P373" s="358"/>
    </row>
    <row r="374" spans="1:17" hidden="1">
      <c r="A374" s="889"/>
      <c r="B374" s="162" t="s">
        <v>2367</v>
      </c>
      <c r="C374" s="48"/>
      <c r="O374" s="78"/>
      <c r="P374" s="47"/>
    </row>
    <row r="375" spans="1:17" hidden="1">
      <c r="A375" s="889"/>
      <c r="B375" s="47" t="s">
        <v>834</v>
      </c>
      <c r="C375" s="48"/>
      <c r="O375" s="78"/>
      <c r="P375" s="47"/>
    </row>
    <row r="376" spans="1:17" hidden="1">
      <c r="A376" s="889"/>
      <c r="B376" s="47" t="s">
        <v>835</v>
      </c>
      <c r="C376" s="48"/>
      <c r="F376" s="78" t="s">
        <v>1697</v>
      </c>
      <c r="G376" s="26" t="s">
        <v>3016</v>
      </c>
      <c r="H376" s="26" t="s">
        <v>3561</v>
      </c>
      <c r="O376" s="78"/>
      <c r="P376" s="47"/>
    </row>
    <row r="377" spans="1:17" hidden="1">
      <c r="A377" s="889"/>
      <c r="B377" s="47" t="s">
        <v>6909</v>
      </c>
      <c r="C377" s="48"/>
      <c r="F377" s="78" t="s">
        <v>1697</v>
      </c>
      <c r="G377" s="26">
        <f>805/1.25</f>
        <v>644</v>
      </c>
      <c r="H377" s="26" t="s">
        <v>3883</v>
      </c>
      <c r="I377" s="1207"/>
      <c r="J377" s="1207"/>
      <c r="K377" s="1207"/>
      <c r="L377" s="1207"/>
      <c r="M377" s="1207"/>
      <c r="N377" s="1207"/>
      <c r="O377" s="1207"/>
      <c r="P377" s="1207"/>
      <c r="Q377" s="1207"/>
    </row>
    <row r="378" spans="1:17" hidden="1">
      <c r="A378" s="889"/>
      <c r="B378" s="47" t="s">
        <v>5407</v>
      </c>
      <c r="C378" s="48"/>
      <c r="F378" s="78" t="s">
        <v>1697</v>
      </c>
      <c r="G378" s="26">
        <v>215</v>
      </c>
      <c r="H378" s="26" t="s">
        <v>3032</v>
      </c>
      <c r="I378" s="60"/>
      <c r="O378" s="78"/>
      <c r="P378" s="359"/>
      <c r="Q378" s="60"/>
    </row>
    <row r="379" spans="1:17" hidden="1">
      <c r="A379" s="889"/>
      <c r="B379" s="47" t="s">
        <v>3734</v>
      </c>
      <c r="C379" s="48"/>
      <c r="F379" s="78" t="s">
        <v>1123</v>
      </c>
      <c r="G379" s="68">
        <v>316</v>
      </c>
      <c r="H379" s="26" t="s">
        <v>3561</v>
      </c>
      <c r="I379" s="60"/>
      <c r="O379" s="78"/>
      <c r="P379" s="359"/>
      <c r="Q379" s="60"/>
    </row>
    <row r="380" spans="1:17" hidden="1">
      <c r="A380" s="889"/>
      <c r="B380" s="47" t="s">
        <v>3902</v>
      </c>
      <c r="C380" s="48"/>
      <c r="F380" s="78" t="s">
        <v>1697</v>
      </c>
      <c r="G380" s="26">
        <v>10</v>
      </c>
      <c r="H380" s="26" t="s">
        <v>3561</v>
      </c>
      <c r="I380" s="60"/>
      <c r="O380" s="78"/>
      <c r="P380" s="360"/>
      <c r="Q380" s="60"/>
    </row>
    <row r="381" spans="1:17" hidden="1">
      <c r="A381" s="889"/>
      <c r="B381" s="47" t="s">
        <v>3584</v>
      </c>
      <c r="C381" s="48"/>
      <c r="F381" s="78" t="s">
        <v>1697</v>
      </c>
      <c r="G381" s="68">
        <v>10.53</v>
      </c>
      <c r="H381" s="26" t="s">
        <v>3428</v>
      </c>
      <c r="I381" s="60"/>
      <c r="O381" s="78"/>
      <c r="P381" s="359"/>
      <c r="Q381" s="60"/>
    </row>
    <row r="382" spans="1:17" hidden="1">
      <c r="A382" s="889"/>
      <c r="B382" s="47" t="s">
        <v>668</v>
      </c>
      <c r="C382" s="48"/>
      <c r="P382" s="47"/>
    </row>
    <row r="383" spans="1:17" hidden="1">
      <c r="A383" s="889"/>
      <c r="B383" s="47" t="s">
        <v>3904</v>
      </c>
      <c r="C383" s="48" t="s">
        <v>669</v>
      </c>
      <c r="I383" s="60"/>
      <c r="L383" s="186"/>
      <c r="N383" s="361"/>
      <c r="O383" s="78"/>
      <c r="P383" s="47"/>
      <c r="Q383" s="68"/>
    </row>
    <row r="384" spans="1:17" hidden="1">
      <c r="A384" s="889"/>
      <c r="B384" s="47" t="s">
        <v>3905</v>
      </c>
      <c r="C384" s="48"/>
      <c r="F384" s="78" t="s">
        <v>1697</v>
      </c>
      <c r="G384" s="26">
        <f>805*0.2</f>
        <v>161</v>
      </c>
      <c r="H384" s="26" t="s">
        <v>3033</v>
      </c>
      <c r="I384" s="60"/>
      <c r="O384" s="78"/>
      <c r="P384" s="47"/>
    </row>
    <row r="385" spans="1:17" hidden="1">
      <c r="A385" s="889"/>
      <c r="B385" s="47" t="s">
        <v>3880</v>
      </c>
      <c r="C385" s="48"/>
      <c r="F385" s="78" t="s">
        <v>1697</v>
      </c>
      <c r="G385" s="26">
        <v>12</v>
      </c>
      <c r="H385" s="26" t="s">
        <v>3032</v>
      </c>
      <c r="I385" s="60"/>
      <c r="N385" s="361"/>
      <c r="O385" s="78"/>
      <c r="P385" s="47"/>
      <c r="Q385" s="68"/>
    </row>
    <row r="386" spans="1:17" hidden="1">
      <c r="A386" s="889"/>
      <c r="B386" s="47" t="s">
        <v>6093</v>
      </c>
      <c r="C386" s="48"/>
      <c r="F386" s="78" t="s">
        <v>1697</v>
      </c>
      <c r="G386" s="26">
        <v>215</v>
      </c>
      <c r="H386" s="26" t="s">
        <v>3032</v>
      </c>
      <c r="I386" s="60"/>
      <c r="O386" s="78"/>
      <c r="P386" s="47"/>
    </row>
    <row r="387" spans="1:17" hidden="1">
      <c r="A387" s="889"/>
      <c r="B387" s="47" t="s">
        <v>6094</v>
      </c>
      <c r="C387" s="48"/>
      <c r="F387" s="78" t="s">
        <v>1697</v>
      </c>
      <c r="G387" s="26">
        <v>520</v>
      </c>
      <c r="H387" s="26" t="s">
        <v>3034</v>
      </c>
      <c r="I387" s="60"/>
      <c r="L387" s="186"/>
      <c r="N387" s="361"/>
      <c r="O387" s="78"/>
      <c r="P387" s="47"/>
    </row>
    <row r="388" spans="1:17" hidden="1">
      <c r="A388" s="889"/>
      <c r="B388" s="47" t="s">
        <v>2366</v>
      </c>
      <c r="C388" s="48"/>
      <c r="I388" s="60"/>
      <c r="L388" s="186"/>
      <c r="O388" s="78"/>
      <c r="P388" s="47"/>
    </row>
    <row r="389" spans="1:17" hidden="1">
      <c r="A389" s="889"/>
      <c r="B389" s="47" t="s">
        <v>6095</v>
      </c>
      <c r="C389" s="362">
        <f>'BASIC DATA'!$D$307</f>
        <v>4028</v>
      </c>
      <c r="D389" s="26" t="s">
        <v>2290</v>
      </c>
      <c r="F389" s="78" t="s">
        <v>1698</v>
      </c>
      <c r="G389" s="68">
        <f>C389</f>
        <v>4028</v>
      </c>
      <c r="I389" s="60"/>
      <c r="N389" s="361"/>
      <c r="O389" s="78"/>
      <c r="P389" s="47"/>
      <c r="Q389" s="68"/>
    </row>
    <row r="390" spans="1:17" hidden="1">
      <c r="A390" s="889"/>
      <c r="B390" s="47" t="s">
        <v>6096</v>
      </c>
      <c r="C390" s="48"/>
      <c r="F390" s="78" t="s">
        <v>1697</v>
      </c>
      <c r="G390" s="316">
        <v>200</v>
      </c>
      <c r="H390" s="26" t="s">
        <v>3561</v>
      </c>
      <c r="I390" s="60"/>
      <c r="N390" s="361"/>
      <c r="O390" s="78"/>
      <c r="P390" s="47"/>
      <c r="Q390" s="68"/>
    </row>
    <row r="391" spans="1:17" hidden="1">
      <c r="A391" s="889"/>
      <c r="B391" s="47" t="s">
        <v>7592</v>
      </c>
      <c r="C391" s="48" t="s">
        <v>7593</v>
      </c>
      <c r="F391" s="78" t="s">
        <v>1698</v>
      </c>
      <c r="G391" s="68">
        <f>G389/G390</f>
        <v>20.14</v>
      </c>
    </row>
    <row r="392" spans="1:17" hidden="1">
      <c r="A392" s="889"/>
      <c r="B392" s="47" t="s">
        <v>7594</v>
      </c>
      <c r="C392" s="48"/>
      <c r="F392" s="78" t="s">
        <v>1697</v>
      </c>
      <c r="G392" s="316">
        <v>50</v>
      </c>
      <c r="H392" s="26" t="s">
        <v>3561</v>
      </c>
    </row>
    <row r="393" spans="1:17" hidden="1">
      <c r="A393" s="889"/>
      <c r="B393" s="47" t="s">
        <v>3567</v>
      </c>
      <c r="C393" s="362">
        <f>'BASIC DATA'!$D$344</f>
        <v>185</v>
      </c>
      <c r="D393" s="26" t="s">
        <v>2618</v>
      </c>
      <c r="F393" s="78" t="s">
        <v>1698</v>
      </c>
      <c r="G393" s="68">
        <f>C393*G392</f>
        <v>9250</v>
      </c>
    </row>
    <row r="394" spans="1:17" hidden="1">
      <c r="A394" s="889"/>
      <c r="B394" s="47" t="s">
        <v>5152</v>
      </c>
      <c r="C394" s="48"/>
      <c r="F394" s="78" t="s">
        <v>1697</v>
      </c>
      <c r="G394" s="316">
        <v>800</v>
      </c>
      <c r="H394" s="26" t="s">
        <v>3428</v>
      </c>
    </row>
    <row r="395" spans="1:17" hidden="1">
      <c r="A395" s="889"/>
      <c r="B395" s="47" t="s">
        <v>6262</v>
      </c>
      <c r="C395" s="48" t="s">
        <v>7593</v>
      </c>
      <c r="F395" s="78" t="s">
        <v>1698</v>
      </c>
      <c r="G395" s="68">
        <f>G393/G394</f>
        <v>11.5625</v>
      </c>
    </row>
    <row r="396" spans="1:17" hidden="1">
      <c r="A396" s="847"/>
      <c r="B396" s="78"/>
      <c r="C396" s="48"/>
      <c r="F396" s="217"/>
      <c r="G396" s="68"/>
    </row>
    <row r="397" spans="1:17">
      <c r="A397" s="847"/>
      <c r="B397" s="78"/>
      <c r="C397" s="48"/>
      <c r="F397" s="217"/>
    </row>
    <row r="398" spans="1:17">
      <c r="A398" s="822" t="s">
        <v>3984</v>
      </c>
      <c r="B398" s="78"/>
      <c r="C398" s="363" t="s">
        <v>2367</v>
      </c>
      <c r="E398" s="171" t="s">
        <v>297</v>
      </c>
      <c r="F398" s="246">
        <v>805</v>
      </c>
      <c r="G398" s="26" t="s">
        <v>3477</v>
      </c>
    </row>
    <row r="399" spans="1:17">
      <c r="A399" s="847"/>
      <c r="B399" s="79" t="s">
        <v>2368</v>
      </c>
      <c r="C399" s="48"/>
    </row>
    <row r="400" spans="1:17">
      <c r="A400" s="847"/>
      <c r="B400" s="95" t="s">
        <v>2369</v>
      </c>
      <c r="C400" s="350" t="s">
        <v>6374</v>
      </c>
      <c r="D400" s="95" t="s">
        <v>2370</v>
      </c>
      <c r="E400" s="95" t="s">
        <v>1166</v>
      </c>
      <c r="F400" s="95" t="s">
        <v>2371</v>
      </c>
      <c r="G400" s="95" t="s">
        <v>2372</v>
      </c>
    </row>
    <row r="401" spans="1:14">
      <c r="A401" s="847"/>
      <c r="B401" s="114"/>
      <c r="C401" s="351"/>
      <c r="D401" s="114"/>
      <c r="E401" s="114"/>
      <c r="F401" s="114" t="s">
        <v>3485</v>
      </c>
      <c r="G401" s="114" t="s">
        <v>3485</v>
      </c>
    </row>
    <row r="402" spans="1:14">
      <c r="A402" s="847"/>
      <c r="B402" s="95">
        <v>1</v>
      </c>
      <c r="C402" s="91" t="s">
        <v>6263</v>
      </c>
      <c r="D402" s="95" t="s">
        <v>3483</v>
      </c>
      <c r="E402" s="190">
        <v>316</v>
      </c>
      <c r="F402" s="214">
        <f>G391</f>
        <v>20.14</v>
      </c>
      <c r="G402" s="190">
        <f t="shared" ref="G402:G409" si="0">E402*F402</f>
        <v>6364.24</v>
      </c>
      <c r="H402" s="364"/>
    </row>
    <row r="403" spans="1:14">
      <c r="A403" s="847"/>
      <c r="B403" s="152"/>
      <c r="C403" s="91" t="s">
        <v>5125</v>
      </c>
      <c r="D403" s="213">
        <v>0.1</v>
      </c>
      <c r="E403" s="190"/>
      <c r="F403" s="214"/>
      <c r="G403" s="190">
        <f>G402*D403</f>
        <v>636.42399999999998</v>
      </c>
      <c r="H403" s="364"/>
    </row>
    <row r="404" spans="1:14">
      <c r="A404" s="847"/>
      <c r="B404" s="105">
        <v>2</v>
      </c>
      <c r="C404" s="91" t="s">
        <v>2057</v>
      </c>
      <c r="D404" s="105" t="s">
        <v>2374</v>
      </c>
      <c r="E404" s="190">
        <v>24</v>
      </c>
      <c r="F404" s="214">
        <f>G395</f>
        <v>11.5625</v>
      </c>
      <c r="G404" s="190">
        <f t="shared" si="0"/>
        <v>277.5</v>
      </c>
      <c r="H404" s="364"/>
    </row>
    <row r="405" spans="1:14" ht="36">
      <c r="A405" s="847"/>
      <c r="B405" s="105">
        <v>3</v>
      </c>
      <c r="C405" s="91" t="s">
        <v>135</v>
      </c>
      <c r="D405" s="105" t="s">
        <v>3478</v>
      </c>
      <c r="E405" s="190">
        <f>G384</f>
        <v>161</v>
      </c>
      <c r="F405" s="214">
        <f>'BASIC DATA'!$D$54</f>
        <v>70</v>
      </c>
      <c r="G405" s="190">
        <f t="shared" si="0"/>
        <v>11270</v>
      </c>
      <c r="H405" s="364"/>
    </row>
    <row r="406" spans="1:14">
      <c r="A406" s="847"/>
      <c r="B406" s="105">
        <v>4</v>
      </c>
      <c r="C406" s="91" t="s">
        <v>2058</v>
      </c>
      <c r="D406" s="105" t="s">
        <v>2059</v>
      </c>
      <c r="E406" s="190">
        <v>12</v>
      </c>
      <c r="F406" s="214">
        <f>'BASIC DATA'!$D$50</f>
        <v>7</v>
      </c>
      <c r="G406" s="190">
        <f t="shared" si="0"/>
        <v>84</v>
      </c>
      <c r="H406" s="364"/>
    </row>
    <row r="407" spans="1:14">
      <c r="A407" s="847"/>
      <c r="B407" s="105">
        <v>5</v>
      </c>
      <c r="C407" s="91" t="s">
        <v>2060</v>
      </c>
      <c r="D407" s="105" t="s">
        <v>2059</v>
      </c>
      <c r="E407" s="190">
        <v>215</v>
      </c>
      <c r="F407" s="214">
        <f>'BASIC DATA'!$D$49</f>
        <v>11</v>
      </c>
      <c r="G407" s="190">
        <f t="shared" si="0"/>
        <v>2365</v>
      </c>
      <c r="H407" s="364"/>
      <c r="J407" s="1207"/>
      <c r="K407" s="1207"/>
      <c r="L407" s="1207"/>
      <c r="M407" s="1207"/>
      <c r="N407" s="1207"/>
    </row>
    <row r="408" spans="1:14">
      <c r="A408" s="847"/>
      <c r="B408" s="105">
        <v>6</v>
      </c>
      <c r="C408" s="91" t="s">
        <v>6094</v>
      </c>
      <c r="D408" s="105" t="s">
        <v>3483</v>
      </c>
      <c r="E408" s="190">
        <v>520</v>
      </c>
      <c r="F408" s="214">
        <f>'BASIC DATA'!$D$46</f>
        <v>9</v>
      </c>
      <c r="G408" s="190">
        <f t="shared" si="0"/>
        <v>4680</v>
      </c>
      <c r="H408" s="364"/>
      <c r="J408" s="1207"/>
      <c r="K408" s="1207"/>
      <c r="L408" s="1207"/>
      <c r="M408" s="1207"/>
      <c r="N408" s="1207"/>
    </row>
    <row r="409" spans="1:14">
      <c r="A409" s="847"/>
      <c r="B409" s="105">
        <v>7</v>
      </c>
      <c r="C409" s="91" t="s">
        <v>2373</v>
      </c>
      <c r="D409" s="105" t="s">
        <v>2173</v>
      </c>
      <c r="E409" s="190">
        <v>5</v>
      </c>
      <c r="F409" s="214">
        <f>'BASIC DATA'!$D$359</f>
        <v>30</v>
      </c>
      <c r="G409" s="190">
        <f t="shared" si="0"/>
        <v>150</v>
      </c>
      <c r="H409" s="364"/>
    </row>
    <row r="410" spans="1:14">
      <c r="A410" s="847"/>
      <c r="B410" s="92"/>
      <c r="C410" s="353" t="s">
        <v>2376</v>
      </c>
      <c r="D410" s="159"/>
      <c r="E410" s="238"/>
      <c r="F410" s="236" t="s">
        <v>1698</v>
      </c>
      <c r="G410" s="318">
        <f>SUM(G402:G409)</f>
        <v>25827.164000000001</v>
      </c>
    </row>
    <row r="411" spans="1:14">
      <c r="A411" s="847"/>
      <c r="B411" s="78"/>
      <c r="C411" s="48"/>
      <c r="J411" s="1207"/>
      <c r="K411" s="1207"/>
      <c r="L411" s="1207"/>
      <c r="M411" s="1207"/>
      <c r="N411" s="1207"/>
    </row>
    <row r="412" spans="1:14">
      <c r="A412" s="847"/>
      <c r="B412" s="79" t="s">
        <v>2377</v>
      </c>
      <c r="C412" s="48"/>
    </row>
    <row r="413" spans="1:14">
      <c r="A413" s="847"/>
      <c r="B413" s="95" t="s">
        <v>2369</v>
      </c>
      <c r="C413" s="350" t="s">
        <v>2378</v>
      </c>
      <c r="D413" s="95" t="s">
        <v>2370</v>
      </c>
      <c r="E413" s="95" t="s">
        <v>1166</v>
      </c>
      <c r="F413" s="95" t="s">
        <v>2371</v>
      </c>
      <c r="G413" s="95" t="s">
        <v>2372</v>
      </c>
    </row>
    <row r="414" spans="1:14">
      <c r="A414" s="847"/>
      <c r="B414" s="114"/>
      <c r="C414" s="351"/>
      <c r="D414" s="114"/>
      <c r="E414" s="114"/>
      <c r="F414" s="114" t="s">
        <v>3485</v>
      </c>
      <c r="G414" s="114" t="s">
        <v>3485</v>
      </c>
    </row>
    <row r="415" spans="1:14">
      <c r="A415" s="847"/>
      <c r="B415" s="105">
        <v>1</v>
      </c>
      <c r="C415" s="355" t="s">
        <v>298</v>
      </c>
      <c r="D415" s="95" t="s">
        <v>2374</v>
      </c>
      <c r="E415" s="220">
        <v>8</v>
      </c>
      <c r="F415" s="190">
        <f>'HIRE CHARGES'!$D$543</f>
        <v>1706.6</v>
      </c>
      <c r="G415" s="190">
        <f t="shared" ref="G415:G422" si="1">E415*F415</f>
        <v>13652.8</v>
      </c>
      <c r="I415" s="75"/>
      <c r="J415" s="1207"/>
      <c r="K415" s="1207"/>
      <c r="L415" s="1207"/>
      <c r="M415" s="1207"/>
      <c r="N415" s="1207"/>
    </row>
    <row r="416" spans="1:14">
      <c r="A416" s="847"/>
      <c r="B416" s="152"/>
      <c r="C416" s="355" t="s">
        <v>2379</v>
      </c>
      <c r="D416" s="105" t="s">
        <v>2374</v>
      </c>
      <c r="E416" s="220">
        <v>8</v>
      </c>
      <c r="F416" s="190">
        <f>'HIRE CHARGES'!$E$543</f>
        <v>872.7</v>
      </c>
      <c r="G416" s="190">
        <f t="shared" si="1"/>
        <v>6981.6</v>
      </c>
      <c r="I416" s="75"/>
    </row>
    <row r="417" spans="1:14">
      <c r="A417" s="847"/>
      <c r="B417" s="105">
        <v>2</v>
      </c>
      <c r="C417" s="355" t="s">
        <v>4648</v>
      </c>
      <c r="D417" s="105" t="s">
        <v>2374</v>
      </c>
      <c r="E417" s="220">
        <v>40</v>
      </c>
      <c r="F417" s="190">
        <f>'HIRE CHARGES'!$D$545</f>
        <v>446.7</v>
      </c>
      <c r="G417" s="190">
        <f t="shared" si="1"/>
        <v>17868</v>
      </c>
      <c r="I417" s="75"/>
    </row>
    <row r="418" spans="1:14">
      <c r="A418" s="847"/>
      <c r="B418" s="152"/>
      <c r="C418" s="355" t="s">
        <v>2379</v>
      </c>
      <c r="D418" s="105" t="s">
        <v>2374</v>
      </c>
      <c r="E418" s="220">
        <v>40</v>
      </c>
      <c r="F418" s="190">
        <f>'HIRE CHARGES'!$E$545</f>
        <v>299.89999999999998</v>
      </c>
      <c r="G418" s="190">
        <f t="shared" si="1"/>
        <v>11996</v>
      </c>
      <c r="I418" s="75"/>
    </row>
    <row r="419" spans="1:14" ht="36">
      <c r="A419" s="847"/>
      <c r="B419" s="105">
        <v>3</v>
      </c>
      <c r="C419" s="355" t="s">
        <v>2062</v>
      </c>
      <c r="D419" s="105" t="s">
        <v>2374</v>
      </c>
      <c r="E419" s="220">
        <v>12</v>
      </c>
      <c r="F419" s="214">
        <f>'HIRE CHARGES'!$D$496</f>
        <v>275.60000000000002</v>
      </c>
      <c r="G419" s="190">
        <f t="shared" si="1"/>
        <v>3307.2000000000003</v>
      </c>
      <c r="I419" s="75"/>
    </row>
    <row r="420" spans="1:14">
      <c r="A420" s="847"/>
      <c r="B420" s="105"/>
      <c r="C420" s="355" t="s">
        <v>2379</v>
      </c>
      <c r="D420" s="105" t="s">
        <v>2374</v>
      </c>
      <c r="E420" s="220">
        <v>12</v>
      </c>
      <c r="F420" s="214">
        <f>'HIRE CHARGES'!$E$496</f>
        <v>892.5</v>
      </c>
      <c r="G420" s="190">
        <f t="shared" si="1"/>
        <v>10710</v>
      </c>
      <c r="I420" s="75"/>
    </row>
    <row r="421" spans="1:14">
      <c r="A421" s="847"/>
      <c r="B421" s="105">
        <v>4</v>
      </c>
      <c r="C421" s="86" t="s">
        <v>2510</v>
      </c>
      <c r="D421" s="105" t="s">
        <v>2374</v>
      </c>
      <c r="E421" s="220">
        <v>39</v>
      </c>
      <c r="F421" s="214">
        <f>'HIRE CHARGES'!$D$530</f>
        <v>19.8</v>
      </c>
      <c r="G421" s="190">
        <f t="shared" si="1"/>
        <v>772.2</v>
      </c>
      <c r="I421" s="75"/>
    </row>
    <row r="422" spans="1:14">
      <c r="A422" s="847"/>
      <c r="B422" s="116"/>
      <c r="C422" s="86" t="s">
        <v>2379</v>
      </c>
      <c r="D422" s="114" t="s">
        <v>2374</v>
      </c>
      <c r="E422" s="220">
        <v>39</v>
      </c>
      <c r="F422" s="214">
        <f>'HIRE CHARGES'!$E$530</f>
        <v>0</v>
      </c>
      <c r="G422" s="190">
        <f t="shared" si="1"/>
        <v>0</v>
      </c>
      <c r="I422" s="75"/>
    </row>
    <row r="423" spans="1:14">
      <c r="A423" s="847"/>
      <c r="B423" s="176"/>
      <c r="C423" s="357" t="s">
        <v>2380</v>
      </c>
      <c r="D423" s="174"/>
      <c r="E423" s="238"/>
      <c r="F423" s="236" t="s">
        <v>1698</v>
      </c>
      <c r="G423" s="354">
        <f>SUM(G415:G422)</f>
        <v>65287.799999999996</v>
      </c>
    </row>
    <row r="424" spans="1:14">
      <c r="A424" s="847"/>
      <c r="B424" s="78"/>
      <c r="C424" s="48"/>
    </row>
    <row r="425" spans="1:14">
      <c r="A425" s="847"/>
      <c r="B425" s="79" t="s">
        <v>2381</v>
      </c>
      <c r="C425" s="48"/>
      <c r="J425" s="1207"/>
      <c r="K425" s="1207"/>
      <c r="L425" s="1207"/>
      <c r="M425" s="1207"/>
      <c r="N425" s="1207"/>
    </row>
    <row r="426" spans="1:14">
      <c r="A426" s="847"/>
      <c r="B426" s="95" t="s">
        <v>2369</v>
      </c>
      <c r="C426" s="350" t="s">
        <v>2378</v>
      </c>
      <c r="D426" s="95" t="s">
        <v>2370</v>
      </c>
      <c r="E426" s="95" t="s">
        <v>1166</v>
      </c>
      <c r="F426" s="95" t="s">
        <v>2371</v>
      </c>
      <c r="G426" s="95" t="s">
        <v>2372</v>
      </c>
    </row>
    <row r="427" spans="1:14">
      <c r="A427" s="847"/>
      <c r="B427" s="114"/>
      <c r="C427" s="351"/>
      <c r="D427" s="105"/>
      <c r="E427" s="114"/>
      <c r="F427" s="114" t="s">
        <v>3485</v>
      </c>
      <c r="G427" s="114" t="s">
        <v>3485</v>
      </c>
    </row>
    <row r="428" spans="1:14">
      <c r="A428" s="847"/>
      <c r="B428" s="105">
        <v>1</v>
      </c>
      <c r="C428" s="86" t="s">
        <v>300</v>
      </c>
      <c r="D428" s="95" t="s">
        <v>2374</v>
      </c>
      <c r="E428" s="180">
        <v>8</v>
      </c>
      <c r="F428" s="190">
        <f>'HIRE CHARGES'!$F$543</f>
        <v>236.6</v>
      </c>
      <c r="G428" s="190">
        <f t="shared" ref="G428:G437" si="2">E428*F428</f>
        <v>1892.8</v>
      </c>
      <c r="I428" s="75"/>
    </row>
    <row r="429" spans="1:14">
      <c r="A429" s="847"/>
      <c r="B429" s="105">
        <v>2</v>
      </c>
      <c r="C429" s="86" t="s">
        <v>301</v>
      </c>
      <c r="D429" s="105" t="s">
        <v>2374</v>
      </c>
      <c r="E429" s="221">
        <v>40</v>
      </c>
      <c r="F429" s="190">
        <f>'HIRE CHARGES'!$F$545</f>
        <v>177.5</v>
      </c>
      <c r="G429" s="190">
        <f t="shared" si="2"/>
        <v>7100</v>
      </c>
      <c r="I429" s="75"/>
    </row>
    <row r="430" spans="1:14">
      <c r="A430" s="847"/>
      <c r="B430" s="105">
        <v>3</v>
      </c>
      <c r="C430" s="86" t="s">
        <v>4606</v>
      </c>
      <c r="D430" s="105" t="s">
        <v>2374</v>
      </c>
      <c r="E430" s="221">
        <v>12</v>
      </c>
      <c r="F430" s="190">
        <f>'HIRE CHARGES'!$F$496</f>
        <v>210.9</v>
      </c>
      <c r="G430" s="190">
        <f t="shared" si="2"/>
        <v>2530.8000000000002</v>
      </c>
      <c r="I430" s="75"/>
    </row>
    <row r="431" spans="1:14">
      <c r="A431" s="847"/>
      <c r="B431" s="105">
        <v>4</v>
      </c>
      <c r="C431" s="86" t="s">
        <v>4607</v>
      </c>
      <c r="D431" s="105" t="s">
        <v>2374</v>
      </c>
      <c r="E431" s="221">
        <v>39</v>
      </c>
      <c r="F431" s="190">
        <f>'HIRE CHARGES'!$F$530</f>
        <v>329.6</v>
      </c>
      <c r="G431" s="190">
        <f t="shared" si="2"/>
        <v>12854.400000000001</v>
      </c>
      <c r="I431" s="75"/>
    </row>
    <row r="432" spans="1:14">
      <c r="A432" s="847"/>
      <c r="B432" s="105">
        <v>5</v>
      </c>
      <c r="C432" s="86" t="s">
        <v>4206</v>
      </c>
      <c r="D432" s="105" t="s">
        <v>1172</v>
      </c>
      <c r="E432" s="221">
        <v>1</v>
      </c>
      <c r="F432" s="190">
        <f>'BASIC DATA'!$C$473</f>
        <v>450</v>
      </c>
      <c r="G432" s="190">
        <f t="shared" si="2"/>
        <v>450</v>
      </c>
      <c r="I432" s="75"/>
    </row>
    <row r="433" spans="1:15">
      <c r="A433" s="847"/>
      <c r="B433" s="105">
        <v>6</v>
      </c>
      <c r="C433" s="86" t="s">
        <v>4608</v>
      </c>
      <c r="D433" s="105" t="s">
        <v>1172</v>
      </c>
      <c r="E433" s="221">
        <v>1</v>
      </c>
      <c r="F433" s="190">
        <f>'BASIC DATA'!$C$466</f>
        <v>510</v>
      </c>
      <c r="G433" s="190">
        <f t="shared" si="2"/>
        <v>510</v>
      </c>
      <c r="I433" s="75"/>
    </row>
    <row r="434" spans="1:15">
      <c r="A434" s="847"/>
      <c r="B434" s="105">
        <v>7</v>
      </c>
      <c r="C434" s="86" t="s">
        <v>4609</v>
      </c>
      <c r="D434" s="105" t="s">
        <v>1172</v>
      </c>
      <c r="E434" s="221">
        <v>1</v>
      </c>
      <c r="F434" s="190">
        <f>'BASIC DATA'!$C$520</f>
        <v>400</v>
      </c>
      <c r="G434" s="190">
        <f t="shared" si="2"/>
        <v>400</v>
      </c>
      <c r="I434" s="75"/>
    </row>
    <row r="435" spans="1:15">
      <c r="A435" s="847"/>
      <c r="B435" s="105">
        <v>8</v>
      </c>
      <c r="C435" s="86" t="s">
        <v>5603</v>
      </c>
      <c r="D435" s="105" t="s">
        <v>1172</v>
      </c>
      <c r="E435" s="221">
        <v>16</v>
      </c>
      <c r="F435" s="190">
        <f>'BASIC DATA'!$C$514</f>
        <v>400</v>
      </c>
      <c r="G435" s="190">
        <f t="shared" si="2"/>
        <v>6400</v>
      </c>
      <c r="I435" s="75"/>
    </row>
    <row r="436" spans="1:15">
      <c r="A436" s="847"/>
      <c r="B436" s="105">
        <v>9</v>
      </c>
      <c r="C436" s="86" t="s">
        <v>1190</v>
      </c>
      <c r="D436" s="105" t="s">
        <v>1172</v>
      </c>
      <c r="E436" s="190">
        <v>16</v>
      </c>
      <c r="F436" s="190">
        <f>'BASIC DATA'!$C$546</f>
        <v>400</v>
      </c>
      <c r="G436" s="190">
        <f t="shared" si="2"/>
        <v>6400</v>
      </c>
      <c r="I436" s="75"/>
    </row>
    <row r="437" spans="1:15">
      <c r="A437" s="847"/>
      <c r="B437" s="105">
        <v>10</v>
      </c>
      <c r="C437" s="86" t="s">
        <v>2697</v>
      </c>
      <c r="D437" s="105" t="s">
        <v>1172</v>
      </c>
      <c r="E437" s="183">
        <v>32</v>
      </c>
      <c r="F437" s="190">
        <f>'BASIC DATA'!$C$552</f>
        <v>350</v>
      </c>
      <c r="G437" s="190">
        <f t="shared" si="2"/>
        <v>11200</v>
      </c>
      <c r="I437" s="75"/>
    </row>
    <row r="438" spans="1:15">
      <c r="A438" s="847"/>
      <c r="B438" s="92"/>
      <c r="C438" s="353" t="s">
        <v>1174</v>
      </c>
      <c r="D438" s="159"/>
      <c r="E438" s="238"/>
      <c r="F438" s="236" t="s">
        <v>1698</v>
      </c>
      <c r="G438" s="318">
        <f>SUM(G428:G437)</f>
        <v>49738</v>
      </c>
    </row>
    <row r="439" spans="1:15">
      <c r="A439" s="847"/>
      <c r="B439" s="359" t="s">
        <v>5948</v>
      </c>
      <c r="C439" s="48"/>
      <c r="D439" s="31"/>
      <c r="E439" s="85">
        <f>ROUND(G438/F398,1)</f>
        <v>61.8</v>
      </c>
    </row>
    <row r="440" spans="1:15">
      <c r="A440" s="847"/>
      <c r="B440" s="359" t="s">
        <v>3163</v>
      </c>
      <c r="C440" s="48"/>
      <c r="D440" s="922">
        <f>'BASIC DATA'!$C$577</f>
        <v>0.13614999999999999</v>
      </c>
      <c r="E440" s="85">
        <f>ROUND(E439*D440,1)</f>
        <v>8.4</v>
      </c>
    </row>
    <row r="441" spans="1:15">
      <c r="A441" s="847"/>
      <c r="B441" s="359" t="s">
        <v>5949</v>
      </c>
      <c r="C441" s="48"/>
      <c r="D441" s="31"/>
      <c r="E441" s="199">
        <f>ROUND(E440+E439,1)</f>
        <v>70.2</v>
      </c>
    </row>
    <row r="442" spans="1:15">
      <c r="A442" s="847"/>
      <c r="C442" s="48"/>
    </row>
    <row r="443" spans="1:15">
      <c r="A443" s="847"/>
      <c r="B443" s="162" t="s">
        <v>1175</v>
      </c>
      <c r="C443" s="48"/>
    </row>
    <row r="444" spans="1:15">
      <c r="A444" s="847"/>
      <c r="B444" s="47" t="s">
        <v>1176</v>
      </c>
      <c r="C444" s="48"/>
      <c r="F444" s="171" t="s">
        <v>1698</v>
      </c>
      <c r="G444" s="68">
        <f>G410</f>
        <v>25827.164000000001</v>
      </c>
    </row>
    <row r="445" spans="1:15">
      <c r="A445" s="847"/>
      <c r="B445" s="47" t="s">
        <v>1186</v>
      </c>
      <c r="C445" s="48"/>
      <c r="F445" s="171" t="s">
        <v>1698</v>
      </c>
      <c r="G445" s="68">
        <f>G423</f>
        <v>65287.799999999996</v>
      </c>
    </row>
    <row r="446" spans="1:15">
      <c r="A446" s="847"/>
      <c r="B446" s="47" t="s">
        <v>2660</v>
      </c>
      <c r="C446" s="48"/>
      <c r="F446" s="171" t="s">
        <v>1698</v>
      </c>
      <c r="G446" s="75">
        <f>G438</f>
        <v>49738</v>
      </c>
    </row>
    <row r="447" spans="1:15">
      <c r="A447" s="847"/>
      <c r="B447" s="78"/>
      <c r="C447" s="48"/>
      <c r="E447" s="250"/>
      <c r="F447" s="171" t="s">
        <v>302</v>
      </c>
      <c r="G447" s="205">
        <f>SUM(G444:G446)</f>
        <v>140852.96399999998</v>
      </c>
      <c r="O447" s="31"/>
    </row>
    <row r="448" spans="1:15" ht="38.25" customHeight="1">
      <c r="A448" s="847"/>
      <c r="B448" s="1207" t="s">
        <v>1379</v>
      </c>
      <c r="C448" s="1207"/>
      <c r="D448" s="1207"/>
      <c r="E448" s="922">
        <f>'BASIC DATA'!$C$577</f>
        <v>0.13614999999999999</v>
      </c>
      <c r="F448" s="171" t="s">
        <v>1698</v>
      </c>
      <c r="G448" s="31">
        <f>ROUND(G447*E448,2)</f>
        <v>19177.13</v>
      </c>
      <c r="O448" s="31"/>
    </row>
    <row r="449" spans="1:15">
      <c r="A449" s="847"/>
      <c r="B449" s="47" t="s">
        <v>1191</v>
      </c>
      <c r="C449" s="48"/>
      <c r="D449" s="68">
        <f>F398</f>
        <v>805</v>
      </c>
      <c r="E449" s="68" t="str">
        <f>G398</f>
        <v>cum</v>
      </c>
      <c r="F449" s="171" t="s">
        <v>1698</v>
      </c>
      <c r="G449" s="211">
        <f>G448+G447</f>
        <v>160030.09399999998</v>
      </c>
      <c r="O449" s="31"/>
    </row>
    <row r="450" spans="1:15">
      <c r="A450" s="847"/>
      <c r="B450" s="79" t="s">
        <v>1584</v>
      </c>
      <c r="C450" s="356" t="str">
        <f>E449</f>
        <v>cum</v>
      </c>
      <c r="D450" s="26" t="s">
        <v>1319</v>
      </c>
      <c r="F450" s="171" t="s">
        <v>4108</v>
      </c>
      <c r="G450" s="211">
        <f>ROUND(G449/D449,1)</f>
        <v>198.8</v>
      </c>
      <c r="H450" s="171"/>
    </row>
    <row r="451" spans="1:15">
      <c r="A451" s="847"/>
      <c r="B451" s="78"/>
      <c r="C451" s="48"/>
      <c r="F451" s="171"/>
      <c r="G451" s="68"/>
    </row>
    <row r="452" spans="1:15">
      <c r="A452" s="847"/>
      <c r="B452" s="78"/>
      <c r="C452" s="48"/>
    </row>
    <row r="453" spans="1:15" ht="18.75">
      <c r="A453" s="841" t="s">
        <v>7425</v>
      </c>
      <c r="B453" s="47" t="s">
        <v>8641</v>
      </c>
      <c r="C453" s="48"/>
    </row>
    <row r="454" spans="1:15">
      <c r="A454" s="889" t="s">
        <v>6935</v>
      </c>
      <c r="B454" s="47" t="s">
        <v>8642</v>
      </c>
      <c r="C454" s="48"/>
    </row>
    <row r="455" spans="1:15">
      <c r="A455" s="889"/>
      <c r="B455" s="47" t="s">
        <v>4610</v>
      </c>
      <c r="C455" s="48"/>
    </row>
    <row r="456" spans="1:15">
      <c r="A456" s="889"/>
      <c r="B456" s="47" t="s">
        <v>4611</v>
      </c>
      <c r="C456" s="48"/>
    </row>
    <row r="457" spans="1:15" ht="18.75">
      <c r="A457" s="889"/>
      <c r="B457" s="47" t="s">
        <v>8643</v>
      </c>
      <c r="C457" s="48"/>
    </row>
    <row r="458" spans="1:15">
      <c r="A458" s="889"/>
      <c r="C458" s="48"/>
    </row>
    <row r="459" spans="1:15">
      <c r="A459" s="889" t="s">
        <v>1940</v>
      </c>
      <c r="B459" s="47" t="s">
        <v>4378</v>
      </c>
      <c r="C459" s="48"/>
    </row>
    <row r="460" spans="1:15">
      <c r="A460" s="889"/>
      <c r="B460" s="47" t="s">
        <v>4379</v>
      </c>
      <c r="C460" s="48"/>
    </row>
    <row r="461" spans="1:15">
      <c r="A461" s="889"/>
      <c r="B461" s="47" t="s">
        <v>571</v>
      </c>
      <c r="C461" s="48"/>
    </row>
    <row r="462" spans="1:15">
      <c r="A462" s="889"/>
      <c r="B462" s="47" t="s">
        <v>572</v>
      </c>
      <c r="C462" s="48"/>
    </row>
    <row r="463" spans="1:15">
      <c r="A463" s="889"/>
      <c r="C463" s="48"/>
    </row>
    <row r="464" spans="1:15" hidden="1">
      <c r="A464" s="889" t="s">
        <v>3984</v>
      </c>
      <c r="B464" s="47" t="s">
        <v>573</v>
      </c>
      <c r="C464" s="48"/>
      <c r="F464" s="78"/>
    </row>
    <row r="465" spans="1:3" hidden="1">
      <c r="A465" s="889"/>
      <c r="B465" s="47" t="s">
        <v>2853</v>
      </c>
      <c r="C465" s="48"/>
    </row>
    <row r="466" spans="1:3" hidden="1">
      <c r="A466" s="889"/>
      <c r="B466" s="47" t="s">
        <v>1435</v>
      </c>
      <c r="C466" s="48"/>
    </row>
    <row r="467" spans="1:3" hidden="1">
      <c r="A467" s="889"/>
      <c r="B467" s="47" t="s">
        <v>1436</v>
      </c>
      <c r="C467" s="48"/>
    </row>
    <row r="468" spans="1:3" hidden="1">
      <c r="A468" s="889"/>
      <c r="B468" s="162" t="s">
        <v>1437</v>
      </c>
      <c r="C468" s="48"/>
    </row>
    <row r="469" spans="1:3"/>
    <row r="470" spans="1:3"/>
    <row r="471" spans="1:3"/>
    <row r="472" spans="1:3"/>
    <row r="473" spans="1:3"/>
    <row r="474" spans="1:3"/>
    <row r="475" spans="1:3"/>
    <row r="476" spans="1:3"/>
    <row r="477" spans="1:3"/>
    <row r="478" spans="1:3"/>
    <row r="479" spans="1:3"/>
    <row r="480" spans="1:3"/>
    <row r="481"/>
    <row r="482"/>
    <row r="483"/>
    <row r="484"/>
    <row r="485"/>
    <row r="486"/>
    <row r="487"/>
    <row r="488"/>
    <row r="489"/>
    <row r="490"/>
    <row r="491"/>
    <row r="492"/>
    <row r="493"/>
    <row r="494"/>
    <row r="495"/>
    <row r="496"/>
    <row r="497" spans="1:8"/>
    <row r="498" spans="1:8" hidden="1"/>
    <row r="499" spans="1:8" hidden="1"/>
    <row r="500" spans="1:8" hidden="1"/>
    <row r="501" spans="1:8" hidden="1"/>
    <row r="502" spans="1:8" hidden="1"/>
    <row r="503" spans="1:8" hidden="1"/>
    <row r="504" spans="1:8" hidden="1"/>
    <row r="505" spans="1:8" hidden="1"/>
    <row r="506" spans="1:8" hidden="1"/>
    <row r="507" spans="1:8" hidden="1"/>
    <row r="508" spans="1:8" hidden="1"/>
    <row r="509" spans="1:8" hidden="1">
      <c r="A509" s="889"/>
      <c r="B509" s="47" t="s">
        <v>1656</v>
      </c>
      <c r="C509" s="48"/>
      <c r="F509" s="78" t="s">
        <v>1697</v>
      </c>
      <c r="G509" s="26">
        <v>9.7200000000000006</v>
      </c>
      <c r="H509" s="26" t="s">
        <v>3883</v>
      </c>
    </row>
    <row r="510" spans="1:8" hidden="1">
      <c r="A510" s="889"/>
      <c r="B510" s="47" t="s">
        <v>1657</v>
      </c>
      <c r="C510" s="48"/>
      <c r="F510" s="78" t="s">
        <v>1697</v>
      </c>
      <c r="G510" s="26">
        <v>7</v>
      </c>
      <c r="H510" s="26" t="s">
        <v>3035</v>
      </c>
    </row>
    <row r="511" spans="1:8" hidden="1">
      <c r="A511" s="889"/>
      <c r="B511" s="47" t="s">
        <v>1442</v>
      </c>
      <c r="C511" s="48"/>
      <c r="F511" s="78" t="s">
        <v>1697</v>
      </c>
      <c r="G511" s="68">
        <v>7</v>
      </c>
      <c r="H511" s="26" t="s">
        <v>3561</v>
      </c>
    </row>
    <row r="512" spans="1:8" hidden="1">
      <c r="A512" s="889"/>
      <c r="B512" s="47" t="s">
        <v>2203</v>
      </c>
      <c r="C512" s="48"/>
      <c r="F512" s="78" t="s">
        <v>1123</v>
      </c>
      <c r="G512" s="68">
        <v>68</v>
      </c>
      <c r="H512" s="26" t="s">
        <v>6901</v>
      </c>
    </row>
    <row r="513" spans="1:8" hidden="1">
      <c r="A513" s="889"/>
      <c r="B513" s="47" t="s">
        <v>2204</v>
      </c>
      <c r="C513" s="48"/>
    </row>
    <row r="514" spans="1:8" hidden="1">
      <c r="A514" s="889"/>
      <c r="B514" s="47" t="s">
        <v>2205</v>
      </c>
      <c r="C514" s="48"/>
    </row>
    <row r="515" spans="1:8" hidden="1">
      <c r="A515" s="889"/>
      <c r="B515" s="47" t="s">
        <v>2206</v>
      </c>
      <c r="C515" s="48"/>
    </row>
    <row r="516" spans="1:8" hidden="1">
      <c r="A516" s="889"/>
      <c r="B516" s="47" t="s">
        <v>2207</v>
      </c>
      <c r="C516" s="48"/>
    </row>
    <row r="517" spans="1:8" hidden="1">
      <c r="A517" s="889"/>
      <c r="B517" s="47" t="s">
        <v>2208</v>
      </c>
      <c r="C517" s="48"/>
      <c r="F517" s="78" t="s">
        <v>1697</v>
      </c>
      <c r="G517" s="68">
        <v>1</v>
      </c>
      <c r="H517" s="26" t="s">
        <v>3561</v>
      </c>
    </row>
    <row r="518" spans="1:8" hidden="1">
      <c r="A518" s="889"/>
      <c r="B518" s="47" t="s">
        <v>2209</v>
      </c>
      <c r="C518" s="48"/>
      <c r="F518" s="78" t="s">
        <v>1697</v>
      </c>
      <c r="G518" s="68">
        <v>1.2</v>
      </c>
      <c r="H518" s="26" t="s">
        <v>3561</v>
      </c>
    </row>
    <row r="519" spans="1:8" hidden="1">
      <c r="A519" s="889"/>
      <c r="B519" s="47" t="s">
        <v>1755</v>
      </c>
      <c r="C519" s="48"/>
      <c r="F519" s="78" t="s">
        <v>1697</v>
      </c>
      <c r="G519" s="26" t="s">
        <v>3036</v>
      </c>
      <c r="H519" s="26" t="s">
        <v>3561</v>
      </c>
    </row>
    <row r="520" spans="1:8" hidden="1">
      <c r="A520" s="889"/>
      <c r="B520" s="47" t="s">
        <v>3741</v>
      </c>
      <c r="C520" s="48"/>
      <c r="F520" s="78" t="s">
        <v>1697</v>
      </c>
      <c r="G520" s="68">
        <v>1.4</v>
      </c>
      <c r="H520" s="26" t="s">
        <v>3561</v>
      </c>
    </row>
    <row r="521" spans="1:8" hidden="1">
      <c r="A521" s="889"/>
      <c r="B521" s="47" t="s">
        <v>3742</v>
      </c>
      <c r="C521" s="48"/>
      <c r="F521" s="78" t="s">
        <v>1697</v>
      </c>
      <c r="G521" s="26">
        <v>1.25</v>
      </c>
      <c r="H521" s="26" t="s">
        <v>3561</v>
      </c>
    </row>
    <row r="522" spans="1:8" hidden="1">
      <c r="A522" s="889"/>
      <c r="B522" s="47" t="s">
        <v>2998</v>
      </c>
      <c r="C522" s="48"/>
      <c r="F522" s="78" t="s">
        <v>1697</v>
      </c>
      <c r="G522" s="68">
        <v>8</v>
      </c>
      <c r="H522" s="26" t="s">
        <v>3561</v>
      </c>
    </row>
    <row r="523" spans="1:8" hidden="1">
      <c r="A523" s="889"/>
      <c r="B523" s="47" t="s">
        <v>1019</v>
      </c>
      <c r="C523" s="48"/>
      <c r="F523" s="78" t="s">
        <v>1697</v>
      </c>
      <c r="G523" s="26">
        <v>59</v>
      </c>
      <c r="H523" s="26" t="s">
        <v>2059</v>
      </c>
    </row>
    <row r="524" spans="1:8" hidden="1">
      <c r="A524" s="889"/>
      <c r="B524" s="47" t="s">
        <v>1020</v>
      </c>
      <c r="C524" s="48"/>
      <c r="F524" s="78" t="s">
        <v>1697</v>
      </c>
      <c r="G524" s="68">
        <v>82.6</v>
      </c>
      <c r="H524" s="26" t="s">
        <v>3561</v>
      </c>
    </row>
    <row r="525" spans="1:8" hidden="1">
      <c r="A525" s="889"/>
      <c r="B525" s="47" t="s">
        <v>1021</v>
      </c>
      <c r="C525" s="48"/>
      <c r="F525" s="78" t="s">
        <v>1697</v>
      </c>
      <c r="G525" s="366">
        <v>2.4</v>
      </c>
      <c r="H525" s="26" t="s">
        <v>3561</v>
      </c>
    </row>
    <row r="526" spans="1:8" hidden="1">
      <c r="A526" s="889"/>
      <c r="C526" s="48"/>
      <c r="F526" s="78" t="s">
        <v>1697</v>
      </c>
      <c r="G526" s="68">
        <v>85</v>
      </c>
      <c r="H526" s="26" t="s">
        <v>2602</v>
      </c>
    </row>
    <row r="527" spans="1:8" hidden="1">
      <c r="A527" s="889"/>
      <c r="B527" s="47" t="s">
        <v>1022</v>
      </c>
      <c r="C527" s="48"/>
      <c r="F527" s="78" t="s">
        <v>1697</v>
      </c>
      <c r="G527" s="26">
        <v>5.31</v>
      </c>
      <c r="H527" s="26" t="s">
        <v>3428</v>
      </c>
    </row>
    <row r="528" spans="1:8" hidden="1">
      <c r="A528" s="889"/>
      <c r="B528" s="47" t="s">
        <v>1860</v>
      </c>
      <c r="C528" s="48"/>
    </row>
    <row r="529" spans="1:8" hidden="1">
      <c r="A529" s="889"/>
      <c r="B529" s="47" t="s">
        <v>1861</v>
      </c>
      <c r="C529" s="48"/>
      <c r="F529" s="78" t="s">
        <v>1123</v>
      </c>
      <c r="G529" s="68">
        <v>6.5</v>
      </c>
      <c r="H529" s="26" t="s">
        <v>3428</v>
      </c>
    </row>
    <row r="530" spans="1:8" hidden="1">
      <c r="A530" s="889"/>
      <c r="B530" s="47" t="s">
        <v>1862</v>
      </c>
      <c r="C530" s="48"/>
      <c r="F530" s="78" t="s">
        <v>1697</v>
      </c>
      <c r="G530" s="68">
        <v>20.399999999999999</v>
      </c>
      <c r="H530" s="26" t="s">
        <v>3033</v>
      </c>
    </row>
    <row r="531" spans="1:8" hidden="1">
      <c r="A531" s="889"/>
      <c r="B531" s="47" t="s">
        <v>1863</v>
      </c>
      <c r="C531" s="48"/>
      <c r="F531" s="78" t="s">
        <v>1697</v>
      </c>
      <c r="G531" s="68">
        <v>0.8</v>
      </c>
      <c r="H531" s="26" t="s">
        <v>3033</v>
      </c>
    </row>
    <row r="532" spans="1:8" hidden="1">
      <c r="A532" s="889"/>
      <c r="C532" s="48"/>
      <c r="E532" s="78" t="s">
        <v>1518</v>
      </c>
      <c r="F532" s="78" t="s">
        <v>1697</v>
      </c>
      <c r="G532" s="68">
        <v>21.2</v>
      </c>
      <c r="H532" s="26" t="s">
        <v>3033</v>
      </c>
    </row>
    <row r="533" spans="1:8" hidden="1">
      <c r="A533" s="889"/>
      <c r="B533" s="47" t="s">
        <v>3880</v>
      </c>
      <c r="C533" s="48"/>
      <c r="F533" s="78" t="s">
        <v>1697</v>
      </c>
      <c r="G533" s="26">
        <v>4</v>
      </c>
      <c r="H533" s="26" t="s">
        <v>3032</v>
      </c>
    </row>
    <row r="534" spans="1:8" hidden="1">
      <c r="A534" s="889"/>
      <c r="B534" s="47" t="s">
        <v>1864</v>
      </c>
      <c r="C534" s="48"/>
      <c r="F534" s="78" t="s">
        <v>1697</v>
      </c>
      <c r="G534" s="26">
        <v>59</v>
      </c>
      <c r="H534" s="26" t="s">
        <v>3436</v>
      </c>
    </row>
    <row r="535" spans="1:8" hidden="1">
      <c r="A535" s="889"/>
      <c r="B535" s="47" t="s">
        <v>5703</v>
      </c>
      <c r="C535" s="48"/>
      <c r="F535" s="78" t="s">
        <v>1697</v>
      </c>
      <c r="G535" s="26">
        <v>90</v>
      </c>
      <c r="H535" s="26" t="s">
        <v>3034</v>
      </c>
    </row>
    <row r="536" spans="1:8" hidden="1">
      <c r="A536" s="889"/>
      <c r="B536" s="47" t="s">
        <v>1794</v>
      </c>
      <c r="C536" s="48"/>
      <c r="F536" s="78"/>
    </row>
    <row r="537" spans="1:8" hidden="1">
      <c r="A537" s="889"/>
      <c r="B537" s="47" t="s">
        <v>1795</v>
      </c>
      <c r="C537" s="48"/>
      <c r="F537" s="78" t="s">
        <v>1697</v>
      </c>
      <c r="G537" s="26" t="s">
        <v>1796</v>
      </c>
    </row>
    <row r="538" spans="1:8" hidden="1">
      <c r="A538" s="889"/>
      <c r="B538" s="47" t="s">
        <v>1797</v>
      </c>
      <c r="C538" s="48"/>
      <c r="F538" s="78" t="s">
        <v>1697</v>
      </c>
      <c r="G538" s="26" t="s">
        <v>1798</v>
      </c>
    </row>
    <row r="539" spans="1:8" hidden="1">
      <c r="A539" s="889"/>
      <c r="B539" s="47" t="s">
        <v>1799</v>
      </c>
      <c r="C539" s="48"/>
      <c r="F539" s="78" t="s">
        <v>1697</v>
      </c>
      <c r="G539" s="26" t="s">
        <v>1800</v>
      </c>
    </row>
    <row r="540" spans="1:8" hidden="1">
      <c r="A540" s="889"/>
      <c r="B540" s="47" t="s">
        <v>1801</v>
      </c>
      <c r="C540" s="48"/>
      <c r="F540" s="78" t="s">
        <v>1697</v>
      </c>
      <c r="G540" s="26" t="s">
        <v>1802</v>
      </c>
    </row>
    <row r="541" spans="1:8" hidden="1">
      <c r="A541" s="889"/>
      <c r="B541" s="47" t="s">
        <v>1803</v>
      </c>
      <c r="C541" s="48"/>
      <c r="F541" s="78"/>
    </row>
    <row r="542" spans="1:8" hidden="1">
      <c r="A542" s="889"/>
      <c r="B542" s="47" t="s">
        <v>1804</v>
      </c>
      <c r="C542" s="48"/>
      <c r="F542" s="78" t="s">
        <v>1697</v>
      </c>
      <c r="G542" s="26">
        <v>68</v>
      </c>
      <c r="H542" s="26" t="s">
        <v>6901</v>
      </c>
    </row>
    <row r="543" spans="1:8" hidden="1">
      <c r="A543" s="889"/>
      <c r="B543" s="47" t="s">
        <v>602</v>
      </c>
      <c r="C543" s="48"/>
      <c r="F543" s="78" t="s">
        <v>1697</v>
      </c>
      <c r="G543" s="26">
        <v>0.9</v>
      </c>
      <c r="H543" s="26" t="s">
        <v>6901</v>
      </c>
    </row>
    <row r="544" spans="1:8" hidden="1">
      <c r="A544" s="889"/>
      <c r="B544" s="47" t="s">
        <v>603</v>
      </c>
      <c r="C544" s="48"/>
      <c r="F544" s="78" t="s">
        <v>1697</v>
      </c>
      <c r="G544" s="26">
        <v>1</v>
      </c>
      <c r="H544" s="26" t="s">
        <v>6901</v>
      </c>
    </row>
    <row r="545" spans="1:8" hidden="1">
      <c r="A545" s="889"/>
      <c r="B545" s="47" t="s">
        <v>604</v>
      </c>
      <c r="C545" s="48"/>
      <c r="F545" s="78" t="s">
        <v>1697</v>
      </c>
      <c r="G545" s="26">
        <v>5</v>
      </c>
      <c r="H545" s="26" t="s">
        <v>6901</v>
      </c>
    </row>
    <row r="546" spans="1:8" hidden="1">
      <c r="A546" s="889"/>
      <c r="B546" s="47" t="s">
        <v>618</v>
      </c>
      <c r="C546" s="48"/>
      <c r="F546" s="78" t="s">
        <v>3432</v>
      </c>
      <c r="G546" s="26">
        <v>1</v>
      </c>
      <c r="H546" s="26" t="s">
        <v>3431</v>
      </c>
    </row>
    <row r="547" spans="1:8" hidden="1">
      <c r="A547" s="889"/>
      <c r="B547" s="47" t="s">
        <v>1353</v>
      </c>
      <c r="C547" s="48"/>
      <c r="F547" s="78" t="s">
        <v>1697</v>
      </c>
      <c r="G547" s="26">
        <v>15</v>
      </c>
      <c r="H547" s="26" t="s">
        <v>3433</v>
      </c>
    </row>
    <row r="548" spans="1:8" hidden="1">
      <c r="A548" s="889"/>
      <c r="B548" s="47" t="s">
        <v>1354</v>
      </c>
      <c r="C548" s="48"/>
      <c r="F548" s="78" t="s">
        <v>1697</v>
      </c>
      <c r="G548" s="26">
        <v>15</v>
      </c>
      <c r="H548" s="26" t="s">
        <v>3433</v>
      </c>
    </row>
    <row r="549" spans="1:8" hidden="1">
      <c r="A549" s="889"/>
      <c r="B549" s="47" t="s">
        <v>3985</v>
      </c>
      <c r="C549" s="48"/>
      <c r="F549" s="78" t="s">
        <v>1697</v>
      </c>
      <c r="G549" s="68">
        <v>1.5</v>
      </c>
      <c r="H549" s="26" t="s">
        <v>1433</v>
      </c>
    </row>
    <row r="550" spans="1:8" hidden="1">
      <c r="A550" s="889"/>
      <c r="B550" s="47" t="s">
        <v>4030</v>
      </c>
      <c r="C550" s="48"/>
      <c r="F550" s="78" t="s">
        <v>1697</v>
      </c>
      <c r="G550" s="26">
        <v>35</v>
      </c>
      <c r="H550" s="26" t="s">
        <v>3562</v>
      </c>
    </row>
    <row r="551" spans="1:8" hidden="1">
      <c r="A551" s="889"/>
      <c r="B551" s="47" t="s">
        <v>619</v>
      </c>
      <c r="C551" s="48"/>
      <c r="F551" s="78" t="s">
        <v>1697</v>
      </c>
      <c r="G551" s="26">
        <v>0.71</v>
      </c>
      <c r="H551" s="26" t="s">
        <v>6901</v>
      </c>
    </row>
    <row r="552" spans="1:8" hidden="1">
      <c r="A552" s="889"/>
      <c r="B552" s="47" t="s">
        <v>620</v>
      </c>
      <c r="C552" s="48"/>
      <c r="F552" s="78" t="s">
        <v>1697</v>
      </c>
      <c r="G552" s="26">
        <v>3.57</v>
      </c>
      <c r="H552" s="26" t="s">
        <v>6901</v>
      </c>
    </row>
    <row r="553" spans="1:8" hidden="1">
      <c r="A553" s="889"/>
      <c r="B553" s="47" t="s">
        <v>621</v>
      </c>
      <c r="C553" s="48"/>
      <c r="F553" s="78" t="s">
        <v>1697</v>
      </c>
      <c r="G553" s="26">
        <v>5</v>
      </c>
      <c r="H553" s="26" t="s">
        <v>3435</v>
      </c>
    </row>
    <row r="554" spans="1:8" hidden="1">
      <c r="A554" s="889"/>
      <c r="B554" s="47" t="s">
        <v>6172</v>
      </c>
      <c r="C554" s="48"/>
      <c r="F554" s="78" t="s">
        <v>1697</v>
      </c>
      <c r="G554" s="26">
        <f>ROUND(G553*G550/60,2)</f>
        <v>2.92</v>
      </c>
      <c r="H554" s="26" t="s">
        <v>1433</v>
      </c>
    </row>
    <row r="555" spans="1:8" hidden="1">
      <c r="A555" s="889"/>
      <c r="B555" s="47" t="s">
        <v>4579</v>
      </c>
      <c r="C555" s="48"/>
    </row>
    <row r="556" spans="1:8" hidden="1">
      <c r="A556" s="889"/>
      <c r="B556" s="47" t="s">
        <v>6957</v>
      </c>
      <c r="C556" s="48"/>
    </row>
    <row r="557" spans="1:8" hidden="1">
      <c r="A557" s="889"/>
      <c r="B557" s="47" t="s">
        <v>2550</v>
      </c>
      <c r="C557" s="48"/>
    </row>
    <row r="558" spans="1:8" hidden="1">
      <c r="A558" s="889"/>
      <c r="B558" s="47" t="s">
        <v>2096</v>
      </c>
      <c r="C558" s="48"/>
    </row>
    <row r="559" spans="1:8" hidden="1">
      <c r="A559" s="889"/>
      <c r="B559" s="47" t="s">
        <v>2097</v>
      </c>
      <c r="C559" s="48"/>
    </row>
    <row r="560" spans="1:8" hidden="1">
      <c r="A560" s="889"/>
      <c r="B560" s="47" t="s">
        <v>1613</v>
      </c>
      <c r="C560" s="48"/>
    </row>
    <row r="561" spans="1:9" hidden="1">
      <c r="A561" s="889"/>
      <c r="B561" s="47" t="s">
        <v>3680</v>
      </c>
      <c r="C561" s="48"/>
      <c r="F561" s="26" t="s">
        <v>1697</v>
      </c>
      <c r="G561" s="26">
        <v>3.5</v>
      </c>
      <c r="H561" s="26" t="s">
        <v>2603</v>
      </c>
    </row>
    <row r="562" spans="1:9" hidden="1">
      <c r="A562" s="889"/>
      <c r="B562" s="47" t="s">
        <v>6325</v>
      </c>
      <c r="C562" s="48"/>
      <c r="F562" s="26" t="s">
        <v>1697</v>
      </c>
      <c r="G562" s="26">
        <v>3</v>
      </c>
      <c r="H562" s="26" t="s">
        <v>2603</v>
      </c>
    </row>
    <row r="563" spans="1:9" hidden="1">
      <c r="A563" s="889"/>
      <c r="B563" s="47" t="s">
        <v>705</v>
      </c>
      <c r="C563" s="48"/>
      <c r="F563" s="26" t="s">
        <v>1697</v>
      </c>
      <c r="G563" s="26">
        <v>1.5</v>
      </c>
      <c r="H563" s="26" t="s">
        <v>2603</v>
      </c>
    </row>
    <row r="564" spans="1:9" hidden="1">
      <c r="A564" s="889"/>
      <c r="B564" s="47" t="s">
        <v>706</v>
      </c>
      <c r="C564" s="48"/>
      <c r="F564" s="26" t="s">
        <v>1697</v>
      </c>
      <c r="G564" s="26">
        <v>3</v>
      </c>
      <c r="H564" s="26" t="s">
        <v>2603</v>
      </c>
    </row>
    <row r="565" spans="1:9" hidden="1">
      <c r="A565" s="889"/>
      <c r="B565" s="47" t="s">
        <v>6326</v>
      </c>
      <c r="C565" s="48"/>
      <c r="F565" s="26" t="s">
        <v>1697</v>
      </c>
      <c r="G565" s="26">
        <v>0.5</v>
      </c>
      <c r="H565" s="26" t="s">
        <v>2603</v>
      </c>
    </row>
    <row r="566" spans="1:9" hidden="1">
      <c r="A566" s="889"/>
      <c r="C566" s="48"/>
      <c r="E566" s="26" t="s">
        <v>1518</v>
      </c>
      <c r="F566" s="26" t="s">
        <v>1697</v>
      </c>
      <c r="G566" s="159">
        <v>11.5</v>
      </c>
      <c r="H566" s="26" t="s">
        <v>2603</v>
      </c>
    </row>
    <row r="567" spans="1:9" hidden="1">
      <c r="A567" s="889"/>
      <c r="B567" s="47" t="s">
        <v>6327</v>
      </c>
      <c r="C567" s="48"/>
      <c r="F567" s="26" t="s">
        <v>1697</v>
      </c>
      <c r="G567" s="26">
        <v>3.3</v>
      </c>
      <c r="H567" s="26" t="s">
        <v>2059</v>
      </c>
      <c r="I567" s="26" t="s">
        <v>6328</v>
      </c>
    </row>
    <row r="568" spans="1:9" hidden="1">
      <c r="A568" s="889"/>
      <c r="B568" s="47" t="s">
        <v>1476</v>
      </c>
      <c r="C568" s="48"/>
      <c r="E568" s="26">
        <v>15.52</v>
      </c>
      <c r="F568" s="26" t="s">
        <v>3477</v>
      </c>
      <c r="H568" s="26">
        <v>15.52</v>
      </c>
      <c r="I568" s="26" t="s">
        <v>3477</v>
      </c>
    </row>
    <row r="569" spans="1:9" hidden="1">
      <c r="A569" s="889"/>
      <c r="B569" s="47" t="s">
        <v>2316</v>
      </c>
      <c r="C569" s="48"/>
      <c r="G569" s="26" t="s">
        <v>1697</v>
      </c>
    </row>
    <row r="570" spans="1:9" hidden="1">
      <c r="A570" s="889"/>
      <c r="B570" s="47" t="s">
        <v>1477</v>
      </c>
      <c r="C570" s="48"/>
      <c r="E570" s="26">
        <v>62.08</v>
      </c>
      <c r="F570" s="26" t="s">
        <v>3477</v>
      </c>
      <c r="H570" s="26">
        <v>62.08</v>
      </c>
      <c r="I570" s="26" t="s">
        <v>3477</v>
      </c>
    </row>
    <row r="571" spans="1:9" hidden="1">
      <c r="A571" s="889"/>
      <c r="B571" s="47" t="s">
        <v>1478</v>
      </c>
      <c r="C571" s="48"/>
      <c r="E571" s="26">
        <v>1.1000000000000001</v>
      </c>
      <c r="F571" s="26" t="s">
        <v>4665</v>
      </c>
      <c r="G571" s="26" t="s">
        <v>1697</v>
      </c>
      <c r="H571" s="26">
        <v>1.1000000000000001</v>
      </c>
      <c r="I571" s="26" t="s">
        <v>4665</v>
      </c>
    </row>
    <row r="572" spans="1:9" hidden="1">
      <c r="A572" s="889"/>
      <c r="B572" s="47" t="s">
        <v>1479</v>
      </c>
      <c r="C572" s="48"/>
      <c r="E572" s="26">
        <v>0.25</v>
      </c>
      <c r="F572" s="26" t="s">
        <v>1189</v>
      </c>
      <c r="G572" s="26" t="s">
        <v>1697</v>
      </c>
      <c r="H572" s="26">
        <v>0.25</v>
      </c>
      <c r="I572" s="26" t="s">
        <v>1189</v>
      </c>
    </row>
    <row r="573" spans="1:9" hidden="1">
      <c r="A573" s="889"/>
      <c r="B573" s="47" t="s">
        <v>2317</v>
      </c>
      <c r="C573" s="48"/>
      <c r="G573" s="26" t="s">
        <v>1697</v>
      </c>
    </row>
    <row r="574" spans="1:9" hidden="1">
      <c r="A574" s="889"/>
      <c r="B574" s="47" t="s">
        <v>2648</v>
      </c>
      <c r="C574" s="48"/>
    </row>
    <row r="575" spans="1:9" hidden="1">
      <c r="A575" s="889"/>
      <c r="B575" s="47" t="s">
        <v>96</v>
      </c>
      <c r="C575" s="48"/>
    </row>
    <row r="576" spans="1:9" hidden="1">
      <c r="A576" s="889"/>
      <c r="B576" s="47" t="s">
        <v>2366</v>
      </c>
      <c r="C576" s="48"/>
    </row>
    <row r="577" spans="1:8" hidden="1">
      <c r="A577" s="889"/>
      <c r="B577" s="47" t="s">
        <v>97</v>
      </c>
      <c r="C577" s="362">
        <f>'BASIC DATA'!$D$307</f>
        <v>4028</v>
      </c>
      <c r="E577" s="26" t="s">
        <v>98</v>
      </c>
      <c r="F577" s="78" t="s">
        <v>1698</v>
      </c>
      <c r="G577" s="68">
        <f>C577</f>
        <v>4028</v>
      </c>
    </row>
    <row r="578" spans="1:8" hidden="1">
      <c r="A578" s="889"/>
      <c r="B578" s="47" t="s">
        <v>99</v>
      </c>
      <c r="C578" s="48"/>
      <c r="F578" s="78" t="s">
        <v>1697</v>
      </c>
      <c r="G578" s="26">
        <v>150</v>
      </c>
      <c r="H578" s="26" t="s">
        <v>3561</v>
      </c>
    </row>
    <row r="579" spans="1:8" hidden="1">
      <c r="A579" s="889"/>
      <c r="B579" s="47" t="s">
        <v>7592</v>
      </c>
      <c r="C579" s="48" t="s">
        <v>7593</v>
      </c>
      <c r="F579" s="78" t="s">
        <v>1698</v>
      </c>
      <c r="G579" s="68">
        <f>G577/G578</f>
        <v>26.853333333333332</v>
      </c>
    </row>
    <row r="580" spans="1:8" hidden="1">
      <c r="A580" s="889"/>
      <c r="B580" s="47" t="s">
        <v>7594</v>
      </c>
      <c r="C580" s="48"/>
      <c r="F580" s="78" t="s">
        <v>1697</v>
      </c>
      <c r="G580" s="26">
        <v>50</v>
      </c>
      <c r="H580" s="26" t="s">
        <v>3561</v>
      </c>
    </row>
    <row r="581" spans="1:8" hidden="1">
      <c r="A581" s="889"/>
      <c r="B581" s="47" t="s">
        <v>5582</v>
      </c>
      <c r="C581" s="362">
        <f>'BASIC DATA'!$D$344</f>
        <v>185</v>
      </c>
      <c r="E581" s="26" t="s">
        <v>2618</v>
      </c>
      <c r="F581" s="78" t="s">
        <v>1698</v>
      </c>
      <c r="G581" s="68">
        <f>G580*C581</f>
        <v>9250</v>
      </c>
    </row>
    <row r="582" spans="1:8" hidden="1">
      <c r="A582" s="889"/>
      <c r="B582" s="47" t="s">
        <v>5152</v>
      </c>
      <c r="C582" s="48"/>
      <c r="F582" s="78" t="s">
        <v>1697</v>
      </c>
      <c r="G582" s="316">
        <v>800</v>
      </c>
      <c r="H582" s="26" t="s">
        <v>3428</v>
      </c>
    </row>
    <row r="583" spans="1:8" hidden="1">
      <c r="A583" s="889"/>
      <c r="B583" s="47" t="s">
        <v>6262</v>
      </c>
      <c r="C583" s="48" t="s">
        <v>7593</v>
      </c>
      <c r="F583" s="78" t="s">
        <v>1698</v>
      </c>
      <c r="G583" s="68">
        <f>G581/G582</f>
        <v>11.5625</v>
      </c>
    </row>
    <row r="584" spans="1:8" hidden="1"/>
    <row r="585" spans="1:8" hidden="1"/>
    <row r="586" spans="1:8" hidden="1"/>
    <row r="587" spans="1:8" hidden="1"/>
    <row r="588" spans="1:8" hidden="1"/>
    <row r="589" spans="1:8" hidden="1"/>
    <row r="590" spans="1:8" hidden="1"/>
    <row r="591" spans="1:8"/>
    <row r="592" spans="1:8"/>
    <row r="593" spans="1:9">
      <c r="A593" s="889" t="s">
        <v>3984</v>
      </c>
      <c r="B593" s="78"/>
      <c r="C593" s="349" t="s">
        <v>2367</v>
      </c>
      <c r="E593" s="171" t="s">
        <v>297</v>
      </c>
      <c r="F593" s="246">
        <v>68</v>
      </c>
      <c r="G593" s="26" t="s">
        <v>3477</v>
      </c>
    </row>
    <row r="594" spans="1:9">
      <c r="A594" s="847"/>
      <c r="B594" s="79" t="s">
        <v>2368</v>
      </c>
      <c r="C594" s="48"/>
    </row>
    <row r="595" spans="1:9">
      <c r="A595" s="847"/>
      <c r="B595" s="95" t="s">
        <v>2369</v>
      </c>
      <c r="C595" s="350" t="s">
        <v>6374</v>
      </c>
      <c r="D595" s="95" t="s">
        <v>2370</v>
      </c>
      <c r="E595" s="95" t="s">
        <v>1166</v>
      </c>
      <c r="F595" s="95" t="s">
        <v>2371</v>
      </c>
      <c r="G595" s="95" t="s">
        <v>2372</v>
      </c>
    </row>
    <row r="596" spans="1:9">
      <c r="A596" s="847"/>
      <c r="B596" s="114"/>
      <c r="C596" s="351"/>
      <c r="D596" s="114"/>
      <c r="E596" s="114"/>
      <c r="F596" s="114" t="s">
        <v>3485</v>
      </c>
      <c r="G596" s="114" t="s">
        <v>3485</v>
      </c>
    </row>
    <row r="597" spans="1:9">
      <c r="A597" s="847"/>
      <c r="B597" s="95">
        <v>1</v>
      </c>
      <c r="C597" s="91" t="s">
        <v>6263</v>
      </c>
      <c r="D597" s="95" t="s">
        <v>3483</v>
      </c>
      <c r="E597" s="190">
        <v>85</v>
      </c>
      <c r="F597" s="190">
        <f>G579</f>
        <v>26.853333333333332</v>
      </c>
      <c r="G597" s="190">
        <f>E597*F597</f>
        <v>2282.5333333333333</v>
      </c>
      <c r="I597" s="367"/>
    </row>
    <row r="598" spans="1:9">
      <c r="A598" s="847"/>
      <c r="B598" s="152"/>
      <c r="C598" s="91" t="s">
        <v>5125</v>
      </c>
      <c r="D598" s="213">
        <v>0.1</v>
      </c>
      <c r="E598" s="190"/>
      <c r="F598" s="190"/>
      <c r="G598" s="190">
        <f>G597*D598</f>
        <v>228.25333333333333</v>
      </c>
      <c r="I598" s="367"/>
    </row>
    <row r="599" spans="1:9">
      <c r="A599" s="847"/>
      <c r="B599" s="105">
        <v>2</v>
      </c>
      <c r="C599" s="91" t="s">
        <v>1499</v>
      </c>
      <c r="D599" s="105" t="s">
        <v>2374</v>
      </c>
      <c r="E599" s="190">
        <v>13</v>
      </c>
      <c r="F599" s="190">
        <f>G583</f>
        <v>11.5625</v>
      </c>
      <c r="G599" s="190">
        <f t="shared" ref="G599:G604" si="3">E599*F599</f>
        <v>150.3125</v>
      </c>
      <c r="I599" s="367"/>
    </row>
    <row r="600" spans="1:9" ht="36">
      <c r="A600" s="847"/>
      <c r="B600" s="105">
        <v>3</v>
      </c>
      <c r="C600" s="91" t="s">
        <v>1500</v>
      </c>
      <c r="D600" s="105" t="s">
        <v>3478</v>
      </c>
      <c r="E600" s="190">
        <v>21.2</v>
      </c>
      <c r="F600" s="190">
        <f>'BASIC DATA'!$D$54</f>
        <v>70</v>
      </c>
      <c r="G600" s="190">
        <f t="shared" si="3"/>
        <v>1484</v>
      </c>
      <c r="I600" s="367"/>
    </row>
    <row r="601" spans="1:9">
      <c r="A601" s="847"/>
      <c r="B601" s="105">
        <v>4</v>
      </c>
      <c r="C601" s="91" t="s">
        <v>2058</v>
      </c>
      <c r="D601" s="105" t="s">
        <v>2059</v>
      </c>
      <c r="E601" s="190">
        <v>4</v>
      </c>
      <c r="F601" s="190">
        <f>'BASIC DATA'!$D$50</f>
        <v>7</v>
      </c>
      <c r="G601" s="190">
        <f t="shared" si="3"/>
        <v>28</v>
      </c>
      <c r="I601" s="367"/>
    </row>
    <row r="602" spans="1:9">
      <c r="A602" s="847"/>
      <c r="B602" s="105">
        <v>5</v>
      </c>
      <c r="C602" s="91" t="s">
        <v>2060</v>
      </c>
      <c r="D602" s="105" t="s">
        <v>2059</v>
      </c>
      <c r="E602" s="190">
        <v>59</v>
      </c>
      <c r="F602" s="190">
        <f>'BASIC DATA'!$D$49</f>
        <v>11</v>
      </c>
      <c r="G602" s="190">
        <f t="shared" si="3"/>
        <v>649</v>
      </c>
      <c r="I602" s="367"/>
    </row>
    <row r="603" spans="1:9">
      <c r="A603" s="847"/>
      <c r="B603" s="105">
        <v>6</v>
      </c>
      <c r="C603" s="91" t="s">
        <v>6094</v>
      </c>
      <c r="D603" s="105" t="s">
        <v>3483</v>
      </c>
      <c r="E603" s="190">
        <v>90</v>
      </c>
      <c r="F603" s="190">
        <f>'BASIC DATA'!$D$46</f>
        <v>9</v>
      </c>
      <c r="G603" s="190">
        <f t="shared" si="3"/>
        <v>810</v>
      </c>
      <c r="I603" s="367"/>
    </row>
    <row r="604" spans="1:9">
      <c r="A604" s="847"/>
      <c r="B604" s="114">
        <v>7</v>
      </c>
      <c r="C604" s="91" t="s">
        <v>2373</v>
      </c>
      <c r="D604" s="105" t="s">
        <v>2173</v>
      </c>
      <c r="E604" s="190">
        <v>2</v>
      </c>
      <c r="F604" s="190">
        <f>'BASIC DATA'!$D$359</f>
        <v>30</v>
      </c>
      <c r="G604" s="190">
        <f t="shared" si="3"/>
        <v>60</v>
      </c>
      <c r="I604" s="367"/>
    </row>
    <row r="605" spans="1:9">
      <c r="A605" s="847"/>
      <c r="B605" s="92"/>
      <c r="C605" s="353" t="s">
        <v>2376</v>
      </c>
      <c r="D605" s="159"/>
      <c r="E605" s="238"/>
      <c r="F605" s="236" t="s">
        <v>1698</v>
      </c>
      <c r="G605" s="318">
        <f>SUM(G597:G604)</f>
        <v>5692.0991666666669</v>
      </c>
    </row>
    <row r="606" spans="1:9">
      <c r="A606" s="847"/>
      <c r="B606" s="78"/>
      <c r="C606" s="48"/>
    </row>
    <row r="607" spans="1:9">
      <c r="A607" s="847"/>
      <c r="B607" s="79" t="s">
        <v>2377</v>
      </c>
      <c r="C607" s="48"/>
    </row>
    <row r="608" spans="1:9">
      <c r="A608" s="847"/>
      <c r="B608" s="95" t="s">
        <v>2369</v>
      </c>
      <c r="C608" s="350" t="s">
        <v>2378</v>
      </c>
      <c r="D608" s="95" t="s">
        <v>2370</v>
      </c>
      <c r="E608" s="95" t="s">
        <v>1166</v>
      </c>
      <c r="F608" s="95" t="s">
        <v>2371</v>
      </c>
      <c r="G608" s="95" t="s">
        <v>2372</v>
      </c>
    </row>
    <row r="609" spans="1:9">
      <c r="A609" s="847"/>
      <c r="B609" s="114"/>
      <c r="C609" s="351"/>
      <c r="D609" s="114"/>
      <c r="E609" s="114"/>
      <c r="F609" s="114" t="s">
        <v>3485</v>
      </c>
      <c r="G609" s="114" t="s">
        <v>3485</v>
      </c>
    </row>
    <row r="610" spans="1:9">
      <c r="A610" s="847"/>
      <c r="B610" s="105">
        <v>1</v>
      </c>
      <c r="C610" s="355" t="s">
        <v>298</v>
      </c>
      <c r="D610" s="95" t="s">
        <v>2374</v>
      </c>
      <c r="E610" s="220">
        <f>E571</f>
        <v>1.1000000000000001</v>
      </c>
      <c r="F610" s="190">
        <f>'HIRE CHARGES'!$D$543</f>
        <v>1706.6</v>
      </c>
      <c r="G610" s="190">
        <f t="shared" ref="G610:G619" si="4">E610*F610</f>
        <v>1877.26</v>
      </c>
      <c r="I610" s="75"/>
    </row>
    <row r="611" spans="1:9">
      <c r="A611" s="847"/>
      <c r="B611" s="152"/>
      <c r="C611" s="355" t="s">
        <v>1501</v>
      </c>
      <c r="D611" s="105" t="s">
        <v>2374</v>
      </c>
      <c r="E611" s="220">
        <f>E571</f>
        <v>1.1000000000000001</v>
      </c>
      <c r="F611" s="190">
        <f>'HIRE CHARGES'!$E$543</f>
        <v>872.7</v>
      </c>
      <c r="G611" s="190">
        <f t="shared" si="4"/>
        <v>959.97000000000014</v>
      </c>
      <c r="I611" s="75"/>
    </row>
    <row r="612" spans="1:9">
      <c r="A612" s="847"/>
      <c r="B612" s="105">
        <v>2</v>
      </c>
      <c r="C612" s="355" t="s">
        <v>1502</v>
      </c>
      <c r="D612" s="105" t="s">
        <v>2374</v>
      </c>
      <c r="E612" s="220">
        <f>E572</f>
        <v>0.25</v>
      </c>
      <c r="F612" s="214">
        <f>'HIRE CHARGES'!$D$499</f>
        <v>1715.5</v>
      </c>
      <c r="G612" s="190">
        <f t="shared" si="4"/>
        <v>428.875</v>
      </c>
      <c r="I612" s="75"/>
    </row>
    <row r="613" spans="1:9">
      <c r="A613" s="847"/>
      <c r="B613" s="152"/>
      <c r="C613" s="355" t="s">
        <v>2379</v>
      </c>
      <c r="D613" s="105" t="s">
        <v>2374</v>
      </c>
      <c r="E613" s="220">
        <f>E572</f>
        <v>0.25</v>
      </c>
      <c r="F613" s="214">
        <f>'HIRE CHARGES'!$E$499</f>
        <v>610.5</v>
      </c>
      <c r="G613" s="190">
        <f t="shared" si="4"/>
        <v>152.625</v>
      </c>
      <c r="I613" s="75"/>
    </row>
    <row r="614" spans="1:9">
      <c r="A614" s="847"/>
      <c r="B614" s="105">
        <v>3</v>
      </c>
      <c r="C614" s="355" t="s">
        <v>2061</v>
      </c>
      <c r="D614" s="105" t="s">
        <v>2374</v>
      </c>
      <c r="E614" s="220">
        <v>4.4000000000000004</v>
      </c>
      <c r="F614" s="190">
        <f>'HIRE CHARGES'!$D$545</f>
        <v>446.7</v>
      </c>
      <c r="G614" s="190">
        <f t="shared" si="4"/>
        <v>1965.48</v>
      </c>
      <c r="I614" s="75"/>
    </row>
    <row r="615" spans="1:9">
      <c r="A615" s="847"/>
      <c r="B615" s="105"/>
      <c r="C615" s="355" t="s">
        <v>2379</v>
      </c>
      <c r="D615" s="105" t="s">
        <v>2374</v>
      </c>
      <c r="E615" s="220">
        <v>4.4000000000000004</v>
      </c>
      <c r="F615" s="190">
        <f>'HIRE CHARGES'!$E$545</f>
        <v>299.89999999999998</v>
      </c>
      <c r="G615" s="190">
        <f t="shared" si="4"/>
        <v>1319.56</v>
      </c>
      <c r="I615" s="75"/>
    </row>
    <row r="616" spans="1:9" ht="36">
      <c r="A616" s="847"/>
      <c r="B616" s="105">
        <v>4</v>
      </c>
      <c r="C616" s="355" t="s">
        <v>2869</v>
      </c>
      <c r="D616" s="105" t="s">
        <v>2374</v>
      </c>
      <c r="E616" s="220">
        <v>6.5</v>
      </c>
      <c r="F616" s="214">
        <f>'HIRE CHARGES'!$D$496</f>
        <v>275.60000000000002</v>
      </c>
      <c r="G616" s="190">
        <f t="shared" si="4"/>
        <v>1791.4</v>
      </c>
      <c r="I616" s="75"/>
    </row>
    <row r="617" spans="1:9">
      <c r="A617" s="847"/>
      <c r="B617" s="105"/>
      <c r="C617" s="355" t="s">
        <v>2379</v>
      </c>
      <c r="D617" s="105" t="s">
        <v>2374</v>
      </c>
      <c r="E617" s="220">
        <v>6.5</v>
      </c>
      <c r="F617" s="214">
        <f>'HIRE CHARGES'!$E$496</f>
        <v>892.5</v>
      </c>
      <c r="G617" s="190">
        <f t="shared" si="4"/>
        <v>5801.25</v>
      </c>
      <c r="I617" s="75"/>
    </row>
    <row r="618" spans="1:9">
      <c r="A618" s="847"/>
      <c r="B618" s="105">
        <v>5</v>
      </c>
      <c r="C618" s="86" t="s">
        <v>2063</v>
      </c>
      <c r="D618" s="105" t="s">
        <v>2374</v>
      </c>
      <c r="E618" s="220">
        <v>13</v>
      </c>
      <c r="F618" s="214">
        <f>'HIRE CHARGES'!$D$530</f>
        <v>19.8</v>
      </c>
      <c r="G618" s="190">
        <f t="shared" si="4"/>
        <v>257.40000000000003</v>
      </c>
      <c r="I618" s="75"/>
    </row>
    <row r="619" spans="1:9">
      <c r="A619" s="847"/>
      <c r="B619" s="116"/>
      <c r="C619" s="86" t="s">
        <v>2379</v>
      </c>
      <c r="D619" s="114" t="s">
        <v>2374</v>
      </c>
      <c r="E619" s="220">
        <v>13</v>
      </c>
      <c r="F619" s="214">
        <f>'HIRE CHARGES'!$E$530</f>
        <v>0</v>
      </c>
      <c r="G619" s="190">
        <f t="shared" si="4"/>
        <v>0</v>
      </c>
      <c r="I619" s="75"/>
    </row>
    <row r="620" spans="1:9">
      <c r="A620" s="847"/>
      <c r="B620" s="176"/>
      <c r="C620" s="353" t="s">
        <v>2380</v>
      </c>
      <c r="D620" s="174"/>
      <c r="E620" s="238"/>
      <c r="F620" s="236" t="s">
        <v>1698</v>
      </c>
      <c r="G620" s="354">
        <f>SUM(G610:G619)</f>
        <v>14553.82</v>
      </c>
    </row>
    <row r="621" spans="1:9">
      <c r="A621" s="847"/>
      <c r="B621" s="78"/>
      <c r="C621" s="48"/>
    </row>
    <row r="622" spans="1:9">
      <c r="A622" s="847"/>
      <c r="B622" s="79" t="s">
        <v>2381</v>
      </c>
      <c r="C622" s="48"/>
    </row>
    <row r="623" spans="1:9">
      <c r="A623" s="847"/>
      <c r="B623" s="95" t="s">
        <v>2369</v>
      </c>
      <c r="C623" s="350" t="s">
        <v>2378</v>
      </c>
      <c r="D623" s="95" t="s">
        <v>2370</v>
      </c>
      <c r="E623" s="95" t="s">
        <v>1166</v>
      </c>
      <c r="F623" s="95" t="s">
        <v>2371</v>
      </c>
      <c r="G623" s="95" t="s">
        <v>2372</v>
      </c>
    </row>
    <row r="624" spans="1:9">
      <c r="A624" s="847"/>
      <c r="B624" s="114"/>
      <c r="C624" s="351"/>
      <c r="D624" s="105"/>
      <c r="E624" s="114"/>
      <c r="F624" s="114" t="s">
        <v>3485</v>
      </c>
      <c r="G624" s="114" t="s">
        <v>3485</v>
      </c>
      <c r="I624" s="31"/>
    </row>
    <row r="625" spans="1:9">
      <c r="A625" s="847"/>
      <c r="B625" s="105">
        <v>1</v>
      </c>
      <c r="C625" s="86" t="s">
        <v>300</v>
      </c>
      <c r="D625" s="95" t="s">
        <v>2374</v>
      </c>
      <c r="E625" s="207">
        <f>E571</f>
        <v>1.1000000000000001</v>
      </c>
      <c r="F625" s="190">
        <f>'HIRE CHARGES'!$F$543</f>
        <v>236.6</v>
      </c>
      <c r="G625" s="190">
        <f t="shared" ref="G625:G635" si="5">E625*F625</f>
        <v>260.26</v>
      </c>
      <c r="I625" s="75"/>
    </row>
    <row r="626" spans="1:9">
      <c r="A626" s="847"/>
      <c r="B626" s="105">
        <v>2</v>
      </c>
      <c r="C626" s="86" t="s">
        <v>2870</v>
      </c>
      <c r="D626" s="105" t="s">
        <v>2374</v>
      </c>
      <c r="E626" s="207">
        <v>0.25</v>
      </c>
      <c r="F626" s="190">
        <f>'HIRE CHARGES'!$F$499</f>
        <v>236.6</v>
      </c>
      <c r="G626" s="190">
        <f t="shared" si="5"/>
        <v>59.15</v>
      </c>
      <c r="I626" s="75"/>
    </row>
    <row r="627" spans="1:9">
      <c r="A627" s="847"/>
      <c r="B627" s="105">
        <v>3</v>
      </c>
      <c r="C627" s="86" t="s">
        <v>301</v>
      </c>
      <c r="D627" s="105" t="s">
        <v>2374</v>
      </c>
      <c r="E627" s="207">
        <v>4.4000000000000004</v>
      </c>
      <c r="F627" s="190">
        <f>'HIRE CHARGES'!$F$545</f>
        <v>177.5</v>
      </c>
      <c r="G627" s="190">
        <f t="shared" si="5"/>
        <v>781.00000000000011</v>
      </c>
      <c r="I627" s="75"/>
    </row>
    <row r="628" spans="1:9">
      <c r="A628" s="847"/>
      <c r="B628" s="105">
        <v>4</v>
      </c>
      <c r="C628" s="86" t="s">
        <v>4606</v>
      </c>
      <c r="D628" s="105" t="s">
        <v>2374</v>
      </c>
      <c r="E628" s="207">
        <v>6.5</v>
      </c>
      <c r="F628" s="190">
        <f>'HIRE CHARGES'!$F$496</f>
        <v>210.9</v>
      </c>
      <c r="G628" s="190">
        <f t="shared" si="5"/>
        <v>1370.8500000000001</v>
      </c>
      <c r="I628" s="75"/>
    </row>
    <row r="629" spans="1:9">
      <c r="A629" s="847"/>
      <c r="B629" s="105">
        <v>5</v>
      </c>
      <c r="C629" s="86" t="s">
        <v>4607</v>
      </c>
      <c r="D629" s="105" t="s">
        <v>2374</v>
      </c>
      <c r="E629" s="207">
        <v>13</v>
      </c>
      <c r="F629" s="190">
        <f>'HIRE CHARGES'!$F$530</f>
        <v>329.6</v>
      </c>
      <c r="G629" s="190">
        <f t="shared" si="5"/>
        <v>4284.8</v>
      </c>
      <c r="I629" s="75"/>
    </row>
    <row r="630" spans="1:9">
      <c r="A630" s="847"/>
      <c r="B630" s="105">
        <v>6</v>
      </c>
      <c r="C630" s="86" t="s">
        <v>4206</v>
      </c>
      <c r="D630" s="105" t="s">
        <v>1172</v>
      </c>
      <c r="E630" s="207">
        <v>0.5</v>
      </c>
      <c r="F630" s="190">
        <f>'BASIC DATA'!$C$473</f>
        <v>450</v>
      </c>
      <c r="G630" s="190">
        <f t="shared" si="5"/>
        <v>225</v>
      </c>
      <c r="I630" s="75"/>
    </row>
    <row r="631" spans="1:9">
      <c r="A631" s="847"/>
      <c r="B631" s="105">
        <v>7</v>
      </c>
      <c r="C631" s="86" t="s">
        <v>4608</v>
      </c>
      <c r="D631" s="105" t="s">
        <v>1172</v>
      </c>
      <c r="E631" s="207">
        <v>1</v>
      </c>
      <c r="F631" s="190">
        <f>'BASIC DATA'!$C$466</f>
        <v>510</v>
      </c>
      <c r="G631" s="190">
        <f t="shared" si="5"/>
        <v>510</v>
      </c>
      <c r="I631" s="75"/>
    </row>
    <row r="632" spans="1:9">
      <c r="A632" s="847"/>
      <c r="B632" s="105">
        <v>8</v>
      </c>
      <c r="C632" s="86" t="s">
        <v>4609</v>
      </c>
      <c r="D632" s="105" t="s">
        <v>1172</v>
      </c>
      <c r="E632" s="207">
        <v>1</v>
      </c>
      <c r="F632" s="190">
        <f>'BASIC DATA'!$C$520</f>
        <v>400</v>
      </c>
      <c r="G632" s="190">
        <f t="shared" si="5"/>
        <v>400</v>
      </c>
      <c r="I632" s="75"/>
    </row>
    <row r="633" spans="1:9">
      <c r="A633" s="847"/>
      <c r="B633" s="105">
        <v>9</v>
      </c>
      <c r="C633" s="86" t="s">
        <v>5603</v>
      </c>
      <c r="D633" s="105" t="s">
        <v>1172</v>
      </c>
      <c r="E633" s="207">
        <v>0.5</v>
      </c>
      <c r="F633" s="190">
        <f>'BASIC DATA'!$C$514</f>
        <v>400</v>
      </c>
      <c r="G633" s="190">
        <f t="shared" si="5"/>
        <v>200</v>
      </c>
      <c r="I633" s="75"/>
    </row>
    <row r="634" spans="1:9">
      <c r="A634" s="847"/>
      <c r="B634" s="105">
        <v>10</v>
      </c>
      <c r="C634" s="86" t="s">
        <v>1190</v>
      </c>
      <c r="D634" s="105" t="s">
        <v>1172</v>
      </c>
      <c r="E634" s="207">
        <v>0.5</v>
      </c>
      <c r="F634" s="190">
        <f>'BASIC DATA'!$C$546</f>
        <v>400</v>
      </c>
      <c r="G634" s="190">
        <f t="shared" si="5"/>
        <v>200</v>
      </c>
      <c r="I634" s="75"/>
    </row>
    <row r="635" spans="1:9">
      <c r="A635" s="847"/>
      <c r="B635" s="105">
        <v>11</v>
      </c>
      <c r="C635" s="86" t="s">
        <v>2696</v>
      </c>
      <c r="D635" s="105" t="s">
        <v>1172</v>
      </c>
      <c r="E635" s="207">
        <v>2</v>
      </c>
      <c r="F635" s="190">
        <f>'BASIC DATA'!$C$552</f>
        <v>350</v>
      </c>
      <c r="G635" s="190">
        <f t="shared" si="5"/>
        <v>700</v>
      </c>
      <c r="I635" s="75"/>
    </row>
    <row r="636" spans="1:9">
      <c r="A636" s="847"/>
      <c r="B636" s="92"/>
      <c r="C636" s="353" t="s">
        <v>1174</v>
      </c>
      <c r="D636" s="159"/>
      <c r="E636" s="238"/>
      <c r="F636" s="236" t="s">
        <v>1698</v>
      </c>
      <c r="G636" s="318">
        <f>SUM(G625:G635)</f>
        <v>8991.0600000000013</v>
      </c>
    </row>
    <row r="637" spans="1:9">
      <c r="A637" s="847"/>
      <c r="B637" s="359" t="s">
        <v>5948</v>
      </c>
      <c r="C637" s="48"/>
      <c r="D637" s="31"/>
      <c r="E637" s="85">
        <f>ROUND(G636/F593,1)</f>
        <v>132.19999999999999</v>
      </c>
    </row>
    <row r="638" spans="1:9">
      <c r="A638" s="847"/>
      <c r="B638" s="359" t="s">
        <v>3163</v>
      </c>
      <c r="C638" s="48"/>
      <c r="D638" s="922">
        <f>'BASIC DATA'!$C$577</f>
        <v>0.13614999999999999</v>
      </c>
      <c r="E638" s="85">
        <f>ROUND(E637*D638,1)</f>
        <v>18</v>
      </c>
    </row>
    <row r="639" spans="1:9">
      <c r="A639" s="847"/>
      <c r="B639" s="359" t="s">
        <v>5949</v>
      </c>
      <c r="C639" s="48"/>
      <c r="D639" s="31"/>
      <c r="E639" s="199">
        <f>ROUND(E638+E637,1)</f>
        <v>150.19999999999999</v>
      </c>
    </row>
    <row r="640" spans="1:9">
      <c r="A640" s="847"/>
      <c r="C640" s="48"/>
    </row>
    <row r="641" spans="1:8">
      <c r="A641" s="847"/>
      <c r="B641" s="162" t="s">
        <v>1175</v>
      </c>
      <c r="C641" s="48"/>
    </row>
    <row r="642" spans="1:8">
      <c r="A642" s="847"/>
      <c r="B642" s="47" t="s">
        <v>1176</v>
      </c>
      <c r="C642" s="48"/>
      <c r="F642" s="171" t="s">
        <v>1698</v>
      </c>
      <c r="G642" s="68">
        <f>G605</f>
        <v>5692.0991666666669</v>
      </c>
    </row>
    <row r="643" spans="1:8">
      <c r="A643" s="847"/>
      <c r="B643" s="47" t="s">
        <v>1186</v>
      </c>
      <c r="C643" s="48"/>
      <c r="F643" s="171" t="s">
        <v>1698</v>
      </c>
      <c r="G643" s="68">
        <f>G620</f>
        <v>14553.82</v>
      </c>
    </row>
    <row r="644" spans="1:8">
      <c r="A644" s="847"/>
      <c r="B644" s="47" t="s">
        <v>2660</v>
      </c>
      <c r="C644" s="48"/>
      <c r="F644" s="171" t="s">
        <v>1698</v>
      </c>
      <c r="G644" s="75">
        <f>G636</f>
        <v>8991.0600000000013</v>
      </c>
    </row>
    <row r="645" spans="1:8">
      <c r="A645" s="847"/>
      <c r="B645" s="78"/>
      <c r="C645" s="48"/>
      <c r="E645" s="250"/>
      <c r="F645" s="171" t="s">
        <v>302</v>
      </c>
      <c r="G645" s="205">
        <f>SUM(G642:G644)</f>
        <v>29236.979166666668</v>
      </c>
    </row>
    <row r="646" spans="1:8" ht="36" customHeight="1">
      <c r="A646" s="847"/>
      <c r="B646" s="1207" t="s">
        <v>1379</v>
      </c>
      <c r="C646" s="1207"/>
      <c r="D646" s="1207"/>
      <c r="E646" s="922">
        <f>'BASIC DATA'!$C$577</f>
        <v>0.13614999999999999</v>
      </c>
      <c r="F646" s="171" t="s">
        <v>1698</v>
      </c>
      <c r="G646" s="31">
        <f>ROUND(G645*E646,2)</f>
        <v>3980.61</v>
      </c>
    </row>
    <row r="647" spans="1:8">
      <c r="A647" s="847"/>
      <c r="B647" s="47" t="s">
        <v>1191</v>
      </c>
      <c r="C647" s="48"/>
      <c r="D647" s="68">
        <f>F593</f>
        <v>68</v>
      </c>
      <c r="E647" s="68" t="str">
        <f>G593</f>
        <v>cum</v>
      </c>
      <c r="F647" s="171" t="s">
        <v>1698</v>
      </c>
      <c r="G647" s="211">
        <f>G646+G645</f>
        <v>33217.589166666665</v>
      </c>
    </row>
    <row r="648" spans="1:8">
      <c r="A648" s="847"/>
      <c r="B648" s="79" t="s">
        <v>1584</v>
      </c>
      <c r="C648" s="356" t="str">
        <f>E647</f>
        <v>cum</v>
      </c>
      <c r="D648" s="26" t="s">
        <v>1320</v>
      </c>
      <c r="F648" s="171" t="s">
        <v>4108</v>
      </c>
      <c r="G648" s="211">
        <f>ROUND(G647/D647,1)</f>
        <v>488.5</v>
      </c>
      <c r="H648" s="171"/>
    </row>
    <row r="649" spans="1:8"/>
    <row r="650" spans="1:8"/>
    <row r="651" spans="1:8" ht="18.75">
      <c r="A651" s="841" t="s">
        <v>7426</v>
      </c>
      <c r="B651" s="47" t="s">
        <v>8644</v>
      </c>
      <c r="C651" s="48"/>
    </row>
    <row r="652" spans="1:8">
      <c r="A652" s="889" t="s">
        <v>2047</v>
      </c>
      <c r="B652" s="47" t="s">
        <v>8645</v>
      </c>
      <c r="C652" s="48"/>
    </row>
    <row r="653" spans="1:8" ht="18.75">
      <c r="A653" s="889"/>
      <c r="B653" s="47" t="s">
        <v>8646</v>
      </c>
      <c r="C653" s="48"/>
    </row>
    <row r="654" spans="1:8">
      <c r="A654" s="889"/>
      <c r="B654" s="47" t="s">
        <v>2871</v>
      </c>
      <c r="C654" s="48"/>
    </row>
    <row r="655" spans="1:8">
      <c r="A655" s="889"/>
      <c r="B655" s="47" t="s">
        <v>2872</v>
      </c>
      <c r="C655" s="48"/>
    </row>
    <row r="656" spans="1:8" ht="18.75">
      <c r="A656" s="889"/>
      <c r="B656" s="47" t="s">
        <v>8647</v>
      </c>
      <c r="C656" s="48"/>
    </row>
    <row r="657" spans="1:6">
      <c r="A657" s="889"/>
      <c r="B657" s="162" t="s">
        <v>2873</v>
      </c>
      <c r="C657" s="48"/>
    </row>
    <row r="658" spans="1:6">
      <c r="A658" s="889"/>
      <c r="C658" s="48"/>
    </row>
    <row r="659" spans="1:6">
      <c r="A659" s="889" t="s">
        <v>1940</v>
      </c>
      <c r="B659" s="47" t="s">
        <v>4378</v>
      </c>
      <c r="C659" s="48"/>
    </row>
    <row r="660" spans="1:6">
      <c r="A660" s="889"/>
      <c r="B660" s="47" t="s">
        <v>4379</v>
      </c>
      <c r="C660" s="48"/>
    </row>
    <row r="661" spans="1:6">
      <c r="A661" s="889"/>
      <c r="B661" s="47" t="s">
        <v>1812</v>
      </c>
      <c r="C661" s="48"/>
    </row>
    <row r="662" spans="1:6">
      <c r="A662" s="889"/>
      <c r="B662" s="47" t="s">
        <v>1813</v>
      </c>
      <c r="C662" s="48"/>
      <c r="F662" s="78"/>
    </row>
    <row r="663" spans="1:6">
      <c r="A663" s="889"/>
      <c r="C663" s="48"/>
    </row>
    <row r="664" spans="1:6" hidden="1">
      <c r="A664" s="889" t="s">
        <v>3984</v>
      </c>
      <c r="B664" s="47" t="s">
        <v>1775</v>
      </c>
      <c r="C664" s="48"/>
    </row>
    <row r="665" spans="1:6" hidden="1">
      <c r="A665" s="889"/>
      <c r="B665" s="587" t="s">
        <v>5810</v>
      </c>
      <c r="C665" s="48"/>
    </row>
    <row r="666" spans="1:6" hidden="1">
      <c r="A666" s="889"/>
      <c r="B666" s="587" t="s">
        <v>5811</v>
      </c>
      <c r="C666" s="48"/>
    </row>
    <row r="667" spans="1:6" hidden="1">
      <c r="A667" s="889"/>
      <c r="B667" s="587" t="s">
        <v>1780</v>
      </c>
      <c r="C667" s="48"/>
    </row>
    <row r="668" spans="1:6" hidden="1">
      <c r="A668" s="889"/>
      <c r="B668" s="47" t="s">
        <v>1781</v>
      </c>
      <c r="C668" s="48"/>
    </row>
    <row r="669" spans="1:6" hidden="1">
      <c r="A669" s="889"/>
      <c r="B669" s="587" t="s">
        <v>1819</v>
      </c>
      <c r="C669" s="48"/>
    </row>
    <row r="670" spans="1:6" hidden="1">
      <c r="A670" s="889"/>
      <c r="B670" s="47" t="s">
        <v>727</v>
      </c>
      <c r="C670" s="48"/>
    </row>
    <row r="671" spans="1:6" hidden="1">
      <c r="A671" s="889"/>
      <c r="B671" s="47" t="s">
        <v>573</v>
      </c>
      <c r="C671" s="48"/>
    </row>
    <row r="672" spans="1:6" hidden="1">
      <c r="A672" s="889"/>
      <c r="B672" s="47" t="s">
        <v>2853</v>
      </c>
      <c r="C672" s="48"/>
    </row>
    <row r="673" spans="1:3" hidden="1">
      <c r="A673" s="889"/>
      <c r="B673" s="47" t="s">
        <v>1435</v>
      </c>
      <c r="C673" s="48"/>
    </row>
    <row r="674" spans="1:3" hidden="1">
      <c r="A674" s="889"/>
      <c r="B674" s="47" t="s">
        <v>1436</v>
      </c>
      <c r="C674" s="48"/>
    </row>
    <row r="675" spans="1:3" hidden="1">
      <c r="A675" s="889"/>
      <c r="B675" s="47" t="s">
        <v>1437</v>
      </c>
      <c r="C675" s="48"/>
    </row>
    <row r="676" spans="1:3"/>
    <row r="677" spans="1:3"/>
    <row r="678" spans="1:3"/>
    <row r="679" spans="1:3"/>
    <row r="680" spans="1:3"/>
    <row r="681" spans="1:3"/>
    <row r="682" spans="1:3"/>
    <row r="683" spans="1:3"/>
    <row r="684" spans="1:3"/>
    <row r="685" spans="1:3"/>
    <row r="686" spans="1:3"/>
    <row r="687" spans="1:3"/>
    <row r="688" spans="1:3"/>
    <row r="689"/>
    <row r="690"/>
    <row r="691"/>
    <row r="692"/>
    <row r="693"/>
    <row r="694"/>
    <row r="695"/>
    <row r="696"/>
    <row r="697"/>
    <row r="698"/>
    <row r="699"/>
    <row r="700"/>
    <row r="701"/>
    <row r="702"/>
    <row r="703"/>
    <row r="704"/>
    <row r="705" spans="1:9"/>
    <row r="706" spans="1:9"/>
    <row r="707" spans="1:9"/>
    <row r="708" spans="1:9" hidden="1"/>
    <row r="709" spans="1:9" hidden="1"/>
    <row r="710" spans="1:9" hidden="1"/>
    <row r="711" spans="1:9" hidden="1"/>
    <row r="712" spans="1:9" hidden="1"/>
    <row r="713" spans="1:9" hidden="1"/>
    <row r="714" spans="1:9" hidden="1"/>
    <row r="715" spans="1:9" hidden="1"/>
    <row r="716" spans="1:9" hidden="1"/>
    <row r="717" spans="1:9" hidden="1">
      <c r="A717" s="889"/>
      <c r="B717" s="47" t="s">
        <v>3398</v>
      </c>
      <c r="C717" s="48"/>
      <c r="F717" s="78" t="s">
        <v>1697</v>
      </c>
      <c r="G717" s="26">
        <v>9.7200000000000006</v>
      </c>
      <c r="H717" s="26" t="s">
        <v>3883</v>
      </c>
      <c r="I717" s="33"/>
    </row>
    <row r="718" spans="1:9" hidden="1">
      <c r="A718" s="889"/>
      <c r="B718" s="47" t="s">
        <v>1657</v>
      </c>
      <c r="C718" s="48"/>
      <c r="F718" s="78" t="s">
        <v>1697</v>
      </c>
      <c r="G718" s="26">
        <v>7</v>
      </c>
      <c r="H718" s="26" t="s">
        <v>3035</v>
      </c>
      <c r="I718" s="33"/>
    </row>
    <row r="719" spans="1:9" hidden="1">
      <c r="A719" s="889"/>
      <c r="B719" s="47" t="s">
        <v>6270</v>
      </c>
      <c r="C719" s="48"/>
      <c r="F719" s="78" t="s">
        <v>1697</v>
      </c>
      <c r="G719" s="68">
        <v>7</v>
      </c>
      <c r="H719" s="26" t="s">
        <v>3561</v>
      </c>
      <c r="I719" s="33"/>
    </row>
    <row r="720" spans="1:9" hidden="1">
      <c r="A720" s="889"/>
      <c r="B720" s="47" t="s">
        <v>6271</v>
      </c>
      <c r="C720" s="48"/>
      <c r="F720" s="78" t="s">
        <v>1123</v>
      </c>
      <c r="G720" s="68">
        <v>68</v>
      </c>
      <c r="H720" s="26" t="s">
        <v>6901</v>
      </c>
      <c r="I720" s="33"/>
    </row>
    <row r="721" spans="1:9" hidden="1">
      <c r="A721" s="889"/>
      <c r="B721" s="47" t="s">
        <v>2204</v>
      </c>
      <c r="C721" s="48"/>
      <c r="I721" s="33"/>
    </row>
    <row r="722" spans="1:9" hidden="1">
      <c r="A722" s="889"/>
      <c r="B722" s="47" t="s">
        <v>2204</v>
      </c>
      <c r="C722" s="48"/>
      <c r="I722" s="33"/>
    </row>
    <row r="723" spans="1:9" hidden="1">
      <c r="A723" s="889"/>
      <c r="B723" s="47" t="s">
        <v>2205</v>
      </c>
      <c r="C723" s="48"/>
      <c r="I723" s="33"/>
    </row>
    <row r="724" spans="1:9" hidden="1">
      <c r="A724" s="889"/>
      <c r="B724" s="47" t="s">
        <v>2206</v>
      </c>
      <c r="C724" s="48"/>
      <c r="I724" s="33"/>
    </row>
    <row r="725" spans="1:9" hidden="1">
      <c r="A725" s="889"/>
      <c r="B725" s="47" t="s">
        <v>2207</v>
      </c>
      <c r="C725" s="48"/>
      <c r="I725" s="33"/>
    </row>
    <row r="726" spans="1:9" hidden="1">
      <c r="A726" s="889"/>
      <c r="B726" s="47" t="s">
        <v>2208</v>
      </c>
      <c r="C726" s="48"/>
      <c r="F726" s="78" t="s">
        <v>1697</v>
      </c>
      <c r="G726" s="68">
        <v>1</v>
      </c>
      <c r="H726" s="26" t="s">
        <v>3561</v>
      </c>
      <c r="I726" s="33"/>
    </row>
    <row r="727" spans="1:9" hidden="1">
      <c r="A727" s="889"/>
      <c r="B727" s="47" t="s">
        <v>2209</v>
      </c>
      <c r="C727" s="48"/>
      <c r="F727" s="78" t="s">
        <v>1697</v>
      </c>
      <c r="G727" s="68">
        <v>1.2</v>
      </c>
      <c r="H727" s="26" t="s">
        <v>3561</v>
      </c>
      <c r="I727" s="33"/>
    </row>
    <row r="728" spans="1:9" hidden="1">
      <c r="A728" s="889"/>
      <c r="B728" s="47" t="s">
        <v>1755</v>
      </c>
      <c r="C728" s="48"/>
      <c r="F728" s="78" t="s">
        <v>1697</v>
      </c>
      <c r="G728" s="26" t="s">
        <v>3036</v>
      </c>
      <c r="H728" s="26" t="s">
        <v>3561</v>
      </c>
      <c r="I728" s="33"/>
    </row>
    <row r="729" spans="1:9" hidden="1">
      <c r="A729" s="889"/>
      <c r="B729" s="47" t="s">
        <v>3741</v>
      </c>
      <c r="C729" s="48"/>
      <c r="F729" s="78" t="s">
        <v>1697</v>
      </c>
      <c r="G729" s="68">
        <v>1.4</v>
      </c>
      <c r="H729" s="26" t="s">
        <v>3561</v>
      </c>
      <c r="I729" s="33"/>
    </row>
    <row r="730" spans="1:9" hidden="1">
      <c r="A730" s="889"/>
      <c r="B730" s="47" t="s">
        <v>3742</v>
      </c>
      <c r="C730" s="48"/>
      <c r="F730" s="78" t="s">
        <v>1697</v>
      </c>
      <c r="G730" s="68">
        <v>1.25</v>
      </c>
      <c r="H730" s="26" t="s">
        <v>3561</v>
      </c>
      <c r="I730" s="33"/>
    </row>
    <row r="731" spans="1:9" hidden="1">
      <c r="A731" s="889"/>
      <c r="B731" s="47" t="s">
        <v>2998</v>
      </c>
      <c r="C731" s="48"/>
      <c r="F731" s="78" t="s">
        <v>1697</v>
      </c>
      <c r="G731" s="68">
        <v>8</v>
      </c>
      <c r="H731" s="26" t="s">
        <v>3561</v>
      </c>
      <c r="I731" s="33"/>
    </row>
    <row r="732" spans="1:9" hidden="1">
      <c r="A732" s="889"/>
      <c r="B732" s="47" t="s">
        <v>1019</v>
      </c>
      <c r="C732" s="48"/>
      <c r="F732" s="78" t="s">
        <v>1697</v>
      </c>
      <c r="G732" s="68">
        <v>59</v>
      </c>
      <c r="H732" s="26" t="s">
        <v>3436</v>
      </c>
      <c r="I732" s="33"/>
    </row>
    <row r="733" spans="1:9" hidden="1">
      <c r="A733" s="889"/>
      <c r="B733" s="47" t="s">
        <v>1020</v>
      </c>
      <c r="C733" s="48"/>
      <c r="F733" s="78" t="s">
        <v>1697</v>
      </c>
      <c r="G733" s="68">
        <v>82.6</v>
      </c>
      <c r="H733" s="26" t="s">
        <v>3561</v>
      </c>
      <c r="I733" s="33"/>
    </row>
    <row r="734" spans="1:9" hidden="1">
      <c r="A734" s="889"/>
      <c r="B734" s="47" t="s">
        <v>1021</v>
      </c>
      <c r="C734" s="48"/>
      <c r="F734" s="78" t="s">
        <v>1697</v>
      </c>
      <c r="G734" s="173">
        <v>2.4</v>
      </c>
      <c r="H734" s="26" t="s">
        <v>3561</v>
      </c>
      <c r="I734" s="33"/>
    </row>
    <row r="735" spans="1:9" hidden="1">
      <c r="A735" s="889"/>
      <c r="C735" s="48"/>
      <c r="F735" s="78" t="s">
        <v>1697</v>
      </c>
      <c r="G735" s="68">
        <v>85</v>
      </c>
      <c r="H735" s="26" t="s">
        <v>3561</v>
      </c>
      <c r="I735" s="33"/>
    </row>
    <row r="736" spans="1:9" hidden="1">
      <c r="A736" s="889"/>
      <c r="B736" s="47" t="s">
        <v>2537</v>
      </c>
      <c r="C736" s="48"/>
      <c r="F736" s="78" t="s">
        <v>1697</v>
      </c>
      <c r="G736" s="26">
        <v>5.31</v>
      </c>
      <c r="H736" s="26" t="s">
        <v>3428</v>
      </c>
      <c r="I736" s="33"/>
    </row>
    <row r="737" spans="1:9" hidden="1">
      <c r="A737" s="889"/>
      <c r="B737" s="47" t="s">
        <v>1860</v>
      </c>
      <c r="C737" s="48"/>
      <c r="F737" s="78"/>
      <c r="I737" s="33"/>
    </row>
    <row r="738" spans="1:9" hidden="1">
      <c r="A738" s="889"/>
      <c r="B738" s="47" t="s">
        <v>6689</v>
      </c>
      <c r="C738" s="48"/>
      <c r="F738" s="78" t="s">
        <v>1123</v>
      </c>
      <c r="G738" s="68">
        <v>6.5</v>
      </c>
      <c r="H738" s="26" t="s">
        <v>3428</v>
      </c>
      <c r="I738" s="33"/>
    </row>
    <row r="739" spans="1:9" hidden="1">
      <c r="A739" s="889"/>
      <c r="B739" s="47" t="s">
        <v>1862</v>
      </c>
      <c r="C739" s="48"/>
      <c r="F739" s="78" t="s">
        <v>1697</v>
      </c>
      <c r="G739" s="68">
        <v>20.399999999999999</v>
      </c>
      <c r="H739" s="26" t="s">
        <v>3033</v>
      </c>
      <c r="I739" s="33"/>
    </row>
    <row r="740" spans="1:9" hidden="1">
      <c r="A740" s="889"/>
      <c r="B740" s="47" t="s">
        <v>1863</v>
      </c>
      <c r="C740" s="48"/>
      <c r="F740" s="78" t="s">
        <v>1697</v>
      </c>
      <c r="G740" s="68">
        <v>0.8</v>
      </c>
      <c r="H740" s="26" t="s">
        <v>3033</v>
      </c>
      <c r="I740" s="33"/>
    </row>
    <row r="741" spans="1:9" hidden="1">
      <c r="A741" s="889"/>
      <c r="C741" s="48"/>
      <c r="F741" s="78" t="s">
        <v>1697</v>
      </c>
      <c r="G741" s="68">
        <v>21.2</v>
      </c>
      <c r="H741" s="26" t="s">
        <v>3033</v>
      </c>
      <c r="I741" s="33"/>
    </row>
    <row r="742" spans="1:9" hidden="1">
      <c r="A742" s="889"/>
      <c r="B742" s="47" t="s">
        <v>3880</v>
      </c>
      <c r="C742" s="48"/>
      <c r="F742" s="78" t="s">
        <v>1697</v>
      </c>
      <c r="G742" s="26">
        <v>4</v>
      </c>
      <c r="H742" s="26" t="s">
        <v>3032</v>
      </c>
      <c r="I742" s="33"/>
    </row>
    <row r="743" spans="1:9" hidden="1">
      <c r="A743" s="889"/>
      <c r="B743" s="47" t="s">
        <v>6690</v>
      </c>
      <c r="C743" s="48"/>
      <c r="F743" s="78" t="s">
        <v>1697</v>
      </c>
      <c r="G743" s="26">
        <v>59</v>
      </c>
      <c r="H743" s="26" t="s">
        <v>3436</v>
      </c>
      <c r="I743" s="33"/>
    </row>
    <row r="744" spans="1:9" hidden="1">
      <c r="A744" s="889"/>
      <c r="B744" s="47" t="s">
        <v>5703</v>
      </c>
      <c r="C744" s="48"/>
      <c r="F744" s="78" t="s">
        <v>1697</v>
      </c>
      <c r="G744" s="26">
        <v>90</v>
      </c>
      <c r="H744" s="26" t="s">
        <v>3038</v>
      </c>
      <c r="I744" s="33"/>
    </row>
    <row r="745" spans="1:9" hidden="1">
      <c r="A745" s="889"/>
      <c r="B745" s="47" t="s">
        <v>1794</v>
      </c>
      <c r="C745" s="48"/>
      <c r="I745" s="33"/>
    </row>
    <row r="746" spans="1:9" hidden="1">
      <c r="A746" s="889"/>
      <c r="B746" s="47" t="s">
        <v>1795</v>
      </c>
      <c r="C746" s="48"/>
      <c r="D746" s="78" t="s">
        <v>1697</v>
      </c>
      <c r="F746" s="26" t="s">
        <v>1796</v>
      </c>
      <c r="I746" s="33"/>
    </row>
    <row r="747" spans="1:9" hidden="1">
      <c r="A747" s="889"/>
      <c r="B747" s="47" t="s">
        <v>1797</v>
      </c>
      <c r="C747" s="48"/>
      <c r="D747" s="78" t="s">
        <v>1697</v>
      </c>
      <c r="F747" s="26" t="s">
        <v>1798</v>
      </c>
      <c r="I747" s="33"/>
    </row>
    <row r="748" spans="1:9" hidden="1">
      <c r="A748" s="889"/>
      <c r="B748" s="47" t="s">
        <v>1799</v>
      </c>
      <c r="C748" s="48"/>
      <c r="D748" s="78" t="s">
        <v>1697</v>
      </c>
      <c r="F748" s="26" t="s">
        <v>2544</v>
      </c>
    </row>
    <row r="749" spans="1:9" hidden="1">
      <c r="A749" s="889"/>
      <c r="B749" s="47" t="s">
        <v>2545</v>
      </c>
      <c r="C749" s="48"/>
      <c r="D749" s="78" t="s">
        <v>1697</v>
      </c>
      <c r="F749" s="26" t="s">
        <v>2546</v>
      </c>
    </row>
    <row r="750" spans="1:9" hidden="1">
      <c r="A750" s="889"/>
      <c r="B750" s="47" t="s">
        <v>1801</v>
      </c>
      <c r="C750" s="48"/>
      <c r="D750" s="78" t="s">
        <v>1697</v>
      </c>
      <c r="F750" s="26" t="s">
        <v>2547</v>
      </c>
    </row>
    <row r="751" spans="1:9" hidden="1">
      <c r="A751" s="889"/>
      <c r="B751" s="47" t="s">
        <v>2548</v>
      </c>
      <c r="C751" s="48"/>
    </row>
    <row r="752" spans="1:9" hidden="1">
      <c r="A752" s="889"/>
      <c r="B752" s="47" t="s">
        <v>2824</v>
      </c>
      <c r="C752" s="48"/>
    </row>
    <row r="753" spans="1:8" hidden="1">
      <c r="A753" s="889"/>
      <c r="B753" s="47" t="s">
        <v>2825</v>
      </c>
      <c r="C753" s="48"/>
    </row>
    <row r="754" spans="1:8" hidden="1">
      <c r="A754" s="889"/>
      <c r="B754" s="47" t="s">
        <v>1087</v>
      </c>
      <c r="C754" s="48"/>
    </row>
    <row r="755" spans="1:8" hidden="1">
      <c r="A755" s="889"/>
      <c r="B755" s="47" t="s">
        <v>1400</v>
      </c>
      <c r="C755" s="48"/>
    </row>
    <row r="756" spans="1:8" hidden="1">
      <c r="A756" s="889"/>
      <c r="B756" s="47" t="s">
        <v>3189</v>
      </c>
      <c r="C756" s="48"/>
      <c r="F756" s="78" t="s">
        <v>1123</v>
      </c>
      <c r="G756" s="68">
        <v>69.3</v>
      </c>
      <c r="H756" s="26" t="s">
        <v>3883</v>
      </c>
    </row>
    <row r="757" spans="1:8" hidden="1">
      <c r="A757" s="889"/>
      <c r="B757" s="47" t="s">
        <v>313</v>
      </c>
      <c r="C757" s="48"/>
      <c r="F757" s="78" t="s">
        <v>1123</v>
      </c>
      <c r="G757" s="173">
        <v>24.6</v>
      </c>
      <c r="H757" s="26" t="s">
        <v>3883</v>
      </c>
    </row>
    <row r="758" spans="1:8" hidden="1">
      <c r="A758" s="889"/>
      <c r="C758" s="48"/>
      <c r="D758" s="26" t="s">
        <v>1518</v>
      </c>
      <c r="F758" s="78" t="s">
        <v>1697</v>
      </c>
      <c r="G758" s="68">
        <v>94</v>
      </c>
      <c r="H758" s="26" t="s">
        <v>3883</v>
      </c>
    </row>
    <row r="759" spans="1:8" hidden="1">
      <c r="A759" s="889"/>
      <c r="B759" s="47" t="s">
        <v>361</v>
      </c>
      <c r="C759" s="48"/>
      <c r="F759" s="78" t="s">
        <v>1697</v>
      </c>
      <c r="G759" s="26">
        <v>72</v>
      </c>
      <c r="H759" s="26" t="s">
        <v>2059</v>
      </c>
    </row>
    <row r="760" spans="1:8" hidden="1">
      <c r="A760" s="889"/>
      <c r="B760" s="47" t="s">
        <v>362</v>
      </c>
      <c r="C760" s="48"/>
      <c r="F760" s="78" t="s">
        <v>1697</v>
      </c>
      <c r="G760" s="26">
        <v>26</v>
      </c>
      <c r="H760" s="26" t="s">
        <v>2059</v>
      </c>
    </row>
    <row r="761" spans="1:8" hidden="1">
      <c r="A761" s="889"/>
      <c r="C761" s="48"/>
      <c r="D761" s="26" t="s">
        <v>1518</v>
      </c>
      <c r="F761" s="78" t="s">
        <v>1697</v>
      </c>
      <c r="G761" s="26">
        <v>98</v>
      </c>
      <c r="H761" s="26" t="s">
        <v>2059</v>
      </c>
    </row>
    <row r="762" spans="1:8" hidden="1">
      <c r="A762" s="889"/>
      <c r="B762" s="47" t="s">
        <v>1803</v>
      </c>
      <c r="C762" s="48"/>
    </row>
    <row r="763" spans="1:8" hidden="1">
      <c r="A763" s="889"/>
      <c r="B763" s="47" t="s">
        <v>1804</v>
      </c>
      <c r="C763" s="48"/>
      <c r="F763" s="78" t="s">
        <v>1697</v>
      </c>
      <c r="G763" s="68">
        <v>68</v>
      </c>
      <c r="H763" s="26" t="s">
        <v>6901</v>
      </c>
    </row>
    <row r="764" spans="1:8" hidden="1">
      <c r="A764" s="889"/>
      <c r="B764" s="47" t="s">
        <v>602</v>
      </c>
      <c r="C764" s="48"/>
      <c r="F764" s="78" t="s">
        <v>1697</v>
      </c>
      <c r="G764" s="68">
        <v>0.9</v>
      </c>
      <c r="H764" s="26" t="s">
        <v>6901</v>
      </c>
    </row>
    <row r="765" spans="1:8" hidden="1">
      <c r="A765" s="889"/>
      <c r="B765" s="47" t="s">
        <v>603</v>
      </c>
      <c r="C765" s="48"/>
      <c r="F765" s="78" t="s">
        <v>1697</v>
      </c>
      <c r="G765" s="68">
        <v>1</v>
      </c>
      <c r="H765" s="26" t="s">
        <v>6901</v>
      </c>
    </row>
    <row r="766" spans="1:8" hidden="1">
      <c r="A766" s="889"/>
      <c r="B766" s="47" t="s">
        <v>604</v>
      </c>
      <c r="C766" s="48"/>
      <c r="F766" s="78" t="s">
        <v>1697</v>
      </c>
      <c r="G766" s="68">
        <v>5</v>
      </c>
      <c r="H766" s="26" t="s">
        <v>6901</v>
      </c>
    </row>
    <row r="767" spans="1:8" hidden="1">
      <c r="A767" s="889"/>
      <c r="B767" s="47" t="s">
        <v>618</v>
      </c>
      <c r="C767" s="48"/>
      <c r="F767" s="78" t="s">
        <v>3432</v>
      </c>
      <c r="G767" s="26">
        <v>1</v>
      </c>
      <c r="H767" s="26" t="s">
        <v>3431</v>
      </c>
    </row>
    <row r="768" spans="1:8" hidden="1">
      <c r="A768" s="889"/>
      <c r="B768" s="47" t="s">
        <v>1353</v>
      </c>
      <c r="C768" s="48"/>
      <c r="F768" s="78" t="s">
        <v>1697</v>
      </c>
      <c r="G768" s="26">
        <v>15</v>
      </c>
      <c r="H768" s="26" t="s">
        <v>3433</v>
      </c>
    </row>
    <row r="769" spans="1:8" hidden="1">
      <c r="A769" s="889"/>
      <c r="B769" s="47" t="s">
        <v>1354</v>
      </c>
      <c r="C769" s="48"/>
      <c r="F769" s="78" t="s">
        <v>1697</v>
      </c>
      <c r="G769" s="26">
        <v>15</v>
      </c>
      <c r="H769" s="26" t="s">
        <v>3433</v>
      </c>
    </row>
    <row r="770" spans="1:8" hidden="1">
      <c r="A770" s="889"/>
      <c r="B770" s="47" t="s">
        <v>3985</v>
      </c>
      <c r="C770" s="48"/>
      <c r="F770" s="78" t="s">
        <v>1697</v>
      </c>
      <c r="G770" s="68">
        <v>1.5</v>
      </c>
      <c r="H770" s="26" t="s">
        <v>1433</v>
      </c>
    </row>
    <row r="771" spans="1:8" hidden="1">
      <c r="A771" s="889"/>
      <c r="B771" s="47" t="s">
        <v>4030</v>
      </c>
      <c r="C771" s="48"/>
      <c r="F771" s="78" t="s">
        <v>1697</v>
      </c>
      <c r="G771" s="26">
        <v>35</v>
      </c>
      <c r="H771" s="26" t="s">
        <v>3562</v>
      </c>
    </row>
    <row r="772" spans="1:8" hidden="1">
      <c r="A772" s="889"/>
      <c r="B772" s="47" t="s">
        <v>619</v>
      </c>
      <c r="C772" s="48"/>
      <c r="F772" s="78" t="s">
        <v>1697</v>
      </c>
      <c r="G772" s="26">
        <v>0.71</v>
      </c>
      <c r="H772" s="26" t="s">
        <v>6901</v>
      </c>
    </row>
    <row r="773" spans="1:8" hidden="1">
      <c r="A773" s="889"/>
      <c r="B773" s="47" t="s">
        <v>620</v>
      </c>
      <c r="C773" s="48"/>
      <c r="F773" s="78" t="s">
        <v>1697</v>
      </c>
      <c r="G773" s="26">
        <v>3.57</v>
      </c>
      <c r="H773" s="26" t="s">
        <v>6901</v>
      </c>
    </row>
    <row r="774" spans="1:8" hidden="1">
      <c r="A774" s="889"/>
      <c r="B774" s="47" t="s">
        <v>621</v>
      </c>
      <c r="C774" s="48"/>
      <c r="F774" s="78" t="s">
        <v>1123</v>
      </c>
      <c r="G774" s="26">
        <v>5</v>
      </c>
      <c r="H774" s="26" t="s">
        <v>3435</v>
      </c>
    </row>
    <row r="775" spans="1:8" hidden="1">
      <c r="A775" s="889"/>
      <c r="B775" s="47" t="s">
        <v>6172</v>
      </c>
      <c r="C775" s="48"/>
      <c r="F775" s="78" t="s">
        <v>1697</v>
      </c>
      <c r="G775" s="26">
        <v>2.92</v>
      </c>
      <c r="H775" s="26" t="s">
        <v>1433</v>
      </c>
    </row>
    <row r="776" spans="1:8" hidden="1">
      <c r="A776" s="889"/>
      <c r="B776" s="47" t="s">
        <v>4579</v>
      </c>
      <c r="C776" s="48"/>
    </row>
    <row r="777" spans="1:8" hidden="1">
      <c r="A777" s="889"/>
      <c r="B777" s="47" t="s">
        <v>6957</v>
      </c>
      <c r="C777" s="48"/>
    </row>
    <row r="778" spans="1:8" hidden="1">
      <c r="A778" s="889"/>
      <c r="B778" s="47" t="s">
        <v>2550</v>
      </c>
      <c r="C778" s="48"/>
    </row>
    <row r="779" spans="1:8" hidden="1">
      <c r="A779" s="889"/>
      <c r="B779" s="47" t="s">
        <v>623</v>
      </c>
      <c r="C779" s="48"/>
    </row>
    <row r="780" spans="1:8" hidden="1">
      <c r="A780" s="889"/>
      <c r="B780" s="47" t="s">
        <v>2097</v>
      </c>
      <c r="C780" s="48"/>
    </row>
    <row r="781" spans="1:8" hidden="1">
      <c r="A781" s="889"/>
      <c r="B781" s="47" t="s">
        <v>1613</v>
      </c>
      <c r="C781" s="48"/>
    </row>
    <row r="782" spans="1:8" hidden="1">
      <c r="A782" s="889"/>
      <c r="B782" s="47" t="s">
        <v>624</v>
      </c>
      <c r="C782" s="48"/>
      <c r="F782" s="78" t="s">
        <v>1697</v>
      </c>
      <c r="G782" s="68">
        <v>3.5</v>
      </c>
      <c r="H782" s="26" t="s">
        <v>1433</v>
      </c>
    </row>
    <row r="783" spans="1:8" hidden="1">
      <c r="A783" s="889"/>
      <c r="B783" s="47" t="s">
        <v>5579</v>
      </c>
      <c r="C783" s="48"/>
      <c r="F783" s="78" t="s">
        <v>1697</v>
      </c>
      <c r="G783" s="68">
        <v>3</v>
      </c>
      <c r="H783" s="26" t="s">
        <v>1433</v>
      </c>
    </row>
    <row r="784" spans="1:8" hidden="1">
      <c r="A784" s="889"/>
      <c r="B784" s="47" t="s">
        <v>705</v>
      </c>
      <c r="C784" s="48"/>
      <c r="F784" s="78" t="s">
        <v>1697</v>
      </c>
      <c r="G784" s="68">
        <v>1.5</v>
      </c>
      <c r="H784" s="26" t="s">
        <v>1433</v>
      </c>
    </row>
    <row r="785" spans="1:9" hidden="1">
      <c r="A785" s="889"/>
      <c r="B785" s="47" t="s">
        <v>706</v>
      </c>
      <c r="C785" s="48"/>
      <c r="F785" s="78" t="s">
        <v>1697</v>
      </c>
      <c r="G785" s="68">
        <v>3</v>
      </c>
      <c r="H785" s="26" t="s">
        <v>1433</v>
      </c>
    </row>
    <row r="786" spans="1:9" hidden="1">
      <c r="A786" s="889"/>
      <c r="B786" s="47" t="s">
        <v>263</v>
      </c>
      <c r="C786" s="48"/>
      <c r="F786" s="78" t="s">
        <v>1697</v>
      </c>
      <c r="G786" s="173">
        <v>0.5</v>
      </c>
      <c r="H786" s="26" t="s">
        <v>1433</v>
      </c>
    </row>
    <row r="787" spans="1:9" hidden="1">
      <c r="A787" s="889"/>
      <c r="C787" s="48"/>
      <c r="D787" s="26" t="s">
        <v>1518</v>
      </c>
      <c r="F787" s="78" t="s">
        <v>1697</v>
      </c>
      <c r="G787" s="68">
        <f>SUM(G782:G786)</f>
        <v>11.5</v>
      </c>
      <c r="H787" s="26" t="s">
        <v>1433</v>
      </c>
    </row>
    <row r="788" spans="1:9" hidden="1">
      <c r="A788" s="889"/>
      <c r="B788" s="47" t="s">
        <v>2649</v>
      </c>
      <c r="C788" s="48"/>
      <c r="F788" s="78" t="s">
        <v>1697</v>
      </c>
      <c r="G788" s="68">
        <v>3.3</v>
      </c>
      <c r="H788" s="26" t="s">
        <v>3436</v>
      </c>
      <c r="I788" s="26" t="s">
        <v>2650</v>
      </c>
    </row>
    <row r="789" spans="1:9" hidden="1">
      <c r="A789" s="889"/>
      <c r="B789" s="47" t="s">
        <v>2651</v>
      </c>
      <c r="C789" s="48"/>
      <c r="F789" s="78" t="s">
        <v>1697</v>
      </c>
      <c r="G789" s="26">
        <v>15.52</v>
      </c>
      <c r="H789" s="26" t="s">
        <v>6901</v>
      </c>
    </row>
    <row r="790" spans="1:9" hidden="1">
      <c r="A790" s="889"/>
      <c r="B790" s="47" t="s">
        <v>2316</v>
      </c>
      <c r="C790" s="48"/>
      <c r="F790" s="78"/>
    </row>
    <row r="791" spans="1:9" hidden="1">
      <c r="A791" s="889"/>
      <c r="B791" s="47" t="s">
        <v>2652</v>
      </c>
      <c r="C791" s="48"/>
      <c r="F791" s="78" t="s">
        <v>1697</v>
      </c>
      <c r="G791" s="26">
        <f>15.52*4</f>
        <v>62.08</v>
      </c>
      <c r="H791" s="26" t="s">
        <v>3477</v>
      </c>
    </row>
    <row r="792" spans="1:9" hidden="1">
      <c r="A792" s="889"/>
      <c r="B792" s="47" t="s">
        <v>5580</v>
      </c>
      <c r="C792" s="48"/>
      <c r="F792" s="78" t="s">
        <v>1697</v>
      </c>
      <c r="G792" s="68">
        <v>1.1000000000000001</v>
      </c>
      <c r="H792" s="26" t="s">
        <v>3428</v>
      </c>
    </row>
    <row r="793" spans="1:9" hidden="1">
      <c r="A793" s="889"/>
      <c r="B793" s="47" t="s">
        <v>5581</v>
      </c>
      <c r="C793" s="48"/>
      <c r="F793" s="78" t="s">
        <v>1697</v>
      </c>
      <c r="G793" s="26">
        <v>0.25</v>
      </c>
      <c r="H793" s="26" t="s">
        <v>3037</v>
      </c>
    </row>
    <row r="794" spans="1:9" hidden="1">
      <c r="A794" s="889"/>
      <c r="B794" s="47" t="s">
        <v>704</v>
      </c>
      <c r="C794" s="48"/>
    </row>
    <row r="795" spans="1:9" hidden="1">
      <c r="A795" s="889"/>
      <c r="B795" s="47" t="s">
        <v>2653</v>
      </c>
      <c r="C795" s="48"/>
    </row>
    <row r="796" spans="1:9" hidden="1">
      <c r="A796" s="889"/>
      <c r="B796" s="47" t="s">
        <v>1401</v>
      </c>
      <c r="C796" s="48"/>
    </row>
    <row r="797" spans="1:9" hidden="1">
      <c r="A797" s="889"/>
      <c r="B797" s="47" t="s">
        <v>2366</v>
      </c>
      <c r="C797" s="48"/>
    </row>
    <row r="798" spans="1:9" hidden="1">
      <c r="A798" s="889"/>
      <c r="B798" s="47" t="s">
        <v>1402</v>
      </c>
      <c r="C798" s="362">
        <f>'BASIC DATA'!$D$307</f>
        <v>4028</v>
      </c>
      <c r="D798" s="26" t="s">
        <v>2290</v>
      </c>
      <c r="F798" s="78" t="s">
        <v>1698</v>
      </c>
      <c r="G798" s="68">
        <f>C798</f>
        <v>4028</v>
      </c>
    </row>
    <row r="799" spans="1:9" hidden="1">
      <c r="A799" s="889"/>
      <c r="B799" s="47" t="s">
        <v>99</v>
      </c>
      <c r="C799" s="48"/>
      <c r="F799" s="78" t="s">
        <v>1697</v>
      </c>
      <c r="G799" s="316">
        <v>150</v>
      </c>
      <c r="H799" s="26" t="s">
        <v>3561</v>
      </c>
    </row>
    <row r="800" spans="1:9" hidden="1">
      <c r="A800" s="889"/>
      <c r="B800" s="47" t="s">
        <v>7592</v>
      </c>
      <c r="C800" s="48" t="s">
        <v>7593</v>
      </c>
      <c r="F800" s="78" t="s">
        <v>1698</v>
      </c>
      <c r="G800" s="68">
        <f>G798/G799</f>
        <v>26.853333333333332</v>
      </c>
    </row>
    <row r="801" spans="1:8" hidden="1">
      <c r="A801" s="889"/>
      <c r="B801" s="47" t="s">
        <v>7594</v>
      </c>
      <c r="C801" s="48"/>
      <c r="F801" s="78" t="s">
        <v>1697</v>
      </c>
      <c r="G801" s="316">
        <v>50</v>
      </c>
      <c r="H801" s="26" t="s">
        <v>3561</v>
      </c>
    </row>
    <row r="802" spans="1:8" hidden="1">
      <c r="A802" s="889"/>
      <c r="B802" s="47" t="s">
        <v>3567</v>
      </c>
      <c r="C802" s="362">
        <f>'BASIC DATA'!$D$344</f>
        <v>185</v>
      </c>
      <c r="D802" s="26" t="s">
        <v>2618</v>
      </c>
      <c r="F802" s="78" t="s">
        <v>1698</v>
      </c>
      <c r="G802" s="68">
        <f>C802*G801</f>
        <v>9250</v>
      </c>
    </row>
    <row r="803" spans="1:8" hidden="1">
      <c r="A803" s="889"/>
      <c r="B803" s="47" t="s">
        <v>5152</v>
      </c>
      <c r="C803" s="48"/>
      <c r="F803" s="78" t="s">
        <v>1697</v>
      </c>
      <c r="G803" s="316">
        <v>800</v>
      </c>
      <c r="H803" s="26" t="s">
        <v>3428</v>
      </c>
    </row>
    <row r="804" spans="1:8" hidden="1">
      <c r="A804" s="889"/>
      <c r="B804" s="47" t="s">
        <v>6262</v>
      </c>
      <c r="C804" s="48" t="s">
        <v>7593</v>
      </c>
      <c r="F804" s="78" t="s">
        <v>1698</v>
      </c>
      <c r="G804" s="68">
        <f>G802/G803</f>
        <v>11.5625</v>
      </c>
    </row>
    <row r="805" spans="1:8" hidden="1">
      <c r="A805" s="889"/>
      <c r="B805" s="47" t="s">
        <v>434</v>
      </c>
      <c r="C805" s="362">
        <f>'BASIC DATA'!$D$112</f>
        <v>235</v>
      </c>
      <c r="D805" s="26" t="s">
        <v>1168</v>
      </c>
      <c r="F805" s="78" t="s">
        <v>1698</v>
      </c>
      <c r="G805" s="68">
        <f>C805</f>
        <v>235</v>
      </c>
    </row>
    <row r="806" spans="1:8" hidden="1">
      <c r="A806" s="889"/>
      <c r="B806" s="47" t="s">
        <v>1582</v>
      </c>
      <c r="C806" s="368">
        <v>0.1</v>
      </c>
      <c r="F806" s="78" t="s">
        <v>1698</v>
      </c>
      <c r="G806" s="173">
        <f>G805*C806</f>
        <v>23.5</v>
      </c>
    </row>
    <row r="807" spans="1:8" hidden="1">
      <c r="A807" s="889"/>
      <c r="C807" s="48"/>
      <c r="D807" s="26" t="s">
        <v>1518</v>
      </c>
      <c r="F807" s="78" t="s">
        <v>1698</v>
      </c>
      <c r="G807" s="205">
        <f>G805-G806</f>
        <v>211.5</v>
      </c>
    </row>
    <row r="808" spans="1:8" hidden="1">
      <c r="A808" s="889"/>
      <c r="B808" s="47" t="s">
        <v>435</v>
      </c>
      <c r="C808" s="48"/>
      <c r="F808" s="78" t="s">
        <v>1697</v>
      </c>
      <c r="G808" s="26">
        <v>4</v>
      </c>
      <c r="H808" s="26" t="s">
        <v>3039</v>
      </c>
    </row>
    <row r="809" spans="1:8" hidden="1">
      <c r="A809" s="889"/>
      <c r="B809" s="47" t="s">
        <v>436</v>
      </c>
      <c r="C809" s="48" t="s">
        <v>7593</v>
      </c>
      <c r="F809" s="78" t="s">
        <v>1698</v>
      </c>
      <c r="G809" s="68">
        <f>G807/G808</f>
        <v>52.875</v>
      </c>
    </row>
    <row r="810" spans="1:8" hidden="1">
      <c r="A810" s="889"/>
      <c r="B810" s="47" t="s">
        <v>437</v>
      </c>
      <c r="C810" s="48"/>
      <c r="F810" s="78" t="s">
        <v>1698</v>
      </c>
      <c r="G810" s="173">
        <v>5.63</v>
      </c>
    </row>
    <row r="811" spans="1:8" hidden="1">
      <c r="A811" s="889"/>
      <c r="C811" s="48"/>
      <c r="D811" s="26" t="s">
        <v>1518</v>
      </c>
      <c r="F811" s="78" t="s">
        <v>1698</v>
      </c>
      <c r="G811" s="68">
        <f>SUM(G809:G810)</f>
        <v>58.505000000000003</v>
      </c>
    </row>
    <row r="812" spans="1:8" hidden="1">
      <c r="A812" s="889"/>
      <c r="B812" s="47" t="s">
        <v>438</v>
      </c>
      <c r="C812" s="362">
        <f>'BASIC DATA'!$D$51</f>
        <v>5</v>
      </c>
      <c r="D812" s="26" t="s">
        <v>2290</v>
      </c>
      <c r="F812" s="78" t="s">
        <v>1698</v>
      </c>
      <c r="G812" s="68">
        <f>C812</f>
        <v>5</v>
      </c>
    </row>
    <row r="813" spans="1:8" hidden="1">
      <c r="A813" s="889"/>
      <c r="B813" s="47" t="s">
        <v>1187</v>
      </c>
      <c r="C813" s="362">
        <f>'BASIC DATA'!$D$56</f>
        <v>95</v>
      </c>
      <c r="D813" s="26" t="s">
        <v>3691</v>
      </c>
      <c r="F813" s="78" t="s">
        <v>1698</v>
      </c>
      <c r="G813" s="26">
        <f>C813*0.025</f>
        <v>2.375</v>
      </c>
    </row>
    <row r="814" spans="1:8" hidden="1">
      <c r="A814" s="889"/>
      <c r="B814" s="47" t="s">
        <v>2654</v>
      </c>
      <c r="C814" s="48"/>
      <c r="F814" s="78" t="s">
        <v>1698</v>
      </c>
      <c r="G814" s="174">
        <v>1.62</v>
      </c>
    </row>
    <row r="815" spans="1:8" hidden="1">
      <c r="A815" s="889"/>
      <c r="C815" s="48" t="s">
        <v>453</v>
      </c>
      <c r="F815" s="78" t="s">
        <v>1698</v>
      </c>
      <c r="G815" s="68">
        <f>SUM(G812:G814)</f>
        <v>8.995000000000001</v>
      </c>
    </row>
    <row r="816" spans="1:8" hidden="1">
      <c r="A816" s="889"/>
      <c r="B816" s="47" t="s">
        <v>454</v>
      </c>
      <c r="C816" s="48"/>
      <c r="F816" s="78" t="s">
        <v>1697</v>
      </c>
      <c r="G816" s="26">
        <v>1</v>
      </c>
      <c r="H816" s="26" t="s">
        <v>3040</v>
      </c>
    </row>
    <row r="817" spans="1:7" hidden="1">
      <c r="A817" s="889"/>
      <c r="B817" s="47" t="s">
        <v>455</v>
      </c>
      <c r="C817" s="48" t="s">
        <v>7593</v>
      </c>
      <c r="F817" s="78" t="s">
        <v>1698</v>
      </c>
      <c r="G817" s="68">
        <f>G815</f>
        <v>8.995000000000001</v>
      </c>
    </row>
    <row r="818" spans="1:7" hidden="1"/>
    <row r="819" spans="1:7" hidden="1"/>
    <row r="820" spans="1:7" hidden="1"/>
    <row r="821" spans="1:7" hidden="1"/>
    <row r="822" spans="1:7" hidden="1"/>
    <row r="823" spans="1:7" hidden="1"/>
    <row r="824" spans="1:7" hidden="1"/>
    <row r="825" spans="1:7" hidden="1"/>
    <row r="826" spans="1:7" hidden="1"/>
    <row r="827" spans="1:7" hidden="1"/>
    <row r="828" spans="1:7"/>
    <row r="829" spans="1:7">
      <c r="A829" s="847" t="s">
        <v>1907</v>
      </c>
      <c r="B829" s="78"/>
      <c r="C829" s="349" t="s">
        <v>2367</v>
      </c>
      <c r="E829" s="171" t="s">
        <v>297</v>
      </c>
      <c r="F829" s="246">
        <v>68</v>
      </c>
      <c r="G829" s="26" t="s">
        <v>3477</v>
      </c>
    </row>
    <row r="830" spans="1:7">
      <c r="A830" s="847"/>
      <c r="B830" s="79" t="s">
        <v>2368</v>
      </c>
      <c r="C830" s="48"/>
    </row>
    <row r="831" spans="1:7">
      <c r="A831" s="847"/>
      <c r="B831" s="95" t="s">
        <v>2369</v>
      </c>
      <c r="C831" s="350" t="s">
        <v>6374</v>
      </c>
      <c r="D831" s="95" t="s">
        <v>2370</v>
      </c>
      <c r="E831" s="95" t="s">
        <v>1166</v>
      </c>
      <c r="F831" s="95" t="s">
        <v>2371</v>
      </c>
      <c r="G831" s="95" t="s">
        <v>2372</v>
      </c>
    </row>
    <row r="832" spans="1:7">
      <c r="A832" s="847"/>
      <c r="B832" s="114"/>
      <c r="C832" s="351"/>
      <c r="D832" s="114"/>
      <c r="E832" s="114"/>
      <c r="F832" s="114" t="s">
        <v>3485</v>
      </c>
      <c r="G832" s="114" t="s">
        <v>3485</v>
      </c>
    </row>
    <row r="833" spans="1:9">
      <c r="A833" s="847"/>
      <c r="B833" s="95">
        <v>1</v>
      </c>
      <c r="C833" s="91" t="s">
        <v>6263</v>
      </c>
      <c r="D833" s="95" t="s">
        <v>3483</v>
      </c>
      <c r="E833" s="190">
        <v>85</v>
      </c>
      <c r="F833" s="190">
        <f>G800</f>
        <v>26.853333333333332</v>
      </c>
      <c r="G833" s="190">
        <f>E833*F833</f>
        <v>2282.5333333333333</v>
      </c>
      <c r="I833" s="367"/>
    </row>
    <row r="834" spans="1:9">
      <c r="A834" s="847"/>
      <c r="B834" s="152"/>
      <c r="C834" s="91" t="s">
        <v>5125</v>
      </c>
      <c r="D834" s="213">
        <v>0.1</v>
      </c>
      <c r="E834" s="190"/>
      <c r="F834" s="190"/>
      <c r="G834" s="190">
        <f>G833*D834</f>
        <v>228.25333333333333</v>
      </c>
      <c r="I834" s="367"/>
    </row>
    <row r="835" spans="1:9">
      <c r="A835" s="847"/>
      <c r="B835" s="105">
        <v>2</v>
      </c>
      <c r="C835" s="91" t="s">
        <v>1499</v>
      </c>
      <c r="D835" s="105" t="s">
        <v>2374</v>
      </c>
      <c r="E835" s="190">
        <v>13</v>
      </c>
      <c r="F835" s="190">
        <f>G804</f>
        <v>11.5625</v>
      </c>
      <c r="G835" s="190">
        <f t="shared" ref="G835:G842" si="6">E835*F835</f>
        <v>150.3125</v>
      </c>
      <c r="I835" s="367"/>
    </row>
    <row r="836" spans="1:9">
      <c r="A836" s="847"/>
      <c r="B836" s="105">
        <v>3</v>
      </c>
      <c r="C836" s="91" t="s">
        <v>456</v>
      </c>
      <c r="D836" s="105" t="s">
        <v>3479</v>
      </c>
      <c r="E836" s="190">
        <v>94</v>
      </c>
      <c r="F836" s="190">
        <f>IF(F835=0,0,G811)</f>
        <v>58.505000000000003</v>
      </c>
      <c r="G836" s="190">
        <f t="shared" si="6"/>
        <v>5499.47</v>
      </c>
      <c r="I836" s="367"/>
    </row>
    <row r="837" spans="1:9">
      <c r="A837" s="847"/>
      <c r="B837" s="105">
        <v>4</v>
      </c>
      <c r="C837" s="91" t="s">
        <v>836</v>
      </c>
      <c r="D837" s="105" t="s">
        <v>2059</v>
      </c>
      <c r="E837" s="190">
        <v>98</v>
      </c>
      <c r="F837" s="190">
        <f>IF(F836=0,0,G815)</f>
        <v>8.995000000000001</v>
      </c>
      <c r="G837" s="190">
        <f t="shared" si="6"/>
        <v>881.5100000000001</v>
      </c>
      <c r="I837" s="367"/>
    </row>
    <row r="838" spans="1:9" ht="36">
      <c r="A838" s="847"/>
      <c r="B838" s="105">
        <v>5</v>
      </c>
      <c r="C838" s="91" t="s">
        <v>1500</v>
      </c>
      <c r="D838" s="105" t="s">
        <v>3478</v>
      </c>
      <c r="E838" s="190">
        <v>21.2</v>
      </c>
      <c r="F838" s="190">
        <f>'BASIC DATA'!$D$54</f>
        <v>70</v>
      </c>
      <c r="G838" s="190">
        <f t="shared" si="6"/>
        <v>1484</v>
      </c>
      <c r="I838" s="367"/>
    </row>
    <row r="839" spans="1:9">
      <c r="A839" s="847"/>
      <c r="B839" s="105">
        <v>6</v>
      </c>
      <c r="C839" s="91" t="s">
        <v>2058</v>
      </c>
      <c r="D839" s="105" t="s">
        <v>2059</v>
      </c>
      <c r="E839" s="190">
        <v>4</v>
      </c>
      <c r="F839" s="190">
        <f>'BASIC DATA'!$D$50</f>
        <v>7</v>
      </c>
      <c r="G839" s="190">
        <f t="shared" si="6"/>
        <v>28</v>
      </c>
      <c r="I839" s="367"/>
    </row>
    <row r="840" spans="1:9">
      <c r="A840" s="847"/>
      <c r="B840" s="105">
        <v>7</v>
      </c>
      <c r="C840" s="91" t="s">
        <v>837</v>
      </c>
      <c r="D840" s="105" t="s">
        <v>2059</v>
      </c>
      <c r="E840" s="190">
        <v>59</v>
      </c>
      <c r="F840" s="190">
        <f>'BASIC DATA'!$D$48</f>
        <v>20</v>
      </c>
      <c r="G840" s="190">
        <f t="shared" si="6"/>
        <v>1180</v>
      </c>
      <c r="I840" s="367"/>
    </row>
    <row r="841" spans="1:9">
      <c r="A841" s="847"/>
      <c r="B841" s="105">
        <v>8</v>
      </c>
      <c r="C841" s="91" t="s">
        <v>6094</v>
      </c>
      <c r="D841" s="105" t="s">
        <v>3483</v>
      </c>
      <c r="E841" s="190">
        <v>90</v>
      </c>
      <c r="F841" s="190">
        <f>'BASIC DATA'!$D$46</f>
        <v>9</v>
      </c>
      <c r="G841" s="190">
        <f t="shared" si="6"/>
        <v>810</v>
      </c>
      <c r="I841" s="367"/>
    </row>
    <row r="842" spans="1:9">
      <c r="A842" s="847"/>
      <c r="B842" s="105">
        <v>9</v>
      </c>
      <c r="C842" s="86" t="s">
        <v>2373</v>
      </c>
      <c r="D842" s="105" t="s">
        <v>2173</v>
      </c>
      <c r="E842" s="190">
        <v>2</v>
      </c>
      <c r="F842" s="190">
        <f>'BASIC DATA'!$D$359</f>
        <v>30</v>
      </c>
      <c r="G842" s="190">
        <f t="shared" si="6"/>
        <v>60</v>
      </c>
      <c r="I842" s="367"/>
    </row>
    <row r="843" spans="1:9">
      <c r="A843" s="847"/>
      <c r="B843" s="176"/>
      <c r="C843" s="353" t="s">
        <v>2376</v>
      </c>
      <c r="D843" s="159"/>
      <c r="E843" s="238"/>
      <c r="F843" s="236" t="s">
        <v>1698</v>
      </c>
      <c r="G843" s="318">
        <f>SUM(G833:G842)</f>
        <v>12604.079166666666</v>
      </c>
    </row>
    <row r="844" spans="1:9">
      <c r="A844" s="847"/>
      <c r="B844" s="78"/>
      <c r="C844" s="48"/>
    </row>
    <row r="845" spans="1:9">
      <c r="A845" s="847"/>
      <c r="B845" s="79" t="s">
        <v>2377</v>
      </c>
      <c r="C845" s="48"/>
    </row>
    <row r="846" spans="1:9">
      <c r="A846" s="847"/>
      <c r="B846" s="95" t="s">
        <v>2369</v>
      </c>
      <c r="C846" s="350" t="s">
        <v>2378</v>
      </c>
      <c r="D846" s="95" t="s">
        <v>2370</v>
      </c>
      <c r="E846" s="95" t="s">
        <v>1166</v>
      </c>
      <c r="F846" s="95" t="s">
        <v>2371</v>
      </c>
      <c r="G846" s="95" t="s">
        <v>2372</v>
      </c>
    </row>
    <row r="847" spans="1:9">
      <c r="A847" s="847"/>
      <c r="B847" s="114"/>
      <c r="C847" s="351"/>
      <c r="D847" s="114"/>
      <c r="E847" s="114"/>
      <c r="F847" s="114" t="s">
        <v>3485</v>
      </c>
      <c r="G847" s="114" t="s">
        <v>3485</v>
      </c>
    </row>
    <row r="848" spans="1:9">
      <c r="A848" s="847"/>
      <c r="B848" s="105">
        <v>1</v>
      </c>
      <c r="C848" s="355" t="s">
        <v>298</v>
      </c>
      <c r="D848" s="95" t="s">
        <v>2374</v>
      </c>
      <c r="E848" s="220">
        <v>1.1000000000000001</v>
      </c>
      <c r="F848" s="190">
        <f>'HIRE CHARGES'!$D$543</f>
        <v>1706.6</v>
      </c>
      <c r="G848" s="190">
        <f t="shared" ref="G848:G857" si="7">E848*F848</f>
        <v>1877.26</v>
      </c>
      <c r="I848" s="75"/>
    </row>
    <row r="849" spans="1:9">
      <c r="A849" s="847"/>
      <c r="B849" s="152"/>
      <c r="C849" s="355" t="s">
        <v>2379</v>
      </c>
      <c r="D849" s="105" t="s">
        <v>2374</v>
      </c>
      <c r="E849" s="220">
        <v>1.1000000000000001</v>
      </c>
      <c r="F849" s="190">
        <f>'HIRE CHARGES'!$E$543</f>
        <v>872.7</v>
      </c>
      <c r="G849" s="190">
        <f t="shared" si="7"/>
        <v>959.97000000000014</v>
      </c>
      <c r="I849" s="75"/>
    </row>
    <row r="850" spans="1:9">
      <c r="A850" s="847"/>
      <c r="B850" s="105">
        <v>2</v>
      </c>
      <c r="C850" s="355" t="s">
        <v>1502</v>
      </c>
      <c r="D850" s="105" t="s">
        <v>2374</v>
      </c>
      <c r="E850" s="220">
        <v>0.25</v>
      </c>
      <c r="F850" s="214">
        <f>'HIRE CHARGES'!$D$499</f>
        <v>1715.5</v>
      </c>
      <c r="G850" s="190">
        <f t="shared" si="7"/>
        <v>428.875</v>
      </c>
      <c r="I850" s="75"/>
    </row>
    <row r="851" spans="1:9">
      <c r="A851" s="847"/>
      <c r="B851" s="152"/>
      <c r="C851" s="355" t="s">
        <v>2379</v>
      </c>
      <c r="D851" s="105" t="s">
        <v>2374</v>
      </c>
      <c r="E851" s="220">
        <v>0.25</v>
      </c>
      <c r="F851" s="214">
        <f>'HIRE CHARGES'!$E$499</f>
        <v>610.5</v>
      </c>
      <c r="G851" s="190">
        <f t="shared" si="7"/>
        <v>152.625</v>
      </c>
      <c r="I851" s="75"/>
    </row>
    <row r="852" spans="1:9">
      <c r="A852" s="847"/>
      <c r="B852" s="105">
        <v>3</v>
      </c>
      <c r="C852" s="355" t="s">
        <v>1503</v>
      </c>
      <c r="D852" s="105" t="s">
        <v>2374</v>
      </c>
      <c r="E852" s="220">
        <v>4.4000000000000004</v>
      </c>
      <c r="F852" s="190">
        <f>'HIRE CHARGES'!$D$545</f>
        <v>446.7</v>
      </c>
      <c r="G852" s="190">
        <f t="shared" si="7"/>
        <v>1965.48</v>
      </c>
      <c r="I852" s="75"/>
    </row>
    <row r="853" spans="1:9">
      <c r="A853" s="847"/>
      <c r="B853" s="105"/>
      <c r="C853" s="355" t="s">
        <v>2379</v>
      </c>
      <c r="D853" s="105" t="s">
        <v>2374</v>
      </c>
      <c r="E853" s="220">
        <v>4.4000000000000004</v>
      </c>
      <c r="F853" s="190">
        <f>'HIRE CHARGES'!$E$545</f>
        <v>299.89999999999998</v>
      </c>
      <c r="G853" s="190">
        <f t="shared" si="7"/>
        <v>1319.56</v>
      </c>
      <c r="I853" s="75"/>
    </row>
    <row r="854" spans="1:9" ht="36">
      <c r="A854" s="847"/>
      <c r="B854" s="105">
        <v>4</v>
      </c>
      <c r="C854" s="355" t="s">
        <v>838</v>
      </c>
      <c r="D854" s="105" t="s">
        <v>2374</v>
      </c>
      <c r="E854" s="220">
        <v>6.5</v>
      </c>
      <c r="F854" s="214">
        <f>'HIRE CHARGES'!$D$496</f>
        <v>275.60000000000002</v>
      </c>
      <c r="G854" s="190">
        <f t="shared" si="7"/>
        <v>1791.4</v>
      </c>
      <c r="I854" s="75"/>
    </row>
    <row r="855" spans="1:9">
      <c r="A855" s="847"/>
      <c r="B855" s="105"/>
      <c r="C855" s="355" t="s">
        <v>2379</v>
      </c>
      <c r="D855" s="105" t="s">
        <v>2374</v>
      </c>
      <c r="E855" s="220">
        <v>6.5</v>
      </c>
      <c r="F855" s="214">
        <f>'HIRE CHARGES'!$E$496</f>
        <v>892.5</v>
      </c>
      <c r="G855" s="190">
        <f t="shared" si="7"/>
        <v>5801.25</v>
      </c>
      <c r="I855" s="75"/>
    </row>
    <row r="856" spans="1:9">
      <c r="A856" s="847"/>
      <c r="B856" s="105">
        <v>5</v>
      </c>
      <c r="C856" s="86" t="s">
        <v>2063</v>
      </c>
      <c r="D856" s="105" t="s">
        <v>2374</v>
      </c>
      <c r="E856" s="220">
        <v>13</v>
      </c>
      <c r="F856" s="214">
        <f>'HIRE CHARGES'!$D$530</f>
        <v>19.8</v>
      </c>
      <c r="G856" s="190">
        <f t="shared" si="7"/>
        <v>257.40000000000003</v>
      </c>
      <c r="I856" s="75"/>
    </row>
    <row r="857" spans="1:9">
      <c r="A857" s="847"/>
      <c r="B857" s="116"/>
      <c r="C857" s="86" t="s">
        <v>2379</v>
      </c>
      <c r="D857" s="114" t="s">
        <v>2374</v>
      </c>
      <c r="E857" s="220">
        <v>13</v>
      </c>
      <c r="F857" s="214">
        <f>'HIRE CHARGES'!$E$530</f>
        <v>0</v>
      </c>
      <c r="G857" s="190">
        <f t="shared" si="7"/>
        <v>0</v>
      </c>
      <c r="I857" s="75"/>
    </row>
    <row r="858" spans="1:9">
      <c r="A858" s="847"/>
      <c r="B858" s="176"/>
      <c r="C858" s="357" t="s">
        <v>2380</v>
      </c>
      <c r="D858" s="174"/>
      <c r="E858" s="192"/>
      <c r="F858" s="236" t="s">
        <v>1698</v>
      </c>
      <c r="G858" s="354">
        <f>SUM(G848:G857)</f>
        <v>14553.82</v>
      </c>
      <c r="I858" s="31"/>
    </row>
    <row r="859" spans="1:9">
      <c r="A859" s="847"/>
      <c r="B859" s="78"/>
      <c r="C859" s="48"/>
    </row>
    <row r="860" spans="1:9">
      <c r="A860" s="847"/>
      <c r="B860" s="79" t="s">
        <v>2381</v>
      </c>
      <c r="C860" s="48"/>
    </row>
    <row r="861" spans="1:9">
      <c r="A861" s="847"/>
      <c r="B861" s="95" t="s">
        <v>2369</v>
      </c>
      <c r="C861" s="350" t="s">
        <v>2378</v>
      </c>
      <c r="D861" s="95" t="s">
        <v>2370</v>
      </c>
      <c r="E861" s="95" t="s">
        <v>1166</v>
      </c>
      <c r="F861" s="95" t="s">
        <v>2371</v>
      </c>
      <c r="G861" s="95" t="s">
        <v>2372</v>
      </c>
    </row>
    <row r="862" spans="1:9">
      <c r="A862" s="847"/>
      <c r="B862" s="114"/>
      <c r="C862" s="351"/>
      <c r="D862" s="105"/>
      <c r="E862" s="114"/>
      <c r="F862" s="114" t="s">
        <v>3485</v>
      </c>
      <c r="G862" s="114" t="s">
        <v>3485</v>
      </c>
    </row>
    <row r="863" spans="1:9">
      <c r="A863" s="847"/>
      <c r="B863" s="105">
        <v>1</v>
      </c>
      <c r="C863" s="86" t="s">
        <v>300</v>
      </c>
      <c r="D863" s="95" t="s">
        <v>2374</v>
      </c>
      <c r="E863" s="207">
        <v>1.1000000000000001</v>
      </c>
      <c r="F863" s="190">
        <f>'HIRE CHARGES'!$F$543</f>
        <v>236.6</v>
      </c>
      <c r="G863" s="190">
        <f t="shared" ref="G863:G873" si="8">E863*F863</f>
        <v>260.26</v>
      </c>
      <c r="I863" s="75"/>
    </row>
    <row r="864" spans="1:9">
      <c r="A864" s="847"/>
      <c r="B864" s="105">
        <v>2</v>
      </c>
      <c r="C864" s="86" t="s">
        <v>839</v>
      </c>
      <c r="D864" s="105" t="s">
        <v>2374</v>
      </c>
      <c r="E864" s="207">
        <v>0.25</v>
      </c>
      <c r="F864" s="190">
        <f>'HIRE CHARGES'!$F$499</f>
        <v>236.6</v>
      </c>
      <c r="G864" s="190">
        <f t="shared" si="8"/>
        <v>59.15</v>
      </c>
      <c r="I864" s="75"/>
    </row>
    <row r="865" spans="1:9">
      <c r="A865" s="847"/>
      <c r="B865" s="105">
        <v>3</v>
      </c>
      <c r="C865" s="86" t="s">
        <v>301</v>
      </c>
      <c r="D865" s="105" t="s">
        <v>2374</v>
      </c>
      <c r="E865" s="207">
        <v>4.4000000000000004</v>
      </c>
      <c r="F865" s="190">
        <f>'HIRE CHARGES'!$F$545</f>
        <v>177.5</v>
      </c>
      <c r="G865" s="190">
        <f t="shared" si="8"/>
        <v>781.00000000000011</v>
      </c>
      <c r="I865" s="75"/>
    </row>
    <row r="866" spans="1:9">
      <c r="A866" s="847"/>
      <c r="B866" s="105">
        <v>4</v>
      </c>
      <c r="C866" s="86" t="s">
        <v>4606</v>
      </c>
      <c r="D866" s="105" t="s">
        <v>2374</v>
      </c>
      <c r="E866" s="207">
        <v>6.5</v>
      </c>
      <c r="F866" s="190">
        <f>'HIRE CHARGES'!$F$496</f>
        <v>210.9</v>
      </c>
      <c r="G866" s="190">
        <f t="shared" si="8"/>
        <v>1370.8500000000001</v>
      </c>
      <c r="I866" s="75"/>
    </row>
    <row r="867" spans="1:9">
      <c r="A867" s="847"/>
      <c r="B867" s="105">
        <v>5</v>
      </c>
      <c r="C867" s="86" t="s">
        <v>4607</v>
      </c>
      <c r="D867" s="105" t="s">
        <v>2374</v>
      </c>
      <c r="E867" s="207">
        <v>13</v>
      </c>
      <c r="F867" s="190">
        <f>'HIRE CHARGES'!$F$530</f>
        <v>329.6</v>
      </c>
      <c r="G867" s="190">
        <f t="shared" si="8"/>
        <v>4284.8</v>
      </c>
      <c r="I867" s="75"/>
    </row>
    <row r="868" spans="1:9">
      <c r="A868" s="847"/>
      <c r="B868" s="105">
        <v>6</v>
      </c>
      <c r="C868" s="86" t="s">
        <v>4206</v>
      </c>
      <c r="D868" s="105" t="s">
        <v>1172</v>
      </c>
      <c r="E868" s="207">
        <v>0.5</v>
      </c>
      <c r="F868" s="190">
        <f>'BASIC DATA'!$C$473</f>
        <v>450</v>
      </c>
      <c r="G868" s="190">
        <f t="shared" si="8"/>
        <v>225</v>
      </c>
      <c r="I868" s="75"/>
    </row>
    <row r="869" spans="1:9">
      <c r="A869" s="847"/>
      <c r="B869" s="105">
        <v>7</v>
      </c>
      <c r="C869" s="86" t="s">
        <v>4608</v>
      </c>
      <c r="D869" s="105" t="s">
        <v>1172</v>
      </c>
      <c r="E869" s="207">
        <v>0.5</v>
      </c>
      <c r="F869" s="190">
        <f>'BASIC DATA'!$C$466</f>
        <v>510</v>
      </c>
      <c r="G869" s="190">
        <f t="shared" si="8"/>
        <v>255</v>
      </c>
      <c r="I869" s="75"/>
    </row>
    <row r="870" spans="1:9">
      <c r="A870" s="847"/>
      <c r="B870" s="105">
        <v>8</v>
      </c>
      <c r="C870" s="86" t="s">
        <v>4609</v>
      </c>
      <c r="D870" s="105" t="s">
        <v>1172</v>
      </c>
      <c r="E870" s="207">
        <v>0.5</v>
      </c>
      <c r="F870" s="190">
        <f>'BASIC DATA'!$C$520</f>
        <v>400</v>
      </c>
      <c r="G870" s="190">
        <f t="shared" si="8"/>
        <v>200</v>
      </c>
      <c r="I870" s="75"/>
    </row>
    <row r="871" spans="1:9">
      <c r="A871" s="847"/>
      <c r="B871" s="105">
        <v>9</v>
      </c>
      <c r="C871" s="86" t="s">
        <v>840</v>
      </c>
      <c r="D871" s="105" t="s">
        <v>1172</v>
      </c>
      <c r="E871" s="207">
        <v>0.5</v>
      </c>
      <c r="F871" s="190">
        <f>'BASIC DATA'!$C$545</f>
        <v>400</v>
      </c>
      <c r="G871" s="190">
        <f t="shared" si="8"/>
        <v>200</v>
      </c>
      <c r="I871" s="75"/>
    </row>
    <row r="872" spans="1:9">
      <c r="A872" s="847"/>
      <c r="B872" s="105">
        <v>10</v>
      </c>
      <c r="C872" s="86" t="s">
        <v>1190</v>
      </c>
      <c r="D872" s="105" t="s">
        <v>1172</v>
      </c>
      <c r="E872" s="207">
        <v>0.5</v>
      </c>
      <c r="F872" s="190">
        <f>'BASIC DATA'!$C$546</f>
        <v>400</v>
      </c>
      <c r="G872" s="190">
        <f t="shared" si="8"/>
        <v>200</v>
      </c>
      <c r="I872" s="75"/>
    </row>
    <row r="873" spans="1:9">
      <c r="A873" s="847"/>
      <c r="B873" s="105">
        <v>11</v>
      </c>
      <c r="C873" s="86" t="s">
        <v>2696</v>
      </c>
      <c r="D873" s="105" t="s">
        <v>1172</v>
      </c>
      <c r="E873" s="207">
        <v>3</v>
      </c>
      <c r="F873" s="190">
        <f>'BASIC DATA'!$C$552</f>
        <v>350</v>
      </c>
      <c r="G873" s="190">
        <f t="shared" si="8"/>
        <v>1050</v>
      </c>
      <c r="I873" s="75"/>
    </row>
    <row r="874" spans="1:9">
      <c r="A874" s="847"/>
      <c r="B874" s="92"/>
      <c r="C874" s="353" t="s">
        <v>1174</v>
      </c>
      <c r="D874" s="159"/>
      <c r="E874" s="238"/>
      <c r="F874" s="236" t="s">
        <v>1698</v>
      </c>
      <c r="G874" s="318">
        <f>SUM(G863:G873)</f>
        <v>8886.0600000000013</v>
      </c>
    </row>
    <row r="875" spans="1:9">
      <c r="A875" s="847"/>
      <c r="B875" s="359" t="s">
        <v>5948</v>
      </c>
      <c r="C875" s="48"/>
      <c r="D875" s="31"/>
      <c r="E875" s="85">
        <f>ROUND(G874/F829,1)</f>
        <v>130.69999999999999</v>
      </c>
    </row>
    <row r="876" spans="1:9">
      <c r="A876" s="847"/>
      <c r="B876" s="359" t="s">
        <v>3163</v>
      </c>
      <c r="C876" s="48"/>
      <c r="D876" s="922">
        <f>'BASIC DATA'!$C$577</f>
        <v>0.13614999999999999</v>
      </c>
      <c r="E876" s="85">
        <f>ROUND(E875*D876,1)</f>
        <v>17.8</v>
      </c>
    </row>
    <row r="877" spans="1:9">
      <c r="A877" s="847"/>
      <c r="B877" s="359" t="s">
        <v>5949</v>
      </c>
      <c r="C877" s="48"/>
      <c r="D877" s="31"/>
      <c r="E877" s="199">
        <f>ROUND(E876+E875,1)</f>
        <v>148.5</v>
      </c>
    </row>
    <row r="878" spans="1:9">
      <c r="A878" s="847"/>
      <c r="C878" s="48"/>
    </row>
    <row r="879" spans="1:9">
      <c r="A879" s="847"/>
      <c r="B879" s="162" t="s">
        <v>1175</v>
      </c>
      <c r="C879" s="48"/>
    </row>
    <row r="880" spans="1:9">
      <c r="A880" s="847"/>
      <c r="B880" s="47" t="s">
        <v>1176</v>
      </c>
      <c r="C880" s="48"/>
      <c r="F880" s="171" t="s">
        <v>1698</v>
      </c>
      <c r="G880" s="68">
        <f>G843</f>
        <v>12604.079166666666</v>
      </c>
    </row>
    <row r="881" spans="1:9">
      <c r="A881" s="847"/>
      <c r="B881" s="47" t="s">
        <v>1186</v>
      </c>
      <c r="C881" s="48"/>
      <c r="F881" s="171" t="s">
        <v>1698</v>
      </c>
      <c r="G881" s="68">
        <f>G858</f>
        <v>14553.82</v>
      </c>
    </row>
    <row r="882" spans="1:9">
      <c r="A882" s="847"/>
      <c r="B882" s="47" t="s">
        <v>2660</v>
      </c>
      <c r="C882" s="48"/>
      <c r="F882" s="171" t="s">
        <v>1698</v>
      </c>
      <c r="G882" s="75">
        <f>G874</f>
        <v>8886.0600000000013</v>
      </c>
    </row>
    <row r="883" spans="1:9">
      <c r="A883" s="847"/>
      <c r="C883" s="48"/>
      <c r="F883" s="171" t="s">
        <v>302</v>
      </c>
      <c r="G883" s="205">
        <f>SUM(G880:G882)</f>
        <v>36043.959166666667</v>
      </c>
    </row>
    <row r="884" spans="1:9">
      <c r="A884" s="848"/>
      <c r="B884" s="382" t="s">
        <v>1807</v>
      </c>
      <c r="C884" s="49"/>
      <c r="D884" s="61"/>
      <c r="E884" s="320">
        <f>'BASIC DATA'!$C$579</f>
        <v>5.0000000000000001E-3</v>
      </c>
      <c r="F884" s="222" t="s">
        <v>1698</v>
      </c>
      <c r="G884" s="223">
        <f>G883*E884</f>
        <v>180.21979583333334</v>
      </c>
      <c r="H884" s="61"/>
      <c r="I884" s="61"/>
    </row>
    <row r="885" spans="1:9">
      <c r="A885" s="847"/>
      <c r="B885" s="78"/>
      <c r="C885" s="48"/>
      <c r="E885" s="250"/>
      <c r="F885" s="171" t="s">
        <v>302</v>
      </c>
      <c r="G885" s="205">
        <f>SUM(G883:G884)</f>
        <v>36224.178962500002</v>
      </c>
    </row>
    <row r="886" spans="1:9">
      <c r="A886" s="847"/>
      <c r="B886" s="1207" t="s">
        <v>5769</v>
      </c>
      <c r="C886" s="1207"/>
      <c r="D886" s="1207"/>
      <c r="E886" s="922">
        <f>'BASIC DATA'!$C$577</f>
        <v>0.13614999999999999</v>
      </c>
      <c r="F886" s="171" t="s">
        <v>1698</v>
      </c>
      <c r="G886" s="31">
        <f>ROUND(G885*E886,2)</f>
        <v>4931.92</v>
      </c>
    </row>
    <row r="887" spans="1:9">
      <c r="A887" s="847"/>
      <c r="B887" s="47" t="s">
        <v>1191</v>
      </c>
      <c r="C887" s="48"/>
      <c r="D887" s="68">
        <f>F829</f>
        <v>68</v>
      </c>
      <c r="E887" s="68" t="str">
        <f>G829</f>
        <v>cum</v>
      </c>
      <c r="F887" s="171" t="s">
        <v>1698</v>
      </c>
      <c r="G887" s="211">
        <f>G886+G885</f>
        <v>41156.0989625</v>
      </c>
    </row>
    <row r="888" spans="1:9">
      <c r="A888" s="847"/>
      <c r="B888" s="79" t="s">
        <v>1584</v>
      </c>
      <c r="C888" s="356" t="str">
        <f>E887</f>
        <v>cum</v>
      </c>
      <c r="D888" s="26" t="s">
        <v>1320</v>
      </c>
      <c r="F888" s="171" t="s">
        <v>4108</v>
      </c>
      <c r="G888" s="211">
        <f>ROUND(G887/D887,1)</f>
        <v>605.20000000000005</v>
      </c>
      <c r="H888" s="171"/>
    </row>
    <row r="889" spans="1:9"/>
    <row r="890" spans="1:9"/>
    <row r="891" spans="1:9" ht="18.75">
      <c r="A891" s="841" t="s">
        <v>7427</v>
      </c>
      <c r="B891" s="47" t="s">
        <v>8648</v>
      </c>
      <c r="C891" s="48"/>
    </row>
    <row r="892" spans="1:9" ht="18.75">
      <c r="A892" s="889" t="s">
        <v>832</v>
      </c>
      <c r="B892" s="47" t="s">
        <v>8649</v>
      </c>
      <c r="C892" s="48"/>
    </row>
    <row r="893" spans="1:9">
      <c r="A893" s="889"/>
      <c r="B893" s="47" t="s">
        <v>5201</v>
      </c>
      <c r="C893" s="48"/>
    </row>
    <row r="894" spans="1:9">
      <c r="A894" s="889"/>
      <c r="B894" s="47" t="s">
        <v>3304</v>
      </c>
      <c r="C894" s="48"/>
    </row>
    <row r="895" spans="1:9" ht="18.75">
      <c r="A895" s="889"/>
      <c r="B895" s="162" t="s">
        <v>8552</v>
      </c>
      <c r="C895" s="48"/>
    </row>
    <row r="896" spans="1:9">
      <c r="A896" s="889"/>
      <c r="C896" s="48"/>
    </row>
    <row r="897" spans="1:5">
      <c r="A897" s="890" t="s">
        <v>1940</v>
      </c>
      <c r="B897" s="47" t="s">
        <v>3305</v>
      </c>
      <c r="C897" s="48"/>
    </row>
    <row r="898" spans="1:5">
      <c r="A898" s="889"/>
      <c r="B898" s="47" t="s">
        <v>5205</v>
      </c>
      <c r="C898" s="48"/>
    </row>
    <row r="899" spans="1:5">
      <c r="A899" s="889"/>
      <c r="B899" s="47" t="s">
        <v>5206</v>
      </c>
      <c r="C899" s="48"/>
    </row>
    <row r="900" spans="1:5">
      <c r="A900" s="889"/>
      <c r="B900" s="47" t="s">
        <v>1428</v>
      </c>
      <c r="C900" s="48"/>
    </row>
    <row r="901" spans="1:5">
      <c r="A901" s="889"/>
      <c r="B901" s="47" t="s">
        <v>1429</v>
      </c>
      <c r="C901" s="48"/>
    </row>
    <row r="902" spans="1:5">
      <c r="A902" s="889"/>
      <c r="B902" s="47" t="s">
        <v>1430</v>
      </c>
      <c r="C902" s="48"/>
    </row>
    <row r="903" spans="1:5">
      <c r="A903" s="889"/>
      <c r="B903" s="47" t="s">
        <v>4379</v>
      </c>
      <c r="C903" s="48"/>
      <c r="E903" s="78"/>
    </row>
    <row r="904" spans="1:5">
      <c r="A904" s="889"/>
      <c r="B904" s="47" t="s">
        <v>1431</v>
      </c>
      <c r="C904" s="48"/>
    </row>
    <row r="905" spans="1:5">
      <c r="A905" s="889"/>
      <c r="B905" s="47" t="s">
        <v>1432</v>
      </c>
      <c r="C905" s="48"/>
    </row>
    <row r="906" spans="1:5">
      <c r="A906" s="889"/>
      <c r="B906" s="47" t="s">
        <v>1634</v>
      </c>
      <c r="C906" s="48"/>
    </row>
    <row r="907" spans="1:5">
      <c r="A907" s="889"/>
      <c r="B907" s="47" t="s">
        <v>1228</v>
      </c>
      <c r="C907" s="48"/>
    </row>
    <row r="908" spans="1:5">
      <c r="A908" s="889"/>
      <c r="B908" s="47" t="s">
        <v>1226</v>
      </c>
      <c r="C908" s="48"/>
    </row>
    <row r="909" spans="1:5">
      <c r="A909" s="889"/>
      <c r="B909" s="47" t="s">
        <v>1071</v>
      </c>
      <c r="C909" s="48"/>
    </row>
    <row r="910" spans="1:5">
      <c r="A910" s="889"/>
      <c r="C910" s="48"/>
    </row>
    <row r="911" spans="1:5" hidden="1">
      <c r="A911" s="889" t="s">
        <v>3984</v>
      </c>
      <c r="B911" s="47" t="s">
        <v>1775</v>
      </c>
      <c r="C911" s="48"/>
    </row>
    <row r="912" spans="1:5" hidden="1">
      <c r="A912" s="889"/>
      <c r="B912" s="587" t="s">
        <v>1072</v>
      </c>
      <c r="C912" s="48"/>
    </row>
    <row r="913" spans="1:3" hidden="1">
      <c r="A913" s="889"/>
      <c r="B913" s="47" t="s">
        <v>1073</v>
      </c>
      <c r="C913" s="48"/>
    </row>
    <row r="914" spans="1:3"/>
    <row r="915" spans="1:3"/>
    <row r="916" spans="1:3"/>
    <row r="917" spans="1:3"/>
    <row r="918" spans="1:3"/>
    <row r="919" spans="1:3"/>
    <row r="920" spans="1:3"/>
    <row r="921" spans="1:3"/>
    <row r="922" spans="1:3"/>
    <row r="923" spans="1:3"/>
    <row r="924" spans="1:3"/>
    <row r="925" spans="1:3"/>
    <row r="926" spans="1:3"/>
    <row r="927" spans="1:3"/>
    <row r="928" spans="1:3" hidden="1">
      <c r="A928" s="889"/>
      <c r="B928" s="47" t="s">
        <v>1074</v>
      </c>
      <c r="C928" s="48"/>
    </row>
    <row r="929" spans="1:8" hidden="1">
      <c r="A929" s="889"/>
      <c r="B929" s="47" t="s">
        <v>1075</v>
      </c>
      <c r="C929" s="48"/>
      <c r="F929" s="68">
        <v>2.5</v>
      </c>
      <c r="G929" s="26" t="s">
        <v>3883</v>
      </c>
      <c r="H929" s="371"/>
    </row>
    <row r="930" spans="1:8" hidden="1">
      <c r="A930" s="889"/>
      <c r="B930" s="47" t="s">
        <v>2853</v>
      </c>
      <c r="C930" s="48"/>
      <c r="H930" s="371"/>
    </row>
    <row r="931" spans="1:8" hidden="1">
      <c r="A931" s="889"/>
      <c r="B931" s="47" t="s">
        <v>341</v>
      </c>
      <c r="C931" s="48"/>
      <c r="H931" s="371"/>
    </row>
    <row r="932" spans="1:8" hidden="1">
      <c r="A932" s="889"/>
      <c r="B932" s="47" t="s">
        <v>342</v>
      </c>
      <c r="C932" s="48"/>
      <c r="E932" s="78" t="s">
        <v>1123</v>
      </c>
      <c r="F932" s="68">
        <v>17.5</v>
      </c>
      <c r="G932" s="26" t="s">
        <v>6901</v>
      </c>
      <c r="H932" s="372"/>
    </row>
    <row r="933" spans="1:8" hidden="1">
      <c r="A933" s="889"/>
      <c r="B933" s="47" t="s">
        <v>2204</v>
      </c>
      <c r="C933" s="48"/>
      <c r="H933" s="30"/>
    </row>
    <row r="934" spans="1:8" hidden="1">
      <c r="A934" s="889"/>
      <c r="B934" s="47" t="s">
        <v>343</v>
      </c>
      <c r="C934" s="48"/>
      <c r="H934" s="30"/>
    </row>
    <row r="935" spans="1:8" hidden="1">
      <c r="A935" s="889"/>
      <c r="B935" s="47" t="s">
        <v>6543</v>
      </c>
      <c r="C935" s="48"/>
      <c r="E935" s="78" t="s">
        <v>1123</v>
      </c>
      <c r="F935" s="26">
        <v>0.33</v>
      </c>
      <c r="G935" s="26" t="s">
        <v>3561</v>
      </c>
      <c r="H935" s="30"/>
    </row>
    <row r="936" spans="1:8" hidden="1">
      <c r="A936" s="889"/>
      <c r="B936" s="47" t="s">
        <v>2800</v>
      </c>
      <c r="C936" s="48"/>
      <c r="E936" s="78" t="s">
        <v>1123</v>
      </c>
      <c r="F936" s="26">
        <v>42</v>
      </c>
      <c r="G936" s="26" t="s">
        <v>3436</v>
      </c>
      <c r="H936" s="30"/>
    </row>
    <row r="937" spans="1:8" hidden="1">
      <c r="A937" s="889"/>
      <c r="B937" s="47" t="s">
        <v>6733</v>
      </c>
      <c r="C937" s="48"/>
      <c r="E937" s="78" t="s">
        <v>6734</v>
      </c>
      <c r="F937" s="68">
        <v>63</v>
      </c>
      <c r="G937" s="26" t="s">
        <v>3561</v>
      </c>
      <c r="H937" s="30"/>
    </row>
    <row r="938" spans="1:8" hidden="1">
      <c r="A938" s="889"/>
      <c r="B938" s="47" t="s">
        <v>266</v>
      </c>
      <c r="C938" s="48"/>
      <c r="E938" s="78"/>
      <c r="F938" s="26">
        <v>16</v>
      </c>
      <c r="G938" s="26" t="s">
        <v>3561</v>
      </c>
      <c r="H938" s="30"/>
    </row>
    <row r="939" spans="1:8" hidden="1">
      <c r="A939" s="889"/>
      <c r="B939" s="47" t="s">
        <v>4369</v>
      </c>
      <c r="C939" s="48"/>
      <c r="E939" s="78" t="s">
        <v>6734</v>
      </c>
      <c r="F939" s="68">
        <v>4</v>
      </c>
      <c r="G939" s="26" t="s">
        <v>3428</v>
      </c>
      <c r="H939" s="30"/>
    </row>
    <row r="940" spans="1:8" hidden="1">
      <c r="A940" s="889"/>
      <c r="B940" s="47" t="s">
        <v>1229</v>
      </c>
      <c r="C940" s="48"/>
    </row>
    <row r="941" spans="1:8" hidden="1">
      <c r="A941" s="889"/>
      <c r="B941" s="47" t="s">
        <v>1230</v>
      </c>
      <c r="C941" s="48"/>
    </row>
    <row r="942" spans="1:8" hidden="1">
      <c r="A942" s="889"/>
      <c r="B942" s="47" t="s">
        <v>1231</v>
      </c>
      <c r="C942" s="48"/>
    </row>
    <row r="943" spans="1:8" hidden="1">
      <c r="A943" s="889"/>
      <c r="B943" s="47" t="s">
        <v>1232</v>
      </c>
      <c r="C943" s="48"/>
      <c r="E943" s="78" t="s">
        <v>6734</v>
      </c>
      <c r="F943" s="68">
        <v>3.5</v>
      </c>
      <c r="G943" s="26" t="s">
        <v>3033</v>
      </c>
      <c r="H943" s="373"/>
    </row>
    <row r="944" spans="1:8" hidden="1">
      <c r="A944" s="889"/>
      <c r="B944" s="47" t="s">
        <v>1233</v>
      </c>
      <c r="C944" s="48"/>
      <c r="E944" s="78" t="s">
        <v>6734</v>
      </c>
      <c r="F944" s="26">
        <v>22</v>
      </c>
      <c r="G944" s="26" t="s">
        <v>3436</v>
      </c>
      <c r="H944" s="374"/>
    </row>
    <row r="945" spans="1:8" hidden="1">
      <c r="A945" s="889"/>
      <c r="B945" s="47" t="s">
        <v>5703</v>
      </c>
      <c r="C945" s="48"/>
      <c r="E945" s="78" t="s">
        <v>6734</v>
      </c>
      <c r="F945" s="26">
        <v>20</v>
      </c>
      <c r="G945" s="26" t="s">
        <v>3034</v>
      </c>
      <c r="H945" s="374"/>
    </row>
    <row r="946" spans="1:8" hidden="1">
      <c r="A946" s="889"/>
      <c r="B946" s="47" t="s">
        <v>2548</v>
      </c>
      <c r="C946" s="48"/>
    </row>
    <row r="947" spans="1:8" hidden="1">
      <c r="A947" s="889"/>
      <c r="B947" s="47" t="s">
        <v>2548</v>
      </c>
      <c r="C947" s="48"/>
    </row>
    <row r="948" spans="1:8" hidden="1">
      <c r="A948" s="889"/>
      <c r="B948" s="47" t="s">
        <v>2824</v>
      </c>
      <c r="C948" s="48"/>
    </row>
    <row r="949" spans="1:8" hidden="1">
      <c r="A949" s="889"/>
      <c r="B949" s="47" t="s">
        <v>2825</v>
      </c>
      <c r="C949" s="48"/>
    </row>
    <row r="950" spans="1:8" hidden="1">
      <c r="A950" s="889"/>
      <c r="B950" s="47" t="s">
        <v>2584</v>
      </c>
      <c r="C950" s="48"/>
    </row>
    <row r="951" spans="1:8" hidden="1">
      <c r="A951" s="889"/>
      <c r="B951" s="47" t="s">
        <v>1633</v>
      </c>
      <c r="C951" s="48"/>
    </row>
    <row r="952" spans="1:8" hidden="1">
      <c r="A952" s="889"/>
      <c r="B952" s="47" t="s">
        <v>5941</v>
      </c>
      <c r="C952" s="48"/>
    </row>
    <row r="953" spans="1:8" hidden="1">
      <c r="A953" s="889"/>
      <c r="B953" s="47" t="s">
        <v>4438</v>
      </c>
      <c r="C953" s="48"/>
    </row>
    <row r="954" spans="1:8" hidden="1">
      <c r="A954" s="889"/>
      <c r="B954" s="47" t="s">
        <v>5959</v>
      </c>
      <c r="C954" s="48"/>
    </row>
    <row r="955" spans="1:8" hidden="1">
      <c r="A955" s="889"/>
      <c r="B955" s="47" t="s">
        <v>1757</v>
      </c>
      <c r="C955" s="48"/>
    </row>
    <row r="956" spans="1:8" hidden="1">
      <c r="A956" s="889"/>
      <c r="B956" s="47" t="s">
        <v>4439</v>
      </c>
      <c r="C956" s="48"/>
    </row>
    <row r="957" spans="1:8" hidden="1">
      <c r="A957" s="889"/>
      <c r="B957" s="47" t="s">
        <v>5960</v>
      </c>
      <c r="C957" s="48"/>
    </row>
    <row r="958" spans="1:8" hidden="1">
      <c r="A958" s="889"/>
      <c r="B958" s="47" t="s">
        <v>2366</v>
      </c>
      <c r="C958" s="48"/>
    </row>
    <row r="959" spans="1:8" hidden="1">
      <c r="A959" s="889"/>
      <c r="B959" s="47" t="s">
        <v>1402</v>
      </c>
      <c r="C959" s="362">
        <f>'BASIC DATA'!$D$307</f>
        <v>4028</v>
      </c>
      <c r="D959" s="26" t="s">
        <v>98</v>
      </c>
      <c r="E959" s="78" t="s">
        <v>1698</v>
      </c>
      <c r="F959" s="68">
        <f>C959</f>
        <v>4028</v>
      </c>
      <c r="H959" s="30"/>
    </row>
    <row r="960" spans="1:8" hidden="1">
      <c r="A960" s="889"/>
      <c r="B960" s="47" t="s">
        <v>99</v>
      </c>
      <c r="C960" s="362"/>
      <c r="E960" s="78" t="s">
        <v>1697</v>
      </c>
      <c r="F960" s="316">
        <v>150</v>
      </c>
      <c r="G960" s="26" t="s">
        <v>2602</v>
      </c>
      <c r="H960" s="30"/>
    </row>
    <row r="961" spans="1:9" hidden="1">
      <c r="A961" s="889"/>
      <c r="B961" s="47" t="s">
        <v>7592</v>
      </c>
      <c r="C961" s="362" t="s">
        <v>7593</v>
      </c>
      <c r="E961" s="78" t="s">
        <v>1698</v>
      </c>
      <c r="F961" s="68">
        <f>F959/F960</f>
        <v>26.853333333333332</v>
      </c>
      <c r="H961" s="30"/>
    </row>
    <row r="962" spans="1:9" hidden="1">
      <c r="A962" s="889"/>
      <c r="B962" s="47" t="s">
        <v>7594</v>
      </c>
      <c r="C962" s="362"/>
      <c r="E962" s="78" t="s">
        <v>1697</v>
      </c>
      <c r="F962" s="316">
        <v>50</v>
      </c>
      <c r="G962" s="26" t="s">
        <v>3561</v>
      </c>
      <c r="H962" s="30"/>
    </row>
    <row r="963" spans="1:9" hidden="1">
      <c r="A963" s="889"/>
      <c r="B963" s="47" t="s">
        <v>5348</v>
      </c>
      <c r="C963" s="362">
        <f>'BASIC DATA'!$D$344</f>
        <v>185</v>
      </c>
      <c r="D963" s="26" t="s">
        <v>2618</v>
      </c>
      <c r="E963" s="78" t="s">
        <v>1698</v>
      </c>
      <c r="F963" s="68">
        <f>F962*C963</f>
        <v>9250</v>
      </c>
      <c r="H963" s="30"/>
    </row>
    <row r="964" spans="1:9" hidden="1">
      <c r="A964" s="889"/>
      <c r="B964" s="47" t="s">
        <v>5152</v>
      </c>
      <c r="C964" s="48"/>
      <c r="E964" s="78" t="s">
        <v>1697</v>
      </c>
      <c r="F964" s="316">
        <v>800</v>
      </c>
      <c r="G964" s="26" t="s">
        <v>3428</v>
      </c>
      <c r="H964" s="30"/>
    </row>
    <row r="965" spans="1:9" hidden="1">
      <c r="A965" s="889"/>
      <c r="B965" s="47" t="s">
        <v>6262</v>
      </c>
      <c r="C965" s="48" t="s">
        <v>7593</v>
      </c>
      <c r="E965" s="78" t="s">
        <v>1698</v>
      </c>
      <c r="F965" s="68">
        <f>F963/F964</f>
        <v>11.5625</v>
      </c>
      <c r="H965" s="30"/>
    </row>
    <row r="966" spans="1:9" hidden="1">
      <c r="A966" s="847"/>
      <c r="B966" s="78"/>
      <c r="C966" s="48"/>
      <c r="I966" s="375"/>
    </row>
    <row r="967" spans="1:9" hidden="1">
      <c r="A967" s="847"/>
      <c r="B967" s="78"/>
      <c r="C967" s="48"/>
      <c r="I967" s="375"/>
    </row>
    <row r="968" spans="1:9" hidden="1">
      <c r="A968" s="847"/>
      <c r="B968" s="78"/>
      <c r="C968" s="48"/>
      <c r="I968" s="375"/>
    </row>
    <row r="969" spans="1:9" hidden="1">
      <c r="A969" s="847"/>
      <c r="B969" s="78"/>
      <c r="C969" s="48"/>
      <c r="I969" s="375"/>
    </row>
    <row r="970" spans="1:9">
      <c r="A970" s="847"/>
      <c r="B970" s="78"/>
      <c r="C970" s="48"/>
      <c r="I970" s="375"/>
    </row>
    <row r="971" spans="1:9">
      <c r="A971" s="847" t="s">
        <v>1907</v>
      </c>
      <c r="B971" s="78"/>
      <c r="C971" s="349" t="s">
        <v>2367</v>
      </c>
    </row>
    <row r="972" spans="1:9">
      <c r="A972" s="847"/>
      <c r="B972" s="79" t="s">
        <v>2368</v>
      </c>
      <c r="C972" s="48"/>
      <c r="E972" s="171" t="s">
        <v>297</v>
      </c>
      <c r="F972" s="246">
        <v>17.5</v>
      </c>
      <c r="G972" s="26" t="s">
        <v>3477</v>
      </c>
    </row>
    <row r="973" spans="1:9">
      <c r="A973" s="847"/>
      <c r="B973" s="95" t="s">
        <v>2369</v>
      </c>
      <c r="C973" s="350" t="s">
        <v>6374</v>
      </c>
      <c r="D973" s="95" t="s">
        <v>2370</v>
      </c>
      <c r="E973" s="95" t="s">
        <v>1166</v>
      </c>
      <c r="F973" s="95" t="s">
        <v>2371</v>
      </c>
      <c r="G973" s="95" t="s">
        <v>2372</v>
      </c>
    </row>
    <row r="974" spans="1:9">
      <c r="A974" s="847"/>
      <c r="B974" s="114"/>
      <c r="C974" s="351"/>
      <c r="D974" s="114"/>
      <c r="E974" s="114"/>
      <c r="F974" s="114" t="s">
        <v>3485</v>
      </c>
      <c r="G974" s="114" t="s">
        <v>3485</v>
      </c>
    </row>
    <row r="975" spans="1:9">
      <c r="A975" s="847"/>
      <c r="B975" s="95">
        <v>1</v>
      </c>
      <c r="C975" s="91" t="s">
        <v>6263</v>
      </c>
      <c r="D975" s="95" t="s">
        <v>3483</v>
      </c>
      <c r="E975" s="190">
        <v>63</v>
      </c>
      <c r="F975" s="190">
        <f>F961</f>
        <v>26.853333333333332</v>
      </c>
      <c r="G975" s="190">
        <f>E975*F975</f>
        <v>1691.76</v>
      </c>
      <c r="I975" s="367"/>
    </row>
    <row r="976" spans="1:9">
      <c r="A976" s="847"/>
      <c r="B976" s="152"/>
      <c r="C976" s="91" t="s">
        <v>5125</v>
      </c>
      <c r="D976" s="213">
        <v>0.1</v>
      </c>
      <c r="E976" s="190"/>
      <c r="F976" s="190"/>
      <c r="G976" s="190">
        <f>G975*D976</f>
        <v>169.17600000000002</v>
      </c>
      <c r="I976" s="367"/>
    </row>
    <row r="977" spans="1:9">
      <c r="A977" s="847"/>
      <c r="B977" s="105">
        <v>2</v>
      </c>
      <c r="C977" s="91" t="s">
        <v>1499</v>
      </c>
      <c r="D977" s="105" t="s">
        <v>2374</v>
      </c>
      <c r="E977" s="190">
        <v>10</v>
      </c>
      <c r="F977" s="190">
        <f>F965</f>
        <v>11.5625</v>
      </c>
      <c r="G977" s="190">
        <f>E977*F977</f>
        <v>115.625</v>
      </c>
      <c r="I977" s="367"/>
    </row>
    <row r="978" spans="1:9" ht="36">
      <c r="A978" s="847"/>
      <c r="B978" s="105">
        <v>3</v>
      </c>
      <c r="C978" s="91" t="s">
        <v>1500</v>
      </c>
      <c r="D978" s="105" t="s">
        <v>3478</v>
      </c>
      <c r="E978" s="190">
        <v>3.5</v>
      </c>
      <c r="F978" s="190">
        <f>'BASIC DATA'!$D$54</f>
        <v>70</v>
      </c>
      <c r="G978" s="190">
        <f>E978*F978</f>
        <v>245</v>
      </c>
      <c r="I978" s="367"/>
    </row>
    <row r="979" spans="1:9">
      <c r="A979" s="847"/>
      <c r="B979" s="105">
        <v>4</v>
      </c>
      <c r="C979" s="91" t="s">
        <v>837</v>
      </c>
      <c r="D979" s="105" t="s">
        <v>2059</v>
      </c>
      <c r="E979" s="190">
        <v>22</v>
      </c>
      <c r="F979" s="190">
        <f>'BASIC DATA'!$D$48</f>
        <v>20</v>
      </c>
      <c r="G979" s="190">
        <f>E979*F979</f>
        <v>440</v>
      </c>
      <c r="I979" s="367"/>
    </row>
    <row r="980" spans="1:9">
      <c r="A980" s="847"/>
      <c r="B980" s="105">
        <v>5</v>
      </c>
      <c r="C980" s="91" t="s">
        <v>6094</v>
      </c>
      <c r="D980" s="105" t="s">
        <v>3483</v>
      </c>
      <c r="E980" s="190">
        <v>20</v>
      </c>
      <c r="F980" s="190">
        <f>'BASIC DATA'!$D$46</f>
        <v>9</v>
      </c>
      <c r="G980" s="190">
        <f>E980*F980</f>
        <v>180</v>
      </c>
      <c r="I980" s="367"/>
    </row>
    <row r="981" spans="1:9">
      <c r="A981" s="847"/>
      <c r="B981" s="114">
        <v>6</v>
      </c>
      <c r="C981" s="91" t="s">
        <v>2373</v>
      </c>
      <c r="D981" s="105" t="s">
        <v>2173</v>
      </c>
      <c r="E981" s="190">
        <v>1</v>
      </c>
      <c r="F981" s="190">
        <f>'BASIC DATA'!$D$359</f>
        <v>30</v>
      </c>
      <c r="G981" s="190">
        <f>E981*F981</f>
        <v>30</v>
      </c>
      <c r="I981" s="367"/>
    </row>
    <row r="982" spans="1:9">
      <c r="A982" s="847"/>
      <c r="B982" s="92"/>
      <c r="C982" s="353" t="s">
        <v>2376</v>
      </c>
      <c r="D982" s="159"/>
      <c r="E982" s="238"/>
      <c r="F982" s="236" t="s">
        <v>1698</v>
      </c>
      <c r="G982" s="318">
        <f>SUM(G975:G981)</f>
        <v>2871.5609999999997</v>
      </c>
      <c r="I982" s="31"/>
    </row>
    <row r="983" spans="1:9">
      <c r="A983" s="847"/>
      <c r="B983" s="78"/>
      <c r="C983" s="48"/>
      <c r="I983" s="31"/>
    </row>
    <row r="984" spans="1:9">
      <c r="A984" s="847"/>
      <c r="B984" s="79" t="s">
        <v>2377</v>
      </c>
      <c r="C984" s="48"/>
      <c r="I984" s="31"/>
    </row>
    <row r="985" spans="1:9">
      <c r="A985" s="847"/>
      <c r="B985" s="95" t="s">
        <v>2369</v>
      </c>
      <c r="C985" s="350" t="s">
        <v>2378</v>
      </c>
      <c r="D985" s="95" t="s">
        <v>2370</v>
      </c>
      <c r="E985" s="95" t="s">
        <v>1166</v>
      </c>
      <c r="F985" s="95" t="s">
        <v>2371</v>
      </c>
      <c r="G985" s="95" t="s">
        <v>2372</v>
      </c>
      <c r="I985" s="31"/>
    </row>
    <row r="986" spans="1:9">
      <c r="A986" s="847"/>
      <c r="B986" s="114"/>
      <c r="C986" s="351"/>
      <c r="D986" s="114"/>
      <c r="E986" s="114"/>
      <c r="F986" s="114" t="s">
        <v>3485</v>
      </c>
      <c r="G986" s="114" t="s">
        <v>3485</v>
      </c>
      <c r="I986" s="31"/>
    </row>
    <row r="987" spans="1:9">
      <c r="A987" s="847"/>
      <c r="B987" s="95">
        <v>1</v>
      </c>
      <c r="C987" s="355" t="s">
        <v>298</v>
      </c>
      <c r="D987" s="95" t="s">
        <v>2374</v>
      </c>
      <c r="E987" s="220">
        <v>0.28000000000000003</v>
      </c>
      <c r="F987" s="190">
        <f>'HIRE CHARGES'!$D$543</f>
        <v>1706.6</v>
      </c>
      <c r="G987" s="190">
        <f t="shared" ref="G987:G994" si="9">E987*F987</f>
        <v>477.84800000000001</v>
      </c>
      <c r="I987" s="75"/>
    </row>
    <row r="988" spans="1:9">
      <c r="A988" s="847"/>
      <c r="B988" s="152"/>
      <c r="C988" s="355" t="s">
        <v>2379</v>
      </c>
      <c r="D988" s="105" t="s">
        <v>2374</v>
      </c>
      <c r="E988" s="220">
        <v>0.28000000000000003</v>
      </c>
      <c r="F988" s="190">
        <f>'HIRE CHARGES'!$E$543</f>
        <v>872.7</v>
      </c>
      <c r="G988" s="190">
        <f t="shared" si="9"/>
        <v>244.35600000000002</v>
      </c>
      <c r="I988" s="75"/>
    </row>
    <row r="989" spans="1:9">
      <c r="A989" s="847"/>
      <c r="B989" s="105">
        <v>2</v>
      </c>
      <c r="C989" s="355" t="s">
        <v>2061</v>
      </c>
      <c r="D989" s="105" t="s">
        <v>2374</v>
      </c>
      <c r="E989" s="220">
        <v>1.1200000000000001</v>
      </c>
      <c r="F989" s="190">
        <f>'HIRE CHARGES'!$D$545</f>
        <v>446.7</v>
      </c>
      <c r="G989" s="190">
        <f t="shared" si="9"/>
        <v>500.30400000000003</v>
      </c>
      <c r="I989" s="75"/>
    </row>
    <row r="990" spans="1:9">
      <c r="A990" s="847"/>
      <c r="B990" s="152"/>
      <c r="C990" s="355" t="s">
        <v>2379</v>
      </c>
      <c r="D990" s="105" t="s">
        <v>2374</v>
      </c>
      <c r="E990" s="220">
        <v>1.1200000000000001</v>
      </c>
      <c r="F990" s="190">
        <f>'HIRE CHARGES'!$E$545</f>
        <v>299.89999999999998</v>
      </c>
      <c r="G990" s="190">
        <f t="shared" si="9"/>
        <v>335.88800000000003</v>
      </c>
      <c r="I990" s="75"/>
    </row>
    <row r="991" spans="1:9" ht="36">
      <c r="A991" s="847"/>
      <c r="B991" s="105">
        <v>3</v>
      </c>
      <c r="C991" s="355" t="s">
        <v>2869</v>
      </c>
      <c r="D991" s="105" t="s">
        <v>2374</v>
      </c>
      <c r="E991" s="220">
        <v>5</v>
      </c>
      <c r="F991" s="214">
        <f>'HIRE CHARGES'!$D$496</f>
        <v>275.60000000000002</v>
      </c>
      <c r="G991" s="190">
        <f t="shared" si="9"/>
        <v>1378</v>
      </c>
      <c r="I991" s="75"/>
    </row>
    <row r="992" spans="1:9">
      <c r="A992" s="847"/>
      <c r="B992" s="105"/>
      <c r="C992" s="355" t="s">
        <v>2379</v>
      </c>
      <c r="D992" s="105" t="s">
        <v>2374</v>
      </c>
      <c r="E992" s="220">
        <v>5</v>
      </c>
      <c r="F992" s="214">
        <f>'HIRE CHARGES'!$E$496</f>
        <v>892.5</v>
      </c>
      <c r="G992" s="190">
        <f t="shared" si="9"/>
        <v>4462.5</v>
      </c>
      <c r="I992" s="75"/>
    </row>
    <row r="993" spans="1:9">
      <c r="A993" s="847"/>
      <c r="B993" s="105">
        <v>4</v>
      </c>
      <c r="C993" s="355" t="s">
        <v>2063</v>
      </c>
      <c r="D993" s="105" t="s">
        <v>2374</v>
      </c>
      <c r="E993" s="220">
        <v>10</v>
      </c>
      <c r="F993" s="214">
        <f>'HIRE CHARGES'!$D$530</f>
        <v>19.8</v>
      </c>
      <c r="G993" s="190">
        <f t="shared" si="9"/>
        <v>198</v>
      </c>
      <c r="I993" s="75"/>
    </row>
    <row r="994" spans="1:9">
      <c r="A994" s="847"/>
      <c r="B994" s="114"/>
      <c r="C994" s="355" t="s">
        <v>2379</v>
      </c>
      <c r="D994" s="105" t="s">
        <v>2374</v>
      </c>
      <c r="E994" s="220">
        <v>10</v>
      </c>
      <c r="F994" s="214">
        <f>'HIRE CHARGES'!$E$530</f>
        <v>0</v>
      </c>
      <c r="G994" s="190">
        <f t="shared" si="9"/>
        <v>0</v>
      </c>
      <c r="I994" s="75"/>
    </row>
    <row r="995" spans="1:9">
      <c r="A995" s="847"/>
      <c r="B995" s="176"/>
      <c r="C995" s="357" t="s">
        <v>2380</v>
      </c>
      <c r="D995" s="174"/>
      <c r="E995" s="192"/>
      <c r="F995" s="236" t="s">
        <v>1698</v>
      </c>
      <c r="G995" s="354">
        <f>SUM(G987:G994)</f>
        <v>7596.8960000000006</v>
      </c>
      <c r="I995" s="31"/>
    </row>
    <row r="996" spans="1:9">
      <c r="A996" s="847"/>
      <c r="B996" s="78"/>
      <c r="C996" s="48"/>
      <c r="I996" s="31"/>
    </row>
    <row r="997" spans="1:9">
      <c r="A997" s="847"/>
      <c r="B997" s="79" t="s">
        <v>2381</v>
      </c>
      <c r="C997" s="48"/>
      <c r="I997" s="31"/>
    </row>
    <row r="998" spans="1:9">
      <c r="A998" s="847"/>
      <c r="B998" s="95" t="s">
        <v>2369</v>
      </c>
      <c r="C998" s="350" t="s">
        <v>2378</v>
      </c>
      <c r="D998" s="95" t="s">
        <v>2370</v>
      </c>
      <c r="E998" s="95" t="s">
        <v>1166</v>
      </c>
      <c r="F998" s="95" t="s">
        <v>2371</v>
      </c>
      <c r="G998" s="95" t="s">
        <v>2372</v>
      </c>
      <c r="I998" s="31"/>
    </row>
    <row r="999" spans="1:9">
      <c r="A999" s="847"/>
      <c r="B999" s="114"/>
      <c r="C999" s="351"/>
      <c r="D999" s="105"/>
      <c r="E999" s="114"/>
      <c r="F999" s="114" t="s">
        <v>3485</v>
      </c>
      <c r="G999" s="114" t="s">
        <v>3485</v>
      </c>
      <c r="I999" s="31"/>
    </row>
    <row r="1000" spans="1:9">
      <c r="A1000" s="847"/>
      <c r="B1000" s="105">
        <v>1</v>
      </c>
      <c r="C1000" s="86" t="s">
        <v>300</v>
      </c>
      <c r="D1000" s="95" t="s">
        <v>2374</v>
      </c>
      <c r="E1000" s="207">
        <v>0.5</v>
      </c>
      <c r="F1000" s="190">
        <f>'HIRE CHARGES'!$F$543</f>
        <v>236.6</v>
      </c>
      <c r="G1000" s="190">
        <f t="shared" ref="G1000:G1009" si="10">E1000*F1000</f>
        <v>118.3</v>
      </c>
      <c r="I1000" s="75"/>
    </row>
    <row r="1001" spans="1:9">
      <c r="A1001" s="847"/>
      <c r="B1001" s="105">
        <v>2</v>
      </c>
      <c r="C1001" s="86" t="s">
        <v>301</v>
      </c>
      <c r="D1001" s="105" t="s">
        <v>2374</v>
      </c>
      <c r="E1001" s="207">
        <v>1.1200000000000001</v>
      </c>
      <c r="F1001" s="190">
        <f>'HIRE CHARGES'!$F$545</f>
        <v>177.5</v>
      </c>
      <c r="G1001" s="190">
        <f t="shared" si="10"/>
        <v>198.8</v>
      </c>
      <c r="I1001" s="75"/>
    </row>
    <row r="1002" spans="1:9">
      <c r="A1002" s="847"/>
      <c r="B1002" s="105">
        <v>3</v>
      </c>
      <c r="C1002" s="86" t="s">
        <v>4606</v>
      </c>
      <c r="D1002" s="105" t="s">
        <v>2374</v>
      </c>
      <c r="E1002" s="207">
        <v>5</v>
      </c>
      <c r="F1002" s="190">
        <f>'HIRE CHARGES'!$F$496</f>
        <v>210.9</v>
      </c>
      <c r="G1002" s="190">
        <f t="shared" si="10"/>
        <v>1054.5</v>
      </c>
      <c r="I1002" s="75"/>
    </row>
    <row r="1003" spans="1:9">
      <c r="A1003" s="847"/>
      <c r="B1003" s="105">
        <v>4</v>
      </c>
      <c r="C1003" s="86" t="s">
        <v>4607</v>
      </c>
      <c r="D1003" s="105" t="s">
        <v>2374</v>
      </c>
      <c r="E1003" s="207">
        <v>10</v>
      </c>
      <c r="F1003" s="190">
        <f>'HIRE CHARGES'!$F$530</f>
        <v>329.6</v>
      </c>
      <c r="G1003" s="190">
        <f t="shared" si="10"/>
        <v>3296</v>
      </c>
      <c r="I1003" s="75"/>
    </row>
    <row r="1004" spans="1:9">
      <c r="A1004" s="847"/>
      <c r="B1004" s="105">
        <v>5</v>
      </c>
      <c r="C1004" s="86" t="s">
        <v>4206</v>
      </c>
      <c r="D1004" s="105" t="s">
        <v>1172</v>
      </c>
      <c r="E1004" s="207">
        <v>0.5</v>
      </c>
      <c r="F1004" s="190">
        <f>'BASIC DATA'!$C$473</f>
        <v>450</v>
      </c>
      <c r="G1004" s="190">
        <f t="shared" si="10"/>
        <v>225</v>
      </c>
      <c r="I1004" s="75"/>
    </row>
    <row r="1005" spans="1:9">
      <c r="A1005" s="847"/>
      <c r="B1005" s="105">
        <v>6</v>
      </c>
      <c r="C1005" s="86" t="s">
        <v>4608</v>
      </c>
      <c r="D1005" s="105" t="s">
        <v>1172</v>
      </c>
      <c r="E1005" s="207">
        <v>0.5</v>
      </c>
      <c r="F1005" s="190">
        <f>'BASIC DATA'!$C$466</f>
        <v>510</v>
      </c>
      <c r="G1005" s="190">
        <f t="shared" si="10"/>
        <v>255</v>
      </c>
      <c r="I1005" s="75"/>
    </row>
    <row r="1006" spans="1:9">
      <c r="A1006" s="847"/>
      <c r="B1006" s="105">
        <v>7</v>
      </c>
      <c r="C1006" s="86" t="s">
        <v>4609</v>
      </c>
      <c r="D1006" s="105" t="s">
        <v>1172</v>
      </c>
      <c r="E1006" s="207">
        <v>0.5</v>
      </c>
      <c r="F1006" s="190">
        <f>'BASIC DATA'!$C$520</f>
        <v>400</v>
      </c>
      <c r="G1006" s="190">
        <f t="shared" si="10"/>
        <v>200</v>
      </c>
      <c r="I1006" s="75"/>
    </row>
    <row r="1007" spans="1:9">
      <c r="A1007" s="847"/>
      <c r="B1007" s="105">
        <v>8</v>
      </c>
      <c r="C1007" s="86" t="s">
        <v>1190</v>
      </c>
      <c r="D1007" s="105" t="s">
        <v>1172</v>
      </c>
      <c r="E1007" s="207">
        <v>0.5</v>
      </c>
      <c r="F1007" s="190">
        <f>'BASIC DATA'!$C$546</f>
        <v>400</v>
      </c>
      <c r="G1007" s="190">
        <f t="shared" si="10"/>
        <v>200</v>
      </c>
      <c r="I1007" s="75"/>
    </row>
    <row r="1008" spans="1:9">
      <c r="A1008" s="847"/>
      <c r="B1008" s="105">
        <v>9</v>
      </c>
      <c r="C1008" s="86" t="s">
        <v>840</v>
      </c>
      <c r="D1008" s="105" t="s">
        <v>1172</v>
      </c>
      <c r="E1008" s="207">
        <v>0.5</v>
      </c>
      <c r="F1008" s="190">
        <f>'BASIC DATA'!$C$545</f>
        <v>400</v>
      </c>
      <c r="G1008" s="190">
        <f t="shared" si="10"/>
        <v>200</v>
      </c>
      <c r="I1008" s="75"/>
    </row>
    <row r="1009" spans="1:9">
      <c r="A1009" s="847"/>
      <c r="B1009" s="105">
        <v>10</v>
      </c>
      <c r="C1009" s="86" t="s">
        <v>2697</v>
      </c>
      <c r="D1009" s="105" t="s">
        <v>1172</v>
      </c>
      <c r="E1009" s="207">
        <v>1</v>
      </c>
      <c r="F1009" s="190">
        <f>'BASIC DATA'!$C$552</f>
        <v>350</v>
      </c>
      <c r="G1009" s="190">
        <f t="shared" si="10"/>
        <v>350</v>
      </c>
      <c r="I1009" s="75"/>
    </row>
    <row r="1010" spans="1:9">
      <c r="A1010" s="847"/>
      <c r="B1010" s="92"/>
      <c r="C1010" s="353" t="s">
        <v>1174</v>
      </c>
      <c r="D1010" s="159"/>
      <c r="E1010" s="238"/>
      <c r="F1010" s="236" t="s">
        <v>1698</v>
      </c>
      <c r="G1010" s="318">
        <f>SUM(G1000:G1009)</f>
        <v>6097.6</v>
      </c>
    </row>
    <row r="1011" spans="1:9">
      <c r="A1011" s="847"/>
      <c r="B1011" s="359" t="s">
        <v>5948</v>
      </c>
      <c r="C1011" s="48"/>
      <c r="D1011" s="31"/>
      <c r="E1011" s="85">
        <f>ROUND(G1010/F972,1)</f>
        <v>348.4</v>
      </c>
    </row>
    <row r="1012" spans="1:9">
      <c r="A1012" s="847"/>
      <c r="B1012" s="359" t="s">
        <v>3163</v>
      </c>
      <c r="C1012" s="48"/>
      <c r="D1012" s="922">
        <f>'BASIC DATA'!$C$577</f>
        <v>0.13614999999999999</v>
      </c>
      <c r="E1012" s="85">
        <f>ROUND(E1011*D1012,1)</f>
        <v>47.4</v>
      </c>
    </row>
    <row r="1013" spans="1:9">
      <c r="A1013" s="847"/>
      <c r="B1013" s="359" t="s">
        <v>5949</v>
      </c>
      <c r="C1013" s="48"/>
      <c r="D1013" s="31"/>
      <c r="E1013" s="199">
        <f>ROUND(E1012+E1011,1)</f>
        <v>395.8</v>
      </c>
    </row>
    <row r="1014" spans="1:9">
      <c r="A1014" s="847"/>
      <c r="C1014" s="48"/>
    </row>
    <row r="1015" spans="1:9">
      <c r="A1015" s="847"/>
      <c r="B1015" s="162" t="s">
        <v>1175</v>
      </c>
      <c r="C1015" s="48"/>
    </row>
    <row r="1016" spans="1:9">
      <c r="A1016" s="847"/>
      <c r="B1016" s="47" t="s">
        <v>1176</v>
      </c>
      <c r="C1016" s="48"/>
      <c r="F1016" s="171" t="s">
        <v>1698</v>
      </c>
      <c r="G1016" s="68">
        <f>G982</f>
        <v>2871.5609999999997</v>
      </c>
    </row>
    <row r="1017" spans="1:9">
      <c r="A1017" s="847"/>
      <c r="B1017" s="47" t="s">
        <v>1186</v>
      </c>
      <c r="C1017" s="48"/>
      <c r="F1017" s="171" t="s">
        <v>1698</v>
      </c>
      <c r="G1017" s="68">
        <f>G995</f>
        <v>7596.8960000000006</v>
      </c>
    </row>
    <row r="1018" spans="1:9">
      <c r="A1018" s="847"/>
      <c r="B1018" s="47" t="s">
        <v>2660</v>
      </c>
      <c r="C1018" s="48"/>
      <c r="F1018" s="171" t="s">
        <v>1698</v>
      </c>
      <c r="G1018" s="75">
        <f>G1010</f>
        <v>6097.6</v>
      </c>
    </row>
    <row r="1019" spans="1:9">
      <c r="A1019" s="847"/>
      <c r="C1019" s="48"/>
      <c r="F1019" s="171" t="s">
        <v>302</v>
      </c>
      <c r="G1019" s="205">
        <f>SUM(G1016:G1018)</f>
        <v>16566.057000000001</v>
      </c>
    </row>
    <row r="1020" spans="1:9">
      <c r="A1020" s="848"/>
      <c r="B1020" s="382" t="s">
        <v>1807</v>
      </c>
      <c r="C1020" s="49"/>
      <c r="D1020" s="61"/>
      <c r="E1020" s="320">
        <f>'BASIC DATA'!$C$579</f>
        <v>5.0000000000000001E-3</v>
      </c>
      <c r="F1020" s="222" t="s">
        <v>1698</v>
      </c>
      <c r="G1020" s="223">
        <f>G1019*E1020</f>
        <v>82.830285000000003</v>
      </c>
      <c r="H1020" s="61"/>
      <c r="I1020" s="61"/>
    </row>
    <row r="1021" spans="1:9">
      <c r="A1021" s="847"/>
      <c r="B1021" s="78"/>
      <c r="C1021" s="48"/>
      <c r="E1021" s="250"/>
      <c r="F1021" s="171" t="s">
        <v>302</v>
      </c>
      <c r="G1021" s="205">
        <f>SUM(G1019:G1020)</f>
        <v>16648.887285000001</v>
      </c>
    </row>
    <row r="1022" spans="1:9">
      <c r="A1022" s="847"/>
      <c r="B1022" s="1207" t="s">
        <v>5769</v>
      </c>
      <c r="C1022" s="1207"/>
      <c r="D1022" s="1207"/>
      <c r="E1022" s="922">
        <f>'BASIC DATA'!$C$577</f>
        <v>0.13614999999999999</v>
      </c>
      <c r="F1022" s="171" t="s">
        <v>1698</v>
      </c>
      <c r="G1022" s="31">
        <f>ROUND(G1021*E1022,2)</f>
        <v>2266.75</v>
      </c>
    </row>
    <row r="1023" spans="1:9">
      <c r="A1023" s="847"/>
      <c r="B1023" s="47" t="s">
        <v>1191</v>
      </c>
      <c r="C1023" s="48"/>
      <c r="D1023" s="68">
        <f>F972</f>
        <v>17.5</v>
      </c>
      <c r="E1023" s="68" t="str">
        <f>G972</f>
        <v>cum</v>
      </c>
      <c r="F1023" s="171" t="s">
        <v>1698</v>
      </c>
      <c r="G1023" s="211">
        <f>G1022+G1021</f>
        <v>18915.637285000001</v>
      </c>
    </row>
    <row r="1024" spans="1:9">
      <c r="A1024" s="847"/>
      <c r="B1024" s="79" t="s">
        <v>1584</v>
      </c>
      <c r="C1024" s="356" t="str">
        <f>E1023</f>
        <v>cum</v>
      </c>
      <c r="D1024" s="26" t="s">
        <v>1321</v>
      </c>
      <c r="F1024" s="171" t="s">
        <v>4108</v>
      </c>
      <c r="G1024" s="211">
        <f>ROUND(G1023/D1023,1)</f>
        <v>1080.9000000000001</v>
      </c>
      <c r="H1024" s="171"/>
    </row>
    <row r="1025" spans="1:3">
      <c r="A1025" s="847"/>
      <c r="B1025" s="78"/>
      <c r="C1025" s="48"/>
    </row>
    <row r="1026" spans="1:3">
      <c r="A1026" s="847"/>
      <c r="B1026" s="78"/>
      <c r="C1026" s="48"/>
    </row>
    <row r="1027" spans="1:3" ht="18.75">
      <c r="A1027" s="841" t="s">
        <v>7428</v>
      </c>
      <c r="B1027" s="47" t="s">
        <v>8650</v>
      </c>
      <c r="C1027" s="48"/>
    </row>
    <row r="1028" spans="1:3" ht="18.75">
      <c r="A1028" s="889" t="s">
        <v>6935</v>
      </c>
      <c r="B1028" s="47" t="s">
        <v>8651</v>
      </c>
      <c r="C1028" s="48"/>
    </row>
    <row r="1029" spans="1:3">
      <c r="A1029" s="889"/>
      <c r="B1029" s="47" t="s">
        <v>1505</v>
      </c>
      <c r="C1029" s="48"/>
    </row>
    <row r="1030" spans="1:3" ht="18.75">
      <c r="A1030" s="889"/>
      <c r="B1030" s="47" t="s">
        <v>8652</v>
      </c>
      <c r="C1030" s="48"/>
    </row>
    <row r="1031" spans="1:3">
      <c r="A1031" s="889"/>
      <c r="C1031" s="48"/>
    </row>
    <row r="1032" spans="1:3">
      <c r="A1032" s="890" t="s">
        <v>1940</v>
      </c>
      <c r="B1032" s="47" t="s">
        <v>1905</v>
      </c>
      <c r="C1032" s="48"/>
    </row>
    <row r="1033" spans="1:3">
      <c r="A1033" s="889"/>
      <c r="B1033" s="47" t="s">
        <v>1906</v>
      </c>
      <c r="C1033" s="48"/>
    </row>
    <row r="1034" spans="1:3">
      <c r="A1034" s="889"/>
      <c r="B1034" s="47" t="s">
        <v>571</v>
      </c>
      <c r="C1034" s="48"/>
    </row>
    <row r="1035" spans="1:3">
      <c r="A1035" s="889"/>
      <c r="B1035" s="47" t="s">
        <v>572</v>
      </c>
      <c r="C1035" s="48"/>
    </row>
    <row r="1036" spans="1:3">
      <c r="A1036" s="889"/>
      <c r="C1036" s="48"/>
    </row>
    <row r="1037" spans="1:3" hidden="1">
      <c r="A1037" s="889" t="s">
        <v>1907</v>
      </c>
      <c r="B1037" s="47" t="s">
        <v>2814</v>
      </c>
      <c r="C1037" s="48"/>
    </row>
    <row r="1038" spans="1:3" hidden="1">
      <c r="A1038" s="889"/>
      <c r="B1038" s="47" t="s">
        <v>2853</v>
      </c>
      <c r="C1038" s="48"/>
    </row>
    <row r="1039" spans="1:3" hidden="1">
      <c r="A1039" s="889"/>
      <c r="B1039" s="47" t="s">
        <v>2815</v>
      </c>
      <c r="C1039" s="48"/>
    </row>
    <row r="1040" spans="1:3" hidden="1">
      <c r="A1040" s="889"/>
      <c r="B1040" s="47" t="s">
        <v>1436</v>
      </c>
      <c r="C1040" s="48"/>
    </row>
    <row r="1041" spans="1:8" hidden="1">
      <c r="A1041" s="889"/>
      <c r="B1041" s="47" t="s">
        <v>2204</v>
      </c>
      <c r="C1041" s="48"/>
    </row>
    <row r="1042" spans="1:8" hidden="1">
      <c r="A1042" s="889"/>
      <c r="B1042" s="47" t="s">
        <v>1915</v>
      </c>
      <c r="C1042" s="48"/>
    </row>
    <row r="1043" spans="1:8" hidden="1">
      <c r="A1043" s="889"/>
      <c r="B1043" s="47" t="s">
        <v>6548</v>
      </c>
      <c r="C1043" s="48"/>
    </row>
    <row r="1044" spans="1:8" hidden="1">
      <c r="A1044" s="889"/>
      <c r="B1044" s="47" t="s">
        <v>2549</v>
      </c>
      <c r="C1044" s="48"/>
    </row>
    <row r="1045" spans="1:8" hidden="1">
      <c r="A1045" s="889"/>
      <c r="B1045" s="47" t="s">
        <v>2855</v>
      </c>
      <c r="C1045" s="48"/>
    </row>
    <row r="1046" spans="1:8" hidden="1">
      <c r="A1046" s="889"/>
      <c r="B1046" s="47" t="s">
        <v>4191</v>
      </c>
      <c r="C1046" s="48"/>
    </row>
    <row r="1047" spans="1:8" hidden="1">
      <c r="A1047" s="889"/>
      <c r="B1047" s="47" t="s">
        <v>4192</v>
      </c>
      <c r="C1047" s="48"/>
      <c r="F1047" s="78" t="s">
        <v>6734</v>
      </c>
      <c r="G1047" s="68">
        <v>2</v>
      </c>
      <c r="H1047" s="26" t="s">
        <v>3561</v>
      </c>
    </row>
    <row r="1048" spans="1:8" hidden="1">
      <c r="A1048" s="889"/>
      <c r="B1048" s="47" t="s">
        <v>4193</v>
      </c>
      <c r="C1048" s="48"/>
      <c r="F1048" s="78" t="s">
        <v>6734</v>
      </c>
      <c r="G1048" s="68">
        <v>2.5</v>
      </c>
      <c r="H1048" s="26" t="s">
        <v>3561</v>
      </c>
    </row>
    <row r="1049" spans="1:8" hidden="1">
      <c r="A1049" s="889"/>
      <c r="B1049" s="47" t="s">
        <v>4194</v>
      </c>
      <c r="C1049" s="48"/>
      <c r="F1049" s="78" t="s">
        <v>6734</v>
      </c>
      <c r="G1049" s="26" t="s">
        <v>293</v>
      </c>
      <c r="H1049" s="26" t="s">
        <v>3561</v>
      </c>
    </row>
    <row r="1050" spans="1:8" hidden="1">
      <c r="A1050" s="889"/>
      <c r="B1050" s="47" t="s">
        <v>4195</v>
      </c>
      <c r="C1050" s="48"/>
    </row>
    <row r="1051" spans="1:8" hidden="1">
      <c r="A1051" s="889"/>
      <c r="B1051" s="47" t="s">
        <v>3741</v>
      </c>
      <c r="C1051" s="48"/>
      <c r="F1051" s="78" t="s">
        <v>6734</v>
      </c>
      <c r="G1051" s="68">
        <v>6</v>
      </c>
      <c r="H1051" s="26" t="s">
        <v>3561</v>
      </c>
    </row>
    <row r="1052" spans="1:8" hidden="1">
      <c r="A1052" s="889"/>
      <c r="B1052" s="47" t="s">
        <v>3742</v>
      </c>
      <c r="C1052" s="48"/>
      <c r="F1052" s="78" t="s">
        <v>6734</v>
      </c>
      <c r="G1052" s="68">
        <v>5.8</v>
      </c>
      <c r="H1052" s="26" t="s">
        <v>3561</v>
      </c>
    </row>
    <row r="1053" spans="1:8" hidden="1">
      <c r="A1053" s="889"/>
      <c r="B1053" s="47" t="s">
        <v>7094</v>
      </c>
      <c r="C1053" s="48"/>
      <c r="F1053" s="78" t="s">
        <v>6734</v>
      </c>
      <c r="G1053" s="68">
        <v>12</v>
      </c>
      <c r="H1053" s="26" t="s">
        <v>3561</v>
      </c>
    </row>
    <row r="1054" spans="1:8"/>
    <row r="1055" spans="1:8"/>
    <row r="1056" spans="1:8"/>
    <row r="1057"/>
    <row r="1058"/>
    <row r="1059"/>
    <row r="1060"/>
    <row r="1061"/>
    <row r="1062"/>
    <row r="1063"/>
    <row r="1064"/>
    <row r="1065"/>
    <row r="1066"/>
    <row r="1067"/>
    <row r="1068"/>
    <row r="1069"/>
    <row r="1070"/>
    <row r="1071"/>
    <row r="1072"/>
    <row r="1073" spans="1:3"/>
    <row r="1074" spans="1:3"/>
    <row r="1075" spans="1:3"/>
    <row r="1076" spans="1:3"/>
    <row r="1077" spans="1:3"/>
    <row r="1078" spans="1:3"/>
    <row r="1079" spans="1:3"/>
    <row r="1080" spans="1:3"/>
    <row r="1081" spans="1:3"/>
    <row r="1082" spans="1:3"/>
    <row r="1083" spans="1:3"/>
    <row r="1084" spans="1:3" hidden="1"/>
    <row r="1085" spans="1:3" hidden="1"/>
    <row r="1086" spans="1:3" hidden="1"/>
    <row r="1087" spans="1:3" hidden="1"/>
    <row r="1088" spans="1:3" hidden="1">
      <c r="A1088" s="847"/>
      <c r="B1088" s="47" t="s">
        <v>7095</v>
      </c>
      <c r="C1088" s="48"/>
    </row>
    <row r="1089" spans="1:8" hidden="1">
      <c r="A1089" s="847"/>
      <c r="B1089" s="47" t="s">
        <v>7096</v>
      </c>
      <c r="C1089" s="48"/>
    </row>
    <row r="1090" spans="1:8" hidden="1">
      <c r="A1090" s="847"/>
      <c r="B1090" s="47" t="s">
        <v>283</v>
      </c>
      <c r="C1090" s="48"/>
      <c r="G1090" s="26">
        <v>64.38</v>
      </c>
      <c r="H1090" s="26" t="s">
        <v>3883</v>
      </c>
    </row>
    <row r="1091" spans="1:8" hidden="1">
      <c r="A1091" s="847"/>
      <c r="B1091" s="47" t="s">
        <v>771</v>
      </c>
      <c r="C1091" s="48"/>
      <c r="G1091" s="68">
        <v>6</v>
      </c>
      <c r="H1091" s="26" t="s">
        <v>3561</v>
      </c>
    </row>
    <row r="1092" spans="1:8" hidden="1">
      <c r="A1092" s="847"/>
      <c r="B1092" s="47" t="s">
        <v>772</v>
      </c>
      <c r="C1092" s="48"/>
      <c r="F1092" s="26">
        <f>64.38*6</f>
        <v>386.28</v>
      </c>
      <c r="G1092" s="26">
        <v>386</v>
      </c>
      <c r="H1092" s="26" t="s">
        <v>6901</v>
      </c>
    </row>
    <row r="1093" spans="1:8" hidden="1">
      <c r="A1093" s="847"/>
      <c r="B1093" s="47" t="s">
        <v>773</v>
      </c>
      <c r="C1093" s="48"/>
      <c r="G1093" s="26">
        <v>17</v>
      </c>
      <c r="H1093" s="26" t="s">
        <v>294</v>
      </c>
    </row>
    <row r="1094" spans="1:8" hidden="1">
      <c r="A1094" s="847"/>
      <c r="B1094" s="47" t="s">
        <v>774</v>
      </c>
      <c r="C1094" s="48"/>
      <c r="G1094" s="68">
        <v>104</v>
      </c>
      <c r="H1094" s="26" t="s">
        <v>3561</v>
      </c>
    </row>
    <row r="1095" spans="1:8" hidden="1">
      <c r="A1095" s="847"/>
      <c r="B1095" s="47" t="s">
        <v>775</v>
      </c>
      <c r="C1095" s="48"/>
      <c r="G1095" s="68">
        <v>12</v>
      </c>
      <c r="H1095" s="26" t="s">
        <v>3561</v>
      </c>
    </row>
    <row r="1096" spans="1:8" hidden="1">
      <c r="A1096" s="847"/>
      <c r="B1096" s="47" t="s">
        <v>776</v>
      </c>
      <c r="C1096" s="48"/>
      <c r="G1096" s="26">
        <v>20</v>
      </c>
      <c r="H1096" s="26" t="s">
        <v>294</v>
      </c>
    </row>
    <row r="1097" spans="1:8" hidden="1">
      <c r="A1097" s="847"/>
      <c r="B1097" s="47" t="s">
        <v>777</v>
      </c>
      <c r="C1097" s="48"/>
      <c r="G1097" s="26">
        <v>8.67</v>
      </c>
      <c r="H1097" s="26" t="s">
        <v>3428</v>
      </c>
    </row>
    <row r="1098" spans="1:8" hidden="1">
      <c r="A1098" s="847"/>
      <c r="B1098" s="47" t="s">
        <v>2536</v>
      </c>
      <c r="C1098" s="48"/>
    </row>
    <row r="1099" spans="1:8" hidden="1">
      <c r="A1099" s="847"/>
      <c r="B1099" s="47" t="s">
        <v>1230</v>
      </c>
      <c r="C1099" s="48"/>
    </row>
    <row r="1100" spans="1:8" hidden="1">
      <c r="A1100" s="847"/>
      <c r="B1100" s="47" t="s">
        <v>1904</v>
      </c>
      <c r="C1100" s="48"/>
    </row>
    <row r="1101" spans="1:8" hidden="1">
      <c r="A1101" s="847"/>
      <c r="B1101" s="47" t="s">
        <v>2861</v>
      </c>
      <c r="C1101" s="48"/>
    </row>
    <row r="1102" spans="1:8" hidden="1">
      <c r="A1102" s="847"/>
      <c r="B1102" s="47" t="s">
        <v>2862</v>
      </c>
      <c r="C1102" s="48"/>
      <c r="F1102" s="78" t="s">
        <v>1697</v>
      </c>
      <c r="G1102" s="68">
        <v>193</v>
      </c>
      <c r="H1102" s="26" t="s">
        <v>3033</v>
      </c>
    </row>
    <row r="1103" spans="1:8" hidden="1">
      <c r="A1103" s="847"/>
      <c r="B1103" s="47" t="s">
        <v>2863</v>
      </c>
      <c r="C1103" s="48"/>
      <c r="F1103" s="78" t="s">
        <v>1697</v>
      </c>
      <c r="G1103" s="68">
        <v>38</v>
      </c>
      <c r="H1103" s="26" t="s">
        <v>3033</v>
      </c>
    </row>
    <row r="1104" spans="1:8" hidden="1">
      <c r="A1104" s="847"/>
      <c r="B1104" s="47" t="s">
        <v>2864</v>
      </c>
      <c r="C1104" s="48"/>
      <c r="F1104" s="78" t="s">
        <v>1697</v>
      </c>
      <c r="G1104" s="68">
        <v>155</v>
      </c>
      <c r="H1104" s="26" t="s">
        <v>3033</v>
      </c>
    </row>
    <row r="1105" spans="1:8" hidden="1">
      <c r="A1105" s="847"/>
      <c r="B1105" s="47" t="s">
        <v>2865</v>
      </c>
      <c r="C1105" s="48"/>
      <c r="F1105" s="78" t="s">
        <v>1697</v>
      </c>
      <c r="G1105" s="68">
        <v>35</v>
      </c>
      <c r="H1105" s="26" t="s">
        <v>295</v>
      </c>
    </row>
    <row r="1106" spans="1:8" hidden="1">
      <c r="A1106" s="847"/>
      <c r="B1106" s="47" t="s">
        <v>2866</v>
      </c>
      <c r="C1106" s="48"/>
      <c r="F1106" s="78" t="s">
        <v>1697</v>
      </c>
      <c r="G1106" s="68">
        <v>4</v>
      </c>
      <c r="H1106" s="26" t="s">
        <v>3033</v>
      </c>
    </row>
    <row r="1107" spans="1:8" hidden="1">
      <c r="A1107" s="847"/>
      <c r="B1107" s="47" t="s">
        <v>3880</v>
      </c>
      <c r="C1107" s="48"/>
      <c r="F1107" s="78" t="s">
        <v>1697</v>
      </c>
      <c r="G1107" s="26">
        <v>20</v>
      </c>
      <c r="H1107" s="26" t="s">
        <v>4041</v>
      </c>
    </row>
    <row r="1108" spans="1:8" hidden="1">
      <c r="A1108" s="847"/>
      <c r="B1108" s="47" t="s">
        <v>2867</v>
      </c>
      <c r="C1108" s="48"/>
      <c r="F1108" s="78" t="s">
        <v>1697</v>
      </c>
      <c r="G1108" s="26">
        <v>145</v>
      </c>
      <c r="H1108" s="26" t="s">
        <v>3038</v>
      </c>
    </row>
    <row r="1109" spans="1:8" hidden="1">
      <c r="A1109" s="847"/>
      <c r="B1109" s="47" t="s">
        <v>2868</v>
      </c>
      <c r="C1109" s="48"/>
      <c r="F1109" s="78" t="s">
        <v>1697</v>
      </c>
      <c r="G1109" s="26">
        <v>20</v>
      </c>
      <c r="H1109" s="26" t="s">
        <v>3034</v>
      </c>
    </row>
    <row r="1110" spans="1:8" hidden="1">
      <c r="A1110" s="847"/>
      <c r="B1110" s="47" t="s">
        <v>1803</v>
      </c>
      <c r="C1110" s="48"/>
      <c r="F1110" s="78"/>
    </row>
    <row r="1111" spans="1:8" hidden="1">
      <c r="A1111" s="847"/>
      <c r="B1111" s="47" t="s">
        <v>602</v>
      </c>
      <c r="C1111" s="48"/>
      <c r="F1111" s="78" t="s">
        <v>1697</v>
      </c>
      <c r="G1111" s="26">
        <v>0.85</v>
      </c>
      <c r="H1111" s="26" t="s">
        <v>6901</v>
      </c>
    </row>
    <row r="1112" spans="1:8" hidden="1">
      <c r="A1112" s="847"/>
      <c r="B1112" s="47" t="s">
        <v>603</v>
      </c>
      <c r="C1112" s="48"/>
      <c r="F1112" s="78" t="s">
        <v>1697</v>
      </c>
      <c r="G1112" s="68">
        <v>1</v>
      </c>
      <c r="H1112" s="26" t="s">
        <v>6901</v>
      </c>
    </row>
    <row r="1113" spans="1:8" hidden="1">
      <c r="A1113" s="847"/>
      <c r="B1113" s="47" t="s">
        <v>604</v>
      </c>
      <c r="C1113" s="48"/>
      <c r="F1113" s="78" t="s">
        <v>1697</v>
      </c>
      <c r="G1113" s="68">
        <v>5</v>
      </c>
      <c r="H1113" s="26" t="s">
        <v>6901</v>
      </c>
    </row>
    <row r="1114" spans="1:8" hidden="1">
      <c r="A1114" s="847"/>
      <c r="B1114" s="47" t="s">
        <v>618</v>
      </c>
      <c r="C1114" s="48"/>
      <c r="F1114" s="78" t="s">
        <v>3432</v>
      </c>
      <c r="G1114" s="68">
        <v>1</v>
      </c>
      <c r="H1114" s="26" t="s">
        <v>3431</v>
      </c>
    </row>
    <row r="1115" spans="1:8" hidden="1">
      <c r="A1115" s="847"/>
      <c r="B1115" s="47" t="s">
        <v>1353</v>
      </c>
      <c r="C1115" s="48"/>
      <c r="F1115" s="78" t="s">
        <v>1697</v>
      </c>
      <c r="G1115" s="26">
        <v>15</v>
      </c>
      <c r="H1115" s="26" t="s">
        <v>3433</v>
      </c>
    </row>
    <row r="1116" spans="1:8" hidden="1">
      <c r="A1116" s="847"/>
      <c r="B1116" s="47" t="s">
        <v>1354</v>
      </c>
      <c r="C1116" s="48"/>
      <c r="F1116" s="78" t="s">
        <v>1697</v>
      </c>
      <c r="G1116" s="26">
        <v>15</v>
      </c>
      <c r="H1116" s="26" t="s">
        <v>3433</v>
      </c>
    </row>
    <row r="1117" spans="1:8" hidden="1">
      <c r="A1117" s="847"/>
      <c r="B1117" s="47" t="s">
        <v>3985</v>
      </c>
      <c r="C1117" s="48"/>
      <c r="F1117" s="78" t="s">
        <v>1697</v>
      </c>
      <c r="G1117" s="68">
        <v>1.5</v>
      </c>
      <c r="H1117" s="26" t="s">
        <v>1433</v>
      </c>
    </row>
    <row r="1118" spans="1:8" hidden="1">
      <c r="A1118" s="847"/>
      <c r="B1118" s="47" t="s">
        <v>4030</v>
      </c>
      <c r="C1118" s="48"/>
      <c r="F1118" s="78" t="s">
        <v>1697</v>
      </c>
      <c r="G1118" s="26">
        <v>35</v>
      </c>
      <c r="H1118" s="26" t="s">
        <v>3434</v>
      </c>
    </row>
    <row r="1119" spans="1:8" hidden="1">
      <c r="A1119" s="847"/>
      <c r="B1119" s="47" t="s">
        <v>619</v>
      </c>
      <c r="C1119" s="48"/>
      <c r="F1119" s="78" t="s">
        <v>1697</v>
      </c>
      <c r="G1119" s="26">
        <v>0.71</v>
      </c>
      <c r="H1119" s="26" t="s">
        <v>6901</v>
      </c>
    </row>
    <row r="1120" spans="1:8" hidden="1">
      <c r="A1120" s="847"/>
      <c r="B1120" s="47" t="s">
        <v>620</v>
      </c>
      <c r="C1120" s="48"/>
      <c r="F1120" s="78" t="s">
        <v>1697</v>
      </c>
      <c r="G1120" s="26">
        <v>3.57</v>
      </c>
      <c r="H1120" s="26" t="s">
        <v>6901</v>
      </c>
    </row>
    <row r="1121" spans="1:9" hidden="1">
      <c r="A1121" s="847"/>
      <c r="B1121" s="47" t="s">
        <v>621</v>
      </c>
      <c r="C1121" s="48"/>
      <c r="F1121" s="78" t="s">
        <v>1123</v>
      </c>
      <c r="G1121" s="26">
        <v>5</v>
      </c>
      <c r="H1121" s="26" t="s">
        <v>3435</v>
      </c>
    </row>
    <row r="1122" spans="1:9" hidden="1">
      <c r="A1122" s="847"/>
      <c r="B1122" s="47" t="s">
        <v>622</v>
      </c>
      <c r="C1122" s="48"/>
      <c r="F1122" s="78" t="s">
        <v>1697</v>
      </c>
      <c r="G1122" s="26">
        <v>2.92</v>
      </c>
      <c r="H1122" s="26" t="s">
        <v>1433</v>
      </c>
    </row>
    <row r="1123" spans="1:9" hidden="1">
      <c r="A1123" s="847"/>
      <c r="B1123" s="47" t="s">
        <v>4579</v>
      </c>
      <c r="C1123" s="48"/>
    </row>
    <row r="1124" spans="1:9" hidden="1">
      <c r="A1124" s="847"/>
      <c r="B1124" s="47" t="s">
        <v>6957</v>
      </c>
      <c r="C1124" s="48"/>
    </row>
    <row r="1125" spans="1:9" hidden="1">
      <c r="A1125" s="847"/>
      <c r="B1125" s="47" t="s">
        <v>2550</v>
      </c>
      <c r="C1125" s="48"/>
    </row>
    <row r="1126" spans="1:9" hidden="1">
      <c r="A1126" s="847"/>
      <c r="B1126" s="47" t="s">
        <v>3914</v>
      </c>
      <c r="C1126" s="48"/>
    </row>
    <row r="1127" spans="1:9" hidden="1">
      <c r="A1127" s="847"/>
      <c r="B1127" s="47" t="s">
        <v>4743</v>
      </c>
      <c r="C1127" s="48"/>
    </row>
    <row r="1128" spans="1:9" hidden="1">
      <c r="A1128" s="847"/>
      <c r="B1128" s="47" t="s">
        <v>1613</v>
      </c>
      <c r="C1128" s="48"/>
    </row>
    <row r="1129" spans="1:9" hidden="1">
      <c r="A1129" s="847"/>
      <c r="B1129" s="47" t="s">
        <v>624</v>
      </c>
      <c r="C1129" s="48"/>
      <c r="F1129" s="78" t="s">
        <v>1697</v>
      </c>
      <c r="G1129" s="68">
        <v>3.5</v>
      </c>
      <c r="H1129" s="26" t="s">
        <v>1433</v>
      </c>
      <c r="I1129" s="31"/>
    </row>
    <row r="1130" spans="1:9" hidden="1">
      <c r="A1130" s="847"/>
      <c r="B1130" s="47" t="s">
        <v>5579</v>
      </c>
      <c r="C1130" s="48"/>
      <c r="F1130" s="78" t="s">
        <v>1697</v>
      </c>
      <c r="G1130" s="68">
        <v>3</v>
      </c>
      <c r="H1130" s="26" t="s">
        <v>1433</v>
      </c>
      <c r="I1130" s="31"/>
    </row>
    <row r="1131" spans="1:9" hidden="1">
      <c r="A1131" s="847"/>
      <c r="B1131" s="47" t="s">
        <v>705</v>
      </c>
      <c r="C1131" s="48"/>
      <c r="F1131" s="78" t="s">
        <v>1697</v>
      </c>
      <c r="G1131" s="68">
        <v>1.5</v>
      </c>
      <c r="H1131" s="26" t="s">
        <v>1433</v>
      </c>
      <c r="I1131" s="31"/>
    </row>
    <row r="1132" spans="1:9" hidden="1">
      <c r="A1132" s="847"/>
      <c r="B1132" s="47" t="s">
        <v>706</v>
      </c>
      <c r="C1132" s="48"/>
      <c r="F1132" s="78" t="s">
        <v>1697</v>
      </c>
      <c r="G1132" s="68">
        <v>3</v>
      </c>
      <c r="H1132" s="26" t="s">
        <v>1433</v>
      </c>
      <c r="I1132" s="31"/>
    </row>
    <row r="1133" spans="1:9" hidden="1">
      <c r="A1133" s="847"/>
      <c r="B1133" s="47" t="s">
        <v>263</v>
      </c>
      <c r="C1133" s="48"/>
      <c r="F1133" s="78" t="s">
        <v>1697</v>
      </c>
      <c r="G1133" s="173">
        <v>0.5</v>
      </c>
      <c r="H1133" s="26" t="s">
        <v>1433</v>
      </c>
      <c r="I1133" s="31"/>
    </row>
    <row r="1134" spans="1:9" hidden="1">
      <c r="A1134" s="847"/>
      <c r="C1134" s="48"/>
      <c r="E1134" s="26" t="s">
        <v>1518</v>
      </c>
      <c r="F1134" s="78" t="s">
        <v>1697</v>
      </c>
      <c r="G1134" s="68">
        <f>SUM(G1129:G1133)</f>
        <v>11.5</v>
      </c>
      <c r="H1134" s="26" t="s">
        <v>1433</v>
      </c>
      <c r="I1134" s="31"/>
    </row>
    <row r="1135" spans="1:9" hidden="1">
      <c r="A1135" s="847"/>
      <c r="B1135" s="47" t="s">
        <v>4744</v>
      </c>
      <c r="C1135" s="48"/>
      <c r="F1135" s="78" t="s">
        <v>1697</v>
      </c>
      <c r="G1135" s="26">
        <f>11.5/2.92</f>
        <v>3.9383561643835616</v>
      </c>
      <c r="H1135" s="26" t="s">
        <v>3436</v>
      </c>
      <c r="I1135" s="31"/>
    </row>
    <row r="1136" spans="1:9" hidden="1">
      <c r="A1136" s="847"/>
      <c r="B1136" s="47" t="s">
        <v>2651</v>
      </c>
      <c r="C1136" s="48"/>
      <c r="F1136" s="78" t="s">
        <v>1697</v>
      </c>
      <c r="G1136" s="26">
        <f>ROUND(50*3.57/11.5,2)</f>
        <v>15.52</v>
      </c>
      <c r="H1136" s="26" t="s">
        <v>6901</v>
      </c>
      <c r="I1136" s="31"/>
    </row>
    <row r="1137" spans="1:9" hidden="1">
      <c r="A1137" s="847"/>
      <c r="B1137" s="47" t="s">
        <v>2109</v>
      </c>
      <c r="C1137" s="48"/>
      <c r="F1137" s="78" t="s">
        <v>1697</v>
      </c>
      <c r="G1137" s="26">
        <f>15.52*4</f>
        <v>62.08</v>
      </c>
      <c r="H1137" s="26" t="s">
        <v>6901</v>
      </c>
      <c r="I1137" s="31"/>
    </row>
    <row r="1138" spans="1:9" hidden="1">
      <c r="A1138" s="847"/>
      <c r="B1138" s="47" t="s">
        <v>2110</v>
      </c>
      <c r="C1138" s="48"/>
      <c r="F1138" s="78" t="s">
        <v>1697</v>
      </c>
      <c r="G1138" s="68">
        <f>386/62.08</f>
        <v>6.2177835051546397</v>
      </c>
      <c r="H1138" s="26" t="s">
        <v>3428</v>
      </c>
      <c r="I1138" s="31"/>
    </row>
    <row r="1139" spans="1:9" hidden="1">
      <c r="A1139" s="847"/>
      <c r="B1139" s="47" t="s">
        <v>3122</v>
      </c>
      <c r="C1139" s="48"/>
    </row>
    <row r="1140" spans="1:9" hidden="1">
      <c r="A1140" s="847"/>
      <c r="B1140" s="47" t="s">
        <v>3916</v>
      </c>
      <c r="C1140" s="48"/>
    </row>
    <row r="1141" spans="1:9" hidden="1">
      <c r="A1141" s="847"/>
      <c r="B1141" s="47" t="s">
        <v>3123</v>
      </c>
      <c r="C1141" s="48"/>
    </row>
    <row r="1142" spans="1:9" hidden="1">
      <c r="A1142" s="847"/>
      <c r="B1142" s="47" t="s">
        <v>2366</v>
      </c>
      <c r="C1142" s="48"/>
    </row>
    <row r="1143" spans="1:9" hidden="1">
      <c r="A1143" s="847"/>
      <c r="B1143" s="47" t="s">
        <v>3917</v>
      </c>
      <c r="C1143" s="48"/>
      <c r="D1143" s="68">
        <f>'BASIC DATA'!$D$315</f>
        <v>12000</v>
      </c>
      <c r="E1143" s="26" t="s">
        <v>98</v>
      </c>
      <c r="F1143" s="78" t="s">
        <v>1698</v>
      </c>
      <c r="G1143" s="68">
        <f>D1143</f>
        <v>12000</v>
      </c>
      <c r="I1143" s="47"/>
    </row>
    <row r="1144" spans="1:9" hidden="1">
      <c r="A1144" s="847"/>
      <c r="B1144" s="47" t="s">
        <v>4829</v>
      </c>
      <c r="C1144" s="48"/>
      <c r="F1144" s="78" t="s">
        <v>1697</v>
      </c>
      <c r="G1144" s="26">
        <v>80</v>
      </c>
      <c r="H1144" s="26" t="s">
        <v>3561</v>
      </c>
      <c r="I1144" s="47"/>
    </row>
    <row r="1145" spans="1:9" hidden="1">
      <c r="A1145" s="847"/>
      <c r="B1145" s="47" t="s">
        <v>6852</v>
      </c>
      <c r="C1145" s="48"/>
      <c r="D1145" s="26" t="s">
        <v>6853</v>
      </c>
      <c r="F1145" s="78" t="s">
        <v>1698</v>
      </c>
      <c r="G1145" s="68">
        <f>G1143/G1144</f>
        <v>150</v>
      </c>
      <c r="I1145" s="47"/>
    </row>
    <row r="1146" spans="1:9" hidden="1">
      <c r="A1146" s="847"/>
      <c r="B1146" s="47" t="s">
        <v>1378</v>
      </c>
      <c r="C1146" s="48"/>
      <c r="D1146" s="68">
        <f>'BASIC DATA'!$D$306</f>
        <v>2120</v>
      </c>
      <c r="E1146" s="26" t="s">
        <v>2618</v>
      </c>
      <c r="F1146" s="78" t="s">
        <v>1698</v>
      </c>
      <c r="G1146" s="68">
        <f>D1146*4.5</f>
        <v>9540</v>
      </c>
      <c r="I1146" s="47"/>
    </row>
    <row r="1147" spans="1:9" hidden="1">
      <c r="A1147" s="847"/>
      <c r="B1147" s="47" t="s">
        <v>3323</v>
      </c>
      <c r="C1147" s="48"/>
      <c r="F1147" s="78" t="s">
        <v>1697</v>
      </c>
      <c r="G1147" s="316">
        <v>1500</v>
      </c>
      <c r="H1147" s="26" t="s">
        <v>3561</v>
      </c>
      <c r="I1147" s="47"/>
    </row>
    <row r="1148" spans="1:9" hidden="1">
      <c r="A1148" s="847"/>
      <c r="B1148" s="47" t="s">
        <v>3324</v>
      </c>
      <c r="C1148" s="48"/>
      <c r="D1148" s="26" t="s">
        <v>6853</v>
      </c>
      <c r="F1148" s="78" t="s">
        <v>1698</v>
      </c>
      <c r="G1148" s="68">
        <f>G1146/G1147</f>
        <v>6.36</v>
      </c>
      <c r="I1148" s="47"/>
    </row>
    <row r="1149" spans="1:9" hidden="1">
      <c r="A1149" s="847"/>
      <c r="B1149" s="47" t="s">
        <v>3325</v>
      </c>
      <c r="C1149" s="48"/>
      <c r="D1149" s="68">
        <f>'BASIC DATA'!$D$307</f>
        <v>4028</v>
      </c>
      <c r="E1149" s="26" t="s">
        <v>98</v>
      </c>
      <c r="F1149" s="78" t="s">
        <v>1698</v>
      </c>
      <c r="G1149" s="68">
        <f>D1149</f>
        <v>4028</v>
      </c>
      <c r="I1149" s="47"/>
    </row>
    <row r="1150" spans="1:9" hidden="1">
      <c r="A1150" s="847"/>
      <c r="B1150" s="47" t="s">
        <v>99</v>
      </c>
      <c r="C1150" s="48"/>
      <c r="F1150" s="78" t="s">
        <v>1697</v>
      </c>
      <c r="G1150" s="316">
        <v>150</v>
      </c>
      <c r="H1150" s="26" t="s">
        <v>3561</v>
      </c>
      <c r="I1150" s="47"/>
    </row>
    <row r="1151" spans="1:9" hidden="1">
      <c r="A1151" s="847"/>
      <c r="B1151" s="47" t="s">
        <v>3326</v>
      </c>
      <c r="C1151" s="48"/>
      <c r="D1151" s="26" t="s">
        <v>1089</v>
      </c>
      <c r="F1151" s="78" t="s">
        <v>1698</v>
      </c>
      <c r="G1151" s="68">
        <f>G1149/G1150</f>
        <v>26.853333333333332</v>
      </c>
      <c r="I1151" s="47"/>
    </row>
    <row r="1152" spans="1:9" hidden="1">
      <c r="A1152" s="847"/>
      <c r="B1152" s="47" t="s">
        <v>7594</v>
      </c>
      <c r="C1152" s="48"/>
      <c r="F1152" s="78" t="s">
        <v>1697</v>
      </c>
      <c r="G1152" s="316">
        <v>50</v>
      </c>
      <c r="H1152" s="26" t="s">
        <v>3561</v>
      </c>
      <c r="I1152" s="47"/>
    </row>
    <row r="1153" spans="1:9" hidden="1">
      <c r="A1153" s="847"/>
      <c r="B1153" s="47" t="s">
        <v>1422</v>
      </c>
      <c r="C1153" s="48"/>
      <c r="D1153" s="68">
        <f>'BASIC DATA'!$D$344</f>
        <v>185</v>
      </c>
      <c r="E1153" s="26" t="s">
        <v>2618</v>
      </c>
      <c r="F1153" s="78" t="s">
        <v>1698</v>
      </c>
      <c r="G1153" s="68">
        <f>G1152*D1153</f>
        <v>9250</v>
      </c>
      <c r="I1153" s="47"/>
    </row>
    <row r="1154" spans="1:9" hidden="1">
      <c r="A1154" s="847"/>
      <c r="B1154" s="47" t="s">
        <v>5152</v>
      </c>
      <c r="C1154" s="48"/>
      <c r="F1154" s="78" t="s">
        <v>1697</v>
      </c>
      <c r="G1154" s="316">
        <v>800</v>
      </c>
      <c r="H1154" s="26" t="s">
        <v>3428</v>
      </c>
      <c r="I1154" s="47"/>
    </row>
    <row r="1155" spans="1:9" hidden="1">
      <c r="A1155" s="847"/>
      <c r="B1155" s="47" t="s">
        <v>6262</v>
      </c>
      <c r="C1155" s="48"/>
      <c r="D1155" s="26" t="s">
        <v>6853</v>
      </c>
      <c r="F1155" s="78" t="s">
        <v>1698</v>
      </c>
      <c r="G1155" s="68">
        <f>G1153/G1154</f>
        <v>11.5625</v>
      </c>
      <c r="I1155" s="47"/>
    </row>
    <row r="1156" spans="1:9" hidden="1">
      <c r="A1156" s="847"/>
      <c r="B1156" s="47" t="s">
        <v>1106</v>
      </c>
      <c r="C1156" s="48"/>
      <c r="D1156" s="68">
        <f>'BASIC DATA'!$D$345</f>
        <v>300</v>
      </c>
      <c r="E1156" s="26" t="s">
        <v>2618</v>
      </c>
      <c r="F1156" s="78" t="s">
        <v>1698</v>
      </c>
      <c r="G1156" s="68">
        <f>G1152*D1156</f>
        <v>15000</v>
      </c>
      <c r="I1156" s="47"/>
    </row>
    <row r="1157" spans="1:9" hidden="1">
      <c r="A1157" s="847"/>
      <c r="B1157" s="47" t="s">
        <v>5152</v>
      </c>
      <c r="C1157" s="48"/>
      <c r="F1157" s="78" t="s">
        <v>1697</v>
      </c>
      <c r="G1157" s="316">
        <v>800</v>
      </c>
      <c r="H1157" s="26" t="s">
        <v>3428</v>
      </c>
      <c r="I1157" s="47"/>
    </row>
    <row r="1158" spans="1:9" hidden="1">
      <c r="A1158" s="847"/>
      <c r="B1158" s="47" t="s">
        <v>6262</v>
      </c>
      <c r="C1158" s="48"/>
      <c r="D1158" s="26" t="s">
        <v>6853</v>
      </c>
      <c r="F1158" s="78" t="s">
        <v>1698</v>
      </c>
      <c r="G1158" s="68">
        <f>G1156/G1157</f>
        <v>18.75</v>
      </c>
      <c r="I1158" s="47"/>
    </row>
    <row r="1159" spans="1:9" hidden="1"/>
    <row r="1160" spans="1:9" hidden="1"/>
    <row r="1161" spans="1:9" hidden="1"/>
    <row r="1162" spans="1:9" hidden="1"/>
    <row r="1163" spans="1:9" hidden="1"/>
    <row r="1164" spans="1:9" hidden="1"/>
    <row r="1165" spans="1:9" hidden="1"/>
    <row r="1166" spans="1:9" hidden="1"/>
    <row r="1167" spans="1:9" hidden="1"/>
    <row r="1168" spans="1:9" hidden="1"/>
    <row r="1169" spans="1:9" hidden="1"/>
    <row r="1170" spans="1:9" hidden="1"/>
    <row r="1171" spans="1:9" hidden="1"/>
    <row r="1172" spans="1:9" hidden="1"/>
    <row r="1173" spans="1:9" hidden="1"/>
    <row r="1174" spans="1:9" hidden="1"/>
    <row r="1175" spans="1:9" hidden="1"/>
    <row r="1176" spans="1:9"/>
    <row r="1177" spans="1:9"/>
    <row r="1178" spans="1:9">
      <c r="A1178" s="889" t="s">
        <v>3984</v>
      </c>
      <c r="B1178" s="78"/>
      <c r="C1178" s="349" t="s">
        <v>2367</v>
      </c>
      <c r="E1178" s="217" t="s">
        <v>8036</v>
      </c>
      <c r="F1178" s="211">
        <f>G1092</f>
        <v>386</v>
      </c>
      <c r="G1178" s="26" t="s">
        <v>2113</v>
      </c>
    </row>
    <row r="1179" spans="1:9">
      <c r="A1179" s="847"/>
      <c r="B1179" s="79" t="s">
        <v>2368</v>
      </c>
      <c r="C1179" s="48"/>
    </row>
    <row r="1180" spans="1:9">
      <c r="A1180" s="847"/>
      <c r="B1180" s="95" t="s">
        <v>2369</v>
      </c>
      <c r="C1180" s="350" t="s">
        <v>6374</v>
      </c>
      <c r="D1180" s="95" t="s">
        <v>2370</v>
      </c>
      <c r="E1180" s="95" t="s">
        <v>1166</v>
      </c>
      <c r="F1180" s="95" t="s">
        <v>2371</v>
      </c>
      <c r="G1180" s="95" t="s">
        <v>2372</v>
      </c>
    </row>
    <row r="1181" spans="1:9">
      <c r="A1181" s="847"/>
      <c r="B1181" s="114"/>
      <c r="C1181" s="351"/>
      <c r="D1181" s="114"/>
      <c r="E1181" s="114"/>
      <c r="F1181" s="114" t="s">
        <v>3485</v>
      </c>
      <c r="G1181" s="114" t="s">
        <v>3485</v>
      </c>
    </row>
    <row r="1182" spans="1:9">
      <c r="A1182" s="847"/>
      <c r="B1182" s="95">
        <v>1</v>
      </c>
      <c r="C1182" s="91" t="s">
        <v>144</v>
      </c>
      <c r="D1182" s="95" t="s">
        <v>3483</v>
      </c>
      <c r="E1182" s="190">
        <v>104</v>
      </c>
      <c r="F1182" s="190">
        <f>G1145</f>
        <v>150</v>
      </c>
      <c r="G1182" s="190">
        <f>E1182*F1182</f>
        <v>15600</v>
      </c>
      <c r="I1182" s="375"/>
    </row>
    <row r="1183" spans="1:9" ht="36">
      <c r="A1183" s="847"/>
      <c r="B1183" s="105">
        <v>2</v>
      </c>
      <c r="C1183" s="91" t="s">
        <v>2507</v>
      </c>
      <c r="D1183" s="105" t="s">
        <v>3483</v>
      </c>
      <c r="E1183" s="190">
        <v>104</v>
      </c>
      <c r="F1183" s="190">
        <f>G1148</f>
        <v>6.36</v>
      </c>
      <c r="G1183" s="190">
        <f>E1183*F1183</f>
        <v>661.44</v>
      </c>
      <c r="I1183" s="375"/>
    </row>
    <row r="1184" spans="1:9" ht="36">
      <c r="A1184" s="847"/>
      <c r="B1184" s="105">
        <v>3</v>
      </c>
      <c r="C1184" s="91" t="s">
        <v>2508</v>
      </c>
      <c r="D1184" s="105" t="s">
        <v>3483</v>
      </c>
      <c r="E1184" s="190">
        <v>12</v>
      </c>
      <c r="F1184" s="190">
        <f>G1151</f>
        <v>26.853333333333332</v>
      </c>
      <c r="G1184" s="190">
        <f>E1184*F1184</f>
        <v>322.24</v>
      </c>
      <c r="I1184" s="367"/>
    </row>
    <row r="1185" spans="1:9">
      <c r="A1185" s="847"/>
      <c r="B1185" s="152"/>
      <c r="C1185" s="91" t="s">
        <v>1583</v>
      </c>
      <c r="D1185" s="343">
        <v>0.1</v>
      </c>
      <c r="E1185" s="190"/>
      <c r="F1185" s="190"/>
      <c r="G1185" s="190">
        <f>G1184*D1185</f>
        <v>32.224000000000004</v>
      </c>
      <c r="I1185" s="367"/>
    </row>
    <row r="1186" spans="1:9" ht="36">
      <c r="A1186" s="847"/>
      <c r="B1186" s="105">
        <v>4</v>
      </c>
      <c r="C1186" s="91" t="s">
        <v>145</v>
      </c>
      <c r="D1186" s="105" t="s">
        <v>2374</v>
      </c>
      <c r="E1186" s="190">
        <v>10.5</v>
      </c>
      <c r="F1186" s="190">
        <f>G1158</f>
        <v>18.75</v>
      </c>
      <c r="G1186" s="190">
        <f t="shared" ref="G1186:G1195" si="11">E1186*F1186</f>
        <v>196.875</v>
      </c>
      <c r="I1186" s="367"/>
    </row>
    <row r="1187" spans="1:9" ht="36">
      <c r="A1187" s="847"/>
      <c r="B1187" s="152"/>
      <c r="C1187" s="91" t="s">
        <v>146</v>
      </c>
      <c r="D1187" s="105" t="s">
        <v>2374</v>
      </c>
      <c r="E1187" s="190">
        <v>1</v>
      </c>
      <c r="F1187" s="190">
        <f>G1155</f>
        <v>11.5625</v>
      </c>
      <c r="G1187" s="190">
        <f t="shared" si="11"/>
        <v>11.5625</v>
      </c>
      <c r="I1187" s="367"/>
    </row>
    <row r="1188" spans="1:9">
      <c r="A1188" s="847"/>
      <c r="B1188" s="105">
        <v>5</v>
      </c>
      <c r="C1188" s="91" t="s">
        <v>147</v>
      </c>
      <c r="D1188" s="105" t="s">
        <v>3478</v>
      </c>
      <c r="E1188" s="190">
        <v>38</v>
      </c>
      <c r="F1188" s="190">
        <f>'BASIC DATA'!$D$53</f>
        <v>73</v>
      </c>
      <c r="G1188" s="190">
        <f t="shared" si="11"/>
        <v>2774</v>
      </c>
      <c r="I1188" s="367"/>
    </row>
    <row r="1189" spans="1:9">
      <c r="A1189" s="847"/>
      <c r="B1189" s="105">
        <v>6</v>
      </c>
      <c r="C1189" s="91" t="s">
        <v>148</v>
      </c>
      <c r="D1189" s="105" t="s">
        <v>3478</v>
      </c>
      <c r="E1189" s="190">
        <v>155</v>
      </c>
      <c r="F1189" s="190">
        <f>'BASIC DATA'!$D$52</f>
        <v>48</v>
      </c>
      <c r="G1189" s="190">
        <f t="shared" si="11"/>
        <v>7440</v>
      </c>
      <c r="I1189" s="367"/>
    </row>
    <row r="1190" spans="1:9">
      <c r="A1190" s="847"/>
      <c r="B1190" s="105">
        <v>7</v>
      </c>
      <c r="C1190" s="91" t="s">
        <v>149</v>
      </c>
      <c r="D1190" s="105" t="s">
        <v>3482</v>
      </c>
      <c r="E1190" s="190">
        <v>35</v>
      </c>
      <c r="F1190" s="190">
        <f>'BASIC DATA'!$D$347</f>
        <v>57.7</v>
      </c>
      <c r="G1190" s="190">
        <f t="shared" si="11"/>
        <v>2019.5</v>
      </c>
      <c r="I1190" s="367"/>
    </row>
    <row r="1191" spans="1:9" ht="36">
      <c r="A1191" s="847"/>
      <c r="B1191" s="105">
        <v>8</v>
      </c>
      <c r="C1191" s="91" t="s">
        <v>135</v>
      </c>
      <c r="D1191" s="105" t="s">
        <v>3478</v>
      </c>
      <c r="E1191" s="190">
        <v>4</v>
      </c>
      <c r="F1191" s="190">
        <f>'BASIC DATA'!$D$54</f>
        <v>70</v>
      </c>
      <c r="G1191" s="190">
        <f t="shared" si="11"/>
        <v>280</v>
      </c>
      <c r="I1191" s="367"/>
    </row>
    <row r="1192" spans="1:9">
      <c r="A1192" s="847"/>
      <c r="B1192" s="105">
        <v>9</v>
      </c>
      <c r="C1192" s="91" t="s">
        <v>2058</v>
      </c>
      <c r="D1192" s="105" t="s">
        <v>2059</v>
      </c>
      <c r="E1192" s="190">
        <v>20</v>
      </c>
      <c r="F1192" s="190">
        <f>'BASIC DATA'!$D$50</f>
        <v>7</v>
      </c>
      <c r="G1192" s="190">
        <f t="shared" si="11"/>
        <v>140</v>
      </c>
      <c r="I1192" s="367"/>
    </row>
    <row r="1193" spans="1:9">
      <c r="A1193" s="847"/>
      <c r="B1193" s="105">
        <v>10</v>
      </c>
      <c r="C1193" s="91" t="s">
        <v>150</v>
      </c>
      <c r="D1193" s="105" t="s">
        <v>3483</v>
      </c>
      <c r="E1193" s="190">
        <v>145</v>
      </c>
      <c r="F1193" s="190">
        <f>'BASIC DATA'!$D$44</f>
        <v>8</v>
      </c>
      <c r="G1193" s="190">
        <f t="shared" si="11"/>
        <v>1160</v>
      </c>
      <c r="I1193" s="367"/>
    </row>
    <row r="1194" spans="1:9">
      <c r="A1194" s="847"/>
      <c r="B1194" s="105">
        <v>11</v>
      </c>
      <c r="C1194" s="91" t="s">
        <v>5703</v>
      </c>
      <c r="D1194" s="105" t="s">
        <v>3483</v>
      </c>
      <c r="E1194" s="190">
        <v>20</v>
      </c>
      <c r="F1194" s="190">
        <f>'BASIC DATA'!$D$46</f>
        <v>9</v>
      </c>
      <c r="G1194" s="190">
        <f t="shared" si="11"/>
        <v>180</v>
      </c>
      <c r="I1194" s="367"/>
    </row>
    <row r="1195" spans="1:9">
      <c r="A1195" s="847"/>
      <c r="B1195" s="114">
        <v>12</v>
      </c>
      <c r="C1195" s="91" t="s">
        <v>2373</v>
      </c>
      <c r="D1195" s="114" t="s">
        <v>2173</v>
      </c>
      <c r="E1195" s="190">
        <v>5</v>
      </c>
      <c r="F1195" s="190">
        <f>'BASIC DATA'!$D$359</f>
        <v>30</v>
      </c>
      <c r="G1195" s="190">
        <f t="shared" si="11"/>
        <v>150</v>
      </c>
      <c r="I1195" s="367"/>
    </row>
    <row r="1196" spans="1:9">
      <c r="A1196" s="847"/>
      <c r="B1196" s="92"/>
      <c r="C1196" s="353" t="s">
        <v>2376</v>
      </c>
      <c r="D1196" s="159"/>
      <c r="E1196" s="238"/>
      <c r="F1196" s="236" t="s">
        <v>1698</v>
      </c>
      <c r="G1196" s="318">
        <f>SUM(G1182:G1195)</f>
        <v>30967.841499999999</v>
      </c>
    </row>
    <row r="1197" spans="1:9">
      <c r="A1197" s="847"/>
      <c r="B1197" s="78"/>
      <c r="C1197" s="48"/>
    </row>
    <row r="1198" spans="1:9">
      <c r="A1198" s="847"/>
      <c r="B1198" s="79" t="s">
        <v>2377</v>
      </c>
      <c r="C1198" s="48"/>
    </row>
    <row r="1199" spans="1:9">
      <c r="A1199" s="847"/>
      <c r="B1199" s="95" t="s">
        <v>2369</v>
      </c>
      <c r="C1199" s="350" t="s">
        <v>2378</v>
      </c>
      <c r="D1199" s="95" t="s">
        <v>2370</v>
      </c>
      <c r="E1199" s="95" t="s">
        <v>1166</v>
      </c>
      <c r="F1199" s="95" t="s">
        <v>2371</v>
      </c>
      <c r="G1199" s="95" t="s">
        <v>2372</v>
      </c>
    </row>
    <row r="1200" spans="1:9">
      <c r="A1200" s="847"/>
      <c r="B1200" s="114"/>
      <c r="C1200" s="351"/>
      <c r="D1200" s="114"/>
      <c r="E1200" s="114"/>
      <c r="F1200" s="114" t="s">
        <v>3485</v>
      </c>
      <c r="G1200" s="114" t="s">
        <v>3485</v>
      </c>
    </row>
    <row r="1201" spans="1:9">
      <c r="A1201" s="847"/>
      <c r="B1201" s="95">
        <v>1</v>
      </c>
      <c r="C1201" s="355" t="s">
        <v>151</v>
      </c>
      <c r="D1201" s="95" t="s">
        <v>2374</v>
      </c>
      <c r="E1201" s="220">
        <v>24.84</v>
      </c>
      <c r="F1201" s="190">
        <f>'HIRE CHARGES'!$D$545</f>
        <v>446.7</v>
      </c>
      <c r="G1201" s="190">
        <f t="shared" ref="G1201:G1212" si="12">E1201*F1201</f>
        <v>11096.028</v>
      </c>
      <c r="I1201" s="75"/>
    </row>
    <row r="1202" spans="1:9">
      <c r="A1202" s="847"/>
      <c r="B1202" s="152"/>
      <c r="C1202" s="355" t="s">
        <v>2379</v>
      </c>
      <c r="D1202" s="105" t="s">
        <v>2374</v>
      </c>
      <c r="E1202" s="220">
        <v>24.84</v>
      </c>
      <c r="F1202" s="190">
        <f>'HIRE CHARGES'!$E$545</f>
        <v>299.89999999999998</v>
      </c>
      <c r="G1202" s="190">
        <f t="shared" si="12"/>
        <v>7449.5159999999996</v>
      </c>
      <c r="I1202" s="75"/>
    </row>
    <row r="1203" spans="1:9">
      <c r="A1203" s="847"/>
      <c r="B1203" s="105">
        <v>2</v>
      </c>
      <c r="C1203" s="355" t="s">
        <v>298</v>
      </c>
      <c r="D1203" s="105" t="s">
        <v>2374</v>
      </c>
      <c r="E1203" s="220">
        <v>6.21</v>
      </c>
      <c r="F1203" s="190">
        <f>'HIRE CHARGES'!$D$543</f>
        <v>1706.6</v>
      </c>
      <c r="G1203" s="190">
        <f t="shared" si="12"/>
        <v>10597.985999999999</v>
      </c>
      <c r="I1203" s="75"/>
    </row>
    <row r="1204" spans="1:9">
      <c r="A1204" s="847"/>
      <c r="B1204" s="152"/>
      <c r="C1204" s="355" t="s">
        <v>2379</v>
      </c>
      <c r="D1204" s="105" t="s">
        <v>2374</v>
      </c>
      <c r="E1204" s="220">
        <v>6.21</v>
      </c>
      <c r="F1204" s="190">
        <f>'HIRE CHARGES'!$E$543</f>
        <v>872.7</v>
      </c>
      <c r="G1204" s="190">
        <f t="shared" si="12"/>
        <v>5419.4670000000006</v>
      </c>
      <c r="I1204" s="75"/>
    </row>
    <row r="1205" spans="1:9">
      <c r="A1205" s="847"/>
      <c r="B1205" s="105">
        <v>3</v>
      </c>
      <c r="C1205" s="355" t="s">
        <v>152</v>
      </c>
      <c r="D1205" s="105" t="s">
        <v>2374</v>
      </c>
      <c r="E1205" s="220">
        <v>2</v>
      </c>
      <c r="F1205" s="214">
        <f>'HIRE CHARGES'!$D$499</f>
        <v>1715.5</v>
      </c>
      <c r="G1205" s="190">
        <f t="shared" si="12"/>
        <v>3431</v>
      </c>
      <c r="I1205" s="75"/>
    </row>
    <row r="1206" spans="1:9">
      <c r="A1206" s="847"/>
      <c r="B1206" s="152"/>
      <c r="C1206" s="355" t="s">
        <v>2379</v>
      </c>
      <c r="D1206" s="105" t="s">
        <v>2374</v>
      </c>
      <c r="E1206" s="220">
        <v>2</v>
      </c>
      <c r="F1206" s="214">
        <f>'HIRE CHARGES'!$E$499</f>
        <v>610.5</v>
      </c>
      <c r="G1206" s="190">
        <f t="shared" si="12"/>
        <v>1221</v>
      </c>
      <c r="I1206" s="75"/>
    </row>
    <row r="1207" spans="1:9" ht="36">
      <c r="A1207" s="847"/>
      <c r="B1207" s="105">
        <v>4</v>
      </c>
      <c r="C1207" s="355" t="s">
        <v>2062</v>
      </c>
      <c r="D1207" s="105" t="s">
        <v>2374</v>
      </c>
      <c r="E1207" s="220">
        <v>11.5</v>
      </c>
      <c r="F1207" s="214">
        <f>'HIRE CHARGES'!$D$496</f>
        <v>275.60000000000002</v>
      </c>
      <c r="G1207" s="190">
        <f t="shared" si="12"/>
        <v>3169.4</v>
      </c>
      <c r="I1207" s="75"/>
    </row>
    <row r="1208" spans="1:9">
      <c r="A1208" s="847"/>
      <c r="B1208" s="152"/>
      <c r="C1208" s="355" t="s">
        <v>2379</v>
      </c>
      <c r="D1208" s="105" t="s">
        <v>2374</v>
      </c>
      <c r="E1208" s="220">
        <v>11.5</v>
      </c>
      <c r="F1208" s="214">
        <f>'HIRE CHARGES'!$E$496</f>
        <v>892.5</v>
      </c>
      <c r="G1208" s="190">
        <f t="shared" si="12"/>
        <v>10263.75</v>
      </c>
      <c r="I1208" s="75"/>
    </row>
    <row r="1209" spans="1:9">
      <c r="A1209" s="847"/>
      <c r="B1209" s="105">
        <v>5</v>
      </c>
      <c r="C1209" s="355" t="s">
        <v>258</v>
      </c>
      <c r="D1209" s="105" t="s">
        <v>2374</v>
      </c>
      <c r="E1209" s="220">
        <v>10.5</v>
      </c>
      <c r="F1209" s="214">
        <f>'HIRE CHARGES'!$D$554</f>
        <v>188.5</v>
      </c>
      <c r="G1209" s="190">
        <f t="shared" si="12"/>
        <v>1979.25</v>
      </c>
      <c r="I1209" s="75"/>
    </row>
    <row r="1210" spans="1:9">
      <c r="A1210" s="847"/>
      <c r="B1210" s="105"/>
      <c r="C1210" s="355" t="s">
        <v>2379</v>
      </c>
      <c r="D1210" s="105" t="s">
        <v>2374</v>
      </c>
      <c r="E1210" s="220">
        <v>10.5</v>
      </c>
      <c r="F1210" s="214">
        <f>'HIRE CHARGES'!$E$554</f>
        <v>0</v>
      </c>
      <c r="G1210" s="190">
        <f t="shared" si="12"/>
        <v>0</v>
      </c>
      <c r="I1210" s="75"/>
    </row>
    <row r="1211" spans="1:9">
      <c r="A1211" s="847"/>
      <c r="B1211" s="105">
        <v>6</v>
      </c>
      <c r="C1211" s="355" t="s">
        <v>6243</v>
      </c>
      <c r="D1211" s="105" t="s">
        <v>2374</v>
      </c>
      <c r="E1211" s="220">
        <v>2</v>
      </c>
      <c r="F1211" s="214">
        <f>'HIRE CHARGES'!$D$530</f>
        <v>19.8</v>
      </c>
      <c r="G1211" s="190">
        <f t="shared" si="12"/>
        <v>39.6</v>
      </c>
      <c r="I1211" s="75"/>
    </row>
    <row r="1212" spans="1:9">
      <c r="A1212" s="847"/>
      <c r="B1212" s="114"/>
      <c r="C1212" s="355" t="s">
        <v>2379</v>
      </c>
      <c r="D1212" s="105" t="s">
        <v>2374</v>
      </c>
      <c r="E1212" s="220">
        <v>2</v>
      </c>
      <c r="F1212" s="214">
        <f>'HIRE CHARGES'!$E$530</f>
        <v>0</v>
      </c>
      <c r="G1212" s="190">
        <f t="shared" si="12"/>
        <v>0</v>
      </c>
      <c r="I1212" s="75"/>
    </row>
    <row r="1213" spans="1:9">
      <c r="A1213" s="847"/>
      <c r="B1213" s="176"/>
      <c r="C1213" s="357" t="s">
        <v>2380</v>
      </c>
      <c r="D1213" s="174"/>
      <c r="E1213" s="192"/>
      <c r="F1213" s="236" t="s">
        <v>1698</v>
      </c>
      <c r="G1213" s="354">
        <f>SUM(G1201:G1212)</f>
        <v>54666.997000000003</v>
      </c>
    </row>
    <row r="1214" spans="1:9">
      <c r="A1214" s="847"/>
      <c r="B1214" s="78"/>
      <c r="C1214" s="48"/>
    </row>
    <row r="1215" spans="1:9">
      <c r="A1215" s="847"/>
      <c r="B1215" s="79" t="s">
        <v>2381</v>
      </c>
      <c r="C1215" s="48"/>
    </row>
    <row r="1216" spans="1:9">
      <c r="A1216" s="847"/>
      <c r="B1216" s="95" t="s">
        <v>2369</v>
      </c>
      <c r="C1216" s="350" t="s">
        <v>2378</v>
      </c>
      <c r="D1216" s="95" t="s">
        <v>2370</v>
      </c>
      <c r="E1216" s="95" t="s">
        <v>1166</v>
      </c>
      <c r="F1216" s="95" t="s">
        <v>2371</v>
      </c>
      <c r="G1216" s="95" t="s">
        <v>2372</v>
      </c>
    </row>
    <row r="1217" spans="1:9">
      <c r="A1217" s="847"/>
      <c r="B1217" s="114"/>
      <c r="C1217" s="351"/>
      <c r="D1217" s="105"/>
      <c r="E1217" s="114"/>
      <c r="F1217" s="114" t="s">
        <v>3485</v>
      </c>
      <c r="G1217" s="114" t="s">
        <v>3485</v>
      </c>
    </row>
    <row r="1218" spans="1:9">
      <c r="A1218" s="847"/>
      <c r="B1218" s="105">
        <v>1</v>
      </c>
      <c r="C1218" s="86" t="s">
        <v>301</v>
      </c>
      <c r="D1218" s="95" t="s">
        <v>2374</v>
      </c>
      <c r="E1218" s="207">
        <v>24.84</v>
      </c>
      <c r="F1218" s="190">
        <f>'HIRE CHARGES'!$F$545</f>
        <v>177.5</v>
      </c>
      <c r="G1218" s="190">
        <f t="shared" ref="G1218:G1229" si="13">E1218*F1218</f>
        <v>4409.1000000000004</v>
      </c>
      <c r="I1218" s="75"/>
    </row>
    <row r="1219" spans="1:9">
      <c r="A1219" s="847"/>
      <c r="B1219" s="105">
        <v>2</v>
      </c>
      <c r="C1219" s="86" t="s">
        <v>300</v>
      </c>
      <c r="D1219" s="105" t="s">
        <v>2374</v>
      </c>
      <c r="E1219" s="207">
        <v>6.21</v>
      </c>
      <c r="F1219" s="190">
        <f>'HIRE CHARGES'!$F$543</f>
        <v>236.6</v>
      </c>
      <c r="G1219" s="190">
        <f t="shared" si="13"/>
        <v>1469.2860000000001</v>
      </c>
      <c r="I1219" s="75"/>
    </row>
    <row r="1220" spans="1:9">
      <c r="A1220" s="847"/>
      <c r="B1220" s="105">
        <v>3</v>
      </c>
      <c r="C1220" s="86" t="s">
        <v>2870</v>
      </c>
      <c r="D1220" s="105" t="s">
        <v>2374</v>
      </c>
      <c r="E1220" s="207">
        <v>2</v>
      </c>
      <c r="F1220" s="190">
        <f>'HIRE CHARGES'!$F$499</f>
        <v>236.6</v>
      </c>
      <c r="G1220" s="190">
        <f t="shared" si="13"/>
        <v>473.2</v>
      </c>
      <c r="I1220" s="75"/>
    </row>
    <row r="1221" spans="1:9">
      <c r="A1221" s="847"/>
      <c r="B1221" s="105">
        <v>4</v>
      </c>
      <c r="C1221" s="86" t="s">
        <v>4606</v>
      </c>
      <c r="D1221" s="105" t="s">
        <v>2374</v>
      </c>
      <c r="E1221" s="207">
        <v>11.5</v>
      </c>
      <c r="F1221" s="190">
        <f>'HIRE CHARGES'!$F$496</f>
        <v>210.9</v>
      </c>
      <c r="G1221" s="190">
        <f t="shared" si="13"/>
        <v>2425.35</v>
      </c>
      <c r="I1221" s="75"/>
    </row>
    <row r="1222" spans="1:9">
      <c r="A1222" s="847"/>
      <c r="B1222" s="105">
        <v>5</v>
      </c>
      <c r="C1222" s="86" t="s">
        <v>153</v>
      </c>
      <c r="D1222" s="105" t="s">
        <v>2374</v>
      </c>
      <c r="E1222" s="207">
        <v>10.5</v>
      </c>
      <c r="F1222" s="190">
        <f>'HIRE CHARGES'!$F$554</f>
        <v>283.89999999999998</v>
      </c>
      <c r="G1222" s="190">
        <f t="shared" si="13"/>
        <v>2980.95</v>
      </c>
      <c r="I1222" s="75"/>
    </row>
    <row r="1223" spans="1:9">
      <c r="A1223" s="847"/>
      <c r="B1223" s="105">
        <v>6</v>
      </c>
      <c r="C1223" s="86" t="s">
        <v>4607</v>
      </c>
      <c r="D1223" s="105" t="s">
        <v>2374</v>
      </c>
      <c r="E1223" s="207">
        <v>2</v>
      </c>
      <c r="F1223" s="190">
        <f>'HIRE CHARGES'!$F$530</f>
        <v>329.6</v>
      </c>
      <c r="G1223" s="190">
        <f t="shared" si="13"/>
        <v>659.2</v>
      </c>
      <c r="I1223" s="75"/>
    </row>
    <row r="1224" spans="1:9">
      <c r="A1224" s="847"/>
      <c r="B1224" s="105">
        <v>7</v>
      </c>
      <c r="C1224" s="86" t="s">
        <v>4206</v>
      </c>
      <c r="D1224" s="105" t="s">
        <v>1172</v>
      </c>
      <c r="E1224" s="207">
        <v>2</v>
      </c>
      <c r="F1224" s="190">
        <f>'BASIC DATA'!$C$473</f>
        <v>450</v>
      </c>
      <c r="G1224" s="190">
        <f t="shared" si="13"/>
        <v>900</v>
      </c>
      <c r="I1224" s="75"/>
    </row>
    <row r="1225" spans="1:9">
      <c r="A1225" s="847"/>
      <c r="B1225" s="105">
        <v>8</v>
      </c>
      <c r="C1225" s="86" t="s">
        <v>4608</v>
      </c>
      <c r="D1225" s="105" t="s">
        <v>1172</v>
      </c>
      <c r="E1225" s="207">
        <v>1</v>
      </c>
      <c r="F1225" s="190">
        <f>'BASIC DATA'!$C$466</f>
        <v>510</v>
      </c>
      <c r="G1225" s="190">
        <f t="shared" si="13"/>
        <v>510</v>
      </c>
      <c r="I1225" s="75"/>
    </row>
    <row r="1226" spans="1:9">
      <c r="A1226" s="847"/>
      <c r="B1226" s="105">
        <v>9</v>
      </c>
      <c r="C1226" s="86" t="s">
        <v>4609</v>
      </c>
      <c r="D1226" s="105" t="s">
        <v>1172</v>
      </c>
      <c r="E1226" s="207">
        <v>1</v>
      </c>
      <c r="F1226" s="190">
        <f>'BASIC DATA'!$C$520</f>
        <v>400</v>
      </c>
      <c r="G1226" s="190">
        <f t="shared" si="13"/>
        <v>400</v>
      </c>
      <c r="I1226" s="75"/>
    </row>
    <row r="1227" spans="1:9">
      <c r="A1227" s="847"/>
      <c r="B1227" s="105">
        <v>10</v>
      </c>
      <c r="C1227" s="86" t="s">
        <v>840</v>
      </c>
      <c r="D1227" s="105" t="s">
        <v>1172</v>
      </c>
      <c r="E1227" s="207">
        <v>1</v>
      </c>
      <c r="F1227" s="190">
        <f>'BASIC DATA'!$C$545</f>
        <v>400</v>
      </c>
      <c r="G1227" s="190">
        <f t="shared" si="13"/>
        <v>400</v>
      </c>
      <c r="I1227" s="75"/>
    </row>
    <row r="1228" spans="1:9">
      <c r="A1228" s="847"/>
      <c r="B1228" s="105">
        <v>11</v>
      </c>
      <c r="C1228" s="86" t="s">
        <v>1190</v>
      </c>
      <c r="D1228" s="105" t="s">
        <v>1172</v>
      </c>
      <c r="E1228" s="207">
        <v>1</v>
      </c>
      <c r="F1228" s="190">
        <f>'BASIC DATA'!$C$546</f>
        <v>400</v>
      </c>
      <c r="G1228" s="190">
        <f t="shared" si="13"/>
        <v>400</v>
      </c>
      <c r="I1228" s="75"/>
    </row>
    <row r="1229" spans="1:9">
      <c r="A1229" s="847"/>
      <c r="B1229" s="105">
        <v>12</v>
      </c>
      <c r="C1229" s="86" t="s">
        <v>2697</v>
      </c>
      <c r="D1229" s="105" t="s">
        <v>1172</v>
      </c>
      <c r="E1229" s="207">
        <v>3</v>
      </c>
      <c r="F1229" s="190">
        <f>'BASIC DATA'!$C$552</f>
        <v>350</v>
      </c>
      <c r="G1229" s="190">
        <f t="shared" si="13"/>
        <v>1050</v>
      </c>
      <c r="I1229" s="75"/>
    </row>
    <row r="1230" spans="1:9">
      <c r="A1230" s="847"/>
      <c r="B1230" s="92"/>
      <c r="C1230" s="353" t="s">
        <v>1174</v>
      </c>
      <c r="D1230" s="159"/>
      <c r="E1230" s="238"/>
      <c r="F1230" s="236" t="s">
        <v>1698</v>
      </c>
      <c r="G1230" s="318">
        <f>SUM(G1218:G1229)</f>
        <v>16077.085999999999</v>
      </c>
      <c r="I1230" s="31"/>
    </row>
    <row r="1231" spans="1:9">
      <c r="A1231" s="847"/>
      <c r="B1231" s="359" t="s">
        <v>5948</v>
      </c>
      <c r="C1231" s="48"/>
      <c r="D1231" s="31"/>
      <c r="E1231" s="85">
        <f>ROUND(G1230/F1178,1)</f>
        <v>41.7</v>
      </c>
    </row>
    <row r="1232" spans="1:9">
      <c r="A1232" s="847"/>
      <c r="B1232" s="359" t="s">
        <v>3163</v>
      </c>
      <c r="C1232" s="48"/>
      <c r="D1232" s="922">
        <f>'BASIC DATA'!$C$577</f>
        <v>0.13614999999999999</v>
      </c>
      <c r="E1232" s="85">
        <f>ROUND(E1231*D1232,1)</f>
        <v>5.7</v>
      </c>
    </row>
    <row r="1233" spans="1:8">
      <c r="A1233" s="847"/>
      <c r="B1233" s="359" t="s">
        <v>5949</v>
      </c>
      <c r="C1233" s="48"/>
      <c r="D1233" s="31"/>
      <c r="E1233" s="199">
        <f>ROUND(E1232+E1231,1)</f>
        <v>47.4</v>
      </c>
    </row>
    <row r="1234" spans="1:8">
      <c r="A1234" s="847"/>
      <c r="C1234" s="48"/>
    </row>
    <row r="1235" spans="1:8">
      <c r="A1235" s="847"/>
      <c r="B1235" s="162" t="s">
        <v>1175</v>
      </c>
      <c r="C1235" s="48"/>
    </row>
    <row r="1236" spans="1:8">
      <c r="A1236" s="847"/>
      <c r="B1236" s="47" t="s">
        <v>1176</v>
      </c>
      <c r="C1236" s="48"/>
      <c r="F1236" s="171" t="s">
        <v>1698</v>
      </c>
      <c r="G1236" s="68">
        <f>G1196</f>
        <v>30967.841499999999</v>
      </c>
    </row>
    <row r="1237" spans="1:8">
      <c r="A1237" s="847"/>
      <c r="B1237" s="47" t="s">
        <v>1186</v>
      </c>
      <c r="C1237" s="48"/>
      <c r="F1237" s="171" t="s">
        <v>1698</v>
      </c>
      <c r="G1237" s="68">
        <f>G1213</f>
        <v>54666.997000000003</v>
      </c>
    </row>
    <row r="1238" spans="1:8">
      <c r="A1238" s="847"/>
      <c r="B1238" s="47" t="s">
        <v>2660</v>
      </c>
      <c r="C1238" s="48"/>
      <c r="F1238" s="171" t="s">
        <v>1698</v>
      </c>
      <c r="G1238" s="75">
        <f>G1230</f>
        <v>16077.085999999999</v>
      </c>
    </row>
    <row r="1239" spans="1:8">
      <c r="A1239" s="847"/>
      <c r="B1239" s="78"/>
      <c r="C1239" s="48"/>
      <c r="E1239" s="250"/>
      <c r="F1239" s="171" t="s">
        <v>302</v>
      </c>
      <c r="G1239" s="205">
        <f>SUM(G1236:G1238)</f>
        <v>101711.92449999999</v>
      </c>
    </row>
    <row r="1240" spans="1:8" ht="38.25" customHeight="1">
      <c r="A1240" s="847"/>
      <c r="B1240" s="1207" t="s">
        <v>1379</v>
      </c>
      <c r="C1240" s="1207"/>
      <c r="D1240" s="1207"/>
      <c r="E1240" s="922">
        <f>'BASIC DATA'!$C$577</f>
        <v>0.13614999999999999</v>
      </c>
      <c r="F1240" s="171" t="s">
        <v>1698</v>
      </c>
      <c r="G1240" s="31">
        <f>ROUND(G1239*E1240,2)</f>
        <v>13848.08</v>
      </c>
    </row>
    <row r="1241" spans="1:8">
      <c r="A1241" s="847"/>
      <c r="B1241" s="47" t="s">
        <v>1191</v>
      </c>
      <c r="C1241" s="48"/>
      <c r="D1241" s="68">
        <f>F1178</f>
        <v>386</v>
      </c>
      <c r="E1241" s="68" t="str">
        <f>G1178</f>
        <v>Cum</v>
      </c>
      <c r="F1241" s="171" t="s">
        <v>1698</v>
      </c>
      <c r="G1241" s="211">
        <f>G1240+G1239</f>
        <v>115560.0045</v>
      </c>
    </row>
    <row r="1242" spans="1:8">
      <c r="A1242" s="847"/>
      <c r="B1242" s="79" t="s">
        <v>1584</v>
      </c>
      <c r="C1242" s="356" t="str">
        <f>E1241</f>
        <v>Cum</v>
      </c>
      <c r="D1242" s="26" t="s">
        <v>1322</v>
      </c>
      <c r="F1242" s="171" t="s">
        <v>4108</v>
      </c>
      <c r="G1242" s="211">
        <f>ROUND(G1241/D1241,1)</f>
        <v>299.39999999999998</v>
      </c>
      <c r="H1242" s="171"/>
    </row>
    <row r="1243" spans="1:8"/>
    <row r="1244" spans="1:8"/>
    <row r="1245" spans="1:8" ht="36.75">
      <c r="A1245" s="841" t="s">
        <v>7429</v>
      </c>
      <c r="B1245" s="47" t="s">
        <v>8644</v>
      </c>
      <c r="C1245" s="48"/>
    </row>
    <row r="1246" spans="1:8">
      <c r="A1246" s="889" t="s">
        <v>2047</v>
      </c>
      <c r="B1246" s="47" t="s">
        <v>8653</v>
      </c>
      <c r="C1246" s="48"/>
    </row>
    <row r="1247" spans="1:8">
      <c r="A1247" s="889"/>
      <c r="B1247" s="47" t="s">
        <v>7986</v>
      </c>
      <c r="C1247" s="48"/>
    </row>
    <row r="1248" spans="1:8">
      <c r="A1248" s="889"/>
      <c r="B1248" s="47" t="s">
        <v>154</v>
      </c>
      <c r="C1248" s="48"/>
    </row>
    <row r="1249" spans="1:3">
      <c r="A1249" s="889"/>
      <c r="B1249" s="47" t="s">
        <v>6215</v>
      </c>
      <c r="C1249" s="48"/>
    </row>
    <row r="1250" spans="1:3" ht="18.75">
      <c r="A1250" s="889"/>
      <c r="B1250" s="47" t="s">
        <v>8654</v>
      </c>
      <c r="C1250" s="48"/>
    </row>
    <row r="1251" spans="1:3">
      <c r="A1251" s="889"/>
      <c r="C1251" s="48"/>
    </row>
    <row r="1252" spans="1:3">
      <c r="A1252" s="890" t="s">
        <v>1940</v>
      </c>
      <c r="B1252" s="47" t="s">
        <v>1905</v>
      </c>
      <c r="C1252" s="48"/>
    </row>
    <row r="1253" spans="1:3">
      <c r="A1253" s="889"/>
      <c r="B1253" s="47" t="s">
        <v>1906</v>
      </c>
      <c r="C1253" s="48"/>
    </row>
    <row r="1254" spans="1:3">
      <c r="A1254" s="889"/>
      <c r="B1254" s="47" t="s">
        <v>1812</v>
      </c>
      <c r="C1254" s="48"/>
    </row>
    <row r="1255" spans="1:3">
      <c r="A1255" s="889"/>
      <c r="B1255" s="47" t="s">
        <v>1813</v>
      </c>
      <c r="C1255" s="48"/>
    </row>
    <row r="1256" spans="1:3">
      <c r="A1256" s="889"/>
      <c r="C1256" s="48"/>
    </row>
    <row r="1257" spans="1:3" hidden="1">
      <c r="A1257" s="889" t="s">
        <v>1907</v>
      </c>
      <c r="B1257" s="47" t="s">
        <v>1775</v>
      </c>
      <c r="C1257" s="48"/>
    </row>
    <row r="1258" spans="1:3" hidden="1">
      <c r="A1258" s="889"/>
      <c r="B1258" s="587" t="s">
        <v>1141</v>
      </c>
      <c r="C1258" s="48"/>
    </row>
    <row r="1259" spans="1:3" hidden="1">
      <c r="A1259" s="889"/>
      <c r="B1259" s="47" t="s">
        <v>1142</v>
      </c>
      <c r="C1259" s="48"/>
    </row>
    <row r="1260" spans="1:3" hidden="1">
      <c r="A1260" s="889"/>
      <c r="B1260" s="587" t="s">
        <v>77</v>
      </c>
      <c r="C1260" s="48"/>
    </row>
    <row r="1261" spans="1:3" hidden="1">
      <c r="A1261" s="889"/>
      <c r="B1261" s="587" t="s">
        <v>78</v>
      </c>
      <c r="C1261" s="48"/>
    </row>
    <row r="1262" spans="1:3" hidden="1">
      <c r="A1262" s="889"/>
      <c r="B1262" s="587" t="s">
        <v>1780</v>
      </c>
      <c r="C1262" s="48"/>
    </row>
    <row r="1263" spans="1:3" hidden="1">
      <c r="A1263" s="889"/>
      <c r="B1263" s="47" t="s">
        <v>1781</v>
      </c>
      <c r="C1263" s="48"/>
    </row>
    <row r="1264" spans="1:3" hidden="1">
      <c r="A1264" s="889"/>
      <c r="B1264" s="47" t="s">
        <v>3740</v>
      </c>
      <c r="C1264" s="48"/>
    </row>
    <row r="1265" spans="1:10" hidden="1">
      <c r="A1265" s="889"/>
      <c r="B1265" s="47" t="s">
        <v>1915</v>
      </c>
      <c r="C1265" s="48"/>
    </row>
    <row r="1266" spans="1:10" hidden="1">
      <c r="A1266" s="889"/>
      <c r="B1266" s="47" t="s">
        <v>6548</v>
      </c>
      <c r="C1266" s="48"/>
    </row>
    <row r="1267" spans="1:10" hidden="1">
      <c r="A1267" s="889"/>
      <c r="B1267" s="47" t="s">
        <v>2549</v>
      </c>
      <c r="C1267" s="48"/>
    </row>
    <row r="1268" spans="1:10" hidden="1">
      <c r="A1268" s="889"/>
      <c r="B1268" s="47" t="s">
        <v>2855</v>
      </c>
      <c r="C1268" s="48"/>
    </row>
    <row r="1269" spans="1:10" hidden="1">
      <c r="A1269" s="889"/>
      <c r="B1269" s="47" t="s">
        <v>4191</v>
      </c>
      <c r="C1269" s="48"/>
    </row>
    <row r="1270" spans="1:10" hidden="1">
      <c r="A1270" s="889"/>
      <c r="B1270" s="47" t="s">
        <v>4192</v>
      </c>
      <c r="C1270" s="48"/>
      <c r="F1270" s="78" t="s">
        <v>1697</v>
      </c>
      <c r="G1270" s="68">
        <v>2</v>
      </c>
      <c r="H1270" s="26" t="s">
        <v>3561</v>
      </c>
      <c r="I1270" s="376"/>
    </row>
    <row r="1271" spans="1:10" hidden="1">
      <c r="A1271" s="889"/>
      <c r="B1271" s="47" t="s">
        <v>4193</v>
      </c>
      <c r="C1271" s="48"/>
      <c r="F1271" s="78" t="s">
        <v>1697</v>
      </c>
      <c r="G1271" s="68">
        <v>2.5</v>
      </c>
      <c r="H1271" s="26" t="s">
        <v>3561</v>
      </c>
      <c r="I1271" s="376"/>
    </row>
    <row r="1272" spans="1:10" hidden="1">
      <c r="A1272" s="889"/>
      <c r="B1272" s="47" t="s">
        <v>4194</v>
      </c>
      <c r="C1272" s="48"/>
      <c r="F1272" s="78" t="s">
        <v>1697</v>
      </c>
      <c r="G1272" s="26" t="s">
        <v>6701</v>
      </c>
      <c r="H1272" s="26" t="s">
        <v>3561</v>
      </c>
      <c r="I1272" s="1230"/>
      <c r="J1272" s="1230"/>
    </row>
    <row r="1273" spans="1:10" hidden="1">
      <c r="A1273" s="889"/>
      <c r="B1273" s="47" t="s">
        <v>4195</v>
      </c>
      <c r="C1273" s="48"/>
      <c r="I1273" s="310"/>
      <c r="J1273" s="310"/>
    </row>
    <row r="1274" spans="1:10" hidden="1">
      <c r="A1274" s="889"/>
      <c r="B1274" s="47" t="s">
        <v>3741</v>
      </c>
      <c r="C1274" s="48"/>
      <c r="F1274" s="78" t="s">
        <v>1697</v>
      </c>
      <c r="G1274" s="68">
        <v>6</v>
      </c>
      <c r="H1274" s="26" t="s">
        <v>3561</v>
      </c>
      <c r="I1274" s="376"/>
    </row>
    <row r="1275" spans="1:10" hidden="1">
      <c r="A1275" s="889"/>
      <c r="B1275" s="47" t="s">
        <v>3742</v>
      </c>
      <c r="C1275" s="48"/>
      <c r="F1275" s="78" t="s">
        <v>1697</v>
      </c>
      <c r="G1275" s="68">
        <v>5.8</v>
      </c>
      <c r="H1275" s="26" t="s">
        <v>3561</v>
      </c>
      <c r="I1275" s="47"/>
    </row>
    <row r="1276" spans="1:10" hidden="1">
      <c r="A1276" s="889"/>
      <c r="B1276" s="47" t="s">
        <v>7094</v>
      </c>
      <c r="C1276" s="48"/>
      <c r="F1276" s="78" t="s">
        <v>1697</v>
      </c>
      <c r="G1276" s="68">
        <v>12</v>
      </c>
      <c r="H1276" s="26" t="s">
        <v>3561</v>
      </c>
      <c r="I1276" s="376"/>
    </row>
    <row r="1277" spans="1:10"/>
    <row r="1278" spans="1:10"/>
    <row r="1279" spans="1:10"/>
    <row r="1280" spans="1:1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hidden="1"/>
    <row r="1309" hidden="1"/>
    <row r="1310" hidden="1"/>
    <row r="1311" hidden="1"/>
    <row r="1312" hidden="1"/>
    <row r="1313" spans="1:8" hidden="1"/>
    <row r="1314" spans="1:8" hidden="1"/>
    <row r="1315" spans="1:8" hidden="1"/>
    <row r="1316" spans="1:8" hidden="1"/>
    <row r="1317" spans="1:8" hidden="1"/>
    <row r="1318" spans="1:8" hidden="1"/>
    <row r="1319" spans="1:8" hidden="1"/>
    <row r="1320" spans="1:8" hidden="1"/>
    <row r="1321" spans="1:8" hidden="1"/>
    <row r="1322" spans="1:8" hidden="1"/>
    <row r="1323" spans="1:8" hidden="1"/>
    <row r="1324" spans="1:8" hidden="1"/>
    <row r="1325" spans="1:8" hidden="1"/>
    <row r="1326" spans="1:8" hidden="1">
      <c r="A1326" s="847"/>
      <c r="B1326" s="47" t="s">
        <v>7095</v>
      </c>
      <c r="C1326" s="48"/>
    </row>
    <row r="1327" spans="1:8" hidden="1">
      <c r="A1327" s="847"/>
      <c r="B1327" s="47" t="s">
        <v>7096</v>
      </c>
      <c r="C1327" s="48"/>
    </row>
    <row r="1328" spans="1:8" hidden="1">
      <c r="A1328" s="847"/>
      <c r="B1328" s="47" t="s">
        <v>5119</v>
      </c>
      <c r="C1328" s="48"/>
      <c r="F1328" s="78" t="s">
        <v>1697</v>
      </c>
      <c r="G1328" s="26">
        <v>64.38</v>
      </c>
      <c r="H1328" s="26" t="s">
        <v>3883</v>
      </c>
    </row>
    <row r="1329" spans="1:9" hidden="1">
      <c r="A1329" s="847"/>
      <c r="B1329" s="47" t="s">
        <v>6672</v>
      </c>
      <c r="C1329" s="48"/>
      <c r="F1329" s="78" t="s">
        <v>1697</v>
      </c>
      <c r="G1329" s="68">
        <v>6</v>
      </c>
      <c r="H1329" s="26" t="s">
        <v>3561</v>
      </c>
    </row>
    <row r="1330" spans="1:9" hidden="1">
      <c r="A1330" s="847"/>
      <c r="B1330" s="47" t="s">
        <v>6673</v>
      </c>
      <c r="C1330" s="48"/>
      <c r="F1330" s="78" t="s">
        <v>1697</v>
      </c>
      <c r="G1330" s="26">
        <v>386</v>
      </c>
      <c r="H1330" s="26" t="s">
        <v>6901</v>
      </c>
    </row>
    <row r="1331" spans="1:9" hidden="1">
      <c r="A1331" s="847"/>
      <c r="B1331" s="47" t="s">
        <v>773</v>
      </c>
      <c r="C1331" s="48"/>
      <c r="F1331" s="78"/>
      <c r="G1331" s="26">
        <v>17</v>
      </c>
      <c r="H1331" s="26" t="s">
        <v>294</v>
      </c>
    </row>
    <row r="1332" spans="1:9" hidden="1">
      <c r="A1332" s="847"/>
      <c r="B1332" s="47" t="s">
        <v>774</v>
      </c>
      <c r="C1332" s="48"/>
      <c r="F1332" s="78" t="s">
        <v>1697</v>
      </c>
      <c r="G1332" s="68">
        <v>104</v>
      </c>
      <c r="H1332" s="26" t="s">
        <v>3561</v>
      </c>
    </row>
    <row r="1333" spans="1:9" hidden="1">
      <c r="A1333" s="847"/>
      <c r="B1333" s="47" t="s">
        <v>775</v>
      </c>
      <c r="C1333" s="48"/>
      <c r="F1333" s="78" t="s">
        <v>1697</v>
      </c>
      <c r="G1333" s="68">
        <v>12</v>
      </c>
      <c r="H1333" s="26" t="s">
        <v>3561</v>
      </c>
    </row>
    <row r="1334" spans="1:9" hidden="1">
      <c r="A1334" s="847"/>
      <c r="B1334" s="47" t="s">
        <v>776</v>
      </c>
      <c r="C1334" s="48"/>
      <c r="F1334" s="78"/>
      <c r="G1334" s="26">
        <v>20</v>
      </c>
      <c r="H1334" s="26" t="s">
        <v>294</v>
      </c>
    </row>
    <row r="1335" spans="1:9" hidden="1">
      <c r="A1335" s="847"/>
      <c r="B1335" s="47" t="s">
        <v>777</v>
      </c>
      <c r="C1335" s="48"/>
      <c r="F1335" s="78" t="s">
        <v>1697</v>
      </c>
      <c r="G1335" s="26">
        <v>9.4499999999999993</v>
      </c>
      <c r="H1335" s="26" t="s">
        <v>4665</v>
      </c>
    </row>
    <row r="1336" spans="1:9" hidden="1">
      <c r="A1336" s="847"/>
      <c r="B1336" s="47" t="s">
        <v>1904</v>
      </c>
      <c r="C1336" s="48"/>
    </row>
    <row r="1337" spans="1:9" hidden="1">
      <c r="A1337" s="847"/>
      <c r="B1337" s="47" t="s">
        <v>2861</v>
      </c>
      <c r="C1337" s="48"/>
    </row>
    <row r="1338" spans="1:9" hidden="1">
      <c r="A1338" s="847"/>
      <c r="B1338" s="47" t="s">
        <v>2862</v>
      </c>
      <c r="C1338" s="48"/>
      <c r="F1338" s="78" t="s">
        <v>1697</v>
      </c>
      <c r="G1338" s="68">
        <v>193</v>
      </c>
      <c r="H1338" s="26" t="s">
        <v>3033</v>
      </c>
      <c r="I1338" s="375"/>
    </row>
    <row r="1339" spans="1:9" hidden="1">
      <c r="A1339" s="847"/>
      <c r="B1339" s="47" t="s">
        <v>2863</v>
      </c>
      <c r="C1339" s="48"/>
      <c r="F1339" s="78" t="s">
        <v>1697</v>
      </c>
      <c r="G1339" s="68">
        <v>38</v>
      </c>
      <c r="H1339" s="26" t="s">
        <v>3033</v>
      </c>
      <c r="I1339" s="375"/>
    </row>
    <row r="1340" spans="1:9" hidden="1">
      <c r="A1340" s="847"/>
      <c r="B1340" s="47" t="s">
        <v>2864</v>
      </c>
      <c r="C1340" s="48"/>
      <c r="F1340" s="78" t="s">
        <v>1697</v>
      </c>
      <c r="G1340" s="68">
        <v>155</v>
      </c>
      <c r="H1340" s="26" t="s">
        <v>3033</v>
      </c>
      <c r="I1340" s="375"/>
    </row>
    <row r="1341" spans="1:9" hidden="1">
      <c r="A1341" s="847"/>
      <c r="B1341" s="47" t="s">
        <v>2865</v>
      </c>
      <c r="C1341" s="48"/>
      <c r="F1341" s="78" t="s">
        <v>1697</v>
      </c>
      <c r="G1341" s="68">
        <v>35</v>
      </c>
      <c r="H1341" s="26" t="s">
        <v>295</v>
      </c>
      <c r="I1341" s="375"/>
    </row>
    <row r="1342" spans="1:9" hidden="1">
      <c r="A1342" s="847"/>
      <c r="B1342" s="47" t="s">
        <v>2866</v>
      </c>
      <c r="C1342" s="48"/>
      <c r="F1342" s="78" t="s">
        <v>1697</v>
      </c>
      <c r="G1342" s="68">
        <v>4</v>
      </c>
      <c r="H1342" s="26" t="s">
        <v>3033</v>
      </c>
      <c r="I1342" s="374"/>
    </row>
    <row r="1343" spans="1:9" hidden="1">
      <c r="A1343" s="847"/>
      <c r="B1343" s="47" t="s">
        <v>3880</v>
      </c>
      <c r="C1343" s="48"/>
      <c r="F1343" s="78" t="s">
        <v>1697</v>
      </c>
      <c r="G1343" s="26">
        <v>20</v>
      </c>
      <c r="H1343" s="26" t="s">
        <v>3032</v>
      </c>
      <c r="I1343" s="374"/>
    </row>
    <row r="1344" spans="1:9" hidden="1">
      <c r="A1344" s="847"/>
      <c r="B1344" s="47" t="s">
        <v>6674</v>
      </c>
      <c r="C1344" s="48"/>
      <c r="F1344" s="78" t="s">
        <v>1697</v>
      </c>
      <c r="G1344" s="26">
        <v>12</v>
      </c>
      <c r="H1344" s="26" t="s">
        <v>3436</v>
      </c>
      <c r="I1344" s="374"/>
    </row>
    <row r="1345" spans="1:9" hidden="1">
      <c r="A1345" s="847"/>
      <c r="B1345" s="47" t="s">
        <v>6675</v>
      </c>
      <c r="C1345" s="48"/>
      <c r="F1345" s="78" t="s">
        <v>1697</v>
      </c>
      <c r="G1345" s="26">
        <v>120</v>
      </c>
      <c r="H1345" s="26" t="s">
        <v>3038</v>
      </c>
      <c r="I1345" s="374"/>
    </row>
    <row r="1346" spans="1:9" hidden="1">
      <c r="A1346" s="847"/>
      <c r="B1346" s="47" t="s">
        <v>2868</v>
      </c>
      <c r="C1346" s="48"/>
      <c r="F1346" s="78" t="s">
        <v>1697</v>
      </c>
      <c r="G1346" s="26">
        <v>20</v>
      </c>
      <c r="H1346" s="26" t="s">
        <v>3034</v>
      </c>
      <c r="I1346" s="374"/>
    </row>
    <row r="1347" spans="1:9" hidden="1">
      <c r="A1347" s="847"/>
      <c r="B1347" s="47" t="s">
        <v>1803</v>
      </c>
      <c r="C1347" s="48"/>
      <c r="I1347" s="375"/>
    </row>
    <row r="1348" spans="1:9" hidden="1">
      <c r="A1348" s="847"/>
      <c r="B1348" s="47" t="s">
        <v>604</v>
      </c>
      <c r="C1348" s="48"/>
      <c r="F1348" s="78" t="s">
        <v>1697</v>
      </c>
      <c r="G1348" s="68">
        <v>5</v>
      </c>
      <c r="H1348" s="26" t="s">
        <v>6901</v>
      </c>
      <c r="I1348" s="375"/>
    </row>
    <row r="1349" spans="1:9" hidden="1">
      <c r="A1349" s="847"/>
      <c r="B1349" s="47" t="s">
        <v>6676</v>
      </c>
      <c r="C1349" s="48"/>
      <c r="F1349" s="78" t="s">
        <v>3432</v>
      </c>
      <c r="G1349" s="26">
        <v>1</v>
      </c>
      <c r="H1349" s="26" t="s">
        <v>3431</v>
      </c>
      <c r="I1349" s="30"/>
    </row>
    <row r="1350" spans="1:9" hidden="1">
      <c r="A1350" s="847"/>
      <c r="B1350" s="47" t="s">
        <v>1353</v>
      </c>
      <c r="C1350" s="48"/>
      <c r="F1350" s="78" t="s">
        <v>1697</v>
      </c>
      <c r="G1350" s="26">
        <v>15</v>
      </c>
      <c r="H1350" s="26" t="s">
        <v>3433</v>
      </c>
      <c r="I1350" s="30"/>
    </row>
    <row r="1351" spans="1:9" hidden="1">
      <c r="A1351" s="847"/>
      <c r="B1351" s="47" t="s">
        <v>1354</v>
      </c>
      <c r="C1351" s="48"/>
      <c r="F1351" s="78" t="s">
        <v>1697</v>
      </c>
      <c r="G1351" s="26">
        <v>15</v>
      </c>
      <c r="H1351" s="26" t="s">
        <v>3433</v>
      </c>
      <c r="I1351" s="30"/>
    </row>
    <row r="1352" spans="1:9" hidden="1">
      <c r="A1352" s="847"/>
      <c r="B1352" s="47" t="s">
        <v>3985</v>
      </c>
      <c r="C1352" s="48"/>
      <c r="F1352" s="78" t="s">
        <v>1697</v>
      </c>
      <c r="G1352" s="68">
        <v>1.5</v>
      </c>
      <c r="H1352" s="26" t="s">
        <v>1433</v>
      </c>
      <c r="I1352" s="30"/>
    </row>
    <row r="1353" spans="1:9" hidden="1">
      <c r="A1353" s="847"/>
      <c r="B1353" s="47" t="s">
        <v>4845</v>
      </c>
      <c r="C1353" s="48"/>
      <c r="F1353" s="78" t="s">
        <v>1697</v>
      </c>
      <c r="G1353" s="26">
        <v>3.57</v>
      </c>
      <c r="H1353" s="26" t="s">
        <v>6901</v>
      </c>
      <c r="I1353" s="30"/>
    </row>
    <row r="1354" spans="1:9" hidden="1">
      <c r="A1354" s="847"/>
      <c r="B1354" s="47" t="s">
        <v>4846</v>
      </c>
      <c r="C1354" s="48"/>
      <c r="F1354" s="78" t="s">
        <v>1697</v>
      </c>
      <c r="G1354" s="68">
        <v>5</v>
      </c>
      <c r="H1354" s="26" t="s">
        <v>1433</v>
      </c>
      <c r="I1354" s="375"/>
    </row>
    <row r="1355" spans="1:9" hidden="1">
      <c r="A1355" s="847"/>
      <c r="B1355" s="47" t="s">
        <v>1148</v>
      </c>
      <c r="C1355" s="48"/>
      <c r="F1355" s="78" t="s">
        <v>1697</v>
      </c>
      <c r="G1355" s="68">
        <v>3</v>
      </c>
      <c r="H1355" s="26" t="s">
        <v>1433</v>
      </c>
      <c r="I1355" s="375"/>
    </row>
    <row r="1356" spans="1:9" hidden="1">
      <c r="A1356" s="847"/>
      <c r="B1356" s="47" t="s">
        <v>705</v>
      </c>
      <c r="C1356" s="48"/>
      <c r="F1356" s="78" t="s">
        <v>1697</v>
      </c>
      <c r="G1356" s="68">
        <v>1.5</v>
      </c>
      <c r="H1356" s="26" t="s">
        <v>1433</v>
      </c>
      <c r="I1356" s="375"/>
    </row>
    <row r="1357" spans="1:9" hidden="1">
      <c r="A1357" s="847"/>
      <c r="B1357" s="47" t="s">
        <v>706</v>
      </c>
      <c r="C1357" s="48"/>
      <c r="F1357" s="78" t="s">
        <v>1697</v>
      </c>
      <c r="G1357" s="68">
        <v>3</v>
      </c>
      <c r="H1357" s="26" t="s">
        <v>1433</v>
      </c>
      <c r="I1357" s="375"/>
    </row>
    <row r="1358" spans="1:9" hidden="1">
      <c r="A1358" s="847"/>
      <c r="B1358" s="47" t="s">
        <v>263</v>
      </c>
      <c r="C1358" s="48"/>
      <c r="F1358" s="78" t="s">
        <v>1697</v>
      </c>
      <c r="G1358" s="173">
        <v>0.5</v>
      </c>
      <c r="H1358" s="26" t="s">
        <v>1433</v>
      </c>
      <c r="I1358" s="375"/>
    </row>
    <row r="1359" spans="1:9" hidden="1">
      <c r="A1359" s="847"/>
      <c r="C1359" s="48"/>
      <c r="E1359" s="26" t="s">
        <v>1518</v>
      </c>
      <c r="F1359" s="78" t="s">
        <v>1697</v>
      </c>
      <c r="G1359" s="205">
        <f>SUM(G1354:G1358)</f>
        <v>13</v>
      </c>
      <c r="H1359" s="26" t="s">
        <v>1433</v>
      </c>
      <c r="I1359" s="375"/>
    </row>
    <row r="1360" spans="1:9" hidden="1">
      <c r="A1360" s="847"/>
      <c r="B1360" s="47" t="s">
        <v>264</v>
      </c>
      <c r="C1360" s="48"/>
      <c r="F1360" s="78" t="s">
        <v>1123</v>
      </c>
      <c r="G1360" s="26">
        <v>3</v>
      </c>
      <c r="H1360" s="26" t="s">
        <v>3436</v>
      </c>
      <c r="I1360" s="30"/>
    </row>
    <row r="1361" spans="1:9" hidden="1">
      <c r="A1361" s="847"/>
      <c r="B1361" s="47" t="s">
        <v>265</v>
      </c>
      <c r="C1361" s="48"/>
      <c r="F1361" s="78" t="s">
        <v>1697</v>
      </c>
      <c r="G1361" s="26">
        <v>13.73</v>
      </c>
      <c r="H1361" s="26" t="s">
        <v>6901</v>
      </c>
      <c r="I1361" s="30"/>
    </row>
    <row r="1362" spans="1:9" hidden="1">
      <c r="A1362" s="847"/>
      <c r="B1362" s="47" t="s">
        <v>3124</v>
      </c>
      <c r="C1362" s="48"/>
      <c r="F1362" s="78" t="s">
        <v>1697</v>
      </c>
      <c r="G1362" s="26">
        <f>G1361*3</f>
        <v>41.19</v>
      </c>
      <c r="H1362" s="26" t="s">
        <v>6901</v>
      </c>
      <c r="I1362" s="30"/>
    </row>
    <row r="1363" spans="1:9" hidden="1">
      <c r="A1363" s="847"/>
      <c r="B1363" s="47" t="s">
        <v>3125</v>
      </c>
      <c r="C1363" s="48"/>
      <c r="F1363" s="78" t="s">
        <v>1123</v>
      </c>
      <c r="G1363" s="68">
        <v>10</v>
      </c>
      <c r="H1363" s="26" t="s">
        <v>3428</v>
      </c>
      <c r="I1363" s="375"/>
    </row>
    <row r="1364" spans="1:9" hidden="1">
      <c r="A1364" s="847"/>
      <c r="B1364" s="47" t="s">
        <v>3915</v>
      </c>
      <c r="C1364" s="48"/>
    </row>
    <row r="1365" spans="1:9" hidden="1">
      <c r="A1365" s="847"/>
      <c r="B1365" s="47" t="s">
        <v>2548</v>
      </c>
      <c r="C1365" s="48"/>
    </row>
    <row r="1366" spans="1:9" hidden="1">
      <c r="A1366" s="847"/>
      <c r="B1366" s="47" t="s">
        <v>2824</v>
      </c>
      <c r="C1366" s="48"/>
    </row>
    <row r="1367" spans="1:9" hidden="1">
      <c r="A1367" s="847"/>
      <c r="B1367" s="47" t="s">
        <v>2825</v>
      </c>
      <c r="C1367" s="48"/>
    </row>
    <row r="1368" spans="1:9" hidden="1">
      <c r="A1368" s="847"/>
      <c r="B1368" s="47" t="s">
        <v>4066</v>
      </c>
      <c r="C1368" s="48"/>
    </row>
    <row r="1369" spans="1:9" hidden="1">
      <c r="A1369" s="847"/>
      <c r="B1369" s="47" t="s">
        <v>4067</v>
      </c>
      <c r="C1369" s="48"/>
    </row>
    <row r="1370" spans="1:9" hidden="1">
      <c r="A1370" s="847"/>
      <c r="B1370" s="47" t="s">
        <v>4068</v>
      </c>
      <c r="C1370" s="48"/>
    </row>
    <row r="1371" spans="1:9" hidden="1">
      <c r="A1371" s="847"/>
      <c r="B1371" s="47" t="s">
        <v>4069</v>
      </c>
      <c r="C1371" s="48"/>
      <c r="F1371" s="78" t="s">
        <v>1123</v>
      </c>
      <c r="G1371" s="26">
        <v>120</v>
      </c>
      <c r="H1371" s="26" t="s">
        <v>3883</v>
      </c>
      <c r="I1371" s="375"/>
    </row>
    <row r="1372" spans="1:9" hidden="1">
      <c r="A1372" s="847"/>
      <c r="B1372" s="47" t="s">
        <v>1908</v>
      </c>
      <c r="C1372" s="48"/>
      <c r="F1372" s="78" t="s">
        <v>1697</v>
      </c>
      <c r="G1372" s="26">
        <v>12</v>
      </c>
      <c r="H1372" s="26" t="s">
        <v>3883</v>
      </c>
      <c r="I1372" s="375"/>
    </row>
    <row r="1373" spans="1:9" hidden="1">
      <c r="A1373" s="847"/>
      <c r="C1373" s="48"/>
      <c r="F1373" s="78"/>
      <c r="G1373" s="26">
        <v>132</v>
      </c>
      <c r="H1373" s="26" t="s">
        <v>3883</v>
      </c>
      <c r="I1373" s="375"/>
    </row>
    <row r="1374" spans="1:9" hidden="1">
      <c r="A1374" s="847"/>
      <c r="B1374" s="47" t="s">
        <v>3558</v>
      </c>
      <c r="C1374" s="48"/>
      <c r="F1374" s="78" t="s">
        <v>1697</v>
      </c>
      <c r="G1374" s="26">
        <v>90</v>
      </c>
      <c r="H1374" s="26" t="s">
        <v>3436</v>
      </c>
      <c r="I1374" s="374"/>
    </row>
    <row r="1375" spans="1:9" hidden="1">
      <c r="A1375" s="847"/>
      <c r="B1375" s="47" t="s">
        <v>3559</v>
      </c>
      <c r="C1375" s="48"/>
      <c r="F1375" s="78" t="s">
        <v>1123</v>
      </c>
      <c r="G1375" s="26">
        <v>20</v>
      </c>
      <c r="H1375" s="26" t="s">
        <v>3436</v>
      </c>
      <c r="I1375" s="374"/>
    </row>
    <row r="1376" spans="1:9" hidden="1">
      <c r="A1376" s="847"/>
      <c r="C1376" s="48"/>
      <c r="G1376" s="26">
        <v>110</v>
      </c>
      <c r="H1376" s="26" t="s">
        <v>3436</v>
      </c>
      <c r="I1376" s="374"/>
    </row>
    <row r="1377" spans="1:9" hidden="1">
      <c r="A1377" s="847"/>
      <c r="B1377" s="47" t="s">
        <v>2222</v>
      </c>
      <c r="C1377" s="48"/>
    </row>
    <row r="1378" spans="1:9" hidden="1">
      <c r="A1378" s="847"/>
      <c r="B1378" s="47" t="s">
        <v>1909</v>
      </c>
      <c r="C1378" s="48"/>
    </row>
    <row r="1379" spans="1:9" hidden="1">
      <c r="A1379" s="847"/>
      <c r="B1379" s="47" t="s">
        <v>5827</v>
      </c>
      <c r="C1379" s="48"/>
    </row>
    <row r="1380" spans="1:9" hidden="1">
      <c r="A1380" s="847"/>
      <c r="B1380" s="47" t="s">
        <v>1401</v>
      </c>
      <c r="C1380" s="48"/>
    </row>
    <row r="1381" spans="1:9" hidden="1">
      <c r="A1381" s="847"/>
      <c r="B1381" s="47" t="s">
        <v>1910</v>
      </c>
      <c r="C1381" s="48"/>
    </row>
    <row r="1382" spans="1:9" hidden="1">
      <c r="A1382" s="847"/>
      <c r="B1382" s="47" t="s">
        <v>2366</v>
      </c>
      <c r="C1382" s="48"/>
    </row>
    <row r="1383" spans="1:9" hidden="1">
      <c r="A1383" s="847"/>
      <c r="B1383" s="47" t="s">
        <v>3917</v>
      </c>
      <c r="C1383" s="48"/>
      <c r="D1383" s="68">
        <f>'BASIC DATA'!$D$315</f>
        <v>12000</v>
      </c>
      <c r="E1383" s="26" t="s">
        <v>2290</v>
      </c>
      <c r="F1383" s="78" t="s">
        <v>1698</v>
      </c>
      <c r="G1383" s="68">
        <f>D1383</f>
        <v>12000</v>
      </c>
      <c r="I1383" s="68"/>
    </row>
    <row r="1384" spans="1:9" hidden="1">
      <c r="A1384" s="847"/>
      <c r="B1384" s="47" t="s">
        <v>4829</v>
      </c>
      <c r="C1384" s="48"/>
      <c r="F1384" s="78" t="s">
        <v>1697</v>
      </c>
      <c r="G1384" s="316">
        <v>80</v>
      </c>
      <c r="H1384" s="26" t="s">
        <v>3561</v>
      </c>
    </row>
    <row r="1385" spans="1:9" hidden="1">
      <c r="A1385" s="847"/>
      <c r="B1385" s="47" t="s">
        <v>6852</v>
      </c>
      <c r="C1385" s="48"/>
      <c r="D1385" s="26" t="s">
        <v>6853</v>
      </c>
      <c r="F1385" s="78" t="s">
        <v>1698</v>
      </c>
      <c r="G1385" s="68">
        <f>G1383/G1384</f>
        <v>150</v>
      </c>
    </row>
    <row r="1386" spans="1:9" hidden="1">
      <c r="A1386" s="847"/>
      <c r="B1386" s="47" t="s">
        <v>4539</v>
      </c>
      <c r="C1386" s="48"/>
      <c r="D1386" s="68">
        <f>'BASIC DATA'!$D$306</f>
        <v>2120</v>
      </c>
      <c r="E1386" s="26" t="s">
        <v>4540</v>
      </c>
      <c r="F1386" s="78" t="s">
        <v>1698</v>
      </c>
      <c r="G1386" s="68">
        <f>D1386*4.5</f>
        <v>9540</v>
      </c>
      <c r="I1386" s="68"/>
    </row>
    <row r="1387" spans="1:9" hidden="1">
      <c r="A1387" s="847"/>
      <c r="B1387" s="47" t="s">
        <v>3323</v>
      </c>
      <c r="C1387" s="48"/>
      <c r="F1387" s="78" t="s">
        <v>1697</v>
      </c>
      <c r="G1387" s="316">
        <v>1500</v>
      </c>
      <c r="H1387" s="26" t="s">
        <v>3561</v>
      </c>
    </row>
    <row r="1388" spans="1:9" hidden="1">
      <c r="A1388" s="847"/>
      <c r="B1388" s="47" t="s">
        <v>3324</v>
      </c>
      <c r="C1388" s="48"/>
      <c r="D1388" s="26" t="s">
        <v>6853</v>
      </c>
      <c r="F1388" s="78" t="s">
        <v>1698</v>
      </c>
      <c r="G1388" s="68">
        <f>G1386/G1387</f>
        <v>6.36</v>
      </c>
    </row>
    <row r="1389" spans="1:9" hidden="1">
      <c r="A1389" s="847"/>
      <c r="B1389" s="47" t="s">
        <v>4541</v>
      </c>
      <c r="C1389" s="48"/>
      <c r="D1389" s="68">
        <f>'BASIC DATA'!$D$307</f>
        <v>4028</v>
      </c>
      <c r="E1389" s="26" t="s">
        <v>2290</v>
      </c>
      <c r="F1389" s="78" t="s">
        <v>1698</v>
      </c>
      <c r="G1389" s="68">
        <f>D1389</f>
        <v>4028</v>
      </c>
      <c r="I1389" s="68"/>
    </row>
    <row r="1390" spans="1:9" hidden="1">
      <c r="A1390" s="847"/>
      <c r="B1390" s="47" t="s">
        <v>99</v>
      </c>
      <c r="C1390" s="48"/>
      <c r="F1390" s="78" t="s">
        <v>1697</v>
      </c>
      <c r="G1390" s="316">
        <v>150</v>
      </c>
      <c r="H1390" s="26" t="s">
        <v>3561</v>
      </c>
    </row>
    <row r="1391" spans="1:9" hidden="1">
      <c r="A1391" s="847"/>
      <c r="B1391" s="47" t="s">
        <v>7592</v>
      </c>
      <c r="C1391" s="48"/>
      <c r="D1391" s="26" t="s">
        <v>6853</v>
      </c>
      <c r="F1391" s="78" t="s">
        <v>1698</v>
      </c>
      <c r="G1391" s="68">
        <f>G1389/G1390</f>
        <v>26.853333333333332</v>
      </c>
    </row>
    <row r="1392" spans="1:9" hidden="1">
      <c r="A1392" s="847"/>
      <c r="B1392" s="47" t="s">
        <v>7594</v>
      </c>
      <c r="C1392" s="48"/>
      <c r="F1392" s="78" t="s">
        <v>1697</v>
      </c>
      <c r="G1392" s="68">
        <v>50</v>
      </c>
      <c r="H1392" s="26" t="s">
        <v>3561</v>
      </c>
    </row>
    <row r="1393" spans="1:9" hidden="1">
      <c r="A1393" s="847"/>
      <c r="B1393" s="47" t="s">
        <v>1422</v>
      </c>
      <c r="C1393" s="48"/>
      <c r="D1393" s="68">
        <f>'BASIC DATA'!$D$344</f>
        <v>185</v>
      </c>
      <c r="E1393" s="26" t="s">
        <v>2618</v>
      </c>
      <c r="F1393" s="78" t="s">
        <v>1698</v>
      </c>
      <c r="G1393" s="68">
        <f>G1392*D1393</f>
        <v>9250</v>
      </c>
      <c r="I1393" s="68"/>
    </row>
    <row r="1394" spans="1:9" hidden="1">
      <c r="A1394" s="847"/>
      <c r="B1394" s="47" t="s">
        <v>5152</v>
      </c>
      <c r="C1394" s="48"/>
      <c r="F1394" s="78" t="s">
        <v>1697</v>
      </c>
      <c r="G1394" s="316">
        <v>800</v>
      </c>
      <c r="H1394" s="26" t="s">
        <v>3428</v>
      </c>
    </row>
    <row r="1395" spans="1:9" hidden="1">
      <c r="A1395" s="847"/>
      <c r="B1395" s="47" t="s">
        <v>6262</v>
      </c>
      <c r="C1395" s="48"/>
      <c r="D1395" s="26" t="s">
        <v>6853</v>
      </c>
      <c r="F1395" s="78" t="s">
        <v>1698</v>
      </c>
      <c r="G1395" s="68">
        <f>G1393/G1394</f>
        <v>11.5625</v>
      </c>
    </row>
    <row r="1396" spans="1:9" hidden="1">
      <c r="A1396" s="847"/>
      <c r="B1396" s="47" t="s">
        <v>1762</v>
      </c>
      <c r="C1396" s="48"/>
      <c r="D1396" s="68">
        <f>'BASIC DATA'!$D$345</f>
        <v>300</v>
      </c>
      <c r="E1396" s="26" t="s">
        <v>2618</v>
      </c>
      <c r="F1396" s="78" t="s">
        <v>1698</v>
      </c>
      <c r="G1396" s="68">
        <f>G1392*D1396</f>
        <v>15000</v>
      </c>
      <c r="I1396" s="68"/>
    </row>
    <row r="1397" spans="1:9" hidden="1">
      <c r="A1397" s="847"/>
      <c r="B1397" s="47" t="s">
        <v>5152</v>
      </c>
      <c r="C1397" s="48"/>
      <c r="F1397" s="78" t="s">
        <v>1697</v>
      </c>
      <c r="G1397" s="316">
        <v>800</v>
      </c>
      <c r="H1397" s="26" t="s">
        <v>3428</v>
      </c>
    </row>
    <row r="1398" spans="1:9" hidden="1">
      <c r="A1398" s="847"/>
      <c r="B1398" s="47" t="s">
        <v>6262</v>
      </c>
      <c r="C1398" s="48"/>
      <c r="D1398" s="26" t="s">
        <v>6853</v>
      </c>
      <c r="F1398" s="78" t="s">
        <v>1698</v>
      </c>
      <c r="G1398" s="68">
        <f>G1396/G1397</f>
        <v>18.75</v>
      </c>
    </row>
    <row r="1399" spans="1:9" hidden="1">
      <c r="A1399" s="847"/>
      <c r="B1399" s="47" t="s">
        <v>434</v>
      </c>
      <c r="C1399" s="48"/>
      <c r="D1399" s="68">
        <f>'BASIC DATA'!$D$112</f>
        <v>235</v>
      </c>
      <c r="E1399" s="26" t="s">
        <v>1168</v>
      </c>
      <c r="F1399" s="78" t="s">
        <v>1698</v>
      </c>
      <c r="G1399" s="68">
        <f>D1399</f>
        <v>235</v>
      </c>
    </row>
    <row r="1400" spans="1:9" hidden="1">
      <c r="A1400" s="847"/>
      <c r="B1400" s="47" t="s">
        <v>3854</v>
      </c>
      <c r="C1400" s="48"/>
      <c r="D1400" s="201">
        <v>0.1</v>
      </c>
      <c r="F1400" s="78" t="s">
        <v>1698</v>
      </c>
      <c r="G1400" s="173">
        <f>G1399*D1400</f>
        <v>23.5</v>
      </c>
    </row>
    <row r="1401" spans="1:9" hidden="1">
      <c r="A1401" s="847"/>
      <c r="C1401" s="48"/>
      <c r="F1401" s="78" t="s">
        <v>2656</v>
      </c>
      <c r="G1401" s="68">
        <f>G1399-G1400</f>
        <v>211.5</v>
      </c>
    </row>
    <row r="1402" spans="1:9" hidden="1">
      <c r="A1402" s="847"/>
      <c r="B1402" s="47" t="s">
        <v>1763</v>
      </c>
      <c r="C1402" s="48"/>
      <c r="F1402" s="78" t="s">
        <v>1697</v>
      </c>
      <c r="G1402" s="316">
        <v>1</v>
      </c>
      <c r="H1402" s="26" t="s">
        <v>3855</v>
      </c>
    </row>
    <row r="1403" spans="1:9" hidden="1">
      <c r="A1403" s="847"/>
      <c r="B1403" s="47" t="s">
        <v>436</v>
      </c>
      <c r="C1403" s="48"/>
      <c r="D1403" s="26" t="s">
        <v>6853</v>
      </c>
      <c r="F1403" s="78" t="s">
        <v>1698</v>
      </c>
      <c r="G1403" s="68">
        <f>G1401</f>
        <v>211.5</v>
      </c>
    </row>
    <row r="1404" spans="1:9" hidden="1">
      <c r="A1404" s="847"/>
      <c r="B1404" s="47" t="s">
        <v>2990</v>
      </c>
      <c r="C1404" s="48"/>
      <c r="D1404" s="68">
        <f>'BASIC DATA'!$D$51</f>
        <v>5</v>
      </c>
      <c r="E1404" s="26" t="s">
        <v>2290</v>
      </c>
      <c r="F1404" s="78" t="s">
        <v>1698</v>
      </c>
      <c r="G1404" s="68">
        <v>1</v>
      </c>
    </row>
    <row r="1405" spans="1:9" hidden="1">
      <c r="A1405" s="847"/>
      <c r="B1405" s="47" t="s">
        <v>128</v>
      </c>
      <c r="C1405" s="48"/>
      <c r="D1405" s="68">
        <f>'BASIC DATA'!$D$56</f>
        <v>95</v>
      </c>
      <c r="E1405" s="26" t="s">
        <v>3691</v>
      </c>
      <c r="F1405" s="78" t="s">
        <v>1698</v>
      </c>
      <c r="G1405" s="68">
        <f>0.025*D1405</f>
        <v>2.375</v>
      </c>
    </row>
    <row r="1406" spans="1:9" hidden="1">
      <c r="A1406" s="847"/>
      <c r="B1406" s="47" t="s">
        <v>3126</v>
      </c>
      <c r="C1406" s="48"/>
      <c r="F1406" s="78" t="s">
        <v>1698</v>
      </c>
      <c r="G1406" s="173">
        <v>1.62</v>
      </c>
    </row>
    <row r="1407" spans="1:9" hidden="1">
      <c r="A1407" s="847"/>
      <c r="B1407" s="47" t="s">
        <v>453</v>
      </c>
      <c r="C1407" s="48"/>
      <c r="F1407" s="78" t="s">
        <v>1698</v>
      </c>
      <c r="G1407" s="68">
        <f>SUM(G1404:G1406)</f>
        <v>4.9950000000000001</v>
      </c>
    </row>
    <row r="1408" spans="1:9" hidden="1">
      <c r="A1408" s="847"/>
      <c r="B1408" s="47" t="s">
        <v>454</v>
      </c>
      <c r="C1408" s="48"/>
      <c r="F1408" s="78" t="s">
        <v>1697</v>
      </c>
      <c r="G1408" s="316">
        <v>1</v>
      </c>
      <c r="H1408" s="26" t="s">
        <v>3855</v>
      </c>
    </row>
    <row r="1409" spans="1:7" hidden="1">
      <c r="A1409" s="847"/>
      <c r="B1409" s="47" t="s">
        <v>455</v>
      </c>
      <c r="C1409" s="48"/>
      <c r="D1409" s="26" t="s">
        <v>6853</v>
      </c>
      <c r="F1409" s="78" t="s">
        <v>1698</v>
      </c>
      <c r="G1409" s="68">
        <f>G1407</f>
        <v>4.9950000000000001</v>
      </c>
    </row>
    <row r="1410" spans="1:7" hidden="1">
      <c r="A1410" s="847"/>
      <c r="B1410" s="78"/>
      <c r="C1410" s="48"/>
    </row>
    <row r="1411" spans="1:7" hidden="1">
      <c r="A1411" s="847"/>
      <c r="B1411" s="78"/>
      <c r="C1411" s="48"/>
    </row>
    <row r="1412" spans="1:7" hidden="1">
      <c r="A1412" s="847"/>
      <c r="B1412" s="78"/>
      <c r="C1412" s="48"/>
    </row>
    <row r="1413" spans="1:7" hidden="1">
      <c r="A1413" s="847"/>
      <c r="B1413" s="78"/>
      <c r="C1413" s="48"/>
    </row>
    <row r="1414" spans="1:7" hidden="1">
      <c r="A1414" s="847"/>
      <c r="B1414" s="78"/>
      <c r="C1414" s="48"/>
    </row>
    <row r="1415" spans="1:7" hidden="1">
      <c r="A1415" s="847"/>
      <c r="B1415" s="78"/>
      <c r="C1415" s="48"/>
    </row>
    <row r="1416" spans="1:7" hidden="1">
      <c r="A1416" s="847"/>
      <c r="B1416" s="78"/>
      <c r="C1416" s="48"/>
    </row>
    <row r="1417" spans="1:7" hidden="1">
      <c r="A1417" s="847"/>
      <c r="B1417" s="78"/>
      <c r="C1417" s="48"/>
    </row>
    <row r="1418" spans="1:7" hidden="1">
      <c r="A1418" s="847"/>
      <c r="B1418" s="78"/>
      <c r="C1418" s="48"/>
    </row>
    <row r="1419" spans="1:7" hidden="1">
      <c r="A1419" s="847"/>
      <c r="B1419" s="78"/>
      <c r="C1419" s="48"/>
    </row>
    <row r="1420" spans="1:7" hidden="1">
      <c r="A1420" s="847"/>
      <c r="B1420" s="78"/>
      <c r="C1420" s="48"/>
    </row>
    <row r="1421" spans="1:7" hidden="1">
      <c r="A1421" s="847"/>
      <c r="B1421" s="78"/>
      <c r="C1421" s="48"/>
    </row>
    <row r="1422" spans="1:7" hidden="1">
      <c r="A1422" s="847"/>
      <c r="B1422" s="78"/>
      <c r="C1422" s="48"/>
    </row>
    <row r="1423" spans="1:7" hidden="1">
      <c r="A1423" s="847"/>
      <c r="B1423" s="78"/>
      <c r="C1423" s="48"/>
    </row>
    <row r="1424" spans="1:7" hidden="1">
      <c r="A1424" s="847"/>
      <c r="B1424" s="78"/>
      <c r="C1424" s="48"/>
    </row>
    <row r="1425" spans="1:9" hidden="1">
      <c r="A1425" s="847"/>
      <c r="B1425" s="78"/>
      <c r="C1425" s="48"/>
    </row>
    <row r="1426" spans="1:9" hidden="1">
      <c r="A1426" s="847"/>
      <c r="B1426" s="78"/>
      <c r="C1426" s="48"/>
    </row>
    <row r="1427" spans="1:9" hidden="1">
      <c r="A1427" s="847"/>
      <c r="B1427" s="78"/>
      <c r="C1427" s="48"/>
    </row>
    <row r="1428" spans="1:9" hidden="1">
      <c r="A1428" s="847"/>
      <c r="B1428" s="78"/>
      <c r="C1428" s="48"/>
    </row>
    <row r="1429" spans="1:9" hidden="1">
      <c r="A1429" s="847"/>
      <c r="B1429" s="78"/>
      <c r="C1429" s="48"/>
    </row>
    <row r="1430" spans="1:9" hidden="1">
      <c r="A1430" s="847"/>
      <c r="B1430" s="78"/>
      <c r="C1430" s="48"/>
    </row>
    <row r="1431" spans="1:9">
      <c r="A1431" s="847"/>
      <c r="B1431" s="78"/>
      <c r="C1431" s="48"/>
    </row>
    <row r="1432" spans="1:9">
      <c r="A1432" s="847" t="s">
        <v>1907</v>
      </c>
      <c r="B1432" s="78"/>
      <c r="C1432" s="349" t="s">
        <v>2367</v>
      </c>
      <c r="E1432" s="171" t="s">
        <v>297</v>
      </c>
      <c r="F1432" s="246">
        <v>386</v>
      </c>
      <c r="G1432" s="26" t="s">
        <v>3477</v>
      </c>
    </row>
    <row r="1433" spans="1:9">
      <c r="A1433" s="847"/>
      <c r="B1433" s="79" t="s">
        <v>2368</v>
      </c>
      <c r="C1433" s="48"/>
    </row>
    <row r="1434" spans="1:9">
      <c r="A1434" s="847"/>
      <c r="B1434" s="95" t="s">
        <v>2369</v>
      </c>
      <c r="C1434" s="350" t="s">
        <v>6374</v>
      </c>
      <c r="D1434" s="95" t="s">
        <v>2370</v>
      </c>
      <c r="E1434" s="95" t="s">
        <v>1166</v>
      </c>
      <c r="F1434" s="95" t="s">
        <v>2371</v>
      </c>
      <c r="G1434" s="95" t="s">
        <v>2372</v>
      </c>
    </row>
    <row r="1435" spans="1:9">
      <c r="A1435" s="847"/>
      <c r="B1435" s="114"/>
      <c r="C1435" s="351"/>
      <c r="D1435" s="114"/>
      <c r="E1435" s="114"/>
      <c r="F1435" s="114" t="s">
        <v>3485</v>
      </c>
      <c r="G1435" s="114" t="s">
        <v>3485</v>
      </c>
    </row>
    <row r="1436" spans="1:9">
      <c r="A1436" s="847"/>
      <c r="B1436" s="95">
        <v>1</v>
      </c>
      <c r="C1436" s="91" t="s">
        <v>144</v>
      </c>
      <c r="D1436" s="95" t="s">
        <v>3483</v>
      </c>
      <c r="E1436" s="190">
        <v>104</v>
      </c>
      <c r="F1436" s="190">
        <f>G1385</f>
        <v>150</v>
      </c>
      <c r="G1436" s="190">
        <f>E1436*F1436</f>
        <v>15600</v>
      </c>
      <c r="I1436" s="375"/>
    </row>
    <row r="1437" spans="1:9" ht="36">
      <c r="A1437" s="847"/>
      <c r="B1437" s="105">
        <v>2</v>
      </c>
      <c r="C1437" s="91" t="s">
        <v>2507</v>
      </c>
      <c r="D1437" s="105" t="s">
        <v>3483</v>
      </c>
      <c r="E1437" s="190">
        <v>104</v>
      </c>
      <c r="F1437" s="190">
        <f>G1388</f>
        <v>6.36</v>
      </c>
      <c r="G1437" s="190">
        <f>E1437*F1437</f>
        <v>661.44</v>
      </c>
      <c r="I1437" s="375"/>
    </row>
    <row r="1438" spans="1:9" ht="36">
      <c r="A1438" s="847"/>
      <c r="B1438" s="105">
        <v>3</v>
      </c>
      <c r="C1438" s="91" t="s">
        <v>2509</v>
      </c>
      <c r="D1438" s="105" t="s">
        <v>3483</v>
      </c>
      <c r="E1438" s="190">
        <v>12</v>
      </c>
      <c r="F1438" s="190">
        <f>G1391</f>
        <v>26.853333333333332</v>
      </c>
      <c r="G1438" s="190">
        <f>E1438*F1438</f>
        <v>322.24</v>
      </c>
      <c r="I1438" s="367"/>
    </row>
    <row r="1439" spans="1:9">
      <c r="A1439" s="847"/>
      <c r="B1439" s="152"/>
      <c r="C1439" s="91" t="s">
        <v>1583</v>
      </c>
      <c r="D1439" s="224">
        <v>0.1</v>
      </c>
      <c r="E1439" s="190"/>
      <c r="F1439" s="190"/>
      <c r="G1439" s="190">
        <f>G1438*D1439</f>
        <v>32.224000000000004</v>
      </c>
      <c r="I1439" s="367"/>
    </row>
    <row r="1440" spans="1:9" ht="36">
      <c r="A1440" s="847"/>
      <c r="B1440" s="105">
        <v>4</v>
      </c>
      <c r="C1440" s="91" t="s">
        <v>129</v>
      </c>
      <c r="D1440" s="105" t="s">
        <v>2374</v>
      </c>
      <c r="E1440" s="190">
        <v>10.5</v>
      </c>
      <c r="F1440" s="190">
        <f>G1398</f>
        <v>18.75</v>
      </c>
      <c r="G1440" s="190">
        <f t="shared" ref="G1440:G1452" si="14">E1440*F1440</f>
        <v>196.875</v>
      </c>
      <c r="I1440" s="367"/>
    </row>
    <row r="1441" spans="1:9" ht="36">
      <c r="A1441" s="847"/>
      <c r="B1441" s="152"/>
      <c r="C1441" s="91" t="s">
        <v>130</v>
      </c>
      <c r="D1441" s="105" t="s">
        <v>2374</v>
      </c>
      <c r="E1441" s="190">
        <v>2</v>
      </c>
      <c r="F1441" s="190">
        <f>G1395</f>
        <v>11.5625</v>
      </c>
      <c r="G1441" s="190">
        <f t="shared" si="14"/>
        <v>23.125</v>
      </c>
      <c r="I1441" s="367"/>
    </row>
    <row r="1442" spans="1:9">
      <c r="A1442" s="847"/>
      <c r="B1442" s="105">
        <v>5</v>
      </c>
      <c r="C1442" s="91" t="s">
        <v>147</v>
      </c>
      <c r="D1442" s="105" t="s">
        <v>3478</v>
      </c>
      <c r="E1442" s="190">
        <v>38</v>
      </c>
      <c r="F1442" s="190">
        <f>'BASIC DATA'!$D$53</f>
        <v>73</v>
      </c>
      <c r="G1442" s="190">
        <f t="shared" si="14"/>
        <v>2774</v>
      </c>
      <c r="I1442" s="367"/>
    </row>
    <row r="1443" spans="1:9">
      <c r="A1443" s="847"/>
      <c r="B1443" s="105">
        <v>6</v>
      </c>
      <c r="C1443" s="91" t="s">
        <v>148</v>
      </c>
      <c r="D1443" s="105" t="s">
        <v>3478</v>
      </c>
      <c r="E1443" s="190">
        <v>155</v>
      </c>
      <c r="F1443" s="190">
        <f>'BASIC DATA'!$D$52</f>
        <v>48</v>
      </c>
      <c r="G1443" s="190">
        <f t="shared" si="14"/>
        <v>7440</v>
      </c>
      <c r="I1443" s="367"/>
    </row>
    <row r="1444" spans="1:9">
      <c r="A1444" s="847"/>
      <c r="B1444" s="105">
        <v>7</v>
      </c>
      <c r="C1444" s="91" t="s">
        <v>149</v>
      </c>
      <c r="D1444" s="105" t="s">
        <v>3482</v>
      </c>
      <c r="E1444" s="190">
        <v>35</v>
      </c>
      <c r="F1444" s="190">
        <f>'BASIC DATA'!$D$347</f>
        <v>57.7</v>
      </c>
      <c r="G1444" s="190">
        <f t="shared" si="14"/>
        <v>2019.5</v>
      </c>
      <c r="I1444" s="367"/>
    </row>
    <row r="1445" spans="1:9" ht="36">
      <c r="A1445" s="847"/>
      <c r="B1445" s="105">
        <v>8</v>
      </c>
      <c r="C1445" s="91" t="s">
        <v>135</v>
      </c>
      <c r="D1445" s="105" t="s">
        <v>3478</v>
      </c>
      <c r="E1445" s="190">
        <v>4</v>
      </c>
      <c r="F1445" s="190">
        <f>'BASIC DATA'!$D$54</f>
        <v>70</v>
      </c>
      <c r="G1445" s="190">
        <f t="shared" si="14"/>
        <v>280</v>
      </c>
      <c r="I1445" s="367"/>
    </row>
    <row r="1446" spans="1:9">
      <c r="A1446" s="847"/>
      <c r="B1446" s="105">
        <v>9</v>
      </c>
      <c r="C1446" s="91" t="s">
        <v>2058</v>
      </c>
      <c r="D1446" s="105" t="s">
        <v>2059</v>
      </c>
      <c r="E1446" s="190">
        <v>20</v>
      </c>
      <c r="F1446" s="190">
        <f>'BASIC DATA'!$D$50</f>
        <v>7</v>
      </c>
      <c r="G1446" s="190">
        <f t="shared" si="14"/>
        <v>140</v>
      </c>
      <c r="I1446" s="367"/>
    </row>
    <row r="1447" spans="1:9">
      <c r="A1447" s="847"/>
      <c r="B1447" s="105">
        <v>10</v>
      </c>
      <c r="C1447" s="91" t="s">
        <v>131</v>
      </c>
      <c r="D1447" s="105" t="s">
        <v>3483</v>
      </c>
      <c r="E1447" s="190">
        <v>120</v>
      </c>
      <c r="F1447" s="190">
        <f>'BASIC DATA'!$D$47</f>
        <v>40</v>
      </c>
      <c r="G1447" s="190">
        <f t="shared" si="14"/>
        <v>4800</v>
      </c>
      <c r="I1447" s="367"/>
    </row>
    <row r="1448" spans="1:9">
      <c r="A1448" s="847"/>
      <c r="B1448" s="105">
        <v>11</v>
      </c>
      <c r="C1448" s="91" t="s">
        <v>132</v>
      </c>
      <c r="D1448" s="105" t="s">
        <v>2059</v>
      </c>
      <c r="E1448" s="190">
        <v>12</v>
      </c>
      <c r="F1448" s="190">
        <f>'BASIC DATA'!$D$45</f>
        <v>19</v>
      </c>
      <c r="G1448" s="190">
        <f t="shared" si="14"/>
        <v>228</v>
      </c>
      <c r="I1448" s="367"/>
    </row>
    <row r="1449" spans="1:9">
      <c r="A1449" s="847"/>
      <c r="B1449" s="105">
        <v>12</v>
      </c>
      <c r="C1449" s="91" t="s">
        <v>5703</v>
      </c>
      <c r="D1449" s="105" t="s">
        <v>3483</v>
      </c>
      <c r="E1449" s="190">
        <v>20</v>
      </c>
      <c r="F1449" s="190">
        <f>'BASIC DATA'!$D$46</f>
        <v>9</v>
      </c>
      <c r="G1449" s="190">
        <f t="shared" si="14"/>
        <v>180</v>
      </c>
      <c r="I1449" s="367"/>
    </row>
    <row r="1450" spans="1:9">
      <c r="A1450" s="847"/>
      <c r="B1450" s="105">
        <v>13</v>
      </c>
      <c r="C1450" s="91" t="s">
        <v>133</v>
      </c>
      <c r="D1450" s="105" t="s">
        <v>3479</v>
      </c>
      <c r="E1450" s="190">
        <v>132</v>
      </c>
      <c r="F1450" s="190">
        <f>G1403</f>
        <v>211.5</v>
      </c>
      <c r="G1450" s="190">
        <f t="shared" si="14"/>
        <v>27918</v>
      </c>
      <c r="I1450" s="367"/>
    </row>
    <row r="1451" spans="1:9">
      <c r="A1451" s="847"/>
      <c r="B1451" s="105">
        <v>14</v>
      </c>
      <c r="C1451" s="91" t="s">
        <v>836</v>
      </c>
      <c r="D1451" s="105" t="s">
        <v>2059</v>
      </c>
      <c r="E1451" s="190">
        <v>110</v>
      </c>
      <c r="F1451" s="190">
        <f>IF(F1450=0,0,G1407)</f>
        <v>4.9950000000000001</v>
      </c>
      <c r="G1451" s="190">
        <f t="shared" si="14"/>
        <v>549.45000000000005</v>
      </c>
      <c r="I1451" s="367"/>
    </row>
    <row r="1452" spans="1:9">
      <c r="A1452" s="847"/>
      <c r="B1452" s="105">
        <v>15</v>
      </c>
      <c r="C1452" s="91" t="s">
        <v>2373</v>
      </c>
      <c r="D1452" s="114" t="s">
        <v>2173</v>
      </c>
      <c r="E1452" s="190">
        <v>20</v>
      </c>
      <c r="F1452" s="190">
        <f>'BASIC DATA'!$D$359</f>
        <v>30</v>
      </c>
      <c r="G1452" s="190">
        <f t="shared" si="14"/>
        <v>600</v>
      </c>
      <c r="I1452" s="367"/>
    </row>
    <row r="1453" spans="1:9">
      <c r="A1453" s="847"/>
      <c r="B1453" s="92"/>
      <c r="C1453" s="353" t="s">
        <v>2376</v>
      </c>
      <c r="D1453" s="159"/>
      <c r="E1453" s="238"/>
      <c r="F1453" s="236" t="s">
        <v>1698</v>
      </c>
      <c r="G1453" s="318">
        <f>SUM(G1436:G1452)</f>
        <v>63764.853999999992</v>
      </c>
      <c r="I1453" s="31"/>
    </row>
    <row r="1454" spans="1:9">
      <c r="A1454" s="847"/>
      <c r="B1454" s="78"/>
      <c r="C1454" s="48"/>
      <c r="I1454" s="31"/>
    </row>
    <row r="1455" spans="1:9">
      <c r="A1455" s="847"/>
      <c r="B1455" s="79" t="s">
        <v>2377</v>
      </c>
      <c r="C1455" s="48"/>
      <c r="I1455" s="31"/>
    </row>
    <row r="1456" spans="1:9">
      <c r="A1456" s="847"/>
      <c r="B1456" s="95" t="s">
        <v>2369</v>
      </c>
      <c r="C1456" s="350" t="s">
        <v>2378</v>
      </c>
      <c r="D1456" s="95" t="s">
        <v>2370</v>
      </c>
      <c r="E1456" s="95" t="s">
        <v>1166</v>
      </c>
      <c r="F1456" s="95" t="s">
        <v>2371</v>
      </c>
      <c r="G1456" s="95" t="s">
        <v>2372</v>
      </c>
      <c r="I1456" s="31"/>
    </row>
    <row r="1457" spans="1:9">
      <c r="A1457" s="847"/>
      <c r="B1457" s="114"/>
      <c r="C1457" s="351"/>
      <c r="D1457" s="114"/>
      <c r="E1457" s="114"/>
      <c r="F1457" s="114" t="s">
        <v>3485</v>
      </c>
      <c r="G1457" s="114" t="s">
        <v>3485</v>
      </c>
      <c r="I1457" s="31"/>
    </row>
    <row r="1458" spans="1:9">
      <c r="A1458" s="847"/>
      <c r="B1458" s="95">
        <v>1</v>
      </c>
      <c r="C1458" s="355" t="s">
        <v>151</v>
      </c>
      <c r="D1458" s="95" t="s">
        <v>2374</v>
      </c>
      <c r="E1458" s="220">
        <v>30</v>
      </c>
      <c r="F1458" s="190">
        <f>'HIRE CHARGES'!$D$545</f>
        <v>446.7</v>
      </c>
      <c r="G1458" s="190">
        <f t="shared" ref="G1458:G1469" si="15">E1458*F1458</f>
        <v>13401</v>
      </c>
      <c r="I1458" s="75"/>
    </row>
    <row r="1459" spans="1:9">
      <c r="A1459" s="847"/>
      <c r="B1459" s="152"/>
      <c r="C1459" s="355" t="s">
        <v>2379</v>
      </c>
      <c r="D1459" s="105" t="s">
        <v>2374</v>
      </c>
      <c r="E1459" s="220">
        <v>30</v>
      </c>
      <c r="F1459" s="190">
        <f>'HIRE CHARGES'!$E$545</f>
        <v>299.89999999999998</v>
      </c>
      <c r="G1459" s="190">
        <f t="shared" si="15"/>
        <v>8997</v>
      </c>
      <c r="I1459" s="75"/>
    </row>
    <row r="1460" spans="1:9">
      <c r="A1460" s="847"/>
      <c r="B1460" s="105">
        <v>2</v>
      </c>
      <c r="C1460" s="355" t="s">
        <v>298</v>
      </c>
      <c r="D1460" s="105" t="s">
        <v>2374</v>
      </c>
      <c r="E1460" s="220">
        <v>10</v>
      </c>
      <c r="F1460" s="190">
        <f>'HIRE CHARGES'!$D$543</f>
        <v>1706.6</v>
      </c>
      <c r="G1460" s="190">
        <f t="shared" si="15"/>
        <v>17066</v>
      </c>
      <c r="I1460" s="75"/>
    </row>
    <row r="1461" spans="1:9">
      <c r="A1461" s="847"/>
      <c r="B1461" s="152"/>
      <c r="C1461" s="355" t="s">
        <v>2379</v>
      </c>
      <c r="D1461" s="105" t="s">
        <v>2374</v>
      </c>
      <c r="E1461" s="220">
        <v>10</v>
      </c>
      <c r="F1461" s="190">
        <f>'HIRE CHARGES'!$E$543</f>
        <v>872.7</v>
      </c>
      <c r="G1461" s="190">
        <f t="shared" si="15"/>
        <v>8727</v>
      </c>
      <c r="I1461" s="75"/>
    </row>
    <row r="1462" spans="1:9">
      <c r="A1462" s="847"/>
      <c r="B1462" s="105">
        <v>3</v>
      </c>
      <c r="C1462" s="355" t="s">
        <v>152</v>
      </c>
      <c r="D1462" s="105" t="s">
        <v>2374</v>
      </c>
      <c r="E1462" s="220">
        <v>2</v>
      </c>
      <c r="F1462" s="214">
        <f>'HIRE CHARGES'!$D$499</f>
        <v>1715.5</v>
      </c>
      <c r="G1462" s="190">
        <f t="shared" si="15"/>
        <v>3431</v>
      </c>
      <c r="I1462" s="75"/>
    </row>
    <row r="1463" spans="1:9">
      <c r="A1463" s="847"/>
      <c r="B1463" s="152"/>
      <c r="C1463" s="355" t="s">
        <v>2379</v>
      </c>
      <c r="D1463" s="105" t="s">
        <v>2374</v>
      </c>
      <c r="E1463" s="220">
        <v>2</v>
      </c>
      <c r="F1463" s="214">
        <f>'HIRE CHARGES'!$E$499</f>
        <v>610.5</v>
      </c>
      <c r="G1463" s="190">
        <f t="shared" si="15"/>
        <v>1221</v>
      </c>
      <c r="I1463" s="75"/>
    </row>
    <row r="1464" spans="1:9" ht="36">
      <c r="A1464" s="847"/>
      <c r="B1464" s="105">
        <v>4</v>
      </c>
      <c r="C1464" s="355" t="s">
        <v>2062</v>
      </c>
      <c r="D1464" s="105" t="s">
        <v>2374</v>
      </c>
      <c r="E1464" s="220">
        <v>12.5</v>
      </c>
      <c r="F1464" s="214">
        <f>'HIRE CHARGES'!$D$496</f>
        <v>275.60000000000002</v>
      </c>
      <c r="G1464" s="190">
        <f t="shared" si="15"/>
        <v>3445.0000000000005</v>
      </c>
      <c r="I1464" s="75"/>
    </row>
    <row r="1465" spans="1:9">
      <c r="A1465" s="847"/>
      <c r="B1465" s="152"/>
      <c r="C1465" s="355" t="s">
        <v>2379</v>
      </c>
      <c r="D1465" s="105" t="s">
        <v>2374</v>
      </c>
      <c r="E1465" s="220">
        <v>12.5</v>
      </c>
      <c r="F1465" s="214">
        <f>'HIRE CHARGES'!$E$496</f>
        <v>892.5</v>
      </c>
      <c r="G1465" s="190">
        <f t="shared" si="15"/>
        <v>11156.25</v>
      </c>
      <c r="I1465" s="75"/>
    </row>
    <row r="1466" spans="1:9">
      <c r="A1466" s="847"/>
      <c r="B1466" s="105">
        <v>5</v>
      </c>
      <c r="C1466" s="355" t="s">
        <v>258</v>
      </c>
      <c r="D1466" s="105" t="s">
        <v>2374</v>
      </c>
      <c r="E1466" s="220">
        <v>11.5</v>
      </c>
      <c r="F1466" s="214">
        <f>'HIRE CHARGES'!$D$554</f>
        <v>188.5</v>
      </c>
      <c r="G1466" s="190">
        <f t="shared" si="15"/>
        <v>2167.75</v>
      </c>
      <c r="I1466" s="75"/>
    </row>
    <row r="1467" spans="1:9">
      <c r="A1467" s="847"/>
      <c r="B1467" s="105"/>
      <c r="C1467" s="355" t="s">
        <v>2379</v>
      </c>
      <c r="D1467" s="105" t="s">
        <v>2374</v>
      </c>
      <c r="E1467" s="220">
        <v>11.5</v>
      </c>
      <c r="F1467" s="214">
        <f>'HIRE CHARGES'!$E$554</f>
        <v>0</v>
      </c>
      <c r="G1467" s="190">
        <f t="shared" si="15"/>
        <v>0</v>
      </c>
      <c r="I1467" s="75"/>
    </row>
    <row r="1468" spans="1:9">
      <c r="A1468" s="847"/>
      <c r="B1468" s="105">
        <v>6</v>
      </c>
      <c r="C1468" s="355" t="s">
        <v>6243</v>
      </c>
      <c r="D1468" s="105" t="s">
        <v>2374</v>
      </c>
      <c r="E1468" s="220">
        <v>2</v>
      </c>
      <c r="F1468" s="214">
        <f>'HIRE CHARGES'!$D$530</f>
        <v>19.8</v>
      </c>
      <c r="G1468" s="190">
        <f t="shared" si="15"/>
        <v>39.6</v>
      </c>
      <c r="I1468" s="75"/>
    </row>
    <row r="1469" spans="1:9">
      <c r="A1469" s="847"/>
      <c r="B1469" s="114"/>
      <c r="C1469" s="351" t="s">
        <v>2379</v>
      </c>
      <c r="D1469" s="114" t="s">
        <v>2374</v>
      </c>
      <c r="E1469" s="257">
        <v>2</v>
      </c>
      <c r="F1469" s="214">
        <f>'HIRE CHARGES'!$E$530</f>
        <v>0</v>
      </c>
      <c r="G1469" s="190">
        <f t="shared" si="15"/>
        <v>0</v>
      </c>
      <c r="I1469" s="75"/>
    </row>
    <row r="1470" spans="1:9">
      <c r="A1470" s="847"/>
      <c r="B1470" s="176"/>
      <c r="C1470" s="357" t="s">
        <v>2380</v>
      </c>
      <c r="D1470" s="174"/>
      <c r="E1470" s="192"/>
      <c r="F1470" s="236" t="s">
        <v>1698</v>
      </c>
      <c r="G1470" s="354">
        <f>SUM(G1458:G1469)</f>
        <v>69651.600000000006</v>
      </c>
      <c r="I1470" s="31"/>
    </row>
    <row r="1471" spans="1:9">
      <c r="A1471" s="847"/>
      <c r="B1471" s="78"/>
      <c r="C1471" s="48"/>
      <c r="I1471" s="31"/>
    </row>
    <row r="1472" spans="1:9">
      <c r="A1472" s="847"/>
      <c r="B1472" s="79" t="s">
        <v>2381</v>
      </c>
      <c r="C1472" s="48"/>
      <c r="I1472" s="31"/>
    </row>
    <row r="1473" spans="1:9">
      <c r="A1473" s="847"/>
      <c r="B1473" s="95" t="s">
        <v>2369</v>
      </c>
      <c r="C1473" s="350" t="s">
        <v>2378</v>
      </c>
      <c r="D1473" s="95" t="s">
        <v>2370</v>
      </c>
      <c r="E1473" s="95" t="s">
        <v>1166</v>
      </c>
      <c r="F1473" s="95" t="s">
        <v>2371</v>
      </c>
      <c r="G1473" s="95" t="s">
        <v>2372</v>
      </c>
      <c r="I1473" s="31"/>
    </row>
    <row r="1474" spans="1:9">
      <c r="A1474" s="847"/>
      <c r="B1474" s="114"/>
      <c r="C1474" s="351"/>
      <c r="D1474" s="105"/>
      <c r="E1474" s="114"/>
      <c r="F1474" s="114" t="s">
        <v>3485</v>
      </c>
      <c r="G1474" s="114" t="s">
        <v>3485</v>
      </c>
      <c r="I1474" s="31"/>
    </row>
    <row r="1475" spans="1:9">
      <c r="A1475" s="847"/>
      <c r="B1475" s="105">
        <v>1</v>
      </c>
      <c r="C1475" s="86" t="s">
        <v>301</v>
      </c>
      <c r="D1475" s="95" t="s">
        <v>2374</v>
      </c>
      <c r="E1475" s="207">
        <v>30</v>
      </c>
      <c r="F1475" s="190">
        <f>'HIRE CHARGES'!$F$545</f>
        <v>177.5</v>
      </c>
      <c r="G1475" s="190">
        <f t="shared" ref="G1475:G1486" si="16">E1475*F1475</f>
        <v>5325</v>
      </c>
      <c r="I1475" s="75"/>
    </row>
    <row r="1476" spans="1:9">
      <c r="A1476" s="847"/>
      <c r="B1476" s="105">
        <v>2</v>
      </c>
      <c r="C1476" s="86" t="s">
        <v>300</v>
      </c>
      <c r="D1476" s="105" t="s">
        <v>2374</v>
      </c>
      <c r="E1476" s="207">
        <v>10</v>
      </c>
      <c r="F1476" s="190">
        <f>'HIRE CHARGES'!$F$543</f>
        <v>236.6</v>
      </c>
      <c r="G1476" s="190">
        <f t="shared" si="16"/>
        <v>2366</v>
      </c>
      <c r="I1476" s="75"/>
    </row>
    <row r="1477" spans="1:9">
      <c r="A1477" s="847"/>
      <c r="B1477" s="105">
        <v>3</v>
      </c>
      <c r="C1477" s="86" t="s">
        <v>2870</v>
      </c>
      <c r="D1477" s="105" t="s">
        <v>2374</v>
      </c>
      <c r="E1477" s="207">
        <v>2</v>
      </c>
      <c r="F1477" s="190">
        <f>'HIRE CHARGES'!$F$499</f>
        <v>236.6</v>
      </c>
      <c r="G1477" s="190">
        <f t="shared" si="16"/>
        <v>473.2</v>
      </c>
      <c r="I1477" s="75"/>
    </row>
    <row r="1478" spans="1:9">
      <c r="A1478" s="847"/>
      <c r="B1478" s="105">
        <v>4</v>
      </c>
      <c r="C1478" s="86" t="s">
        <v>4606</v>
      </c>
      <c r="D1478" s="105" t="s">
        <v>2374</v>
      </c>
      <c r="E1478" s="207">
        <v>12.5</v>
      </c>
      <c r="F1478" s="190">
        <f>'HIRE CHARGES'!$F$496</f>
        <v>210.9</v>
      </c>
      <c r="G1478" s="190">
        <f t="shared" si="16"/>
        <v>2636.25</v>
      </c>
      <c r="I1478" s="75"/>
    </row>
    <row r="1479" spans="1:9">
      <c r="A1479" s="847"/>
      <c r="B1479" s="105">
        <v>5</v>
      </c>
      <c r="C1479" s="86" t="s">
        <v>153</v>
      </c>
      <c r="D1479" s="105" t="s">
        <v>2374</v>
      </c>
      <c r="E1479" s="207">
        <v>11.5</v>
      </c>
      <c r="F1479" s="190">
        <f>'HIRE CHARGES'!$F$554</f>
        <v>283.89999999999998</v>
      </c>
      <c r="G1479" s="190">
        <f t="shared" si="16"/>
        <v>3264.85</v>
      </c>
      <c r="I1479" s="75"/>
    </row>
    <row r="1480" spans="1:9">
      <c r="A1480" s="847"/>
      <c r="B1480" s="105">
        <v>6</v>
      </c>
      <c r="C1480" s="86" t="s">
        <v>4607</v>
      </c>
      <c r="D1480" s="105" t="s">
        <v>2374</v>
      </c>
      <c r="E1480" s="207">
        <v>2</v>
      </c>
      <c r="F1480" s="190">
        <f>'HIRE CHARGES'!$F$530</f>
        <v>329.6</v>
      </c>
      <c r="G1480" s="190">
        <f t="shared" si="16"/>
        <v>659.2</v>
      </c>
      <c r="I1480" s="75"/>
    </row>
    <row r="1481" spans="1:9">
      <c r="A1481" s="847"/>
      <c r="B1481" s="105">
        <v>7</v>
      </c>
      <c r="C1481" s="86" t="s">
        <v>4206</v>
      </c>
      <c r="D1481" s="105" t="s">
        <v>1172</v>
      </c>
      <c r="E1481" s="207">
        <v>1.5</v>
      </c>
      <c r="F1481" s="190">
        <f>'BASIC DATA'!$C$473</f>
        <v>450</v>
      </c>
      <c r="G1481" s="190">
        <f t="shared" si="16"/>
        <v>675</v>
      </c>
      <c r="I1481" s="75"/>
    </row>
    <row r="1482" spans="1:9">
      <c r="A1482" s="847"/>
      <c r="B1482" s="105">
        <v>8</v>
      </c>
      <c r="C1482" s="86" t="s">
        <v>4608</v>
      </c>
      <c r="D1482" s="105" t="s">
        <v>1172</v>
      </c>
      <c r="E1482" s="207">
        <v>0.5</v>
      </c>
      <c r="F1482" s="190">
        <f>'BASIC DATA'!$C$466</f>
        <v>510</v>
      </c>
      <c r="G1482" s="190">
        <f t="shared" si="16"/>
        <v>255</v>
      </c>
      <c r="I1482" s="75"/>
    </row>
    <row r="1483" spans="1:9">
      <c r="A1483" s="847"/>
      <c r="B1483" s="105">
        <v>9</v>
      </c>
      <c r="C1483" s="86" t="s">
        <v>4609</v>
      </c>
      <c r="D1483" s="105" t="s">
        <v>1172</v>
      </c>
      <c r="E1483" s="207">
        <v>0.5</v>
      </c>
      <c r="F1483" s="190">
        <f>'BASIC DATA'!$C$520</f>
        <v>400</v>
      </c>
      <c r="G1483" s="190">
        <f t="shared" si="16"/>
        <v>200</v>
      </c>
      <c r="I1483" s="75"/>
    </row>
    <row r="1484" spans="1:9">
      <c r="A1484" s="847"/>
      <c r="B1484" s="105">
        <v>10</v>
      </c>
      <c r="C1484" s="86" t="s">
        <v>840</v>
      </c>
      <c r="D1484" s="105" t="s">
        <v>1172</v>
      </c>
      <c r="E1484" s="207">
        <v>1</v>
      </c>
      <c r="F1484" s="190">
        <f>'BASIC DATA'!$C$545</f>
        <v>400</v>
      </c>
      <c r="G1484" s="190">
        <f t="shared" si="16"/>
        <v>400</v>
      </c>
      <c r="I1484" s="75"/>
    </row>
    <row r="1485" spans="1:9">
      <c r="A1485" s="847"/>
      <c r="B1485" s="105">
        <v>11</v>
      </c>
      <c r="C1485" s="86" t="s">
        <v>1190</v>
      </c>
      <c r="D1485" s="105" t="s">
        <v>1172</v>
      </c>
      <c r="E1485" s="207">
        <v>1</v>
      </c>
      <c r="F1485" s="190">
        <f>'BASIC DATA'!$C$546</f>
        <v>400</v>
      </c>
      <c r="G1485" s="190">
        <f t="shared" si="16"/>
        <v>400</v>
      </c>
      <c r="I1485" s="75"/>
    </row>
    <row r="1486" spans="1:9">
      <c r="A1486" s="847"/>
      <c r="B1486" s="105">
        <v>12</v>
      </c>
      <c r="C1486" s="86" t="s">
        <v>2697</v>
      </c>
      <c r="D1486" s="105" t="s">
        <v>1172</v>
      </c>
      <c r="E1486" s="207">
        <v>5</v>
      </c>
      <c r="F1486" s="190">
        <f>'BASIC DATA'!$C$552</f>
        <v>350</v>
      </c>
      <c r="G1486" s="190">
        <f t="shared" si="16"/>
        <v>1750</v>
      </c>
      <c r="I1486" s="75"/>
    </row>
    <row r="1487" spans="1:9">
      <c r="A1487" s="847"/>
      <c r="B1487" s="92"/>
      <c r="C1487" s="353" t="s">
        <v>1174</v>
      </c>
      <c r="D1487" s="159"/>
      <c r="E1487" s="238"/>
      <c r="F1487" s="236" t="s">
        <v>1698</v>
      </c>
      <c r="G1487" s="318">
        <f>SUM(G1475:G1486)</f>
        <v>18404.5</v>
      </c>
    </row>
    <row r="1488" spans="1:9">
      <c r="A1488" s="847"/>
      <c r="B1488" s="359" t="s">
        <v>5948</v>
      </c>
      <c r="C1488" s="48"/>
      <c r="D1488" s="31"/>
      <c r="E1488" s="85">
        <f>ROUND(G1487/F1432,1)</f>
        <v>47.7</v>
      </c>
    </row>
    <row r="1489" spans="1:9">
      <c r="A1489" s="847"/>
      <c r="B1489" s="359" t="s">
        <v>3163</v>
      </c>
      <c r="C1489" s="48"/>
      <c r="D1489" s="922">
        <f>'BASIC DATA'!$C$577</f>
        <v>0.13614999999999999</v>
      </c>
      <c r="E1489" s="85">
        <f>ROUND(E1488*D1489,1)</f>
        <v>6.5</v>
      </c>
    </row>
    <row r="1490" spans="1:9">
      <c r="A1490" s="847"/>
      <c r="B1490" s="359" t="s">
        <v>5949</v>
      </c>
      <c r="C1490" s="48"/>
      <c r="D1490" s="31"/>
      <c r="E1490" s="199">
        <f>ROUND(E1489+E1488,1)</f>
        <v>54.2</v>
      </c>
    </row>
    <row r="1491" spans="1:9">
      <c r="A1491" s="847"/>
      <c r="C1491" s="48"/>
    </row>
    <row r="1492" spans="1:9">
      <c r="A1492" s="847"/>
      <c r="B1492" s="162" t="s">
        <v>1175</v>
      </c>
      <c r="C1492" s="48"/>
    </row>
    <row r="1493" spans="1:9">
      <c r="A1493" s="847"/>
      <c r="B1493" s="47" t="s">
        <v>1176</v>
      </c>
      <c r="C1493" s="48"/>
      <c r="F1493" s="171" t="s">
        <v>1698</v>
      </c>
      <c r="G1493" s="68">
        <f>G1453</f>
        <v>63764.853999999992</v>
      </c>
    </row>
    <row r="1494" spans="1:9">
      <c r="A1494" s="847"/>
      <c r="B1494" s="47" t="s">
        <v>1186</v>
      </c>
      <c r="C1494" s="48"/>
      <c r="F1494" s="171" t="s">
        <v>1698</v>
      </c>
      <c r="G1494" s="68">
        <f>G1470</f>
        <v>69651.600000000006</v>
      </c>
    </row>
    <row r="1495" spans="1:9">
      <c r="A1495" s="847"/>
      <c r="B1495" s="47" t="s">
        <v>2660</v>
      </c>
      <c r="C1495" s="48"/>
      <c r="F1495" s="171" t="s">
        <v>1698</v>
      </c>
      <c r="G1495" s="75">
        <f>G1487</f>
        <v>18404.5</v>
      </c>
    </row>
    <row r="1496" spans="1:9">
      <c r="A1496" s="847"/>
      <c r="C1496" s="48"/>
      <c r="F1496" s="171" t="s">
        <v>302</v>
      </c>
      <c r="G1496" s="205">
        <f>SUM(G1493:G1495)</f>
        <v>151820.954</v>
      </c>
    </row>
    <row r="1497" spans="1:9">
      <c r="A1497" s="847"/>
      <c r="B1497" s="382" t="s">
        <v>1807</v>
      </c>
      <c r="C1497" s="48"/>
      <c r="D1497" s="61"/>
      <c r="E1497" s="291">
        <f>'BASIC DATA'!$C$579</f>
        <v>5.0000000000000001E-3</v>
      </c>
      <c r="F1497" s="222" t="s">
        <v>1698</v>
      </c>
      <c r="G1497" s="321">
        <f>G1496*E1497</f>
        <v>759.10477000000003</v>
      </c>
      <c r="H1497" s="61"/>
      <c r="I1497" s="61"/>
    </row>
    <row r="1498" spans="1:9">
      <c r="A1498" s="847"/>
      <c r="B1498" s="78"/>
      <c r="C1498" s="48"/>
      <c r="E1498" s="250"/>
      <c r="F1498" s="171" t="s">
        <v>302</v>
      </c>
      <c r="G1498" s="205">
        <f>SUM(G1496:G1497)</f>
        <v>152580.05877</v>
      </c>
    </row>
    <row r="1499" spans="1:9">
      <c r="A1499" s="847"/>
      <c r="B1499" s="1207" t="s">
        <v>5769</v>
      </c>
      <c r="C1499" s="1207"/>
      <c r="D1499" s="1207"/>
      <c r="E1499" s="922">
        <f>'BASIC DATA'!$C$577</f>
        <v>0.13614999999999999</v>
      </c>
      <c r="F1499" s="171" t="s">
        <v>1698</v>
      </c>
      <c r="G1499" s="31">
        <f>ROUND(G1498*E1499,2)</f>
        <v>20773.78</v>
      </c>
    </row>
    <row r="1500" spans="1:9">
      <c r="A1500" s="847"/>
      <c r="B1500" s="47" t="s">
        <v>1191</v>
      </c>
      <c r="C1500" s="48"/>
      <c r="D1500" s="68">
        <f>F1432</f>
        <v>386</v>
      </c>
      <c r="E1500" s="68" t="str">
        <f>G1432</f>
        <v>cum</v>
      </c>
      <c r="F1500" s="171" t="s">
        <v>1698</v>
      </c>
      <c r="G1500" s="211">
        <f>G1499+G1498</f>
        <v>173353.83877</v>
      </c>
    </row>
    <row r="1501" spans="1:9">
      <c r="A1501" s="847"/>
      <c r="B1501" s="79" t="s">
        <v>1584</v>
      </c>
      <c r="C1501" s="356" t="str">
        <f>E1500</f>
        <v>cum</v>
      </c>
      <c r="D1501" s="26" t="s">
        <v>1322</v>
      </c>
      <c r="F1501" s="171" t="s">
        <v>4108</v>
      </c>
      <c r="G1501" s="211">
        <f>ROUND(G1500/D1500,1)</f>
        <v>449.1</v>
      </c>
    </row>
    <row r="1502" spans="1:9">
      <c r="A1502" s="847"/>
      <c r="B1502" s="78"/>
      <c r="C1502" s="48"/>
    </row>
    <row r="1503" spans="1:9">
      <c r="A1503" s="847"/>
      <c r="B1503" s="78"/>
      <c r="C1503" s="48"/>
    </row>
    <row r="1504" spans="1:9" ht="36.75">
      <c r="A1504" s="841" t="s">
        <v>7430</v>
      </c>
      <c r="B1504" s="382" t="s">
        <v>8655</v>
      </c>
      <c r="C1504" s="49"/>
      <c r="D1504" s="61"/>
    </row>
    <row r="1505" spans="1:4" ht="18.75">
      <c r="A1505" s="889" t="s">
        <v>832</v>
      </c>
      <c r="B1505" s="382" t="s">
        <v>8656</v>
      </c>
      <c r="C1505" s="49"/>
      <c r="D1505" s="61"/>
    </row>
    <row r="1506" spans="1:4" ht="18.75">
      <c r="A1506" s="889"/>
      <c r="B1506" s="382" t="s">
        <v>8657</v>
      </c>
      <c r="C1506" s="49"/>
      <c r="D1506" s="61"/>
    </row>
    <row r="1507" spans="1:4">
      <c r="A1507" s="889"/>
      <c r="B1507" s="382" t="s">
        <v>3304</v>
      </c>
      <c r="C1507" s="49"/>
      <c r="D1507" s="61"/>
    </row>
    <row r="1508" spans="1:4" ht="18.75">
      <c r="A1508" s="889"/>
      <c r="B1508" s="588" t="s">
        <v>8552</v>
      </c>
      <c r="C1508" s="49"/>
      <c r="D1508" s="61"/>
    </row>
    <row r="1509" spans="1:4">
      <c r="A1509" s="889"/>
      <c r="B1509" s="382"/>
      <c r="C1509" s="49"/>
      <c r="D1509" s="61"/>
    </row>
    <row r="1510" spans="1:4">
      <c r="A1510" s="890" t="s">
        <v>1940</v>
      </c>
      <c r="B1510" s="382" t="s">
        <v>2604</v>
      </c>
      <c r="C1510" s="49"/>
      <c r="D1510" s="61"/>
    </row>
    <row r="1511" spans="1:4">
      <c r="A1511" s="889"/>
      <c r="B1511" s="382" t="s">
        <v>5205</v>
      </c>
      <c r="C1511" s="49"/>
      <c r="D1511" s="61"/>
    </row>
    <row r="1512" spans="1:4">
      <c r="A1512" s="889"/>
      <c r="B1512" s="382" t="s">
        <v>5206</v>
      </c>
      <c r="C1512" s="49"/>
      <c r="D1512" s="61"/>
    </row>
    <row r="1513" spans="1:4">
      <c r="A1513" s="889"/>
      <c r="B1513" s="382" t="s">
        <v>1428</v>
      </c>
      <c r="C1513" s="49"/>
      <c r="D1513" s="61"/>
    </row>
    <row r="1514" spans="1:4">
      <c r="A1514" s="889"/>
      <c r="B1514" s="382" t="s">
        <v>1429</v>
      </c>
      <c r="C1514" s="49"/>
      <c r="D1514" s="61"/>
    </row>
    <row r="1515" spans="1:4">
      <c r="A1515" s="889"/>
      <c r="B1515" s="382" t="s">
        <v>2396</v>
      </c>
      <c r="C1515" s="49"/>
      <c r="D1515" s="61"/>
    </row>
    <row r="1516" spans="1:4">
      <c r="A1516" s="889"/>
      <c r="B1516" s="382" t="s">
        <v>1906</v>
      </c>
      <c r="C1516" s="49"/>
      <c r="D1516" s="61"/>
    </row>
    <row r="1517" spans="1:4">
      <c r="A1517" s="889"/>
      <c r="B1517" s="382" t="s">
        <v>1431</v>
      </c>
      <c r="C1517" s="49"/>
      <c r="D1517" s="61"/>
    </row>
    <row r="1518" spans="1:4">
      <c r="A1518" s="889"/>
      <c r="B1518" s="382" t="s">
        <v>1432</v>
      </c>
      <c r="C1518" s="49"/>
      <c r="D1518" s="61"/>
    </row>
    <row r="1519" spans="1:4">
      <c r="A1519" s="889"/>
      <c r="B1519" s="382" t="s">
        <v>1634</v>
      </c>
      <c r="C1519" s="49"/>
      <c r="D1519" s="61"/>
    </row>
    <row r="1520" spans="1:4">
      <c r="A1520" s="889"/>
      <c r="B1520" s="382" t="s">
        <v>1228</v>
      </c>
      <c r="C1520" s="49"/>
      <c r="D1520" s="61"/>
    </row>
    <row r="1521" spans="1:4">
      <c r="A1521" s="889"/>
      <c r="B1521" s="382" t="s">
        <v>1226</v>
      </c>
      <c r="C1521" s="49"/>
      <c r="D1521" s="61"/>
    </row>
    <row r="1522" spans="1:4">
      <c r="A1522" s="889"/>
      <c r="B1522" s="382" t="s">
        <v>1071</v>
      </c>
      <c r="C1522" s="49"/>
      <c r="D1522" s="61"/>
    </row>
    <row r="1523" spans="1:4">
      <c r="A1523" s="889"/>
      <c r="C1523" s="48"/>
    </row>
    <row r="1524" spans="1:4" hidden="1">
      <c r="A1524" s="889" t="s">
        <v>1907</v>
      </c>
      <c r="B1524" s="47" t="s">
        <v>1775</v>
      </c>
      <c r="C1524" s="48"/>
    </row>
    <row r="1525" spans="1:4" hidden="1">
      <c r="A1525" s="889"/>
      <c r="B1525" s="587" t="s">
        <v>6067</v>
      </c>
      <c r="C1525" s="48"/>
    </row>
    <row r="1526" spans="1:4" hidden="1">
      <c r="A1526" s="889"/>
      <c r="B1526" s="47" t="s">
        <v>6068</v>
      </c>
      <c r="C1526" s="48"/>
    </row>
    <row r="1527" spans="1:4" hidden="1"/>
    <row r="1528" spans="1:4"/>
    <row r="1529" spans="1:4"/>
    <row r="1530" spans="1:4"/>
    <row r="1531" spans="1:4"/>
    <row r="1532" spans="1:4"/>
    <row r="1533" spans="1:4"/>
    <row r="1534" spans="1:4"/>
    <row r="1535" spans="1:4"/>
    <row r="1536" spans="1:4"/>
    <row r="1537" spans="1:9"/>
    <row r="1538" spans="1:9"/>
    <row r="1539" spans="1:9"/>
    <row r="1540" spans="1:9"/>
    <row r="1541" spans="1:9"/>
    <row r="1542" spans="1:9" hidden="1"/>
    <row r="1543" spans="1:9" hidden="1"/>
    <row r="1544" spans="1:9" hidden="1">
      <c r="A1544" s="847"/>
      <c r="B1544" s="47" t="s">
        <v>6069</v>
      </c>
      <c r="C1544" s="48"/>
    </row>
    <row r="1545" spans="1:9" hidden="1">
      <c r="A1545" s="847"/>
      <c r="B1545" s="47" t="s">
        <v>6121</v>
      </c>
      <c r="C1545" s="48"/>
    </row>
    <row r="1546" spans="1:9" hidden="1">
      <c r="A1546" s="847"/>
      <c r="B1546" s="47" t="s">
        <v>6122</v>
      </c>
      <c r="C1546" s="48"/>
    </row>
    <row r="1547" spans="1:9" hidden="1">
      <c r="A1547" s="847"/>
      <c r="B1547" s="47" t="s">
        <v>6123</v>
      </c>
      <c r="C1547" s="48"/>
      <c r="G1547" s="26">
        <v>16.239999999999998</v>
      </c>
      <c r="H1547" s="26" t="s">
        <v>3883</v>
      </c>
      <c r="I1547" s="377"/>
    </row>
    <row r="1548" spans="1:9" hidden="1">
      <c r="A1548" s="847"/>
      <c r="B1548" s="47" t="s">
        <v>5874</v>
      </c>
      <c r="C1548" s="48"/>
      <c r="G1548" s="68">
        <v>97</v>
      </c>
      <c r="H1548" s="26" t="s">
        <v>6901</v>
      </c>
      <c r="I1548" s="378"/>
    </row>
    <row r="1549" spans="1:9" hidden="1">
      <c r="A1549" s="847"/>
      <c r="B1549" s="47" t="s">
        <v>3740</v>
      </c>
      <c r="C1549" s="48"/>
      <c r="I1549" s="47"/>
    </row>
    <row r="1550" spans="1:9" hidden="1">
      <c r="A1550" s="847"/>
      <c r="B1550" s="47" t="s">
        <v>5875</v>
      </c>
      <c r="C1550" s="48"/>
      <c r="I1550" s="47"/>
    </row>
    <row r="1551" spans="1:9" hidden="1">
      <c r="A1551" s="847"/>
      <c r="B1551" s="47" t="s">
        <v>2342</v>
      </c>
      <c r="C1551" s="48"/>
      <c r="F1551" s="78" t="s">
        <v>1123</v>
      </c>
      <c r="G1551" s="68">
        <v>0.7</v>
      </c>
      <c r="H1551" s="26" t="s">
        <v>3561</v>
      </c>
      <c r="I1551" s="379"/>
    </row>
    <row r="1552" spans="1:9" hidden="1">
      <c r="A1552" s="847"/>
      <c r="B1552" s="47" t="s">
        <v>2343</v>
      </c>
      <c r="C1552" s="48"/>
      <c r="F1552" s="78" t="s">
        <v>1123</v>
      </c>
      <c r="G1552" s="26">
        <v>18</v>
      </c>
      <c r="H1552" s="26" t="s">
        <v>3436</v>
      </c>
      <c r="I1552" s="380"/>
    </row>
    <row r="1553" spans="1:9" hidden="1">
      <c r="A1553" s="847"/>
      <c r="B1553" s="47" t="s">
        <v>3600</v>
      </c>
      <c r="C1553" s="48"/>
      <c r="F1553" s="78" t="s">
        <v>1697</v>
      </c>
      <c r="G1553" s="68">
        <v>121</v>
      </c>
      <c r="H1553" s="26" t="s">
        <v>3561</v>
      </c>
      <c r="I1553" s="380"/>
    </row>
    <row r="1554" spans="1:9" hidden="1">
      <c r="A1554" s="847"/>
      <c r="B1554" s="47" t="s">
        <v>5953</v>
      </c>
      <c r="C1554" s="48"/>
      <c r="F1554" s="78" t="s">
        <v>1697</v>
      </c>
      <c r="G1554" s="26">
        <v>11</v>
      </c>
      <c r="H1554" s="26" t="s">
        <v>3428</v>
      </c>
      <c r="I1554" s="379"/>
    </row>
    <row r="1555" spans="1:9" hidden="1">
      <c r="A1555" s="847"/>
      <c r="B1555" s="47" t="s">
        <v>2764</v>
      </c>
      <c r="C1555" s="48"/>
    </row>
    <row r="1556" spans="1:9" hidden="1">
      <c r="A1556" s="847"/>
      <c r="B1556" s="47" t="s">
        <v>1230</v>
      </c>
      <c r="C1556" s="48"/>
    </row>
    <row r="1557" spans="1:9" hidden="1">
      <c r="A1557" s="847"/>
      <c r="B1557" s="47" t="s">
        <v>2765</v>
      </c>
      <c r="C1557" s="48"/>
      <c r="G1557" s="26">
        <v>4.8499999999999996</v>
      </c>
      <c r="H1557" s="26" t="s">
        <v>6901</v>
      </c>
      <c r="I1557" s="376"/>
    </row>
    <row r="1558" spans="1:9" hidden="1">
      <c r="A1558" s="847"/>
      <c r="B1558" s="47" t="s">
        <v>2766</v>
      </c>
      <c r="C1558" s="48"/>
      <c r="G1558" s="68">
        <v>3</v>
      </c>
      <c r="H1558" s="26" t="s">
        <v>3561</v>
      </c>
      <c r="I1558" s="376"/>
    </row>
    <row r="1559" spans="1:9" hidden="1">
      <c r="A1559" s="847"/>
      <c r="B1559" s="47" t="s">
        <v>2767</v>
      </c>
      <c r="C1559" s="48"/>
    </row>
    <row r="1560" spans="1:9" hidden="1">
      <c r="A1560" s="847"/>
      <c r="B1560" s="47" t="s">
        <v>2768</v>
      </c>
      <c r="C1560" s="48"/>
    </row>
    <row r="1561" spans="1:9" hidden="1">
      <c r="A1561" s="847"/>
      <c r="B1561" s="47" t="s">
        <v>1231</v>
      </c>
      <c r="C1561" s="48"/>
    </row>
    <row r="1562" spans="1:9" hidden="1">
      <c r="A1562" s="847"/>
      <c r="B1562" s="47" t="s">
        <v>797</v>
      </c>
      <c r="C1562" s="48"/>
      <c r="F1562" s="78" t="s">
        <v>1697</v>
      </c>
      <c r="G1562" s="68">
        <v>24</v>
      </c>
      <c r="H1562" s="26" t="s">
        <v>3033</v>
      </c>
      <c r="I1562" s="202"/>
    </row>
    <row r="1563" spans="1:9" hidden="1">
      <c r="A1563" s="847"/>
      <c r="B1563" s="47" t="s">
        <v>2863</v>
      </c>
      <c r="C1563" s="48"/>
      <c r="F1563" s="78" t="s">
        <v>1697</v>
      </c>
      <c r="G1563" s="68">
        <v>5</v>
      </c>
      <c r="H1563" s="26" t="s">
        <v>3033</v>
      </c>
      <c r="I1563" s="202"/>
    </row>
    <row r="1564" spans="1:9" hidden="1">
      <c r="A1564" s="847"/>
      <c r="B1564" s="47" t="s">
        <v>2864</v>
      </c>
      <c r="C1564" s="48"/>
      <c r="F1564" s="78" t="s">
        <v>1697</v>
      </c>
      <c r="G1564" s="68">
        <v>19</v>
      </c>
      <c r="H1564" s="26" t="s">
        <v>3033</v>
      </c>
      <c r="I1564" s="202"/>
    </row>
    <row r="1565" spans="1:9" hidden="1">
      <c r="A1565" s="847"/>
      <c r="B1565" s="47" t="s">
        <v>2865</v>
      </c>
      <c r="C1565" s="48"/>
      <c r="F1565" s="78"/>
      <c r="G1565" s="68">
        <v>4.5</v>
      </c>
      <c r="H1565" s="26" t="s">
        <v>6702</v>
      </c>
      <c r="I1565" s="202"/>
    </row>
    <row r="1566" spans="1:9" hidden="1">
      <c r="A1566" s="847"/>
      <c r="B1566" s="47" t="s">
        <v>798</v>
      </c>
      <c r="C1566" s="48"/>
      <c r="F1566" s="78"/>
      <c r="G1566" s="68">
        <v>1</v>
      </c>
      <c r="H1566" s="26" t="s">
        <v>3033</v>
      </c>
      <c r="I1566" s="202"/>
    </row>
    <row r="1567" spans="1:9" hidden="1">
      <c r="A1567" s="847"/>
      <c r="B1567" s="47" t="s">
        <v>3880</v>
      </c>
      <c r="C1567" s="48"/>
      <c r="F1567" s="78" t="s">
        <v>1697</v>
      </c>
      <c r="G1567" s="26">
        <v>5</v>
      </c>
      <c r="H1567" s="26" t="s">
        <v>3032</v>
      </c>
      <c r="I1567" s="358"/>
    </row>
    <row r="1568" spans="1:9" hidden="1">
      <c r="A1568" s="847"/>
      <c r="B1568" s="47" t="s">
        <v>6674</v>
      </c>
      <c r="C1568" s="48"/>
      <c r="F1568" s="78" t="s">
        <v>1697</v>
      </c>
      <c r="G1568" s="26">
        <v>4</v>
      </c>
      <c r="H1568" s="26" t="s">
        <v>3032</v>
      </c>
      <c r="I1568" s="358"/>
    </row>
    <row r="1569" spans="1:9" hidden="1">
      <c r="A1569" s="847"/>
      <c r="B1569" s="47" t="s">
        <v>6675</v>
      </c>
      <c r="C1569" s="48"/>
      <c r="F1569" s="78" t="s">
        <v>1697</v>
      </c>
      <c r="G1569" s="26">
        <v>70</v>
      </c>
      <c r="H1569" s="26" t="s">
        <v>3038</v>
      </c>
      <c r="I1569" s="358"/>
    </row>
    <row r="1570" spans="1:9" hidden="1">
      <c r="A1570" s="847"/>
      <c r="B1570" s="47" t="s">
        <v>1403</v>
      </c>
      <c r="C1570" s="48"/>
      <c r="F1570" s="78" t="s">
        <v>1697</v>
      </c>
      <c r="G1570" s="26">
        <v>10</v>
      </c>
      <c r="H1570" s="26" t="s">
        <v>3038</v>
      </c>
      <c r="I1570" s="358"/>
    </row>
    <row r="1571" spans="1:9" hidden="1">
      <c r="A1571" s="847"/>
      <c r="B1571" s="47" t="s">
        <v>2548</v>
      </c>
      <c r="C1571" s="48"/>
    </row>
    <row r="1572" spans="1:9" hidden="1">
      <c r="A1572" s="847"/>
      <c r="B1572" s="47" t="s">
        <v>2824</v>
      </c>
      <c r="C1572" s="48"/>
    </row>
    <row r="1573" spans="1:9" hidden="1">
      <c r="A1573" s="847"/>
      <c r="B1573" s="47" t="s">
        <v>2825</v>
      </c>
      <c r="C1573" s="48"/>
    </row>
    <row r="1574" spans="1:9" hidden="1">
      <c r="A1574" s="847"/>
      <c r="B1574" s="47" t="s">
        <v>781</v>
      </c>
      <c r="C1574" s="48"/>
    </row>
    <row r="1575" spans="1:9" hidden="1">
      <c r="A1575" s="847"/>
      <c r="B1575" s="47" t="s">
        <v>782</v>
      </c>
      <c r="C1575" s="48"/>
    </row>
    <row r="1576" spans="1:9" hidden="1">
      <c r="A1576" s="847"/>
      <c r="B1576" s="47" t="s">
        <v>5959</v>
      </c>
      <c r="C1576" s="48"/>
    </row>
    <row r="1577" spans="1:9" hidden="1">
      <c r="A1577" s="847"/>
      <c r="B1577" s="47" t="s">
        <v>1758</v>
      </c>
      <c r="C1577" s="48"/>
    </row>
    <row r="1578" spans="1:9" hidden="1">
      <c r="A1578" s="847"/>
      <c r="B1578" s="47" t="s">
        <v>2151</v>
      </c>
      <c r="C1578" s="48"/>
    </row>
    <row r="1579" spans="1:9" hidden="1">
      <c r="A1579" s="847"/>
      <c r="B1579" s="47" t="s">
        <v>5960</v>
      </c>
      <c r="C1579" s="48"/>
    </row>
    <row r="1580" spans="1:9" hidden="1">
      <c r="A1580" s="847"/>
      <c r="B1580" s="47" t="s">
        <v>4565</v>
      </c>
      <c r="C1580" s="48"/>
    </row>
    <row r="1581" spans="1:9" hidden="1">
      <c r="A1581" s="847"/>
      <c r="B1581" s="47" t="s">
        <v>5828</v>
      </c>
      <c r="C1581" s="48"/>
    </row>
    <row r="1582" spans="1:9" hidden="1">
      <c r="A1582" s="847"/>
      <c r="B1582" s="47" t="s">
        <v>4566</v>
      </c>
      <c r="C1582" s="48"/>
    </row>
    <row r="1583" spans="1:9" hidden="1">
      <c r="A1583" s="847"/>
      <c r="C1583" s="48"/>
    </row>
    <row r="1584" spans="1:9" hidden="1">
      <c r="A1584" s="847"/>
      <c r="B1584" s="47" t="s">
        <v>2366</v>
      </c>
      <c r="C1584" s="48"/>
    </row>
    <row r="1585" spans="1:8" hidden="1">
      <c r="A1585" s="847"/>
      <c r="B1585" s="47" t="s">
        <v>3917</v>
      </c>
      <c r="C1585" s="48"/>
      <c r="D1585" s="68">
        <f>'BASIC DATA'!$D$315</f>
        <v>12000</v>
      </c>
      <c r="E1585" s="26" t="s">
        <v>2290</v>
      </c>
      <c r="F1585" s="78" t="s">
        <v>1698</v>
      </c>
      <c r="G1585" s="68">
        <f>D1585</f>
        <v>12000</v>
      </c>
    </row>
    <row r="1586" spans="1:8" hidden="1">
      <c r="A1586" s="847"/>
      <c r="B1586" s="47" t="s">
        <v>4829</v>
      </c>
      <c r="C1586" s="48"/>
      <c r="F1586" s="78" t="s">
        <v>1697</v>
      </c>
      <c r="G1586" s="316">
        <v>80</v>
      </c>
      <c r="H1586" s="26" t="s">
        <v>3561</v>
      </c>
    </row>
    <row r="1587" spans="1:8" hidden="1">
      <c r="A1587" s="847"/>
      <c r="B1587" s="47" t="s">
        <v>4567</v>
      </c>
      <c r="C1587" s="48"/>
      <c r="D1587" s="26" t="s">
        <v>1089</v>
      </c>
      <c r="F1587" s="78" t="s">
        <v>1698</v>
      </c>
      <c r="G1587" s="68">
        <f>G1585/G1586</f>
        <v>150</v>
      </c>
    </row>
    <row r="1588" spans="1:8" hidden="1">
      <c r="A1588" s="847"/>
      <c r="B1588" s="47" t="s">
        <v>4568</v>
      </c>
      <c r="C1588" s="48"/>
      <c r="D1588" s="68">
        <f>'BASIC DATA'!$D$306</f>
        <v>2120</v>
      </c>
      <c r="E1588" s="26" t="s">
        <v>2618</v>
      </c>
      <c r="F1588" s="78" t="s">
        <v>1698</v>
      </c>
      <c r="G1588" s="68">
        <f>D1588*4.5</f>
        <v>9540</v>
      </c>
    </row>
    <row r="1589" spans="1:8" hidden="1">
      <c r="A1589" s="847"/>
      <c r="B1589" s="47" t="s">
        <v>3323</v>
      </c>
      <c r="C1589" s="48"/>
      <c r="F1589" s="78" t="s">
        <v>1697</v>
      </c>
      <c r="G1589" s="316">
        <v>1500</v>
      </c>
      <c r="H1589" s="26" t="s">
        <v>3561</v>
      </c>
    </row>
    <row r="1590" spans="1:8" hidden="1">
      <c r="A1590" s="847"/>
      <c r="B1590" s="47" t="s">
        <v>2619</v>
      </c>
      <c r="C1590" s="48"/>
      <c r="D1590" s="26" t="s">
        <v>6853</v>
      </c>
      <c r="F1590" s="78" t="s">
        <v>1698</v>
      </c>
      <c r="G1590" s="68">
        <f>G1588/G1589</f>
        <v>6.36</v>
      </c>
    </row>
    <row r="1591" spans="1:8" hidden="1">
      <c r="A1591" s="847"/>
      <c r="B1591" s="47" t="s">
        <v>2538</v>
      </c>
      <c r="C1591" s="48"/>
      <c r="D1591" s="68">
        <f>'BASIC DATA'!$D$307</f>
        <v>4028</v>
      </c>
      <c r="E1591" s="26" t="s">
        <v>98</v>
      </c>
      <c r="F1591" s="78" t="s">
        <v>1698</v>
      </c>
      <c r="G1591" s="68">
        <f>D1591</f>
        <v>4028</v>
      </c>
    </row>
    <row r="1592" spans="1:8" hidden="1">
      <c r="A1592" s="847"/>
      <c r="B1592" s="47" t="s">
        <v>99</v>
      </c>
      <c r="C1592" s="48"/>
      <c r="F1592" s="78" t="s">
        <v>1697</v>
      </c>
      <c r="G1592" s="316">
        <v>150</v>
      </c>
      <c r="H1592" s="26" t="s">
        <v>3561</v>
      </c>
    </row>
    <row r="1593" spans="1:8" hidden="1">
      <c r="A1593" s="847"/>
      <c r="B1593" s="47" t="s">
        <v>7592</v>
      </c>
      <c r="C1593" s="48"/>
      <c r="D1593" s="26" t="s">
        <v>6853</v>
      </c>
      <c r="F1593" s="78" t="s">
        <v>1698</v>
      </c>
      <c r="G1593" s="68">
        <f>G1591/G1592</f>
        <v>26.853333333333332</v>
      </c>
    </row>
    <row r="1594" spans="1:8" hidden="1">
      <c r="A1594" s="847"/>
      <c r="B1594" s="47" t="s">
        <v>7594</v>
      </c>
      <c r="C1594" s="48"/>
      <c r="F1594" s="78" t="s">
        <v>1697</v>
      </c>
      <c r="G1594" s="316">
        <v>50</v>
      </c>
      <c r="H1594" s="26" t="s">
        <v>3561</v>
      </c>
    </row>
    <row r="1595" spans="1:8" hidden="1">
      <c r="A1595" s="847"/>
      <c r="B1595" s="47" t="s">
        <v>2539</v>
      </c>
      <c r="C1595" s="48"/>
      <c r="D1595" s="68">
        <f>'BASIC DATA'!$D$344</f>
        <v>185</v>
      </c>
      <c r="E1595" s="26" t="s">
        <v>2618</v>
      </c>
      <c r="F1595" s="78" t="s">
        <v>1698</v>
      </c>
      <c r="G1595" s="68">
        <f>G1594*D1595</f>
        <v>9250</v>
      </c>
    </row>
    <row r="1596" spans="1:8" hidden="1">
      <c r="A1596" s="847"/>
      <c r="B1596" s="47" t="s">
        <v>5152</v>
      </c>
      <c r="C1596" s="48"/>
      <c r="F1596" s="78" t="s">
        <v>1697</v>
      </c>
      <c r="G1596" s="316">
        <v>800</v>
      </c>
      <c r="H1596" s="26" t="s">
        <v>3428</v>
      </c>
    </row>
    <row r="1597" spans="1:8" hidden="1">
      <c r="A1597" s="847"/>
      <c r="B1597" s="47" t="s">
        <v>6262</v>
      </c>
      <c r="C1597" s="48"/>
      <c r="D1597" s="26" t="s">
        <v>6853</v>
      </c>
      <c r="F1597" s="78" t="s">
        <v>1698</v>
      </c>
      <c r="G1597" s="68">
        <f>G1595/G1596</f>
        <v>11.5625</v>
      </c>
    </row>
    <row r="1598" spans="1:8" hidden="1">
      <c r="A1598" s="847"/>
      <c r="B1598" s="47" t="s">
        <v>1106</v>
      </c>
      <c r="C1598" s="48"/>
      <c r="D1598" s="68">
        <f>'BASIC DATA'!$D$345</f>
        <v>300</v>
      </c>
      <c r="E1598" s="26" t="s">
        <v>2618</v>
      </c>
      <c r="F1598" s="78" t="s">
        <v>1698</v>
      </c>
      <c r="G1598" s="68">
        <f>G1594*D1598</f>
        <v>15000</v>
      </c>
    </row>
    <row r="1599" spans="1:8" hidden="1">
      <c r="A1599" s="847"/>
      <c r="B1599" s="47" t="s">
        <v>5152</v>
      </c>
      <c r="C1599" s="48"/>
      <c r="F1599" s="78" t="s">
        <v>1697</v>
      </c>
      <c r="G1599" s="316">
        <v>800</v>
      </c>
      <c r="H1599" s="26" t="s">
        <v>3428</v>
      </c>
    </row>
    <row r="1600" spans="1:8" hidden="1">
      <c r="A1600" s="847"/>
      <c r="B1600" s="47" t="s">
        <v>6262</v>
      </c>
      <c r="C1600" s="48"/>
      <c r="D1600" s="26" t="s">
        <v>6853</v>
      </c>
      <c r="F1600" s="78" t="s">
        <v>1698</v>
      </c>
      <c r="G1600" s="68">
        <f>G1598/G1599</f>
        <v>18.75</v>
      </c>
    </row>
    <row r="1601" spans="1:9" hidden="1">
      <c r="A1601" s="847"/>
      <c r="B1601" s="78"/>
      <c r="C1601" s="48"/>
    </row>
    <row r="1602" spans="1:9" hidden="1">
      <c r="A1602" s="847"/>
      <c r="B1602" s="78"/>
      <c r="C1602" s="48"/>
    </row>
    <row r="1603" spans="1:9" hidden="1">
      <c r="A1603" s="847"/>
      <c r="B1603" s="78"/>
      <c r="C1603" s="48"/>
    </row>
    <row r="1604" spans="1:9" hidden="1">
      <c r="A1604" s="847"/>
      <c r="B1604" s="78"/>
      <c r="C1604" s="48"/>
    </row>
    <row r="1605" spans="1:9">
      <c r="A1605" s="847"/>
      <c r="B1605" s="78"/>
      <c r="C1605" s="48"/>
    </row>
    <row r="1606" spans="1:9">
      <c r="A1606" s="847"/>
      <c r="B1606" s="78"/>
      <c r="C1606" s="48"/>
    </row>
    <row r="1607" spans="1:9">
      <c r="A1607" s="847" t="s">
        <v>1907</v>
      </c>
      <c r="B1607" s="78"/>
      <c r="C1607" s="349" t="s">
        <v>2367</v>
      </c>
      <c r="E1607" s="171" t="s">
        <v>297</v>
      </c>
      <c r="F1607" s="246">
        <v>97</v>
      </c>
      <c r="G1607" s="26" t="s">
        <v>3477</v>
      </c>
    </row>
    <row r="1608" spans="1:9">
      <c r="A1608" s="847"/>
      <c r="B1608" s="79" t="s">
        <v>2368</v>
      </c>
      <c r="C1608" s="48"/>
    </row>
    <row r="1609" spans="1:9">
      <c r="A1609" s="847"/>
      <c r="B1609" s="95" t="s">
        <v>2369</v>
      </c>
      <c r="C1609" s="350" t="s">
        <v>6374</v>
      </c>
      <c r="D1609" s="95" t="s">
        <v>2370</v>
      </c>
      <c r="E1609" s="95" t="s">
        <v>1166</v>
      </c>
      <c r="F1609" s="95" t="s">
        <v>2371</v>
      </c>
      <c r="G1609" s="95" t="s">
        <v>2372</v>
      </c>
    </row>
    <row r="1610" spans="1:9">
      <c r="A1610" s="847"/>
      <c r="B1610" s="114"/>
      <c r="C1610" s="351"/>
      <c r="D1610" s="114"/>
      <c r="E1610" s="114"/>
      <c r="F1610" s="114" t="s">
        <v>3485</v>
      </c>
      <c r="G1610" s="114" t="s">
        <v>3485</v>
      </c>
    </row>
    <row r="1611" spans="1:9">
      <c r="A1611" s="847"/>
      <c r="B1611" s="95">
        <v>1</v>
      </c>
      <c r="C1611" s="91" t="s">
        <v>144</v>
      </c>
      <c r="D1611" s="95" t="s">
        <v>3483</v>
      </c>
      <c r="E1611" s="190">
        <v>121</v>
      </c>
      <c r="F1611" s="190">
        <f>G1587</f>
        <v>150</v>
      </c>
      <c r="G1611" s="190">
        <f>E1611*F1611</f>
        <v>18150</v>
      </c>
    </row>
    <row r="1612" spans="1:9" ht="36">
      <c r="A1612" s="847"/>
      <c r="B1612" s="105">
        <v>2</v>
      </c>
      <c r="C1612" s="91" t="s">
        <v>2507</v>
      </c>
      <c r="D1612" s="105" t="s">
        <v>3483</v>
      </c>
      <c r="E1612" s="190">
        <v>121</v>
      </c>
      <c r="F1612" s="190">
        <f>G1590</f>
        <v>6.36</v>
      </c>
      <c r="G1612" s="190">
        <f>E1612*F1612</f>
        <v>769.56000000000006</v>
      </c>
      <c r="I1612" s="375"/>
    </row>
    <row r="1613" spans="1:9" ht="36">
      <c r="A1613" s="847"/>
      <c r="B1613" s="105">
        <v>3</v>
      </c>
      <c r="C1613" s="91" t="s">
        <v>2509</v>
      </c>
      <c r="D1613" s="105" t="s">
        <v>3483</v>
      </c>
      <c r="E1613" s="190">
        <v>3</v>
      </c>
      <c r="F1613" s="190">
        <f>G1593</f>
        <v>26.853333333333332</v>
      </c>
      <c r="G1613" s="190">
        <f>E1613*F1613</f>
        <v>80.56</v>
      </c>
      <c r="I1613" s="367"/>
    </row>
    <row r="1614" spans="1:9">
      <c r="A1614" s="847"/>
      <c r="B1614" s="152"/>
      <c r="C1614" s="91" t="s">
        <v>1583</v>
      </c>
      <c r="D1614" s="224">
        <v>0.1</v>
      </c>
      <c r="E1614" s="190"/>
      <c r="F1614" s="190"/>
      <c r="G1614" s="190">
        <f>G1613*D1614</f>
        <v>8.0560000000000009</v>
      </c>
      <c r="I1614" s="367"/>
    </row>
    <row r="1615" spans="1:9" ht="36">
      <c r="A1615" s="847"/>
      <c r="B1615" s="105">
        <v>4</v>
      </c>
      <c r="C1615" s="91" t="s">
        <v>129</v>
      </c>
      <c r="D1615" s="105" t="s">
        <v>2374</v>
      </c>
      <c r="E1615" s="190">
        <v>12</v>
      </c>
      <c r="F1615" s="190">
        <f>G1600</f>
        <v>18.75</v>
      </c>
      <c r="G1615" s="190">
        <f t="shared" ref="G1615:G1625" si="17">E1615*F1615</f>
        <v>225</v>
      </c>
      <c r="I1615" s="367"/>
    </row>
    <row r="1616" spans="1:9" ht="36">
      <c r="A1616" s="847"/>
      <c r="B1616" s="152"/>
      <c r="C1616" s="91" t="s">
        <v>130</v>
      </c>
      <c r="D1616" s="105" t="s">
        <v>2374</v>
      </c>
      <c r="E1616" s="190">
        <v>0.5</v>
      </c>
      <c r="F1616" s="190">
        <f>G1597</f>
        <v>11.5625</v>
      </c>
      <c r="G1616" s="190">
        <f t="shared" si="17"/>
        <v>5.78125</v>
      </c>
      <c r="I1616" s="367"/>
    </row>
    <row r="1617" spans="1:9">
      <c r="A1617" s="847"/>
      <c r="B1617" s="105">
        <v>5</v>
      </c>
      <c r="C1617" s="91" t="s">
        <v>147</v>
      </c>
      <c r="D1617" s="105" t="s">
        <v>3478</v>
      </c>
      <c r="E1617" s="190">
        <v>5</v>
      </c>
      <c r="F1617" s="190">
        <f>'BASIC DATA'!$D$53</f>
        <v>73</v>
      </c>
      <c r="G1617" s="190">
        <f t="shared" si="17"/>
        <v>365</v>
      </c>
      <c r="I1617" s="367"/>
    </row>
    <row r="1618" spans="1:9">
      <c r="A1618" s="847"/>
      <c r="B1618" s="105">
        <v>6</v>
      </c>
      <c r="C1618" s="91" t="s">
        <v>148</v>
      </c>
      <c r="D1618" s="105" t="s">
        <v>3478</v>
      </c>
      <c r="E1618" s="190">
        <v>19</v>
      </c>
      <c r="F1618" s="190">
        <f>'BASIC DATA'!$D$52</f>
        <v>48</v>
      </c>
      <c r="G1618" s="190">
        <f t="shared" si="17"/>
        <v>912</v>
      </c>
      <c r="I1618" s="367"/>
    </row>
    <row r="1619" spans="1:9">
      <c r="A1619" s="847"/>
      <c r="B1619" s="105">
        <v>7</v>
      </c>
      <c r="C1619" s="91" t="s">
        <v>149</v>
      </c>
      <c r="D1619" s="105" t="s">
        <v>3482</v>
      </c>
      <c r="E1619" s="190">
        <v>4.5</v>
      </c>
      <c r="F1619" s="190">
        <f>'BASIC DATA'!$D$347</f>
        <v>57.7</v>
      </c>
      <c r="G1619" s="190">
        <f t="shared" si="17"/>
        <v>259.65000000000003</v>
      </c>
      <c r="I1619" s="367"/>
    </row>
    <row r="1620" spans="1:9" ht="36">
      <c r="A1620" s="847"/>
      <c r="B1620" s="105">
        <v>8</v>
      </c>
      <c r="C1620" s="91" t="s">
        <v>135</v>
      </c>
      <c r="D1620" s="105" t="s">
        <v>3478</v>
      </c>
      <c r="E1620" s="190">
        <v>1</v>
      </c>
      <c r="F1620" s="190">
        <f>'BASIC DATA'!$D$54</f>
        <v>70</v>
      </c>
      <c r="G1620" s="190">
        <f t="shared" si="17"/>
        <v>70</v>
      </c>
      <c r="I1620" s="367"/>
    </row>
    <row r="1621" spans="1:9">
      <c r="A1621" s="847"/>
      <c r="B1621" s="105">
        <v>9</v>
      </c>
      <c r="C1621" s="91" t="s">
        <v>2058</v>
      </c>
      <c r="D1621" s="105" t="s">
        <v>2059</v>
      </c>
      <c r="E1621" s="190">
        <v>5</v>
      </c>
      <c r="F1621" s="190">
        <f>'BASIC DATA'!$D$50</f>
        <v>7</v>
      </c>
      <c r="G1621" s="190">
        <f t="shared" si="17"/>
        <v>35</v>
      </c>
      <c r="I1621" s="367"/>
    </row>
    <row r="1622" spans="1:9">
      <c r="A1622" s="847"/>
      <c r="B1622" s="105">
        <v>10</v>
      </c>
      <c r="C1622" s="91" t="s">
        <v>134</v>
      </c>
      <c r="D1622" s="105" t="s">
        <v>3483</v>
      </c>
      <c r="E1622" s="190">
        <v>70</v>
      </c>
      <c r="F1622" s="190">
        <f>'BASIC DATA'!$D$47</f>
        <v>40</v>
      </c>
      <c r="G1622" s="190">
        <f t="shared" si="17"/>
        <v>2800</v>
      </c>
      <c r="I1622" s="367"/>
    </row>
    <row r="1623" spans="1:9">
      <c r="A1623" s="847"/>
      <c r="B1623" s="105">
        <v>11</v>
      </c>
      <c r="C1623" s="91" t="s">
        <v>132</v>
      </c>
      <c r="D1623" s="105" t="s">
        <v>2059</v>
      </c>
      <c r="E1623" s="190">
        <v>4</v>
      </c>
      <c r="F1623" s="190">
        <f>'BASIC DATA'!$D$45</f>
        <v>19</v>
      </c>
      <c r="G1623" s="190">
        <f t="shared" si="17"/>
        <v>76</v>
      </c>
      <c r="I1623" s="367"/>
    </row>
    <row r="1624" spans="1:9">
      <c r="A1624" s="847"/>
      <c r="B1624" s="105">
        <v>12</v>
      </c>
      <c r="C1624" s="91" t="s">
        <v>6094</v>
      </c>
      <c r="D1624" s="105" t="s">
        <v>3483</v>
      </c>
      <c r="E1624" s="190">
        <v>10</v>
      </c>
      <c r="F1624" s="190">
        <f>'BASIC DATA'!$D$46</f>
        <v>9</v>
      </c>
      <c r="G1624" s="190">
        <f t="shared" si="17"/>
        <v>90</v>
      </c>
      <c r="I1624" s="367"/>
    </row>
    <row r="1625" spans="1:9">
      <c r="A1625" s="847"/>
      <c r="B1625" s="114">
        <v>13</v>
      </c>
      <c r="C1625" s="91" t="s">
        <v>2373</v>
      </c>
      <c r="D1625" s="114" t="s">
        <v>2173</v>
      </c>
      <c r="E1625" s="190">
        <v>2</v>
      </c>
      <c r="F1625" s="190">
        <f>'BASIC DATA'!$D$359</f>
        <v>30</v>
      </c>
      <c r="G1625" s="190">
        <f t="shared" si="17"/>
        <v>60</v>
      </c>
      <c r="I1625" s="367"/>
    </row>
    <row r="1626" spans="1:9">
      <c r="A1626" s="847"/>
      <c r="B1626" s="92"/>
      <c r="C1626" s="353" t="s">
        <v>2376</v>
      </c>
      <c r="D1626" s="159"/>
      <c r="E1626" s="238"/>
      <c r="F1626" s="236" t="s">
        <v>1698</v>
      </c>
      <c r="G1626" s="318">
        <f>SUM(G1611:G1625)</f>
        <v>23906.607250000005</v>
      </c>
    </row>
    <row r="1627" spans="1:9">
      <c r="A1627" s="847"/>
      <c r="B1627" s="78"/>
      <c r="C1627" s="48"/>
    </row>
    <row r="1628" spans="1:9">
      <c r="A1628" s="847"/>
      <c r="B1628" s="79" t="s">
        <v>2377</v>
      </c>
      <c r="C1628" s="48"/>
    </row>
    <row r="1629" spans="1:9">
      <c r="A1629" s="847"/>
      <c r="B1629" s="95" t="s">
        <v>2369</v>
      </c>
      <c r="C1629" s="350" t="s">
        <v>2378</v>
      </c>
      <c r="D1629" s="95" t="s">
        <v>2370</v>
      </c>
      <c r="E1629" s="95" t="s">
        <v>1166</v>
      </c>
      <c r="F1629" s="95" t="s">
        <v>2371</v>
      </c>
      <c r="G1629" s="95" t="s">
        <v>2372</v>
      </c>
    </row>
    <row r="1630" spans="1:9">
      <c r="A1630" s="847"/>
      <c r="B1630" s="114"/>
      <c r="C1630" s="351"/>
      <c r="D1630" s="114"/>
      <c r="E1630" s="114"/>
      <c r="F1630" s="114" t="s">
        <v>3485</v>
      </c>
      <c r="G1630" s="114" t="s">
        <v>3485</v>
      </c>
    </row>
    <row r="1631" spans="1:9">
      <c r="A1631" s="847"/>
      <c r="B1631" s="95">
        <v>1</v>
      </c>
      <c r="C1631" s="355" t="s">
        <v>151</v>
      </c>
      <c r="D1631" s="95" t="s">
        <v>2374</v>
      </c>
      <c r="E1631" s="220">
        <v>6.24</v>
      </c>
      <c r="F1631" s="190">
        <f>'HIRE CHARGES'!$D$545</f>
        <v>446.7</v>
      </c>
      <c r="G1631" s="190">
        <f t="shared" ref="G1631:G1642" si="18">E1631*F1631</f>
        <v>2787.4079999999999</v>
      </c>
      <c r="I1631" s="75"/>
    </row>
    <row r="1632" spans="1:9">
      <c r="A1632" s="847"/>
      <c r="B1632" s="152"/>
      <c r="C1632" s="355" t="s">
        <v>2379</v>
      </c>
      <c r="D1632" s="105" t="s">
        <v>2374</v>
      </c>
      <c r="E1632" s="220">
        <v>6.24</v>
      </c>
      <c r="F1632" s="190">
        <f>'HIRE CHARGES'!$E$545</f>
        <v>299.89999999999998</v>
      </c>
      <c r="G1632" s="190">
        <f t="shared" si="18"/>
        <v>1871.376</v>
      </c>
      <c r="I1632" s="75"/>
    </row>
    <row r="1633" spans="1:9">
      <c r="A1633" s="847"/>
      <c r="B1633" s="105">
        <v>2</v>
      </c>
      <c r="C1633" s="355" t="s">
        <v>298</v>
      </c>
      <c r="D1633" s="105" t="s">
        <v>2374</v>
      </c>
      <c r="E1633" s="220">
        <v>1.56</v>
      </c>
      <c r="F1633" s="190">
        <f>'HIRE CHARGES'!$D$543</f>
        <v>1706.6</v>
      </c>
      <c r="G1633" s="190">
        <f t="shared" si="18"/>
        <v>2662.2959999999998</v>
      </c>
      <c r="I1633" s="75"/>
    </row>
    <row r="1634" spans="1:9">
      <c r="A1634" s="847"/>
      <c r="B1634" s="152"/>
      <c r="C1634" s="355" t="s">
        <v>2379</v>
      </c>
      <c r="D1634" s="105" t="s">
        <v>2374</v>
      </c>
      <c r="E1634" s="220">
        <v>1.56</v>
      </c>
      <c r="F1634" s="190">
        <f>'HIRE CHARGES'!$E$543</f>
        <v>872.7</v>
      </c>
      <c r="G1634" s="190">
        <f t="shared" si="18"/>
        <v>1361.412</v>
      </c>
      <c r="I1634" s="75"/>
    </row>
    <row r="1635" spans="1:9">
      <c r="A1635" s="847"/>
      <c r="B1635" s="105">
        <v>3</v>
      </c>
      <c r="C1635" s="355" t="s">
        <v>152</v>
      </c>
      <c r="D1635" s="105" t="s">
        <v>2374</v>
      </c>
      <c r="E1635" s="220">
        <v>0.5</v>
      </c>
      <c r="F1635" s="214">
        <f>'HIRE CHARGES'!$D$499</f>
        <v>1715.5</v>
      </c>
      <c r="G1635" s="190">
        <f t="shared" si="18"/>
        <v>857.75</v>
      </c>
      <c r="I1635" s="75"/>
    </row>
    <row r="1636" spans="1:9">
      <c r="A1636" s="847"/>
      <c r="B1636" s="152"/>
      <c r="C1636" s="355" t="s">
        <v>2379</v>
      </c>
      <c r="D1636" s="105" t="s">
        <v>2374</v>
      </c>
      <c r="E1636" s="220">
        <v>0.5</v>
      </c>
      <c r="F1636" s="214">
        <f>'HIRE CHARGES'!$E$499</f>
        <v>610.5</v>
      </c>
      <c r="G1636" s="190">
        <f t="shared" si="18"/>
        <v>305.25</v>
      </c>
      <c r="I1636" s="75"/>
    </row>
    <row r="1637" spans="1:9" ht="36">
      <c r="A1637" s="847"/>
      <c r="B1637" s="105">
        <v>4</v>
      </c>
      <c r="C1637" s="355" t="s">
        <v>2062</v>
      </c>
      <c r="D1637" s="105" t="s">
        <v>2374</v>
      </c>
      <c r="E1637" s="220">
        <v>13.45</v>
      </c>
      <c r="F1637" s="214">
        <f>'HIRE CHARGES'!$D$496</f>
        <v>275.60000000000002</v>
      </c>
      <c r="G1637" s="190">
        <f t="shared" si="18"/>
        <v>3706.82</v>
      </c>
      <c r="I1637" s="75"/>
    </row>
    <row r="1638" spans="1:9">
      <c r="A1638" s="847"/>
      <c r="B1638" s="152"/>
      <c r="C1638" s="355" t="s">
        <v>2379</v>
      </c>
      <c r="D1638" s="105" t="s">
        <v>2374</v>
      </c>
      <c r="E1638" s="220">
        <v>13.45</v>
      </c>
      <c r="F1638" s="214">
        <f>'HIRE CHARGES'!$E$496</f>
        <v>892.5</v>
      </c>
      <c r="G1638" s="190">
        <f t="shared" si="18"/>
        <v>12004.125</v>
      </c>
      <c r="I1638" s="75"/>
    </row>
    <row r="1639" spans="1:9">
      <c r="A1639" s="847"/>
      <c r="B1639" s="105">
        <v>5</v>
      </c>
      <c r="C1639" s="355" t="s">
        <v>258</v>
      </c>
      <c r="D1639" s="105" t="s">
        <v>2374</v>
      </c>
      <c r="E1639" s="220">
        <v>13.2</v>
      </c>
      <c r="F1639" s="214">
        <f>'HIRE CHARGES'!$D$554</f>
        <v>188.5</v>
      </c>
      <c r="G1639" s="190">
        <f t="shared" si="18"/>
        <v>2488.1999999999998</v>
      </c>
      <c r="I1639" s="75"/>
    </row>
    <row r="1640" spans="1:9">
      <c r="A1640" s="847"/>
      <c r="B1640" s="105"/>
      <c r="C1640" s="355" t="s">
        <v>2379</v>
      </c>
      <c r="D1640" s="105" t="s">
        <v>2374</v>
      </c>
      <c r="E1640" s="220">
        <v>13.2</v>
      </c>
      <c r="F1640" s="214">
        <f>'HIRE CHARGES'!$E$554</f>
        <v>0</v>
      </c>
      <c r="G1640" s="190">
        <f t="shared" si="18"/>
        <v>0</v>
      </c>
      <c r="I1640" s="75"/>
    </row>
    <row r="1641" spans="1:9">
      <c r="A1641" s="847"/>
      <c r="B1641" s="105">
        <v>6</v>
      </c>
      <c r="C1641" s="355" t="s">
        <v>6243</v>
      </c>
      <c r="D1641" s="105" t="s">
        <v>2374</v>
      </c>
      <c r="E1641" s="220">
        <v>0.5</v>
      </c>
      <c r="F1641" s="214">
        <f>'HIRE CHARGES'!$D$530</f>
        <v>19.8</v>
      </c>
      <c r="G1641" s="190">
        <f t="shared" si="18"/>
        <v>9.9</v>
      </c>
      <c r="I1641" s="75"/>
    </row>
    <row r="1642" spans="1:9">
      <c r="A1642" s="847"/>
      <c r="B1642" s="114"/>
      <c r="C1642" s="355" t="s">
        <v>2379</v>
      </c>
      <c r="D1642" s="105" t="s">
        <v>2374</v>
      </c>
      <c r="E1642" s="220">
        <v>0.5</v>
      </c>
      <c r="F1642" s="214">
        <f>'HIRE CHARGES'!$E$530</f>
        <v>0</v>
      </c>
      <c r="G1642" s="190">
        <f t="shared" si="18"/>
        <v>0</v>
      </c>
      <c r="I1642" s="75"/>
    </row>
    <row r="1643" spans="1:9">
      <c r="A1643" s="847"/>
      <c r="B1643" s="176"/>
      <c r="C1643" s="357" t="s">
        <v>2380</v>
      </c>
      <c r="D1643" s="174"/>
      <c r="E1643" s="192"/>
      <c r="F1643" s="236" t="s">
        <v>1698</v>
      </c>
      <c r="G1643" s="354">
        <f>SUM(G1631:G1642)</f>
        <v>28054.537</v>
      </c>
    </row>
    <row r="1644" spans="1:9">
      <c r="A1644" s="847"/>
      <c r="B1644" s="78"/>
      <c r="C1644" s="48"/>
    </row>
    <row r="1645" spans="1:9">
      <c r="A1645" s="847"/>
      <c r="B1645" s="79" t="s">
        <v>2381</v>
      </c>
      <c r="C1645" s="48"/>
    </row>
    <row r="1646" spans="1:9">
      <c r="A1646" s="847"/>
      <c r="B1646" s="95" t="s">
        <v>2369</v>
      </c>
      <c r="C1646" s="350" t="s">
        <v>2378</v>
      </c>
      <c r="D1646" s="95" t="s">
        <v>2370</v>
      </c>
      <c r="E1646" s="95" t="s">
        <v>1166</v>
      </c>
      <c r="F1646" s="95" t="s">
        <v>2371</v>
      </c>
      <c r="G1646" s="95" t="s">
        <v>2372</v>
      </c>
    </row>
    <row r="1647" spans="1:9">
      <c r="A1647" s="847"/>
      <c r="B1647" s="114"/>
      <c r="C1647" s="351"/>
      <c r="D1647" s="105"/>
      <c r="E1647" s="114"/>
      <c r="F1647" s="114" t="s">
        <v>3485</v>
      </c>
      <c r="G1647" s="114" t="s">
        <v>3485</v>
      </c>
    </row>
    <row r="1648" spans="1:9">
      <c r="A1648" s="847"/>
      <c r="B1648" s="105">
        <v>1</v>
      </c>
      <c r="C1648" s="86" t="s">
        <v>301</v>
      </c>
      <c r="D1648" s="95" t="s">
        <v>2374</v>
      </c>
      <c r="E1648" s="207">
        <v>5.24</v>
      </c>
      <c r="F1648" s="190">
        <f>'HIRE CHARGES'!$F$545</f>
        <v>177.5</v>
      </c>
      <c r="G1648" s="190">
        <f t="shared" ref="G1648:G1659" si="19">E1648*F1648</f>
        <v>930.1</v>
      </c>
      <c r="I1648" s="75"/>
    </row>
    <row r="1649" spans="1:9">
      <c r="A1649" s="847"/>
      <c r="B1649" s="105">
        <v>2</v>
      </c>
      <c r="C1649" s="86" t="s">
        <v>300</v>
      </c>
      <c r="D1649" s="105" t="s">
        <v>2374</v>
      </c>
      <c r="E1649" s="207">
        <v>1.56</v>
      </c>
      <c r="F1649" s="190">
        <f>'HIRE CHARGES'!$F$543</f>
        <v>236.6</v>
      </c>
      <c r="G1649" s="190">
        <f t="shared" si="19"/>
        <v>369.096</v>
      </c>
      <c r="I1649" s="75"/>
    </row>
    <row r="1650" spans="1:9">
      <c r="A1650" s="847"/>
      <c r="B1650" s="105">
        <v>3</v>
      </c>
      <c r="C1650" s="86" t="s">
        <v>2870</v>
      </c>
      <c r="D1650" s="105" t="s">
        <v>2374</v>
      </c>
      <c r="E1650" s="207">
        <v>0.5</v>
      </c>
      <c r="F1650" s="190">
        <f>'HIRE CHARGES'!$F$499</f>
        <v>236.6</v>
      </c>
      <c r="G1650" s="190">
        <f t="shared" si="19"/>
        <v>118.3</v>
      </c>
      <c r="I1650" s="75"/>
    </row>
    <row r="1651" spans="1:9">
      <c r="A1651" s="847"/>
      <c r="B1651" s="105">
        <v>4</v>
      </c>
      <c r="C1651" s="86" t="s">
        <v>4606</v>
      </c>
      <c r="D1651" s="105" t="s">
        <v>2374</v>
      </c>
      <c r="E1651" s="207">
        <v>13.45</v>
      </c>
      <c r="F1651" s="190">
        <f>'HIRE CHARGES'!$F$496</f>
        <v>210.9</v>
      </c>
      <c r="G1651" s="190">
        <f t="shared" si="19"/>
        <v>2836.605</v>
      </c>
      <c r="I1651" s="75"/>
    </row>
    <row r="1652" spans="1:9">
      <c r="A1652" s="847"/>
      <c r="B1652" s="105">
        <v>5</v>
      </c>
      <c r="C1652" s="86" t="s">
        <v>153</v>
      </c>
      <c r="D1652" s="105" t="s">
        <v>2374</v>
      </c>
      <c r="E1652" s="207">
        <v>13.45</v>
      </c>
      <c r="F1652" s="190">
        <f>'HIRE CHARGES'!$F$554</f>
        <v>283.89999999999998</v>
      </c>
      <c r="G1652" s="190">
        <f t="shared" si="19"/>
        <v>3818.4549999999995</v>
      </c>
      <c r="I1652" s="75"/>
    </row>
    <row r="1653" spans="1:9">
      <c r="A1653" s="847"/>
      <c r="B1653" s="105">
        <v>6</v>
      </c>
      <c r="C1653" s="86" t="s">
        <v>4607</v>
      </c>
      <c r="D1653" s="105" t="s">
        <v>2374</v>
      </c>
      <c r="E1653" s="207">
        <v>0.5</v>
      </c>
      <c r="F1653" s="190">
        <f>'HIRE CHARGES'!$F$530</f>
        <v>329.6</v>
      </c>
      <c r="G1653" s="190">
        <f t="shared" si="19"/>
        <v>164.8</v>
      </c>
      <c r="I1653" s="75"/>
    </row>
    <row r="1654" spans="1:9">
      <c r="A1654" s="847"/>
      <c r="B1654" s="105">
        <v>7</v>
      </c>
      <c r="C1654" s="86" t="s">
        <v>4206</v>
      </c>
      <c r="D1654" s="105" t="s">
        <v>1172</v>
      </c>
      <c r="E1654" s="207">
        <v>0.5</v>
      </c>
      <c r="F1654" s="190">
        <f>'BASIC DATA'!$C$473</f>
        <v>450</v>
      </c>
      <c r="G1654" s="190">
        <f t="shared" si="19"/>
        <v>225</v>
      </c>
      <c r="I1654" s="75"/>
    </row>
    <row r="1655" spans="1:9">
      <c r="A1655" s="847"/>
      <c r="B1655" s="105">
        <v>8</v>
      </c>
      <c r="C1655" s="86" t="s">
        <v>4608</v>
      </c>
      <c r="D1655" s="105" t="s">
        <v>1172</v>
      </c>
      <c r="E1655" s="207">
        <v>0.5</v>
      </c>
      <c r="F1655" s="190">
        <f>'BASIC DATA'!$C$466</f>
        <v>510</v>
      </c>
      <c r="G1655" s="190">
        <f t="shared" si="19"/>
        <v>255</v>
      </c>
      <c r="I1655" s="75"/>
    </row>
    <row r="1656" spans="1:9">
      <c r="A1656" s="847"/>
      <c r="B1656" s="105">
        <v>9</v>
      </c>
      <c r="C1656" s="86" t="s">
        <v>4609</v>
      </c>
      <c r="D1656" s="105" t="s">
        <v>1172</v>
      </c>
      <c r="E1656" s="207">
        <v>0.5</v>
      </c>
      <c r="F1656" s="190">
        <f>'BASIC DATA'!$C$520</f>
        <v>400</v>
      </c>
      <c r="G1656" s="190">
        <f t="shared" si="19"/>
        <v>200</v>
      </c>
      <c r="I1656" s="75"/>
    </row>
    <row r="1657" spans="1:9">
      <c r="A1657" s="847"/>
      <c r="B1657" s="105">
        <v>10</v>
      </c>
      <c r="C1657" s="86" t="s">
        <v>1190</v>
      </c>
      <c r="D1657" s="105" t="s">
        <v>1172</v>
      </c>
      <c r="E1657" s="207">
        <v>1</v>
      </c>
      <c r="F1657" s="190">
        <f>'BASIC DATA'!$C$546</f>
        <v>400</v>
      </c>
      <c r="G1657" s="190">
        <f t="shared" si="19"/>
        <v>400</v>
      </c>
      <c r="I1657" s="75"/>
    </row>
    <row r="1658" spans="1:9">
      <c r="A1658" s="847"/>
      <c r="B1658" s="105">
        <v>11</v>
      </c>
      <c r="C1658" s="86" t="s">
        <v>5610</v>
      </c>
      <c r="D1658" s="105" t="s">
        <v>1172</v>
      </c>
      <c r="E1658" s="207">
        <v>1</v>
      </c>
      <c r="F1658" s="190">
        <f>'BASIC DATA'!$C$545</f>
        <v>400</v>
      </c>
      <c r="G1658" s="190">
        <f t="shared" si="19"/>
        <v>400</v>
      </c>
      <c r="I1658" s="75"/>
    </row>
    <row r="1659" spans="1:9">
      <c r="A1659" s="847"/>
      <c r="B1659" s="105">
        <v>12</v>
      </c>
      <c r="C1659" s="86" t="s">
        <v>2697</v>
      </c>
      <c r="D1659" s="105" t="s">
        <v>1172</v>
      </c>
      <c r="E1659" s="207">
        <v>2</v>
      </c>
      <c r="F1659" s="190">
        <f>'BASIC DATA'!$C$552</f>
        <v>350</v>
      </c>
      <c r="G1659" s="190">
        <f t="shared" si="19"/>
        <v>700</v>
      </c>
      <c r="I1659" s="75"/>
    </row>
    <row r="1660" spans="1:9">
      <c r="A1660" s="847"/>
      <c r="B1660" s="92"/>
      <c r="C1660" s="353" t="s">
        <v>1174</v>
      </c>
      <c r="D1660" s="159"/>
      <c r="E1660" s="238"/>
      <c r="F1660" s="236" t="s">
        <v>1698</v>
      </c>
      <c r="G1660" s="318">
        <f>SUM(G1648:G1659)</f>
        <v>10417.355999999998</v>
      </c>
    </row>
    <row r="1661" spans="1:9">
      <c r="A1661" s="847"/>
      <c r="B1661" s="359" t="s">
        <v>5948</v>
      </c>
      <c r="C1661" s="48"/>
      <c r="D1661" s="31"/>
      <c r="E1661" s="85">
        <f>ROUND(G1660/F1607,1)</f>
        <v>107.4</v>
      </c>
    </row>
    <row r="1662" spans="1:9">
      <c r="A1662" s="847"/>
      <c r="B1662" s="359" t="s">
        <v>3163</v>
      </c>
      <c r="C1662" s="48"/>
      <c r="D1662" s="922">
        <f>'BASIC DATA'!$C$577</f>
        <v>0.13614999999999999</v>
      </c>
      <c r="E1662" s="85">
        <f>ROUND(E1661*D1662,1)</f>
        <v>14.6</v>
      </c>
    </row>
    <row r="1663" spans="1:9">
      <c r="A1663" s="847"/>
      <c r="B1663" s="359" t="s">
        <v>5949</v>
      </c>
      <c r="C1663" s="48"/>
      <c r="D1663" s="31"/>
      <c r="E1663" s="199">
        <f>ROUND(E1662+E1661,1)</f>
        <v>122</v>
      </c>
    </row>
    <row r="1664" spans="1:9">
      <c r="A1664" s="847"/>
      <c r="C1664" s="48"/>
    </row>
    <row r="1665" spans="1:9">
      <c r="A1665" s="847"/>
      <c r="B1665" s="162" t="s">
        <v>1175</v>
      </c>
      <c r="C1665" s="48"/>
    </row>
    <row r="1666" spans="1:9">
      <c r="A1666" s="847"/>
      <c r="B1666" s="47" t="s">
        <v>1176</v>
      </c>
      <c r="C1666" s="48"/>
      <c r="F1666" s="171" t="s">
        <v>1698</v>
      </c>
      <c r="G1666" s="68">
        <f>G1626</f>
        <v>23906.607250000005</v>
      </c>
    </row>
    <row r="1667" spans="1:9">
      <c r="A1667" s="847"/>
      <c r="B1667" s="47" t="s">
        <v>1186</v>
      </c>
      <c r="C1667" s="48"/>
      <c r="F1667" s="171" t="s">
        <v>1698</v>
      </c>
      <c r="G1667" s="68">
        <f>G1643</f>
        <v>28054.537</v>
      </c>
    </row>
    <row r="1668" spans="1:9">
      <c r="A1668" s="847"/>
      <c r="B1668" s="47" t="s">
        <v>2660</v>
      </c>
      <c r="C1668" s="48"/>
      <c r="F1668" s="171" t="s">
        <v>1698</v>
      </c>
      <c r="G1668" s="75">
        <f>G1660</f>
        <v>10417.355999999998</v>
      </c>
    </row>
    <row r="1669" spans="1:9">
      <c r="A1669" s="847"/>
      <c r="C1669" s="48"/>
      <c r="F1669" s="171" t="s">
        <v>302</v>
      </c>
      <c r="G1669" s="205">
        <f>SUM(G1666:G1668)</f>
        <v>62378.500250000005</v>
      </c>
    </row>
    <row r="1670" spans="1:9">
      <c r="A1670" s="847"/>
      <c r="B1670" s="382" t="s">
        <v>5035</v>
      </c>
      <c r="C1670" s="48"/>
      <c r="D1670" s="61"/>
      <c r="E1670" s="291">
        <f>'BASIC DATA'!$C$579</f>
        <v>5.0000000000000001E-3</v>
      </c>
      <c r="F1670" s="222" t="s">
        <v>1698</v>
      </c>
      <c r="G1670" s="321">
        <f>E1670*G1669</f>
        <v>311.89250125000001</v>
      </c>
      <c r="H1670" s="61"/>
      <c r="I1670" s="61"/>
    </row>
    <row r="1671" spans="1:9">
      <c r="A1671" s="847"/>
      <c r="B1671" s="62"/>
      <c r="C1671" s="49"/>
      <c r="D1671" s="61"/>
      <c r="E1671" s="291"/>
      <c r="F1671" s="171" t="s">
        <v>302</v>
      </c>
      <c r="G1671" s="381">
        <f>G1670+G1669</f>
        <v>62690.392751250001</v>
      </c>
      <c r="H1671" s="61"/>
      <c r="I1671" s="61"/>
    </row>
    <row r="1672" spans="1:9">
      <c r="A1672" s="847"/>
      <c r="B1672" s="1207" t="s">
        <v>5769</v>
      </c>
      <c r="C1672" s="1207"/>
      <c r="D1672" s="1207"/>
      <c r="E1672" s="922">
        <f>'BASIC DATA'!$C$577</f>
        <v>0.13614999999999999</v>
      </c>
      <c r="F1672" s="171" t="s">
        <v>1698</v>
      </c>
      <c r="G1672" s="31">
        <f>ROUND(G1671*E1672,2)</f>
        <v>8535.2999999999993</v>
      </c>
    </row>
    <row r="1673" spans="1:9">
      <c r="A1673" s="847"/>
      <c r="B1673" s="47" t="s">
        <v>1191</v>
      </c>
      <c r="C1673" s="48"/>
      <c r="D1673" s="68">
        <f>F1607</f>
        <v>97</v>
      </c>
      <c r="E1673" s="68" t="str">
        <f>G1607</f>
        <v>cum</v>
      </c>
      <c r="F1673" s="171" t="s">
        <v>1698</v>
      </c>
      <c r="G1673" s="211">
        <f>G1672+G1671</f>
        <v>71225.692751249997</v>
      </c>
    </row>
    <row r="1674" spans="1:9">
      <c r="A1674" s="847"/>
      <c r="B1674" s="79" t="s">
        <v>1584</v>
      </c>
      <c r="C1674" s="356" t="str">
        <f>E1673</f>
        <v>cum</v>
      </c>
      <c r="D1674" s="26" t="s">
        <v>5770</v>
      </c>
      <c r="F1674" s="171" t="s">
        <v>4108</v>
      </c>
      <c r="G1674" s="211">
        <f>ROUND(G1673/D1673,1)</f>
        <v>734.3</v>
      </c>
      <c r="H1674" s="171"/>
    </row>
    <row r="1675" spans="1:9">
      <c r="A1675" s="847"/>
      <c r="B1675" s="78"/>
      <c r="C1675" s="48"/>
    </row>
    <row r="1676" spans="1:9">
      <c r="A1676" s="841" t="s">
        <v>7431</v>
      </c>
      <c r="B1676" s="162" t="s">
        <v>1635</v>
      </c>
      <c r="C1676" s="48"/>
    </row>
    <row r="1677" spans="1:9">
      <c r="A1677" s="889"/>
      <c r="C1677" s="48"/>
    </row>
    <row r="1678" spans="1:9" ht="18.75">
      <c r="A1678" s="841" t="s">
        <v>7432</v>
      </c>
      <c r="B1678" s="47" t="s">
        <v>8658</v>
      </c>
      <c r="C1678" s="48"/>
    </row>
    <row r="1679" spans="1:9">
      <c r="A1679" s="889"/>
      <c r="B1679" s="47" t="s">
        <v>8659</v>
      </c>
      <c r="C1679" s="48"/>
    </row>
    <row r="1680" spans="1:9">
      <c r="A1680" s="889"/>
      <c r="B1680" s="47" t="s">
        <v>2540</v>
      </c>
      <c r="C1680" s="48"/>
    </row>
    <row r="1681" spans="1:9" ht="18.75">
      <c r="A1681" s="889"/>
      <c r="B1681" s="47" t="s">
        <v>8660</v>
      </c>
      <c r="C1681" s="48"/>
    </row>
    <row r="1682" spans="1:9">
      <c r="A1682" s="889"/>
      <c r="B1682" s="47" t="s">
        <v>9238</v>
      </c>
      <c r="C1682" s="48"/>
    </row>
    <row r="1683" spans="1:9">
      <c r="A1683" s="889"/>
      <c r="B1683" s="162" t="s">
        <v>9249</v>
      </c>
      <c r="C1683" s="48"/>
    </row>
    <row r="1684" spans="1:9">
      <c r="A1684" s="889"/>
      <c r="C1684" s="48"/>
    </row>
    <row r="1685" spans="1:9" hidden="1">
      <c r="A1685" s="889" t="s">
        <v>3984</v>
      </c>
      <c r="B1685" s="47" t="s">
        <v>602</v>
      </c>
      <c r="C1685" s="48"/>
      <c r="F1685" s="78" t="s">
        <v>1697</v>
      </c>
      <c r="G1685" s="278">
        <v>0.5</v>
      </c>
      <c r="H1685" s="26" t="s">
        <v>6901</v>
      </c>
      <c r="I1685" s="375"/>
    </row>
    <row r="1686" spans="1:9" hidden="1">
      <c r="A1686" s="889"/>
      <c r="B1686" s="47" t="s">
        <v>603</v>
      </c>
      <c r="C1686" s="48"/>
      <c r="F1686" s="78" t="s">
        <v>1697</v>
      </c>
      <c r="G1686" s="26">
        <v>0.57999999999999996</v>
      </c>
      <c r="H1686" s="26" t="s">
        <v>6901</v>
      </c>
      <c r="I1686" s="375"/>
    </row>
    <row r="1687" spans="1:9" hidden="1">
      <c r="A1687" s="889"/>
      <c r="B1687" s="47" t="s">
        <v>604</v>
      </c>
      <c r="C1687" s="48"/>
      <c r="F1687" s="78" t="s">
        <v>1697</v>
      </c>
      <c r="G1687" s="68">
        <v>5</v>
      </c>
      <c r="H1687" s="26" t="s">
        <v>6901</v>
      </c>
      <c r="I1687" s="375"/>
    </row>
    <row r="1688" spans="1:9" hidden="1">
      <c r="A1688" s="889"/>
      <c r="B1688" s="47" t="s">
        <v>2541</v>
      </c>
      <c r="C1688" s="48"/>
      <c r="F1688" s="78" t="s">
        <v>3432</v>
      </c>
      <c r="G1688" s="26">
        <v>1</v>
      </c>
      <c r="H1688" s="26" t="s">
        <v>3431</v>
      </c>
      <c r="I1688" s="30"/>
    </row>
    <row r="1689" spans="1:9" hidden="1">
      <c r="A1689" s="889"/>
      <c r="B1689" s="47" t="s">
        <v>4569</v>
      </c>
      <c r="C1689" s="48"/>
      <c r="F1689" s="78" t="s">
        <v>1697</v>
      </c>
      <c r="G1689" s="26">
        <v>12</v>
      </c>
      <c r="H1689" s="26" t="s">
        <v>3433</v>
      </c>
      <c r="I1689" s="30"/>
    </row>
    <row r="1690" spans="1:9" hidden="1">
      <c r="A1690" s="889"/>
      <c r="B1690" s="47" t="s">
        <v>5632</v>
      </c>
      <c r="C1690" s="48"/>
      <c r="F1690" s="78" t="s">
        <v>1697</v>
      </c>
      <c r="G1690" s="26">
        <v>15</v>
      </c>
      <c r="H1690" s="26" t="s">
        <v>3433</v>
      </c>
      <c r="I1690" s="30"/>
    </row>
    <row r="1691" spans="1:9" hidden="1">
      <c r="A1691" s="889"/>
      <c r="B1691" s="47" t="s">
        <v>3985</v>
      </c>
      <c r="C1691" s="48"/>
      <c r="F1691" s="78" t="s">
        <v>1697</v>
      </c>
      <c r="G1691" s="68">
        <v>2</v>
      </c>
      <c r="H1691" s="26" t="s">
        <v>1433</v>
      </c>
      <c r="I1691" s="30"/>
    </row>
    <row r="1692" spans="1:9" hidden="1">
      <c r="A1692" s="889"/>
      <c r="B1692" s="47" t="s">
        <v>4030</v>
      </c>
      <c r="C1692" s="48"/>
      <c r="F1692" s="78" t="s">
        <v>1697</v>
      </c>
      <c r="G1692" s="26">
        <v>30</v>
      </c>
      <c r="H1692" s="26" t="s">
        <v>3562</v>
      </c>
      <c r="I1692" s="30"/>
    </row>
    <row r="1693" spans="1:9" hidden="1">
      <c r="A1693" s="889"/>
      <c r="B1693" s="47" t="s">
        <v>5633</v>
      </c>
      <c r="C1693" s="48"/>
      <c r="F1693" s="78" t="s">
        <v>1697</v>
      </c>
      <c r="G1693" s="68">
        <v>0.5</v>
      </c>
      <c r="H1693" s="26" t="s">
        <v>6901</v>
      </c>
      <c r="I1693" s="30"/>
    </row>
    <row r="1694" spans="1:9" hidden="1">
      <c r="A1694" s="889"/>
      <c r="B1694" s="47" t="s">
        <v>5634</v>
      </c>
      <c r="C1694" s="48"/>
      <c r="F1694" s="78" t="s">
        <v>1697</v>
      </c>
      <c r="G1694" s="68">
        <v>4</v>
      </c>
      <c r="H1694" s="26" t="s">
        <v>6901</v>
      </c>
      <c r="I1694" s="30"/>
    </row>
    <row r="1695" spans="1:9" hidden="1">
      <c r="A1695" s="889"/>
      <c r="B1695" s="47" t="s">
        <v>5635</v>
      </c>
      <c r="C1695" s="48"/>
      <c r="F1695" s="78" t="s">
        <v>1123</v>
      </c>
      <c r="G1695" s="26">
        <v>8</v>
      </c>
      <c r="H1695" s="26" t="s">
        <v>3435</v>
      </c>
      <c r="I1695" s="30"/>
    </row>
    <row r="1696" spans="1:9" hidden="1">
      <c r="A1696" s="889"/>
      <c r="B1696" s="47" t="s">
        <v>7323</v>
      </c>
      <c r="C1696" s="48"/>
      <c r="E1696" s="26">
        <f>8*30/60</f>
        <v>4</v>
      </c>
      <c r="F1696" s="78" t="s">
        <v>1123</v>
      </c>
      <c r="G1696" s="26">
        <f>E1696</f>
        <v>4</v>
      </c>
      <c r="H1696" s="26" t="s">
        <v>1433</v>
      </c>
      <c r="I1696" s="30"/>
    </row>
    <row r="1697" spans="1:9" hidden="1">
      <c r="A1697" s="889"/>
      <c r="B1697" s="47" t="s">
        <v>1613</v>
      </c>
      <c r="C1697" s="48"/>
      <c r="I1697" s="30"/>
    </row>
    <row r="1698" spans="1:9" hidden="1">
      <c r="A1698" s="889"/>
      <c r="B1698" s="47" t="s">
        <v>3258</v>
      </c>
      <c r="C1698" s="48"/>
      <c r="F1698" s="78" t="s">
        <v>1697</v>
      </c>
      <c r="G1698" s="26">
        <f>G1696</f>
        <v>4</v>
      </c>
      <c r="H1698" s="26" t="s">
        <v>1433</v>
      </c>
      <c r="I1698" s="30"/>
    </row>
    <row r="1699" spans="1:9" hidden="1">
      <c r="A1699" s="889"/>
      <c r="B1699" s="47" t="s">
        <v>3003</v>
      </c>
      <c r="C1699" s="48"/>
      <c r="F1699" s="78" t="s">
        <v>1697</v>
      </c>
      <c r="G1699" s="68">
        <v>5</v>
      </c>
      <c r="H1699" s="26" t="s">
        <v>1433</v>
      </c>
      <c r="I1699" s="375"/>
    </row>
    <row r="1700" spans="1:9" hidden="1">
      <c r="A1700" s="889"/>
      <c r="B1700" s="47" t="s">
        <v>705</v>
      </c>
      <c r="C1700" s="48"/>
      <c r="F1700" s="78" t="s">
        <v>1697</v>
      </c>
      <c r="G1700" s="68">
        <v>2</v>
      </c>
      <c r="H1700" s="26" t="s">
        <v>1433</v>
      </c>
      <c r="I1700" s="375"/>
    </row>
    <row r="1701" spans="1:9" hidden="1">
      <c r="A1701" s="889"/>
      <c r="B1701" s="47" t="s">
        <v>6755</v>
      </c>
      <c r="C1701" s="48"/>
      <c r="F1701" s="78" t="s">
        <v>1697</v>
      </c>
      <c r="G1701" s="68">
        <v>4</v>
      </c>
      <c r="H1701" s="26" t="s">
        <v>1433</v>
      </c>
      <c r="I1701" s="375"/>
    </row>
    <row r="1702" spans="1:9" hidden="1">
      <c r="A1702" s="889"/>
      <c r="B1702" s="47" t="s">
        <v>263</v>
      </c>
      <c r="C1702" s="48"/>
      <c r="F1702" s="78" t="s">
        <v>1697</v>
      </c>
      <c r="G1702" s="173">
        <v>0.5</v>
      </c>
      <c r="H1702" s="26" t="s">
        <v>1433</v>
      </c>
      <c r="I1702" s="30"/>
    </row>
    <row r="1703" spans="1:9" hidden="1">
      <c r="A1703" s="889"/>
      <c r="C1703" s="48"/>
      <c r="F1703" s="78" t="s">
        <v>1697</v>
      </c>
      <c r="G1703" s="26">
        <f>SUM(G1698:G1702)</f>
        <v>15.5</v>
      </c>
      <c r="H1703" s="26" t="s">
        <v>1433</v>
      </c>
      <c r="I1703" s="30"/>
    </row>
    <row r="1704" spans="1:9" hidden="1">
      <c r="A1704" s="889"/>
      <c r="B1704" s="47" t="s">
        <v>1146</v>
      </c>
      <c r="C1704" s="48"/>
      <c r="F1704" s="26">
        <f>G1703/4</f>
        <v>3.875</v>
      </c>
      <c r="G1704" s="321">
        <v>4</v>
      </c>
      <c r="H1704" s="26" t="s">
        <v>3436</v>
      </c>
      <c r="I1704" s="30" t="s">
        <v>1564</v>
      </c>
    </row>
    <row r="1705" spans="1:9" hidden="1">
      <c r="A1705" s="889"/>
      <c r="B1705" s="47" t="s">
        <v>4432</v>
      </c>
      <c r="C1705" s="48"/>
      <c r="E1705" s="26">
        <f>50*4/15.5</f>
        <v>12.903225806451612</v>
      </c>
      <c r="F1705" s="78" t="s">
        <v>1697</v>
      </c>
      <c r="G1705" s="26">
        <v>12.9</v>
      </c>
      <c r="H1705" s="26" t="s">
        <v>6901</v>
      </c>
      <c r="I1705" s="30"/>
    </row>
    <row r="1706" spans="1:9" hidden="1">
      <c r="A1706" s="889"/>
      <c r="B1706" s="47" t="s">
        <v>4433</v>
      </c>
      <c r="C1706" s="48"/>
      <c r="F1706" s="78" t="s">
        <v>1123</v>
      </c>
      <c r="G1706" s="26">
        <f>4*12.9*8</f>
        <v>412.8</v>
      </c>
      <c r="H1706" s="26" t="s">
        <v>6901</v>
      </c>
      <c r="I1706" s="374"/>
    </row>
    <row r="1707" spans="1:9" hidden="1">
      <c r="A1707" s="889">
        <v>1</v>
      </c>
      <c r="B1707" s="47" t="s">
        <v>2860</v>
      </c>
      <c r="C1707" s="48"/>
    </row>
    <row r="1708" spans="1:9" hidden="1">
      <c r="A1708" s="889"/>
      <c r="B1708" s="47" t="s">
        <v>4449</v>
      </c>
      <c r="C1708" s="48"/>
    </row>
    <row r="1709" spans="1:9" hidden="1">
      <c r="A1709" s="889"/>
      <c r="B1709" s="47" t="s">
        <v>467</v>
      </c>
      <c r="C1709" s="48"/>
      <c r="F1709" s="78" t="s">
        <v>1697</v>
      </c>
      <c r="G1709" s="26">
        <f>412.8*6/1.5</f>
        <v>1651.2</v>
      </c>
      <c r="H1709" s="26" t="s">
        <v>3883</v>
      </c>
      <c r="I1709" s="47"/>
    </row>
    <row r="1710" spans="1:9" hidden="1">
      <c r="A1710" s="889"/>
      <c r="B1710" s="47" t="s">
        <v>4450</v>
      </c>
      <c r="C1710" s="48"/>
      <c r="F1710" s="78" t="s">
        <v>1697</v>
      </c>
      <c r="G1710" s="26">
        <v>0.2</v>
      </c>
      <c r="H1710" s="26" t="s">
        <v>3561</v>
      </c>
      <c r="I1710" s="47"/>
    </row>
    <row r="1711" spans="1:9" hidden="1">
      <c r="A1711" s="889"/>
      <c r="B1711" s="47" t="s">
        <v>468</v>
      </c>
      <c r="C1711" s="48"/>
      <c r="F1711" s="78" t="s">
        <v>1697</v>
      </c>
      <c r="G1711" s="26">
        <f>ROUND(1651.2*1.05*0.2,2)</f>
        <v>346.75</v>
      </c>
      <c r="H1711" s="26" t="s">
        <v>6901</v>
      </c>
      <c r="I1711" s="47"/>
    </row>
    <row r="1712" spans="1:9" hidden="1">
      <c r="A1712" s="889"/>
      <c r="B1712" s="47" t="s">
        <v>3248</v>
      </c>
      <c r="C1712" s="48"/>
      <c r="F1712" s="78" t="s">
        <v>1697</v>
      </c>
      <c r="G1712" s="26">
        <v>100</v>
      </c>
      <c r="H1712" s="26" t="s">
        <v>6901</v>
      </c>
      <c r="I1712" s="47"/>
    </row>
    <row r="1713" spans="1:9" hidden="1">
      <c r="A1713" s="889"/>
      <c r="B1713" s="47" t="s">
        <v>469</v>
      </c>
      <c r="C1713" s="48"/>
      <c r="F1713" s="78" t="s">
        <v>1697</v>
      </c>
      <c r="G1713" s="26">
        <v>3.46</v>
      </c>
      <c r="H1713" s="26" t="s">
        <v>3428</v>
      </c>
      <c r="I1713" s="47"/>
    </row>
    <row r="1714" spans="1:9" hidden="1">
      <c r="A1714" s="891"/>
      <c r="B1714" s="382" t="s">
        <v>1096</v>
      </c>
      <c r="C1714" s="49"/>
      <c r="E1714" s="61"/>
      <c r="F1714" s="62"/>
      <c r="G1714" s="61"/>
      <c r="H1714" s="61"/>
      <c r="I1714" s="382"/>
    </row>
    <row r="1715" spans="1:9" hidden="1">
      <c r="A1715" s="889"/>
      <c r="B1715" s="47" t="s">
        <v>1095</v>
      </c>
      <c r="C1715" s="48"/>
      <c r="F1715" s="26">
        <f>5/6</f>
        <v>0.83333333333333337</v>
      </c>
      <c r="G1715" s="61">
        <v>0.9</v>
      </c>
      <c r="H1715" s="26" t="s">
        <v>3428</v>
      </c>
      <c r="I1715" s="202" t="s">
        <v>1564</v>
      </c>
    </row>
    <row r="1716" spans="1:9" hidden="1">
      <c r="A1716" s="889">
        <v>2</v>
      </c>
      <c r="B1716" s="47" t="s">
        <v>6281</v>
      </c>
      <c r="C1716" s="48"/>
    </row>
    <row r="1717" spans="1:9" hidden="1">
      <c r="A1717" s="889"/>
      <c r="B1717" s="47" t="s">
        <v>4117</v>
      </c>
      <c r="C1717" s="48"/>
    </row>
    <row r="1718" spans="1:9" hidden="1">
      <c r="A1718" s="889"/>
      <c r="B1718" s="47" t="s">
        <v>1260</v>
      </c>
      <c r="C1718" s="48"/>
    </row>
    <row r="1719" spans="1:9" hidden="1">
      <c r="A1719" s="889">
        <v>3</v>
      </c>
      <c r="B1719" s="47" t="s">
        <v>5954</v>
      </c>
      <c r="C1719" s="48"/>
    </row>
    <row r="1720" spans="1:9" hidden="1">
      <c r="A1720" s="889"/>
      <c r="B1720" s="47" t="s">
        <v>5362</v>
      </c>
      <c r="C1720" s="48"/>
      <c r="F1720" s="78" t="s">
        <v>1697</v>
      </c>
      <c r="G1720" s="26">
        <f>412.8*1.2</f>
        <v>495.36</v>
      </c>
      <c r="H1720" s="26" t="s">
        <v>6901</v>
      </c>
    </row>
    <row r="1721" spans="1:9" hidden="1">
      <c r="A1721" s="889"/>
      <c r="B1721" s="47" t="s">
        <v>6514</v>
      </c>
      <c r="C1721" s="48"/>
      <c r="F1721" s="78" t="s">
        <v>1697</v>
      </c>
      <c r="G1721" s="26">
        <v>200</v>
      </c>
      <c r="H1721" s="26" t="s">
        <v>6901</v>
      </c>
    </row>
    <row r="1722" spans="1:9" hidden="1">
      <c r="A1722" s="889"/>
      <c r="B1722" s="47" t="s">
        <v>2318</v>
      </c>
      <c r="C1722" s="48"/>
      <c r="E1722" s="68">
        <f>G1720/G1721</f>
        <v>2.4767999999999999</v>
      </c>
      <c r="F1722" s="78" t="s">
        <v>1123</v>
      </c>
      <c r="G1722" s="26">
        <v>2.5</v>
      </c>
      <c r="H1722" s="26" t="s">
        <v>3428</v>
      </c>
    </row>
    <row r="1723" spans="1:9" hidden="1">
      <c r="A1723" s="891">
        <v>4</v>
      </c>
      <c r="B1723" s="382" t="s">
        <v>1746</v>
      </c>
      <c r="C1723" s="49"/>
      <c r="D1723" s="61"/>
      <c r="E1723" s="61"/>
      <c r="F1723" s="61"/>
      <c r="G1723" s="61"/>
      <c r="H1723" s="61"/>
      <c r="I1723" s="61"/>
    </row>
    <row r="1724" spans="1:9" hidden="1">
      <c r="A1724" s="891"/>
      <c r="B1724" s="382" t="s">
        <v>6794</v>
      </c>
      <c r="C1724" s="49"/>
      <c r="D1724" s="61"/>
      <c r="E1724" s="61"/>
      <c r="F1724" s="61"/>
      <c r="G1724" s="61"/>
      <c r="H1724" s="61"/>
      <c r="I1724" s="61"/>
    </row>
    <row r="1725" spans="1:9" hidden="1">
      <c r="A1725" s="891"/>
      <c r="B1725" s="382" t="s">
        <v>6795</v>
      </c>
      <c r="C1725" s="49"/>
      <c r="D1725" s="61"/>
      <c r="E1725" s="61"/>
      <c r="F1725" s="61"/>
      <c r="G1725" s="61"/>
      <c r="H1725" s="61"/>
      <c r="I1725" s="61"/>
    </row>
    <row r="1726" spans="1:9" hidden="1">
      <c r="A1726" s="891"/>
      <c r="B1726" s="382" t="s">
        <v>6796</v>
      </c>
      <c r="C1726" s="49"/>
      <c r="D1726" s="61"/>
      <c r="E1726" s="61"/>
      <c r="F1726" s="61"/>
      <c r="G1726" s="61"/>
      <c r="H1726" s="61"/>
      <c r="I1726" s="61"/>
    </row>
    <row r="1727" spans="1:9" hidden="1">
      <c r="A1727" s="891"/>
      <c r="B1727" s="382" t="s">
        <v>6797</v>
      </c>
      <c r="C1727" s="49"/>
      <c r="D1727" s="61"/>
      <c r="E1727" s="61"/>
      <c r="F1727" s="61"/>
      <c r="G1727" s="61"/>
      <c r="H1727" s="61"/>
      <c r="I1727" s="61"/>
    </row>
    <row r="1728" spans="1:9" hidden="1">
      <c r="A1728" s="891"/>
      <c r="B1728" s="382" t="s">
        <v>4765</v>
      </c>
      <c r="C1728" s="49"/>
      <c r="D1728" s="61"/>
      <c r="E1728" s="61"/>
      <c r="F1728" s="61"/>
      <c r="G1728" s="61"/>
      <c r="H1728" s="61"/>
      <c r="I1728" s="61"/>
    </row>
    <row r="1729" spans="1:9" hidden="1">
      <c r="A1729" s="891"/>
      <c r="B1729" s="382" t="s">
        <v>1097</v>
      </c>
      <c r="C1729" s="49"/>
      <c r="D1729" s="61"/>
      <c r="E1729" s="61"/>
      <c r="F1729" s="61"/>
      <c r="G1729" s="61"/>
      <c r="H1729" s="61"/>
      <c r="I1729" s="61"/>
    </row>
    <row r="1730" spans="1:9" hidden="1">
      <c r="A1730" s="889">
        <v>5</v>
      </c>
      <c r="B1730" s="47" t="s">
        <v>6798</v>
      </c>
      <c r="C1730" s="48"/>
    </row>
    <row r="1731" spans="1:9" hidden="1">
      <c r="A1731" s="889"/>
      <c r="B1731" s="47" t="s">
        <v>3647</v>
      </c>
      <c r="C1731" s="48"/>
    </row>
    <row r="1732" spans="1:9" hidden="1">
      <c r="A1732" s="889"/>
      <c r="B1732" s="47" t="s">
        <v>9250</v>
      </c>
      <c r="C1732" s="48"/>
    </row>
    <row r="1733" spans="1:9" ht="18.75" hidden="1">
      <c r="A1733" s="889"/>
      <c r="B1733" s="47" t="s">
        <v>8661</v>
      </c>
      <c r="C1733" s="48"/>
    </row>
    <row r="1734" spans="1:9" hidden="1">
      <c r="A1734" s="889"/>
      <c r="B1734" s="47" t="s">
        <v>3650</v>
      </c>
      <c r="C1734" s="48"/>
      <c r="F1734" s="78" t="s">
        <v>1697</v>
      </c>
      <c r="G1734" s="26">
        <v>1.9</v>
      </c>
      <c r="H1734" s="26" t="s">
        <v>3561</v>
      </c>
      <c r="I1734" s="202"/>
    </row>
    <row r="1735" spans="1:9" hidden="1">
      <c r="A1735" s="889"/>
      <c r="B1735" s="47" t="s">
        <v>4995</v>
      </c>
      <c r="C1735" s="48"/>
      <c r="F1735" s="78" t="s">
        <v>1697</v>
      </c>
      <c r="G1735" s="383">
        <v>4</v>
      </c>
      <c r="H1735" s="26" t="s">
        <v>3431</v>
      </c>
      <c r="I1735" s="202"/>
    </row>
    <row r="1736" spans="1:9" hidden="1">
      <c r="A1736" s="889"/>
      <c r="B1736" s="47" t="s">
        <v>4997</v>
      </c>
      <c r="C1736" s="48"/>
      <c r="F1736" s="78" t="s">
        <v>1697</v>
      </c>
      <c r="G1736" s="26">
        <f>ROUND(0.225,2)</f>
        <v>0.23</v>
      </c>
      <c r="H1736" s="26" t="s">
        <v>3561</v>
      </c>
      <c r="I1736" s="202"/>
    </row>
    <row r="1737" spans="1:9" hidden="1">
      <c r="A1737" s="889"/>
      <c r="B1737" s="47" t="s">
        <v>1504</v>
      </c>
      <c r="C1737" s="48"/>
      <c r="F1737" s="78" t="s">
        <v>1697</v>
      </c>
      <c r="G1737" s="26">
        <v>11</v>
      </c>
      <c r="H1737" s="26" t="s">
        <v>3436</v>
      </c>
      <c r="I1737" s="358"/>
    </row>
    <row r="1738" spans="1:9" hidden="1">
      <c r="A1738" s="889"/>
      <c r="B1738" s="47" t="s">
        <v>466</v>
      </c>
      <c r="C1738" s="48"/>
      <c r="I1738" s="202"/>
    </row>
    <row r="1739" spans="1:9" hidden="1">
      <c r="A1739" s="889"/>
      <c r="B1739" s="47" t="s">
        <v>5042</v>
      </c>
      <c r="C1739" s="48"/>
      <c r="F1739" s="78" t="s">
        <v>1123</v>
      </c>
      <c r="G1739" s="26">
        <v>97.16</v>
      </c>
      <c r="H1739" s="26" t="s">
        <v>6901</v>
      </c>
      <c r="I1739" s="202"/>
    </row>
    <row r="1740" spans="1:9" hidden="1">
      <c r="A1740" s="889"/>
      <c r="B1740" s="47" t="s">
        <v>1098</v>
      </c>
      <c r="C1740" s="48"/>
      <c r="E1740" s="26">
        <f>G1720/G1739</f>
        <v>5.0983944009880613</v>
      </c>
      <c r="F1740" s="78" t="s">
        <v>1123</v>
      </c>
      <c r="G1740" s="26">
        <v>5.0999999999999996</v>
      </c>
      <c r="H1740" s="26" t="s">
        <v>3428</v>
      </c>
      <c r="I1740" s="202"/>
    </row>
    <row r="1741" spans="1:9" hidden="1">
      <c r="A1741" s="889">
        <v>6</v>
      </c>
      <c r="B1741" s="47" t="s">
        <v>1129</v>
      </c>
      <c r="C1741" s="48"/>
    </row>
    <row r="1742" spans="1:9" hidden="1">
      <c r="A1742" s="889"/>
      <c r="B1742" s="47" t="s">
        <v>5043</v>
      </c>
      <c r="C1742" s="48"/>
    </row>
    <row r="1743" spans="1:9">
      <c r="A1743" s="847"/>
      <c r="B1743" s="78"/>
      <c r="C1743" s="48"/>
    </row>
    <row r="1744" spans="1:9">
      <c r="A1744" s="889" t="s">
        <v>3984</v>
      </c>
      <c r="B1744" s="78"/>
      <c r="C1744" s="349" t="s">
        <v>2367</v>
      </c>
      <c r="E1744" s="171" t="s">
        <v>297</v>
      </c>
      <c r="F1744" s="246">
        <v>412.8</v>
      </c>
      <c r="G1744" s="26" t="s">
        <v>3477</v>
      </c>
    </row>
    <row r="1745" spans="1:9">
      <c r="A1745" s="847"/>
      <c r="B1745" s="79" t="s">
        <v>2368</v>
      </c>
      <c r="C1745" s="48"/>
    </row>
    <row r="1746" spans="1:9">
      <c r="A1746" s="847"/>
      <c r="B1746" s="95" t="s">
        <v>2369</v>
      </c>
      <c r="C1746" s="350" t="s">
        <v>6374</v>
      </c>
      <c r="D1746" s="95" t="s">
        <v>2370</v>
      </c>
      <c r="E1746" s="95" t="s">
        <v>1166</v>
      </c>
      <c r="F1746" s="95" t="s">
        <v>2371</v>
      </c>
      <c r="G1746" s="95" t="s">
        <v>2372</v>
      </c>
    </row>
    <row r="1747" spans="1:9">
      <c r="A1747" s="847"/>
      <c r="B1747" s="114"/>
      <c r="C1747" s="351"/>
      <c r="D1747" s="114"/>
      <c r="E1747" s="114"/>
      <c r="F1747" s="114" t="s">
        <v>3485</v>
      </c>
      <c r="G1747" s="114" t="s">
        <v>3485</v>
      </c>
    </row>
    <row r="1748" spans="1:9">
      <c r="A1748" s="847"/>
      <c r="B1748" s="95">
        <v>1</v>
      </c>
      <c r="C1748" s="352" t="s">
        <v>1130</v>
      </c>
      <c r="D1748" s="95"/>
      <c r="E1748" s="190">
        <v>0</v>
      </c>
      <c r="F1748" s="190">
        <v>0</v>
      </c>
      <c r="G1748" s="190">
        <f>E1748*F1748</f>
        <v>0</v>
      </c>
    </row>
    <row r="1749" spans="1:9">
      <c r="A1749" s="847"/>
      <c r="B1749" s="230"/>
      <c r="C1749" s="86"/>
      <c r="D1749" s="105"/>
      <c r="E1749" s="190">
        <v>0</v>
      </c>
      <c r="F1749" s="190">
        <v>0</v>
      </c>
      <c r="G1749" s="190">
        <f>E1749*F1749</f>
        <v>0</v>
      </c>
    </row>
    <row r="1750" spans="1:9">
      <c r="A1750" s="847"/>
      <c r="B1750" s="176"/>
      <c r="C1750" s="353" t="s">
        <v>2376</v>
      </c>
      <c r="D1750" s="159"/>
      <c r="E1750" s="238"/>
      <c r="F1750" s="236" t="s">
        <v>1698</v>
      </c>
      <c r="G1750" s="318">
        <f>SUM(G1748:G1749)</f>
        <v>0</v>
      </c>
      <c r="H1750" s="61"/>
      <c r="I1750" s="61"/>
    </row>
    <row r="1751" spans="1:9">
      <c r="A1751" s="847"/>
      <c r="B1751" s="78"/>
      <c r="C1751" s="48"/>
    </row>
    <row r="1752" spans="1:9">
      <c r="A1752" s="847"/>
      <c r="B1752" s="79" t="s">
        <v>2377</v>
      </c>
      <c r="C1752" s="48"/>
    </row>
    <row r="1753" spans="1:9">
      <c r="A1753" s="847"/>
      <c r="B1753" s="95" t="s">
        <v>2369</v>
      </c>
      <c r="C1753" s="350" t="s">
        <v>2378</v>
      </c>
      <c r="D1753" s="95" t="s">
        <v>2370</v>
      </c>
      <c r="E1753" s="95" t="s">
        <v>1166</v>
      </c>
      <c r="F1753" s="95" t="s">
        <v>2371</v>
      </c>
      <c r="G1753" s="95" t="s">
        <v>2372</v>
      </c>
    </row>
    <row r="1754" spans="1:9">
      <c r="A1754" s="847"/>
      <c r="B1754" s="114"/>
      <c r="C1754" s="351"/>
      <c r="D1754" s="114"/>
      <c r="E1754" s="114"/>
      <c r="F1754" s="114" t="s">
        <v>3485</v>
      </c>
      <c r="G1754" s="114" t="s">
        <v>3485</v>
      </c>
    </row>
    <row r="1755" spans="1:9">
      <c r="A1755" s="847"/>
      <c r="B1755" s="95">
        <v>1</v>
      </c>
      <c r="C1755" s="355" t="s">
        <v>152</v>
      </c>
      <c r="D1755" s="95" t="s">
        <v>2374</v>
      </c>
      <c r="E1755" s="220">
        <v>3.4</v>
      </c>
      <c r="F1755" s="214">
        <f>'HIRE CHARGES'!$D$499</f>
        <v>1715.5</v>
      </c>
      <c r="G1755" s="190">
        <f t="shared" ref="G1755:G1767" si="20">E1755*F1755</f>
        <v>5832.7</v>
      </c>
      <c r="I1755" s="75"/>
    </row>
    <row r="1756" spans="1:9">
      <c r="A1756" s="847"/>
      <c r="B1756" s="152"/>
      <c r="C1756" s="355" t="s">
        <v>2379</v>
      </c>
      <c r="D1756" s="105" t="s">
        <v>2374</v>
      </c>
      <c r="E1756" s="220">
        <v>3.4</v>
      </c>
      <c r="F1756" s="214">
        <f>'HIRE CHARGES'!$E$499</f>
        <v>610.5</v>
      </c>
      <c r="G1756" s="190">
        <f t="shared" si="20"/>
        <v>2075.6999999999998</v>
      </c>
      <c r="I1756" s="75"/>
    </row>
    <row r="1757" spans="1:9">
      <c r="A1757" s="847"/>
      <c r="B1757" s="105">
        <v>2</v>
      </c>
      <c r="C1757" s="355" t="s">
        <v>2951</v>
      </c>
      <c r="D1757" s="105" t="s">
        <v>2374</v>
      </c>
      <c r="E1757" s="220">
        <v>8</v>
      </c>
      <c r="F1757" s="190">
        <f>'HIRE CHARGES'!$D$542</f>
        <v>1003.1</v>
      </c>
      <c r="G1757" s="190">
        <f t="shared" si="20"/>
        <v>8024.8</v>
      </c>
      <c r="I1757" s="75"/>
    </row>
    <row r="1758" spans="1:9">
      <c r="A1758" s="847"/>
      <c r="B1758" s="152"/>
      <c r="C1758" s="355" t="s">
        <v>2379</v>
      </c>
      <c r="D1758" s="105" t="s">
        <v>2374</v>
      </c>
      <c r="E1758" s="220">
        <v>8</v>
      </c>
      <c r="F1758" s="190">
        <f>'HIRE CHARGES'!$E$542</f>
        <v>476</v>
      </c>
      <c r="G1758" s="190">
        <f t="shared" si="20"/>
        <v>3808</v>
      </c>
      <c r="I1758" s="75"/>
    </row>
    <row r="1759" spans="1:9">
      <c r="A1759" s="847"/>
      <c r="B1759" s="105">
        <v>3</v>
      </c>
      <c r="C1759" s="355" t="s">
        <v>1131</v>
      </c>
      <c r="D1759" s="105" t="s">
        <v>2374</v>
      </c>
      <c r="E1759" s="220">
        <v>32</v>
      </c>
      <c r="F1759" s="190">
        <f>'HIRE CHARGES'!$D$545</f>
        <v>446.7</v>
      </c>
      <c r="G1759" s="190">
        <f t="shared" si="20"/>
        <v>14294.4</v>
      </c>
      <c r="I1759" s="75"/>
    </row>
    <row r="1760" spans="1:9">
      <c r="A1760" s="847"/>
      <c r="B1760" s="152"/>
      <c r="C1760" s="355" t="s">
        <v>2379</v>
      </c>
      <c r="D1760" s="105" t="s">
        <v>2374</v>
      </c>
      <c r="E1760" s="220">
        <v>32</v>
      </c>
      <c r="F1760" s="190">
        <f>'HIRE CHARGES'!$E$545</f>
        <v>299.89999999999998</v>
      </c>
      <c r="G1760" s="190">
        <f t="shared" si="20"/>
        <v>9596.7999999999993</v>
      </c>
      <c r="I1760" s="75"/>
    </row>
    <row r="1761" spans="1:9">
      <c r="A1761" s="847"/>
      <c r="B1761" s="105">
        <v>4</v>
      </c>
      <c r="C1761" s="355" t="s">
        <v>1132</v>
      </c>
      <c r="D1761" s="105" t="s">
        <v>2374</v>
      </c>
      <c r="E1761" s="220">
        <v>2</v>
      </c>
      <c r="F1761" s="214">
        <f>'HIRE CHARGES'!$D$517</f>
        <v>10.199999999999999</v>
      </c>
      <c r="G1761" s="190">
        <f t="shared" si="20"/>
        <v>20.399999999999999</v>
      </c>
      <c r="I1761" s="75"/>
    </row>
    <row r="1762" spans="1:9">
      <c r="A1762" s="847"/>
      <c r="B1762" s="152"/>
      <c r="C1762" s="355" t="s">
        <v>2379</v>
      </c>
      <c r="D1762" s="105" t="s">
        <v>2374</v>
      </c>
      <c r="E1762" s="220">
        <v>2</v>
      </c>
      <c r="F1762" s="214">
        <f>'HIRE CHARGES'!$E$517</f>
        <v>79.3</v>
      </c>
      <c r="G1762" s="190">
        <f t="shared" si="20"/>
        <v>158.6</v>
      </c>
      <c r="I1762" s="75"/>
    </row>
    <row r="1763" spans="1:9">
      <c r="A1763" s="847"/>
      <c r="B1763" s="105">
        <v>5</v>
      </c>
      <c r="C1763" s="355" t="s">
        <v>6286</v>
      </c>
      <c r="D1763" s="105" t="s">
        <v>2374</v>
      </c>
      <c r="E1763" s="220">
        <v>4</v>
      </c>
      <c r="F1763" s="214">
        <f>'HIRE CHARGES'!$D$555</f>
        <v>402.5</v>
      </c>
      <c r="G1763" s="190">
        <f t="shared" si="20"/>
        <v>1610</v>
      </c>
      <c r="I1763" s="75"/>
    </row>
    <row r="1764" spans="1:9">
      <c r="A1764" s="847"/>
      <c r="B1764" s="105"/>
      <c r="C1764" s="355" t="s">
        <v>2379</v>
      </c>
      <c r="D1764" s="105" t="s">
        <v>2374</v>
      </c>
      <c r="E1764" s="220">
        <v>4</v>
      </c>
      <c r="F1764" s="214">
        <f>'HIRE CHARGES'!$E$555</f>
        <v>299.89999999999998</v>
      </c>
      <c r="G1764" s="190">
        <f t="shared" si="20"/>
        <v>1199.5999999999999</v>
      </c>
      <c r="I1764" s="75"/>
    </row>
    <row r="1765" spans="1:9">
      <c r="A1765" s="847"/>
      <c r="B1765" s="105">
        <v>6</v>
      </c>
      <c r="C1765" s="355" t="s">
        <v>9251</v>
      </c>
      <c r="D1765" s="105" t="s">
        <v>2374</v>
      </c>
      <c r="E1765" s="220">
        <v>5.0999999999999996</v>
      </c>
      <c r="F1765" s="214">
        <f>'HIRE CHARGES'!$D$553</f>
        <v>1342.2</v>
      </c>
      <c r="G1765" s="190">
        <f t="shared" si="20"/>
        <v>6845.2199999999993</v>
      </c>
      <c r="I1765" s="75"/>
    </row>
    <row r="1766" spans="1:9">
      <c r="A1766" s="847"/>
      <c r="B1766" s="152"/>
      <c r="C1766" s="355" t="s">
        <v>2379</v>
      </c>
      <c r="D1766" s="105" t="s">
        <v>2374</v>
      </c>
      <c r="E1766" s="220">
        <v>5.0999999999999996</v>
      </c>
      <c r="F1766" s="214">
        <f>'HIRE CHARGES'!$E$553</f>
        <v>1031.4000000000001</v>
      </c>
      <c r="G1766" s="190">
        <f t="shared" si="20"/>
        <v>5260.14</v>
      </c>
      <c r="I1766" s="75"/>
    </row>
    <row r="1767" spans="1:9">
      <c r="A1767" s="847"/>
      <c r="B1767" s="105">
        <v>7</v>
      </c>
      <c r="C1767" s="355" t="s">
        <v>2373</v>
      </c>
      <c r="D1767" s="105" t="s">
        <v>2173</v>
      </c>
      <c r="E1767" s="220">
        <v>5</v>
      </c>
      <c r="F1767" s="190">
        <f>'BASIC DATA'!$D$359</f>
        <v>30</v>
      </c>
      <c r="G1767" s="190">
        <f t="shared" si="20"/>
        <v>150</v>
      </c>
      <c r="I1767" s="75"/>
    </row>
    <row r="1768" spans="1:9">
      <c r="A1768" s="847"/>
      <c r="B1768" s="176"/>
      <c r="C1768" s="357" t="s">
        <v>2380</v>
      </c>
      <c r="D1768" s="174"/>
      <c r="E1768" s="192"/>
      <c r="F1768" s="236" t="s">
        <v>1698</v>
      </c>
      <c r="G1768" s="354">
        <f>SUM(G1755:G1767)</f>
        <v>58876.359999999993</v>
      </c>
      <c r="I1768" s="31"/>
    </row>
    <row r="1769" spans="1:9">
      <c r="A1769" s="847"/>
      <c r="B1769" s="78"/>
      <c r="C1769" s="48"/>
    </row>
    <row r="1770" spans="1:9">
      <c r="A1770" s="847"/>
      <c r="B1770" s="79" t="s">
        <v>2381</v>
      </c>
      <c r="C1770" s="48"/>
    </row>
    <row r="1771" spans="1:9">
      <c r="A1771" s="847"/>
      <c r="B1771" s="95" t="s">
        <v>2369</v>
      </c>
      <c r="C1771" s="350" t="s">
        <v>2378</v>
      </c>
      <c r="D1771" s="95" t="s">
        <v>2370</v>
      </c>
      <c r="E1771" s="95" t="s">
        <v>1166</v>
      </c>
      <c r="F1771" s="95" t="s">
        <v>2371</v>
      </c>
      <c r="G1771" s="95" t="s">
        <v>2372</v>
      </c>
    </row>
    <row r="1772" spans="1:9">
      <c r="A1772" s="847"/>
      <c r="B1772" s="114"/>
      <c r="C1772" s="351"/>
      <c r="D1772" s="105"/>
      <c r="E1772" s="114"/>
      <c r="F1772" s="114" t="s">
        <v>3485</v>
      </c>
      <c r="G1772" s="114" t="s">
        <v>3485</v>
      </c>
    </row>
    <row r="1773" spans="1:9">
      <c r="A1773" s="847"/>
      <c r="B1773" s="105">
        <v>1</v>
      </c>
      <c r="C1773" s="86" t="s">
        <v>2870</v>
      </c>
      <c r="D1773" s="95" t="s">
        <v>2374</v>
      </c>
      <c r="E1773" s="207">
        <v>3.4</v>
      </c>
      <c r="F1773" s="190">
        <f>'HIRE CHARGES'!$F$499</f>
        <v>236.6</v>
      </c>
      <c r="G1773" s="190">
        <f t="shared" ref="G1773:G1780" si="21">E1773*F1773</f>
        <v>804.43999999999994</v>
      </c>
      <c r="I1773" s="75"/>
    </row>
    <row r="1774" spans="1:9">
      <c r="A1774" s="847"/>
      <c r="B1774" s="105">
        <v>2</v>
      </c>
      <c r="C1774" s="86" t="s">
        <v>300</v>
      </c>
      <c r="D1774" s="105" t="s">
        <v>2374</v>
      </c>
      <c r="E1774" s="207">
        <v>8</v>
      </c>
      <c r="F1774" s="190">
        <f>'HIRE CHARGES'!$F$542</f>
        <v>236.6</v>
      </c>
      <c r="G1774" s="190">
        <f t="shared" si="21"/>
        <v>1892.8</v>
      </c>
      <c r="I1774" s="75"/>
    </row>
    <row r="1775" spans="1:9">
      <c r="A1775" s="847"/>
      <c r="B1775" s="105">
        <v>3</v>
      </c>
      <c r="C1775" s="86" t="s">
        <v>301</v>
      </c>
      <c r="D1775" s="105" t="s">
        <v>2374</v>
      </c>
      <c r="E1775" s="207">
        <v>32</v>
      </c>
      <c r="F1775" s="190">
        <f>'HIRE CHARGES'!$F$545</f>
        <v>177.5</v>
      </c>
      <c r="G1775" s="190">
        <f t="shared" si="21"/>
        <v>5680</v>
      </c>
      <c r="I1775" s="75"/>
    </row>
    <row r="1776" spans="1:9">
      <c r="A1776" s="847"/>
      <c r="B1776" s="105">
        <v>4</v>
      </c>
      <c r="C1776" s="86" t="s">
        <v>999</v>
      </c>
      <c r="D1776" s="105" t="s">
        <v>2374</v>
      </c>
      <c r="E1776" s="207">
        <v>2</v>
      </c>
      <c r="F1776" s="190">
        <f>'HIRE CHARGES'!$F$517</f>
        <v>111.1</v>
      </c>
      <c r="G1776" s="190">
        <f t="shared" si="21"/>
        <v>222.2</v>
      </c>
      <c r="I1776" s="75"/>
    </row>
    <row r="1777" spans="1:9">
      <c r="A1777" s="847"/>
      <c r="B1777" s="105">
        <v>5</v>
      </c>
      <c r="C1777" s="86" t="s">
        <v>1000</v>
      </c>
      <c r="D1777" s="105" t="s">
        <v>2374</v>
      </c>
      <c r="E1777" s="207">
        <v>4</v>
      </c>
      <c r="F1777" s="190">
        <f>'HIRE CHARGES'!$F$555</f>
        <v>177.5</v>
      </c>
      <c r="G1777" s="190">
        <f t="shared" si="21"/>
        <v>710</v>
      </c>
      <c r="I1777" s="75"/>
    </row>
    <row r="1778" spans="1:9">
      <c r="A1778" s="847"/>
      <c r="B1778" s="105">
        <v>6</v>
      </c>
      <c r="C1778" s="86" t="s">
        <v>1001</v>
      </c>
      <c r="D1778" s="105" t="s">
        <v>2374</v>
      </c>
      <c r="E1778" s="207">
        <v>5.0999999999999996</v>
      </c>
      <c r="F1778" s="190">
        <f>'HIRE CHARGES'!$F$553</f>
        <v>263.60000000000002</v>
      </c>
      <c r="G1778" s="190">
        <f t="shared" si="21"/>
        <v>1344.3600000000001</v>
      </c>
      <c r="I1778" s="75"/>
    </row>
    <row r="1779" spans="1:9">
      <c r="A1779" s="847"/>
      <c r="B1779" s="105">
        <v>7</v>
      </c>
      <c r="C1779" s="86" t="s">
        <v>4206</v>
      </c>
      <c r="D1779" s="105" t="s">
        <v>1172</v>
      </c>
      <c r="E1779" s="207">
        <v>2</v>
      </c>
      <c r="F1779" s="190">
        <f>'BASIC DATA'!$C$473</f>
        <v>450</v>
      </c>
      <c r="G1779" s="190">
        <f t="shared" si="21"/>
        <v>900</v>
      </c>
      <c r="I1779" s="75"/>
    </row>
    <row r="1780" spans="1:9">
      <c r="A1780" s="847"/>
      <c r="B1780" s="105">
        <v>8</v>
      </c>
      <c r="C1780" s="86" t="s">
        <v>2697</v>
      </c>
      <c r="D1780" s="105" t="s">
        <v>1172</v>
      </c>
      <c r="E1780" s="207">
        <v>4</v>
      </c>
      <c r="F1780" s="190">
        <f>'BASIC DATA'!$C$552</f>
        <v>350</v>
      </c>
      <c r="G1780" s="190">
        <f t="shared" si="21"/>
        <v>1400</v>
      </c>
      <c r="I1780" s="75"/>
    </row>
    <row r="1781" spans="1:9">
      <c r="A1781" s="847"/>
      <c r="B1781" s="92"/>
      <c r="C1781" s="353" t="s">
        <v>1174</v>
      </c>
      <c r="D1781" s="159"/>
      <c r="E1781" s="238"/>
      <c r="F1781" s="236" t="s">
        <v>1698</v>
      </c>
      <c r="G1781" s="318">
        <f>SUM(G1773:G1780)</f>
        <v>12953.800000000001</v>
      </c>
    </row>
    <row r="1782" spans="1:9">
      <c r="A1782" s="847"/>
      <c r="B1782" s="359" t="s">
        <v>5948</v>
      </c>
      <c r="C1782" s="48"/>
      <c r="D1782" s="31"/>
      <c r="E1782" s="85">
        <f>ROUND(G1781/F1744,1)</f>
        <v>31.4</v>
      </c>
    </row>
    <row r="1783" spans="1:9">
      <c r="A1783" s="847"/>
      <c r="B1783" s="359" t="s">
        <v>3163</v>
      </c>
      <c r="C1783" s="48"/>
      <c r="D1783" s="922">
        <f>'BASIC DATA'!$C$577</f>
        <v>0.13614999999999999</v>
      </c>
      <c r="E1783" s="85">
        <f>ROUND(E1782*D1783,1)</f>
        <v>4.3</v>
      </c>
    </row>
    <row r="1784" spans="1:9">
      <c r="A1784" s="847"/>
      <c r="B1784" s="359" t="s">
        <v>5949</v>
      </c>
      <c r="C1784" s="48"/>
      <c r="D1784" s="31"/>
      <c r="E1784" s="199">
        <f>ROUND(E1783+E1782,1)</f>
        <v>35.700000000000003</v>
      </c>
    </row>
    <row r="1785" spans="1:9">
      <c r="A1785" s="847"/>
      <c r="C1785" s="48"/>
    </row>
    <row r="1786" spans="1:9">
      <c r="A1786" s="847"/>
      <c r="B1786" s="162" t="s">
        <v>1175</v>
      </c>
      <c r="C1786" s="48"/>
    </row>
    <row r="1787" spans="1:9">
      <c r="A1787" s="847"/>
      <c r="B1787" s="47" t="s">
        <v>1176</v>
      </c>
      <c r="C1787" s="48"/>
      <c r="F1787" s="171" t="s">
        <v>1698</v>
      </c>
      <c r="G1787" s="68">
        <f>G1750</f>
        <v>0</v>
      </c>
    </row>
    <row r="1788" spans="1:9">
      <c r="A1788" s="847"/>
      <c r="B1788" s="47" t="s">
        <v>1186</v>
      </c>
      <c r="C1788" s="48"/>
      <c r="F1788" s="171" t="s">
        <v>1698</v>
      </c>
      <c r="G1788" s="68">
        <f>G1768</f>
        <v>58876.359999999993</v>
      </c>
    </row>
    <row r="1789" spans="1:9">
      <c r="A1789" s="847"/>
      <c r="B1789" s="47" t="s">
        <v>2660</v>
      </c>
      <c r="C1789" s="48"/>
      <c r="F1789" s="171" t="s">
        <v>1698</v>
      </c>
      <c r="G1789" s="75">
        <f>G1781</f>
        <v>12953.800000000001</v>
      </c>
    </row>
    <row r="1790" spans="1:9">
      <c r="A1790" s="847"/>
      <c r="B1790" s="78"/>
      <c r="C1790" s="48"/>
      <c r="E1790" s="261"/>
      <c r="F1790" s="171" t="s">
        <v>302</v>
      </c>
      <c r="G1790" s="205">
        <f>SUM(G1787:G1789)</f>
        <v>71830.159999999989</v>
      </c>
    </row>
    <row r="1791" spans="1:9" ht="35.25" customHeight="1">
      <c r="A1791" s="847"/>
      <c r="B1791" s="1207" t="s">
        <v>1379</v>
      </c>
      <c r="C1791" s="1207"/>
      <c r="D1791" s="1207"/>
      <c r="E1791" s="922">
        <f>'BASIC DATA'!$C$577</f>
        <v>0.13614999999999999</v>
      </c>
      <c r="F1791" s="171" t="s">
        <v>1698</v>
      </c>
      <c r="G1791" s="31">
        <f>ROUND(G1790*E1791,2)</f>
        <v>9779.68</v>
      </c>
    </row>
    <row r="1792" spans="1:9">
      <c r="A1792" s="847"/>
      <c r="B1792" s="47" t="s">
        <v>1191</v>
      </c>
      <c r="C1792" s="48"/>
      <c r="D1792" s="68">
        <f>F1744</f>
        <v>412.8</v>
      </c>
      <c r="E1792" s="68" t="str">
        <f>G1744</f>
        <v>cum</v>
      </c>
      <c r="F1792" s="171" t="s">
        <v>1698</v>
      </c>
      <c r="G1792" s="211">
        <f>G1791+G1790</f>
        <v>81609.84</v>
      </c>
    </row>
    <row r="1793" spans="1:9">
      <c r="A1793" s="847"/>
      <c r="B1793" s="79" t="s">
        <v>1584</v>
      </c>
      <c r="C1793" s="356" t="str">
        <f>E1792</f>
        <v>cum</v>
      </c>
      <c r="D1793" s="26" t="s">
        <v>5771</v>
      </c>
      <c r="F1793" s="171" t="s">
        <v>4108</v>
      </c>
      <c r="G1793" s="211">
        <f>ROUND(G1792/D1792,1)</f>
        <v>197.7</v>
      </c>
      <c r="H1793" s="171"/>
    </row>
    <row r="1794" spans="1:9">
      <c r="A1794" s="847"/>
      <c r="B1794" s="78"/>
      <c r="C1794" s="48"/>
    </row>
    <row r="1795" spans="1:9">
      <c r="A1795" s="847"/>
      <c r="B1795" s="78"/>
      <c r="C1795" s="48"/>
    </row>
    <row r="1796" spans="1:9" ht="18.75">
      <c r="A1796" s="841" t="s">
        <v>7433</v>
      </c>
      <c r="B1796" s="47" t="s">
        <v>8658</v>
      </c>
      <c r="C1796" s="48"/>
    </row>
    <row r="1797" spans="1:9">
      <c r="A1797" s="889"/>
      <c r="B1797" s="47" t="s">
        <v>8662</v>
      </c>
      <c r="C1797" s="48"/>
    </row>
    <row r="1798" spans="1:9">
      <c r="A1798" s="889"/>
      <c r="B1798" s="47" t="s">
        <v>2540</v>
      </c>
      <c r="C1798" s="48"/>
    </row>
    <row r="1799" spans="1:9" ht="18.75">
      <c r="A1799" s="889"/>
      <c r="B1799" s="47" t="s">
        <v>8663</v>
      </c>
      <c r="C1799" s="48"/>
    </row>
    <row r="1800" spans="1:9">
      <c r="A1800" s="889"/>
      <c r="B1800" s="47" t="s">
        <v>9225</v>
      </c>
      <c r="C1800" s="48"/>
    </row>
    <row r="1801" spans="1:9">
      <c r="A1801" s="889"/>
      <c r="B1801" s="162" t="s">
        <v>9226</v>
      </c>
      <c r="C1801" s="48"/>
    </row>
    <row r="1802" spans="1:9">
      <c r="A1802" s="889"/>
      <c r="C1802" s="48"/>
    </row>
    <row r="1803" spans="1:9" hidden="1">
      <c r="A1803" s="889" t="s">
        <v>3984</v>
      </c>
      <c r="B1803" s="47" t="s">
        <v>609</v>
      </c>
      <c r="C1803" s="48"/>
      <c r="F1803" s="78"/>
    </row>
    <row r="1804" spans="1:9" hidden="1">
      <c r="A1804" s="889"/>
      <c r="B1804" s="47" t="s">
        <v>610</v>
      </c>
      <c r="C1804" s="48"/>
      <c r="F1804" s="78"/>
      <c r="G1804" s="26">
        <v>412.8</v>
      </c>
      <c r="H1804" s="26" t="s">
        <v>6901</v>
      </c>
      <c r="I1804" s="375"/>
    </row>
    <row r="1805" spans="1:9" hidden="1">
      <c r="A1805" s="889">
        <v>1</v>
      </c>
      <c r="B1805" s="47" t="s">
        <v>2860</v>
      </c>
      <c r="C1805" s="48"/>
      <c r="I1805" s="375"/>
    </row>
    <row r="1806" spans="1:9" hidden="1">
      <c r="A1806" s="841"/>
      <c r="B1806" s="47" t="s">
        <v>611</v>
      </c>
      <c r="C1806" s="48"/>
      <c r="G1806" s="68">
        <v>0.9</v>
      </c>
      <c r="H1806" s="26" t="s">
        <v>3037</v>
      </c>
      <c r="I1806" s="375"/>
    </row>
    <row r="1807" spans="1:9" hidden="1">
      <c r="A1807" s="889">
        <v>2</v>
      </c>
      <c r="B1807" s="47" t="s">
        <v>6281</v>
      </c>
      <c r="C1807" s="48"/>
      <c r="I1807" s="30"/>
    </row>
    <row r="1808" spans="1:9" hidden="1">
      <c r="A1808" s="841"/>
      <c r="B1808" s="47" t="s">
        <v>612</v>
      </c>
      <c r="C1808" s="48"/>
      <c r="G1808" s="68">
        <v>8</v>
      </c>
      <c r="H1808" s="26" t="s">
        <v>4665</v>
      </c>
      <c r="I1808" s="30"/>
    </row>
    <row r="1809" spans="1:9" hidden="1">
      <c r="A1809" s="841"/>
      <c r="B1809" s="47" t="s">
        <v>613</v>
      </c>
      <c r="C1809" s="48"/>
      <c r="G1809" s="68">
        <v>32</v>
      </c>
      <c r="H1809" s="26" t="s">
        <v>3428</v>
      </c>
      <c r="I1809" s="30"/>
    </row>
    <row r="1810" spans="1:9" hidden="1">
      <c r="A1810" s="889">
        <v>3</v>
      </c>
      <c r="B1810" s="47" t="s">
        <v>5954</v>
      </c>
      <c r="C1810" s="48"/>
      <c r="I1810" s="30"/>
    </row>
    <row r="1811" spans="1:9" hidden="1">
      <c r="A1811" s="841"/>
      <c r="B1811" s="47" t="s">
        <v>614</v>
      </c>
      <c r="C1811" s="48"/>
      <c r="G1811" s="68">
        <v>2.5</v>
      </c>
      <c r="H1811" s="26" t="s">
        <v>3428</v>
      </c>
      <c r="I1811" s="30"/>
    </row>
    <row r="1812" spans="1:9" hidden="1">
      <c r="A1812" s="889">
        <v>4</v>
      </c>
      <c r="B1812" s="47" t="s">
        <v>6193</v>
      </c>
      <c r="C1812" s="48"/>
      <c r="I1812" s="30"/>
    </row>
    <row r="1813" spans="1:9" hidden="1">
      <c r="A1813" s="841"/>
      <c r="B1813" s="47" t="s">
        <v>615</v>
      </c>
      <c r="C1813" s="48"/>
      <c r="G1813" s="68">
        <v>4</v>
      </c>
      <c r="H1813" s="26" t="s">
        <v>3428</v>
      </c>
      <c r="I1813" s="30"/>
    </row>
    <row r="1814" spans="1:9" hidden="1">
      <c r="A1814" s="841"/>
      <c r="B1814" s="47" t="s">
        <v>1764</v>
      </c>
      <c r="C1814" s="48"/>
      <c r="G1814" s="68">
        <v>2</v>
      </c>
      <c r="H1814" s="26" t="s">
        <v>3428</v>
      </c>
      <c r="I1814" s="30"/>
    </row>
    <row r="1815" spans="1:9" hidden="1">
      <c r="A1815" s="889">
        <v>5</v>
      </c>
      <c r="B1815" s="47" t="s">
        <v>6798</v>
      </c>
      <c r="C1815" s="48"/>
      <c r="I1815" s="30"/>
    </row>
    <row r="1816" spans="1:9" hidden="1">
      <c r="A1816" s="841"/>
      <c r="B1816" s="47" t="s">
        <v>6194</v>
      </c>
      <c r="C1816" s="48"/>
      <c r="I1816" s="30"/>
    </row>
    <row r="1817" spans="1:9" hidden="1">
      <c r="A1817" s="841"/>
      <c r="B1817" s="47" t="s">
        <v>9252</v>
      </c>
      <c r="C1817" s="48"/>
      <c r="I1817" s="30"/>
    </row>
    <row r="1818" spans="1:9" hidden="1">
      <c r="A1818" s="841"/>
      <c r="B1818" s="47" t="s">
        <v>3443</v>
      </c>
      <c r="C1818" s="48"/>
      <c r="I1818" s="375"/>
    </row>
    <row r="1819" spans="1:9" hidden="1">
      <c r="A1819" s="841"/>
      <c r="B1819" s="47" t="s">
        <v>3650</v>
      </c>
      <c r="C1819" s="48"/>
      <c r="G1819" s="68">
        <v>1.9</v>
      </c>
      <c r="H1819" s="26" t="s">
        <v>3561</v>
      </c>
      <c r="I1819" s="375"/>
    </row>
    <row r="1820" spans="1:9" hidden="1">
      <c r="A1820" s="841"/>
      <c r="B1820" s="47" t="s">
        <v>4995</v>
      </c>
      <c r="C1820" s="48"/>
      <c r="G1820" s="383">
        <v>4</v>
      </c>
      <c r="H1820" s="26" t="s">
        <v>3431</v>
      </c>
      <c r="I1820" s="375"/>
    </row>
    <row r="1821" spans="1:9" hidden="1">
      <c r="A1821" s="841"/>
      <c r="B1821" s="47" t="s">
        <v>4997</v>
      </c>
      <c r="C1821" s="48"/>
      <c r="G1821" s="26">
        <v>0.22500000000000001</v>
      </c>
      <c r="H1821" s="26" t="s">
        <v>3561</v>
      </c>
      <c r="I1821" s="30"/>
    </row>
    <row r="1822" spans="1:9" hidden="1">
      <c r="A1822" s="841"/>
      <c r="B1822" s="47" t="s">
        <v>1504</v>
      </c>
      <c r="C1822" s="48"/>
      <c r="G1822" s="26">
        <v>9</v>
      </c>
      <c r="H1822" s="26" t="s">
        <v>3436</v>
      </c>
      <c r="I1822" s="30"/>
    </row>
    <row r="1823" spans="1:9" hidden="1">
      <c r="A1823" s="841"/>
      <c r="B1823" s="47" t="s">
        <v>3156</v>
      </c>
      <c r="C1823" s="48"/>
      <c r="I1823" s="30"/>
    </row>
    <row r="1824" spans="1:9" hidden="1">
      <c r="A1824" s="841"/>
      <c r="B1824" s="47" t="s">
        <v>3444</v>
      </c>
      <c r="C1824" s="48"/>
      <c r="G1824" s="26">
        <v>118.75</v>
      </c>
      <c r="H1824" s="26" t="s">
        <v>6901</v>
      </c>
      <c r="I1824" s="30"/>
    </row>
    <row r="1825" spans="1:9" hidden="1">
      <c r="A1825" s="841"/>
      <c r="B1825" s="47" t="s">
        <v>1099</v>
      </c>
      <c r="C1825" s="48"/>
      <c r="D1825" s="26">
        <f>495.36/G1824</f>
        <v>4.1714526315789477</v>
      </c>
      <c r="F1825" s="26" t="s">
        <v>1564</v>
      </c>
      <c r="G1825" s="68">
        <v>4.18</v>
      </c>
      <c r="H1825" s="26" t="s">
        <v>3428</v>
      </c>
      <c r="I1825" s="374"/>
    </row>
    <row r="1826" spans="1:9" hidden="1">
      <c r="A1826" s="889">
        <v>6</v>
      </c>
      <c r="B1826" s="47" t="s">
        <v>3220</v>
      </c>
      <c r="C1826" s="48"/>
      <c r="I1826" s="31"/>
    </row>
    <row r="1827" spans="1:9" hidden="1">
      <c r="A1827" s="889"/>
      <c r="B1827" s="47" t="s">
        <v>1765</v>
      </c>
      <c r="C1827" s="48"/>
      <c r="I1827" s="30"/>
    </row>
    <row r="1828" spans="1:9">
      <c r="A1828" s="847"/>
      <c r="B1828" s="78"/>
      <c r="C1828" s="48"/>
      <c r="I1828" s="30"/>
    </row>
    <row r="1829" spans="1:9">
      <c r="A1829" s="847"/>
      <c r="B1829" s="78"/>
      <c r="C1829" s="48"/>
      <c r="I1829" s="30"/>
    </row>
    <row r="1830" spans="1:9">
      <c r="A1830" s="889" t="s">
        <v>3984</v>
      </c>
      <c r="B1830" s="78"/>
      <c r="C1830" s="349" t="s">
        <v>2367</v>
      </c>
      <c r="E1830" s="171" t="s">
        <v>297</v>
      </c>
      <c r="F1830" s="246">
        <v>412.8</v>
      </c>
      <c r="G1830" s="26" t="s">
        <v>3477</v>
      </c>
      <c r="I1830" s="30"/>
    </row>
    <row r="1831" spans="1:9">
      <c r="A1831" s="847"/>
      <c r="B1831" s="79" t="s">
        <v>2368</v>
      </c>
      <c r="C1831" s="48"/>
      <c r="I1831" s="30"/>
    </row>
    <row r="1832" spans="1:9">
      <c r="A1832" s="847"/>
      <c r="B1832" s="95" t="s">
        <v>2369</v>
      </c>
      <c r="C1832" s="350" t="s">
        <v>6374</v>
      </c>
      <c r="D1832" s="95" t="s">
        <v>2370</v>
      </c>
      <c r="E1832" s="95" t="s">
        <v>1166</v>
      </c>
      <c r="F1832" s="95" t="s">
        <v>2371</v>
      </c>
      <c r="G1832" s="95" t="s">
        <v>2372</v>
      </c>
      <c r="I1832" s="30"/>
    </row>
    <row r="1833" spans="1:9">
      <c r="A1833" s="847"/>
      <c r="B1833" s="114"/>
      <c r="C1833" s="351"/>
      <c r="D1833" s="114"/>
      <c r="E1833" s="114"/>
      <c r="F1833" s="114" t="s">
        <v>3485</v>
      </c>
      <c r="G1833" s="114" t="s">
        <v>3485</v>
      </c>
      <c r="I1833" s="375"/>
    </row>
    <row r="1834" spans="1:9">
      <c r="A1834" s="847"/>
      <c r="B1834" s="95">
        <v>1</v>
      </c>
      <c r="C1834" s="352" t="s">
        <v>1130</v>
      </c>
      <c r="D1834" s="95"/>
      <c r="E1834" s="190">
        <v>0</v>
      </c>
      <c r="F1834" s="190">
        <v>0</v>
      </c>
      <c r="G1834" s="190">
        <f>E1834*F1834</f>
        <v>0</v>
      </c>
      <c r="I1834" s="30"/>
    </row>
    <row r="1835" spans="1:9">
      <c r="A1835" s="847"/>
      <c r="B1835" s="280"/>
      <c r="C1835" s="86"/>
      <c r="D1835" s="105"/>
      <c r="E1835" s="190">
        <v>0</v>
      </c>
      <c r="F1835" s="190">
        <v>0</v>
      </c>
      <c r="G1835" s="190">
        <f>E1835*F1835</f>
        <v>0</v>
      </c>
      <c r="I1835" s="30"/>
    </row>
    <row r="1836" spans="1:9">
      <c r="A1836" s="847"/>
      <c r="B1836" s="176"/>
      <c r="C1836" s="353" t="s">
        <v>2376</v>
      </c>
      <c r="D1836" s="159"/>
      <c r="E1836" s="238"/>
      <c r="F1836" s="236" t="s">
        <v>1698</v>
      </c>
      <c r="G1836" s="318">
        <f>SUM(G1834:G1835)</f>
        <v>0</v>
      </c>
      <c r="H1836" s="61"/>
      <c r="I1836" s="61"/>
    </row>
    <row r="1837" spans="1:9">
      <c r="A1837" s="847"/>
      <c r="B1837" s="78"/>
      <c r="C1837" s="48"/>
      <c r="H1837" s="61"/>
      <c r="I1837" s="359"/>
    </row>
    <row r="1838" spans="1:9">
      <c r="A1838" s="847"/>
      <c r="B1838" s="79" t="s">
        <v>2377</v>
      </c>
      <c r="C1838" s="48"/>
      <c r="I1838" s="30"/>
    </row>
    <row r="1839" spans="1:9">
      <c r="A1839" s="847"/>
      <c r="B1839" s="95" t="s">
        <v>2369</v>
      </c>
      <c r="C1839" s="350" t="s">
        <v>2378</v>
      </c>
      <c r="D1839" s="95" t="s">
        <v>2370</v>
      </c>
      <c r="E1839" s="95" t="s">
        <v>1166</v>
      </c>
      <c r="F1839" s="95" t="s">
        <v>2371</v>
      </c>
      <c r="G1839" s="95" t="s">
        <v>2372</v>
      </c>
      <c r="I1839" s="30"/>
    </row>
    <row r="1840" spans="1:9">
      <c r="A1840" s="847"/>
      <c r="B1840" s="114"/>
      <c r="C1840" s="351"/>
      <c r="D1840" s="114"/>
      <c r="E1840" s="114"/>
      <c r="F1840" s="114" t="s">
        <v>3485</v>
      </c>
      <c r="G1840" s="114" t="s">
        <v>3485</v>
      </c>
      <c r="I1840" s="375"/>
    </row>
    <row r="1841" spans="1:9">
      <c r="A1841" s="847"/>
      <c r="B1841" s="95">
        <v>1</v>
      </c>
      <c r="C1841" s="355" t="s">
        <v>1502</v>
      </c>
      <c r="D1841" s="95" t="s">
        <v>2374</v>
      </c>
      <c r="E1841" s="220">
        <v>3.4</v>
      </c>
      <c r="F1841" s="214">
        <f>'HIRE CHARGES'!$D$499</f>
        <v>1715.5</v>
      </c>
      <c r="G1841" s="190">
        <f t="shared" ref="G1841:G1853" si="22">E1841*F1841</f>
        <v>5832.7</v>
      </c>
      <c r="I1841" s="75"/>
    </row>
    <row r="1842" spans="1:9">
      <c r="A1842" s="847"/>
      <c r="B1842" s="152"/>
      <c r="C1842" s="355" t="s">
        <v>2379</v>
      </c>
      <c r="D1842" s="105" t="s">
        <v>2374</v>
      </c>
      <c r="E1842" s="220">
        <v>3.4</v>
      </c>
      <c r="F1842" s="214">
        <f>'HIRE CHARGES'!$E$499</f>
        <v>610.5</v>
      </c>
      <c r="G1842" s="190">
        <f t="shared" si="22"/>
        <v>2075.6999999999998</v>
      </c>
      <c r="I1842" s="75"/>
    </row>
    <row r="1843" spans="1:9">
      <c r="A1843" s="847"/>
      <c r="B1843" s="105">
        <v>2</v>
      </c>
      <c r="C1843" s="355" t="s">
        <v>1792</v>
      </c>
      <c r="D1843" s="105" t="s">
        <v>2374</v>
      </c>
      <c r="E1843" s="220">
        <v>8</v>
      </c>
      <c r="F1843" s="190">
        <f>'HIRE CHARGES'!$D$542</f>
        <v>1003.1</v>
      </c>
      <c r="G1843" s="190">
        <f t="shared" si="22"/>
        <v>8024.8</v>
      </c>
      <c r="I1843" s="75"/>
    </row>
    <row r="1844" spans="1:9">
      <c r="A1844" s="847"/>
      <c r="B1844" s="152"/>
      <c r="C1844" s="355" t="s">
        <v>2379</v>
      </c>
      <c r="D1844" s="105" t="s">
        <v>2374</v>
      </c>
      <c r="E1844" s="220">
        <v>8</v>
      </c>
      <c r="F1844" s="190">
        <f>'HIRE CHARGES'!$E$542</f>
        <v>476</v>
      </c>
      <c r="G1844" s="190">
        <f t="shared" si="22"/>
        <v>3808</v>
      </c>
      <c r="I1844" s="75"/>
    </row>
    <row r="1845" spans="1:9">
      <c r="A1845" s="847"/>
      <c r="B1845" s="105">
        <v>3</v>
      </c>
      <c r="C1845" s="355" t="s">
        <v>1793</v>
      </c>
      <c r="D1845" s="105" t="s">
        <v>2374</v>
      </c>
      <c r="E1845" s="220">
        <v>32</v>
      </c>
      <c r="F1845" s="190">
        <f>'HIRE CHARGES'!$D$545</f>
        <v>446.7</v>
      </c>
      <c r="G1845" s="190">
        <f t="shared" si="22"/>
        <v>14294.4</v>
      </c>
      <c r="I1845" s="75"/>
    </row>
    <row r="1846" spans="1:9">
      <c r="A1846" s="847"/>
      <c r="B1846" s="152"/>
      <c r="C1846" s="355" t="s">
        <v>2379</v>
      </c>
      <c r="D1846" s="105" t="s">
        <v>2374</v>
      </c>
      <c r="E1846" s="220">
        <v>32</v>
      </c>
      <c r="F1846" s="190">
        <f>'HIRE CHARGES'!$E$545</f>
        <v>299.89999999999998</v>
      </c>
      <c r="G1846" s="190">
        <f t="shared" si="22"/>
        <v>9596.7999999999993</v>
      </c>
      <c r="I1846" s="75"/>
    </row>
    <row r="1847" spans="1:9">
      <c r="A1847" s="847"/>
      <c r="B1847" s="105">
        <v>4</v>
      </c>
      <c r="C1847" s="355" t="s">
        <v>1132</v>
      </c>
      <c r="D1847" s="105" t="s">
        <v>2374</v>
      </c>
      <c r="E1847" s="220">
        <v>2</v>
      </c>
      <c r="F1847" s="214">
        <f>'HIRE CHARGES'!$D$517</f>
        <v>10.199999999999999</v>
      </c>
      <c r="G1847" s="190">
        <f t="shared" si="22"/>
        <v>20.399999999999999</v>
      </c>
      <c r="I1847" s="75"/>
    </row>
    <row r="1848" spans="1:9">
      <c r="A1848" s="847"/>
      <c r="B1848" s="152"/>
      <c r="C1848" s="355" t="s">
        <v>2379</v>
      </c>
      <c r="D1848" s="105" t="s">
        <v>2374</v>
      </c>
      <c r="E1848" s="220">
        <v>2</v>
      </c>
      <c r="F1848" s="214">
        <f>'HIRE CHARGES'!$E$517</f>
        <v>79.3</v>
      </c>
      <c r="G1848" s="190">
        <f t="shared" si="22"/>
        <v>158.6</v>
      </c>
      <c r="I1848" s="75"/>
    </row>
    <row r="1849" spans="1:9">
      <c r="A1849" s="847"/>
      <c r="B1849" s="105">
        <v>5</v>
      </c>
      <c r="C1849" s="355" t="s">
        <v>6286</v>
      </c>
      <c r="D1849" s="105" t="s">
        <v>2374</v>
      </c>
      <c r="E1849" s="220">
        <v>4</v>
      </c>
      <c r="F1849" s="214">
        <f>'HIRE CHARGES'!$D$555</f>
        <v>402.5</v>
      </c>
      <c r="G1849" s="190">
        <f t="shared" si="22"/>
        <v>1610</v>
      </c>
      <c r="I1849" s="75"/>
    </row>
    <row r="1850" spans="1:9">
      <c r="A1850" s="847"/>
      <c r="B1850" s="105"/>
      <c r="C1850" s="355" t="s">
        <v>2379</v>
      </c>
      <c r="D1850" s="105" t="s">
        <v>2374</v>
      </c>
      <c r="E1850" s="220">
        <v>4</v>
      </c>
      <c r="F1850" s="214">
        <f>'HIRE CHARGES'!$E$555</f>
        <v>299.89999999999998</v>
      </c>
      <c r="G1850" s="190">
        <f t="shared" si="22"/>
        <v>1199.5999999999999</v>
      </c>
      <c r="I1850" s="75"/>
    </row>
    <row r="1851" spans="1:9">
      <c r="A1851" s="847"/>
      <c r="B1851" s="105">
        <v>6</v>
      </c>
      <c r="C1851" s="355" t="s">
        <v>9251</v>
      </c>
      <c r="D1851" s="105" t="s">
        <v>2374</v>
      </c>
      <c r="E1851" s="220">
        <v>4.18</v>
      </c>
      <c r="F1851" s="214">
        <f>'HIRE CHARGES'!$D$553</f>
        <v>1342.2</v>
      </c>
      <c r="G1851" s="190">
        <f t="shared" si="22"/>
        <v>5610.3959999999997</v>
      </c>
      <c r="I1851" s="75"/>
    </row>
    <row r="1852" spans="1:9">
      <c r="A1852" s="847"/>
      <c r="B1852" s="152"/>
      <c r="C1852" s="355" t="s">
        <v>2379</v>
      </c>
      <c r="D1852" s="105" t="s">
        <v>2374</v>
      </c>
      <c r="E1852" s="220">
        <v>4.18</v>
      </c>
      <c r="F1852" s="214">
        <f>'HIRE CHARGES'!$E$553</f>
        <v>1031.4000000000001</v>
      </c>
      <c r="G1852" s="190">
        <f t="shared" si="22"/>
        <v>4311.2520000000004</v>
      </c>
      <c r="I1852" s="75"/>
    </row>
    <row r="1853" spans="1:9">
      <c r="A1853" s="847"/>
      <c r="B1853" s="105">
        <v>7</v>
      </c>
      <c r="C1853" s="355" t="s">
        <v>2373</v>
      </c>
      <c r="D1853" s="105" t="s">
        <v>2173</v>
      </c>
      <c r="E1853" s="220">
        <v>5</v>
      </c>
      <c r="F1853" s="190">
        <f>'BASIC DATA'!$D$359</f>
        <v>30</v>
      </c>
      <c r="G1853" s="190">
        <f t="shared" si="22"/>
        <v>150</v>
      </c>
      <c r="I1853" s="75"/>
    </row>
    <row r="1854" spans="1:9">
      <c r="A1854" s="847"/>
      <c r="B1854" s="176"/>
      <c r="C1854" s="357" t="s">
        <v>2380</v>
      </c>
      <c r="D1854" s="174"/>
      <c r="E1854" s="192"/>
      <c r="F1854" s="236" t="s">
        <v>1698</v>
      </c>
      <c r="G1854" s="354">
        <f>SUM(G1841:G1853)</f>
        <v>56692.647999999994</v>
      </c>
    </row>
    <row r="1855" spans="1:9">
      <c r="A1855" s="847"/>
      <c r="B1855" s="78"/>
      <c r="C1855" s="48"/>
    </row>
    <row r="1856" spans="1:9">
      <c r="A1856" s="847"/>
      <c r="B1856" s="79" t="s">
        <v>2381</v>
      </c>
      <c r="C1856" s="48"/>
    </row>
    <row r="1857" spans="1:9">
      <c r="A1857" s="847"/>
      <c r="B1857" s="95" t="s">
        <v>2369</v>
      </c>
      <c r="C1857" s="350" t="s">
        <v>2378</v>
      </c>
      <c r="D1857" s="95" t="s">
        <v>2370</v>
      </c>
      <c r="E1857" s="95" t="s">
        <v>1166</v>
      </c>
      <c r="F1857" s="95" t="s">
        <v>2371</v>
      </c>
      <c r="G1857" s="95" t="s">
        <v>2372</v>
      </c>
    </row>
    <row r="1858" spans="1:9">
      <c r="A1858" s="847"/>
      <c r="B1858" s="114"/>
      <c r="C1858" s="351"/>
      <c r="D1858" s="105"/>
      <c r="E1858" s="114"/>
      <c r="F1858" s="114" t="s">
        <v>3485</v>
      </c>
      <c r="G1858" s="114" t="s">
        <v>3485</v>
      </c>
    </row>
    <row r="1859" spans="1:9">
      <c r="A1859" s="847"/>
      <c r="B1859" s="105">
        <v>1</v>
      </c>
      <c r="C1859" s="86" t="s">
        <v>2870</v>
      </c>
      <c r="D1859" s="95" t="s">
        <v>2374</v>
      </c>
      <c r="E1859" s="207">
        <v>3.4</v>
      </c>
      <c r="F1859" s="190">
        <f>'HIRE CHARGES'!$F$499</f>
        <v>236.6</v>
      </c>
      <c r="G1859" s="190">
        <f t="shared" ref="G1859:G1866" si="23">E1859*F1859</f>
        <v>804.43999999999994</v>
      </c>
      <c r="I1859" s="75"/>
    </row>
    <row r="1860" spans="1:9">
      <c r="A1860" s="847"/>
      <c r="B1860" s="105">
        <v>2</v>
      </c>
      <c r="C1860" s="86" t="s">
        <v>300</v>
      </c>
      <c r="D1860" s="105" t="s">
        <v>2374</v>
      </c>
      <c r="E1860" s="207">
        <v>8</v>
      </c>
      <c r="F1860" s="190">
        <f>'HIRE CHARGES'!$F$542</f>
        <v>236.6</v>
      </c>
      <c r="G1860" s="190">
        <f t="shared" si="23"/>
        <v>1892.8</v>
      </c>
      <c r="I1860" s="75"/>
    </row>
    <row r="1861" spans="1:9">
      <c r="A1861" s="847"/>
      <c r="B1861" s="105">
        <v>3</v>
      </c>
      <c r="C1861" s="86" t="s">
        <v>301</v>
      </c>
      <c r="D1861" s="105" t="s">
        <v>2374</v>
      </c>
      <c r="E1861" s="207">
        <v>32</v>
      </c>
      <c r="F1861" s="190">
        <f>'HIRE CHARGES'!$F$545</f>
        <v>177.5</v>
      </c>
      <c r="G1861" s="190">
        <f t="shared" si="23"/>
        <v>5680</v>
      </c>
      <c r="I1861" s="75"/>
    </row>
    <row r="1862" spans="1:9">
      <c r="A1862" s="847"/>
      <c r="B1862" s="105">
        <v>4</v>
      </c>
      <c r="C1862" s="86" t="s">
        <v>999</v>
      </c>
      <c r="D1862" s="105" t="s">
        <v>2374</v>
      </c>
      <c r="E1862" s="207">
        <v>2</v>
      </c>
      <c r="F1862" s="190">
        <f>'HIRE CHARGES'!$F$517</f>
        <v>111.1</v>
      </c>
      <c r="G1862" s="190">
        <f t="shared" si="23"/>
        <v>222.2</v>
      </c>
      <c r="I1862" s="75"/>
    </row>
    <row r="1863" spans="1:9">
      <c r="A1863" s="847"/>
      <c r="B1863" s="105">
        <v>5</v>
      </c>
      <c r="C1863" s="86" t="s">
        <v>1000</v>
      </c>
      <c r="D1863" s="105" t="s">
        <v>2374</v>
      </c>
      <c r="E1863" s="207">
        <v>4</v>
      </c>
      <c r="F1863" s="190">
        <f>'HIRE CHARGES'!$F$555</f>
        <v>177.5</v>
      </c>
      <c r="G1863" s="190">
        <f t="shared" si="23"/>
        <v>710</v>
      </c>
      <c r="I1863" s="75"/>
    </row>
    <row r="1864" spans="1:9">
      <c r="A1864" s="847"/>
      <c r="B1864" s="105">
        <v>6</v>
      </c>
      <c r="C1864" s="86" t="s">
        <v>1001</v>
      </c>
      <c r="D1864" s="105" t="s">
        <v>2374</v>
      </c>
      <c r="E1864" s="207">
        <v>4.18</v>
      </c>
      <c r="F1864" s="190">
        <f>'HIRE CHARGES'!$F$553</f>
        <v>263.60000000000002</v>
      </c>
      <c r="G1864" s="190">
        <f t="shared" si="23"/>
        <v>1101.848</v>
      </c>
      <c r="I1864" s="75"/>
    </row>
    <row r="1865" spans="1:9">
      <c r="A1865" s="847"/>
      <c r="B1865" s="105">
        <v>7</v>
      </c>
      <c r="C1865" s="86" t="s">
        <v>4206</v>
      </c>
      <c r="D1865" s="105" t="s">
        <v>1172</v>
      </c>
      <c r="E1865" s="207">
        <v>2</v>
      </c>
      <c r="F1865" s="190">
        <f>'BASIC DATA'!$C$473</f>
        <v>450</v>
      </c>
      <c r="G1865" s="190">
        <f t="shared" si="23"/>
        <v>900</v>
      </c>
      <c r="I1865" s="75"/>
    </row>
    <row r="1866" spans="1:9">
      <c r="A1866" s="847"/>
      <c r="B1866" s="105">
        <v>8</v>
      </c>
      <c r="C1866" s="86" t="s">
        <v>2697</v>
      </c>
      <c r="D1866" s="105" t="s">
        <v>1172</v>
      </c>
      <c r="E1866" s="207">
        <v>4</v>
      </c>
      <c r="F1866" s="190">
        <f>'BASIC DATA'!$C$552</f>
        <v>350</v>
      </c>
      <c r="G1866" s="190">
        <f t="shared" si="23"/>
        <v>1400</v>
      </c>
      <c r="I1866" s="75"/>
    </row>
    <row r="1867" spans="1:9">
      <c r="A1867" s="847"/>
      <c r="B1867" s="92"/>
      <c r="C1867" s="353" t="s">
        <v>1174</v>
      </c>
      <c r="D1867" s="159"/>
      <c r="E1867" s="238"/>
      <c r="F1867" s="236" t="s">
        <v>1698</v>
      </c>
      <c r="G1867" s="318">
        <f>SUM(G1859:G1866)</f>
        <v>12711.288</v>
      </c>
    </row>
    <row r="1868" spans="1:9">
      <c r="A1868" s="847"/>
      <c r="B1868" s="359" t="s">
        <v>5948</v>
      </c>
      <c r="C1868" s="48"/>
      <c r="D1868" s="31"/>
      <c r="E1868" s="31"/>
      <c r="F1868" s="85">
        <f>ROUND(G1867/F1830,1)</f>
        <v>30.8</v>
      </c>
    </row>
    <row r="1869" spans="1:9">
      <c r="A1869" s="847"/>
      <c r="B1869" s="359" t="s">
        <v>3163</v>
      </c>
      <c r="C1869" s="48"/>
      <c r="D1869" s="31"/>
      <c r="E1869" s="922">
        <f>'BASIC DATA'!$C$577</f>
        <v>0.13614999999999999</v>
      </c>
      <c r="F1869" s="85">
        <f>ROUND(F1868*E1869,1)</f>
        <v>4.2</v>
      </c>
    </row>
    <row r="1870" spans="1:9">
      <c r="A1870" s="847"/>
      <c r="B1870" s="359" t="s">
        <v>5949</v>
      </c>
      <c r="C1870" s="48"/>
      <c r="D1870" s="31"/>
      <c r="E1870" s="31"/>
      <c r="F1870" s="199">
        <f>ROUND(F1869+F1868,1)</f>
        <v>35</v>
      </c>
    </row>
    <row r="1871" spans="1:9">
      <c r="A1871" s="847"/>
      <c r="C1871" s="48"/>
    </row>
    <row r="1872" spans="1:9">
      <c r="A1872" s="847"/>
      <c r="B1872" s="162" t="s">
        <v>1175</v>
      </c>
      <c r="C1872" s="48"/>
    </row>
    <row r="1873" spans="1:8">
      <c r="A1873" s="847"/>
      <c r="B1873" s="47" t="s">
        <v>1176</v>
      </c>
      <c r="C1873" s="48"/>
      <c r="F1873" s="171" t="s">
        <v>1698</v>
      </c>
      <c r="G1873" s="68">
        <f>G1836</f>
        <v>0</v>
      </c>
    </row>
    <row r="1874" spans="1:8">
      <c r="A1874" s="847"/>
      <c r="B1874" s="47" t="s">
        <v>1186</v>
      </c>
      <c r="C1874" s="48"/>
      <c r="F1874" s="171" t="s">
        <v>1698</v>
      </c>
      <c r="G1874" s="68">
        <f>G1854</f>
        <v>56692.647999999994</v>
      </c>
    </row>
    <row r="1875" spans="1:8">
      <c r="A1875" s="847"/>
      <c r="B1875" s="47" t="s">
        <v>2660</v>
      </c>
      <c r="C1875" s="48"/>
      <c r="F1875" s="171" t="s">
        <v>1698</v>
      </c>
      <c r="G1875" s="75">
        <f>G1867</f>
        <v>12711.288</v>
      </c>
    </row>
    <row r="1876" spans="1:8">
      <c r="A1876" s="847"/>
      <c r="B1876" s="78"/>
      <c r="C1876" s="48"/>
      <c r="E1876" s="261"/>
      <c r="F1876" s="171" t="s">
        <v>302</v>
      </c>
      <c r="G1876" s="205">
        <f>SUM(G1873:G1875)</f>
        <v>69403.935999999987</v>
      </c>
    </row>
    <row r="1877" spans="1:8" ht="35.25" customHeight="1">
      <c r="A1877" s="847"/>
      <c r="B1877" s="1207" t="s">
        <v>1379</v>
      </c>
      <c r="C1877" s="1207"/>
      <c r="D1877" s="1207"/>
      <c r="E1877" s="922">
        <f>'BASIC DATA'!$C$577</f>
        <v>0.13614999999999999</v>
      </c>
      <c r="F1877" s="171" t="s">
        <v>1698</v>
      </c>
      <c r="G1877" s="31">
        <f>ROUND(G1876*E1877,2)</f>
        <v>9449.35</v>
      </c>
    </row>
    <row r="1878" spans="1:8">
      <c r="A1878" s="847"/>
      <c r="B1878" s="47" t="s">
        <v>1191</v>
      </c>
      <c r="C1878" s="48"/>
      <c r="D1878" s="68">
        <f>F1830</f>
        <v>412.8</v>
      </c>
      <c r="E1878" s="68" t="str">
        <f>G1830</f>
        <v>cum</v>
      </c>
      <c r="F1878" s="171" t="s">
        <v>1698</v>
      </c>
      <c r="G1878" s="211">
        <f>G1877+G1876</f>
        <v>78853.285999999993</v>
      </c>
    </row>
    <row r="1879" spans="1:8">
      <c r="A1879" s="847"/>
      <c r="B1879" s="79" t="s">
        <v>1584</v>
      </c>
      <c r="C1879" s="356" t="str">
        <f>E1878</f>
        <v>cum</v>
      </c>
      <c r="D1879" s="26" t="s">
        <v>5771</v>
      </c>
      <c r="F1879" s="171" t="s">
        <v>4108</v>
      </c>
      <c r="G1879" s="211">
        <f>ROUND(G1878/D1878,1)</f>
        <v>191</v>
      </c>
      <c r="H1879" s="171"/>
    </row>
    <row r="1880" spans="1:8">
      <c r="A1880" s="847"/>
      <c r="B1880" s="78"/>
      <c r="C1880" s="48"/>
    </row>
    <row r="1881" spans="1:8">
      <c r="A1881" s="847"/>
      <c r="B1881" s="78"/>
      <c r="C1881" s="48"/>
    </row>
    <row r="1882" spans="1:8" ht="18.75">
      <c r="A1882" s="841" t="s">
        <v>7434</v>
      </c>
      <c r="B1882" s="47" t="s">
        <v>8664</v>
      </c>
      <c r="C1882" s="48"/>
    </row>
    <row r="1883" spans="1:8">
      <c r="A1883" s="889"/>
      <c r="B1883" s="47" t="s">
        <v>8665</v>
      </c>
      <c r="C1883" s="48"/>
    </row>
    <row r="1884" spans="1:8">
      <c r="A1884" s="889"/>
      <c r="B1884" s="47" t="s">
        <v>7321</v>
      </c>
      <c r="C1884" s="48"/>
    </row>
    <row r="1885" spans="1:8" ht="18.75">
      <c r="A1885" s="889"/>
      <c r="B1885" s="47" t="s">
        <v>8666</v>
      </c>
      <c r="C1885" s="48"/>
    </row>
    <row r="1886" spans="1:8">
      <c r="A1886" s="889"/>
      <c r="B1886" s="47" t="s">
        <v>9227</v>
      </c>
      <c r="C1886" s="48"/>
    </row>
    <row r="1887" spans="1:8">
      <c r="A1887" s="889"/>
      <c r="B1887" s="162" t="s">
        <v>9224</v>
      </c>
      <c r="C1887" s="48"/>
    </row>
    <row r="1888" spans="1:8">
      <c r="A1888" s="889"/>
      <c r="C1888" s="48"/>
    </row>
    <row r="1889" spans="1:9" hidden="1">
      <c r="A1889" s="889" t="s">
        <v>3984</v>
      </c>
      <c r="B1889" s="47" t="s">
        <v>602</v>
      </c>
      <c r="C1889" s="48"/>
      <c r="F1889" s="78" t="s">
        <v>1697</v>
      </c>
      <c r="G1889" s="68">
        <v>0.5</v>
      </c>
      <c r="H1889" s="26" t="s">
        <v>6901</v>
      </c>
      <c r="I1889" s="31"/>
    </row>
    <row r="1890" spans="1:9" hidden="1">
      <c r="A1890" s="889"/>
      <c r="B1890" s="47" t="s">
        <v>603</v>
      </c>
      <c r="C1890" s="48"/>
      <c r="F1890" s="78" t="s">
        <v>1697</v>
      </c>
      <c r="G1890" s="26">
        <v>0.57999999999999996</v>
      </c>
      <c r="H1890" s="26" t="s">
        <v>6901</v>
      </c>
      <c r="I1890" s="31"/>
    </row>
    <row r="1891" spans="1:9" hidden="1">
      <c r="A1891" s="889"/>
      <c r="B1891" s="47" t="s">
        <v>604</v>
      </c>
      <c r="C1891" s="48"/>
      <c r="F1891" s="78" t="s">
        <v>1697</v>
      </c>
      <c r="G1891" s="68">
        <v>5</v>
      </c>
      <c r="H1891" s="26" t="s">
        <v>6901</v>
      </c>
      <c r="I1891" s="31"/>
    </row>
    <row r="1892" spans="1:9" hidden="1">
      <c r="A1892" s="889"/>
      <c r="B1892" s="47" t="s">
        <v>2541</v>
      </c>
      <c r="C1892" s="48"/>
      <c r="F1892" s="78" t="s">
        <v>3432</v>
      </c>
      <c r="G1892" s="26">
        <v>1</v>
      </c>
      <c r="H1892" s="26" t="s">
        <v>3431</v>
      </c>
      <c r="I1892" s="31"/>
    </row>
    <row r="1893" spans="1:9" hidden="1">
      <c r="A1893" s="889"/>
      <c r="B1893" s="47" t="s">
        <v>4569</v>
      </c>
      <c r="C1893" s="48"/>
      <c r="F1893" s="78" t="s">
        <v>1697</v>
      </c>
      <c r="G1893" s="26">
        <v>12</v>
      </c>
      <c r="H1893" s="26" t="s">
        <v>6703</v>
      </c>
      <c r="I1893" s="31"/>
    </row>
    <row r="1894" spans="1:9" hidden="1">
      <c r="A1894" s="889"/>
      <c r="B1894" s="47" t="s">
        <v>5632</v>
      </c>
      <c r="C1894" s="48"/>
      <c r="F1894" s="78" t="s">
        <v>1697</v>
      </c>
      <c r="G1894" s="26">
        <v>15</v>
      </c>
      <c r="H1894" s="26" t="s">
        <v>3433</v>
      </c>
      <c r="I1894" s="31"/>
    </row>
    <row r="1895" spans="1:9" hidden="1">
      <c r="A1895" s="889"/>
      <c r="B1895" s="47" t="s">
        <v>3985</v>
      </c>
      <c r="C1895" s="48"/>
      <c r="F1895" s="78" t="s">
        <v>1697</v>
      </c>
      <c r="G1895" s="68">
        <v>2</v>
      </c>
      <c r="H1895" s="26" t="s">
        <v>1433</v>
      </c>
      <c r="I1895" s="31"/>
    </row>
    <row r="1896" spans="1:9" hidden="1">
      <c r="A1896" s="889"/>
      <c r="B1896" s="47" t="s">
        <v>4030</v>
      </c>
      <c r="C1896" s="48"/>
      <c r="F1896" s="78" t="s">
        <v>1697</v>
      </c>
      <c r="G1896" s="26">
        <v>30</v>
      </c>
      <c r="H1896" s="26" t="s">
        <v>3562</v>
      </c>
      <c r="I1896" s="31"/>
    </row>
    <row r="1897" spans="1:9" hidden="1">
      <c r="A1897" s="889"/>
      <c r="B1897" s="47" t="s">
        <v>7322</v>
      </c>
      <c r="C1897" s="48"/>
      <c r="F1897" s="78" t="s">
        <v>1697</v>
      </c>
      <c r="G1897" s="68">
        <v>0.5</v>
      </c>
      <c r="H1897" s="26" t="s">
        <v>6901</v>
      </c>
      <c r="I1897" s="31"/>
    </row>
    <row r="1898" spans="1:9" hidden="1">
      <c r="A1898" s="889"/>
      <c r="B1898" s="47" t="s">
        <v>5634</v>
      </c>
      <c r="C1898" s="48"/>
      <c r="F1898" s="78" t="s">
        <v>1123</v>
      </c>
      <c r="G1898" s="68">
        <v>4</v>
      </c>
      <c r="H1898" s="26" t="s">
        <v>6901</v>
      </c>
      <c r="I1898" s="31"/>
    </row>
    <row r="1899" spans="1:9" hidden="1">
      <c r="A1899" s="889"/>
      <c r="B1899" s="47" t="s">
        <v>5635</v>
      </c>
      <c r="C1899" s="48"/>
      <c r="F1899" s="78" t="s">
        <v>1123</v>
      </c>
      <c r="G1899" s="26">
        <v>8</v>
      </c>
      <c r="H1899" s="26" t="s">
        <v>3435</v>
      </c>
      <c r="I1899" s="31"/>
    </row>
    <row r="1900" spans="1:9" hidden="1">
      <c r="A1900" s="889"/>
      <c r="B1900" s="47" t="s">
        <v>7323</v>
      </c>
      <c r="C1900" s="48"/>
      <c r="F1900" s="78" t="s">
        <v>1123</v>
      </c>
      <c r="G1900" s="68">
        <v>4</v>
      </c>
      <c r="H1900" s="26" t="s">
        <v>1433</v>
      </c>
      <c r="I1900" s="31"/>
    </row>
    <row r="1901" spans="1:9" hidden="1">
      <c r="A1901" s="889"/>
      <c r="B1901" s="47" t="s">
        <v>1613</v>
      </c>
      <c r="C1901" s="48"/>
      <c r="I1901" s="31"/>
    </row>
    <row r="1902" spans="1:9" hidden="1">
      <c r="A1902" s="889"/>
      <c r="B1902" s="47" t="s">
        <v>3258</v>
      </c>
      <c r="C1902" s="48"/>
      <c r="F1902" s="78" t="s">
        <v>1697</v>
      </c>
      <c r="G1902" s="68">
        <v>4</v>
      </c>
      <c r="H1902" s="26" t="s">
        <v>1433</v>
      </c>
      <c r="I1902" s="31"/>
    </row>
    <row r="1903" spans="1:9" hidden="1">
      <c r="A1903" s="889"/>
      <c r="B1903" s="47" t="s">
        <v>3003</v>
      </c>
      <c r="C1903" s="48"/>
      <c r="F1903" s="78" t="s">
        <v>1697</v>
      </c>
      <c r="G1903" s="68">
        <v>5</v>
      </c>
      <c r="H1903" s="26" t="s">
        <v>1433</v>
      </c>
      <c r="I1903" s="31"/>
    </row>
    <row r="1904" spans="1:9" hidden="1">
      <c r="A1904" s="889"/>
      <c r="B1904" s="47" t="s">
        <v>705</v>
      </c>
      <c r="C1904" s="48"/>
      <c r="F1904" s="78" t="s">
        <v>1697</v>
      </c>
      <c r="G1904" s="68">
        <v>2</v>
      </c>
      <c r="H1904" s="26" t="s">
        <v>1433</v>
      </c>
      <c r="I1904" s="31"/>
    </row>
    <row r="1905" spans="1:9" hidden="1">
      <c r="A1905" s="889"/>
      <c r="B1905" s="47" t="s">
        <v>4430</v>
      </c>
      <c r="C1905" s="48"/>
      <c r="F1905" s="78" t="s">
        <v>1697</v>
      </c>
      <c r="G1905" s="68">
        <v>4</v>
      </c>
      <c r="H1905" s="26" t="s">
        <v>1433</v>
      </c>
      <c r="I1905" s="31"/>
    </row>
    <row r="1906" spans="1:9" hidden="1">
      <c r="A1906" s="889"/>
      <c r="B1906" s="47" t="s">
        <v>263</v>
      </c>
      <c r="C1906" s="48"/>
      <c r="F1906" s="78" t="s">
        <v>1697</v>
      </c>
      <c r="G1906" s="173">
        <v>0.5</v>
      </c>
      <c r="H1906" s="26" t="s">
        <v>1433</v>
      </c>
      <c r="I1906" s="31"/>
    </row>
    <row r="1907" spans="1:9" hidden="1">
      <c r="A1907" s="889"/>
      <c r="C1907" s="48"/>
      <c r="E1907" s="26" t="s">
        <v>1518</v>
      </c>
      <c r="F1907" s="78" t="s">
        <v>1697</v>
      </c>
      <c r="G1907" s="68">
        <f>SUM(G1902:G1906)</f>
        <v>15.5</v>
      </c>
      <c r="H1907" s="26" t="s">
        <v>1433</v>
      </c>
      <c r="I1907" s="60"/>
    </row>
    <row r="1908" spans="1:9" hidden="1">
      <c r="A1908" s="889"/>
      <c r="B1908" s="47" t="s">
        <v>4431</v>
      </c>
      <c r="C1908" s="48"/>
      <c r="F1908" s="78" t="s">
        <v>1697</v>
      </c>
      <c r="G1908" s="26">
        <v>4</v>
      </c>
      <c r="H1908" s="26" t="s">
        <v>3436</v>
      </c>
      <c r="I1908" s="60"/>
    </row>
    <row r="1909" spans="1:9" hidden="1">
      <c r="A1909" s="889"/>
      <c r="B1909" s="47" t="s">
        <v>4432</v>
      </c>
      <c r="C1909" s="48"/>
      <c r="F1909" s="78" t="s">
        <v>1697</v>
      </c>
      <c r="G1909" s="68">
        <v>12.9</v>
      </c>
      <c r="H1909" s="26" t="s">
        <v>6901</v>
      </c>
      <c r="I1909" s="60"/>
    </row>
    <row r="1910" spans="1:9" hidden="1">
      <c r="A1910" s="889"/>
      <c r="B1910" s="47" t="s">
        <v>4433</v>
      </c>
      <c r="C1910" s="48"/>
      <c r="F1910" s="78" t="s">
        <v>1123</v>
      </c>
      <c r="G1910" s="26">
        <v>412.8</v>
      </c>
      <c r="H1910" s="26" t="s">
        <v>6901</v>
      </c>
      <c r="I1910" s="60"/>
    </row>
    <row r="1911" spans="1:9" hidden="1">
      <c r="A1911" s="889">
        <v>1</v>
      </c>
      <c r="B1911" s="47" t="s">
        <v>2860</v>
      </c>
      <c r="C1911" s="48"/>
    </row>
    <row r="1912" spans="1:9" hidden="1">
      <c r="A1912" s="841"/>
      <c r="B1912" s="47" t="s">
        <v>4449</v>
      </c>
      <c r="C1912" s="48"/>
    </row>
    <row r="1913" spans="1:9" hidden="1">
      <c r="A1913" s="841"/>
      <c r="B1913" s="47" t="s">
        <v>4434</v>
      </c>
      <c r="C1913" s="48"/>
      <c r="F1913" s="78" t="s">
        <v>1697</v>
      </c>
      <c r="G1913" s="26">
        <f>412.8*6/1.5</f>
        <v>1651.2</v>
      </c>
      <c r="H1913" s="26" t="s">
        <v>3883</v>
      </c>
    </row>
    <row r="1914" spans="1:9" hidden="1">
      <c r="A1914" s="841"/>
      <c r="B1914" s="47" t="s">
        <v>4450</v>
      </c>
      <c r="C1914" s="48"/>
      <c r="F1914" s="78" t="s">
        <v>1697</v>
      </c>
      <c r="G1914" s="26">
        <v>0.2</v>
      </c>
      <c r="H1914" s="26" t="s">
        <v>3561</v>
      </c>
    </row>
    <row r="1915" spans="1:9" hidden="1">
      <c r="A1915" s="841"/>
      <c r="B1915" s="47" t="s">
        <v>4435</v>
      </c>
      <c r="C1915" s="48"/>
      <c r="F1915" s="78" t="s">
        <v>1697</v>
      </c>
      <c r="G1915" s="26">
        <f>1651.2*1.05*0.2</f>
        <v>346.75200000000007</v>
      </c>
      <c r="H1915" s="26" t="s">
        <v>6901</v>
      </c>
    </row>
    <row r="1916" spans="1:9" hidden="1">
      <c r="A1916" s="892"/>
      <c r="B1916" s="382" t="s">
        <v>3248</v>
      </c>
      <c r="C1916" s="49"/>
      <c r="E1916" s="61"/>
      <c r="F1916" s="62" t="s">
        <v>1697</v>
      </c>
      <c r="G1916" s="61">
        <v>70</v>
      </c>
      <c r="H1916" s="61" t="s">
        <v>6901</v>
      </c>
      <c r="I1916" s="61"/>
    </row>
    <row r="1917" spans="1:9" hidden="1">
      <c r="A1917" s="841"/>
      <c r="B1917" s="47" t="s">
        <v>4436</v>
      </c>
      <c r="C1917" s="48"/>
      <c r="F1917" s="78" t="s">
        <v>1697</v>
      </c>
      <c r="G1917" s="68">
        <v>4.95</v>
      </c>
      <c r="H1917" s="26" t="s">
        <v>3428</v>
      </c>
    </row>
    <row r="1918" spans="1:9" hidden="1">
      <c r="A1918" s="841"/>
      <c r="B1918" s="47" t="s">
        <v>7324</v>
      </c>
      <c r="C1918" s="48"/>
    </row>
    <row r="1919" spans="1:9" hidden="1">
      <c r="A1919" s="841"/>
      <c r="B1919" s="47" t="s">
        <v>7325</v>
      </c>
      <c r="C1919" s="48"/>
      <c r="F1919" s="78" t="s">
        <v>1123</v>
      </c>
      <c r="G1919" s="68">
        <v>0.9</v>
      </c>
      <c r="H1919" s="26" t="s">
        <v>3428</v>
      </c>
    </row>
    <row r="1920" spans="1:9" hidden="1">
      <c r="A1920" s="889">
        <v>2</v>
      </c>
      <c r="B1920" s="47" t="s">
        <v>6281</v>
      </c>
      <c r="C1920" s="48"/>
    </row>
    <row r="1921" spans="1:9" hidden="1">
      <c r="A1921" s="841"/>
      <c r="B1921" s="47" t="s">
        <v>4117</v>
      </c>
      <c r="C1921" s="48"/>
    </row>
    <row r="1922" spans="1:9" hidden="1">
      <c r="A1922" s="841"/>
      <c r="B1922" s="47" t="s">
        <v>7326</v>
      </c>
      <c r="C1922" s="48"/>
    </row>
    <row r="1923" spans="1:9" hidden="1">
      <c r="A1923" s="889">
        <v>3</v>
      </c>
      <c r="B1923" s="47" t="s">
        <v>5954</v>
      </c>
      <c r="C1923" s="48"/>
    </row>
    <row r="1924" spans="1:9" hidden="1">
      <c r="A1924" s="841"/>
      <c r="B1924" s="47" t="s">
        <v>5362</v>
      </c>
      <c r="C1924" s="48"/>
      <c r="F1924" s="78" t="s">
        <v>1697</v>
      </c>
      <c r="G1924" s="26">
        <f>412.8*1.2</f>
        <v>495.36</v>
      </c>
      <c r="H1924" s="26" t="s">
        <v>6901</v>
      </c>
    </row>
    <row r="1925" spans="1:9" hidden="1">
      <c r="A1925" s="841"/>
      <c r="B1925" s="47" t="s">
        <v>6514</v>
      </c>
      <c r="C1925" s="48"/>
      <c r="F1925" s="78" t="s">
        <v>1697</v>
      </c>
      <c r="G1925" s="26">
        <v>200</v>
      </c>
      <c r="H1925" s="26" t="s">
        <v>6901</v>
      </c>
      <c r="I1925" s="171"/>
    </row>
    <row r="1926" spans="1:9" hidden="1">
      <c r="A1926" s="841"/>
      <c r="B1926" s="47" t="s">
        <v>2318</v>
      </c>
      <c r="C1926" s="48"/>
      <c r="F1926" s="78" t="s">
        <v>1123</v>
      </c>
      <c r="G1926" s="68">
        <v>2.5</v>
      </c>
      <c r="H1926" s="26" t="s">
        <v>3428</v>
      </c>
    </row>
    <row r="1927" spans="1:9" hidden="1">
      <c r="A1927" s="889">
        <v>4</v>
      </c>
      <c r="B1927" s="47" t="s">
        <v>1746</v>
      </c>
      <c r="C1927" s="48"/>
    </row>
    <row r="1928" spans="1:9" hidden="1">
      <c r="A1928" s="889"/>
      <c r="B1928" s="47" t="s">
        <v>6794</v>
      </c>
      <c r="C1928" s="48"/>
    </row>
    <row r="1929" spans="1:9" hidden="1">
      <c r="A1929" s="889"/>
      <c r="B1929" s="47" t="s">
        <v>3715</v>
      </c>
      <c r="C1929" s="48"/>
    </row>
    <row r="1930" spans="1:9" hidden="1">
      <c r="A1930" s="889"/>
      <c r="B1930" s="47" t="s">
        <v>6796</v>
      </c>
      <c r="C1930" s="48"/>
    </row>
    <row r="1931" spans="1:9" hidden="1">
      <c r="A1931" s="889"/>
      <c r="B1931" s="47" t="s">
        <v>2319</v>
      </c>
      <c r="C1931" s="48"/>
    </row>
    <row r="1932" spans="1:9" hidden="1">
      <c r="A1932" s="889"/>
      <c r="B1932" s="47" t="s">
        <v>3716</v>
      </c>
      <c r="C1932" s="48"/>
    </row>
    <row r="1933" spans="1:9" hidden="1">
      <c r="A1933" s="889"/>
      <c r="B1933" s="47" t="s">
        <v>3717</v>
      </c>
      <c r="C1933" s="48"/>
    </row>
    <row r="1934" spans="1:9" hidden="1">
      <c r="A1934" s="889"/>
      <c r="B1934" s="47" t="s">
        <v>3718</v>
      </c>
      <c r="C1934" s="48"/>
    </row>
    <row r="1935" spans="1:9" hidden="1">
      <c r="A1935" s="889">
        <v>5</v>
      </c>
      <c r="B1935" s="47" t="s">
        <v>6798</v>
      </c>
      <c r="C1935" s="48"/>
    </row>
    <row r="1936" spans="1:9" hidden="1">
      <c r="A1936" s="841"/>
      <c r="B1936" s="47" t="s">
        <v>3647</v>
      </c>
      <c r="C1936" s="48"/>
    </row>
    <row r="1937" spans="1:8" hidden="1">
      <c r="A1937" s="841"/>
      <c r="B1937" s="47" t="s">
        <v>9250</v>
      </c>
      <c r="C1937" s="48"/>
    </row>
    <row r="1938" spans="1:8" hidden="1">
      <c r="A1938" s="841"/>
      <c r="B1938" s="47" t="s">
        <v>2320</v>
      </c>
      <c r="C1938" s="48"/>
    </row>
    <row r="1939" spans="1:8" hidden="1">
      <c r="A1939" s="841"/>
      <c r="B1939" s="47" t="s">
        <v>3650</v>
      </c>
      <c r="C1939" s="48"/>
      <c r="F1939" s="78" t="s">
        <v>1697</v>
      </c>
      <c r="G1939" s="68">
        <v>1.9</v>
      </c>
      <c r="H1939" s="26" t="s">
        <v>3561</v>
      </c>
    </row>
    <row r="1940" spans="1:8" hidden="1">
      <c r="A1940" s="841"/>
      <c r="B1940" s="47" t="s">
        <v>4995</v>
      </c>
      <c r="C1940" s="48"/>
      <c r="F1940" s="78" t="s">
        <v>1697</v>
      </c>
      <c r="G1940" s="68">
        <v>4</v>
      </c>
      <c r="H1940" s="26" t="s">
        <v>3431</v>
      </c>
    </row>
    <row r="1941" spans="1:8" hidden="1">
      <c r="A1941" s="841"/>
      <c r="B1941" s="47" t="s">
        <v>4997</v>
      </c>
      <c r="C1941" s="48"/>
      <c r="F1941" s="78" t="s">
        <v>1697</v>
      </c>
      <c r="G1941" s="68">
        <v>0.22500000000000001</v>
      </c>
      <c r="H1941" s="26" t="s">
        <v>3561</v>
      </c>
    </row>
    <row r="1942" spans="1:8" hidden="1">
      <c r="A1942" s="841"/>
      <c r="B1942" s="47" t="s">
        <v>1504</v>
      </c>
      <c r="C1942" s="48"/>
      <c r="F1942" s="78" t="s">
        <v>1697</v>
      </c>
      <c r="G1942" s="26">
        <v>11</v>
      </c>
      <c r="H1942" s="26" t="s">
        <v>3436</v>
      </c>
    </row>
    <row r="1943" spans="1:8" hidden="1">
      <c r="A1943" s="841"/>
      <c r="B1943" s="47" t="s">
        <v>1126</v>
      </c>
      <c r="C1943" s="48"/>
    </row>
    <row r="1944" spans="1:8" hidden="1">
      <c r="A1944" s="841"/>
      <c r="B1944" s="47" t="s">
        <v>2321</v>
      </c>
      <c r="C1944" s="48"/>
      <c r="F1944" s="78" t="s">
        <v>1123</v>
      </c>
      <c r="G1944" s="26">
        <v>97.16</v>
      </c>
      <c r="H1944" s="26" t="s">
        <v>6901</v>
      </c>
    </row>
    <row r="1945" spans="1:8" hidden="1">
      <c r="A1945" s="841"/>
      <c r="B1945" s="47" t="s">
        <v>2322</v>
      </c>
      <c r="C1945" s="48"/>
      <c r="F1945" s="78" t="s">
        <v>1123</v>
      </c>
      <c r="G1945" s="26">
        <v>5.0999999999999996</v>
      </c>
      <c r="H1945" s="26" t="s">
        <v>3428</v>
      </c>
    </row>
    <row r="1946" spans="1:8" hidden="1">
      <c r="A1946" s="889">
        <v>6</v>
      </c>
      <c r="B1946" s="47" t="s">
        <v>1129</v>
      </c>
      <c r="C1946" s="48"/>
    </row>
    <row r="1947" spans="1:8" hidden="1">
      <c r="A1947" s="889"/>
      <c r="B1947" s="47" t="s">
        <v>5043</v>
      </c>
      <c r="C1947" s="48"/>
    </row>
    <row r="1948" spans="1:8">
      <c r="A1948" s="847"/>
      <c r="B1948" s="78"/>
      <c r="C1948" s="48"/>
    </row>
    <row r="1949" spans="1:8">
      <c r="A1949" s="889" t="s">
        <v>3984</v>
      </c>
      <c r="B1949" s="78"/>
      <c r="C1949" s="349" t="s">
        <v>2367</v>
      </c>
      <c r="E1949" s="171" t="s">
        <v>297</v>
      </c>
      <c r="F1949" s="246">
        <v>412.8</v>
      </c>
      <c r="G1949" s="26" t="s">
        <v>3477</v>
      </c>
    </row>
    <row r="1950" spans="1:8">
      <c r="A1950" s="847"/>
      <c r="B1950" s="79" t="s">
        <v>2368</v>
      </c>
      <c r="C1950" s="48"/>
    </row>
    <row r="1951" spans="1:8">
      <c r="A1951" s="847"/>
      <c r="B1951" s="95" t="s">
        <v>2369</v>
      </c>
      <c r="C1951" s="350" t="s">
        <v>6374</v>
      </c>
      <c r="D1951" s="95" t="s">
        <v>2370</v>
      </c>
      <c r="E1951" s="95" t="s">
        <v>1166</v>
      </c>
      <c r="F1951" s="95" t="s">
        <v>2371</v>
      </c>
      <c r="G1951" s="95" t="s">
        <v>2372</v>
      </c>
    </row>
    <row r="1952" spans="1:8">
      <c r="A1952" s="847"/>
      <c r="B1952" s="114"/>
      <c r="C1952" s="351"/>
      <c r="D1952" s="114"/>
      <c r="E1952" s="114"/>
      <c r="F1952" s="114" t="s">
        <v>3485</v>
      </c>
      <c r="G1952" s="114" t="s">
        <v>3485</v>
      </c>
    </row>
    <row r="1953" spans="1:9">
      <c r="A1953" s="847"/>
      <c r="B1953" s="95">
        <v>1</v>
      </c>
      <c r="C1953" s="352" t="s">
        <v>1130</v>
      </c>
      <c r="D1953" s="95"/>
      <c r="E1953" s="190">
        <v>0</v>
      </c>
      <c r="F1953" s="190">
        <v>0</v>
      </c>
      <c r="G1953" s="190">
        <f>E1953*F1953</f>
        <v>0</v>
      </c>
    </row>
    <row r="1954" spans="1:9">
      <c r="A1954" s="847"/>
      <c r="B1954" s="280"/>
      <c r="C1954" s="86"/>
      <c r="D1954" s="105"/>
      <c r="E1954" s="190">
        <v>0</v>
      </c>
      <c r="F1954" s="190">
        <v>0</v>
      </c>
      <c r="G1954" s="190">
        <f>E1954*F1954</f>
        <v>0</v>
      </c>
    </row>
    <row r="1955" spans="1:9">
      <c r="A1955" s="847"/>
      <c r="B1955" s="176"/>
      <c r="C1955" s="353" t="s">
        <v>2376</v>
      </c>
      <c r="D1955" s="159"/>
      <c r="E1955" s="238"/>
      <c r="F1955" s="236" t="s">
        <v>1698</v>
      </c>
      <c r="G1955" s="318">
        <f>SUM(G1953:G1954)</f>
        <v>0</v>
      </c>
      <c r="I1955" s="61"/>
    </row>
    <row r="1956" spans="1:9">
      <c r="A1956" s="847"/>
      <c r="B1956" s="78"/>
      <c r="C1956" s="48"/>
    </row>
    <row r="1957" spans="1:9">
      <c r="A1957" s="847"/>
      <c r="B1957" s="79" t="s">
        <v>2377</v>
      </c>
      <c r="C1957" s="48"/>
    </row>
    <row r="1958" spans="1:9">
      <c r="A1958" s="847"/>
      <c r="B1958" s="95" t="s">
        <v>2369</v>
      </c>
      <c r="C1958" s="350" t="s">
        <v>2378</v>
      </c>
      <c r="D1958" s="95" t="s">
        <v>2370</v>
      </c>
      <c r="E1958" s="95" t="s">
        <v>1166</v>
      </c>
      <c r="F1958" s="95" t="s">
        <v>2371</v>
      </c>
      <c r="G1958" s="95" t="s">
        <v>2372</v>
      </c>
    </row>
    <row r="1959" spans="1:9">
      <c r="A1959" s="847"/>
      <c r="B1959" s="114"/>
      <c r="C1959" s="351"/>
      <c r="D1959" s="114"/>
      <c r="E1959" s="114"/>
      <c r="F1959" s="114" t="s">
        <v>3485</v>
      </c>
      <c r="G1959" s="114" t="s">
        <v>3485</v>
      </c>
    </row>
    <row r="1960" spans="1:9">
      <c r="A1960" s="847"/>
      <c r="B1960" s="95">
        <v>1</v>
      </c>
      <c r="C1960" s="355" t="s">
        <v>1502</v>
      </c>
      <c r="D1960" s="95" t="s">
        <v>2374</v>
      </c>
      <c r="E1960" s="220">
        <v>3.4</v>
      </c>
      <c r="F1960" s="214">
        <f>'HIRE CHARGES'!$D$499</f>
        <v>1715.5</v>
      </c>
      <c r="G1960" s="190">
        <f t="shared" ref="G1960:G1972" si="24">E1960*F1960</f>
        <v>5832.7</v>
      </c>
      <c r="I1960" s="75"/>
    </row>
    <row r="1961" spans="1:9">
      <c r="A1961" s="847"/>
      <c r="B1961" s="152"/>
      <c r="C1961" s="355" t="s">
        <v>2379</v>
      </c>
      <c r="D1961" s="105" t="s">
        <v>2374</v>
      </c>
      <c r="E1961" s="220">
        <v>3.4</v>
      </c>
      <c r="F1961" s="214">
        <f>'HIRE CHARGES'!$E$499</f>
        <v>610.5</v>
      </c>
      <c r="G1961" s="190">
        <f t="shared" si="24"/>
        <v>2075.6999999999998</v>
      </c>
      <c r="I1961" s="75"/>
    </row>
    <row r="1962" spans="1:9">
      <c r="A1962" s="847"/>
      <c r="B1962" s="105">
        <v>2</v>
      </c>
      <c r="C1962" s="355" t="s">
        <v>2951</v>
      </c>
      <c r="D1962" s="105" t="s">
        <v>2374</v>
      </c>
      <c r="E1962" s="220">
        <v>8</v>
      </c>
      <c r="F1962" s="190">
        <f>'HIRE CHARGES'!$D$542</f>
        <v>1003.1</v>
      </c>
      <c r="G1962" s="190">
        <f t="shared" si="24"/>
        <v>8024.8</v>
      </c>
      <c r="I1962" s="75"/>
    </row>
    <row r="1963" spans="1:9">
      <c r="A1963" s="847"/>
      <c r="B1963" s="152"/>
      <c r="C1963" s="355" t="s">
        <v>2379</v>
      </c>
      <c r="D1963" s="105" t="s">
        <v>2374</v>
      </c>
      <c r="E1963" s="220">
        <v>8</v>
      </c>
      <c r="F1963" s="190">
        <f>'HIRE CHARGES'!$E$542</f>
        <v>476</v>
      </c>
      <c r="G1963" s="190">
        <f t="shared" si="24"/>
        <v>3808</v>
      </c>
      <c r="I1963" s="75"/>
    </row>
    <row r="1964" spans="1:9">
      <c r="A1964" s="847"/>
      <c r="B1964" s="105">
        <v>3</v>
      </c>
      <c r="C1964" s="355" t="s">
        <v>3797</v>
      </c>
      <c r="D1964" s="105" t="s">
        <v>2374</v>
      </c>
      <c r="E1964" s="220">
        <v>32</v>
      </c>
      <c r="F1964" s="190">
        <f>'HIRE CHARGES'!$D$545</f>
        <v>446.7</v>
      </c>
      <c r="G1964" s="190">
        <f t="shared" si="24"/>
        <v>14294.4</v>
      </c>
      <c r="I1964" s="75"/>
    </row>
    <row r="1965" spans="1:9">
      <c r="A1965" s="847"/>
      <c r="B1965" s="152"/>
      <c r="C1965" s="355" t="s">
        <v>2379</v>
      </c>
      <c r="D1965" s="105" t="s">
        <v>2374</v>
      </c>
      <c r="E1965" s="220">
        <v>32</v>
      </c>
      <c r="F1965" s="190">
        <f>'HIRE CHARGES'!$E$545</f>
        <v>299.89999999999998</v>
      </c>
      <c r="G1965" s="190">
        <f t="shared" si="24"/>
        <v>9596.7999999999993</v>
      </c>
      <c r="I1965" s="75"/>
    </row>
    <row r="1966" spans="1:9">
      <c r="A1966" s="847"/>
      <c r="B1966" s="105">
        <v>4</v>
      </c>
      <c r="C1966" s="355" t="s">
        <v>1132</v>
      </c>
      <c r="D1966" s="105" t="s">
        <v>2374</v>
      </c>
      <c r="E1966" s="220">
        <v>2</v>
      </c>
      <c r="F1966" s="214">
        <f>'HIRE CHARGES'!$D$517</f>
        <v>10.199999999999999</v>
      </c>
      <c r="G1966" s="190">
        <f t="shared" si="24"/>
        <v>20.399999999999999</v>
      </c>
      <c r="I1966" s="75"/>
    </row>
    <row r="1967" spans="1:9">
      <c r="A1967" s="847"/>
      <c r="B1967" s="152"/>
      <c r="C1967" s="355" t="s">
        <v>2379</v>
      </c>
      <c r="D1967" s="105" t="s">
        <v>2374</v>
      </c>
      <c r="E1967" s="220">
        <v>2</v>
      </c>
      <c r="F1967" s="214">
        <f>'HIRE CHARGES'!$E$517</f>
        <v>79.3</v>
      </c>
      <c r="G1967" s="190">
        <f t="shared" si="24"/>
        <v>158.6</v>
      </c>
      <c r="I1967" s="75"/>
    </row>
    <row r="1968" spans="1:9">
      <c r="A1968" s="847"/>
      <c r="B1968" s="105">
        <v>5</v>
      </c>
      <c r="C1968" s="355" t="s">
        <v>6286</v>
      </c>
      <c r="D1968" s="105" t="s">
        <v>2374</v>
      </c>
      <c r="E1968" s="220">
        <v>4</v>
      </c>
      <c r="F1968" s="214">
        <f>'HIRE CHARGES'!$D$555</f>
        <v>402.5</v>
      </c>
      <c r="G1968" s="190">
        <f t="shared" si="24"/>
        <v>1610</v>
      </c>
      <c r="I1968" s="75"/>
    </row>
    <row r="1969" spans="1:9">
      <c r="A1969" s="847"/>
      <c r="B1969" s="105"/>
      <c r="C1969" s="355" t="s">
        <v>2379</v>
      </c>
      <c r="D1969" s="105" t="s">
        <v>2374</v>
      </c>
      <c r="E1969" s="220">
        <v>4</v>
      </c>
      <c r="F1969" s="214">
        <f>'HIRE CHARGES'!$E$555</f>
        <v>299.89999999999998</v>
      </c>
      <c r="G1969" s="190">
        <f t="shared" si="24"/>
        <v>1199.5999999999999</v>
      </c>
      <c r="I1969" s="75"/>
    </row>
    <row r="1970" spans="1:9">
      <c r="A1970" s="847"/>
      <c r="B1970" s="105">
        <v>6</v>
      </c>
      <c r="C1970" s="355" t="s">
        <v>9251</v>
      </c>
      <c r="D1970" s="105" t="s">
        <v>2374</v>
      </c>
      <c r="E1970" s="220">
        <v>5.0999999999999996</v>
      </c>
      <c r="F1970" s="214">
        <f>'HIRE CHARGES'!$D$553</f>
        <v>1342.2</v>
      </c>
      <c r="G1970" s="190">
        <f t="shared" si="24"/>
        <v>6845.2199999999993</v>
      </c>
      <c r="I1970" s="75"/>
    </row>
    <row r="1971" spans="1:9">
      <c r="A1971" s="847"/>
      <c r="B1971" s="152"/>
      <c r="C1971" s="355" t="s">
        <v>2379</v>
      </c>
      <c r="D1971" s="105" t="s">
        <v>2374</v>
      </c>
      <c r="E1971" s="220">
        <v>5.0999999999999996</v>
      </c>
      <c r="F1971" s="214">
        <f>'HIRE CHARGES'!$E$553</f>
        <v>1031.4000000000001</v>
      </c>
      <c r="G1971" s="190">
        <f t="shared" si="24"/>
        <v>5260.14</v>
      </c>
      <c r="I1971" s="75"/>
    </row>
    <row r="1972" spans="1:9">
      <c r="A1972" s="847"/>
      <c r="B1972" s="105">
        <v>7</v>
      </c>
      <c r="C1972" s="355" t="s">
        <v>2373</v>
      </c>
      <c r="D1972" s="105" t="s">
        <v>2173</v>
      </c>
      <c r="E1972" s="220">
        <v>2</v>
      </c>
      <c r="F1972" s="190">
        <f>'BASIC DATA'!$D$359</f>
        <v>30</v>
      </c>
      <c r="G1972" s="190">
        <f t="shared" si="24"/>
        <v>60</v>
      </c>
      <c r="I1972" s="75"/>
    </row>
    <row r="1973" spans="1:9">
      <c r="A1973" s="847"/>
      <c r="B1973" s="176"/>
      <c r="C1973" s="357" t="s">
        <v>2380</v>
      </c>
      <c r="D1973" s="174"/>
      <c r="E1973" s="192"/>
      <c r="F1973" s="236" t="s">
        <v>1698</v>
      </c>
      <c r="G1973" s="354">
        <f>SUM(G1960:G1972)</f>
        <v>58786.359999999993</v>
      </c>
    </row>
    <row r="1974" spans="1:9">
      <c r="A1974" s="847"/>
      <c r="B1974" s="78"/>
      <c r="C1974" s="48"/>
    </row>
    <row r="1975" spans="1:9">
      <c r="A1975" s="847"/>
      <c r="B1975" s="79" t="s">
        <v>2381</v>
      </c>
      <c r="C1975" s="48"/>
    </row>
    <row r="1976" spans="1:9">
      <c r="A1976" s="847"/>
      <c r="B1976" s="95" t="s">
        <v>2369</v>
      </c>
      <c r="C1976" s="350" t="s">
        <v>2378</v>
      </c>
      <c r="D1976" s="95" t="s">
        <v>2370</v>
      </c>
      <c r="E1976" s="95" t="s">
        <v>1166</v>
      </c>
      <c r="F1976" s="95" t="s">
        <v>2371</v>
      </c>
      <c r="G1976" s="95" t="s">
        <v>2372</v>
      </c>
    </row>
    <row r="1977" spans="1:9">
      <c r="A1977" s="847"/>
      <c r="B1977" s="114"/>
      <c r="C1977" s="351"/>
      <c r="D1977" s="105"/>
      <c r="E1977" s="114"/>
      <c r="F1977" s="114" t="s">
        <v>3485</v>
      </c>
      <c r="G1977" s="114" t="s">
        <v>3485</v>
      </c>
    </row>
    <row r="1978" spans="1:9">
      <c r="A1978" s="847"/>
      <c r="B1978" s="105">
        <v>1</v>
      </c>
      <c r="C1978" s="86" t="s">
        <v>2870</v>
      </c>
      <c r="D1978" s="95" t="s">
        <v>2374</v>
      </c>
      <c r="E1978" s="207">
        <v>3.4</v>
      </c>
      <c r="F1978" s="190">
        <f>'HIRE CHARGES'!$F$499</f>
        <v>236.6</v>
      </c>
      <c r="G1978" s="190">
        <f t="shared" ref="G1978:G1985" si="25">E1978*F1978</f>
        <v>804.43999999999994</v>
      </c>
      <c r="I1978" s="75"/>
    </row>
    <row r="1979" spans="1:9">
      <c r="A1979" s="847"/>
      <c r="B1979" s="105">
        <v>2</v>
      </c>
      <c r="C1979" s="86" t="s">
        <v>300</v>
      </c>
      <c r="D1979" s="105" t="s">
        <v>2374</v>
      </c>
      <c r="E1979" s="207">
        <v>8</v>
      </c>
      <c r="F1979" s="190">
        <f>'HIRE CHARGES'!$F$542</f>
        <v>236.6</v>
      </c>
      <c r="G1979" s="190">
        <f t="shared" si="25"/>
        <v>1892.8</v>
      </c>
      <c r="I1979" s="75"/>
    </row>
    <row r="1980" spans="1:9">
      <c r="A1980" s="847"/>
      <c r="B1980" s="105">
        <v>3</v>
      </c>
      <c r="C1980" s="86" t="s">
        <v>301</v>
      </c>
      <c r="D1980" s="105" t="s">
        <v>2374</v>
      </c>
      <c r="E1980" s="207">
        <v>32</v>
      </c>
      <c r="F1980" s="190">
        <f>'HIRE CHARGES'!$F$545</f>
        <v>177.5</v>
      </c>
      <c r="G1980" s="190">
        <f t="shared" si="25"/>
        <v>5680</v>
      </c>
      <c r="I1980" s="75"/>
    </row>
    <row r="1981" spans="1:9">
      <c r="A1981" s="847"/>
      <c r="B1981" s="105">
        <v>4</v>
      </c>
      <c r="C1981" s="86" t="s">
        <v>999</v>
      </c>
      <c r="D1981" s="105" t="s">
        <v>2374</v>
      </c>
      <c r="E1981" s="207">
        <v>2</v>
      </c>
      <c r="F1981" s="190">
        <f>'HIRE CHARGES'!$F$517</f>
        <v>111.1</v>
      </c>
      <c r="G1981" s="190">
        <f t="shared" si="25"/>
        <v>222.2</v>
      </c>
      <c r="I1981" s="75"/>
    </row>
    <row r="1982" spans="1:9">
      <c r="A1982" s="847"/>
      <c r="B1982" s="105">
        <v>5</v>
      </c>
      <c r="C1982" s="86" t="s">
        <v>1000</v>
      </c>
      <c r="D1982" s="105" t="s">
        <v>2374</v>
      </c>
      <c r="E1982" s="207">
        <v>4</v>
      </c>
      <c r="F1982" s="190">
        <f>'HIRE CHARGES'!$F$555</f>
        <v>177.5</v>
      </c>
      <c r="G1982" s="190">
        <f t="shared" si="25"/>
        <v>710</v>
      </c>
      <c r="I1982" s="75"/>
    </row>
    <row r="1983" spans="1:9">
      <c r="A1983" s="847"/>
      <c r="B1983" s="105">
        <v>6</v>
      </c>
      <c r="C1983" s="86" t="s">
        <v>1001</v>
      </c>
      <c r="D1983" s="105" t="s">
        <v>2374</v>
      </c>
      <c r="E1983" s="207">
        <v>5.0999999999999996</v>
      </c>
      <c r="F1983" s="190">
        <f>'HIRE CHARGES'!$F$553</f>
        <v>263.60000000000002</v>
      </c>
      <c r="G1983" s="190">
        <f t="shared" si="25"/>
        <v>1344.3600000000001</v>
      </c>
      <c r="I1983" s="75"/>
    </row>
    <row r="1984" spans="1:9">
      <c r="A1984" s="847"/>
      <c r="B1984" s="105">
        <v>7</v>
      </c>
      <c r="C1984" s="86" t="s">
        <v>4206</v>
      </c>
      <c r="D1984" s="105" t="s">
        <v>1172</v>
      </c>
      <c r="E1984" s="207">
        <v>2</v>
      </c>
      <c r="F1984" s="190">
        <f>'BASIC DATA'!$C$473</f>
        <v>450</v>
      </c>
      <c r="G1984" s="190">
        <f t="shared" si="25"/>
        <v>900</v>
      </c>
      <c r="I1984" s="75"/>
    </row>
    <row r="1985" spans="1:9">
      <c r="A1985" s="847"/>
      <c r="B1985" s="105">
        <v>8</v>
      </c>
      <c r="C1985" s="86" t="s">
        <v>2697</v>
      </c>
      <c r="D1985" s="105" t="s">
        <v>1172</v>
      </c>
      <c r="E1985" s="207">
        <v>4</v>
      </c>
      <c r="F1985" s="190">
        <f>'BASIC DATA'!$C$552</f>
        <v>350</v>
      </c>
      <c r="G1985" s="190">
        <f t="shared" si="25"/>
        <v>1400</v>
      </c>
      <c r="I1985" s="75"/>
    </row>
    <row r="1986" spans="1:9">
      <c r="A1986" s="847"/>
      <c r="B1986" s="92"/>
      <c r="C1986" s="353" t="s">
        <v>1174</v>
      </c>
      <c r="D1986" s="159"/>
      <c r="E1986" s="238"/>
      <c r="F1986" s="236" t="s">
        <v>1698</v>
      </c>
      <c r="G1986" s="318">
        <f>SUM(G1978:G1985)</f>
        <v>12953.800000000001</v>
      </c>
    </row>
    <row r="1987" spans="1:9">
      <c r="A1987" s="847"/>
      <c r="B1987" s="359" t="s">
        <v>5948</v>
      </c>
      <c r="C1987" s="48"/>
      <c r="D1987" s="31"/>
      <c r="E1987" s="31"/>
      <c r="F1987" s="85">
        <f>ROUND(G1986/F1949,1)</f>
        <v>31.4</v>
      </c>
    </row>
    <row r="1988" spans="1:9">
      <c r="A1988" s="847"/>
      <c r="B1988" s="359" t="s">
        <v>3163</v>
      </c>
      <c r="C1988" s="48"/>
      <c r="D1988" s="31"/>
      <c r="E1988" s="922">
        <f>'BASIC DATA'!$C$577</f>
        <v>0.13614999999999999</v>
      </c>
      <c r="F1988" s="85">
        <f>ROUND(F1987*E1988,1)</f>
        <v>4.3</v>
      </c>
    </row>
    <row r="1989" spans="1:9">
      <c r="A1989" s="847"/>
      <c r="B1989" s="359" t="s">
        <v>5949</v>
      </c>
      <c r="C1989" s="48"/>
      <c r="D1989" s="31"/>
      <c r="E1989" s="31"/>
      <c r="F1989" s="199">
        <f>ROUND(F1988+F1987,1)</f>
        <v>35.700000000000003</v>
      </c>
    </row>
    <row r="1990" spans="1:9">
      <c r="A1990" s="847"/>
      <c r="C1990" s="48"/>
    </row>
    <row r="1991" spans="1:9">
      <c r="A1991" s="847"/>
      <c r="B1991" s="162" t="s">
        <v>1175</v>
      </c>
      <c r="C1991" s="48"/>
    </row>
    <row r="1992" spans="1:9">
      <c r="A1992" s="847"/>
      <c r="B1992" s="47" t="s">
        <v>1176</v>
      </c>
      <c r="C1992" s="48"/>
      <c r="F1992" s="171" t="s">
        <v>1698</v>
      </c>
      <c r="G1992" s="68">
        <f>G1955</f>
        <v>0</v>
      </c>
    </row>
    <row r="1993" spans="1:9">
      <c r="A1993" s="847"/>
      <c r="B1993" s="47" t="s">
        <v>1186</v>
      </c>
      <c r="C1993" s="48"/>
      <c r="F1993" s="171" t="s">
        <v>1698</v>
      </c>
      <c r="G1993" s="68">
        <f>G1973</f>
        <v>58786.359999999993</v>
      </c>
    </row>
    <row r="1994" spans="1:9">
      <c r="A1994" s="847"/>
      <c r="B1994" s="47" t="s">
        <v>2660</v>
      </c>
      <c r="C1994" s="48"/>
      <c r="F1994" s="171" t="s">
        <v>1698</v>
      </c>
      <c r="G1994" s="75">
        <f>G1986</f>
        <v>12953.800000000001</v>
      </c>
    </row>
    <row r="1995" spans="1:9">
      <c r="A1995" s="847"/>
      <c r="B1995" s="78"/>
      <c r="C1995" s="48"/>
      <c r="E1995" s="261"/>
      <c r="F1995" s="171" t="s">
        <v>302</v>
      </c>
      <c r="G1995" s="205">
        <f>SUM(G1992:G1994)</f>
        <v>71740.159999999989</v>
      </c>
    </row>
    <row r="1996" spans="1:9" ht="36.75" customHeight="1">
      <c r="A1996" s="847"/>
      <c r="B1996" s="1207" t="s">
        <v>1379</v>
      </c>
      <c r="C1996" s="1207"/>
      <c r="D1996" s="1207"/>
      <c r="E1996" s="922">
        <f>'BASIC DATA'!$C$577</f>
        <v>0.13614999999999999</v>
      </c>
      <c r="F1996" s="171" t="s">
        <v>1698</v>
      </c>
      <c r="G1996" s="31">
        <f>ROUND(G1995*E1996,2)</f>
        <v>9767.42</v>
      </c>
    </row>
    <row r="1997" spans="1:9">
      <c r="A1997" s="847"/>
      <c r="B1997" s="47" t="s">
        <v>1191</v>
      </c>
      <c r="C1997" s="48"/>
      <c r="D1997" s="68">
        <f>F1949</f>
        <v>412.8</v>
      </c>
      <c r="E1997" s="68" t="str">
        <f>G1949</f>
        <v>cum</v>
      </c>
      <c r="F1997" s="171" t="s">
        <v>1698</v>
      </c>
      <c r="G1997" s="211">
        <f>G1996+G1995</f>
        <v>81507.579999999987</v>
      </c>
    </row>
    <row r="1998" spans="1:9">
      <c r="A1998" s="847"/>
      <c r="B1998" s="79" t="s">
        <v>1584</v>
      </c>
      <c r="C1998" s="356" t="str">
        <f>E1997</f>
        <v>cum</v>
      </c>
      <c r="D1998" s="26" t="s">
        <v>5771</v>
      </c>
      <c r="F1998" s="171" t="s">
        <v>4108</v>
      </c>
      <c r="G1998" s="211">
        <f>ROUND(G1997/D1997,1)</f>
        <v>197.5</v>
      </c>
      <c r="H1998" s="171"/>
    </row>
    <row r="1999" spans="1:9">
      <c r="A1999" s="847"/>
      <c r="B1999" s="78"/>
      <c r="C1999" s="48"/>
    </row>
    <row r="2000" spans="1:9">
      <c r="A2000" s="847"/>
      <c r="B2000" s="78"/>
      <c r="C2000" s="48"/>
    </row>
    <row r="2001" spans="1:8" ht="18.75">
      <c r="A2001" s="841" t="s">
        <v>7435</v>
      </c>
      <c r="B2001" s="47" t="s">
        <v>8664</v>
      </c>
      <c r="C2001" s="48"/>
    </row>
    <row r="2002" spans="1:8">
      <c r="A2002" s="889"/>
      <c r="B2002" s="47" t="s">
        <v>8667</v>
      </c>
      <c r="C2002" s="48"/>
    </row>
    <row r="2003" spans="1:8">
      <c r="A2003" s="889"/>
      <c r="B2003" s="47" t="s">
        <v>7321</v>
      </c>
      <c r="C2003" s="48"/>
    </row>
    <row r="2004" spans="1:8" ht="18.75">
      <c r="A2004" s="889"/>
      <c r="B2004" s="47" t="s">
        <v>8668</v>
      </c>
      <c r="C2004" s="48"/>
    </row>
    <row r="2005" spans="1:8">
      <c r="A2005" s="889"/>
      <c r="B2005" s="47" t="s">
        <v>9228</v>
      </c>
      <c r="C2005" s="48"/>
    </row>
    <row r="2006" spans="1:8">
      <c r="A2006" s="889"/>
      <c r="B2006" s="162" t="s">
        <v>9223</v>
      </c>
      <c r="C2006" s="48"/>
    </row>
    <row r="2007" spans="1:8">
      <c r="A2007" s="889"/>
      <c r="C2007" s="48"/>
    </row>
    <row r="2008" spans="1:8" hidden="1">
      <c r="A2008" s="889" t="s">
        <v>3984</v>
      </c>
      <c r="B2008" s="47" t="s">
        <v>1766</v>
      </c>
      <c r="C2008" s="48"/>
      <c r="F2008" s="78"/>
    </row>
    <row r="2009" spans="1:8" hidden="1">
      <c r="A2009" s="889"/>
      <c r="B2009" s="47" t="s">
        <v>1767</v>
      </c>
      <c r="C2009" s="48"/>
      <c r="F2009" s="78" t="s">
        <v>1697</v>
      </c>
      <c r="G2009" s="26">
        <v>412.8</v>
      </c>
      <c r="H2009" s="26" t="s">
        <v>6901</v>
      </c>
    </row>
    <row r="2010" spans="1:8" hidden="1">
      <c r="A2010" s="889">
        <v>1</v>
      </c>
      <c r="B2010" s="47" t="s">
        <v>2860</v>
      </c>
      <c r="C2010" s="48"/>
      <c r="F2010" s="78"/>
    </row>
    <row r="2011" spans="1:8" hidden="1">
      <c r="A2011" s="841"/>
      <c r="B2011" s="47" t="s">
        <v>1768</v>
      </c>
      <c r="C2011" s="48"/>
      <c r="F2011" s="78" t="s">
        <v>1697</v>
      </c>
      <c r="G2011" s="68">
        <v>0.9</v>
      </c>
      <c r="H2011" s="26" t="s">
        <v>3037</v>
      </c>
    </row>
    <row r="2012" spans="1:8" hidden="1">
      <c r="A2012" s="889">
        <v>2</v>
      </c>
      <c r="B2012" s="47" t="s">
        <v>6281</v>
      </c>
      <c r="C2012" s="48"/>
      <c r="F2012" s="78"/>
    </row>
    <row r="2013" spans="1:8" hidden="1">
      <c r="A2013" s="841"/>
      <c r="B2013" s="47" t="s">
        <v>1769</v>
      </c>
      <c r="C2013" s="48"/>
      <c r="F2013" s="78" t="s">
        <v>1697</v>
      </c>
      <c r="G2013" s="68">
        <v>8</v>
      </c>
      <c r="H2013" s="26" t="s">
        <v>3428</v>
      </c>
    </row>
    <row r="2014" spans="1:8" hidden="1">
      <c r="A2014" s="841"/>
      <c r="B2014" s="47" t="s">
        <v>1770</v>
      </c>
      <c r="C2014" s="48"/>
      <c r="F2014" s="78" t="s">
        <v>1697</v>
      </c>
      <c r="G2014" s="68">
        <v>32</v>
      </c>
      <c r="H2014" s="26" t="s">
        <v>3428</v>
      </c>
    </row>
    <row r="2015" spans="1:8" hidden="1">
      <c r="A2015" s="889">
        <v>3</v>
      </c>
      <c r="B2015" s="47" t="s">
        <v>4605</v>
      </c>
      <c r="C2015" s="48"/>
      <c r="F2015" s="78"/>
    </row>
    <row r="2016" spans="1:8" hidden="1">
      <c r="A2016" s="841"/>
      <c r="B2016" s="47" t="s">
        <v>1771</v>
      </c>
      <c r="C2016" s="48"/>
      <c r="F2016" s="78" t="s">
        <v>1697</v>
      </c>
      <c r="G2016" s="68">
        <v>2</v>
      </c>
      <c r="H2016" s="26" t="s">
        <v>3428</v>
      </c>
    </row>
    <row r="2017" spans="1:9" hidden="1">
      <c r="A2017" s="889">
        <v>4</v>
      </c>
      <c r="B2017" s="47" t="s">
        <v>6193</v>
      </c>
      <c r="C2017" s="48"/>
      <c r="F2017" s="78"/>
    </row>
    <row r="2018" spans="1:9" hidden="1">
      <c r="A2018" s="841"/>
      <c r="B2018" s="47" t="s">
        <v>1772</v>
      </c>
      <c r="C2018" s="48"/>
      <c r="F2018" s="78" t="s">
        <v>1697</v>
      </c>
      <c r="G2018" s="68">
        <v>4</v>
      </c>
      <c r="H2018" s="26" t="s">
        <v>3428</v>
      </c>
    </row>
    <row r="2019" spans="1:9" hidden="1">
      <c r="A2019" s="841"/>
      <c r="B2019" s="47" t="s">
        <v>1773</v>
      </c>
      <c r="C2019" s="48"/>
      <c r="F2019" s="78" t="s">
        <v>1697</v>
      </c>
      <c r="G2019" s="68">
        <v>2</v>
      </c>
      <c r="H2019" s="26" t="s">
        <v>3428</v>
      </c>
    </row>
    <row r="2020" spans="1:9" hidden="1">
      <c r="A2020" s="889">
        <v>5</v>
      </c>
      <c r="B2020" s="47" t="s">
        <v>6798</v>
      </c>
      <c r="C2020" s="48"/>
    </row>
    <row r="2021" spans="1:9" hidden="1">
      <c r="A2021" s="841"/>
      <c r="B2021" s="47" t="s">
        <v>6194</v>
      </c>
      <c r="C2021" s="48"/>
    </row>
    <row r="2022" spans="1:9" hidden="1">
      <c r="A2022" s="841"/>
      <c r="B2022" s="47" t="s">
        <v>9252</v>
      </c>
      <c r="C2022" s="48"/>
    </row>
    <row r="2023" spans="1:9" hidden="1">
      <c r="A2023" s="841"/>
      <c r="B2023" s="47" t="s">
        <v>3443</v>
      </c>
      <c r="C2023" s="48"/>
    </row>
    <row r="2024" spans="1:9" hidden="1">
      <c r="A2024" s="841"/>
      <c r="B2024" s="47" t="s">
        <v>3650</v>
      </c>
      <c r="C2024" s="48"/>
      <c r="F2024" s="78" t="s">
        <v>1697</v>
      </c>
      <c r="G2024" s="26">
        <v>1.9</v>
      </c>
      <c r="H2024" s="26" t="s">
        <v>2602</v>
      </c>
    </row>
    <row r="2025" spans="1:9" hidden="1">
      <c r="A2025" s="841"/>
      <c r="B2025" s="47" t="s">
        <v>4995</v>
      </c>
      <c r="C2025" s="48"/>
      <c r="F2025" s="78" t="s">
        <v>1697</v>
      </c>
      <c r="G2025" s="383">
        <v>4</v>
      </c>
      <c r="H2025" s="26" t="s">
        <v>3430</v>
      </c>
    </row>
    <row r="2026" spans="1:9" hidden="1">
      <c r="A2026" s="841"/>
      <c r="B2026" s="47" t="s">
        <v>4997</v>
      </c>
      <c r="C2026" s="48"/>
      <c r="F2026" s="78" t="s">
        <v>1697</v>
      </c>
      <c r="G2026" s="26">
        <v>0.22500000000000001</v>
      </c>
      <c r="H2026" s="26" t="s">
        <v>3561</v>
      </c>
      <c r="I2026" s="31"/>
    </row>
    <row r="2027" spans="1:9" hidden="1">
      <c r="A2027" s="841"/>
      <c r="B2027" s="47" t="s">
        <v>1504</v>
      </c>
      <c r="C2027" s="48"/>
      <c r="F2027" s="78" t="s">
        <v>1697</v>
      </c>
      <c r="G2027" s="26">
        <v>9</v>
      </c>
      <c r="H2027" s="26" t="s">
        <v>3436</v>
      </c>
      <c r="I2027" s="60"/>
    </row>
    <row r="2028" spans="1:9" hidden="1">
      <c r="A2028" s="841"/>
      <c r="B2028" s="47" t="s">
        <v>1126</v>
      </c>
      <c r="C2028" s="48"/>
    </row>
    <row r="2029" spans="1:9" hidden="1">
      <c r="A2029" s="841"/>
      <c r="B2029" s="47" t="s">
        <v>7104</v>
      </c>
      <c r="C2029" s="48"/>
      <c r="F2029" s="78" t="s">
        <v>1123</v>
      </c>
      <c r="G2029" s="26">
        <v>118.75</v>
      </c>
      <c r="H2029" s="26" t="s">
        <v>3477</v>
      </c>
    </row>
    <row r="2030" spans="1:9" hidden="1">
      <c r="A2030" s="841"/>
      <c r="B2030" s="47" t="s">
        <v>7105</v>
      </c>
      <c r="C2030" s="48"/>
      <c r="F2030" s="78" t="s">
        <v>1123</v>
      </c>
      <c r="G2030" s="68">
        <v>4.17</v>
      </c>
      <c r="H2030" s="26" t="s">
        <v>3428</v>
      </c>
    </row>
    <row r="2031" spans="1:9" hidden="1">
      <c r="A2031" s="889">
        <v>6</v>
      </c>
      <c r="B2031" s="47" t="s">
        <v>3220</v>
      </c>
      <c r="C2031" s="48"/>
    </row>
    <row r="2032" spans="1:9" hidden="1">
      <c r="A2032" s="841"/>
      <c r="B2032" s="47" t="s">
        <v>1774</v>
      </c>
      <c r="C2032" s="48"/>
    </row>
    <row r="2033" spans="1:9">
      <c r="A2033" s="847"/>
      <c r="B2033" s="78"/>
      <c r="C2033" s="48"/>
    </row>
    <row r="2034" spans="1:9">
      <c r="A2034" s="889" t="s">
        <v>3984</v>
      </c>
      <c r="B2034" s="78"/>
      <c r="C2034" s="349" t="s">
        <v>2367</v>
      </c>
      <c r="E2034" s="171" t="s">
        <v>297</v>
      </c>
      <c r="F2034" s="246">
        <v>412.8</v>
      </c>
      <c r="G2034" s="26" t="s">
        <v>3477</v>
      </c>
    </row>
    <row r="2035" spans="1:9">
      <c r="A2035" s="847"/>
      <c r="B2035" s="79" t="s">
        <v>2368</v>
      </c>
      <c r="C2035" s="48"/>
    </row>
    <row r="2036" spans="1:9">
      <c r="A2036" s="847"/>
      <c r="B2036" s="95" t="s">
        <v>2369</v>
      </c>
      <c r="C2036" s="350" t="s">
        <v>6374</v>
      </c>
      <c r="D2036" s="95" t="s">
        <v>2370</v>
      </c>
      <c r="E2036" s="95" t="s">
        <v>1166</v>
      </c>
      <c r="F2036" s="95" t="s">
        <v>2371</v>
      </c>
      <c r="G2036" s="95" t="s">
        <v>2372</v>
      </c>
    </row>
    <row r="2037" spans="1:9">
      <c r="A2037" s="847"/>
      <c r="B2037" s="114"/>
      <c r="C2037" s="351"/>
      <c r="D2037" s="114"/>
      <c r="E2037" s="114"/>
      <c r="F2037" s="114" t="s">
        <v>3485</v>
      </c>
      <c r="G2037" s="114" t="s">
        <v>3485</v>
      </c>
    </row>
    <row r="2038" spans="1:9">
      <c r="A2038" s="847"/>
      <c r="B2038" s="95">
        <v>1</v>
      </c>
      <c r="C2038" s="352" t="s">
        <v>1130</v>
      </c>
      <c r="D2038" s="95"/>
      <c r="E2038" s="190">
        <v>0</v>
      </c>
      <c r="F2038" s="190">
        <v>0</v>
      </c>
      <c r="G2038" s="190">
        <f>E2038*F2038</f>
        <v>0</v>
      </c>
    </row>
    <row r="2039" spans="1:9">
      <c r="A2039" s="847"/>
      <c r="B2039" s="280"/>
      <c r="C2039" s="86"/>
      <c r="D2039" s="105"/>
      <c r="E2039" s="190">
        <v>0</v>
      </c>
      <c r="F2039" s="190">
        <v>0</v>
      </c>
      <c r="G2039" s="190">
        <f>E2039*F2039</f>
        <v>0</v>
      </c>
    </row>
    <row r="2040" spans="1:9">
      <c r="A2040" s="848"/>
      <c r="B2040" s="176"/>
      <c r="C2040" s="353" t="s">
        <v>2376</v>
      </c>
      <c r="D2040" s="159"/>
      <c r="E2040" s="238"/>
      <c r="F2040" s="236" t="s">
        <v>1698</v>
      </c>
      <c r="G2040" s="318">
        <f>SUM(G2038:G2039)</f>
        <v>0</v>
      </c>
    </row>
    <row r="2041" spans="1:9">
      <c r="A2041" s="847"/>
      <c r="B2041" s="78"/>
      <c r="C2041" s="48"/>
    </row>
    <row r="2042" spans="1:9">
      <c r="A2042" s="847"/>
      <c r="B2042" s="79" t="s">
        <v>2377</v>
      </c>
      <c r="C2042" s="48"/>
    </row>
    <row r="2043" spans="1:9">
      <c r="A2043" s="847"/>
      <c r="B2043" s="95" t="s">
        <v>2369</v>
      </c>
      <c r="C2043" s="350" t="s">
        <v>2378</v>
      </c>
      <c r="D2043" s="95" t="s">
        <v>2370</v>
      </c>
      <c r="E2043" s="95" t="s">
        <v>1166</v>
      </c>
      <c r="F2043" s="95" t="s">
        <v>2371</v>
      </c>
      <c r="G2043" s="95" t="s">
        <v>2372</v>
      </c>
    </row>
    <row r="2044" spans="1:9">
      <c r="A2044" s="847"/>
      <c r="B2044" s="114"/>
      <c r="C2044" s="351"/>
      <c r="D2044" s="114"/>
      <c r="E2044" s="114"/>
      <c r="F2044" s="114" t="s">
        <v>3485</v>
      </c>
      <c r="G2044" s="114" t="s">
        <v>3485</v>
      </c>
    </row>
    <row r="2045" spans="1:9">
      <c r="A2045" s="847"/>
      <c r="B2045" s="95">
        <v>1</v>
      </c>
      <c r="C2045" s="355" t="s">
        <v>1502</v>
      </c>
      <c r="D2045" s="95" t="s">
        <v>2374</v>
      </c>
      <c r="E2045" s="220">
        <v>3.4</v>
      </c>
      <c r="F2045" s="214">
        <f>'HIRE CHARGES'!$D$499</f>
        <v>1715.5</v>
      </c>
      <c r="G2045" s="190">
        <f t="shared" ref="G2045:G2057" si="26">E2045*F2045</f>
        <v>5832.7</v>
      </c>
      <c r="I2045" s="75"/>
    </row>
    <row r="2046" spans="1:9">
      <c r="A2046" s="847"/>
      <c r="B2046" s="152"/>
      <c r="C2046" s="355" t="s">
        <v>2379</v>
      </c>
      <c r="D2046" s="105" t="s">
        <v>2374</v>
      </c>
      <c r="E2046" s="220">
        <v>3.4</v>
      </c>
      <c r="F2046" s="214">
        <f>'HIRE CHARGES'!$E$499</f>
        <v>610.5</v>
      </c>
      <c r="G2046" s="190">
        <f t="shared" si="26"/>
        <v>2075.6999999999998</v>
      </c>
      <c r="I2046" s="75"/>
    </row>
    <row r="2047" spans="1:9">
      <c r="A2047" s="847"/>
      <c r="B2047" s="105">
        <v>2</v>
      </c>
      <c r="C2047" s="355" t="s">
        <v>1792</v>
      </c>
      <c r="D2047" s="105" t="s">
        <v>2374</v>
      </c>
      <c r="E2047" s="220">
        <v>8</v>
      </c>
      <c r="F2047" s="190">
        <f>'HIRE CHARGES'!$D$542</f>
        <v>1003.1</v>
      </c>
      <c r="G2047" s="190">
        <f t="shared" si="26"/>
        <v>8024.8</v>
      </c>
      <c r="I2047" s="75"/>
    </row>
    <row r="2048" spans="1:9">
      <c r="A2048" s="847"/>
      <c r="B2048" s="152"/>
      <c r="C2048" s="355" t="s">
        <v>2379</v>
      </c>
      <c r="D2048" s="105" t="s">
        <v>2374</v>
      </c>
      <c r="E2048" s="220">
        <v>8</v>
      </c>
      <c r="F2048" s="190">
        <f>'HIRE CHARGES'!$E$542</f>
        <v>476</v>
      </c>
      <c r="G2048" s="190">
        <f t="shared" si="26"/>
        <v>3808</v>
      </c>
      <c r="I2048" s="75"/>
    </row>
    <row r="2049" spans="1:9">
      <c r="A2049" s="847"/>
      <c r="B2049" s="105">
        <v>3</v>
      </c>
      <c r="C2049" s="355" t="s">
        <v>1793</v>
      </c>
      <c r="D2049" s="105" t="s">
        <v>2374</v>
      </c>
      <c r="E2049" s="220">
        <v>32</v>
      </c>
      <c r="F2049" s="190">
        <f>'HIRE CHARGES'!$D$545</f>
        <v>446.7</v>
      </c>
      <c r="G2049" s="190">
        <f t="shared" si="26"/>
        <v>14294.4</v>
      </c>
      <c r="I2049" s="75"/>
    </row>
    <row r="2050" spans="1:9">
      <c r="A2050" s="847"/>
      <c r="B2050" s="152"/>
      <c r="C2050" s="355" t="s">
        <v>2379</v>
      </c>
      <c r="D2050" s="105" t="s">
        <v>2374</v>
      </c>
      <c r="E2050" s="220">
        <v>32</v>
      </c>
      <c r="F2050" s="190">
        <f>'HIRE CHARGES'!$E$545</f>
        <v>299.89999999999998</v>
      </c>
      <c r="G2050" s="190">
        <f t="shared" si="26"/>
        <v>9596.7999999999993</v>
      </c>
      <c r="I2050" s="75"/>
    </row>
    <row r="2051" spans="1:9">
      <c r="A2051" s="847"/>
      <c r="B2051" s="105">
        <v>4</v>
      </c>
      <c r="C2051" s="355" t="s">
        <v>1132</v>
      </c>
      <c r="D2051" s="105" t="s">
        <v>2374</v>
      </c>
      <c r="E2051" s="220">
        <v>2</v>
      </c>
      <c r="F2051" s="214">
        <f>'HIRE CHARGES'!$D$517</f>
        <v>10.199999999999999</v>
      </c>
      <c r="G2051" s="190">
        <f t="shared" si="26"/>
        <v>20.399999999999999</v>
      </c>
      <c r="I2051" s="75"/>
    </row>
    <row r="2052" spans="1:9">
      <c r="A2052" s="847"/>
      <c r="B2052" s="152"/>
      <c r="C2052" s="355" t="s">
        <v>2379</v>
      </c>
      <c r="D2052" s="105" t="s">
        <v>2374</v>
      </c>
      <c r="E2052" s="220">
        <v>2</v>
      </c>
      <c r="F2052" s="214">
        <f>'HIRE CHARGES'!$E$517</f>
        <v>79.3</v>
      </c>
      <c r="G2052" s="190">
        <f t="shared" si="26"/>
        <v>158.6</v>
      </c>
      <c r="I2052" s="75"/>
    </row>
    <row r="2053" spans="1:9">
      <c r="A2053" s="847"/>
      <c r="B2053" s="105">
        <v>5</v>
      </c>
      <c r="C2053" s="355" t="s">
        <v>6286</v>
      </c>
      <c r="D2053" s="105" t="s">
        <v>2374</v>
      </c>
      <c r="E2053" s="220">
        <v>4</v>
      </c>
      <c r="F2053" s="214">
        <f>'HIRE CHARGES'!$D$555</f>
        <v>402.5</v>
      </c>
      <c r="G2053" s="190">
        <f t="shared" si="26"/>
        <v>1610</v>
      </c>
      <c r="I2053" s="75"/>
    </row>
    <row r="2054" spans="1:9">
      <c r="A2054" s="847"/>
      <c r="B2054" s="105"/>
      <c r="C2054" s="355" t="s">
        <v>2379</v>
      </c>
      <c r="D2054" s="105" t="s">
        <v>2374</v>
      </c>
      <c r="E2054" s="220">
        <v>4</v>
      </c>
      <c r="F2054" s="214">
        <f>'HIRE CHARGES'!$E$555</f>
        <v>299.89999999999998</v>
      </c>
      <c r="G2054" s="190">
        <f t="shared" si="26"/>
        <v>1199.5999999999999</v>
      </c>
      <c r="I2054" s="75"/>
    </row>
    <row r="2055" spans="1:9">
      <c r="A2055" s="847"/>
      <c r="B2055" s="105">
        <v>6</v>
      </c>
      <c r="C2055" s="355" t="s">
        <v>9251</v>
      </c>
      <c r="D2055" s="105" t="s">
        <v>2374</v>
      </c>
      <c r="E2055" s="220">
        <v>4.17</v>
      </c>
      <c r="F2055" s="214">
        <f>'HIRE CHARGES'!$D$553</f>
        <v>1342.2</v>
      </c>
      <c r="G2055" s="190">
        <f t="shared" si="26"/>
        <v>5596.9740000000002</v>
      </c>
      <c r="I2055" s="75"/>
    </row>
    <row r="2056" spans="1:9">
      <c r="A2056" s="847"/>
      <c r="B2056" s="152"/>
      <c r="C2056" s="355" t="s">
        <v>2379</v>
      </c>
      <c r="D2056" s="105" t="s">
        <v>2374</v>
      </c>
      <c r="E2056" s="220">
        <v>4.17</v>
      </c>
      <c r="F2056" s="214">
        <f>'HIRE CHARGES'!$E$553</f>
        <v>1031.4000000000001</v>
      </c>
      <c r="G2056" s="190">
        <f t="shared" si="26"/>
        <v>4300.9380000000001</v>
      </c>
      <c r="I2056" s="75"/>
    </row>
    <row r="2057" spans="1:9">
      <c r="A2057" s="847"/>
      <c r="B2057" s="105">
        <v>7</v>
      </c>
      <c r="C2057" s="355" t="s">
        <v>2373</v>
      </c>
      <c r="D2057" s="105" t="s">
        <v>2173</v>
      </c>
      <c r="E2057" s="220">
        <v>5</v>
      </c>
      <c r="F2057" s="190">
        <f>'BASIC DATA'!$D$359</f>
        <v>30</v>
      </c>
      <c r="G2057" s="190">
        <f t="shared" si="26"/>
        <v>150</v>
      </c>
      <c r="I2057" s="75"/>
    </row>
    <row r="2058" spans="1:9">
      <c r="A2058" s="847"/>
      <c r="B2058" s="36"/>
      <c r="C2058" s="386" t="s">
        <v>2380</v>
      </c>
      <c r="D2058" s="38"/>
      <c r="E2058" s="38"/>
      <c r="F2058" s="236" t="s">
        <v>1698</v>
      </c>
      <c r="G2058" s="354">
        <f>SUM(G2045:G2057)</f>
        <v>56668.911999999997</v>
      </c>
    </row>
    <row r="2059" spans="1:9">
      <c r="A2059" s="847"/>
      <c r="B2059" s="78"/>
      <c r="C2059" s="48"/>
    </row>
    <row r="2060" spans="1:9">
      <c r="A2060" s="847"/>
      <c r="B2060" s="79" t="s">
        <v>2381</v>
      </c>
      <c r="C2060" s="48"/>
    </row>
    <row r="2061" spans="1:9">
      <c r="A2061" s="847"/>
      <c r="B2061" s="95" t="s">
        <v>2369</v>
      </c>
      <c r="C2061" s="350" t="s">
        <v>2378</v>
      </c>
      <c r="D2061" s="95" t="s">
        <v>2370</v>
      </c>
      <c r="E2061" s="95" t="s">
        <v>1166</v>
      </c>
      <c r="F2061" s="95" t="s">
        <v>2371</v>
      </c>
      <c r="G2061" s="95" t="s">
        <v>2372</v>
      </c>
    </row>
    <row r="2062" spans="1:9">
      <c r="A2062" s="847"/>
      <c r="B2062" s="114"/>
      <c r="C2062" s="351"/>
      <c r="D2062" s="105"/>
      <c r="E2062" s="114"/>
      <c r="F2062" s="114" t="s">
        <v>3485</v>
      </c>
      <c r="G2062" s="114" t="s">
        <v>3485</v>
      </c>
    </row>
    <row r="2063" spans="1:9">
      <c r="A2063" s="847"/>
      <c r="B2063" s="105">
        <v>1</v>
      </c>
      <c r="C2063" s="86" t="s">
        <v>2870</v>
      </c>
      <c r="D2063" s="95" t="s">
        <v>2374</v>
      </c>
      <c r="E2063" s="207">
        <v>3.4</v>
      </c>
      <c r="F2063" s="190">
        <f>'HIRE CHARGES'!$F$499</f>
        <v>236.6</v>
      </c>
      <c r="G2063" s="190">
        <f t="shared" ref="G2063:G2070" si="27">E2063*F2063</f>
        <v>804.43999999999994</v>
      </c>
      <c r="I2063" s="75"/>
    </row>
    <row r="2064" spans="1:9">
      <c r="A2064" s="847"/>
      <c r="B2064" s="105">
        <v>2</v>
      </c>
      <c r="C2064" s="86" t="s">
        <v>300</v>
      </c>
      <c r="D2064" s="105" t="s">
        <v>2374</v>
      </c>
      <c r="E2064" s="207">
        <v>8</v>
      </c>
      <c r="F2064" s="190">
        <f>'HIRE CHARGES'!$F$542</f>
        <v>236.6</v>
      </c>
      <c r="G2064" s="190">
        <f t="shared" si="27"/>
        <v>1892.8</v>
      </c>
      <c r="I2064" s="75"/>
    </row>
    <row r="2065" spans="1:9">
      <c r="A2065" s="847"/>
      <c r="B2065" s="105">
        <v>3</v>
      </c>
      <c r="C2065" s="86" t="s">
        <v>301</v>
      </c>
      <c r="D2065" s="105" t="s">
        <v>2374</v>
      </c>
      <c r="E2065" s="207">
        <v>32</v>
      </c>
      <c r="F2065" s="190">
        <f>'HIRE CHARGES'!$F$545</f>
        <v>177.5</v>
      </c>
      <c r="G2065" s="190">
        <f t="shared" si="27"/>
        <v>5680</v>
      </c>
      <c r="I2065" s="75"/>
    </row>
    <row r="2066" spans="1:9">
      <c r="A2066" s="847"/>
      <c r="B2066" s="105">
        <v>4</v>
      </c>
      <c r="C2066" s="86" t="s">
        <v>999</v>
      </c>
      <c r="D2066" s="105" t="s">
        <v>2374</v>
      </c>
      <c r="E2066" s="207">
        <v>2</v>
      </c>
      <c r="F2066" s="190">
        <f>'HIRE CHARGES'!$F$517</f>
        <v>111.1</v>
      </c>
      <c r="G2066" s="190">
        <f t="shared" si="27"/>
        <v>222.2</v>
      </c>
      <c r="I2066" s="75"/>
    </row>
    <row r="2067" spans="1:9">
      <c r="A2067" s="847"/>
      <c r="B2067" s="105">
        <v>5</v>
      </c>
      <c r="C2067" s="86" t="s">
        <v>1000</v>
      </c>
      <c r="D2067" s="105" t="s">
        <v>2374</v>
      </c>
      <c r="E2067" s="207">
        <v>4</v>
      </c>
      <c r="F2067" s="190">
        <f>'HIRE CHARGES'!$F$555</f>
        <v>177.5</v>
      </c>
      <c r="G2067" s="190">
        <f t="shared" si="27"/>
        <v>710</v>
      </c>
      <c r="I2067" s="75"/>
    </row>
    <row r="2068" spans="1:9">
      <c r="A2068" s="847"/>
      <c r="B2068" s="105">
        <v>6</v>
      </c>
      <c r="C2068" s="86" t="s">
        <v>1001</v>
      </c>
      <c r="D2068" s="105" t="s">
        <v>2374</v>
      </c>
      <c r="E2068" s="207">
        <v>4</v>
      </c>
      <c r="F2068" s="190">
        <f>'HIRE CHARGES'!$F$553</f>
        <v>263.60000000000002</v>
      </c>
      <c r="G2068" s="190">
        <f t="shared" si="27"/>
        <v>1054.4000000000001</v>
      </c>
      <c r="I2068" s="75"/>
    </row>
    <row r="2069" spans="1:9">
      <c r="A2069" s="847"/>
      <c r="B2069" s="105">
        <v>7</v>
      </c>
      <c r="C2069" s="86" t="s">
        <v>4206</v>
      </c>
      <c r="D2069" s="105" t="s">
        <v>1172</v>
      </c>
      <c r="E2069" s="207">
        <v>4.17</v>
      </c>
      <c r="F2069" s="190">
        <f>'BASIC DATA'!$C$473</f>
        <v>450</v>
      </c>
      <c r="G2069" s="190">
        <f t="shared" si="27"/>
        <v>1876.5</v>
      </c>
      <c r="I2069" s="75"/>
    </row>
    <row r="2070" spans="1:9">
      <c r="A2070" s="847"/>
      <c r="B2070" s="105">
        <v>8</v>
      </c>
      <c r="C2070" s="86" t="s">
        <v>2697</v>
      </c>
      <c r="D2070" s="105" t="s">
        <v>1172</v>
      </c>
      <c r="E2070" s="207">
        <v>4</v>
      </c>
      <c r="F2070" s="190">
        <f>'BASIC DATA'!$C$552</f>
        <v>350</v>
      </c>
      <c r="G2070" s="190">
        <f t="shared" si="27"/>
        <v>1400</v>
      </c>
      <c r="I2070" s="75"/>
    </row>
    <row r="2071" spans="1:9">
      <c r="A2071" s="847"/>
      <c r="B2071" s="92"/>
      <c r="C2071" s="353" t="s">
        <v>1174</v>
      </c>
      <c r="D2071" s="159"/>
      <c r="E2071" s="238"/>
      <c r="F2071" s="236" t="s">
        <v>1698</v>
      </c>
      <c r="G2071" s="318">
        <f>SUM(G2063:G2070)</f>
        <v>13640.34</v>
      </c>
    </row>
    <row r="2072" spans="1:9">
      <c r="A2072" s="847"/>
      <c r="B2072" s="359" t="s">
        <v>5948</v>
      </c>
      <c r="C2072" s="48"/>
      <c r="D2072" s="31"/>
      <c r="E2072" s="85">
        <f>ROUND(G2071/F2034,1)</f>
        <v>33</v>
      </c>
    </row>
    <row r="2073" spans="1:9">
      <c r="A2073" s="847"/>
      <c r="B2073" s="359" t="s">
        <v>3163</v>
      </c>
      <c r="C2073" s="48"/>
      <c r="D2073" s="922">
        <f>'BASIC DATA'!$C$577</f>
        <v>0.13614999999999999</v>
      </c>
      <c r="E2073" s="85">
        <f>ROUND(E2072*D2073,1)</f>
        <v>4.5</v>
      </c>
    </row>
    <row r="2074" spans="1:9">
      <c r="A2074" s="847"/>
      <c r="B2074" s="359" t="s">
        <v>5949</v>
      </c>
      <c r="C2074" s="48"/>
      <c r="D2074" s="31"/>
      <c r="E2074" s="199">
        <f>ROUND(E2073+E2072,1)</f>
        <v>37.5</v>
      </c>
    </row>
    <row r="2075" spans="1:9">
      <c r="A2075" s="847"/>
      <c r="C2075" s="48"/>
    </row>
    <row r="2076" spans="1:9">
      <c r="A2076" s="847"/>
      <c r="B2076" s="162" t="s">
        <v>1175</v>
      </c>
      <c r="C2076" s="48"/>
    </row>
    <row r="2077" spans="1:9">
      <c r="A2077" s="847"/>
      <c r="B2077" s="47" t="s">
        <v>1176</v>
      </c>
      <c r="C2077" s="48"/>
      <c r="F2077" s="171" t="s">
        <v>1698</v>
      </c>
      <c r="G2077" s="68">
        <f>G2040</f>
        <v>0</v>
      </c>
    </row>
    <row r="2078" spans="1:9">
      <c r="A2078" s="847"/>
      <c r="B2078" s="47" t="s">
        <v>1186</v>
      </c>
      <c r="C2078" s="48"/>
      <c r="F2078" s="171" t="s">
        <v>1698</v>
      </c>
      <c r="G2078" s="68">
        <f>G2058</f>
        <v>56668.911999999997</v>
      </c>
    </row>
    <row r="2079" spans="1:9">
      <c r="A2079" s="847"/>
      <c r="B2079" s="47" t="s">
        <v>2660</v>
      </c>
      <c r="C2079" s="48"/>
      <c r="F2079" s="171" t="s">
        <v>1698</v>
      </c>
      <c r="G2079" s="75">
        <f>G2071</f>
        <v>13640.34</v>
      </c>
    </row>
    <row r="2080" spans="1:9">
      <c r="A2080" s="847"/>
      <c r="B2080" s="78"/>
      <c r="C2080" s="48"/>
      <c r="E2080" s="261"/>
      <c r="F2080" s="171" t="s">
        <v>302</v>
      </c>
      <c r="G2080" s="205">
        <f>SUM(G2077:G2079)</f>
        <v>70309.251999999993</v>
      </c>
    </row>
    <row r="2081" spans="1:8" ht="34.5" customHeight="1">
      <c r="A2081" s="847"/>
      <c r="B2081" s="1207" t="s">
        <v>1379</v>
      </c>
      <c r="C2081" s="1207"/>
      <c r="D2081" s="1207"/>
      <c r="E2081" s="922">
        <f>'BASIC DATA'!$C$577</f>
        <v>0.13614999999999999</v>
      </c>
      <c r="F2081" s="171" t="s">
        <v>1698</v>
      </c>
      <c r="G2081" s="31">
        <f>ROUND(G2080*E2081,2)</f>
        <v>9572.6</v>
      </c>
    </row>
    <row r="2082" spans="1:8">
      <c r="A2082" s="847"/>
      <c r="B2082" s="47" t="s">
        <v>1191</v>
      </c>
      <c r="C2082" s="48"/>
      <c r="D2082" s="68">
        <f>F2034</f>
        <v>412.8</v>
      </c>
      <c r="E2082" s="68" t="str">
        <f>G2034</f>
        <v>cum</v>
      </c>
      <c r="F2082" s="171" t="s">
        <v>1698</v>
      </c>
      <c r="G2082" s="211">
        <f>G2081+G2080</f>
        <v>79881.851999999999</v>
      </c>
    </row>
    <row r="2083" spans="1:8">
      <c r="A2083" s="847"/>
      <c r="B2083" s="79" t="s">
        <v>1584</v>
      </c>
      <c r="C2083" s="356" t="str">
        <f>E2082</f>
        <v>cum</v>
      </c>
      <c r="D2083" s="26" t="s">
        <v>5771</v>
      </c>
      <c r="F2083" s="171" t="s">
        <v>4108</v>
      </c>
      <c r="G2083" s="211">
        <f>ROUND(G2082/D2082,1)</f>
        <v>193.5</v>
      </c>
      <c r="H2083" s="171"/>
    </row>
    <row r="2084" spans="1:8">
      <c r="A2084" s="847"/>
      <c r="B2084" s="78"/>
      <c r="C2084" s="48"/>
    </row>
    <row r="2085" spans="1:8">
      <c r="A2085" s="847"/>
      <c r="B2085" s="78"/>
      <c r="C2085" s="48"/>
    </row>
    <row r="2086" spans="1:8" ht="18.75">
      <c r="A2086" s="841" t="s">
        <v>7436</v>
      </c>
      <c r="B2086" s="47" t="s">
        <v>8664</v>
      </c>
      <c r="C2086" s="48"/>
    </row>
    <row r="2087" spans="1:8">
      <c r="A2087" s="889"/>
      <c r="B2087" s="47" t="s">
        <v>8669</v>
      </c>
      <c r="C2087" s="48"/>
    </row>
    <row r="2088" spans="1:8">
      <c r="A2088" s="889"/>
      <c r="B2088" s="47" t="s">
        <v>7321</v>
      </c>
      <c r="C2088" s="48"/>
    </row>
    <row r="2089" spans="1:8" ht="18.75">
      <c r="A2089" s="889"/>
      <c r="B2089" s="47" t="s">
        <v>8670</v>
      </c>
      <c r="C2089" s="48"/>
    </row>
    <row r="2090" spans="1:8">
      <c r="A2090" s="889"/>
      <c r="B2090" s="47" t="s">
        <v>9229</v>
      </c>
      <c r="C2090" s="48"/>
    </row>
    <row r="2091" spans="1:8" ht="18.75">
      <c r="A2091" s="889"/>
      <c r="B2091" s="162" t="s">
        <v>9230</v>
      </c>
      <c r="C2091" s="48"/>
    </row>
    <row r="2092" spans="1:8">
      <c r="A2092" s="889"/>
      <c r="C2092" s="48"/>
    </row>
    <row r="2093" spans="1:8" hidden="1">
      <c r="A2093" s="889" t="s">
        <v>3984</v>
      </c>
      <c r="B2093" s="47" t="s">
        <v>602</v>
      </c>
      <c r="C2093" s="48"/>
      <c r="F2093" s="78" t="s">
        <v>1697</v>
      </c>
      <c r="G2093" s="68">
        <v>0.5</v>
      </c>
      <c r="H2093" s="26" t="s">
        <v>3477</v>
      </c>
    </row>
    <row r="2094" spans="1:8" hidden="1">
      <c r="A2094" s="889"/>
      <c r="B2094" s="47" t="s">
        <v>603</v>
      </c>
      <c r="C2094" s="48"/>
      <c r="F2094" s="78" t="s">
        <v>1697</v>
      </c>
      <c r="G2094" s="26">
        <v>0.57999999999999996</v>
      </c>
      <c r="H2094" s="26" t="s">
        <v>3477</v>
      </c>
    </row>
    <row r="2095" spans="1:8" hidden="1">
      <c r="A2095" s="889"/>
      <c r="B2095" s="47" t="s">
        <v>604</v>
      </c>
      <c r="C2095" s="48"/>
      <c r="F2095" s="78" t="s">
        <v>1697</v>
      </c>
      <c r="G2095" s="68">
        <v>5</v>
      </c>
      <c r="H2095" s="26" t="s">
        <v>3477</v>
      </c>
    </row>
    <row r="2096" spans="1:8" hidden="1">
      <c r="A2096" s="889"/>
      <c r="B2096" s="47" t="s">
        <v>2541</v>
      </c>
      <c r="C2096" s="48"/>
      <c r="F2096" s="78" t="s">
        <v>3432</v>
      </c>
      <c r="G2096" s="26">
        <v>1</v>
      </c>
      <c r="H2096" s="26" t="s">
        <v>3430</v>
      </c>
    </row>
    <row r="2097" spans="1:9" hidden="1">
      <c r="A2097" s="889"/>
      <c r="B2097" s="47" t="s">
        <v>4569</v>
      </c>
      <c r="C2097" s="48"/>
      <c r="F2097" s="78" t="s">
        <v>1697</v>
      </c>
      <c r="G2097" s="26">
        <v>12</v>
      </c>
      <c r="H2097" s="26" t="s">
        <v>408</v>
      </c>
    </row>
    <row r="2098" spans="1:9" hidden="1">
      <c r="A2098" s="889"/>
      <c r="B2098" s="47" t="s">
        <v>5632</v>
      </c>
      <c r="C2098" s="48"/>
      <c r="F2098" s="78" t="s">
        <v>1697</v>
      </c>
      <c r="G2098" s="26">
        <v>15</v>
      </c>
      <c r="H2098" s="26" t="s">
        <v>408</v>
      </c>
    </row>
    <row r="2099" spans="1:9" hidden="1">
      <c r="A2099" s="889"/>
      <c r="B2099" s="47" t="s">
        <v>3985</v>
      </c>
      <c r="C2099" s="48"/>
      <c r="F2099" s="78" t="s">
        <v>1697</v>
      </c>
      <c r="G2099" s="68">
        <v>2</v>
      </c>
      <c r="H2099" s="26" t="s">
        <v>2603</v>
      </c>
    </row>
    <row r="2100" spans="1:9" hidden="1">
      <c r="A2100" s="889"/>
      <c r="B2100" s="47" t="s">
        <v>4030</v>
      </c>
      <c r="C2100" s="48"/>
      <c r="F2100" s="78" t="s">
        <v>1697</v>
      </c>
      <c r="G2100" s="26">
        <v>30</v>
      </c>
      <c r="H2100" s="26" t="s">
        <v>3434</v>
      </c>
    </row>
    <row r="2101" spans="1:9" hidden="1">
      <c r="A2101" s="889"/>
      <c r="B2101" s="47" t="s">
        <v>5633</v>
      </c>
      <c r="C2101" s="48"/>
      <c r="F2101" s="78" t="s">
        <v>1697</v>
      </c>
      <c r="G2101" s="68">
        <v>0.5</v>
      </c>
      <c r="H2101" s="26" t="s">
        <v>3477</v>
      </c>
    </row>
    <row r="2102" spans="1:9" hidden="1">
      <c r="A2102" s="889"/>
      <c r="B2102" s="47" t="s">
        <v>4182</v>
      </c>
      <c r="C2102" s="48"/>
      <c r="F2102" s="78" t="s">
        <v>1123</v>
      </c>
      <c r="G2102" s="68">
        <v>4</v>
      </c>
      <c r="H2102" s="26" t="s">
        <v>6901</v>
      </c>
    </row>
    <row r="2103" spans="1:9" hidden="1">
      <c r="A2103" s="889"/>
      <c r="B2103" s="47" t="s">
        <v>5635</v>
      </c>
      <c r="C2103" s="48"/>
      <c r="F2103" s="78" t="s">
        <v>1123</v>
      </c>
      <c r="G2103" s="26">
        <v>8</v>
      </c>
      <c r="H2103" s="26" t="s">
        <v>3435</v>
      </c>
    </row>
    <row r="2104" spans="1:9" hidden="1">
      <c r="A2104" s="889"/>
      <c r="B2104" s="47" t="s">
        <v>7323</v>
      </c>
      <c r="C2104" s="48"/>
      <c r="F2104" s="78" t="s">
        <v>1123</v>
      </c>
      <c r="G2104" s="68">
        <v>4</v>
      </c>
      <c r="H2104" s="26" t="s">
        <v>1433</v>
      </c>
    </row>
    <row r="2105" spans="1:9" hidden="1">
      <c r="A2105" s="889"/>
      <c r="B2105" s="47" t="s">
        <v>1613</v>
      </c>
      <c r="C2105" s="48"/>
    </row>
    <row r="2106" spans="1:9" hidden="1">
      <c r="A2106" s="889"/>
      <c r="B2106" s="47" t="s">
        <v>3258</v>
      </c>
      <c r="C2106" s="48"/>
      <c r="F2106" s="78" t="s">
        <v>1697</v>
      </c>
      <c r="G2106" s="68">
        <v>4</v>
      </c>
      <c r="H2106" s="26" t="s">
        <v>1433</v>
      </c>
      <c r="I2106" s="31"/>
    </row>
    <row r="2107" spans="1:9" hidden="1">
      <c r="A2107" s="889"/>
      <c r="B2107" s="47" t="s">
        <v>3003</v>
      </c>
      <c r="C2107" s="48"/>
      <c r="F2107" s="78" t="s">
        <v>1697</v>
      </c>
      <c r="G2107" s="68">
        <v>5</v>
      </c>
      <c r="H2107" s="26" t="s">
        <v>1433</v>
      </c>
      <c r="I2107" s="31"/>
    </row>
    <row r="2108" spans="1:9" hidden="1">
      <c r="A2108" s="889"/>
      <c r="B2108" s="47" t="s">
        <v>705</v>
      </c>
      <c r="C2108" s="48"/>
      <c r="F2108" s="78" t="s">
        <v>1697</v>
      </c>
      <c r="G2108" s="68">
        <v>2</v>
      </c>
      <c r="H2108" s="26" t="s">
        <v>1433</v>
      </c>
      <c r="I2108" s="31"/>
    </row>
    <row r="2109" spans="1:9" hidden="1">
      <c r="A2109" s="889"/>
      <c r="B2109" s="47" t="s">
        <v>6755</v>
      </c>
      <c r="C2109" s="48"/>
      <c r="F2109" s="78" t="s">
        <v>1697</v>
      </c>
      <c r="G2109" s="68">
        <v>4</v>
      </c>
      <c r="H2109" s="26" t="s">
        <v>1433</v>
      </c>
      <c r="I2109" s="31"/>
    </row>
    <row r="2110" spans="1:9" hidden="1">
      <c r="A2110" s="889"/>
      <c r="B2110" s="47" t="s">
        <v>263</v>
      </c>
      <c r="C2110" s="48"/>
      <c r="F2110" s="78" t="s">
        <v>1697</v>
      </c>
      <c r="G2110" s="173">
        <v>0.5</v>
      </c>
      <c r="H2110" s="26" t="s">
        <v>1433</v>
      </c>
      <c r="I2110" s="31"/>
    </row>
    <row r="2111" spans="1:9" hidden="1">
      <c r="A2111" s="889"/>
      <c r="C2111" s="48"/>
      <c r="E2111" s="26" t="s">
        <v>1518</v>
      </c>
      <c r="F2111" s="78" t="s">
        <v>1697</v>
      </c>
      <c r="G2111" s="68">
        <f>SUM(G2106:G2110)</f>
        <v>15.5</v>
      </c>
      <c r="H2111" s="26" t="s">
        <v>1433</v>
      </c>
      <c r="I2111" s="60"/>
    </row>
    <row r="2112" spans="1:9" hidden="1">
      <c r="A2112" s="889"/>
      <c r="B2112" s="47" t="s">
        <v>4431</v>
      </c>
      <c r="C2112" s="48"/>
      <c r="F2112" s="78" t="s">
        <v>1697</v>
      </c>
      <c r="G2112" s="26">
        <v>4</v>
      </c>
      <c r="H2112" s="26" t="s">
        <v>3436</v>
      </c>
      <c r="I2112" s="60"/>
    </row>
    <row r="2113" spans="1:9" hidden="1">
      <c r="A2113" s="889"/>
      <c r="B2113" s="47" t="s">
        <v>4432</v>
      </c>
      <c r="C2113" s="48"/>
      <c r="F2113" s="78" t="s">
        <v>1697</v>
      </c>
      <c r="G2113" s="68">
        <v>12.9</v>
      </c>
      <c r="H2113" s="26" t="s">
        <v>6901</v>
      </c>
      <c r="I2113" s="60"/>
    </row>
    <row r="2114" spans="1:9" hidden="1">
      <c r="A2114" s="889"/>
      <c r="B2114" s="47" t="s">
        <v>4433</v>
      </c>
      <c r="C2114" s="48"/>
      <c r="F2114" s="78" t="s">
        <v>1123</v>
      </c>
      <c r="G2114" s="26">
        <v>412.8</v>
      </c>
      <c r="H2114" s="26" t="s">
        <v>6901</v>
      </c>
      <c r="I2114" s="60"/>
    </row>
    <row r="2115" spans="1:9" hidden="1">
      <c r="A2115" s="889">
        <v>1</v>
      </c>
      <c r="B2115" s="47" t="s">
        <v>2860</v>
      </c>
      <c r="C2115" s="48"/>
      <c r="I2115" s="31"/>
    </row>
    <row r="2116" spans="1:9" hidden="1">
      <c r="A2116" s="841"/>
      <c r="B2116" s="47" t="s">
        <v>616</v>
      </c>
      <c r="C2116" s="48"/>
      <c r="I2116" s="31"/>
    </row>
    <row r="2117" spans="1:9" hidden="1">
      <c r="A2117" s="841"/>
      <c r="B2117" s="47" t="s">
        <v>5955</v>
      </c>
      <c r="C2117" s="48"/>
      <c r="G2117" s="68">
        <v>0.9</v>
      </c>
      <c r="H2117" s="26" t="s">
        <v>3428</v>
      </c>
    </row>
    <row r="2118" spans="1:9" hidden="1">
      <c r="A2118" s="889">
        <v>2</v>
      </c>
      <c r="B2118" s="47" t="s">
        <v>6281</v>
      </c>
      <c r="C2118" s="48"/>
    </row>
    <row r="2119" spans="1:9" hidden="1">
      <c r="A2119" s="841"/>
      <c r="B2119" s="47" t="s">
        <v>4117</v>
      </c>
      <c r="C2119" s="48"/>
    </row>
    <row r="2120" spans="1:9" hidden="1">
      <c r="A2120" s="841"/>
      <c r="B2120" s="47" t="s">
        <v>1260</v>
      </c>
      <c r="C2120" s="48"/>
    </row>
    <row r="2121" spans="1:9" hidden="1">
      <c r="A2121" s="889">
        <v>3</v>
      </c>
      <c r="B2121" s="47" t="s">
        <v>5954</v>
      </c>
      <c r="C2121" s="48"/>
    </row>
    <row r="2122" spans="1:9" hidden="1">
      <c r="A2122" s="841"/>
      <c r="B2122" s="47" t="s">
        <v>616</v>
      </c>
      <c r="C2122" s="48"/>
    </row>
    <row r="2123" spans="1:9" hidden="1">
      <c r="A2123" s="841"/>
      <c r="B2123" s="47" t="s">
        <v>2318</v>
      </c>
      <c r="C2123" s="48"/>
      <c r="F2123" s="78" t="s">
        <v>4183</v>
      </c>
      <c r="G2123" s="68">
        <v>2.5</v>
      </c>
      <c r="H2123" s="26" t="s">
        <v>3428</v>
      </c>
    </row>
    <row r="2124" spans="1:9" hidden="1">
      <c r="A2124" s="889">
        <v>4</v>
      </c>
      <c r="B2124" s="47" t="s">
        <v>1746</v>
      </c>
      <c r="C2124" s="48"/>
    </row>
    <row r="2125" spans="1:9" hidden="1">
      <c r="A2125" s="841"/>
      <c r="B2125" s="47" t="s">
        <v>4186</v>
      </c>
      <c r="C2125" s="48"/>
    </row>
    <row r="2126" spans="1:9" hidden="1">
      <c r="A2126" s="889">
        <v>5</v>
      </c>
      <c r="B2126" s="47" t="s">
        <v>6798</v>
      </c>
      <c r="C2126" s="48"/>
    </row>
    <row r="2127" spans="1:9" hidden="1">
      <c r="A2127" s="841"/>
      <c r="B2127" s="47" t="s">
        <v>3647</v>
      </c>
      <c r="C2127" s="48"/>
    </row>
    <row r="2128" spans="1:9" hidden="1">
      <c r="A2128" s="841"/>
      <c r="B2128" s="47" t="s">
        <v>9253</v>
      </c>
      <c r="C2128" s="48"/>
    </row>
    <row r="2129" spans="1:8" hidden="1">
      <c r="A2129" s="841"/>
      <c r="B2129" s="47" t="s">
        <v>3649</v>
      </c>
      <c r="C2129" s="48"/>
    </row>
    <row r="2130" spans="1:8" hidden="1">
      <c r="A2130" s="841"/>
      <c r="B2130" s="47" t="s">
        <v>3650</v>
      </c>
      <c r="C2130" s="48"/>
      <c r="F2130" s="78" t="s">
        <v>1697</v>
      </c>
      <c r="G2130" s="26">
        <v>1.9</v>
      </c>
      <c r="H2130" s="26" t="s">
        <v>3561</v>
      </c>
    </row>
    <row r="2131" spans="1:8" hidden="1">
      <c r="A2131" s="841"/>
      <c r="B2131" s="47" t="s">
        <v>4995</v>
      </c>
      <c r="C2131" s="48"/>
      <c r="F2131" s="78" t="s">
        <v>1697</v>
      </c>
      <c r="G2131" s="383">
        <v>4</v>
      </c>
      <c r="H2131" s="26" t="s">
        <v>3431</v>
      </c>
    </row>
    <row r="2132" spans="1:8" hidden="1">
      <c r="A2132" s="841"/>
      <c r="B2132" s="47" t="s">
        <v>4997</v>
      </c>
      <c r="C2132" s="48"/>
      <c r="F2132" s="78" t="s">
        <v>1697</v>
      </c>
      <c r="G2132" s="26">
        <v>0.22500000000000001</v>
      </c>
      <c r="H2132" s="26" t="s">
        <v>3561</v>
      </c>
    </row>
    <row r="2133" spans="1:8" hidden="1">
      <c r="A2133" s="841"/>
      <c r="B2133" s="47" t="s">
        <v>4187</v>
      </c>
      <c r="C2133" s="48"/>
      <c r="F2133" s="78" t="s">
        <v>1697</v>
      </c>
      <c r="G2133" s="26">
        <v>9</v>
      </c>
      <c r="H2133" s="26" t="s">
        <v>3436</v>
      </c>
    </row>
    <row r="2134" spans="1:8" hidden="1">
      <c r="A2134" s="841"/>
      <c r="B2134" s="47" t="s">
        <v>1126</v>
      </c>
      <c r="C2134" s="48"/>
    </row>
    <row r="2135" spans="1:8" hidden="1">
      <c r="A2135" s="841"/>
      <c r="B2135" s="47" t="s">
        <v>3444</v>
      </c>
      <c r="C2135" s="48"/>
      <c r="F2135" s="78" t="s">
        <v>4183</v>
      </c>
      <c r="G2135" s="26">
        <v>118.75</v>
      </c>
      <c r="H2135" s="26" t="s">
        <v>6901</v>
      </c>
    </row>
    <row r="2136" spans="1:8" hidden="1">
      <c r="A2136" s="841"/>
      <c r="B2136" s="47" t="s">
        <v>2322</v>
      </c>
      <c r="C2136" s="48"/>
      <c r="F2136" s="78" t="s">
        <v>4183</v>
      </c>
      <c r="G2136" s="26">
        <v>4.17</v>
      </c>
      <c r="H2136" s="26" t="s">
        <v>3428</v>
      </c>
    </row>
    <row r="2137" spans="1:8" hidden="1">
      <c r="A2137" s="889">
        <v>6</v>
      </c>
      <c r="B2137" s="47" t="s">
        <v>1129</v>
      </c>
      <c r="C2137" s="48"/>
    </row>
    <row r="2138" spans="1:8" hidden="1">
      <c r="A2138" s="889"/>
      <c r="B2138" s="47" t="s">
        <v>5043</v>
      </c>
      <c r="C2138" s="48"/>
    </row>
    <row r="2139" spans="1:8">
      <c r="A2139" s="847"/>
      <c r="B2139" s="78"/>
      <c r="C2139" s="48"/>
    </row>
    <row r="2140" spans="1:8">
      <c r="A2140" s="889" t="s">
        <v>3984</v>
      </c>
      <c r="B2140" s="78"/>
      <c r="C2140" s="349" t="s">
        <v>2367</v>
      </c>
      <c r="E2140" s="171" t="s">
        <v>297</v>
      </c>
      <c r="F2140" s="246">
        <v>412.8</v>
      </c>
      <c r="G2140" s="26" t="s">
        <v>3477</v>
      </c>
    </row>
    <row r="2141" spans="1:8">
      <c r="A2141" s="847"/>
      <c r="B2141" s="79" t="s">
        <v>2368</v>
      </c>
      <c r="C2141" s="48"/>
    </row>
    <row r="2142" spans="1:8">
      <c r="A2142" s="847"/>
      <c r="B2142" s="95" t="s">
        <v>2369</v>
      </c>
      <c r="C2142" s="350" t="s">
        <v>6374</v>
      </c>
      <c r="D2142" s="95" t="s">
        <v>2370</v>
      </c>
      <c r="E2142" s="95" t="s">
        <v>1166</v>
      </c>
      <c r="F2142" s="95" t="s">
        <v>2371</v>
      </c>
      <c r="G2142" s="95" t="s">
        <v>2372</v>
      </c>
    </row>
    <row r="2143" spans="1:8">
      <c r="A2143" s="847"/>
      <c r="B2143" s="114"/>
      <c r="C2143" s="351"/>
      <c r="D2143" s="114"/>
      <c r="E2143" s="114"/>
      <c r="F2143" s="114" t="s">
        <v>3485</v>
      </c>
      <c r="G2143" s="114" t="s">
        <v>3485</v>
      </c>
    </row>
    <row r="2144" spans="1:8">
      <c r="A2144" s="847"/>
      <c r="B2144" s="95">
        <v>1</v>
      </c>
      <c r="C2144" s="352" t="s">
        <v>1130</v>
      </c>
      <c r="D2144" s="95"/>
      <c r="E2144" s="190">
        <v>0</v>
      </c>
      <c r="F2144" s="190">
        <v>0</v>
      </c>
      <c r="G2144" s="190">
        <f>E2144*F2144</f>
        <v>0</v>
      </c>
    </row>
    <row r="2145" spans="1:9">
      <c r="A2145" s="847"/>
      <c r="B2145" s="280"/>
      <c r="C2145" s="86"/>
      <c r="D2145" s="105"/>
      <c r="E2145" s="190">
        <v>0</v>
      </c>
      <c r="F2145" s="190">
        <v>0</v>
      </c>
      <c r="G2145" s="190">
        <f>E2145*F2145</f>
        <v>0</v>
      </c>
    </row>
    <row r="2146" spans="1:9">
      <c r="A2146" s="848"/>
      <c r="B2146" s="263"/>
      <c r="C2146" s="387" t="s">
        <v>2376</v>
      </c>
      <c r="D2146" s="388"/>
      <c r="E2146" s="389"/>
      <c r="F2146" s="390" t="s">
        <v>1698</v>
      </c>
      <c r="G2146" s="391">
        <f>SUM(G2144:G2145)</f>
        <v>0</v>
      </c>
      <c r="H2146" s="61"/>
      <c r="I2146" s="61"/>
    </row>
    <row r="2147" spans="1:9">
      <c r="A2147" s="847"/>
      <c r="B2147" s="78"/>
      <c r="C2147" s="48"/>
    </row>
    <row r="2148" spans="1:9">
      <c r="A2148" s="847"/>
      <c r="B2148" s="79" t="s">
        <v>2377</v>
      </c>
      <c r="C2148" s="48"/>
    </row>
    <row r="2149" spans="1:9">
      <c r="A2149" s="847"/>
      <c r="B2149" s="95" t="s">
        <v>2369</v>
      </c>
      <c r="C2149" s="350" t="s">
        <v>2378</v>
      </c>
      <c r="D2149" s="95" t="s">
        <v>2370</v>
      </c>
      <c r="E2149" s="95" t="s">
        <v>1166</v>
      </c>
      <c r="F2149" s="95" t="s">
        <v>2371</v>
      </c>
      <c r="G2149" s="95" t="s">
        <v>2372</v>
      </c>
    </row>
    <row r="2150" spans="1:9">
      <c r="A2150" s="847"/>
      <c r="B2150" s="114"/>
      <c r="C2150" s="351"/>
      <c r="D2150" s="114"/>
      <c r="E2150" s="114"/>
      <c r="F2150" s="114" t="s">
        <v>3485</v>
      </c>
      <c r="G2150" s="114" t="s">
        <v>3485</v>
      </c>
    </row>
    <row r="2151" spans="1:9">
      <c r="A2151" s="847"/>
      <c r="B2151" s="95">
        <v>1</v>
      </c>
      <c r="C2151" s="355" t="s">
        <v>1502</v>
      </c>
      <c r="D2151" s="95" t="s">
        <v>2374</v>
      </c>
      <c r="E2151" s="220">
        <v>3.4</v>
      </c>
      <c r="F2151" s="214">
        <f>'HIRE CHARGES'!$D$499</f>
        <v>1715.5</v>
      </c>
      <c r="G2151" s="190">
        <f t="shared" ref="G2151:G2159" si="28">E2151*F2151</f>
        <v>5832.7</v>
      </c>
      <c r="I2151" s="75"/>
    </row>
    <row r="2152" spans="1:9">
      <c r="A2152" s="847"/>
      <c r="B2152" s="152"/>
      <c r="C2152" s="355" t="s">
        <v>2379</v>
      </c>
      <c r="D2152" s="105" t="s">
        <v>2374</v>
      </c>
      <c r="E2152" s="220">
        <v>3.4</v>
      </c>
      <c r="F2152" s="214">
        <f>'HIRE CHARGES'!$E$499</f>
        <v>610.5</v>
      </c>
      <c r="G2152" s="190">
        <f t="shared" si="28"/>
        <v>2075.6999999999998</v>
      </c>
      <c r="I2152" s="75"/>
    </row>
    <row r="2153" spans="1:9">
      <c r="A2153" s="847"/>
      <c r="B2153" s="105">
        <v>2</v>
      </c>
      <c r="C2153" s="355" t="s">
        <v>2951</v>
      </c>
      <c r="D2153" s="105" t="s">
        <v>2374</v>
      </c>
      <c r="E2153" s="220">
        <v>8</v>
      </c>
      <c r="F2153" s="190">
        <f>'HIRE CHARGES'!$D$542</f>
        <v>1003.1</v>
      </c>
      <c r="G2153" s="190">
        <f t="shared" si="28"/>
        <v>8024.8</v>
      </c>
      <c r="I2153" s="75"/>
    </row>
    <row r="2154" spans="1:9">
      <c r="A2154" s="847"/>
      <c r="B2154" s="152"/>
      <c r="C2154" s="355" t="s">
        <v>2379</v>
      </c>
      <c r="D2154" s="105" t="s">
        <v>2374</v>
      </c>
      <c r="E2154" s="220">
        <v>8</v>
      </c>
      <c r="F2154" s="190">
        <f>'HIRE CHARGES'!$E$542</f>
        <v>476</v>
      </c>
      <c r="G2154" s="190">
        <f t="shared" si="28"/>
        <v>3808</v>
      </c>
      <c r="I2154" s="75"/>
    </row>
    <row r="2155" spans="1:9">
      <c r="A2155" s="847"/>
      <c r="B2155" s="105">
        <v>3</v>
      </c>
      <c r="C2155" s="355" t="s">
        <v>3797</v>
      </c>
      <c r="D2155" s="105" t="s">
        <v>2374</v>
      </c>
      <c r="E2155" s="220">
        <v>32</v>
      </c>
      <c r="F2155" s="190">
        <f>'HIRE CHARGES'!$D$545</f>
        <v>446.7</v>
      </c>
      <c r="G2155" s="190">
        <f t="shared" si="28"/>
        <v>14294.4</v>
      </c>
      <c r="I2155" s="75"/>
    </row>
    <row r="2156" spans="1:9">
      <c r="A2156" s="847"/>
      <c r="B2156" s="152"/>
      <c r="C2156" s="355" t="s">
        <v>2379</v>
      </c>
      <c r="D2156" s="105" t="s">
        <v>2374</v>
      </c>
      <c r="E2156" s="220">
        <v>32</v>
      </c>
      <c r="F2156" s="190">
        <f>'HIRE CHARGES'!$E$545</f>
        <v>299.89999999999998</v>
      </c>
      <c r="G2156" s="190">
        <f t="shared" si="28"/>
        <v>9596.7999999999993</v>
      </c>
      <c r="I2156" s="75"/>
    </row>
    <row r="2157" spans="1:9">
      <c r="A2157" s="847"/>
      <c r="B2157" s="105">
        <v>4</v>
      </c>
      <c r="C2157" s="355" t="s">
        <v>9251</v>
      </c>
      <c r="D2157" s="105" t="s">
        <v>2374</v>
      </c>
      <c r="E2157" s="220">
        <v>4.17</v>
      </c>
      <c r="F2157" s="214">
        <f>'HIRE CHARGES'!$D$553</f>
        <v>1342.2</v>
      </c>
      <c r="G2157" s="190">
        <f t="shared" si="28"/>
        <v>5596.9740000000002</v>
      </c>
      <c r="I2157" s="75"/>
    </row>
    <row r="2158" spans="1:9">
      <c r="A2158" s="847"/>
      <c r="B2158" s="152"/>
      <c r="C2158" s="355" t="s">
        <v>2379</v>
      </c>
      <c r="D2158" s="105" t="s">
        <v>2374</v>
      </c>
      <c r="E2158" s="220">
        <v>4.17</v>
      </c>
      <c r="F2158" s="214">
        <f>'HIRE CHARGES'!$E$553</f>
        <v>1031.4000000000001</v>
      </c>
      <c r="G2158" s="190">
        <f t="shared" si="28"/>
        <v>4300.9380000000001</v>
      </c>
      <c r="I2158" s="75"/>
    </row>
    <row r="2159" spans="1:9">
      <c r="A2159" s="847"/>
      <c r="B2159" s="114">
        <v>5</v>
      </c>
      <c r="C2159" s="355" t="s">
        <v>2373</v>
      </c>
      <c r="D2159" s="105" t="s">
        <v>2173</v>
      </c>
      <c r="E2159" s="220">
        <v>2</v>
      </c>
      <c r="F2159" s="190">
        <f>'BASIC DATA'!$D$359</f>
        <v>30</v>
      </c>
      <c r="G2159" s="190">
        <f t="shared" si="28"/>
        <v>60</v>
      </c>
      <c r="I2159" s="75"/>
    </row>
    <row r="2160" spans="1:9">
      <c r="A2160" s="847"/>
      <c r="B2160" s="176"/>
      <c r="C2160" s="357" t="s">
        <v>2380</v>
      </c>
      <c r="D2160" s="174"/>
      <c r="E2160" s="192"/>
      <c r="F2160" s="236" t="s">
        <v>1698</v>
      </c>
      <c r="G2160" s="354">
        <f>SUM(G2151:G2159)</f>
        <v>53590.311999999998</v>
      </c>
      <c r="I2160" s="31"/>
    </row>
    <row r="2161" spans="1:9">
      <c r="A2161" s="847"/>
      <c r="B2161" s="78"/>
      <c r="C2161" s="48"/>
      <c r="I2161" s="31"/>
    </row>
    <row r="2162" spans="1:9">
      <c r="A2162" s="847"/>
      <c r="B2162" s="79" t="s">
        <v>2381</v>
      </c>
      <c r="C2162" s="48"/>
      <c r="I2162" s="31"/>
    </row>
    <row r="2163" spans="1:9">
      <c r="A2163" s="847"/>
      <c r="B2163" s="95" t="s">
        <v>2369</v>
      </c>
      <c r="C2163" s="350" t="s">
        <v>2378</v>
      </c>
      <c r="D2163" s="95" t="s">
        <v>2370</v>
      </c>
      <c r="E2163" s="95" t="s">
        <v>1166</v>
      </c>
      <c r="F2163" s="95" t="s">
        <v>2371</v>
      </c>
      <c r="G2163" s="95" t="s">
        <v>2372</v>
      </c>
      <c r="I2163" s="31"/>
    </row>
    <row r="2164" spans="1:9">
      <c r="A2164" s="847"/>
      <c r="B2164" s="114"/>
      <c r="C2164" s="351"/>
      <c r="D2164" s="105"/>
      <c r="E2164" s="114"/>
      <c r="F2164" s="114" t="s">
        <v>3485</v>
      </c>
      <c r="G2164" s="114" t="s">
        <v>3485</v>
      </c>
      <c r="I2164" s="31"/>
    </row>
    <row r="2165" spans="1:9">
      <c r="A2165" s="847"/>
      <c r="B2165" s="105">
        <v>1</v>
      </c>
      <c r="C2165" s="86" t="s">
        <v>2870</v>
      </c>
      <c r="D2165" s="95" t="s">
        <v>2374</v>
      </c>
      <c r="E2165" s="207">
        <v>3.4</v>
      </c>
      <c r="F2165" s="190">
        <f>'HIRE CHARGES'!$F$499</f>
        <v>236.6</v>
      </c>
      <c r="G2165" s="190">
        <f t="shared" ref="G2165:G2170" si="29">E2165*F2165</f>
        <v>804.43999999999994</v>
      </c>
      <c r="I2165" s="75"/>
    </row>
    <row r="2166" spans="1:9">
      <c r="A2166" s="847"/>
      <c r="B2166" s="105">
        <v>2</v>
      </c>
      <c r="C2166" s="86" t="s">
        <v>300</v>
      </c>
      <c r="D2166" s="105" t="s">
        <v>2374</v>
      </c>
      <c r="E2166" s="207">
        <v>8</v>
      </c>
      <c r="F2166" s="190">
        <f>'HIRE CHARGES'!$F$542</f>
        <v>236.6</v>
      </c>
      <c r="G2166" s="190">
        <f t="shared" si="29"/>
        <v>1892.8</v>
      </c>
      <c r="I2166" s="75"/>
    </row>
    <row r="2167" spans="1:9">
      <c r="A2167" s="847"/>
      <c r="B2167" s="105">
        <v>3</v>
      </c>
      <c r="C2167" s="86" t="s">
        <v>301</v>
      </c>
      <c r="D2167" s="105" t="s">
        <v>2374</v>
      </c>
      <c r="E2167" s="207">
        <v>32</v>
      </c>
      <c r="F2167" s="190">
        <f>'HIRE CHARGES'!$F$545</f>
        <v>177.5</v>
      </c>
      <c r="G2167" s="190">
        <f t="shared" si="29"/>
        <v>5680</v>
      </c>
      <c r="I2167" s="75"/>
    </row>
    <row r="2168" spans="1:9">
      <c r="A2168" s="847"/>
      <c r="B2168" s="105">
        <v>4</v>
      </c>
      <c r="C2168" s="86" t="s">
        <v>1001</v>
      </c>
      <c r="D2168" s="105" t="s">
        <v>2374</v>
      </c>
      <c r="E2168" s="207">
        <v>4.17</v>
      </c>
      <c r="F2168" s="190">
        <f>'HIRE CHARGES'!$F$553</f>
        <v>263.60000000000002</v>
      </c>
      <c r="G2168" s="190">
        <f t="shared" si="29"/>
        <v>1099.212</v>
      </c>
      <c r="I2168" s="75"/>
    </row>
    <row r="2169" spans="1:9">
      <c r="A2169" s="847"/>
      <c r="B2169" s="105">
        <v>5</v>
      </c>
      <c r="C2169" s="86" t="s">
        <v>4206</v>
      </c>
      <c r="D2169" s="105" t="s">
        <v>1172</v>
      </c>
      <c r="E2169" s="207">
        <v>2</v>
      </c>
      <c r="F2169" s="190">
        <f>'BASIC DATA'!$C$473</f>
        <v>450</v>
      </c>
      <c r="G2169" s="190">
        <f t="shared" si="29"/>
        <v>900</v>
      </c>
      <c r="I2169" s="75"/>
    </row>
    <row r="2170" spans="1:9">
      <c r="A2170" s="847"/>
      <c r="B2170" s="105">
        <v>6</v>
      </c>
      <c r="C2170" s="86" t="s">
        <v>2696</v>
      </c>
      <c r="D2170" s="105" t="s">
        <v>1172</v>
      </c>
      <c r="E2170" s="207">
        <v>4</v>
      </c>
      <c r="F2170" s="190">
        <f>'BASIC DATA'!$C$552</f>
        <v>350</v>
      </c>
      <c r="G2170" s="190">
        <f t="shared" si="29"/>
        <v>1400</v>
      </c>
      <c r="I2170" s="75"/>
    </row>
    <row r="2171" spans="1:9">
      <c r="A2171" s="847"/>
      <c r="B2171" s="92"/>
      <c r="C2171" s="353" t="s">
        <v>1174</v>
      </c>
      <c r="D2171" s="159"/>
      <c r="E2171" s="238"/>
      <c r="F2171" s="236" t="s">
        <v>1698</v>
      </c>
      <c r="G2171" s="318">
        <f>SUM(G2165:G2170)</f>
        <v>11776.451999999999</v>
      </c>
    </row>
    <row r="2172" spans="1:9">
      <c r="A2172" s="847"/>
      <c r="B2172" s="359" t="s">
        <v>5948</v>
      </c>
      <c r="C2172" s="355"/>
      <c r="D2172" s="31"/>
      <c r="E2172" s="85">
        <f>ROUND(G2171/F2140,1)</f>
        <v>28.5</v>
      </c>
    </row>
    <row r="2173" spans="1:9">
      <c r="A2173" s="847"/>
      <c r="B2173" s="359" t="s">
        <v>3163</v>
      </c>
      <c r="C2173" s="355"/>
      <c r="D2173" s="922">
        <f>'BASIC DATA'!$C$577</f>
        <v>0.13614999999999999</v>
      </c>
      <c r="E2173" s="85">
        <f>ROUND(E2172*D2173,1)</f>
        <v>3.9</v>
      </c>
    </row>
    <row r="2174" spans="1:9">
      <c r="A2174" s="847"/>
      <c r="B2174" s="359" t="s">
        <v>5949</v>
      </c>
      <c r="C2174" s="355"/>
      <c r="D2174" s="31"/>
      <c r="E2174" s="199">
        <f>ROUND(E2173+E2172,1)</f>
        <v>32.4</v>
      </c>
    </row>
    <row r="2175" spans="1:9">
      <c r="A2175" s="847"/>
      <c r="B2175" s="78"/>
      <c r="C2175" s="48"/>
    </row>
    <row r="2176" spans="1:9">
      <c r="A2176" s="847"/>
      <c r="B2176" s="162" t="s">
        <v>1175</v>
      </c>
      <c r="C2176" s="48"/>
    </row>
    <row r="2177" spans="1:8">
      <c r="A2177" s="847"/>
      <c r="B2177" s="47" t="s">
        <v>1176</v>
      </c>
      <c r="C2177" s="48"/>
      <c r="F2177" s="171" t="s">
        <v>1698</v>
      </c>
      <c r="G2177" s="68">
        <f>G2146</f>
        <v>0</v>
      </c>
    </row>
    <row r="2178" spans="1:8">
      <c r="A2178" s="847"/>
      <c r="B2178" s="47" t="s">
        <v>1186</v>
      </c>
      <c r="C2178" s="48"/>
      <c r="F2178" s="171" t="s">
        <v>1698</v>
      </c>
      <c r="G2178" s="68">
        <f>G2160</f>
        <v>53590.311999999998</v>
      </c>
    </row>
    <row r="2179" spans="1:8">
      <c r="A2179" s="847"/>
      <c r="B2179" s="47" t="s">
        <v>2660</v>
      </c>
      <c r="C2179" s="48"/>
      <c r="F2179" s="171" t="s">
        <v>1698</v>
      </c>
      <c r="G2179" s="75">
        <f>G2171</f>
        <v>11776.451999999999</v>
      </c>
    </row>
    <row r="2180" spans="1:8">
      <c r="A2180" s="847"/>
      <c r="B2180" s="78"/>
      <c r="C2180" s="48"/>
      <c r="E2180" s="261"/>
      <c r="F2180" s="171" t="s">
        <v>302</v>
      </c>
      <c r="G2180" s="205">
        <f>SUM(G2177:G2179)</f>
        <v>65366.763999999996</v>
      </c>
    </row>
    <row r="2181" spans="1:8" ht="40.5" customHeight="1">
      <c r="A2181" s="847"/>
      <c r="B2181" s="1207" t="s">
        <v>1379</v>
      </c>
      <c r="C2181" s="1207"/>
      <c r="D2181" s="1207"/>
      <c r="E2181" s="922">
        <f>'BASIC DATA'!$C$577</f>
        <v>0.13614999999999999</v>
      </c>
      <c r="F2181" s="171" t="s">
        <v>1698</v>
      </c>
      <c r="G2181" s="31">
        <f>ROUND(G2180*E2181,2)</f>
        <v>8899.68</v>
      </c>
    </row>
    <row r="2182" spans="1:8">
      <c r="A2182" s="847"/>
      <c r="B2182" s="47" t="s">
        <v>1191</v>
      </c>
      <c r="C2182" s="48"/>
      <c r="D2182" s="68">
        <f>F2140</f>
        <v>412.8</v>
      </c>
      <c r="E2182" s="68" t="str">
        <f>G2140</f>
        <v>cum</v>
      </c>
      <c r="F2182" s="171" t="s">
        <v>1698</v>
      </c>
      <c r="G2182" s="211">
        <f>G2181+G2180</f>
        <v>74266.443999999989</v>
      </c>
    </row>
    <row r="2183" spans="1:8">
      <c r="A2183" s="847"/>
      <c r="B2183" s="79" t="s">
        <v>1584</v>
      </c>
      <c r="C2183" s="356" t="str">
        <f>E2182</f>
        <v>cum</v>
      </c>
      <c r="D2183" s="26" t="s">
        <v>5771</v>
      </c>
      <c r="F2183" s="171" t="s">
        <v>4108</v>
      </c>
      <c r="G2183" s="211">
        <f>ROUND(G2182/D2182,1)</f>
        <v>179.9</v>
      </c>
      <c r="H2183" s="171"/>
    </row>
    <row r="2184" spans="1:8">
      <c r="A2184" s="847"/>
      <c r="B2184" s="78"/>
      <c r="C2184" s="48"/>
    </row>
    <row r="2185" spans="1:8">
      <c r="A2185" s="847"/>
      <c r="B2185" s="78"/>
      <c r="C2185" s="48"/>
    </row>
    <row r="2186" spans="1:8" ht="18.75">
      <c r="A2186" s="841" t="s">
        <v>7437</v>
      </c>
      <c r="B2186" s="47" t="s">
        <v>8671</v>
      </c>
      <c r="C2186" s="48"/>
    </row>
    <row r="2187" spans="1:8">
      <c r="A2187" s="889"/>
      <c r="B2187" s="47" t="s">
        <v>8672</v>
      </c>
      <c r="C2187" s="48"/>
    </row>
    <row r="2188" spans="1:8">
      <c r="A2188" s="889"/>
      <c r="B2188" s="47" t="s">
        <v>4188</v>
      </c>
      <c r="C2188" s="48"/>
    </row>
    <row r="2189" spans="1:8" ht="18.75">
      <c r="A2189" s="889"/>
      <c r="B2189" s="47" t="s">
        <v>8673</v>
      </c>
      <c r="C2189" s="48"/>
    </row>
    <row r="2190" spans="1:8">
      <c r="A2190" s="889"/>
      <c r="B2190" s="47" t="s">
        <v>9231</v>
      </c>
      <c r="C2190" s="48"/>
    </row>
    <row r="2191" spans="1:8" ht="18.75">
      <c r="A2191" s="889"/>
      <c r="B2191" s="162" t="s">
        <v>9232</v>
      </c>
      <c r="C2191" s="48"/>
    </row>
    <row r="2192" spans="1:8">
      <c r="A2192" s="889"/>
      <c r="C2192" s="48"/>
    </row>
    <row r="2193" spans="1:9" hidden="1">
      <c r="A2193" s="889" t="s">
        <v>3984</v>
      </c>
      <c r="B2193" s="47" t="s">
        <v>602</v>
      </c>
      <c r="C2193" s="48"/>
      <c r="F2193" s="78" t="s">
        <v>1697</v>
      </c>
      <c r="G2193" s="68">
        <v>0.5</v>
      </c>
      <c r="H2193" s="26" t="s">
        <v>6901</v>
      </c>
      <c r="I2193" s="31"/>
    </row>
    <row r="2194" spans="1:9" hidden="1">
      <c r="A2194" s="889"/>
      <c r="B2194" s="47" t="s">
        <v>603</v>
      </c>
      <c r="C2194" s="48"/>
      <c r="F2194" s="78" t="s">
        <v>1697</v>
      </c>
      <c r="G2194" s="26">
        <v>0.57999999999999996</v>
      </c>
      <c r="H2194" s="26" t="s">
        <v>6901</v>
      </c>
      <c r="I2194" s="31"/>
    </row>
    <row r="2195" spans="1:9" hidden="1">
      <c r="A2195" s="889"/>
      <c r="B2195" s="47" t="s">
        <v>604</v>
      </c>
      <c r="C2195" s="48"/>
      <c r="F2195" s="78" t="s">
        <v>1697</v>
      </c>
      <c r="G2195" s="68">
        <v>5</v>
      </c>
      <c r="H2195" s="26" t="s">
        <v>6901</v>
      </c>
      <c r="I2195" s="31"/>
    </row>
    <row r="2196" spans="1:9" hidden="1">
      <c r="A2196" s="889"/>
      <c r="B2196" s="47" t="s">
        <v>2541</v>
      </c>
      <c r="C2196" s="48"/>
      <c r="F2196" s="78" t="s">
        <v>3432</v>
      </c>
      <c r="G2196" s="26">
        <v>1</v>
      </c>
      <c r="H2196" s="26" t="s">
        <v>3431</v>
      </c>
      <c r="I2196" s="31"/>
    </row>
    <row r="2197" spans="1:9" hidden="1">
      <c r="A2197" s="889"/>
      <c r="B2197" s="47" t="s">
        <v>4569</v>
      </c>
      <c r="C2197" s="48"/>
      <c r="F2197" s="78" t="s">
        <v>1697</v>
      </c>
      <c r="G2197" s="26">
        <v>12</v>
      </c>
      <c r="H2197" s="26" t="s">
        <v>6703</v>
      </c>
      <c r="I2197" s="31"/>
    </row>
    <row r="2198" spans="1:9" hidden="1">
      <c r="A2198" s="889"/>
      <c r="B2198" s="47" t="s">
        <v>5632</v>
      </c>
      <c r="C2198" s="48"/>
      <c r="F2198" s="78" t="s">
        <v>1697</v>
      </c>
      <c r="G2198" s="26">
        <v>15</v>
      </c>
      <c r="H2198" s="26" t="s">
        <v>3433</v>
      </c>
      <c r="I2198" s="31"/>
    </row>
    <row r="2199" spans="1:9" hidden="1">
      <c r="A2199" s="889"/>
      <c r="B2199" s="47" t="s">
        <v>3985</v>
      </c>
      <c r="C2199" s="48"/>
      <c r="F2199" s="78" t="s">
        <v>1697</v>
      </c>
      <c r="G2199" s="68">
        <v>2</v>
      </c>
      <c r="H2199" s="26" t="s">
        <v>1433</v>
      </c>
      <c r="I2199" s="31"/>
    </row>
    <row r="2200" spans="1:9" hidden="1">
      <c r="A2200" s="889"/>
      <c r="B2200" s="47" t="s">
        <v>4030</v>
      </c>
      <c r="C2200" s="48"/>
      <c r="F2200" s="78" t="s">
        <v>1697</v>
      </c>
      <c r="G2200" s="26">
        <v>20</v>
      </c>
      <c r="H2200" s="26" t="s">
        <v>3562</v>
      </c>
      <c r="I2200" s="31"/>
    </row>
    <row r="2201" spans="1:9" hidden="1">
      <c r="A2201" s="889"/>
      <c r="B2201" s="47" t="s">
        <v>5633</v>
      </c>
      <c r="C2201" s="48"/>
      <c r="F2201" s="78" t="s">
        <v>1697</v>
      </c>
      <c r="G2201" s="68">
        <v>0.5</v>
      </c>
      <c r="H2201" s="26" t="s">
        <v>6901</v>
      </c>
      <c r="I2201" s="31"/>
    </row>
    <row r="2202" spans="1:9" hidden="1">
      <c r="A2202" s="889"/>
      <c r="B2202" s="47" t="s">
        <v>5634</v>
      </c>
      <c r="C2202" s="48"/>
      <c r="F2202" s="78" t="s">
        <v>1697</v>
      </c>
      <c r="G2202" s="68">
        <v>4</v>
      </c>
      <c r="H2202" s="26" t="s">
        <v>6901</v>
      </c>
      <c r="I2202" s="31"/>
    </row>
    <row r="2203" spans="1:9" hidden="1">
      <c r="A2203" s="889"/>
      <c r="B2203" s="47" t="s">
        <v>5635</v>
      </c>
      <c r="C2203" s="48"/>
      <c r="F2203" s="78" t="s">
        <v>1123</v>
      </c>
      <c r="G2203" s="26">
        <v>8</v>
      </c>
      <c r="H2203" s="26" t="s">
        <v>3435</v>
      </c>
      <c r="I2203" s="31"/>
    </row>
    <row r="2204" spans="1:9" hidden="1">
      <c r="A2204" s="889"/>
      <c r="B2204" s="47" t="s">
        <v>1489</v>
      </c>
      <c r="C2204" s="48"/>
      <c r="F2204" s="78" t="s">
        <v>1123</v>
      </c>
      <c r="G2204" s="68">
        <v>2.67</v>
      </c>
      <c r="H2204" s="26" t="s">
        <v>1433</v>
      </c>
      <c r="I2204" s="31"/>
    </row>
    <row r="2205" spans="1:9" hidden="1">
      <c r="A2205" s="889"/>
      <c r="B2205" s="47" t="s">
        <v>1613</v>
      </c>
      <c r="C2205" s="48"/>
      <c r="F2205" s="78" t="s">
        <v>1697</v>
      </c>
      <c r="I2205" s="31"/>
    </row>
    <row r="2206" spans="1:9" hidden="1">
      <c r="A2206" s="889"/>
      <c r="B2206" s="47" t="s">
        <v>3258</v>
      </c>
      <c r="C2206" s="48"/>
      <c r="F2206" s="78" t="s">
        <v>1697</v>
      </c>
      <c r="G2206" s="68">
        <v>2.67</v>
      </c>
      <c r="H2206" s="26" t="s">
        <v>1433</v>
      </c>
      <c r="I2206" s="31"/>
    </row>
    <row r="2207" spans="1:9" hidden="1">
      <c r="A2207" s="889"/>
      <c r="B2207" s="47" t="s">
        <v>3003</v>
      </c>
      <c r="C2207" s="48"/>
      <c r="F2207" s="78" t="s">
        <v>1697</v>
      </c>
      <c r="G2207" s="68">
        <v>5</v>
      </c>
      <c r="H2207" s="26" t="s">
        <v>1433</v>
      </c>
      <c r="I2207" s="31"/>
    </row>
    <row r="2208" spans="1:9" hidden="1">
      <c r="A2208" s="889"/>
      <c r="B2208" s="47" t="s">
        <v>705</v>
      </c>
      <c r="C2208" s="48"/>
      <c r="F2208" s="78" t="s">
        <v>1697</v>
      </c>
      <c r="G2208" s="68">
        <v>2</v>
      </c>
      <c r="H2208" s="26" t="s">
        <v>1433</v>
      </c>
      <c r="I2208" s="31"/>
    </row>
    <row r="2209" spans="1:9" hidden="1">
      <c r="A2209" s="889"/>
      <c r="B2209" s="47" t="s">
        <v>6755</v>
      </c>
      <c r="C2209" s="48"/>
      <c r="F2209" s="78" t="s">
        <v>1697</v>
      </c>
      <c r="G2209" s="68">
        <v>4</v>
      </c>
      <c r="H2209" s="26" t="s">
        <v>1433</v>
      </c>
      <c r="I2209" s="31"/>
    </row>
    <row r="2210" spans="1:9" hidden="1">
      <c r="A2210" s="889"/>
      <c r="B2210" s="47" t="s">
        <v>263</v>
      </c>
      <c r="C2210" s="48"/>
      <c r="F2210" s="78" t="s">
        <v>1697</v>
      </c>
      <c r="G2210" s="173">
        <v>0.5</v>
      </c>
      <c r="H2210" s="26" t="s">
        <v>1433</v>
      </c>
      <c r="I2210" s="31"/>
    </row>
    <row r="2211" spans="1:9" hidden="1">
      <c r="A2211" s="889"/>
      <c r="C2211" s="48"/>
      <c r="F2211" s="78" t="s">
        <v>1697</v>
      </c>
      <c r="G2211" s="68">
        <f>SUM(G2206:G2210)</f>
        <v>14.17</v>
      </c>
      <c r="H2211" s="26" t="s">
        <v>1433</v>
      </c>
      <c r="I2211" s="60"/>
    </row>
    <row r="2212" spans="1:9" hidden="1">
      <c r="A2212" s="889"/>
      <c r="B2212" s="47" t="s">
        <v>4311</v>
      </c>
      <c r="C2212" s="48"/>
      <c r="F2212" s="78">
        <f>14.17/2.67</f>
        <v>5.3071161048689142</v>
      </c>
      <c r="G2212" s="26">
        <v>6</v>
      </c>
      <c r="H2212" s="26" t="s">
        <v>3436</v>
      </c>
      <c r="I2212" s="31"/>
    </row>
    <row r="2213" spans="1:9" hidden="1">
      <c r="A2213" s="889"/>
      <c r="B2213" s="47" t="s">
        <v>6504</v>
      </c>
      <c r="C2213" s="48"/>
      <c r="F2213" s="78">
        <f>50*4/14.17</f>
        <v>14.114326040931546</v>
      </c>
      <c r="G2213" s="68">
        <v>14.11</v>
      </c>
      <c r="H2213" s="26" t="s">
        <v>6901</v>
      </c>
      <c r="I2213" s="31"/>
    </row>
    <row r="2214" spans="1:9" hidden="1">
      <c r="A2214" s="889"/>
      <c r="B2214" s="47" t="s">
        <v>6505</v>
      </c>
      <c r="C2214" s="48"/>
      <c r="D2214" s="26">
        <f>6*14.11*8</f>
        <v>677.28</v>
      </c>
      <c r="F2214" s="78" t="s">
        <v>1123</v>
      </c>
      <c r="G2214" s="26">
        <v>677.28</v>
      </c>
      <c r="H2214" s="26" t="s">
        <v>6901</v>
      </c>
      <c r="I2214" s="31"/>
    </row>
    <row r="2215" spans="1:9" hidden="1">
      <c r="A2215" s="889">
        <v>1</v>
      </c>
      <c r="B2215" s="47" t="s">
        <v>2860</v>
      </c>
      <c r="C2215" s="48"/>
    </row>
    <row r="2216" spans="1:9" hidden="1">
      <c r="A2216" s="841"/>
      <c r="B2216" s="47" t="s">
        <v>4449</v>
      </c>
      <c r="C2216" s="48"/>
    </row>
    <row r="2217" spans="1:9" hidden="1">
      <c r="A2217" s="841"/>
      <c r="B2217" s="47" t="s">
        <v>6506</v>
      </c>
      <c r="C2217" s="48"/>
      <c r="F2217" s="78">
        <f>677.28*6/1.5</f>
        <v>2709.12</v>
      </c>
      <c r="G2217" s="26">
        <v>2709.12</v>
      </c>
      <c r="H2217" s="26" t="s">
        <v>3883</v>
      </c>
    </row>
    <row r="2218" spans="1:9" hidden="1">
      <c r="A2218" s="841"/>
      <c r="B2218" s="47" t="s">
        <v>4450</v>
      </c>
      <c r="C2218" s="48"/>
      <c r="F2218" s="78" t="s">
        <v>1697</v>
      </c>
      <c r="G2218" s="26">
        <v>0.2</v>
      </c>
      <c r="H2218" s="26" t="s">
        <v>3561</v>
      </c>
    </row>
    <row r="2219" spans="1:9" hidden="1">
      <c r="A2219" s="841"/>
      <c r="B2219" s="47" t="s">
        <v>6507</v>
      </c>
      <c r="C2219" s="48"/>
      <c r="F2219" s="78" t="s">
        <v>1697</v>
      </c>
      <c r="G2219" s="26">
        <f>ROUND(2709.12*1.05*0.2,2)</f>
        <v>568.91999999999996</v>
      </c>
      <c r="H2219" s="26" t="s">
        <v>6901</v>
      </c>
    </row>
    <row r="2220" spans="1:9" hidden="1">
      <c r="A2220" s="892"/>
      <c r="B2220" s="382" t="s">
        <v>3248</v>
      </c>
      <c r="C2220" s="49"/>
      <c r="D2220" s="61"/>
      <c r="E2220" s="61"/>
      <c r="F2220" s="62" t="s">
        <v>1697</v>
      </c>
      <c r="G2220" s="61">
        <v>70</v>
      </c>
      <c r="H2220" s="61" t="s">
        <v>6901</v>
      </c>
      <c r="I2220" s="61"/>
    </row>
    <row r="2221" spans="1:9" hidden="1">
      <c r="A2221" s="841"/>
      <c r="B2221" s="47" t="s">
        <v>6508</v>
      </c>
      <c r="C2221" s="48"/>
      <c r="F2221" s="78" t="s">
        <v>1697</v>
      </c>
      <c r="G2221" s="26">
        <f>ROUND(G2219/G2220,2)</f>
        <v>8.1300000000000008</v>
      </c>
      <c r="H2221" s="26" t="s">
        <v>3428</v>
      </c>
    </row>
    <row r="2222" spans="1:9" hidden="1">
      <c r="A2222" s="841"/>
      <c r="B2222" s="47" t="s">
        <v>6280</v>
      </c>
      <c r="C2222" s="48"/>
      <c r="F2222" s="78"/>
    </row>
    <row r="2223" spans="1:9" hidden="1">
      <c r="A2223" s="841"/>
      <c r="B2223" s="47" t="s">
        <v>6245</v>
      </c>
      <c r="C2223" s="48"/>
      <c r="F2223" s="78">
        <f>G2221/6</f>
        <v>1.3550000000000002</v>
      </c>
      <c r="G2223" s="68">
        <v>2</v>
      </c>
      <c r="H2223" s="26" t="s">
        <v>3428</v>
      </c>
      <c r="I2223" s="26" t="s">
        <v>1564</v>
      </c>
    </row>
    <row r="2224" spans="1:9" hidden="1">
      <c r="A2224" s="889">
        <v>2</v>
      </c>
      <c r="B2224" s="47" t="s">
        <v>6281</v>
      </c>
      <c r="C2224" s="48"/>
    </row>
    <row r="2225" spans="1:9" hidden="1">
      <c r="A2225" s="841"/>
      <c r="B2225" s="47" t="s">
        <v>4117</v>
      </c>
      <c r="C2225" s="48"/>
    </row>
    <row r="2226" spans="1:9" hidden="1">
      <c r="A2226" s="841"/>
      <c r="B2226" s="47" t="s">
        <v>1260</v>
      </c>
      <c r="C2226" s="48"/>
    </row>
    <row r="2227" spans="1:9" hidden="1">
      <c r="A2227" s="889">
        <v>3</v>
      </c>
      <c r="B2227" s="47" t="s">
        <v>5954</v>
      </c>
      <c r="C2227" s="48"/>
    </row>
    <row r="2228" spans="1:9" hidden="1">
      <c r="A2228" s="841"/>
      <c r="B2228" s="47" t="s">
        <v>7606</v>
      </c>
      <c r="C2228" s="48"/>
      <c r="F2228" s="78" t="s">
        <v>1697</v>
      </c>
      <c r="G2228" s="26">
        <f>677.28*1.2</f>
        <v>812.73599999999999</v>
      </c>
      <c r="H2228" s="26" t="s">
        <v>6901</v>
      </c>
    </row>
    <row r="2229" spans="1:9" hidden="1">
      <c r="A2229" s="841"/>
      <c r="B2229" s="47" t="s">
        <v>6514</v>
      </c>
      <c r="C2229" s="48"/>
      <c r="F2229" s="78" t="s">
        <v>1697</v>
      </c>
      <c r="G2229" s="26">
        <v>200</v>
      </c>
      <c r="H2229" s="26" t="s">
        <v>6901</v>
      </c>
    </row>
    <row r="2230" spans="1:9" hidden="1">
      <c r="A2230" s="893"/>
      <c r="B2230" s="359" t="s">
        <v>4122</v>
      </c>
      <c r="C2230" s="48"/>
      <c r="D2230" s="60"/>
      <c r="E2230" s="60">
        <f>G2228/G2229</f>
        <v>4.0636799999999997</v>
      </c>
      <c r="F2230" s="168" t="s">
        <v>1123</v>
      </c>
      <c r="G2230" s="26">
        <v>4.0599999999999996</v>
      </c>
      <c r="H2230" s="60" t="s">
        <v>3428</v>
      </c>
      <c r="I2230" s="60"/>
    </row>
    <row r="2231" spans="1:9" hidden="1">
      <c r="A2231" s="889">
        <v>4</v>
      </c>
      <c r="B2231" s="47" t="s">
        <v>1746</v>
      </c>
      <c r="C2231" s="48"/>
      <c r="G2231" s="68">
        <v>4.0599999999999996</v>
      </c>
      <c r="H2231" s="60" t="s">
        <v>3428</v>
      </c>
    </row>
    <row r="2232" spans="1:9" hidden="1">
      <c r="A2232" s="841"/>
      <c r="B2232" s="47" t="s">
        <v>6794</v>
      </c>
      <c r="C2232" s="48"/>
    </row>
    <row r="2233" spans="1:9" hidden="1">
      <c r="A2233" s="841"/>
      <c r="B2233" s="47" t="s">
        <v>6795</v>
      </c>
      <c r="C2233" s="48"/>
    </row>
    <row r="2234" spans="1:9" hidden="1">
      <c r="A2234" s="841"/>
      <c r="B2234" s="47" t="s">
        <v>6796</v>
      </c>
      <c r="C2234" s="48"/>
    </row>
    <row r="2235" spans="1:9" hidden="1">
      <c r="A2235" s="841"/>
      <c r="B2235" s="47" t="s">
        <v>6404</v>
      </c>
      <c r="C2235" s="48"/>
    </row>
    <row r="2236" spans="1:9" hidden="1">
      <c r="A2236" s="841"/>
      <c r="B2236" s="47" t="s">
        <v>6405</v>
      </c>
      <c r="C2236" s="48"/>
    </row>
    <row r="2237" spans="1:9" hidden="1">
      <c r="A2237" s="841"/>
      <c r="B2237" s="47" t="s">
        <v>6406</v>
      </c>
      <c r="C2237" s="48"/>
    </row>
    <row r="2238" spans="1:9" hidden="1">
      <c r="A2238" s="889">
        <v>5</v>
      </c>
      <c r="B2238" s="47" t="s">
        <v>6798</v>
      </c>
      <c r="C2238" s="48"/>
    </row>
    <row r="2239" spans="1:9" hidden="1">
      <c r="A2239" s="841"/>
      <c r="B2239" s="47" t="s">
        <v>3647</v>
      </c>
      <c r="C2239" s="48"/>
    </row>
    <row r="2240" spans="1:9" hidden="1">
      <c r="A2240" s="841"/>
      <c r="B2240" s="47" t="s">
        <v>9250</v>
      </c>
      <c r="C2240" s="48"/>
    </row>
    <row r="2241" spans="1:8" hidden="1">
      <c r="A2241" s="841"/>
      <c r="B2241" s="47" t="s">
        <v>2320</v>
      </c>
      <c r="C2241" s="48"/>
    </row>
    <row r="2242" spans="1:8" hidden="1">
      <c r="A2242" s="841"/>
      <c r="B2242" s="47" t="s">
        <v>3650</v>
      </c>
      <c r="C2242" s="48"/>
      <c r="F2242" s="78" t="s">
        <v>1697</v>
      </c>
      <c r="G2242" s="68">
        <v>1.9</v>
      </c>
      <c r="H2242" s="26" t="s">
        <v>3561</v>
      </c>
    </row>
    <row r="2243" spans="1:8" hidden="1">
      <c r="A2243" s="841"/>
      <c r="B2243" s="47" t="s">
        <v>4995</v>
      </c>
      <c r="C2243" s="48"/>
      <c r="F2243" s="78" t="s">
        <v>1697</v>
      </c>
      <c r="G2243" s="383">
        <v>4</v>
      </c>
      <c r="H2243" s="26" t="s">
        <v>3431</v>
      </c>
    </row>
    <row r="2244" spans="1:8" hidden="1">
      <c r="A2244" s="841"/>
      <c r="B2244" s="47" t="s">
        <v>4997</v>
      </c>
      <c r="C2244" s="48"/>
      <c r="F2244" s="78" t="s">
        <v>1697</v>
      </c>
      <c r="G2244" s="26">
        <v>0.25</v>
      </c>
      <c r="H2244" s="26" t="s">
        <v>3561</v>
      </c>
    </row>
    <row r="2245" spans="1:8" hidden="1">
      <c r="A2245" s="841"/>
      <c r="B2245" s="47" t="s">
        <v>1504</v>
      </c>
      <c r="C2245" s="48"/>
      <c r="F2245" s="78" t="s">
        <v>1697</v>
      </c>
      <c r="G2245" s="26">
        <v>11</v>
      </c>
      <c r="H2245" s="26" t="s">
        <v>3436</v>
      </c>
    </row>
    <row r="2246" spans="1:8" hidden="1">
      <c r="A2246" s="841"/>
      <c r="B2246" s="47" t="s">
        <v>1126</v>
      </c>
      <c r="C2246" s="48"/>
    </row>
    <row r="2247" spans="1:8" hidden="1">
      <c r="A2247" s="841"/>
      <c r="B2247" s="47" t="s">
        <v>6407</v>
      </c>
      <c r="C2247" s="48"/>
      <c r="E2247" s="26">
        <f>ROUND(50/60*(1.9*4000*0.25*0.75/11),2)</f>
        <v>107.95</v>
      </c>
      <c r="F2247" s="78" t="s">
        <v>1123</v>
      </c>
      <c r="G2247" s="26">
        <v>107.95</v>
      </c>
      <c r="H2247" s="26" t="s">
        <v>6901</v>
      </c>
    </row>
    <row r="2248" spans="1:8" hidden="1">
      <c r="A2248" s="841"/>
      <c r="B2248" s="47" t="s">
        <v>4123</v>
      </c>
      <c r="C2248" s="48"/>
      <c r="F2248" s="78" t="s">
        <v>1123</v>
      </c>
      <c r="G2248" s="26">
        <f>ROUND(812.74/G2247,2)</f>
        <v>7.53</v>
      </c>
      <c r="H2248" s="26" t="s">
        <v>3428</v>
      </c>
    </row>
    <row r="2249" spans="1:8" hidden="1">
      <c r="A2249" s="889">
        <v>6</v>
      </c>
      <c r="B2249" s="47" t="s">
        <v>1129</v>
      </c>
      <c r="C2249" s="48"/>
    </row>
    <row r="2250" spans="1:8" hidden="1">
      <c r="A2250" s="889"/>
      <c r="B2250" s="47" t="s">
        <v>5043</v>
      </c>
      <c r="C2250" s="48"/>
    </row>
    <row r="2251" spans="1:8">
      <c r="A2251" s="847"/>
      <c r="B2251" s="78"/>
      <c r="C2251" s="48"/>
    </row>
    <row r="2252" spans="1:8">
      <c r="A2252" s="889" t="s">
        <v>3984</v>
      </c>
      <c r="B2252" s="78"/>
      <c r="C2252" s="349" t="s">
        <v>2367</v>
      </c>
      <c r="E2252" s="171" t="s">
        <v>297</v>
      </c>
      <c r="F2252" s="246">
        <v>677.28</v>
      </c>
      <c r="G2252" s="26" t="s">
        <v>3477</v>
      </c>
    </row>
    <row r="2253" spans="1:8">
      <c r="A2253" s="847"/>
      <c r="B2253" s="79" t="s">
        <v>2368</v>
      </c>
      <c r="C2253" s="48"/>
    </row>
    <row r="2254" spans="1:8">
      <c r="A2254" s="847"/>
      <c r="B2254" s="95" t="s">
        <v>2369</v>
      </c>
      <c r="C2254" s="350" t="s">
        <v>6374</v>
      </c>
      <c r="D2254" s="95" t="s">
        <v>2370</v>
      </c>
      <c r="E2254" s="95" t="s">
        <v>1166</v>
      </c>
      <c r="F2254" s="95" t="s">
        <v>2371</v>
      </c>
      <c r="G2254" s="95" t="s">
        <v>2372</v>
      </c>
    </row>
    <row r="2255" spans="1:8">
      <c r="A2255" s="847"/>
      <c r="B2255" s="114"/>
      <c r="C2255" s="351"/>
      <c r="D2255" s="114"/>
      <c r="E2255" s="114"/>
      <c r="F2255" s="114" t="s">
        <v>3485</v>
      </c>
      <c r="G2255" s="114" t="s">
        <v>3485</v>
      </c>
    </row>
    <row r="2256" spans="1:8">
      <c r="A2256" s="847"/>
      <c r="B2256" s="95">
        <v>1</v>
      </c>
      <c r="C2256" s="352" t="s">
        <v>1130</v>
      </c>
      <c r="D2256" s="95"/>
      <c r="E2256" s="190">
        <v>0</v>
      </c>
      <c r="F2256" s="190">
        <v>0</v>
      </c>
      <c r="G2256" s="190">
        <f>E2256*F2256</f>
        <v>0</v>
      </c>
    </row>
    <row r="2257" spans="1:9">
      <c r="A2257" s="847"/>
      <c r="B2257" s="280"/>
      <c r="C2257" s="86"/>
      <c r="D2257" s="105"/>
      <c r="E2257" s="190">
        <v>0</v>
      </c>
      <c r="F2257" s="190">
        <v>0</v>
      </c>
      <c r="G2257" s="190">
        <f>E2257*F2257</f>
        <v>0</v>
      </c>
    </row>
    <row r="2258" spans="1:9">
      <c r="A2258" s="848"/>
      <c r="B2258" s="263"/>
      <c r="C2258" s="387" t="s">
        <v>2376</v>
      </c>
      <c r="D2258" s="388"/>
      <c r="E2258" s="389"/>
      <c r="F2258" s="390" t="s">
        <v>1698</v>
      </c>
      <c r="G2258" s="391">
        <f>SUM(G2256:G2257)</f>
        <v>0</v>
      </c>
      <c r="H2258" s="61"/>
      <c r="I2258" s="61"/>
    </row>
    <row r="2259" spans="1:9">
      <c r="A2259" s="847"/>
      <c r="B2259" s="78"/>
      <c r="C2259" s="48"/>
    </row>
    <row r="2260" spans="1:9">
      <c r="A2260" s="847"/>
      <c r="B2260" s="79" t="s">
        <v>2377</v>
      </c>
      <c r="C2260" s="48"/>
    </row>
    <row r="2261" spans="1:9">
      <c r="A2261" s="847"/>
      <c r="B2261" s="95" t="s">
        <v>2369</v>
      </c>
      <c r="C2261" s="350" t="s">
        <v>2378</v>
      </c>
      <c r="D2261" s="95" t="s">
        <v>2370</v>
      </c>
      <c r="E2261" s="95" t="s">
        <v>1166</v>
      </c>
      <c r="F2261" s="95" t="s">
        <v>2371</v>
      </c>
      <c r="G2261" s="95" t="s">
        <v>2372</v>
      </c>
    </row>
    <row r="2262" spans="1:9">
      <c r="A2262" s="847"/>
      <c r="B2262" s="114"/>
      <c r="C2262" s="351"/>
      <c r="D2262" s="114"/>
      <c r="E2262" s="114"/>
      <c r="F2262" s="114" t="s">
        <v>3485</v>
      </c>
      <c r="G2262" s="114" t="s">
        <v>3485</v>
      </c>
    </row>
    <row r="2263" spans="1:9">
      <c r="A2263" s="847"/>
      <c r="B2263" s="95">
        <v>1</v>
      </c>
      <c r="C2263" s="355" t="s">
        <v>152</v>
      </c>
      <c r="D2263" s="95" t="s">
        <v>2374</v>
      </c>
      <c r="E2263" s="220">
        <v>6.06</v>
      </c>
      <c r="F2263" s="214">
        <f>'HIRE CHARGES'!$D$499</f>
        <v>1715.5</v>
      </c>
      <c r="G2263" s="190">
        <f t="shared" ref="G2263:G2275" si="30">E2263*F2263</f>
        <v>10395.929999999998</v>
      </c>
      <c r="I2263" s="75"/>
    </row>
    <row r="2264" spans="1:9">
      <c r="A2264" s="847"/>
      <c r="B2264" s="152"/>
      <c r="C2264" s="355" t="s">
        <v>2379</v>
      </c>
      <c r="D2264" s="105" t="s">
        <v>2374</v>
      </c>
      <c r="E2264" s="220">
        <v>6.06</v>
      </c>
      <c r="F2264" s="214">
        <f>'HIRE CHARGES'!$E$499</f>
        <v>610.5</v>
      </c>
      <c r="G2264" s="190">
        <f t="shared" si="30"/>
        <v>3699.6299999999997</v>
      </c>
      <c r="I2264" s="75"/>
    </row>
    <row r="2265" spans="1:9">
      <c r="A2265" s="847"/>
      <c r="B2265" s="105">
        <v>2</v>
      </c>
      <c r="C2265" s="355" t="s">
        <v>2951</v>
      </c>
      <c r="D2265" s="105" t="s">
        <v>2374</v>
      </c>
      <c r="E2265" s="220">
        <v>8</v>
      </c>
      <c r="F2265" s="190">
        <f>'HIRE CHARGES'!$D$542</f>
        <v>1003.1</v>
      </c>
      <c r="G2265" s="190">
        <f t="shared" si="30"/>
        <v>8024.8</v>
      </c>
      <c r="I2265" s="75"/>
    </row>
    <row r="2266" spans="1:9">
      <c r="A2266" s="847"/>
      <c r="B2266" s="152"/>
      <c r="C2266" s="355" t="s">
        <v>2379</v>
      </c>
      <c r="D2266" s="105" t="s">
        <v>2374</v>
      </c>
      <c r="E2266" s="220">
        <v>8</v>
      </c>
      <c r="F2266" s="190">
        <f>'HIRE CHARGES'!$E$542</f>
        <v>476</v>
      </c>
      <c r="G2266" s="190">
        <f t="shared" si="30"/>
        <v>3808</v>
      </c>
      <c r="I2266" s="75"/>
    </row>
    <row r="2267" spans="1:9">
      <c r="A2267" s="847"/>
      <c r="B2267" s="105">
        <v>3</v>
      </c>
      <c r="C2267" s="355" t="s">
        <v>2347</v>
      </c>
      <c r="D2267" s="105" t="s">
        <v>2374</v>
      </c>
      <c r="E2267" s="220">
        <v>48</v>
      </c>
      <c r="F2267" s="190">
        <f>'HIRE CHARGES'!$D$545</f>
        <v>446.7</v>
      </c>
      <c r="G2267" s="190">
        <f t="shared" si="30"/>
        <v>21441.599999999999</v>
      </c>
      <c r="I2267" s="75"/>
    </row>
    <row r="2268" spans="1:9">
      <c r="A2268" s="847"/>
      <c r="B2268" s="152"/>
      <c r="C2268" s="355" t="s">
        <v>2379</v>
      </c>
      <c r="D2268" s="105" t="s">
        <v>2374</v>
      </c>
      <c r="E2268" s="220">
        <v>48</v>
      </c>
      <c r="F2268" s="190">
        <f>'HIRE CHARGES'!$E$545</f>
        <v>299.89999999999998</v>
      </c>
      <c r="G2268" s="190">
        <f t="shared" si="30"/>
        <v>14395.199999999999</v>
      </c>
      <c r="I2268" s="75"/>
    </row>
    <row r="2269" spans="1:9">
      <c r="A2269" s="847"/>
      <c r="B2269" s="105">
        <v>4</v>
      </c>
      <c r="C2269" s="355" t="s">
        <v>1132</v>
      </c>
      <c r="D2269" s="105" t="s">
        <v>2374</v>
      </c>
      <c r="E2269" s="220">
        <v>3</v>
      </c>
      <c r="F2269" s="214">
        <f>'HIRE CHARGES'!$D$517</f>
        <v>10.199999999999999</v>
      </c>
      <c r="G2269" s="190">
        <f t="shared" si="30"/>
        <v>30.599999999999998</v>
      </c>
      <c r="I2269" s="75"/>
    </row>
    <row r="2270" spans="1:9">
      <c r="A2270" s="847"/>
      <c r="B2270" s="152"/>
      <c r="C2270" s="355" t="s">
        <v>2379</v>
      </c>
      <c r="D2270" s="105" t="s">
        <v>2374</v>
      </c>
      <c r="E2270" s="220">
        <v>3</v>
      </c>
      <c r="F2270" s="214">
        <f>'HIRE CHARGES'!$E$517</f>
        <v>79.3</v>
      </c>
      <c r="G2270" s="190">
        <f t="shared" si="30"/>
        <v>237.89999999999998</v>
      </c>
      <c r="I2270" s="75"/>
    </row>
    <row r="2271" spans="1:9">
      <c r="A2271" s="847"/>
      <c r="B2271" s="105">
        <v>5</v>
      </c>
      <c r="C2271" s="355" t="s">
        <v>6286</v>
      </c>
      <c r="D2271" s="105" t="s">
        <v>2374</v>
      </c>
      <c r="E2271" s="220">
        <v>6</v>
      </c>
      <c r="F2271" s="214">
        <f>'HIRE CHARGES'!$D$555</f>
        <v>402.5</v>
      </c>
      <c r="G2271" s="190">
        <f t="shared" si="30"/>
        <v>2415</v>
      </c>
      <c r="I2271" s="75"/>
    </row>
    <row r="2272" spans="1:9">
      <c r="A2272" s="847"/>
      <c r="B2272" s="152"/>
      <c r="C2272" s="355" t="s">
        <v>2379</v>
      </c>
      <c r="D2272" s="105" t="s">
        <v>2374</v>
      </c>
      <c r="E2272" s="220">
        <v>6</v>
      </c>
      <c r="F2272" s="214">
        <f>'HIRE CHARGES'!$E$555</f>
        <v>299.89999999999998</v>
      </c>
      <c r="G2272" s="190">
        <f t="shared" si="30"/>
        <v>1799.3999999999999</v>
      </c>
      <c r="I2272" s="75"/>
    </row>
    <row r="2273" spans="1:9">
      <c r="A2273" s="847"/>
      <c r="B2273" s="105">
        <v>6</v>
      </c>
      <c r="C2273" s="355" t="s">
        <v>9251</v>
      </c>
      <c r="D2273" s="105" t="s">
        <v>2374</v>
      </c>
      <c r="E2273" s="220">
        <v>7.53</v>
      </c>
      <c r="F2273" s="214">
        <f>'HIRE CHARGES'!$D$553</f>
        <v>1342.2</v>
      </c>
      <c r="G2273" s="190">
        <f t="shared" si="30"/>
        <v>10106.766000000001</v>
      </c>
      <c r="I2273" s="75"/>
    </row>
    <row r="2274" spans="1:9">
      <c r="A2274" s="847"/>
      <c r="B2274" s="152"/>
      <c r="C2274" s="355" t="s">
        <v>2379</v>
      </c>
      <c r="D2274" s="105" t="s">
        <v>2374</v>
      </c>
      <c r="E2274" s="220">
        <v>7.53</v>
      </c>
      <c r="F2274" s="214">
        <f>'HIRE CHARGES'!$E$553</f>
        <v>1031.4000000000001</v>
      </c>
      <c r="G2274" s="190">
        <f t="shared" si="30"/>
        <v>7766.4420000000009</v>
      </c>
      <c r="I2274" s="75"/>
    </row>
    <row r="2275" spans="1:9">
      <c r="A2275" s="847"/>
      <c r="B2275" s="114">
        <v>7</v>
      </c>
      <c r="C2275" s="355" t="s">
        <v>2373</v>
      </c>
      <c r="D2275" s="105" t="s">
        <v>2173</v>
      </c>
      <c r="E2275" s="220">
        <v>2</v>
      </c>
      <c r="F2275" s="190">
        <f>'BASIC DATA'!$D$359</f>
        <v>30</v>
      </c>
      <c r="G2275" s="190">
        <f t="shared" si="30"/>
        <v>60</v>
      </c>
      <c r="I2275" s="75"/>
    </row>
    <row r="2276" spans="1:9">
      <c r="A2276" s="847"/>
      <c r="B2276" s="176"/>
      <c r="C2276" s="357" t="s">
        <v>2380</v>
      </c>
      <c r="D2276" s="174"/>
      <c r="E2276" s="192"/>
      <c r="F2276" s="236" t="s">
        <v>1698</v>
      </c>
      <c r="G2276" s="354">
        <f>SUM(G2263:G2275)</f>
        <v>84181.267999999982</v>
      </c>
    </row>
    <row r="2277" spans="1:9">
      <c r="A2277" s="847"/>
      <c r="B2277" s="78"/>
      <c r="C2277" s="48"/>
    </row>
    <row r="2278" spans="1:9">
      <c r="A2278" s="847"/>
      <c r="B2278" s="79" t="s">
        <v>2381</v>
      </c>
      <c r="C2278" s="48"/>
    </row>
    <row r="2279" spans="1:9">
      <c r="A2279" s="847"/>
      <c r="B2279" s="95" t="s">
        <v>2369</v>
      </c>
      <c r="C2279" s="350" t="s">
        <v>2378</v>
      </c>
      <c r="D2279" s="95" t="s">
        <v>2370</v>
      </c>
      <c r="E2279" s="95" t="s">
        <v>1166</v>
      </c>
      <c r="F2279" s="95" t="s">
        <v>2371</v>
      </c>
      <c r="G2279" s="95" t="s">
        <v>2372</v>
      </c>
    </row>
    <row r="2280" spans="1:9">
      <c r="A2280" s="847"/>
      <c r="B2280" s="114"/>
      <c r="C2280" s="351"/>
      <c r="D2280" s="105"/>
      <c r="E2280" s="114"/>
      <c r="F2280" s="114" t="s">
        <v>3485</v>
      </c>
      <c r="G2280" s="114" t="s">
        <v>3485</v>
      </c>
    </row>
    <row r="2281" spans="1:9">
      <c r="A2281" s="847"/>
      <c r="B2281" s="105">
        <v>1</v>
      </c>
      <c r="C2281" s="86" t="s">
        <v>2870</v>
      </c>
      <c r="D2281" s="95" t="s">
        <v>2374</v>
      </c>
      <c r="E2281" s="207">
        <v>6.06</v>
      </c>
      <c r="F2281" s="190">
        <f>'HIRE CHARGES'!$F$499</f>
        <v>236.6</v>
      </c>
      <c r="G2281" s="190">
        <f t="shared" ref="G2281:G2288" si="31">E2281*F2281</f>
        <v>1433.7959999999998</v>
      </c>
      <c r="I2281" s="75"/>
    </row>
    <row r="2282" spans="1:9">
      <c r="A2282" s="847"/>
      <c r="B2282" s="105">
        <v>2</v>
      </c>
      <c r="C2282" s="86" t="s">
        <v>300</v>
      </c>
      <c r="D2282" s="105" t="s">
        <v>2374</v>
      </c>
      <c r="E2282" s="207">
        <v>8</v>
      </c>
      <c r="F2282" s="190">
        <f>'HIRE CHARGES'!$F$542</f>
        <v>236.6</v>
      </c>
      <c r="G2282" s="190">
        <f t="shared" si="31"/>
        <v>1892.8</v>
      </c>
      <c r="I2282" s="75"/>
    </row>
    <row r="2283" spans="1:9">
      <c r="A2283" s="847"/>
      <c r="B2283" s="105">
        <v>3</v>
      </c>
      <c r="C2283" s="86" t="s">
        <v>301</v>
      </c>
      <c r="D2283" s="105" t="s">
        <v>2374</v>
      </c>
      <c r="E2283" s="207">
        <v>48</v>
      </c>
      <c r="F2283" s="190">
        <f>'HIRE CHARGES'!$F$545</f>
        <v>177.5</v>
      </c>
      <c r="G2283" s="190">
        <f t="shared" si="31"/>
        <v>8520</v>
      </c>
      <c r="I2283" s="75"/>
    </row>
    <row r="2284" spans="1:9">
      <c r="A2284" s="847"/>
      <c r="B2284" s="105">
        <v>4</v>
      </c>
      <c r="C2284" s="86" t="s">
        <v>999</v>
      </c>
      <c r="D2284" s="105" t="s">
        <v>2374</v>
      </c>
      <c r="E2284" s="207">
        <v>3</v>
      </c>
      <c r="F2284" s="190">
        <f>'HIRE CHARGES'!$F$517</f>
        <v>111.1</v>
      </c>
      <c r="G2284" s="190">
        <f t="shared" si="31"/>
        <v>333.29999999999995</v>
      </c>
      <c r="I2284" s="75"/>
    </row>
    <row r="2285" spans="1:9">
      <c r="A2285" s="847"/>
      <c r="B2285" s="105">
        <v>5</v>
      </c>
      <c r="C2285" s="86" t="s">
        <v>1000</v>
      </c>
      <c r="D2285" s="105" t="s">
        <v>2374</v>
      </c>
      <c r="E2285" s="207">
        <v>6</v>
      </c>
      <c r="F2285" s="190">
        <f>'HIRE CHARGES'!$F$555</f>
        <v>177.5</v>
      </c>
      <c r="G2285" s="190">
        <f t="shared" si="31"/>
        <v>1065</v>
      </c>
      <c r="I2285" s="75"/>
    </row>
    <row r="2286" spans="1:9">
      <c r="A2286" s="847"/>
      <c r="B2286" s="105">
        <v>6</v>
      </c>
      <c r="C2286" s="86" t="s">
        <v>1001</v>
      </c>
      <c r="D2286" s="105" t="s">
        <v>2374</v>
      </c>
      <c r="E2286" s="207">
        <v>7.53</v>
      </c>
      <c r="F2286" s="190">
        <f>'HIRE CHARGES'!$F$553</f>
        <v>263.60000000000002</v>
      </c>
      <c r="G2286" s="190">
        <f t="shared" si="31"/>
        <v>1984.9080000000001</v>
      </c>
      <c r="I2286" s="75"/>
    </row>
    <row r="2287" spans="1:9">
      <c r="A2287" s="847"/>
      <c r="B2287" s="105">
        <v>7</v>
      </c>
      <c r="C2287" s="86" t="s">
        <v>4206</v>
      </c>
      <c r="D2287" s="105" t="s">
        <v>1172</v>
      </c>
      <c r="E2287" s="207">
        <v>2</v>
      </c>
      <c r="F2287" s="190">
        <f>'BASIC DATA'!$C$473</f>
        <v>450</v>
      </c>
      <c r="G2287" s="190">
        <f t="shared" si="31"/>
        <v>900</v>
      </c>
      <c r="I2287" s="75"/>
    </row>
    <row r="2288" spans="1:9">
      <c r="A2288" s="847"/>
      <c r="B2288" s="105">
        <v>8</v>
      </c>
      <c r="C2288" s="86" t="s">
        <v>2696</v>
      </c>
      <c r="D2288" s="105" t="s">
        <v>1172</v>
      </c>
      <c r="E2288" s="207">
        <v>4</v>
      </c>
      <c r="F2288" s="190">
        <f>'BASIC DATA'!$C$552</f>
        <v>350</v>
      </c>
      <c r="G2288" s="190">
        <f t="shared" si="31"/>
        <v>1400</v>
      </c>
      <c r="I2288" s="75"/>
    </row>
    <row r="2289" spans="1:8">
      <c r="A2289" s="847"/>
      <c r="B2289" s="92"/>
      <c r="C2289" s="353" t="s">
        <v>1174</v>
      </c>
      <c r="D2289" s="159"/>
      <c r="E2289" s="238"/>
      <c r="F2289" s="236" t="s">
        <v>1698</v>
      </c>
      <c r="G2289" s="318">
        <f>SUM(G2281:G2288)</f>
        <v>17529.803999999996</v>
      </c>
    </row>
    <row r="2290" spans="1:8">
      <c r="A2290" s="847"/>
      <c r="B2290" s="359" t="s">
        <v>5948</v>
      </c>
      <c r="C2290" s="48"/>
      <c r="D2290" s="31"/>
      <c r="E2290" s="85">
        <f>ROUND(G2289/F2252,1)</f>
        <v>25.9</v>
      </c>
    </row>
    <row r="2291" spans="1:8">
      <c r="A2291" s="847"/>
      <c r="B2291" s="359" t="s">
        <v>3163</v>
      </c>
      <c r="C2291" s="48"/>
      <c r="D2291" s="922">
        <f>'BASIC DATA'!$C$577</f>
        <v>0.13614999999999999</v>
      </c>
      <c r="E2291" s="85">
        <f>ROUND(E2290*D2291,1)</f>
        <v>3.5</v>
      </c>
    </row>
    <row r="2292" spans="1:8">
      <c r="A2292" s="847"/>
      <c r="B2292" s="359" t="s">
        <v>5949</v>
      </c>
      <c r="C2292" s="48"/>
      <c r="D2292" s="31"/>
      <c r="E2292" s="199">
        <f>ROUND(E2291+E2290,1)</f>
        <v>29.4</v>
      </c>
    </row>
    <row r="2293" spans="1:8">
      <c r="A2293" s="847"/>
      <c r="C2293" s="48"/>
    </row>
    <row r="2294" spans="1:8">
      <c r="A2294" s="847"/>
      <c r="B2294" s="162" t="s">
        <v>1175</v>
      </c>
      <c r="C2294" s="48"/>
    </row>
    <row r="2295" spans="1:8">
      <c r="A2295" s="847"/>
      <c r="B2295" s="47" t="s">
        <v>1176</v>
      </c>
      <c r="C2295" s="48"/>
      <c r="F2295" s="171" t="s">
        <v>1698</v>
      </c>
      <c r="G2295" s="68">
        <f>G2258</f>
        <v>0</v>
      </c>
    </row>
    <row r="2296" spans="1:8">
      <c r="A2296" s="847"/>
      <c r="B2296" s="47" t="s">
        <v>1186</v>
      </c>
      <c r="C2296" s="48"/>
      <c r="F2296" s="171" t="s">
        <v>1698</v>
      </c>
      <c r="G2296" s="68">
        <f>G2276</f>
        <v>84181.267999999982</v>
      </c>
    </row>
    <row r="2297" spans="1:8">
      <c r="A2297" s="847"/>
      <c r="B2297" s="47" t="s">
        <v>2660</v>
      </c>
      <c r="C2297" s="48"/>
      <c r="F2297" s="171" t="s">
        <v>1698</v>
      </c>
      <c r="G2297" s="75">
        <f>G2289</f>
        <v>17529.803999999996</v>
      </c>
    </row>
    <row r="2298" spans="1:8">
      <c r="A2298" s="847"/>
      <c r="B2298" s="78"/>
      <c r="C2298" s="48"/>
      <c r="E2298" s="261"/>
      <c r="F2298" s="171" t="s">
        <v>302</v>
      </c>
      <c r="G2298" s="205">
        <f>SUM(G2295:G2297)</f>
        <v>101711.07199999999</v>
      </c>
    </row>
    <row r="2299" spans="1:8" ht="34.5" customHeight="1">
      <c r="A2299" s="847"/>
      <c r="B2299" s="1207" t="s">
        <v>1379</v>
      </c>
      <c r="C2299" s="1207"/>
      <c r="D2299" s="1207"/>
      <c r="E2299" s="922">
        <f>'BASIC DATA'!$C$577</f>
        <v>0.13614999999999999</v>
      </c>
      <c r="F2299" s="171" t="s">
        <v>1698</v>
      </c>
      <c r="G2299" s="31">
        <f>ROUND(G2298*E2299,2)</f>
        <v>13847.96</v>
      </c>
    </row>
    <row r="2300" spans="1:8">
      <c r="A2300" s="847"/>
      <c r="B2300" s="47" t="s">
        <v>1191</v>
      </c>
      <c r="C2300" s="48"/>
      <c r="D2300" s="68">
        <f>F2252</f>
        <v>677.28</v>
      </c>
      <c r="E2300" s="68" t="str">
        <f>G2252</f>
        <v>cum</v>
      </c>
      <c r="F2300" s="171" t="s">
        <v>1698</v>
      </c>
      <c r="G2300" s="211">
        <f>G2299+G2298</f>
        <v>115559.03199999998</v>
      </c>
    </row>
    <row r="2301" spans="1:8">
      <c r="A2301" s="847"/>
      <c r="B2301" s="79" t="s">
        <v>1584</v>
      </c>
      <c r="C2301" s="356" t="str">
        <f>E2300</f>
        <v>cum</v>
      </c>
      <c r="D2301" s="26" t="s">
        <v>5772</v>
      </c>
      <c r="F2301" s="171" t="s">
        <v>4108</v>
      </c>
      <c r="G2301" s="211">
        <f>ROUND(G2300/D2300,1)</f>
        <v>170.6</v>
      </c>
      <c r="H2301" s="171"/>
    </row>
    <row r="2302" spans="1:8">
      <c r="A2302" s="847"/>
      <c r="B2302" s="78"/>
      <c r="C2302" s="48"/>
    </row>
    <row r="2303" spans="1:8">
      <c r="A2303" s="847"/>
      <c r="B2303" s="78"/>
      <c r="C2303" s="48"/>
    </row>
    <row r="2304" spans="1:8" ht="18.75">
      <c r="A2304" s="841" t="s">
        <v>7438</v>
      </c>
      <c r="B2304" s="47" t="s">
        <v>8671</v>
      </c>
      <c r="C2304" s="48"/>
    </row>
    <row r="2305" spans="1:8">
      <c r="A2305" s="889"/>
      <c r="B2305" s="47" t="s">
        <v>8674</v>
      </c>
      <c r="C2305" s="48"/>
    </row>
    <row r="2306" spans="1:8">
      <c r="A2306" s="889"/>
      <c r="B2306" s="47" t="s">
        <v>4188</v>
      </c>
      <c r="C2306" s="48"/>
    </row>
    <row r="2307" spans="1:8" ht="18.75">
      <c r="A2307" s="889"/>
      <c r="B2307" s="47" t="s">
        <v>8673</v>
      </c>
      <c r="C2307" s="48"/>
    </row>
    <row r="2308" spans="1:8">
      <c r="A2308" s="889"/>
      <c r="B2308" s="47" t="s">
        <v>9233</v>
      </c>
      <c r="C2308" s="48"/>
    </row>
    <row r="2309" spans="1:8" ht="18.75">
      <c r="A2309" s="889"/>
      <c r="B2309" s="162" t="s">
        <v>9232</v>
      </c>
      <c r="C2309" s="48"/>
    </row>
    <row r="2310" spans="1:8">
      <c r="A2310" s="889"/>
      <c r="C2310" s="48"/>
    </row>
    <row r="2311" spans="1:8" hidden="1">
      <c r="A2311" s="889" t="s">
        <v>3984</v>
      </c>
      <c r="B2311" s="47" t="s">
        <v>617</v>
      </c>
      <c r="C2311" s="48"/>
      <c r="F2311" s="78" t="s">
        <v>1697</v>
      </c>
      <c r="G2311" s="26">
        <v>677.28</v>
      </c>
      <c r="H2311" s="26" t="s">
        <v>6901</v>
      </c>
    </row>
    <row r="2312" spans="1:8" hidden="1">
      <c r="A2312" s="889"/>
      <c r="B2312" s="47" t="s">
        <v>0</v>
      </c>
      <c r="C2312" s="48"/>
      <c r="F2312" s="78"/>
    </row>
    <row r="2313" spans="1:8" hidden="1">
      <c r="A2313" s="889">
        <v>1</v>
      </c>
      <c r="B2313" s="47" t="s">
        <v>2860</v>
      </c>
      <c r="C2313" s="48"/>
      <c r="F2313" s="78"/>
    </row>
    <row r="2314" spans="1:8" hidden="1">
      <c r="A2314" s="841"/>
      <c r="B2314" s="47" t="s">
        <v>1782</v>
      </c>
      <c r="C2314" s="48"/>
      <c r="F2314" s="78" t="s">
        <v>1697</v>
      </c>
      <c r="G2314" s="68">
        <v>2</v>
      </c>
      <c r="H2314" s="26" t="s">
        <v>3037</v>
      </c>
    </row>
    <row r="2315" spans="1:8" hidden="1">
      <c r="A2315" s="889">
        <v>2</v>
      </c>
      <c r="B2315" s="47" t="s">
        <v>6281</v>
      </c>
      <c r="C2315" s="48"/>
      <c r="F2315" s="78"/>
    </row>
    <row r="2316" spans="1:8" hidden="1">
      <c r="A2316" s="841"/>
      <c r="B2316" s="47" t="s">
        <v>1783</v>
      </c>
      <c r="C2316" s="48"/>
      <c r="F2316" s="78" t="s">
        <v>1697</v>
      </c>
      <c r="G2316" s="68">
        <v>8</v>
      </c>
      <c r="H2316" s="26" t="s">
        <v>3428</v>
      </c>
    </row>
    <row r="2317" spans="1:8" hidden="1">
      <c r="A2317" s="841"/>
      <c r="B2317" s="47" t="s">
        <v>1784</v>
      </c>
      <c r="C2317" s="48"/>
      <c r="F2317" s="78" t="s">
        <v>1697</v>
      </c>
      <c r="G2317" s="68">
        <v>48</v>
      </c>
      <c r="H2317" s="26" t="s">
        <v>3428</v>
      </c>
    </row>
    <row r="2318" spans="1:8" hidden="1">
      <c r="A2318" s="889">
        <v>3</v>
      </c>
      <c r="B2318" s="47" t="s">
        <v>5954</v>
      </c>
      <c r="C2318" s="48"/>
      <c r="F2318" s="78"/>
    </row>
    <row r="2319" spans="1:8" hidden="1">
      <c r="A2319" s="841"/>
      <c r="B2319" s="47" t="s">
        <v>1785</v>
      </c>
      <c r="C2319" s="48"/>
      <c r="F2319" s="78" t="s">
        <v>1697</v>
      </c>
      <c r="G2319" s="68">
        <v>4.0599999999999996</v>
      </c>
      <c r="H2319" s="26" t="s">
        <v>3428</v>
      </c>
    </row>
    <row r="2320" spans="1:8" hidden="1">
      <c r="A2320" s="889">
        <v>4</v>
      </c>
      <c r="B2320" s="47" t="s">
        <v>6193</v>
      </c>
      <c r="C2320" s="48"/>
      <c r="F2320" s="78"/>
    </row>
    <row r="2321" spans="1:9" hidden="1">
      <c r="A2321" s="841"/>
      <c r="B2321" s="30" t="s">
        <v>6286</v>
      </c>
      <c r="C2321" s="48"/>
      <c r="F2321" s="78" t="s">
        <v>1697</v>
      </c>
      <c r="G2321" s="68">
        <v>6</v>
      </c>
      <c r="H2321" s="26" t="s">
        <v>3428</v>
      </c>
    </row>
    <row r="2322" spans="1:9" hidden="1">
      <c r="A2322" s="841"/>
      <c r="B2322" s="47" t="s">
        <v>1786</v>
      </c>
      <c r="C2322" s="48"/>
      <c r="F2322" s="78" t="s">
        <v>1697</v>
      </c>
      <c r="G2322" s="68">
        <v>3</v>
      </c>
      <c r="H2322" s="26" t="s">
        <v>3428</v>
      </c>
    </row>
    <row r="2323" spans="1:9" hidden="1">
      <c r="A2323" s="889">
        <v>5</v>
      </c>
      <c r="B2323" s="47" t="s">
        <v>6798</v>
      </c>
      <c r="C2323" s="48"/>
    </row>
    <row r="2324" spans="1:9" hidden="1">
      <c r="A2324" s="841"/>
      <c r="B2324" s="47" t="s">
        <v>6194</v>
      </c>
      <c r="C2324" s="48"/>
    </row>
    <row r="2325" spans="1:9" hidden="1">
      <c r="A2325" s="841"/>
      <c r="B2325" s="47" t="s">
        <v>9252</v>
      </c>
      <c r="C2325" s="48"/>
    </row>
    <row r="2326" spans="1:9" hidden="1">
      <c r="A2326" s="841"/>
      <c r="B2326" s="47" t="s">
        <v>3443</v>
      </c>
      <c r="C2326" s="48"/>
    </row>
    <row r="2327" spans="1:9" hidden="1">
      <c r="A2327" s="841"/>
      <c r="B2327" s="47" t="s">
        <v>3650</v>
      </c>
      <c r="C2327" s="48"/>
      <c r="F2327" s="78" t="s">
        <v>1697</v>
      </c>
      <c r="G2327" s="26">
        <v>1.9</v>
      </c>
      <c r="H2327" s="26" t="s">
        <v>3561</v>
      </c>
    </row>
    <row r="2328" spans="1:9" hidden="1">
      <c r="A2328" s="841"/>
      <c r="B2328" s="47" t="s">
        <v>4995</v>
      </c>
      <c r="C2328" s="48"/>
      <c r="F2328" s="78" t="s">
        <v>1697</v>
      </c>
      <c r="G2328" s="383">
        <v>4</v>
      </c>
      <c r="H2328" s="26" t="s">
        <v>3430</v>
      </c>
    </row>
    <row r="2329" spans="1:9" hidden="1">
      <c r="A2329" s="841"/>
      <c r="B2329" s="47" t="s">
        <v>4997</v>
      </c>
      <c r="C2329" s="48"/>
      <c r="F2329" s="78" t="s">
        <v>1697</v>
      </c>
      <c r="G2329" s="26">
        <v>0.25</v>
      </c>
      <c r="H2329" s="26" t="s">
        <v>3561</v>
      </c>
      <c r="I2329" s="31"/>
    </row>
    <row r="2330" spans="1:9" hidden="1">
      <c r="A2330" s="841"/>
      <c r="B2330" s="47" t="s">
        <v>1504</v>
      </c>
      <c r="C2330" s="48"/>
      <c r="F2330" s="78" t="s">
        <v>1697</v>
      </c>
      <c r="G2330" s="26">
        <v>9</v>
      </c>
      <c r="H2330" s="26" t="s">
        <v>3436</v>
      </c>
      <c r="I2330" s="60"/>
    </row>
    <row r="2331" spans="1:9" hidden="1">
      <c r="A2331" s="841"/>
      <c r="B2331" s="47" t="s">
        <v>1126</v>
      </c>
      <c r="C2331" s="48"/>
    </row>
    <row r="2332" spans="1:9" hidden="1">
      <c r="A2332" s="841"/>
      <c r="B2332" s="47" t="s">
        <v>4124</v>
      </c>
      <c r="C2332" s="48"/>
      <c r="E2332" s="26">
        <f>50/60*(1.9*4000*0.25*0.75/9)</f>
        <v>131.94444444444446</v>
      </c>
      <c r="F2332" s="78" t="s">
        <v>1123</v>
      </c>
      <c r="G2332" s="26">
        <v>131.94</v>
      </c>
      <c r="H2332" s="26" t="s">
        <v>6901</v>
      </c>
    </row>
    <row r="2333" spans="1:9" hidden="1">
      <c r="A2333" s="841"/>
      <c r="B2333" s="47" t="s">
        <v>4125</v>
      </c>
      <c r="C2333" s="48"/>
      <c r="F2333" s="78" t="s">
        <v>1123</v>
      </c>
      <c r="G2333" s="26">
        <f>ROUND(812.74/131.94,2)</f>
        <v>6.16</v>
      </c>
      <c r="H2333" s="26" t="s">
        <v>3428</v>
      </c>
    </row>
    <row r="2334" spans="1:9" hidden="1">
      <c r="A2334" s="889">
        <v>6</v>
      </c>
      <c r="B2334" s="47" t="s">
        <v>3220</v>
      </c>
      <c r="C2334" s="48"/>
    </row>
    <row r="2335" spans="1:9" hidden="1">
      <c r="A2335" s="841"/>
      <c r="B2335" s="47" t="s">
        <v>1787</v>
      </c>
      <c r="C2335" s="48"/>
    </row>
    <row r="2336" spans="1:9">
      <c r="A2336" s="847"/>
      <c r="B2336" s="78"/>
      <c r="C2336" s="48"/>
    </row>
    <row r="2337" spans="1:9">
      <c r="A2337" s="889" t="s">
        <v>3984</v>
      </c>
      <c r="B2337" s="78"/>
      <c r="C2337" s="349" t="s">
        <v>2367</v>
      </c>
      <c r="E2337" s="171" t="s">
        <v>297</v>
      </c>
      <c r="F2337" s="246">
        <v>677.28</v>
      </c>
      <c r="G2337" s="26" t="s">
        <v>3477</v>
      </c>
    </row>
    <row r="2338" spans="1:9">
      <c r="A2338" s="847"/>
      <c r="B2338" s="79" t="s">
        <v>2368</v>
      </c>
      <c r="C2338" s="48"/>
    </row>
    <row r="2339" spans="1:9">
      <c r="A2339" s="847"/>
      <c r="B2339" s="95" t="s">
        <v>2369</v>
      </c>
      <c r="C2339" s="350" t="s">
        <v>6374</v>
      </c>
      <c r="D2339" s="95" t="s">
        <v>2370</v>
      </c>
      <c r="E2339" s="95" t="s">
        <v>1166</v>
      </c>
      <c r="F2339" s="95" t="s">
        <v>2371</v>
      </c>
      <c r="G2339" s="95" t="s">
        <v>2372</v>
      </c>
    </row>
    <row r="2340" spans="1:9">
      <c r="A2340" s="847"/>
      <c r="B2340" s="105"/>
      <c r="C2340" s="351"/>
      <c r="D2340" s="114"/>
      <c r="E2340" s="114"/>
      <c r="F2340" s="114" t="s">
        <v>3485</v>
      </c>
      <c r="G2340" s="114" t="s">
        <v>3485</v>
      </c>
    </row>
    <row r="2341" spans="1:9">
      <c r="A2341" s="847"/>
      <c r="B2341" s="105">
        <v>1</v>
      </c>
      <c r="C2341" s="103" t="s">
        <v>1130</v>
      </c>
      <c r="D2341" s="95"/>
      <c r="E2341" s="190">
        <v>0</v>
      </c>
      <c r="F2341" s="190">
        <v>0</v>
      </c>
      <c r="G2341" s="190">
        <f>E2341*F2341</f>
        <v>0</v>
      </c>
    </row>
    <row r="2342" spans="1:9">
      <c r="A2342" s="847"/>
      <c r="B2342" s="280"/>
      <c r="C2342" s="86"/>
      <c r="D2342" s="105"/>
      <c r="E2342" s="190">
        <v>0</v>
      </c>
      <c r="F2342" s="190">
        <v>0</v>
      </c>
      <c r="G2342" s="190">
        <f>E2342*F2342</f>
        <v>0</v>
      </c>
    </row>
    <row r="2343" spans="1:9">
      <c r="A2343" s="848"/>
      <c r="B2343" s="263"/>
      <c r="C2343" s="387" t="s">
        <v>2376</v>
      </c>
      <c r="D2343" s="388"/>
      <c r="E2343" s="389"/>
      <c r="F2343" s="390" t="s">
        <v>1698</v>
      </c>
      <c r="G2343" s="391">
        <f>SUM(G2341:G2342)</f>
        <v>0</v>
      </c>
      <c r="H2343" s="61"/>
      <c r="I2343" s="61"/>
    </row>
    <row r="2344" spans="1:9">
      <c r="A2344" s="847"/>
      <c r="B2344" s="78"/>
      <c r="C2344" s="48"/>
    </row>
    <row r="2345" spans="1:9">
      <c r="A2345" s="847"/>
      <c r="B2345" s="79" t="s">
        <v>2377</v>
      </c>
      <c r="C2345" s="48"/>
    </row>
    <row r="2346" spans="1:9">
      <c r="A2346" s="847"/>
      <c r="B2346" s="95" t="s">
        <v>2369</v>
      </c>
      <c r="C2346" s="350" t="s">
        <v>2378</v>
      </c>
      <c r="D2346" s="95" t="s">
        <v>2370</v>
      </c>
      <c r="E2346" s="95" t="s">
        <v>1166</v>
      </c>
      <c r="F2346" s="95" t="s">
        <v>2371</v>
      </c>
      <c r="G2346" s="95" t="s">
        <v>2372</v>
      </c>
    </row>
    <row r="2347" spans="1:9">
      <c r="A2347" s="847"/>
      <c r="B2347" s="114"/>
      <c r="C2347" s="351"/>
      <c r="D2347" s="114"/>
      <c r="E2347" s="114"/>
      <c r="F2347" s="114" t="s">
        <v>3485</v>
      </c>
      <c r="G2347" s="114" t="s">
        <v>3485</v>
      </c>
    </row>
    <row r="2348" spans="1:9">
      <c r="A2348" s="847"/>
      <c r="B2348" s="95">
        <v>1</v>
      </c>
      <c r="C2348" s="355" t="s">
        <v>1502</v>
      </c>
      <c r="D2348" s="95" t="s">
        <v>2374</v>
      </c>
      <c r="E2348" s="220">
        <v>6.06</v>
      </c>
      <c r="F2348" s="214">
        <f>'HIRE CHARGES'!$D$499</f>
        <v>1715.5</v>
      </c>
      <c r="G2348" s="190">
        <f t="shared" ref="G2348:G2360" si="32">E2348*F2348</f>
        <v>10395.929999999998</v>
      </c>
      <c r="I2348" s="75"/>
    </row>
    <row r="2349" spans="1:9">
      <c r="A2349" s="847"/>
      <c r="B2349" s="152"/>
      <c r="C2349" s="355" t="s">
        <v>2379</v>
      </c>
      <c r="D2349" s="105" t="s">
        <v>2374</v>
      </c>
      <c r="E2349" s="220">
        <v>6.06</v>
      </c>
      <c r="F2349" s="214">
        <f>'HIRE CHARGES'!$E$499</f>
        <v>610.5</v>
      </c>
      <c r="G2349" s="190">
        <f t="shared" si="32"/>
        <v>3699.6299999999997</v>
      </c>
      <c r="I2349" s="75"/>
    </row>
    <row r="2350" spans="1:9">
      <c r="A2350" s="847"/>
      <c r="B2350" s="105">
        <v>2</v>
      </c>
      <c r="C2350" s="355" t="s">
        <v>1792</v>
      </c>
      <c r="D2350" s="105" t="s">
        <v>2374</v>
      </c>
      <c r="E2350" s="220">
        <v>8</v>
      </c>
      <c r="F2350" s="190">
        <f>'HIRE CHARGES'!$D$542</f>
        <v>1003.1</v>
      </c>
      <c r="G2350" s="190">
        <f t="shared" si="32"/>
        <v>8024.8</v>
      </c>
      <c r="I2350" s="75"/>
    </row>
    <row r="2351" spans="1:9">
      <c r="A2351" s="847"/>
      <c r="B2351" s="152"/>
      <c r="C2351" s="355" t="s">
        <v>2379</v>
      </c>
      <c r="D2351" s="105" t="s">
        <v>2374</v>
      </c>
      <c r="E2351" s="220">
        <v>8</v>
      </c>
      <c r="F2351" s="190">
        <f>'HIRE CHARGES'!$E$542</f>
        <v>476</v>
      </c>
      <c r="G2351" s="190">
        <f t="shared" si="32"/>
        <v>3808</v>
      </c>
      <c r="I2351" s="75"/>
    </row>
    <row r="2352" spans="1:9">
      <c r="A2352" s="847"/>
      <c r="B2352" s="105">
        <v>3</v>
      </c>
      <c r="C2352" s="355" t="s">
        <v>6306</v>
      </c>
      <c r="D2352" s="105" t="s">
        <v>2374</v>
      </c>
      <c r="E2352" s="220">
        <v>48</v>
      </c>
      <c r="F2352" s="190">
        <f>'HIRE CHARGES'!$D$545</f>
        <v>446.7</v>
      </c>
      <c r="G2352" s="190">
        <f t="shared" si="32"/>
        <v>21441.599999999999</v>
      </c>
      <c r="I2352" s="75"/>
    </row>
    <row r="2353" spans="1:9">
      <c r="A2353" s="847"/>
      <c r="B2353" s="152"/>
      <c r="C2353" s="355" t="s">
        <v>2379</v>
      </c>
      <c r="D2353" s="105" t="s">
        <v>2374</v>
      </c>
      <c r="E2353" s="220">
        <v>48</v>
      </c>
      <c r="F2353" s="190">
        <f>'HIRE CHARGES'!$E$545</f>
        <v>299.89999999999998</v>
      </c>
      <c r="G2353" s="190">
        <f t="shared" si="32"/>
        <v>14395.199999999999</v>
      </c>
      <c r="I2353" s="75"/>
    </row>
    <row r="2354" spans="1:9">
      <c r="A2354" s="847"/>
      <c r="B2354" s="105">
        <v>4</v>
      </c>
      <c r="C2354" s="355" t="s">
        <v>1132</v>
      </c>
      <c r="D2354" s="105" t="s">
        <v>2374</v>
      </c>
      <c r="E2354" s="220">
        <v>3</v>
      </c>
      <c r="F2354" s="214">
        <f>'HIRE CHARGES'!$D$517</f>
        <v>10.199999999999999</v>
      </c>
      <c r="G2354" s="190">
        <f t="shared" si="32"/>
        <v>30.599999999999998</v>
      </c>
      <c r="I2354" s="75"/>
    </row>
    <row r="2355" spans="1:9">
      <c r="A2355" s="847"/>
      <c r="B2355" s="152"/>
      <c r="C2355" s="355" t="s">
        <v>2379</v>
      </c>
      <c r="D2355" s="105" t="s">
        <v>2374</v>
      </c>
      <c r="E2355" s="220">
        <v>3</v>
      </c>
      <c r="F2355" s="214">
        <f>'HIRE CHARGES'!$E$517</f>
        <v>79.3</v>
      </c>
      <c r="G2355" s="190">
        <f t="shared" si="32"/>
        <v>237.89999999999998</v>
      </c>
      <c r="I2355" s="75"/>
    </row>
    <row r="2356" spans="1:9">
      <c r="A2356" s="847"/>
      <c r="B2356" s="105">
        <v>5</v>
      </c>
      <c r="C2356" s="355" t="s">
        <v>6286</v>
      </c>
      <c r="D2356" s="105" t="s">
        <v>2374</v>
      </c>
      <c r="E2356" s="220">
        <v>6</v>
      </c>
      <c r="F2356" s="214">
        <f>'HIRE CHARGES'!$D$555</f>
        <v>402.5</v>
      </c>
      <c r="G2356" s="190">
        <f t="shared" si="32"/>
        <v>2415</v>
      </c>
      <c r="I2356" s="75"/>
    </row>
    <row r="2357" spans="1:9">
      <c r="A2357" s="847"/>
      <c r="B2357" s="152"/>
      <c r="C2357" s="355" t="s">
        <v>2379</v>
      </c>
      <c r="D2357" s="105" t="s">
        <v>2374</v>
      </c>
      <c r="E2357" s="220">
        <v>6</v>
      </c>
      <c r="F2357" s="214">
        <f>'HIRE CHARGES'!$E$555</f>
        <v>299.89999999999998</v>
      </c>
      <c r="G2357" s="190">
        <f t="shared" si="32"/>
        <v>1799.3999999999999</v>
      </c>
      <c r="I2357" s="75"/>
    </row>
    <row r="2358" spans="1:9">
      <c r="A2358" s="847"/>
      <c r="B2358" s="105">
        <v>6</v>
      </c>
      <c r="C2358" s="355" t="s">
        <v>9251</v>
      </c>
      <c r="D2358" s="105" t="s">
        <v>2374</v>
      </c>
      <c r="E2358" s="220">
        <v>6.16</v>
      </c>
      <c r="F2358" s="214">
        <f>'HIRE CHARGES'!$D$553</f>
        <v>1342.2</v>
      </c>
      <c r="G2358" s="190">
        <f t="shared" si="32"/>
        <v>8267.9520000000011</v>
      </c>
      <c r="I2358" s="75"/>
    </row>
    <row r="2359" spans="1:9">
      <c r="A2359" s="847"/>
      <c r="B2359" s="152"/>
      <c r="C2359" s="355" t="s">
        <v>2379</v>
      </c>
      <c r="D2359" s="105" t="s">
        <v>2374</v>
      </c>
      <c r="E2359" s="220">
        <v>6.16</v>
      </c>
      <c r="F2359" s="214">
        <f>'HIRE CHARGES'!$E$553</f>
        <v>1031.4000000000001</v>
      </c>
      <c r="G2359" s="190">
        <f t="shared" si="32"/>
        <v>6353.4240000000009</v>
      </c>
      <c r="I2359" s="75"/>
    </row>
    <row r="2360" spans="1:9">
      <c r="A2360" s="847"/>
      <c r="B2360" s="114">
        <v>7</v>
      </c>
      <c r="C2360" s="355" t="s">
        <v>2373</v>
      </c>
      <c r="D2360" s="105" t="s">
        <v>2173</v>
      </c>
      <c r="E2360" s="220">
        <v>5</v>
      </c>
      <c r="F2360" s="190">
        <f>'BASIC DATA'!$D$359</f>
        <v>30</v>
      </c>
      <c r="G2360" s="190">
        <f t="shared" si="32"/>
        <v>150</v>
      </c>
      <c r="I2360" s="75"/>
    </row>
    <row r="2361" spans="1:9">
      <c r="A2361" s="847"/>
      <c r="B2361" s="176"/>
      <c r="C2361" s="357" t="s">
        <v>2380</v>
      </c>
      <c r="D2361" s="174"/>
      <c r="E2361" s="192"/>
      <c r="F2361" s="236" t="s">
        <v>1698</v>
      </c>
      <c r="G2361" s="354">
        <f>SUM(G2348:G2360)</f>
        <v>81019.435999999987</v>
      </c>
      <c r="I2361" s="31"/>
    </row>
    <row r="2362" spans="1:9">
      <c r="A2362" s="847"/>
      <c r="B2362" s="78"/>
      <c r="C2362" s="48"/>
      <c r="I2362" s="31"/>
    </row>
    <row r="2363" spans="1:9">
      <c r="A2363" s="847"/>
      <c r="B2363" s="79" t="s">
        <v>2381</v>
      </c>
      <c r="C2363" s="48"/>
      <c r="I2363" s="31"/>
    </row>
    <row r="2364" spans="1:9">
      <c r="A2364" s="847"/>
      <c r="B2364" s="95" t="s">
        <v>2369</v>
      </c>
      <c r="C2364" s="350" t="s">
        <v>2378</v>
      </c>
      <c r="D2364" s="95" t="s">
        <v>2370</v>
      </c>
      <c r="E2364" s="95" t="s">
        <v>1166</v>
      </c>
      <c r="F2364" s="95" t="s">
        <v>2371</v>
      </c>
      <c r="G2364" s="95" t="s">
        <v>2372</v>
      </c>
      <c r="I2364" s="31"/>
    </row>
    <row r="2365" spans="1:9">
      <c r="A2365" s="847"/>
      <c r="B2365" s="114"/>
      <c r="C2365" s="351"/>
      <c r="D2365" s="105"/>
      <c r="E2365" s="114"/>
      <c r="F2365" s="114" t="s">
        <v>3485</v>
      </c>
      <c r="G2365" s="114" t="s">
        <v>3485</v>
      </c>
      <c r="I2365" s="31"/>
    </row>
    <row r="2366" spans="1:9">
      <c r="A2366" s="847"/>
      <c r="B2366" s="105">
        <v>1</v>
      </c>
      <c r="C2366" s="86" t="s">
        <v>2870</v>
      </c>
      <c r="D2366" s="95" t="s">
        <v>2374</v>
      </c>
      <c r="E2366" s="207">
        <v>6.06</v>
      </c>
      <c r="F2366" s="190">
        <f>'HIRE CHARGES'!$F$499</f>
        <v>236.6</v>
      </c>
      <c r="G2366" s="190">
        <f t="shared" ref="G2366:G2373" si="33">E2366*F2366</f>
        <v>1433.7959999999998</v>
      </c>
      <c r="I2366" s="75"/>
    </row>
    <row r="2367" spans="1:9">
      <c r="A2367" s="847"/>
      <c r="B2367" s="105">
        <v>2</v>
      </c>
      <c r="C2367" s="86" t="s">
        <v>300</v>
      </c>
      <c r="D2367" s="105" t="s">
        <v>2374</v>
      </c>
      <c r="E2367" s="207">
        <v>8</v>
      </c>
      <c r="F2367" s="190">
        <f>'HIRE CHARGES'!$F$542</f>
        <v>236.6</v>
      </c>
      <c r="G2367" s="190">
        <f t="shared" si="33"/>
        <v>1892.8</v>
      </c>
      <c r="I2367" s="75"/>
    </row>
    <row r="2368" spans="1:9">
      <c r="A2368" s="847"/>
      <c r="B2368" s="105">
        <v>3</v>
      </c>
      <c r="C2368" s="86" t="s">
        <v>301</v>
      </c>
      <c r="D2368" s="105" t="s">
        <v>2374</v>
      </c>
      <c r="E2368" s="207">
        <v>48</v>
      </c>
      <c r="F2368" s="190">
        <f>'HIRE CHARGES'!$F$545</f>
        <v>177.5</v>
      </c>
      <c r="G2368" s="190">
        <f t="shared" si="33"/>
        <v>8520</v>
      </c>
      <c r="I2368" s="75"/>
    </row>
    <row r="2369" spans="1:9">
      <c r="A2369" s="847"/>
      <c r="B2369" s="105">
        <v>4</v>
      </c>
      <c r="C2369" s="86" t="s">
        <v>999</v>
      </c>
      <c r="D2369" s="105" t="s">
        <v>2374</v>
      </c>
      <c r="E2369" s="207">
        <v>3</v>
      </c>
      <c r="F2369" s="190">
        <f>'HIRE CHARGES'!$F$517</f>
        <v>111.1</v>
      </c>
      <c r="G2369" s="190">
        <f t="shared" si="33"/>
        <v>333.29999999999995</v>
      </c>
      <c r="I2369" s="75"/>
    </row>
    <row r="2370" spans="1:9">
      <c r="A2370" s="847"/>
      <c r="B2370" s="105">
        <v>5</v>
      </c>
      <c r="C2370" s="86" t="s">
        <v>1000</v>
      </c>
      <c r="D2370" s="105" t="s">
        <v>2374</v>
      </c>
      <c r="E2370" s="207">
        <v>6</v>
      </c>
      <c r="F2370" s="190">
        <f>'HIRE CHARGES'!$F$555</f>
        <v>177.5</v>
      </c>
      <c r="G2370" s="190">
        <f t="shared" si="33"/>
        <v>1065</v>
      </c>
      <c r="I2370" s="75"/>
    </row>
    <row r="2371" spans="1:9">
      <c r="A2371" s="847"/>
      <c r="B2371" s="105">
        <v>6</v>
      </c>
      <c r="C2371" s="86" t="s">
        <v>1001</v>
      </c>
      <c r="D2371" s="105" t="s">
        <v>2374</v>
      </c>
      <c r="E2371" s="393">
        <v>6.16</v>
      </c>
      <c r="F2371" s="190">
        <f>'HIRE CHARGES'!$F$553</f>
        <v>263.60000000000002</v>
      </c>
      <c r="G2371" s="190">
        <f t="shared" si="33"/>
        <v>1623.7760000000001</v>
      </c>
      <c r="I2371" s="75"/>
    </row>
    <row r="2372" spans="1:9">
      <c r="A2372" s="847"/>
      <c r="B2372" s="105">
        <v>7</v>
      </c>
      <c r="C2372" s="86" t="s">
        <v>4206</v>
      </c>
      <c r="D2372" s="105" t="s">
        <v>1172</v>
      </c>
      <c r="E2372" s="207">
        <v>2</v>
      </c>
      <c r="F2372" s="190">
        <f>'BASIC DATA'!$C$473</f>
        <v>450</v>
      </c>
      <c r="G2372" s="190">
        <f t="shared" si="33"/>
        <v>900</v>
      </c>
      <c r="I2372" s="75"/>
    </row>
    <row r="2373" spans="1:9">
      <c r="A2373" s="847"/>
      <c r="B2373" s="105">
        <v>8</v>
      </c>
      <c r="C2373" s="86" t="s">
        <v>2697</v>
      </c>
      <c r="D2373" s="105" t="s">
        <v>1172</v>
      </c>
      <c r="E2373" s="207">
        <v>4</v>
      </c>
      <c r="F2373" s="190">
        <f>'BASIC DATA'!$C$552</f>
        <v>350</v>
      </c>
      <c r="G2373" s="190">
        <f t="shared" si="33"/>
        <v>1400</v>
      </c>
      <c r="I2373" s="75"/>
    </row>
    <row r="2374" spans="1:9">
      <c r="A2374" s="847"/>
      <c r="B2374" s="92"/>
      <c r="C2374" s="353" t="s">
        <v>1174</v>
      </c>
      <c r="D2374" s="159"/>
      <c r="E2374" s="238"/>
      <c r="F2374" s="236" t="s">
        <v>1698</v>
      </c>
      <c r="G2374" s="318">
        <f>SUM(G2366:G2373)</f>
        <v>17168.671999999999</v>
      </c>
    </row>
    <row r="2375" spans="1:9">
      <c r="A2375" s="847"/>
      <c r="B2375" s="359" t="s">
        <v>5948</v>
      </c>
      <c r="C2375" s="355"/>
      <c r="D2375" s="31"/>
      <c r="E2375" s="85">
        <f>ROUND(G2374/F2337,1)</f>
        <v>25.3</v>
      </c>
    </row>
    <row r="2376" spans="1:9">
      <c r="A2376" s="847"/>
      <c r="B2376" s="359" t="s">
        <v>3163</v>
      </c>
      <c r="C2376" s="355"/>
      <c r="D2376" s="922">
        <f>'BASIC DATA'!$C$577</f>
        <v>0.13614999999999999</v>
      </c>
      <c r="E2376" s="85">
        <f>ROUND(E2375*D2376,1)</f>
        <v>3.4</v>
      </c>
    </row>
    <row r="2377" spans="1:9">
      <c r="A2377" s="847"/>
      <c r="B2377" s="359" t="s">
        <v>5949</v>
      </c>
      <c r="C2377" s="355"/>
      <c r="D2377" s="31"/>
      <c r="E2377" s="199">
        <f>ROUND(E2376+E2375,1)</f>
        <v>28.7</v>
      </c>
    </row>
    <row r="2378" spans="1:9">
      <c r="A2378" s="847"/>
      <c r="B2378" s="78"/>
      <c r="C2378" s="48"/>
    </row>
    <row r="2379" spans="1:9">
      <c r="A2379" s="847"/>
      <c r="B2379" s="162" t="s">
        <v>1175</v>
      </c>
      <c r="C2379" s="48"/>
    </row>
    <row r="2380" spans="1:9">
      <c r="A2380" s="847"/>
      <c r="B2380" s="47" t="s">
        <v>4</v>
      </c>
      <c r="C2380" s="48"/>
      <c r="F2380" s="171" t="s">
        <v>1698</v>
      </c>
      <c r="G2380" s="68">
        <f>G2343</f>
        <v>0</v>
      </c>
    </row>
    <row r="2381" spans="1:9">
      <c r="A2381" s="847"/>
      <c r="B2381" s="47" t="s">
        <v>1186</v>
      </c>
      <c r="C2381" s="48"/>
      <c r="F2381" s="171" t="s">
        <v>1698</v>
      </c>
      <c r="G2381" s="68">
        <f>G2361</f>
        <v>81019.435999999987</v>
      </c>
    </row>
    <row r="2382" spans="1:9">
      <c r="A2382" s="847"/>
      <c r="B2382" s="47" t="s">
        <v>2660</v>
      </c>
      <c r="C2382" s="48"/>
      <c r="F2382" s="171" t="s">
        <v>1698</v>
      </c>
      <c r="G2382" s="75">
        <f>G2374</f>
        <v>17168.671999999999</v>
      </c>
    </row>
    <row r="2383" spans="1:9">
      <c r="A2383" s="847"/>
      <c r="B2383" s="78"/>
      <c r="C2383" s="48"/>
      <c r="E2383" s="261"/>
      <c r="F2383" s="171" t="s">
        <v>302</v>
      </c>
      <c r="G2383" s="205">
        <f>SUM(G2380:G2382)</f>
        <v>98188.107999999978</v>
      </c>
    </row>
    <row r="2384" spans="1:9" ht="40.5" customHeight="1">
      <c r="A2384" s="847"/>
      <c r="B2384" s="1207" t="s">
        <v>1379</v>
      </c>
      <c r="C2384" s="1207"/>
      <c r="D2384" s="1207"/>
      <c r="E2384" s="922">
        <f>'BASIC DATA'!$C$577</f>
        <v>0.13614999999999999</v>
      </c>
      <c r="F2384" s="171" t="s">
        <v>1698</v>
      </c>
      <c r="G2384" s="31">
        <f>ROUND(G2383*E2384,2)</f>
        <v>13368.31</v>
      </c>
    </row>
    <row r="2385" spans="1:8">
      <c r="A2385" s="847"/>
      <c r="B2385" s="47" t="s">
        <v>1191</v>
      </c>
      <c r="C2385" s="48"/>
      <c r="D2385" s="68">
        <f>F2337</f>
        <v>677.28</v>
      </c>
      <c r="E2385" s="68" t="str">
        <f>G2337</f>
        <v>cum</v>
      </c>
      <c r="F2385" s="171" t="s">
        <v>1698</v>
      </c>
      <c r="G2385" s="211">
        <f>G2384+G2383</f>
        <v>111556.41799999998</v>
      </c>
    </row>
    <row r="2386" spans="1:8">
      <c r="A2386" s="847"/>
      <c r="B2386" s="79" t="s">
        <v>1584</v>
      </c>
      <c r="C2386" s="356" t="str">
        <f>E2385</f>
        <v>cum</v>
      </c>
      <c r="D2386" s="26" t="s">
        <v>5772</v>
      </c>
      <c r="F2386" s="171" t="s">
        <v>4108</v>
      </c>
      <c r="G2386" s="211">
        <f>ROUND(G2385/D2385,1)</f>
        <v>164.7</v>
      </c>
      <c r="H2386" s="171"/>
    </row>
    <row r="2387" spans="1:8">
      <c r="A2387" s="847"/>
      <c r="B2387" s="78"/>
      <c r="C2387" s="48"/>
    </row>
    <row r="2388" spans="1:8" ht="18.75">
      <c r="A2388" s="841" t="s">
        <v>5529</v>
      </c>
      <c r="B2388" s="47" t="s">
        <v>8675</v>
      </c>
      <c r="C2388" s="48"/>
    </row>
    <row r="2389" spans="1:8">
      <c r="A2389" s="889"/>
      <c r="B2389" s="47" t="s">
        <v>8676</v>
      </c>
      <c r="C2389" s="48"/>
    </row>
    <row r="2390" spans="1:8">
      <c r="A2390" s="889"/>
      <c r="B2390" s="47" t="s">
        <v>7321</v>
      </c>
      <c r="C2390" s="48"/>
    </row>
    <row r="2391" spans="1:8" ht="18.75">
      <c r="A2391" s="889"/>
      <c r="B2391" s="47" t="s">
        <v>8677</v>
      </c>
      <c r="C2391" s="48"/>
    </row>
    <row r="2392" spans="1:8">
      <c r="A2392" s="889"/>
      <c r="B2392" s="47" t="s">
        <v>9229</v>
      </c>
      <c r="C2392" s="48"/>
    </row>
    <row r="2393" spans="1:8" ht="18.75">
      <c r="A2393" s="889"/>
      <c r="B2393" s="47" t="s">
        <v>9234</v>
      </c>
      <c r="C2393" s="48"/>
    </row>
    <row r="2394" spans="1:8">
      <c r="A2394" s="889"/>
      <c r="C2394" s="48"/>
    </row>
    <row r="2395" spans="1:8" hidden="1">
      <c r="A2395" s="889" t="s">
        <v>3984</v>
      </c>
      <c r="B2395" s="47" t="s">
        <v>903</v>
      </c>
      <c r="C2395" s="48"/>
      <c r="F2395" s="78"/>
    </row>
    <row r="2396" spans="1:8" hidden="1">
      <c r="A2396" s="889"/>
      <c r="B2396" s="47" t="s">
        <v>0</v>
      </c>
      <c r="C2396" s="48"/>
      <c r="F2396" s="78" t="s">
        <v>1697</v>
      </c>
      <c r="G2396" s="26">
        <v>677.28</v>
      </c>
      <c r="H2396" s="26" t="s">
        <v>6901</v>
      </c>
    </row>
    <row r="2397" spans="1:8" hidden="1">
      <c r="A2397" s="889">
        <v>1</v>
      </c>
      <c r="B2397" s="47" t="s">
        <v>2860</v>
      </c>
      <c r="C2397" s="48"/>
      <c r="F2397" s="78"/>
    </row>
    <row r="2398" spans="1:8" hidden="1">
      <c r="A2398" s="841"/>
      <c r="B2398" s="47" t="s">
        <v>1782</v>
      </c>
      <c r="C2398" s="48"/>
      <c r="F2398" s="78" t="s">
        <v>1697</v>
      </c>
      <c r="G2398" s="68">
        <v>2</v>
      </c>
      <c r="H2398" s="26" t="s">
        <v>3037</v>
      </c>
    </row>
    <row r="2399" spans="1:8" hidden="1">
      <c r="A2399" s="889">
        <v>2</v>
      </c>
      <c r="B2399" s="47" t="s">
        <v>6281</v>
      </c>
      <c r="C2399" s="48"/>
    </row>
    <row r="2400" spans="1:8" hidden="1">
      <c r="A2400" s="841"/>
      <c r="B2400" s="47" t="s">
        <v>1783</v>
      </c>
      <c r="C2400" s="48"/>
      <c r="F2400" s="78" t="s">
        <v>1697</v>
      </c>
      <c r="G2400" s="68">
        <v>8</v>
      </c>
      <c r="H2400" s="26" t="s">
        <v>3428</v>
      </c>
    </row>
    <row r="2401" spans="1:9" hidden="1">
      <c r="A2401" s="841"/>
      <c r="B2401" s="47" t="s">
        <v>1784</v>
      </c>
      <c r="C2401" s="48"/>
      <c r="F2401" s="78" t="s">
        <v>1697</v>
      </c>
      <c r="G2401" s="68">
        <v>48</v>
      </c>
      <c r="H2401" s="26" t="s">
        <v>3428</v>
      </c>
    </row>
    <row r="2402" spans="1:9" hidden="1">
      <c r="A2402" s="889">
        <v>3</v>
      </c>
      <c r="B2402" s="47" t="s">
        <v>5954</v>
      </c>
      <c r="C2402" s="48"/>
      <c r="F2402" s="78"/>
    </row>
    <row r="2403" spans="1:9" hidden="1">
      <c r="A2403" s="841"/>
      <c r="B2403" s="47" t="s">
        <v>1782</v>
      </c>
      <c r="C2403" s="48"/>
      <c r="F2403" s="78" t="s">
        <v>1697</v>
      </c>
      <c r="G2403" s="26">
        <v>4.0599999999999996</v>
      </c>
      <c r="H2403" s="26" t="s">
        <v>3428</v>
      </c>
    </row>
    <row r="2404" spans="1:9" hidden="1">
      <c r="A2404" s="889">
        <v>4</v>
      </c>
      <c r="B2404" s="47" t="s">
        <v>1746</v>
      </c>
      <c r="C2404" s="48"/>
    </row>
    <row r="2405" spans="1:9" hidden="1">
      <c r="A2405" s="841"/>
      <c r="B2405" s="47" t="s">
        <v>4186</v>
      </c>
      <c r="C2405" s="48"/>
    </row>
    <row r="2406" spans="1:9" hidden="1">
      <c r="A2406" s="889">
        <v>5</v>
      </c>
      <c r="B2406" s="47" t="s">
        <v>6798</v>
      </c>
      <c r="C2406" s="48"/>
    </row>
    <row r="2407" spans="1:9" hidden="1">
      <c r="A2407" s="841"/>
      <c r="B2407" s="47" t="s">
        <v>6194</v>
      </c>
      <c r="C2407" s="48"/>
    </row>
    <row r="2408" spans="1:9" hidden="1">
      <c r="A2408" s="841"/>
      <c r="B2408" s="47" t="s">
        <v>9252</v>
      </c>
      <c r="C2408" s="48"/>
    </row>
    <row r="2409" spans="1:9" hidden="1">
      <c r="A2409" s="841"/>
      <c r="B2409" s="47" t="s">
        <v>3443</v>
      </c>
      <c r="C2409" s="48"/>
    </row>
    <row r="2410" spans="1:9" hidden="1">
      <c r="A2410" s="841"/>
      <c r="B2410" s="47" t="s">
        <v>3650</v>
      </c>
      <c r="C2410" s="48"/>
      <c r="F2410" s="78" t="s">
        <v>1697</v>
      </c>
      <c r="G2410" s="68">
        <v>1.9</v>
      </c>
      <c r="H2410" s="26" t="s">
        <v>3561</v>
      </c>
    </row>
    <row r="2411" spans="1:9" hidden="1">
      <c r="A2411" s="841"/>
      <c r="B2411" s="47" t="s">
        <v>4995</v>
      </c>
      <c r="C2411" s="48"/>
      <c r="F2411" s="78" t="s">
        <v>1697</v>
      </c>
      <c r="G2411" s="383">
        <v>4</v>
      </c>
      <c r="H2411" s="26" t="s">
        <v>3431</v>
      </c>
    </row>
    <row r="2412" spans="1:9" hidden="1">
      <c r="A2412" s="841"/>
      <c r="B2412" s="47" t="s">
        <v>4997</v>
      </c>
      <c r="C2412" s="48"/>
      <c r="F2412" s="78" t="s">
        <v>1697</v>
      </c>
      <c r="G2412" s="68">
        <v>0.25</v>
      </c>
      <c r="H2412" s="26" t="s">
        <v>3561</v>
      </c>
      <c r="I2412" s="31"/>
    </row>
    <row r="2413" spans="1:9" hidden="1">
      <c r="A2413" s="841"/>
      <c r="B2413" s="47" t="s">
        <v>1504</v>
      </c>
      <c r="C2413" s="48"/>
      <c r="F2413" s="78" t="s">
        <v>1697</v>
      </c>
      <c r="G2413" s="26">
        <v>9</v>
      </c>
      <c r="H2413" s="26" t="s">
        <v>2059</v>
      </c>
      <c r="I2413" s="60"/>
    </row>
    <row r="2414" spans="1:9" hidden="1">
      <c r="A2414" s="841"/>
      <c r="B2414" s="47" t="s">
        <v>1126</v>
      </c>
      <c r="C2414" s="48"/>
    </row>
    <row r="2415" spans="1:9" hidden="1">
      <c r="A2415" s="841"/>
      <c r="B2415" s="47" t="s">
        <v>4126</v>
      </c>
      <c r="C2415" s="48"/>
      <c r="E2415" s="26">
        <f>50/60*(1.9*4000*0.25*0.75/9)</f>
        <v>131.94444444444446</v>
      </c>
      <c r="F2415" s="78" t="s">
        <v>1123</v>
      </c>
      <c r="G2415" s="26">
        <v>131.94</v>
      </c>
      <c r="H2415" s="26" t="s">
        <v>6901</v>
      </c>
    </row>
    <row r="2416" spans="1:9" hidden="1">
      <c r="A2416" s="841"/>
      <c r="B2416" s="47" t="s">
        <v>4125</v>
      </c>
      <c r="C2416" s="48"/>
      <c r="F2416" s="78" t="s">
        <v>1123</v>
      </c>
      <c r="G2416" s="68">
        <f>812.74/G2415</f>
        <v>6.1599211762922543</v>
      </c>
      <c r="H2416" s="26" t="s">
        <v>3428</v>
      </c>
    </row>
    <row r="2417" spans="1:9" hidden="1">
      <c r="A2417" s="889">
        <v>6</v>
      </c>
      <c r="B2417" s="47" t="s">
        <v>3220</v>
      </c>
      <c r="C2417" s="48"/>
    </row>
    <row r="2418" spans="1:9" hidden="1">
      <c r="A2418" s="889"/>
      <c r="B2418" s="47" t="s">
        <v>1787</v>
      </c>
      <c r="C2418" s="48"/>
    </row>
    <row r="2419" spans="1:9">
      <c r="A2419" s="847"/>
      <c r="B2419" s="78"/>
      <c r="C2419" s="48"/>
    </row>
    <row r="2420" spans="1:9">
      <c r="A2420" s="889" t="s">
        <v>3984</v>
      </c>
      <c r="B2420" s="78"/>
      <c r="C2420" s="349" t="s">
        <v>2367</v>
      </c>
      <c r="E2420" s="171" t="s">
        <v>297</v>
      </c>
      <c r="F2420" s="246">
        <v>677.28</v>
      </c>
      <c r="G2420" s="26" t="s">
        <v>3477</v>
      </c>
    </row>
    <row r="2421" spans="1:9">
      <c r="A2421" s="847"/>
      <c r="B2421" s="79" t="s">
        <v>2368</v>
      </c>
      <c r="C2421" s="48"/>
    </row>
    <row r="2422" spans="1:9">
      <c r="A2422" s="847"/>
      <c r="B2422" s="95" t="s">
        <v>2369</v>
      </c>
      <c r="C2422" s="350" t="s">
        <v>6374</v>
      </c>
      <c r="D2422" s="95" t="s">
        <v>2370</v>
      </c>
      <c r="E2422" s="95" t="s">
        <v>1166</v>
      </c>
      <c r="F2422" s="95" t="s">
        <v>2371</v>
      </c>
      <c r="G2422" s="95" t="s">
        <v>2372</v>
      </c>
    </row>
    <row r="2423" spans="1:9">
      <c r="A2423" s="847"/>
      <c r="B2423" s="114"/>
      <c r="C2423" s="351"/>
      <c r="D2423" s="114"/>
      <c r="E2423" s="114"/>
      <c r="F2423" s="114" t="s">
        <v>3485</v>
      </c>
      <c r="G2423" s="114" t="s">
        <v>3485</v>
      </c>
    </row>
    <row r="2424" spans="1:9">
      <c r="A2424" s="847"/>
      <c r="B2424" s="95">
        <v>1</v>
      </c>
      <c r="C2424" s="352" t="s">
        <v>1130</v>
      </c>
      <c r="D2424" s="95"/>
      <c r="E2424" s="190">
        <v>0</v>
      </c>
      <c r="F2424" s="190">
        <v>0</v>
      </c>
      <c r="G2424" s="190">
        <f>E2424*F2424</f>
        <v>0</v>
      </c>
    </row>
    <row r="2425" spans="1:9">
      <c r="A2425" s="847"/>
      <c r="B2425" s="280"/>
      <c r="C2425" s="86"/>
      <c r="D2425" s="105"/>
      <c r="E2425" s="190">
        <v>0</v>
      </c>
      <c r="F2425" s="190">
        <v>0</v>
      </c>
      <c r="G2425" s="190">
        <f>E2425*F2425</f>
        <v>0</v>
      </c>
    </row>
    <row r="2426" spans="1:9">
      <c r="A2426" s="848"/>
      <c r="B2426" s="263"/>
      <c r="C2426" s="387" t="s">
        <v>2376</v>
      </c>
      <c r="D2426" s="388"/>
      <c r="E2426" s="389"/>
      <c r="F2426" s="390" t="s">
        <v>1698</v>
      </c>
      <c r="G2426" s="391">
        <f>SUM(G2424:G2425)</f>
        <v>0</v>
      </c>
      <c r="H2426" s="61"/>
      <c r="I2426" s="61"/>
    </row>
    <row r="2427" spans="1:9">
      <c r="A2427" s="847"/>
      <c r="B2427" s="78"/>
      <c r="C2427" s="48"/>
    </row>
    <row r="2428" spans="1:9">
      <c r="A2428" s="847"/>
      <c r="B2428" s="79" t="s">
        <v>2377</v>
      </c>
      <c r="C2428" s="48"/>
    </row>
    <row r="2429" spans="1:9">
      <c r="A2429" s="847"/>
      <c r="B2429" s="95" t="s">
        <v>2369</v>
      </c>
      <c r="C2429" s="350" t="s">
        <v>2378</v>
      </c>
      <c r="D2429" s="95" t="s">
        <v>2370</v>
      </c>
      <c r="E2429" s="95" t="s">
        <v>1166</v>
      </c>
      <c r="F2429" s="95" t="s">
        <v>2371</v>
      </c>
      <c r="G2429" s="95" t="s">
        <v>2372</v>
      </c>
    </row>
    <row r="2430" spans="1:9">
      <c r="A2430" s="847"/>
      <c r="B2430" s="114"/>
      <c r="C2430" s="351"/>
      <c r="D2430" s="114"/>
      <c r="E2430" s="114"/>
      <c r="F2430" s="114" t="s">
        <v>3485</v>
      </c>
      <c r="G2430" s="114" t="s">
        <v>3485</v>
      </c>
    </row>
    <row r="2431" spans="1:9">
      <c r="A2431" s="847"/>
      <c r="B2431" s="95">
        <v>1</v>
      </c>
      <c r="C2431" s="355" t="s">
        <v>1502</v>
      </c>
      <c r="D2431" s="95" t="s">
        <v>2374</v>
      </c>
      <c r="E2431" s="220">
        <v>6.06</v>
      </c>
      <c r="F2431" s="214">
        <f>'HIRE CHARGES'!$D$499</f>
        <v>1715.5</v>
      </c>
      <c r="G2431" s="190">
        <f t="shared" ref="G2431:G2439" si="34">E2431*F2431</f>
        <v>10395.929999999998</v>
      </c>
      <c r="I2431" s="75"/>
    </row>
    <row r="2432" spans="1:9">
      <c r="A2432" s="847"/>
      <c r="B2432" s="152"/>
      <c r="C2432" s="355" t="s">
        <v>2379</v>
      </c>
      <c r="D2432" s="105" t="s">
        <v>2374</v>
      </c>
      <c r="E2432" s="220">
        <v>6.06</v>
      </c>
      <c r="F2432" s="214">
        <f>'HIRE CHARGES'!$E$499</f>
        <v>610.5</v>
      </c>
      <c r="G2432" s="190">
        <f t="shared" si="34"/>
        <v>3699.6299999999997</v>
      </c>
      <c r="I2432" s="75"/>
    </row>
    <row r="2433" spans="1:9">
      <c r="A2433" s="847"/>
      <c r="B2433" s="105">
        <v>2</v>
      </c>
      <c r="C2433" s="355" t="s">
        <v>2951</v>
      </c>
      <c r="D2433" s="105" t="s">
        <v>2374</v>
      </c>
      <c r="E2433" s="220">
        <v>8</v>
      </c>
      <c r="F2433" s="190">
        <f>'HIRE CHARGES'!$D$542</f>
        <v>1003.1</v>
      </c>
      <c r="G2433" s="190">
        <f t="shared" si="34"/>
        <v>8024.8</v>
      </c>
      <c r="I2433" s="75"/>
    </row>
    <row r="2434" spans="1:9">
      <c r="A2434" s="847"/>
      <c r="B2434" s="152"/>
      <c r="C2434" s="355" t="s">
        <v>2379</v>
      </c>
      <c r="D2434" s="105" t="s">
        <v>2374</v>
      </c>
      <c r="E2434" s="220">
        <v>8</v>
      </c>
      <c r="F2434" s="190">
        <f>'HIRE CHARGES'!$E$542</f>
        <v>476</v>
      </c>
      <c r="G2434" s="190">
        <f t="shared" si="34"/>
        <v>3808</v>
      </c>
      <c r="I2434" s="75"/>
    </row>
    <row r="2435" spans="1:9">
      <c r="A2435" s="847"/>
      <c r="B2435" s="105">
        <v>3</v>
      </c>
      <c r="C2435" s="355" t="s">
        <v>1131</v>
      </c>
      <c r="D2435" s="105" t="s">
        <v>2374</v>
      </c>
      <c r="E2435" s="220">
        <v>48</v>
      </c>
      <c r="F2435" s="190">
        <f>'HIRE CHARGES'!$D$545</f>
        <v>446.7</v>
      </c>
      <c r="G2435" s="190">
        <f t="shared" si="34"/>
        <v>21441.599999999999</v>
      </c>
      <c r="I2435" s="75"/>
    </row>
    <row r="2436" spans="1:9">
      <c r="A2436" s="847"/>
      <c r="B2436" s="152"/>
      <c r="C2436" s="355" t="s">
        <v>2379</v>
      </c>
      <c r="D2436" s="105" t="s">
        <v>2374</v>
      </c>
      <c r="E2436" s="220">
        <v>48</v>
      </c>
      <c r="F2436" s="190">
        <f>'HIRE CHARGES'!$E$545</f>
        <v>299.89999999999998</v>
      </c>
      <c r="G2436" s="190">
        <f t="shared" si="34"/>
        <v>14395.199999999999</v>
      </c>
      <c r="I2436" s="75"/>
    </row>
    <row r="2437" spans="1:9">
      <c r="A2437" s="847"/>
      <c r="B2437" s="105">
        <v>4</v>
      </c>
      <c r="C2437" s="355" t="s">
        <v>9251</v>
      </c>
      <c r="D2437" s="105" t="s">
        <v>2374</v>
      </c>
      <c r="E2437" s="220">
        <v>6.16</v>
      </c>
      <c r="F2437" s="214">
        <f>'HIRE CHARGES'!$D$553</f>
        <v>1342.2</v>
      </c>
      <c r="G2437" s="190">
        <f t="shared" si="34"/>
        <v>8267.9520000000011</v>
      </c>
      <c r="I2437" s="75"/>
    </row>
    <row r="2438" spans="1:9">
      <c r="A2438" s="847"/>
      <c r="B2438" s="152"/>
      <c r="C2438" s="355" t="s">
        <v>2379</v>
      </c>
      <c r="D2438" s="105" t="s">
        <v>2374</v>
      </c>
      <c r="E2438" s="220">
        <v>6.16</v>
      </c>
      <c r="F2438" s="214">
        <f>'HIRE CHARGES'!$E$553</f>
        <v>1031.4000000000001</v>
      </c>
      <c r="G2438" s="190">
        <f t="shared" si="34"/>
        <v>6353.4240000000009</v>
      </c>
      <c r="I2438" s="75"/>
    </row>
    <row r="2439" spans="1:9">
      <c r="A2439" s="847"/>
      <c r="B2439" s="114">
        <v>5</v>
      </c>
      <c r="C2439" s="355" t="s">
        <v>2373</v>
      </c>
      <c r="D2439" s="105" t="s">
        <v>2173</v>
      </c>
      <c r="E2439" s="220">
        <v>2</v>
      </c>
      <c r="F2439" s="190">
        <f>'BASIC DATA'!$D$359</f>
        <v>30</v>
      </c>
      <c r="G2439" s="190">
        <f t="shared" si="34"/>
        <v>60</v>
      </c>
      <c r="I2439" s="75"/>
    </row>
    <row r="2440" spans="1:9">
      <c r="A2440" s="847"/>
      <c r="B2440" s="176"/>
      <c r="C2440" s="357" t="s">
        <v>2380</v>
      </c>
      <c r="D2440" s="174"/>
      <c r="E2440" s="192"/>
      <c r="F2440" s="236" t="s">
        <v>1698</v>
      </c>
      <c r="G2440" s="354">
        <f>SUM(G2431:G2439)</f>
        <v>76446.535999999993</v>
      </c>
      <c r="I2440" s="31"/>
    </row>
    <row r="2441" spans="1:9">
      <c r="A2441" s="847"/>
      <c r="B2441" s="78"/>
      <c r="C2441" s="48"/>
      <c r="I2441" s="31"/>
    </row>
    <row r="2442" spans="1:9">
      <c r="A2442" s="847"/>
      <c r="B2442" s="79" t="s">
        <v>2381</v>
      </c>
      <c r="C2442" s="48"/>
      <c r="I2442" s="31"/>
    </row>
    <row r="2443" spans="1:9">
      <c r="A2443" s="847"/>
      <c r="B2443" s="95" t="s">
        <v>2369</v>
      </c>
      <c r="C2443" s="350" t="s">
        <v>2378</v>
      </c>
      <c r="D2443" s="95" t="s">
        <v>2370</v>
      </c>
      <c r="E2443" s="95" t="s">
        <v>1166</v>
      </c>
      <c r="F2443" s="95" t="s">
        <v>2371</v>
      </c>
      <c r="G2443" s="95" t="s">
        <v>2372</v>
      </c>
      <c r="I2443" s="31"/>
    </row>
    <row r="2444" spans="1:9">
      <c r="A2444" s="847"/>
      <c r="B2444" s="114"/>
      <c r="C2444" s="351"/>
      <c r="D2444" s="105"/>
      <c r="E2444" s="114"/>
      <c r="F2444" s="114" t="s">
        <v>3485</v>
      </c>
      <c r="G2444" s="114" t="s">
        <v>3485</v>
      </c>
      <c r="I2444" s="31"/>
    </row>
    <row r="2445" spans="1:9">
      <c r="A2445" s="847"/>
      <c r="B2445" s="105">
        <v>1</v>
      </c>
      <c r="C2445" s="86" t="s">
        <v>2870</v>
      </c>
      <c r="D2445" s="95" t="s">
        <v>2374</v>
      </c>
      <c r="E2445" s="207">
        <v>6.06</v>
      </c>
      <c r="F2445" s="190">
        <f>'HIRE CHARGES'!$F$499</f>
        <v>236.6</v>
      </c>
      <c r="G2445" s="190">
        <f t="shared" ref="G2445:G2450" si="35">E2445*F2445</f>
        <v>1433.7959999999998</v>
      </c>
      <c r="I2445" s="75"/>
    </row>
    <row r="2446" spans="1:9">
      <c r="A2446" s="847"/>
      <c r="B2446" s="105">
        <v>2</v>
      </c>
      <c r="C2446" s="86" t="s">
        <v>300</v>
      </c>
      <c r="D2446" s="105" t="s">
        <v>2374</v>
      </c>
      <c r="E2446" s="207">
        <v>8</v>
      </c>
      <c r="F2446" s="190">
        <f>'HIRE CHARGES'!$F$542</f>
        <v>236.6</v>
      </c>
      <c r="G2446" s="190">
        <f t="shared" si="35"/>
        <v>1892.8</v>
      </c>
      <c r="I2446" s="75"/>
    </row>
    <row r="2447" spans="1:9">
      <c r="A2447" s="847"/>
      <c r="B2447" s="105">
        <v>3</v>
      </c>
      <c r="C2447" s="86" t="s">
        <v>301</v>
      </c>
      <c r="D2447" s="105" t="s">
        <v>2374</v>
      </c>
      <c r="E2447" s="207">
        <v>48</v>
      </c>
      <c r="F2447" s="190">
        <f>'HIRE CHARGES'!$F$545</f>
        <v>177.5</v>
      </c>
      <c r="G2447" s="190">
        <f t="shared" si="35"/>
        <v>8520</v>
      </c>
      <c r="I2447" s="75"/>
    </row>
    <row r="2448" spans="1:9">
      <c r="A2448" s="847"/>
      <c r="B2448" s="105">
        <v>4</v>
      </c>
      <c r="C2448" s="86" t="s">
        <v>1001</v>
      </c>
      <c r="D2448" s="105" t="s">
        <v>2374</v>
      </c>
      <c r="E2448" s="393">
        <v>6.16</v>
      </c>
      <c r="F2448" s="190">
        <f>'HIRE CHARGES'!$F$553</f>
        <v>263.60000000000002</v>
      </c>
      <c r="G2448" s="190">
        <f t="shared" si="35"/>
        <v>1623.7760000000001</v>
      </c>
      <c r="I2448" s="75"/>
    </row>
    <row r="2449" spans="1:9">
      <c r="A2449" s="847"/>
      <c r="B2449" s="105">
        <v>5</v>
      </c>
      <c r="C2449" s="86" t="s">
        <v>4206</v>
      </c>
      <c r="D2449" s="105" t="s">
        <v>1172</v>
      </c>
      <c r="E2449" s="207">
        <v>2</v>
      </c>
      <c r="F2449" s="190">
        <f>'BASIC DATA'!$C$473</f>
        <v>450</v>
      </c>
      <c r="G2449" s="190">
        <f t="shared" si="35"/>
        <v>900</v>
      </c>
      <c r="I2449" s="75"/>
    </row>
    <row r="2450" spans="1:9">
      <c r="A2450" s="847"/>
      <c r="B2450" s="105">
        <v>6</v>
      </c>
      <c r="C2450" s="86" t="s">
        <v>2696</v>
      </c>
      <c r="D2450" s="105" t="s">
        <v>1172</v>
      </c>
      <c r="E2450" s="207">
        <v>4</v>
      </c>
      <c r="F2450" s="190">
        <f>'BASIC DATA'!$C$552</f>
        <v>350</v>
      </c>
      <c r="G2450" s="190">
        <f t="shared" si="35"/>
        <v>1400</v>
      </c>
      <c r="I2450" s="75"/>
    </row>
    <row r="2451" spans="1:9">
      <c r="A2451" s="847"/>
      <c r="B2451" s="92"/>
      <c r="C2451" s="353" t="s">
        <v>1174</v>
      </c>
      <c r="D2451" s="159"/>
      <c r="E2451" s="238"/>
      <c r="F2451" s="236" t="s">
        <v>1698</v>
      </c>
      <c r="G2451" s="318">
        <f>SUM(G2445:G2450)</f>
        <v>15770.371999999999</v>
      </c>
    </row>
    <row r="2452" spans="1:9">
      <c r="A2452" s="847"/>
      <c r="B2452" s="359" t="s">
        <v>5948</v>
      </c>
      <c r="C2452" s="355"/>
      <c r="D2452" s="31"/>
      <c r="E2452" s="85">
        <f>ROUND(G2451/F2420,1)</f>
        <v>23.3</v>
      </c>
    </row>
    <row r="2453" spans="1:9">
      <c r="A2453" s="847"/>
      <c r="B2453" s="359" t="s">
        <v>3163</v>
      </c>
      <c r="C2453" s="355"/>
      <c r="D2453" s="922">
        <f>'BASIC DATA'!$C$577</f>
        <v>0.13614999999999999</v>
      </c>
      <c r="E2453" s="85">
        <f>ROUND(E2452*D2453,1)</f>
        <v>3.2</v>
      </c>
    </row>
    <row r="2454" spans="1:9">
      <c r="A2454" s="847"/>
      <c r="B2454" s="359" t="s">
        <v>5949</v>
      </c>
      <c r="C2454" s="355"/>
      <c r="D2454" s="31"/>
      <c r="E2454" s="199">
        <f>ROUND(E2453+E2452,1)</f>
        <v>26.5</v>
      </c>
    </row>
    <row r="2455" spans="1:9">
      <c r="A2455" s="847"/>
      <c r="B2455" s="78"/>
      <c r="C2455" s="48"/>
    </row>
    <row r="2456" spans="1:9">
      <c r="A2456" s="847"/>
      <c r="B2456" s="162" t="s">
        <v>1175</v>
      </c>
      <c r="C2456" s="48"/>
    </row>
    <row r="2457" spans="1:9">
      <c r="A2457" s="847"/>
      <c r="B2457" s="47" t="s">
        <v>1176</v>
      </c>
      <c r="C2457" s="48"/>
      <c r="F2457" s="171" t="s">
        <v>1698</v>
      </c>
      <c r="G2457" s="68">
        <f>G2426</f>
        <v>0</v>
      </c>
    </row>
    <row r="2458" spans="1:9">
      <c r="A2458" s="847"/>
      <c r="B2458" s="47" t="s">
        <v>1186</v>
      </c>
      <c r="C2458" s="48"/>
      <c r="F2458" s="171" t="s">
        <v>1698</v>
      </c>
      <c r="G2458" s="68">
        <f>G2440</f>
        <v>76446.535999999993</v>
      </c>
    </row>
    <row r="2459" spans="1:9">
      <c r="A2459" s="847"/>
      <c r="B2459" s="47" t="s">
        <v>2660</v>
      </c>
      <c r="C2459" s="48"/>
      <c r="F2459" s="171" t="s">
        <v>1698</v>
      </c>
      <c r="G2459" s="75">
        <f>G2451</f>
        <v>15770.371999999999</v>
      </c>
    </row>
    <row r="2460" spans="1:9">
      <c r="A2460" s="847"/>
      <c r="B2460" s="78"/>
      <c r="C2460" s="48"/>
      <c r="E2460" s="261"/>
      <c r="F2460" s="171" t="s">
        <v>302</v>
      </c>
      <c r="G2460" s="205">
        <f>SUM(G2457:G2459)</f>
        <v>92216.907999999996</v>
      </c>
    </row>
    <row r="2461" spans="1:9" ht="34.5" customHeight="1">
      <c r="A2461" s="847"/>
      <c r="B2461" s="1207" t="s">
        <v>1379</v>
      </c>
      <c r="C2461" s="1207"/>
      <c r="D2461" s="1207"/>
      <c r="E2461" s="922">
        <f>'BASIC DATA'!$C$577</f>
        <v>0.13614999999999999</v>
      </c>
      <c r="F2461" s="171" t="s">
        <v>1698</v>
      </c>
      <c r="G2461" s="31">
        <f>ROUND(G2460*E2461,2)</f>
        <v>12555.33</v>
      </c>
    </row>
    <row r="2462" spans="1:9">
      <c r="A2462" s="847"/>
      <c r="B2462" s="47" t="s">
        <v>1191</v>
      </c>
      <c r="C2462" s="48"/>
      <c r="D2462" s="68">
        <f>F2420</f>
        <v>677.28</v>
      </c>
      <c r="E2462" s="68" t="str">
        <f>G2420</f>
        <v>cum</v>
      </c>
      <c r="F2462" s="171" t="s">
        <v>1698</v>
      </c>
      <c r="G2462" s="211">
        <f>G2461+G2460</f>
        <v>104772.238</v>
      </c>
    </row>
    <row r="2463" spans="1:9">
      <c r="A2463" s="847"/>
      <c r="B2463" s="79" t="s">
        <v>1584</v>
      </c>
      <c r="C2463" s="356" t="str">
        <f>E2462</f>
        <v>cum</v>
      </c>
      <c r="D2463" s="26" t="s">
        <v>5772</v>
      </c>
      <c r="F2463" s="171" t="s">
        <v>4108</v>
      </c>
      <c r="G2463" s="211">
        <f>ROUND(G2462/D2462,1)</f>
        <v>154.69999999999999</v>
      </c>
      <c r="H2463" s="171"/>
    </row>
    <row r="2464" spans="1:9"/>
    <row r="2465" spans="1:8">
      <c r="A2465" s="841" t="s">
        <v>7439</v>
      </c>
      <c r="B2465" s="162" t="s">
        <v>1371</v>
      </c>
      <c r="C2465" s="48"/>
    </row>
    <row r="2466" spans="1:8">
      <c r="A2466" s="847"/>
      <c r="B2466" s="78"/>
      <c r="C2466" s="48"/>
    </row>
    <row r="2467" spans="1:8" ht="18.75">
      <c r="A2467" s="841" t="s">
        <v>7440</v>
      </c>
      <c r="B2467" s="47" t="s">
        <v>8678</v>
      </c>
      <c r="C2467" s="48"/>
    </row>
    <row r="2468" spans="1:8">
      <c r="A2468" s="889"/>
      <c r="B2468" s="47" t="s">
        <v>8679</v>
      </c>
      <c r="C2468" s="48"/>
    </row>
    <row r="2469" spans="1:8">
      <c r="A2469" s="889"/>
      <c r="B2469" s="47" t="s">
        <v>967</v>
      </c>
      <c r="C2469" s="48"/>
    </row>
    <row r="2470" spans="1:8" ht="18.75">
      <c r="A2470" s="889"/>
      <c r="B2470" s="47" t="s">
        <v>8680</v>
      </c>
      <c r="C2470" s="48"/>
    </row>
    <row r="2471" spans="1:8">
      <c r="A2471" s="889"/>
      <c r="B2471" s="47" t="s">
        <v>9231</v>
      </c>
      <c r="C2471" s="48"/>
    </row>
    <row r="2472" spans="1:8" ht="18.75">
      <c r="A2472" s="889"/>
      <c r="B2472" s="162" t="s">
        <v>9235</v>
      </c>
      <c r="C2472" s="48"/>
    </row>
    <row r="2473" spans="1:8">
      <c r="A2473" s="889"/>
      <c r="C2473" s="48"/>
    </row>
    <row r="2474" spans="1:8" hidden="1">
      <c r="A2474" s="889" t="s">
        <v>3984</v>
      </c>
      <c r="B2474" s="47" t="s">
        <v>602</v>
      </c>
      <c r="C2474" s="48"/>
      <c r="F2474" s="78" t="s">
        <v>1697</v>
      </c>
      <c r="G2474" s="68">
        <v>0.5</v>
      </c>
      <c r="H2474" s="26" t="s">
        <v>6901</v>
      </c>
    </row>
    <row r="2475" spans="1:8" hidden="1">
      <c r="A2475" s="889"/>
      <c r="B2475" s="47" t="s">
        <v>603</v>
      </c>
      <c r="C2475" s="48"/>
      <c r="F2475" s="78" t="s">
        <v>1697</v>
      </c>
      <c r="G2475" s="26">
        <v>0.57999999999999996</v>
      </c>
      <c r="H2475" s="26" t="s">
        <v>6901</v>
      </c>
    </row>
    <row r="2476" spans="1:8" hidden="1">
      <c r="A2476" s="889"/>
      <c r="B2476" s="47" t="s">
        <v>5074</v>
      </c>
      <c r="C2476" s="48"/>
      <c r="F2476" s="78" t="s">
        <v>1697</v>
      </c>
      <c r="G2476" s="26">
        <v>0.5</v>
      </c>
      <c r="H2476" s="26" t="s">
        <v>6901</v>
      </c>
    </row>
    <row r="2477" spans="1:8" hidden="1">
      <c r="A2477" s="889"/>
      <c r="B2477" s="47" t="s">
        <v>604</v>
      </c>
      <c r="C2477" s="48"/>
      <c r="F2477" s="78" t="s">
        <v>1697</v>
      </c>
      <c r="G2477" s="68">
        <v>5</v>
      </c>
      <c r="H2477" s="26" t="s">
        <v>6901</v>
      </c>
    </row>
    <row r="2478" spans="1:8" hidden="1">
      <c r="A2478" s="889"/>
      <c r="B2478" s="47" t="s">
        <v>2541</v>
      </c>
      <c r="C2478" s="48"/>
      <c r="F2478" s="78" t="s">
        <v>3432</v>
      </c>
      <c r="G2478" s="26">
        <v>1</v>
      </c>
      <c r="H2478" s="26" t="s">
        <v>3431</v>
      </c>
    </row>
    <row r="2479" spans="1:8" hidden="1">
      <c r="A2479" s="889"/>
      <c r="B2479" s="47" t="s">
        <v>4569</v>
      </c>
      <c r="C2479" s="48"/>
      <c r="F2479" s="78" t="s">
        <v>1697</v>
      </c>
      <c r="G2479" s="26">
        <v>12</v>
      </c>
      <c r="H2479" s="26" t="s">
        <v>3433</v>
      </c>
    </row>
    <row r="2480" spans="1:8" hidden="1">
      <c r="A2480" s="889"/>
      <c r="B2480" s="47" t="s">
        <v>5632</v>
      </c>
      <c r="C2480" s="48"/>
      <c r="F2480" s="78" t="s">
        <v>1697</v>
      </c>
      <c r="G2480" s="26">
        <v>15</v>
      </c>
      <c r="H2480" s="26" t="s">
        <v>3433</v>
      </c>
    </row>
    <row r="2481" spans="1:9" hidden="1">
      <c r="A2481" s="889"/>
      <c r="B2481" s="47" t="s">
        <v>3985</v>
      </c>
      <c r="C2481" s="48"/>
      <c r="F2481" s="78" t="s">
        <v>1697</v>
      </c>
      <c r="G2481" s="68">
        <v>2</v>
      </c>
      <c r="H2481" s="26" t="s">
        <v>1433</v>
      </c>
    </row>
    <row r="2482" spans="1:9" hidden="1">
      <c r="A2482" s="889"/>
      <c r="B2482" s="47" t="s">
        <v>739</v>
      </c>
      <c r="C2482" s="48"/>
      <c r="F2482" s="78"/>
    </row>
    <row r="2483" spans="1:9" hidden="1">
      <c r="A2483" s="889"/>
      <c r="B2483" s="47" t="s">
        <v>4030</v>
      </c>
      <c r="C2483" s="48"/>
      <c r="F2483" s="78" t="s">
        <v>1697</v>
      </c>
      <c r="G2483" s="26">
        <v>20</v>
      </c>
      <c r="H2483" s="26" t="s">
        <v>3562</v>
      </c>
    </row>
    <row r="2484" spans="1:9" hidden="1">
      <c r="A2484" s="889"/>
      <c r="B2484" s="47" t="s">
        <v>5075</v>
      </c>
      <c r="C2484" s="48"/>
      <c r="F2484" s="78" t="s">
        <v>1697</v>
      </c>
      <c r="G2484" s="26">
        <v>4.34</v>
      </c>
      <c r="H2484" s="26" t="s">
        <v>6901</v>
      </c>
    </row>
    <row r="2485" spans="1:9" hidden="1">
      <c r="A2485" s="889"/>
      <c r="B2485" s="47" t="s">
        <v>5076</v>
      </c>
      <c r="C2485" s="48"/>
      <c r="F2485" s="78" t="s">
        <v>1123</v>
      </c>
      <c r="G2485" s="26">
        <v>8</v>
      </c>
      <c r="H2485" s="26" t="s">
        <v>3435</v>
      </c>
    </row>
    <row r="2486" spans="1:9" hidden="1">
      <c r="A2486" s="889"/>
      <c r="B2486" s="47" t="s">
        <v>1489</v>
      </c>
      <c r="C2486" s="48"/>
      <c r="F2486" s="78" t="s">
        <v>1123</v>
      </c>
      <c r="G2486" s="26">
        <v>2.66</v>
      </c>
      <c r="H2486" s="26" t="s">
        <v>1433</v>
      </c>
    </row>
    <row r="2487" spans="1:9" hidden="1">
      <c r="A2487" s="889"/>
      <c r="B2487" s="47" t="s">
        <v>1613</v>
      </c>
      <c r="C2487" s="48"/>
    </row>
    <row r="2488" spans="1:9" hidden="1">
      <c r="A2488" s="889"/>
      <c r="B2488" s="47" t="s">
        <v>3258</v>
      </c>
      <c r="C2488" s="48"/>
      <c r="F2488" s="78" t="s">
        <v>1123</v>
      </c>
      <c r="G2488" s="26">
        <v>2.66</v>
      </c>
      <c r="H2488" s="26" t="s">
        <v>1433</v>
      </c>
    </row>
    <row r="2489" spans="1:9" hidden="1">
      <c r="A2489" s="889"/>
      <c r="B2489" s="47" t="s">
        <v>3003</v>
      </c>
      <c r="C2489" s="48"/>
      <c r="F2489" s="78" t="s">
        <v>1697</v>
      </c>
      <c r="G2489" s="68">
        <v>5</v>
      </c>
      <c r="H2489" s="26" t="s">
        <v>1433</v>
      </c>
    </row>
    <row r="2490" spans="1:9" hidden="1">
      <c r="A2490" s="889"/>
      <c r="B2490" s="47" t="s">
        <v>705</v>
      </c>
      <c r="C2490" s="48"/>
      <c r="F2490" s="78" t="s">
        <v>1697</v>
      </c>
      <c r="G2490" s="68">
        <v>2</v>
      </c>
      <c r="H2490" s="26" t="s">
        <v>1433</v>
      </c>
    </row>
    <row r="2491" spans="1:9" hidden="1">
      <c r="A2491" s="889"/>
      <c r="B2491" s="47" t="s">
        <v>6755</v>
      </c>
      <c r="C2491" s="48"/>
      <c r="F2491" s="78" t="s">
        <v>1697</v>
      </c>
      <c r="G2491" s="68">
        <v>4</v>
      </c>
      <c r="H2491" s="26" t="s">
        <v>1433</v>
      </c>
    </row>
    <row r="2492" spans="1:9" hidden="1">
      <c r="A2492" s="889"/>
      <c r="B2492" s="47" t="s">
        <v>263</v>
      </c>
      <c r="C2492" s="48"/>
      <c r="F2492" s="78" t="s">
        <v>1697</v>
      </c>
      <c r="G2492" s="173">
        <v>0.5</v>
      </c>
      <c r="H2492" s="26" t="s">
        <v>1433</v>
      </c>
      <c r="I2492" s="31"/>
    </row>
    <row r="2493" spans="1:9" hidden="1">
      <c r="A2493" s="889"/>
      <c r="C2493" s="48"/>
      <c r="E2493" s="78" t="s">
        <v>1518</v>
      </c>
      <c r="F2493" s="78" t="s">
        <v>1697</v>
      </c>
      <c r="G2493" s="68">
        <f>SUM(G2488:G2492)</f>
        <v>14.16</v>
      </c>
      <c r="H2493" s="26" t="s">
        <v>1433</v>
      </c>
      <c r="I2493" s="60"/>
    </row>
    <row r="2494" spans="1:9" hidden="1">
      <c r="A2494" s="889"/>
      <c r="B2494" s="47" t="s">
        <v>626</v>
      </c>
      <c r="C2494" s="48"/>
      <c r="F2494" s="78">
        <f>14.16/2.66</f>
        <v>5.3233082706766917</v>
      </c>
      <c r="G2494" s="26">
        <v>6</v>
      </c>
      <c r="H2494" s="26" t="s">
        <v>3436</v>
      </c>
    </row>
    <row r="2495" spans="1:9" hidden="1">
      <c r="A2495" s="889"/>
      <c r="B2495" s="47" t="s">
        <v>627</v>
      </c>
      <c r="C2495" s="48"/>
      <c r="F2495" s="78" t="s">
        <v>1697</v>
      </c>
      <c r="G2495" s="68">
        <v>15.32</v>
      </c>
      <c r="H2495" s="26" t="s">
        <v>6901</v>
      </c>
    </row>
    <row r="2496" spans="1:9" hidden="1">
      <c r="A2496" s="889"/>
      <c r="B2496" s="47" t="s">
        <v>4127</v>
      </c>
      <c r="C2496" s="48"/>
      <c r="E2496" s="26">
        <f>6*15.32*8</f>
        <v>735.36</v>
      </c>
      <c r="F2496" s="78" t="s">
        <v>1123</v>
      </c>
      <c r="G2496" s="26">
        <v>735.36</v>
      </c>
      <c r="H2496" s="26" t="s">
        <v>6901</v>
      </c>
    </row>
    <row r="2497" spans="1:8" hidden="1">
      <c r="A2497" s="889"/>
      <c r="B2497" s="47" t="s">
        <v>1182</v>
      </c>
      <c r="C2497" s="48"/>
    </row>
    <row r="2498" spans="1:8" hidden="1">
      <c r="A2498" s="889"/>
      <c r="B2498" s="47" t="s">
        <v>1183</v>
      </c>
      <c r="C2498" s="48"/>
    </row>
    <row r="2499" spans="1:8" hidden="1">
      <c r="A2499" s="889"/>
      <c r="B2499" s="47" t="s">
        <v>4093</v>
      </c>
      <c r="C2499" s="48"/>
    </row>
    <row r="2500" spans="1:8" hidden="1">
      <c r="A2500" s="889"/>
      <c r="B2500" s="47" t="s">
        <v>7607</v>
      </c>
      <c r="C2500" s="48"/>
    </row>
    <row r="2501" spans="1:8" hidden="1">
      <c r="A2501" s="889"/>
      <c r="B2501" s="47" t="s">
        <v>3076</v>
      </c>
      <c r="C2501" s="48"/>
    </row>
    <row r="2502" spans="1:8" hidden="1">
      <c r="A2502" s="889"/>
      <c r="B2502" s="47" t="s">
        <v>4128</v>
      </c>
      <c r="C2502" s="48"/>
      <c r="F2502" s="78" t="s">
        <v>1697</v>
      </c>
      <c r="G2502" s="26">
        <f>735.36*0.9</f>
        <v>661.82400000000007</v>
      </c>
      <c r="H2502" s="26" t="s">
        <v>6901</v>
      </c>
    </row>
    <row r="2503" spans="1:8" hidden="1">
      <c r="A2503" s="889">
        <v>1</v>
      </c>
      <c r="B2503" s="47" t="s">
        <v>2860</v>
      </c>
      <c r="C2503" s="48"/>
      <c r="G2503" s="26" t="s">
        <v>4129</v>
      </c>
    </row>
    <row r="2504" spans="1:8" hidden="1">
      <c r="A2504" s="841"/>
      <c r="B2504" s="47" t="s">
        <v>4312</v>
      </c>
      <c r="C2504" s="48"/>
    </row>
    <row r="2505" spans="1:8" hidden="1">
      <c r="A2505" s="889">
        <v>2</v>
      </c>
      <c r="B2505" s="47" t="s">
        <v>6281</v>
      </c>
      <c r="C2505" s="48"/>
    </row>
    <row r="2506" spans="1:8" hidden="1">
      <c r="A2506" s="841"/>
      <c r="B2506" s="47" t="s">
        <v>4313</v>
      </c>
      <c r="C2506" s="48"/>
    </row>
    <row r="2507" spans="1:8" hidden="1">
      <c r="A2507" s="841"/>
      <c r="B2507" s="47" t="s">
        <v>4314</v>
      </c>
      <c r="C2507" s="48"/>
    </row>
    <row r="2508" spans="1:8" hidden="1">
      <c r="A2508" s="889">
        <v>3</v>
      </c>
      <c r="B2508" s="47" t="s">
        <v>5954</v>
      </c>
      <c r="C2508" s="48"/>
    </row>
    <row r="2509" spans="1:8" hidden="1">
      <c r="A2509" s="841"/>
      <c r="B2509" s="47" t="s">
        <v>4130</v>
      </c>
      <c r="C2509" s="48"/>
      <c r="F2509" s="78">
        <f>735.36*1.1</f>
        <v>808.89600000000007</v>
      </c>
      <c r="G2509" s="26">
        <v>808.9</v>
      </c>
      <c r="H2509" s="26" t="s">
        <v>6901</v>
      </c>
    </row>
    <row r="2510" spans="1:8" hidden="1">
      <c r="A2510" s="841"/>
      <c r="B2510" s="47" t="s">
        <v>6514</v>
      </c>
      <c r="C2510" s="48"/>
      <c r="F2510" s="78" t="s">
        <v>1697</v>
      </c>
      <c r="G2510" s="26">
        <v>200</v>
      </c>
      <c r="H2510" s="26" t="s">
        <v>6901</v>
      </c>
    </row>
    <row r="2511" spans="1:8" hidden="1">
      <c r="A2511" s="841"/>
      <c r="B2511" s="47" t="s">
        <v>4131</v>
      </c>
      <c r="C2511" s="48"/>
      <c r="F2511" s="78" t="s">
        <v>1123</v>
      </c>
      <c r="G2511" s="68">
        <f>G2509/G2510</f>
        <v>4.0445000000000002</v>
      </c>
      <c r="H2511" s="26" t="s">
        <v>3428</v>
      </c>
    </row>
    <row r="2512" spans="1:8" hidden="1">
      <c r="A2512" s="889">
        <v>4</v>
      </c>
      <c r="B2512" s="47" t="s">
        <v>1746</v>
      </c>
      <c r="C2512" s="48"/>
    </row>
    <row r="2513" spans="1:8" hidden="1">
      <c r="A2513" s="841"/>
      <c r="B2513" s="47" t="s">
        <v>4315</v>
      </c>
      <c r="C2513" s="48"/>
    </row>
    <row r="2514" spans="1:8" hidden="1">
      <c r="A2514" s="841"/>
      <c r="B2514" s="47" t="s">
        <v>4316</v>
      </c>
      <c r="C2514" s="48"/>
    </row>
    <row r="2515" spans="1:8" hidden="1">
      <c r="A2515" s="841"/>
      <c r="B2515" s="47" t="s">
        <v>4317</v>
      </c>
      <c r="C2515" s="48"/>
    </row>
    <row r="2516" spans="1:8" hidden="1">
      <c r="A2516" s="841"/>
      <c r="B2516" s="47" t="s">
        <v>4284</v>
      </c>
      <c r="C2516" s="48"/>
    </row>
    <row r="2517" spans="1:8" hidden="1">
      <c r="A2517" s="841"/>
      <c r="B2517" s="47" t="s">
        <v>6076</v>
      </c>
      <c r="C2517" s="48"/>
    </row>
    <row r="2518" spans="1:8" hidden="1">
      <c r="A2518" s="841"/>
      <c r="B2518" s="47" t="s">
        <v>2323</v>
      </c>
      <c r="C2518" s="48"/>
    </row>
    <row r="2519" spans="1:8" hidden="1">
      <c r="A2519" s="841"/>
      <c r="B2519" s="47" t="s">
        <v>6047</v>
      </c>
      <c r="C2519" s="48"/>
    </row>
    <row r="2520" spans="1:8" hidden="1">
      <c r="A2520" s="841"/>
      <c r="B2520" s="47" t="s">
        <v>2325</v>
      </c>
      <c r="C2520" s="48"/>
    </row>
    <row r="2521" spans="1:8" hidden="1">
      <c r="A2521" s="889">
        <v>5</v>
      </c>
      <c r="B2521" s="47" t="s">
        <v>6798</v>
      </c>
      <c r="C2521" s="48"/>
    </row>
    <row r="2522" spans="1:8" hidden="1">
      <c r="A2522" s="841"/>
      <c r="B2522" s="47" t="s">
        <v>3647</v>
      </c>
      <c r="C2522" s="48"/>
    </row>
    <row r="2523" spans="1:8" hidden="1">
      <c r="A2523" s="841"/>
      <c r="B2523" s="47" t="s">
        <v>9250</v>
      </c>
      <c r="C2523" s="48"/>
    </row>
    <row r="2524" spans="1:8" hidden="1">
      <c r="A2524" s="841"/>
      <c r="B2524" s="47" t="s">
        <v>2320</v>
      </c>
      <c r="C2524" s="48"/>
    </row>
    <row r="2525" spans="1:8" hidden="1">
      <c r="A2525" s="841"/>
      <c r="B2525" s="47" t="s">
        <v>3650</v>
      </c>
      <c r="C2525" s="48"/>
      <c r="F2525" s="78" t="s">
        <v>1697</v>
      </c>
      <c r="G2525" s="68">
        <v>1.9</v>
      </c>
      <c r="H2525" s="26" t="s">
        <v>3561</v>
      </c>
    </row>
    <row r="2526" spans="1:8" hidden="1">
      <c r="A2526" s="841"/>
      <c r="B2526" s="47" t="s">
        <v>4995</v>
      </c>
      <c r="C2526" s="48"/>
      <c r="F2526" s="78" t="s">
        <v>1697</v>
      </c>
      <c r="G2526" s="383">
        <v>4</v>
      </c>
      <c r="H2526" s="26" t="s">
        <v>3431</v>
      </c>
    </row>
    <row r="2527" spans="1:8" hidden="1">
      <c r="A2527" s="841"/>
      <c r="B2527" s="47" t="s">
        <v>4997</v>
      </c>
      <c r="C2527" s="48"/>
      <c r="F2527" s="78" t="s">
        <v>1697</v>
      </c>
      <c r="G2527" s="26">
        <v>0.25</v>
      </c>
      <c r="H2527" s="26" t="s">
        <v>3561</v>
      </c>
    </row>
    <row r="2528" spans="1:8" hidden="1">
      <c r="A2528" s="841"/>
      <c r="B2528" s="47" t="s">
        <v>1504</v>
      </c>
      <c r="C2528" s="48"/>
      <c r="F2528" s="78" t="s">
        <v>1697</v>
      </c>
      <c r="G2528" s="26">
        <v>11</v>
      </c>
      <c r="H2528" s="26" t="s">
        <v>3436</v>
      </c>
    </row>
    <row r="2529" spans="1:9" hidden="1">
      <c r="A2529" s="841"/>
      <c r="B2529" s="47" t="s">
        <v>1126</v>
      </c>
      <c r="C2529" s="48"/>
    </row>
    <row r="2530" spans="1:9" hidden="1">
      <c r="A2530" s="841"/>
      <c r="B2530" s="47" t="s">
        <v>6407</v>
      </c>
      <c r="C2530" s="48"/>
      <c r="E2530" s="26">
        <f>50/60*(1.9*4000*0.25*0.75/11)</f>
        <v>107.95454545454545</v>
      </c>
      <c r="F2530" s="78" t="s">
        <v>1123</v>
      </c>
      <c r="G2530" s="26">
        <v>107.95</v>
      </c>
      <c r="H2530" s="26" t="s">
        <v>6901</v>
      </c>
    </row>
    <row r="2531" spans="1:9" hidden="1">
      <c r="A2531" s="841"/>
      <c r="B2531" s="47" t="s">
        <v>6077</v>
      </c>
      <c r="C2531" s="48"/>
      <c r="E2531" s="26">
        <f>G2509/G2530</f>
        <v>7.4932839277443257</v>
      </c>
      <c r="F2531" s="78" t="s">
        <v>1123</v>
      </c>
      <c r="G2531" s="68">
        <v>7.5</v>
      </c>
      <c r="H2531" s="26" t="s">
        <v>3428</v>
      </c>
    </row>
    <row r="2532" spans="1:9" hidden="1">
      <c r="A2532" s="889">
        <v>6</v>
      </c>
      <c r="B2532" s="47" t="s">
        <v>1129</v>
      </c>
      <c r="C2532" s="48"/>
    </row>
    <row r="2533" spans="1:9" hidden="1">
      <c r="A2533" s="841"/>
      <c r="B2533" s="47" t="s">
        <v>5876</v>
      </c>
      <c r="C2533" s="48"/>
    </row>
    <row r="2534" spans="1:9">
      <c r="A2534" s="847"/>
      <c r="B2534" s="78"/>
      <c r="C2534" s="48"/>
    </row>
    <row r="2535" spans="1:9">
      <c r="A2535" s="889" t="s">
        <v>3984</v>
      </c>
      <c r="B2535" s="78"/>
      <c r="C2535" s="349" t="s">
        <v>2367</v>
      </c>
      <c r="E2535" s="171" t="s">
        <v>297</v>
      </c>
      <c r="F2535" s="246">
        <v>735.36</v>
      </c>
      <c r="G2535" s="26" t="s">
        <v>3477</v>
      </c>
    </row>
    <row r="2536" spans="1:9">
      <c r="A2536" s="847"/>
      <c r="B2536" s="79" t="s">
        <v>2368</v>
      </c>
      <c r="C2536" s="48"/>
    </row>
    <row r="2537" spans="1:9">
      <c r="A2537" s="847"/>
      <c r="B2537" s="95" t="s">
        <v>2369</v>
      </c>
      <c r="C2537" s="350" t="s">
        <v>6374</v>
      </c>
      <c r="D2537" s="95" t="s">
        <v>2370</v>
      </c>
      <c r="E2537" s="95" t="s">
        <v>1166</v>
      </c>
      <c r="F2537" s="95" t="s">
        <v>2371</v>
      </c>
      <c r="G2537" s="95" t="s">
        <v>2372</v>
      </c>
    </row>
    <row r="2538" spans="1:9">
      <c r="A2538" s="847"/>
      <c r="B2538" s="114"/>
      <c r="C2538" s="351"/>
      <c r="D2538" s="114"/>
      <c r="E2538" s="114"/>
      <c r="F2538" s="114" t="s">
        <v>3485</v>
      </c>
      <c r="G2538" s="114" t="s">
        <v>3485</v>
      </c>
    </row>
    <row r="2539" spans="1:9">
      <c r="A2539" s="847"/>
      <c r="B2539" s="95">
        <v>1</v>
      </c>
      <c r="C2539" s="352" t="s">
        <v>1130</v>
      </c>
      <c r="D2539" s="95"/>
      <c r="E2539" s="190">
        <v>0</v>
      </c>
      <c r="F2539" s="190">
        <v>0</v>
      </c>
      <c r="G2539" s="190">
        <f>E2539*F2539</f>
        <v>0</v>
      </c>
    </row>
    <row r="2540" spans="1:9">
      <c r="A2540" s="847"/>
      <c r="B2540" s="280"/>
      <c r="C2540" s="86"/>
      <c r="D2540" s="105"/>
      <c r="E2540" s="190">
        <v>0</v>
      </c>
      <c r="F2540" s="190">
        <v>0</v>
      </c>
      <c r="G2540" s="190">
        <f>E2540*F2540</f>
        <v>0</v>
      </c>
    </row>
    <row r="2541" spans="1:9">
      <c r="A2541" s="848"/>
      <c r="B2541" s="263"/>
      <c r="C2541" s="387" t="s">
        <v>2376</v>
      </c>
      <c r="D2541" s="388"/>
      <c r="E2541" s="389"/>
      <c r="F2541" s="390" t="s">
        <v>1698</v>
      </c>
      <c r="G2541" s="391">
        <f>SUM(G2539:G2540)</f>
        <v>0</v>
      </c>
      <c r="H2541" s="61"/>
      <c r="I2541" s="61"/>
    </row>
    <row r="2542" spans="1:9">
      <c r="A2542" s="847"/>
      <c r="B2542" s="78"/>
      <c r="C2542" s="48"/>
    </row>
    <row r="2543" spans="1:9">
      <c r="A2543" s="847"/>
      <c r="B2543" s="79" t="s">
        <v>2377</v>
      </c>
      <c r="C2543" s="48"/>
    </row>
    <row r="2544" spans="1:9">
      <c r="A2544" s="847"/>
      <c r="B2544" s="95" t="s">
        <v>2369</v>
      </c>
      <c r="C2544" s="350" t="s">
        <v>2378</v>
      </c>
      <c r="D2544" s="95" t="s">
        <v>2370</v>
      </c>
      <c r="E2544" s="95" t="s">
        <v>1166</v>
      </c>
      <c r="F2544" s="95" t="s">
        <v>2371</v>
      </c>
      <c r="G2544" s="95" t="s">
        <v>2372</v>
      </c>
    </row>
    <row r="2545" spans="1:7">
      <c r="A2545" s="847"/>
      <c r="B2545" s="114"/>
      <c r="C2545" s="351"/>
      <c r="D2545" s="114"/>
      <c r="E2545" s="114"/>
      <c r="F2545" s="114" t="s">
        <v>3485</v>
      </c>
      <c r="G2545" s="114" t="s">
        <v>3485</v>
      </c>
    </row>
    <row r="2546" spans="1:7">
      <c r="A2546" s="847"/>
      <c r="B2546" s="95">
        <v>1</v>
      </c>
      <c r="C2546" s="355" t="s">
        <v>152</v>
      </c>
      <c r="D2546" s="95" t="s">
        <v>2374</v>
      </c>
      <c r="E2546" s="220">
        <v>4.04</v>
      </c>
      <c r="F2546" s="214">
        <f>'HIRE CHARGES'!$D$499</f>
        <v>1715.5</v>
      </c>
      <c r="G2546" s="190">
        <f t="shared" ref="G2546:G2558" si="36">E2546*F2546</f>
        <v>6930.62</v>
      </c>
    </row>
    <row r="2547" spans="1:7">
      <c r="A2547" s="847"/>
      <c r="B2547" s="152"/>
      <c r="C2547" s="355" t="s">
        <v>2379</v>
      </c>
      <c r="D2547" s="105" t="s">
        <v>2374</v>
      </c>
      <c r="E2547" s="220">
        <v>4.04</v>
      </c>
      <c r="F2547" s="214">
        <f>'HIRE CHARGES'!$E$499</f>
        <v>610.5</v>
      </c>
      <c r="G2547" s="190">
        <f t="shared" si="36"/>
        <v>2466.42</v>
      </c>
    </row>
    <row r="2548" spans="1:7">
      <c r="A2548" s="847"/>
      <c r="B2548" s="105">
        <v>2</v>
      </c>
      <c r="C2548" s="355" t="s">
        <v>2951</v>
      </c>
      <c r="D2548" s="105" t="s">
        <v>2374</v>
      </c>
      <c r="E2548" s="220">
        <v>8</v>
      </c>
      <c r="F2548" s="190">
        <f>'HIRE CHARGES'!$D$542</f>
        <v>1003.1</v>
      </c>
      <c r="G2548" s="190">
        <f t="shared" si="36"/>
        <v>8024.8</v>
      </c>
    </row>
    <row r="2549" spans="1:7">
      <c r="A2549" s="847"/>
      <c r="B2549" s="152"/>
      <c r="C2549" s="355" t="s">
        <v>2379</v>
      </c>
      <c r="D2549" s="105" t="s">
        <v>2374</v>
      </c>
      <c r="E2549" s="220">
        <v>8</v>
      </c>
      <c r="F2549" s="190">
        <f>'HIRE CHARGES'!$E$542</f>
        <v>476</v>
      </c>
      <c r="G2549" s="190">
        <f t="shared" si="36"/>
        <v>3808</v>
      </c>
    </row>
    <row r="2550" spans="1:7">
      <c r="A2550" s="847"/>
      <c r="B2550" s="105">
        <v>3</v>
      </c>
      <c r="C2550" s="355" t="s">
        <v>2347</v>
      </c>
      <c r="D2550" s="105" t="s">
        <v>2374</v>
      </c>
      <c r="E2550" s="220">
        <v>48</v>
      </c>
      <c r="F2550" s="190">
        <f>'HIRE CHARGES'!$D$545</f>
        <v>446.7</v>
      </c>
      <c r="G2550" s="190">
        <f t="shared" si="36"/>
        <v>21441.599999999999</v>
      </c>
    </row>
    <row r="2551" spans="1:7">
      <c r="A2551" s="847"/>
      <c r="B2551" s="152"/>
      <c r="C2551" s="355" t="s">
        <v>2379</v>
      </c>
      <c r="D2551" s="105" t="s">
        <v>2374</v>
      </c>
      <c r="E2551" s="220">
        <v>48</v>
      </c>
      <c r="F2551" s="190">
        <f>'HIRE CHARGES'!$E$545</f>
        <v>299.89999999999998</v>
      </c>
      <c r="G2551" s="190">
        <f t="shared" si="36"/>
        <v>14395.199999999999</v>
      </c>
    </row>
    <row r="2552" spans="1:7">
      <c r="A2552" s="847"/>
      <c r="B2552" s="105">
        <v>4</v>
      </c>
      <c r="C2552" s="355" t="s">
        <v>1132</v>
      </c>
      <c r="D2552" s="105" t="s">
        <v>2374</v>
      </c>
      <c r="E2552" s="220">
        <v>3</v>
      </c>
      <c r="F2552" s="214">
        <f>'HIRE CHARGES'!$D$517</f>
        <v>10.199999999999999</v>
      </c>
      <c r="G2552" s="190">
        <f t="shared" si="36"/>
        <v>30.599999999999998</v>
      </c>
    </row>
    <row r="2553" spans="1:7">
      <c r="A2553" s="847"/>
      <c r="B2553" s="152"/>
      <c r="C2553" s="355" t="s">
        <v>2379</v>
      </c>
      <c r="D2553" s="105" t="s">
        <v>2374</v>
      </c>
      <c r="E2553" s="220">
        <v>3</v>
      </c>
      <c r="F2553" s="214">
        <f>'HIRE CHARGES'!$E$517</f>
        <v>79.3</v>
      </c>
      <c r="G2553" s="190">
        <f t="shared" si="36"/>
        <v>237.89999999999998</v>
      </c>
    </row>
    <row r="2554" spans="1:7">
      <c r="A2554" s="847"/>
      <c r="B2554" s="105">
        <v>5</v>
      </c>
      <c r="C2554" s="355" t="s">
        <v>6286</v>
      </c>
      <c r="D2554" s="105" t="s">
        <v>2374</v>
      </c>
      <c r="E2554" s="220">
        <v>6</v>
      </c>
      <c r="F2554" s="214">
        <f>'HIRE CHARGES'!$D$555</f>
        <v>402.5</v>
      </c>
      <c r="G2554" s="190">
        <f t="shared" si="36"/>
        <v>2415</v>
      </c>
    </row>
    <row r="2555" spans="1:7">
      <c r="A2555" s="847"/>
      <c r="B2555" s="152"/>
      <c r="C2555" s="355" t="s">
        <v>2379</v>
      </c>
      <c r="D2555" s="105" t="s">
        <v>2374</v>
      </c>
      <c r="E2555" s="220">
        <v>6</v>
      </c>
      <c r="F2555" s="214">
        <f>'HIRE CHARGES'!$E$555</f>
        <v>299.89999999999998</v>
      </c>
      <c r="G2555" s="190">
        <f t="shared" si="36"/>
        <v>1799.3999999999999</v>
      </c>
    </row>
    <row r="2556" spans="1:7">
      <c r="A2556" s="847"/>
      <c r="B2556" s="105">
        <v>6</v>
      </c>
      <c r="C2556" s="355" t="s">
        <v>9251</v>
      </c>
      <c r="D2556" s="105" t="s">
        <v>2374</v>
      </c>
      <c r="E2556" s="220">
        <v>7.5</v>
      </c>
      <c r="F2556" s="214">
        <f>'HIRE CHARGES'!$D$553</f>
        <v>1342.2</v>
      </c>
      <c r="G2556" s="190">
        <f t="shared" si="36"/>
        <v>10066.5</v>
      </c>
    </row>
    <row r="2557" spans="1:7">
      <c r="A2557" s="847"/>
      <c r="B2557" s="152"/>
      <c r="C2557" s="355" t="s">
        <v>2379</v>
      </c>
      <c r="D2557" s="105" t="s">
        <v>2374</v>
      </c>
      <c r="E2557" s="220">
        <v>7.5</v>
      </c>
      <c r="F2557" s="214">
        <f>'HIRE CHARGES'!$E$553</f>
        <v>1031.4000000000001</v>
      </c>
      <c r="G2557" s="190">
        <f t="shared" si="36"/>
        <v>7735.5000000000009</v>
      </c>
    </row>
    <row r="2558" spans="1:7">
      <c r="A2558" s="847"/>
      <c r="B2558" s="105">
        <v>7</v>
      </c>
      <c r="C2558" s="355" t="s">
        <v>2373</v>
      </c>
      <c r="D2558" s="105" t="s">
        <v>2173</v>
      </c>
      <c r="E2558" s="220">
        <v>2</v>
      </c>
      <c r="F2558" s="190">
        <f>'BASIC DATA'!$D$359</f>
        <v>30</v>
      </c>
      <c r="G2558" s="190">
        <f t="shared" si="36"/>
        <v>60</v>
      </c>
    </row>
    <row r="2559" spans="1:7">
      <c r="A2559" s="847"/>
      <c r="B2559" s="92"/>
      <c r="C2559" s="353" t="s">
        <v>2380</v>
      </c>
      <c r="D2559" s="159"/>
      <c r="E2559" s="238"/>
      <c r="F2559" s="236" t="s">
        <v>1698</v>
      </c>
      <c r="G2559" s="354">
        <f>SUM(G2546:G2558)</f>
        <v>79411.540000000008</v>
      </c>
    </row>
    <row r="2560" spans="1:7">
      <c r="A2560" s="847"/>
      <c r="B2560" s="78"/>
      <c r="C2560" s="48"/>
    </row>
    <row r="2561" spans="1:7">
      <c r="A2561" s="847"/>
      <c r="B2561" s="79" t="s">
        <v>2381</v>
      </c>
      <c r="C2561" s="48"/>
    </row>
    <row r="2562" spans="1:7">
      <c r="A2562" s="847"/>
      <c r="B2562" s="95" t="s">
        <v>2369</v>
      </c>
      <c r="C2562" s="350" t="s">
        <v>2378</v>
      </c>
      <c r="D2562" s="95" t="s">
        <v>2370</v>
      </c>
      <c r="E2562" s="95" t="s">
        <v>1166</v>
      </c>
      <c r="F2562" s="95" t="s">
        <v>2371</v>
      </c>
      <c r="G2562" s="95" t="s">
        <v>2372</v>
      </c>
    </row>
    <row r="2563" spans="1:7">
      <c r="A2563" s="847"/>
      <c r="B2563" s="114"/>
      <c r="C2563" s="351"/>
      <c r="D2563" s="105"/>
      <c r="E2563" s="114"/>
      <c r="F2563" s="114" t="s">
        <v>3485</v>
      </c>
      <c r="G2563" s="114" t="s">
        <v>3485</v>
      </c>
    </row>
    <row r="2564" spans="1:7">
      <c r="A2564" s="847"/>
      <c r="B2564" s="105">
        <v>1</v>
      </c>
      <c r="C2564" s="86" t="s">
        <v>2870</v>
      </c>
      <c r="D2564" s="95" t="s">
        <v>2374</v>
      </c>
      <c r="E2564" s="207">
        <v>3.58</v>
      </c>
      <c r="F2564" s="190">
        <f>'HIRE CHARGES'!$F$499</f>
        <v>236.6</v>
      </c>
      <c r="G2564" s="190">
        <f t="shared" ref="G2564:G2571" si="37">E2564*F2564</f>
        <v>847.02800000000002</v>
      </c>
    </row>
    <row r="2565" spans="1:7">
      <c r="A2565" s="847"/>
      <c r="B2565" s="105">
        <v>2</v>
      </c>
      <c r="C2565" s="86" t="s">
        <v>300</v>
      </c>
      <c r="D2565" s="105" t="s">
        <v>2374</v>
      </c>
      <c r="E2565" s="207">
        <v>8</v>
      </c>
      <c r="F2565" s="190">
        <f>'HIRE CHARGES'!$F$542</f>
        <v>236.6</v>
      </c>
      <c r="G2565" s="190">
        <f t="shared" si="37"/>
        <v>1892.8</v>
      </c>
    </row>
    <row r="2566" spans="1:7">
      <c r="A2566" s="847"/>
      <c r="B2566" s="105">
        <v>3</v>
      </c>
      <c r="C2566" s="86" t="s">
        <v>301</v>
      </c>
      <c r="D2566" s="105" t="s">
        <v>2374</v>
      </c>
      <c r="E2566" s="207">
        <v>48</v>
      </c>
      <c r="F2566" s="190">
        <f>'HIRE CHARGES'!$F$545</f>
        <v>177.5</v>
      </c>
      <c r="G2566" s="190">
        <f t="shared" si="37"/>
        <v>8520</v>
      </c>
    </row>
    <row r="2567" spans="1:7">
      <c r="A2567" s="847"/>
      <c r="B2567" s="105">
        <v>4</v>
      </c>
      <c r="C2567" s="86" t="s">
        <v>999</v>
      </c>
      <c r="D2567" s="105" t="s">
        <v>2374</v>
      </c>
      <c r="E2567" s="207">
        <v>3</v>
      </c>
      <c r="F2567" s="190">
        <f>'HIRE CHARGES'!$F$517</f>
        <v>111.1</v>
      </c>
      <c r="G2567" s="190">
        <f t="shared" si="37"/>
        <v>333.29999999999995</v>
      </c>
    </row>
    <row r="2568" spans="1:7">
      <c r="A2568" s="847"/>
      <c r="B2568" s="105">
        <v>5</v>
      </c>
      <c r="C2568" s="86" t="s">
        <v>1000</v>
      </c>
      <c r="D2568" s="105" t="s">
        <v>2374</v>
      </c>
      <c r="E2568" s="207">
        <v>6</v>
      </c>
      <c r="F2568" s="190">
        <f>'HIRE CHARGES'!$F$555</f>
        <v>177.5</v>
      </c>
      <c r="G2568" s="190">
        <f t="shared" si="37"/>
        <v>1065</v>
      </c>
    </row>
    <row r="2569" spans="1:7">
      <c r="A2569" s="847"/>
      <c r="B2569" s="105">
        <v>6</v>
      </c>
      <c r="C2569" s="86" t="s">
        <v>1001</v>
      </c>
      <c r="D2569" s="105" t="s">
        <v>2374</v>
      </c>
      <c r="E2569" s="207">
        <v>7.5</v>
      </c>
      <c r="F2569" s="190">
        <f>'HIRE CHARGES'!$F$553</f>
        <v>263.60000000000002</v>
      </c>
      <c r="G2569" s="190">
        <f t="shared" si="37"/>
        <v>1977.0000000000002</v>
      </c>
    </row>
    <row r="2570" spans="1:7">
      <c r="A2570" s="847"/>
      <c r="B2570" s="105">
        <v>7</v>
      </c>
      <c r="C2570" s="86" t="s">
        <v>4206</v>
      </c>
      <c r="D2570" s="105" t="s">
        <v>1172</v>
      </c>
      <c r="E2570" s="207">
        <v>2</v>
      </c>
      <c r="F2570" s="190">
        <f>'BASIC DATA'!$C$473</f>
        <v>450</v>
      </c>
      <c r="G2570" s="190">
        <f t="shared" si="37"/>
        <v>900</v>
      </c>
    </row>
    <row r="2571" spans="1:7">
      <c r="A2571" s="847"/>
      <c r="B2571" s="105">
        <v>8</v>
      </c>
      <c r="C2571" s="86" t="s">
        <v>2697</v>
      </c>
      <c r="D2571" s="105" t="s">
        <v>1172</v>
      </c>
      <c r="E2571" s="207">
        <v>6</v>
      </c>
      <c r="F2571" s="190">
        <f>'BASIC DATA'!$C$552</f>
        <v>350</v>
      </c>
      <c r="G2571" s="190">
        <f t="shared" si="37"/>
        <v>2100</v>
      </c>
    </row>
    <row r="2572" spans="1:7">
      <c r="A2572" s="847"/>
      <c r="B2572" s="92"/>
      <c r="C2572" s="353" t="s">
        <v>1174</v>
      </c>
      <c r="D2572" s="159"/>
      <c r="E2572" s="238"/>
      <c r="F2572" s="236" t="s">
        <v>1698</v>
      </c>
      <c r="G2572" s="318">
        <f>SUM(G2564:G2571)</f>
        <v>17635.127999999997</v>
      </c>
    </row>
    <row r="2573" spans="1:7">
      <c r="A2573" s="847"/>
      <c r="B2573" s="359" t="s">
        <v>5948</v>
      </c>
      <c r="C2573" s="355"/>
      <c r="D2573" s="31"/>
      <c r="E2573" s="85">
        <f>ROUND(G2572/F2535,1)</f>
        <v>24</v>
      </c>
    </row>
    <row r="2574" spans="1:7">
      <c r="A2574" s="847"/>
      <c r="B2574" s="359" t="s">
        <v>3163</v>
      </c>
      <c r="C2574" s="355"/>
      <c r="D2574" s="922">
        <f>'BASIC DATA'!$C$577</f>
        <v>0.13614999999999999</v>
      </c>
      <c r="E2574" s="85">
        <f>ROUND(E2573*D2574,1)</f>
        <v>3.3</v>
      </c>
    </row>
    <row r="2575" spans="1:7">
      <c r="A2575" s="847"/>
      <c r="B2575" s="359" t="s">
        <v>5949</v>
      </c>
      <c r="C2575" s="355"/>
      <c r="D2575" s="31"/>
      <c r="E2575" s="199">
        <f>ROUND(E2574+E2573,1)</f>
        <v>27.3</v>
      </c>
    </row>
    <row r="2576" spans="1:7">
      <c r="A2576" s="847"/>
      <c r="B2576" s="78"/>
      <c r="C2576" s="48"/>
    </row>
    <row r="2577" spans="1:8">
      <c r="A2577" s="847"/>
      <c r="B2577" s="162" t="s">
        <v>1175</v>
      </c>
      <c r="C2577" s="48"/>
    </row>
    <row r="2578" spans="1:8">
      <c r="A2578" s="847"/>
      <c r="B2578" s="47" t="s">
        <v>4</v>
      </c>
      <c r="C2578" s="48"/>
      <c r="F2578" s="171" t="s">
        <v>1698</v>
      </c>
      <c r="G2578" s="68">
        <f>G2541</f>
        <v>0</v>
      </c>
    </row>
    <row r="2579" spans="1:8">
      <c r="A2579" s="847"/>
      <c r="B2579" s="47" t="s">
        <v>1186</v>
      </c>
      <c r="C2579" s="48"/>
      <c r="F2579" s="171" t="s">
        <v>1698</v>
      </c>
      <c r="G2579" s="68">
        <f>G2559</f>
        <v>79411.540000000008</v>
      </c>
    </row>
    <row r="2580" spans="1:8">
      <c r="A2580" s="847"/>
      <c r="B2580" s="47" t="s">
        <v>2660</v>
      </c>
      <c r="C2580" s="48"/>
      <c r="F2580" s="171" t="s">
        <v>1698</v>
      </c>
      <c r="G2580" s="75">
        <f>G2572</f>
        <v>17635.127999999997</v>
      </c>
    </row>
    <row r="2581" spans="1:8">
      <c r="A2581" s="847"/>
      <c r="B2581" s="78"/>
      <c r="C2581" s="48"/>
      <c r="E2581" s="261"/>
      <c r="F2581" s="171" t="s">
        <v>302</v>
      </c>
      <c r="G2581" s="205">
        <f>SUM(G2578:G2580)</f>
        <v>97046.668000000005</v>
      </c>
    </row>
    <row r="2582" spans="1:8" ht="38.25" customHeight="1">
      <c r="A2582" s="847"/>
      <c r="B2582" s="1207" t="s">
        <v>1379</v>
      </c>
      <c r="C2582" s="1207"/>
      <c r="D2582" s="1207"/>
      <c r="E2582" s="922">
        <f>'BASIC DATA'!$C$577</f>
        <v>0.13614999999999999</v>
      </c>
      <c r="F2582" s="171" t="s">
        <v>1698</v>
      </c>
      <c r="G2582" s="31">
        <f>ROUND(G2581*E2582,2)</f>
        <v>13212.9</v>
      </c>
    </row>
    <row r="2583" spans="1:8">
      <c r="A2583" s="847"/>
      <c r="B2583" s="47" t="s">
        <v>1191</v>
      </c>
      <c r="C2583" s="48"/>
      <c r="D2583" s="68">
        <f>F2535</f>
        <v>735.36</v>
      </c>
      <c r="E2583" s="68" t="str">
        <f>G2535</f>
        <v>cum</v>
      </c>
      <c r="F2583" s="171" t="s">
        <v>1698</v>
      </c>
      <c r="G2583" s="211">
        <f>G2582+G2581</f>
        <v>110259.568</v>
      </c>
    </row>
    <row r="2584" spans="1:8">
      <c r="A2584" s="847"/>
      <c r="B2584" s="79" t="s">
        <v>1584</v>
      </c>
      <c r="C2584" s="356" t="str">
        <f>E2583</f>
        <v>cum</v>
      </c>
      <c r="D2584" s="26" t="s">
        <v>5773</v>
      </c>
      <c r="F2584" s="171" t="s">
        <v>4108</v>
      </c>
      <c r="G2584" s="211">
        <f>ROUND(G2583/D2583,1)</f>
        <v>149.9</v>
      </c>
      <c r="H2584" s="171"/>
    </row>
    <row r="2585" spans="1:8">
      <c r="A2585" s="847"/>
      <c r="B2585" s="78"/>
      <c r="C2585" s="48"/>
    </row>
    <row r="2586" spans="1:8">
      <c r="A2586" s="847"/>
      <c r="B2586" s="78"/>
      <c r="C2586" s="48"/>
    </row>
    <row r="2587" spans="1:8" ht="18.75">
      <c r="A2587" s="841" t="s">
        <v>7441</v>
      </c>
      <c r="B2587" s="47" t="s">
        <v>8681</v>
      </c>
      <c r="C2587" s="48"/>
    </row>
    <row r="2588" spans="1:8">
      <c r="A2588" s="889"/>
      <c r="B2588" s="47" t="s">
        <v>8679</v>
      </c>
      <c r="C2588" s="48"/>
    </row>
    <row r="2589" spans="1:8">
      <c r="A2589" s="889"/>
      <c r="B2589" s="47" t="s">
        <v>967</v>
      </c>
      <c r="C2589" s="48"/>
    </row>
    <row r="2590" spans="1:8" ht="18.75">
      <c r="A2590" s="889"/>
      <c r="B2590" s="47" t="s">
        <v>8682</v>
      </c>
      <c r="C2590" s="48"/>
    </row>
    <row r="2591" spans="1:8">
      <c r="A2591" s="889"/>
      <c r="B2591" s="47" t="s">
        <v>9236</v>
      </c>
      <c r="C2591" s="48"/>
    </row>
    <row r="2592" spans="1:8">
      <c r="A2592" s="889"/>
      <c r="B2592" s="162" t="s">
        <v>9237</v>
      </c>
      <c r="C2592" s="48"/>
    </row>
    <row r="2593" spans="1:8">
      <c r="A2593" s="889"/>
      <c r="C2593" s="48"/>
    </row>
    <row r="2594" spans="1:8" hidden="1">
      <c r="A2594" s="889" t="s">
        <v>3984</v>
      </c>
      <c r="B2594" s="47" t="s">
        <v>904</v>
      </c>
      <c r="C2594" s="48"/>
      <c r="F2594" s="78"/>
    </row>
    <row r="2595" spans="1:8" hidden="1">
      <c r="A2595" s="889"/>
      <c r="B2595" s="47" t="s">
        <v>905</v>
      </c>
      <c r="C2595" s="48"/>
      <c r="F2595" s="78" t="s">
        <v>1697</v>
      </c>
      <c r="G2595" s="26">
        <v>735.36</v>
      </c>
      <c r="H2595" s="26" t="s">
        <v>6901</v>
      </c>
    </row>
    <row r="2596" spans="1:8" hidden="1">
      <c r="A2596" s="889">
        <v>1</v>
      </c>
      <c r="B2596" s="47" t="s">
        <v>2860</v>
      </c>
      <c r="C2596" s="48"/>
    </row>
    <row r="2597" spans="1:8" hidden="1">
      <c r="A2597" s="841"/>
      <c r="B2597" s="47" t="s">
        <v>3009</v>
      </c>
      <c r="C2597" s="48"/>
    </row>
    <row r="2598" spans="1:8" hidden="1">
      <c r="A2598" s="889">
        <v>2</v>
      </c>
      <c r="B2598" s="47" t="s">
        <v>6281</v>
      </c>
      <c r="C2598" s="48"/>
    </row>
    <row r="2599" spans="1:8" hidden="1">
      <c r="A2599" s="841"/>
      <c r="B2599" s="47" t="s">
        <v>906</v>
      </c>
      <c r="C2599" s="48"/>
      <c r="F2599" s="78" t="s">
        <v>1697</v>
      </c>
      <c r="G2599" s="68">
        <v>8</v>
      </c>
      <c r="H2599" s="26" t="s">
        <v>3428</v>
      </c>
    </row>
    <row r="2600" spans="1:8" hidden="1">
      <c r="A2600" s="841"/>
      <c r="B2600" s="47" t="s">
        <v>907</v>
      </c>
      <c r="C2600" s="48"/>
      <c r="F2600" s="78" t="s">
        <v>1697</v>
      </c>
      <c r="G2600" s="68">
        <v>48</v>
      </c>
      <c r="H2600" s="26" t="s">
        <v>3428</v>
      </c>
    </row>
    <row r="2601" spans="1:8" hidden="1">
      <c r="A2601" s="889">
        <v>3</v>
      </c>
      <c r="B2601" s="47" t="s">
        <v>5954</v>
      </c>
      <c r="C2601" s="48"/>
      <c r="F2601" s="78"/>
    </row>
    <row r="2602" spans="1:8" hidden="1">
      <c r="A2602" s="841"/>
      <c r="B2602" s="47" t="s">
        <v>906</v>
      </c>
      <c r="C2602" s="48"/>
      <c r="F2602" s="78" t="s">
        <v>1697</v>
      </c>
      <c r="G2602" s="68">
        <v>4.04</v>
      </c>
      <c r="H2602" s="26" t="s">
        <v>3428</v>
      </c>
    </row>
    <row r="2603" spans="1:8" hidden="1">
      <c r="A2603" s="889">
        <v>4</v>
      </c>
      <c r="B2603" s="47" t="s">
        <v>1746</v>
      </c>
      <c r="C2603" s="48"/>
      <c r="F2603" s="78"/>
    </row>
    <row r="2604" spans="1:8" hidden="1">
      <c r="A2604" s="841"/>
      <c r="B2604" s="47" t="s">
        <v>908</v>
      </c>
      <c r="C2604" s="48"/>
      <c r="F2604" s="78" t="s">
        <v>1697</v>
      </c>
      <c r="G2604" s="68">
        <v>6</v>
      </c>
      <c r="H2604" s="26" t="s">
        <v>3428</v>
      </c>
    </row>
    <row r="2605" spans="1:8" hidden="1">
      <c r="A2605" s="841"/>
      <c r="B2605" s="47" t="s">
        <v>909</v>
      </c>
      <c r="C2605" s="48"/>
      <c r="F2605" s="78" t="s">
        <v>1697</v>
      </c>
      <c r="G2605" s="68">
        <v>3</v>
      </c>
      <c r="H2605" s="26" t="s">
        <v>3428</v>
      </c>
    </row>
    <row r="2606" spans="1:8" hidden="1">
      <c r="A2606" s="889">
        <v>5</v>
      </c>
      <c r="B2606" s="47" t="s">
        <v>6798</v>
      </c>
      <c r="C2606" s="48"/>
    </row>
    <row r="2607" spans="1:8" hidden="1">
      <c r="A2607" s="841"/>
      <c r="B2607" s="47" t="s">
        <v>6194</v>
      </c>
      <c r="C2607" s="48"/>
    </row>
    <row r="2608" spans="1:8" hidden="1">
      <c r="A2608" s="841"/>
      <c r="B2608" s="47" t="s">
        <v>9252</v>
      </c>
      <c r="C2608" s="48"/>
    </row>
    <row r="2609" spans="1:8" hidden="1">
      <c r="A2609" s="841"/>
      <c r="B2609" s="47" t="s">
        <v>7098</v>
      </c>
      <c r="C2609" s="48"/>
    </row>
    <row r="2610" spans="1:8" hidden="1">
      <c r="A2610" s="841"/>
      <c r="B2610" s="47" t="s">
        <v>3650</v>
      </c>
      <c r="C2610" s="48"/>
      <c r="F2610" s="78" t="s">
        <v>1697</v>
      </c>
      <c r="G2610" s="68">
        <v>1.9</v>
      </c>
      <c r="H2610" s="26" t="s">
        <v>2602</v>
      </c>
    </row>
    <row r="2611" spans="1:8" hidden="1">
      <c r="A2611" s="841"/>
      <c r="B2611" s="47" t="s">
        <v>4995</v>
      </c>
      <c r="C2611" s="48"/>
      <c r="F2611" s="78" t="s">
        <v>1697</v>
      </c>
      <c r="G2611" s="383">
        <v>4</v>
      </c>
      <c r="H2611" s="26" t="s">
        <v>3431</v>
      </c>
    </row>
    <row r="2612" spans="1:8" hidden="1">
      <c r="A2612" s="841"/>
      <c r="B2612" s="47" t="s">
        <v>4997</v>
      </c>
      <c r="C2612" s="48"/>
      <c r="F2612" s="78" t="s">
        <v>1697</v>
      </c>
      <c r="G2612" s="26">
        <v>0.25</v>
      </c>
      <c r="H2612" s="26" t="s">
        <v>2602</v>
      </c>
    </row>
    <row r="2613" spans="1:8" hidden="1">
      <c r="A2613" s="841"/>
      <c r="B2613" s="47" t="s">
        <v>1504</v>
      </c>
      <c r="C2613" s="48"/>
      <c r="F2613" s="78" t="s">
        <v>1697</v>
      </c>
      <c r="G2613" s="26">
        <v>9</v>
      </c>
      <c r="H2613" s="26" t="s">
        <v>3436</v>
      </c>
    </row>
    <row r="2614" spans="1:8" hidden="1">
      <c r="A2614" s="841"/>
      <c r="B2614" s="47" t="s">
        <v>1126</v>
      </c>
      <c r="C2614" s="48"/>
    </row>
    <row r="2615" spans="1:8" hidden="1">
      <c r="A2615" s="841"/>
      <c r="B2615" s="47" t="s">
        <v>4126</v>
      </c>
      <c r="C2615" s="48"/>
      <c r="E2615" s="26">
        <f>50/60*(1.9*4000*0.25*0.75/9)</f>
        <v>131.94444444444446</v>
      </c>
      <c r="F2615" s="78" t="s">
        <v>1123</v>
      </c>
      <c r="G2615" s="26">
        <v>131.94</v>
      </c>
      <c r="H2615" s="26" t="s">
        <v>6901</v>
      </c>
    </row>
    <row r="2616" spans="1:8" hidden="1">
      <c r="A2616" s="841"/>
      <c r="B2616" s="47" t="s">
        <v>6078</v>
      </c>
      <c r="C2616" s="48"/>
      <c r="D2616" s="26">
        <f>808.9/G2615</f>
        <v>6.1308170380475975</v>
      </c>
      <c r="F2616" s="78" t="s">
        <v>1123</v>
      </c>
      <c r="G2616" s="26">
        <v>6.13</v>
      </c>
      <c r="H2616" s="26" t="s">
        <v>3428</v>
      </c>
    </row>
    <row r="2617" spans="1:8" hidden="1">
      <c r="A2617" s="889">
        <v>6</v>
      </c>
      <c r="B2617" s="47" t="s">
        <v>3220</v>
      </c>
      <c r="C2617" s="48"/>
    </row>
    <row r="2618" spans="1:8" hidden="1">
      <c r="A2618" s="841"/>
      <c r="B2618" s="47" t="s">
        <v>6057</v>
      </c>
      <c r="C2618" s="48"/>
    </row>
    <row r="2619" spans="1:8">
      <c r="A2619" s="847"/>
      <c r="B2619" s="78"/>
      <c r="C2619" s="48"/>
    </row>
    <row r="2620" spans="1:8">
      <c r="A2620" s="889" t="s">
        <v>3984</v>
      </c>
      <c r="B2620" s="78"/>
      <c r="C2620" s="349" t="s">
        <v>2367</v>
      </c>
      <c r="E2620" s="171" t="s">
        <v>297</v>
      </c>
      <c r="F2620" s="246">
        <v>735.36</v>
      </c>
      <c r="G2620" s="26" t="s">
        <v>3477</v>
      </c>
    </row>
    <row r="2621" spans="1:8">
      <c r="A2621" s="847"/>
      <c r="B2621" s="79" t="s">
        <v>2368</v>
      </c>
      <c r="C2621" s="48"/>
    </row>
    <row r="2622" spans="1:8">
      <c r="A2622" s="847"/>
      <c r="B2622" s="95" t="s">
        <v>2369</v>
      </c>
      <c r="C2622" s="350" t="s">
        <v>6374</v>
      </c>
      <c r="D2622" s="95" t="s">
        <v>2370</v>
      </c>
      <c r="E2622" s="95" t="s">
        <v>1166</v>
      </c>
      <c r="F2622" s="95" t="s">
        <v>2371</v>
      </c>
      <c r="G2622" s="95" t="s">
        <v>2372</v>
      </c>
    </row>
    <row r="2623" spans="1:8">
      <c r="A2623" s="847"/>
      <c r="B2623" s="114"/>
      <c r="C2623" s="351"/>
      <c r="D2623" s="114"/>
      <c r="E2623" s="114"/>
      <c r="F2623" s="114" t="s">
        <v>3485</v>
      </c>
      <c r="G2623" s="114" t="s">
        <v>3485</v>
      </c>
    </row>
    <row r="2624" spans="1:8">
      <c r="A2624" s="847"/>
      <c r="B2624" s="95">
        <v>1</v>
      </c>
      <c r="C2624" s="352" t="s">
        <v>1130</v>
      </c>
      <c r="D2624" s="95"/>
      <c r="E2624" s="190">
        <v>0</v>
      </c>
      <c r="F2624" s="190">
        <v>0</v>
      </c>
      <c r="G2624" s="190">
        <f>E2624*F2624</f>
        <v>0</v>
      </c>
    </row>
    <row r="2625" spans="1:7">
      <c r="A2625" s="847"/>
      <c r="B2625" s="280"/>
      <c r="C2625" s="48"/>
      <c r="D2625" s="105"/>
      <c r="E2625" s="190">
        <v>0</v>
      </c>
      <c r="F2625" s="190">
        <v>0</v>
      </c>
      <c r="G2625" s="190">
        <f>E2625*F2625</f>
        <v>0</v>
      </c>
    </row>
    <row r="2626" spans="1:7">
      <c r="A2626" s="847"/>
      <c r="B2626" s="92"/>
      <c r="C2626" s="353" t="s">
        <v>2376</v>
      </c>
      <c r="D2626" s="159"/>
      <c r="E2626" s="238"/>
      <c r="F2626" s="236" t="s">
        <v>1698</v>
      </c>
      <c r="G2626" s="318">
        <f>SUM(G2624:G2625)</f>
        <v>0</v>
      </c>
    </row>
    <row r="2627" spans="1:7">
      <c r="A2627" s="847"/>
      <c r="B2627" s="78"/>
      <c r="C2627" s="48"/>
    </row>
    <row r="2628" spans="1:7">
      <c r="A2628" s="847"/>
      <c r="B2628" s="79" t="s">
        <v>2377</v>
      </c>
      <c r="C2628" s="48"/>
    </row>
    <row r="2629" spans="1:7">
      <c r="A2629" s="847"/>
      <c r="B2629" s="95" t="s">
        <v>2369</v>
      </c>
      <c r="C2629" s="350" t="s">
        <v>2378</v>
      </c>
      <c r="D2629" s="95" t="s">
        <v>2370</v>
      </c>
      <c r="E2629" s="95" t="s">
        <v>1166</v>
      </c>
      <c r="F2629" s="95" t="s">
        <v>2371</v>
      </c>
      <c r="G2629" s="95" t="s">
        <v>2372</v>
      </c>
    </row>
    <row r="2630" spans="1:7">
      <c r="A2630" s="847"/>
      <c r="B2630" s="114"/>
      <c r="C2630" s="351"/>
      <c r="D2630" s="114"/>
      <c r="E2630" s="114"/>
      <c r="F2630" s="114" t="s">
        <v>3485</v>
      </c>
      <c r="G2630" s="114" t="s">
        <v>3485</v>
      </c>
    </row>
    <row r="2631" spans="1:7">
      <c r="A2631" s="847"/>
      <c r="B2631" s="95">
        <v>1</v>
      </c>
      <c r="C2631" s="355" t="s">
        <v>1502</v>
      </c>
      <c r="D2631" s="95" t="s">
        <v>2374</v>
      </c>
      <c r="E2631" s="220">
        <v>4.04</v>
      </c>
      <c r="F2631" s="214">
        <f>'HIRE CHARGES'!$D$499</f>
        <v>1715.5</v>
      </c>
      <c r="G2631" s="190">
        <f t="shared" ref="G2631:G2643" si="38">E2631*F2631</f>
        <v>6930.62</v>
      </c>
    </row>
    <row r="2632" spans="1:7">
      <c r="A2632" s="847"/>
      <c r="B2632" s="152"/>
      <c r="C2632" s="355" t="s">
        <v>2379</v>
      </c>
      <c r="D2632" s="105" t="s">
        <v>2374</v>
      </c>
      <c r="E2632" s="220">
        <v>4.04</v>
      </c>
      <c r="F2632" s="214">
        <f>'HIRE CHARGES'!$E$499</f>
        <v>610.5</v>
      </c>
      <c r="G2632" s="190">
        <f t="shared" si="38"/>
        <v>2466.42</v>
      </c>
    </row>
    <row r="2633" spans="1:7">
      <c r="A2633" s="847"/>
      <c r="B2633" s="105">
        <v>2</v>
      </c>
      <c r="C2633" s="355" t="s">
        <v>1792</v>
      </c>
      <c r="D2633" s="105" t="s">
        <v>2374</v>
      </c>
      <c r="E2633" s="220">
        <v>8</v>
      </c>
      <c r="F2633" s="190">
        <f>'HIRE CHARGES'!$D$542</f>
        <v>1003.1</v>
      </c>
      <c r="G2633" s="190">
        <f t="shared" si="38"/>
        <v>8024.8</v>
      </c>
    </row>
    <row r="2634" spans="1:7">
      <c r="A2634" s="847"/>
      <c r="B2634" s="152"/>
      <c r="C2634" s="355" t="s">
        <v>2379</v>
      </c>
      <c r="D2634" s="105" t="s">
        <v>2374</v>
      </c>
      <c r="E2634" s="220">
        <v>8</v>
      </c>
      <c r="F2634" s="190">
        <f>'HIRE CHARGES'!$E$542</f>
        <v>476</v>
      </c>
      <c r="G2634" s="190">
        <f t="shared" si="38"/>
        <v>3808</v>
      </c>
    </row>
    <row r="2635" spans="1:7">
      <c r="A2635" s="847"/>
      <c r="B2635" s="105">
        <v>3</v>
      </c>
      <c r="C2635" s="355" t="s">
        <v>1793</v>
      </c>
      <c r="D2635" s="105" t="s">
        <v>2374</v>
      </c>
      <c r="E2635" s="220">
        <v>48</v>
      </c>
      <c r="F2635" s="190">
        <f>'HIRE CHARGES'!$D$545</f>
        <v>446.7</v>
      </c>
      <c r="G2635" s="190">
        <f t="shared" si="38"/>
        <v>21441.599999999999</v>
      </c>
    </row>
    <row r="2636" spans="1:7">
      <c r="A2636" s="847"/>
      <c r="B2636" s="152"/>
      <c r="C2636" s="355" t="s">
        <v>2379</v>
      </c>
      <c r="D2636" s="105" t="s">
        <v>2374</v>
      </c>
      <c r="E2636" s="220">
        <v>48</v>
      </c>
      <c r="F2636" s="190">
        <f>'HIRE CHARGES'!$E$545</f>
        <v>299.89999999999998</v>
      </c>
      <c r="G2636" s="190">
        <f t="shared" si="38"/>
        <v>14395.199999999999</v>
      </c>
    </row>
    <row r="2637" spans="1:7">
      <c r="A2637" s="847"/>
      <c r="B2637" s="105">
        <v>4</v>
      </c>
      <c r="C2637" s="355" t="s">
        <v>1132</v>
      </c>
      <c r="D2637" s="105" t="s">
        <v>2374</v>
      </c>
      <c r="E2637" s="220">
        <v>3</v>
      </c>
      <c r="F2637" s="214">
        <f>'HIRE CHARGES'!$D$517</f>
        <v>10.199999999999999</v>
      </c>
      <c r="G2637" s="190">
        <f t="shared" si="38"/>
        <v>30.599999999999998</v>
      </c>
    </row>
    <row r="2638" spans="1:7">
      <c r="A2638" s="847"/>
      <c r="B2638" s="152"/>
      <c r="C2638" s="355" t="s">
        <v>2379</v>
      </c>
      <c r="D2638" s="105" t="s">
        <v>2374</v>
      </c>
      <c r="E2638" s="220">
        <v>3</v>
      </c>
      <c r="F2638" s="214">
        <f>'HIRE CHARGES'!$E$517</f>
        <v>79.3</v>
      </c>
      <c r="G2638" s="190">
        <f t="shared" si="38"/>
        <v>237.89999999999998</v>
      </c>
    </row>
    <row r="2639" spans="1:7">
      <c r="A2639" s="847"/>
      <c r="B2639" s="105">
        <v>5</v>
      </c>
      <c r="C2639" s="355" t="s">
        <v>6286</v>
      </c>
      <c r="D2639" s="105" t="s">
        <v>2374</v>
      </c>
      <c r="E2639" s="220">
        <v>6</v>
      </c>
      <c r="F2639" s="214">
        <f>'HIRE CHARGES'!$D$555</f>
        <v>402.5</v>
      </c>
      <c r="G2639" s="190">
        <f t="shared" si="38"/>
        <v>2415</v>
      </c>
    </row>
    <row r="2640" spans="1:7">
      <c r="A2640" s="847"/>
      <c r="B2640" s="152"/>
      <c r="C2640" s="355" t="s">
        <v>2379</v>
      </c>
      <c r="D2640" s="105" t="s">
        <v>2374</v>
      </c>
      <c r="E2640" s="220">
        <v>6</v>
      </c>
      <c r="F2640" s="214">
        <f>'HIRE CHARGES'!$E$555</f>
        <v>299.89999999999998</v>
      </c>
      <c r="G2640" s="190">
        <f t="shared" si="38"/>
        <v>1799.3999999999999</v>
      </c>
    </row>
    <row r="2641" spans="1:7">
      <c r="A2641" s="847"/>
      <c r="B2641" s="105">
        <v>6</v>
      </c>
      <c r="C2641" s="355" t="s">
        <v>9251</v>
      </c>
      <c r="D2641" s="105" t="s">
        <v>2374</v>
      </c>
      <c r="E2641" s="220">
        <v>6.13</v>
      </c>
      <c r="F2641" s="214">
        <f>'HIRE CHARGES'!$D$553</f>
        <v>1342.2</v>
      </c>
      <c r="G2641" s="190">
        <f t="shared" si="38"/>
        <v>8227.6859999999997</v>
      </c>
    </row>
    <row r="2642" spans="1:7">
      <c r="A2642" s="847"/>
      <c r="B2642" s="152"/>
      <c r="C2642" s="355" t="s">
        <v>2379</v>
      </c>
      <c r="D2642" s="105" t="s">
        <v>2374</v>
      </c>
      <c r="E2642" s="220">
        <v>6.13</v>
      </c>
      <c r="F2642" s="214">
        <f>'HIRE CHARGES'!$E$553</f>
        <v>1031.4000000000001</v>
      </c>
      <c r="G2642" s="190">
        <f t="shared" si="38"/>
        <v>6322.4820000000009</v>
      </c>
    </row>
    <row r="2643" spans="1:7">
      <c r="A2643" s="847"/>
      <c r="B2643" s="114">
        <v>7</v>
      </c>
      <c r="C2643" s="355" t="s">
        <v>2373</v>
      </c>
      <c r="D2643" s="105" t="s">
        <v>2173</v>
      </c>
      <c r="E2643" s="220">
        <v>5</v>
      </c>
      <c r="F2643" s="190">
        <f>'BASIC DATA'!$D$359</f>
        <v>30</v>
      </c>
      <c r="G2643" s="190">
        <f t="shared" si="38"/>
        <v>150</v>
      </c>
    </row>
    <row r="2644" spans="1:7">
      <c r="A2644" s="847"/>
      <c r="B2644" s="176"/>
      <c r="C2644" s="353" t="s">
        <v>2380</v>
      </c>
      <c r="D2644" s="159"/>
      <c r="E2644" s="238"/>
      <c r="F2644" s="236" t="s">
        <v>1698</v>
      </c>
      <c r="G2644" s="354">
        <f>SUM(G2631:G2643)</f>
        <v>76249.707999999999</v>
      </c>
    </row>
    <row r="2645" spans="1:7">
      <c r="A2645" s="847"/>
      <c r="B2645" s="78"/>
      <c r="C2645" s="48"/>
    </row>
    <row r="2646" spans="1:7">
      <c r="A2646" s="847"/>
      <c r="B2646" s="79" t="s">
        <v>2381</v>
      </c>
      <c r="C2646" s="48"/>
    </row>
    <row r="2647" spans="1:7">
      <c r="A2647" s="847"/>
      <c r="B2647" s="95" t="s">
        <v>2369</v>
      </c>
      <c r="C2647" s="350" t="s">
        <v>2378</v>
      </c>
      <c r="D2647" s="95" t="s">
        <v>2370</v>
      </c>
      <c r="E2647" s="95" t="s">
        <v>1166</v>
      </c>
      <c r="F2647" s="95" t="s">
        <v>2371</v>
      </c>
      <c r="G2647" s="95" t="s">
        <v>2372</v>
      </c>
    </row>
    <row r="2648" spans="1:7">
      <c r="A2648" s="847"/>
      <c r="B2648" s="114"/>
      <c r="C2648" s="351"/>
      <c r="D2648" s="105"/>
      <c r="E2648" s="114"/>
      <c r="F2648" s="114" t="s">
        <v>3485</v>
      </c>
      <c r="G2648" s="114" t="s">
        <v>3485</v>
      </c>
    </row>
    <row r="2649" spans="1:7">
      <c r="A2649" s="847"/>
      <c r="B2649" s="105">
        <v>1</v>
      </c>
      <c r="C2649" s="86" t="s">
        <v>2870</v>
      </c>
      <c r="D2649" s="95" t="s">
        <v>2374</v>
      </c>
      <c r="E2649" s="207">
        <v>4.04</v>
      </c>
      <c r="F2649" s="190">
        <f>'HIRE CHARGES'!$F$499</f>
        <v>236.6</v>
      </c>
      <c r="G2649" s="190">
        <f t="shared" ref="G2649:G2656" si="39">E2649*F2649</f>
        <v>955.86400000000003</v>
      </c>
    </row>
    <row r="2650" spans="1:7">
      <c r="A2650" s="847"/>
      <c r="B2650" s="105">
        <v>2</v>
      </c>
      <c r="C2650" s="86" t="s">
        <v>300</v>
      </c>
      <c r="D2650" s="105" t="s">
        <v>2374</v>
      </c>
      <c r="E2650" s="207">
        <v>8</v>
      </c>
      <c r="F2650" s="190">
        <f>'HIRE CHARGES'!$F$542</f>
        <v>236.6</v>
      </c>
      <c r="G2650" s="190">
        <f t="shared" si="39"/>
        <v>1892.8</v>
      </c>
    </row>
    <row r="2651" spans="1:7">
      <c r="A2651" s="847"/>
      <c r="B2651" s="105">
        <v>3</v>
      </c>
      <c r="C2651" s="86" t="s">
        <v>301</v>
      </c>
      <c r="D2651" s="105" t="s">
        <v>2374</v>
      </c>
      <c r="E2651" s="207">
        <v>48</v>
      </c>
      <c r="F2651" s="190">
        <f>'HIRE CHARGES'!$F$545</f>
        <v>177.5</v>
      </c>
      <c r="G2651" s="190">
        <f t="shared" si="39"/>
        <v>8520</v>
      </c>
    </row>
    <row r="2652" spans="1:7">
      <c r="A2652" s="847"/>
      <c r="B2652" s="105">
        <v>4</v>
      </c>
      <c r="C2652" s="86" t="s">
        <v>999</v>
      </c>
      <c r="D2652" s="105" t="s">
        <v>2374</v>
      </c>
      <c r="E2652" s="207">
        <v>3</v>
      </c>
      <c r="F2652" s="190">
        <f>'HIRE CHARGES'!$F$517</f>
        <v>111.1</v>
      </c>
      <c r="G2652" s="190">
        <f t="shared" si="39"/>
        <v>333.29999999999995</v>
      </c>
    </row>
    <row r="2653" spans="1:7">
      <c r="A2653" s="847"/>
      <c r="B2653" s="105">
        <v>5</v>
      </c>
      <c r="C2653" s="86" t="s">
        <v>1000</v>
      </c>
      <c r="D2653" s="105" t="s">
        <v>2374</v>
      </c>
      <c r="E2653" s="207">
        <v>6</v>
      </c>
      <c r="F2653" s="190">
        <f>'HIRE CHARGES'!$F$555</f>
        <v>177.5</v>
      </c>
      <c r="G2653" s="190">
        <f t="shared" si="39"/>
        <v>1065</v>
      </c>
    </row>
    <row r="2654" spans="1:7">
      <c r="A2654" s="847"/>
      <c r="B2654" s="105">
        <v>6</v>
      </c>
      <c r="C2654" s="86" t="s">
        <v>1001</v>
      </c>
      <c r="D2654" s="105" t="s">
        <v>2374</v>
      </c>
      <c r="E2654" s="207">
        <v>6.13</v>
      </c>
      <c r="F2654" s="190">
        <f>'HIRE CHARGES'!$F$553</f>
        <v>263.60000000000002</v>
      </c>
      <c r="G2654" s="190">
        <f t="shared" si="39"/>
        <v>1615.8680000000002</v>
      </c>
    </row>
    <row r="2655" spans="1:7">
      <c r="A2655" s="847"/>
      <c r="B2655" s="105">
        <v>7</v>
      </c>
      <c r="C2655" s="86" t="s">
        <v>4206</v>
      </c>
      <c r="D2655" s="105" t="s">
        <v>1172</v>
      </c>
      <c r="E2655" s="207">
        <v>2</v>
      </c>
      <c r="F2655" s="190">
        <f>'BASIC DATA'!$C$473</f>
        <v>450</v>
      </c>
      <c r="G2655" s="190">
        <f t="shared" si="39"/>
        <v>900</v>
      </c>
    </row>
    <row r="2656" spans="1:7">
      <c r="A2656" s="847"/>
      <c r="B2656" s="105">
        <v>8</v>
      </c>
      <c r="C2656" s="86" t="s">
        <v>2696</v>
      </c>
      <c r="D2656" s="105" t="s">
        <v>1172</v>
      </c>
      <c r="E2656" s="207">
        <v>6</v>
      </c>
      <c r="F2656" s="190">
        <f>'BASIC DATA'!$C$552</f>
        <v>350</v>
      </c>
      <c r="G2656" s="190">
        <f t="shared" si="39"/>
        <v>2100</v>
      </c>
    </row>
    <row r="2657" spans="1:8">
      <c r="A2657" s="847"/>
      <c r="B2657" s="92"/>
      <c r="C2657" s="353" t="s">
        <v>1174</v>
      </c>
      <c r="D2657" s="159"/>
      <c r="E2657" s="238"/>
      <c r="F2657" s="236" t="s">
        <v>1698</v>
      </c>
      <c r="G2657" s="318">
        <f>SUM(G2649:G2656)</f>
        <v>17382.832000000002</v>
      </c>
    </row>
    <row r="2658" spans="1:8">
      <c r="A2658" s="847"/>
      <c r="B2658" s="359" t="s">
        <v>5948</v>
      </c>
      <c r="C2658" s="48"/>
      <c r="D2658" s="31"/>
      <c r="E2658" s="85">
        <f>ROUND(G2657/F2620,1)</f>
        <v>23.6</v>
      </c>
    </row>
    <row r="2659" spans="1:8">
      <c r="A2659" s="847"/>
      <c r="B2659" s="359" t="s">
        <v>3163</v>
      </c>
      <c r="C2659" s="48"/>
      <c r="D2659" s="922">
        <f>'BASIC DATA'!$C$577</f>
        <v>0.13614999999999999</v>
      </c>
      <c r="E2659" s="85">
        <f>ROUND(E2658*D2659,1)</f>
        <v>3.2</v>
      </c>
    </row>
    <row r="2660" spans="1:8">
      <c r="A2660" s="847"/>
      <c r="B2660" s="359" t="s">
        <v>5949</v>
      </c>
      <c r="C2660" s="48"/>
      <c r="D2660" s="31"/>
      <c r="E2660" s="199">
        <f>ROUND(E2659+E2658,1)</f>
        <v>26.8</v>
      </c>
    </row>
    <row r="2661" spans="1:8">
      <c r="A2661" s="847"/>
      <c r="C2661" s="48"/>
    </row>
    <row r="2662" spans="1:8">
      <c r="A2662" s="847"/>
      <c r="B2662" s="162" t="s">
        <v>1175</v>
      </c>
      <c r="C2662" s="48"/>
    </row>
    <row r="2663" spans="1:8">
      <c r="A2663" s="847"/>
      <c r="B2663" s="47" t="s">
        <v>1176</v>
      </c>
      <c r="C2663" s="48"/>
      <c r="F2663" s="171" t="s">
        <v>1698</v>
      </c>
      <c r="G2663" s="68">
        <f>G2626</f>
        <v>0</v>
      </c>
    </row>
    <row r="2664" spans="1:8">
      <c r="A2664" s="847"/>
      <c r="B2664" s="47" t="s">
        <v>1186</v>
      </c>
      <c r="C2664" s="48"/>
      <c r="F2664" s="171" t="s">
        <v>1698</v>
      </c>
      <c r="G2664" s="68">
        <f>G2644</f>
        <v>76249.707999999999</v>
      </c>
    </row>
    <row r="2665" spans="1:8">
      <c r="A2665" s="847"/>
      <c r="B2665" s="47" t="s">
        <v>2660</v>
      </c>
      <c r="C2665" s="48"/>
      <c r="F2665" s="171" t="s">
        <v>1698</v>
      </c>
      <c r="G2665" s="75">
        <f>G2657</f>
        <v>17382.832000000002</v>
      </c>
    </row>
    <row r="2666" spans="1:8">
      <c r="A2666" s="847"/>
      <c r="B2666" s="78"/>
      <c r="C2666" s="48"/>
      <c r="E2666" s="261"/>
      <c r="F2666" s="171" t="s">
        <v>302</v>
      </c>
      <c r="G2666" s="205">
        <f>SUM(G2663:G2665)</f>
        <v>93632.540000000008</v>
      </c>
    </row>
    <row r="2667" spans="1:8" ht="38.25" customHeight="1">
      <c r="A2667" s="847"/>
      <c r="B2667" s="1207" t="s">
        <v>1379</v>
      </c>
      <c r="C2667" s="1207"/>
      <c r="D2667" s="1207"/>
      <c r="E2667" s="922">
        <f>'BASIC DATA'!$C$577</f>
        <v>0.13614999999999999</v>
      </c>
      <c r="F2667" s="171" t="s">
        <v>1698</v>
      </c>
      <c r="G2667" s="31">
        <f>ROUND(G2666*E2667,2)</f>
        <v>12748.07</v>
      </c>
    </row>
    <row r="2668" spans="1:8">
      <c r="A2668" s="847"/>
      <c r="B2668" s="47" t="s">
        <v>1191</v>
      </c>
      <c r="C2668" s="48"/>
      <c r="D2668" s="68">
        <f>F2620</f>
        <v>735.36</v>
      </c>
      <c r="E2668" s="68" t="str">
        <f>G2620</f>
        <v>cum</v>
      </c>
      <c r="F2668" s="171" t="s">
        <v>1698</v>
      </c>
      <c r="G2668" s="211">
        <f>G2667+G2666</f>
        <v>106380.61000000002</v>
      </c>
    </row>
    <row r="2669" spans="1:8">
      <c r="A2669" s="847"/>
      <c r="B2669" s="79" t="s">
        <v>1584</v>
      </c>
      <c r="C2669" s="356" t="str">
        <f>E2668</f>
        <v>cum</v>
      </c>
      <c r="D2669" s="26" t="s">
        <v>5773</v>
      </c>
      <c r="F2669" s="171" t="s">
        <v>4108</v>
      </c>
      <c r="G2669" s="211">
        <f>ROUND(G2668/D2668,1)</f>
        <v>144.69999999999999</v>
      </c>
      <c r="H2669" s="171"/>
    </row>
    <row r="2670" spans="1:8">
      <c r="A2670" s="847"/>
      <c r="B2670" s="78"/>
      <c r="C2670" s="48"/>
    </row>
    <row r="2671" spans="1:8">
      <c r="A2671" s="847"/>
      <c r="B2671" s="78"/>
      <c r="C2671" s="48"/>
    </row>
    <row r="2672" spans="1:8" ht="18.75">
      <c r="A2672" s="841" t="s">
        <v>7442</v>
      </c>
      <c r="B2672" s="47" t="s">
        <v>8683</v>
      </c>
      <c r="C2672" s="48"/>
    </row>
    <row r="2673" spans="1:8">
      <c r="A2673" s="889"/>
      <c r="B2673" s="47" t="s">
        <v>8676</v>
      </c>
      <c r="C2673" s="48"/>
    </row>
    <row r="2674" spans="1:8">
      <c r="A2674" s="889"/>
      <c r="B2674" s="47" t="s">
        <v>465</v>
      </c>
      <c r="C2674" s="48"/>
    </row>
    <row r="2675" spans="1:8" ht="18.75">
      <c r="A2675" s="889"/>
      <c r="B2675" s="47" t="s">
        <v>8684</v>
      </c>
      <c r="C2675" s="48"/>
    </row>
    <row r="2676" spans="1:8">
      <c r="A2676" s="889"/>
      <c r="B2676" s="47" t="s">
        <v>9238</v>
      </c>
      <c r="C2676" s="48"/>
    </row>
    <row r="2677" spans="1:8" ht="18.75">
      <c r="A2677" s="889"/>
      <c r="B2677" s="162" t="s">
        <v>9232</v>
      </c>
      <c r="C2677" s="48"/>
    </row>
    <row r="2678" spans="1:8">
      <c r="A2678" s="889"/>
      <c r="C2678" s="48"/>
    </row>
    <row r="2679" spans="1:8" hidden="1">
      <c r="A2679" s="889" t="s">
        <v>3984</v>
      </c>
      <c r="B2679" s="47" t="s">
        <v>602</v>
      </c>
      <c r="C2679" s="48"/>
      <c r="F2679" s="78" t="s">
        <v>1697</v>
      </c>
      <c r="G2679" s="68">
        <v>0.5</v>
      </c>
      <c r="H2679" s="26" t="s">
        <v>6901</v>
      </c>
    </row>
    <row r="2680" spans="1:8" hidden="1">
      <c r="A2680" s="889"/>
      <c r="B2680" s="47" t="s">
        <v>603</v>
      </c>
      <c r="C2680" s="48"/>
      <c r="F2680" s="78" t="s">
        <v>1697</v>
      </c>
      <c r="G2680" s="26">
        <v>0.57999999999999996</v>
      </c>
      <c r="H2680" s="26" t="s">
        <v>6901</v>
      </c>
    </row>
    <row r="2681" spans="1:8" hidden="1">
      <c r="A2681" s="889"/>
      <c r="B2681" s="47" t="s">
        <v>278</v>
      </c>
      <c r="C2681" s="48"/>
      <c r="F2681" s="78" t="s">
        <v>1697</v>
      </c>
      <c r="G2681" s="26">
        <v>0.53</v>
      </c>
      <c r="H2681" s="26" t="s">
        <v>6901</v>
      </c>
    </row>
    <row r="2682" spans="1:8" hidden="1">
      <c r="A2682" s="889"/>
      <c r="B2682" s="47" t="s">
        <v>604</v>
      </c>
      <c r="C2682" s="48"/>
      <c r="F2682" s="78" t="s">
        <v>1697</v>
      </c>
      <c r="G2682" s="68">
        <v>5</v>
      </c>
      <c r="H2682" s="26" t="s">
        <v>6901</v>
      </c>
    </row>
    <row r="2683" spans="1:8" hidden="1">
      <c r="A2683" s="889"/>
      <c r="B2683" s="47" t="s">
        <v>2541</v>
      </c>
      <c r="C2683" s="48"/>
      <c r="F2683" s="78" t="s">
        <v>4807</v>
      </c>
      <c r="G2683" s="26">
        <v>1</v>
      </c>
      <c r="H2683" s="26" t="s">
        <v>3431</v>
      </c>
    </row>
    <row r="2684" spans="1:8" hidden="1">
      <c r="A2684" s="889"/>
      <c r="B2684" s="47" t="s">
        <v>4569</v>
      </c>
      <c r="C2684" s="48"/>
      <c r="F2684" s="78" t="s">
        <v>1697</v>
      </c>
      <c r="G2684" s="26">
        <v>12</v>
      </c>
      <c r="H2684" s="26" t="s">
        <v>3433</v>
      </c>
    </row>
    <row r="2685" spans="1:8" hidden="1">
      <c r="A2685" s="889"/>
      <c r="B2685" s="47" t="s">
        <v>5632</v>
      </c>
      <c r="C2685" s="48"/>
      <c r="F2685" s="78" t="s">
        <v>1697</v>
      </c>
      <c r="G2685" s="26">
        <v>15</v>
      </c>
      <c r="H2685" s="26" t="s">
        <v>3433</v>
      </c>
    </row>
    <row r="2686" spans="1:8" hidden="1">
      <c r="A2686" s="889"/>
      <c r="B2686" s="47" t="s">
        <v>3985</v>
      </c>
      <c r="C2686" s="48"/>
      <c r="F2686" s="78" t="s">
        <v>1697</v>
      </c>
      <c r="G2686" s="68">
        <v>2</v>
      </c>
      <c r="H2686" s="26" t="s">
        <v>1433</v>
      </c>
    </row>
    <row r="2687" spans="1:8" hidden="1">
      <c r="A2687" s="889"/>
      <c r="B2687" s="47" t="s">
        <v>7097</v>
      </c>
      <c r="C2687" s="48"/>
    </row>
    <row r="2688" spans="1:8" hidden="1">
      <c r="A2688" s="889"/>
      <c r="B2688" s="47" t="s">
        <v>2116</v>
      </c>
      <c r="C2688" s="48"/>
    </row>
    <row r="2689" spans="1:8" hidden="1">
      <c r="A2689" s="889"/>
      <c r="B2689" s="47" t="s">
        <v>2117</v>
      </c>
      <c r="C2689" s="48"/>
    </row>
    <row r="2690" spans="1:8" hidden="1">
      <c r="A2690" s="889"/>
      <c r="B2690" s="47" t="s">
        <v>4030</v>
      </c>
      <c r="C2690" s="48"/>
      <c r="F2690" s="78" t="s">
        <v>1697</v>
      </c>
      <c r="G2690" s="26">
        <v>20</v>
      </c>
      <c r="H2690" s="26" t="s">
        <v>3562</v>
      </c>
    </row>
    <row r="2691" spans="1:8" hidden="1">
      <c r="A2691" s="889"/>
      <c r="B2691" s="47" t="s">
        <v>1161</v>
      </c>
      <c r="C2691" s="48"/>
      <c r="F2691" s="78" t="s">
        <v>1123</v>
      </c>
      <c r="G2691" s="26">
        <v>4.54</v>
      </c>
      <c r="H2691" s="26" t="s">
        <v>6901</v>
      </c>
    </row>
    <row r="2692" spans="1:8" hidden="1">
      <c r="A2692" s="889"/>
      <c r="B2692" s="47" t="s">
        <v>4885</v>
      </c>
      <c r="C2692" s="48"/>
      <c r="F2692" s="78" t="s">
        <v>1123</v>
      </c>
      <c r="G2692" s="26">
        <v>8</v>
      </c>
      <c r="H2692" s="26" t="s">
        <v>3435</v>
      </c>
    </row>
    <row r="2693" spans="1:8" hidden="1">
      <c r="A2693" s="889"/>
      <c r="B2693" s="47" t="s">
        <v>1489</v>
      </c>
      <c r="C2693" s="48"/>
      <c r="F2693" s="78" t="s">
        <v>1123</v>
      </c>
      <c r="G2693" s="26">
        <v>2.67</v>
      </c>
      <c r="H2693" s="26" t="s">
        <v>1433</v>
      </c>
    </row>
    <row r="2694" spans="1:8" hidden="1">
      <c r="A2694" s="889"/>
      <c r="B2694" s="47" t="s">
        <v>1613</v>
      </c>
      <c r="C2694" s="48"/>
    </row>
    <row r="2695" spans="1:8" hidden="1">
      <c r="A2695" s="889"/>
      <c r="B2695" s="47" t="s">
        <v>3258</v>
      </c>
      <c r="C2695" s="48"/>
      <c r="F2695" s="78" t="s">
        <v>1697</v>
      </c>
      <c r="G2695" s="26">
        <v>2.67</v>
      </c>
      <c r="H2695" s="26" t="s">
        <v>1433</v>
      </c>
    </row>
    <row r="2696" spans="1:8" hidden="1">
      <c r="A2696" s="889"/>
      <c r="B2696" s="47" t="s">
        <v>3003</v>
      </c>
      <c r="C2696" s="48"/>
      <c r="F2696" s="78" t="s">
        <v>1697</v>
      </c>
      <c r="G2696" s="68">
        <v>5</v>
      </c>
      <c r="H2696" s="26" t="s">
        <v>1433</v>
      </c>
    </row>
    <row r="2697" spans="1:8" hidden="1">
      <c r="A2697" s="889"/>
      <c r="B2697" s="47" t="s">
        <v>705</v>
      </c>
      <c r="C2697" s="48"/>
      <c r="F2697" s="78" t="s">
        <v>1697</v>
      </c>
      <c r="G2697" s="68">
        <v>2</v>
      </c>
      <c r="H2697" s="26" t="s">
        <v>1433</v>
      </c>
    </row>
    <row r="2698" spans="1:8" hidden="1">
      <c r="A2698" s="889"/>
      <c r="B2698" s="47" t="s">
        <v>1491</v>
      </c>
      <c r="C2698" s="48"/>
      <c r="F2698" s="78" t="s">
        <v>1697</v>
      </c>
      <c r="G2698" s="68">
        <v>4</v>
      </c>
      <c r="H2698" s="26" t="s">
        <v>1433</v>
      </c>
    </row>
    <row r="2699" spans="1:8" hidden="1">
      <c r="A2699" s="889"/>
      <c r="B2699" s="47" t="s">
        <v>263</v>
      </c>
      <c r="C2699" s="48"/>
      <c r="F2699" s="78" t="s">
        <v>1697</v>
      </c>
      <c r="G2699" s="173">
        <v>0.5</v>
      </c>
      <c r="H2699" s="26" t="s">
        <v>1433</v>
      </c>
    </row>
    <row r="2700" spans="1:8" hidden="1">
      <c r="A2700" s="889"/>
      <c r="C2700" s="48"/>
      <c r="E2700" s="26" t="s">
        <v>1518</v>
      </c>
      <c r="F2700" s="78" t="s">
        <v>1697</v>
      </c>
      <c r="G2700" s="26">
        <f>SUM(G2695:G2699)</f>
        <v>14.17</v>
      </c>
      <c r="H2700" s="26" t="s">
        <v>1433</v>
      </c>
    </row>
    <row r="2701" spans="1:8" hidden="1">
      <c r="A2701" s="889"/>
      <c r="B2701" s="47" t="s">
        <v>4420</v>
      </c>
      <c r="C2701" s="48"/>
      <c r="F2701" s="78">
        <f>14.17/2.67</f>
        <v>5.3071161048689142</v>
      </c>
      <c r="G2701" s="26">
        <v>6</v>
      </c>
      <c r="H2701" s="26" t="s">
        <v>3436</v>
      </c>
    </row>
    <row r="2702" spans="1:8" hidden="1">
      <c r="A2702" s="889"/>
      <c r="B2702" s="47" t="s">
        <v>4421</v>
      </c>
      <c r="C2702" s="48"/>
      <c r="F2702" s="78"/>
      <c r="G2702" s="68">
        <v>16</v>
      </c>
      <c r="H2702" s="26" t="s">
        <v>6901</v>
      </c>
    </row>
    <row r="2703" spans="1:8" hidden="1">
      <c r="A2703" s="889"/>
      <c r="B2703" s="47" t="s">
        <v>6079</v>
      </c>
      <c r="C2703" s="48"/>
      <c r="F2703" s="78" t="s">
        <v>1123</v>
      </c>
      <c r="G2703" s="26">
        <f>6*16*8</f>
        <v>768</v>
      </c>
      <c r="H2703" s="26" t="s">
        <v>6901</v>
      </c>
    </row>
    <row r="2704" spans="1:8" hidden="1">
      <c r="A2704" s="889"/>
      <c r="B2704" s="47" t="s">
        <v>364</v>
      </c>
      <c r="C2704" s="48"/>
    </row>
    <row r="2705" spans="1:8" hidden="1">
      <c r="A2705" s="889"/>
      <c r="B2705" s="47" t="s">
        <v>1183</v>
      </c>
      <c r="C2705" s="48"/>
    </row>
    <row r="2706" spans="1:8" hidden="1">
      <c r="A2706" s="889"/>
      <c r="B2706" s="47" t="s">
        <v>4093</v>
      </c>
      <c r="C2706" s="48"/>
    </row>
    <row r="2707" spans="1:8" hidden="1">
      <c r="A2707" s="889"/>
      <c r="B2707" s="47" t="s">
        <v>3075</v>
      </c>
      <c r="C2707" s="48"/>
    </row>
    <row r="2708" spans="1:8" hidden="1">
      <c r="A2708" s="889"/>
      <c r="B2708" s="47" t="s">
        <v>3076</v>
      </c>
      <c r="C2708" s="48"/>
    </row>
    <row r="2709" spans="1:8" hidden="1">
      <c r="A2709" s="889"/>
      <c r="B2709" s="47" t="s">
        <v>6080</v>
      </c>
      <c r="C2709" s="48"/>
      <c r="F2709" s="78" t="s">
        <v>1697</v>
      </c>
      <c r="G2709" s="26">
        <f>ROUND(G2703*0.9,2)</f>
        <v>691.2</v>
      </c>
      <c r="H2709" s="26" t="s">
        <v>6901</v>
      </c>
    </row>
    <row r="2710" spans="1:8" hidden="1">
      <c r="A2710" s="889">
        <v>1</v>
      </c>
      <c r="B2710" s="47" t="s">
        <v>2860</v>
      </c>
      <c r="C2710" s="48"/>
    </row>
    <row r="2711" spans="1:8" hidden="1">
      <c r="A2711" s="889"/>
      <c r="B2711" s="47" t="s">
        <v>1963</v>
      </c>
      <c r="C2711" s="48"/>
    </row>
    <row r="2712" spans="1:8" hidden="1">
      <c r="A2712" s="889">
        <v>2</v>
      </c>
      <c r="B2712" s="47" t="s">
        <v>6281</v>
      </c>
      <c r="C2712" s="48"/>
    </row>
    <row r="2713" spans="1:8" hidden="1">
      <c r="A2713" s="889"/>
      <c r="B2713" s="47" t="s">
        <v>4313</v>
      </c>
      <c r="C2713" s="48"/>
    </row>
    <row r="2714" spans="1:8" hidden="1">
      <c r="A2714" s="889"/>
      <c r="B2714" s="47" t="s">
        <v>1260</v>
      </c>
      <c r="C2714" s="48"/>
    </row>
    <row r="2715" spans="1:8" hidden="1">
      <c r="A2715" s="889">
        <v>3</v>
      </c>
      <c r="B2715" s="47" t="s">
        <v>5954</v>
      </c>
      <c r="C2715" s="48"/>
    </row>
    <row r="2716" spans="1:8" hidden="1">
      <c r="A2716" s="889"/>
      <c r="B2716" s="47" t="s">
        <v>6081</v>
      </c>
      <c r="C2716" s="48"/>
      <c r="F2716" s="78" t="s">
        <v>1697</v>
      </c>
      <c r="G2716" s="26">
        <f>G2703*1.1</f>
        <v>844.80000000000007</v>
      </c>
      <c r="H2716" s="26" t="s">
        <v>6901</v>
      </c>
    </row>
    <row r="2717" spans="1:8" hidden="1">
      <c r="A2717" s="889"/>
      <c r="B2717" s="47" t="s">
        <v>6514</v>
      </c>
      <c r="C2717" s="48"/>
      <c r="F2717" s="78" t="s">
        <v>1697</v>
      </c>
      <c r="G2717" s="26">
        <v>200</v>
      </c>
      <c r="H2717" s="26" t="s">
        <v>6901</v>
      </c>
    </row>
    <row r="2718" spans="1:8" hidden="1">
      <c r="A2718" s="889"/>
      <c r="B2718" s="47" t="s">
        <v>6082</v>
      </c>
      <c r="C2718" s="48"/>
      <c r="F2718" s="78" t="s">
        <v>1123</v>
      </c>
      <c r="G2718" s="68">
        <f>G2716/G2717</f>
        <v>4.2240000000000002</v>
      </c>
      <c r="H2718" s="26" t="s">
        <v>3428</v>
      </c>
    </row>
    <row r="2719" spans="1:8" hidden="1">
      <c r="A2719" s="889">
        <v>4</v>
      </c>
      <c r="B2719" s="47" t="s">
        <v>1746</v>
      </c>
      <c r="C2719" s="48"/>
    </row>
    <row r="2720" spans="1:8" hidden="1">
      <c r="A2720" s="889"/>
      <c r="B2720" s="47" t="s">
        <v>4315</v>
      </c>
      <c r="C2720" s="48"/>
    </row>
    <row r="2721" spans="1:8" hidden="1">
      <c r="A2721" s="889"/>
      <c r="B2721" s="47" t="s">
        <v>4316</v>
      </c>
      <c r="C2721" s="48"/>
    </row>
    <row r="2722" spans="1:8" hidden="1">
      <c r="A2722" s="889"/>
      <c r="B2722" s="47" t="s">
        <v>4317</v>
      </c>
      <c r="C2722" s="48"/>
    </row>
    <row r="2723" spans="1:8" hidden="1">
      <c r="A2723" s="889"/>
      <c r="B2723" s="47" t="s">
        <v>4284</v>
      </c>
      <c r="C2723" s="48"/>
    </row>
    <row r="2724" spans="1:8" hidden="1">
      <c r="A2724" s="889"/>
      <c r="B2724" s="47" t="s">
        <v>1251</v>
      </c>
      <c r="C2724" s="48"/>
    </row>
    <row r="2725" spans="1:8" hidden="1">
      <c r="A2725" s="889"/>
      <c r="B2725" s="47" t="s">
        <v>2323</v>
      </c>
      <c r="C2725" s="48"/>
    </row>
    <row r="2726" spans="1:8" hidden="1">
      <c r="A2726" s="889"/>
      <c r="B2726" s="47" t="s">
        <v>2324</v>
      </c>
      <c r="C2726" s="48"/>
    </row>
    <row r="2727" spans="1:8" hidden="1">
      <c r="A2727" s="889"/>
      <c r="B2727" s="47" t="s">
        <v>2325</v>
      </c>
      <c r="C2727" s="48"/>
    </row>
    <row r="2728" spans="1:8" hidden="1">
      <c r="A2728" s="889">
        <v>5</v>
      </c>
      <c r="B2728" s="47" t="s">
        <v>6798</v>
      </c>
      <c r="C2728" s="48"/>
    </row>
    <row r="2729" spans="1:8" hidden="1">
      <c r="A2729" s="889"/>
      <c r="B2729" s="47" t="s">
        <v>3647</v>
      </c>
      <c r="C2729" s="48"/>
    </row>
    <row r="2730" spans="1:8" hidden="1">
      <c r="A2730" s="889"/>
      <c r="B2730" s="47" t="s">
        <v>9250</v>
      </c>
      <c r="C2730" s="48"/>
    </row>
    <row r="2731" spans="1:8" hidden="1">
      <c r="A2731" s="889"/>
      <c r="B2731" s="47" t="s">
        <v>2320</v>
      </c>
      <c r="C2731" s="48"/>
    </row>
    <row r="2732" spans="1:8" hidden="1">
      <c r="A2732" s="889"/>
      <c r="B2732" s="47" t="s">
        <v>3650</v>
      </c>
      <c r="C2732" s="48"/>
      <c r="F2732" s="78" t="s">
        <v>1697</v>
      </c>
      <c r="G2732" s="68">
        <v>1.9</v>
      </c>
      <c r="H2732" s="26" t="s">
        <v>2602</v>
      </c>
    </row>
    <row r="2733" spans="1:8" hidden="1">
      <c r="A2733" s="889"/>
      <c r="B2733" s="47" t="s">
        <v>4995</v>
      </c>
      <c r="C2733" s="48"/>
      <c r="F2733" s="78" t="s">
        <v>1697</v>
      </c>
      <c r="G2733" s="383">
        <v>4</v>
      </c>
      <c r="H2733" s="26" t="s">
        <v>3431</v>
      </c>
    </row>
    <row r="2734" spans="1:8" hidden="1">
      <c r="A2734" s="889"/>
      <c r="B2734" s="47" t="s">
        <v>4997</v>
      </c>
      <c r="C2734" s="48"/>
      <c r="F2734" s="78" t="s">
        <v>1697</v>
      </c>
      <c r="G2734" s="26">
        <v>0.25</v>
      </c>
      <c r="H2734" s="26" t="s">
        <v>2602</v>
      </c>
    </row>
    <row r="2735" spans="1:8" hidden="1">
      <c r="A2735" s="889"/>
      <c r="B2735" s="47" t="s">
        <v>1504</v>
      </c>
      <c r="C2735" s="48"/>
      <c r="F2735" s="78" t="s">
        <v>1697</v>
      </c>
      <c r="G2735" s="26">
        <v>11</v>
      </c>
      <c r="H2735" s="26" t="s">
        <v>3436</v>
      </c>
    </row>
    <row r="2736" spans="1:8" hidden="1">
      <c r="A2736" s="889"/>
      <c r="B2736" s="47" t="s">
        <v>1126</v>
      </c>
      <c r="C2736" s="48"/>
    </row>
    <row r="2737" spans="1:8" hidden="1">
      <c r="A2737" s="889"/>
      <c r="B2737" s="47" t="s">
        <v>6083</v>
      </c>
      <c r="C2737" s="48"/>
      <c r="E2737" s="26">
        <f>50/60*(1.9*4000*0.25*0.75/11)</f>
        <v>107.95454545454545</v>
      </c>
      <c r="F2737" s="78" t="s">
        <v>1123</v>
      </c>
      <c r="G2737" s="26">
        <v>107.95</v>
      </c>
      <c r="H2737" s="26" t="s">
        <v>6901</v>
      </c>
    </row>
    <row r="2738" spans="1:8" hidden="1">
      <c r="A2738" s="889"/>
      <c r="B2738" s="47" t="s">
        <v>6084</v>
      </c>
      <c r="C2738" s="48"/>
      <c r="E2738" s="26">
        <f>G2716/G2737</f>
        <v>7.8258452987494218</v>
      </c>
      <c r="F2738" s="78" t="s">
        <v>1123</v>
      </c>
      <c r="G2738" s="26">
        <v>7.82</v>
      </c>
      <c r="H2738" s="26" t="s">
        <v>3428</v>
      </c>
    </row>
    <row r="2739" spans="1:8" hidden="1">
      <c r="A2739" s="889">
        <v>6</v>
      </c>
      <c r="B2739" s="47" t="s">
        <v>1129</v>
      </c>
      <c r="C2739" s="48"/>
    </row>
    <row r="2740" spans="1:8" hidden="1">
      <c r="A2740" s="889"/>
      <c r="B2740" s="47" t="s">
        <v>6057</v>
      </c>
      <c r="C2740" s="48"/>
    </row>
    <row r="2741" spans="1:8">
      <c r="A2741" s="847"/>
      <c r="B2741" s="78"/>
      <c r="C2741" s="48"/>
    </row>
    <row r="2742" spans="1:8">
      <c r="A2742" s="889" t="s">
        <v>3984</v>
      </c>
      <c r="B2742" s="78"/>
      <c r="C2742" s="349" t="s">
        <v>2367</v>
      </c>
      <c r="E2742" s="171" t="s">
        <v>297</v>
      </c>
      <c r="F2742" s="246">
        <v>768</v>
      </c>
      <c r="G2742" s="26" t="s">
        <v>3477</v>
      </c>
    </row>
    <row r="2743" spans="1:8">
      <c r="A2743" s="847"/>
      <c r="B2743" s="79" t="s">
        <v>2368</v>
      </c>
      <c r="C2743" s="48"/>
    </row>
    <row r="2744" spans="1:8">
      <c r="A2744" s="847"/>
      <c r="B2744" s="95" t="s">
        <v>2369</v>
      </c>
      <c r="C2744" s="350" t="s">
        <v>6374</v>
      </c>
      <c r="D2744" s="95" t="s">
        <v>2370</v>
      </c>
      <c r="E2744" s="95" t="s">
        <v>1166</v>
      </c>
      <c r="F2744" s="95" t="s">
        <v>2371</v>
      </c>
      <c r="G2744" s="95" t="s">
        <v>2372</v>
      </c>
    </row>
    <row r="2745" spans="1:8">
      <c r="A2745" s="847"/>
      <c r="B2745" s="114"/>
      <c r="C2745" s="351"/>
      <c r="D2745" s="114"/>
      <c r="E2745" s="114"/>
      <c r="F2745" s="114" t="s">
        <v>3485</v>
      </c>
      <c r="G2745" s="114" t="s">
        <v>3485</v>
      </c>
    </row>
    <row r="2746" spans="1:8">
      <c r="A2746" s="847"/>
      <c r="B2746" s="95">
        <v>1</v>
      </c>
      <c r="C2746" s="352" t="s">
        <v>1130</v>
      </c>
      <c r="D2746" s="95"/>
      <c r="E2746" s="190">
        <v>0</v>
      </c>
      <c r="F2746" s="190">
        <v>0</v>
      </c>
      <c r="G2746" s="190">
        <f>E2746*F2746</f>
        <v>0</v>
      </c>
    </row>
    <row r="2747" spans="1:8">
      <c r="A2747" s="847"/>
      <c r="B2747" s="275"/>
      <c r="C2747" s="91"/>
      <c r="D2747" s="114"/>
      <c r="E2747" s="190">
        <v>0</v>
      </c>
      <c r="F2747" s="190">
        <v>0</v>
      </c>
      <c r="G2747" s="190">
        <f>E2747*F2747</f>
        <v>0</v>
      </c>
    </row>
    <row r="2748" spans="1:8">
      <c r="A2748" s="847"/>
      <c r="B2748" s="92"/>
      <c r="C2748" s="353" t="s">
        <v>2376</v>
      </c>
      <c r="D2748" s="159"/>
      <c r="E2748" s="238"/>
      <c r="F2748" s="236" t="s">
        <v>1698</v>
      </c>
      <c r="G2748" s="318">
        <f>SUM(G2746:G2747)</f>
        <v>0</v>
      </c>
    </row>
    <row r="2749" spans="1:8">
      <c r="A2749" s="847"/>
      <c r="B2749" s="78"/>
      <c r="C2749" s="48"/>
    </row>
    <row r="2750" spans="1:8">
      <c r="A2750" s="847"/>
      <c r="B2750" s="79" t="s">
        <v>2377</v>
      </c>
      <c r="C2750" s="48"/>
    </row>
    <row r="2751" spans="1:8">
      <c r="A2751" s="847"/>
      <c r="B2751" s="95" t="s">
        <v>2369</v>
      </c>
      <c r="C2751" s="350" t="s">
        <v>2378</v>
      </c>
      <c r="D2751" s="95" t="s">
        <v>2370</v>
      </c>
      <c r="E2751" s="95" t="s">
        <v>1166</v>
      </c>
      <c r="F2751" s="95" t="s">
        <v>2371</v>
      </c>
      <c r="G2751" s="95" t="s">
        <v>2372</v>
      </c>
    </row>
    <row r="2752" spans="1:8">
      <c r="A2752" s="847"/>
      <c r="B2752" s="114"/>
      <c r="C2752" s="351"/>
      <c r="D2752" s="114"/>
      <c r="E2752" s="114"/>
      <c r="F2752" s="114" t="s">
        <v>3485</v>
      </c>
      <c r="G2752" s="114" t="s">
        <v>3485</v>
      </c>
    </row>
    <row r="2753" spans="1:7">
      <c r="A2753" s="847"/>
      <c r="B2753" s="95">
        <v>1</v>
      </c>
      <c r="C2753" s="355" t="s">
        <v>1502</v>
      </c>
      <c r="D2753" s="95" t="s">
        <v>2374</v>
      </c>
      <c r="E2753" s="220">
        <v>4.22</v>
      </c>
      <c r="F2753" s="214">
        <f>'HIRE CHARGES'!$D$499</f>
        <v>1715.5</v>
      </c>
      <c r="G2753" s="190">
        <f t="shared" ref="G2753:G2765" si="40">E2753*F2753</f>
        <v>7239.41</v>
      </c>
    </row>
    <row r="2754" spans="1:7">
      <c r="A2754" s="847"/>
      <c r="B2754" s="152"/>
      <c r="C2754" s="355" t="s">
        <v>2379</v>
      </c>
      <c r="D2754" s="105" t="s">
        <v>2374</v>
      </c>
      <c r="E2754" s="220">
        <v>4.22</v>
      </c>
      <c r="F2754" s="214">
        <f>'HIRE CHARGES'!$E$499</f>
        <v>610.5</v>
      </c>
      <c r="G2754" s="190">
        <f t="shared" si="40"/>
        <v>2576.31</v>
      </c>
    </row>
    <row r="2755" spans="1:7">
      <c r="A2755" s="847"/>
      <c r="B2755" s="105">
        <v>2</v>
      </c>
      <c r="C2755" s="355" t="s">
        <v>2951</v>
      </c>
      <c r="D2755" s="105" t="s">
        <v>2374</v>
      </c>
      <c r="E2755" s="220">
        <v>8</v>
      </c>
      <c r="F2755" s="190">
        <f>'HIRE CHARGES'!$D$542</f>
        <v>1003.1</v>
      </c>
      <c r="G2755" s="190">
        <f t="shared" si="40"/>
        <v>8024.8</v>
      </c>
    </row>
    <row r="2756" spans="1:7">
      <c r="A2756" s="847"/>
      <c r="B2756" s="152"/>
      <c r="C2756" s="355" t="s">
        <v>2379</v>
      </c>
      <c r="D2756" s="105" t="s">
        <v>2374</v>
      </c>
      <c r="E2756" s="220">
        <v>8</v>
      </c>
      <c r="F2756" s="190">
        <f>'HIRE CHARGES'!$E$542</f>
        <v>476</v>
      </c>
      <c r="G2756" s="190">
        <f t="shared" si="40"/>
        <v>3808</v>
      </c>
    </row>
    <row r="2757" spans="1:7">
      <c r="A2757" s="847"/>
      <c r="B2757" s="105">
        <v>3</v>
      </c>
      <c r="C2757" s="355" t="s">
        <v>1100</v>
      </c>
      <c r="D2757" s="105" t="s">
        <v>2374</v>
      </c>
      <c r="E2757" s="220">
        <v>48</v>
      </c>
      <c r="F2757" s="190">
        <f>'HIRE CHARGES'!$D$545</f>
        <v>446.7</v>
      </c>
      <c r="G2757" s="190">
        <f t="shared" si="40"/>
        <v>21441.599999999999</v>
      </c>
    </row>
    <row r="2758" spans="1:7">
      <c r="A2758" s="847"/>
      <c r="B2758" s="152"/>
      <c r="C2758" s="355" t="s">
        <v>2379</v>
      </c>
      <c r="D2758" s="105" t="s">
        <v>2374</v>
      </c>
      <c r="E2758" s="220">
        <v>48</v>
      </c>
      <c r="F2758" s="190">
        <f>'HIRE CHARGES'!$E$545</f>
        <v>299.89999999999998</v>
      </c>
      <c r="G2758" s="190">
        <f t="shared" si="40"/>
        <v>14395.199999999999</v>
      </c>
    </row>
    <row r="2759" spans="1:7">
      <c r="A2759" s="847"/>
      <c r="B2759" s="105">
        <v>4</v>
      </c>
      <c r="C2759" s="355" t="s">
        <v>1132</v>
      </c>
      <c r="D2759" s="105" t="s">
        <v>2374</v>
      </c>
      <c r="E2759" s="220">
        <v>3</v>
      </c>
      <c r="F2759" s="214">
        <f>'HIRE CHARGES'!$D$517</f>
        <v>10.199999999999999</v>
      </c>
      <c r="G2759" s="190">
        <f t="shared" si="40"/>
        <v>30.599999999999998</v>
      </c>
    </row>
    <row r="2760" spans="1:7">
      <c r="A2760" s="847"/>
      <c r="B2760" s="152"/>
      <c r="C2760" s="355" t="s">
        <v>2379</v>
      </c>
      <c r="D2760" s="105" t="s">
        <v>2374</v>
      </c>
      <c r="E2760" s="220">
        <v>3</v>
      </c>
      <c r="F2760" s="214">
        <f>'HIRE CHARGES'!$E$517</f>
        <v>79.3</v>
      </c>
      <c r="G2760" s="190">
        <f t="shared" si="40"/>
        <v>237.89999999999998</v>
      </c>
    </row>
    <row r="2761" spans="1:7">
      <c r="A2761" s="847"/>
      <c r="B2761" s="105">
        <v>5</v>
      </c>
      <c r="C2761" s="355" t="s">
        <v>6286</v>
      </c>
      <c r="D2761" s="105" t="s">
        <v>2374</v>
      </c>
      <c r="E2761" s="220">
        <v>6</v>
      </c>
      <c r="F2761" s="214">
        <f>'HIRE CHARGES'!$D$555</f>
        <v>402.5</v>
      </c>
      <c r="G2761" s="190">
        <f t="shared" si="40"/>
        <v>2415</v>
      </c>
    </row>
    <row r="2762" spans="1:7">
      <c r="A2762" s="847"/>
      <c r="B2762" s="152"/>
      <c r="C2762" s="355" t="s">
        <v>2379</v>
      </c>
      <c r="D2762" s="105" t="s">
        <v>2374</v>
      </c>
      <c r="E2762" s="220">
        <v>6</v>
      </c>
      <c r="F2762" s="214">
        <f>'HIRE CHARGES'!$E$555</f>
        <v>299.89999999999998</v>
      </c>
      <c r="G2762" s="190">
        <f t="shared" si="40"/>
        <v>1799.3999999999999</v>
      </c>
    </row>
    <row r="2763" spans="1:7">
      <c r="A2763" s="847"/>
      <c r="B2763" s="105">
        <v>6</v>
      </c>
      <c r="C2763" s="355" t="s">
        <v>9251</v>
      </c>
      <c r="D2763" s="105" t="s">
        <v>2374</v>
      </c>
      <c r="E2763" s="220">
        <v>7.82</v>
      </c>
      <c r="F2763" s="214">
        <f>'HIRE CHARGES'!$D$553</f>
        <v>1342.2</v>
      </c>
      <c r="G2763" s="190">
        <f t="shared" si="40"/>
        <v>10496.004000000001</v>
      </c>
    </row>
    <row r="2764" spans="1:7">
      <c r="A2764" s="847"/>
      <c r="B2764" s="152"/>
      <c r="C2764" s="355" t="s">
        <v>2379</v>
      </c>
      <c r="D2764" s="105" t="s">
        <v>2374</v>
      </c>
      <c r="E2764" s="220">
        <v>7.82</v>
      </c>
      <c r="F2764" s="214">
        <f>'HIRE CHARGES'!$E$553</f>
        <v>1031.4000000000001</v>
      </c>
      <c r="G2764" s="190">
        <f t="shared" si="40"/>
        <v>8065.5480000000007</v>
      </c>
    </row>
    <row r="2765" spans="1:7">
      <c r="A2765" s="847"/>
      <c r="B2765" s="105">
        <v>7</v>
      </c>
      <c r="C2765" s="355" t="s">
        <v>2373</v>
      </c>
      <c r="D2765" s="105" t="s">
        <v>2173</v>
      </c>
      <c r="E2765" s="220">
        <v>2</v>
      </c>
      <c r="F2765" s="190">
        <f>'BASIC DATA'!$D$359</f>
        <v>30</v>
      </c>
      <c r="G2765" s="190">
        <f t="shared" si="40"/>
        <v>60</v>
      </c>
    </row>
    <row r="2766" spans="1:7">
      <c r="A2766" s="847"/>
      <c r="B2766" s="92"/>
      <c r="C2766" s="353" t="s">
        <v>2380</v>
      </c>
      <c r="D2766" s="159"/>
      <c r="E2766" s="238"/>
      <c r="F2766" s="236" t="s">
        <v>1698</v>
      </c>
      <c r="G2766" s="354">
        <f>SUM(G2753:G2765)</f>
        <v>80589.771999999983</v>
      </c>
    </row>
    <row r="2767" spans="1:7">
      <c r="A2767" s="847"/>
      <c r="B2767" s="78"/>
      <c r="C2767" s="48"/>
    </row>
    <row r="2768" spans="1:7">
      <c r="A2768" s="847"/>
      <c r="B2768" s="79" t="s">
        <v>2381</v>
      </c>
      <c r="C2768" s="48"/>
    </row>
    <row r="2769" spans="1:7">
      <c r="A2769" s="847"/>
      <c r="B2769" s="95" t="s">
        <v>2369</v>
      </c>
      <c r="C2769" s="350" t="s">
        <v>2378</v>
      </c>
      <c r="D2769" s="95" t="s">
        <v>2370</v>
      </c>
      <c r="E2769" s="95" t="s">
        <v>1166</v>
      </c>
      <c r="F2769" s="95" t="s">
        <v>2371</v>
      </c>
      <c r="G2769" s="95" t="s">
        <v>2372</v>
      </c>
    </row>
    <row r="2770" spans="1:7">
      <c r="A2770" s="847"/>
      <c r="B2770" s="114"/>
      <c r="C2770" s="351"/>
      <c r="D2770" s="105"/>
      <c r="E2770" s="114"/>
      <c r="F2770" s="114" t="s">
        <v>3485</v>
      </c>
      <c r="G2770" s="114" t="s">
        <v>3485</v>
      </c>
    </row>
    <row r="2771" spans="1:7">
      <c r="A2771" s="847"/>
      <c r="B2771" s="105">
        <v>1</v>
      </c>
      <c r="C2771" s="86" t="s">
        <v>2870</v>
      </c>
      <c r="D2771" s="95" t="s">
        <v>2374</v>
      </c>
      <c r="E2771" s="207">
        <v>4.22</v>
      </c>
      <c r="F2771" s="190">
        <f>'HIRE CHARGES'!$F$499</f>
        <v>236.6</v>
      </c>
      <c r="G2771" s="190">
        <f t="shared" ref="G2771:G2778" si="41">E2771*F2771</f>
        <v>998.45199999999988</v>
      </c>
    </row>
    <row r="2772" spans="1:7">
      <c r="A2772" s="847"/>
      <c r="B2772" s="105">
        <v>2</v>
      </c>
      <c r="C2772" s="86" t="s">
        <v>300</v>
      </c>
      <c r="D2772" s="105" t="s">
        <v>2374</v>
      </c>
      <c r="E2772" s="207">
        <v>8</v>
      </c>
      <c r="F2772" s="190">
        <f>'HIRE CHARGES'!$F$542</f>
        <v>236.6</v>
      </c>
      <c r="G2772" s="190">
        <f t="shared" si="41"/>
        <v>1892.8</v>
      </c>
    </row>
    <row r="2773" spans="1:7">
      <c r="A2773" s="847"/>
      <c r="B2773" s="105">
        <v>3</v>
      </c>
      <c r="C2773" s="86" t="s">
        <v>301</v>
      </c>
      <c r="D2773" s="105" t="s">
        <v>2374</v>
      </c>
      <c r="E2773" s="207">
        <v>48</v>
      </c>
      <c r="F2773" s="190">
        <f>'HIRE CHARGES'!$F$545</f>
        <v>177.5</v>
      </c>
      <c r="G2773" s="190">
        <f t="shared" si="41"/>
        <v>8520</v>
      </c>
    </row>
    <row r="2774" spans="1:7">
      <c r="A2774" s="847"/>
      <c r="B2774" s="105">
        <v>4</v>
      </c>
      <c r="C2774" s="86" t="s">
        <v>999</v>
      </c>
      <c r="D2774" s="105" t="s">
        <v>2374</v>
      </c>
      <c r="E2774" s="207">
        <v>3</v>
      </c>
      <c r="F2774" s="190">
        <f>'HIRE CHARGES'!$F$517</f>
        <v>111.1</v>
      </c>
      <c r="G2774" s="190">
        <f t="shared" si="41"/>
        <v>333.29999999999995</v>
      </c>
    </row>
    <row r="2775" spans="1:7">
      <c r="A2775" s="847"/>
      <c r="B2775" s="105">
        <v>5</v>
      </c>
      <c r="C2775" s="86" t="s">
        <v>1000</v>
      </c>
      <c r="D2775" s="105" t="s">
        <v>2374</v>
      </c>
      <c r="E2775" s="207">
        <v>6</v>
      </c>
      <c r="F2775" s="190">
        <f>'HIRE CHARGES'!$F$555</f>
        <v>177.5</v>
      </c>
      <c r="G2775" s="190">
        <f t="shared" si="41"/>
        <v>1065</v>
      </c>
    </row>
    <row r="2776" spans="1:7">
      <c r="A2776" s="847"/>
      <c r="B2776" s="105">
        <v>6</v>
      </c>
      <c r="C2776" s="86" t="s">
        <v>1001</v>
      </c>
      <c r="D2776" s="105" t="s">
        <v>2374</v>
      </c>
      <c r="E2776" s="207">
        <v>7.82</v>
      </c>
      <c r="F2776" s="190">
        <f>'HIRE CHARGES'!$F$553</f>
        <v>263.60000000000002</v>
      </c>
      <c r="G2776" s="190">
        <f t="shared" si="41"/>
        <v>2061.3520000000003</v>
      </c>
    </row>
    <row r="2777" spans="1:7">
      <c r="A2777" s="847"/>
      <c r="B2777" s="105">
        <v>7</v>
      </c>
      <c r="C2777" s="86" t="s">
        <v>4206</v>
      </c>
      <c r="D2777" s="105" t="s">
        <v>1172</v>
      </c>
      <c r="E2777" s="207">
        <v>2</v>
      </c>
      <c r="F2777" s="190">
        <f>'BASIC DATA'!$C$473</f>
        <v>450</v>
      </c>
      <c r="G2777" s="190">
        <f t="shared" si="41"/>
        <v>900</v>
      </c>
    </row>
    <row r="2778" spans="1:7">
      <c r="A2778" s="847"/>
      <c r="B2778" s="105">
        <v>8</v>
      </c>
      <c r="C2778" s="86" t="s">
        <v>2697</v>
      </c>
      <c r="D2778" s="105" t="s">
        <v>1172</v>
      </c>
      <c r="E2778" s="207">
        <v>6</v>
      </c>
      <c r="F2778" s="190">
        <f>'BASIC DATA'!$C$552</f>
        <v>350</v>
      </c>
      <c r="G2778" s="190">
        <f t="shared" si="41"/>
        <v>2100</v>
      </c>
    </row>
    <row r="2779" spans="1:7">
      <c r="A2779" s="847"/>
      <c r="B2779" s="92"/>
      <c r="C2779" s="353" t="s">
        <v>1174</v>
      </c>
      <c r="D2779" s="159"/>
      <c r="E2779" s="238"/>
      <c r="F2779" s="236" t="s">
        <v>1698</v>
      </c>
      <c r="G2779" s="318">
        <f>SUM(G2771:G2778)</f>
        <v>17870.904000000002</v>
      </c>
    </row>
    <row r="2780" spans="1:7">
      <c r="A2780" s="847"/>
      <c r="B2780" s="359" t="s">
        <v>5948</v>
      </c>
      <c r="C2780" s="48"/>
      <c r="D2780" s="31"/>
      <c r="E2780" s="85">
        <f>ROUND(G2779/F2742,1)</f>
        <v>23.3</v>
      </c>
    </row>
    <row r="2781" spans="1:7">
      <c r="A2781" s="847"/>
      <c r="B2781" s="359" t="s">
        <v>3163</v>
      </c>
      <c r="C2781" s="48"/>
      <c r="D2781" s="922">
        <f>'BASIC DATA'!$C$577</f>
        <v>0.13614999999999999</v>
      </c>
      <c r="E2781" s="85">
        <f>ROUND(E2780*D2781,1)</f>
        <v>3.2</v>
      </c>
    </row>
    <row r="2782" spans="1:7">
      <c r="A2782" s="847"/>
      <c r="B2782" s="359" t="s">
        <v>5949</v>
      </c>
      <c r="C2782" s="48"/>
      <c r="D2782" s="31"/>
      <c r="E2782" s="199">
        <f>ROUND(E2781+E2780,1)</f>
        <v>26.5</v>
      </c>
    </row>
    <row r="2783" spans="1:7">
      <c r="A2783" s="847"/>
      <c r="C2783" s="48"/>
    </row>
    <row r="2784" spans="1:7">
      <c r="A2784" s="847"/>
      <c r="B2784" s="162" t="s">
        <v>1175</v>
      </c>
      <c r="C2784" s="48"/>
    </row>
    <row r="2785" spans="1:8">
      <c r="A2785" s="847"/>
      <c r="B2785" s="47" t="s">
        <v>1176</v>
      </c>
      <c r="C2785" s="48"/>
      <c r="F2785" s="171" t="s">
        <v>1698</v>
      </c>
      <c r="G2785" s="68">
        <f>G2748</f>
        <v>0</v>
      </c>
    </row>
    <row r="2786" spans="1:8">
      <c r="A2786" s="847"/>
      <c r="B2786" s="47" t="s">
        <v>1186</v>
      </c>
      <c r="C2786" s="48"/>
      <c r="F2786" s="171" t="s">
        <v>1698</v>
      </c>
      <c r="G2786" s="68">
        <f>G2766</f>
        <v>80589.771999999983</v>
      </c>
    </row>
    <row r="2787" spans="1:8">
      <c r="A2787" s="847"/>
      <c r="B2787" s="47" t="s">
        <v>2660</v>
      </c>
      <c r="C2787" s="48"/>
      <c r="F2787" s="171" t="s">
        <v>1698</v>
      </c>
      <c r="G2787" s="75">
        <f>G2779</f>
        <v>17870.904000000002</v>
      </c>
    </row>
    <row r="2788" spans="1:8">
      <c r="A2788" s="847"/>
      <c r="B2788" s="78"/>
      <c r="C2788" s="48"/>
      <c r="E2788" s="261"/>
      <c r="F2788" s="171" t="s">
        <v>302</v>
      </c>
      <c r="G2788" s="205">
        <f>SUM(G2785:G2787)</f>
        <v>98460.675999999978</v>
      </c>
    </row>
    <row r="2789" spans="1:8" ht="36.75" customHeight="1">
      <c r="A2789" s="847"/>
      <c r="B2789" s="1207" t="s">
        <v>1379</v>
      </c>
      <c r="C2789" s="1207"/>
      <c r="D2789" s="1207"/>
      <c r="E2789" s="922">
        <f>'BASIC DATA'!$C$577</f>
        <v>0.13614999999999999</v>
      </c>
      <c r="F2789" s="171" t="s">
        <v>1698</v>
      </c>
      <c r="G2789" s="31">
        <f>ROUND(G2788*E2789,2)</f>
        <v>13405.42</v>
      </c>
    </row>
    <row r="2790" spans="1:8">
      <c r="A2790" s="847"/>
      <c r="B2790" s="47" t="s">
        <v>1191</v>
      </c>
      <c r="C2790" s="48"/>
      <c r="D2790" s="68">
        <f>F2742</f>
        <v>768</v>
      </c>
      <c r="E2790" s="68" t="str">
        <f>G2742</f>
        <v>cum</v>
      </c>
      <c r="F2790" s="171" t="s">
        <v>1698</v>
      </c>
      <c r="G2790" s="211">
        <f>G2789+G2788</f>
        <v>111866.09599999998</v>
      </c>
    </row>
    <row r="2791" spans="1:8">
      <c r="A2791" s="847"/>
      <c r="B2791" s="79" t="s">
        <v>1584</v>
      </c>
      <c r="C2791" s="356" t="str">
        <f>E2790</f>
        <v>cum</v>
      </c>
      <c r="D2791" s="26" t="s">
        <v>5878</v>
      </c>
      <c r="F2791" s="171" t="s">
        <v>4108</v>
      </c>
      <c r="G2791" s="211">
        <f>ROUND(G2790/D2790,1)</f>
        <v>145.69999999999999</v>
      </c>
      <c r="H2791" s="171"/>
    </row>
    <row r="2792" spans="1:8">
      <c r="A2792" s="847"/>
      <c r="B2792" s="78"/>
      <c r="C2792" s="48"/>
    </row>
    <row r="2793" spans="1:8">
      <c r="A2793" s="847"/>
      <c r="B2793" s="78"/>
      <c r="C2793" s="48"/>
    </row>
    <row r="2794" spans="1:8" ht="18.75">
      <c r="A2794" s="841" t="s">
        <v>7443</v>
      </c>
      <c r="B2794" s="47" t="s">
        <v>8685</v>
      </c>
      <c r="C2794" s="48"/>
    </row>
    <row r="2795" spans="1:8">
      <c r="A2795" s="889"/>
      <c r="B2795" s="47" t="s">
        <v>8676</v>
      </c>
      <c r="C2795" s="48"/>
    </row>
    <row r="2796" spans="1:8">
      <c r="A2796" s="889"/>
      <c r="B2796" s="47" t="s">
        <v>465</v>
      </c>
      <c r="C2796" s="48"/>
    </row>
    <row r="2797" spans="1:8" ht="18.75">
      <c r="A2797" s="889"/>
      <c r="B2797" s="47" t="s">
        <v>8686</v>
      </c>
      <c r="C2797" s="48"/>
    </row>
    <row r="2798" spans="1:8">
      <c r="A2798" s="889"/>
      <c r="B2798" s="47" t="s">
        <v>9225</v>
      </c>
      <c r="C2798" s="48"/>
    </row>
    <row r="2799" spans="1:8" ht="18.75">
      <c r="A2799" s="889"/>
      <c r="B2799" s="162" t="s">
        <v>9232</v>
      </c>
      <c r="C2799" s="48"/>
    </row>
    <row r="2800" spans="1:8">
      <c r="A2800" s="889"/>
      <c r="C2800" s="48"/>
    </row>
    <row r="2801" spans="1:8" hidden="1">
      <c r="A2801" s="889" t="s">
        <v>3984</v>
      </c>
      <c r="B2801" s="47" t="s">
        <v>910</v>
      </c>
      <c r="C2801" s="48"/>
      <c r="F2801" s="78"/>
    </row>
    <row r="2802" spans="1:8" hidden="1">
      <c r="A2802" s="889"/>
      <c r="B2802" s="47" t="s">
        <v>911</v>
      </c>
      <c r="C2802" s="48"/>
      <c r="F2802" s="78" t="s">
        <v>1697</v>
      </c>
      <c r="G2802" s="26">
        <v>768</v>
      </c>
      <c r="H2802" s="26" t="s">
        <v>6901</v>
      </c>
    </row>
    <row r="2803" spans="1:8" hidden="1">
      <c r="A2803" s="889">
        <v>1</v>
      </c>
      <c r="B2803" s="47" t="s">
        <v>2860</v>
      </c>
      <c r="C2803" s="48"/>
    </row>
    <row r="2804" spans="1:8" hidden="1">
      <c r="A2804" s="841"/>
      <c r="B2804" s="47" t="s">
        <v>3009</v>
      </c>
      <c r="C2804" s="48"/>
    </row>
    <row r="2805" spans="1:8" hidden="1">
      <c r="A2805" s="889">
        <v>2</v>
      </c>
      <c r="B2805" s="47" t="s">
        <v>6281</v>
      </c>
      <c r="C2805" s="48"/>
    </row>
    <row r="2806" spans="1:8" hidden="1">
      <c r="A2806" s="841"/>
      <c r="B2806" s="47" t="s">
        <v>912</v>
      </c>
      <c r="C2806" s="48"/>
      <c r="F2806" s="78" t="s">
        <v>1697</v>
      </c>
      <c r="G2806" s="68">
        <v>8</v>
      </c>
      <c r="H2806" s="26" t="s">
        <v>3428</v>
      </c>
    </row>
    <row r="2807" spans="1:8" hidden="1">
      <c r="A2807" s="841"/>
      <c r="B2807" s="47" t="s">
        <v>913</v>
      </c>
      <c r="C2807" s="48"/>
      <c r="F2807" s="78" t="s">
        <v>1697</v>
      </c>
      <c r="G2807" s="68">
        <v>48</v>
      </c>
      <c r="H2807" s="26" t="s">
        <v>3428</v>
      </c>
    </row>
    <row r="2808" spans="1:8" hidden="1">
      <c r="A2808" s="889">
        <v>3</v>
      </c>
      <c r="B2808" s="47" t="s">
        <v>5954</v>
      </c>
      <c r="C2808" s="48"/>
      <c r="F2808" s="78"/>
    </row>
    <row r="2809" spans="1:8" hidden="1">
      <c r="A2809" s="841"/>
      <c r="B2809" s="47" t="s">
        <v>914</v>
      </c>
      <c r="C2809" s="48"/>
      <c r="F2809" s="78" t="s">
        <v>1697</v>
      </c>
      <c r="G2809" s="68">
        <v>4.22</v>
      </c>
      <c r="H2809" s="26" t="s">
        <v>3428</v>
      </c>
    </row>
    <row r="2810" spans="1:8" hidden="1">
      <c r="A2810" s="889">
        <v>4</v>
      </c>
      <c r="B2810" s="47" t="s">
        <v>1746</v>
      </c>
      <c r="C2810" s="48"/>
      <c r="F2810" s="78"/>
    </row>
    <row r="2811" spans="1:8" hidden="1">
      <c r="A2811" s="841"/>
      <c r="B2811" s="47" t="s">
        <v>915</v>
      </c>
      <c r="C2811" s="48"/>
      <c r="F2811" s="78" t="s">
        <v>1697</v>
      </c>
      <c r="G2811" s="68">
        <v>6</v>
      </c>
      <c r="H2811" s="26" t="s">
        <v>3428</v>
      </c>
    </row>
    <row r="2812" spans="1:8" hidden="1">
      <c r="A2812" s="841"/>
      <c r="B2812" s="47" t="s">
        <v>916</v>
      </c>
      <c r="C2812" s="48"/>
      <c r="F2812" s="78" t="s">
        <v>1697</v>
      </c>
      <c r="G2812" s="68">
        <v>3</v>
      </c>
      <c r="H2812" s="26" t="s">
        <v>3428</v>
      </c>
    </row>
    <row r="2813" spans="1:8" hidden="1">
      <c r="A2813" s="889">
        <v>5</v>
      </c>
      <c r="B2813" s="47" t="s">
        <v>6798</v>
      </c>
      <c r="C2813" s="48"/>
    </row>
    <row r="2814" spans="1:8" hidden="1">
      <c r="A2814" s="841"/>
      <c r="B2814" s="47" t="s">
        <v>6194</v>
      </c>
      <c r="C2814" s="48"/>
    </row>
    <row r="2815" spans="1:8" hidden="1">
      <c r="A2815" s="841"/>
      <c r="B2815" s="47" t="s">
        <v>9252</v>
      </c>
      <c r="C2815" s="48"/>
    </row>
    <row r="2816" spans="1:8" hidden="1">
      <c r="A2816" s="841"/>
      <c r="B2816" s="47" t="s">
        <v>7098</v>
      </c>
      <c r="C2816" s="48"/>
    </row>
    <row r="2817" spans="1:8" hidden="1">
      <c r="A2817" s="841"/>
      <c r="B2817" s="47" t="s">
        <v>3650</v>
      </c>
      <c r="C2817" s="48"/>
      <c r="F2817" s="78" t="s">
        <v>1697</v>
      </c>
      <c r="G2817" s="68">
        <v>1.9</v>
      </c>
      <c r="H2817" s="26" t="s">
        <v>2602</v>
      </c>
    </row>
    <row r="2818" spans="1:8" hidden="1">
      <c r="A2818" s="841"/>
      <c r="B2818" s="47" t="s">
        <v>4995</v>
      </c>
      <c r="C2818" s="48"/>
      <c r="F2818" s="78" t="s">
        <v>1697</v>
      </c>
      <c r="G2818" s="383">
        <v>4</v>
      </c>
      <c r="H2818" s="26" t="s">
        <v>3431</v>
      </c>
    </row>
    <row r="2819" spans="1:8" hidden="1">
      <c r="A2819" s="841"/>
      <c r="B2819" s="47" t="s">
        <v>4997</v>
      </c>
      <c r="C2819" s="48"/>
      <c r="F2819" s="78" t="s">
        <v>1697</v>
      </c>
      <c r="G2819" s="26">
        <v>0.25</v>
      </c>
      <c r="H2819" s="26" t="s">
        <v>2602</v>
      </c>
    </row>
    <row r="2820" spans="1:8" hidden="1">
      <c r="A2820" s="841"/>
      <c r="B2820" s="47" t="s">
        <v>1504</v>
      </c>
      <c r="C2820" s="48"/>
      <c r="F2820" s="78" t="s">
        <v>1697</v>
      </c>
      <c r="G2820" s="26">
        <v>9</v>
      </c>
      <c r="H2820" s="26" t="s">
        <v>3436</v>
      </c>
    </row>
    <row r="2821" spans="1:8" hidden="1">
      <c r="A2821" s="841"/>
      <c r="B2821" s="47" t="s">
        <v>1126</v>
      </c>
      <c r="C2821" s="48"/>
    </row>
    <row r="2822" spans="1:8" hidden="1">
      <c r="A2822" s="841"/>
      <c r="B2822" s="47" t="s">
        <v>4126</v>
      </c>
      <c r="C2822" s="48"/>
      <c r="D2822" s="26">
        <f>50/60*(1.9*4000*0.25*0.75/9)</f>
        <v>131.94444444444446</v>
      </c>
      <c r="F2822" s="78" t="s">
        <v>1123</v>
      </c>
      <c r="G2822" s="26">
        <v>131.94</v>
      </c>
      <c r="H2822" s="26" t="s">
        <v>6901</v>
      </c>
    </row>
    <row r="2823" spans="1:8" hidden="1">
      <c r="A2823" s="841"/>
      <c r="B2823" s="47" t="s">
        <v>6085</v>
      </c>
      <c r="C2823" s="48"/>
      <c r="D2823" s="26">
        <f>844.8/G2822</f>
        <v>6.4029104138244657</v>
      </c>
      <c r="F2823" s="78" t="s">
        <v>1123</v>
      </c>
      <c r="G2823" s="26">
        <v>6.4</v>
      </c>
      <c r="H2823" s="26" t="s">
        <v>3428</v>
      </c>
    </row>
    <row r="2824" spans="1:8" hidden="1">
      <c r="A2824" s="889">
        <v>6</v>
      </c>
      <c r="B2824" s="47" t="s">
        <v>3220</v>
      </c>
      <c r="C2824" s="48"/>
    </row>
    <row r="2825" spans="1:8" hidden="1">
      <c r="A2825" s="841"/>
      <c r="B2825" s="47" t="s">
        <v>6057</v>
      </c>
      <c r="C2825" s="48"/>
    </row>
    <row r="2826" spans="1:8">
      <c r="A2826" s="847"/>
      <c r="B2826" s="78"/>
      <c r="C2826" s="48"/>
    </row>
    <row r="2827" spans="1:8">
      <c r="A2827" s="847"/>
      <c r="B2827" s="78"/>
      <c r="C2827" s="48"/>
    </row>
    <row r="2828" spans="1:8">
      <c r="A2828" s="889" t="s">
        <v>3984</v>
      </c>
      <c r="B2828" s="78"/>
      <c r="C2828" s="349" t="s">
        <v>2367</v>
      </c>
      <c r="E2828" s="171" t="s">
        <v>297</v>
      </c>
      <c r="F2828" s="246">
        <v>768</v>
      </c>
      <c r="G2828" s="26" t="s">
        <v>3477</v>
      </c>
    </row>
    <row r="2829" spans="1:8">
      <c r="A2829" s="847"/>
      <c r="B2829" s="79" t="s">
        <v>2368</v>
      </c>
      <c r="C2829" s="48"/>
    </row>
    <row r="2830" spans="1:8">
      <c r="A2830" s="847"/>
      <c r="B2830" s="95" t="s">
        <v>2369</v>
      </c>
      <c r="C2830" s="350" t="s">
        <v>6374</v>
      </c>
      <c r="D2830" s="95" t="s">
        <v>2370</v>
      </c>
      <c r="E2830" s="95" t="s">
        <v>1166</v>
      </c>
      <c r="F2830" s="95" t="s">
        <v>2371</v>
      </c>
      <c r="G2830" s="95" t="s">
        <v>2372</v>
      </c>
    </row>
    <row r="2831" spans="1:8">
      <c r="A2831" s="847"/>
      <c r="B2831" s="114"/>
      <c r="C2831" s="351"/>
      <c r="D2831" s="114"/>
      <c r="E2831" s="114"/>
      <c r="F2831" s="114" t="s">
        <v>3485</v>
      </c>
      <c r="G2831" s="114" t="s">
        <v>3485</v>
      </c>
    </row>
    <row r="2832" spans="1:8">
      <c r="A2832" s="847"/>
      <c r="B2832" s="95">
        <v>1</v>
      </c>
      <c r="C2832" s="352" t="s">
        <v>1130</v>
      </c>
      <c r="D2832" s="95"/>
      <c r="E2832" s="190">
        <v>0</v>
      </c>
      <c r="F2832" s="190">
        <v>0</v>
      </c>
      <c r="G2832" s="190">
        <f>E2832*F2832</f>
        <v>0</v>
      </c>
    </row>
    <row r="2833" spans="1:7">
      <c r="A2833" s="847"/>
      <c r="B2833" s="275"/>
      <c r="C2833" s="91"/>
      <c r="D2833" s="114"/>
      <c r="E2833" s="190">
        <v>0</v>
      </c>
      <c r="F2833" s="190">
        <v>0</v>
      </c>
      <c r="G2833" s="190">
        <f>E2833*F2833</f>
        <v>0</v>
      </c>
    </row>
    <row r="2834" spans="1:7">
      <c r="A2834" s="847"/>
      <c r="B2834" s="92"/>
      <c r="C2834" s="353" t="s">
        <v>2376</v>
      </c>
      <c r="D2834" s="159"/>
      <c r="E2834" s="238"/>
      <c r="F2834" s="236" t="s">
        <v>1698</v>
      </c>
      <c r="G2834" s="318">
        <f>SUM(G2832:G2833)</f>
        <v>0</v>
      </c>
    </row>
    <row r="2835" spans="1:7">
      <c r="A2835" s="847"/>
      <c r="B2835" s="78"/>
      <c r="C2835" s="48"/>
    </row>
    <row r="2836" spans="1:7">
      <c r="A2836" s="847"/>
      <c r="B2836" s="79" t="s">
        <v>2377</v>
      </c>
      <c r="C2836" s="48"/>
    </row>
    <row r="2837" spans="1:7">
      <c r="A2837" s="847"/>
      <c r="B2837" s="95" t="s">
        <v>2369</v>
      </c>
      <c r="C2837" s="350" t="s">
        <v>2378</v>
      </c>
      <c r="D2837" s="95" t="s">
        <v>2370</v>
      </c>
      <c r="E2837" s="95" t="s">
        <v>1166</v>
      </c>
      <c r="F2837" s="95" t="s">
        <v>2371</v>
      </c>
      <c r="G2837" s="95" t="s">
        <v>2372</v>
      </c>
    </row>
    <row r="2838" spans="1:7">
      <c r="A2838" s="847"/>
      <c r="B2838" s="114"/>
      <c r="C2838" s="351"/>
      <c r="D2838" s="114"/>
      <c r="E2838" s="114"/>
      <c r="F2838" s="114" t="s">
        <v>3485</v>
      </c>
      <c r="G2838" s="114" t="s">
        <v>3485</v>
      </c>
    </row>
    <row r="2839" spans="1:7">
      <c r="A2839" s="847"/>
      <c r="B2839" s="95">
        <v>1</v>
      </c>
      <c r="C2839" s="355" t="s">
        <v>1502</v>
      </c>
      <c r="D2839" s="95" t="s">
        <v>2374</v>
      </c>
      <c r="E2839" s="220">
        <v>4.22</v>
      </c>
      <c r="F2839" s="214">
        <f>'HIRE CHARGES'!$D$499</f>
        <v>1715.5</v>
      </c>
      <c r="G2839" s="190">
        <f t="shared" ref="G2839:G2851" si="42">E2839*F2839</f>
        <v>7239.41</v>
      </c>
    </row>
    <row r="2840" spans="1:7">
      <c r="A2840" s="847"/>
      <c r="B2840" s="152"/>
      <c r="C2840" s="355" t="s">
        <v>2379</v>
      </c>
      <c r="D2840" s="105" t="s">
        <v>2374</v>
      </c>
      <c r="E2840" s="220">
        <v>4.22</v>
      </c>
      <c r="F2840" s="214">
        <f>'HIRE CHARGES'!$E$499</f>
        <v>610.5</v>
      </c>
      <c r="G2840" s="190">
        <f t="shared" si="42"/>
        <v>2576.31</v>
      </c>
    </row>
    <row r="2841" spans="1:7">
      <c r="A2841" s="847"/>
      <c r="B2841" s="105">
        <v>2</v>
      </c>
      <c r="C2841" s="355" t="s">
        <v>1792</v>
      </c>
      <c r="D2841" s="105" t="s">
        <v>2374</v>
      </c>
      <c r="E2841" s="220">
        <v>8</v>
      </c>
      <c r="F2841" s="190">
        <f>'HIRE CHARGES'!$D$542</f>
        <v>1003.1</v>
      </c>
      <c r="G2841" s="190">
        <f t="shared" si="42"/>
        <v>8024.8</v>
      </c>
    </row>
    <row r="2842" spans="1:7">
      <c r="A2842" s="847"/>
      <c r="B2842" s="152"/>
      <c r="C2842" s="355" t="s">
        <v>2379</v>
      </c>
      <c r="D2842" s="105" t="s">
        <v>2374</v>
      </c>
      <c r="E2842" s="220">
        <v>8</v>
      </c>
      <c r="F2842" s="190">
        <f>'HIRE CHARGES'!$E$542</f>
        <v>476</v>
      </c>
      <c r="G2842" s="190">
        <f t="shared" si="42"/>
        <v>3808</v>
      </c>
    </row>
    <row r="2843" spans="1:7">
      <c r="A2843" s="847"/>
      <c r="B2843" s="105">
        <v>3</v>
      </c>
      <c r="C2843" s="355" t="s">
        <v>1101</v>
      </c>
      <c r="D2843" s="105" t="s">
        <v>2374</v>
      </c>
      <c r="E2843" s="220">
        <v>48</v>
      </c>
      <c r="F2843" s="190">
        <f>'HIRE CHARGES'!$D$545</f>
        <v>446.7</v>
      </c>
      <c r="G2843" s="190">
        <f t="shared" si="42"/>
        <v>21441.599999999999</v>
      </c>
    </row>
    <row r="2844" spans="1:7">
      <c r="A2844" s="847"/>
      <c r="B2844" s="152"/>
      <c r="C2844" s="355" t="s">
        <v>2379</v>
      </c>
      <c r="D2844" s="105" t="s">
        <v>2374</v>
      </c>
      <c r="E2844" s="220">
        <v>48</v>
      </c>
      <c r="F2844" s="190">
        <f>'HIRE CHARGES'!$E$545</f>
        <v>299.89999999999998</v>
      </c>
      <c r="G2844" s="190">
        <f t="shared" si="42"/>
        <v>14395.199999999999</v>
      </c>
    </row>
    <row r="2845" spans="1:7">
      <c r="A2845" s="847"/>
      <c r="B2845" s="105">
        <v>4</v>
      </c>
      <c r="C2845" s="355" t="s">
        <v>1132</v>
      </c>
      <c r="D2845" s="105" t="s">
        <v>2374</v>
      </c>
      <c r="E2845" s="220">
        <v>3</v>
      </c>
      <c r="F2845" s="214">
        <f>'HIRE CHARGES'!$D$517</f>
        <v>10.199999999999999</v>
      </c>
      <c r="G2845" s="190">
        <f t="shared" si="42"/>
        <v>30.599999999999998</v>
      </c>
    </row>
    <row r="2846" spans="1:7">
      <c r="A2846" s="847"/>
      <c r="B2846" s="152"/>
      <c r="C2846" s="355" t="s">
        <v>2379</v>
      </c>
      <c r="D2846" s="105" t="s">
        <v>2374</v>
      </c>
      <c r="E2846" s="220">
        <v>3</v>
      </c>
      <c r="F2846" s="214">
        <f>'HIRE CHARGES'!$E$517</f>
        <v>79.3</v>
      </c>
      <c r="G2846" s="190">
        <f t="shared" si="42"/>
        <v>237.89999999999998</v>
      </c>
    </row>
    <row r="2847" spans="1:7">
      <c r="A2847" s="847"/>
      <c r="B2847" s="105">
        <v>5</v>
      </c>
      <c r="C2847" s="355" t="s">
        <v>6286</v>
      </c>
      <c r="D2847" s="105" t="s">
        <v>2374</v>
      </c>
      <c r="E2847" s="220">
        <v>6</v>
      </c>
      <c r="F2847" s="214">
        <f>'HIRE CHARGES'!$D$555</f>
        <v>402.5</v>
      </c>
      <c r="G2847" s="190">
        <f t="shared" si="42"/>
        <v>2415</v>
      </c>
    </row>
    <row r="2848" spans="1:7">
      <c r="A2848" s="847"/>
      <c r="B2848" s="152"/>
      <c r="C2848" s="355" t="s">
        <v>2379</v>
      </c>
      <c r="D2848" s="105" t="s">
        <v>2374</v>
      </c>
      <c r="E2848" s="220">
        <v>6</v>
      </c>
      <c r="F2848" s="214">
        <f>'HIRE CHARGES'!$E$555</f>
        <v>299.89999999999998</v>
      </c>
      <c r="G2848" s="190">
        <f t="shared" si="42"/>
        <v>1799.3999999999999</v>
      </c>
    </row>
    <row r="2849" spans="1:7">
      <c r="A2849" s="847"/>
      <c r="B2849" s="105">
        <v>6</v>
      </c>
      <c r="C2849" s="355" t="s">
        <v>9251</v>
      </c>
      <c r="D2849" s="105" t="s">
        <v>2374</v>
      </c>
      <c r="E2849" s="220">
        <v>6.4</v>
      </c>
      <c r="F2849" s="214">
        <f>'HIRE CHARGES'!$D$553</f>
        <v>1342.2</v>
      </c>
      <c r="G2849" s="190">
        <f t="shared" si="42"/>
        <v>8590.08</v>
      </c>
    </row>
    <row r="2850" spans="1:7">
      <c r="A2850" s="847"/>
      <c r="B2850" s="152"/>
      <c r="C2850" s="355" t="s">
        <v>2379</v>
      </c>
      <c r="D2850" s="105" t="s">
        <v>2374</v>
      </c>
      <c r="E2850" s="220">
        <v>6.4</v>
      </c>
      <c r="F2850" s="214">
        <f>'HIRE CHARGES'!$E$553</f>
        <v>1031.4000000000001</v>
      </c>
      <c r="G2850" s="190">
        <f t="shared" si="42"/>
        <v>6600.9600000000009</v>
      </c>
    </row>
    <row r="2851" spans="1:7">
      <c r="A2851" s="847"/>
      <c r="B2851" s="114">
        <v>7</v>
      </c>
      <c r="C2851" s="355" t="s">
        <v>2373</v>
      </c>
      <c r="D2851" s="105" t="s">
        <v>2173</v>
      </c>
      <c r="E2851" s="220">
        <v>5</v>
      </c>
      <c r="F2851" s="190">
        <f>'BASIC DATA'!$D$359</f>
        <v>30</v>
      </c>
      <c r="G2851" s="190">
        <f t="shared" si="42"/>
        <v>150</v>
      </c>
    </row>
    <row r="2852" spans="1:7">
      <c r="A2852" s="847"/>
      <c r="B2852" s="176"/>
      <c r="C2852" s="357" t="s">
        <v>2380</v>
      </c>
      <c r="D2852" s="174"/>
      <c r="E2852" s="192"/>
      <c r="F2852" s="236" t="s">
        <v>1698</v>
      </c>
      <c r="G2852" s="354">
        <f>SUM(G2839:G2851)</f>
        <v>77309.259999999995</v>
      </c>
    </row>
    <row r="2853" spans="1:7">
      <c r="A2853" s="847"/>
      <c r="B2853" s="78"/>
      <c r="C2853" s="48"/>
    </row>
    <row r="2854" spans="1:7">
      <c r="A2854" s="847"/>
      <c r="B2854" s="79" t="s">
        <v>2381</v>
      </c>
      <c r="C2854" s="48"/>
    </row>
    <row r="2855" spans="1:7">
      <c r="A2855" s="847"/>
      <c r="B2855" s="95" t="s">
        <v>2369</v>
      </c>
      <c r="C2855" s="350" t="s">
        <v>2378</v>
      </c>
      <c r="D2855" s="95" t="s">
        <v>2370</v>
      </c>
      <c r="E2855" s="95" t="s">
        <v>1166</v>
      </c>
      <c r="F2855" s="95" t="s">
        <v>2371</v>
      </c>
      <c r="G2855" s="95" t="s">
        <v>2372</v>
      </c>
    </row>
    <row r="2856" spans="1:7">
      <c r="A2856" s="847"/>
      <c r="B2856" s="114"/>
      <c r="C2856" s="351"/>
      <c r="D2856" s="105"/>
      <c r="E2856" s="114"/>
      <c r="F2856" s="114" t="s">
        <v>3485</v>
      </c>
      <c r="G2856" s="114" t="s">
        <v>3485</v>
      </c>
    </row>
    <row r="2857" spans="1:7">
      <c r="A2857" s="847"/>
      <c r="B2857" s="105">
        <v>1</v>
      </c>
      <c r="C2857" s="86" t="s">
        <v>2870</v>
      </c>
      <c r="D2857" s="95" t="s">
        <v>2374</v>
      </c>
      <c r="E2857" s="207">
        <v>4.22</v>
      </c>
      <c r="F2857" s="190">
        <f>'HIRE CHARGES'!$F$499</f>
        <v>236.6</v>
      </c>
      <c r="G2857" s="190">
        <f t="shared" ref="G2857:G2864" si="43">E2857*F2857</f>
        <v>998.45199999999988</v>
      </c>
    </row>
    <row r="2858" spans="1:7">
      <c r="A2858" s="847"/>
      <c r="B2858" s="105">
        <v>2</v>
      </c>
      <c r="C2858" s="86" t="s">
        <v>300</v>
      </c>
      <c r="D2858" s="105" t="s">
        <v>2374</v>
      </c>
      <c r="E2858" s="207">
        <v>8</v>
      </c>
      <c r="F2858" s="190">
        <f>'HIRE CHARGES'!$F$542</f>
        <v>236.6</v>
      </c>
      <c r="G2858" s="190">
        <f t="shared" si="43"/>
        <v>1892.8</v>
      </c>
    </row>
    <row r="2859" spans="1:7">
      <c r="A2859" s="847"/>
      <c r="B2859" s="105">
        <v>3</v>
      </c>
      <c r="C2859" s="86" t="s">
        <v>301</v>
      </c>
      <c r="D2859" s="105" t="s">
        <v>2374</v>
      </c>
      <c r="E2859" s="207">
        <v>48</v>
      </c>
      <c r="F2859" s="190">
        <f>'HIRE CHARGES'!$F$545</f>
        <v>177.5</v>
      </c>
      <c r="G2859" s="190">
        <f t="shared" si="43"/>
        <v>8520</v>
      </c>
    </row>
    <row r="2860" spans="1:7">
      <c r="A2860" s="847"/>
      <c r="B2860" s="105">
        <v>4</v>
      </c>
      <c r="C2860" s="86" t="s">
        <v>999</v>
      </c>
      <c r="D2860" s="105" t="s">
        <v>2374</v>
      </c>
      <c r="E2860" s="207">
        <v>3</v>
      </c>
      <c r="F2860" s="190">
        <f>'HIRE CHARGES'!$F$517</f>
        <v>111.1</v>
      </c>
      <c r="G2860" s="190">
        <f t="shared" si="43"/>
        <v>333.29999999999995</v>
      </c>
    </row>
    <row r="2861" spans="1:7">
      <c r="A2861" s="847"/>
      <c r="B2861" s="105">
        <v>5</v>
      </c>
      <c r="C2861" s="86" t="s">
        <v>1000</v>
      </c>
      <c r="D2861" s="105" t="s">
        <v>2374</v>
      </c>
      <c r="E2861" s="207">
        <v>6</v>
      </c>
      <c r="F2861" s="190">
        <f>'HIRE CHARGES'!$F$555</f>
        <v>177.5</v>
      </c>
      <c r="G2861" s="190">
        <f t="shared" si="43"/>
        <v>1065</v>
      </c>
    </row>
    <row r="2862" spans="1:7">
      <c r="A2862" s="847"/>
      <c r="B2862" s="105">
        <v>6</v>
      </c>
      <c r="C2862" s="86" t="s">
        <v>1001</v>
      </c>
      <c r="D2862" s="105" t="s">
        <v>2374</v>
      </c>
      <c r="E2862" s="393">
        <v>6.4</v>
      </c>
      <c r="F2862" s="190">
        <f>'HIRE CHARGES'!$F$553</f>
        <v>263.60000000000002</v>
      </c>
      <c r="G2862" s="190">
        <f t="shared" si="43"/>
        <v>1687.0400000000002</v>
      </c>
    </row>
    <row r="2863" spans="1:7">
      <c r="A2863" s="847"/>
      <c r="B2863" s="105">
        <v>7</v>
      </c>
      <c r="C2863" s="86" t="s">
        <v>4206</v>
      </c>
      <c r="D2863" s="105" t="s">
        <v>1172</v>
      </c>
      <c r="E2863" s="207">
        <v>2</v>
      </c>
      <c r="F2863" s="190">
        <f>'BASIC DATA'!$C$473</f>
        <v>450</v>
      </c>
      <c r="G2863" s="190">
        <f t="shared" si="43"/>
        <v>900</v>
      </c>
    </row>
    <row r="2864" spans="1:7">
      <c r="A2864" s="847"/>
      <c r="B2864" s="105">
        <v>8</v>
      </c>
      <c r="C2864" s="86" t="s">
        <v>2696</v>
      </c>
      <c r="D2864" s="105" t="s">
        <v>1172</v>
      </c>
      <c r="E2864" s="207">
        <v>6</v>
      </c>
      <c r="F2864" s="190">
        <f>'BASIC DATA'!$C$552</f>
        <v>350</v>
      </c>
      <c r="G2864" s="190">
        <f t="shared" si="43"/>
        <v>2100</v>
      </c>
    </row>
    <row r="2865" spans="1:8">
      <c r="A2865" s="847"/>
      <c r="B2865" s="92"/>
      <c r="C2865" s="353" t="s">
        <v>1174</v>
      </c>
      <c r="D2865" s="159"/>
      <c r="E2865" s="238"/>
      <c r="F2865" s="236" t="s">
        <v>1698</v>
      </c>
      <c r="G2865" s="318">
        <f>SUM(G2857:G2864)</f>
        <v>17496.592000000001</v>
      </c>
    </row>
    <row r="2866" spans="1:8">
      <c r="A2866" s="847"/>
      <c r="B2866" s="359" t="s">
        <v>5948</v>
      </c>
      <c r="C2866" s="48"/>
      <c r="D2866" s="31"/>
      <c r="E2866" s="31"/>
      <c r="F2866" s="85">
        <f>ROUND(G2865/F2828,1)</f>
        <v>22.8</v>
      </c>
    </row>
    <row r="2867" spans="1:8">
      <c r="A2867" s="847"/>
      <c r="B2867" s="359" t="s">
        <v>3163</v>
      </c>
      <c r="C2867" s="48"/>
      <c r="D2867" s="31"/>
      <c r="E2867" s="922">
        <f>'BASIC DATA'!$C$577</f>
        <v>0.13614999999999999</v>
      </c>
      <c r="F2867" s="85">
        <f>ROUND(F2866*E2867,1)</f>
        <v>3.1</v>
      </c>
    </row>
    <row r="2868" spans="1:8">
      <c r="A2868" s="847"/>
      <c r="B2868" s="359" t="s">
        <v>5949</v>
      </c>
      <c r="C2868" s="48"/>
      <c r="D2868" s="31"/>
      <c r="E2868" s="31"/>
      <c r="F2868" s="199">
        <f>ROUND(F2867+F2866,1)</f>
        <v>25.9</v>
      </c>
    </row>
    <row r="2869" spans="1:8">
      <c r="A2869" s="847"/>
      <c r="C2869" s="48"/>
    </row>
    <row r="2870" spans="1:8">
      <c r="A2870" s="847"/>
      <c r="B2870" s="162" t="s">
        <v>1175</v>
      </c>
      <c r="C2870" s="48"/>
    </row>
    <row r="2871" spans="1:8">
      <c r="A2871" s="847"/>
      <c r="B2871" s="47" t="s">
        <v>1176</v>
      </c>
      <c r="C2871" s="48"/>
      <c r="F2871" s="171" t="s">
        <v>1698</v>
      </c>
      <c r="G2871" s="68">
        <f>G2834</f>
        <v>0</v>
      </c>
    </row>
    <row r="2872" spans="1:8">
      <c r="A2872" s="847"/>
      <c r="B2872" s="47" t="s">
        <v>1186</v>
      </c>
      <c r="C2872" s="48"/>
      <c r="F2872" s="171" t="s">
        <v>1698</v>
      </c>
      <c r="G2872" s="68">
        <f>G2852</f>
        <v>77309.259999999995</v>
      </c>
    </row>
    <row r="2873" spans="1:8">
      <c r="A2873" s="847"/>
      <c r="B2873" s="47" t="s">
        <v>2660</v>
      </c>
      <c r="C2873" s="48"/>
      <c r="F2873" s="171" t="s">
        <v>1698</v>
      </c>
      <c r="G2873" s="75">
        <f>G2865</f>
        <v>17496.592000000001</v>
      </c>
    </row>
    <row r="2874" spans="1:8">
      <c r="A2874" s="847"/>
      <c r="B2874" s="78"/>
      <c r="C2874" s="48"/>
      <c r="E2874" s="261"/>
      <c r="F2874" s="171" t="s">
        <v>302</v>
      </c>
      <c r="G2874" s="205">
        <f>SUM(G2871:G2873)</f>
        <v>94805.851999999999</v>
      </c>
    </row>
    <row r="2875" spans="1:8" ht="36.75" customHeight="1">
      <c r="A2875" s="847"/>
      <c r="B2875" s="1207" t="s">
        <v>1379</v>
      </c>
      <c r="C2875" s="1207"/>
      <c r="D2875" s="1207"/>
      <c r="E2875" s="922">
        <f>'BASIC DATA'!$C$577</f>
        <v>0.13614999999999999</v>
      </c>
      <c r="F2875" s="171" t="s">
        <v>1698</v>
      </c>
      <c r="G2875" s="31">
        <f>ROUND(G2874*E2875,2)</f>
        <v>12907.82</v>
      </c>
    </row>
    <row r="2876" spans="1:8">
      <c r="A2876" s="847"/>
      <c r="B2876" s="47" t="s">
        <v>1191</v>
      </c>
      <c r="C2876" s="48"/>
      <c r="D2876" s="68">
        <f>F2828</f>
        <v>768</v>
      </c>
      <c r="E2876" s="68" t="str">
        <f>G2828</f>
        <v>cum</v>
      </c>
      <c r="F2876" s="171" t="s">
        <v>1698</v>
      </c>
      <c r="G2876" s="211">
        <f>G2875+G2874</f>
        <v>107713.67199999999</v>
      </c>
    </row>
    <row r="2877" spans="1:8">
      <c r="A2877" s="847"/>
      <c r="B2877" s="79" t="s">
        <v>1584</v>
      </c>
      <c r="C2877" s="356" t="str">
        <f>E2876</f>
        <v>cum</v>
      </c>
      <c r="D2877" s="26" t="s">
        <v>5878</v>
      </c>
      <c r="F2877" s="171" t="s">
        <v>4108</v>
      </c>
      <c r="G2877" s="211">
        <f>ROUND(G2876/D2876,1)</f>
        <v>140.30000000000001</v>
      </c>
      <c r="H2877" s="171"/>
    </row>
    <row r="2878" spans="1:8">
      <c r="A2878" s="847"/>
      <c r="B2878" s="78"/>
      <c r="C2878" s="48"/>
    </row>
    <row r="2879" spans="1:8" ht="18.75">
      <c r="A2879" s="841" t="s">
        <v>7444</v>
      </c>
      <c r="B2879" s="47" t="s">
        <v>8687</v>
      </c>
      <c r="C2879" s="48"/>
    </row>
    <row r="2880" spans="1:8">
      <c r="A2880" s="889"/>
      <c r="B2880" s="47" t="s">
        <v>8676</v>
      </c>
      <c r="C2880" s="48"/>
    </row>
    <row r="2881" spans="1:8">
      <c r="A2881" s="889"/>
      <c r="B2881" s="47" t="s">
        <v>465</v>
      </c>
      <c r="C2881" s="48"/>
    </row>
    <row r="2882" spans="1:8" ht="18.75">
      <c r="A2882" s="889"/>
      <c r="B2882" s="47" t="s">
        <v>8677</v>
      </c>
      <c r="C2882" s="48"/>
    </row>
    <row r="2883" spans="1:8">
      <c r="A2883" s="889"/>
      <c r="B2883" s="47" t="s">
        <v>9236</v>
      </c>
      <c r="C2883" s="48"/>
    </row>
    <row r="2884" spans="1:8">
      <c r="A2884" s="889"/>
      <c r="B2884" s="162" t="s">
        <v>9239</v>
      </c>
      <c r="C2884" s="48"/>
    </row>
    <row r="2885" spans="1:8">
      <c r="A2885" s="889"/>
      <c r="C2885" s="48"/>
    </row>
    <row r="2886" spans="1:8" hidden="1">
      <c r="A2886" s="889" t="s">
        <v>3984</v>
      </c>
      <c r="B2886" s="47" t="s">
        <v>602</v>
      </c>
      <c r="C2886" s="48"/>
      <c r="F2886" s="78" t="s">
        <v>1697</v>
      </c>
      <c r="G2886" s="68">
        <v>0.5</v>
      </c>
      <c r="H2886" s="26" t="s">
        <v>6901</v>
      </c>
    </row>
    <row r="2887" spans="1:8" hidden="1">
      <c r="A2887" s="889"/>
      <c r="B2887" s="47" t="s">
        <v>603</v>
      </c>
      <c r="C2887" s="48"/>
      <c r="F2887" s="78" t="s">
        <v>1697</v>
      </c>
      <c r="G2887" s="26">
        <v>0.57999999999999996</v>
      </c>
      <c r="H2887" s="26" t="s">
        <v>6901</v>
      </c>
    </row>
    <row r="2888" spans="1:8" hidden="1">
      <c r="A2888" s="889"/>
      <c r="B2888" s="47" t="s">
        <v>2441</v>
      </c>
      <c r="C2888" s="48"/>
      <c r="F2888" s="78" t="s">
        <v>1697</v>
      </c>
      <c r="G2888" s="26">
        <v>0.53</v>
      </c>
      <c r="H2888" s="26" t="s">
        <v>6901</v>
      </c>
    </row>
    <row r="2889" spans="1:8" hidden="1">
      <c r="A2889" s="889"/>
      <c r="B2889" s="47" t="s">
        <v>604</v>
      </c>
      <c r="C2889" s="48"/>
      <c r="F2889" s="78" t="s">
        <v>1697</v>
      </c>
      <c r="G2889" s="68">
        <v>5</v>
      </c>
      <c r="H2889" s="26" t="s">
        <v>6901</v>
      </c>
    </row>
    <row r="2890" spans="1:8" hidden="1">
      <c r="A2890" s="889"/>
      <c r="B2890" s="47" t="s">
        <v>2541</v>
      </c>
      <c r="C2890" s="48"/>
      <c r="F2890" s="78" t="s">
        <v>4807</v>
      </c>
      <c r="G2890" s="26">
        <v>1</v>
      </c>
      <c r="H2890" s="26" t="s">
        <v>3431</v>
      </c>
    </row>
    <row r="2891" spans="1:8" hidden="1">
      <c r="A2891" s="889"/>
      <c r="B2891" s="47" t="s">
        <v>4569</v>
      </c>
      <c r="C2891" s="48"/>
      <c r="F2891" s="78" t="s">
        <v>1697</v>
      </c>
      <c r="G2891" s="26">
        <v>12</v>
      </c>
      <c r="H2891" s="26" t="s">
        <v>3433</v>
      </c>
    </row>
    <row r="2892" spans="1:8" hidden="1">
      <c r="A2892" s="889"/>
      <c r="B2892" s="47" t="s">
        <v>5632</v>
      </c>
      <c r="C2892" s="48"/>
      <c r="F2892" s="78" t="s">
        <v>1697</v>
      </c>
      <c r="G2892" s="26">
        <v>15</v>
      </c>
      <c r="H2892" s="26" t="s">
        <v>3433</v>
      </c>
    </row>
    <row r="2893" spans="1:8" hidden="1">
      <c r="A2893" s="889"/>
      <c r="B2893" s="47" t="s">
        <v>3985</v>
      </c>
      <c r="C2893" s="48"/>
      <c r="F2893" s="78" t="s">
        <v>1697</v>
      </c>
      <c r="G2893" s="68">
        <v>2</v>
      </c>
      <c r="H2893" s="26" t="s">
        <v>1433</v>
      </c>
    </row>
    <row r="2894" spans="1:8" hidden="1">
      <c r="A2894" s="889"/>
      <c r="B2894" s="47" t="s">
        <v>917</v>
      </c>
      <c r="C2894" s="48"/>
      <c r="F2894" s="78" t="s">
        <v>1697</v>
      </c>
      <c r="G2894" s="26">
        <v>2.67</v>
      </c>
      <c r="H2894" s="26" t="s">
        <v>1433</v>
      </c>
    </row>
    <row r="2895" spans="1:8" hidden="1">
      <c r="A2895" s="889"/>
      <c r="B2895" s="47" t="s">
        <v>918</v>
      </c>
      <c r="C2895" s="48"/>
      <c r="F2895" s="78" t="s">
        <v>1697</v>
      </c>
      <c r="G2895" s="26">
        <v>14.17</v>
      </c>
      <c r="H2895" s="26" t="s">
        <v>1433</v>
      </c>
    </row>
    <row r="2896" spans="1:8" hidden="1">
      <c r="A2896" s="889"/>
      <c r="B2896" s="47" t="s">
        <v>4420</v>
      </c>
      <c r="C2896" s="48"/>
      <c r="F2896" s="78">
        <f>14.17/2.67</f>
        <v>5.3071161048689142</v>
      </c>
      <c r="G2896" s="26">
        <v>6</v>
      </c>
      <c r="H2896" s="26" t="s">
        <v>3436</v>
      </c>
    </row>
    <row r="2897" spans="1:8" hidden="1">
      <c r="A2897" s="889"/>
      <c r="B2897" s="47" t="s">
        <v>5077</v>
      </c>
      <c r="C2897" s="48"/>
      <c r="F2897" s="78" t="s">
        <v>1697</v>
      </c>
      <c r="G2897" s="68">
        <v>16</v>
      </c>
      <c r="H2897" s="26" t="s">
        <v>6901</v>
      </c>
    </row>
    <row r="2898" spans="1:8" hidden="1">
      <c r="A2898" s="889"/>
      <c r="B2898" s="47" t="s">
        <v>6086</v>
      </c>
      <c r="C2898" s="48"/>
      <c r="E2898" s="26">
        <f>6*16*8</f>
        <v>768</v>
      </c>
      <c r="F2898" s="78" t="s">
        <v>1123</v>
      </c>
      <c r="G2898" s="26">
        <v>768</v>
      </c>
      <c r="H2898" s="26" t="s">
        <v>6901</v>
      </c>
    </row>
    <row r="2899" spans="1:8" hidden="1">
      <c r="A2899" s="889"/>
      <c r="B2899" s="47" t="s">
        <v>364</v>
      </c>
      <c r="C2899" s="48"/>
    </row>
    <row r="2900" spans="1:8" hidden="1">
      <c r="A2900" s="889"/>
      <c r="B2900" s="47" t="s">
        <v>1183</v>
      </c>
      <c r="C2900" s="48"/>
    </row>
    <row r="2901" spans="1:8" hidden="1">
      <c r="A2901" s="889"/>
      <c r="B2901" s="47" t="s">
        <v>4093</v>
      </c>
      <c r="C2901" s="48"/>
    </row>
    <row r="2902" spans="1:8" hidden="1">
      <c r="A2902" s="889"/>
      <c r="B2902" s="47" t="s">
        <v>1234</v>
      </c>
      <c r="C2902" s="48"/>
    </row>
    <row r="2903" spans="1:8" hidden="1">
      <c r="A2903" s="889"/>
      <c r="B2903" s="47" t="s">
        <v>3076</v>
      </c>
      <c r="C2903" s="48"/>
    </row>
    <row r="2904" spans="1:8" hidden="1">
      <c r="A2904" s="889"/>
      <c r="B2904" s="47" t="s">
        <v>6080</v>
      </c>
      <c r="C2904" s="48"/>
      <c r="F2904" s="78" t="s">
        <v>1697</v>
      </c>
      <c r="G2904" s="26">
        <f>G2898*0.9</f>
        <v>691.2</v>
      </c>
      <c r="H2904" s="26" t="s">
        <v>6901</v>
      </c>
    </row>
    <row r="2905" spans="1:8" hidden="1">
      <c r="A2905" s="889">
        <v>1</v>
      </c>
      <c r="B2905" s="47" t="s">
        <v>2860</v>
      </c>
      <c r="C2905" s="48"/>
    </row>
    <row r="2906" spans="1:8" hidden="1">
      <c r="A2906" s="841"/>
      <c r="B2906" s="47" t="s">
        <v>1963</v>
      </c>
      <c r="C2906" s="48"/>
    </row>
    <row r="2907" spans="1:8" hidden="1">
      <c r="A2907" s="889">
        <v>2</v>
      </c>
      <c r="B2907" s="47" t="s">
        <v>6281</v>
      </c>
      <c r="C2907" s="48"/>
    </row>
    <row r="2908" spans="1:8" hidden="1">
      <c r="A2908" s="841"/>
      <c r="B2908" s="47" t="s">
        <v>4313</v>
      </c>
      <c r="C2908" s="48"/>
    </row>
    <row r="2909" spans="1:8" hidden="1">
      <c r="A2909" s="841"/>
      <c r="B2909" s="47" t="s">
        <v>4314</v>
      </c>
      <c r="C2909" s="48"/>
    </row>
    <row r="2910" spans="1:8" hidden="1">
      <c r="A2910" s="889">
        <v>3</v>
      </c>
      <c r="B2910" s="47" t="s">
        <v>5954</v>
      </c>
      <c r="C2910" s="48"/>
    </row>
    <row r="2911" spans="1:8" hidden="1">
      <c r="A2911" s="841"/>
      <c r="B2911" s="47" t="s">
        <v>919</v>
      </c>
      <c r="C2911" s="48"/>
    </row>
    <row r="2912" spans="1:8" hidden="1">
      <c r="A2912" s="841"/>
      <c r="B2912" s="47" t="s">
        <v>6087</v>
      </c>
      <c r="C2912" s="48"/>
      <c r="F2912" s="78" t="s">
        <v>1123</v>
      </c>
      <c r="G2912" s="68">
        <v>4.22</v>
      </c>
      <c r="H2912" s="26" t="s">
        <v>3428</v>
      </c>
    </row>
    <row r="2913" spans="1:8" hidden="1">
      <c r="A2913" s="889">
        <v>4</v>
      </c>
      <c r="B2913" s="47" t="s">
        <v>1746</v>
      </c>
      <c r="C2913" s="48"/>
    </row>
    <row r="2914" spans="1:8" hidden="1">
      <c r="A2914" s="841"/>
      <c r="B2914" s="47" t="s">
        <v>1235</v>
      </c>
      <c r="C2914" s="48"/>
    </row>
    <row r="2915" spans="1:8" hidden="1">
      <c r="A2915" s="889">
        <v>5</v>
      </c>
      <c r="B2915" s="47" t="s">
        <v>6798</v>
      </c>
      <c r="C2915" s="48"/>
    </row>
    <row r="2916" spans="1:8" hidden="1">
      <c r="A2916" s="841"/>
      <c r="B2916" s="47" t="s">
        <v>3647</v>
      </c>
      <c r="C2916" s="48"/>
    </row>
    <row r="2917" spans="1:8" hidden="1">
      <c r="A2917" s="841"/>
      <c r="B2917" s="47" t="s">
        <v>9253</v>
      </c>
      <c r="C2917" s="48"/>
    </row>
    <row r="2918" spans="1:8" hidden="1">
      <c r="A2918" s="841"/>
      <c r="B2918" s="47" t="s">
        <v>3649</v>
      </c>
      <c r="C2918" s="48"/>
    </row>
    <row r="2919" spans="1:8" hidden="1">
      <c r="A2919" s="841"/>
      <c r="B2919" s="47" t="s">
        <v>3650</v>
      </c>
      <c r="C2919" s="48"/>
      <c r="F2919" s="78" t="s">
        <v>1697</v>
      </c>
      <c r="G2919" s="68">
        <v>1.9</v>
      </c>
      <c r="H2919" s="26" t="s">
        <v>2602</v>
      </c>
    </row>
    <row r="2920" spans="1:8" hidden="1">
      <c r="A2920" s="841"/>
      <c r="B2920" s="47" t="s">
        <v>4995</v>
      </c>
      <c r="C2920" s="48"/>
      <c r="F2920" s="78" t="s">
        <v>1697</v>
      </c>
      <c r="G2920" s="383">
        <v>4</v>
      </c>
      <c r="H2920" s="26" t="s">
        <v>3431</v>
      </c>
    </row>
    <row r="2921" spans="1:8" hidden="1">
      <c r="A2921" s="841"/>
      <c r="B2921" s="47" t="s">
        <v>4997</v>
      </c>
      <c r="C2921" s="48"/>
      <c r="F2921" s="78" t="s">
        <v>1697</v>
      </c>
      <c r="G2921" s="61">
        <v>0.25</v>
      </c>
      <c r="H2921" s="26" t="s">
        <v>2602</v>
      </c>
    </row>
    <row r="2922" spans="1:8" hidden="1">
      <c r="A2922" s="841"/>
      <c r="B2922" s="47" t="s">
        <v>4187</v>
      </c>
      <c r="C2922" s="48"/>
      <c r="F2922" s="78" t="s">
        <v>1697</v>
      </c>
      <c r="G2922" s="26">
        <v>9</v>
      </c>
      <c r="H2922" s="26" t="s">
        <v>3436</v>
      </c>
    </row>
    <row r="2923" spans="1:8" hidden="1">
      <c r="A2923" s="841"/>
      <c r="B2923" s="47" t="s">
        <v>1126</v>
      </c>
      <c r="C2923" s="48"/>
    </row>
    <row r="2924" spans="1:8" hidden="1">
      <c r="A2924" s="841"/>
      <c r="B2924" s="47" t="s">
        <v>4126</v>
      </c>
      <c r="C2924" s="48"/>
      <c r="E2924" s="26">
        <f>50/60*(1.9*4000*0.25*0.75/9)</f>
        <v>131.94444444444446</v>
      </c>
      <c r="F2924" s="78" t="s">
        <v>1123</v>
      </c>
      <c r="G2924" s="26">
        <v>131.94</v>
      </c>
      <c r="H2924" s="26" t="s">
        <v>6901</v>
      </c>
    </row>
    <row r="2925" spans="1:8" hidden="1">
      <c r="A2925" s="841"/>
      <c r="B2925" s="47" t="s">
        <v>6084</v>
      </c>
      <c r="C2925" s="48"/>
      <c r="F2925" s="78" t="s">
        <v>1123</v>
      </c>
      <c r="G2925" s="68">
        <f>844.8/G2924</f>
        <v>6.4029104138244657</v>
      </c>
      <c r="H2925" s="26" t="s">
        <v>3428</v>
      </c>
    </row>
    <row r="2926" spans="1:8" hidden="1">
      <c r="A2926" s="889">
        <v>6</v>
      </c>
      <c r="B2926" s="47" t="s">
        <v>1129</v>
      </c>
      <c r="C2926" s="48"/>
    </row>
    <row r="2927" spans="1:8" hidden="1">
      <c r="A2927" s="841"/>
      <c r="B2927" s="47" t="s">
        <v>6057</v>
      </c>
      <c r="C2927" s="48"/>
    </row>
    <row r="2928" spans="1:8">
      <c r="A2928" s="847"/>
      <c r="B2928" s="78"/>
      <c r="C2928" s="48"/>
    </row>
    <row r="2929" spans="1:7">
      <c r="A2929" s="847"/>
      <c r="B2929" s="78"/>
      <c r="C2929" s="48"/>
    </row>
    <row r="2930" spans="1:7">
      <c r="A2930" s="889" t="s">
        <v>3984</v>
      </c>
      <c r="B2930" s="78"/>
      <c r="C2930" s="349" t="s">
        <v>2367</v>
      </c>
      <c r="E2930" s="171" t="s">
        <v>297</v>
      </c>
      <c r="F2930" s="246">
        <v>768</v>
      </c>
      <c r="G2930" s="26" t="s">
        <v>3477</v>
      </c>
    </row>
    <row r="2931" spans="1:7">
      <c r="A2931" s="847"/>
      <c r="B2931" s="79" t="s">
        <v>2368</v>
      </c>
      <c r="C2931" s="48"/>
    </row>
    <row r="2932" spans="1:7">
      <c r="A2932" s="847"/>
      <c r="B2932" s="95" t="s">
        <v>2369</v>
      </c>
      <c r="C2932" s="350" t="s">
        <v>6374</v>
      </c>
      <c r="D2932" s="95" t="s">
        <v>2370</v>
      </c>
      <c r="E2932" s="95" t="s">
        <v>1166</v>
      </c>
      <c r="F2932" s="95" t="s">
        <v>2371</v>
      </c>
      <c r="G2932" s="95" t="s">
        <v>2372</v>
      </c>
    </row>
    <row r="2933" spans="1:7">
      <c r="A2933" s="847"/>
      <c r="B2933" s="114"/>
      <c r="C2933" s="351"/>
      <c r="D2933" s="114"/>
      <c r="E2933" s="114"/>
      <c r="F2933" s="114" t="s">
        <v>3485</v>
      </c>
      <c r="G2933" s="114" t="s">
        <v>3485</v>
      </c>
    </row>
    <row r="2934" spans="1:7">
      <c r="A2934" s="847"/>
      <c r="B2934" s="95">
        <v>1</v>
      </c>
      <c r="C2934" s="352" t="s">
        <v>1130</v>
      </c>
      <c r="D2934" s="95"/>
      <c r="E2934" s="190">
        <v>0</v>
      </c>
      <c r="F2934" s="190">
        <v>0</v>
      </c>
      <c r="G2934" s="190">
        <f>E2934*F2934</f>
        <v>0</v>
      </c>
    </row>
    <row r="2935" spans="1:7">
      <c r="A2935" s="847"/>
      <c r="B2935" s="275"/>
      <c r="C2935" s="91"/>
      <c r="D2935" s="114"/>
      <c r="E2935" s="190">
        <v>0</v>
      </c>
      <c r="F2935" s="190">
        <v>0</v>
      </c>
      <c r="G2935" s="190">
        <f>E2935*F2935</f>
        <v>0</v>
      </c>
    </row>
    <row r="2936" spans="1:7">
      <c r="A2936" s="847"/>
      <c r="B2936" s="92"/>
      <c r="C2936" s="353" t="s">
        <v>2376</v>
      </c>
      <c r="D2936" s="159"/>
      <c r="E2936" s="238"/>
      <c r="F2936" s="236" t="s">
        <v>1698</v>
      </c>
      <c r="G2936" s="318">
        <f>SUM(G2934:G2935)</f>
        <v>0</v>
      </c>
    </row>
    <row r="2937" spans="1:7">
      <c r="A2937" s="847"/>
      <c r="B2937" s="78"/>
      <c r="C2937" s="48"/>
    </row>
    <row r="2938" spans="1:7">
      <c r="A2938" s="847"/>
      <c r="B2938" s="79" t="s">
        <v>2377</v>
      </c>
      <c r="C2938" s="48"/>
    </row>
    <row r="2939" spans="1:7">
      <c r="A2939" s="847"/>
      <c r="B2939" s="95" t="s">
        <v>2369</v>
      </c>
      <c r="C2939" s="350" t="s">
        <v>2378</v>
      </c>
      <c r="D2939" s="95" t="s">
        <v>2370</v>
      </c>
      <c r="E2939" s="95" t="s">
        <v>1166</v>
      </c>
      <c r="F2939" s="95" t="s">
        <v>2371</v>
      </c>
      <c r="G2939" s="95" t="s">
        <v>2372</v>
      </c>
    </row>
    <row r="2940" spans="1:7">
      <c r="A2940" s="847"/>
      <c r="B2940" s="114"/>
      <c r="C2940" s="351"/>
      <c r="D2940" s="114"/>
      <c r="E2940" s="114"/>
      <c r="F2940" s="114" t="s">
        <v>3485</v>
      </c>
      <c r="G2940" s="114" t="s">
        <v>3485</v>
      </c>
    </row>
    <row r="2941" spans="1:7">
      <c r="A2941" s="847"/>
      <c r="B2941" s="95">
        <v>1</v>
      </c>
      <c r="C2941" s="355" t="s">
        <v>1502</v>
      </c>
      <c r="D2941" s="95" t="s">
        <v>2374</v>
      </c>
      <c r="E2941" s="220">
        <v>4.22</v>
      </c>
      <c r="F2941" s="214">
        <f>'HIRE CHARGES'!$D$499</f>
        <v>1715.5</v>
      </c>
      <c r="G2941" s="190">
        <f t="shared" ref="G2941:G2949" si="44">E2941*F2941</f>
        <v>7239.41</v>
      </c>
    </row>
    <row r="2942" spans="1:7">
      <c r="A2942" s="847"/>
      <c r="B2942" s="152"/>
      <c r="C2942" s="355" t="s">
        <v>2379</v>
      </c>
      <c r="D2942" s="105" t="s">
        <v>2374</v>
      </c>
      <c r="E2942" s="220">
        <v>4.22</v>
      </c>
      <c r="F2942" s="214">
        <f>'HIRE CHARGES'!$E$499</f>
        <v>610.5</v>
      </c>
      <c r="G2942" s="190">
        <f t="shared" si="44"/>
        <v>2576.31</v>
      </c>
    </row>
    <row r="2943" spans="1:7">
      <c r="A2943" s="847"/>
      <c r="B2943" s="105">
        <v>2</v>
      </c>
      <c r="C2943" s="355" t="s">
        <v>2951</v>
      </c>
      <c r="D2943" s="105" t="s">
        <v>2374</v>
      </c>
      <c r="E2943" s="220">
        <v>8</v>
      </c>
      <c r="F2943" s="190">
        <f>'HIRE CHARGES'!$D$542</f>
        <v>1003.1</v>
      </c>
      <c r="G2943" s="190">
        <f t="shared" si="44"/>
        <v>8024.8</v>
      </c>
    </row>
    <row r="2944" spans="1:7">
      <c r="A2944" s="847"/>
      <c r="B2944" s="152"/>
      <c r="C2944" s="355" t="s">
        <v>2379</v>
      </c>
      <c r="D2944" s="105" t="s">
        <v>2374</v>
      </c>
      <c r="E2944" s="220">
        <v>8</v>
      </c>
      <c r="F2944" s="190">
        <f>'HIRE CHARGES'!$E$542</f>
        <v>476</v>
      </c>
      <c r="G2944" s="190">
        <f t="shared" si="44"/>
        <v>3808</v>
      </c>
    </row>
    <row r="2945" spans="1:7">
      <c r="A2945" s="847"/>
      <c r="B2945" s="105">
        <v>3</v>
      </c>
      <c r="C2945" s="355" t="s">
        <v>2347</v>
      </c>
      <c r="D2945" s="105" t="s">
        <v>2374</v>
      </c>
      <c r="E2945" s="220">
        <v>48</v>
      </c>
      <c r="F2945" s="190">
        <f>'HIRE CHARGES'!$D$545</f>
        <v>446.7</v>
      </c>
      <c r="G2945" s="190">
        <f t="shared" si="44"/>
        <v>21441.599999999999</v>
      </c>
    </row>
    <row r="2946" spans="1:7">
      <c r="A2946" s="847"/>
      <c r="B2946" s="152"/>
      <c r="C2946" s="355" t="s">
        <v>2379</v>
      </c>
      <c r="D2946" s="105" t="s">
        <v>2374</v>
      </c>
      <c r="E2946" s="220">
        <v>48</v>
      </c>
      <c r="F2946" s="190">
        <f>'HIRE CHARGES'!$E$545</f>
        <v>299.89999999999998</v>
      </c>
      <c r="G2946" s="190">
        <f t="shared" si="44"/>
        <v>14395.199999999999</v>
      </c>
    </row>
    <row r="2947" spans="1:7">
      <c r="A2947" s="847"/>
      <c r="B2947" s="105">
        <v>4</v>
      </c>
      <c r="C2947" s="355" t="s">
        <v>9251</v>
      </c>
      <c r="D2947" s="105" t="s">
        <v>2374</v>
      </c>
      <c r="E2947" s="220">
        <v>6.4</v>
      </c>
      <c r="F2947" s="214">
        <f>'HIRE CHARGES'!$D$553</f>
        <v>1342.2</v>
      </c>
      <c r="G2947" s="190">
        <f t="shared" si="44"/>
        <v>8590.08</v>
      </c>
    </row>
    <row r="2948" spans="1:7">
      <c r="A2948" s="847"/>
      <c r="B2948" s="152"/>
      <c r="C2948" s="355" t="s">
        <v>2379</v>
      </c>
      <c r="D2948" s="105" t="s">
        <v>2374</v>
      </c>
      <c r="E2948" s="220">
        <v>6.4</v>
      </c>
      <c r="F2948" s="214">
        <f>'HIRE CHARGES'!$E$553</f>
        <v>1031.4000000000001</v>
      </c>
      <c r="G2948" s="190">
        <f t="shared" si="44"/>
        <v>6600.9600000000009</v>
      </c>
    </row>
    <row r="2949" spans="1:7">
      <c r="A2949" s="847"/>
      <c r="B2949" s="114">
        <v>5</v>
      </c>
      <c r="C2949" s="355" t="s">
        <v>2373</v>
      </c>
      <c r="D2949" s="105" t="s">
        <v>2173</v>
      </c>
      <c r="E2949" s="220">
        <v>2</v>
      </c>
      <c r="F2949" s="190">
        <f>'BASIC DATA'!$D$359</f>
        <v>30</v>
      </c>
      <c r="G2949" s="190">
        <f t="shared" si="44"/>
        <v>60</v>
      </c>
    </row>
    <row r="2950" spans="1:7">
      <c r="A2950" s="847"/>
      <c r="B2950" s="176"/>
      <c r="C2950" s="357" t="s">
        <v>2380</v>
      </c>
      <c r="D2950" s="174"/>
      <c r="E2950" s="192"/>
      <c r="F2950" s="236" t="s">
        <v>1698</v>
      </c>
      <c r="G2950" s="354">
        <f>SUM(G2941:G2949)</f>
        <v>72736.36</v>
      </c>
    </row>
    <row r="2951" spans="1:7">
      <c r="A2951" s="847"/>
      <c r="B2951" s="78"/>
      <c r="C2951" s="48"/>
    </row>
    <row r="2952" spans="1:7">
      <c r="A2952" s="847"/>
      <c r="B2952" s="79" t="s">
        <v>2381</v>
      </c>
      <c r="C2952" s="48"/>
    </row>
    <row r="2953" spans="1:7">
      <c r="A2953" s="847"/>
      <c r="B2953" s="95" t="s">
        <v>2369</v>
      </c>
      <c r="C2953" s="350" t="s">
        <v>2378</v>
      </c>
      <c r="D2953" s="95" t="s">
        <v>2370</v>
      </c>
      <c r="E2953" s="95" t="s">
        <v>1166</v>
      </c>
      <c r="F2953" s="95" t="s">
        <v>2371</v>
      </c>
      <c r="G2953" s="95" t="s">
        <v>2372</v>
      </c>
    </row>
    <row r="2954" spans="1:7">
      <c r="A2954" s="847"/>
      <c r="B2954" s="114"/>
      <c r="C2954" s="351"/>
      <c r="D2954" s="105"/>
      <c r="E2954" s="114"/>
      <c r="F2954" s="114" t="s">
        <v>3485</v>
      </c>
      <c r="G2954" s="114" t="s">
        <v>3485</v>
      </c>
    </row>
    <row r="2955" spans="1:7">
      <c r="A2955" s="847"/>
      <c r="B2955" s="105">
        <v>1</v>
      </c>
      <c r="C2955" s="86" t="s">
        <v>2870</v>
      </c>
      <c r="D2955" s="95" t="s">
        <v>2374</v>
      </c>
      <c r="E2955" s="207">
        <v>4.22</v>
      </c>
      <c r="F2955" s="190">
        <f>'HIRE CHARGES'!$F$499</f>
        <v>236.6</v>
      </c>
      <c r="G2955" s="190">
        <f t="shared" ref="G2955:G2960" si="45">E2955*F2955</f>
        <v>998.45199999999988</v>
      </c>
    </row>
    <row r="2956" spans="1:7">
      <c r="A2956" s="847"/>
      <c r="B2956" s="105">
        <v>2</v>
      </c>
      <c r="C2956" s="86" t="s">
        <v>300</v>
      </c>
      <c r="D2956" s="105" t="s">
        <v>2374</v>
      </c>
      <c r="E2956" s="207">
        <v>8</v>
      </c>
      <c r="F2956" s="190">
        <f>'HIRE CHARGES'!$F$542</f>
        <v>236.6</v>
      </c>
      <c r="G2956" s="190">
        <f t="shared" si="45"/>
        <v>1892.8</v>
      </c>
    </row>
    <row r="2957" spans="1:7">
      <c r="A2957" s="847"/>
      <c r="B2957" s="105">
        <v>3</v>
      </c>
      <c r="C2957" s="86" t="s">
        <v>301</v>
      </c>
      <c r="D2957" s="105" t="s">
        <v>2374</v>
      </c>
      <c r="E2957" s="207">
        <v>48</v>
      </c>
      <c r="F2957" s="190">
        <f>'HIRE CHARGES'!$F$545</f>
        <v>177.5</v>
      </c>
      <c r="G2957" s="190">
        <f t="shared" si="45"/>
        <v>8520</v>
      </c>
    </row>
    <row r="2958" spans="1:7">
      <c r="A2958" s="847"/>
      <c r="B2958" s="105">
        <v>4</v>
      </c>
      <c r="C2958" s="86" t="s">
        <v>1001</v>
      </c>
      <c r="D2958" s="105" t="s">
        <v>2374</v>
      </c>
      <c r="E2958" s="207">
        <v>6.4</v>
      </c>
      <c r="F2958" s="190">
        <f>'HIRE CHARGES'!$F$553</f>
        <v>263.60000000000002</v>
      </c>
      <c r="G2958" s="190">
        <f t="shared" si="45"/>
        <v>1687.0400000000002</v>
      </c>
    </row>
    <row r="2959" spans="1:7">
      <c r="A2959" s="847"/>
      <c r="B2959" s="105">
        <v>5</v>
      </c>
      <c r="C2959" s="86" t="s">
        <v>4206</v>
      </c>
      <c r="D2959" s="105" t="s">
        <v>1172</v>
      </c>
      <c r="E2959" s="207">
        <v>2</v>
      </c>
      <c r="F2959" s="190">
        <f>'BASIC DATA'!$C$473</f>
        <v>450</v>
      </c>
      <c r="G2959" s="190">
        <f t="shared" si="45"/>
        <v>900</v>
      </c>
    </row>
    <row r="2960" spans="1:7">
      <c r="A2960" s="847"/>
      <c r="B2960" s="105">
        <v>6</v>
      </c>
      <c r="C2960" s="86" t="s">
        <v>2697</v>
      </c>
      <c r="D2960" s="105" t="s">
        <v>1172</v>
      </c>
      <c r="E2960" s="207">
        <v>6</v>
      </c>
      <c r="F2960" s="190">
        <f>'BASIC DATA'!$C$552</f>
        <v>350</v>
      </c>
      <c r="G2960" s="190">
        <f t="shared" si="45"/>
        <v>2100</v>
      </c>
    </row>
    <row r="2961" spans="1:8">
      <c r="A2961" s="847"/>
      <c r="B2961" s="92"/>
      <c r="C2961" s="353" t="s">
        <v>1174</v>
      </c>
      <c r="D2961" s="159"/>
      <c r="E2961" s="238"/>
      <c r="F2961" s="236" t="s">
        <v>1698</v>
      </c>
      <c r="G2961" s="318">
        <f>SUM(G2955:G2960)</f>
        <v>16098.292000000001</v>
      </c>
    </row>
    <row r="2962" spans="1:8">
      <c r="A2962" s="847"/>
      <c r="B2962" s="359" t="s">
        <v>5948</v>
      </c>
      <c r="C2962" s="355"/>
      <c r="D2962" s="31"/>
      <c r="E2962" s="85">
        <f>ROUND(G2961/F2930,1)</f>
        <v>21</v>
      </c>
    </row>
    <row r="2963" spans="1:8">
      <c r="A2963" s="847"/>
      <c r="B2963" s="359" t="s">
        <v>3163</v>
      </c>
      <c r="C2963" s="355"/>
      <c r="D2963" s="922">
        <f>'BASIC DATA'!$C$577</f>
        <v>0.13614999999999999</v>
      </c>
      <c r="E2963" s="85">
        <f>ROUND(E2962*D2963,1)</f>
        <v>2.9</v>
      </c>
    </row>
    <row r="2964" spans="1:8">
      <c r="A2964" s="847"/>
      <c r="B2964" s="359" t="s">
        <v>5949</v>
      </c>
      <c r="C2964" s="355"/>
      <c r="D2964" s="31"/>
      <c r="E2964" s="199">
        <f>ROUND(E2963+E2962,1)</f>
        <v>23.9</v>
      </c>
    </row>
    <row r="2965" spans="1:8">
      <c r="A2965" s="847"/>
      <c r="C2965" s="48"/>
    </row>
    <row r="2966" spans="1:8">
      <c r="A2966" s="847"/>
      <c r="B2966" s="162" t="s">
        <v>1175</v>
      </c>
      <c r="C2966" s="48"/>
    </row>
    <row r="2967" spans="1:8">
      <c r="A2967" s="847"/>
      <c r="B2967" s="47" t="s">
        <v>1176</v>
      </c>
      <c r="C2967" s="48"/>
      <c r="F2967" s="171" t="s">
        <v>1698</v>
      </c>
      <c r="G2967" s="68">
        <f>G2936</f>
        <v>0</v>
      </c>
    </row>
    <row r="2968" spans="1:8">
      <c r="A2968" s="847"/>
      <c r="B2968" s="47" t="s">
        <v>1186</v>
      </c>
      <c r="C2968" s="48"/>
      <c r="F2968" s="171" t="s">
        <v>1698</v>
      </c>
      <c r="G2968" s="68">
        <f>G2950</f>
        <v>72736.36</v>
      </c>
    </row>
    <row r="2969" spans="1:8">
      <c r="A2969" s="847"/>
      <c r="B2969" s="47" t="s">
        <v>2660</v>
      </c>
      <c r="C2969" s="48"/>
      <c r="F2969" s="171" t="s">
        <v>1698</v>
      </c>
      <c r="G2969" s="75">
        <f>G2961</f>
        <v>16098.292000000001</v>
      </c>
    </row>
    <row r="2970" spans="1:8">
      <c r="A2970" s="847"/>
      <c r="B2970" s="78"/>
      <c r="C2970" s="48"/>
      <c r="E2970" s="261"/>
      <c r="F2970" s="171" t="s">
        <v>302</v>
      </c>
      <c r="G2970" s="205">
        <f>SUM(G2967:G2969)</f>
        <v>88834.652000000002</v>
      </c>
    </row>
    <row r="2971" spans="1:8" ht="36.75" customHeight="1">
      <c r="A2971" s="847"/>
      <c r="B2971" s="1207" t="s">
        <v>1379</v>
      </c>
      <c r="C2971" s="1207"/>
      <c r="D2971" s="1207"/>
      <c r="E2971" s="922">
        <f>'BASIC DATA'!$C$577</f>
        <v>0.13614999999999999</v>
      </c>
      <c r="F2971" s="171" t="s">
        <v>1698</v>
      </c>
      <c r="G2971" s="31">
        <f>ROUND(G2970*E2971,2)</f>
        <v>12094.84</v>
      </c>
    </row>
    <row r="2972" spans="1:8">
      <c r="A2972" s="847"/>
      <c r="B2972" s="47" t="s">
        <v>1191</v>
      </c>
      <c r="C2972" s="48"/>
      <c r="D2972" s="68">
        <f>F2930</f>
        <v>768</v>
      </c>
      <c r="E2972" s="68" t="str">
        <f>G2930</f>
        <v>cum</v>
      </c>
      <c r="F2972" s="171" t="s">
        <v>1698</v>
      </c>
      <c r="G2972" s="211">
        <f>G2971+G2970</f>
        <v>100929.492</v>
      </c>
    </row>
    <row r="2973" spans="1:8">
      <c r="A2973" s="847"/>
      <c r="B2973" s="79" t="s">
        <v>1584</v>
      </c>
      <c r="C2973" s="356" t="str">
        <f>E2972</f>
        <v>cum</v>
      </c>
      <c r="D2973" s="26" t="s">
        <v>5878</v>
      </c>
      <c r="F2973" s="171" t="s">
        <v>4108</v>
      </c>
      <c r="G2973" s="211">
        <f>ROUND(G2972/D2972,1)</f>
        <v>131.4</v>
      </c>
      <c r="H2973" s="171"/>
    </row>
    <row r="2974" spans="1:8">
      <c r="A2974" s="847"/>
      <c r="B2974" s="78"/>
      <c r="C2974" s="48"/>
    </row>
    <row r="2975" spans="1:8">
      <c r="A2975" s="841" t="s">
        <v>7445</v>
      </c>
      <c r="B2975" s="162" t="s">
        <v>1747</v>
      </c>
      <c r="C2975" s="48"/>
    </row>
    <row r="2976" spans="1:8">
      <c r="A2976" s="841"/>
      <c r="C2976" s="48"/>
    </row>
    <row r="2977" spans="1:8" ht="18.75">
      <c r="A2977" s="841" t="s">
        <v>7446</v>
      </c>
      <c r="B2977" s="47" t="s">
        <v>8688</v>
      </c>
      <c r="C2977" s="48"/>
    </row>
    <row r="2978" spans="1:8">
      <c r="A2978" s="889"/>
      <c r="B2978" s="47" t="s">
        <v>1236</v>
      </c>
      <c r="C2978" s="48"/>
    </row>
    <row r="2979" spans="1:8">
      <c r="A2979" s="889"/>
      <c r="B2979" s="47" t="s">
        <v>8689</v>
      </c>
      <c r="C2979" s="48"/>
    </row>
    <row r="2980" spans="1:8" ht="18.75">
      <c r="A2980" s="889"/>
      <c r="B2980" s="47" t="s">
        <v>8690</v>
      </c>
      <c r="C2980" s="48"/>
    </row>
    <row r="2981" spans="1:8">
      <c r="A2981" s="889"/>
      <c r="B2981" s="47" t="s">
        <v>9240</v>
      </c>
      <c r="C2981" s="48"/>
    </row>
    <row r="2982" spans="1:8">
      <c r="A2982" s="889"/>
      <c r="B2982" s="162" t="s">
        <v>9241</v>
      </c>
      <c r="C2982" s="48"/>
    </row>
    <row r="2983" spans="1:8">
      <c r="A2983" s="889"/>
      <c r="C2983" s="48"/>
    </row>
    <row r="2984" spans="1:8" hidden="1">
      <c r="A2984" s="889" t="s">
        <v>3984</v>
      </c>
      <c r="B2984" s="47" t="s">
        <v>4889</v>
      </c>
      <c r="C2984" s="48"/>
      <c r="F2984" s="78" t="s">
        <v>1697</v>
      </c>
      <c r="G2984" s="26">
        <v>600</v>
      </c>
      <c r="H2984" s="26" t="s">
        <v>6901</v>
      </c>
    </row>
    <row r="2985" spans="1:8" hidden="1">
      <c r="A2985" s="889">
        <v>1</v>
      </c>
      <c r="B2985" s="47" t="s">
        <v>2860</v>
      </c>
      <c r="C2985" s="48"/>
    </row>
    <row r="2986" spans="1:8" hidden="1">
      <c r="A2986" s="841"/>
      <c r="B2986" s="47" t="s">
        <v>6380</v>
      </c>
      <c r="C2986" s="48"/>
    </row>
    <row r="2987" spans="1:8" hidden="1">
      <c r="A2987" s="889">
        <v>2</v>
      </c>
      <c r="B2987" s="47" t="s">
        <v>6281</v>
      </c>
      <c r="C2987" s="48"/>
    </row>
    <row r="2988" spans="1:8" hidden="1">
      <c r="A2988" s="841"/>
      <c r="B2988" s="47" t="s">
        <v>758</v>
      </c>
      <c r="C2988" s="48"/>
    </row>
    <row r="2989" spans="1:8" hidden="1">
      <c r="A2989" s="841"/>
      <c r="B2989" s="47" t="s">
        <v>759</v>
      </c>
      <c r="C2989" s="48"/>
    </row>
    <row r="2990" spans="1:8" hidden="1">
      <c r="A2990" s="889">
        <v>3</v>
      </c>
      <c r="B2990" s="47" t="s">
        <v>5954</v>
      </c>
      <c r="C2990" s="48"/>
    </row>
    <row r="2991" spans="1:8" hidden="1">
      <c r="A2991" s="841"/>
      <c r="B2991" s="47" t="s">
        <v>2483</v>
      </c>
      <c r="C2991" s="48"/>
      <c r="F2991" s="78" t="s">
        <v>1697</v>
      </c>
      <c r="G2991" s="26">
        <v>720</v>
      </c>
      <c r="H2991" s="26" t="s">
        <v>6901</v>
      </c>
    </row>
    <row r="2992" spans="1:8" hidden="1">
      <c r="A2992" s="841"/>
      <c r="B2992" s="47" t="s">
        <v>6514</v>
      </c>
      <c r="C2992" s="48"/>
      <c r="F2992" s="78" t="s">
        <v>1697</v>
      </c>
      <c r="G2992" s="26">
        <v>200</v>
      </c>
      <c r="H2992" s="26" t="s">
        <v>6901</v>
      </c>
    </row>
    <row r="2993" spans="1:8" hidden="1">
      <c r="A2993" s="841"/>
      <c r="B2993" s="47" t="s">
        <v>1745</v>
      </c>
      <c r="C2993" s="48"/>
      <c r="F2993" s="78" t="s">
        <v>1123</v>
      </c>
      <c r="G2993" s="68">
        <f>G2991/G2992</f>
        <v>3.6</v>
      </c>
      <c r="H2993" s="26" t="s">
        <v>3428</v>
      </c>
    </row>
    <row r="2994" spans="1:8" hidden="1">
      <c r="A2994" s="889">
        <v>4</v>
      </c>
      <c r="B2994" s="47" t="s">
        <v>1746</v>
      </c>
      <c r="C2994" s="48"/>
    </row>
    <row r="2995" spans="1:8" hidden="1">
      <c r="A2995" s="841"/>
      <c r="B2995" s="47" t="s">
        <v>2484</v>
      </c>
      <c r="C2995" s="48"/>
    </row>
    <row r="2996" spans="1:8" hidden="1">
      <c r="A2996" s="841"/>
      <c r="B2996" s="47" t="s">
        <v>6795</v>
      </c>
      <c r="C2996" s="48"/>
    </row>
    <row r="2997" spans="1:8" hidden="1">
      <c r="A2997" s="841"/>
      <c r="B2997" s="47" t="s">
        <v>6796</v>
      </c>
      <c r="C2997" s="48"/>
    </row>
    <row r="2998" spans="1:8" hidden="1">
      <c r="A2998" s="841"/>
      <c r="B2998" s="47" t="s">
        <v>6797</v>
      </c>
      <c r="C2998" s="48"/>
    </row>
    <row r="2999" spans="1:8" hidden="1">
      <c r="A2999" s="841"/>
      <c r="B2999" s="47" t="s">
        <v>1372</v>
      </c>
      <c r="C2999" s="48"/>
    </row>
    <row r="3000" spans="1:8" hidden="1">
      <c r="A3000" s="841"/>
      <c r="B3000" s="47" t="s">
        <v>1373</v>
      </c>
      <c r="C3000" s="48"/>
    </row>
    <row r="3001" spans="1:8" hidden="1">
      <c r="A3001" s="841"/>
      <c r="B3001" s="47" t="s">
        <v>2325</v>
      </c>
      <c r="C3001" s="48"/>
    </row>
    <row r="3002" spans="1:8" hidden="1">
      <c r="A3002" s="889">
        <v>5</v>
      </c>
      <c r="B3002" s="47" t="s">
        <v>6798</v>
      </c>
      <c r="C3002" s="48"/>
    </row>
    <row r="3003" spans="1:8" hidden="1">
      <c r="A3003" s="841"/>
      <c r="B3003" s="47" t="s">
        <v>3647</v>
      </c>
      <c r="C3003" s="48"/>
    </row>
    <row r="3004" spans="1:8" hidden="1">
      <c r="A3004" s="841"/>
      <c r="B3004" s="47" t="s">
        <v>9250</v>
      </c>
      <c r="C3004" s="48"/>
    </row>
    <row r="3005" spans="1:8" hidden="1">
      <c r="A3005" s="841"/>
      <c r="B3005" s="47" t="s">
        <v>2320</v>
      </c>
      <c r="C3005" s="48"/>
    </row>
    <row r="3006" spans="1:8" hidden="1">
      <c r="A3006" s="841"/>
      <c r="B3006" s="47" t="s">
        <v>3650</v>
      </c>
      <c r="C3006" s="48"/>
      <c r="F3006" s="78" t="s">
        <v>1697</v>
      </c>
      <c r="G3006" s="68">
        <v>1.9</v>
      </c>
      <c r="H3006" s="26" t="s">
        <v>2602</v>
      </c>
    </row>
    <row r="3007" spans="1:8" hidden="1">
      <c r="A3007" s="841"/>
      <c r="B3007" s="47" t="s">
        <v>4995</v>
      </c>
      <c r="C3007" s="48"/>
      <c r="F3007" s="78" t="s">
        <v>1697</v>
      </c>
      <c r="G3007" s="383">
        <v>4</v>
      </c>
      <c r="H3007" s="26" t="s">
        <v>3431</v>
      </c>
    </row>
    <row r="3008" spans="1:8" hidden="1">
      <c r="A3008" s="841"/>
      <c r="B3008" s="47" t="s">
        <v>4997</v>
      </c>
      <c r="C3008" s="48"/>
      <c r="F3008" s="78" t="s">
        <v>1697</v>
      </c>
      <c r="G3008" s="61">
        <v>0.25</v>
      </c>
      <c r="H3008" s="26" t="s">
        <v>2602</v>
      </c>
    </row>
    <row r="3009" spans="1:8" hidden="1">
      <c r="A3009" s="841"/>
      <c r="B3009" s="47" t="s">
        <v>1504</v>
      </c>
      <c r="C3009" s="48"/>
      <c r="F3009" s="78" t="s">
        <v>1697</v>
      </c>
      <c r="G3009" s="26">
        <v>12</v>
      </c>
      <c r="H3009" s="26" t="s">
        <v>3436</v>
      </c>
    </row>
    <row r="3010" spans="1:8" hidden="1">
      <c r="A3010" s="841"/>
      <c r="B3010" s="47" t="s">
        <v>1126</v>
      </c>
      <c r="C3010" s="48"/>
    </row>
    <row r="3011" spans="1:8" hidden="1">
      <c r="A3011" s="841"/>
      <c r="B3011" s="47" t="s">
        <v>7216</v>
      </c>
      <c r="C3011" s="48"/>
      <c r="F3011" s="78" t="s">
        <v>1123</v>
      </c>
      <c r="G3011" s="26">
        <v>99</v>
      </c>
      <c r="H3011" s="26" t="s">
        <v>6901</v>
      </c>
    </row>
    <row r="3012" spans="1:8" hidden="1">
      <c r="A3012" s="841"/>
      <c r="B3012" s="47" t="s">
        <v>1128</v>
      </c>
      <c r="C3012" s="48"/>
      <c r="E3012" s="26">
        <f>720/G3011</f>
        <v>7.2727272727272725</v>
      </c>
      <c r="F3012" s="78" t="s">
        <v>1123</v>
      </c>
      <c r="G3012" s="68">
        <v>7.3</v>
      </c>
      <c r="H3012" s="26" t="s">
        <v>3428</v>
      </c>
    </row>
    <row r="3013" spans="1:8" hidden="1">
      <c r="A3013" s="889">
        <v>6</v>
      </c>
      <c r="B3013" s="47" t="s">
        <v>1129</v>
      </c>
      <c r="C3013" s="48"/>
    </row>
    <row r="3014" spans="1:8" hidden="1">
      <c r="A3014" s="841"/>
      <c r="B3014" s="47" t="s">
        <v>5043</v>
      </c>
      <c r="C3014" s="48"/>
    </row>
    <row r="3015" spans="1:8">
      <c r="A3015" s="889" t="s">
        <v>3984</v>
      </c>
      <c r="B3015" s="78"/>
      <c r="C3015" s="349" t="s">
        <v>2367</v>
      </c>
      <c r="E3015" s="171" t="s">
        <v>297</v>
      </c>
      <c r="F3015" s="246">
        <v>600</v>
      </c>
      <c r="G3015" s="26" t="s">
        <v>3477</v>
      </c>
    </row>
    <row r="3016" spans="1:8">
      <c r="A3016" s="847"/>
      <c r="B3016" s="79" t="s">
        <v>2368</v>
      </c>
      <c r="C3016" s="48"/>
    </row>
    <row r="3017" spans="1:8">
      <c r="A3017" s="847"/>
      <c r="B3017" s="95" t="s">
        <v>2369</v>
      </c>
      <c r="C3017" s="350" t="s">
        <v>6374</v>
      </c>
      <c r="D3017" s="95" t="s">
        <v>2370</v>
      </c>
      <c r="E3017" s="95" t="s">
        <v>1166</v>
      </c>
      <c r="F3017" s="95" t="s">
        <v>2371</v>
      </c>
      <c r="G3017" s="95" t="s">
        <v>2372</v>
      </c>
    </row>
    <row r="3018" spans="1:8">
      <c r="A3018" s="847"/>
      <c r="B3018" s="114"/>
      <c r="C3018" s="351"/>
      <c r="D3018" s="114"/>
      <c r="E3018" s="114"/>
      <c r="F3018" s="114" t="s">
        <v>3485</v>
      </c>
      <c r="G3018" s="114" t="s">
        <v>3485</v>
      </c>
    </row>
    <row r="3019" spans="1:8">
      <c r="A3019" s="847"/>
      <c r="B3019" s="95">
        <v>1</v>
      </c>
      <c r="C3019" s="352" t="s">
        <v>1130</v>
      </c>
      <c r="D3019" s="95"/>
      <c r="E3019" s="190">
        <v>0</v>
      </c>
      <c r="F3019" s="190">
        <v>0</v>
      </c>
      <c r="G3019" s="190">
        <f>E3019*F3019</f>
        <v>0</v>
      </c>
    </row>
    <row r="3020" spans="1:8">
      <c r="A3020" s="847"/>
      <c r="B3020" s="275"/>
      <c r="C3020" s="91"/>
      <c r="D3020" s="114"/>
      <c r="E3020" s="190">
        <v>0</v>
      </c>
      <c r="F3020" s="190">
        <v>0</v>
      </c>
      <c r="G3020" s="190">
        <f>E3020*F3020</f>
        <v>0</v>
      </c>
    </row>
    <row r="3021" spans="1:8">
      <c r="A3021" s="847"/>
      <c r="B3021" s="92"/>
      <c r="C3021" s="353" t="s">
        <v>2376</v>
      </c>
      <c r="D3021" s="159"/>
      <c r="E3021" s="238"/>
      <c r="F3021" s="236" t="s">
        <v>1698</v>
      </c>
      <c r="G3021" s="318">
        <f>SUM(G3019:G3020)</f>
        <v>0</v>
      </c>
    </row>
    <row r="3022" spans="1:8">
      <c r="A3022" s="847"/>
      <c r="B3022" s="78"/>
      <c r="C3022" s="48"/>
    </row>
    <row r="3023" spans="1:8">
      <c r="A3023" s="847"/>
      <c r="B3023" s="79" t="s">
        <v>2377</v>
      </c>
      <c r="C3023" s="48"/>
    </row>
    <row r="3024" spans="1:8">
      <c r="A3024" s="847"/>
      <c r="B3024" s="95" t="s">
        <v>2369</v>
      </c>
      <c r="C3024" s="350" t="s">
        <v>2378</v>
      </c>
      <c r="D3024" s="95" t="s">
        <v>2370</v>
      </c>
      <c r="E3024" s="95" t="s">
        <v>1166</v>
      </c>
      <c r="F3024" s="95" t="s">
        <v>2371</v>
      </c>
      <c r="G3024" s="95" t="s">
        <v>2372</v>
      </c>
    </row>
    <row r="3025" spans="1:7">
      <c r="A3025" s="847"/>
      <c r="B3025" s="114"/>
      <c r="C3025" s="351"/>
      <c r="D3025" s="114"/>
      <c r="E3025" s="114"/>
      <c r="F3025" s="114" t="s">
        <v>3485</v>
      </c>
      <c r="G3025" s="114" t="s">
        <v>3485</v>
      </c>
    </row>
    <row r="3026" spans="1:7">
      <c r="A3026" s="847"/>
      <c r="B3026" s="95">
        <v>1</v>
      </c>
      <c r="C3026" s="355" t="s">
        <v>1502</v>
      </c>
      <c r="D3026" s="95" t="s">
        <v>2374</v>
      </c>
      <c r="E3026" s="220">
        <v>3.6</v>
      </c>
      <c r="F3026" s="214">
        <f>'HIRE CHARGES'!$D$499</f>
        <v>1715.5</v>
      </c>
      <c r="G3026" s="190">
        <f t="shared" ref="G3026:G3034" si="46">E3026*F3026</f>
        <v>6175.8</v>
      </c>
    </row>
    <row r="3027" spans="1:7">
      <c r="A3027" s="847"/>
      <c r="B3027" s="152"/>
      <c r="C3027" s="355" t="s">
        <v>2379</v>
      </c>
      <c r="D3027" s="105" t="s">
        <v>2374</v>
      </c>
      <c r="E3027" s="220">
        <v>3.6</v>
      </c>
      <c r="F3027" s="214">
        <f>'HIRE CHARGES'!$E$499</f>
        <v>610.5</v>
      </c>
      <c r="G3027" s="190">
        <f t="shared" si="46"/>
        <v>2197.8000000000002</v>
      </c>
    </row>
    <row r="3028" spans="1:7">
      <c r="A3028" s="847"/>
      <c r="B3028" s="105">
        <v>2</v>
      </c>
      <c r="C3028" s="355" t="s">
        <v>1132</v>
      </c>
      <c r="D3028" s="105" t="s">
        <v>2374</v>
      </c>
      <c r="E3028" s="220">
        <v>3</v>
      </c>
      <c r="F3028" s="214">
        <f>'HIRE CHARGES'!$D$517</f>
        <v>10.199999999999999</v>
      </c>
      <c r="G3028" s="190">
        <f t="shared" si="46"/>
        <v>30.599999999999998</v>
      </c>
    </row>
    <row r="3029" spans="1:7">
      <c r="A3029" s="847"/>
      <c r="B3029" s="152"/>
      <c r="C3029" s="355" t="s">
        <v>2379</v>
      </c>
      <c r="D3029" s="105" t="s">
        <v>2374</v>
      </c>
      <c r="E3029" s="220">
        <v>3</v>
      </c>
      <c r="F3029" s="214">
        <f>'HIRE CHARGES'!$E$517</f>
        <v>79.3</v>
      </c>
      <c r="G3029" s="190">
        <f t="shared" si="46"/>
        <v>237.89999999999998</v>
      </c>
    </row>
    <row r="3030" spans="1:7">
      <c r="A3030" s="847"/>
      <c r="B3030" s="105">
        <v>3</v>
      </c>
      <c r="C3030" s="355" t="s">
        <v>6286</v>
      </c>
      <c r="D3030" s="105" t="s">
        <v>2374</v>
      </c>
      <c r="E3030" s="220">
        <v>5</v>
      </c>
      <c r="F3030" s="214">
        <f>'HIRE CHARGES'!$D$555</f>
        <v>402.5</v>
      </c>
      <c r="G3030" s="190">
        <f t="shared" si="46"/>
        <v>2012.5</v>
      </c>
    </row>
    <row r="3031" spans="1:7">
      <c r="A3031" s="847"/>
      <c r="B3031" s="152"/>
      <c r="C3031" s="355" t="s">
        <v>2379</v>
      </c>
      <c r="D3031" s="105" t="s">
        <v>2374</v>
      </c>
      <c r="E3031" s="220">
        <v>5</v>
      </c>
      <c r="F3031" s="214">
        <f>'HIRE CHARGES'!$E$555</f>
        <v>299.89999999999998</v>
      </c>
      <c r="G3031" s="190">
        <f t="shared" si="46"/>
        <v>1499.5</v>
      </c>
    </row>
    <row r="3032" spans="1:7">
      <c r="A3032" s="847"/>
      <c r="B3032" s="105">
        <v>4</v>
      </c>
      <c r="C3032" s="355" t="s">
        <v>9251</v>
      </c>
      <c r="D3032" s="105" t="s">
        <v>2374</v>
      </c>
      <c r="E3032" s="220">
        <v>7.3</v>
      </c>
      <c r="F3032" s="214">
        <f>'HIRE CHARGES'!$D$553</f>
        <v>1342.2</v>
      </c>
      <c r="G3032" s="190">
        <f t="shared" si="46"/>
        <v>9798.06</v>
      </c>
    </row>
    <row r="3033" spans="1:7">
      <c r="A3033" s="847"/>
      <c r="B3033" s="152"/>
      <c r="C3033" s="355" t="s">
        <v>2379</v>
      </c>
      <c r="D3033" s="105" t="s">
        <v>2374</v>
      </c>
      <c r="E3033" s="220">
        <v>7.3</v>
      </c>
      <c r="F3033" s="214">
        <f>'HIRE CHARGES'!$E$553</f>
        <v>1031.4000000000001</v>
      </c>
      <c r="G3033" s="190">
        <f t="shared" si="46"/>
        <v>7529.22</v>
      </c>
    </row>
    <row r="3034" spans="1:7">
      <c r="A3034" s="847"/>
      <c r="B3034" s="105">
        <v>5</v>
      </c>
      <c r="C3034" s="355" t="s">
        <v>2373</v>
      </c>
      <c r="D3034" s="105" t="s">
        <v>2173</v>
      </c>
      <c r="E3034" s="220">
        <v>2</v>
      </c>
      <c r="F3034" s="190">
        <f>'BASIC DATA'!$D$359</f>
        <v>30</v>
      </c>
      <c r="G3034" s="190">
        <f t="shared" si="46"/>
        <v>60</v>
      </c>
    </row>
    <row r="3035" spans="1:7">
      <c r="A3035" s="847"/>
      <c r="B3035" s="92"/>
      <c r="C3035" s="353" t="s">
        <v>2380</v>
      </c>
      <c r="D3035" s="159"/>
      <c r="E3035" s="238"/>
      <c r="F3035" s="236" t="s">
        <v>1698</v>
      </c>
      <c r="G3035" s="354">
        <f>SUM(G3026:G3034)</f>
        <v>29541.38</v>
      </c>
    </row>
    <row r="3036" spans="1:7">
      <c r="A3036" s="847"/>
      <c r="B3036" s="78"/>
      <c r="C3036" s="48"/>
    </row>
    <row r="3037" spans="1:7">
      <c r="A3037" s="847"/>
      <c r="B3037" s="79" t="s">
        <v>2381</v>
      </c>
      <c r="C3037" s="48"/>
    </row>
    <row r="3038" spans="1:7">
      <c r="A3038" s="847"/>
      <c r="B3038" s="95" t="s">
        <v>2369</v>
      </c>
      <c r="C3038" s="350" t="s">
        <v>2378</v>
      </c>
      <c r="D3038" s="95" t="s">
        <v>2370</v>
      </c>
      <c r="E3038" s="95" t="s">
        <v>1166</v>
      </c>
      <c r="F3038" s="95" t="s">
        <v>2371</v>
      </c>
      <c r="G3038" s="95" t="s">
        <v>2372</v>
      </c>
    </row>
    <row r="3039" spans="1:7">
      <c r="A3039" s="847"/>
      <c r="B3039" s="114"/>
      <c r="C3039" s="351"/>
      <c r="D3039" s="105"/>
      <c r="E3039" s="114"/>
      <c r="F3039" s="114" t="s">
        <v>3485</v>
      </c>
      <c r="G3039" s="114" t="s">
        <v>3485</v>
      </c>
    </row>
    <row r="3040" spans="1:7">
      <c r="A3040" s="847"/>
      <c r="B3040" s="105">
        <v>1</v>
      </c>
      <c r="C3040" s="86" t="s">
        <v>2870</v>
      </c>
      <c r="D3040" s="95" t="s">
        <v>2374</v>
      </c>
      <c r="E3040" s="207">
        <v>3.6</v>
      </c>
      <c r="F3040" s="190">
        <f>'HIRE CHARGES'!$F$499</f>
        <v>236.6</v>
      </c>
      <c r="G3040" s="190">
        <f t="shared" ref="G3040:G3045" si="47">E3040*F3040</f>
        <v>851.76</v>
      </c>
    </row>
    <row r="3041" spans="1:7">
      <c r="A3041" s="847"/>
      <c r="B3041" s="105">
        <v>2</v>
      </c>
      <c r="C3041" s="86" t="s">
        <v>999</v>
      </c>
      <c r="D3041" s="105" t="s">
        <v>2374</v>
      </c>
      <c r="E3041" s="207">
        <v>3</v>
      </c>
      <c r="F3041" s="190">
        <f>'HIRE CHARGES'!$F$517</f>
        <v>111.1</v>
      </c>
      <c r="G3041" s="190">
        <f t="shared" si="47"/>
        <v>333.29999999999995</v>
      </c>
    </row>
    <row r="3042" spans="1:7">
      <c r="A3042" s="847"/>
      <c r="B3042" s="105">
        <v>3</v>
      </c>
      <c r="C3042" s="86" t="s">
        <v>1000</v>
      </c>
      <c r="D3042" s="105" t="s">
        <v>2374</v>
      </c>
      <c r="E3042" s="207">
        <v>5</v>
      </c>
      <c r="F3042" s="190">
        <f>'HIRE CHARGES'!$F$555</f>
        <v>177.5</v>
      </c>
      <c r="G3042" s="190">
        <f t="shared" si="47"/>
        <v>887.5</v>
      </c>
    </row>
    <row r="3043" spans="1:7">
      <c r="A3043" s="847"/>
      <c r="B3043" s="105">
        <v>4</v>
      </c>
      <c r="C3043" s="86" t="s">
        <v>1001</v>
      </c>
      <c r="D3043" s="105" t="s">
        <v>2374</v>
      </c>
      <c r="E3043" s="207">
        <v>7.3</v>
      </c>
      <c r="F3043" s="190">
        <f>'HIRE CHARGES'!$F$553</f>
        <v>263.60000000000002</v>
      </c>
      <c r="G3043" s="190">
        <f t="shared" si="47"/>
        <v>1924.2800000000002</v>
      </c>
    </row>
    <row r="3044" spans="1:7">
      <c r="A3044" s="847"/>
      <c r="B3044" s="105">
        <v>5</v>
      </c>
      <c r="C3044" s="86" t="s">
        <v>4206</v>
      </c>
      <c r="D3044" s="105" t="s">
        <v>1172</v>
      </c>
      <c r="E3044" s="207">
        <v>1</v>
      </c>
      <c r="F3044" s="190">
        <f>'BASIC DATA'!$C$473</f>
        <v>450</v>
      </c>
      <c r="G3044" s="190">
        <f t="shared" si="47"/>
        <v>450</v>
      </c>
    </row>
    <row r="3045" spans="1:7">
      <c r="A3045" s="847"/>
      <c r="B3045" s="105">
        <v>6</v>
      </c>
      <c r="C3045" s="86" t="s">
        <v>2696</v>
      </c>
      <c r="D3045" s="105" t="s">
        <v>1172</v>
      </c>
      <c r="E3045" s="207">
        <v>4</v>
      </c>
      <c r="F3045" s="190">
        <f>'BASIC DATA'!$C$552</f>
        <v>350</v>
      </c>
      <c r="G3045" s="190">
        <f t="shared" si="47"/>
        <v>1400</v>
      </c>
    </row>
    <row r="3046" spans="1:7">
      <c r="A3046" s="847"/>
      <c r="B3046" s="92"/>
      <c r="C3046" s="353" t="s">
        <v>1174</v>
      </c>
      <c r="D3046" s="159"/>
      <c r="E3046" s="238"/>
      <c r="F3046" s="236" t="s">
        <v>1698</v>
      </c>
      <c r="G3046" s="318">
        <f>SUM(G3040:G3045)</f>
        <v>5846.84</v>
      </c>
    </row>
    <row r="3047" spans="1:7">
      <c r="A3047" s="847"/>
      <c r="B3047" s="359" t="s">
        <v>5948</v>
      </c>
      <c r="C3047" s="355"/>
      <c r="D3047" s="31"/>
      <c r="E3047" s="85">
        <f>ROUND(G3046/F3015,1)</f>
        <v>9.6999999999999993</v>
      </c>
    </row>
    <row r="3048" spans="1:7">
      <c r="A3048" s="847"/>
      <c r="B3048" s="359" t="s">
        <v>3163</v>
      </c>
      <c r="C3048" s="355"/>
      <c r="D3048" s="922">
        <f>'BASIC DATA'!$C$577</f>
        <v>0.13614999999999999</v>
      </c>
      <c r="E3048" s="85">
        <f>ROUND(E3047*D3048,1)</f>
        <v>1.3</v>
      </c>
    </row>
    <row r="3049" spans="1:7">
      <c r="A3049" s="847"/>
      <c r="B3049" s="359" t="s">
        <v>5949</v>
      </c>
      <c r="C3049" s="355"/>
      <c r="D3049" s="31"/>
      <c r="E3049" s="199">
        <f>ROUND(E3048+E3047,1)</f>
        <v>11</v>
      </c>
    </row>
    <row r="3050" spans="1:7">
      <c r="A3050" s="847"/>
      <c r="B3050" s="78"/>
      <c r="C3050" s="48"/>
    </row>
    <row r="3051" spans="1:7">
      <c r="A3051" s="847"/>
      <c r="B3051" s="162" t="s">
        <v>1175</v>
      </c>
      <c r="C3051" s="48"/>
    </row>
    <row r="3052" spans="1:7">
      <c r="A3052" s="847"/>
      <c r="B3052" s="47" t="s">
        <v>4</v>
      </c>
      <c r="C3052" s="48"/>
      <c r="F3052" s="171" t="s">
        <v>1698</v>
      </c>
      <c r="G3052" s="68">
        <f>G3021</f>
        <v>0</v>
      </c>
    </row>
    <row r="3053" spans="1:7">
      <c r="A3053" s="847"/>
      <c r="B3053" s="47" t="s">
        <v>1186</v>
      </c>
      <c r="C3053" s="48"/>
      <c r="F3053" s="171" t="s">
        <v>1698</v>
      </c>
      <c r="G3053" s="68">
        <f>G3035</f>
        <v>29541.38</v>
      </c>
    </row>
    <row r="3054" spans="1:7">
      <c r="A3054" s="847"/>
      <c r="B3054" s="47" t="s">
        <v>2660</v>
      </c>
      <c r="C3054" s="48"/>
      <c r="F3054" s="171" t="s">
        <v>1698</v>
      </c>
      <c r="G3054" s="75">
        <f>G3046</f>
        <v>5846.84</v>
      </c>
    </row>
    <row r="3055" spans="1:7">
      <c r="A3055" s="847"/>
      <c r="B3055" s="78"/>
      <c r="C3055" s="48"/>
      <c r="E3055" s="261"/>
      <c r="F3055" s="171" t="s">
        <v>302</v>
      </c>
      <c r="G3055" s="205">
        <f>SUM(G3052:G3054)</f>
        <v>35388.22</v>
      </c>
    </row>
    <row r="3056" spans="1:7" ht="42" customHeight="1">
      <c r="A3056" s="847"/>
      <c r="B3056" s="1207" t="s">
        <v>1379</v>
      </c>
      <c r="C3056" s="1207"/>
      <c r="D3056" s="1207"/>
      <c r="E3056" s="922">
        <f>'BASIC DATA'!$C$577</f>
        <v>0.13614999999999999</v>
      </c>
      <c r="F3056" s="171" t="s">
        <v>1698</v>
      </c>
      <c r="G3056" s="31">
        <f>ROUND(G3055*E3056,2)</f>
        <v>4818.1099999999997</v>
      </c>
    </row>
    <row r="3057" spans="1:8">
      <c r="A3057" s="847"/>
      <c r="B3057" s="47" t="s">
        <v>1191</v>
      </c>
      <c r="C3057" s="48"/>
      <c r="D3057" s="68">
        <f>F3015</f>
        <v>600</v>
      </c>
      <c r="E3057" s="68" t="str">
        <f>G3015</f>
        <v>cum</v>
      </c>
      <c r="F3057" s="171" t="s">
        <v>1698</v>
      </c>
      <c r="G3057" s="211">
        <f>G3056+G3055</f>
        <v>40206.33</v>
      </c>
    </row>
    <row r="3058" spans="1:8">
      <c r="A3058" s="847"/>
      <c r="B3058" s="79" t="s">
        <v>1584</v>
      </c>
      <c r="C3058" s="356" t="str">
        <f>E3057</f>
        <v>cum</v>
      </c>
      <c r="D3058" s="26" t="s">
        <v>5879</v>
      </c>
      <c r="F3058" s="171" t="s">
        <v>4108</v>
      </c>
      <c r="G3058" s="211">
        <f>ROUND(G3057/D3057,1)</f>
        <v>67</v>
      </c>
      <c r="H3058" s="171"/>
    </row>
    <row r="3059" spans="1:8"/>
    <row r="3060" spans="1:8"/>
    <row r="3061" spans="1:8" ht="18.75">
      <c r="A3061" s="841" t="s">
        <v>7447</v>
      </c>
      <c r="B3061" s="47" t="s">
        <v>8691</v>
      </c>
      <c r="C3061" s="48"/>
    </row>
    <row r="3062" spans="1:8">
      <c r="A3062" s="889"/>
      <c r="B3062" s="47" t="s">
        <v>1236</v>
      </c>
      <c r="C3062" s="48"/>
    </row>
    <row r="3063" spans="1:8">
      <c r="A3063" s="889"/>
      <c r="B3063" s="47" t="s">
        <v>8692</v>
      </c>
      <c r="C3063" s="48"/>
    </row>
    <row r="3064" spans="1:8" ht="18.75">
      <c r="A3064" s="889"/>
      <c r="B3064" s="47" t="s">
        <v>8693</v>
      </c>
      <c r="C3064" s="48"/>
    </row>
    <row r="3065" spans="1:8">
      <c r="A3065" s="889"/>
      <c r="B3065" s="47" t="s">
        <v>9242</v>
      </c>
      <c r="C3065" s="48"/>
    </row>
    <row r="3066" spans="1:8">
      <c r="A3066" s="889"/>
      <c r="B3066" s="162" t="s">
        <v>9241</v>
      </c>
      <c r="C3066" s="48"/>
    </row>
    <row r="3067" spans="1:8">
      <c r="A3067" s="889"/>
      <c r="C3067" s="48"/>
    </row>
    <row r="3068" spans="1:8" hidden="1">
      <c r="A3068" s="889" t="s">
        <v>3984</v>
      </c>
      <c r="B3068" s="47" t="s">
        <v>920</v>
      </c>
      <c r="C3068" s="48"/>
      <c r="F3068" s="78"/>
    </row>
    <row r="3069" spans="1:8" hidden="1">
      <c r="A3069" s="889"/>
      <c r="B3069" s="47" t="s">
        <v>921</v>
      </c>
      <c r="C3069" s="48"/>
      <c r="F3069" s="78" t="s">
        <v>1697</v>
      </c>
      <c r="G3069" s="26">
        <v>600</v>
      </c>
      <c r="H3069" s="26" t="s">
        <v>6901</v>
      </c>
    </row>
    <row r="3070" spans="1:8" hidden="1">
      <c r="A3070" s="889">
        <v>1</v>
      </c>
      <c r="B3070" s="47" t="s">
        <v>2860</v>
      </c>
      <c r="C3070" s="48"/>
    </row>
    <row r="3071" spans="1:8" hidden="1">
      <c r="A3071" s="841"/>
      <c r="B3071" s="47" t="s">
        <v>6380</v>
      </c>
      <c r="C3071" s="48"/>
    </row>
    <row r="3072" spans="1:8" hidden="1">
      <c r="A3072" s="889">
        <v>2</v>
      </c>
      <c r="B3072" s="47" t="s">
        <v>6281</v>
      </c>
      <c r="C3072" s="48"/>
    </row>
    <row r="3073" spans="1:8" hidden="1">
      <c r="A3073" s="841"/>
      <c r="B3073" s="47" t="s">
        <v>902</v>
      </c>
      <c r="C3073" s="48"/>
    </row>
    <row r="3074" spans="1:8" hidden="1">
      <c r="A3074" s="889">
        <v>3</v>
      </c>
      <c r="B3074" s="47" t="s">
        <v>5954</v>
      </c>
      <c r="C3074" s="48"/>
    </row>
    <row r="3075" spans="1:8" hidden="1">
      <c r="A3075" s="841"/>
      <c r="B3075" s="47" t="s">
        <v>922</v>
      </c>
      <c r="C3075" s="48"/>
      <c r="F3075" s="78" t="s">
        <v>1697</v>
      </c>
      <c r="G3075" s="68">
        <v>3.6</v>
      </c>
      <c r="H3075" s="26" t="s">
        <v>3428</v>
      </c>
    </row>
    <row r="3076" spans="1:8" hidden="1">
      <c r="A3076" s="889">
        <v>4</v>
      </c>
      <c r="B3076" s="47" t="s">
        <v>1746</v>
      </c>
      <c r="C3076" s="48"/>
      <c r="F3076" s="78"/>
    </row>
    <row r="3077" spans="1:8" hidden="1">
      <c r="A3077" s="841"/>
      <c r="B3077" s="47" t="s">
        <v>923</v>
      </c>
      <c r="C3077" s="48"/>
      <c r="F3077" s="78" t="s">
        <v>1697</v>
      </c>
      <c r="G3077" s="68">
        <v>5</v>
      </c>
      <c r="H3077" s="26" t="s">
        <v>3428</v>
      </c>
    </row>
    <row r="3078" spans="1:8" hidden="1">
      <c r="A3078" s="841"/>
      <c r="B3078" s="47" t="s">
        <v>2155</v>
      </c>
      <c r="C3078" s="48"/>
      <c r="F3078" s="78" t="s">
        <v>1697</v>
      </c>
      <c r="G3078" s="68">
        <v>3</v>
      </c>
      <c r="H3078" s="26" t="s">
        <v>3428</v>
      </c>
    </row>
    <row r="3079" spans="1:8" hidden="1">
      <c r="A3079" s="889">
        <v>5</v>
      </c>
      <c r="B3079" s="47" t="s">
        <v>6798</v>
      </c>
      <c r="C3079" s="48"/>
    </row>
    <row r="3080" spans="1:8" hidden="1">
      <c r="A3080" s="841"/>
      <c r="B3080" s="47" t="s">
        <v>6194</v>
      </c>
      <c r="C3080" s="48"/>
    </row>
    <row r="3081" spans="1:8" hidden="1">
      <c r="A3081" s="841"/>
      <c r="B3081" s="47" t="s">
        <v>9252</v>
      </c>
      <c r="C3081" s="48"/>
    </row>
    <row r="3082" spans="1:8" hidden="1">
      <c r="A3082" s="841"/>
      <c r="B3082" s="47" t="s">
        <v>3443</v>
      </c>
      <c r="C3082" s="48"/>
    </row>
    <row r="3083" spans="1:8" hidden="1">
      <c r="A3083" s="841"/>
      <c r="B3083" s="47" t="s">
        <v>3650</v>
      </c>
      <c r="C3083" s="48"/>
      <c r="F3083" s="78" t="s">
        <v>1697</v>
      </c>
      <c r="G3083" s="68">
        <v>1.9</v>
      </c>
      <c r="H3083" s="26" t="s">
        <v>2602</v>
      </c>
    </row>
    <row r="3084" spans="1:8" hidden="1">
      <c r="A3084" s="841"/>
      <c r="B3084" s="47" t="s">
        <v>4995</v>
      </c>
      <c r="C3084" s="48"/>
      <c r="F3084" s="78" t="s">
        <v>1697</v>
      </c>
      <c r="G3084" s="383">
        <v>4</v>
      </c>
      <c r="H3084" s="26" t="s">
        <v>3431</v>
      </c>
    </row>
    <row r="3085" spans="1:8" hidden="1">
      <c r="A3085" s="841"/>
      <c r="B3085" s="47" t="s">
        <v>4997</v>
      </c>
      <c r="C3085" s="48"/>
      <c r="F3085" s="78" t="s">
        <v>1697</v>
      </c>
      <c r="G3085" s="61">
        <v>0.25</v>
      </c>
      <c r="H3085" s="26" t="s">
        <v>2602</v>
      </c>
    </row>
    <row r="3086" spans="1:8" hidden="1">
      <c r="A3086" s="841"/>
      <c r="B3086" s="47" t="s">
        <v>1504</v>
      </c>
      <c r="C3086" s="48"/>
      <c r="F3086" s="78" t="s">
        <v>1697</v>
      </c>
      <c r="G3086" s="26">
        <v>10</v>
      </c>
      <c r="H3086" s="26" t="s">
        <v>3436</v>
      </c>
    </row>
    <row r="3087" spans="1:8" hidden="1">
      <c r="A3087" s="841"/>
      <c r="B3087" s="47" t="s">
        <v>1126</v>
      </c>
      <c r="C3087" s="48"/>
    </row>
    <row r="3088" spans="1:8" hidden="1">
      <c r="A3088" s="841"/>
      <c r="B3088" s="47" t="s">
        <v>6763</v>
      </c>
      <c r="C3088" s="48"/>
      <c r="D3088" s="26">
        <f>50/60*(1.9*4000*0.25*0.75/10)</f>
        <v>118.75</v>
      </c>
      <c r="F3088" s="78" t="s">
        <v>1123</v>
      </c>
      <c r="G3088" s="26">
        <v>118.8</v>
      </c>
      <c r="H3088" s="26" t="s">
        <v>6901</v>
      </c>
    </row>
    <row r="3089" spans="1:8" hidden="1">
      <c r="A3089" s="841"/>
      <c r="B3089" s="47" t="s">
        <v>3150</v>
      </c>
      <c r="C3089" s="48"/>
      <c r="F3089" s="78" t="s">
        <v>1123</v>
      </c>
      <c r="G3089" s="68">
        <f>720/G3088</f>
        <v>6.0606060606060606</v>
      </c>
      <c r="H3089" s="26" t="s">
        <v>3428</v>
      </c>
    </row>
    <row r="3090" spans="1:8" hidden="1">
      <c r="A3090" s="889">
        <v>6</v>
      </c>
      <c r="B3090" s="47" t="s">
        <v>3220</v>
      </c>
      <c r="C3090" s="48"/>
    </row>
    <row r="3091" spans="1:8" hidden="1">
      <c r="A3091" s="841"/>
      <c r="B3091" s="47" t="s">
        <v>5043</v>
      </c>
      <c r="C3091" s="48"/>
    </row>
    <row r="3092" spans="1:8" hidden="1">
      <c r="A3092" s="847"/>
      <c r="B3092" s="78"/>
      <c r="C3092" s="48"/>
    </row>
    <row r="3093" spans="1:8">
      <c r="A3093" s="889" t="s">
        <v>3984</v>
      </c>
      <c r="B3093" s="78"/>
      <c r="C3093" s="349" t="s">
        <v>2367</v>
      </c>
      <c r="E3093" s="171" t="s">
        <v>297</v>
      </c>
      <c r="F3093" s="246">
        <f>G3069</f>
        <v>600</v>
      </c>
      <c r="G3093" s="26" t="s">
        <v>3477</v>
      </c>
    </row>
    <row r="3094" spans="1:8">
      <c r="A3094" s="847"/>
      <c r="B3094" s="79" t="s">
        <v>2368</v>
      </c>
      <c r="C3094" s="48"/>
    </row>
    <row r="3095" spans="1:8">
      <c r="A3095" s="847"/>
      <c r="B3095" s="95" t="s">
        <v>2369</v>
      </c>
      <c r="C3095" s="350" t="s">
        <v>6374</v>
      </c>
      <c r="D3095" s="95" t="s">
        <v>2370</v>
      </c>
      <c r="E3095" s="95" t="s">
        <v>1166</v>
      </c>
      <c r="F3095" s="95" t="s">
        <v>2371</v>
      </c>
      <c r="G3095" s="95" t="s">
        <v>2372</v>
      </c>
    </row>
    <row r="3096" spans="1:8">
      <c r="A3096" s="847"/>
      <c r="B3096" s="114"/>
      <c r="C3096" s="351"/>
      <c r="D3096" s="114"/>
      <c r="E3096" s="114"/>
      <c r="F3096" s="114" t="s">
        <v>3485</v>
      </c>
      <c r="G3096" s="114" t="s">
        <v>3485</v>
      </c>
    </row>
    <row r="3097" spans="1:8">
      <c r="A3097" s="847"/>
      <c r="B3097" s="95">
        <v>1</v>
      </c>
      <c r="C3097" s="352" t="s">
        <v>1130</v>
      </c>
      <c r="D3097" s="95"/>
      <c r="E3097" s="190">
        <v>0</v>
      </c>
      <c r="F3097" s="190">
        <v>0</v>
      </c>
      <c r="G3097" s="190">
        <f>E3097*F3097</f>
        <v>0</v>
      </c>
    </row>
    <row r="3098" spans="1:8">
      <c r="A3098" s="847"/>
      <c r="B3098" s="275"/>
      <c r="C3098" s="91"/>
      <c r="D3098" s="114"/>
      <c r="E3098" s="190">
        <v>0</v>
      </c>
      <c r="F3098" s="190">
        <v>0</v>
      </c>
      <c r="G3098" s="190">
        <f>E3098*F3098</f>
        <v>0</v>
      </c>
    </row>
    <row r="3099" spans="1:8">
      <c r="A3099" s="847"/>
      <c r="B3099" s="92"/>
      <c r="C3099" s="353" t="s">
        <v>2376</v>
      </c>
      <c r="D3099" s="159"/>
      <c r="E3099" s="238"/>
      <c r="F3099" s="236" t="s">
        <v>1698</v>
      </c>
      <c r="G3099" s="318">
        <f>SUM(G3097:G3098)</f>
        <v>0</v>
      </c>
    </row>
    <row r="3100" spans="1:8">
      <c r="A3100" s="847"/>
      <c r="B3100" s="78"/>
      <c r="C3100" s="48"/>
    </row>
    <row r="3101" spans="1:8">
      <c r="A3101" s="847"/>
      <c r="B3101" s="79" t="s">
        <v>2377</v>
      </c>
      <c r="C3101" s="48"/>
    </row>
    <row r="3102" spans="1:8">
      <c r="A3102" s="847"/>
      <c r="B3102" s="95" t="s">
        <v>2369</v>
      </c>
      <c r="C3102" s="350" t="s">
        <v>2378</v>
      </c>
      <c r="D3102" s="95" t="s">
        <v>2370</v>
      </c>
      <c r="E3102" s="95" t="s">
        <v>1166</v>
      </c>
      <c r="F3102" s="95" t="s">
        <v>2371</v>
      </c>
      <c r="G3102" s="95" t="s">
        <v>2372</v>
      </c>
    </row>
    <row r="3103" spans="1:8">
      <c r="A3103" s="847"/>
      <c r="B3103" s="114"/>
      <c r="C3103" s="351"/>
      <c r="D3103" s="114"/>
      <c r="E3103" s="114"/>
      <c r="F3103" s="114" t="s">
        <v>3485</v>
      </c>
      <c r="G3103" s="114" t="s">
        <v>3485</v>
      </c>
    </row>
    <row r="3104" spans="1:8">
      <c r="A3104" s="847"/>
      <c r="B3104" s="95">
        <v>1</v>
      </c>
      <c r="C3104" s="355" t="s">
        <v>1502</v>
      </c>
      <c r="D3104" s="95" t="s">
        <v>2374</v>
      </c>
      <c r="E3104" s="220">
        <v>3.6</v>
      </c>
      <c r="F3104" s="214">
        <f>'HIRE CHARGES'!$D$499</f>
        <v>1715.5</v>
      </c>
      <c r="G3104" s="190">
        <f t="shared" ref="G3104:G3112" si="48">E3104*F3104</f>
        <v>6175.8</v>
      </c>
    </row>
    <row r="3105" spans="1:7">
      <c r="A3105" s="847"/>
      <c r="B3105" s="152"/>
      <c r="C3105" s="355" t="s">
        <v>2379</v>
      </c>
      <c r="D3105" s="105" t="s">
        <v>2374</v>
      </c>
      <c r="E3105" s="220">
        <v>3.6</v>
      </c>
      <c r="F3105" s="214">
        <f>'HIRE CHARGES'!$E$499</f>
        <v>610.5</v>
      </c>
      <c r="G3105" s="190">
        <f t="shared" si="48"/>
        <v>2197.8000000000002</v>
      </c>
    </row>
    <row r="3106" spans="1:7">
      <c r="A3106" s="847"/>
      <c r="B3106" s="105">
        <v>2</v>
      </c>
      <c r="C3106" s="355" t="s">
        <v>1132</v>
      </c>
      <c r="D3106" s="105" t="s">
        <v>2374</v>
      </c>
      <c r="E3106" s="220">
        <v>3</v>
      </c>
      <c r="F3106" s="214">
        <f>'HIRE CHARGES'!$D$517</f>
        <v>10.199999999999999</v>
      </c>
      <c r="G3106" s="190">
        <f t="shared" si="48"/>
        <v>30.599999999999998</v>
      </c>
    </row>
    <row r="3107" spans="1:7">
      <c r="A3107" s="847"/>
      <c r="B3107" s="152"/>
      <c r="C3107" s="355" t="s">
        <v>2379</v>
      </c>
      <c r="D3107" s="105" t="s">
        <v>2374</v>
      </c>
      <c r="E3107" s="220">
        <v>3</v>
      </c>
      <c r="F3107" s="214">
        <f>'HIRE CHARGES'!$E$517</f>
        <v>79.3</v>
      </c>
      <c r="G3107" s="190">
        <f t="shared" si="48"/>
        <v>237.89999999999998</v>
      </c>
    </row>
    <row r="3108" spans="1:7">
      <c r="A3108" s="847"/>
      <c r="B3108" s="105">
        <v>3</v>
      </c>
      <c r="C3108" s="355" t="s">
        <v>6286</v>
      </c>
      <c r="D3108" s="105" t="s">
        <v>2374</v>
      </c>
      <c r="E3108" s="220">
        <v>5</v>
      </c>
      <c r="F3108" s="214">
        <f>'HIRE CHARGES'!$D$555</f>
        <v>402.5</v>
      </c>
      <c r="G3108" s="190">
        <f t="shared" si="48"/>
        <v>2012.5</v>
      </c>
    </row>
    <row r="3109" spans="1:7">
      <c r="A3109" s="847"/>
      <c r="B3109" s="152"/>
      <c r="C3109" s="355" t="s">
        <v>2379</v>
      </c>
      <c r="D3109" s="105" t="s">
        <v>2374</v>
      </c>
      <c r="E3109" s="220">
        <v>5</v>
      </c>
      <c r="F3109" s="214">
        <f>'HIRE CHARGES'!$E$555</f>
        <v>299.89999999999998</v>
      </c>
      <c r="G3109" s="190">
        <f t="shared" si="48"/>
        <v>1499.5</v>
      </c>
    </row>
    <row r="3110" spans="1:7">
      <c r="A3110" s="847"/>
      <c r="B3110" s="105">
        <v>4</v>
      </c>
      <c r="C3110" s="355" t="s">
        <v>9251</v>
      </c>
      <c r="D3110" s="105" t="s">
        <v>2374</v>
      </c>
      <c r="E3110" s="220">
        <v>6.06</v>
      </c>
      <c r="F3110" s="214">
        <f>'HIRE CHARGES'!$D$553</f>
        <v>1342.2</v>
      </c>
      <c r="G3110" s="190">
        <f t="shared" si="48"/>
        <v>8133.732</v>
      </c>
    </row>
    <row r="3111" spans="1:7">
      <c r="A3111" s="847"/>
      <c r="B3111" s="152"/>
      <c r="C3111" s="355" t="s">
        <v>2379</v>
      </c>
      <c r="D3111" s="105" t="s">
        <v>2374</v>
      </c>
      <c r="E3111" s="220">
        <v>6.06</v>
      </c>
      <c r="F3111" s="214">
        <f>'HIRE CHARGES'!$E$553</f>
        <v>1031.4000000000001</v>
      </c>
      <c r="G3111" s="190">
        <f t="shared" si="48"/>
        <v>6250.2840000000006</v>
      </c>
    </row>
    <row r="3112" spans="1:7">
      <c r="A3112" s="847"/>
      <c r="B3112" s="114">
        <v>5</v>
      </c>
      <c r="C3112" s="355" t="s">
        <v>2373</v>
      </c>
      <c r="D3112" s="105" t="s">
        <v>2173</v>
      </c>
      <c r="E3112" s="220">
        <v>5</v>
      </c>
      <c r="F3112" s="190">
        <f>'BASIC DATA'!$D$359</f>
        <v>30</v>
      </c>
      <c r="G3112" s="190">
        <f t="shared" si="48"/>
        <v>150</v>
      </c>
    </row>
    <row r="3113" spans="1:7">
      <c r="A3113" s="847"/>
      <c r="B3113" s="176"/>
      <c r="C3113" s="357" t="s">
        <v>2380</v>
      </c>
      <c r="D3113" s="174"/>
      <c r="E3113" s="192"/>
      <c r="F3113" s="236" t="s">
        <v>1698</v>
      </c>
      <c r="G3113" s="354">
        <f>SUM(G3104:G3112)</f>
        <v>26688.116000000002</v>
      </c>
    </row>
    <row r="3114" spans="1:7">
      <c r="A3114" s="847"/>
      <c r="B3114" s="78"/>
      <c r="C3114" s="48"/>
    </row>
    <row r="3115" spans="1:7">
      <c r="A3115" s="847"/>
      <c r="B3115" s="79" t="s">
        <v>2381</v>
      </c>
      <c r="C3115" s="48"/>
    </row>
    <row r="3116" spans="1:7">
      <c r="A3116" s="847"/>
      <c r="B3116" s="95" t="s">
        <v>2369</v>
      </c>
      <c r="C3116" s="350" t="s">
        <v>2378</v>
      </c>
      <c r="D3116" s="95" t="s">
        <v>2370</v>
      </c>
      <c r="E3116" s="95" t="s">
        <v>1166</v>
      </c>
      <c r="F3116" s="95" t="s">
        <v>2371</v>
      </c>
      <c r="G3116" s="95" t="s">
        <v>2372</v>
      </c>
    </row>
    <row r="3117" spans="1:7">
      <c r="A3117" s="847"/>
      <c r="B3117" s="114"/>
      <c r="C3117" s="351"/>
      <c r="D3117" s="105"/>
      <c r="E3117" s="114"/>
      <c r="F3117" s="114" t="s">
        <v>3485</v>
      </c>
      <c r="G3117" s="114" t="s">
        <v>3485</v>
      </c>
    </row>
    <row r="3118" spans="1:7">
      <c r="A3118" s="847"/>
      <c r="B3118" s="105">
        <v>1</v>
      </c>
      <c r="C3118" s="86" t="s">
        <v>2870</v>
      </c>
      <c r="D3118" s="95" t="s">
        <v>2374</v>
      </c>
      <c r="E3118" s="207">
        <v>3.6</v>
      </c>
      <c r="F3118" s="190">
        <f>'HIRE CHARGES'!$F$499</f>
        <v>236.6</v>
      </c>
      <c r="G3118" s="190">
        <f t="shared" ref="G3118:G3123" si="49">E3118*F3118</f>
        <v>851.76</v>
      </c>
    </row>
    <row r="3119" spans="1:7">
      <c r="A3119" s="847"/>
      <c r="B3119" s="105">
        <v>2</v>
      </c>
      <c r="C3119" s="86" t="s">
        <v>999</v>
      </c>
      <c r="D3119" s="105" t="s">
        <v>2374</v>
      </c>
      <c r="E3119" s="207">
        <v>3</v>
      </c>
      <c r="F3119" s="190">
        <f>'HIRE CHARGES'!$F$517</f>
        <v>111.1</v>
      </c>
      <c r="G3119" s="190">
        <f t="shared" si="49"/>
        <v>333.29999999999995</v>
      </c>
    </row>
    <row r="3120" spans="1:7">
      <c r="A3120" s="847"/>
      <c r="B3120" s="105">
        <v>3</v>
      </c>
      <c r="C3120" s="86" t="s">
        <v>1000</v>
      </c>
      <c r="D3120" s="105" t="s">
        <v>2374</v>
      </c>
      <c r="E3120" s="207">
        <v>5</v>
      </c>
      <c r="F3120" s="190">
        <f>'HIRE CHARGES'!$F$555</f>
        <v>177.5</v>
      </c>
      <c r="G3120" s="190">
        <f t="shared" si="49"/>
        <v>887.5</v>
      </c>
    </row>
    <row r="3121" spans="1:8">
      <c r="A3121" s="847"/>
      <c r="B3121" s="105">
        <v>4</v>
      </c>
      <c r="C3121" s="86" t="s">
        <v>1001</v>
      </c>
      <c r="D3121" s="105" t="s">
        <v>2374</v>
      </c>
      <c r="E3121" s="207">
        <v>6.06</v>
      </c>
      <c r="F3121" s="190">
        <f>'HIRE CHARGES'!$F$553</f>
        <v>263.60000000000002</v>
      </c>
      <c r="G3121" s="190">
        <f t="shared" si="49"/>
        <v>1597.4159999999999</v>
      </c>
    </row>
    <row r="3122" spans="1:8">
      <c r="A3122" s="847"/>
      <c r="B3122" s="105">
        <v>5</v>
      </c>
      <c r="C3122" s="86" t="s">
        <v>4206</v>
      </c>
      <c r="D3122" s="105" t="s">
        <v>1172</v>
      </c>
      <c r="E3122" s="207">
        <v>2</v>
      </c>
      <c r="F3122" s="190">
        <f>'BASIC DATA'!$C$473</f>
        <v>450</v>
      </c>
      <c r="G3122" s="190">
        <f t="shared" si="49"/>
        <v>900</v>
      </c>
    </row>
    <row r="3123" spans="1:8">
      <c r="A3123" s="847"/>
      <c r="B3123" s="105">
        <v>6</v>
      </c>
      <c r="C3123" s="86" t="s">
        <v>2696</v>
      </c>
      <c r="D3123" s="105" t="s">
        <v>1172</v>
      </c>
      <c r="E3123" s="207">
        <v>4</v>
      </c>
      <c r="F3123" s="190">
        <f>'BASIC DATA'!$C$552</f>
        <v>350</v>
      </c>
      <c r="G3123" s="190">
        <f t="shared" si="49"/>
        <v>1400</v>
      </c>
    </row>
    <row r="3124" spans="1:8">
      <c r="A3124" s="847"/>
      <c r="B3124" s="92"/>
      <c r="C3124" s="353" t="s">
        <v>1174</v>
      </c>
      <c r="D3124" s="159"/>
      <c r="E3124" s="238"/>
      <c r="F3124" s="236" t="s">
        <v>1698</v>
      </c>
      <c r="G3124" s="318">
        <f>SUM(G3118:G3123)</f>
        <v>5969.9759999999997</v>
      </c>
    </row>
    <row r="3125" spans="1:8">
      <c r="A3125" s="847"/>
      <c r="B3125" s="359" t="s">
        <v>5948</v>
      </c>
      <c r="C3125" s="355"/>
      <c r="D3125" s="31"/>
      <c r="E3125" s="85">
        <f>ROUND(G3124/F3093,1)</f>
        <v>9.9</v>
      </c>
    </row>
    <row r="3126" spans="1:8">
      <c r="A3126" s="847"/>
      <c r="B3126" s="359" t="s">
        <v>3163</v>
      </c>
      <c r="C3126" s="355"/>
      <c r="D3126" s="922">
        <f>'BASIC DATA'!$C$577</f>
        <v>0.13614999999999999</v>
      </c>
      <c r="E3126" s="85">
        <f>ROUND(E3125*D3126,1)</f>
        <v>1.3</v>
      </c>
    </row>
    <row r="3127" spans="1:8">
      <c r="A3127" s="847"/>
      <c r="B3127" s="359" t="s">
        <v>5949</v>
      </c>
      <c r="C3127" s="355"/>
      <c r="D3127" s="31"/>
      <c r="E3127" s="199">
        <f>ROUND(E3126+E3125,1)</f>
        <v>11.2</v>
      </c>
    </row>
    <row r="3128" spans="1:8">
      <c r="A3128" s="847"/>
      <c r="B3128" s="78"/>
      <c r="C3128" s="48"/>
    </row>
    <row r="3129" spans="1:8">
      <c r="A3129" s="847"/>
      <c r="B3129" s="162" t="s">
        <v>1175</v>
      </c>
      <c r="C3129" s="48"/>
    </row>
    <row r="3130" spans="1:8">
      <c r="A3130" s="847"/>
      <c r="B3130" s="47" t="s">
        <v>1176</v>
      </c>
      <c r="C3130" s="48"/>
      <c r="F3130" s="171" t="s">
        <v>1698</v>
      </c>
      <c r="G3130" s="68">
        <f>G3099</f>
        <v>0</v>
      </c>
    </row>
    <row r="3131" spans="1:8">
      <c r="A3131" s="847"/>
      <c r="B3131" s="47" t="s">
        <v>1186</v>
      </c>
      <c r="C3131" s="48"/>
      <c r="F3131" s="171" t="s">
        <v>1698</v>
      </c>
      <c r="G3131" s="68">
        <f>G3113</f>
        <v>26688.116000000002</v>
      </c>
    </row>
    <row r="3132" spans="1:8">
      <c r="A3132" s="847"/>
      <c r="B3132" s="47" t="s">
        <v>2660</v>
      </c>
      <c r="C3132" s="48"/>
      <c r="F3132" s="171" t="s">
        <v>1698</v>
      </c>
      <c r="G3132" s="75">
        <f>G3124</f>
        <v>5969.9759999999997</v>
      </c>
    </row>
    <row r="3133" spans="1:8">
      <c r="A3133" s="847"/>
      <c r="B3133" s="78"/>
      <c r="C3133" s="48"/>
      <c r="E3133" s="261"/>
      <c r="F3133" s="171" t="s">
        <v>302</v>
      </c>
      <c r="G3133" s="205">
        <f>SUM(G3130:G3132)</f>
        <v>32658.092000000001</v>
      </c>
    </row>
    <row r="3134" spans="1:8" ht="39" customHeight="1">
      <c r="A3134" s="847"/>
      <c r="B3134" s="1207" t="s">
        <v>1379</v>
      </c>
      <c r="C3134" s="1207"/>
      <c r="D3134" s="1207"/>
      <c r="E3134" s="922">
        <f>'BASIC DATA'!$C$577</f>
        <v>0.13614999999999999</v>
      </c>
      <c r="F3134" s="171" t="s">
        <v>1698</v>
      </c>
      <c r="G3134" s="31">
        <f>ROUND(G3133*E3134,2)</f>
        <v>4446.3999999999996</v>
      </c>
    </row>
    <row r="3135" spans="1:8">
      <c r="A3135" s="847"/>
      <c r="B3135" s="47" t="s">
        <v>1191</v>
      </c>
      <c r="C3135" s="48"/>
      <c r="D3135" s="68">
        <f>F3093</f>
        <v>600</v>
      </c>
      <c r="E3135" s="68" t="str">
        <f>G3093</f>
        <v>cum</v>
      </c>
      <c r="F3135" s="171" t="s">
        <v>1698</v>
      </c>
      <c r="G3135" s="211">
        <f>G3134+G3133</f>
        <v>37104.491999999998</v>
      </c>
    </row>
    <row r="3136" spans="1:8">
      <c r="A3136" s="847"/>
      <c r="B3136" s="79" t="s">
        <v>1584</v>
      </c>
      <c r="C3136" s="356" t="str">
        <f>E3135</f>
        <v>cum</v>
      </c>
      <c r="D3136" s="26" t="s">
        <v>5879</v>
      </c>
      <c r="F3136" s="171" t="s">
        <v>4108</v>
      </c>
      <c r="G3136" s="211">
        <f>ROUND(G3135/D3135,1)</f>
        <v>61.8</v>
      </c>
      <c r="H3136" s="171"/>
    </row>
    <row r="3137" spans="1:8">
      <c r="A3137" s="847"/>
      <c r="B3137" s="78"/>
      <c r="C3137" s="48"/>
    </row>
    <row r="3138" spans="1:8">
      <c r="A3138" s="847"/>
      <c r="B3138" s="78"/>
      <c r="C3138" s="48"/>
    </row>
    <row r="3139" spans="1:8" ht="18.75">
      <c r="A3139" s="841" t="s">
        <v>7448</v>
      </c>
      <c r="B3139" s="162" t="s">
        <v>8694</v>
      </c>
      <c r="C3139" s="48"/>
    </row>
    <row r="3140" spans="1:8">
      <c r="A3140" s="889"/>
      <c r="B3140" s="47" t="s">
        <v>8695</v>
      </c>
      <c r="C3140" s="48"/>
    </row>
    <row r="3141" spans="1:8">
      <c r="A3141" s="889"/>
      <c r="B3141" s="47" t="s">
        <v>8696</v>
      </c>
      <c r="C3141" s="48"/>
    </row>
    <row r="3142" spans="1:8" ht="18.75">
      <c r="A3142" s="889"/>
      <c r="B3142" s="47" t="s">
        <v>8697</v>
      </c>
      <c r="C3142" s="48"/>
    </row>
    <row r="3143" spans="1:8">
      <c r="A3143" s="889"/>
      <c r="B3143" s="47" t="s">
        <v>9243</v>
      </c>
      <c r="C3143" s="48"/>
    </row>
    <row r="3144" spans="1:8" ht="18.75">
      <c r="A3144" s="889"/>
      <c r="B3144" s="162" t="s">
        <v>9244</v>
      </c>
      <c r="C3144" s="48"/>
    </row>
    <row r="3145" spans="1:8">
      <c r="A3145" s="889"/>
      <c r="C3145" s="48"/>
    </row>
    <row r="3146" spans="1:8" hidden="1">
      <c r="A3146" s="889" t="s">
        <v>3984</v>
      </c>
      <c r="B3146" s="47" t="s">
        <v>4889</v>
      </c>
      <c r="C3146" s="48"/>
      <c r="F3146" s="78" t="s">
        <v>1697</v>
      </c>
      <c r="G3146" s="47">
        <v>600</v>
      </c>
      <c r="H3146" s="26" t="s">
        <v>6901</v>
      </c>
    </row>
    <row r="3147" spans="1:8" hidden="1">
      <c r="A3147" s="889">
        <v>1</v>
      </c>
      <c r="B3147" s="47" t="s">
        <v>2860</v>
      </c>
      <c r="C3147" s="48"/>
      <c r="F3147" s="78" t="s">
        <v>1697</v>
      </c>
      <c r="G3147" s="47" t="s">
        <v>6976</v>
      </c>
    </row>
    <row r="3148" spans="1:8" hidden="1">
      <c r="A3148" s="889">
        <v>2</v>
      </c>
      <c r="B3148" s="47" t="s">
        <v>6281</v>
      </c>
      <c r="C3148" s="48"/>
    </row>
    <row r="3149" spans="1:8" hidden="1">
      <c r="A3149" s="841"/>
      <c r="B3149" s="47" t="s">
        <v>758</v>
      </c>
      <c r="C3149" s="48"/>
    </row>
    <row r="3150" spans="1:8" hidden="1">
      <c r="A3150" s="841"/>
      <c r="B3150" s="47" t="s">
        <v>759</v>
      </c>
      <c r="C3150" s="48"/>
    </row>
    <row r="3151" spans="1:8" hidden="1">
      <c r="A3151" s="889">
        <v>3</v>
      </c>
      <c r="B3151" s="47" t="s">
        <v>1261</v>
      </c>
      <c r="C3151" s="48"/>
    </row>
    <row r="3152" spans="1:8" hidden="1">
      <c r="A3152" s="841"/>
      <c r="B3152" s="47" t="s">
        <v>6513</v>
      </c>
      <c r="C3152" s="48"/>
      <c r="F3152" s="78" t="s">
        <v>1697</v>
      </c>
      <c r="G3152" s="26">
        <v>720</v>
      </c>
      <c r="H3152" s="26" t="s">
        <v>6901</v>
      </c>
    </row>
    <row r="3153" spans="1:8" hidden="1">
      <c r="A3153" s="841"/>
      <c r="B3153" s="47" t="s">
        <v>685</v>
      </c>
      <c r="C3153" s="48"/>
      <c r="F3153" s="78" t="s">
        <v>1697</v>
      </c>
      <c r="G3153" s="26">
        <v>200</v>
      </c>
      <c r="H3153" s="26" t="s">
        <v>6901</v>
      </c>
    </row>
    <row r="3154" spans="1:8" hidden="1">
      <c r="A3154" s="841"/>
      <c r="B3154" s="47" t="s">
        <v>1745</v>
      </c>
      <c r="C3154" s="48"/>
      <c r="F3154" s="78" t="s">
        <v>1123</v>
      </c>
      <c r="G3154" s="68">
        <v>3.6</v>
      </c>
      <c r="H3154" s="26" t="s">
        <v>3428</v>
      </c>
    </row>
    <row r="3155" spans="1:8" hidden="1">
      <c r="A3155" s="889">
        <v>4</v>
      </c>
      <c r="B3155" s="47" t="s">
        <v>1746</v>
      </c>
      <c r="C3155" s="48"/>
    </row>
    <row r="3156" spans="1:8" hidden="1">
      <c r="A3156" s="841"/>
      <c r="B3156" s="47" t="s">
        <v>686</v>
      </c>
      <c r="C3156" s="48"/>
    </row>
    <row r="3157" spans="1:8" hidden="1">
      <c r="A3157" s="841"/>
      <c r="B3157" s="47" t="s">
        <v>6795</v>
      </c>
      <c r="C3157" s="48"/>
    </row>
    <row r="3158" spans="1:8" hidden="1">
      <c r="A3158" s="841"/>
      <c r="B3158" s="47" t="s">
        <v>6796</v>
      </c>
      <c r="C3158" s="48"/>
    </row>
    <row r="3159" spans="1:8" hidden="1">
      <c r="A3159" s="841"/>
      <c r="B3159" s="47" t="s">
        <v>6797</v>
      </c>
      <c r="C3159" s="48"/>
    </row>
    <row r="3160" spans="1:8" hidden="1">
      <c r="A3160" s="841"/>
      <c r="B3160" s="47" t="s">
        <v>1372</v>
      </c>
      <c r="C3160" s="48"/>
    </row>
    <row r="3161" spans="1:8" hidden="1">
      <c r="A3161" s="841"/>
      <c r="B3161" s="47" t="s">
        <v>1373</v>
      </c>
      <c r="C3161" s="48"/>
    </row>
    <row r="3162" spans="1:8" hidden="1">
      <c r="A3162" s="841"/>
      <c r="B3162" s="47" t="s">
        <v>2325</v>
      </c>
      <c r="C3162" s="48"/>
    </row>
    <row r="3163" spans="1:8" hidden="1">
      <c r="A3163" s="889">
        <v>5</v>
      </c>
      <c r="B3163" s="47" t="s">
        <v>6798</v>
      </c>
      <c r="C3163" s="48"/>
    </row>
    <row r="3164" spans="1:8" hidden="1">
      <c r="A3164" s="841"/>
      <c r="B3164" s="47" t="s">
        <v>3647</v>
      </c>
      <c r="C3164" s="48"/>
    </row>
    <row r="3165" spans="1:8" hidden="1">
      <c r="A3165" s="841"/>
      <c r="B3165" s="47" t="s">
        <v>9250</v>
      </c>
      <c r="C3165" s="48"/>
    </row>
    <row r="3166" spans="1:8" hidden="1">
      <c r="A3166" s="841"/>
      <c r="B3166" s="47" t="s">
        <v>2320</v>
      </c>
      <c r="C3166" s="48"/>
    </row>
    <row r="3167" spans="1:8" hidden="1">
      <c r="A3167" s="841"/>
      <c r="B3167" s="47" t="s">
        <v>3650</v>
      </c>
      <c r="C3167" s="48"/>
      <c r="F3167" s="78" t="s">
        <v>1697</v>
      </c>
      <c r="G3167" s="68">
        <v>1.9</v>
      </c>
      <c r="H3167" s="26" t="s">
        <v>2602</v>
      </c>
    </row>
    <row r="3168" spans="1:8" hidden="1">
      <c r="A3168" s="841"/>
      <c r="B3168" s="47" t="s">
        <v>4995</v>
      </c>
      <c r="C3168" s="48"/>
      <c r="F3168" s="78" t="s">
        <v>1697</v>
      </c>
      <c r="G3168" s="383">
        <v>4</v>
      </c>
      <c r="H3168" s="26" t="s">
        <v>3431</v>
      </c>
    </row>
    <row r="3169" spans="1:8" hidden="1">
      <c r="A3169" s="841"/>
      <c r="B3169" s="47" t="s">
        <v>4997</v>
      </c>
      <c r="C3169" s="48"/>
      <c r="F3169" s="78" t="s">
        <v>1697</v>
      </c>
      <c r="G3169" s="61">
        <v>0.25</v>
      </c>
      <c r="H3169" s="26" t="s">
        <v>2602</v>
      </c>
    </row>
    <row r="3170" spans="1:8" hidden="1">
      <c r="A3170" s="841"/>
      <c r="B3170" s="47" t="s">
        <v>1504</v>
      </c>
      <c r="C3170" s="48"/>
      <c r="F3170" s="78" t="s">
        <v>1697</v>
      </c>
      <c r="G3170" s="26">
        <v>12</v>
      </c>
      <c r="H3170" s="26" t="s">
        <v>3436</v>
      </c>
    </row>
    <row r="3171" spans="1:8" hidden="1">
      <c r="A3171" s="841"/>
      <c r="B3171" s="47" t="s">
        <v>1126</v>
      </c>
      <c r="C3171" s="48"/>
    </row>
    <row r="3172" spans="1:8" hidden="1">
      <c r="A3172" s="841"/>
      <c r="B3172" s="47" t="s">
        <v>7216</v>
      </c>
      <c r="C3172" s="48"/>
      <c r="D3172" s="26">
        <f>50/60*(1.9*4000*0.25*0.75/12)</f>
        <v>98.958333333333343</v>
      </c>
      <c r="F3172" s="78" t="s">
        <v>1123</v>
      </c>
      <c r="G3172" s="26">
        <v>99</v>
      </c>
      <c r="H3172" s="26" t="s">
        <v>6901</v>
      </c>
    </row>
    <row r="3173" spans="1:8" hidden="1">
      <c r="A3173" s="841"/>
      <c r="B3173" s="47" t="s">
        <v>1128</v>
      </c>
      <c r="C3173" s="48"/>
      <c r="E3173" s="26">
        <f>720/G3172</f>
        <v>7.2727272727272725</v>
      </c>
      <c r="F3173" s="78" t="s">
        <v>1123</v>
      </c>
      <c r="G3173" s="68">
        <v>7.3</v>
      </c>
      <c r="H3173" s="26" t="s">
        <v>3428</v>
      </c>
    </row>
    <row r="3174" spans="1:8" hidden="1">
      <c r="A3174" s="889">
        <v>6</v>
      </c>
      <c r="B3174" s="47" t="s">
        <v>1129</v>
      </c>
      <c r="C3174" s="48"/>
    </row>
    <row r="3175" spans="1:8" hidden="1">
      <c r="A3175" s="889"/>
      <c r="B3175" s="47" t="s">
        <v>5043</v>
      </c>
      <c r="C3175" s="48"/>
    </row>
    <row r="3176" spans="1:8">
      <c r="A3176" s="847"/>
      <c r="B3176" s="78"/>
      <c r="C3176" s="48"/>
    </row>
    <row r="3177" spans="1:8">
      <c r="A3177" s="889" t="s">
        <v>3984</v>
      </c>
      <c r="B3177" s="78"/>
      <c r="C3177" s="349" t="s">
        <v>2367</v>
      </c>
      <c r="E3177" s="171" t="s">
        <v>297</v>
      </c>
      <c r="F3177" s="246">
        <f>G3146</f>
        <v>600</v>
      </c>
      <c r="G3177" s="26" t="s">
        <v>3477</v>
      </c>
    </row>
    <row r="3178" spans="1:8">
      <c r="A3178" s="847"/>
      <c r="B3178" s="79" t="s">
        <v>2368</v>
      </c>
      <c r="C3178" s="48"/>
    </row>
    <row r="3179" spans="1:8">
      <c r="A3179" s="847"/>
      <c r="B3179" s="95" t="s">
        <v>2369</v>
      </c>
      <c r="C3179" s="350" t="s">
        <v>6374</v>
      </c>
      <c r="D3179" s="95" t="s">
        <v>2370</v>
      </c>
      <c r="E3179" s="95" t="s">
        <v>1166</v>
      </c>
      <c r="F3179" s="95" t="s">
        <v>2371</v>
      </c>
      <c r="G3179" s="95" t="s">
        <v>2372</v>
      </c>
    </row>
    <row r="3180" spans="1:8">
      <c r="A3180" s="847"/>
      <c r="B3180" s="114"/>
      <c r="C3180" s="351"/>
      <c r="D3180" s="114"/>
      <c r="E3180" s="114"/>
      <c r="F3180" s="114" t="s">
        <v>3485</v>
      </c>
      <c r="G3180" s="114" t="s">
        <v>3485</v>
      </c>
    </row>
    <row r="3181" spans="1:8">
      <c r="A3181" s="847"/>
      <c r="B3181" s="95">
        <v>1</v>
      </c>
      <c r="C3181" s="352" t="s">
        <v>1130</v>
      </c>
      <c r="D3181" s="95"/>
      <c r="E3181" s="190">
        <v>0</v>
      </c>
      <c r="F3181" s="190">
        <v>0</v>
      </c>
      <c r="G3181" s="190">
        <f>E3181*F3181</f>
        <v>0</v>
      </c>
    </row>
    <row r="3182" spans="1:8">
      <c r="A3182" s="847"/>
      <c r="B3182" s="275"/>
      <c r="C3182" s="91"/>
      <c r="D3182" s="114"/>
      <c r="E3182" s="190">
        <v>0</v>
      </c>
      <c r="F3182" s="190">
        <v>0</v>
      </c>
      <c r="G3182" s="190">
        <f>E3182*F3182</f>
        <v>0</v>
      </c>
    </row>
    <row r="3183" spans="1:8">
      <c r="A3183" s="847"/>
      <c r="B3183" s="92"/>
      <c r="C3183" s="353" t="s">
        <v>2376</v>
      </c>
      <c r="D3183" s="159"/>
      <c r="E3183" s="238"/>
      <c r="F3183" s="236" t="s">
        <v>1698</v>
      </c>
      <c r="G3183" s="318">
        <f>SUM(G3181:G3182)</f>
        <v>0</v>
      </c>
    </row>
    <row r="3184" spans="1:8">
      <c r="A3184" s="847"/>
      <c r="B3184" s="78"/>
      <c r="C3184" s="48"/>
    </row>
    <row r="3185" spans="1:7">
      <c r="A3185" s="847"/>
      <c r="B3185" s="79" t="s">
        <v>2377</v>
      </c>
      <c r="C3185" s="48"/>
    </row>
    <row r="3186" spans="1:7">
      <c r="A3186" s="847"/>
      <c r="B3186" s="95" t="s">
        <v>2369</v>
      </c>
      <c r="C3186" s="350" t="s">
        <v>2378</v>
      </c>
      <c r="D3186" s="95" t="s">
        <v>2370</v>
      </c>
      <c r="E3186" s="95" t="s">
        <v>1166</v>
      </c>
      <c r="F3186" s="95" t="s">
        <v>2371</v>
      </c>
      <c r="G3186" s="95" t="s">
        <v>2372</v>
      </c>
    </row>
    <row r="3187" spans="1:7">
      <c r="A3187" s="847"/>
      <c r="B3187" s="114"/>
      <c r="C3187" s="351"/>
      <c r="D3187" s="114"/>
      <c r="E3187" s="114"/>
      <c r="F3187" s="114" t="s">
        <v>3485</v>
      </c>
      <c r="G3187" s="114" t="s">
        <v>3485</v>
      </c>
    </row>
    <row r="3188" spans="1:7">
      <c r="A3188" s="847"/>
      <c r="B3188" s="95">
        <v>1</v>
      </c>
      <c r="C3188" s="355" t="s">
        <v>1502</v>
      </c>
      <c r="D3188" s="95" t="s">
        <v>2374</v>
      </c>
      <c r="E3188" s="220">
        <v>3.6</v>
      </c>
      <c r="F3188" s="214">
        <f>'HIRE CHARGES'!$D$499</f>
        <v>1715.5</v>
      </c>
      <c r="G3188" s="190">
        <f t="shared" ref="G3188:G3196" si="50">E3188*F3188</f>
        <v>6175.8</v>
      </c>
    </row>
    <row r="3189" spans="1:7">
      <c r="A3189" s="847"/>
      <c r="B3189" s="152"/>
      <c r="C3189" s="355" t="s">
        <v>2379</v>
      </c>
      <c r="D3189" s="105" t="s">
        <v>2374</v>
      </c>
      <c r="E3189" s="220">
        <v>3.6</v>
      </c>
      <c r="F3189" s="214">
        <f>'HIRE CHARGES'!$E$499</f>
        <v>610.5</v>
      </c>
      <c r="G3189" s="190">
        <f t="shared" si="50"/>
        <v>2197.8000000000002</v>
      </c>
    </row>
    <row r="3190" spans="1:7">
      <c r="A3190" s="847"/>
      <c r="B3190" s="105">
        <v>2</v>
      </c>
      <c r="C3190" s="355" t="s">
        <v>1132</v>
      </c>
      <c r="D3190" s="105" t="s">
        <v>2374</v>
      </c>
      <c r="E3190" s="220">
        <v>3</v>
      </c>
      <c r="F3190" s="214">
        <f>'HIRE CHARGES'!$D$517</f>
        <v>10.199999999999999</v>
      </c>
      <c r="G3190" s="190">
        <f t="shared" si="50"/>
        <v>30.599999999999998</v>
      </c>
    </row>
    <row r="3191" spans="1:7">
      <c r="A3191" s="847"/>
      <c r="B3191" s="152"/>
      <c r="C3191" s="355" t="s">
        <v>2379</v>
      </c>
      <c r="D3191" s="105" t="s">
        <v>2374</v>
      </c>
      <c r="E3191" s="220">
        <v>3</v>
      </c>
      <c r="F3191" s="214">
        <f>'HIRE CHARGES'!$E$517</f>
        <v>79.3</v>
      </c>
      <c r="G3191" s="190">
        <f t="shared" si="50"/>
        <v>237.89999999999998</v>
      </c>
    </row>
    <row r="3192" spans="1:7">
      <c r="A3192" s="847"/>
      <c r="B3192" s="105">
        <v>3</v>
      </c>
      <c r="C3192" s="355" t="s">
        <v>6286</v>
      </c>
      <c r="D3192" s="105" t="s">
        <v>2374</v>
      </c>
      <c r="E3192" s="220">
        <v>5</v>
      </c>
      <c r="F3192" s="214">
        <f>'HIRE CHARGES'!$D$555</f>
        <v>402.5</v>
      </c>
      <c r="G3192" s="190">
        <f t="shared" si="50"/>
        <v>2012.5</v>
      </c>
    </row>
    <row r="3193" spans="1:7">
      <c r="A3193" s="847"/>
      <c r="B3193" s="152"/>
      <c r="C3193" s="355" t="s">
        <v>2379</v>
      </c>
      <c r="D3193" s="105" t="s">
        <v>2374</v>
      </c>
      <c r="E3193" s="220">
        <v>5</v>
      </c>
      <c r="F3193" s="214">
        <f>'HIRE CHARGES'!$E$555</f>
        <v>299.89999999999998</v>
      </c>
      <c r="G3193" s="190">
        <f t="shared" si="50"/>
        <v>1499.5</v>
      </c>
    </row>
    <row r="3194" spans="1:7">
      <c r="A3194" s="847"/>
      <c r="B3194" s="105">
        <v>4</v>
      </c>
      <c r="C3194" s="355" t="s">
        <v>9251</v>
      </c>
      <c r="D3194" s="105" t="s">
        <v>2374</v>
      </c>
      <c r="E3194" s="220">
        <v>7.3</v>
      </c>
      <c r="F3194" s="214">
        <f>'HIRE CHARGES'!$D$553</f>
        <v>1342.2</v>
      </c>
      <c r="G3194" s="190">
        <f t="shared" si="50"/>
        <v>9798.06</v>
      </c>
    </row>
    <row r="3195" spans="1:7">
      <c r="A3195" s="847"/>
      <c r="B3195" s="152"/>
      <c r="C3195" s="355" t="s">
        <v>2379</v>
      </c>
      <c r="D3195" s="105" t="s">
        <v>2374</v>
      </c>
      <c r="E3195" s="220">
        <v>7.3</v>
      </c>
      <c r="F3195" s="214">
        <f>'HIRE CHARGES'!$E$553</f>
        <v>1031.4000000000001</v>
      </c>
      <c r="G3195" s="190">
        <f t="shared" si="50"/>
        <v>7529.22</v>
      </c>
    </row>
    <row r="3196" spans="1:7">
      <c r="A3196" s="847"/>
      <c r="B3196" s="105">
        <v>5</v>
      </c>
      <c r="C3196" s="355" t="s">
        <v>2373</v>
      </c>
      <c r="D3196" s="105" t="s">
        <v>2173</v>
      </c>
      <c r="E3196" s="220">
        <v>2</v>
      </c>
      <c r="F3196" s="190">
        <f>'BASIC DATA'!$D$359</f>
        <v>30</v>
      </c>
      <c r="G3196" s="190">
        <f t="shared" si="50"/>
        <v>60</v>
      </c>
    </row>
    <row r="3197" spans="1:7">
      <c r="A3197" s="847"/>
      <c r="B3197" s="92"/>
      <c r="C3197" s="353" t="s">
        <v>2380</v>
      </c>
      <c r="D3197" s="159"/>
      <c r="E3197" s="238"/>
      <c r="F3197" s="236" t="s">
        <v>1698</v>
      </c>
      <c r="G3197" s="354">
        <f>SUM(G3188:G3196)</f>
        <v>29541.38</v>
      </c>
    </row>
    <row r="3198" spans="1:7">
      <c r="A3198" s="847"/>
      <c r="B3198" s="78"/>
      <c r="C3198" s="48"/>
    </row>
    <row r="3199" spans="1:7">
      <c r="A3199" s="847"/>
      <c r="B3199" s="79" t="s">
        <v>2381</v>
      </c>
      <c r="C3199" s="48"/>
    </row>
    <row r="3200" spans="1:7">
      <c r="A3200" s="847"/>
      <c r="B3200" s="95" t="s">
        <v>2369</v>
      </c>
      <c r="C3200" s="350" t="s">
        <v>2378</v>
      </c>
      <c r="D3200" s="95" t="s">
        <v>2370</v>
      </c>
      <c r="E3200" s="95" t="s">
        <v>1166</v>
      </c>
      <c r="F3200" s="95" t="s">
        <v>2371</v>
      </c>
      <c r="G3200" s="95" t="s">
        <v>2372</v>
      </c>
    </row>
    <row r="3201" spans="1:7">
      <c r="A3201" s="847"/>
      <c r="B3201" s="114"/>
      <c r="C3201" s="351"/>
      <c r="D3201" s="105"/>
      <c r="E3201" s="114"/>
      <c r="F3201" s="114" t="s">
        <v>3485</v>
      </c>
      <c r="G3201" s="114" t="s">
        <v>3485</v>
      </c>
    </row>
    <row r="3202" spans="1:7">
      <c r="A3202" s="847"/>
      <c r="B3202" s="105">
        <v>1</v>
      </c>
      <c r="C3202" s="86" t="s">
        <v>2870</v>
      </c>
      <c r="D3202" s="95" t="s">
        <v>2374</v>
      </c>
      <c r="E3202" s="207">
        <v>3.6</v>
      </c>
      <c r="F3202" s="190">
        <f>'HIRE CHARGES'!$F$499</f>
        <v>236.6</v>
      </c>
      <c r="G3202" s="190">
        <f t="shared" ref="G3202:G3207" si="51">E3202*F3202</f>
        <v>851.76</v>
      </c>
    </row>
    <row r="3203" spans="1:7">
      <c r="A3203" s="847"/>
      <c r="B3203" s="105">
        <v>2</v>
      </c>
      <c r="C3203" s="86" t="s">
        <v>999</v>
      </c>
      <c r="D3203" s="105" t="s">
        <v>2374</v>
      </c>
      <c r="E3203" s="207">
        <v>3</v>
      </c>
      <c r="F3203" s="190">
        <f>'HIRE CHARGES'!$F$517</f>
        <v>111.1</v>
      </c>
      <c r="G3203" s="190">
        <f t="shared" si="51"/>
        <v>333.29999999999995</v>
      </c>
    </row>
    <row r="3204" spans="1:7">
      <c r="A3204" s="847"/>
      <c r="B3204" s="105">
        <v>3</v>
      </c>
      <c r="C3204" s="86" t="s">
        <v>1000</v>
      </c>
      <c r="D3204" s="105" t="s">
        <v>2374</v>
      </c>
      <c r="E3204" s="207">
        <v>5</v>
      </c>
      <c r="F3204" s="190">
        <f>'HIRE CHARGES'!$F$555</f>
        <v>177.5</v>
      </c>
      <c r="G3204" s="190">
        <f t="shared" si="51"/>
        <v>887.5</v>
      </c>
    </row>
    <row r="3205" spans="1:7">
      <c r="A3205" s="847"/>
      <c r="B3205" s="105">
        <v>4</v>
      </c>
      <c r="C3205" s="86" t="s">
        <v>1001</v>
      </c>
      <c r="D3205" s="105" t="s">
        <v>2374</v>
      </c>
      <c r="E3205" s="207">
        <v>7.3</v>
      </c>
      <c r="F3205" s="190">
        <f>'HIRE CHARGES'!$F$553</f>
        <v>263.60000000000002</v>
      </c>
      <c r="G3205" s="190">
        <f t="shared" si="51"/>
        <v>1924.2800000000002</v>
      </c>
    </row>
    <row r="3206" spans="1:7">
      <c r="A3206" s="847"/>
      <c r="B3206" s="105">
        <v>5</v>
      </c>
      <c r="C3206" s="86" t="s">
        <v>4206</v>
      </c>
      <c r="D3206" s="105" t="s">
        <v>1172</v>
      </c>
      <c r="E3206" s="207">
        <v>1</v>
      </c>
      <c r="F3206" s="190">
        <f>'BASIC DATA'!$C$473</f>
        <v>450</v>
      </c>
      <c r="G3206" s="190">
        <f t="shared" si="51"/>
        <v>450</v>
      </c>
    </row>
    <row r="3207" spans="1:7">
      <c r="A3207" s="847"/>
      <c r="B3207" s="105">
        <v>6</v>
      </c>
      <c r="C3207" s="86" t="s">
        <v>2696</v>
      </c>
      <c r="D3207" s="105" t="s">
        <v>1172</v>
      </c>
      <c r="E3207" s="207">
        <v>4</v>
      </c>
      <c r="F3207" s="190">
        <f>'BASIC DATA'!$C$552</f>
        <v>350</v>
      </c>
      <c r="G3207" s="190">
        <f t="shared" si="51"/>
        <v>1400</v>
      </c>
    </row>
    <row r="3208" spans="1:7">
      <c r="A3208" s="847"/>
      <c r="B3208" s="92"/>
      <c r="C3208" s="353" t="s">
        <v>1174</v>
      </c>
      <c r="D3208" s="159"/>
      <c r="E3208" s="238"/>
      <c r="F3208" s="236" t="s">
        <v>1698</v>
      </c>
      <c r="G3208" s="318">
        <f>SUM(G3202:G3207)</f>
        <v>5846.84</v>
      </c>
    </row>
    <row r="3209" spans="1:7">
      <c r="A3209" s="847"/>
      <c r="B3209" s="359" t="s">
        <v>5948</v>
      </c>
      <c r="C3209" s="355"/>
      <c r="D3209" s="31"/>
      <c r="E3209" s="85">
        <f>ROUND(G3208/F3177,1)</f>
        <v>9.6999999999999993</v>
      </c>
    </row>
    <row r="3210" spans="1:7">
      <c r="A3210" s="847"/>
      <c r="B3210" s="359" t="s">
        <v>3163</v>
      </c>
      <c r="C3210" s="355"/>
      <c r="D3210" s="922">
        <f>'BASIC DATA'!$C$577</f>
        <v>0.13614999999999999</v>
      </c>
      <c r="E3210" s="85">
        <f>ROUND(E3209*D3210,1)</f>
        <v>1.3</v>
      </c>
    </row>
    <row r="3211" spans="1:7">
      <c r="A3211" s="847"/>
      <c r="B3211" s="359" t="s">
        <v>5949</v>
      </c>
      <c r="C3211" s="355"/>
      <c r="D3211" s="31"/>
      <c r="E3211" s="199">
        <f>ROUND(E3210+E3209,1)</f>
        <v>11</v>
      </c>
    </row>
    <row r="3212" spans="1:7">
      <c r="A3212" s="847"/>
      <c r="B3212" s="78"/>
      <c r="C3212" s="48"/>
    </row>
    <row r="3213" spans="1:7">
      <c r="A3213" s="847"/>
      <c r="B3213" s="162" t="s">
        <v>1175</v>
      </c>
      <c r="C3213" s="48"/>
    </row>
    <row r="3214" spans="1:7">
      <c r="A3214" s="847"/>
      <c r="B3214" s="47" t="s">
        <v>1176</v>
      </c>
      <c r="C3214" s="48"/>
      <c r="F3214" s="171" t="s">
        <v>1698</v>
      </c>
      <c r="G3214" s="68">
        <f>G3183</f>
        <v>0</v>
      </c>
    </row>
    <row r="3215" spans="1:7">
      <c r="A3215" s="847"/>
      <c r="B3215" s="47" t="s">
        <v>1186</v>
      </c>
      <c r="C3215" s="48"/>
      <c r="F3215" s="171" t="s">
        <v>1698</v>
      </c>
      <c r="G3215" s="68">
        <f>G3197</f>
        <v>29541.38</v>
      </c>
    </row>
    <row r="3216" spans="1:7">
      <c r="A3216" s="847"/>
      <c r="B3216" s="47" t="s">
        <v>2660</v>
      </c>
      <c r="C3216" s="48"/>
      <c r="F3216" s="171" t="s">
        <v>1698</v>
      </c>
      <c r="G3216" s="75">
        <f>G3208</f>
        <v>5846.84</v>
      </c>
    </row>
    <row r="3217" spans="1:8">
      <c r="A3217" s="847"/>
      <c r="B3217" s="78"/>
      <c r="C3217" s="48"/>
      <c r="E3217" s="261"/>
      <c r="F3217" s="171" t="s">
        <v>302</v>
      </c>
      <c r="G3217" s="205">
        <f>SUM(G3214:G3216)</f>
        <v>35388.22</v>
      </c>
    </row>
    <row r="3218" spans="1:8" ht="36" customHeight="1">
      <c r="A3218" s="847"/>
      <c r="B3218" s="1207" t="s">
        <v>1379</v>
      </c>
      <c r="C3218" s="1207"/>
      <c r="D3218" s="1207"/>
      <c r="E3218" s="922">
        <f>'BASIC DATA'!$C$577</f>
        <v>0.13614999999999999</v>
      </c>
      <c r="F3218" s="171" t="s">
        <v>1698</v>
      </c>
      <c r="G3218" s="31">
        <f>ROUND(G3217*E3218,2)</f>
        <v>4818.1099999999997</v>
      </c>
    </row>
    <row r="3219" spans="1:8">
      <c r="A3219" s="847"/>
      <c r="B3219" s="47" t="s">
        <v>1191</v>
      </c>
      <c r="C3219" s="48"/>
      <c r="D3219" s="68">
        <f>F3177</f>
        <v>600</v>
      </c>
      <c r="E3219" s="68" t="str">
        <f>G3177</f>
        <v>cum</v>
      </c>
      <c r="F3219" s="171" t="s">
        <v>1698</v>
      </c>
      <c r="G3219" s="211">
        <f>G3218+G3217</f>
        <v>40206.33</v>
      </c>
    </row>
    <row r="3220" spans="1:8">
      <c r="A3220" s="847"/>
      <c r="B3220" s="79" t="s">
        <v>1584</v>
      </c>
      <c r="C3220" s="356" t="str">
        <f>E3219</f>
        <v>cum</v>
      </c>
      <c r="D3220" s="26" t="s">
        <v>5879</v>
      </c>
      <c r="F3220" s="171" t="s">
        <v>4108</v>
      </c>
      <c r="G3220" s="211">
        <f>ROUND(G3219/D3219,1)</f>
        <v>67</v>
      </c>
      <c r="H3220" s="171"/>
    </row>
    <row r="3221" spans="1:8"/>
    <row r="3222" spans="1:8"/>
    <row r="3223" spans="1:8" ht="18.75">
      <c r="A3223" s="841" t="s">
        <v>7449</v>
      </c>
      <c r="B3223" s="162" t="s">
        <v>8698</v>
      </c>
      <c r="C3223" s="48"/>
    </row>
    <row r="3224" spans="1:8">
      <c r="A3224" s="889"/>
      <c r="B3224" s="47" t="s">
        <v>8699</v>
      </c>
      <c r="C3224" s="48"/>
    </row>
    <row r="3225" spans="1:8">
      <c r="A3225" s="889"/>
      <c r="B3225" s="47" t="s">
        <v>8700</v>
      </c>
      <c r="C3225" s="48"/>
    </row>
    <row r="3226" spans="1:8" ht="18.75">
      <c r="A3226" s="889"/>
      <c r="B3226" s="47" t="s">
        <v>8697</v>
      </c>
      <c r="C3226" s="48"/>
    </row>
    <row r="3227" spans="1:8">
      <c r="A3227" s="889"/>
      <c r="B3227" s="47" t="s">
        <v>9245</v>
      </c>
      <c r="C3227" s="48"/>
    </row>
    <row r="3228" spans="1:8" ht="18.75">
      <c r="A3228" s="889"/>
      <c r="B3228" s="162" t="s">
        <v>9246</v>
      </c>
      <c r="C3228" s="48"/>
    </row>
    <row r="3229" spans="1:8">
      <c r="A3229" s="889"/>
      <c r="C3229" s="48"/>
    </row>
    <row r="3230" spans="1:8" hidden="1">
      <c r="A3230" s="889" t="s">
        <v>3984</v>
      </c>
      <c r="B3230" s="47" t="s">
        <v>924</v>
      </c>
      <c r="C3230" s="48"/>
      <c r="F3230" s="78"/>
      <c r="G3230" s="27"/>
    </row>
    <row r="3231" spans="1:8" hidden="1">
      <c r="A3231" s="889"/>
      <c r="B3231" s="47" t="s">
        <v>925</v>
      </c>
      <c r="C3231" s="48"/>
      <c r="F3231" s="78" t="s">
        <v>1697</v>
      </c>
      <c r="G3231" s="26">
        <v>600</v>
      </c>
      <c r="H3231" s="26" t="s">
        <v>6901</v>
      </c>
    </row>
    <row r="3232" spans="1:8" hidden="1">
      <c r="A3232" s="889">
        <v>1</v>
      </c>
      <c r="B3232" s="47" t="s">
        <v>2860</v>
      </c>
      <c r="C3232" s="48"/>
      <c r="F3232" s="78"/>
    </row>
    <row r="3233" spans="1:8" hidden="1">
      <c r="A3233" s="841"/>
      <c r="B3233" s="47" t="s">
        <v>6380</v>
      </c>
      <c r="C3233" s="48"/>
      <c r="F3233" s="78"/>
    </row>
    <row r="3234" spans="1:8" hidden="1">
      <c r="A3234" s="889">
        <v>2</v>
      </c>
      <c r="B3234" s="47" t="s">
        <v>6281</v>
      </c>
      <c r="C3234" s="48"/>
      <c r="F3234" s="78"/>
    </row>
    <row r="3235" spans="1:8" hidden="1">
      <c r="A3235" s="841"/>
      <c r="B3235" s="47" t="s">
        <v>902</v>
      </c>
      <c r="C3235" s="48"/>
      <c r="F3235" s="78"/>
    </row>
    <row r="3236" spans="1:8" hidden="1">
      <c r="A3236" s="889">
        <v>3</v>
      </c>
      <c r="B3236" s="47" t="s">
        <v>1261</v>
      </c>
      <c r="C3236" s="48"/>
      <c r="F3236" s="78"/>
    </row>
    <row r="3237" spans="1:8" hidden="1">
      <c r="A3237" s="841"/>
      <c r="B3237" s="47" t="s">
        <v>926</v>
      </c>
      <c r="C3237" s="48"/>
      <c r="F3237" s="78" t="s">
        <v>1697</v>
      </c>
      <c r="G3237" s="68">
        <v>3</v>
      </c>
      <c r="H3237" s="26" t="s">
        <v>3428</v>
      </c>
    </row>
    <row r="3238" spans="1:8" hidden="1">
      <c r="A3238" s="889">
        <v>4</v>
      </c>
      <c r="B3238" s="47" t="s">
        <v>1746</v>
      </c>
      <c r="C3238" s="48"/>
      <c r="F3238" s="78"/>
    </row>
    <row r="3239" spans="1:8" hidden="1">
      <c r="A3239" s="841"/>
      <c r="B3239" s="47" t="s">
        <v>927</v>
      </c>
      <c r="C3239" s="48"/>
      <c r="F3239" s="78" t="s">
        <v>1697</v>
      </c>
      <c r="G3239" s="68">
        <v>5</v>
      </c>
      <c r="H3239" s="26" t="s">
        <v>3428</v>
      </c>
    </row>
    <row r="3240" spans="1:8" hidden="1">
      <c r="A3240" s="841"/>
      <c r="B3240" s="47" t="s">
        <v>928</v>
      </c>
      <c r="C3240" s="48"/>
      <c r="F3240" s="78" t="s">
        <v>1697</v>
      </c>
      <c r="G3240" s="68">
        <v>5</v>
      </c>
      <c r="H3240" s="26" t="s">
        <v>3428</v>
      </c>
    </row>
    <row r="3241" spans="1:8" hidden="1">
      <c r="A3241" s="889">
        <v>5</v>
      </c>
      <c r="B3241" s="47" t="s">
        <v>6798</v>
      </c>
      <c r="C3241" s="48"/>
    </row>
    <row r="3242" spans="1:8" hidden="1">
      <c r="A3242" s="841"/>
      <c r="B3242" s="47" t="s">
        <v>6194</v>
      </c>
      <c r="C3242" s="48"/>
    </row>
    <row r="3243" spans="1:8" hidden="1">
      <c r="A3243" s="841"/>
      <c r="B3243" s="47" t="s">
        <v>9252</v>
      </c>
      <c r="C3243" s="48"/>
    </row>
    <row r="3244" spans="1:8" hidden="1">
      <c r="A3244" s="841"/>
      <c r="B3244" s="47" t="s">
        <v>3443</v>
      </c>
      <c r="C3244" s="48"/>
    </row>
    <row r="3245" spans="1:8" hidden="1">
      <c r="A3245" s="841"/>
      <c r="B3245" s="47" t="s">
        <v>3650</v>
      </c>
      <c r="C3245" s="48"/>
      <c r="F3245" s="78" t="s">
        <v>1697</v>
      </c>
      <c r="G3245" s="68">
        <v>1.9</v>
      </c>
      <c r="H3245" s="26" t="s">
        <v>2602</v>
      </c>
    </row>
    <row r="3246" spans="1:8" hidden="1">
      <c r="A3246" s="841"/>
      <c r="B3246" s="47" t="s">
        <v>4995</v>
      </c>
      <c r="C3246" s="48"/>
      <c r="F3246" s="78" t="s">
        <v>1697</v>
      </c>
      <c r="G3246" s="383">
        <v>4</v>
      </c>
      <c r="H3246" s="26" t="s">
        <v>3431</v>
      </c>
    </row>
    <row r="3247" spans="1:8" hidden="1">
      <c r="A3247" s="841"/>
      <c r="B3247" s="47" t="s">
        <v>4997</v>
      </c>
      <c r="C3247" s="48"/>
      <c r="F3247" s="78" t="s">
        <v>1697</v>
      </c>
      <c r="G3247" s="61">
        <v>0.25</v>
      </c>
      <c r="H3247" s="26" t="s">
        <v>2602</v>
      </c>
    </row>
    <row r="3248" spans="1:8" hidden="1">
      <c r="A3248" s="841"/>
      <c r="B3248" s="47" t="s">
        <v>1504</v>
      </c>
      <c r="C3248" s="48"/>
      <c r="F3248" s="78" t="s">
        <v>1697</v>
      </c>
      <c r="G3248" s="26">
        <v>10</v>
      </c>
      <c r="H3248" s="26" t="s">
        <v>3436</v>
      </c>
    </row>
    <row r="3249" spans="1:8" hidden="1">
      <c r="A3249" s="841"/>
      <c r="B3249" s="47" t="s">
        <v>1126</v>
      </c>
      <c r="C3249" s="48"/>
    </row>
    <row r="3250" spans="1:8" hidden="1">
      <c r="A3250" s="841"/>
      <c r="B3250" s="47" t="s">
        <v>6763</v>
      </c>
      <c r="C3250" s="48"/>
      <c r="D3250" s="26">
        <f>50/60*(1.9*4000*0.25*0.75/10)</f>
        <v>118.75</v>
      </c>
      <c r="F3250" s="78" t="s">
        <v>1123</v>
      </c>
      <c r="G3250" s="26">
        <v>118.8</v>
      </c>
      <c r="H3250" s="26" t="s">
        <v>6901</v>
      </c>
    </row>
    <row r="3251" spans="1:8" hidden="1">
      <c r="A3251" s="841"/>
      <c r="B3251" s="47" t="s">
        <v>3150</v>
      </c>
      <c r="C3251" s="48"/>
      <c r="E3251" s="26">
        <f>720/G3250</f>
        <v>6.0606060606060606</v>
      </c>
      <c r="F3251" s="78" t="s">
        <v>1123</v>
      </c>
      <c r="G3251" s="383">
        <v>6.06</v>
      </c>
      <c r="H3251" s="26" t="s">
        <v>3428</v>
      </c>
    </row>
    <row r="3252" spans="1:8" hidden="1">
      <c r="A3252" s="889">
        <v>6</v>
      </c>
      <c r="B3252" s="47" t="s">
        <v>3220</v>
      </c>
      <c r="C3252" s="48"/>
    </row>
    <row r="3253" spans="1:8" hidden="1">
      <c r="A3253" s="841"/>
      <c r="B3253" s="47" t="s">
        <v>5043</v>
      </c>
      <c r="C3253" s="48"/>
    </row>
    <row r="3254" spans="1:8">
      <c r="A3254" s="847"/>
      <c r="B3254" s="78"/>
      <c r="C3254" s="48"/>
    </row>
    <row r="3255" spans="1:8">
      <c r="A3255" s="889" t="s">
        <v>3984</v>
      </c>
      <c r="B3255" s="78"/>
      <c r="C3255" s="349" t="s">
        <v>2367</v>
      </c>
      <c r="E3255" s="171" t="s">
        <v>297</v>
      </c>
      <c r="F3255" s="246">
        <f>G3231</f>
        <v>600</v>
      </c>
      <c r="G3255" s="26" t="s">
        <v>3477</v>
      </c>
    </row>
    <row r="3256" spans="1:8">
      <c r="A3256" s="847"/>
      <c r="B3256" s="79" t="s">
        <v>2368</v>
      </c>
      <c r="C3256" s="48"/>
    </row>
    <row r="3257" spans="1:8">
      <c r="A3257" s="847"/>
      <c r="B3257" s="95" t="s">
        <v>2369</v>
      </c>
      <c r="C3257" s="350" t="s">
        <v>6374</v>
      </c>
      <c r="D3257" s="95" t="s">
        <v>2370</v>
      </c>
      <c r="E3257" s="95" t="s">
        <v>1166</v>
      </c>
      <c r="F3257" s="95" t="s">
        <v>2371</v>
      </c>
      <c r="G3257" s="95" t="s">
        <v>2372</v>
      </c>
    </row>
    <row r="3258" spans="1:8">
      <c r="A3258" s="847"/>
      <c r="B3258" s="114"/>
      <c r="C3258" s="351"/>
      <c r="D3258" s="114"/>
      <c r="E3258" s="114"/>
      <c r="F3258" s="114" t="s">
        <v>3485</v>
      </c>
      <c r="G3258" s="114" t="s">
        <v>3485</v>
      </c>
    </row>
    <row r="3259" spans="1:8">
      <c r="A3259" s="847"/>
      <c r="B3259" s="95">
        <v>1</v>
      </c>
      <c r="C3259" s="352" t="s">
        <v>1130</v>
      </c>
      <c r="D3259" s="95"/>
      <c r="E3259" s="190">
        <v>0</v>
      </c>
      <c r="F3259" s="190">
        <v>0</v>
      </c>
      <c r="G3259" s="190">
        <f>E3259*F3259</f>
        <v>0</v>
      </c>
    </row>
    <row r="3260" spans="1:8">
      <c r="A3260" s="847"/>
      <c r="B3260" s="275"/>
      <c r="C3260" s="91"/>
      <c r="D3260" s="114"/>
      <c r="E3260" s="190">
        <v>0</v>
      </c>
      <c r="F3260" s="190">
        <v>0</v>
      </c>
      <c r="G3260" s="190">
        <f>E3260*F3260</f>
        <v>0</v>
      </c>
    </row>
    <row r="3261" spans="1:8">
      <c r="A3261" s="847"/>
      <c r="B3261" s="92"/>
      <c r="C3261" s="353" t="s">
        <v>2376</v>
      </c>
      <c r="D3261" s="159"/>
      <c r="E3261" s="238"/>
      <c r="F3261" s="236" t="s">
        <v>1698</v>
      </c>
      <c r="G3261" s="318">
        <f>SUM(G3259:G3260)</f>
        <v>0</v>
      </c>
    </row>
    <row r="3262" spans="1:8">
      <c r="A3262" s="847"/>
      <c r="B3262" s="78"/>
      <c r="C3262" s="48"/>
    </row>
    <row r="3263" spans="1:8">
      <c r="A3263" s="847"/>
      <c r="B3263" s="79" t="s">
        <v>2377</v>
      </c>
      <c r="C3263" s="48"/>
    </row>
    <row r="3264" spans="1:8">
      <c r="A3264" s="847"/>
      <c r="B3264" s="95" t="s">
        <v>2369</v>
      </c>
      <c r="C3264" s="350" t="s">
        <v>2378</v>
      </c>
      <c r="D3264" s="95" t="s">
        <v>2370</v>
      </c>
      <c r="E3264" s="95" t="s">
        <v>1166</v>
      </c>
      <c r="F3264" s="95" t="s">
        <v>2371</v>
      </c>
      <c r="G3264" s="95" t="s">
        <v>2372</v>
      </c>
    </row>
    <row r="3265" spans="1:7">
      <c r="A3265" s="847"/>
      <c r="B3265" s="114"/>
      <c r="C3265" s="351"/>
      <c r="D3265" s="114"/>
      <c r="E3265" s="114"/>
      <c r="F3265" s="114" t="s">
        <v>3485</v>
      </c>
      <c r="G3265" s="114" t="s">
        <v>3485</v>
      </c>
    </row>
    <row r="3266" spans="1:7">
      <c r="A3266" s="847"/>
      <c r="B3266" s="95">
        <v>1</v>
      </c>
      <c r="C3266" s="355" t="s">
        <v>1502</v>
      </c>
      <c r="D3266" s="95" t="s">
        <v>2374</v>
      </c>
      <c r="E3266" s="220">
        <v>3.6</v>
      </c>
      <c r="F3266" s="214">
        <f>'HIRE CHARGES'!$D$499</f>
        <v>1715.5</v>
      </c>
      <c r="G3266" s="190">
        <f t="shared" ref="G3266:G3274" si="52">E3266*F3266</f>
        <v>6175.8</v>
      </c>
    </row>
    <row r="3267" spans="1:7">
      <c r="A3267" s="847"/>
      <c r="B3267" s="152"/>
      <c r="C3267" s="355" t="s">
        <v>2379</v>
      </c>
      <c r="D3267" s="105" t="s">
        <v>2374</v>
      </c>
      <c r="E3267" s="220">
        <v>3.6</v>
      </c>
      <c r="F3267" s="214">
        <f>'HIRE CHARGES'!$E$499</f>
        <v>610.5</v>
      </c>
      <c r="G3267" s="190">
        <f t="shared" si="52"/>
        <v>2197.8000000000002</v>
      </c>
    </row>
    <row r="3268" spans="1:7">
      <c r="A3268" s="847"/>
      <c r="B3268" s="105">
        <v>2</v>
      </c>
      <c r="C3268" s="355" t="s">
        <v>1132</v>
      </c>
      <c r="D3268" s="105" t="s">
        <v>2374</v>
      </c>
      <c r="E3268" s="220">
        <v>3</v>
      </c>
      <c r="F3268" s="214">
        <f>'HIRE CHARGES'!$D$517</f>
        <v>10.199999999999999</v>
      </c>
      <c r="G3268" s="190">
        <f t="shared" si="52"/>
        <v>30.599999999999998</v>
      </c>
    </row>
    <row r="3269" spans="1:7">
      <c r="A3269" s="847"/>
      <c r="B3269" s="152"/>
      <c r="C3269" s="355" t="s">
        <v>2379</v>
      </c>
      <c r="D3269" s="105" t="s">
        <v>2374</v>
      </c>
      <c r="E3269" s="220">
        <v>3</v>
      </c>
      <c r="F3269" s="214">
        <f>'HIRE CHARGES'!$E$517</f>
        <v>79.3</v>
      </c>
      <c r="G3269" s="190">
        <f t="shared" si="52"/>
        <v>237.89999999999998</v>
      </c>
    </row>
    <row r="3270" spans="1:7">
      <c r="A3270" s="847"/>
      <c r="B3270" s="105">
        <v>3</v>
      </c>
      <c r="C3270" s="355" t="s">
        <v>6286</v>
      </c>
      <c r="D3270" s="105" t="s">
        <v>2374</v>
      </c>
      <c r="E3270" s="220">
        <v>5</v>
      </c>
      <c r="F3270" s="214">
        <f>'HIRE CHARGES'!$D$555</f>
        <v>402.5</v>
      </c>
      <c r="G3270" s="190">
        <f t="shared" si="52"/>
        <v>2012.5</v>
      </c>
    </row>
    <row r="3271" spans="1:7">
      <c r="A3271" s="847"/>
      <c r="B3271" s="152"/>
      <c r="C3271" s="355" t="s">
        <v>2379</v>
      </c>
      <c r="D3271" s="105" t="s">
        <v>2374</v>
      </c>
      <c r="E3271" s="220">
        <v>5</v>
      </c>
      <c r="F3271" s="214">
        <f>'HIRE CHARGES'!$E$555</f>
        <v>299.89999999999998</v>
      </c>
      <c r="G3271" s="190">
        <f t="shared" si="52"/>
        <v>1499.5</v>
      </c>
    </row>
    <row r="3272" spans="1:7">
      <c r="A3272" s="847"/>
      <c r="B3272" s="105">
        <v>4</v>
      </c>
      <c r="C3272" s="355" t="s">
        <v>9251</v>
      </c>
      <c r="D3272" s="105" t="s">
        <v>2374</v>
      </c>
      <c r="E3272" s="383">
        <v>6.06</v>
      </c>
      <c r="F3272" s="214">
        <f>'HIRE CHARGES'!$D$553</f>
        <v>1342.2</v>
      </c>
      <c r="G3272" s="190">
        <f t="shared" si="52"/>
        <v>8133.732</v>
      </c>
    </row>
    <row r="3273" spans="1:7">
      <c r="A3273" s="847"/>
      <c r="B3273" s="152"/>
      <c r="C3273" s="355" t="s">
        <v>2379</v>
      </c>
      <c r="D3273" s="105" t="s">
        <v>2374</v>
      </c>
      <c r="E3273" s="383">
        <v>6.06</v>
      </c>
      <c r="F3273" s="214">
        <f>'HIRE CHARGES'!$E$553</f>
        <v>1031.4000000000001</v>
      </c>
      <c r="G3273" s="190">
        <f t="shared" si="52"/>
        <v>6250.2840000000006</v>
      </c>
    </row>
    <row r="3274" spans="1:7">
      <c r="A3274" s="847"/>
      <c r="B3274" s="114">
        <v>5</v>
      </c>
      <c r="C3274" s="355" t="s">
        <v>2373</v>
      </c>
      <c r="D3274" s="105" t="s">
        <v>2173</v>
      </c>
      <c r="E3274" s="256">
        <v>5</v>
      </c>
      <c r="F3274" s="190">
        <f>'BASIC DATA'!$D$359</f>
        <v>30</v>
      </c>
      <c r="G3274" s="190">
        <f t="shared" si="52"/>
        <v>150</v>
      </c>
    </row>
    <row r="3275" spans="1:7">
      <c r="A3275" s="847"/>
      <c r="B3275" s="176"/>
      <c r="C3275" s="357" t="s">
        <v>2380</v>
      </c>
      <c r="D3275" s="174"/>
      <c r="E3275" s="192"/>
      <c r="F3275" s="236" t="s">
        <v>1698</v>
      </c>
      <c r="G3275" s="354">
        <f>SUM(G3266:G3274)</f>
        <v>26688.116000000002</v>
      </c>
    </row>
    <row r="3276" spans="1:7">
      <c r="A3276" s="847"/>
      <c r="B3276" s="78"/>
      <c r="C3276" s="48"/>
    </row>
    <row r="3277" spans="1:7">
      <c r="A3277" s="847"/>
      <c r="B3277" s="79" t="s">
        <v>2381</v>
      </c>
      <c r="C3277" s="48"/>
    </row>
    <row r="3278" spans="1:7">
      <c r="A3278" s="847"/>
      <c r="B3278" s="95" t="s">
        <v>2369</v>
      </c>
      <c r="C3278" s="350" t="s">
        <v>2378</v>
      </c>
      <c r="D3278" s="95" t="s">
        <v>2370</v>
      </c>
      <c r="E3278" s="95" t="s">
        <v>1166</v>
      </c>
      <c r="F3278" s="95" t="s">
        <v>2371</v>
      </c>
      <c r="G3278" s="95" t="s">
        <v>2372</v>
      </c>
    </row>
    <row r="3279" spans="1:7">
      <c r="A3279" s="847"/>
      <c r="B3279" s="114"/>
      <c r="C3279" s="351"/>
      <c r="D3279" s="105"/>
      <c r="E3279" s="114"/>
      <c r="F3279" s="114" t="s">
        <v>3485</v>
      </c>
      <c r="G3279" s="114" t="s">
        <v>3485</v>
      </c>
    </row>
    <row r="3280" spans="1:7">
      <c r="A3280" s="847"/>
      <c r="B3280" s="105">
        <v>1</v>
      </c>
      <c r="C3280" s="86" t="s">
        <v>2870</v>
      </c>
      <c r="D3280" s="95" t="s">
        <v>2374</v>
      </c>
      <c r="E3280" s="207">
        <v>3.6</v>
      </c>
      <c r="F3280" s="190">
        <f>'HIRE CHARGES'!$F$499</f>
        <v>236.6</v>
      </c>
      <c r="G3280" s="190">
        <f t="shared" ref="G3280:G3285" si="53">E3280*F3280</f>
        <v>851.76</v>
      </c>
    </row>
    <row r="3281" spans="1:7">
      <c r="A3281" s="847"/>
      <c r="B3281" s="105">
        <v>2</v>
      </c>
      <c r="C3281" s="86" t="s">
        <v>999</v>
      </c>
      <c r="D3281" s="105" t="s">
        <v>2374</v>
      </c>
      <c r="E3281" s="207">
        <v>3</v>
      </c>
      <c r="F3281" s="190">
        <f>'HIRE CHARGES'!$F$517</f>
        <v>111.1</v>
      </c>
      <c r="G3281" s="190">
        <f t="shared" si="53"/>
        <v>333.29999999999995</v>
      </c>
    </row>
    <row r="3282" spans="1:7">
      <c r="A3282" s="847"/>
      <c r="B3282" s="105">
        <v>3</v>
      </c>
      <c r="C3282" s="86" t="s">
        <v>1000</v>
      </c>
      <c r="D3282" s="105" t="s">
        <v>2374</v>
      </c>
      <c r="E3282" s="207">
        <v>5</v>
      </c>
      <c r="F3282" s="190">
        <f>'HIRE CHARGES'!$F$555</f>
        <v>177.5</v>
      </c>
      <c r="G3282" s="190">
        <f t="shared" si="53"/>
        <v>887.5</v>
      </c>
    </row>
    <row r="3283" spans="1:7">
      <c r="A3283" s="847"/>
      <c r="B3283" s="105">
        <v>4</v>
      </c>
      <c r="C3283" s="86" t="s">
        <v>1001</v>
      </c>
      <c r="D3283" s="105" t="s">
        <v>2374</v>
      </c>
      <c r="E3283" s="383">
        <v>6.06</v>
      </c>
      <c r="F3283" s="190">
        <f>'HIRE CHARGES'!$F$553</f>
        <v>263.60000000000002</v>
      </c>
      <c r="G3283" s="190">
        <f t="shared" si="53"/>
        <v>1597.4159999999999</v>
      </c>
    </row>
    <row r="3284" spans="1:7">
      <c r="A3284" s="847"/>
      <c r="B3284" s="105">
        <v>5</v>
      </c>
      <c r="C3284" s="86" t="s">
        <v>4206</v>
      </c>
      <c r="D3284" s="105" t="s">
        <v>1172</v>
      </c>
      <c r="E3284" s="207">
        <v>2</v>
      </c>
      <c r="F3284" s="190">
        <f>'BASIC DATA'!$C$473</f>
        <v>450</v>
      </c>
      <c r="G3284" s="190">
        <f t="shared" si="53"/>
        <v>900</v>
      </c>
    </row>
    <row r="3285" spans="1:7">
      <c r="A3285" s="847"/>
      <c r="B3285" s="105">
        <v>6</v>
      </c>
      <c r="C3285" s="86" t="s">
        <v>2697</v>
      </c>
      <c r="D3285" s="105" t="s">
        <v>1172</v>
      </c>
      <c r="E3285" s="207">
        <v>4</v>
      </c>
      <c r="F3285" s="190">
        <f>'BASIC DATA'!$C$552</f>
        <v>350</v>
      </c>
      <c r="G3285" s="190">
        <f t="shared" si="53"/>
        <v>1400</v>
      </c>
    </row>
    <row r="3286" spans="1:7">
      <c r="A3286" s="847"/>
      <c r="B3286" s="92"/>
      <c r="C3286" s="353" t="s">
        <v>1174</v>
      </c>
      <c r="D3286" s="159"/>
      <c r="E3286" s="238"/>
      <c r="F3286" s="236" t="s">
        <v>1698</v>
      </c>
      <c r="G3286" s="318">
        <f>SUM(G3280:G3285)</f>
        <v>5969.9759999999997</v>
      </c>
    </row>
    <row r="3287" spans="1:7">
      <c r="A3287" s="847"/>
      <c r="B3287" s="359" t="s">
        <v>5948</v>
      </c>
      <c r="C3287" s="48"/>
      <c r="D3287" s="31"/>
      <c r="E3287" s="85">
        <f>ROUND(G3286/F3255,1)</f>
        <v>9.9</v>
      </c>
    </row>
    <row r="3288" spans="1:7">
      <c r="A3288" s="847"/>
      <c r="B3288" s="359" t="s">
        <v>3163</v>
      </c>
      <c r="C3288" s="48"/>
      <c r="D3288" s="922">
        <f>'BASIC DATA'!$C$577</f>
        <v>0.13614999999999999</v>
      </c>
      <c r="E3288" s="85">
        <f>ROUND(E3287*D3288,1)</f>
        <v>1.3</v>
      </c>
    </row>
    <row r="3289" spans="1:7">
      <c r="A3289" s="847"/>
      <c r="B3289" s="359" t="s">
        <v>5949</v>
      </c>
      <c r="C3289" s="48"/>
      <c r="D3289" s="31"/>
      <c r="E3289" s="199">
        <f>ROUND(E3288+E3287,1)</f>
        <v>11.2</v>
      </c>
    </row>
    <row r="3290" spans="1:7">
      <c r="A3290" s="847"/>
      <c r="C3290" s="48"/>
    </row>
    <row r="3291" spans="1:7">
      <c r="A3291" s="847"/>
      <c r="B3291" s="162" t="s">
        <v>1175</v>
      </c>
      <c r="C3291" s="48"/>
    </row>
    <row r="3292" spans="1:7">
      <c r="A3292" s="847"/>
      <c r="B3292" s="47" t="s">
        <v>1176</v>
      </c>
      <c r="C3292" s="48"/>
      <c r="F3292" s="171" t="s">
        <v>1698</v>
      </c>
      <c r="G3292" s="68">
        <f>G3261</f>
        <v>0</v>
      </c>
    </row>
    <row r="3293" spans="1:7">
      <c r="A3293" s="847"/>
      <c r="B3293" s="47" t="s">
        <v>1186</v>
      </c>
      <c r="C3293" s="48"/>
      <c r="F3293" s="171" t="s">
        <v>1698</v>
      </c>
      <c r="G3293" s="68">
        <f>G3275</f>
        <v>26688.116000000002</v>
      </c>
    </row>
    <row r="3294" spans="1:7">
      <c r="A3294" s="847"/>
      <c r="B3294" s="47" t="s">
        <v>2660</v>
      </c>
      <c r="C3294" s="48"/>
      <c r="F3294" s="171" t="s">
        <v>1698</v>
      </c>
      <c r="G3294" s="75">
        <f>G3286</f>
        <v>5969.9759999999997</v>
      </c>
    </row>
    <row r="3295" spans="1:7">
      <c r="A3295" s="847"/>
      <c r="B3295" s="78"/>
      <c r="C3295" s="48"/>
      <c r="E3295" s="261"/>
      <c r="F3295" s="171" t="s">
        <v>302</v>
      </c>
      <c r="G3295" s="205">
        <f>SUM(G3292:G3294)</f>
        <v>32658.092000000001</v>
      </c>
    </row>
    <row r="3296" spans="1:7" ht="34.5" customHeight="1">
      <c r="A3296" s="847"/>
      <c r="B3296" s="1207" t="s">
        <v>1379</v>
      </c>
      <c r="C3296" s="1207"/>
      <c r="D3296" s="1207"/>
      <c r="E3296" s="922">
        <f>'BASIC DATA'!$C$577</f>
        <v>0.13614999999999999</v>
      </c>
      <c r="F3296" s="171" t="s">
        <v>1698</v>
      </c>
      <c r="G3296" s="31">
        <f>ROUND(G3295*E3296,2)</f>
        <v>4446.3999999999996</v>
      </c>
    </row>
    <row r="3297" spans="1:8">
      <c r="A3297" s="847"/>
      <c r="B3297" s="47" t="s">
        <v>1191</v>
      </c>
      <c r="C3297" s="48"/>
      <c r="D3297" s="68">
        <f>F3255</f>
        <v>600</v>
      </c>
      <c r="E3297" s="68" t="str">
        <f>G3255</f>
        <v>cum</v>
      </c>
      <c r="F3297" s="171" t="s">
        <v>1698</v>
      </c>
      <c r="G3297" s="211">
        <f>G3296+G3295</f>
        <v>37104.491999999998</v>
      </c>
    </row>
    <row r="3298" spans="1:8">
      <c r="A3298" s="847"/>
      <c r="B3298" s="79" t="s">
        <v>1584</v>
      </c>
      <c r="C3298" s="356" t="str">
        <f>E3297</f>
        <v>cum</v>
      </c>
      <c r="D3298" s="26" t="s">
        <v>5879</v>
      </c>
      <c r="F3298" s="171" t="s">
        <v>4108</v>
      </c>
      <c r="G3298" s="211">
        <f>ROUND(G3297/D3297,1)</f>
        <v>61.8</v>
      </c>
      <c r="H3298" s="171"/>
    </row>
    <row r="3299" spans="1:8">
      <c r="A3299" s="847"/>
      <c r="B3299" s="78"/>
      <c r="C3299" s="48"/>
    </row>
    <row r="3300" spans="1:8">
      <c r="A3300" s="847"/>
      <c r="B3300" s="78"/>
      <c r="C3300" s="48"/>
    </row>
    <row r="3301" spans="1:8" ht="18.75">
      <c r="A3301" s="841" t="s">
        <v>7450</v>
      </c>
      <c r="B3301" s="162" t="s">
        <v>8698</v>
      </c>
      <c r="C3301" s="48"/>
    </row>
    <row r="3302" spans="1:8">
      <c r="A3302" s="889"/>
      <c r="B3302" s="47" t="s">
        <v>8699</v>
      </c>
      <c r="C3302" s="48"/>
    </row>
    <row r="3303" spans="1:8">
      <c r="A3303" s="889"/>
      <c r="B3303" s="47" t="s">
        <v>8700</v>
      </c>
      <c r="C3303" s="48"/>
    </row>
    <row r="3304" spans="1:8" ht="18.75">
      <c r="A3304" s="889"/>
      <c r="B3304" s="47" t="s">
        <v>8701</v>
      </c>
      <c r="C3304" s="48"/>
    </row>
    <row r="3305" spans="1:8">
      <c r="A3305" s="889"/>
      <c r="B3305" s="47" t="s">
        <v>9247</v>
      </c>
      <c r="C3305" s="48"/>
    </row>
    <row r="3306" spans="1:8">
      <c r="A3306" s="889"/>
      <c r="B3306" s="162" t="s">
        <v>9248</v>
      </c>
      <c r="C3306" s="48"/>
    </row>
    <row r="3307" spans="1:8">
      <c r="A3307" s="889"/>
      <c r="C3307" s="48"/>
    </row>
    <row r="3308" spans="1:8" hidden="1">
      <c r="A3308" s="889" t="s">
        <v>3984</v>
      </c>
      <c r="B3308" s="47" t="s">
        <v>4889</v>
      </c>
      <c r="C3308" s="48"/>
      <c r="F3308" s="78" t="s">
        <v>1697</v>
      </c>
      <c r="G3308" s="47">
        <v>600</v>
      </c>
      <c r="H3308" s="26" t="s">
        <v>6901</v>
      </c>
    </row>
    <row r="3309" spans="1:8" hidden="1">
      <c r="A3309" s="889">
        <v>1</v>
      </c>
      <c r="B3309" s="47" t="s">
        <v>2860</v>
      </c>
      <c r="C3309" s="48"/>
      <c r="F3309" s="78" t="s">
        <v>1697</v>
      </c>
      <c r="G3309" s="26" t="s">
        <v>6976</v>
      </c>
      <c r="H3309" s="47"/>
    </row>
    <row r="3310" spans="1:8" hidden="1">
      <c r="A3310" s="889">
        <v>2</v>
      </c>
      <c r="B3310" s="47" t="s">
        <v>6281</v>
      </c>
      <c r="C3310" s="48"/>
    </row>
    <row r="3311" spans="1:8" hidden="1">
      <c r="A3311" s="841"/>
      <c r="B3311" s="47" t="s">
        <v>758</v>
      </c>
      <c r="C3311" s="48"/>
    </row>
    <row r="3312" spans="1:8" hidden="1">
      <c r="A3312" s="841"/>
      <c r="B3312" s="47" t="s">
        <v>759</v>
      </c>
      <c r="C3312" s="48"/>
    </row>
    <row r="3313" spans="1:8" hidden="1">
      <c r="A3313" s="889">
        <v>3</v>
      </c>
      <c r="B3313" s="47" t="s">
        <v>1261</v>
      </c>
      <c r="C3313" s="48"/>
    </row>
    <row r="3314" spans="1:8" hidden="1">
      <c r="A3314" s="841"/>
      <c r="B3314" s="47" t="s">
        <v>929</v>
      </c>
      <c r="C3314" s="48"/>
    </row>
    <row r="3315" spans="1:8" hidden="1">
      <c r="A3315" s="841"/>
      <c r="B3315" s="47" t="s">
        <v>1745</v>
      </c>
      <c r="C3315" s="48"/>
      <c r="F3315" s="78" t="s">
        <v>1697</v>
      </c>
      <c r="G3315" s="68">
        <v>3</v>
      </c>
      <c r="H3315" s="26" t="s">
        <v>3428</v>
      </c>
    </row>
    <row r="3316" spans="1:8" hidden="1">
      <c r="A3316" s="889">
        <v>4</v>
      </c>
      <c r="B3316" s="47" t="s">
        <v>1746</v>
      </c>
      <c r="C3316" s="48"/>
    </row>
    <row r="3317" spans="1:8" hidden="1">
      <c r="A3317" s="841"/>
      <c r="B3317" s="47" t="s">
        <v>1235</v>
      </c>
      <c r="C3317" s="48"/>
    </row>
    <row r="3318" spans="1:8" hidden="1">
      <c r="A3318" s="889">
        <v>5</v>
      </c>
      <c r="B3318" s="47" t="s">
        <v>6798</v>
      </c>
      <c r="C3318" s="48"/>
    </row>
    <row r="3319" spans="1:8" hidden="1">
      <c r="A3319" s="841"/>
      <c r="B3319" s="47" t="s">
        <v>3647</v>
      </c>
      <c r="C3319" s="48"/>
    </row>
    <row r="3320" spans="1:8" hidden="1">
      <c r="A3320" s="841"/>
      <c r="B3320" s="47" t="s">
        <v>9253</v>
      </c>
      <c r="C3320" s="48"/>
    </row>
    <row r="3321" spans="1:8" hidden="1">
      <c r="A3321" s="841"/>
      <c r="B3321" s="47" t="s">
        <v>3649</v>
      </c>
      <c r="C3321" s="48"/>
    </row>
    <row r="3322" spans="1:8" hidden="1">
      <c r="A3322" s="841"/>
      <c r="B3322" s="47" t="s">
        <v>3650</v>
      </c>
      <c r="C3322" s="48"/>
      <c r="F3322" s="78" t="s">
        <v>1697</v>
      </c>
      <c r="G3322" s="68">
        <v>1.9</v>
      </c>
      <c r="H3322" s="26" t="s">
        <v>2602</v>
      </c>
    </row>
    <row r="3323" spans="1:8" hidden="1">
      <c r="A3323" s="841"/>
      <c r="B3323" s="47" t="s">
        <v>4995</v>
      </c>
      <c r="C3323" s="48"/>
      <c r="F3323" s="78" t="s">
        <v>1697</v>
      </c>
      <c r="G3323" s="383">
        <v>4</v>
      </c>
      <c r="H3323" s="26" t="s">
        <v>3431</v>
      </c>
    </row>
    <row r="3324" spans="1:8" hidden="1">
      <c r="A3324" s="841"/>
      <c r="B3324" s="47" t="s">
        <v>4997</v>
      </c>
      <c r="C3324" s="48"/>
      <c r="F3324" s="78" t="s">
        <v>1697</v>
      </c>
      <c r="G3324" s="61">
        <v>0.25</v>
      </c>
      <c r="H3324" s="26" t="s">
        <v>2602</v>
      </c>
    </row>
    <row r="3325" spans="1:8" hidden="1">
      <c r="A3325" s="841"/>
      <c r="B3325" s="47" t="s">
        <v>4187</v>
      </c>
      <c r="C3325" s="48"/>
      <c r="F3325" s="78" t="s">
        <v>1697</v>
      </c>
      <c r="G3325" s="26">
        <v>10</v>
      </c>
      <c r="H3325" s="26" t="s">
        <v>3436</v>
      </c>
    </row>
    <row r="3326" spans="1:8" hidden="1">
      <c r="A3326" s="841"/>
      <c r="B3326" s="47" t="s">
        <v>1126</v>
      </c>
      <c r="C3326" s="48"/>
    </row>
    <row r="3327" spans="1:8" hidden="1">
      <c r="A3327" s="841"/>
      <c r="B3327" s="47" t="s">
        <v>6763</v>
      </c>
      <c r="C3327" s="48"/>
      <c r="F3327" s="78" t="s">
        <v>1123</v>
      </c>
      <c r="G3327" s="26">
        <v>119</v>
      </c>
      <c r="H3327" s="26" t="s">
        <v>6901</v>
      </c>
    </row>
    <row r="3328" spans="1:8" hidden="1">
      <c r="A3328" s="841"/>
      <c r="B3328" s="47" t="s">
        <v>1128</v>
      </c>
      <c r="C3328" s="48"/>
      <c r="F3328" s="78" t="s">
        <v>1123</v>
      </c>
      <c r="G3328" s="68">
        <v>6.06</v>
      </c>
      <c r="H3328" s="26" t="s">
        <v>3428</v>
      </c>
    </row>
    <row r="3329" spans="1:7" hidden="1">
      <c r="A3329" s="889">
        <v>6</v>
      </c>
      <c r="B3329" s="47" t="s">
        <v>1129</v>
      </c>
      <c r="C3329" s="48"/>
    </row>
    <row r="3330" spans="1:7" hidden="1">
      <c r="A3330" s="841"/>
      <c r="B3330" s="47" t="s">
        <v>5043</v>
      </c>
      <c r="C3330" s="48"/>
    </row>
    <row r="3331" spans="1:7">
      <c r="A3331" s="847"/>
      <c r="B3331" s="78"/>
      <c r="C3331" s="48"/>
    </row>
    <row r="3332" spans="1:7">
      <c r="A3332" s="889" t="s">
        <v>3984</v>
      </c>
      <c r="B3332" s="78"/>
      <c r="C3332" s="349" t="s">
        <v>2367</v>
      </c>
      <c r="E3332" s="171" t="s">
        <v>297</v>
      </c>
      <c r="F3332" s="246">
        <f>G3308</f>
        <v>600</v>
      </c>
      <c r="G3332" s="26" t="s">
        <v>3477</v>
      </c>
    </row>
    <row r="3333" spans="1:7">
      <c r="A3333" s="847"/>
      <c r="B3333" s="79" t="s">
        <v>2368</v>
      </c>
      <c r="C3333" s="48"/>
    </row>
    <row r="3334" spans="1:7">
      <c r="A3334" s="847"/>
      <c r="B3334" s="95" t="s">
        <v>2369</v>
      </c>
      <c r="C3334" s="350" t="s">
        <v>6374</v>
      </c>
      <c r="D3334" s="95" t="s">
        <v>2370</v>
      </c>
      <c r="E3334" s="95" t="s">
        <v>1166</v>
      </c>
      <c r="F3334" s="95" t="s">
        <v>2371</v>
      </c>
      <c r="G3334" s="95" t="s">
        <v>2372</v>
      </c>
    </row>
    <row r="3335" spans="1:7">
      <c r="A3335" s="847"/>
      <c r="B3335" s="114"/>
      <c r="C3335" s="351"/>
      <c r="D3335" s="114"/>
      <c r="E3335" s="114"/>
      <c r="F3335" s="114" t="s">
        <v>3485</v>
      </c>
      <c r="G3335" s="114" t="s">
        <v>3485</v>
      </c>
    </row>
    <row r="3336" spans="1:7">
      <c r="A3336" s="847"/>
      <c r="B3336" s="95">
        <v>1</v>
      </c>
      <c r="C3336" s="352" t="s">
        <v>1130</v>
      </c>
      <c r="D3336" s="95"/>
      <c r="E3336" s="190">
        <v>0</v>
      </c>
      <c r="F3336" s="190">
        <v>0</v>
      </c>
      <c r="G3336" s="190"/>
    </row>
    <row r="3337" spans="1:7">
      <c r="A3337" s="847"/>
      <c r="B3337" s="395"/>
      <c r="C3337" s="86"/>
      <c r="D3337" s="36"/>
      <c r="E3337" s="369"/>
      <c r="F3337" s="190">
        <v>0</v>
      </c>
      <c r="G3337" s="67"/>
    </row>
    <row r="3338" spans="1:7">
      <c r="A3338" s="847"/>
      <c r="B3338" s="92"/>
      <c r="C3338" s="353" t="s">
        <v>2376</v>
      </c>
      <c r="D3338" s="159"/>
      <c r="E3338" s="238"/>
      <c r="F3338" s="236" t="s">
        <v>1698</v>
      </c>
      <c r="G3338" s="318">
        <f>SUM(G3336:G3337)</f>
        <v>0</v>
      </c>
    </row>
    <row r="3339" spans="1:7">
      <c r="A3339" s="847"/>
      <c r="B3339" s="78"/>
      <c r="C3339" s="48"/>
    </row>
    <row r="3340" spans="1:7">
      <c r="A3340" s="847"/>
      <c r="B3340" s="79" t="s">
        <v>2377</v>
      </c>
      <c r="C3340" s="48"/>
    </row>
    <row r="3341" spans="1:7">
      <c r="A3341" s="847"/>
      <c r="B3341" s="95" t="s">
        <v>2369</v>
      </c>
      <c r="C3341" s="350" t="s">
        <v>2378</v>
      </c>
      <c r="D3341" s="95" t="s">
        <v>2370</v>
      </c>
      <c r="E3341" s="95" t="s">
        <v>1166</v>
      </c>
      <c r="F3341" s="95" t="s">
        <v>2371</v>
      </c>
      <c r="G3341" s="95" t="s">
        <v>2372</v>
      </c>
    </row>
    <row r="3342" spans="1:7">
      <c r="A3342" s="847"/>
      <c r="B3342" s="114"/>
      <c r="C3342" s="351"/>
      <c r="D3342" s="114"/>
      <c r="E3342" s="114"/>
      <c r="F3342" s="114" t="s">
        <v>3485</v>
      </c>
      <c r="G3342" s="114" t="s">
        <v>3485</v>
      </c>
    </row>
    <row r="3343" spans="1:7">
      <c r="A3343" s="847"/>
      <c r="B3343" s="95">
        <v>1</v>
      </c>
      <c r="C3343" s="355" t="s">
        <v>1502</v>
      </c>
      <c r="D3343" s="95" t="s">
        <v>2374</v>
      </c>
      <c r="E3343" s="220">
        <v>3.6</v>
      </c>
      <c r="F3343" s="214">
        <f>'HIRE CHARGES'!$D$499</f>
        <v>1715.5</v>
      </c>
      <c r="G3343" s="190">
        <f>E3343*F3343</f>
        <v>6175.8</v>
      </c>
    </row>
    <row r="3344" spans="1:7">
      <c r="A3344" s="847"/>
      <c r="B3344" s="152"/>
      <c r="C3344" s="355" t="s">
        <v>2379</v>
      </c>
      <c r="D3344" s="105" t="s">
        <v>2374</v>
      </c>
      <c r="E3344" s="220">
        <v>3.6</v>
      </c>
      <c r="F3344" s="214">
        <f>'HIRE CHARGES'!$E$499</f>
        <v>610.5</v>
      </c>
      <c r="G3344" s="190">
        <f>E3344*F3344</f>
        <v>2197.8000000000002</v>
      </c>
    </row>
    <row r="3345" spans="1:7">
      <c r="A3345" s="847"/>
      <c r="B3345" s="105">
        <v>2</v>
      </c>
      <c r="C3345" s="355" t="s">
        <v>9251</v>
      </c>
      <c r="D3345" s="105" t="s">
        <v>2374</v>
      </c>
      <c r="E3345" s="220">
        <v>6.06</v>
      </c>
      <c r="F3345" s="214">
        <f>'HIRE CHARGES'!$D$553</f>
        <v>1342.2</v>
      </c>
      <c r="G3345" s="190">
        <f>E3345*F3345</f>
        <v>8133.732</v>
      </c>
    </row>
    <row r="3346" spans="1:7">
      <c r="A3346" s="847"/>
      <c r="B3346" s="152"/>
      <c r="C3346" s="355" t="s">
        <v>2379</v>
      </c>
      <c r="D3346" s="105" t="s">
        <v>2374</v>
      </c>
      <c r="E3346" s="220">
        <v>6.06</v>
      </c>
      <c r="F3346" s="214">
        <f>'HIRE CHARGES'!$E$553</f>
        <v>1031.4000000000001</v>
      </c>
      <c r="G3346" s="190">
        <f>E3346*F3346</f>
        <v>6250.2840000000006</v>
      </c>
    </row>
    <row r="3347" spans="1:7">
      <c r="A3347" s="847"/>
      <c r="B3347" s="114">
        <v>3</v>
      </c>
      <c r="C3347" s="355" t="s">
        <v>2373</v>
      </c>
      <c r="D3347" s="105" t="s">
        <v>2173</v>
      </c>
      <c r="E3347" s="220">
        <v>2</v>
      </c>
      <c r="F3347" s="190">
        <f>'BASIC DATA'!$D$359</f>
        <v>30</v>
      </c>
      <c r="G3347" s="190">
        <f>E3347*F3347</f>
        <v>60</v>
      </c>
    </row>
    <row r="3348" spans="1:7">
      <c r="A3348" s="847"/>
      <c r="B3348" s="176"/>
      <c r="C3348" s="357" t="s">
        <v>2380</v>
      </c>
      <c r="D3348" s="174"/>
      <c r="E3348" s="192"/>
      <c r="F3348" s="236" t="s">
        <v>1698</v>
      </c>
      <c r="G3348" s="354">
        <f>SUM(G3343:G3347)</f>
        <v>22817.616000000002</v>
      </c>
    </row>
    <row r="3349" spans="1:7">
      <c r="A3349" s="847"/>
      <c r="B3349" s="78"/>
      <c r="C3349" s="48"/>
    </row>
    <row r="3350" spans="1:7">
      <c r="A3350" s="847"/>
      <c r="B3350" s="79" t="s">
        <v>2381</v>
      </c>
      <c r="C3350" s="48"/>
    </row>
    <row r="3351" spans="1:7">
      <c r="A3351" s="847"/>
      <c r="B3351" s="95" t="s">
        <v>2369</v>
      </c>
      <c r="C3351" s="350" t="s">
        <v>2378</v>
      </c>
      <c r="D3351" s="95" t="s">
        <v>2370</v>
      </c>
      <c r="E3351" s="95" t="s">
        <v>1166</v>
      </c>
      <c r="F3351" s="95" t="s">
        <v>2371</v>
      </c>
      <c r="G3351" s="95" t="s">
        <v>2372</v>
      </c>
    </row>
    <row r="3352" spans="1:7">
      <c r="A3352" s="847"/>
      <c r="B3352" s="114"/>
      <c r="C3352" s="351"/>
      <c r="D3352" s="105"/>
      <c r="E3352" s="114"/>
      <c r="F3352" s="114" t="s">
        <v>3485</v>
      </c>
      <c r="G3352" s="114" t="s">
        <v>3485</v>
      </c>
    </row>
    <row r="3353" spans="1:7">
      <c r="A3353" s="847"/>
      <c r="B3353" s="105">
        <v>1</v>
      </c>
      <c r="C3353" s="86" t="s">
        <v>2870</v>
      </c>
      <c r="D3353" s="95" t="s">
        <v>2374</v>
      </c>
      <c r="E3353" s="207">
        <v>3.6</v>
      </c>
      <c r="F3353" s="190">
        <f>'HIRE CHARGES'!$F$499</f>
        <v>236.6</v>
      </c>
      <c r="G3353" s="190">
        <f>E3353*F3353</f>
        <v>851.76</v>
      </c>
    </row>
    <row r="3354" spans="1:7">
      <c r="A3354" s="847"/>
      <c r="B3354" s="105">
        <v>2</v>
      </c>
      <c r="C3354" s="86" t="s">
        <v>1001</v>
      </c>
      <c r="D3354" s="105" t="s">
        <v>2374</v>
      </c>
      <c r="E3354" s="393">
        <v>6.06</v>
      </c>
      <c r="F3354" s="190">
        <f>'HIRE CHARGES'!$F$553</f>
        <v>263.60000000000002</v>
      </c>
      <c r="G3354" s="190">
        <f>E3354*F3354</f>
        <v>1597.4159999999999</v>
      </c>
    </row>
    <row r="3355" spans="1:7">
      <c r="A3355" s="847"/>
      <c r="B3355" s="105">
        <v>3</v>
      </c>
      <c r="C3355" s="86" t="s">
        <v>4206</v>
      </c>
      <c r="D3355" s="105" t="s">
        <v>1172</v>
      </c>
      <c r="E3355" s="207">
        <v>1</v>
      </c>
      <c r="F3355" s="190">
        <f>'BASIC DATA'!$C$473</f>
        <v>450</v>
      </c>
      <c r="G3355" s="190">
        <f>E3355*F3355</f>
        <v>450</v>
      </c>
    </row>
    <row r="3356" spans="1:7">
      <c r="A3356" s="847"/>
      <c r="B3356" s="105">
        <v>4</v>
      </c>
      <c r="C3356" s="86" t="s">
        <v>2696</v>
      </c>
      <c r="D3356" s="105" t="s">
        <v>1172</v>
      </c>
      <c r="E3356" s="207">
        <v>4</v>
      </c>
      <c r="F3356" s="190">
        <f>'BASIC DATA'!$C$552</f>
        <v>350</v>
      </c>
      <c r="G3356" s="190">
        <f>E3356*F3356</f>
        <v>1400</v>
      </c>
    </row>
    <row r="3357" spans="1:7">
      <c r="A3357" s="847"/>
      <c r="B3357" s="92"/>
      <c r="C3357" s="353" t="s">
        <v>1174</v>
      </c>
      <c r="D3357" s="159"/>
      <c r="E3357" s="238"/>
      <c r="F3357" s="236" t="s">
        <v>1698</v>
      </c>
      <c r="G3357" s="318">
        <f>SUM(G3353:G3356)</f>
        <v>4299.1759999999995</v>
      </c>
    </row>
    <row r="3358" spans="1:7">
      <c r="A3358" s="847"/>
      <c r="B3358" s="359" t="s">
        <v>5948</v>
      </c>
      <c r="C3358" s="355"/>
      <c r="D3358" s="31"/>
      <c r="E3358" s="85">
        <f>ROUND(G3357/F3332,1)</f>
        <v>7.2</v>
      </c>
    </row>
    <row r="3359" spans="1:7">
      <c r="A3359" s="847"/>
      <c r="B3359" s="359" t="s">
        <v>3163</v>
      </c>
      <c r="C3359" s="355"/>
      <c r="D3359" s="922">
        <f>'BASIC DATA'!$C$577</f>
        <v>0.13614999999999999</v>
      </c>
      <c r="E3359" s="85">
        <f>ROUND(E3358*D3359,1)</f>
        <v>1</v>
      </c>
    </row>
    <row r="3360" spans="1:7">
      <c r="A3360" s="847"/>
      <c r="B3360" s="359" t="s">
        <v>5949</v>
      </c>
      <c r="C3360" s="355"/>
      <c r="D3360" s="31"/>
      <c r="E3360" s="199">
        <f>ROUND(E3359+E3358,1)</f>
        <v>8.1999999999999993</v>
      </c>
    </row>
    <row r="3361" spans="1:8">
      <c r="A3361" s="847"/>
      <c r="B3361" s="78"/>
      <c r="C3361" s="48"/>
    </row>
    <row r="3362" spans="1:8">
      <c r="A3362" s="847"/>
      <c r="B3362" s="162" t="s">
        <v>1175</v>
      </c>
      <c r="C3362" s="48"/>
    </row>
    <row r="3363" spans="1:8">
      <c r="A3363" s="847"/>
      <c r="B3363" s="47" t="s">
        <v>4</v>
      </c>
      <c r="C3363" s="48"/>
      <c r="F3363" s="171" t="s">
        <v>1698</v>
      </c>
      <c r="G3363" s="68">
        <f>G3338</f>
        <v>0</v>
      </c>
    </row>
    <row r="3364" spans="1:8">
      <c r="A3364" s="847"/>
      <c r="B3364" s="47" t="s">
        <v>1186</v>
      </c>
      <c r="C3364" s="48"/>
      <c r="F3364" s="171" t="s">
        <v>1698</v>
      </c>
      <c r="G3364" s="68">
        <f>G3348</f>
        <v>22817.616000000002</v>
      </c>
    </row>
    <row r="3365" spans="1:8">
      <c r="A3365" s="847"/>
      <c r="B3365" s="47" t="s">
        <v>2660</v>
      </c>
      <c r="C3365" s="48"/>
      <c r="F3365" s="171" t="s">
        <v>1698</v>
      </c>
      <c r="G3365" s="75">
        <f>G3357</f>
        <v>4299.1759999999995</v>
      </c>
    </row>
    <row r="3366" spans="1:8">
      <c r="A3366" s="847"/>
      <c r="B3366" s="78"/>
      <c r="C3366" s="48"/>
      <c r="E3366" s="261"/>
      <c r="F3366" s="171" t="s">
        <v>302</v>
      </c>
      <c r="G3366" s="205">
        <f>SUM(G3363:G3365)</f>
        <v>27116.792000000001</v>
      </c>
    </row>
    <row r="3367" spans="1:8" ht="39" customHeight="1">
      <c r="A3367" s="847"/>
      <c r="B3367" s="1207" t="s">
        <v>1379</v>
      </c>
      <c r="C3367" s="1207"/>
      <c r="D3367" s="1207"/>
      <c r="E3367" s="922">
        <f>'BASIC DATA'!$C$577</f>
        <v>0.13614999999999999</v>
      </c>
      <c r="F3367" s="171" t="s">
        <v>1698</v>
      </c>
      <c r="G3367" s="31">
        <f>ROUND(G3366*E3367,2)</f>
        <v>3691.95</v>
      </c>
    </row>
    <row r="3368" spans="1:8">
      <c r="A3368" s="847"/>
      <c r="B3368" s="47" t="s">
        <v>1191</v>
      </c>
      <c r="C3368" s="48"/>
      <c r="D3368" s="68">
        <f>F3332</f>
        <v>600</v>
      </c>
      <c r="E3368" s="68" t="str">
        <f>G3332</f>
        <v>cum</v>
      </c>
      <c r="F3368" s="171" t="s">
        <v>1698</v>
      </c>
      <c r="G3368" s="211">
        <f>G3367+G3366</f>
        <v>30808.742000000002</v>
      </c>
    </row>
    <row r="3369" spans="1:8">
      <c r="A3369" s="847"/>
      <c r="B3369" s="79" t="s">
        <v>1584</v>
      </c>
      <c r="C3369" s="356" t="str">
        <f>E3368</f>
        <v>cum</v>
      </c>
      <c r="D3369" s="26" t="s">
        <v>5879</v>
      </c>
      <c r="F3369" s="171" t="s">
        <v>4108</v>
      </c>
      <c r="G3369" s="211">
        <f>ROUND(G3368/D3368,1)</f>
        <v>51.3</v>
      </c>
      <c r="H3369" s="171"/>
    </row>
    <row r="3370" spans="1:8">
      <c r="A3370" s="847"/>
      <c r="B3370" s="78"/>
      <c r="C3370" s="48"/>
    </row>
    <row r="3371" spans="1:8" ht="18.75">
      <c r="A3371" s="841" t="s">
        <v>7451</v>
      </c>
      <c r="B3371" s="47" t="s">
        <v>8702</v>
      </c>
      <c r="C3371" s="48"/>
    </row>
    <row r="3372" spans="1:8">
      <c r="A3372" s="889"/>
      <c r="B3372" s="47" t="s">
        <v>8703</v>
      </c>
      <c r="C3372" s="48"/>
    </row>
    <row r="3373" spans="1:8">
      <c r="A3373" s="889"/>
      <c r="B3373" s="47" t="s">
        <v>8704</v>
      </c>
      <c r="C3373" s="48"/>
    </row>
    <row r="3374" spans="1:8">
      <c r="A3374" s="889"/>
      <c r="B3374" s="162" t="s">
        <v>2735</v>
      </c>
      <c r="C3374" s="48"/>
    </row>
    <row r="3375" spans="1:8">
      <c r="A3375" s="889"/>
      <c r="C3375" s="48"/>
    </row>
    <row r="3376" spans="1:8" hidden="1">
      <c r="A3376" s="889" t="s">
        <v>3984</v>
      </c>
      <c r="B3376" s="47" t="s">
        <v>2736</v>
      </c>
      <c r="C3376" s="48"/>
      <c r="F3376" s="78"/>
      <c r="G3376" s="27"/>
    </row>
    <row r="3377" spans="1:8" hidden="1">
      <c r="A3377" s="889"/>
      <c r="B3377" s="47" t="s">
        <v>6764</v>
      </c>
      <c r="C3377" s="48"/>
    </row>
    <row r="3378" spans="1:8" hidden="1">
      <c r="A3378" s="889"/>
      <c r="B3378" s="47" t="s">
        <v>2193</v>
      </c>
      <c r="C3378" s="48"/>
    </row>
    <row r="3379" spans="1:8" hidden="1">
      <c r="A3379" s="889"/>
      <c r="B3379" s="47" t="s">
        <v>5263</v>
      </c>
      <c r="C3379" s="48"/>
    </row>
    <row r="3380" spans="1:8" hidden="1">
      <c r="A3380" s="889"/>
      <c r="B3380" s="47" t="s">
        <v>4544</v>
      </c>
      <c r="C3380" s="48"/>
    </row>
    <row r="3381" spans="1:8" hidden="1">
      <c r="A3381" s="889"/>
      <c r="B3381" s="47" t="s">
        <v>5856</v>
      </c>
      <c r="C3381" s="48"/>
      <c r="F3381" s="78" t="s">
        <v>1697</v>
      </c>
      <c r="G3381" s="26">
        <v>25</v>
      </c>
      <c r="H3381" s="26" t="s">
        <v>4808</v>
      </c>
    </row>
    <row r="3382" spans="1:8" hidden="1">
      <c r="A3382" s="889"/>
      <c r="B3382" s="47" t="s">
        <v>3839</v>
      </c>
      <c r="C3382" s="48"/>
    </row>
    <row r="3383" spans="1:8" hidden="1">
      <c r="A3383" s="889"/>
      <c r="B3383" s="47" t="s">
        <v>188</v>
      </c>
      <c r="C3383" s="48"/>
      <c r="F3383" s="78" t="s">
        <v>1697</v>
      </c>
      <c r="G3383" s="26">
        <v>25</v>
      </c>
      <c r="H3383" s="26" t="s">
        <v>4808</v>
      </c>
    </row>
    <row r="3384" spans="1:8">
      <c r="A3384" s="847"/>
      <c r="B3384" s="78"/>
      <c r="C3384" s="48"/>
    </row>
    <row r="3385" spans="1:8">
      <c r="A3385" s="847" t="s">
        <v>1907</v>
      </c>
      <c r="B3385" s="78"/>
      <c r="C3385" s="349" t="s">
        <v>2367</v>
      </c>
      <c r="E3385" s="171" t="s">
        <v>297</v>
      </c>
      <c r="F3385" s="246">
        <f>G3383</f>
        <v>25</v>
      </c>
      <c r="G3385" s="26" t="s">
        <v>3477</v>
      </c>
    </row>
    <row r="3386" spans="1:8">
      <c r="A3386" s="847"/>
      <c r="B3386" s="79" t="s">
        <v>2368</v>
      </c>
      <c r="C3386" s="48"/>
    </row>
    <row r="3387" spans="1:8">
      <c r="A3387" s="847"/>
      <c r="B3387" s="95" t="s">
        <v>2369</v>
      </c>
      <c r="C3387" s="350" t="s">
        <v>6374</v>
      </c>
      <c r="D3387" s="95" t="s">
        <v>2370</v>
      </c>
      <c r="E3387" s="95" t="s">
        <v>1166</v>
      </c>
      <c r="F3387" s="95" t="s">
        <v>2371</v>
      </c>
      <c r="G3387" s="95" t="s">
        <v>2372</v>
      </c>
    </row>
    <row r="3388" spans="1:8">
      <c r="A3388" s="847"/>
      <c r="B3388" s="114"/>
      <c r="C3388" s="351"/>
      <c r="D3388" s="114"/>
      <c r="E3388" s="114"/>
      <c r="F3388" s="114" t="s">
        <v>3485</v>
      </c>
      <c r="G3388" s="114" t="s">
        <v>3485</v>
      </c>
    </row>
    <row r="3389" spans="1:8">
      <c r="A3389" s="847"/>
      <c r="B3389" s="95">
        <v>1</v>
      </c>
      <c r="C3389" s="352" t="s">
        <v>1130</v>
      </c>
      <c r="D3389" s="95"/>
      <c r="E3389" s="190">
        <v>0</v>
      </c>
      <c r="F3389" s="190">
        <v>0</v>
      </c>
      <c r="G3389" s="190"/>
    </row>
    <row r="3390" spans="1:8">
      <c r="A3390" s="847"/>
      <c r="B3390" s="275"/>
      <c r="C3390" s="91"/>
      <c r="D3390" s="114"/>
      <c r="E3390" s="190">
        <v>0</v>
      </c>
      <c r="F3390" s="190">
        <v>0</v>
      </c>
      <c r="G3390" s="190"/>
    </row>
    <row r="3391" spans="1:8">
      <c r="A3391" s="847"/>
      <c r="B3391" s="92"/>
      <c r="C3391" s="353" t="s">
        <v>2376</v>
      </c>
      <c r="D3391" s="159"/>
      <c r="E3391" s="238"/>
      <c r="F3391" s="236" t="s">
        <v>1698</v>
      </c>
      <c r="G3391" s="318">
        <f>SUM(G3389:G3390)</f>
        <v>0</v>
      </c>
    </row>
    <row r="3392" spans="1:8">
      <c r="A3392" s="847"/>
      <c r="B3392" s="78"/>
      <c r="C3392" s="48"/>
    </row>
    <row r="3393" spans="1:7">
      <c r="A3393" s="847"/>
      <c r="B3393" s="79" t="s">
        <v>2377</v>
      </c>
      <c r="C3393" s="48"/>
    </row>
    <row r="3394" spans="1:7">
      <c r="A3394" s="847"/>
      <c r="B3394" s="95" t="s">
        <v>2369</v>
      </c>
      <c r="C3394" s="350" t="s">
        <v>2378</v>
      </c>
      <c r="D3394" s="95" t="s">
        <v>2370</v>
      </c>
      <c r="E3394" s="95" t="s">
        <v>1166</v>
      </c>
      <c r="F3394" s="95" t="s">
        <v>2371</v>
      </c>
      <c r="G3394" s="95" t="s">
        <v>2372</v>
      </c>
    </row>
    <row r="3395" spans="1:7">
      <c r="A3395" s="847"/>
      <c r="B3395" s="114"/>
      <c r="C3395" s="351"/>
      <c r="D3395" s="114"/>
      <c r="E3395" s="114"/>
      <c r="F3395" s="114" t="s">
        <v>3485</v>
      </c>
      <c r="G3395" s="114" t="s">
        <v>3485</v>
      </c>
    </row>
    <row r="3396" spans="1:7">
      <c r="A3396" s="847"/>
      <c r="B3396" s="95">
        <v>1</v>
      </c>
      <c r="C3396" s="355" t="s">
        <v>189</v>
      </c>
      <c r="D3396" s="95" t="s">
        <v>2374</v>
      </c>
      <c r="E3396" s="220">
        <v>1</v>
      </c>
      <c r="F3396" s="214">
        <f>'HIRE CHARGES'!$D$517</f>
        <v>10.199999999999999</v>
      </c>
      <c r="G3396" s="190">
        <f>E3396*F3396</f>
        <v>10.199999999999999</v>
      </c>
    </row>
    <row r="3397" spans="1:7">
      <c r="A3397" s="847"/>
      <c r="B3397" s="116"/>
      <c r="C3397" s="355" t="s">
        <v>2379</v>
      </c>
      <c r="D3397" s="105" t="s">
        <v>2374</v>
      </c>
      <c r="E3397" s="220">
        <v>1</v>
      </c>
      <c r="F3397" s="214">
        <f>'HIRE CHARGES'!$E$517</f>
        <v>79.3</v>
      </c>
      <c r="G3397" s="190">
        <f>E3397*F3397</f>
        <v>79.3</v>
      </c>
    </row>
    <row r="3398" spans="1:7">
      <c r="A3398" s="847"/>
      <c r="B3398" s="176"/>
      <c r="C3398" s="357" t="s">
        <v>2380</v>
      </c>
      <c r="D3398" s="174"/>
      <c r="E3398" s="192"/>
      <c r="F3398" s="236" t="s">
        <v>1698</v>
      </c>
      <c r="G3398" s="354">
        <f>SUM(G3396:G3397)</f>
        <v>89.5</v>
      </c>
    </row>
    <row r="3399" spans="1:7">
      <c r="A3399" s="847"/>
      <c r="B3399" s="78"/>
      <c r="C3399" s="48"/>
    </row>
    <row r="3400" spans="1:7">
      <c r="A3400" s="847"/>
      <c r="B3400" s="79" t="s">
        <v>2381</v>
      </c>
      <c r="C3400" s="48"/>
    </row>
    <row r="3401" spans="1:7">
      <c r="A3401" s="847"/>
      <c r="B3401" s="95" t="s">
        <v>2369</v>
      </c>
      <c r="C3401" s="350" t="s">
        <v>2378</v>
      </c>
      <c r="D3401" s="95" t="s">
        <v>2370</v>
      </c>
      <c r="E3401" s="95" t="s">
        <v>1166</v>
      </c>
      <c r="F3401" s="95" t="s">
        <v>2371</v>
      </c>
      <c r="G3401" s="95" t="s">
        <v>2372</v>
      </c>
    </row>
    <row r="3402" spans="1:7">
      <c r="A3402" s="847"/>
      <c r="B3402" s="114"/>
      <c r="C3402" s="351"/>
      <c r="D3402" s="105"/>
      <c r="E3402" s="114"/>
      <c r="F3402" s="114" t="s">
        <v>3485</v>
      </c>
      <c r="G3402" s="114" t="s">
        <v>3485</v>
      </c>
    </row>
    <row r="3403" spans="1:7">
      <c r="A3403" s="847"/>
      <c r="B3403" s="105">
        <v>1</v>
      </c>
      <c r="C3403" s="86" t="s">
        <v>1171</v>
      </c>
      <c r="D3403" s="95" t="s">
        <v>2374</v>
      </c>
      <c r="E3403" s="207">
        <v>1</v>
      </c>
      <c r="F3403" s="214">
        <f>'HIRE CHARGES'!$F$517</f>
        <v>111.1</v>
      </c>
      <c r="G3403" s="190">
        <f>E3403*F3403</f>
        <v>111.1</v>
      </c>
    </row>
    <row r="3404" spans="1:7">
      <c r="A3404" s="847"/>
      <c r="B3404" s="105">
        <v>2</v>
      </c>
      <c r="C3404" s="86" t="s">
        <v>4206</v>
      </c>
      <c r="D3404" s="105" t="s">
        <v>1172</v>
      </c>
      <c r="E3404" s="207">
        <v>1</v>
      </c>
      <c r="F3404" s="214">
        <f>'BASIC DATA'!$C$473</f>
        <v>450</v>
      </c>
      <c r="G3404" s="190">
        <f>E3404*F3404</f>
        <v>450</v>
      </c>
    </row>
    <row r="3405" spans="1:7">
      <c r="A3405" s="847"/>
      <c r="B3405" s="105">
        <v>3</v>
      </c>
      <c r="C3405" s="86" t="s">
        <v>191</v>
      </c>
      <c r="D3405" s="105" t="s">
        <v>1172</v>
      </c>
      <c r="E3405" s="207">
        <v>2.5</v>
      </c>
      <c r="F3405" s="214">
        <f>'BASIC DATA'!$C$514</f>
        <v>400</v>
      </c>
      <c r="G3405" s="190">
        <f>E3405*F3405</f>
        <v>1000</v>
      </c>
    </row>
    <row r="3406" spans="1:7">
      <c r="A3406" s="847"/>
      <c r="B3406" s="105">
        <v>4</v>
      </c>
      <c r="C3406" s="86" t="s">
        <v>2697</v>
      </c>
      <c r="D3406" s="210"/>
      <c r="E3406" s="207"/>
      <c r="F3406" s="214"/>
      <c r="G3406" s="190"/>
    </row>
    <row r="3407" spans="1:7">
      <c r="A3407" s="847"/>
      <c r="B3407" s="152"/>
      <c r="C3407" s="86" t="s">
        <v>2945</v>
      </c>
      <c r="D3407" s="105" t="s">
        <v>1172</v>
      </c>
      <c r="E3407" s="207">
        <v>5</v>
      </c>
      <c r="F3407" s="214">
        <f>'BASIC DATA'!$C$552</f>
        <v>350</v>
      </c>
      <c r="G3407" s="190">
        <f>E3407*F3407</f>
        <v>1750</v>
      </c>
    </row>
    <row r="3408" spans="1:7" ht="36">
      <c r="A3408" s="847"/>
      <c r="B3408" s="152"/>
      <c r="C3408" s="86" t="s">
        <v>2946</v>
      </c>
      <c r="D3408" s="105" t="s">
        <v>1172</v>
      </c>
      <c r="E3408" s="207">
        <v>2.5</v>
      </c>
      <c r="F3408" s="214">
        <f>'BASIC DATA'!$C$552</f>
        <v>350</v>
      </c>
      <c r="G3408" s="190">
        <f>E3408*F3408</f>
        <v>875</v>
      </c>
    </row>
    <row r="3409" spans="1:8">
      <c r="A3409" s="847"/>
      <c r="B3409" s="152"/>
      <c r="C3409" s="86" t="s">
        <v>5864</v>
      </c>
      <c r="D3409" s="105" t="s">
        <v>1172</v>
      </c>
      <c r="E3409" s="207">
        <v>5</v>
      </c>
      <c r="F3409" s="214">
        <f>'BASIC DATA'!$C$552</f>
        <v>350</v>
      </c>
      <c r="G3409" s="190">
        <f>E3409*F3409</f>
        <v>1750</v>
      </c>
    </row>
    <row r="3410" spans="1:8" ht="36">
      <c r="A3410" s="847"/>
      <c r="B3410" s="105">
        <v>5</v>
      </c>
      <c r="C3410" s="86" t="s">
        <v>2947</v>
      </c>
      <c r="D3410" s="105" t="s">
        <v>1172</v>
      </c>
      <c r="E3410" s="207">
        <v>1</v>
      </c>
      <c r="F3410" s="214">
        <f>'BASIC DATA'!$C$512</f>
        <v>435</v>
      </c>
      <c r="G3410" s="190">
        <f>E3410*F3410</f>
        <v>435</v>
      </c>
    </row>
    <row r="3411" spans="1:8">
      <c r="A3411" s="847"/>
      <c r="B3411" s="105">
        <v>6</v>
      </c>
      <c r="C3411" s="86" t="s">
        <v>5855</v>
      </c>
      <c r="D3411" s="105" t="s">
        <v>1172</v>
      </c>
      <c r="E3411" s="207">
        <v>1</v>
      </c>
      <c r="F3411" s="214">
        <f>'BASIC DATA'!$C$512</f>
        <v>435</v>
      </c>
      <c r="G3411" s="190">
        <f>E3411*F3411</f>
        <v>435</v>
      </c>
    </row>
    <row r="3412" spans="1:8">
      <c r="A3412" s="847"/>
      <c r="B3412" s="92"/>
      <c r="C3412" s="353" t="s">
        <v>1174</v>
      </c>
      <c r="D3412" s="159"/>
      <c r="E3412" s="238"/>
      <c r="F3412" s="236" t="s">
        <v>1698</v>
      </c>
      <c r="G3412" s="318">
        <f>SUM(G3403:G3411)</f>
        <v>6806.1</v>
      </c>
    </row>
    <row r="3413" spans="1:8">
      <c r="A3413" s="847"/>
      <c r="B3413" s="359" t="s">
        <v>5948</v>
      </c>
      <c r="C3413" s="48"/>
      <c r="D3413" s="31"/>
      <c r="E3413" s="85">
        <f>ROUND(G3412/F3385,1)</f>
        <v>272.2</v>
      </c>
    </row>
    <row r="3414" spans="1:8">
      <c r="A3414" s="847"/>
      <c r="B3414" s="359" t="s">
        <v>3163</v>
      </c>
      <c r="C3414" s="48"/>
      <c r="D3414" s="922">
        <f>'BASIC DATA'!$C$577</f>
        <v>0.13614999999999999</v>
      </c>
      <c r="E3414" s="85">
        <f>ROUND(E3413*D3414,1)</f>
        <v>37.1</v>
      </c>
    </row>
    <row r="3415" spans="1:8">
      <c r="A3415" s="847"/>
      <c r="B3415" s="359" t="s">
        <v>5949</v>
      </c>
      <c r="C3415" s="48"/>
      <c r="D3415" s="31"/>
      <c r="E3415" s="199">
        <f>ROUND(E3414+E3413,1)</f>
        <v>309.3</v>
      </c>
    </row>
    <row r="3416" spans="1:8">
      <c r="A3416" s="847"/>
      <c r="C3416" s="48"/>
    </row>
    <row r="3417" spans="1:8">
      <c r="A3417" s="847"/>
      <c r="B3417" s="162" t="s">
        <v>1175</v>
      </c>
      <c r="C3417" s="48"/>
    </row>
    <row r="3418" spans="1:8">
      <c r="A3418" s="847"/>
      <c r="B3418" s="47" t="s">
        <v>1176</v>
      </c>
      <c r="C3418" s="48"/>
      <c r="F3418" s="171" t="s">
        <v>1698</v>
      </c>
      <c r="G3418" s="68">
        <f>G3391</f>
        <v>0</v>
      </c>
    </row>
    <row r="3419" spans="1:8">
      <c r="A3419" s="847"/>
      <c r="B3419" s="47" t="s">
        <v>1186</v>
      </c>
      <c r="C3419" s="48"/>
      <c r="F3419" s="171" t="s">
        <v>1698</v>
      </c>
      <c r="G3419" s="68">
        <f>G3398</f>
        <v>89.5</v>
      </c>
    </row>
    <row r="3420" spans="1:8">
      <c r="A3420" s="847"/>
      <c r="B3420" s="47" t="s">
        <v>2660</v>
      </c>
      <c r="C3420" s="48"/>
      <c r="F3420" s="171" t="s">
        <v>1698</v>
      </c>
      <c r="G3420" s="75">
        <f>G3412</f>
        <v>6806.1</v>
      </c>
    </row>
    <row r="3421" spans="1:8">
      <c r="A3421" s="847"/>
      <c r="B3421" s="78"/>
      <c r="C3421" s="48"/>
      <c r="E3421" s="261"/>
      <c r="F3421" s="171" t="s">
        <v>302</v>
      </c>
      <c r="G3421" s="205">
        <f>SUM(G3418:G3420)</f>
        <v>6895.6</v>
      </c>
    </row>
    <row r="3422" spans="1:8" ht="39" customHeight="1">
      <c r="A3422" s="847"/>
      <c r="B3422" s="1207" t="s">
        <v>1379</v>
      </c>
      <c r="C3422" s="1207"/>
      <c r="D3422" s="1207"/>
      <c r="E3422" s="922">
        <f>'BASIC DATA'!$C$577</f>
        <v>0.13614999999999999</v>
      </c>
      <c r="F3422" s="171" t="s">
        <v>1698</v>
      </c>
      <c r="G3422" s="31">
        <f>ROUND(G3421*E3422,2)</f>
        <v>938.84</v>
      </c>
    </row>
    <row r="3423" spans="1:8">
      <c r="A3423" s="847"/>
      <c r="B3423" s="47" t="s">
        <v>1191</v>
      </c>
      <c r="C3423" s="48"/>
      <c r="D3423" s="68">
        <f>F3385</f>
        <v>25</v>
      </c>
      <c r="E3423" s="68" t="str">
        <f>G3385</f>
        <v>cum</v>
      </c>
      <c r="F3423" s="171" t="s">
        <v>1698</v>
      </c>
      <c r="G3423" s="211">
        <f>G3422+G3421</f>
        <v>7834.4400000000005</v>
      </c>
    </row>
    <row r="3424" spans="1:8">
      <c r="A3424" s="847"/>
      <c r="B3424" s="79" t="s">
        <v>1584</v>
      </c>
      <c r="C3424" s="356" t="str">
        <f>E3423</f>
        <v>cum</v>
      </c>
      <c r="D3424" s="26" t="s">
        <v>1646</v>
      </c>
      <c r="F3424" s="171" t="s">
        <v>4108</v>
      </c>
      <c r="G3424" s="211">
        <f>ROUND(G3423/D3423,1)</f>
        <v>313.39999999999998</v>
      </c>
      <c r="H3424" s="171"/>
    </row>
    <row r="3425" spans="1:7">
      <c r="A3425" s="847"/>
      <c r="B3425" s="78"/>
      <c r="C3425" s="48"/>
    </row>
    <row r="3426" spans="1:7">
      <c r="A3426" s="841" t="s">
        <v>7452</v>
      </c>
      <c r="B3426" s="79" t="s">
        <v>3596</v>
      </c>
      <c r="C3426" s="48"/>
    </row>
    <row r="3427" spans="1:7">
      <c r="A3427" s="847"/>
      <c r="B3427" s="78"/>
      <c r="C3427" s="48"/>
    </row>
    <row r="3428" spans="1:7" ht="18.75">
      <c r="A3428" s="841" t="s">
        <v>7453</v>
      </c>
      <c r="B3428" s="47" t="s">
        <v>8705</v>
      </c>
      <c r="C3428" s="48"/>
    </row>
    <row r="3429" spans="1:7" ht="18.75">
      <c r="A3429" s="889"/>
      <c r="B3429" s="47" t="s">
        <v>8706</v>
      </c>
      <c r="C3429" s="48"/>
    </row>
    <row r="3430" spans="1:7">
      <c r="A3430" s="889"/>
      <c r="C3430" s="48"/>
    </row>
    <row r="3431" spans="1:7" hidden="1">
      <c r="A3431" s="889" t="s">
        <v>3984</v>
      </c>
      <c r="B3431" s="47" t="s">
        <v>5611</v>
      </c>
      <c r="C3431" s="48"/>
      <c r="E3431" s="78"/>
      <c r="G3431" s="27"/>
    </row>
    <row r="3432" spans="1:7" hidden="1">
      <c r="A3432" s="889"/>
      <c r="B3432" s="47" t="s">
        <v>5612</v>
      </c>
      <c r="C3432" s="48"/>
      <c r="F3432" s="68">
        <v>10</v>
      </c>
      <c r="G3432" s="26" t="s">
        <v>6901</v>
      </c>
    </row>
    <row r="3433" spans="1:7" hidden="1">
      <c r="A3433" s="889"/>
      <c r="B3433" s="47" t="s">
        <v>5613</v>
      </c>
      <c r="C3433" s="48"/>
      <c r="F3433" s="68">
        <v>4</v>
      </c>
      <c r="G3433" s="26" t="s">
        <v>6901</v>
      </c>
    </row>
    <row r="3434" spans="1:7" hidden="1">
      <c r="A3434" s="889"/>
      <c r="B3434" s="47" t="s">
        <v>3260</v>
      </c>
      <c r="C3434" s="48"/>
    </row>
    <row r="3435" spans="1:7">
      <c r="A3435" s="847"/>
      <c r="B3435" s="78"/>
      <c r="C3435" s="48"/>
    </row>
    <row r="3436" spans="1:7">
      <c r="A3436" s="847" t="s">
        <v>1907</v>
      </c>
      <c r="B3436" s="78"/>
      <c r="C3436" s="349" t="s">
        <v>2367</v>
      </c>
      <c r="E3436" s="171" t="s">
        <v>297</v>
      </c>
      <c r="F3436" s="246">
        <f>F3432</f>
        <v>10</v>
      </c>
      <c r="G3436" s="26" t="s">
        <v>3477</v>
      </c>
    </row>
    <row r="3437" spans="1:7">
      <c r="A3437" s="847"/>
      <c r="B3437" s="79" t="s">
        <v>2368</v>
      </c>
      <c r="C3437" s="48"/>
    </row>
    <row r="3438" spans="1:7">
      <c r="A3438" s="847"/>
      <c r="B3438" s="95" t="s">
        <v>2369</v>
      </c>
      <c r="C3438" s="350" t="s">
        <v>6374</v>
      </c>
      <c r="D3438" s="95" t="s">
        <v>2370</v>
      </c>
      <c r="E3438" s="95" t="s">
        <v>1166</v>
      </c>
      <c r="F3438" s="95" t="s">
        <v>2371</v>
      </c>
      <c r="G3438" s="95" t="s">
        <v>2372</v>
      </c>
    </row>
    <row r="3439" spans="1:7">
      <c r="A3439" s="847"/>
      <c r="B3439" s="114"/>
      <c r="C3439" s="351"/>
      <c r="D3439" s="114"/>
      <c r="E3439" s="114"/>
      <c r="F3439" s="114" t="s">
        <v>3485</v>
      </c>
      <c r="G3439" s="114" t="s">
        <v>3485</v>
      </c>
    </row>
    <row r="3440" spans="1:7">
      <c r="A3440" s="847"/>
      <c r="B3440" s="95">
        <v>1</v>
      </c>
      <c r="C3440" s="91" t="s">
        <v>5614</v>
      </c>
      <c r="D3440" s="95" t="s">
        <v>3477</v>
      </c>
      <c r="E3440" s="190">
        <f>F3432</f>
        <v>10</v>
      </c>
      <c r="F3440" s="190">
        <f>'BASIC DATA'!$D$108</f>
        <v>318</v>
      </c>
      <c r="G3440" s="190">
        <f>E3440*F3440</f>
        <v>3180</v>
      </c>
    </row>
    <row r="3441" spans="1:9">
      <c r="A3441" s="848"/>
      <c r="B3441" s="237">
        <v>2</v>
      </c>
      <c r="C3441" s="396" t="s">
        <v>7871</v>
      </c>
      <c r="D3441" s="237" t="s">
        <v>3477</v>
      </c>
      <c r="E3441" s="255">
        <f>F3433</f>
        <v>4</v>
      </c>
      <c r="F3441" s="255">
        <f>'BASIC DATA'!$D$56</f>
        <v>95</v>
      </c>
      <c r="G3441" s="255">
        <f>E3441*F3441</f>
        <v>380</v>
      </c>
      <c r="H3441" s="61"/>
      <c r="I3441" s="61"/>
    </row>
    <row r="3442" spans="1:9">
      <c r="A3442" s="847"/>
      <c r="B3442" s="92"/>
      <c r="C3442" s="353" t="s">
        <v>2376</v>
      </c>
      <c r="D3442" s="159"/>
      <c r="E3442" s="238"/>
      <c r="F3442" s="236" t="s">
        <v>1698</v>
      </c>
      <c r="G3442" s="318">
        <f>SUM(G3440:G3441)</f>
        <v>3560</v>
      </c>
    </row>
    <row r="3443" spans="1:9">
      <c r="A3443" s="847"/>
      <c r="B3443" s="78"/>
      <c r="C3443" s="48"/>
    </row>
    <row r="3444" spans="1:9">
      <c r="A3444" s="847"/>
      <c r="B3444" s="79" t="s">
        <v>2377</v>
      </c>
      <c r="C3444" s="48"/>
    </row>
    <row r="3445" spans="1:9">
      <c r="A3445" s="847"/>
      <c r="B3445" s="95" t="s">
        <v>2369</v>
      </c>
      <c r="C3445" s="350" t="s">
        <v>2378</v>
      </c>
      <c r="D3445" s="95" t="s">
        <v>2370</v>
      </c>
      <c r="E3445" s="95" t="s">
        <v>1166</v>
      </c>
      <c r="F3445" s="95" t="s">
        <v>2371</v>
      </c>
      <c r="G3445" s="95" t="s">
        <v>2372</v>
      </c>
    </row>
    <row r="3446" spans="1:9">
      <c r="A3446" s="847"/>
      <c r="B3446" s="114"/>
      <c r="C3446" s="351"/>
      <c r="D3446" s="114"/>
      <c r="E3446" s="114"/>
      <c r="F3446" s="114" t="s">
        <v>3485</v>
      </c>
      <c r="G3446" s="114" t="s">
        <v>3485</v>
      </c>
    </row>
    <row r="3447" spans="1:9">
      <c r="A3447" s="847"/>
      <c r="B3447" s="95">
        <v>1</v>
      </c>
      <c r="C3447" s="103" t="s">
        <v>4168</v>
      </c>
      <c r="D3447" s="95"/>
      <c r="E3447" s="220">
        <v>0</v>
      </c>
      <c r="F3447" s="214">
        <v>0</v>
      </c>
      <c r="G3447" s="190">
        <f>E3447*F3447</f>
        <v>0</v>
      </c>
    </row>
    <row r="3448" spans="1:9">
      <c r="A3448" s="847"/>
      <c r="B3448" s="116"/>
      <c r="C3448" s="355"/>
      <c r="D3448" s="105"/>
      <c r="E3448" s="220">
        <v>0</v>
      </c>
      <c r="F3448" s="214">
        <v>0</v>
      </c>
      <c r="G3448" s="190">
        <f>E3448*F3448</f>
        <v>0</v>
      </c>
    </row>
    <row r="3449" spans="1:9">
      <c r="A3449" s="847"/>
      <c r="B3449" s="176"/>
      <c r="C3449" s="357" t="s">
        <v>2380</v>
      </c>
      <c r="D3449" s="174"/>
      <c r="E3449" s="192"/>
      <c r="F3449" s="236" t="s">
        <v>1698</v>
      </c>
      <c r="G3449" s="354">
        <f>SUM(G3447:G3448)</f>
        <v>0</v>
      </c>
    </row>
    <row r="3450" spans="1:9">
      <c r="A3450" s="847"/>
      <c r="B3450" s="78"/>
      <c r="C3450" s="48"/>
    </row>
    <row r="3451" spans="1:9">
      <c r="A3451" s="847"/>
      <c r="B3451" s="79" t="s">
        <v>2381</v>
      </c>
      <c r="C3451" s="48"/>
    </row>
    <row r="3452" spans="1:9">
      <c r="A3452" s="847"/>
      <c r="B3452" s="95" t="s">
        <v>2369</v>
      </c>
      <c r="C3452" s="350" t="s">
        <v>2378</v>
      </c>
      <c r="D3452" s="95" t="s">
        <v>2370</v>
      </c>
      <c r="E3452" s="95" t="s">
        <v>1166</v>
      </c>
      <c r="F3452" s="95" t="s">
        <v>2371</v>
      </c>
      <c r="G3452" s="95" t="s">
        <v>2372</v>
      </c>
    </row>
    <row r="3453" spans="1:9">
      <c r="A3453" s="847"/>
      <c r="B3453" s="114"/>
      <c r="C3453" s="351"/>
      <c r="D3453" s="105"/>
      <c r="E3453" s="114"/>
      <c r="F3453" s="114" t="s">
        <v>3485</v>
      </c>
      <c r="G3453" s="114" t="s">
        <v>3485</v>
      </c>
    </row>
    <row r="3454" spans="1:9">
      <c r="A3454" s="847"/>
      <c r="B3454" s="105">
        <v>1</v>
      </c>
      <c r="C3454" s="86" t="s">
        <v>2696</v>
      </c>
      <c r="D3454" s="95" t="s">
        <v>1172</v>
      </c>
      <c r="E3454" s="207">
        <v>4</v>
      </c>
      <c r="F3454" s="190">
        <f>'BASIC DATA'!$C$552</f>
        <v>350</v>
      </c>
      <c r="G3454" s="190">
        <f>E3454*F3454</f>
        <v>1400</v>
      </c>
    </row>
    <row r="3455" spans="1:9">
      <c r="A3455" s="847"/>
      <c r="B3455" s="92"/>
      <c r="C3455" s="353" t="s">
        <v>1174</v>
      </c>
      <c r="D3455" s="159"/>
      <c r="E3455" s="238"/>
      <c r="F3455" s="236" t="s">
        <v>1698</v>
      </c>
      <c r="G3455" s="318">
        <f>SUM(G3454:G3454)</f>
        <v>1400</v>
      </c>
    </row>
    <row r="3456" spans="1:9">
      <c r="A3456" s="847"/>
      <c r="B3456" s="359" t="s">
        <v>5948</v>
      </c>
      <c r="C3456" s="355"/>
      <c r="D3456" s="31"/>
      <c r="E3456" s="85">
        <f>ROUND(G3455/F3436,1)</f>
        <v>140</v>
      </c>
    </row>
    <row r="3457" spans="1:8">
      <c r="A3457" s="847"/>
      <c r="B3457" s="359" t="s">
        <v>3163</v>
      </c>
      <c r="C3457" s="355"/>
      <c r="D3457" s="922">
        <f>'BASIC DATA'!$C$577</f>
        <v>0.13614999999999999</v>
      </c>
      <c r="E3457" s="85">
        <f>ROUND(E3456*D3457,1)</f>
        <v>19.100000000000001</v>
      </c>
    </row>
    <row r="3458" spans="1:8">
      <c r="A3458" s="847"/>
      <c r="B3458" s="359" t="s">
        <v>5949</v>
      </c>
      <c r="C3458" s="355"/>
      <c r="D3458" s="31"/>
      <c r="E3458" s="199">
        <f>ROUND(E3457+E3456,1)</f>
        <v>159.1</v>
      </c>
    </row>
    <row r="3459" spans="1:8">
      <c r="A3459" s="847"/>
      <c r="B3459" s="78"/>
      <c r="C3459" s="48"/>
    </row>
    <row r="3460" spans="1:8">
      <c r="A3460" s="847"/>
      <c r="B3460" s="162" t="s">
        <v>1175</v>
      </c>
      <c r="C3460" s="48"/>
    </row>
    <row r="3461" spans="1:8">
      <c r="A3461" s="847"/>
      <c r="B3461" s="47" t="s">
        <v>4</v>
      </c>
      <c r="C3461" s="48"/>
      <c r="F3461" s="171" t="s">
        <v>1698</v>
      </c>
      <c r="G3461" s="68">
        <f>G3442</f>
        <v>3560</v>
      </c>
    </row>
    <row r="3462" spans="1:8">
      <c r="A3462" s="847"/>
      <c r="B3462" s="47" t="s">
        <v>1186</v>
      </c>
      <c r="C3462" s="48"/>
      <c r="F3462" s="171" t="s">
        <v>1698</v>
      </c>
      <c r="G3462" s="68">
        <f>G3449</f>
        <v>0</v>
      </c>
    </row>
    <row r="3463" spans="1:8">
      <c r="A3463" s="847"/>
      <c r="B3463" s="47" t="s">
        <v>2660</v>
      </c>
      <c r="C3463" s="48"/>
      <c r="F3463" s="171" t="s">
        <v>1698</v>
      </c>
      <c r="G3463" s="75">
        <f>G3455</f>
        <v>1400</v>
      </c>
    </row>
    <row r="3464" spans="1:8">
      <c r="A3464" s="847"/>
      <c r="B3464" s="78"/>
      <c r="C3464" s="48"/>
      <c r="E3464" s="261"/>
      <c r="F3464" s="171" t="s">
        <v>302</v>
      </c>
      <c r="G3464" s="205">
        <f>SUM(G3461:G3463)</f>
        <v>4960</v>
      </c>
    </row>
    <row r="3465" spans="1:8" ht="38.25" customHeight="1">
      <c r="A3465" s="847"/>
      <c r="B3465" s="1207" t="s">
        <v>1379</v>
      </c>
      <c r="C3465" s="1207"/>
      <c r="D3465" s="1207"/>
      <c r="E3465" s="922">
        <f>'BASIC DATA'!$C$577</f>
        <v>0.13614999999999999</v>
      </c>
      <c r="F3465" s="171" t="s">
        <v>1698</v>
      </c>
      <c r="G3465" s="31">
        <f>ROUND(G3464*E3465,2)</f>
        <v>675.3</v>
      </c>
    </row>
    <row r="3466" spans="1:8">
      <c r="A3466" s="847"/>
      <c r="B3466" s="47" t="s">
        <v>1191</v>
      </c>
      <c r="C3466" s="48"/>
      <c r="D3466" s="68">
        <f>F3436</f>
        <v>10</v>
      </c>
      <c r="E3466" s="68" t="str">
        <f>G3436</f>
        <v>cum</v>
      </c>
      <c r="F3466" s="171" t="s">
        <v>1698</v>
      </c>
      <c r="G3466" s="211">
        <f>G3465+G3464</f>
        <v>5635.3</v>
      </c>
    </row>
    <row r="3467" spans="1:8">
      <c r="A3467" s="847"/>
      <c r="B3467" s="79" t="s">
        <v>1584</v>
      </c>
      <c r="C3467" s="356" t="str">
        <f>E3466</f>
        <v>cum</v>
      </c>
      <c r="D3467" s="26" t="s">
        <v>5880</v>
      </c>
      <c r="F3467" s="171" t="s">
        <v>4108</v>
      </c>
      <c r="G3467" s="211">
        <f>ROUND(G3466/D3466,1)</f>
        <v>563.5</v>
      </c>
      <c r="H3467" s="171"/>
    </row>
    <row r="3468" spans="1:8">
      <c r="A3468" s="847"/>
      <c r="B3468" s="78"/>
      <c r="C3468" s="48"/>
    </row>
    <row r="3469" spans="1:8">
      <c r="A3469" s="847"/>
      <c r="B3469" s="78"/>
      <c r="C3469" s="48"/>
    </row>
    <row r="3470" spans="1:8" ht="18.75">
      <c r="A3470" s="841" t="s">
        <v>7454</v>
      </c>
      <c r="B3470" s="47" t="s">
        <v>8707</v>
      </c>
      <c r="C3470" s="48"/>
    </row>
    <row r="3471" spans="1:8" ht="18.75">
      <c r="A3471" s="889"/>
      <c r="B3471" s="47" t="s">
        <v>8708</v>
      </c>
      <c r="C3471" s="48"/>
    </row>
    <row r="3472" spans="1:8">
      <c r="A3472" s="889"/>
      <c r="C3472" s="48"/>
    </row>
    <row r="3473" spans="1:7" hidden="1">
      <c r="A3473" s="889" t="s">
        <v>3984</v>
      </c>
      <c r="B3473" s="47" t="s">
        <v>7125</v>
      </c>
      <c r="C3473" s="48"/>
      <c r="F3473" s="78"/>
      <c r="G3473" s="27"/>
    </row>
    <row r="3474" spans="1:7" hidden="1">
      <c r="A3474" s="889"/>
      <c r="B3474" s="47" t="s">
        <v>5612</v>
      </c>
      <c r="C3474" s="48"/>
      <c r="F3474" s="68">
        <v>10</v>
      </c>
      <c r="G3474" s="26" t="s">
        <v>6901</v>
      </c>
    </row>
    <row r="3475" spans="1:7" hidden="1">
      <c r="A3475" s="889"/>
      <c r="B3475" s="47" t="s">
        <v>7319</v>
      </c>
      <c r="C3475" s="48"/>
      <c r="F3475" s="68">
        <v>4</v>
      </c>
      <c r="G3475" s="26" t="s">
        <v>6901</v>
      </c>
    </row>
    <row r="3476" spans="1:7" hidden="1">
      <c r="A3476" s="889"/>
      <c r="B3476" s="47" t="s">
        <v>7320</v>
      </c>
      <c r="C3476" s="48"/>
    </row>
    <row r="3477" spans="1:7">
      <c r="A3477" s="847"/>
      <c r="B3477" s="78"/>
      <c r="C3477" s="48"/>
    </row>
    <row r="3478" spans="1:7">
      <c r="A3478" s="847" t="s">
        <v>1907</v>
      </c>
      <c r="B3478" s="78"/>
      <c r="C3478" s="349" t="s">
        <v>2367</v>
      </c>
      <c r="E3478" s="171" t="s">
        <v>297</v>
      </c>
      <c r="F3478" s="246">
        <f>F3474</f>
        <v>10</v>
      </c>
      <c r="G3478" s="26" t="s">
        <v>3477</v>
      </c>
    </row>
    <row r="3479" spans="1:7">
      <c r="A3479" s="847"/>
      <c r="B3479" s="79" t="s">
        <v>2368</v>
      </c>
      <c r="C3479" s="48"/>
    </row>
    <row r="3480" spans="1:7">
      <c r="A3480" s="847"/>
      <c r="B3480" s="95" t="s">
        <v>2369</v>
      </c>
      <c r="C3480" s="350" t="s">
        <v>6374</v>
      </c>
      <c r="D3480" s="95" t="s">
        <v>2370</v>
      </c>
      <c r="E3480" s="95" t="s">
        <v>1166</v>
      </c>
      <c r="F3480" s="95" t="s">
        <v>2371</v>
      </c>
      <c r="G3480" s="95" t="s">
        <v>2372</v>
      </c>
    </row>
    <row r="3481" spans="1:7">
      <c r="A3481" s="847"/>
      <c r="B3481" s="114"/>
      <c r="C3481" s="351"/>
      <c r="D3481" s="114"/>
      <c r="E3481" s="114"/>
      <c r="F3481" s="114" t="s">
        <v>3485</v>
      </c>
      <c r="G3481" s="114" t="s">
        <v>3485</v>
      </c>
    </row>
    <row r="3482" spans="1:7">
      <c r="A3482" s="847"/>
      <c r="B3482" s="95">
        <v>1</v>
      </c>
      <c r="C3482" s="91" t="s">
        <v>5614</v>
      </c>
      <c r="D3482" s="95" t="s">
        <v>3477</v>
      </c>
      <c r="E3482" s="190">
        <f>F3474</f>
        <v>10</v>
      </c>
      <c r="F3482" s="190">
        <f>'BASIC DATA'!$D$108</f>
        <v>318</v>
      </c>
      <c r="G3482" s="190">
        <f>E3482*F3482</f>
        <v>3180</v>
      </c>
    </row>
    <row r="3483" spans="1:7">
      <c r="A3483" s="847"/>
      <c r="B3483" s="114">
        <v>2</v>
      </c>
      <c r="C3483" s="91" t="s">
        <v>956</v>
      </c>
      <c r="D3483" s="114" t="s">
        <v>3477</v>
      </c>
      <c r="E3483" s="190">
        <f>F3475</f>
        <v>4</v>
      </c>
      <c r="F3483" s="190">
        <f>'BASIC DATA'!$D$85</f>
        <v>165</v>
      </c>
      <c r="G3483" s="190">
        <f>E3483*F3483</f>
        <v>660</v>
      </c>
    </row>
    <row r="3484" spans="1:7">
      <c r="A3484" s="847"/>
      <c r="B3484" s="92"/>
      <c r="C3484" s="353" t="s">
        <v>2376</v>
      </c>
      <c r="D3484" s="159"/>
      <c r="E3484" s="238"/>
      <c r="F3484" s="236" t="s">
        <v>1698</v>
      </c>
      <c r="G3484" s="318">
        <f>SUM(G3482:G3483)</f>
        <v>3840</v>
      </c>
    </row>
    <row r="3485" spans="1:7">
      <c r="A3485" s="847"/>
      <c r="B3485" s="78"/>
      <c r="C3485" s="48"/>
    </row>
    <row r="3486" spans="1:7">
      <c r="A3486" s="847"/>
      <c r="B3486" s="79" t="s">
        <v>2377</v>
      </c>
      <c r="C3486" s="48"/>
    </row>
    <row r="3487" spans="1:7">
      <c r="A3487" s="847"/>
      <c r="B3487" s="95" t="s">
        <v>2369</v>
      </c>
      <c r="C3487" s="350" t="s">
        <v>2378</v>
      </c>
      <c r="D3487" s="95" t="s">
        <v>2370</v>
      </c>
      <c r="E3487" s="95" t="s">
        <v>1166</v>
      </c>
      <c r="F3487" s="95" t="s">
        <v>2371</v>
      </c>
      <c r="G3487" s="95" t="s">
        <v>2372</v>
      </c>
    </row>
    <row r="3488" spans="1:7">
      <c r="A3488" s="847"/>
      <c r="B3488" s="114"/>
      <c r="C3488" s="351"/>
      <c r="D3488" s="114"/>
      <c r="E3488" s="114"/>
      <c r="F3488" s="114" t="s">
        <v>3485</v>
      </c>
      <c r="G3488" s="114" t="s">
        <v>3485</v>
      </c>
    </row>
    <row r="3489" spans="1:7">
      <c r="A3489" s="847"/>
      <c r="B3489" s="95">
        <v>1</v>
      </c>
      <c r="C3489" s="103" t="s">
        <v>4168</v>
      </c>
      <c r="D3489" s="95"/>
      <c r="E3489" s="220">
        <v>0</v>
      </c>
      <c r="F3489" s="214">
        <v>0</v>
      </c>
      <c r="G3489" s="190">
        <f>E3489*F3489</f>
        <v>0</v>
      </c>
    </row>
    <row r="3490" spans="1:7">
      <c r="A3490" s="847"/>
      <c r="B3490" s="116"/>
      <c r="C3490" s="355"/>
      <c r="D3490" s="105"/>
      <c r="E3490" s="220">
        <v>0</v>
      </c>
      <c r="F3490" s="214">
        <v>0</v>
      </c>
      <c r="G3490" s="190">
        <f>E3490*F3490</f>
        <v>0</v>
      </c>
    </row>
    <row r="3491" spans="1:7">
      <c r="A3491" s="847"/>
      <c r="B3491" s="176"/>
      <c r="C3491" s="357" t="s">
        <v>2380</v>
      </c>
      <c r="D3491" s="174"/>
      <c r="E3491" s="192"/>
      <c r="F3491" s="236" t="s">
        <v>1698</v>
      </c>
      <c r="G3491" s="354">
        <f>SUM(G3489:G3490)</f>
        <v>0</v>
      </c>
    </row>
    <row r="3492" spans="1:7">
      <c r="A3492" s="847"/>
      <c r="B3492" s="78"/>
      <c r="C3492" s="48"/>
    </row>
    <row r="3493" spans="1:7">
      <c r="A3493" s="847"/>
      <c r="B3493" s="79" t="s">
        <v>2381</v>
      </c>
      <c r="C3493" s="48"/>
    </row>
    <row r="3494" spans="1:7">
      <c r="A3494" s="847"/>
      <c r="B3494" s="95" t="s">
        <v>2369</v>
      </c>
      <c r="C3494" s="350" t="s">
        <v>2378</v>
      </c>
      <c r="D3494" s="95" t="s">
        <v>2370</v>
      </c>
      <c r="E3494" s="95" t="s">
        <v>1166</v>
      </c>
      <c r="F3494" s="95" t="s">
        <v>2371</v>
      </c>
      <c r="G3494" s="95" t="s">
        <v>2372</v>
      </c>
    </row>
    <row r="3495" spans="1:7">
      <c r="A3495" s="847"/>
      <c r="B3495" s="114"/>
      <c r="C3495" s="351"/>
      <c r="D3495" s="105"/>
      <c r="E3495" s="114"/>
      <c r="F3495" s="114" t="s">
        <v>3485</v>
      </c>
      <c r="G3495" s="114" t="s">
        <v>3485</v>
      </c>
    </row>
    <row r="3496" spans="1:7">
      <c r="A3496" s="847"/>
      <c r="B3496" s="105">
        <v>1</v>
      </c>
      <c r="C3496" s="86" t="s">
        <v>2697</v>
      </c>
      <c r="D3496" s="95" t="s">
        <v>1172</v>
      </c>
      <c r="E3496" s="207">
        <v>4</v>
      </c>
      <c r="F3496" s="190">
        <f>'BASIC DATA'!$C$552</f>
        <v>350</v>
      </c>
      <c r="G3496" s="190">
        <f>E3496*F3496</f>
        <v>1400</v>
      </c>
    </row>
    <row r="3497" spans="1:7">
      <c r="A3497" s="847"/>
      <c r="B3497" s="92"/>
      <c r="C3497" s="353" t="s">
        <v>1174</v>
      </c>
      <c r="D3497" s="159"/>
      <c r="E3497" s="238"/>
      <c r="F3497" s="236" t="s">
        <v>1698</v>
      </c>
      <c r="G3497" s="318">
        <f>SUM(G3496:G3496)</f>
        <v>1400</v>
      </c>
    </row>
    <row r="3498" spans="1:7">
      <c r="A3498" s="847"/>
      <c r="B3498" s="359" t="s">
        <v>5948</v>
      </c>
      <c r="C3498" s="355"/>
      <c r="D3498" s="31"/>
      <c r="E3498" s="85">
        <f>ROUND(G3497/F3478,1)</f>
        <v>140</v>
      </c>
    </row>
    <row r="3499" spans="1:7">
      <c r="A3499" s="847"/>
      <c r="B3499" s="359" t="s">
        <v>3163</v>
      </c>
      <c r="C3499" s="355"/>
      <c r="D3499" s="922">
        <f>'BASIC DATA'!$C$577</f>
        <v>0.13614999999999999</v>
      </c>
      <c r="E3499" s="85">
        <f>ROUND(E3498*D3499,1)</f>
        <v>19.100000000000001</v>
      </c>
    </row>
    <row r="3500" spans="1:7">
      <c r="A3500" s="847"/>
      <c r="B3500" s="359" t="s">
        <v>5949</v>
      </c>
      <c r="C3500" s="355"/>
      <c r="D3500" s="31"/>
      <c r="E3500" s="199">
        <f>ROUND(E3499+E3498,1)</f>
        <v>159.1</v>
      </c>
    </row>
    <row r="3501" spans="1:7">
      <c r="A3501" s="847"/>
      <c r="B3501" s="78"/>
      <c r="C3501" s="48"/>
    </row>
    <row r="3502" spans="1:7">
      <c r="A3502" s="847"/>
      <c r="B3502" s="162" t="s">
        <v>1175</v>
      </c>
      <c r="C3502" s="48"/>
    </row>
    <row r="3503" spans="1:7">
      <c r="A3503" s="847"/>
      <c r="B3503" s="47" t="s">
        <v>1176</v>
      </c>
      <c r="C3503" s="48"/>
      <c r="F3503" s="171" t="s">
        <v>1698</v>
      </c>
      <c r="G3503" s="68">
        <f>G3484</f>
        <v>3840</v>
      </c>
    </row>
    <row r="3504" spans="1:7">
      <c r="A3504" s="847"/>
      <c r="B3504" s="47" t="s">
        <v>1186</v>
      </c>
      <c r="C3504" s="48"/>
      <c r="F3504" s="171" t="s">
        <v>1698</v>
      </c>
      <c r="G3504" s="68">
        <f>G3491</f>
        <v>0</v>
      </c>
    </row>
    <row r="3505" spans="1:8">
      <c r="A3505" s="847"/>
      <c r="B3505" s="47" t="s">
        <v>2660</v>
      </c>
      <c r="C3505" s="48"/>
      <c r="F3505" s="171" t="s">
        <v>1698</v>
      </c>
      <c r="G3505" s="75">
        <f>G3497</f>
        <v>1400</v>
      </c>
    </row>
    <row r="3506" spans="1:8">
      <c r="A3506" s="847"/>
      <c r="B3506" s="78"/>
      <c r="C3506" s="48"/>
      <c r="E3506" s="261"/>
      <c r="F3506" s="171" t="s">
        <v>302</v>
      </c>
      <c r="G3506" s="205">
        <f>SUM(G3503:G3505)</f>
        <v>5240</v>
      </c>
    </row>
    <row r="3507" spans="1:8" ht="35.25" customHeight="1">
      <c r="A3507" s="847"/>
      <c r="B3507" s="1207" t="s">
        <v>1379</v>
      </c>
      <c r="C3507" s="1207"/>
      <c r="D3507" s="1207"/>
      <c r="E3507" s="922">
        <f>'BASIC DATA'!$C$577</f>
        <v>0.13614999999999999</v>
      </c>
      <c r="F3507" s="171" t="s">
        <v>1698</v>
      </c>
      <c r="G3507" s="31">
        <f>ROUND(G3506*E3507,2)</f>
        <v>713.43</v>
      </c>
    </row>
    <row r="3508" spans="1:8">
      <c r="A3508" s="847"/>
      <c r="B3508" s="47" t="s">
        <v>1191</v>
      </c>
      <c r="C3508" s="48"/>
      <c r="D3508" s="68">
        <f>F3478</f>
        <v>10</v>
      </c>
      <c r="E3508" s="68" t="str">
        <f>G3478</f>
        <v>cum</v>
      </c>
      <c r="F3508" s="171" t="s">
        <v>1698</v>
      </c>
      <c r="G3508" s="211">
        <f>G3507+G3506</f>
        <v>5953.43</v>
      </c>
    </row>
    <row r="3509" spans="1:8">
      <c r="A3509" s="847"/>
      <c r="B3509" s="79" t="s">
        <v>1584</v>
      </c>
      <c r="C3509" s="356" t="str">
        <f>E3508</f>
        <v>cum</v>
      </c>
      <c r="D3509" s="26" t="s">
        <v>5880</v>
      </c>
      <c r="F3509" s="171" t="s">
        <v>4108</v>
      </c>
      <c r="G3509" s="211">
        <f>ROUND(G3508/D3508,1)</f>
        <v>595.29999999999995</v>
      </c>
      <c r="H3509" s="171"/>
    </row>
    <row r="3510" spans="1:8">
      <c r="A3510" s="847"/>
      <c r="B3510" s="78"/>
      <c r="C3510" s="48"/>
    </row>
    <row r="3511" spans="1:8">
      <c r="A3511" s="847"/>
      <c r="B3511" s="78"/>
      <c r="C3511" s="48"/>
    </row>
    <row r="3512" spans="1:8" ht="18.75">
      <c r="A3512" s="841" t="s">
        <v>7455</v>
      </c>
      <c r="B3512" s="47" t="s">
        <v>8709</v>
      </c>
      <c r="C3512" s="48"/>
    </row>
    <row r="3513" spans="1:8" ht="18.75">
      <c r="A3513" s="889"/>
      <c r="B3513" s="47" t="s">
        <v>8710</v>
      </c>
      <c r="C3513" s="48"/>
    </row>
    <row r="3514" spans="1:8">
      <c r="A3514" s="889"/>
      <c r="B3514" s="162" t="s">
        <v>4735</v>
      </c>
      <c r="C3514" s="48"/>
    </row>
    <row r="3515" spans="1:8">
      <c r="A3515" s="889"/>
      <c r="C3515" s="48"/>
    </row>
    <row r="3516" spans="1:8" hidden="1">
      <c r="A3516" s="889" t="s">
        <v>3984</v>
      </c>
      <c r="B3516" s="47" t="s">
        <v>4736</v>
      </c>
      <c r="C3516" s="48"/>
      <c r="F3516" s="78"/>
      <c r="G3516" s="27"/>
    </row>
    <row r="3517" spans="1:8" hidden="1">
      <c r="A3517" s="889"/>
      <c r="B3517" s="47" t="s">
        <v>4737</v>
      </c>
      <c r="C3517" s="48"/>
      <c r="F3517" s="68">
        <v>25</v>
      </c>
      <c r="G3517" s="26" t="s">
        <v>6901</v>
      </c>
    </row>
    <row r="3518" spans="1:8" hidden="1">
      <c r="A3518" s="889"/>
      <c r="B3518" s="47" t="s">
        <v>6002</v>
      </c>
      <c r="C3518" s="48"/>
    </row>
    <row r="3519" spans="1:8" hidden="1">
      <c r="A3519" s="889"/>
      <c r="B3519" s="47" t="s">
        <v>5552</v>
      </c>
      <c r="C3519" s="48"/>
    </row>
    <row r="3520" spans="1:8">
      <c r="A3520" s="847"/>
      <c r="B3520" s="78"/>
      <c r="C3520" s="48"/>
    </row>
    <row r="3521" spans="1:7">
      <c r="A3521" s="847" t="s">
        <v>1907</v>
      </c>
      <c r="B3521" s="78"/>
      <c r="C3521" s="349" t="s">
        <v>2367</v>
      </c>
      <c r="E3521" s="171" t="s">
        <v>297</v>
      </c>
      <c r="F3521" s="246">
        <v>100</v>
      </c>
      <c r="G3521" s="26" t="s">
        <v>3479</v>
      </c>
    </row>
    <row r="3522" spans="1:7">
      <c r="A3522" s="847"/>
      <c r="B3522" s="79" t="s">
        <v>2368</v>
      </c>
      <c r="C3522" s="48"/>
    </row>
    <row r="3523" spans="1:7">
      <c r="A3523" s="847"/>
      <c r="B3523" s="95" t="s">
        <v>2369</v>
      </c>
      <c r="C3523" s="350" t="s">
        <v>6374</v>
      </c>
      <c r="D3523" s="95" t="s">
        <v>2370</v>
      </c>
      <c r="E3523" s="95" t="s">
        <v>1166</v>
      </c>
      <c r="F3523" s="95" t="s">
        <v>2371</v>
      </c>
      <c r="G3523" s="95" t="s">
        <v>2372</v>
      </c>
    </row>
    <row r="3524" spans="1:7">
      <c r="A3524" s="847"/>
      <c r="B3524" s="114"/>
      <c r="C3524" s="351"/>
      <c r="D3524" s="114"/>
      <c r="E3524" s="114"/>
      <c r="F3524" s="114" t="s">
        <v>3485</v>
      </c>
      <c r="G3524" s="114" t="s">
        <v>3485</v>
      </c>
    </row>
    <row r="3525" spans="1:7">
      <c r="A3525" s="847"/>
      <c r="B3525" s="95">
        <v>1</v>
      </c>
      <c r="C3525" s="91" t="s">
        <v>497</v>
      </c>
      <c r="D3525" s="95" t="s">
        <v>3477</v>
      </c>
      <c r="E3525" s="190">
        <f>F3517</f>
        <v>25</v>
      </c>
      <c r="F3525" s="214">
        <f>'BASIC DATA'!$D$56</f>
        <v>95</v>
      </c>
      <c r="G3525" s="190">
        <f>E3525*F3525</f>
        <v>2375</v>
      </c>
    </row>
    <row r="3526" spans="1:7">
      <c r="A3526" s="847"/>
      <c r="B3526" s="116"/>
      <c r="C3526" s="91"/>
      <c r="D3526" s="114"/>
      <c r="E3526" s="190">
        <v>0</v>
      </c>
      <c r="F3526" s="214">
        <v>0</v>
      </c>
      <c r="G3526" s="190"/>
    </row>
    <row r="3527" spans="1:7">
      <c r="A3527" s="847"/>
      <c r="B3527" s="92"/>
      <c r="C3527" s="353" t="s">
        <v>2376</v>
      </c>
      <c r="D3527" s="159"/>
      <c r="E3527" s="238"/>
      <c r="F3527" s="236" t="s">
        <v>1698</v>
      </c>
      <c r="G3527" s="318">
        <f>SUM(G3525:G3526)</f>
        <v>2375</v>
      </c>
    </row>
    <row r="3528" spans="1:7">
      <c r="A3528" s="847"/>
      <c r="B3528" s="78"/>
      <c r="C3528" s="48"/>
    </row>
    <row r="3529" spans="1:7">
      <c r="A3529" s="847"/>
      <c r="B3529" s="79" t="s">
        <v>2377</v>
      </c>
      <c r="C3529" s="48"/>
    </row>
    <row r="3530" spans="1:7">
      <c r="A3530" s="847"/>
      <c r="B3530" s="95" t="s">
        <v>2369</v>
      </c>
      <c r="C3530" s="350" t="s">
        <v>2378</v>
      </c>
      <c r="D3530" s="95" t="s">
        <v>2370</v>
      </c>
      <c r="E3530" s="95" t="s">
        <v>1166</v>
      </c>
      <c r="F3530" s="95" t="s">
        <v>2371</v>
      </c>
      <c r="G3530" s="95" t="s">
        <v>2372</v>
      </c>
    </row>
    <row r="3531" spans="1:7">
      <c r="A3531" s="847"/>
      <c r="B3531" s="114"/>
      <c r="C3531" s="351"/>
      <c r="D3531" s="114"/>
      <c r="E3531" s="114"/>
      <c r="F3531" s="114" t="s">
        <v>3485</v>
      </c>
      <c r="G3531" s="114" t="s">
        <v>3485</v>
      </c>
    </row>
    <row r="3532" spans="1:7">
      <c r="A3532" s="847"/>
      <c r="B3532" s="95">
        <v>1</v>
      </c>
      <c r="C3532" s="103" t="s">
        <v>4168</v>
      </c>
      <c r="D3532" s="95"/>
      <c r="E3532" s="220">
        <v>0</v>
      </c>
      <c r="F3532" s="214">
        <v>0</v>
      </c>
      <c r="G3532" s="190">
        <f>E3532*F3532</f>
        <v>0</v>
      </c>
    </row>
    <row r="3533" spans="1:7">
      <c r="A3533" s="847"/>
      <c r="B3533" s="116"/>
      <c r="C3533" s="355"/>
      <c r="D3533" s="105"/>
      <c r="E3533" s="220">
        <v>0</v>
      </c>
      <c r="F3533" s="214">
        <v>0</v>
      </c>
      <c r="G3533" s="190">
        <f>E3533*F3533</f>
        <v>0</v>
      </c>
    </row>
    <row r="3534" spans="1:7">
      <c r="A3534" s="847"/>
      <c r="B3534" s="176"/>
      <c r="C3534" s="357" t="s">
        <v>2380</v>
      </c>
      <c r="D3534" s="174"/>
      <c r="E3534" s="192"/>
      <c r="F3534" s="236" t="s">
        <v>1698</v>
      </c>
      <c r="G3534" s="354">
        <f>SUM(G3532:G3533)</f>
        <v>0</v>
      </c>
    </row>
    <row r="3535" spans="1:7">
      <c r="A3535" s="847"/>
      <c r="B3535" s="78"/>
      <c r="C3535" s="48"/>
    </row>
    <row r="3536" spans="1:7">
      <c r="A3536" s="847"/>
      <c r="B3536" s="79" t="s">
        <v>2381</v>
      </c>
      <c r="C3536" s="48"/>
    </row>
    <row r="3537" spans="1:8">
      <c r="A3537" s="847"/>
      <c r="B3537" s="95" t="s">
        <v>2369</v>
      </c>
      <c r="C3537" s="350" t="s">
        <v>2378</v>
      </c>
      <c r="D3537" s="95" t="s">
        <v>2370</v>
      </c>
      <c r="E3537" s="95" t="s">
        <v>1166</v>
      </c>
      <c r="F3537" s="95" t="s">
        <v>2371</v>
      </c>
      <c r="G3537" s="95" t="s">
        <v>2372</v>
      </c>
    </row>
    <row r="3538" spans="1:8">
      <c r="A3538" s="847"/>
      <c r="B3538" s="114"/>
      <c r="C3538" s="351"/>
      <c r="D3538" s="105"/>
      <c r="E3538" s="114"/>
      <c r="F3538" s="114" t="s">
        <v>3485</v>
      </c>
      <c r="G3538" s="114" t="s">
        <v>3485</v>
      </c>
    </row>
    <row r="3539" spans="1:8">
      <c r="A3539" s="847"/>
      <c r="B3539" s="105">
        <v>1</v>
      </c>
      <c r="C3539" s="86" t="s">
        <v>2696</v>
      </c>
      <c r="D3539" s="95" t="s">
        <v>1172</v>
      </c>
      <c r="E3539" s="207">
        <v>5</v>
      </c>
      <c r="F3539" s="190">
        <f>'BASIC DATA'!$C$552</f>
        <v>350</v>
      </c>
      <c r="G3539" s="190">
        <f>E3539*F3539</f>
        <v>1750</v>
      </c>
    </row>
    <row r="3540" spans="1:8">
      <c r="A3540" s="847"/>
      <c r="B3540" s="92"/>
      <c r="C3540" s="353" t="s">
        <v>1174</v>
      </c>
      <c r="D3540" s="159"/>
      <c r="E3540" s="238"/>
      <c r="F3540" s="236" t="s">
        <v>1698</v>
      </c>
      <c r="G3540" s="318">
        <f>SUM(G3539:G3539)</f>
        <v>1750</v>
      </c>
    </row>
    <row r="3541" spans="1:8">
      <c r="A3541" s="847"/>
      <c r="B3541" s="359" t="s">
        <v>5948</v>
      </c>
      <c r="C3541" s="48"/>
      <c r="D3541" s="31"/>
      <c r="E3541" s="85">
        <f>ROUND(G3540/F3521,1)</f>
        <v>17.5</v>
      </c>
    </row>
    <row r="3542" spans="1:8">
      <c r="A3542" s="847"/>
      <c r="B3542" s="359" t="s">
        <v>3163</v>
      </c>
      <c r="C3542" s="48"/>
      <c r="D3542" s="922">
        <f>'BASIC DATA'!$C$577</f>
        <v>0.13614999999999999</v>
      </c>
      <c r="E3542" s="85">
        <f>ROUND(E3541*D3542,1)</f>
        <v>2.4</v>
      </c>
    </row>
    <row r="3543" spans="1:8">
      <c r="A3543" s="847"/>
      <c r="B3543" s="359" t="s">
        <v>5949</v>
      </c>
      <c r="C3543" s="48"/>
      <c r="D3543" s="31"/>
      <c r="E3543" s="199">
        <f>ROUND(E3542+E3541,1)</f>
        <v>19.899999999999999</v>
      </c>
    </row>
    <row r="3544" spans="1:8">
      <c r="A3544" s="847"/>
      <c r="C3544" s="48"/>
    </row>
    <row r="3545" spans="1:8">
      <c r="A3545" s="847"/>
      <c r="B3545" s="162" t="s">
        <v>1175</v>
      </c>
      <c r="C3545" s="48"/>
    </row>
    <row r="3546" spans="1:8">
      <c r="A3546" s="847"/>
      <c r="B3546" s="47" t="s">
        <v>1176</v>
      </c>
      <c r="C3546" s="48"/>
      <c r="F3546" s="171" t="s">
        <v>1698</v>
      </c>
      <c r="G3546" s="68">
        <f>G3527</f>
        <v>2375</v>
      </c>
    </row>
    <row r="3547" spans="1:8">
      <c r="A3547" s="847"/>
      <c r="B3547" s="47" t="s">
        <v>1186</v>
      </c>
      <c r="C3547" s="48"/>
      <c r="F3547" s="171" t="s">
        <v>1698</v>
      </c>
      <c r="G3547" s="68">
        <f>G3534</f>
        <v>0</v>
      </c>
    </row>
    <row r="3548" spans="1:8">
      <c r="A3548" s="847"/>
      <c r="B3548" s="47" t="s">
        <v>2660</v>
      </c>
      <c r="C3548" s="48"/>
      <c r="F3548" s="171" t="s">
        <v>1698</v>
      </c>
      <c r="G3548" s="75">
        <f>G3540</f>
        <v>1750</v>
      </c>
    </row>
    <row r="3549" spans="1:8">
      <c r="A3549" s="847"/>
      <c r="B3549" s="78"/>
      <c r="C3549" s="48"/>
      <c r="E3549" s="261"/>
      <c r="F3549" s="171" t="s">
        <v>302</v>
      </c>
      <c r="G3549" s="205">
        <f>SUM(G3546:G3548)</f>
        <v>4125</v>
      </c>
    </row>
    <row r="3550" spans="1:8" ht="36.75" customHeight="1">
      <c r="A3550" s="847"/>
      <c r="B3550" s="1207" t="s">
        <v>1379</v>
      </c>
      <c r="C3550" s="1207"/>
      <c r="D3550" s="1207"/>
      <c r="E3550" s="922">
        <f>'BASIC DATA'!$C$577</f>
        <v>0.13614999999999999</v>
      </c>
      <c r="F3550" s="171" t="s">
        <v>1698</v>
      </c>
      <c r="G3550" s="31">
        <f>ROUND(G3549*E3550,2)</f>
        <v>561.62</v>
      </c>
    </row>
    <row r="3551" spans="1:8">
      <c r="A3551" s="847"/>
      <c r="B3551" s="47" t="s">
        <v>1191</v>
      </c>
      <c r="C3551" s="48"/>
      <c r="D3551" s="68">
        <f>F3521</f>
        <v>100</v>
      </c>
      <c r="E3551" s="68" t="str">
        <f>G3521</f>
        <v>sqm</v>
      </c>
      <c r="F3551" s="171" t="s">
        <v>1698</v>
      </c>
      <c r="G3551" s="211">
        <f>G3550+G3549</f>
        <v>4686.62</v>
      </c>
    </row>
    <row r="3552" spans="1:8">
      <c r="A3552" s="847"/>
      <c r="B3552" s="79" t="s">
        <v>1584</v>
      </c>
      <c r="C3552" s="356" t="str">
        <f>E3551</f>
        <v>sqm</v>
      </c>
      <c r="D3552" s="26" t="s">
        <v>1380</v>
      </c>
      <c r="F3552" s="171" t="s">
        <v>4108</v>
      </c>
      <c r="G3552" s="211">
        <f>ROUND(G3551/D3551,1)</f>
        <v>46.9</v>
      </c>
      <c r="H3552" s="171"/>
    </row>
    <row r="3553" spans="1:7">
      <c r="A3553" s="847"/>
      <c r="B3553" s="78"/>
      <c r="C3553" s="48"/>
    </row>
    <row r="3554" spans="1:7" ht="36.75">
      <c r="A3554" s="841" t="s">
        <v>490</v>
      </c>
      <c r="B3554" s="47" t="s">
        <v>8711</v>
      </c>
      <c r="C3554" s="48"/>
    </row>
    <row r="3555" spans="1:7" ht="31.5">
      <c r="A3555" s="894" t="s">
        <v>507</v>
      </c>
      <c r="B3555" s="47" t="s">
        <v>8710</v>
      </c>
      <c r="C3555" s="48"/>
    </row>
    <row r="3556" spans="1:7">
      <c r="A3556" s="889"/>
      <c r="B3556" s="162" t="s">
        <v>4735</v>
      </c>
      <c r="C3556" s="48"/>
    </row>
    <row r="3557" spans="1:7">
      <c r="A3557" s="889"/>
      <c r="C3557" s="48"/>
    </row>
    <row r="3558" spans="1:7" hidden="1">
      <c r="A3558" s="889" t="s">
        <v>3984</v>
      </c>
      <c r="B3558" s="47" t="s">
        <v>491</v>
      </c>
      <c r="C3558" s="48"/>
      <c r="F3558" s="78"/>
      <c r="G3558" s="27"/>
    </row>
    <row r="3559" spans="1:7" hidden="1">
      <c r="A3559" s="889"/>
      <c r="B3559" s="47" t="s">
        <v>4737</v>
      </c>
      <c r="C3559" s="48"/>
      <c r="F3559" s="68">
        <v>100</v>
      </c>
      <c r="G3559" s="26" t="s">
        <v>6901</v>
      </c>
    </row>
    <row r="3560" spans="1:7" hidden="1">
      <c r="A3560" s="889"/>
      <c r="B3560" s="47" t="s">
        <v>6002</v>
      </c>
      <c r="C3560" s="48"/>
    </row>
    <row r="3561" spans="1:7" hidden="1">
      <c r="A3561" s="889"/>
      <c r="B3561" s="47" t="s">
        <v>5552</v>
      </c>
      <c r="C3561" s="48"/>
    </row>
    <row r="3562" spans="1:7">
      <c r="A3562" s="847"/>
      <c r="B3562" s="78"/>
      <c r="C3562" s="48"/>
    </row>
    <row r="3563" spans="1:7">
      <c r="A3563" s="847" t="s">
        <v>1907</v>
      </c>
      <c r="B3563" s="78"/>
      <c r="C3563" s="349" t="s">
        <v>2367</v>
      </c>
      <c r="E3563" s="171" t="s">
        <v>297</v>
      </c>
      <c r="F3563" s="246">
        <v>100</v>
      </c>
      <c r="G3563" s="26" t="s">
        <v>3477</v>
      </c>
    </row>
    <row r="3564" spans="1:7">
      <c r="A3564" s="847"/>
      <c r="B3564" s="79" t="s">
        <v>2368</v>
      </c>
      <c r="C3564" s="48"/>
    </row>
    <row r="3565" spans="1:7">
      <c r="A3565" s="847"/>
      <c r="B3565" s="95" t="s">
        <v>2369</v>
      </c>
      <c r="C3565" s="350" t="s">
        <v>6374</v>
      </c>
      <c r="D3565" s="95" t="s">
        <v>2370</v>
      </c>
      <c r="E3565" s="95" t="s">
        <v>1166</v>
      </c>
      <c r="F3565" s="95" t="s">
        <v>2371</v>
      </c>
      <c r="G3565" s="95" t="s">
        <v>2372</v>
      </c>
    </row>
    <row r="3566" spans="1:7">
      <c r="A3566" s="847"/>
      <c r="B3566" s="114"/>
      <c r="C3566" s="351"/>
      <c r="D3566" s="114"/>
      <c r="E3566" s="114"/>
      <c r="F3566" s="114" t="s">
        <v>3485</v>
      </c>
      <c r="G3566" s="114" t="s">
        <v>3485</v>
      </c>
    </row>
    <row r="3567" spans="1:7">
      <c r="A3567" s="847"/>
      <c r="B3567" s="95">
        <v>1</v>
      </c>
      <c r="C3567" s="63" t="s">
        <v>497</v>
      </c>
      <c r="D3567" s="95" t="s">
        <v>3477</v>
      </c>
      <c r="E3567" s="190">
        <f>F3559</f>
        <v>100</v>
      </c>
      <c r="F3567" s="214">
        <f>'BASIC DATA'!$D$56</f>
        <v>95</v>
      </c>
      <c r="G3567" s="190">
        <f>E3567*F3567</f>
        <v>9500</v>
      </c>
    </row>
    <row r="3568" spans="1:7">
      <c r="A3568" s="847"/>
      <c r="B3568" s="116"/>
      <c r="C3568" s="63"/>
      <c r="D3568" s="114"/>
      <c r="E3568" s="67">
        <v>0</v>
      </c>
      <c r="F3568" s="190">
        <v>0</v>
      </c>
      <c r="G3568" s="67"/>
    </row>
    <row r="3569" spans="1:7">
      <c r="A3569" s="847"/>
      <c r="B3569" s="92"/>
      <c r="C3569" s="353" t="s">
        <v>2376</v>
      </c>
      <c r="D3569" s="159"/>
      <c r="E3569" s="238"/>
      <c r="F3569" s="236" t="s">
        <v>1698</v>
      </c>
      <c r="G3569" s="318">
        <f>SUM(G3567:G3568)</f>
        <v>9500</v>
      </c>
    </row>
    <row r="3570" spans="1:7">
      <c r="A3570" s="847"/>
      <c r="B3570" s="78"/>
      <c r="C3570" s="48"/>
    </row>
    <row r="3571" spans="1:7">
      <c r="A3571" s="847"/>
      <c r="B3571" s="79" t="s">
        <v>2377</v>
      </c>
      <c r="C3571" s="48"/>
    </row>
    <row r="3572" spans="1:7">
      <c r="A3572" s="847"/>
      <c r="B3572" s="95" t="s">
        <v>2369</v>
      </c>
      <c r="C3572" s="350" t="s">
        <v>2378</v>
      </c>
      <c r="D3572" s="95" t="s">
        <v>2370</v>
      </c>
      <c r="E3572" s="95" t="s">
        <v>1166</v>
      </c>
      <c r="F3572" s="95" t="s">
        <v>2371</v>
      </c>
      <c r="G3572" s="95" t="s">
        <v>2372</v>
      </c>
    </row>
    <row r="3573" spans="1:7">
      <c r="A3573" s="847"/>
      <c r="B3573" s="114"/>
      <c r="C3573" s="351"/>
      <c r="D3573" s="114"/>
      <c r="E3573" s="114"/>
      <c r="F3573" s="114" t="s">
        <v>3485</v>
      </c>
      <c r="G3573" s="114" t="s">
        <v>3485</v>
      </c>
    </row>
    <row r="3574" spans="1:7">
      <c r="A3574" s="847"/>
      <c r="B3574" s="95">
        <v>1</v>
      </c>
      <c r="C3574" s="65" t="s">
        <v>4168</v>
      </c>
      <c r="D3574" s="36"/>
      <c r="E3574" s="235">
        <v>0</v>
      </c>
      <c r="F3574" s="235">
        <v>0</v>
      </c>
      <c r="G3574" s="67">
        <f>E3574*F3574</f>
        <v>0</v>
      </c>
    </row>
    <row r="3575" spans="1:7">
      <c r="A3575" s="847"/>
      <c r="B3575" s="116"/>
      <c r="C3575" s="42"/>
      <c r="D3575" s="36"/>
      <c r="E3575" s="235">
        <v>0</v>
      </c>
      <c r="F3575" s="235">
        <v>0</v>
      </c>
      <c r="G3575" s="67">
        <f>E3575*F3575</f>
        <v>0</v>
      </c>
    </row>
    <row r="3576" spans="1:7">
      <c r="A3576" s="847"/>
      <c r="B3576" s="176"/>
      <c r="C3576" s="357" t="s">
        <v>2380</v>
      </c>
      <c r="D3576" s="174"/>
      <c r="E3576" s="192"/>
      <c r="F3576" s="275" t="s">
        <v>1698</v>
      </c>
      <c r="G3576" s="397">
        <f>SUM(G3574:G3575)</f>
        <v>0</v>
      </c>
    </row>
    <row r="3577" spans="1:7">
      <c r="A3577" s="847"/>
      <c r="B3577" s="78"/>
      <c r="C3577" s="48"/>
    </row>
    <row r="3578" spans="1:7">
      <c r="A3578" s="847"/>
      <c r="B3578" s="79" t="s">
        <v>2381</v>
      </c>
      <c r="C3578" s="48"/>
    </row>
    <row r="3579" spans="1:7">
      <c r="A3579" s="847"/>
      <c r="B3579" s="95" t="s">
        <v>2369</v>
      </c>
      <c r="C3579" s="350" t="s">
        <v>2378</v>
      </c>
      <c r="D3579" s="95" t="s">
        <v>2370</v>
      </c>
      <c r="E3579" s="95" t="s">
        <v>1166</v>
      </c>
      <c r="F3579" s="95" t="s">
        <v>2371</v>
      </c>
      <c r="G3579" s="95" t="s">
        <v>2372</v>
      </c>
    </row>
    <row r="3580" spans="1:7">
      <c r="A3580" s="847"/>
      <c r="B3580" s="114"/>
      <c r="C3580" s="351"/>
      <c r="D3580" s="105"/>
      <c r="E3580" s="114"/>
      <c r="F3580" s="114" t="s">
        <v>3485</v>
      </c>
      <c r="G3580" s="114" t="s">
        <v>3485</v>
      </c>
    </row>
    <row r="3581" spans="1:7">
      <c r="A3581" s="847"/>
      <c r="B3581" s="105">
        <v>1</v>
      </c>
      <c r="C3581" s="86" t="s">
        <v>2696</v>
      </c>
      <c r="D3581" s="95" t="s">
        <v>1172</v>
      </c>
      <c r="E3581" s="207">
        <v>20</v>
      </c>
      <c r="F3581" s="190">
        <f>'BASIC DATA'!$C$552</f>
        <v>350</v>
      </c>
      <c r="G3581" s="190">
        <f>E3581*F3581</f>
        <v>7000</v>
      </c>
    </row>
    <row r="3582" spans="1:7">
      <c r="A3582" s="847"/>
      <c r="B3582" s="92"/>
      <c r="C3582" s="353" t="s">
        <v>1174</v>
      </c>
      <c r="D3582" s="159"/>
      <c r="E3582" s="238"/>
      <c r="F3582" s="236" t="s">
        <v>1698</v>
      </c>
      <c r="G3582" s="318">
        <f>SUM(G3581:G3581)</f>
        <v>7000</v>
      </c>
    </row>
    <row r="3583" spans="1:7">
      <c r="A3583" s="847"/>
      <c r="B3583" s="359" t="s">
        <v>5948</v>
      </c>
      <c r="C3583" s="48"/>
      <c r="D3583" s="31"/>
      <c r="E3583" s="85">
        <f>ROUND(G3582/F3563,1)</f>
        <v>70</v>
      </c>
    </row>
    <row r="3584" spans="1:7">
      <c r="A3584" s="847"/>
      <c r="B3584" s="359" t="s">
        <v>3163</v>
      </c>
      <c r="C3584" s="48"/>
      <c r="D3584" s="922">
        <f>'BASIC DATA'!$C$577</f>
        <v>0.13614999999999999</v>
      </c>
      <c r="E3584" s="85">
        <f>ROUND(E3583*D3584,1)</f>
        <v>9.5</v>
      </c>
    </row>
    <row r="3585" spans="1:8">
      <c r="A3585" s="847"/>
      <c r="B3585" s="359" t="s">
        <v>5949</v>
      </c>
      <c r="C3585" s="48"/>
      <c r="D3585" s="31"/>
      <c r="E3585" s="199">
        <f>ROUND(E3584+E3583,1)</f>
        <v>79.5</v>
      </c>
    </row>
    <row r="3586" spans="1:8">
      <c r="A3586" s="847"/>
      <c r="C3586" s="48"/>
    </row>
    <row r="3587" spans="1:8">
      <c r="A3587" s="847"/>
      <c r="B3587" s="162" t="s">
        <v>1175</v>
      </c>
      <c r="C3587" s="48"/>
    </row>
    <row r="3588" spans="1:8">
      <c r="A3588" s="847"/>
      <c r="B3588" s="47" t="s">
        <v>1176</v>
      </c>
      <c r="C3588" s="48"/>
      <c r="F3588" s="171" t="s">
        <v>1698</v>
      </c>
      <c r="G3588" s="68">
        <f>G3569</f>
        <v>9500</v>
      </c>
    </row>
    <row r="3589" spans="1:8">
      <c r="A3589" s="847"/>
      <c r="B3589" s="47" t="s">
        <v>1186</v>
      </c>
      <c r="C3589" s="48"/>
      <c r="F3589" s="171" t="s">
        <v>1698</v>
      </c>
      <c r="G3589" s="68">
        <f>G3576</f>
        <v>0</v>
      </c>
    </row>
    <row r="3590" spans="1:8">
      <c r="A3590" s="847"/>
      <c r="B3590" s="47" t="s">
        <v>2660</v>
      </c>
      <c r="C3590" s="48"/>
      <c r="F3590" s="171" t="s">
        <v>1698</v>
      </c>
      <c r="G3590" s="75">
        <f>G3582</f>
        <v>7000</v>
      </c>
    </row>
    <row r="3591" spans="1:8">
      <c r="A3591" s="847"/>
      <c r="B3591" s="78"/>
      <c r="C3591" s="48"/>
      <c r="E3591" s="261"/>
      <c r="F3591" s="171" t="s">
        <v>302</v>
      </c>
      <c r="G3591" s="205">
        <f>SUM(G3588:G3590)</f>
        <v>16500</v>
      </c>
    </row>
    <row r="3592" spans="1:8" ht="36.75" customHeight="1">
      <c r="A3592" s="847"/>
      <c r="B3592" s="1207" t="s">
        <v>1379</v>
      </c>
      <c r="C3592" s="1207"/>
      <c r="D3592" s="1207"/>
      <c r="E3592" s="922">
        <f>'BASIC DATA'!$C$577</f>
        <v>0.13614999999999999</v>
      </c>
      <c r="F3592" s="171" t="s">
        <v>1698</v>
      </c>
      <c r="G3592" s="31">
        <f>ROUND(G3591*E3592,2)</f>
        <v>2246.48</v>
      </c>
    </row>
    <row r="3593" spans="1:8">
      <c r="A3593" s="847"/>
      <c r="B3593" s="47" t="s">
        <v>1191</v>
      </c>
      <c r="C3593" s="48"/>
      <c r="D3593" s="68">
        <f>F3563</f>
        <v>100</v>
      </c>
      <c r="E3593" s="68" t="str">
        <f>G3563</f>
        <v>cum</v>
      </c>
      <c r="F3593" s="171" t="s">
        <v>1698</v>
      </c>
      <c r="G3593" s="211">
        <f>G3592+G3591</f>
        <v>18746.48</v>
      </c>
    </row>
    <row r="3594" spans="1:8">
      <c r="A3594" s="847"/>
      <c r="B3594" s="79" t="s">
        <v>1584</v>
      </c>
      <c r="C3594" s="356" t="str">
        <f>E3593</f>
        <v>cum</v>
      </c>
      <c r="D3594" s="26" t="s">
        <v>1380</v>
      </c>
      <c r="F3594" s="171" t="s">
        <v>4108</v>
      </c>
      <c r="G3594" s="211">
        <f>ROUND(G3593/D3593,1)</f>
        <v>187.5</v>
      </c>
      <c r="H3594" s="171"/>
    </row>
    <row r="3595" spans="1:8">
      <c r="A3595" s="847"/>
      <c r="B3595" s="78"/>
      <c r="C3595" s="48"/>
    </row>
    <row r="3596" spans="1:8" ht="18.75">
      <c r="A3596" s="841" t="s">
        <v>7456</v>
      </c>
      <c r="B3596" s="47" t="s">
        <v>8543</v>
      </c>
      <c r="C3596" s="48"/>
    </row>
    <row r="3597" spans="1:8">
      <c r="A3597" s="889"/>
      <c r="B3597" s="47" t="s">
        <v>7978</v>
      </c>
      <c r="C3597" s="48"/>
    </row>
    <row r="3598" spans="1:8" ht="18.75">
      <c r="A3598" s="889"/>
      <c r="B3598" s="47" t="s">
        <v>8712</v>
      </c>
      <c r="C3598" s="48"/>
    </row>
    <row r="3599" spans="1:8">
      <c r="A3599" s="889"/>
      <c r="B3599" s="162" t="s">
        <v>2735</v>
      </c>
      <c r="C3599" s="48"/>
    </row>
    <row r="3600" spans="1:8">
      <c r="A3600" s="889"/>
      <c r="C3600" s="48"/>
    </row>
    <row r="3601" spans="1:8" hidden="1">
      <c r="A3601" s="889" t="s">
        <v>3984</v>
      </c>
      <c r="B3601" s="47" t="s">
        <v>6003</v>
      </c>
      <c r="C3601" s="48"/>
      <c r="F3601" s="78" t="s">
        <v>1697</v>
      </c>
      <c r="G3601" s="27" t="s">
        <v>6976</v>
      </c>
    </row>
    <row r="3602" spans="1:8" hidden="1">
      <c r="A3602" s="889"/>
      <c r="B3602" s="47" t="s">
        <v>5567</v>
      </c>
      <c r="C3602" s="48"/>
      <c r="F3602" s="78" t="s">
        <v>1697</v>
      </c>
      <c r="G3602" s="26" t="s">
        <v>3362</v>
      </c>
    </row>
    <row r="3603" spans="1:8" hidden="1">
      <c r="A3603" s="889"/>
      <c r="B3603" s="47" t="s">
        <v>3363</v>
      </c>
      <c r="C3603" s="48"/>
      <c r="F3603" s="78" t="s">
        <v>1697</v>
      </c>
      <c r="G3603" s="26" t="s">
        <v>3364</v>
      </c>
    </row>
    <row r="3604" spans="1:8" hidden="1">
      <c r="A3604" s="889"/>
      <c r="B3604" s="47" t="s">
        <v>3365</v>
      </c>
      <c r="C3604" s="48"/>
      <c r="F3604" s="68">
        <v>1</v>
      </c>
      <c r="G3604" s="26" t="s">
        <v>3561</v>
      </c>
    </row>
    <row r="3605" spans="1:8" hidden="1">
      <c r="A3605" s="889"/>
      <c r="B3605" s="47" t="s">
        <v>3200</v>
      </c>
      <c r="C3605" s="48"/>
      <c r="F3605" s="26">
        <v>1.25</v>
      </c>
      <c r="G3605" s="26" t="s">
        <v>3883</v>
      </c>
    </row>
    <row r="3606" spans="1:8" ht="18.75" hidden="1">
      <c r="A3606" s="889"/>
      <c r="B3606" s="47" t="s">
        <v>8713</v>
      </c>
      <c r="C3606" s="48"/>
      <c r="F3606" s="78"/>
    </row>
    <row r="3607" spans="1:8" hidden="1">
      <c r="A3607" s="889"/>
      <c r="B3607" s="47" t="s">
        <v>3202</v>
      </c>
      <c r="C3607" s="48"/>
      <c r="D3607" s="26" t="s">
        <v>3203</v>
      </c>
      <c r="F3607" s="78" t="s">
        <v>1697</v>
      </c>
      <c r="G3607" s="26">
        <v>80</v>
      </c>
      <c r="H3607" s="26" t="s">
        <v>3561</v>
      </c>
    </row>
    <row r="3608" spans="1:8" hidden="1">
      <c r="A3608" s="889"/>
      <c r="B3608" s="47" t="s">
        <v>5553</v>
      </c>
      <c r="C3608" s="48"/>
      <c r="F3608" s="78"/>
    </row>
    <row r="3609" spans="1:8" hidden="1">
      <c r="A3609" s="889"/>
      <c r="B3609" s="47" t="s">
        <v>3204</v>
      </c>
      <c r="C3609" s="48"/>
      <c r="D3609" s="26" t="s">
        <v>5554</v>
      </c>
      <c r="F3609" s="78" t="s">
        <v>1697</v>
      </c>
      <c r="G3609" s="68">
        <f>1.25*80</f>
        <v>100</v>
      </c>
      <c r="H3609" s="26" t="s">
        <v>6901</v>
      </c>
    </row>
    <row r="3610" spans="1:8" hidden="1">
      <c r="A3610" s="889"/>
      <c r="B3610" s="47" t="s">
        <v>3289</v>
      </c>
      <c r="C3610" s="48"/>
      <c r="D3610" s="26" t="s">
        <v>5555</v>
      </c>
      <c r="F3610" s="78" t="s">
        <v>1697</v>
      </c>
      <c r="G3610" s="68">
        <f>0.15*100</f>
        <v>15</v>
      </c>
      <c r="H3610" s="26" t="s">
        <v>6901</v>
      </c>
    </row>
    <row r="3611" spans="1:8" hidden="1">
      <c r="A3611" s="889"/>
      <c r="B3611" s="47" t="s">
        <v>3290</v>
      </c>
      <c r="C3611" s="48"/>
      <c r="D3611" s="26" t="s">
        <v>3291</v>
      </c>
      <c r="F3611" s="78" t="s">
        <v>1697</v>
      </c>
      <c r="G3611" s="26">
        <v>144</v>
      </c>
      <c r="H3611" s="26" t="s">
        <v>3883</v>
      </c>
    </row>
    <row r="3612" spans="1:8" hidden="1">
      <c r="A3612" s="889"/>
      <c r="B3612" s="47" t="s">
        <v>3292</v>
      </c>
      <c r="C3612" s="48"/>
    </row>
    <row r="3613" spans="1:8" hidden="1">
      <c r="A3613" s="889"/>
      <c r="B3613" s="47" t="s">
        <v>1627</v>
      </c>
      <c r="C3613" s="48"/>
    </row>
    <row r="3614" spans="1:8" hidden="1">
      <c r="A3614" s="889"/>
      <c r="B3614" s="47" t="s">
        <v>6684</v>
      </c>
      <c r="C3614" s="48"/>
    </row>
    <row r="3615" spans="1:8" hidden="1">
      <c r="A3615" s="889"/>
      <c r="B3615" s="47" t="s">
        <v>6685</v>
      </c>
      <c r="C3615" s="48"/>
    </row>
    <row r="3616" spans="1:8" hidden="1">
      <c r="A3616" s="889"/>
      <c r="B3616" s="47" t="s">
        <v>5327</v>
      </c>
      <c r="C3616" s="48"/>
      <c r="F3616" s="78" t="s">
        <v>1697</v>
      </c>
      <c r="G3616" s="26">
        <v>10</v>
      </c>
      <c r="H3616" s="26" t="s">
        <v>3032</v>
      </c>
    </row>
    <row r="3617" spans="1:8" hidden="1">
      <c r="A3617" s="889"/>
      <c r="B3617" s="47" t="s">
        <v>5173</v>
      </c>
      <c r="C3617" s="48"/>
      <c r="F3617" s="78" t="s">
        <v>1697</v>
      </c>
      <c r="G3617" s="26">
        <v>2</v>
      </c>
      <c r="H3617" s="26" t="s">
        <v>3032</v>
      </c>
    </row>
    <row r="3618" spans="1:8" hidden="1">
      <c r="A3618" s="889"/>
      <c r="B3618" s="47" t="s">
        <v>1355</v>
      </c>
      <c r="C3618" s="48"/>
      <c r="F3618" s="78"/>
    </row>
    <row r="3619" spans="1:8" hidden="1">
      <c r="A3619" s="889"/>
      <c r="B3619" s="47" t="s">
        <v>2697</v>
      </c>
      <c r="C3619" s="48"/>
      <c r="F3619" s="78" t="s">
        <v>1697</v>
      </c>
      <c r="G3619" s="26">
        <v>7</v>
      </c>
      <c r="H3619" s="26" t="s">
        <v>3032</v>
      </c>
    </row>
    <row r="3620" spans="1:8" hidden="1">
      <c r="A3620" s="889"/>
      <c r="B3620" s="47" t="s">
        <v>1356</v>
      </c>
      <c r="C3620" s="48"/>
      <c r="F3620" s="78" t="s">
        <v>1697</v>
      </c>
      <c r="G3620" s="26">
        <v>7</v>
      </c>
      <c r="H3620" s="26" t="s">
        <v>3032</v>
      </c>
    </row>
    <row r="3621" spans="1:8">
      <c r="A3621" s="847"/>
      <c r="B3621" s="78"/>
      <c r="C3621" s="48"/>
    </row>
    <row r="3622" spans="1:8">
      <c r="A3622" s="847" t="s">
        <v>1907</v>
      </c>
      <c r="B3622" s="78"/>
      <c r="C3622" s="349" t="s">
        <v>2367</v>
      </c>
      <c r="E3622" s="171" t="s">
        <v>297</v>
      </c>
      <c r="F3622" s="246">
        <v>100</v>
      </c>
      <c r="G3622" s="26" t="s">
        <v>3477</v>
      </c>
    </row>
    <row r="3623" spans="1:8">
      <c r="A3623" s="847"/>
      <c r="B3623" s="79" t="s">
        <v>2368</v>
      </c>
      <c r="C3623" s="48"/>
    </row>
    <row r="3624" spans="1:8">
      <c r="A3624" s="847"/>
      <c r="B3624" s="95" t="s">
        <v>2369</v>
      </c>
      <c r="C3624" s="350" t="s">
        <v>6374</v>
      </c>
      <c r="D3624" s="95" t="s">
        <v>2370</v>
      </c>
      <c r="E3624" s="95" t="s">
        <v>1166</v>
      </c>
      <c r="F3624" s="95" t="s">
        <v>2371</v>
      </c>
      <c r="G3624" s="95" t="s">
        <v>2372</v>
      </c>
    </row>
    <row r="3625" spans="1:8">
      <c r="A3625" s="847"/>
      <c r="B3625" s="114"/>
      <c r="C3625" s="351"/>
      <c r="D3625" s="114"/>
      <c r="E3625" s="114"/>
      <c r="F3625" s="114" t="s">
        <v>3485</v>
      </c>
      <c r="G3625" s="114" t="s">
        <v>3485</v>
      </c>
    </row>
    <row r="3626" spans="1:8">
      <c r="A3626" s="847"/>
      <c r="B3626" s="95">
        <v>1</v>
      </c>
      <c r="C3626" s="91" t="s">
        <v>1357</v>
      </c>
      <c r="D3626" s="95" t="s">
        <v>3477</v>
      </c>
      <c r="E3626" s="255">
        <v>100</v>
      </c>
      <c r="F3626" s="190">
        <f>'BASIC DATA'!$D$108</f>
        <v>318</v>
      </c>
      <c r="G3626" s="190">
        <f>E3626*F3626</f>
        <v>31800</v>
      </c>
    </row>
    <row r="3627" spans="1:8">
      <c r="A3627" s="847"/>
      <c r="B3627" s="105">
        <v>2</v>
      </c>
      <c r="C3627" s="91" t="s">
        <v>1358</v>
      </c>
      <c r="D3627" s="105" t="s">
        <v>3477</v>
      </c>
      <c r="E3627" s="255">
        <v>15</v>
      </c>
      <c r="F3627" s="190">
        <f>'BASIC DATA'!$D$96</f>
        <v>350</v>
      </c>
      <c r="G3627" s="190">
        <f>E3627*F3627</f>
        <v>5250</v>
      </c>
    </row>
    <row r="3628" spans="1:8">
      <c r="A3628" s="847"/>
      <c r="B3628" s="105">
        <v>3</v>
      </c>
      <c r="C3628" s="91" t="s">
        <v>2373</v>
      </c>
      <c r="D3628" s="105" t="s">
        <v>2173</v>
      </c>
      <c r="E3628" s="255">
        <v>2</v>
      </c>
      <c r="F3628" s="190">
        <f>'BASIC DATA'!$D$359</f>
        <v>30</v>
      </c>
      <c r="G3628" s="190">
        <f>E3628*F3628</f>
        <v>60</v>
      </c>
    </row>
    <row r="3629" spans="1:8">
      <c r="A3629" s="847"/>
      <c r="B3629" s="92"/>
      <c r="C3629" s="353" t="s">
        <v>2376</v>
      </c>
      <c r="D3629" s="159"/>
      <c r="E3629" s="238"/>
      <c r="F3629" s="236" t="s">
        <v>1698</v>
      </c>
      <c r="G3629" s="318">
        <f>SUM(G3626:G3628)</f>
        <v>37110</v>
      </c>
    </row>
    <row r="3630" spans="1:8">
      <c r="A3630" s="847"/>
      <c r="B3630" s="78"/>
      <c r="C3630" s="48"/>
    </row>
    <row r="3631" spans="1:8">
      <c r="A3631" s="847"/>
      <c r="B3631" s="79" t="s">
        <v>2377</v>
      </c>
      <c r="C3631" s="48"/>
    </row>
    <row r="3632" spans="1:8">
      <c r="A3632" s="847"/>
      <c r="B3632" s="95" t="s">
        <v>2369</v>
      </c>
      <c r="C3632" s="350" t="s">
        <v>2378</v>
      </c>
      <c r="D3632" s="95" t="s">
        <v>2370</v>
      </c>
      <c r="E3632" s="95" t="s">
        <v>1166</v>
      </c>
      <c r="F3632" s="95" t="s">
        <v>2371</v>
      </c>
      <c r="G3632" s="95" t="s">
        <v>2372</v>
      </c>
    </row>
    <row r="3633" spans="1:7">
      <c r="A3633" s="847"/>
      <c r="B3633" s="114"/>
      <c r="C3633" s="351"/>
      <c r="D3633" s="114"/>
      <c r="E3633" s="114"/>
      <c r="F3633" s="114" t="s">
        <v>3485</v>
      </c>
      <c r="G3633" s="114" t="s">
        <v>3485</v>
      </c>
    </row>
    <row r="3634" spans="1:7">
      <c r="A3634" s="847"/>
      <c r="B3634" s="95">
        <v>1</v>
      </c>
      <c r="C3634" s="103" t="s">
        <v>4168</v>
      </c>
      <c r="D3634" s="95"/>
      <c r="E3634" s="220">
        <v>0</v>
      </c>
      <c r="F3634" s="214">
        <v>0</v>
      </c>
      <c r="G3634" s="190"/>
    </row>
    <row r="3635" spans="1:7">
      <c r="A3635" s="847"/>
      <c r="B3635" s="116"/>
      <c r="C3635" s="355"/>
      <c r="D3635" s="105"/>
      <c r="E3635" s="220">
        <v>0</v>
      </c>
      <c r="F3635" s="214">
        <v>0</v>
      </c>
      <c r="G3635" s="190"/>
    </row>
    <row r="3636" spans="1:7">
      <c r="A3636" s="847"/>
      <c r="B3636" s="176"/>
      <c r="C3636" s="357" t="s">
        <v>2380</v>
      </c>
      <c r="D3636" s="174"/>
      <c r="E3636" s="192"/>
      <c r="F3636" s="236" t="s">
        <v>1698</v>
      </c>
      <c r="G3636" s="354">
        <f>SUM(G3634:G3635)</f>
        <v>0</v>
      </c>
    </row>
    <row r="3637" spans="1:7">
      <c r="A3637" s="847"/>
      <c r="B3637" s="78"/>
      <c r="C3637" s="48"/>
    </row>
    <row r="3638" spans="1:7">
      <c r="A3638" s="847"/>
      <c r="B3638" s="79" t="s">
        <v>2381</v>
      </c>
      <c r="C3638" s="48"/>
    </row>
    <row r="3639" spans="1:7">
      <c r="A3639" s="847"/>
      <c r="B3639" s="95" t="s">
        <v>2369</v>
      </c>
      <c r="C3639" s="350" t="s">
        <v>2378</v>
      </c>
      <c r="D3639" s="95" t="s">
        <v>2370</v>
      </c>
      <c r="E3639" s="95" t="s">
        <v>1166</v>
      </c>
      <c r="F3639" s="95" t="s">
        <v>2371</v>
      </c>
      <c r="G3639" s="95" t="s">
        <v>2372</v>
      </c>
    </row>
    <row r="3640" spans="1:7">
      <c r="A3640" s="847"/>
      <c r="B3640" s="114"/>
      <c r="C3640" s="351"/>
      <c r="D3640" s="105"/>
      <c r="E3640" s="114"/>
      <c r="F3640" s="114" t="s">
        <v>3485</v>
      </c>
      <c r="G3640" s="114" t="s">
        <v>3485</v>
      </c>
    </row>
    <row r="3641" spans="1:7">
      <c r="A3641" s="847"/>
      <c r="B3641" s="105">
        <v>1</v>
      </c>
      <c r="C3641" s="86" t="s">
        <v>4206</v>
      </c>
      <c r="D3641" s="95" t="s">
        <v>1172</v>
      </c>
      <c r="E3641" s="207">
        <v>1</v>
      </c>
      <c r="F3641" s="190">
        <f>'BASIC DATA'!$C$473</f>
        <v>450</v>
      </c>
      <c r="G3641" s="190">
        <f>E3641*F3641</f>
        <v>450</v>
      </c>
    </row>
    <row r="3642" spans="1:7">
      <c r="A3642" s="847"/>
      <c r="B3642" s="105">
        <v>2</v>
      </c>
      <c r="C3642" s="86" t="s">
        <v>1356</v>
      </c>
      <c r="D3642" s="105" t="s">
        <v>1172</v>
      </c>
      <c r="E3642" s="207">
        <v>7</v>
      </c>
      <c r="F3642" s="190">
        <f>'BASIC DATA'!$C$541</f>
        <v>400</v>
      </c>
      <c r="G3642" s="190">
        <f>E3642*F3642</f>
        <v>2800</v>
      </c>
    </row>
    <row r="3643" spans="1:7">
      <c r="A3643" s="847"/>
      <c r="B3643" s="105">
        <v>3</v>
      </c>
      <c r="C3643" s="86" t="s">
        <v>2696</v>
      </c>
      <c r="D3643" s="105" t="s">
        <v>1172</v>
      </c>
      <c r="E3643" s="207">
        <v>19</v>
      </c>
      <c r="F3643" s="190">
        <f>'BASIC DATA'!$C$552</f>
        <v>350</v>
      </c>
      <c r="G3643" s="190">
        <f>E3643*F3643</f>
        <v>6650</v>
      </c>
    </row>
    <row r="3644" spans="1:7">
      <c r="A3644" s="847"/>
      <c r="B3644" s="92"/>
      <c r="C3644" s="353" t="s">
        <v>1174</v>
      </c>
      <c r="D3644" s="159"/>
      <c r="E3644" s="238"/>
      <c r="F3644" s="236" t="s">
        <v>1698</v>
      </c>
      <c r="G3644" s="318">
        <f>SUM(G3641:G3643)</f>
        <v>9900</v>
      </c>
    </row>
    <row r="3645" spans="1:7">
      <c r="A3645" s="847"/>
      <c r="B3645" s="359" t="s">
        <v>5948</v>
      </c>
      <c r="C3645" s="355"/>
      <c r="D3645" s="31"/>
      <c r="E3645" s="85">
        <f>ROUND(G3644/F3622,1)</f>
        <v>99</v>
      </c>
    </row>
    <row r="3646" spans="1:7">
      <c r="A3646" s="847"/>
      <c r="B3646" s="359" t="s">
        <v>3163</v>
      </c>
      <c r="C3646" s="355"/>
      <c r="D3646" s="922">
        <f>'BASIC DATA'!$C$577</f>
        <v>0.13614999999999999</v>
      </c>
      <c r="E3646" s="85">
        <f>ROUND(E3645*D3646,1)</f>
        <v>13.5</v>
      </c>
    </row>
    <row r="3647" spans="1:7">
      <c r="A3647" s="847"/>
      <c r="B3647" s="359" t="s">
        <v>5949</v>
      </c>
      <c r="C3647" s="355"/>
      <c r="D3647" s="31"/>
      <c r="E3647" s="199">
        <f>ROUND(E3646+E3645,1)</f>
        <v>112.5</v>
      </c>
    </row>
    <row r="3648" spans="1:7">
      <c r="A3648" s="847"/>
      <c r="B3648" s="78"/>
      <c r="C3648" s="48"/>
    </row>
    <row r="3649" spans="1:8">
      <c r="A3649" s="847"/>
      <c r="B3649" s="162" t="s">
        <v>1175</v>
      </c>
      <c r="C3649" s="48"/>
    </row>
    <row r="3650" spans="1:8">
      <c r="A3650" s="847"/>
      <c r="B3650" s="47" t="s">
        <v>1176</v>
      </c>
      <c r="C3650" s="48"/>
      <c r="F3650" s="171" t="s">
        <v>1698</v>
      </c>
      <c r="G3650" s="68">
        <f>G3629</f>
        <v>37110</v>
      </c>
    </row>
    <row r="3651" spans="1:8">
      <c r="A3651" s="847"/>
      <c r="B3651" s="47" t="s">
        <v>1186</v>
      </c>
      <c r="C3651" s="48"/>
      <c r="F3651" s="171" t="s">
        <v>1698</v>
      </c>
      <c r="G3651" s="68">
        <f>G3636</f>
        <v>0</v>
      </c>
    </row>
    <row r="3652" spans="1:8">
      <c r="A3652" s="847"/>
      <c r="B3652" s="47" t="s">
        <v>2660</v>
      </c>
      <c r="C3652" s="48"/>
      <c r="F3652" s="171" t="s">
        <v>1698</v>
      </c>
      <c r="G3652" s="75">
        <f>G3644</f>
        <v>9900</v>
      </c>
    </row>
    <row r="3653" spans="1:8">
      <c r="A3653" s="847"/>
      <c r="B3653" s="78"/>
      <c r="C3653" s="48"/>
      <c r="E3653" s="261"/>
      <c r="F3653" s="171" t="s">
        <v>302</v>
      </c>
      <c r="G3653" s="205">
        <f>SUM(G3650:G3652)</f>
        <v>47010</v>
      </c>
    </row>
    <row r="3654" spans="1:8" ht="39" customHeight="1">
      <c r="A3654" s="847"/>
      <c r="B3654" s="1207" t="s">
        <v>1379</v>
      </c>
      <c r="C3654" s="1207"/>
      <c r="D3654" s="1207"/>
      <c r="E3654" s="922">
        <f>'BASIC DATA'!$C$577</f>
        <v>0.13614999999999999</v>
      </c>
      <c r="F3654" s="171" t="s">
        <v>1698</v>
      </c>
      <c r="G3654" s="31">
        <f>ROUND(G3653*E3654,2)</f>
        <v>6400.41</v>
      </c>
    </row>
    <row r="3655" spans="1:8">
      <c r="A3655" s="847"/>
      <c r="B3655" s="47" t="s">
        <v>1191</v>
      </c>
      <c r="C3655" s="48"/>
      <c r="D3655" s="68">
        <f>F3622</f>
        <v>100</v>
      </c>
      <c r="E3655" s="68" t="str">
        <f>G3622</f>
        <v>cum</v>
      </c>
      <c r="F3655" s="171" t="s">
        <v>1698</v>
      </c>
      <c r="G3655" s="211">
        <f>G3654+G3653</f>
        <v>53410.41</v>
      </c>
    </row>
    <row r="3656" spans="1:8">
      <c r="A3656" s="847"/>
      <c r="B3656" s="79" t="s">
        <v>1584</v>
      </c>
      <c r="C3656" s="356" t="str">
        <f>E3655</f>
        <v>cum</v>
      </c>
      <c r="D3656" s="26" t="s">
        <v>1380</v>
      </c>
      <c r="F3656" s="171" t="s">
        <v>4108</v>
      </c>
      <c r="G3656" s="211">
        <f>ROUND(G3655/D3655,1)</f>
        <v>534.1</v>
      </c>
      <c r="H3656" s="171"/>
    </row>
    <row r="3657" spans="1:8">
      <c r="A3657" s="847"/>
      <c r="B3657" s="78"/>
      <c r="C3657" s="48"/>
    </row>
    <row r="3658" spans="1:8">
      <c r="A3658" s="847"/>
      <c r="B3658" s="78"/>
      <c r="C3658" s="48"/>
    </row>
    <row r="3659" spans="1:8" ht="18.75">
      <c r="A3659" s="841" t="s">
        <v>7457</v>
      </c>
      <c r="B3659" s="47" t="s">
        <v>8714</v>
      </c>
      <c r="C3659" s="48"/>
    </row>
    <row r="3660" spans="1:8">
      <c r="A3660" s="889"/>
      <c r="B3660" s="47" t="s">
        <v>1359</v>
      </c>
      <c r="C3660" s="48"/>
    </row>
    <row r="3661" spans="1:8">
      <c r="A3661" s="889"/>
      <c r="B3661" s="47" t="s">
        <v>5341</v>
      </c>
      <c r="C3661" s="48"/>
    </row>
    <row r="3662" spans="1:8" ht="18.75">
      <c r="A3662" s="889"/>
      <c r="B3662" s="162" t="s">
        <v>8715</v>
      </c>
      <c r="C3662" s="48"/>
    </row>
    <row r="3663" spans="1:8">
      <c r="A3663" s="889"/>
      <c r="C3663" s="48"/>
    </row>
    <row r="3664" spans="1:8" hidden="1">
      <c r="A3664" s="889" t="s">
        <v>3984</v>
      </c>
      <c r="B3664" s="47" t="s">
        <v>5342</v>
      </c>
      <c r="C3664" s="48"/>
      <c r="F3664" s="117">
        <v>0.5</v>
      </c>
      <c r="G3664" s="26" t="s">
        <v>3561</v>
      </c>
    </row>
    <row r="3665" spans="1:8" hidden="1">
      <c r="A3665" s="889"/>
      <c r="B3665" s="47" t="s">
        <v>5343</v>
      </c>
      <c r="C3665" s="48"/>
      <c r="G3665" s="26" t="s">
        <v>5344</v>
      </c>
    </row>
    <row r="3666" spans="1:8" hidden="1">
      <c r="A3666" s="889"/>
      <c r="B3666" s="47" t="s">
        <v>5593</v>
      </c>
      <c r="C3666" s="48"/>
      <c r="F3666" s="68">
        <v>0.5</v>
      </c>
      <c r="G3666" s="26" t="s">
        <v>3561</v>
      </c>
    </row>
    <row r="3667" spans="1:8" hidden="1">
      <c r="A3667" s="889"/>
      <c r="B3667" s="47" t="s">
        <v>6003</v>
      </c>
      <c r="C3667" s="48"/>
      <c r="F3667" s="68">
        <v>1.5</v>
      </c>
      <c r="G3667" s="26" t="s">
        <v>3561</v>
      </c>
    </row>
    <row r="3668" spans="1:8" hidden="1">
      <c r="A3668" s="889"/>
      <c r="B3668" s="47" t="s">
        <v>5594</v>
      </c>
      <c r="C3668" s="48"/>
      <c r="G3668" s="68">
        <v>0.5</v>
      </c>
      <c r="H3668" s="26" t="s">
        <v>3883</v>
      </c>
    </row>
    <row r="3669" spans="1:8" hidden="1">
      <c r="A3669" s="889"/>
      <c r="B3669" s="47" t="s">
        <v>5595</v>
      </c>
      <c r="C3669" s="48"/>
      <c r="G3669" s="26">
        <v>15</v>
      </c>
      <c r="H3669" s="26" t="s">
        <v>4809</v>
      </c>
    </row>
    <row r="3670" spans="1:8" hidden="1">
      <c r="A3670" s="889"/>
      <c r="B3670" s="47" t="s">
        <v>5596</v>
      </c>
      <c r="C3670" s="48"/>
      <c r="G3670" s="26">
        <v>20</v>
      </c>
      <c r="H3670" s="26" t="s">
        <v>4809</v>
      </c>
    </row>
    <row r="3671" spans="1:8" hidden="1">
      <c r="A3671" s="889"/>
      <c r="B3671" s="47" t="s">
        <v>5597</v>
      </c>
      <c r="C3671" s="48"/>
    </row>
    <row r="3672" spans="1:8" hidden="1">
      <c r="A3672" s="889"/>
      <c r="B3672" s="47" t="s">
        <v>5598</v>
      </c>
      <c r="C3672" s="48"/>
      <c r="G3672" s="26">
        <v>200</v>
      </c>
      <c r="H3672" s="26" t="s">
        <v>3561</v>
      </c>
    </row>
    <row r="3673" spans="1:8" hidden="1">
      <c r="A3673" s="889"/>
      <c r="B3673" s="47" t="s">
        <v>5556</v>
      </c>
      <c r="C3673" s="48"/>
    </row>
    <row r="3674" spans="1:8" hidden="1">
      <c r="A3674" s="889"/>
      <c r="B3674" s="47" t="s">
        <v>4575</v>
      </c>
      <c r="C3674" s="48"/>
    </row>
    <row r="3675" spans="1:8" hidden="1">
      <c r="A3675" s="889"/>
      <c r="B3675" s="47" t="s">
        <v>5557</v>
      </c>
      <c r="C3675" s="48"/>
      <c r="G3675" s="26">
        <f>(0.38+0.78)*0.2*200/2</f>
        <v>23.200000000000003</v>
      </c>
      <c r="H3675" s="26" t="s">
        <v>6901</v>
      </c>
    </row>
    <row r="3676" spans="1:8" hidden="1">
      <c r="A3676" s="889"/>
      <c r="B3676" s="47" t="s">
        <v>4576</v>
      </c>
      <c r="C3676" s="48"/>
    </row>
    <row r="3677" spans="1:8" hidden="1">
      <c r="A3677" s="889"/>
      <c r="B3677" s="47" t="s">
        <v>4577</v>
      </c>
      <c r="C3677" s="48"/>
    </row>
    <row r="3678" spans="1:8" hidden="1">
      <c r="A3678" s="889"/>
      <c r="B3678" s="47" t="s">
        <v>5558</v>
      </c>
      <c r="C3678" s="48"/>
      <c r="G3678" s="26">
        <f>100-23.2</f>
        <v>76.8</v>
      </c>
      <c r="H3678" s="26" t="s">
        <v>6901</v>
      </c>
    </row>
    <row r="3679" spans="1:8" hidden="1">
      <c r="A3679" s="889"/>
      <c r="B3679" s="47" t="s">
        <v>5815</v>
      </c>
      <c r="C3679" s="48"/>
    </row>
    <row r="3680" spans="1:8" hidden="1">
      <c r="A3680" s="889"/>
      <c r="B3680" s="47" t="s">
        <v>3261</v>
      </c>
      <c r="C3680" s="48"/>
    </row>
    <row r="3681" spans="1:9" hidden="1">
      <c r="A3681" s="889"/>
      <c r="B3681" s="47" t="s">
        <v>2697</v>
      </c>
      <c r="C3681" s="48"/>
      <c r="G3681" s="26">
        <v>26</v>
      </c>
      <c r="H3681" s="26" t="s">
        <v>3032</v>
      </c>
    </row>
    <row r="3682" spans="1:9" hidden="1">
      <c r="A3682" s="889"/>
      <c r="B3682" s="47" t="s">
        <v>4259</v>
      </c>
      <c r="C3682" s="48"/>
    </row>
    <row r="3683" spans="1:9" hidden="1">
      <c r="A3683" s="889"/>
      <c r="B3683" s="47" t="s">
        <v>2697</v>
      </c>
      <c r="C3683" s="48"/>
      <c r="G3683" s="26">
        <v>10</v>
      </c>
      <c r="H3683" s="26" t="s">
        <v>3032</v>
      </c>
    </row>
    <row r="3684" spans="1:9" hidden="1">
      <c r="A3684" s="889"/>
      <c r="B3684" s="47" t="s">
        <v>4206</v>
      </c>
      <c r="C3684" s="48"/>
      <c r="G3684" s="26">
        <v>1</v>
      </c>
      <c r="H3684" s="26" t="s">
        <v>3035</v>
      </c>
    </row>
    <row r="3685" spans="1:9">
      <c r="A3685" s="847"/>
      <c r="B3685" s="78"/>
      <c r="C3685" s="48"/>
    </row>
    <row r="3686" spans="1:9">
      <c r="A3686" s="847" t="s">
        <v>1907</v>
      </c>
      <c r="B3686" s="78"/>
      <c r="C3686" s="349" t="s">
        <v>2367</v>
      </c>
      <c r="E3686" s="171" t="s">
        <v>297</v>
      </c>
      <c r="F3686" s="246">
        <v>100</v>
      </c>
      <c r="G3686" s="26" t="s">
        <v>3477</v>
      </c>
    </row>
    <row r="3687" spans="1:9">
      <c r="A3687" s="847"/>
      <c r="B3687" s="79" t="s">
        <v>2368</v>
      </c>
      <c r="C3687" s="48"/>
    </row>
    <row r="3688" spans="1:9">
      <c r="A3688" s="847"/>
      <c r="B3688" s="95" t="s">
        <v>2369</v>
      </c>
      <c r="C3688" s="350" t="s">
        <v>6374</v>
      </c>
      <c r="D3688" s="95" t="s">
        <v>2370</v>
      </c>
      <c r="E3688" s="95" t="s">
        <v>1166</v>
      </c>
      <c r="F3688" s="95" t="s">
        <v>2371</v>
      </c>
      <c r="G3688" s="95" t="s">
        <v>2372</v>
      </c>
    </row>
    <row r="3689" spans="1:9">
      <c r="A3689" s="847"/>
      <c r="B3689" s="114"/>
      <c r="C3689" s="351"/>
      <c r="D3689" s="114"/>
      <c r="E3689" s="114"/>
      <c r="F3689" s="114" t="s">
        <v>3485</v>
      </c>
      <c r="G3689" s="114" t="s">
        <v>3485</v>
      </c>
    </row>
    <row r="3690" spans="1:9">
      <c r="A3690" s="848"/>
      <c r="B3690" s="295">
        <v>1</v>
      </c>
      <c r="C3690" s="396" t="s">
        <v>7936</v>
      </c>
      <c r="D3690" s="295" t="s">
        <v>3477</v>
      </c>
      <c r="E3690" s="255">
        <f>G3678</f>
        <v>76.8</v>
      </c>
      <c r="F3690" s="255">
        <f>'BASIC DATA'!$D$55</f>
        <v>95</v>
      </c>
      <c r="G3690" s="255">
        <f>E3690*F3690</f>
        <v>7296</v>
      </c>
      <c r="H3690" s="61"/>
      <c r="I3690" s="61"/>
    </row>
    <row r="3691" spans="1:9" ht="36">
      <c r="A3691" s="847"/>
      <c r="B3691" s="105">
        <v>2</v>
      </c>
      <c r="C3691" s="91" t="s">
        <v>5816</v>
      </c>
      <c r="D3691" s="105" t="s">
        <v>3477</v>
      </c>
      <c r="E3691" s="190">
        <f>0.75*G3675</f>
        <v>17.400000000000002</v>
      </c>
      <c r="F3691" s="190">
        <f>'BASIC DATA'!$D$35</f>
        <v>1225</v>
      </c>
      <c r="G3691" s="190">
        <f>E3691*F3691</f>
        <v>21315.000000000004</v>
      </c>
    </row>
    <row r="3692" spans="1:9" ht="36">
      <c r="A3692" s="847"/>
      <c r="B3692" s="114">
        <v>3</v>
      </c>
      <c r="C3692" s="91" t="s">
        <v>5817</v>
      </c>
      <c r="D3692" s="105" t="s">
        <v>3477</v>
      </c>
      <c r="E3692" s="190">
        <f>0.25*G3675</f>
        <v>5.8000000000000007</v>
      </c>
      <c r="F3692" s="190">
        <f>'BASIC DATA'!$D$34</f>
        <v>900</v>
      </c>
      <c r="G3692" s="190">
        <f>E3692*F3692</f>
        <v>5220.0000000000009</v>
      </c>
    </row>
    <row r="3693" spans="1:9">
      <c r="A3693" s="847"/>
      <c r="B3693" s="92"/>
      <c r="C3693" s="353" t="s">
        <v>2376</v>
      </c>
      <c r="D3693" s="159"/>
      <c r="E3693" s="238"/>
      <c r="F3693" s="236" t="s">
        <v>1698</v>
      </c>
      <c r="G3693" s="318">
        <f>SUM(G3690:G3692)</f>
        <v>33831.000000000007</v>
      </c>
    </row>
    <row r="3694" spans="1:9">
      <c r="A3694" s="847"/>
      <c r="B3694" s="78"/>
      <c r="C3694" s="48"/>
    </row>
    <row r="3695" spans="1:9">
      <c r="A3695" s="847"/>
      <c r="B3695" s="79" t="s">
        <v>2377</v>
      </c>
      <c r="C3695" s="48"/>
    </row>
    <row r="3696" spans="1:9">
      <c r="A3696" s="847"/>
      <c r="B3696" s="95" t="s">
        <v>2369</v>
      </c>
      <c r="C3696" s="350" t="s">
        <v>2378</v>
      </c>
      <c r="D3696" s="95" t="s">
        <v>2370</v>
      </c>
      <c r="E3696" s="95" t="s">
        <v>1166</v>
      </c>
      <c r="F3696" s="95" t="s">
        <v>2371</v>
      </c>
      <c r="G3696" s="95" t="s">
        <v>2372</v>
      </c>
    </row>
    <row r="3697" spans="1:7">
      <c r="A3697" s="847"/>
      <c r="B3697" s="114"/>
      <c r="C3697" s="351"/>
      <c r="D3697" s="114"/>
      <c r="E3697" s="114"/>
      <c r="F3697" s="114" t="s">
        <v>3485</v>
      </c>
      <c r="G3697" s="114" t="s">
        <v>3485</v>
      </c>
    </row>
    <row r="3698" spans="1:7">
      <c r="A3698" s="847"/>
      <c r="B3698" s="95">
        <v>1</v>
      </c>
      <c r="C3698" s="350" t="s">
        <v>4168</v>
      </c>
      <c r="D3698" s="95"/>
      <c r="E3698" s="218">
        <v>0</v>
      </c>
      <c r="F3698" s="214">
        <v>0</v>
      </c>
      <c r="G3698" s="190"/>
    </row>
    <row r="3699" spans="1:7">
      <c r="A3699" s="847"/>
      <c r="B3699" s="116"/>
      <c r="C3699" s="351"/>
      <c r="D3699" s="114"/>
      <c r="E3699" s="257">
        <v>0</v>
      </c>
      <c r="F3699" s="214">
        <v>0</v>
      </c>
      <c r="G3699" s="190"/>
    </row>
    <row r="3700" spans="1:7">
      <c r="A3700" s="847"/>
      <c r="B3700" s="176"/>
      <c r="C3700" s="357" t="s">
        <v>2380</v>
      </c>
      <c r="D3700" s="174"/>
      <c r="E3700" s="192"/>
      <c r="F3700" s="236" t="s">
        <v>1698</v>
      </c>
      <c r="G3700" s="354">
        <f>SUM(G3698:G3699)</f>
        <v>0</v>
      </c>
    </row>
    <row r="3701" spans="1:7">
      <c r="A3701" s="847"/>
      <c r="B3701" s="78"/>
      <c r="C3701" s="48"/>
    </row>
    <row r="3702" spans="1:7">
      <c r="A3702" s="847"/>
      <c r="B3702" s="79" t="s">
        <v>2381</v>
      </c>
      <c r="C3702" s="48"/>
    </row>
    <row r="3703" spans="1:7">
      <c r="A3703" s="847"/>
      <c r="B3703" s="95" t="s">
        <v>2369</v>
      </c>
      <c r="C3703" s="350" t="s">
        <v>2378</v>
      </c>
      <c r="D3703" s="95" t="s">
        <v>2370</v>
      </c>
      <c r="E3703" s="95" t="s">
        <v>1166</v>
      </c>
      <c r="F3703" s="95" t="s">
        <v>2371</v>
      </c>
      <c r="G3703" s="95" t="s">
        <v>2372</v>
      </c>
    </row>
    <row r="3704" spans="1:7">
      <c r="A3704" s="847"/>
      <c r="B3704" s="114"/>
      <c r="C3704" s="351"/>
      <c r="D3704" s="105"/>
      <c r="E3704" s="114"/>
      <c r="F3704" s="114" t="s">
        <v>3485</v>
      </c>
      <c r="G3704" s="114" t="s">
        <v>3485</v>
      </c>
    </row>
    <row r="3705" spans="1:7">
      <c r="A3705" s="847"/>
      <c r="B3705" s="105">
        <v>1</v>
      </c>
      <c r="C3705" s="86" t="s">
        <v>4206</v>
      </c>
      <c r="D3705" s="95" t="s">
        <v>1172</v>
      </c>
      <c r="E3705" s="207">
        <v>1</v>
      </c>
      <c r="F3705" s="190">
        <f>'BASIC DATA'!$C$473</f>
        <v>450</v>
      </c>
      <c r="G3705" s="190">
        <f>E3705*F3705</f>
        <v>450</v>
      </c>
    </row>
    <row r="3706" spans="1:7">
      <c r="A3706" s="847"/>
      <c r="B3706" s="105">
        <v>2</v>
      </c>
      <c r="C3706" s="86" t="s">
        <v>2697</v>
      </c>
      <c r="D3706" s="105" t="s">
        <v>1172</v>
      </c>
      <c r="E3706" s="207">
        <v>36</v>
      </c>
      <c r="F3706" s="190">
        <f>'BASIC DATA'!$C$552</f>
        <v>350</v>
      </c>
      <c r="G3706" s="190">
        <f>E3706*F3706</f>
        <v>12600</v>
      </c>
    </row>
    <row r="3707" spans="1:7">
      <c r="A3707" s="847"/>
      <c r="B3707" s="92"/>
      <c r="C3707" s="353" t="s">
        <v>1174</v>
      </c>
      <c r="D3707" s="159"/>
      <c r="E3707" s="238"/>
      <c r="F3707" s="236" t="s">
        <v>1698</v>
      </c>
      <c r="G3707" s="318">
        <f>SUM(G3705:G3706)</f>
        <v>13050</v>
      </c>
    </row>
    <row r="3708" spans="1:7">
      <c r="A3708" s="847"/>
      <c r="B3708" s="359" t="s">
        <v>5948</v>
      </c>
      <c r="C3708" s="355"/>
      <c r="D3708" s="31"/>
      <c r="E3708" s="85">
        <f>ROUND(G3707/F3686,1)</f>
        <v>130.5</v>
      </c>
    </row>
    <row r="3709" spans="1:7">
      <c r="A3709" s="847"/>
      <c r="B3709" s="359" t="s">
        <v>3163</v>
      </c>
      <c r="C3709" s="355"/>
      <c r="D3709" s="922">
        <f>'BASIC DATA'!$C$577</f>
        <v>0.13614999999999999</v>
      </c>
      <c r="E3709" s="85">
        <f>ROUND(E3708*D3709,1)</f>
        <v>17.8</v>
      </c>
    </row>
    <row r="3710" spans="1:7">
      <c r="A3710" s="847"/>
      <c r="B3710" s="359" t="s">
        <v>5949</v>
      </c>
      <c r="C3710" s="355"/>
      <c r="D3710" s="31"/>
      <c r="E3710" s="199">
        <f>ROUND(E3709+E3708,1)</f>
        <v>148.30000000000001</v>
      </c>
    </row>
    <row r="3711" spans="1:7">
      <c r="A3711" s="847"/>
      <c r="B3711" s="78"/>
      <c r="C3711" s="48"/>
    </row>
    <row r="3712" spans="1:7">
      <c r="A3712" s="847"/>
      <c r="B3712" s="162" t="s">
        <v>1175</v>
      </c>
      <c r="C3712" s="48"/>
    </row>
    <row r="3713" spans="1:8">
      <c r="A3713" s="847"/>
      <c r="B3713" s="47" t="s">
        <v>1176</v>
      </c>
      <c r="C3713" s="48"/>
      <c r="F3713" s="171" t="s">
        <v>1698</v>
      </c>
      <c r="G3713" s="68">
        <f>G3693</f>
        <v>33831.000000000007</v>
      </c>
    </row>
    <row r="3714" spans="1:8">
      <c r="A3714" s="847"/>
      <c r="B3714" s="47" t="s">
        <v>1186</v>
      </c>
      <c r="C3714" s="48"/>
      <c r="F3714" s="171" t="s">
        <v>1698</v>
      </c>
      <c r="G3714" s="68">
        <f>G3700</f>
        <v>0</v>
      </c>
    </row>
    <row r="3715" spans="1:8">
      <c r="A3715" s="847"/>
      <c r="B3715" s="47" t="s">
        <v>2660</v>
      </c>
      <c r="C3715" s="48"/>
      <c r="F3715" s="171" t="s">
        <v>1698</v>
      </c>
      <c r="G3715" s="75">
        <f>G3707</f>
        <v>13050</v>
      </c>
    </row>
    <row r="3716" spans="1:8">
      <c r="A3716" s="847"/>
      <c r="B3716" s="78"/>
      <c r="C3716" s="48"/>
      <c r="E3716" s="261"/>
      <c r="F3716" s="171" t="s">
        <v>302</v>
      </c>
      <c r="G3716" s="205">
        <f>SUM(G3713:G3715)</f>
        <v>46881.000000000007</v>
      </c>
    </row>
    <row r="3717" spans="1:8" ht="36.75" customHeight="1">
      <c r="A3717" s="847"/>
      <c r="B3717" s="1207" t="s">
        <v>1379</v>
      </c>
      <c r="C3717" s="1207"/>
      <c r="D3717" s="1207"/>
      <c r="E3717" s="922">
        <f>'BASIC DATA'!$C$577</f>
        <v>0.13614999999999999</v>
      </c>
      <c r="F3717" s="171" t="s">
        <v>1698</v>
      </c>
      <c r="G3717" s="31">
        <f>ROUND(G3716*E3717,2)</f>
        <v>6382.85</v>
      </c>
    </row>
    <row r="3718" spans="1:8">
      <c r="A3718" s="847"/>
      <c r="B3718" s="47" t="s">
        <v>1191</v>
      </c>
      <c r="C3718" s="48"/>
      <c r="D3718" s="68">
        <f>F3686</f>
        <v>100</v>
      </c>
      <c r="E3718" s="68" t="str">
        <f>G3686</f>
        <v>cum</v>
      </c>
      <c r="F3718" s="171" t="s">
        <v>1698</v>
      </c>
      <c r="G3718" s="211">
        <f>G3717+G3716</f>
        <v>53263.850000000006</v>
      </c>
    </row>
    <row r="3719" spans="1:8">
      <c r="A3719" s="847"/>
      <c r="B3719" s="79" t="s">
        <v>1584</v>
      </c>
      <c r="C3719" s="356" t="str">
        <f>E3718</f>
        <v>cum</v>
      </c>
      <c r="D3719" s="26" t="s">
        <v>1380</v>
      </c>
      <c r="F3719" s="171" t="s">
        <v>4108</v>
      </c>
      <c r="G3719" s="211">
        <f>ROUND(G3718/D3718,1)</f>
        <v>532.6</v>
      </c>
      <c r="H3719" s="171"/>
    </row>
    <row r="3720" spans="1:8">
      <c r="A3720" s="847"/>
      <c r="B3720" s="78"/>
      <c r="C3720" s="48"/>
      <c r="F3720" s="171"/>
      <c r="G3720" s="68"/>
    </row>
    <row r="3721" spans="1:8">
      <c r="A3721" s="847"/>
      <c r="B3721" s="78"/>
      <c r="C3721" s="48"/>
    </row>
    <row r="3722" spans="1:8" ht="18.75">
      <c r="A3722" s="841" t="s">
        <v>7458</v>
      </c>
      <c r="B3722" s="47" t="s">
        <v>8716</v>
      </c>
      <c r="C3722" s="48"/>
    </row>
    <row r="3723" spans="1:8">
      <c r="A3723" s="847"/>
      <c r="B3723" s="47" t="s">
        <v>4677</v>
      </c>
      <c r="C3723" s="48"/>
    </row>
    <row r="3724" spans="1:8" ht="18.75">
      <c r="A3724" s="847"/>
      <c r="B3724" s="47" t="s">
        <v>8717</v>
      </c>
      <c r="C3724" s="48"/>
    </row>
    <row r="3725" spans="1:8">
      <c r="A3725" s="847"/>
      <c r="C3725" s="48"/>
    </row>
    <row r="3726" spans="1:8" hidden="1">
      <c r="A3726" s="847" t="s">
        <v>3984</v>
      </c>
      <c r="B3726" s="47" t="s">
        <v>4678</v>
      </c>
      <c r="C3726" s="48"/>
    </row>
    <row r="3727" spans="1:8" hidden="1">
      <c r="A3727" s="847"/>
      <c r="B3727" s="47" t="s">
        <v>3496</v>
      </c>
      <c r="C3727" s="48"/>
      <c r="F3727" s="26" t="s">
        <v>1697</v>
      </c>
      <c r="G3727" s="26" t="s">
        <v>3497</v>
      </c>
    </row>
    <row r="3728" spans="1:8" hidden="1">
      <c r="A3728" s="847"/>
      <c r="B3728" s="47" t="s">
        <v>2355</v>
      </c>
      <c r="C3728" s="48"/>
      <c r="F3728" s="26" t="s">
        <v>1697</v>
      </c>
      <c r="G3728" s="26" t="s">
        <v>2356</v>
      </c>
    </row>
    <row r="3729" spans="1:9" hidden="1">
      <c r="A3729" s="847"/>
      <c r="B3729" s="47" t="s">
        <v>2357</v>
      </c>
      <c r="C3729" s="48"/>
      <c r="F3729" s="26" t="s">
        <v>1697</v>
      </c>
      <c r="G3729" s="26" t="s">
        <v>2358</v>
      </c>
    </row>
    <row r="3730" spans="1:9" hidden="1">
      <c r="A3730" s="847"/>
      <c r="B3730" s="47" t="s">
        <v>2359</v>
      </c>
      <c r="C3730" s="48"/>
      <c r="G3730" s="26" t="s">
        <v>4441</v>
      </c>
    </row>
    <row r="3731" spans="1:9">
      <c r="A3731" s="889" t="s">
        <v>3984</v>
      </c>
      <c r="C3731" s="161" t="s">
        <v>2367</v>
      </c>
    </row>
    <row r="3732" spans="1:9">
      <c r="A3732" s="847"/>
      <c r="B3732" s="162" t="s">
        <v>2368</v>
      </c>
      <c r="C3732" s="48"/>
      <c r="E3732" s="26" t="s">
        <v>1434</v>
      </c>
      <c r="F3732" s="170">
        <v>100</v>
      </c>
      <c r="G3732" s="26" t="s">
        <v>7627</v>
      </c>
    </row>
    <row r="3733" spans="1:9">
      <c r="A3733" s="847"/>
      <c r="B3733" s="45" t="s">
        <v>4442</v>
      </c>
      <c r="C3733" s="42" t="s">
        <v>4443</v>
      </c>
      <c r="D3733" s="38" t="s">
        <v>2370</v>
      </c>
      <c r="E3733" s="38" t="s">
        <v>4444</v>
      </c>
      <c r="F3733" s="38" t="s">
        <v>6034</v>
      </c>
      <c r="G3733" s="38" t="s">
        <v>2111</v>
      </c>
    </row>
    <row r="3734" spans="1:9">
      <c r="A3734" s="847"/>
      <c r="B3734" s="36">
        <v>1</v>
      </c>
      <c r="C3734" s="42" t="s">
        <v>2112</v>
      </c>
      <c r="D3734" s="38" t="s">
        <v>2113</v>
      </c>
      <c r="E3734" s="38">
        <v>13.5</v>
      </c>
      <c r="F3734" s="398">
        <f>'BASIC DATA'!$D$36</f>
        <v>1175</v>
      </c>
      <c r="G3734" s="190">
        <f>E3734*F3734</f>
        <v>15862.5</v>
      </c>
    </row>
    <row r="3735" spans="1:9">
      <c r="A3735" s="848"/>
      <c r="B3735" s="69">
        <v>2</v>
      </c>
      <c r="C3735" s="46" t="s">
        <v>7936</v>
      </c>
      <c r="D3735" s="50" t="s">
        <v>3477</v>
      </c>
      <c r="E3735" s="50">
        <v>36</v>
      </c>
      <c r="F3735" s="255">
        <f>'BASIC DATA'!$D$55</f>
        <v>95</v>
      </c>
      <c r="G3735" s="255">
        <f>E3735*F3735</f>
        <v>3420</v>
      </c>
      <c r="H3735" s="61"/>
      <c r="I3735" s="61"/>
    </row>
    <row r="3736" spans="1:9">
      <c r="A3736" s="847"/>
      <c r="B3736" s="45"/>
      <c r="C3736" s="42" t="s">
        <v>2114</v>
      </c>
      <c r="D3736" s="38"/>
      <c r="E3736" s="38"/>
      <c r="F3736" s="38" t="s">
        <v>4108</v>
      </c>
      <c r="G3736" s="40">
        <f>SUM(G3734:G3735)</f>
        <v>19282.5</v>
      </c>
    </row>
    <row r="3737" spans="1:9">
      <c r="A3737" s="847"/>
      <c r="C3737" s="48"/>
    </row>
    <row r="3738" spans="1:9">
      <c r="A3738" s="847"/>
      <c r="B3738" s="47" t="s">
        <v>6246</v>
      </c>
      <c r="C3738" s="48"/>
    </row>
    <row r="3739" spans="1:9">
      <c r="A3739" s="847"/>
      <c r="B3739" s="45" t="s">
        <v>4442</v>
      </c>
      <c r="C3739" s="42" t="s">
        <v>2378</v>
      </c>
      <c r="D3739" s="38" t="s">
        <v>2370</v>
      </c>
      <c r="E3739" s="38" t="s">
        <v>1166</v>
      </c>
      <c r="F3739" s="38" t="s">
        <v>6247</v>
      </c>
      <c r="G3739" s="38" t="s">
        <v>6248</v>
      </c>
    </row>
    <row r="3740" spans="1:9" ht="36">
      <c r="A3740" s="847"/>
      <c r="B3740" s="36">
        <v>1</v>
      </c>
      <c r="C3740" s="42" t="s">
        <v>6249</v>
      </c>
      <c r="D3740" s="38" t="s">
        <v>2113</v>
      </c>
      <c r="E3740" s="38">
        <v>45</v>
      </c>
      <c r="F3740" s="67">
        <f>'BASIC DATA'!$D$318</f>
        <v>35</v>
      </c>
      <c r="G3740" s="190">
        <f>E3740*F3740</f>
        <v>1575</v>
      </c>
    </row>
    <row r="3741" spans="1:9">
      <c r="A3741" s="847"/>
      <c r="B3741" s="45"/>
      <c r="C3741" s="42" t="s">
        <v>6250</v>
      </c>
      <c r="D3741" s="38"/>
      <c r="E3741" s="38"/>
      <c r="F3741" s="38" t="s">
        <v>6251</v>
      </c>
      <c r="G3741" s="40">
        <f>SUM(G3740)</f>
        <v>1575</v>
      </c>
    </row>
    <row r="3742" spans="1:9">
      <c r="A3742" s="847"/>
      <c r="C3742" s="48"/>
    </row>
    <row r="3743" spans="1:9">
      <c r="A3743" s="847"/>
      <c r="B3743" s="47" t="s">
        <v>6252</v>
      </c>
      <c r="C3743" s="48"/>
    </row>
    <row r="3744" spans="1:9">
      <c r="A3744" s="847"/>
      <c r="B3744" s="45" t="s">
        <v>4442</v>
      </c>
      <c r="C3744" s="42" t="s">
        <v>4443</v>
      </c>
      <c r="D3744" s="38" t="s">
        <v>2370</v>
      </c>
      <c r="E3744" s="38" t="s">
        <v>4444</v>
      </c>
      <c r="F3744" s="38" t="s">
        <v>6034</v>
      </c>
      <c r="G3744" s="38" t="s">
        <v>2111</v>
      </c>
    </row>
    <row r="3745" spans="1:8">
      <c r="A3745" s="847"/>
      <c r="B3745" s="36">
        <v>1</v>
      </c>
      <c r="C3745" s="42" t="s">
        <v>6253</v>
      </c>
      <c r="D3745" s="38" t="s">
        <v>2113</v>
      </c>
      <c r="E3745" s="38">
        <v>5.14</v>
      </c>
      <c r="F3745" s="67">
        <f>'BASIC DATA'!$C$552</f>
        <v>350</v>
      </c>
      <c r="G3745" s="190">
        <f>E3745*F3745</f>
        <v>1799</v>
      </c>
    </row>
    <row r="3746" spans="1:8">
      <c r="A3746" s="847"/>
      <c r="B3746" s="36">
        <v>2</v>
      </c>
      <c r="C3746" s="42" t="s">
        <v>6608</v>
      </c>
      <c r="D3746" s="38" t="s">
        <v>2113</v>
      </c>
      <c r="E3746" s="38">
        <v>1.93</v>
      </c>
      <c r="F3746" s="67">
        <f>'BASIC DATA'!$C$552</f>
        <v>350</v>
      </c>
      <c r="G3746" s="190">
        <f>E3746*F3746</f>
        <v>675.5</v>
      </c>
    </row>
    <row r="3747" spans="1:8">
      <c r="A3747" s="847"/>
      <c r="B3747" s="45"/>
      <c r="C3747" s="42" t="s">
        <v>1174</v>
      </c>
      <c r="D3747" s="38"/>
      <c r="E3747" s="38"/>
      <c r="F3747" s="38" t="s">
        <v>4108</v>
      </c>
      <c r="G3747" s="40">
        <f>SUM(G3745:G3746)</f>
        <v>2474.5</v>
      </c>
    </row>
    <row r="3748" spans="1:8">
      <c r="A3748" s="847"/>
      <c r="B3748" s="359" t="s">
        <v>5948</v>
      </c>
      <c r="C3748" s="355"/>
      <c r="D3748" s="31"/>
      <c r="E3748" s="85">
        <f>ROUND(G3747/F3732,1)</f>
        <v>24.7</v>
      </c>
    </row>
    <row r="3749" spans="1:8">
      <c r="A3749" s="847"/>
      <c r="B3749" s="359" t="s">
        <v>3163</v>
      </c>
      <c r="C3749" s="355"/>
      <c r="D3749" s="922">
        <f>'BASIC DATA'!$C$577</f>
        <v>0.13614999999999999</v>
      </c>
      <c r="E3749" s="85">
        <f>ROUND(E3748*D3749,1)</f>
        <v>3.4</v>
      </c>
    </row>
    <row r="3750" spans="1:8">
      <c r="A3750" s="847"/>
      <c r="B3750" s="359" t="s">
        <v>5949</v>
      </c>
      <c r="C3750" s="355"/>
      <c r="D3750" s="31"/>
      <c r="E3750" s="199">
        <f>ROUND(E3749+E3748,1)</f>
        <v>28.1</v>
      </c>
    </row>
    <row r="3751" spans="1:8">
      <c r="A3751" s="847"/>
      <c r="C3751" s="48"/>
    </row>
    <row r="3752" spans="1:8">
      <c r="A3752" s="847"/>
      <c r="B3752" s="47" t="s">
        <v>6765</v>
      </c>
      <c r="C3752" s="48"/>
    </row>
    <row r="3753" spans="1:8">
      <c r="A3753" s="847"/>
      <c r="B3753" s="47" t="s">
        <v>1176</v>
      </c>
      <c r="C3753" s="48"/>
      <c r="F3753" s="26" t="s">
        <v>4108</v>
      </c>
      <c r="G3753" s="26">
        <f>G3736</f>
        <v>19282.5</v>
      </c>
    </row>
    <row r="3754" spans="1:8">
      <c r="A3754" s="847"/>
      <c r="B3754" s="47" t="s">
        <v>1186</v>
      </c>
      <c r="C3754" s="48"/>
      <c r="F3754" s="26" t="s">
        <v>4108</v>
      </c>
      <c r="G3754" s="26">
        <f>G3741</f>
        <v>1575</v>
      </c>
    </row>
    <row r="3755" spans="1:8">
      <c r="A3755" s="847"/>
      <c r="B3755" s="47" t="s">
        <v>2660</v>
      </c>
      <c r="C3755" s="48"/>
      <c r="F3755" s="26" t="s">
        <v>4108</v>
      </c>
      <c r="G3755" s="26">
        <f>G3747</f>
        <v>2474.5</v>
      </c>
    </row>
    <row r="3756" spans="1:8">
      <c r="A3756" s="847"/>
      <c r="B3756" s="78"/>
      <c r="C3756" s="48"/>
      <c r="E3756" s="261"/>
      <c r="F3756" s="171" t="s">
        <v>302</v>
      </c>
      <c r="G3756" s="205">
        <f>SUM(G3753:G3755)</f>
        <v>23332</v>
      </c>
    </row>
    <row r="3757" spans="1:8" ht="36.75" customHeight="1">
      <c r="A3757" s="847"/>
      <c r="B3757" s="1207" t="s">
        <v>1379</v>
      </c>
      <c r="C3757" s="1207"/>
      <c r="D3757" s="1207"/>
      <c r="E3757" s="922">
        <f>'BASIC DATA'!$C$577</f>
        <v>0.13614999999999999</v>
      </c>
      <c r="F3757" s="171" t="s">
        <v>1698</v>
      </c>
      <c r="G3757" s="31">
        <f>ROUND(G3756*E3757,2)</f>
        <v>3176.65</v>
      </c>
    </row>
    <row r="3758" spans="1:8">
      <c r="A3758" s="847"/>
      <c r="B3758" s="47" t="s">
        <v>1191</v>
      </c>
      <c r="C3758" s="48"/>
      <c r="D3758" s="68">
        <f>F3732</f>
        <v>100</v>
      </c>
      <c r="E3758" s="68" t="str">
        <f>G3732</f>
        <v>mt</v>
      </c>
      <c r="F3758" s="171" t="s">
        <v>1698</v>
      </c>
      <c r="G3758" s="211">
        <f>G3757+G3756</f>
        <v>26508.65</v>
      </c>
    </row>
    <row r="3759" spans="1:8">
      <c r="A3759" s="847"/>
      <c r="B3759" s="79" t="s">
        <v>1584</v>
      </c>
      <c r="C3759" s="356" t="str">
        <f>E3758</f>
        <v>mt</v>
      </c>
      <c r="D3759" s="26" t="s">
        <v>1380</v>
      </c>
      <c r="F3759" s="171" t="s">
        <v>4108</v>
      </c>
      <c r="G3759" s="211">
        <f>ROUND(G3758/D3758,1)</f>
        <v>265.10000000000002</v>
      </c>
      <c r="H3759" s="171"/>
    </row>
    <row r="3760" spans="1:8">
      <c r="A3760" s="847"/>
      <c r="C3760" s="48"/>
    </row>
    <row r="3761" spans="1:7">
      <c r="A3761" s="847"/>
      <c r="B3761" s="78"/>
      <c r="C3761" s="48"/>
    </row>
    <row r="3762" spans="1:7">
      <c r="A3762" s="841" t="s">
        <v>7459</v>
      </c>
      <c r="B3762" s="162" t="s">
        <v>6882</v>
      </c>
      <c r="C3762" s="48"/>
    </row>
    <row r="3763" spans="1:7">
      <c r="A3763" s="847"/>
      <c r="B3763" s="47" t="s">
        <v>6883</v>
      </c>
      <c r="C3763" s="48"/>
    </row>
    <row r="3764" spans="1:7">
      <c r="A3764" s="847"/>
      <c r="B3764" s="47" t="s">
        <v>6884</v>
      </c>
      <c r="C3764" s="48"/>
    </row>
    <row r="3765" spans="1:7">
      <c r="A3765" s="847"/>
      <c r="B3765" s="162" t="s">
        <v>4419</v>
      </c>
      <c r="C3765" s="48"/>
    </row>
    <row r="3766" spans="1:7" hidden="1">
      <c r="A3766" s="847" t="s">
        <v>3984</v>
      </c>
      <c r="C3766" s="48"/>
    </row>
    <row r="3767" spans="1:7" hidden="1">
      <c r="A3767" s="847"/>
      <c r="B3767" s="47" t="s">
        <v>3496</v>
      </c>
      <c r="C3767" s="48"/>
      <c r="F3767" s="26">
        <v>0.27</v>
      </c>
      <c r="G3767" s="26" t="s">
        <v>3477</v>
      </c>
    </row>
    <row r="3768" spans="1:7" hidden="1">
      <c r="A3768" s="847"/>
      <c r="B3768" s="47" t="s">
        <v>6885</v>
      </c>
      <c r="C3768" s="48"/>
      <c r="F3768" s="26">
        <v>8.1000000000000003E-2</v>
      </c>
      <c r="G3768" s="26" t="s">
        <v>3477</v>
      </c>
    </row>
    <row r="3769" spans="1:7" hidden="1">
      <c r="A3769" s="847"/>
      <c r="B3769" s="47" t="s">
        <v>6886</v>
      </c>
      <c r="C3769" s="48"/>
      <c r="G3769" s="26" t="s">
        <v>3477</v>
      </c>
    </row>
    <row r="3770" spans="1:7" hidden="1">
      <c r="A3770" s="847"/>
      <c r="B3770" s="47" t="s">
        <v>2178</v>
      </c>
      <c r="C3770" s="48"/>
      <c r="F3770" s="26">
        <v>-3.0000000000000001E-3</v>
      </c>
      <c r="G3770" s="26" t="s">
        <v>3477</v>
      </c>
    </row>
    <row r="3771" spans="1:7" hidden="1">
      <c r="A3771" s="847"/>
      <c r="C3771" s="48"/>
      <c r="F3771" s="26">
        <f>SUM(F3768:F3770)</f>
        <v>7.8E-2</v>
      </c>
      <c r="G3771" s="26" t="s">
        <v>3477</v>
      </c>
    </row>
    <row r="3772" spans="1:7" hidden="1">
      <c r="A3772" s="847"/>
      <c r="B3772" s="47" t="s">
        <v>1177</v>
      </c>
      <c r="C3772" s="48"/>
    </row>
    <row r="3773" spans="1:7" hidden="1">
      <c r="A3773" s="847"/>
      <c r="B3773" s="47" t="s">
        <v>2177</v>
      </c>
      <c r="C3773" s="48"/>
      <c r="F3773" s="26">
        <v>2.3999999999999998E-3</v>
      </c>
      <c r="G3773" s="26" t="s">
        <v>3477</v>
      </c>
    </row>
    <row r="3774" spans="1:7" hidden="1">
      <c r="A3774" s="847"/>
      <c r="C3774" s="48"/>
      <c r="F3774" s="26">
        <f>SUM(F3771:F3773)</f>
        <v>8.0399999999999999E-2</v>
      </c>
      <c r="G3774" s="26" t="s">
        <v>3477</v>
      </c>
    </row>
    <row r="3775" spans="1:7" hidden="1">
      <c r="A3775" s="847"/>
      <c r="B3775" s="47" t="s">
        <v>4178</v>
      </c>
      <c r="C3775" s="48"/>
      <c r="F3775" s="26">
        <v>0.189</v>
      </c>
      <c r="G3775" s="26" t="s">
        <v>3477</v>
      </c>
    </row>
    <row r="3776" spans="1:7" hidden="1">
      <c r="A3776" s="847"/>
      <c r="B3776" s="47" t="s">
        <v>4179</v>
      </c>
      <c r="C3776" s="48"/>
      <c r="F3776" s="26">
        <v>2.5999999999999999E-2</v>
      </c>
      <c r="G3776" s="26" t="s">
        <v>3477</v>
      </c>
    </row>
    <row r="3777" spans="1:9" hidden="1">
      <c r="A3777" s="847"/>
      <c r="C3777" s="48"/>
      <c r="F3777" s="26">
        <f>SUM(F3775:F3776)</f>
        <v>0.215</v>
      </c>
      <c r="G3777" s="26" t="s">
        <v>3477</v>
      </c>
    </row>
    <row r="3778" spans="1:9" hidden="1">
      <c r="A3778" s="847"/>
      <c r="B3778" s="47" t="s">
        <v>2179</v>
      </c>
      <c r="C3778" s="48"/>
      <c r="F3778" s="26">
        <v>-1.2E-2</v>
      </c>
      <c r="G3778" s="26" t="s">
        <v>3477</v>
      </c>
    </row>
    <row r="3779" spans="1:9" hidden="1">
      <c r="A3779" s="847"/>
      <c r="C3779" s="48"/>
      <c r="F3779" s="26">
        <f>SUM(F3777:F3778)</f>
        <v>0.20299999999999999</v>
      </c>
      <c r="G3779" s="26" t="s">
        <v>3477</v>
      </c>
    </row>
    <row r="3780" spans="1:9" hidden="1">
      <c r="A3780" s="847"/>
      <c r="B3780" s="47" t="s">
        <v>895</v>
      </c>
      <c r="C3780" s="48"/>
      <c r="F3780" s="26">
        <v>3.0000000000000001E-3</v>
      </c>
      <c r="G3780" s="26" t="s">
        <v>3477</v>
      </c>
    </row>
    <row r="3781" spans="1:9" hidden="1">
      <c r="A3781" s="847"/>
      <c r="B3781" s="47" t="s">
        <v>4290</v>
      </c>
      <c r="C3781" s="48"/>
      <c r="F3781" s="26">
        <v>1.181</v>
      </c>
      <c r="G3781" s="26" t="s">
        <v>4291</v>
      </c>
    </row>
    <row r="3782" spans="1:9" hidden="1">
      <c r="A3782" s="847"/>
      <c r="C3782" s="48"/>
      <c r="G3782" s="27"/>
    </row>
    <row r="3783" spans="1:9" hidden="1">
      <c r="A3783" s="847"/>
      <c r="C3783" s="48"/>
      <c r="G3783" s="27"/>
    </row>
    <row r="3784" spans="1:9">
      <c r="A3784" s="847"/>
      <c r="C3784" s="48"/>
      <c r="G3784" s="27"/>
    </row>
    <row r="3785" spans="1:9">
      <c r="A3785" s="847" t="s">
        <v>1907</v>
      </c>
      <c r="C3785" s="370" t="s">
        <v>608</v>
      </c>
      <c r="E3785" s="26" t="s">
        <v>2370</v>
      </c>
      <c r="F3785" s="170">
        <v>1</v>
      </c>
      <c r="G3785" s="27" t="s">
        <v>141</v>
      </c>
    </row>
    <row r="3786" spans="1:9">
      <c r="A3786" s="847"/>
      <c r="C3786" s="48"/>
    </row>
    <row r="3787" spans="1:9">
      <c r="A3787" s="847"/>
      <c r="B3787" s="162" t="s">
        <v>2368</v>
      </c>
      <c r="C3787" s="48"/>
    </row>
    <row r="3788" spans="1:9" ht="36">
      <c r="A3788" s="847"/>
      <c r="B3788" s="36" t="s">
        <v>4442</v>
      </c>
      <c r="C3788" s="65" t="s">
        <v>4443</v>
      </c>
      <c r="D3788" s="96" t="s">
        <v>2370</v>
      </c>
      <c r="E3788" s="65" t="s">
        <v>4444</v>
      </c>
      <c r="F3788" s="65" t="s">
        <v>6034</v>
      </c>
      <c r="G3788" s="65" t="s">
        <v>2111</v>
      </c>
    </row>
    <row r="3789" spans="1:9">
      <c r="A3789" s="847"/>
      <c r="B3789" s="95">
        <v>1</v>
      </c>
      <c r="C3789" s="399" t="s">
        <v>5034</v>
      </c>
      <c r="D3789" s="107" t="s">
        <v>2113</v>
      </c>
      <c r="E3789" s="178">
        <v>8.0399999999999999E-2</v>
      </c>
      <c r="F3789" s="179">
        <f>'BASIC DATA'!$D$35</f>
        <v>1225</v>
      </c>
      <c r="G3789" s="190">
        <f>E3789*F3789</f>
        <v>98.49</v>
      </c>
    </row>
    <row r="3790" spans="1:9">
      <c r="A3790" s="848"/>
      <c r="B3790" s="69">
        <v>2</v>
      </c>
      <c r="C3790" s="46" t="s">
        <v>7936</v>
      </c>
      <c r="D3790" s="50" t="s">
        <v>3477</v>
      </c>
      <c r="E3790" s="400">
        <v>0.20300000000000001</v>
      </c>
      <c r="F3790" s="264">
        <f>'BASIC DATA'!$D$55</f>
        <v>95</v>
      </c>
      <c r="G3790" s="264">
        <f>E3790*F3790</f>
        <v>19.285</v>
      </c>
      <c r="H3790" s="61"/>
      <c r="I3790" s="61"/>
    </row>
    <row r="3791" spans="1:9">
      <c r="A3791" s="847"/>
      <c r="B3791" s="36">
        <v>3</v>
      </c>
      <c r="C3791" s="46" t="s">
        <v>5853</v>
      </c>
      <c r="D3791" s="50" t="s">
        <v>1791</v>
      </c>
      <c r="E3791" s="38">
        <v>1.181</v>
      </c>
      <c r="F3791" s="67">
        <f>'BASIC DATA'!$D$32/1000</f>
        <v>5.35</v>
      </c>
      <c r="G3791" s="67">
        <f>E3791*F3791</f>
        <v>6.3183499999999997</v>
      </c>
    </row>
    <row r="3792" spans="1:9">
      <c r="A3792" s="847"/>
      <c r="B3792" s="231"/>
      <c r="C3792" s="402" t="s">
        <v>2114</v>
      </c>
      <c r="D3792" s="159"/>
      <c r="E3792" s="159"/>
      <c r="F3792" s="159" t="s">
        <v>4108</v>
      </c>
      <c r="G3792" s="282">
        <f>SUM(G3789:G3791)</f>
        <v>124.09334999999999</v>
      </c>
    </row>
    <row r="3793" spans="1:7">
      <c r="A3793" s="847"/>
      <c r="B3793" s="30"/>
      <c r="C3793" s="103"/>
      <c r="D3793" s="31"/>
      <c r="E3793" s="31"/>
      <c r="F3793" s="31"/>
      <c r="G3793" s="31"/>
    </row>
    <row r="3794" spans="1:7">
      <c r="A3794" s="847"/>
      <c r="B3794" s="47" t="s">
        <v>6246</v>
      </c>
      <c r="C3794" s="48"/>
    </row>
    <row r="3795" spans="1:7" ht="36">
      <c r="A3795" s="847"/>
      <c r="B3795" s="35" t="s">
        <v>4442</v>
      </c>
      <c r="C3795" s="34" t="s">
        <v>2378</v>
      </c>
      <c r="D3795" s="34" t="s">
        <v>2370</v>
      </c>
      <c r="E3795" s="34" t="s">
        <v>1166</v>
      </c>
      <c r="F3795" s="34" t="s">
        <v>6247</v>
      </c>
      <c r="G3795" s="34" t="s">
        <v>6248</v>
      </c>
    </row>
    <row r="3796" spans="1:7" ht="36">
      <c r="A3796" s="847"/>
      <c r="B3796" s="36">
        <v>1</v>
      </c>
      <c r="C3796" s="42" t="s">
        <v>6249</v>
      </c>
      <c r="D3796" s="38" t="s">
        <v>2113</v>
      </c>
      <c r="E3796" s="67">
        <v>0.27</v>
      </c>
      <c r="F3796" s="67">
        <f>'BASIC DATA'!$D$318</f>
        <v>35</v>
      </c>
      <c r="G3796" s="190">
        <f>E3796*F3796</f>
        <v>9.4500000000000011</v>
      </c>
    </row>
    <row r="3797" spans="1:7">
      <c r="A3797" s="847"/>
      <c r="B3797" s="36">
        <v>2</v>
      </c>
      <c r="C3797" s="42" t="s">
        <v>4292</v>
      </c>
      <c r="D3797" s="38" t="s">
        <v>2113</v>
      </c>
      <c r="E3797" s="403">
        <v>3.0000000000000001E-3</v>
      </c>
      <c r="F3797" s="67">
        <f>'HIRE CHARGES'!$D$507+'HIRE CHARGES'!$E$507+'HIRE CHARGES'!$F$507</f>
        <v>352.5</v>
      </c>
      <c r="G3797" s="190">
        <f>E3797*F3797</f>
        <v>1.0575000000000001</v>
      </c>
    </row>
    <row r="3798" spans="1:7">
      <c r="A3798" s="847"/>
      <c r="B3798" s="45"/>
      <c r="C3798" s="42" t="s">
        <v>6250</v>
      </c>
      <c r="D3798" s="38"/>
      <c r="E3798" s="38"/>
      <c r="F3798" s="38" t="s">
        <v>6251</v>
      </c>
      <c r="G3798" s="282">
        <f>SUM(G3796:G3797)</f>
        <v>10.5075</v>
      </c>
    </row>
    <row r="3799" spans="1:7">
      <c r="A3799" s="847"/>
      <c r="C3799" s="48"/>
    </row>
    <row r="3800" spans="1:7">
      <c r="A3800" s="847"/>
      <c r="B3800" s="47" t="s">
        <v>6252</v>
      </c>
      <c r="C3800" s="48"/>
    </row>
    <row r="3801" spans="1:7" ht="36">
      <c r="A3801" s="847"/>
      <c r="B3801" s="36" t="s">
        <v>4442</v>
      </c>
      <c r="C3801" s="65" t="s">
        <v>4443</v>
      </c>
      <c r="D3801" s="96" t="s">
        <v>2370</v>
      </c>
      <c r="E3801" s="65" t="s">
        <v>4444</v>
      </c>
      <c r="F3801" s="65" t="s">
        <v>6034</v>
      </c>
      <c r="G3801" s="65" t="s">
        <v>2111</v>
      </c>
    </row>
    <row r="3802" spans="1:7">
      <c r="A3802" s="847"/>
      <c r="B3802" s="95">
        <v>1</v>
      </c>
      <c r="C3802" s="399" t="s">
        <v>4647</v>
      </c>
      <c r="D3802" s="107" t="s">
        <v>1172</v>
      </c>
      <c r="E3802" s="178">
        <v>0.3</v>
      </c>
      <c r="F3802" s="190">
        <f>'BASIC DATA'!$C$552</f>
        <v>350</v>
      </c>
      <c r="G3802" s="179">
        <f>F3802*E3802</f>
        <v>105</v>
      </c>
    </row>
    <row r="3803" spans="1:7">
      <c r="A3803" s="847"/>
      <c r="B3803" s="231"/>
      <c r="C3803" s="402" t="s">
        <v>1174</v>
      </c>
      <c r="D3803" s="159"/>
      <c r="E3803" s="159"/>
      <c r="F3803" s="159" t="s">
        <v>4108</v>
      </c>
      <c r="G3803" s="318">
        <f>SUM(G3802)</f>
        <v>105</v>
      </c>
    </row>
    <row r="3804" spans="1:7">
      <c r="A3804" s="847"/>
      <c r="B3804" s="359" t="s">
        <v>5948</v>
      </c>
      <c r="C3804" s="48"/>
      <c r="D3804" s="31"/>
      <c r="E3804" s="85">
        <f>ROUND(G3803/F3785,1)</f>
        <v>105</v>
      </c>
    </row>
    <row r="3805" spans="1:7">
      <c r="A3805" s="847"/>
      <c r="B3805" s="359" t="s">
        <v>3163</v>
      </c>
      <c r="C3805" s="48"/>
      <c r="D3805" s="922">
        <f>'BASIC DATA'!$C$577</f>
        <v>0.13614999999999999</v>
      </c>
      <c r="E3805" s="85">
        <f>ROUND(E3804*D3805,1)</f>
        <v>14.3</v>
      </c>
    </row>
    <row r="3806" spans="1:7">
      <c r="A3806" s="847"/>
      <c r="B3806" s="359" t="s">
        <v>5949</v>
      </c>
      <c r="C3806" s="48"/>
      <c r="D3806" s="31"/>
      <c r="E3806" s="199">
        <f>ROUND(E3805+E3804,1)</f>
        <v>119.3</v>
      </c>
    </row>
    <row r="3807" spans="1:7">
      <c r="A3807" s="847"/>
      <c r="C3807" s="48"/>
    </row>
    <row r="3808" spans="1:7">
      <c r="A3808" s="847"/>
      <c r="B3808" s="47" t="s">
        <v>6765</v>
      </c>
      <c r="C3808" s="48"/>
    </row>
    <row r="3809" spans="1:8">
      <c r="A3809" s="847"/>
      <c r="B3809" s="47" t="s">
        <v>1176</v>
      </c>
      <c r="C3809" s="48"/>
      <c r="F3809" s="26" t="s">
        <v>4108</v>
      </c>
      <c r="G3809" s="68">
        <f>G3792</f>
        <v>124.09334999999999</v>
      </c>
    </row>
    <row r="3810" spans="1:8">
      <c r="A3810" s="847"/>
      <c r="B3810" s="47" t="s">
        <v>1186</v>
      </c>
      <c r="C3810" s="48"/>
      <c r="F3810" s="26" t="s">
        <v>4108</v>
      </c>
      <c r="G3810" s="68">
        <f>G3798</f>
        <v>10.5075</v>
      </c>
    </row>
    <row r="3811" spans="1:8">
      <c r="A3811" s="847"/>
      <c r="B3811" s="47" t="s">
        <v>2660</v>
      </c>
      <c r="C3811" s="48"/>
      <c r="F3811" s="26" t="s">
        <v>4108</v>
      </c>
      <c r="G3811" s="75">
        <f>G3803</f>
        <v>105</v>
      </c>
    </row>
    <row r="3812" spans="1:8">
      <c r="A3812" s="847"/>
      <c r="B3812" s="78"/>
      <c r="C3812" s="48"/>
      <c r="E3812" s="261"/>
      <c r="F3812" s="171" t="s">
        <v>302</v>
      </c>
      <c r="G3812" s="205">
        <f>SUM(G3809:G3811)</f>
        <v>239.60084999999998</v>
      </c>
    </row>
    <row r="3813" spans="1:8" ht="36.75" customHeight="1">
      <c r="A3813" s="847"/>
      <c r="B3813" s="1207" t="s">
        <v>1379</v>
      </c>
      <c r="C3813" s="1207"/>
      <c r="D3813" s="1207"/>
      <c r="E3813" s="922">
        <f>'BASIC DATA'!$C$577</f>
        <v>0.13614999999999999</v>
      </c>
      <c r="F3813" s="171" t="s">
        <v>1698</v>
      </c>
      <c r="G3813" s="31">
        <f>ROUND(G3812*E3813,2)</f>
        <v>32.619999999999997</v>
      </c>
    </row>
    <row r="3814" spans="1:8">
      <c r="A3814" s="847"/>
      <c r="B3814" s="47" t="s">
        <v>1191</v>
      </c>
      <c r="C3814" s="48"/>
      <c r="D3814" s="68">
        <f>F3785</f>
        <v>1</v>
      </c>
      <c r="E3814" s="68" t="str">
        <f>G3785</f>
        <v>Plug</v>
      </c>
      <c r="F3814" s="171" t="s">
        <v>1698</v>
      </c>
      <c r="G3814" s="211">
        <f>G3813+G3812</f>
        <v>272.22084999999998</v>
      </c>
    </row>
    <row r="3815" spans="1:8">
      <c r="A3815" s="847"/>
      <c r="B3815" s="79" t="s">
        <v>1584</v>
      </c>
      <c r="C3815" s="356" t="s">
        <v>5881</v>
      </c>
      <c r="D3815" s="26" t="s">
        <v>1324</v>
      </c>
      <c r="F3815" s="171" t="s">
        <v>4108</v>
      </c>
      <c r="G3815" s="211">
        <f>ROUND(G3814/D3814,1)</f>
        <v>272.2</v>
      </c>
    </row>
    <row r="3816" spans="1:8">
      <c r="A3816" s="847"/>
      <c r="B3816" s="78"/>
      <c r="C3816" s="48"/>
    </row>
    <row r="3817" spans="1:8">
      <c r="A3817" s="847"/>
      <c r="B3817" s="78"/>
      <c r="C3817" s="48"/>
    </row>
    <row r="3818" spans="1:8" ht="18.75">
      <c r="A3818" s="841" t="s">
        <v>7460</v>
      </c>
      <c r="B3818" s="47" t="s">
        <v>8718</v>
      </c>
      <c r="C3818" s="48"/>
    </row>
    <row r="3819" spans="1:8">
      <c r="A3819" s="889"/>
      <c r="B3819" s="47" t="s">
        <v>2608</v>
      </c>
      <c r="C3819" s="48"/>
    </row>
    <row r="3820" spans="1:8">
      <c r="A3820" s="889"/>
      <c r="B3820" s="47" t="s">
        <v>2609</v>
      </c>
      <c r="C3820" s="48"/>
    </row>
    <row r="3821" spans="1:8" ht="18.75">
      <c r="A3821" s="889"/>
      <c r="B3821" s="47" t="s">
        <v>8719</v>
      </c>
      <c r="C3821" s="48"/>
    </row>
    <row r="3822" spans="1:8">
      <c r="A3822" s="889"/>
      <c r="B3822" s="162" t="s">
        <v>2735</v>
      </c>
      <c r="C3822" s="48"/>
      <c r="F3822" s="78"/>
      <c r="G3822" s="27"/>
    </row>
    <row r="3823" spans="1:8">
      <c r="A3823" s="889"/>
      <c r="C3823" s="48"/>
    </row>
    <row r="3824" spans="1:8" hidden="1">
      <c r="A3824" s="889" t="s">
        <v>3984</v>
      </c>
      <c r="B3824" s="47" t="s">
        <v>2610</v>
      </c>
      <c r="C3824" s="48"/>
      <c r="F3824" s="78" t="s">
        <v>1697</v>
      </c>
      <c r="G3824" s="68">
        <v>0.5</v>
      </c>
      <c r="H3824" s="26" t="s">
        <v>3561</v>
      </c>
    </row>
    <row r="3825" spans="1:8" hidden="1">
      <c r="A3825" s="889"/>
      <c r="B3825" s="47" t="s">
        <v>2611</v>
      </c>
      <c r="C3825" s="48"/>
      <c r="F3825" s="78" t="s">
        <v>1697</v>
      </c>
      <c r="G3825" s="26">
        <v>15</v>
      </c>
      <c r="H3825" s="26" t="s">
        <v>4810</v>
      </c>
    </row>
    <row r="3826" spans="1:8" hidden="1">
      <c r="A3826" s="889"/>
      <c r="B3826" s="47" t="s">
        <v>5596</v>
      </c>
      <c r="C3826" s="48"/>
      <c r="F3826" s="78" t="s">
        <v>1697</v>
      </c>
      <c r="G3826" s="26">
        <v>20</v>
      </c>
      <c r="H3826" s="26" t="s">
        <v>4809</v>
      </c>
    </row>
    <row r="3827" spans="1:8" hidden="1">
      <c r="A3827" s="889"/>
      <c r="B3827" s="47" t="s">
        <v>5597</v>
      </c>
      <c r="C3827" s="48"/>
    </row>
    <row r="3828" spans="1:8" hidden="1">
      <c r="A3828" s="889"/>
      <c r="B3828" s="47" t="s">
        <v>2612</v>
      </c>
      <c r="C3828" s="48"/>
      <c r="F3828" s="78" t="s">
        <v>1697</v>
      </c>
      <c r="G3828" s="26">
        <v>200</v>
      </c>
      <c r="H3828" s="26" t="s">
        <v>3883</v>
      </c>
    </row>
    <row r="3829" spans="1:8" hidden="1">
      <c r="A3829" s="889"/>
      <c r="B3829" s="47" t="s">
        <v>6317</v>
      </c>
      <c r="C3829" s="48"/>
      <c r="F3829" s="78"/>
    </row>
    <row r="3830" spans="1:8" hidden="1">
      <c r="A3830" s="889"/>
      <c r="B3830" s="47" t="s">
        <v>4575</v>
      </c>
      <c r="C3830" s="48"/>
      <c r="F3830" s="78"/>
    </row>
    <row r="3831" spans="1:8" hidden="1">
      <c r="A3831" s="889"/>
      <c r="B3831" s="47" t="s">
        <v>3108</v>
      </c>
      <c r="C3831" s="48"/>
      <c r="F3831" s="78" t="s">
        <v>1697</v>
      </c>
      <c r="G3831" s="68">
        <f>200*0.2</f>
        <v>40</v>
      </c>
      <c r="H3831" s="26" t="s">
        <v>6901</v>
      </c>
    </row>
    <row r="3832" spans="1:8" hidden="1">
      <c r="A3832" s="889"/>
      <c r="B3832" s="47" t="s">
        <v>4576</v>
      </c>
      <c r="C3832" s="48"/>
      <c r="F3832" s="78"/>
    </row>
    <row r="3833" spans="1:8" hidden="1">
      <c r="A3833" s="889"/>
      <c r="B3833" s="47" t="s">
        <v>4577</v>
      </c>
      <c r="C3833" s="48"/>
      <c r="F3833" s="78"/>
    </row>
    <row r="3834" spans="1:8" hidden="1">
      <c r="A3834" s="889"/>
      <c r="B3834" s="47" t="s">
        <v>3109</v>
      </c>
      <c r="C3834" s="48"/>
      <c r="F3834" s="78" t="s">
        <v>1697</v>
      </c>
      <c r="G3834" s="68">
        <f>200*2*0.15</f>
        <v>60</v>
      </c>
      <c r="H3834" s="26" t="s">
        <v>6901</v>
      </c>
    </row>
    <row r="3835" spans="1:8" hidden="1">
      <c r="A3835" s="889"/>
      <c r="B3835" s="47" t="s">
        <v>5815</v>
      </c>
      <c r="C3835" s="48"/>
      <c r="F3835" s="78"/>
    </row>
    <row r="3836" spans="1:8" hidden="1">
      <c r="A3836" s="889"/>
      <c r="B3836" s="47" t="s">
        <v>3110</v>
      </c>
      <c r="C3836" s="48"/>
      <c r="F3836" s="78"/>
    </row>
    <row r="3837" spans="1:8" hidden="1">
      <c r="A3837" s="889"/>
      <c r="B3837" s="47" t="s">
        <v>2696</v>
      </c>
      <c r="C3837" s="48"/>
      <c r="F3837" s="78" t="s">
        <v>1697</v>
      </c>
      <c r="G3837" s="26">
        <v>20</v>
      </c>
      <c r="H3837" s="26" t="s">
        <v>3032</v>
      </c>
    </row>
    <row r="3838" spans="1:8" hidden="1">
      <c r="A3838" s="889"/>
      <c r="B3838" s="47" t="s">
        <v>4259</v>
      </c>
      <c r="C3838" s="48"/>
      <c r="F3838" s="78"/>
    </row>
    <row r="3839" spans="1:8" hidden="1">
      <c r="A3839" s="889"/>
      <c r="B3839" s="47" t="s">
        <v>2696</v>
      </c>
      <c r="C3839" s="48"/>
      <c r="F3839" s="78" t="s">
        <v>1697</v>
      </c>
      <c r="G3839" s="26">
        <v>16</v>
      </c>
      <c r="H3839" s="26" t="s">
        <v>3032</v>
      </c>
    </row>
    <row r="3840" spans="1:8" hidden="1">
      <c r="A3840" s="889"/>
      <c r="B3840" s="47" t="s">
        <v>4206</v>
      </c>
      <c r="C3840" s="48"/>
      <c r="F3840" s="78" t="s">
        <v>1697</v>
      </c>
      <c r="G3840" s="26">
        <v>1</v>
      </c>
      <c r="H3840" s="26" t="s">
        <v>3035</v>
      </c>
    </row>
    <row r="3841" spans="1:9" hidden="1">
      <c r="A3841" s="847"/>
      <c r="B3841" s="78"/>
      <c r="C3841" s="48"/>
    </row>
    <row r="3842" spans="1:9">
      <c r="A3842" s="889" t="s">
        <v>3984</v>
      </c>
      <c r="B3842" s="78"/>
      <c r="C3842" s="349" t="s">
        <v>2367</v>
      </c>
      <c r="E3842" s="171" t="s">
        <v>297</v>
      </c>
      <c r="F3842" s="246">
        <v>100</v>
      </c>
      <c r="G3842" s="26" t="s">
        <v>3477</v>
      </c>
    </row>
    <row r="3843" spans="1:9">
      <c r="A3843" s="847"/>
      <c r="B3843" s="79" t="s">
        <v>2368</v>
      </c>
      <c r="C3843" s="48"/>
    </row>
    <row r="3844" spans="1:9">
      <c r="A3844" s="847"/>
      <c r="B3844" s="95" t="s">
        <v>2369</v>
      </c>
      <c r="C3844" s="350" t="s">
        <v>6374</v>
      </c>
      <c r="D3844" s="95" t="s">
        <v>2370</v>
      </c>
      <c r="E3844" s="95" t="s">
        <v>1166</v>
      </c>
      <c r="F3844" s="95" t="s">
        <v>2371</v>
      </c>
      <c r="G3844" s="95" t="s">
        <v>2372</v>
      </c>
    </row>
    <row r="3845" spans="1:9">
      <c r="A3845" s="847"/>
      <c r="B3845" s="114"/>
      <c r="C3845" s="351"/>
      <c r="D3845" s="114"/>
      <c r="E3845" s="114"/>
      <c r="F3845" s="114" t="s">
        <v>3485</v>
      </c>
      <c r="G3845" s="114" t="s">
        <v>3485</v>
      </c>
    </row>
    <row r="3846" spans="1:9">
      <c r="A3846" s="848"/>
      <c r="B3846" s="295">
        <v>1</v>
      </c>
      <c r="C3846" s="396" t="s">
        <v>7936</v>
      </c>
      <c r="D3846" s="295" t="s">
        <v>3477</v>
      </c>
      <c r="E3846" s="255">
        <f>G3834</f>
        <v>60</v>
      </c>
      <c r="F3846" s="255">
        <f>'BASIC DATA'!$D$55</f>
        <v>95</v>
      </c>
      <c r="G3846" s="281">
        <f>F3846*E3846</f>
        <v>5700</v>
      </c>
      <c r="H3846" s="61"/>
      <c r="I3846" s="61"/>
    </row>
    <row r="3847" spans="1:9" ht="36">
      <c r="A3847" s="847"/>
      <c r="B3847" s="105">
        <v>2</v>
      </c>
      <c r="C3847" s="137" t="s">
        <v>5816</v>
      </c>
      <c r="D3847" s="105" t="s">
        <v>3477</v>
      </c>
      <c r="E3847" s="190">
        <f>0.75*G3831</f>
        <v>30</v>
      </c>
      <c r="F3847" s="190">
        <f>'BASIC DATA'!$D$35</f>
        <v>1225</v>
      </c>
      <c r="G3847" s="179">
        <f>F3847*E3847</f>
        <v>36750</v>
      </c>
    </row>
    <row r="3848" spans="1:9" ht="36">
      <c r="A3848" s="847"/>
      <c r="B3848" s="114">
        <v>3</v>
      </c>
      <c r="C3848" s="113" t="s">
        <v>5817</v>
      </c>
      <c r="D3848" s="105" t="s">
        <v>3477</v>
      </c>
      <c r="E3848" s="190">
        <f>0.25*G3831</f>
        <v>10</v>
      </c>
      <c r="F3848" s="190">
        <f>'BASIC DATA'!$D$34</f>
        <v>900</v>
      </c>
      <c r="G3848" s="179">
        <f>F3848*E3848</f>
        <v>9000</v>
      </c>
    </row>
    <row r="3849" spans="1:9">
      <c r="A3849" s="847"/>
      <c r="B3849" s="92"/>
      <c r="C3849" s="353" t="s">
        <v>2376</v>
      </c>
      <c r="D3849" s="159"/>
      <c r="E3849" s="238"/>
      <c r="F3849" s="236" t="s">
        <v>1698</v>
      </c>
      <c r="G3849" s="318">
        <f>SUM(G3846:G3848)</f>
        <v>51450</v>
      </c>
    </row>
    <row r="3850" spans="1:9">
      <c r="A3850" s="847"/>
      <c r="B3850" s="78"/>
      <c r="C3850" s="48"/>
    </row>
    <row r="3851" spans="1:9">
      <c r="A3851" s="847"/>
      <c r="B3851" s="79" t="s">
        <v>2377</v>
      </c>
      <c r="C3851" s="48"/>
    </row>
    <row r="3852" spans="1:9">
      <c r="A3852" s="847"/>
      <c r="B3852" s="95" t="s">
        <v>2369</v>
      </c>
      <c r="C3852" s="350" t="s">
        <v>2378</v>
      </c>
      <c r="D3852" s="95" t="s">
        <v>2370</v>
      </c>
      <c r="E3852" s="95" t="s">
        <v>1166</v>
      </c>
      <c r="F3852" s="95" t="s">
        <v>2371</v>
      </c>
      <c r="G3852" s="95" t="s">
        <v>2372</v>
      </c>
    </row>
    <row r="3853" spans="1:9">
      <c r="A3853" s="847"/>
      <c r="B3853" s="114"/>
      <c r="C3853" s="351"/>
      <c r="D3853" s="114"/>
      <c r="E3853" s="114"/>
      <c r="F3853" s="114" t="s">
        <v>3485</v>
      </c>
      <c r="G3853" s="114" t="s">
        <v>3485</v>
      </c>
    </row>
    <row r="3854" spans="1:9">
      <c r="A3854" s="847"/>
      <c r="B3854" s="95">
        <v>1</v>
      </c>
      <c r="C3854" s="350" t="s">
        <v>4168</v>
      </c>
      <c r="D3854" s="95"/>
      <c r="E3854" s="218">
        <v>0</v>
      </c>
      <c r="F3854" s="214">
        <v>0</v>
      </c>
      <c r="G3854" s="179">
        <f>F3854*E3854</f>
        <v>0</v>
      </c>
    </row>
    <row r="3855" spans="1:9">
      <c r="A3855" s="847"/>
      <c r="B3855" s="116"/>
      <c r="C3855" s="351"/>
      <c r="D3855" s="114"/>
      <c r="E3855" s="257">
        <v>0</v>
      </c>
      <c r="F3855" s="214">
        <v>0</v>
      </c>
      <c r="G3855" s="179">
        <f>F3855*E3855</f>
        <v>0</v>
      </c>
    </row>
    <row r="3856" spans="1:9">
      <c r="A3856" s="847"/>
      <c r="B3856" s="176"/>
      <c r="C3856" s="357" t="s">
        <v>2380</v>
      </c>
      <c r="D3856" s="174"/>
      <c r="E3856" s="192"/>
      <c r="F3856" s="236" t="s">
        <v>1698</v>
      </c>
      <c r="G3856" s="354">
        <f>SUM(G3854:G3855)</f>
        <v>0</v>
      </c>
    </row>
    <row r="3857" spans="1:7">
      <c r="A3857" s="847"/>
      <c r="B3857" s="78"/>
      <c r="C3857" s="48"/>
    </row>
    <row r="3858" spans="1:7">
      <c r="A3858" s="847"/>
      <c r="B3858" s="79" t="s">
        <v>2381</v>
      </c>
      <c r="C3858" s="48"/>
    </row>
    <row r="3859" spans="1:7">
      <c r="A3859" s="847"/>
      <c r="B3859" s="95" t="s">
        <v>2369</v>
      </c>
      <c r="C3859" s="350" t="s">
        <v>2378</v>
      </c>
      <c r="D3859" s="95" t="s">
        <v>2370</v>
      </c>
      <c r="E3859" s="95" t="s">
        <v>1166</v>
      </c>
      <c r="F3859" s="95" t="s">
        <v>2371</v>
      </c>
      <c r="G3859" s="95" t="s">
        <v>2372</v>
      </c>
    </row>
    <row r="3860" spans="1:7">
      <c r="A3860" s="847"/>
      <c r="B3860" s="114"/>
      <c r="C3860" s="351"/>
      <c r="D3860" s="105"/>
      <c r="E3860" s="114"/>
      <c r="F3860" s="114" t="s">
        <v>3485</v>
      </c>
      <c r="G3860" s="114" t="s">
        <v>3485</v>
      </c>
    </row>
    <row r="3861" spans="1:7">
      <c r="A3861" s="847"/>
      <c r="B3861" s="105">
        <v>1</v>
      </c>
      <c r="C3861" s="86" t="s">
        <v>4206</v>
      </c>
      <c r="D3861" s="95" t="s">
        <v>1172</v>
      </c>
      <c r="E3861" s="207">
        <v>1</v>
      </c>
      <c r="F3861" s="190">
        <f>'BASIC DATA'!$C$473</f>
        <v>450</v>
      </c>
      <c r="G3861" s="179">
        <f>F3861*E3861</f>
        <v>450</v>
      </c>
    </row>
    <row r="3862" spans="1:7">
      <c r="A3862" s="847"/>
      <c r="B3862" s="105">
        <v>2</v>
      </c>
      <c r="C3862" s="86" t="s">
        <v>2696</v>
      </c>
      <c r="D3862" s="105" t="s">
        <v>1172</v>
      </c>
      <c r="E3862" s="207">
        <v>36</v>
      </c>
      <c r="F3862" s="190">
        <f>'BASIC DATA'!$C$552</f>
        <v>350</v>
      </c>
      <c r="G3862" s="179">
        <f>F3862*E3862</f>
        <v>12600</v>
      </c>
    </row>
    <row r="3863" spans="1:7">
      <c r="A3863" s="847"/>
      <c r="B3863" s="92"/>
      <c r="C3863" s="353" t="s">
        <v>1174</v>
      </c>
      <c r="D3863" s="159"/>
      <c r="E3863" s="238"/>
      <c r="F3863" s="236" t="s">
        <v>1698</v>
      </c>
      <c r="G3863" s="318">
        <f>SUM(G3861:G3862)</f>
        <v>13050</v>
      </c>
    </row>
    <row r="3864" spans="1:7">
      <c r="A3864" s="847"/>
      <c r="B3864" s="359" t="s">
        <v>5948</v>
      </c>
      <c r="C3864" s="355"/>
      <c r="D3864" s="31"/>
      <c r="E3864" s="85">
        <f>ROUND(G3863/F3842,1)</f>
        <v>130.5</v>
      </c>
    </row>
    <row r="3865" spans="1:7">
      <c r="A3865" s="847"/>
      <c r="B3865" s="359" t="s">
        <v>3163</v>
      </c>
      <c r="C3865" s="355"/>
      <c r="D3865" s="922">
        <f>'BASIC DATA'!$C$577</f>
        <v>0.13614999999999999</v>
      </c>
      <c r="E3865" s="85">
        <f>ROUND(E3864*D3865,1)</f>
        <v>17.8</v>
      </c>
    </row>
    <row r="3866" spans="1:7">
      <c r="A3866" s="847"/>
      <c r="B3866" s="359" t="s">
        <v>5949</v>
      </c>
      <c r="C3866" s="355"/>
      <c r="D3866" s="31"/>
      <c r="E3866" s="199">
        <f>ROUND(E3865+E3864,1)</f>
        <v>148.30000000000001</v>
      </c>
    </row>
    <row r="3867" spans="1:7">
      <c r="A3867" s="847"/>
      <c r="C3867" s="48"/>
    </row>
    <row r="3868" spans="1:7">
      <c r="A3868" s="847"/>
      <c r="B3868" s="162" t="s">
        <v>1175</v>
      </c>
      <c r="C3868" s="48"/>
    </row>
    <row r="3869" spans="1:7">
      <c r="A3869" s="847"/>
      <c r="B3869" s="47" t="s">
        <v>1176</v>
      </c>
      <c r="C3869" s="48"/>
      <c r="F3869" s="171" t="s">
        <v>1698</v>
      </c>
      <c r="G3869" s="68">
        <f>G3849</f>
        <v>51450</v>
      </c>
    </row>
    <row r="3870" spans="1:7">
      <c r="A3870" s="847"/>
      <c r="B3870" s="47" t="s">
        <v>1186</v>
      </c>
      <c r="C3870" s="48"/>
      <c r="F3870" s="171" t="s">
        <v>1698</v>
      </c>
      <c r="G3870" s="68">
        <f>G3856</f>
        <v>0</v>
      </c>
    </row>
    <row r="3871" spans="1:7">
      <c r="A3871" s="847"/>
      <c r="B3871" s="47" t="s">
        <v>2660</v>
      </c>
      <c r="C3871" s="48"/>
      <c r="F3871" s="171" t="s">
        <v>1698</v>
      </c>
      <c r="G3871" s="75">
        <f>G3863</f>
        <v>13050</v>
      </c>
    </row>
    <row r="3872" spans="1:7">
      <c r="A3872" s="847"/>
      <c r="B3872" s="78"/>
      <c r="C3872" s="48"/>
      <c r="E3872" s="261"/>
      <c r="F3872" s="171" t="s">
        <v>302</v>
      </c>
      <c r="G3872" s="205">
        <f>SUM(G3869:G3871)</f>
        <v>64500</v>
      </c>
    </row>
    <row r="3873" spans="1:8" ht="38.25" customHeight="1">
      <c r="A3873" s="847"/>
      <c r="B3873" s="1207" t="s">
        <v>1379</v>
      </c>
      <c r="C3873" s="1207"/>
      <c r="D3873" s="1207"/>
      <c r="E3873" s="922">
        <f>'BASIC DATA'!$C$577</f>
        <v>0.13614999999999999</v>
      </c>
      <c r="F3873" s="171" t="s">
        <v>1698</v>
      </c>
      <c r="G3873" s="31">
        <f>ROUND(G3872*E3873,2)</f>
        <v>8781.68</v>
      </c>
    </row>
    <row r="3874" spans="1:8">
      <c r="A3874" s="847"/>
      <c r="B3874" s="47" t="s">
        <v>1191</v>
      </c>
      <c r="C3874" s="48"/>
      <c r="D3874" s="68">
        <f>F3842</f>
        <v>100</v>
      </c>
      <c r="E3874" s="68" t="str">
        <f>G3842</f>
        <v>cum</v>
      </c>
      <c r="F3874" s="171" t="s">
        <v>1698</v>
      </c>
      <c r="G3874" s="211">
        <f>G3873+G3872</f>
        <v>73281.679999999993</v>
      </c>
    </row>
    <row r="3875" spans="1:8">
      <c r="A3875" s="847"/>
      <c r="B3875" s="79" t="s">
        <v>1584</v>
      </c>
      <c r="C3875" s="404" t="str">
        <f>E3874</f>
        <v>cum</v>
      </c>
      <c r="D3875" s="26" t="s">
        <v>5882</v>
      </c>
      <c r="F3875" s="171" t="s">
        <v>4108</v>
      </c>
      <c r="G3875" s="211">
        <f>ROUND(G3874/D3874,1)</f>
        <v>732.8</v>
      </c>
    </row>
    <row r="3876" spans="1:8">
      <c r="A3876" s="847"/>
      <c r="B3876" s="78"/>
      <c r="C3876" s="48"/>
    </row>
    <row r="3877" spans="1:8">
      <c r="A3877" s="847"/>
      <c r="B3877" s="78"/>
      <c r="C3877" s="48"/>
    </row>
    <row r="3878" spans="1:8" ht="18.75">
      <c r="A3878" s="841" t="s">
        <v>7461</v>
      </c>
      <c r="B3878" s="47" t="s">
        <v>8557</v>
      </c>
      <c r="C3878" s="48"/>
    </row>
    <row r="3879" spans="1:8">
      <c r="A3879" s="889"/>
      <c r="B3879" s="47" t="s">
        <v>968</v>
      </c>
      <c r="C3879" s="48"/>
    </row>
    <row r="3880" spans="1:8">
      <c r="A3880" s="889"/>
      <c r="B3880" s="47" t="s">
        <v>315</v>
      </c>
      <c r="C3880" s="48"/>
    </row>
    <row r="3881" spans="1:8">
      <c r="A3881" s="889"/>
      <c r="B3881" s="47" t="s">
        <v>3196</v>
      </c>
      <c r="C3881" s="48"/>
    </row>
    <row r="3882" spans="1:8">
      <c r="A3882" s="889"/>
      <c r="B3882" s="47" t="s">
        <v>3197</v>
      </c>
      <c r="C3882" s="48"/>
      <c r="F3882" s="78"/>
      <c r="G3882" s="27"/>
    </row>
    <row r="3883" spans="1:8" ht="18.75">
      <c r="A3883" s="889"/>
      <c r="B3883" s="47" t="s">
        <v>8720</v>
      </c>
      <c r="C3883" s="48"/>
    </row>
    <row r="3884" spans="1:8">
      <c r="A3884" s="889"/>
      <c r="C3884" s="48"/>
    </row>
    <row r="3885" spans="1:8" hidden="1">
      <c r="A3885" s="889" t="s">
        <v>3984</v>
      </c>
      <c r="B3885" s="47" t="s">
        <v>3198</v>
      </c>
      <c r="C3885" s="48"/>
      <c r="F3885" s="78"/>
    </row>
    <row r="3886" spans="1:8" hidden="1">
      <c r="A3886" s="889"/>
      <c r="B3886" s="47" t="s">
        <v>1453</v>
      </c>
      <c r="C3886" s="48"/>
    </row>
    <row r="3887" spans="1:8" hidden="1">
      <c r="A3887" s="889"/>
      <c r="B3887" s="47" t="s">
        <v>1454</v>
      </c>
      <c r="C3887" s="48"/>
      <c r="D3887" s="26" t="s">
        <v>1455</v>
      </c>
      <c r="G3887" s="68">
        <v>22.4</v>
      </c>
      <c r="H3887" s="26" t="s">
        <v>6901</v>
      </c>
    </row>
    <row r="3888" spans="1:8" hidden="1">
      <c r="A3888" s="889"/>
      <c r="B3888" s="47" t="s">
        <v>269</v>
      </c>
      <c r="C3888" s="48"/>
      <c r="D3888" s="26" t="s">
        <v>270</v>
      </c>
      <c r="F3888" s="78" t="s">
        <v>1697</v>
      </c>
      <c r="G3888" s="68">
        <v>16.8</v>
      </c>
      <c r="H3888" s="26" t="s">
        <v>6901</v>
      </c>
    </row>
    <row r="3889" spans="1:8" hidden="1">
      <c r="A3889" s="889"/>
      <c r="B3889" s="47" t="s">
        <v>282</v>
      </c>
      <c r="C3889" s="48"/>
      <c r="D3889" s="26" t="s">
        <v>270</v>
      </c>
      <c r="G3889" s="173">
        <v>16.8</v>
      </c>
      <c r="H3889" s="26" t="s">
        <v>6901</v>
      </c>
    </row>
    <row r="3890" spans="1:8" hidden="1">
      <c r="A3890" s="889"/>
      <c r="C3890" s="48"/>
      <c r="E3890" s="78" t="s">
        <v>1518</v>
      </c>
      <c r="F3890" s="78" t="s">
        <v>1697</v>
      </c>
      <c r="G3890" s="68">
        <v>56</v>
      </c>
      <c r="H3890" s="26" t="s">
        <v>6901</v>
      </c>
    </row>
    <row r="3891" spans="1:8" hidden="1">
      <c r="A3891" s="889"/>
      <c r="B3891" s="47" t="s">
        <v>4868</v>
      </c>
      <c r="C3891" s="48"/>
    </row>
    <row r="3892" spans="1:8" hidden="1">
      <c r="A3892" s="889"/>
      <c r="B3892" s="47" t="s">
        <v>6735</v>
      </c>
      <c r="C3892" s="48"/>
      <c r="G3892" s="26">
        <v>36.369999999999997</v>
      </c>
      <c r="H3892" s="26" t="s">
        <v>6901</v>
      </c>
    </row>
    <row r="3893" spans="1:8" hidden="1">
      <c r="A3893" s="889"/>
      <c r="B3893" s="47" t="s">
        <v>289</v>
      </c>
      <c r="C3893" s="48"/>
      <c r="G3893" s="26">
        <v>45.23</v>
      </c>
      <c r="H3893" s="26" t="s">
        <v>6901</v>
      </c>
    </row>
    <row r="3894" spans="1:8" hidden="1">
      <c r="A3894" s="889"/>
      <c r="B3894" s="47" t="s">
        <v>290</v>
      </c>
      <c r="C3894" s="48"/>
    </row>
    <row r="3895" spans="1:8" hidden="1">
      <c r="A3895" s="889"/>
      <c r="B3895" s="47" t="s">
        <v>565</v>
      </c>
      <c r="C3895" s="48"/>
      <c r="G3895" s="68">
        <v>38.4</v>
      </c>
      <c r="H3895" s="26" t="s">
        <v>6901</v>
      </c>
    </row>
    <row r="3896" spans="1:8" hidden="1">
      <c r="A3896" s="889"/>
      <c r="B3896" s="47" t="s">
        <v>4576</v>
      </c>
      <c r="C3896" s="48"/>
      <c r="G3896" s="174"/>
    </row>
    <row r="3897" spans="1:8" hidden="1">
      <c r="A3897" s="889"/>
      <c r="C3897" s="48"/>
      <c r="E3897" s="78" t="s">
        <v>1518</v>
      </c>
      <c r="F3897" s="78" t="s">
        <v>1697</v>
      </c>
      <c r="G3897" s="68">
        <v>120</v>
      </c>
      <c r="H3897" s="26" t="s">
        <v>6901</v>
      </c>
    </row>
    <row r="3898" spans="1:8" hidden="1">
      <c r="A3898" s="889"/>
      <c r="B3898" s="47" t="s">
        <v>566</v>
      </c>
      <c r="C3898" s="48"/>
      <c r="D3898" s="26" t="s">
        <v>567</v>
      </c>
      <c r="F3898" s="78" t="s">
        <v>1697</v>
      </c>
      <c r="G3898" s="68">
        <v>176</v>
      </c>
      <c r="H3898" s="26" t="s">
        <v>6901</v>
      </c>
    </row>
    <row r="3899" spans="1:8" hidden="1">
      <c r="A3899" s="889"/>
      <c r="B3899" s="47" t="s">
        <v>5819</v>
      </c>
      <c r="C3899" s="48"/>
    </row>
    <row r="3900" spans="1:8" hidden="1">
      <c r="A3900" s="889"/>
      <c r="B3900" s="47" t="s">
        <v>568</v>
      </c>
      <c r="C3900" s="48"/>
      <c r="D3900" s="26" t="s">
        <v>5820</v>
      </c>
      <c r="G3900" s="26">
        <f>(22.4+36.37)</f>
        <v>58.769999999999996</v>
      </c>
      <c r="H3900" s="26" t="s">
        <v>6901</v>
      </c>
    </row>
    <row r="3901" spans="1:8" hidden="1">
      <c r="A3901" s="889"/>
      <c r="B3901" s="47" t="s">
        <v>5821</v>
      </c>
      <c r="C3901" s="48"/>
      <c r="G3901" s="26">
        <f>(16.8*0.85+45.2*0.85)</f>
        <v>52.7</v>
      </c>
      <c r="H3901" s="26" t="s">
        <v>6901</v>
      </c>
    </row>
    <row r="3902" spans="1:8" hidden="1">
      <c r="A3902" s="889"/>
      <c r="B3902" s="47" t="s">
        <v>569</v>
      </c>
      <c r="C3902" s="48"/>
    </row>
    <row r="3903" spans="1:8" hidden="1">
      <c r="A3903" s="889"/>
      <c r="B3903" s="47" t="s">
        <v>5822</v>
      </c>
      <c r="C3903" s="48"/>
      <c r="G3903" s="68">
        <f>(16.8*0.15+45.2*0.15+16.8*0.75+38.4*0.75)</f>
        <v>50.7</v>
      </c>
      <c r="H3903" s="26" t="s">
        <v>6901</v>
      </c>
    </row>
    <row r="3904" spans="1:8" hidden="1">
      <c r="A3904" s="889"/>
      <c r="B3904" s="47" t="s">
        <v>5823</v>
      </c>
      <c r="C3904" s="48"/>
      <c r="G3904" s="68">
        <f>(16.8*0.25+38.4*0.25)</f>
        <v>13.8</v>
      </c>
      <c r="H3904" s="26" t="s">
        <v>6901</v>
      </c>
    </row>
    <row r="3905" spans="1:9" hidden="1">
      <c r="A3905" s="889"/>
      <c r="B3905" s="47" t="s">
        <v>5815</v>
      </c>
      <c r="C3905" s="48"/>
    </row>
    <row r="3906" spans="1:9" hidden="1">
      <c r="A3906" s="889"/>
      <c r="B3906" s="47" t="s">
        <v>5427</v>
      </c>
      <c r="C3906" s="48"/>
    </row>
    <row r="3907" spans="1:9" hidden="1">
      <c r="A3907" s="889"/>
      <c r="B3907" s="47" t="s">
        <v>5428</v>
      </c>
      <c r="C3907" s="48"/>
      <c r="F3907" s="78" t="s">
        <v>1697</v>
      </c>
      <c r="G3907" s="26">
        <v>20</v>
      </c>
      <c r="H3907" s="26" t="s">
        <v>3032</v>
      </c>
    </row>
    <row r="3908" spans="1:9" hidden="1">
      <c r="A3908" s="889"/>
      <c r="B3908" s="47" t="s">
        <v>5429</v>
      </c>
      <c r="C3908" s="48"/>
    </row>
    <row r="3909" spans="1:9" hidden="1">
      <c r="A3909" s="889"/>
      <c r="B3909" s="47" t="s">
        <v>5430</v>
      </c>
      <c r="C3909" s="48"/>
      <c r="F3909" s="78" t="s">
        <v>1697</v>
      </c>
      <c r="G3909" s="26">
        <v>40</v>
      </c>
      <c r="H3909" s="26" t="s">
        <v>3032</v>
      </c>
    </row>
    <row r="3910" spans="1:9" hidden="1">
      <c r="A3910" s="889"/>
      <c r="B3910" s="47" t="s">
        <v>4206</v>
      </c>
      <c r="C3910" s="48"/>
      <c r="F3910" s="78" t="s">
        <v>1697</v>
      </c>
      <c r="G3910" s="26">
        <v>1</v>
      </c>
      <c r="H3910" s="26" t="s">
        <v>3035</v>
      </c>
    </row>
    <row r="3911" spans="1:9">
      <c r="A3911" s="847"/>
      <c r="B3911" s="78"/>
      <c r="C3911" s="48"/>
    </row>
    <row r="3912" spans="1:9">
      <c r="A3912" s="889" t="s">
        <v>3984</v>
      </c>
      <c r="B3912" s="78"/>
      <c r="C3912" s="349" t="s">
        <v>2367</v>
      </c>
      <c r="E3912" s="171" t="s">
        <v>297</v>
      </c>
      <c r="F3912" s="246">
        <f>G3898</f>
        <v>176</v>
      </c>
      <c r="G3912" s="26" t="s">
        <v>3477</v>
      </c>
    </row>
    <row r="3913" spans="1:9">
      <c r="A3913" s="847"/>
      <c r="B3913" s="79" t="s">
        <v>2368</v>
      </c>
      <c r="C3913" s="48"/>
    </row>
    <row r="3914" spans="1:9">
      <c r="A3914" s="847"/>
      <c r="B3914" s="95" t="s">
        <v>2369</v>
      </c>
      <c r="C3914" s="350" t="s">
        <v>6374</v>
      </c>
      <c r="D3914" s="95" t="s">
        <v>2370</v>
      </c>
      <c r="E3914" s="95" t="s">
        <v>1166</v>
      </c>
      <c r="F3914" s="95" t="s">
        <v>2371</v>
      </c>
      <c r="G3914" s="95" t="s">
        <v>2372</v>
      </c>
    </row>
    <row r="3915" spans="1:9">
      <c r="A3915" s="847"/>
      <c r="B3915" s="114"/>
      <c r="C3915" s="351"/>
      <c r="D3915" s="114"/>
      <c r="E3915" s="114"/>
      <c r="F3915" s="114" t="s">
        <v>3485</v>
      </c>
      <c r="G3915" s="114" t="s">
        <v>3485</v>
      </c>
    </row>
    <row r="3916" spans="1:9">
      <c r="A3916" s="848"/>
      <c r="B3916" s="295">
        <v>1</v>
      </c>
      <c r="C3916" s="396" t="s">
        <v>7936</v>
      </c>
      <c r="D3916" s="295" t="s">
        <v>3477</v>
      </c>
      <c r="E3916" s="255">
        <f>G3900</f>
        <v>58.769999999999996</v>
      </c>
      <c r="F3916" s="255">
        <f>'BASIC DATA'!$D$55</f>
        <v>95</v>
      </c>
      <c r="G3916" s="281">
        <f>F3916*E3916</f>
        <v>5583.15</v>
      </c>
      <c r="H3916" s="61"/>
      <c r="I3916" s="61"/>
    </row>
    <row r="3917" spans="1:9">
      <c r="A3917" s="847"/>
      <c r="B3917" s="105">
        <v>2</v>
      </c>
      <c r="C3917" s="91" t="s">
        <v>6996</v>
      </c>
      <c r="D3917" s="105" t="s">
        <v>3477</v>
      </c>
      <c r="E3917" s="190">
        <f>G3901</f>
        <v>52.7</v>
      </c>
      <c r="F3917" s="190">
        <f>'BASIC DATA'!$D$36</f>
        <v>1175</v>
      </c>
      <c r="G3917" s="179">
        <f>F3917*E3917</f>
        <v>61922.5</v>
      </c>
    </row>
    <row r="3918" spans="1:9">
      <c r="A3918" s="847"/>
      <c r="B3918" s="105">
        <v>3</v>
      </c>
      <c r="C3918" s="91" t="s">
        <v>6995</v>
      </c>
      <c r="D3918" s="105" t="s">
        <v>3477</v>
      </c>
      <c r="E3918" s="190">
        <f>G3903</f>
        <v>50.7</v>
      </c>
      <c r="F3918" s="190">
        <f>'BASIC DATA'!$D$35</f>
        <v>1225</v>
      </c>
      <c r="G3918" s="179">
        <f>F3918*E3918</f>
        <v>62107.5</v>
      </c>
    </row>
    <row r="3919" spans="1:9">
      <c r="A3919" s="847"/>
      <c r="B3919" s="114">
        <v>4</v>
      </c>
      <c r="C3919" s="91" t="s">
        <v>570</v>
      </c>
      <c r="D3919" s="114" t="s">
        <v>3477</v>
      </c>
      <c r="E3919" s="190">
        <f>G3904</f>
        <v>13.8</v>
      </c>
      <c r="F3919" s="190">
        <f>'BASIC DATA'!$D$34</f>
        <v>900</v>
      </c>
      <c r="G3919" s="179">
        <f>F3919*E3919</f>
        <v>12420</v>
      </c>
    </row>
    <row r="3920" spans="1:9">
      <c r="A3920" s="847"/>
      <c r="B3920" s="92"/>
      <c r="C3920" s="353" t="s">
        <v>2376</v>
      </c>
      <c r="D3920" s="159"/>
      <c r="E3920" s="238"/>
      <c r="F3920" s="236" t="s">
        <v>1698</v>
      </c>
      <c r="G3920" s="318">
        <f>SUM(G3916:G3919)</f>
        <v>142033.15</v>
      </c>
    </row>
    <row r="3921" spans="1:7">
      <c r="A3921" s="847"/>
      <c r="B3921" s="78"/>
      <c r="C3921" s="48"/>
    </row>
    <row r="3922" spans="1:7">
      <c r="A3922" s="847"/>
      <c r="B3922" s="79" t="s">
        <v>2377</v>
      </c>
      <c r="C3922" s="48"/>
    </row>
    <row r="3923" spans="1:7">
      <c r="A3923" s="847"/>
      <c r="B3923" s="95" t="s">
        <v>2369</v>
      </c>
      <c r="C3923" s="350" t="s">
        <v>2378</v>
      </c>
      <c r="D3923" s="95" t="s">
        <v>2370</v>
      </c>
      <c r="E3923" s="95" t="s">
        <v>1166</v>
      </c>
      <c r="F3923" s="95" t="s">
        <v>2371</v>
      </c>
      <c r="G3923" s="95" t="s">
        <v>2372</v>
      </c>
    </row>
    <row r="3924" spans="1:7">
      <c r="A3924" s="847"/>
      <c r="B3924" s="114"/>
      <c r="C3924" s="351"/>
      <c r="D3924" s="114"/>
      <c r="E3924" s="114"/>
      <c r="F3924" s="114" t="s">
        <v>3485</v>
      </c>
      <c r="G3924" s="114" t="s">
        <v>3485</v>
      </c>
    </row>
    <row r="3925" spans="1:7">
      <c r="A3925" s="847"/>
      <c r="B3925" s="95">
        <v>1</v>
      </c>
      <c r="C3925" s="103" t="s">
        <v>4168</v>
      </c>
      <c r="D3925" s="95"/>
      <c r="E3925" s="220">
        <v>0</v>
      </c>
      <c r="F3925" s="214">
        <v>0</v>
      </c>
      <c r="G3925" s="179">
        <f>F3925*E3925</f>
        <v>0</v>
      </c>
    </row>
    <row r="3926" spans="1:7">
      <c r="A3926" s="847"/>
      <c r="B3926" s="116"/>
      <c r="C3926" s="355"/>
      <c r="D3926" s="105"/>
      <c r="E3926" s="220">
        <v>0</v>
      </c>
      <c r="F3926" s="214">
        <v>0</v>
      </c>
      <c r="G3926" s="179">
        <f>F3926*E3926</f>
        <v>0</v>
      </c>
    </row>
    <row r="3927" spans="1:7">
      <c r="A3927" s="847"/>
      <c r="B3927" s="176"/>
      <c r="C3927" s="357" t="s">
        <v>2380</v>
      </c>
      <c r="D3927" s="174"/>
      <c r="E3927" s="192"/>
      <c r="F3927" s="236" t="s">
        <v>1698</v>
      </c>
      <c r="G3927" s="354">
        <f>SUM(G3925:G3926)</f>
        <v>0</v>
      </c>
    </row>
    <row r="3928" spans="1:7">
      <c r="A3928" s="847"/>
      <c r="B3928" s="78"/>
      <c r="C3928" s="48"/>
    </row>
    <row r="3929" spans="1:7">
      <c r="A3929" s="847"/>
      <c r="B3929" s="79" t="s">
        <v>2381</v>
      </c>
      <c r="C3929" s="48"/>
    </row>
    <row r="3930" spans="1:7">
      <c r="A3930" s="847"/>
      <c r="B3930" s="95" t="s">
        <v>2369</v>
      </c>
      <c r="C3930" s="350" t="s">
        <v>2378</v>
      </c>
      <c r="D3930" s="95" t="s">
        <v>2370</v>
      </c>
      <c r="E3930" s="95" t="s">
        <v>1166</v>
      </c>
      <c r="F3930" s="95" t="s">
        <v>2371</v>
      </c>
      <c r="G3930" s="95" t="s">
        <v>2372</v>
      </c>
    </row>
    <row r="3931" spans="1:7">
      <c r="A3931" s="847"/>
      <c r="B3931" s="114"/>
      <c r="C3931" s="351"/>
      <c r="D3931" s="105"/>
      <c r="E3931" s="114"/>
      <c r="F3931" s="114" t="s">
        <v>3485</v>
      </c>
      <c r="G3931" s="114" t="s">
        <v>3485</v>
      </c>
    </row>
    <row r="3932" spans="1:7">
      <c r="A3932" s="847"/>
      <c r="B3932" s="105">
        <v>1</v>
      </c>
      <c r="C3932" s="86" t="s">
        <v>4206</v>
      </c>
      <c r="D3932" s="95" t="s">
        <v>1172</v>
      </c>
      <c r="E3932" s="207">
        <v>1</v>
      </c>
      <c r="F3932" s="190">
        <f>'BASIC DATA'!$C$473</f>
        <v>450</v>
      </c>
      <c r="G3932" s="179">
        <f>F3932*E3932</f>
        <v>450</v>
      </c>
    </row>
    <row r="3933" spans="1:7">
      <c r="A3933" s="847"/>
      <c r="B3933" s="105">
        <v>2</v>
      </c>
      <c r="C3933" s="86" t="s">
        <v>5430</v>
      </c>
      <c r="D3933" s="105" t="s">
        <v>1172</v>
      </c>
      <c r="E3933" s="207">
        <v>60</v>
      </c>
      <c r="F3933" s="190">
        <f>'BASIC DATA'!$C$552</f>
        <v>350</v>
      </c>
      <c r="G3933" s="179">
        <f>F3933*E3933</f>
        <v>21000</v>
      </c>
    </row>
    <row r="3934" spans="1:7">
      <c r="A3934" s="847"/>
      <c r="B3934" s="92"/>
      <c r="C3934" s="353" t="s">
        <v>1174</v>
      </c>
      <c r="D3934" s="159"/>
      <c r="E3934" s="238"/>
      <c r="F3934" s="236" t="s">
        <v>1698</v>
      </c>
      <c r="G3934" s="318">
        <f>SUM(G3932:G3933)</f>
        <v>21450</v>
      </c>
    </row>
    <row r="3935" spans="1:7">
      <c r="A3935" s="847"/>
      <c r="B3935" s="359" t="s">
        <v>5948</v>
      </c>
      <c r="C3935" s="48"/>
      <c r="D3935" s="31"/>
      <c r="E3935" s="85">
        <f>ROUND(G3934/F3912,1)</f>
        <v>121.9</v>
      </c>
    </row>
    <row r="3936" spans="1:7">
      <c r="A3936" s="847"/>
      <c r="B3936" s="359" t="s">
        <v>3163</v>
      </c>
      <c r="C3936" s="48"/>
      <c r="D3936" s="922">
        <f>'BASIC DATA'!$C$577</f>
        <v>0.13614999999999999</v>
      </c>
      <c r="E3936" s="85">
        <f>ROUND(E3935*D3936,1)</f>
        <v>16.600000000000001</v>
      </c>
    </row>
    <row r="3937" spans="1:7">
      <c r="A3937" s="847"/>
      <c r="B3937" s="359" t="s">
        <v>5949</v>
      </c>
      <c r="C3937" s="48"/>
      <c r="D3937" s="31"/>
      <c r="E3937" s="199">
        <f>ROUND(E3936+E3935,1)</f>
        <v>138.5</v>
      </c>
    </row>
    <row r="3938" spans="1:7">
      <c r="A3938" s="847"/>
      <c r="C3938" s="48"/>
    </row>
    <row r="3939" spans="1:7">
      <c r="A3939" s="847"/>
      <c r="B3939" s="162" t="s">
        <v>1175</v>
      </c>
      <c r="C3939" s="48"/>
    </row>
    <row r="3940" spans="1:7">
      <c r="A3940" s="847"/>
      <c r="B3940" s="47" t="s">
        <v>1176</v>
      </c>
      <c r="C3940" s="48"/>
      <c r="F3940" s="171" t="s">
        <v>1698</v>
      </c>
      <c r="G3940" s="68">
        <f>G3920</f>
        <v>142033.15</v>
      </c>
    </row>
    <row r="3941" spans="1:7">
      <c r="A3941" s="847"/>
      <c r="B3941" s="47" t="s">
        <v>1186</v>
      </c>
      <c r="C3941" s="48"/>
      <c r="F3941" s="171" t="s">
        <v>1698</v>
      </c>
      <c r="G3941" s="68">
        <f>G3927</f>
        <v>0</v>
      </c>
    </row>
    <row r="3942" spans="1:7">
      <c r="A3942" s="847"/>
      <c r="B3942" s="47" t="s">
        <v>2660</v>
      </c>
      <c r="C3942" s="48"/>
      <c r="F3942" s="171" t="s">
        <v>1698</v>
      </c>
      <c r="G3942" s="75">
        <f>G3934</f>
        <v>21450</v>
      </c>
    </row>
    <row r="3943" spans="1:7">
      <c r="A3943" s="847"/>
      <c r="B3943" s="78"/>
      <c r="C3943" s="48"/>
      <c r="E3943" s="261"/>
      <c r="F3943" s="171" t="s">
        <v>302</v>
      </c>
      <c r="G3943" s="205">
        <f>SUM(G3940:G3942)</f>
        <v>163483.15</v>
      </c>
    </row>
    <row r="3944" spans="1:7" ht="41.25" customHeight="1">
      <c r="A3944" s="847"/>
      <c r="B3944" s="1207" t="s">
        <v>1379</v>
      </c>
      <c r="C3944" s="1207"/>
      <c r="D3944" s="1207"/>
      <c r="E3944" s="922">
        <f>'BASIC DATA'!$C$577</f>
        <v>0.13614999999999999</v>
      </c>
      <c r="F3944" s="171" t="s">
        <v>1698</v>
      </c>
      <c r="G3944" s="31">
        <f>ROUND(G3943*E3944,2)</f>
        <v>22258.23</v>
      </c>
    </row>
    <row r="3945" spans="1:7">
      <c r="A3945" s="847"/>
      <c r="B3945" s="47" t="s">
        <v>1191</v>
      </c>
      <c r="C3945" s="48"/>
      <c r="D3945" s="68">
        <f>F3912</f>
        <v>176</v>
      </c>
      <c r="E3945" s="68" t="str">
        <f>G3912</f>
        <v>cum</v>
      </c>
      <c r="F3945" s="171" t="s">
        <v>1698</v>
      </c>
      <c r="G3945" s="211">
        <f>G3944+G3943</f>
        <v>185741.38</v>
      </c>
    </row>
    <row r="3946" spans="1:7">
      <c r="A3946" s="847"/>
      <c r="B3946" s="79" t="s">
        <v>1584</v>
      </c>
      <c r="C3946" s="404" t="str">
        <f>E3945</f>
        <v>cum</v>
      </c>
      <c r="D3946" s="26" t="s">
        <v>5883</v>
      </c>
      <c r="F3946" s="171" t="s">
        <v>4108</v>
      </c>
      <c r="G3946" s="211">
        <f>ROUND(G3945/D3945,1)</f>
        <v>1055.3</v>
      </c>
    </row>
    <row r="3947" spans="1:7">
      <c r="A3947" s="847"/>
      <c r="B3947" s="78"/>
      <c r="C3947" s="48"/>
    </row>
    <row r="3948" spans="1:7">
      <c r="A3948" s="847"/>
      <c r="B3948" s="78"/>
      <c r="C3948" s="48"/>
    </row>
    <row r="3949" spans="1:7" ht="36.75">
      <c r="A3949" s="841" t="s">
        <v>7462</v>
      </c>
      <c r="B3949" s="47" t="s">
        <v>8721</v>
      </c>
      <c r="C3949" s="48"/>
    </row>
    <row r="3950" spans="1:7" ht="18.75">
      <c r="A3950" s="889" t="s">
        <v>6935</v>
      </c>
      <c r="B3950" s="47" t="s">
        <v>8722</v>
      </c>
      <c r="C3950" s="48"/>
    </row>
    <row r="3951" spans="1:7" ht="18.75">
      <c r="A3951" s="889"/>
      <c r="B3951" s="47" t="s">
        <v>8723</v>
      </c>
      <c r="C3951" s="48"/>
    </row>
    <row r="3952" spans="1:7">
      <c r="A3952" s="895" t="s">
        <v>1535</v>
      </c>
      <c r="B3952" s="162" t="s">
        <v>2424</v>
      </c>
      <c r="C3952" s="48"/>
    </row>
    <row r="3953" spans="1:8">
      <c r="A3953" s="889"/>
      <c r="B3953" s="162" t="s">
        <v>2194</v>
      </c>
      <c r="C3953" s="48"/>
      <c r="F3953" s="78"/>
      <c r="G3953" s="27"/>
    </row>
    <row r="3954" spans="1:8">
      <c r="A3954" s="889"/>
      <c r="C3954" s="48"/>
      <c r="F3954" s="78"/>
      <c r="G3954" s="27"/>
    </row>
    <row r="3955" spans="1:8">
      <c r="A3955" s="889"/>
      <c r="C3955" s="48"/>
      <c r="F3955" s="78"/>
      <c r="G3955" s="27"/>
    </row>
    <row r="3956" spans="1:8">
      <c r="A3956" s="889"/>
      <c r="C3956" s="48"/>
    </row>
    <row r="3957" spans="1:8" hidden="1">
      <c r="A3957" s="889" t="s">
        <v>3984</v>
      </c>
      <c r="B3957" s="47" t="s">
        <v>1628</v>
      </c>
      <c r="C3957" s="48"/>
      <c r="F3957" s="78"/>
    </row>
    <row r="3958" spans="1:8" hidden="1">
      <c r="A3958" s="889"/>
      <c r="B3958" s="47" t="s">
        <v>1629</v>
      </c>
      <c r="C3958" s="48"/>
      <c r="G3958" s="68">
        <v>210</v>
      </c>
      <c r="H3958" s="26" t="s">
        <v>3479</v>
      </c>
    </row>
    <row r="3959" spans="1:8" hidden="1">
      <c r="A3959" s="889"/>
      <c r="B3959" s="47" t="s">
        <v>3100</v>
      </c>
      <c r="C3959" s="48"/>
      <c r="G3959" s="68">
        <f>100*0.2</f>
        <v>20</v>
      </c>
      <c r="H3959" s="26" t="s">
        <v>6901</v>
      </c>
    </row>
    <row r="3960" spans="1:8"/>
    <row r="3961" spans="1:8"/>
    <row r="3962" spans="1:8"/>
    <row r="3963" spans="1:8"/>
    <row r="3964" spans="1:8"/>
    <row r="3965" spans="1:8"/>
    <row r="3966" spans="1:8"/>
    <row r="3967" spans="1:8"/>
    <row r="3968" spans="1:8"/>
    <row r="3969" spans="1:7"/>
    <row r="3970" spans="1:7" hidden="1">
      <c r="A3970" s="847"/>
      <c r="B3970" s="47" t="s">
        <v>1630</v>
      </c>
      <c r="C3970" s="48"/>
    </row>
    <row r="3971" spans="1:7" hidden="1">
      <c r="A3971" s="847"/>
      <c r="B3971" s="47" t="s">
        <v>4260</v>
      </c>
      <c r="C3971" s="48"/>
    </row>
    <row r="3972" spans="1:7" hidden="1">
      <c r="A3972" s="847"/>
      <c r="B3972" s="78"/>
      <c r="C3972" s="48"/>
    </row>
    <row r="3973" spans="1:7">
      <c r="A3973" s="847"/>
      <c r="B3973" s="78"/>
      <c r="C3973" s="48"/>
    </row>
    <row r="3974" spans="1:7">
      <c r="A3974" s="847"/>
      <c r="B3974" s="78"/>
      <c r="C3974" s="48"/>
    </row>
    <row r="3975" spans="1:7">
      <c r="A3975" s="889" t="s">
        <v>3984</v>
      </c>
      <c r="B3975" s="78"/>
      <c r="C3975" s="349" t="s">
        <v>2367</v>
      </c>
      <c r="E3975" s="171" t="s">
        <v>297</v>
      </c>
      <c r="F3975" s="246">
        <v>100</v>
      </c>
      <c r="G3975" s="26" t="s">
        <v>3479</v>
      </c>
    </row>
    <row r="3976" spans="1:7">
      <c r="A3976" s="847"/>
      <c r="B3976" s="79" t="s">
        <v>2368</v>
      </c>
      <c r="C3976" s="48"/>
    </row>
    <row r="3977" spans="1:7">
      <c r="A3977" s="847"/>
      <c r="B3977" s="95" t="s">
        <v>2369</v>
      </c>
      <c r="C3977" s="350" t="s">
        <v>6374</v>
      </c>
      <c r="D3977" s="95" t="s">
        <v>2370</v>
      </c>
      <c r="E3977" s="95" t="s">
        <v>1166</v>
      </c>
      <c r="F3977" s="95" t="s">
        <v>2371</v>
      </c>
      <c r="G3977" s="95" t="s">
        <v>2372</v>
      </c>
    </row>
    <row r="3978" spans="1:7">
      <c r="A3978" s="847"/>
      <c r="B3978" s="114"/>
      <c r="C3978" s="351"/>
      <c r="D3978" s="114"/>
      <c r="E3978" s="114"/>
      <c r="F3978" s="114" t="s">
        <v>3485</v>
      </c>
      <c r="G3978" s="114" t="s">
        <v>3485</v>
      </c>
    </row>
    <row r="3979" spans="1:7">
      <c r="A3979" s="847"/>
      <c r="B3979" s="95">
        <v>1</v>
      </c>
      <c r="C3979" s="91" t="s">
        <v>2740</v>
      </c>
      <c r="D3979" s="95" t="s">
        <v>3479</v>
      </c>
      <c r="E3979" s="190">
        <f>G3958</f>
        <v>210</v>
      </c>
      <c r="F3979" s="190">
        <f>'BASIC DATA'!$D$59</f>
        <v>130</v>
      </c>
      <c r="G3979" s="179">
        <f>F3979*E3979</f>
        <v>27300</v>
      </c>
    </row>
    <row r="3980" spans="1:7">
      <c r="A3980" s="847"/>
      <c r="B3980" s="105">
        <v>2</v>
      </c>
      <c r="C3980" s="91" t="s">
        <v>5583</v>
      </c>
      <c r="D3980" s="105" t="s">
        <v>3477</v>
      </c>
      <c r="E3980" s="190">
        <f>0.75*G3959</f>
        <v>15</v>
      </c>
      <c r="F3980" s="190">
        <f>'BASIC DATA'!$D$35</f>
        <v>1225</v>
      </c>
      <c r="G3980" s="179">
        <f>F3980*E3980</f>
        <v>18375</v>
      </c>
    </row>
    <row r="3981" spans="1:7">
      <c r="A3981" s="847"/>
      <c r="B3981" s="116"/>
      <c r="C3981" s="91" t="s">
        <v>2445</v>
      </c>
      <c r="D3981" s="105" t="s">
        <v>3477</v>
      </c>
      <c r="E3981" s="190">
        <f>0.25*G3959</f>
        <v>5</v>
      </c>
      <c r="F3981" s="190">
        <f>'BASIC DATA'!$D$34</f>
        <v>900</v>
      </c>
      <c r="G3981" s="179">
        <f>F3981*E3981</f>
        <v>4500</v>
      </c>
    </row>
    <row r="3982" spans="1:7">
      <c r="A3982" s="847"/>
      <c r="B3982" s="158"/>
      <c r="C3982" s="406" t="s">
        <v>3101</v>
      </c>
      <c r="D3982" s="159"/>
      <c r="E3982" s="159"/>
      <c r="F3982" s="236" t="s">
        <v>1698</v>
      </c>
      <c r="G3982" s="407">
        <f>SUM(G3979:G3981)</f>
        <v>50175</v>
      </c>
    </row>
    <row r="3983" spans="1:7">
      <c r="A3983" s="847"/>
      <c r="B3983" s="78"/>
      <c r="C3983" s="48"/>
    </row>
    <row r="3984" spans="1:7">
      <c r="A3984" s="847"/>
      <c r="B3984" s="79" t="s">
        <v>2377</v>
      </c>
      <c r="C3984" s="48"/>
    </row>
    <row r="3985" spans="1:7">
      <c r="A3985" s="847"/>
      <c r="B3985" s="95" t="s">
        <v>2369</v>
      </c>
      <c r="C3985" s="350" t="s">
        <v>2378</v>
      </c>
      <c r="D3985" s="95" t="s">
        <v>2370</v>
      </c>
      <c r="E3985" s="95" t="s">
        <v>1166</v>
      </c>
      <c r="F3985" s="95" t="s">
        <v>2371</v>
      </c>
      <c r="G3985" s="95" t="s">
        <v>2372</v>
      </c>
    </row>
    <row r="3986" spans="1:7">
      <c r="A3986" s="847"/>
      <c r="B3986" s="114"/>
      <c r="C3986" s="351"/>
      <c r="D3986" s="114"/>
      <c r="E3986" s="114"/>
      <c r="F3986" s="114" t="s">
        <v>3485</v>
      </c>
      <c r="G3986" s="114" t="s">
        <v>3485</v>
      </c>
    </row>
    <row r="3987" spans="1:7">
      <c r="A3987" s="847"/>
      <c r="B3987" s="95">
        <v>1</v>
      </c>
      <c r="C3987" s="103" t="s">
        <v>4168</v>
      </c>
      <c r="D3987" s="95"/>
      <c r="E3987" s="220">
        <v>0</v>
      </c>
      <c r="F3987" s="214">
        <v>0</v>
      </c>
      <c r="G3987" s="179">
        <f>F3987*E3987</f>
        <v>0</v>
      </c>
    </row>
    <row r="3988" spans="1:7">
      <c r="A3988" s="847"/>
      <c r="B3988" s="152"/>
      <c r="C3988" s="355"/>
      <c r="D3988" s="105"/>
      <c r="E3988" s="220">
        <v>0</v>
      </c>
      <c r="F3988" s="214">
        <v>0</v>
      </c>
      <c r="G3988" s="179">
        <f>F3988*E3988</f>
        <v>0</v>
      </c>
    </row>
    <row r="3989" spans="1:7">
      <c r="A3989" s="847"/>
      <c r="B3989" s="92"/>
      <c r="C3989" s="353" t="s">
        <v>2380</v>
      </c>
      <c r="D3989" s="159"/>
      <c r="E3989" s="238"/>
      <c r="F3989" s="236" t="s">
        <v>1698</v>
      </c>
      <c r="G3989" s="354">
        <f>SUM(G3987:G3988)</f>
        <v>0</v>
      </c>
    </row>
    <row r="3990" spans="1:7">
      <c r="A3990" s="847"/>
      <c r="B3990" s="78"/>
      <c r="C3990" s="48"/>
    </row>
    <row r="3991" spans="1:7">
      <c r="A3991" s="847"/>
      <c r="B3991" s="79" t="s">
        <v>2381</v>
      </c>
      <c r="C3991" s="48"/>
    </row>
    <row r="3992" spans="1:7">
      <c r="A3992" s="847"/>
      <c r="B3992" s="95" t="s">
        <v>2369</v>
      </c>
      <c r="C3992" s="350" t="s">
        <v>2378</v>
      </c>
      <c r="D3992" s="95" t="s">
        <v>2370</v>
      </c>
      <c r="E3992" s="95" t="s">
        <v>1166</v>
      </c>
      <c r="F3992" s="95" t="s">
        <v>2371</v>
      </c>
      <c r="G3992" s="95" t="s">
        <v>2372</v>
      </c>
    </row>
    <row r="3993" spans="1:7">
      <c r="A3993" s="847"/>
      <c r="B3993" s="114"/>
      <c r="C3993" s="351"/>
      <c r="D3993" s="105"/>
      <c r="E3993" s="114"/>
      <c r="F3993" s="114" t="s">
        <v>3485</v>
      </c>
      <c r="G3993" s="114" t="s">
        <v>3485</v>
      </c>
    </row>
    <row r="3994" spans="1:7">
      <c r="A3994" s="847"/>
      <c r="B3994" s="105">
        <v>1</v>
      </c>
      <c r="C3994" s="86" t="s">
        <v>4206</v>
      </c>
      <c r="D3994" s="95" t="s">
        <v>1172</v>
      </c>
      <c r="E3994" s="207">
        <v>1</v>
      </c>
      <c r="F3994" s="190">
        <f>'BASIC DATA'!$C$473</f>
        <v>450</v>
      </c>
      <c r="G3994" s="179">
        <f>F3994*E3994</f>
        <v>450</v>
      </c>
    </row>
    <row r="3995" spans="1:7">
      <c r="A3995" s="847"/>
      <c r="B3995" s="105">
        <v>2</v>
      </c>
      <c r="C3995" s="86" t="s">
        <v>2696</v>
      </c>
      <c r="D3995" s="105" t="s">
        <v>1172</v>
      </c>
      <c r="E3995" s="207">
        <v>7</v>
      </c>
      <c r="F3995" s="190">
        <f>'BASIC DATA'!$C$552</f>
        <v>350</v>
      </c>
      <c r="G3995" s="179">
        <f>F3995*E3995</f>
        <v>2450</v>
      </c>
    </row>
    <row r="3996" spans="1:7">
      <c r="A3996" s="847"/>
      <c r="B3996" s="92"/>
      <c r="C3996" s="353" t="s">
        <v>1174</v>
      </c>
      <c r="D3996" s="159"/>
      <c r="E3996" s="238"/>
      <c r="F3996" s="236" t="s">
        <v>1698</v>
      </c>
      <c r="G3996" s="318">
        <f>SUM(G3994:G3995)</f>
        <v>2900</v>
      </c>
    </row>
    <row r="3997" spans="1:7">
      <c r="A3997" s="847"/>
      <c r="B3997" s="359" t="s">
        <v>5948</v>
      </c>
      <c r="C3997" s="48"/>
      <c r="D3997" s="31"/>
      <c r="E3997" s="85">
        <f>ROUND(G3996/F3975,1)</f>
        <v>29</v>
      </c>
      <c r="F3997" s="85"/>
    </row>
    <row r="3998" spans="1:7">
      <c r="A3998" s="847"/>
      <c r="B3998" s="359" t="s">
        <v>3163</v>
      </c>
      <c r="C3998" s="48"/>
      <c r="D3998" s="922">
        <f>'BASIC DATA'!$C$577</f>
        <v>0.13614999999999999</v>
      </c>
      <c r="E3998" s="85">
        <f>ROUND(E3997*D3998,1)</f>
        <v>3.9</v>
      </c>
      <c r="F3998" s="85"/>
    </row>
    <row r="3999" spans="1:7">
      <c r="A3999" s="847"/>
      <c r="B3999" s="359" t="s">
        <v>5949</v>
      </c>
      <c r="C3999" s="48"/>
      <c r="D3999" s="31"/>
      <c r="E3999" s="199">
        <f>ROUND(E3998+E3997,1)</f>
        <v>32.9</v>
      </c>
      <c r="F3999" s="85"/>
    </row>
    <row r="4000" spans="1:7">
      <c r="A4000" s="847"/>
      <c r="C4000" s="48"/>
    </row>
    <row r="4001" spans="1:7">
      <c r="A4001" s="847"/>
      <c r="B4001" s="162" t="s">
        <v>1175</v>
      </c>
      <c r="C4001" s="48"/>
    </row>
    <row r="4002" spans="1:7">
      <c r="A4002" s="847"/>
      <c r="B4002" s="47" t="s">
        <v>1176</v>
      </c>
      <c r="C4002" s="48"/>
      <c r="F4002" s="171" t="s">
        <v>1698</v>
      </c>
      <c r="G4002" s="68">
        <f>G3982</f>
        <v>50175</v>
      </c>
    </row>
    <row r="4003" spans="1:7">
      <c r="A4003" s="847"/>
      <c r="B4003" s="47" t="s">
        <v>1186</v>
      </c>
      <c r="C4003" s="48"/>
      <c r="F4003" s="171" t="s">
        <v>1698</v>
      </c>
      <c r="G4003" s="68">
        <f>G3989</f>
        <v>0</v>
      </c>
    </row>
    <row r="4004" spans="1:7">
      <c r="A4004" s="847"/>
      <c r="B4004" s="47" t="s">
        <v>2660</v>
      </c>
      <c r="C4004" s="48"/>
      <c r="F4004" s="171" t="s">
        <v>1698</v>
      </c>
      <c r="G4004" s="75">
        <f>G3996</f>
        <v>2900</v>
      </c>
    </row>
    <row r="4005" spans="1:7">
      <c r="A4005" s="847"/>
      <c r="B4005" s="78"/>
      <c r="C4005" s="48"/>
      <c r="E4005" s="261"/>
      <c r="F4005" s="171" t="s">
        <v>302</v>
      </c>
      <c r="G4005" s="205">
        <f>SUM(G4002:G4004)</f>
        <v>53075</v>
      </c>
    </row>
    <row r="4006" spans="1:7" ht="39" customHeight="1">
      <c r="A4006" s="847"/>
      <c r="B4006" s="1207" t="s">
        <v>1379</v>
      </c>
      <c r="C4006" s="1207"/>
      <c r="D4006" s="1207"/>
      <c r="E4006" s="922">
        <f>'BASIC DATA'!$C$577</f>
        <v>0.13614999999999999</v>
      </c>
      <c r="F4006" s="171" t="s">
        <v>1698</v>
      </c>
      <c r="G4006" s="31">
        <f>ROUND(G4005*E4006,2)</f>
        <v>7226.16</v>
      </c>
    </row>
    <row r="4007" spans="1:7">
      <c r="A4007" s="847"/>
      <c r="B4007" s="47" t="s">
        <v>1191</v>
      </c>
      <c r="C4007" s="48"/>
      <c r="D4007" s="68">
        <f>F3975</f>
        <v>100</v>
      </c>
      <c r="E4007" s="68" t="str">
        <f>G3975</f>
        <v>sqm</v>
      </c>
      <c r="F4007" s="171" t="s">
        <v>1698</v>
      </c>
      <c r="G4007" s="211">
        <f>G4006+G4005</f>
        <v>60301.16</v>
      </c>
    </row>
    <row r="4008" spans="1:7">
      <c r="A4008" s="847"/>
      <c r="B4008" s="79" t="s">
        <v>1584</v>
      </c>
      <c r="C4008" s="404" t="str">
        <f>E4007</f>
        <v>sqm</v>
      </c>
      <c r="D4008" s="26" t="s">
        <v>5882</v>
      </c>
      <c r="F4008" s="171" t="s">
        <v>4108</v>
      </c>
      <c r="G4008" s="211">
        <f>ROUND(G4007/D4007,1)</f>
        <v>603</v>
      </c>
    </row>
    <row r="4009" spans="1:7">
      <c r="A4009" s="847"/>
      <c r="B4009" s="78"/>
      <c r="C4009" s="48"/>
    </row>
    <row r="4010" spans="1:7">
      <c r="A4010" s="847"/>
      <c r="B4010" s="78"/>
      <c r="C4010" s="48"/>
    </row>
    <row r="4011" spans="1:7" ht="36.75">
      <c r="A4011" s="841" t="s">
        <v>7463</v>
      </c>
      <c r="B4011" s="47" t="s">
        <v>8724</v>
      </c>
      <c r="C4011" s="48"/>
    </row>
    <row r="4012" spans="1:7" ht="18.75">
      <c r="A4012" s="889" t="s">
        <v>2047</v>
      </c>
      <c r="B4012" s="47" t="s">
        <v>8722</v>
      </c>
      <c r="C4012" s="48"/>
    </row>
    <row r="4013" spans="1:7" ht="18.75">
      <c r="A4013" s="889"/>
      <c r="B4013" s="47" t="s">
        <v>8725</v>
      </c>
      <c r="C4013" s="48"/>
    </row>
    <row r="4014" spans="1:7">
      <c r="A4014" s="895"/>
      <c r="B4014" s="47" t="s">
        <v>8726</v>
      </c>
      <c r="C4014" s="48"/>
    </row>
    <row r="4015" spans="1:7">
      <c r="A4015" s="895" t="s">
        <v>5400</v>
      </c>
      <c r="B4015" s="162" t="s">
        <v>2425</v>
      </c>
      <c r="C4015" s="48"/>
      <c r="F4015" s="78"/>
      <c r="G4015" s="27"/>
    </row>
    <row r="4016" spans="1:7">
      <c r="A4016" s="889"/>
      <c r="C4016" s="48"/>
    </row>
    <row r="4017" spans="1:8" hidden="1">
      <c r="A4017" s="889" t="s">
        <v>3984</v>
      </c>
      <c r="B4017" s="47" t="s">
        <v>1628</v>
      </c>
      <c r="C4017" s="48"/>
      <c r="F4017" s="78"/>
    </row>
    <row r="4018" spans="1:8" hidden="1">
      <c r="A4018" s="889"/>
      <c r="B4018" s="47" t="s">
        <v>1629</v>
      </c>
      <c r="C4018" s="48"/>
      <c r="G4018" s="68">
        <v>210</v>
      </c>
      <c r="H4018" s="26" t="s">
        <v>3883</v>
      </c>
    </row>
    <row r="4019" spans="1:8" hidden="1">
      <c r="A4019" s="889"/>
      <c r="B4019" s="47" t="s">
        <v>3102</v>
      </c>
      <c r="C4019" s="48"/>
      <c r="G4019" s="68">
        <f>100*0.2</f>
        <v>20</v>
      </c>
      <c r="H4019" s="26" t="s">
        <v>6901</v>
      </c>
    </row>
    <row r="4020" spans="1:8" hidden="1">
      <c r="A4020" s="889"/>
      <c r="B4020" s="47" t="s">
        <v>1510</v>
      </c>
      <c r="C4020" s="48"/>
    </row>
    <row r="4021" spans="1:8" hidden="1">
      <c r="A4021" s="889"/>
      <c r="B4021" s="47" t="s">
        <v>3495</v>
      </c>
      <c r="C4021" s="48"/>
    </row>
    <row r="4022" spans="1:8">
      <c r="A4022" s="847"/>
      <c r="B4022" s="78"/>
      <c r="C4022" s="48"/>
    </row>
    <row r="4023" spans="1:8">
      <c r="A4023" s="847" t="s">
        <v>2039</v>
      </c>
      <c r="B4023" s="78"/>
      <c r="C4023" s="349" t="s">
        <v>2367</v>
      </c>
      <c r="E4023" s="171" t="s">
        <v>297</v>
      </c>
      <c r="F4023" s="246">
        <v>100</v>
      </c>
      <c r="G4023" s="26" t="s">
        <v>3479</v>
      </c>
    </row>
    <row r="4024" spans="1:8">
      <c r="A4024" s="847"/>
      <c r="B4024" s="79" t="s">
        <v>2368</v>
      </c>
      <c r="C4024" s="48"/>
    </row>
    <row r="4025" spans="1:8">
      <c r="A4025" s="847"/>
      <c r="B4025" s="95" t="s">
        <v>2369</v>
      </c>
      <c r="C4025" s="350" t="s">
        <v>6374</v>
      </c>
      <c r="D4025" s="95" t="s">
        <v>2370</v>
      </c>
      <c r="E4025" s="95" t="s">
        <v>1166</v>
      </c>
      <c r="F4025" s="95" t="s">
        <v>2371</v>
      </c>
      <c r="G4025" s="95" t="s">
        <v>2372</v>
      </c>
    </row>
    <row r="4026" spans="1:8">
      <c r="A4026" s="847"/>
      <c r="B4026" s="114"/>
      <c r="C4026" s="351"/>
      <c r="D4026" s="114"/>
      <c r="E4026" s="114"/>
      <c r="F4026" s="114" t="s">
        <v>3485</v>
      </c>
      <c r="G4026" s="114" t="s">
        <v>3485</v>
      </c>
    </row>
    <row r="4027" spans="1:8">
      <c r="A4027" s="847"/>
      <c r="B4027" s="95">
        <v>1</v>
      </c>
      <c r="C4027" s="91" t="s">
        <v>1659</v>
      </c>
      <c r="D4027" s="95" t="s">
        <v>3479</v>
      </c>
      <c r="E4027" s="190">
        <f>G4018</f>
        <v>210</v>
      </c>
      <c r="F4027" s="190">
        <f>'BASIC DATA'!$D$60</f>
        <v>150</v>
      </c>
      <c r="G4027" s="179">
        <f>F4027*E4027</f>
        <v>31500</v>
      </c>
    </row>
    <row r="4028" spans="1:8">
      <c r="A4028" s="847"/>
      <c r="B4028" s="105">
        <v>2</v>
      </c>
      <c r="C4028" s="91" t="s">
        <v>5583</v>
      </c>
      <c r="D4028" s="105" t="s">
        <v>3477</v>
      </c>
      <c r="E4028" s="190">
        <f>0.75*G4019</f>
        <v>15</v>
      </c>
      <c r="F4028" s="190">
        <f>'BASIC DATA'!$D$35</f>
        <v>1225</v>
      </c>
      <c r="G4028" s="179">
        <f>F4028*E4028</f>
        <v>18375</v>
      </c>
    </row>
    <row r="4029" spans="1:8">
      <c r="A4029" s="847"/>
      <c r="B4029" s="116"/>
      <c r="C4029" s="91" t="s">
        <v>2445</v>
      </c>
      <c r="D4029" s="114" t="s">
        <v>3477</v>
      </c>
      <c r="E4029" s="190">
        <f>0.25*G4019</f>
        <v>5</v>
      </c>
      <c r="F4029" s="190">
        <f>'BASIC DATA'!$D$34</f>
        <v>900</v>
      </c>
      <c r="G4029" s="179">
        <f>F4029*E4029</f>
        <v>4500</v>
      </c>
    </row>
    <row r="4030" spans="1:8">
      <c r="A4030" s="847"/>
      <c r="B4030" s="92"/>
      <c r="C4030" s="353" t="s">
        <v>2376</v>
      </c>
      <c r="D4030" s="159"/>
      <c r="E4030" s="238"/>
      <c r="F4030" s="236" t="s">
        <v>1698</v>
      </c>
      <c r="G4030" s="318">
        <f>SUM(G4027:G4029)</f>
        <v>54375</v>
      </c>
    </row>
    <row r="4031" spans="1:8">
      <c r="A4031" s="847"/>
      <c r="B4031" s="78"/>
      <c r="C4031" s="48"/>
    </row>
    <row r="4032" spans="1:8">
      <c r="A4032" s="847"/>
      <c r="B4032" s="79" t="s">
        <v>2377</v>
      </c>
      <c r="C4032" s="48"/>
    </row>
    <row r="4033" spans="1:7">
      <c r="A4033" s="847"/>
      <c r="B4033" s="95" t="s">
        <v>2369</v>
      </c>
      <c r="C4033" s="350" t="s">
        <v>2378</v>
      </c>
      <c r="D4033" s="95" t="s">
        <v>2370</v>
      </c>
      <c r="E4033" s="95" t="s">
        <v>1166</v>
      </c>
      <c r="F4033" s="95" t="s">
        <v>2371</v>
      </c>
      <c r="G4033" s="95" t="s">
        <v>2372</v>
      </c>
    </row>
    <row r="4034" spans="1:7">
      <c r="A4034" s="847"/>
      <c r="B4034" s="114"/>
      <c r="C4034" s="351"/>
      <c r="D4034" s="114"/>
      <c r="E4034" s="114"/>
      <c r="F4034" s="114" t="s">
        <v>3485</v>
      </c>
      <c r="G4034" s="114" t="s">
        <v>3485</v>
      </c>
    </row>
    <row r="4035" spans="1:7">
      <c r="A4035" s="847"/>
      <c r="B4035" s="95">
        <v>1</v>
      </c>
      <c r="C4035" s="103" t="s">
        <v>4168</v>
      </c>
      <c r="D4035" s="95"/>
      <c r="E4035" s="220">
        <v>0</v>
      </c>
      <c r="F4035" s="214">
        <v>0</v>
      </c>
      <c r="G4035" s="179">
        <f>F4035*E4035</f>
        <v>0</v>
      </c>
    </row>
    <row r="4036" spans="1:7">
      <c r="A4036" s="847"/>
      <c r="B4036" s="116"/>
      <c r="C4036" s="355"/>
      <c r="D4036" s="105"/>
      <c r="E4036" s="220">
        <v>0</v>
      </c>
      <c r="F4036" s="214">
        <v>0</v>
      </c>
      <c r="G4036" s="179">
        <f>F4036*E4036</f>
        <v>0</v>
      </c>
    </row>
    <row r="4037" spans="1:7">
      <c r="A4037" s="847"/>
      <c r="B4037" s="176"/>
      <c r="C4037" s="357" t="s">
        <v>2380</v>
      </c>
      <c r="D4037" s="174"/>
      <c r="E4037" s="192"/>
      <c r="F4037" s="236" t="s">
        <v>1698</v>
      </c>
      <c r="G4037" s="354">
        <f>SUM(G4035:G4036)</f>
        <v>0</v>
      </c>
    </row>
    <row r="4038" spans="1:7">
      <c r="A4038" s="847"/>
      <c r="B4038" s="78"/>
      <c r="C4038" s="48"/>
    </row>
    <row r="4039" spans="1:7">
      <c r="A4039" s="847"/>
      <c r="B4039" s="79" t="s">
        <v>2381</v>
      </c>
      <c r="C4039" s="48"/>
    </row>
    <row r="4040" spans="1:7">
      <c r="A4040" s="847"/>
      <c r="B4040" s="95" t="s">
        <v>2369</v>
      </c>
      <c r="C4040" s="350" t="s">
        <v>2378</v>
      </c>
      <c r="D4040" s="95" t="s">
        <v>2370</v>
      </c>
      <c r="E4040" s="95" t="s">
        <v>1166</v>
      </c>
      <c r="F4040" s="95" t="s">
        <v>2371</v>
      </c>
      <c r="G4040" s="95" t="s">
        <v>2372</v>
      </c>
    </row>
    <row r="4041" spans="1:7">
      <c r="A4041" s="847"/>
      <c r="B4041" s="114"/>
      <c r="C4041" s="351"/>
      <c r="D4041" s="105"/>
      <c r="E4041" s="114"/>
      <c r="F4041" s="114" t="s">
        <v>3485</v>
      </c>
      <c r="G4041" s="114" t="s">
        <v>3485</v>
      </c>
    </row>
    <row r="4042" spans="1:7">
      <c r="A4042" s="847"/>
      <c r="B4042" s="105">
        <v>1</v>
      </c>
      <c r="C4042" s="86" t="s">
        <v>4206</v>
      </c>
      <c r="D4042" s="95" t="s">
        <v>1172</v>
      </c>
      <c r="E4042" s="207">
        <v>1</v>
      </c>
      <c r="F4042" s="190">
        <f>'BASIC DATA'!$C$473</f>
        <v>450</v>
      </c>
      <c r="G4042" s="179">
        <f>F4042*E4042</f>
        <v>450</v>
      </c>
    </row>
    <row r="4043" spans="1:7">
      <c r="A4043" s="847"/>
      <c r="B4043" s="105">
        <v>2</v>
      </c>
      <c r="C4043" s="86" t="s">
        <v>2696</v>
      </c>
      <c r="D4043" s="105" t="s">
        <v>1172</v>
      </c>
      <c r="E4043" s="207">
        <v>7</v>
      </c>
      <c r="F4043" s="190">
        <f>'BASIC DATA'!$C$552</f>
        <v>350</v>
      </c>
      <c r="G4043" s="179">
        <f>F4043*E4043</f>
        <v>2450</v>
      </c>
    </row>
    <row r="4044" spans="1:7">
      <c r="A4044" s="847"/>
      <c r="B4044" s="92"/>
      <c r="C4044" s="353" t="s">
        <v>1174</v>
      </c>
      <c r="D4044" s="159"/>
      <c r="E4044" s="238"/>
      <c r="F4044" s="236" t="s">
        <v>1698</v>
      </c>
      <c r="G4044" s="318">
        <f>SUM(G4042:G4043)</f>
        <v>2900</v>
      </c>
    </row>
    <row r="4045" spans="1:7">
      <c r="A4045" s="847"/>
      <c r="B4045" s="359" t="s">
        <v>5948</v>
      </c>
      <c r="C4045" s="48"/>
      <c r="D4045" s="31"/>
      <c r="E4045" s="85">
        <f>ROUND(G4044/F4023,1)</f>
        <v>29</v>
      </c>
      <c r="F4045" s="85"/>
    </row>
    <row r="4046" spans="1:7">
      <c r="A4046" s="847"/>
      <c r="B4046" s="359" t="s">
        <v>3163</v>
      </c>
      <c r="C4046" s="48"/>
      <c r="D4046" s="922">
        <f>'BASIC DATA'!$C$577</f>
        <v>0.13614999999999999</v>
      </c>
      <c r="E4046" s="85">
        <f>ROUND(E4045*D4046,1)</f>
        <v>3.9</v>
      </c>
      <c r="F4046" s="85"/>
    </row>
    <row r="4047" spans="1:7">
      <c r="A4047" s="847"/>
      <c r="B4047" s="359" t="s">
        <v>5949</v>
      </c>
      <c r="C4047" s="48"/>
      <c r="D4047" s="31"/>
      <c r="E4047" s="199">
        <f>ROUND(E4046+E4045,1)</f>
        <v>32.9</v>
      </c>
      <c r="F4047" s="85"/>
    </row>
    <row r="4048" spans="1:7">
      <c r="A4048" s="847"/>
      <c r="C4048" s="48"/>
    </row>
    <row r="4049" spans="1:7">
      <c r="A4049" s="847"/>
      <c r="B4049" s="162" t="s">
        <v>1175</v>
      </c>
      <c r="C4049" s="48"/>
    </row>
    <row r="4050" spans="1:7">
      <c r="A4050" s="847"/>
      <c r="B4050" s="47" t="s">
        <v>1176</v>
      </c>
      <c r="C4050" s="48"/>
      <c r="F4050" s="171" t="s">
        <v>1698</v>
      </c>
      <c r="G4050" s="68">
        <f>G4030</f>
        <v>54375</v>
      </c>
    </row>
    <row r="4051" spans="1:7">
      <c r="A4051" s="847"/>
      <c r="B4051" s="47" t="s">
        <v>1186</v>
      </c>
      <c r="C4051" s="48"/>
      <c r="F4051" s="171" t="s">
        <v>1698</v>
      </c>
      <c r="G4051" s="68">
        <f>G4037</f>
        <v>0</v>
      </c>
    </row>
    <row r="4052" spans="1:7">
      <c r="A4052" s="847"/>
      <c r="B4052" s="47" t="s">
        <v>2660</v>
      </c>
      <c r="C4052" s="48"/>
      <c r="F4052" s="171" t="s">
        <v>1698</v>
      </c>
      <c r="G4052" s="75">
        <f>G4044</f>
        <v>2900</v>
      </c>
    </row>
    <row r="4053" spans="1:7">
      <c r="A4053" s="847"/>
      <c r="B4053" s="78"/>
      <c r="C4053" s="48"/>
      <c r="E4053" s="261"/>
      <c r="F4053" s="171" t="s">
        <v>302</v>
      </c>
      <c r="G4053" s="205">
        <f>SUM(G4050:G4052)</f>
        <v>57275</v>
      </c>
    </row>
    <row r="4054" spans="1:7" ht="38.25" customHeight="1">
      <c r="A4054" s="847"/>
      <c r="B4054" s="1207" t="s">
        <v>1379</v>
      </c>
      <c r="C4054" s="1207"/>
      <c r="D4054" s="1207"/>
      <c r="E4054" s="922">
        <f>'BASIC DATA'!$C$577</f>
        <v>0.13614999999999999</v>
      </c>
      <c r="F4054" s="171" t="s">
        <v>1698</v>
      </c>
      <c r="G4054" s="31">
        <f>ROUND(G4053*E4054,2)</f>
        <v>7797.99</v>
      </c>
    </row>
    <row r="4055" spans="1:7">
      <c r="A4055" s="847"/>
      <c r="B4055" s="47" t="s">
        <v>1191</v>
      </c>
      <c r="C4055" s="48"/>
      <c r="D4055" s="68">
        <f>F4023</f>
        <v>100</v>
      </c>
      <c r="E4055" s="68" t="str">
        <f>G4023</f>
        <v>sqm</v>
      </c>
      <c r="F4055" s="171" t="s">
        <v>1698</v>
      </c>
      <c r="G4055" s="211">
        <f>G4054+G4053</f>
        <v>65072.99</v>
      </c>
    </row>
    <row r="4056" spans="1:7">
      <c r="A4056" s="847"/>
      <c r="B4056" s="79" t="s">
        <v>1584</v>
      </c>
      <c r="C4056" s="404" t="str">
        <f>E4055</f>
        <v>sqm</v>
      </c>
      <c r="D4056" s="26" t="s">
        <v>5882</v>
      </c>
      <c r="F4056" s="171" t="s">
        <v>4108</v>
      </c>
      <c r="G4056" s="211">
        <f>ROUND(G4055/D4055,1)</f>
        <v>650.70000000000005</v>
      </c>
    </row>
    <row r="4057" spans="1:7">
      <c r="A4057" s="847"/>
      <c r="B4057" s="78"/>
      <c r="C4057" s="48"/>
    </row>
    <row r="4058" spans="1:7">
      <c r="A4058" s="841" t="s">
        <v>7464</v>
      </c>
      <c r="B4058" s="79" t="s">
        <v>1447</v>
      </c>
      <c r="C4058" s="48"/>
    </row>
    <row r="4059" spans="1:7"/>
    <row r="4060" spans="1:7" ht="18.75">
      <c r="A4060" s="841" t="s">
        <v>7465</v>
      </c>
      <c r="B4060" s="47" t="s">
        <v>8727</v>
      </c>
      <c r="C4060" s="48"/>
    </row>
    <row r="4061" spans="1:7">
      <c r="A4061" s="889"/>
      <c r="B4061" s="47" t="s">
        <v>8728</v>
      </c>
      <c r="C4061" s="48"/>
    </row>
    <row r="4062" spans="1:7">
      <c r="A4062" s="889"/>
      <c r="B4062" s="47" t="s">
        <v>1660</v>
      </c>
      <c r="C4062" s="48"/>
    </row>
    <row r="4063" spans="1:7" ht="18.75">
      <c r="A4063" s="895"/>
      <c r="B4063" s="162" t="s">
        <v>8715</v>
      </c>
      <c r="C4063" s="48"/>
    </row>
    <row r="4064" spans="1:7">
      <c r="A4064" s="895"/>
      <c r="C4064" s="48"/>
      <c r="F4064" s="78"/>
      <c r="G4064" s="27"/>
    </row>
    <row r="4065" spans="1:8" hidden="1">
      <c r="A4065" s="889" t="s">
        <v>3984</v>
      </c>
      <c r="B4065" s="47" t="s">
        <v>1789</v>
      </c>
      <c r="C4065" s="48"/>
      <c r="F4065" s="78"/>
    </row>
    <row r="4066" spans="1:8" hidden="1">
      <c r="A4066" s="889"/>
      <c r="B4066" s="47" t="s">
        <v>1790</v>
      </c>
      <c r="C4066" s="48"/>
      <c r="F4066" s="78" t="s">
        <v>1697</v>
      </c>
      <c r="G4066" s="68">
        <v>100</v>
      </c>
      <c r="H4066" s="26" t="s">
        <v>6901</v>
      </c>
    </row>
    <row r="4067" spans="1:8" hidden="1">
      <c r="A4067" s="889"/>
      <c r="B4067" s="47" t="s">
        <v>4196</v>
      </c>
      <c r="C4067" s="48"/>
      <c r="F4067" s="78" t="s">
        <v>1697</v>
      </c>
      <c r="G4067" s="68">
        <v>15</v>
      </c>
      <c r="H4067" s="26" t="s">
        <v>6901</v>
      </c>
    </row>
    <row r="4068" spans="1:8" hidden="1">
      <c r="A4068" s="889"/>
      <c r="B4068" s="47" t="s">
        <v>2753</v>
      </c>
      <c r="C4068" s="48"/>
    </row>
    <row r="4069" spans="1:8" hidden="1">
      <c r="A4069" s="889"/>
      <c r="B4069" s="47" t="s">
        <v>5264</v>
      </c>
      <c r="C4069" s="48"/>
    </row>
    <row r="4070" spans="1:8" hidden="1">
      <c r="A4070" s="889"/>
      <c r="B4070" s="47" t="s">
        <v>5265</v>
      </c>
      <c r="C4070" s="48"/>
    </row>
    <row r="4071" spans="1:8" hidden="1">
      <c r="A4071" s="889"/>
      <c r="B4071" s="47" t="s">
        <v>4370</v>
      </c>
      <c r="C4071" s="48"/>
    </row>
    <row r="4072" spans="1:8">
      <c r="A4072" s="847"/>
      <c r="B4072" s="78"/>
      <c r="C4072" s="48"/>
    </row>
    <row r="4073" spans="1:8">
      <c r="A4073" s="847" t="s">
        <v>1907</v>
      </c>
      <c r="B4073" s="78"/>
      <c r="C4073" s="349" t="s">
        <v>2367</v>
      </c>
      <c r="E4073" s="171" t="s">
        <v>297</v>
      </c>
      <c r="F4073" s="246">
        <f>G4066</f>
        <v>100</v>
      </c>
      <c r="G4073" s="26" t="s">
        <v>3477</v>
      </c>
    </row>
    <row r="4074" spans="1:8">
      <c r="A4074" s="847"/>
      <c r="B4074" s="79" t="s">
        <v>2368</v>
      </c>
      <c r="C4074" s="48"/>
    </row>
    <row r="4075" spans="1:8">
      <c r="A4075" s="847"/>
      <c r="B4075" s="95" t="s">
        <v>2369</v>
      </c>
      <c r="C4075" s="350" t="s">
        <v>6374</v>
      </c>
      <c r="D4075" s="95" t="s">
        <v>2370</v>
      </c>
      <c r="E4075" s="95" t="s">
        <v>1166</v>
      </c>
      <c r="F4075" s="95" t="s">
        <v>2371</v>
      </c>
      <c r="G4075" s="95" t="s">
        <v>2372</v>
      </c>
    </row>
    <row r="4076" spans="1:8">
      <c r="A4076" s="847"/>
      <c r="B4076" s="114"/>
      <c r="C4076" s="351"/>
      <c r="D4076" s="114"/>
      <c r="E4076" s="114"/>
      <c r="F4076" s="114" t="s">
        <v>3485</v>
      </c>
      <c r="G4076" s="114" t="s">
        <v>3485</v>
      </c>
    </row>
    <row r="4077" spans="1:8">
      <c r="A4077" s="847"/>
      <c r="B4077" s="95">
        <v>1</v>
      </c>
      <c r="C4077" s="91" t="s">
        <v>4201</v>
      </c>
      <c r="D4077" s="95" t="s">
        <v>3477</v>
      </c>
      <c r="E4077" s="190">
        <f>G4066</f>
        <v>100</v>
      </c>
      <c r="F4077" s="190">
        <f>'BASIC DATA'!$D$108</f>
        <v>318</v>
      </c>
      <c r="G4077" s="179">
        <f>F4077*E4077</f>
        <v>31800</v>
      </c>
    </row>
    <row r="4078" spans="1:8">
      <c r="A4078" s="847"/>
      <c r="B4078" s="114">
        <v>2</v>
      </c>
      <c r="C4078" s="91" t="s">
        <v>4202</v>
      </c>
      <c r="D4078" s="114"/>
      <c r="E4078" s="190">
        <f>G4067</f>
        <v>15</v>
      </c>
      <c r="F4078" s="190">
        <f>'BASIC DATA'!$D$96</f>
        <v>350</v>
      </c>
      <c r="G4078" s="179">
        <f>F4078*E4078</f>
        <v>5250</v>
      </c>
    </row>
    <row r="4079" spans="1:8">
      <c r="A4079" s="847"/>
      <c r="B4079" s="92"/>
      <c r="C4079" s="353" t="s">
        <v>2376</v>
      </c>
      <c r="D4079" s="159"/>
      <c r="E4079" s="238"/>
      <c r="F4079" s="236" t="s">
        <v>1698</v>
      </c>
      <c r="G4079" s="318">
        <f>SUM(G4077:G4078)</f>
        <v>37050</v>
      </c>
    </row>
    <row r="4080" spans="1:8">
      <c r="A4080" s="847"/>
      <c r="B4080" s="78"/>
      <c r="C4080" s="48"/>
    </row>
    <row r="4081" spans="1:7">
      <c r="A4081" s="847"/>
      <c r="B4081" s="79" t="s">
        <v>2377</v>
      </c>
      <c r="C4081" s="48"/>
    </row>
    <row r="4082" spans="1:7">
      <c r="A4082" s="847"/>
      <c r="B4082" s="95" t="s">
        <v>2369</v>
      </c>
      <c r="C4082" s="350" t="s">
        <v>2378</v>
      </c>
      <c r="D4082" s="95" t="s">
        <v>2370</v>
      </c>
      <c r="E4082" s="95" t="s">
        <v>1166</v>
      </c>
      <c r="F4082" s="95" t="s">
        <v>2371</v>
      </c>
      <c r="G4082" s="95" t="s">
        <v>2372</v>
      </c>
    </row>
    <row r="4083" spans="1:7">
      <c r="A4083" s="847"/>
      <c r="B4083" s="114"/>
      <c r="C4083" s="351"/>
      <c r="D4083" s="114"/>
      <c r="E4083" s="114"/>
      <c r="F4083" s="114" t="s">
        <v>3485</v>
      </c>
      <c r="G4083" s="114" t="s">
        <v>3485</v>
      </c>
    </row>
    <row r="4084" spans="1:7">
      <c r="A4084" s="847"/>
      <c r="B4084" s="95">
        <v>1</v>
      </c>
      <c r="C4084" s="103" t="s">
        <v>4168</v>
      </c>
      <c r="D4084" s="95"/>
      <c r="E4084" s="220">
        <v>0</v>
      </c>
      <c r="F4084" s="214">
        <v>0</v>
      </c>
      <c r="G4084" s="179">
        <f>F4084*E4084</f>
        <v>0</v>
      </c>
    </row>
    <row r="4085" spans="1:7">
      <c r="A4085" s="847"/>
      <c r="B4085" s="116"/>
      <c r="C4085" s="355"/>
      <c r="D4085" s="105"/>
      <c r="E4085" s="220">
        <v>0</v>
      </c>
      <c r="F4085" s="214">
        <v>0</v>
      </c>
      <c r="G4085" s="179">
        <f>F4085*E4085</f>
        <v>0</v>
      </c>
    </row>
    <row r="4086" spans="1:7">
      <c r="A4086" s="847"/>
      <c r="B4086" s="176"/>
      <c r="C4086" s="357" t="s">
        <v>2380</v>
      </c>
      <c r="D4086" s="174"/>
      <c r="E4086" s="192"/>
      <c r="F4086" s="236" t="s">
        <v>1698</v>
      </c>
      <c r="G4086" s="354">
        <f>SUM(G4084:G4085)</f>
        <v>0</v>
      </c>
    </row>
    <row r="4087" spans="1:7">
      <c r="A4087" s="847"/>
      <c r="B4087" s="78"/>
      <c r="C4087" s="48"/>
    </row>
    <row r="4088" spans="1:7">
      <c r="A4088" s="847"/>
      <c r="B4088" s="79" t="s">
        <v>2381</v>
      </c>
      <c r="C4088" s="48"/>
    </row>
    <row r="4089" spans="1:7">
      <c r="A4089" s="847"/>
      <c r="B4089" s="95" t="s">
        <v>2369</v>
      </c>
      <c r="C4089" s="350" t="s">
        <v>2378</v>
      </c>
      <c r="D4089" s="95" t="s">
        <v>2370</v>
      </c>
      <c r="E4089" s="95" t="s">
        <v>1166</v>
      </c>
      <c r="F4089" s="95" t="s">
        <v>2371</v>
      </c>
      <c r="G4089" s="95" t="s">
        <v>2372</v>
      </c>
    </row>
    <row r="4090" spans="1:7">
      <c r="A4090" s="847"/>
      <c r="B4090" s="114"/>
      <c r="C4090" s="351"/>
      <c r="D4090" s="105"/>
      <c r="E4090" s="114"/>
      <c r="F4090" s="114" t="s">
        <v>3485</v>
      </c>
      <c r="G4090" s="114" t="s">
        <v>3485</v>
      </c>
    </row>
    <row r="4091" spans="1:7">
      <c r="A4091" s="847"/>
      <c r="B4091" s="105">
        <v>1</v>
      </c>
      <c r="C4091" s="86" t="s">
        <v>4203</v>
      </c>
      <c r="D4091" s="95" t="s">
        <v>1172</v>
      </c>
      <c r="E4091" s="207">
        <v>6</v>
      </c>
      <c r="F4091" s="190">
        <f>'BASIC DATA'!$C$541</f>
        <v>400</v>
      </c>
      <c r="G4091" s="179">
        <f>F4091*E4091</f>
        <v>2400</v>
      </c>
    </row>
    <row r="4092" spans="1:7">
      <c r="A4092" s="847"/>
      <c r="B4092" s="105">
        <v>2</v>
      </c>
      <c r="C4092" s="86" t="s">
        <v>2696</v>
      </c>
      <c r="D4092" s="105" t="s">
        <v>1172</v>
      </c>
      <c r="E4092" s="207">
        <v>8</v>
      </c>
      <c r="F4092" s="190">
        <f>'BASIC DATA'!$C$552</f>
        <v>350</v>
      </c>
      <c r="G4092" s="179">
        <f>F4092*E4092</f>
        <v>2800</v>
      </c>
    </row>
    <row r="4093" spans="1:7">
      <c r="A4093" s="847"/>
      <c r="B4093" s="92"/>
      <c r="C4093" s="353" t="s">
        <v>1174</v>
      </c>
      <c r="D4093" s="159"/>
      <c r="E4093" s="238"/>
      <c r="F4093" s="344" t="s">
        <v>1698</v>
      </c>
      <c r="G4093" s="318">
        <f>SUM(G4091:G4092)</f>
        <v>5200</v>
      </c>
    </row>
    <row r="4094" spans="1:7">
      <c r="A4094" s="847"/>
      <c r="B4094" s="359" t="s">
        <v>5948</v>
      </c>
      <c r="C4094" s="48"/>
      <c r="D4094" s="31"/>
      <c r="E4094" s="85">
        <f>ROUND(G4093/F4073,1)</f>
        <v>52</v>
      </c>
      <c r="F4094" s="85"/>
    </row>
    <row r="4095" spans="1:7">
      <c r="A4095" s="847"/>
      <c r="B4095" s="359" t="s">
        <v>3163</v>
      </c>
      <c r="C4095" s="48"/>
      <c r="D4095" s="922">
        <f>'BASIC DATA'!$C$577</f>
        <v>0.13614999999999999</v>
      </c>
      <c r="E4095" s="85">
        <f>ROUND(E4094*D4095,1)</f>
        <v>7.1</v>
      </c>
      <c r="F4095" s="85"/>
    </row>
    <row r="4096" spans="1:7">
      <c r="A4096" s="847"/>
      <c r="B4096" s="359" t="s">
        <v>5949</v>
      </c>
      <c r="C4096" s="48"/>
      <c r="D4096" s="31"/>
      <c r="E4096" s="199">
        <f>ROUND(E4095+E4094,1)</f>
        <v>59.1</v>
      </c>
      <c r="F4096" s="85"/>
    </row>
    <row r="4097" spans="1:7">
      <c r="A4097" s="847"/>
      <c r="C4097" s="48"/>
    </row>
    <row r="4098" spans="1:7">
      <c r="A4098" s="847"/>
      <c r="B4098" s="162" t="s">
        <v>1175</v>
      </c>
      <c r="C4098" s="48"/>
    </row>
    <row r="4099" spans="1:7">
      <c r="A4099" s="847"/>
      <c r="B4099" s="47" t="s">
        <v>1176</v>
      </c>
      <c r="C4099" s="48"/>
      <c r="F4099" s="171" t="s">
        <v>1698</v>
      </c>
      <c r="G4099" s="68">
        <f>G4079</f>
        <v>37050</v>
      </c>
    </row>
    <row r="4100" spans="1:7">
      <c r="A4100" s="847"/>
      <c r="B4100" s="47" t="s">
        <v>1186</v>
      </c>
      <c r="C4100" s="48"/>
      <c r="F4100" s="171" t="s">
        <v>1698</v>
      </c>
      <c r="G4100" s="68">
        <f>G4086</f>
        <v>0</v>
      </c>
    </row>
    <row r="4101" spans="1:7">
      <c r="A4101" s="847"/>
      <c r="B4101" s="47" t="s">
        <v>2660</v>
      </c>
      <c r="C4101" s="48"/>
      <c r="F4101" s="171" t="s">
        <v>1698</v>
      </c>
      <c r="G4101" s="75">
        <f>G4093</f>
        <v>5200</v>
      </c>
    </row>
    <row r="4102" spans="1:7">
      <c r="A4102" s="847"/>
      <c r="B4102" s="78"/>
      <c r="C4102" s="48"/>
      <c r="E4102" s="261"/>
      <c r="F4102" s="171" t="s">
        <v>302</v>
      </c>
      <c r="G4102" s="205">
        <f>SUM(G4099:G4101)</f>
        <v>42250</v>
      </c>
    </row>
    <row r="4103" spans="1:7" ht="34.5" customHeight="1">
      <c r="A4103" s="847"/>
      <c r="B4103" s="1207" t="s">
        <v>1379</v>
      </c>
      <c r="C4103" s="1207"/>
      <c r="D4103" s="1207"/>
      <c r="E4103" s="922">
        <f>'BASIC DATA'!$C$577</f>
        <v>0.13614999999999999</v>
      </c>
      <c r="F4103" s="171" t="s">
        <v>1698</v>
      </c>
      <c r="G4103" s="31">
        <f>ROUND(G4102*E4103,2)</f>
        <v>5752.34</v>
      </c>
    </row>
    <row r="4104" spans="1:7">
      <c r="A4104" s="847"/>
      <c r="B4104" s="47" t="s">
        <v>1191</v>
      </c>
      <c r="C4104" s="48"/>
      <c r="D4104" s="68">
        <f>F4073</f>
        <v>100</v>
      </c>
      <c r="E4104" s="68" t="str">
        <f>G4073</f>
        <v>cum</v>
      </c>
      <c r="F4104" s="171" t="s">
        <v>1698</v>
      </c>
      <c r="G4104" s="211">
        <f>G4103+G4102</f>
        <v>48002.34</v>
      </c>
    </row>
    <row r="4105" spans="1:7">
      <c r="A4105" s="847"/>
      <c r="B4105" s="79" t="s">
        <v>1584</v>
      </c>
      <c r="C4105" s="404" t="str">
        <f>E4104</f>
        <v>cum</v>
      </c>
      <c r="D4105" s="26" t="s">
        <v>5882</v>
      </c>
      <c r="F4105" s="171" t="s">
        <v>4108</v>
      </c>
      <c r="G4105" s="211">
        <f>ROUND(G4104/D4104,1)</f>
        <v>480</v>
      </c>
    </row>
    <row r="4106" spans="1:7"/>
    <row r="4107" spans="1:7"/>
    <row r="4108" spans="1:7" ht="18.75">
      <c r="A4108" s="841" t="s">
        <v>7466</v>
      </c>
      <c r="B4108" s="47" t="s">
        <v>8729</v>
      </c>
      <c r="C4108" s="48"/>
    </row>
    <row r="4109" spans="1:7">
      <c r="A4109" s="889"/>
      <c r="B4109" s="47" t="s">
        <v>8730</v>
      </c>
      <c r="C4109" s="48"/>
    </row>
    <row r="4110" spans="1:7">
      <c r="A4110" s="889"/>
      <c r="B4110" s="47" t="s">
        <v>1660</v>
      </c>
      <c r="C4110" s="48"/>
    </row>
    <row r="4111" spans="1:7" ht="18.75">
      <c r="A4111" s="895"/>
      <c r="B4111" s="162" t="s">
        <v>8715</v>
      </c>
      <c r="C4111" s="48"/>
    </row>
    <row r="4112" spans="1:7">
      <c r="A4112" s="895"/>
      <c r="C4112" s="48"/>
      <c r="F4112" s="78"/>
      <c r="G4112" s="27"/>
    </row>
    <row r="4113" spans="1:8">
      <c r="A4113" s="890" t="s">
        <v>1940</v>
      </c>
      <c r="B4113" s="47" t="s">
        <v>2040</v>
      </c>
      <c r="C4113" s="48"/>
      <c r="F4113" s="78"/>
      <c r="G4113" s="27"/>
    </row>
    <row r="4114" spans="1:8">
      <c r="A4114" s="895"/>
      <c r="C4114" s="48"/>
      <c r="F4114" s="78"/>
      <c r="G4114" s="27"/>
    </row>
    <row r="4115" spans="1:8" hidden="1">
      <c r="A4115" s="889" t="s">
        <v>3984</v>
      </c>
      <c r="B4115" s="47" t="s">
        <v>1789</v>
      </c>
      <c r="C4115" s="48"/>
      <c r="F4115" s="78"/>
    </row>
    <row r="4116" spans="1:8" hidden="1">
      <c r="A4116" s="889"/>
      <c r="B4116" s="47" t="s">
        <v>2041</v>
      </c>
      <c r="C4116" s="48"/>
      <c r="G4116" s="68">
        <v>100</v>
      </c>
      <c r="H4116" s="26" t="s">
        <v>6901</v>
      </c>
    </row>
    <row r="4117" spans="1:8" hidden="1">
      <c r="A4117" s="889"/>
      <c r="B4117" s="47" t="s">
        <v>2042</v>
      </c>
      <c r="C4117" s="48"/>
      <c r="G4117" s="68">
        <v>15</v>
      </c>
      <c r="H4117" s="26" t="s">
        <v>6901</v>
      </c>
    </row>
    <row r="4118" spans="1:8" hidden="1">
      <c r="A4118" s="889"/>
      <c r="B4118" s="47" t="s">
        <v>2753</v>
      </c>
      <c r="C4118" s="48"/>
    </row>
    <row r="4119" spans="1:8" hidden="1">
      <c r="A4119" s="889"/>
      <c r="B4119" s="47" t="s">
        <v>3848</v>
      </c>
      <c r="C4119" s="48"/>
    </row>
    <row r="4120" spans="1:8" hidden="1">
      <c r="A4120" s="889"/>
      <c r="B4120" s="47" t="s">
        <v>5264</v>
      </c>
      <c r="C4120" s="48"/>
    </row>
    <row r="4121" spans="1:8" hidden="1">
      <c r="A4121" s="889"/>
      <c r="B4121" s="47" t="s">
        <v>5265</v>
      </c>
      <c r="C4121" s="48"/>
    </row>
    <row r="4122" spans="1:8" hidden="1">
      <c r="A4122" s="889"/>
      <c r="B4122" s="47" t="s">
        <v>4370</v>
      </c>
      <c r="C4122" s="48"/>
    </row>
    <row r="4123" spans="1:8">
      <c r="A4123" s="847"/>
      <c r="B4123" s="78"/>
      <c r="C4123" s="48"/>
    </row>
    <row r="4124" spans="1:8">
      <c r="A4124" s="847" t="s">
        <v>1907</v>
      </c>
      <c r="B4124" s="78"/>
      <c r="C4124" s="349" t="s">
        <v>2367</v>
      </c>
      <c r="E4124" s="171" t="s">
        <v>297</v>
      </c>
      <c r="F4124" s="246">
        <f>G4116</f>
        <v>100</v>
      </c>
      <c r="G4124" s="26" t="s">
        <v>3477</v>
      </c>
    </row>
    <row r="4125" spans="1:8">
      <c r="A4125" s="847"/>
      <c r="B4125" s="79" t="s">
        <v>2368</v>
      </c>
      <c r="C4125" s="48"/>
    </row>
    <row r="4126" spans="1:8">
      <c r="A4126" s="847"/>
      <c r="B4126" s="95" t="s">
        <v>2369</v>
      </c>
      <c r="C4126" s="350" t="s">
        <v>6374</v>
      </c>
      <c r="D4126" s="95" t="s">
        <v>2370</v>
      </c>
      <c r="E4126" s="95" t="s">
        <v>1166</v>
      </c>
      <c r="F4126" s="95" t="s">
        <v>2371</v>
      </c>
      <c r="G4126" s="95" t="s">
        <v>2372</v>
      </c>
    </row>
    <row r="4127" spans="1:8">
      <c r="A4127" s="847"/>
      <c r="B4127" s="114"/>
      <c r="C4127" s="351"/>
      <c r="D4127" s="114"/>
      <c r="E4127" s="114"/>
      <c r="F4127" s="114" t="s">
        <v>3485</v>
      </c>
      <c r="G4127" s="114" t="s">
        <v>3485</v>
      </c>
    </row>
    <row r="4128" spans="1:8">
      <c r="A4128" s="847"/>
      <c r="B4128" s="95">
        <v>1</v>
      </c>
      <c r="C4128" s="91" t="s">
        <v>2431</v>
      </c>
      <c r="D4128" s="95" t="s">
        <v>3477</v>
      </c>
      <c r="E4128" s="190">
        <f>G4116</f>
        <v>100</v>
      </c>
      <c r="F4128" s="190">
        <f>'BASIC DATA'!$D$107</f>
        <v>155</v>
      </c>
      <c r="G4128" s="179">
        <f>F4128*E4128</f>
        <v>15500</v>
      </c>
    </row>
    <row r="4129" spans="1:7" ht="36">
      <c r="A4129" s="847"/>
      <c r="B4129" s="114">
        <v>2</v>
      </c>
      <c r="C4129" s="91" t="s">
        <v>2432</v>
      </c>
      <c r="D4129" s="114"/>
      <c r="E4129" s="190">
        <f>G4117</f>
        <v>15</v>
      </c>
      <c r="F4129" s="190">
        <f>'BASIC DATA'!$D$95</f>
        <v>185</v>
      </c>
      <c r="G4129" s="179">
        <f>F4129*E4129</f>
        <v>2775</v>
      </c>
    </row>
    <row r="4130" spans="1:7">
      <c r="A4130" s="847"/>
      <c r="B4130" s="92"/>
      <c r="C4130" s="353" t="s">
        <v>2376</v>
      </c>
      <c r="D4130" s="159"/>
      <c r="E4130" s="238"/>
      <c r="F4130" s="236" t="s">
        <v>1698</v>
      </c>
      <c r="G4130" s="318">
        <f>SUM(G4128:G4129)</f>
        <v>18275</v>
      </c>
    </row>
    <row r="4131" spans="1:7">
      <c r="A4131" s="847"/>
      <c r="B4131" s="78"/>
      <c r="C4131" s="48"/>
    </row>
    <row r="4132" spans="1:7">
      <c r="A4132" s="847"/>
      <c r="B4132" s="79" t="s">
        <v>2377</v>
      </c>
      <c r="C4132" s="48"/>
    </row>
    <row r="4133" spans="1:7">
      <c r="A4133" s="847"/>
      <c r="B4133" s="95" t="s">
        <v>2369</v>
      </c>
      <c r="C4133" s="350" t="s">
        <v>2378</v>
      </c>
      <c r="D4133" s="95" t="s">
        <v>2370</v>
      </c>
      <c r="E4133" s="95" t="s">
        <v>1166</v>
      </c>
      <c r="F4133" s="95" t="s">
        <v>2371</v>
      </c>
      <c r="G4133" s="95" t="s">
        <v>2372</v>
      </c>
    </row>
    <row r="4134" spans="1:7">
      <c r="A4134" s="847"/>
      <c r="B4134" s="114"/>
      <c r="C4134" s="351"/>
      <c r="D4134" s="114"/>
      <c r="E4134" s="114"/>
      <c r="F4134" s="114" t="s">
        <v>3485</v>
      </c>
      <c r="G4134" s="114" t="s">
        <v>3485</v>
      </c>
    </row>
    <row r="4135" spans="1:7">
      <c r="A4135" s="847"/>
      <c r="B4135" s="95">
        <v>1</v>
      </c>
      <c r="C4135" s="103" t="s">
        <v>4168</v>
      </c>
      <c r="D4135" s="95"/>
      <c r="E4135" s="220">
        <v>0</v>
      </c>
      <c r="F4135" s="214">
        <v>0</v>
      </c>
      <c r="G4135" s="179">
        <f>F4135*E4135</f>
        <v>0</v>
      </c>
    </row>
    <row r="4136" spans="1:7">
      <c r="A4136" s="847"/>
      <c r="B4136" s="116"/>
      <c r="C4136" s="355"/>
      <c r="D4136" s="105"/>
      <c r="E4136" s="220">
        <v>0</v>
      </c>
      <c r="F4136" s="214">
        <v>0</v>
      </c>
      <c r="G4136" s="179">
        <f>F4136*E4136</f>
        <v>0</v>
      </c>
    </row>
    <row r="4137" spans="1:7">
      <c r="A4137" s="847"/>
      <c r="B4137" s="176"/>
      <c r="C4137" s="357" t="s">
        <v>2380</v>
      </c>
      <c r="D4137" s="174"/>
      <c r="E4137" s="192"/>
      <c r="F4137" s="236" t="s">
        <v>1698</v>
      </c>
      <c r="G4137" s="354">
        <f>SUM(G4135:G4136)</f>
        <v>0</v>
      </c>
    </row>
    <row r="4138" spans="1:7">
      <c r="A4138" s="847"/>
      <c r="B4138" s="78"/>
      <c r="C4138" s="48"/>
    </row>
    <row r="4139" spans="1:7">
      <c r="A4139" s="847"/>
      <c r="B4139" s="79" t="s">
        <v>2381</v>
      </c>
      <c r="C4139" s="48"/>
    </row>
    <row r="4140" spans="1:7">
      <c r="A4140" s="847"/>
      <c r="B4140" s="95" t="s">
        <v>2369</v>
      </c>
      <c r="C4140" s="350" t="s">
        <v>2378</v>
      </c>
      <c r="D4140" s="95" t="s">
        <v>2370</v>
      </c>
      <c r="E4140" s="95" t="s">
        <v>1166</v>
      </c>
      <c r="F4140" s="95" t="s">
        <v>2371</v>
      </c>
      <c r="G4140" s="95" t="s">
        <v>2372</v>
      </c>
    </row>
    <row r="4141" spans="1:7">
      <c r="A4141" s="847"/>
      <c r="B4141" s="114"/>
      <c r="C4141" s="351"/>
      <c r="D4141" s="105"/>
      <c r="E4141" s="114"/>
      <c r="F4141" s="114" t="s">
        <v>3485</v>
      </c>
      <c r="G4141" s="114" t="s">
        <v>3485</v>
      </c>
    </row>
    <row r="4142" spans="1:7">
      <c r="A4142" s="847"/>
      <c r="B4142" s="105">
        <v>1</v>
      </c>
      <c r="C4142" s="86" t="s">
        <v>4203</v>
      </c>
      <c r="D4142" s="95" t="s">
        <v>1172</v>
      </c>
      <c r="E4142" s="207">
        <v>6</v>
      </c>
      <c r="F4142" s="190">
        <f>'BASIC DATA'!$C$541</f>
        <v>400</v>
      </c>
      <c r="G4142" s="179">
        <f>F4142*E4142</f>
        <v>2400</v>
      </c>
    </row>
    <row r="4143" spans="1:7">
      <c r="A4143" s="847"/>
      <c r="B4143" s="105">
        <v>2</v>
      </c>
      <c r="C4143" s="86" t="s">
        <v>5603</v>
      </c>
      <c r="D4143" s="105" t="s">
        <v>1172</v>
      </c>
      <c r="E4143" s="207">
        <v>2</v>
      </c>
      <c r="F4143" s="190">
        <f>'BASIC DATA'!$C$514</f>
        <v>400</v>
      </c>
      <c r="G4143" s="179">
        <f>F4143*E4143</f>
        <v>800</v>
      </c>
    </row>
    <row r="4144" spans="1:7">
      <c r="A4144" s="847"/>
      <c r="B4144" s="105">
        <v>3</v>
      </c>
      <c r="C4144" s="86" t="s">
        <v>2697</v>
      </c>
      <c r="D4144" s="105" t="s">
        <v>1172</v>
      </c>
      <c r="E4144" s="207">
        <v>10</v>
      </c>
      <c r="F4144" s="190">
        <f>'BASIC DATA'!$C$552</f>
        <v>350</v>
      </c>
      <c r="G4144" s="179">
        <f>F4144*E4144</f>
        <v>3500</v>
      </c>
    </row>
    <row r="4145" spans="1:7">
      <c r="A4145" s="847"/>
      <c r="B4145" s="92"/>
      <c r="C4145" s="353" t="s">
        <v>1174</v>
      </c>
      <c r="D4145" s="159"/>
      <c r="E4145" s="238"/>
      <c r="F4145" s="344" t="s">
        <v>1698</v>
      </c>
      <c r="G4145" s="318">
        <f>SUM(G4142:G4144)</f>
        <v>6700</v>
      </c>
    </row>
    <row r="4146" spans="1:7">
      <c r="A4146" s="847"/>
      <c r="B4146" s="359" t="s">
        <v>5948</v>
      </c>
      <c r="C4146" s="48"/>
      <c r="D4146" s="31"/>
      <c r="E4146" s="85">
        <f>ROUND(G4145/F4124,1)</f>
        <v>67</v>
      </c>
      <c r="F4146" s="85"/>
    </row>
    <row r="4147" spans="1:7">
      <c r="A4147" s="847"/>
      <c r="B4147" s="359" t="s">
        <v>3163</v>
      </c>
      <c r="C4147" s="48"/>
      <c r="D4147" s="922">
        <f>'BASIC DATA'!$C$577</f>
        <v>0.13614999999999999</v>
      </c>
      <c r="E4147" s="85">
        <f>ROUND(E4146*D4147,1)</f>
        <v>9.1</v>
      </c>
      <c r="F4147" s="85"/>
    </row>
    <row r="4148" spans="1:7">
      <c r="A4148" s="847"/>
      <c r="B4148" s="359" t="s">
        <v>5949</v>
      </c>
      <c r="C4148" s="48"/>
      <c r="D4148" s="31"/>
      <c r="E4148" s="199">
        <f>ROUND(E4147+E4146,1)</f>
        <v>76.099999999999994</v>
      </c>
      <c r="F4148" s="85"/>
    </row>
    <row r="4149" spans="1:7">
      <c r="A4149" s="847"/>
      <c r="C4149" s="48"/>
    </row>
    <row r="4150" spans="1:7">
      <c r="A4150" s="847"/>
      <c r="B4150" s="162" t="s">
        <v>1175</v>
      </c>
      <c r="C4150" s="48"/>
    </row>
    <row r="4151" spans="1:7">
      <c r="A4151" s="847"/>
      <c r="B4151" s="47" t="s">
        <v>1176</v>
      </c>
      <c r="C4151" s="48"/>
      <c r="F4151" s="171" t="s">
        <v>1698</v>
      </c>
      <c r="G4151" s="68">
        <f>G4130</f>
        <v>18275</v>
      </c>
    </row>
    <row r="4152" spans="1:7">
      <c r="A4152" s="847"/>
      <c r="B4152" s="47" t="s">
        <v>1186</v>
      </c>
      <c r="C4152" s="48"/>
      <c r="F4152" s="171" t="s">
        <v>1698</v>
      </c>
      <c r="G4152" s="68">
        <f>G4137</f>
        <v>0</v>
      </c>
    </row>
    <row r="4153" spans="1:7">
      <c r="A4153" s="847"/>
      <c r="B4153" s="47" t="s">
        <v>2660</v>
      </c>
      <c r="C4153" s="48"/>
      <c r="F4153" s="171" t="s">
        <v>1698</v>
      </c>
      <c r="G4153" s="75">
        <f>G4145</f>
        <v>6700</v>
      </c>
    </row>
    <row r="4154" spans="1:7">
      <c r="A4154" s="847"/>
      <c r="B4154" s="78"/>
      <c r="C4154" s="48"/>
      <c r="E4154" s="261"/>
      <c r="F4154" s="171" t="s">
        <v>302</v>
      </c>
      <c r="G4154" s="205">
        <f>SUM(G4151:G4153)</f>
        <v>24975</v>
      </c>
    </row>
    <row r="4155" spans="1:7" ht="35.25" customHeight="1">
      <c r="A4155" s="847"/>
      <c r="B4155" s="1207" t="s">
        <v>1379</v>
      </c>
      <c r="C4155" s="1207"/>
      <c r="D4155" s="1207"/>
      <c r="E4155" s="922">
        <f>'BASIC DATA'!$C$577</f>
        <v>0.13614999999999999</v>
      </c>
      <c r="F4155" s="171" t="s">
        <v>1698</v>
      </c>
      <c r="G4155" s="31">
        <f>ROUND(G4154*E4155,2)</f>
        <v>3400.35</v>
      </c>
    </row>
    <row r="4156" spans="1:7">
      <c r="A4156" s="847"/>
      <c r="B4156" s="47" t="s">
        <v>1191</v>
      </c>
      <c r="C4156" s="48"/>
      <c r="D4156" s="68">
        <f>F4124</f>
        <v>100</v>
      </c>
      <c r="E4156" s="68" t="str">
        <f>G4124</f>
        <v>cum</v>
      </c>
      <c r="F4156" s="171" t="s">
        <v>1698</v>
      </c>
      <c r="G4156" s="211">
        <f>G4155+G4154</f>
        <v>28375.35</v>
      </c>
    </row>
    <row r="4157" spans="1:7">
      <c r="A4157" s="847"/>
      <c r="B4157" s="79" t="s">
        <v>1584</v>
      </c>
      <c r="C4157" s="404" t="str">
        <f>E4156</f>
        <v>cum</v>
      </c>
      <c r="D4157" s="26" t="s">
        <v>5882</v>
      </c>
      <c r="F4157" s="171" t="s">
        <v>4108</v>
      </c>
      <c r="G4157" s="211">
        <f>ROUND(G4156/D4156,1)</f>
        <v>283.8</v>
      </c>
    </row>
    <row r="4158" spans="1:7"/>
    <row r="4159" spans="1:7">
      <c r="A4159" s="841" t="s">
        <v>7467</v>
      </c>
      <c r="B4159" s="162" t="s">
        <v>899</v>
      </c>
      <c r="C4159" s="48"/>
    </row>
    <row r="4160" spans="1:7">
      <c r="A4160" s="889"/>
      <c r="C4160" s="48"/>
    </row>
    <row r="4161" spans="1:8" ht="18.75">
      <c r="A4161" s="841" t="s">
        <v>7468</v>
      </c>
      <c r="B4161" s="47" t="s">
        <v>8731</v>
      </c>
      <c r="C4161" s="48"/>
    </row>
    <row r="4162" spans="1:8">
      <c r="A4162" s="889"/>
      <c r="B4162" s="47" t="s">
        <v>8732</v>
      </c>
      <c r="C4162" s="48"/>
    </row>
    <row r="4163" spans="1:8" ht="18.75">
      <c r="A4163" s="889"/>
      <c r="B4163" s="47" t="s">
        <v>8733</v>
      </c>
      <c r="C4163" s="48"/>
    </row>
    <row r="4164" spans="1:8" ht="18.75">
      <c r="A4164" s="895"/>
      <c r="B4164" s="47" t="s">
        <v>8734</v>
      </c>
      <c r="C4164" s="48"/>
    </row>
    <row r="4165" spans="1:8">
      <c r="A4165" s="895"/>
      <c r="C4165" s="48"/>
      <c r="F4165" s="78"/>
      <c r="G4165" s="27"/>
    </row>
    <row r="4166" spans="1:8" hidden="1">
      <c r="A4166" s="889" t="s">
        <v>3984</v>
      </c>
      <c r="B4166" s="47" t="s">
        <v>602</v>
      </c>
      <c r="C4166" s="48"/>
      <c r="F4166" s="78" t="s">
        <v>1697</v>
      </c>
      <c r="G4166" s="68">
        <v>0.5</v>
      </c>
      <c r="H4166" s="26" t="s">
        <v>6901</v>
      </c>
    </row>
    <row r="4167" spans="1:8" hidden="1">
      <c r="A4167" s="889"/>
      <c r="B4167" s="47" t="s">
        <v>603</v>
      </c>
      <c r="C4167" s="48"/>
      <c r="F4167" s="78" t="s">
        <v>1697</v>
      </c>
      <c r="G4167" s="26">
        <v>0.57999999999999996</v>
      </c>
      <c r="H4167" s="26" t="s">
        <v>6901</v>
      </c>
    </row>
    <row r="4168" spans="1:8" hidden="1">
      <c r="A4168" s="889"/>
      <c r="B4168" s="47" t="s">
        <v>604</v>
      </c>
      <c r="C4168" s="48"/>
      <c r="F4168" s="78" t="s">
        <v>1697</v>
      </c>
      <c r="G4168" s="68">
        <v>5</v>
      </c>
      <c r="H4168" s="26" t="s">
        <v>6901</v>
      </c>
    </row>
    <row r="4169" spans="1:8" hidden="1">
      <c r="A4169" s="889"/>
      <c r="B4169" s="47" t="s">
        <v>2541</v>
      </c>
      <c r="C4169" s="48"/>
      <c r="F4169" s="78" t="s">
        <v>1697</v>
      </c>
      <c r="G4169" s="26">
        <v>1</v>
      </c>
      <c r="H4169" s="26" t="s">
        <v>3431</v>
      </c>
    </row>
    <row r="4170" spans="1:8" hidden="1">
      <c r="A4170" s="889"/>
      <c r="B4170" s="47" t="s">
        <v>4569</v>
      </c>
      <c r="C4170" s="48"/>
      <c r="F4170" s="78" t="s">
        <v>1697</v>
      </c>
      <c r="G4170" s="26">
        <v>20</v>
      </c>
      <c r="H4170" s="26" t="s">
        <v>6703</v>
      </c>
    </row>
    <row r="4171" spans="1:8" hidden="1">
      <c r="A4171" s="889"/>
      <c r="B4171" s="47" t="s">
        <v>5632</v>
      </c>
      <c r="C4171" s="48"/>
      <c r="F4171" s="78" t="s">
        <v>1697</v>
      </c>
      <c r="G4171" s="26">
        <v>25</v>
      </c>
      <c r="H4171" s="26" t="s">
        <v>3433</v>
      </c>
    </row>
    <row r="4172" spans="1:8" hidden="1">
      <c r="A4172" s="889"/>
      <c r="B4172" s="47" t="s">
        <v>3985</v>
      </c>
      <c r="C4172" s="48"/>
      <c r="F4172" s="78" t="s">
        <v>1697</v>
      </c>
      <c r="G4172" s="68">
        <v>2</v>
      </c>
      <c r="H4172" s="26" t="s">
        <v>1433</v>
      </c>
    </row>
    <row r="4173" spans="1:8" hidden="1">
      <c r="A4173" s="889"/>
      <c r="B4173" s="47" t="s">
        <v>4030</v>
      </c>
      <c r="C4173" s="48"/>
      <c r="F4173" s="78" t="s">
        <v>1697</v>
      </c>
      <c r="G4173" s="26">
        <v>32</v>
      </c>
      <c r="H4173" s="26" t="s">
        <v>3562</v>
      </c>
    </row>
    <row r="4174" spans="1:8" hidden="1">
      <c r="A4174" s="889"/>
      <c r="B4174" s="47" t="s">
        <v>5633</v>
      </c>
      <c r="C4174" s="48"/>
      <c r="F4174" s="78" t="s">
        <v>1697</v>
      </c>
      <c r="G4174" s="68">
        <v>0.5</v>
      </c>
      <c r="H4174" s="26" t="s">
        <v>6901</v>
      </c>
    </row>
    <row r="4175" spans="1:8" hidden="1">
      <c r="A4175" s="889"/>
      <c r="B4175" s="47" t="s">
        <v>5634</v>
      </c>
      <c r="C4175" s="48"/>
      <c r="F4175" s="78" t="s">
        <v>1123</v>
      </c>
      <c r="G4175" s="68">
        <v>4</v>
      </c>
      <c r="H4175" s="26" t="s">
        <v>6901</v>
      </c>
    </row>
    <row r="4176" spans="1:8" hidden="1">
      <c r="A4176" s="889"/>
      <c r="B4176" s="47" t="s">
        <v>5635</v>
      </c>
      <c r="C4176" s="48"/>
      <c r="F4176" s="78" t="s">
        <v>1123</v>
      </c>
      <c r="G4176" s="26">
        <v>8</v>
      </c>
      <c r="H4176" s="26" t="s">
        <v>3435</v>
      </c>
    </row>
    <row r="4177" spans="1:8" hidden="1">
      <c r="A4177" s="889"/>
      <c r="B4177" s="47" t="s">
        <v>3103</v>
      </c>
      <c r="C4177" s="48"/>
      <c r="F4177" s="78" t="s">
        <v>1123</v>
      </c>
      <c r="G4177" s="68">
        <v>4.3</v>
      </c>
      <c r="H4177" s="26" t="s">
        <v>1433</v>
      </c>
    </row>
    <row r="4178" spans="1:8" hidden="1">
      <c r="A4178" s="889"/>
      <c r="B4178" s="47" t="s">
        <v>1613</v>
      </c>
      <c r="C4178" s="48"/>
    </row>
    <row r="4179" spans="1:8" hidden="1">
      <c r="A4179" s="889"/>
      <c r="B4179" s="47" t="s">
        <v>3258</v>
      </c>
      <c r="C4179" s="48"/>
      <c r="F4179" s="78" t="s">
        <v>1697</v>
      </c>
      <c r="G4179" s="68">
        <v>4.3</v>
      </c>
      <c r="H4179" s="26" t="s">
        <v>1433</v>
      </c>
    </row>
    <row r="4180" spans="1:8" hidden="1">
      <c r="A4180" s="889"/>
      <c r="B4180" s="47" t="s">
        <v>1490</v>
      </c>
      <c r="C4180" s="48"/>
      <c r="F4180" s="78" t="s">
        <v>1697</v>
      </c>
      <c r="G4180" s="68">
        <v>3</v>
      </c>
      <c r="H4180" s="26" t="s">
        <v>1433</v>
      </c>
    </row>
    <row r="4181" spans="1:8" hidden="1">
      <c r="A4181" s="889"/>
      <c r="B4181" s="47" t="s">
        <v>705</v>
      </c>
      <c r="C4181" s="48"/>
      <c r="F4181" s="78" t="s">
        <v>1697</v>
      </c>
      <c r="G4181" s="68">
        <v>2</v>
      </c>
      <c r="H4181" s="26" t="s">
        <v>1433</v>
      </c>
    </row>
    <row r="4182" spans="1:8" hidden="1">
      <c r="A4182" s="889"/>
      <c r="B4182" s="47" t="s">
        <v>1491</v>
      </c>
      <c r="C4182" s="48"/>
      <c r="F4182" s="78" t="s">
        <v>1697</v>
      </c>
      <c r="G4182" s="68">
        <v>2.4</v>
      </c>
      <c r="H4182" s="26" t="s">
        <v>1433</v>
      </c>
    </row>
    <row r="4183" spans="1:8" hidden="1">
      <c r="A4183" s="889"/>
      <c r="B4183" s="47" t="s">
        <v>263</v>
      </c>
      <c r="C4183" s="48"/>
      <c r="F4183" s="78" t="s">
        <v>1697</v>
      </c>
      <c r="G4183" s="173">
        <v>0.5</v>
      </c>
      <c r="H4183" s="26" t="s">
        <v>1433</v>
      </c>
    </row>
    <row r="4184" spans="1:8" hidden="1">
      <c r="A4184" s="889"/>
      <c r="C4184" s="48"/>
      <c r="E4184" s="26" t="s">
        <v>1518</v>
      </c>
      <c r="F4184" s="78" t="s">
        <v>1697</v>
      </c>
      <c r="G4184" s="68">
        <f>SUM(G4179:G4183)</f>
        <v>12.200000000000001</v>
      </c>
      <c r="H4184" s="26" t="s">
        <v>1433</v>
      </c>
    </row>
    <row r="4185" spans="1:8" hidden="1">
      <c r="A4185" s="889"/>
      <c r="B4185" s="47" t="s">
        <v>248</v>
      </c>
      <c r="C4185" s="48"/>
      <c r="F4185" s="78" t="s">
        <v>1697</v>
      </c>
      <c r="G4185" s="26">
        <v>3</v>
      </c>
      <c r="H4185" s="26" t="s">
        <v>3436</v>
      </c>
    </row>
    <row r="4186" spans="1:8" hidden="1">
      <c r="A4186" s="889"/>
      <c r="B4186" s="47" t="s">
        <v>3104</v>
      </c>
      <c r="C4186" s="48"/>
      <c r="F4186" s="78" t="s">
        <v>1697</v>
      </c>
      <c r="G4186" s="68">
        <v>16.399999999999999</v>
      </c>
      <c r="H4186" s="26" t="s">
        <v>6901</v>
      </c>
    </row>
    <row r="4187" spans="1:8" hidden="1">
      <c r="A4187" s="889"/>
      <c r="B4187" s="47" t="s">
        <v>3105</v>
      </c>
      <c r="C4187" s="48"/>
      <c r="F4187" s="78" t="s">
        <v>1123</v>
      </c>
      <c r="G4187" s="26">
        <v>394</v>
      </c>
      <c r="H4187" s="26" t="s">
        <v>6901</v>
      </c>
    </row>
    <row r="4188" spans="1:8" hidden="1">
      <c r="A4188" s="889">
        <v>1</v>
      </c>
      <c r="B4188" s="47" t="s">
        <v>2860</v>
      </c>
      <c r="C4188" s="48"/>
    </row>
    <row r="4189" spans="1:8" hidden="1">
      <c r="A4189" s="889"/>
      <c r="B4189" s="47" t="s">
        <v>4449</v>
      </c>
      <c r="C4189" s="48"/>
    </row>
    <row r="4190" spans="1:8" hidden="1">
      <c r="A4190" s="889"/>
      <c r="B4190" s="47" t="s">
        <v>3106</v>
      </c>
      <c r="C4190" s="48"/>
      <c r="F4190" s="78" t="s">
        <v>1697</v>
      </c>
      <c r="G4190" s="26">
        <f>394*6/2</f>
        <v>1182</v>
      </c>
      <c r="H4190" s="26" t="s">
        <v>3883</v>
      </c>
    </row>
    <row r="4191" spans="1:8" hidden="1">
      <c r="A4191" s="889"/>
      <c r="B4191" s="47" t="s">
        <v>4450</v>
      </c>
      <c r="C4191" s="48"/>
      <c r="F4191" s="78" t="s">
        <v>1697</v>
      </c>
      <c r="G4191" s="26">
        <v>0.2</v>
      </c>
      <c r="H4191" s="26" t="s">
        <v>3561</v>
      </c>
    </row>
    <row r="4192" spans="1:8" hidden="1">
      <c r="A4192" s="889"/>
      <c r="B4192" s="47" t="s">
        <v>2812</v>
      </c>
      <c r="C4192" s="48"/>
      <c r="F4192" s="78" t="s">
        <v>1697</v>
      </c>
      <c r="G4192" s="26">
        <v>248</v>
      </c>
      <c r="H4192" s="26" t="s">
        <v>6901</v>
      </c>
    </row>
    <row r="4193" spans="1:8" hidden="1">
      <c r="A4193" s="889"/>
      <c r="B4193" s="47" t="s">
        <v>3248</v>
      </c>
      <c r="C4193" s="48"/>
      <c r="F4193" s="78" t="s">
        <v>1697</v>
      </c>
      <c r="G4193" s="26">
        <v>72</v>
      </c>
      <c r="H4193" s="26" t="s">
        <v>6901</v>
      </c>
    </row>
    <row r="4194" spans="1:8" hidden="1">
      <c r="A4194" s="889"/>
      <c r="B4194" s="47" t="s">
        <v>1588</v>
      </c>
      <c r="C4194" s="48"/>
      <c r="F4194" s="78" t="s">
        <v>1697</v>
      </c>
      <c r="G4194" s="26">
        <v>3.5</v>
      </c>
      <c r="H4194" s="26" t="s">
        <v>3428</v>
      </c>
    </row>
    <row r="4195" spans="1:8" hidden="1">
      <c r="A4195" s="889"/>
      <c r="B4195" s="47" t="s">
        <v>3654</v>
      </c>
      <c r="C4195" s="48"/>
    </row>
    <row r="4196" spans="1:8" hidden="1">
      <c r="A4196" s="889"/>
      <c r="B4196" s="47" t="s">
        <v>2133</v>
      </c>
      <c r="C4196" s="48"/>
      <c r="F4196" s="78" t="s">
        <v>1123</v>
      </c>
      <c r="G4196" s="68">
        <v>1</v>
      </c>
      <c r="H4196" s="26" t="s">
        <v>3428</v>
      </c>
    </row>
    <row r="4197" spans="1:8" hidden="1">
      <c r="A4197" s="889">
        <v>2</v>
      </c>
      <c r="B4197" s="47" t="s">
        <v>6281</v>
      </c>
      <c r="C4197" s="48"/>
    </row>
    <row r="4198" spans="1:8" hidden="1">
      <c r="A4198" s="889"/>
      <c r="B4198" s="47" t="s">
        <v>4117</v>
      </c>
      <c r="C4198" s="48"/>
    </row>
    <row r="4199" spans="1:8" hidden="1">
      <c r="A4199" s="889"/>
      <c r="B4199" s="47" t="s">
        <v>7326</v>
      </c>
      <c r="C4199" s="48"/>
    </row>
    <row r="4200" spans="1:8" hidden="1">
      <c r="A4200" s="889">
        <v>3</v>
      </c>
      <c r="B4200" s="47" t="s">
        <v>3655</v>
      </c>
      <c r="C4200" s="48"/>
    </row>
    <row r="4201" spans="1:8" hidden="1">
      <c r="A4201" s="889"/>
      <c r="B4201" s="47" t="s">
        <v>136</v>
      </c>
      <c r="C4201" s="48"/>
    </row>
    <row r="4202" spans="1:8" hidden="1">
      <c r="A4202" s="889"/>
      <c r="B4202" s="47" t="s">
        <v>137</v>
      </c>
      <c r="C4202" s="48"/>
    </row>
    <row r="4203" spans="1:8" hidden="1">
      <c r="A4203" s="889"/>
      <c r="B4203" s="47" t="s">
        <v>6225</v>
      </c>
      <c r="C4203" s="48"/>
    </row>
    <row r="4204" spans="1:8" hidden="1">
      <c r="A4204" s="889"/>
      <c r="B4204" s="47" t="s">
        <v>6226</v>
      </c>
      <c r="C4204" s="48"/>
    </row>
    <row r="4205" spans="1:8" hidden="1">
      <c r="A4205" s="889"/>
      <c r="B4205" s="47" t="s">
        <v>6451</v>
      </c>
      <c r="C4205" s="48"/>
      <c r="F4205" s="78" t="s">
        <v>6734</v>
      </c>
      <c r="G4205" s="26">
        <v>20</v>
      </c>
      <c r="H4205" s="26" t="s">
        <v>3477</v>
      </c>
    </row>
    <row r="4206" spans="1:8" ht="18.75" hidden="1">
      <c r="A4206" s="889"/>
      <c r="B4206" s="47" t="s">
        <v>8735</v>
      </c>
      <c r="C4206" s="48"/>
    </row>
    <row r="4207" spans="1:8" hidden="1">
      <c r="A4207" s="889"/>
      <c r="B4207" s="47" t="s">
        <v>6227</v>
      </c>
      <c r="C4207" s="48"/>
    </row>
    <row r="4208" spans="1:8" hidden="1">
      <c r="A4208" s="889">
        <v>4</v>
      </c>
      <c r="B4208" s="47" t="s">
        <v>1746</v>
      </c>
      <c r="C4208" s="48"/>
    </row>
    <row r="4209" spans="1:8" hidden="1">
      <c r="A4209" s="889"/>
      <c r="B4209" s="47" t="s">
        <v>6794</v>
      </c>
      <c r="C4209" s="48"/>
    </row>
    <row r="4210" spans="1:8" hidden="1">
      <c r="A4210" s="889"/>
      <c r="B4210" s="47" t="s">
        <v>6795</v>
      </c>
      <c r="C4210" s="48"/>
    </row>
    <row r="4211" spans="1:8" hidden="1">
      <c r="A4211" s="889"/>
      <c r="B4211" s="47" t="s">
        <v>5324</v>
      </c>
      <c r="C4211" s="48"/>
    </row>
    <row r="4212" spans="1:8" hidden="1">
      <c r="A4212" s="889"/>
      <c r="B4212" s="47" t="s">
        <v>2132</v>
      </c>
      <c r="C4212" s="48"/>
    </row>
    <row r="4213" spans="1:8" hidden="1">
      <c r="A4213" s="889"/>
      <c r="B4213" s="47" t="s">
        <v>4380</v>
      </c>
      <c r="C4213" s="48"/>
    </row>
    <row r="4214" spans="1:8" hidden="1">
      <c r="A4214" s="889"/>
      <c r="B4214" s="47" t="s">
        <v>3717</v>
      </c>
      <c r="C4214" s="48"/>
    </row>
    <row r="4215" spans="1:8" hidden="1">
      <c r="A4215" s="889"/>
      <c r="B4215" s="47" t="s">
        <v>4231</v>
      </c>
      <c r="C4215" s="48"/>
    </row>
    <row r="4216" spans="1:8" hidden="1">
      <c r="A4216" s="889">
        <v>5</v>
      </c>
      <c r="B4216" s="47" t="s">
        <v>6798</v>
      </c>
      <c r="C4216" s="48"/>
    </row>
    <row r="4217" spans="1:8" hidden="1">
      <c r="A4217" s="889"/>
      <c r="B4217" s="47" t="s">
        <v>4381</v>
      </c>
      <c r="C4217" s="48"/>
    </row>
    <row r="4218" spans="1:8" hidden="1">
      <c r="A4218" s="889"/>
      <c r="B4218" s="47" t="s">
        <v>1735</v>
      </c>
      <c r="C4218" s="48"/>
    </row>
    <row r="4219" spans="1:8" hidden="1">
      <c r="A4219" s="889"/>
      <c r="B4219" s="47" t="s">
        <v>1736</v>
      </c>
      <c r="C4219" s="48"/>
    </row>
    <row r="4220" spans="1:8" hidden="1">
      <c r="A4220" s="889"/>
      <c r="B4220" s="47" t="s">
        <v>3650</v>
      </c>
      <c r="C4220" s="48"/>
      <c r="F4220" s="78" t="s">
        <v>6734</v>
      </c>
      <c r="G4220" s="68">
        <v>1.5</v>
      </c>
      <c r="H4220" s="26" t="s">
        <v>3561</v>
      </c>
    </row>
    <row r="4221" spans="1:8" hidden="1">
      <c r="A4221" s="889"/>
      <c r="B4221" s="47" t="s">
        <v>4995</v>
      </c>
      <c r="C4221" s="48"/>
      <c r="F4221" s="78" t="s">
        <v>6734</v>
      </c>
      <c r="G4221" s="68">
        <v>3</v>
      </c>
      <c r="H4221" s="26" t="s">
        <v>3431</v>
      </c>
    </row>
    <row r="4222" spans="1:8" hidden="1">
      <c r="A4222" s="889"/>
      <c r="B4222" s="47" t="s">
        <v>4997</v>
      </c>
      <c r="C4222" s="48"/>
      <c r="F4222" s="78" t="s">
        <v>6734</v>
      </c>
      <c r="G4222" s="26">
        <v>0.15</v>
      </c>
      <c r="H4222" s="26" t="s">
        <v>3561</v>
      </c>
    </row>
    <row r="4223" spans="1:8" hidden="1">
      <c r="A4223" s="889"/>
      <c r="B4223" s="47" t="s">
        <v>1504</v>
      </c>
      <c r="C4223" s="48"/>
      <c r="F4223" s="78" t="s">
        <v>6734</v>
      </c>
      <c r="G4223" s="26">
        <v>12</v>
      </c>
      <c r="H4223" s="26" t="s">
        <v>3436</v>
      </c>
    </row>
    <row r="4224" spans="1:8" hidden="1">
      <c r="A4224" s="889"/>
      <c r="B4224" s="47" t="s">
        <v>1126</v>
      </c>
      <c r="C4224" s="48"/>
    </row>
    <row r="4225" spans="1:8" hidden="1">
      <c r="A4225" s="889"/>
      <c r="B4225" s="47" t="s">
        <v>6835</v>
      </c>
      <c r="C4225" s="48"/>
      <c r="E4225" s="26">
        <f>50/60*(1.5*3000*0.15*0.75/12)</f>
        <v>35.15625</v>
      </c>
      <c r="F4225" s="78" t="s">
        <v>1123</v>
      </c>
      <c r="G4225" s="26">
        <v>35.15</v>
      </c>
      <c r="H4225" s="26" t="s">
        <v>4536</v>
      </c>
    </row>
    <row r="4226" spans="1:8" hidden="1">
      <c r="A4226" s="889"/>
      <c r="B4226" s="47" t="s">
        <v>1737</v>
      </c>
      <c r="C4226" s="48"/>
      <c r="E4226" s="26">
        <f>394/G4225</f>
        <v>11.209103840682788</v>
      </c>
      <c r="F4226" s="78" t="s">
        <v>1123</v>
      </c>
      <c r="G4226" s="26">
        <v>11.5</v>
      </c>
      <c r="H4226" s="26" t="s">
        <v>3428</v>
      </c>
    </row>
    <row r="4227" spans="1:8" hidden="1">
      <c r="A4227" s="889"/>
      <c r="B4227" s="47" t="s">
        <v>3220</v>
      </c>
      <c r="C4227" s="48"/>
    </row>
    <row r="4228" spans="1:8" hidden="1">
      <c r="A4228" s="889"/>
      <c r="B4228" s="47" t="s">
        <v>4371</v>
      </c>
      <c r="C4228" s="48"/>
    </row>
    <row r="4229" spans="1:8" hidden="1">
      <c r="A4229" s="889"/>
      <c r="B4229" s="47" t="s">
        <v>1542</v>
      </c>
      <c r="C4229" s="48"/>
    </row>
    <row r="4230" spans="1:8" hidden="1">
      <c r="A4230" s="889"/>
      <c r="B4230" s="47" t="s">
        <v>4232</v>
      </c>
      <c r="C4230" s="48"/>
    </row>
    <row r="4231" spans="1:8">
      <c r="A4231" s="847"/>
      <c r="B4231" s="78"/>
      <c r="C4231" s="48"/>
    </row>
    <row r="4232" spans="1:8">
      <c r="A4232" s="889" t="s">
        <v>3984</v>
      </c>
      <c r="B4232" s="78"/>
      <c r="C4232" s="349" t="s">
        <v>2367</v>
      </c>
      <c r="E4232" s="171" t="s">
        <v>297</v>
      </c>
      <c r="F4232" s="246">
        <v>394</v>
      </c>
      <c r="G4232" s="26" t="s">
        <v>3477</v>
      </c>
    </row>
    <row r="4233" spans="1:8">
      <c r="A4233" s="847"/>
      <c r="B4233" s="79" t="s">
        <v>2368</v>
      </c>
      <c r="C4233" s="48"/>
    </row>
    <row r="4234" spans="1:8">
      <c r="A4234" s="847"/>
      <c r="B4234" s="95" t="s">
        <v>2369</v>
      </c>
      <c r="C4234" s="350" t="s">
        <v>6374</v>
      </c>
      <c r="D4234" s="95" t="s">
        <v>2370</v>
      </c>
      <c r="E4234" s="95" t="s">
        <v>1166</v>
      </c>
      <c r="F4234" s="95" t="s">
        <v>2371</v>
      </c>
      <c r="G4234" s="95" t="s">
        <v>2372</v>
      </c>
    </row>
    <row r="4235" spans="1:8">
      <c r="A4235" s="847"/>
      <c r="B4235" s="114"/>
      <c r="C4235" s="351"/>
      <c r="D4235" s="114"/>
      <c r="E4235" s="114"/>
      <c r="F4235" s="114" t="s">
        <v>3485</v>
      </c>
      <c r="G4235" s="114" t="s">
        <v>3485</v>
      </c>
    </row>
    <row r="4236" spans="1:8">
      <c r="A4236" s="847"/>
      <c r="B4236" s="95">
        <v>1</v>
      </c>
      <c r="C4236" s="103" t="s">
        <v>4168</v>
      </c>
      <c r="D4236" s="95"/>
      <c r="E4236" s="220">
        <v>0</v>
      </c>
      <c r="F4236" s="214">
        <v>0</v>
      </c>
      <c r="G4236" s="179">
        <f>F4236*E4236</f>
        <v>0</v>
      </c>
    </row>
    <row r="4237" spans="1:8">
      <c r="A4237" s="847"/>
      <c r="B4237" s="152"/>
      <c r="C4237" s="355"/>
      <c r="D4237" s="105"/>
      <c r="E4237" s="220">
        <v>0</v>
      </c>
      <c r="F4237" s="214">
        <v>0</v>
      </c>
      <c r="G4237" s="179">
        <f>F4237*E4237</f>
        <v>0</v>
      </c>
    </row>
    <row r="4238" spans="1:8">
      <c r="A4238" s="847"/>
      <c r="B4238" s="92"/>
      <c r="C4238" s="353" t="s">
        <v>2376</v>
      </c>
      <c r="D4238" s="159"/>
      <c r="E4238" s="238"/>
      <c r="F4238" s="236" t="s">
        <v>1698</v>
      </c>
      <c r="G4238" s="318">
        <f>SUM(G4236:G4237)</f>
        <v>0</v>
      </c>
    </row>
    <row r="4239" spans="1:8">
      <c r="A4239" s="847"/>
      <c r="B4239" s="78"/>
      <c r="C4239" s="48"/>
    </row>
    <row r="4240" spans="1:8">
      <c r="A4240" s="847"/>
      <c r="B4240" s="79" t="s">
        <v>2377</v>
      </c>
      <c r="C4240" s="48"/>
    </row>
    <row r="4241" spans="1:7">
      <c r="A4241" s="847"/>
      <c r="B4241" s="95" t="s">
        <v>2369</v>
      </c>
      <c r="C4241" s="350" t="s">
        <v>2378</v>
      </c>
      <c r="D4241" s="95" t="s">
        <v>2370</v>
      </c>
      <c r="E4241" s="95" t="s">
        <v>1166</v>
      </c>
      <c r="F4241" s="95" t="s">
        <v>2371</v>
      </c>
      <c r="G4241" s="95" t="s">
        <v>2372</v>
      </c>
    </row>
    <row r="4242" spans="1:7">
      <c r="A4242" s="847"/>
      <c r="B4242" s="114"/>
      <c r="C4242" s="351"/>
      <c r="D4242" s="114"/>
      <c r="E4242" s="114"/>
      <c r="F4242" s="114" t="s">
        <v>3485</v>
      </c>
      <c r="G4242" s="114" t="s">
        <v>3485</v>
      </c>
    </row>
    <row r="4243" spans="1:7">
      <c r="A4243" s="847"/>
      <c r="B4243" s="95">
        <v>1</v>
      </c>
      <c r="C4243" s="86" t="s">
        <v>1792</v>
      </c>
      <c r="D4243" s="95" t="s">
        <v>2374</v>
      </c>
      <c r="E4243" s="220">
        <v>8</v>
      </c>
      <c r="F4243" s="190">
        <f>'HIRE CHARGES'!$D$542</f>
        <v>1003.1</v>
      </c>
      <c r="G4243" s="179">
        <f t="shared" ref="G4243:G4255" si="54">F4243*E4243</f>
        <v>8024.8</v>
      </c>
    </row>
    <row r="4244" spans="1:7">
      <c r="A4244" s="847"/>
      <c r="B4244" s="152"/>
      <c r="C4244" s="86" t="s">
        <v>2379</v>
      </c>
      <c r="D4244" s="105" t="s">
        <v>2374</v>
      </c>
      <c r="E4244" s="220">
        <v>8</v>
      </c>
      <c r="F4244" s="190">
        <f>'HIRE CHARGES'!$E$542</f>
        <v>476</v>
      </c>
      <c r="G4244" s="179">
        <f t="shared" si="54"/>
        <v>3808</v>
      </c>
    </row>
    <row r="4245" spans="1:7">
      <c r="A4245" s="847"/>
      <c r="B4245" s="105">
        <v>2</v>
      </c>
      <c r="C4245" s="86" t="s">
        <v>1502</v>
      </c>
      <c r="D4245" s="105" t="s">
        <v>2374</v>
      </c>
      <c r="E4245" s="220">
        <v>3</v>
      </c>
      <c r="F4245" s="214">
        <f>'HIRE CHARGES'!$D$499</f>
        <v>1715.5</v>
      </c>
      <c r="G4245" s="179">
        <f t="shared" si="54"/>
        <v>5146.5</v>
      </c>
    </row>
    <row r="4246" spans="1:7">
      <c r="A4246" s="847"/>
      <c r="B4246" s="152"/>
      <c r="C4246" s="86" t="s">
        <v>2379</v>
      </c>
      <c r="D4246" s="105" t="s">
        <v>2374</v>
      </c>
      <c r="E4246" s="220">
        <v>3</v>
      </c>
      <c r="F4246" s="214">
        <f>'HIRE CHARGES'!$E$499</f>
        <v>610.5</v>
      </c>
      <c r="G4246" s="179">
        <f t="shared" si="54"/>
        <v>1831.5</v>
      </c>
    </row>
    <row r="4247" spans="1:7">
      <c r="A4247" s="847"/>
      <c r="B4247" s="105">
        <v>3</v>
      </c>
      <c r="C4247" s="86" t="s">
        <v>6282</v>
      </c>
      <c r="D4247" s="105" t="s">
        <v>2374</v>
      </c>
      <c r="E4247" s="220">
        <v>24</v>
      </c>
      <c r="F4247" s="190">
        <f>'HIRE CHARGES'!$D$545</f>
        <v>446.7</v>
      </c>
      <c r="G4247" s="179">
        <f t="shared" si="54"/>
        <v>10720.8</v>
      </c>
    </row>
    <row r="4248" spans="1:7">
      <c r="A4248" s="847"/>
      <c r="B4248" s="152"/>
      <c r="C4248" s="86" t="s">
        <v>2379</v>
      </c>
      <c r="D4248" s="105" t="s">
        <v>2374</v>
      </c>
      <c r="E4248" s="220">
        <v>24</v>
      </c>
      <c r="F4248" s="214">
        <f>'HIRE CHARGES'!$E$545</f>
        <v>299.89999999999998</v>
      </c>
      <c r="G4248" s="179">
        <f t="shared" si="54"/>
        <v>7197.5999999999995</v>
      </c>
    </row>
    <row r="4249" spans="1:7">
      <c r="A4249" s="847"/>
      <c r="B4249" s="105">
        <v>4</v>
      </c>
      <c r="C4249" s="86" t="s">
        <v>1132</v>
      </c>
      <c r="D4249" s="105" t="s">
        <v>2374</v>
      </c>
      <c r="E4249" s="220">
        <v>4</v>
      </c>
      <c r="F4249" s="214">
        <f>'HIRE CHARGES'!$D$517</f>
        <v>10.199999999999999</v>
      </c>
      <c r="G4249" s="179">
        <f t="shared" si="54"/>
        <v>40.799999999999997</v>
      </c>
    </row>
    <row r="4250" spans="1:7">
      <c r="A4250" s="847"/>
      <c r="B4250" s="152"/>
      <c r="C4250" s="86" t="s">
        <v>2379</v>
      </c>
      <c r="D4250" s="105" t="s">
        <v>2374</v>
      </c>
      <c r="E4250" s="220">
        <v>4</v>
      </c>
      <c r="F4250" s="214">
        <f>'HIRE CHARGES'!$E$517</f>
        <v>79.3</v>
      </c>
      <c r="G4250" s="179">
        <f t="shared" si="54"/>
        <v>317.2</v>
      </c>
    </row>
    <row r="4251" spans="1:7">
      <c r="A4251" s="847"/>
      <c r="B4251" s="105">
        <v>5</v>
      </c>
      <c r="C4251" s="86" t="s">
        <v>6286</v>
      </c>
      <c r="D4251" s="105" t="s">
        <v>2374</v>
      </c>
      <c r="E4251" s="220">
        <v>4</v>
      </c>
      <c r="F4251" s="214">
        <f>'HIRE CHARGES'!$D$555</f>
        <v>402.5</v>
      </c>
      <c r="G4251" s="179">
        <f t="shared" si="54"/>
        <v>1610</v>
      </c>
    </row>
    <row r="4252" spans="1:7">
      <c r="A4252" s="847"/>
      <c r="B4252" s="152"/>
      <c r="C4252" s="86" t="s">
        <v>2379</v>
      </c>
      <c r="D4252" s="105" t="s">
        <v>2374</v>
      </c>
      <c r="E4252" s="220">
        <v>4</v>
      </c>
      <c r="F4252" s="214">
        <f>'HIRE CHARGES'!$E$555</f>
        <v>299.89999999999998</v>
      </c>
      <c r="G4252" s="179">
        <f t="shared" si="54"/>
        <v>1199.5999999999999</v>
      </c>
    </row>
    <row r="4253" spans="1:7">
      <c r="A4253" s="847"/>
      <c r="B4253" s="105">
        <v>6</v>
      </c>
      <c r="C4253" s="86" t="s">
        <v>1543</v>
      </c>
      <c r="D4253" s="105" t="s">
        <v>2374</v>
      </c>
      <c r="E4253" s="220">
        <f>G4226</f>
        <v>11.5</v>
      </c>
      <c r="F4253" s="214">
        <f>'HIRE CHARGES'!$D$541</f>
        <v>197.2</v>
      </c>
      <c r="G4253" s="179">
        <f t="shared" si="54"/>
        <v>2267.7999999999997</v>
      </c>
    </row>
    <row r="4254" spans="1:7">
      <c r="A4254" s="847"/>
      <c r="B4254" s="152"/>
      <c r="C4254" s="86" t="s">
        <v>2379</v>
      </c>
      <c r="D4254" s="105" t="s">
        <v>2374</v>
      </c>
      <c r="E4254" s="220">
        <f>G4226</f>
        <v>11.5</v>
      </c>
      <c r="F4254" s="214">
        <f>'HIRE CHARGES'!$E$541</f>
        <v>714</v>
      </c>
      <c r="G4254" s="179">
        <f t="shared" si="54"/>
        <v>8211</v>
      </c>
    </row>
    <row r="4255" spans="1:7">
      <c r="A4255" s="847"/>
      <c r="B4255" s="114">
        <v>7</v>
      </c>
      <c r="C4255" s="86" t="s">
        <v>2373</v>
      </c>
      <c r="D4255" s="105" t="s">
        <v>2173</v>
      </c>
      <c r="E4255" s="220">
        <v>5</v>
      </c>
      <c r="F4255" s="190">
        <f>'BASIC DATA'!$D$359</f>
        <v>30</v>
      </c>
      <c r="G4255" s="179">
        <f t="shared" si="54"/>
        <v>150</v>
      </c>
    </row>
    <row r="4256" spans="1:7">
      <c r="A4256" s="847"/>
      <c r="B4256" s="176"/>
      <c r="C4256" s="357" t="s">
        <v>2380</v>
      </c>
      <c r="D4256" s="174"/>
      <c r="E4256" s="192"/>
      <c r="F4256" s="236" t="s">
        <v>1698</v>
      </c>
      <c r="G4256" s="354">
        <f>SUM(G4243:G4255)</f>
        <v>50525.599999999999</v>
      </c>
    </row>
    <row r="4257" spans="1:7">
      <c r="A4257" s="847"/>
      <c r="B4257" s="78"/>
      <c r="C4257" s="48"/>
    </row>
    <row r="4258" spans="1:7">
      <c r="A4258" s="847"/>
      <c r="B4258" s="79" t="s">
        <v>2381</v>
      </c>
      <c r="C4258" s="48"/>
    </row>
    <row r="4259" spans="1:7">
      <c r="A4259" s="847"/>
      <c r="B4259" s="95" t="s">
        <v>2369</v>
      </c>
      <c r="C4259" s="350" t="s">
        <v>2378</v>
      </c>
      <c r="D4259" s="95" t="s">
        <v>2370</v>
      </c>
      <c r="E4259" s="95" t="s">
        <v>1166</v>
      </c>
      <c r="F4259" s="95" t="s">
        <v>2371</v>
      </c>
      <c r="G4259" s="95" t="s">
        <v>2372</v>
      </c>
    </row>
    <row r="4260" spans="1:7">
      <c r="A4260" s="847"/>
      <c r="B4260" s="114"/>
      <c r="C4260" s="351"/>
      <c r="D4260" s="105"/>
      <c r="E4260" s="114"/>
      <c r="F4260" s="114" t="s">
        <v>3485</v>
      </c>
      <c r="G4260" s="114" t="s">
        <v>3485</v>
      </c>
    </row>
    <row r="4261" spans="1:7">
      <c r="A4261" s="847"/>
      <c r="B4261" s="105">
        <v>1</v>
      </c>
      <c r="C4261" s="86" t="s">
        <v>300</v>
      </c>
      <c r="D4261" s="95" t="s">
        <v>2374</v>
      </c>
      <c r="E4261" s="207">
        <v>8</v>
      </c>
      <c r="F4261" s="190">
        <f>'HIRE CHARGES'!$F$542</f>
        <v>236.6</v>
      </c>
      <c r="G4261" s="179">
        <f t="shared" ref="G4261:G4268" si="55">F4261*E4261</f>
        <v>1892.8</v>
      </c>
    </row>
    <row r="4262" spans="1:7">
      <c r="A4262" s="847"/>
      <c r="B4262" s="105">
        <v>2</v>
      </c>
      <c r="C4262" s="86" t="s">
        <v>2870</v>
      </c>
      <c r="D4262" s="105" t="s">
        <v>2374</v>
      </c>
      <c r="E4262" s="207">
        <v>3</v>
      </c>
      <c r="F4262" s="190">
        <f>'HIRE CHARGES'!$F$499</f>
        <v>236.6</v>
      </c>
      <c r="G4262" s="179">
        <f t="shared" si="55"/>
        <v>709.8</v>
      </c>
    </row>
    <row r="4263" spans="1:7">
      <c r="A4263" s="847"/>
      <c r="B4263" s="105">
        <v>3</v>
      </c>
      <c r="C4263" s="86" t="s">
        <v>301</v>
      </c>
      <c r="D4263" s="105" t="s">
        <v>2374</v>
      </c>
      <c r="E4263" s="207">
        <v>24</v>
      </c>
      <c r="F4263" s="190">
        <f>'HIRE CHARGES'!$F$545</f>
        <v>177.5</v>
      </c>
      <c r="G4263" s="179">
        <f t="shared" si="55"/>
        <v>4260</v>
      </c>
    </row>
    <row r="4264" spans="1:7">
      <c r="A4264" s="847"/>
      <c r="B4264" s="105">
        <v>4</v>
      </c>
      <c r="C4264" s="86" t="s">
        <v>999</v>
      </c>
      <c r="D4264" s="105" t="s">
        <v>2374</v>
      </c>
      <c r="E4264" s="207">
        <v>4</v>
      </c>
      <c r="F4264" s="190">
        <f>'HIRE CHARGES'!$F$517</f>
        <v>111.1</v>
      </c>
      <c r="G4264" s="179">
        <f t="shared" si="55"/>
        <v>444.4</v>
      </c>
    </row>
    <row r="4265" spans="1:7">
      <c r="A4265" s="847"/>
      <c r="B4265" s="105">
        <v>5</v>
      </c>
      <c r="C4265" s="86" t="s">
        <v>1000</v>
      </c>
      <c r="D4265" s="105" t="s">
        <v>2374</v>
      </c>
      <c r="E4265" s="207">
        <v>4</v>
      </c>
      <c r="F4265" s="190">
        <f>'HIRE CHARGES'!$F$555</f>
        <v>177.5</v>
      </c>
      <c r="G4265" s="179">
        <f t="shared" si="55"/>
        <v>710</v>
      </c>
    </row>
    <row r="4266" spans="1:7">
      <c r="A4266" s="847"/>
      <c r="B4266" s="105">
        <v>6</v>
      </c>
      <c r="C4266" s="86" t="s">
        <v>1544</v>
      </c>
      <c r="D4266" s="105" t="s">
        <v>2374</v>
      </c>
      <c r="E4266" s="207">
        <f>G4226</f>
        <v>11.5</v>
      </c>
      <c r="F4266" s="214">
        <f>'HIRE CHARGES'!$F$541</f>
        <v>210.9</v>
      </c>
      <c r="G4266" s="179">
        <f t="shared" si="55"/>
        <v>2425.35</v>
      </c>
    </row>
    <row r="4267" spans="1:7">
      <c r="A4267" s="847"/>
      <c r="B4267" s="105">
        <v>7</v>
      </c>
      <c r="C4267" s="86" t="s">
        <v>4206</v>
      </c>
      <c r="D4267" s="105" t="s">
        <v>1172</v>
      </c>
      <c r="E4267" s="207">
        <v>2</v>
      </c>
      <c r="F4267" s="190">
        <f>'BASIC DATA'!$C$473</f>
        <v>450</v>
      </c>
      <c r="G4267" s="179">
        <f t="shared" si="55"/>
        <v>900</v>
      </c>
    </row>
    <row r="4268" spans="1:7">
      <c r="A4268" s="847"/>
      <c r="B4268" s="105">
        <v>8</v>
      </c>
      <c r="C4268" s="86" t="s">
        <v>2696</v>
      </c>
      <c r="D4268" s="105" t="s">
        <v>1172</v>
      </c>
      <c r="E4268" s="207">
        <v>38</v>
      </c>
      <c r="F4268" s="190">
        <f>'BASIC DATA'!$C$552</f>
        <v>350</v>
      </c>
      <c r="G4268" s="179">
        <f t="shared" si="55"/>
        <v>13300</v>
      </c>
    </row>
    <row r="4269" spans="1:7">
      <c r="A4269" s="847"/>
      <c r="B4269" s="92"/>
      <c r="C4269" s="353" t="s">
        <v>1174</v>
      </c>
      <c r="D4269" s="159"/>
      <c r="E4269" s="238"/>
      <c r="F4269" s="344" t="s">
        <v>1698</v>
      </c>
      <c r="G4269" s="318">
        <f>SUM(G4261:G4268)</f>
        <v>24642.35</v>
      </c>
    </row>
    <row r="4270" spans="1:7">
      <c r="A4270" s="847"/>
      <c r="B4270" s="359" t="s">
        <v>5948</v>
      </c>
      <c r="C4270" s="48"/>
      <c r="D4270" s="31"/>
      <c r="E4270" s="85">
        <f>ROUND(G4269/F4232,1)</f>
        <v>62.5</v>
      </c>
      <c r="F4270" s="85"/>
    </row>
    <row r="4271" spans="1:7">
      <c r="A4271" s="847"/>
      <c r="B4271" s="359" t="s">
        <v>3163</v>
      </c>
      <c r="C4271" s="48"/>
      <c r="D4271" s="922">
        <f>'BASIC DATA'!$C$577</f>
        <v>0.13614999999999999</v>
      </c>
      <c r="E4271" s="85">
        <f>ROUND(E4270*D4271,1)</f>
        <v>8.5</v>
      </c>
      <c r="F4271" s="85"/>
    </row>
    <row r="4272" spans="1:7">
      <c r="A4272" s="847"/>
      <c r="B4272" s="359" t="s">
        <v>5949</v>
      </c>
      <c r="C4272" s="48"/>
      <c r="D4272" s="31"/>
      <c r="E4272" s="199">
        <f>ROUND(E4271+E4270,1)</f>
        <v>71</v>
      </c>
      <c r="F4272" s="85"/>
    </row>
    <row r="4273" spans="1:7">
      <c r="A4273" s="847"/>
      <c r="C4273" s="48"/>
    </row>
    <row r="4274" spans="1:7">
      <c r="A4274" s="847"/>
      <c r="B4274" s="162" t="s">
        <v>1175</v>
      </c>
      <c r="C4274" s="48"/>
    </row>
    <row r="4275" spans="1:7">
      <c r="A4275" s="847"/>
      <c r="B4275" s="47" t="s">
        <v>1176</v>
      </c>
      <c r="C4275" s="48"/>
      <c r="F4275" s="171" t="s">
        <v>1698</v>
      </c>
      <c r="G4275" s="68">
        <f>G4238</f>
        <v>0</v>
      </c>
    </row>
    <row r="4276" spans="1:7">
      <c r="A4276" s="847"/>
      <c r="B4276" s="47" t="s">
        <v>1186</v>
      </c>
      <c r="C4276" s="48"/>
      <c r="F4276" s="171" t="s">
        <v>1698</v>
      </c>
      <c r="G4276" s="68">
        <f>G4256</f>
        <v>50525.599999999999</v>
      </c>
    </row>
    <row r="4277" spans="1:7">
      <c r="A4277" s="847"/>
      <c r="B4277" s="47" t="s">
        <v>2660</v>
      </c>
      <c r="C4277" s="48"/>
      <c r="F4277" s="171" t="s">
        <v>1698</v>
      </c>
      <c r="G4277" s="75">
        <f>G4269</f>
        <v>24642.35</v>
      </c>
    </row>
    <row r="4278" spans="1:7">
      <c r="A4278" s="847"/>
      <c r="B4278" s="78"/>
      <c r="C4278" s="48"/>
      <c r="E4278" s="261"/>
      <c r="F4278" s="171" t="s">
        <v>302</v>
      </c>
      <c r="G4278" s="205">
        <f>SUM(G4275:G4277)</f>
        <v>75167.95</v>
      </c>
    </row>
    <row r="4279" spans="1:7" ht="42" customHeight="1">
      <c r="A4279" s="847"/>
      <c r="B4279" s="1207" t="s">
        <v>1379</v>
      </c>
      <c r="C4279" s="1207"/>
      <c r="D4279" s="1207"/>
      <c r="E4279" s="922">
        <f>'BASIC DATA'!$C$577</f>
        <v>0.13614999999999999</v>
      </c>
      <c r="F4279" s="171" t="s">
        <v>1698</v>
      </c>
      <c r="G4279" s="31">
        <f>ROUND(G4278*E4279,2)</f>
        <v>10234.120000000001</v>
      </c>
    </row>
    <row r="4280" spans="1:7">
      <c r="A4280" s="847"/>
      <c r="B4280" s="47" t="s">
        <v>1191</v>
      </c>
      <c r="C4280" s="48"/>
      <c r="D4280" s="68">
        <f>F4232</f>
        <v>394</v>
      </c>
      <c r="E4280" s="68" t="str">
        <f>G4232</f>
        <v>cum</v>
      </c>
      <c r="F4280" s="171" t="s">
        <v>1698</v>
      </c>
      <c r="G4280" s="211">
        <f>G4279+G4278</f>
        <v>85402.069999999992</v>
      </c>
    </row>
    <row r="4281" spans="1:7">
      <c r="A4281" s="847"/>
      <c r="B4281" s="79" t="s">
        <v>1584</v>
      </c>
      <c r="C4281" s="404" t="str">
        <f>E4280</f>
        <v>cum</v>
      </c>
      <c r="D4281" s="26" t="s">
        <v>5884</v>
      </c>
      <c r="F4281" s="171" t="s">
        <v>4108</v>
      </c>
      <c r="G4281" s="211">
        <f>ROUND(G4280/D4280,1)</f>
        <v>216.8</v>
      </c>
    </row>
    <row r="4282" spans="1:7">
      <c r="A4282" s="847"/>
      <c r="B4282" s="78"/>
      <c r="C4282" s="48"/>
    </row>
    <row r="4283" spans="1:7">
      <c r="A4283" s="847"/>
      <c r="B4283" s="78"/>
      <c r="C4283" s="48"/>
    </row>
    <row r="4284" spans="1:7" ht="18.75">
      <c r="A4284" s="841" t="s">
        <v>7469</v>
      </c>
      <c r="B4284" s="47" t="s">
        <v>8736</v>
      </c>
      <c r="C4284" s="48"/>
    </row>
    <row r="4285" spans="1:7">
      <c r="A4285" s="889"/>
      <c r="B4285" s="47" t="s">
        <v>8737</v>
      </c>
      <c r="C4285" s="48"/>
    </row>
    <row r="4286" spans="1:7" ht="18.75">
      <c r="A4286" s="889"/>
      <c r="B4286" s="47" t="s">
        <v>8738</v>
      </c>
      <c r="C4286" s="48"/>
    </row>
    <row r="4287" spans="1:7" ht="18.75">
      <c r="A4287" s="895"/>
      <c r="B4287" s="47" t="s">
        <v>8739</v>
      </c>
      <c r="C4287" s="48"/>
    </row>
    <row r="4288" spans="1:7">
      <c r="A4288" s="895"/>
      <c r="C4288" s="48"/>
      <c r="F4288" s="78"/>
      <c r="G4288" s="27"/>
    </row>
    <row r="4289" spans="1:8" hidden="1">
      <c r="A4289" s="889" t="s">
        <v>3984</v>
      </c>
      <c r="B4289" s="47" t="s">
        <v>930</v>
      </c>
      <c r="C4289" s="48"/>
      <c r="F4289" s="78"/>
    </row>
    <row r="4290" spans="1:8" hidden="1">
      <c r="A4290" s="889"/>
      <c r="B4290" s="47" t="s">
        <v>931</v>
      </c>
      <c r="C4290" s="48"/>
      <c r="F4290" s="78" t="s">
        <v>1697</v>
      </c>
      <c r="G4290" s="26">
        <v>394</v>
      </c>
      <c r="H4290" s="26" t="s">
        <v>6901</v>
      </c>
    </row>
    <row r="4291" spans="1:8" hidden="1">
      <c r="A4291" s="889">
        <v>1</v>
      </c>
      <c r="B4291" s="47" t="s">
        <v>2860</v>
      </c>
      <c r="C4291" s="48"/>
      <c r="F4291" s="78"/>
    </row>
    <row r="4292" spans="1:8" hidden="1">
      <c r="A4292" s="889"/>
      <c r="B4292" s="47" t="s">
        <v>2133</v>
      </c>
      <c r="C4292" s="48"/>
      <c r="F4292" s="78" t="s">
        <v>1697</v>
      </c>
      <c r="G4292" s="68">
        <v>1</v>
      </c>
      <c r="H4292" s="26" t="s">
        <v>3428</v>
      </c>
    </row>
    <row r="4293" spans="1:8" hidden="1">
      <c r="A4293" s="889">
        <v>2</v>
      </c>
      <c r="B4293" s="47" t="s">
        <v>6281</v>
      </c>
      <c r="C4293" s="48"/>
    </row>
    <row r="4294" spans="1:8" hidden="1">
      <c r="A4294" s="889"/>
      <c r="B4294" s="47" t="s">
        <v>4117</v>
      </c>
      <c r="C4294" s="48"/>
    </row>
    <row r="4295" spans="1:8" hidden="1">
      <c r="A4295" s="889"/>
      <c r="B4295" s="47" t="s">
        <v>7326</v>
      </c>
      <c r="C4295" s="48"/>
    </row>
    <row r="4296" spans="1:8" hidden="1">
      <c r="A4296" s="889">
        <v>3</v>
      </c>
      <c r="B4296" s="47" t="s">
        <v>3655</v>
      </c>
      <c r="C4296" s="48"/>
    </row>
    <row r="4297" spans="1:8" hidden="1">
      <c r="A4297" s="889"/>
      <c r="B4297" s="47" t="s">
        <v>1545</v>
      </c>
      <c r="C4297" s="48"/>
    </row>
    <row r="4298" spans="1:8" hidden="1">
      <c r="A4298" s="889"/>
      <c r="B4298" s="47" t="s">
        <v>4532</v>
      </c>
      <c r="C4298" s="48"/>
    </row>
    <row r="4299" spans="1:8" hidden="1">
      <c r="A4299" s="889"/>
      <c r="B4299" s="47" t="s">
        <v>6227</v>
      </c>
      <c r="C4299" s="48"/>
    </row>
    <row r="4300" spans="1:8" hidden="1">
      <c r="A4300" s="889">
        <v>4</v>
      </c>
      <c r="B4300" s="47" t="s">
        <v>1746</v>
      </c>
      <c r="C4300" s="48"/>
    </row>
    <row r="4301" spans="1:8" hidden="1">
      <c r="A4301" s="889"/>
      <c r="B4301" s="47" t="s">
        <v>3717</v>
      </c>
      <c r="C4301" s="48"/>
    </row>
    <row r="4302" spans="1:8" hidden="1">
      <c r="A4302" s="889"/>
      <c r="B4302" s="47" t="s">
        <v>7106</v>
      </c>
      <c r="C4302" s="48"/>
    </row>
    <row r="4303" spans="1:8" hidden="1">
      <c r="A4303" s="889">
        <v>5</v>
      </c>
      <c r="B4303" s="47" t="s">
        <v>6798</v>
      </c>
      <c r="C4303" s="48"/>
    </row>
    <row r="4304" spans="1:8" hidden="1">
      <c r="A4304" s="889"/>
      <c r="B4304" s="47" t="s">
        <v>1546</v>
      </c>
      <c r="C4304" s="48"/>
    </row>
    <row r="4305" spans="1:8" hidden="1">
      <c r="A4305" s="889"/>
      <c r="B4305" s="47" t="s">
        <v>1738</v>
      </c>
      <c r="C4305" s="48"/>
    </row>
    <row r="4306" spans="1:8" hidden="1">
      <c r="A4306" s="889"/>
      <c r="B4306" s="47" t="s">
        <v>1547</v>
      </c>
      <c r="C4306" s="48"/>
    </row>
    <row r="4307" spans="1:8" hidden="1">
      <c r="A4307" s="889"/>
      <c r="B4307" s="47" t="s">
        <v>3650</v>
      </c>
      <c r="C4307" s="48"/>
      <c r="F4307" s="78" t="s">
        <v>1697</v>
      </c>
      <c r="G4307" s="68">
        <v>1.5</v>
      </c>
      <c r="H4307" s="26" t="s">
        <v>3561</v>
      </c>
    </row>
    <row r="4308" spans="1:8" hidden="1">
      <c r="A4308" s="889"/>
      <c r="B4308" s="47" t="s">
        <v>4995</v>
      </c>
      <c r="C4308" s="48"/>
      <c r="F4308" s="78" t="s">
        <v>1697</v>
      </c>
      <c r="G4308" s="68">
        <v>3</v>
      </c>
      <c r="H4308" s="26" t="s">
        <v>3431</v>
      </c>
    </row>
    <row r="4309" spans="1:8" hidden="1">
      <c r="A4309" s="889"/>
      <c r="B4309" s="47" t="s">
        <v>4997</v>
      </c>
      <c r="C4309" s="48"/>
      <c r="F4309" s="78" t="s">
        <v>1697</v>
      </c>
      <c r="G4309" s="26">
        <v>0.15</v>
      </c>
      <c r="H4309" s="26" t="s">
        <v>3561</v>
      </c>
    </row>
    <row r="4310" spans="1:8" hidden="1">
      <c r="A4310" s="889"/>
      <c r="B4310" s="47" t="s">
        <v>1504</v>
      </c>
      <c r="C4310" s="48"/>
      <c r="F4310" s="78" t="s">
        <v>1697</v>
      </c>
      <c r="G4310" s="26">
        <v>10</v>
      </c>
      <c r="H4310" s="26" t="s">
        <v>3436</v>
      </c>
    </row>
    <row r="4311" spans="1:8" hidden="1">
      <c r="A4311" s="889"/>
      <c r="B4311" s="47" t="s">
        <v>1126</v>
      </c>
      <c r="C4311" s="48"/>
      <c r="F4311" s="78"/>
    </row>
    <row r="4312" spans="1:8" hidden="1">
      <c r="A4312" s="889"/>
      <c r="B4312" s="47" t="s">
        <v>4530</v>
      </c>
      <c r="C4312" s="48"/>
      <c r="E4312" s="26">
        <f>50/60*(1.5*3000*0.15*0.75/10)</f>
        <v>42.1875</v>
      </c>
      <c r="F4312" s="78" t="s">
        <v>1123</v>
      </c>
      <c r="G4312" s="26">
        <v>42</v>
      </c>
      <c r="H4312" s="26" t="s">
        <v>6901</v>
      </c>
    </row>
    <row r="4313" spans="1:8" hidden="1">
      <c r="A4313" s="889"/>
      <c r="B4313" s="47" t="s">
        <v>1737</v>
      </c>
      <c r="C4313" s="48"/>
      <c r="E4313" s="26">
        <f>394/G4312</f>
        <v>9.3809523809523814</v>
      </c>
      <c r="F4313" s="78" t="s">
        <v>1123</v>
      </c>
      <c r="G4313" s="26">
        <v>10</v>
      </c>
      <c r="H4313" s="26" t="s">
        <v>3428</v>
      </c>
    </row>
    <row r="4314" spans="1:8" hidden="1">
      <c r="A4314" s="889"/>
      <c r="B4314" s="47" t="s">
        <v>3220</v>
      </c>
      <c r="C4314" s="48"/>
    </row>
    <row r="4315" spans="1:8" hidden="1">
      <c r="A4315" s="889"/>
      <c r="B4315" s="47" t="s">
        <v>5043</v>
      </c>
      <c r="C4315" s="48"/>
    </row>
    <row r="4316" spans="1:8" hidden="1">
      <c r="A4316" s="889"/>
      <c r="B4316" s="47" t="s">
        <v>1542</v>
      </c>
      <c r="C4316" s="48"/>
    </row>
    <row r="4317" spans="1:8" hidden="1">
      <c r="A4317" s="889"/>
      <c r="B4317" s="47" t="s">
        <v>4232</v>
      </c>
      <c r="C4317" s="48"/>
    </row>
    <row r="4318" spans="1:8">
      <c r="A4318" s="847"/>
      <c r="B4318" s="78"/>
      <c r="C4318" s="48"/>
    </row>
    <row r="4319" spans="1:8">
      <c r="A4319" s="847"/>
      <c r="B4319" s="78"/>
      <c r="C4319" s="48"/>
    </row>
    <row r="4320" spans="1:8">
      <c r="A4320" s="889" t="s">
        <v>3984</v>
      </c>
      <c r="B4320" s="78"/>
      <c r="C4320" s="349" t="s">
        <v>2367</v>
      </c>
      <c r="E4320" s="171" t="s">
        <v>297</v>
      </c>
      <c r="F4320" s="246">
        <f>G4290</f>
        <v>394</v>
      </c>
      <c r="G4320" s="26" t="s">
        <v>3477</v>
      </c>
    </row>
    <row r="4321" spans="1:7">
      <c r="A4321" s="847"/>
      <c r="B4321" s="79" t="s">
        <v>2368</v>
      </c>
      <c r="C4321" s="48"/>
    </row>
    <row r="4322" spans="1:7">
      <c r="A4322" s="847"/>
      <c r="B4322" s="95" t="s">
        <v>2369</v>
      </c>
      <c r="C4322" s="350" t="s">
        <v>6374</v>
      </c>
      <c r="D4322" s="95" t="s">
        <v>2370</v>
      </c>
      <c r="E4322" s="95" t="s">
        <v>1166</v>
      </c>
      <c r="F4322" s="95" t="s">
        <v>2371</v>
      </c>
      <c r="G4322" s="95" t="s">
        <v>2372</v>
      </c>
    </row>
    <row r="4323" spans="1:7">
      <c r="A4323" s="847"/>
      <c r="B4323" s="114"/>
      <c r="C4323" s="351"/>
      <c r="D4323" s="114"/>
      <c r="E4323" s="114"/>
      <c r="F4323" s="114" t="s">
        <v>3485</v>
      </c>
      <c r="G4323" s="114" t="s">
        <v>3485</v>
      </c>
    </row>
    <row r="4324" spans="1:7">
      <c r="A4324" s="847"/>
      <c r="B4324" s="95">
        <v>1</v>
      </c>
      <c r="C4324" s="103" t="s">
        <v>4168</v>
      </c>
      <c r="D4324" s="95"/>
      <c r="E4324" s="220">
        <v>0</v>
      </c>
      <c r="F4324" s="214">
        <v>0</v>
      </c>
      <c r="G4324" s="179">
        <f>F4324*E4324</f>
        <v>0</v>
      </c>
    </row>
    <row r="4325" spans="1:7">
      <c r="A4325" s="847"/>
      <c r="B4325" s="152"/>
      <c r="C4325" s="355"/>
      <c r="D4325" s="105"/>
      <c r="E4325" s="220">
        <v>0</v>
      </c>
      <c r="F4325" s="214">
        <v>0</v>
      </c>
      <c r="G4325" s="179">
        <f>F4325*E4325</f>
        <v>0</v>
      </c>
    </row>
    <row r="4326" spans="1:7">
      <c r="A4326" s="847"/>
      <c r="B4326" s="92"/>
      <c r="C4326" s="353" t="s">
        <v>2376</v>
      </c>
      <c r="D4326" s="159"/>
      <c r="E4326" s="238"/>
      <c r="F4326" s="236" t="s">
        <v>1698</v>
      </c>
      <c r="G4326" s="318">
        <f>SUM(G4324:G4325)</f>
        <v>0</v>
      </c>
    </row>
    <row r="4327" spans="1:7">
      <c r="A4327" s="847"/>
      <c r="B4327" s="78"/>
      <c r="C4327" s="48"/>
    </row>
    <row r="4328" spans="1:7">
      <c r="A4328" s="847"/>
      <c r="B4328" s="79" t="s">
        <v>2377</v>
      </c>
      <c r="C4328" s="48"/>
    </row>
    <row r="4329" spans="1:7">
      <c r="A4329" s="847"/>
      <c r="B4329" s="95" t="s">
        <v>2369</v>
      </c>
      <c r="C4329" s="350" t="s">
        <v>2378</v>
      </c>
      <c r="D4329" s="95" t="s">
        <v>2370</v>
      </c>
      <c r="E4329" s="95" t="s">
        <v>1166</v>
      </c>
      <c r="F4329" s="95" t="s">
        <v>2371</v>
      </c>
      <c r="G4329" s="95" t="s">
        <v>2372</v>
      </c>
    </row>
    <row r="4330" spans="1:7">
      <c r="A4330" s="847"/>
      <c r="B4330" s="114"/>
      <c r="C4330" s="351"/>
      <c r="D4330" s="114"/>
      <c r="E4330" s="114"/>
      <c r="F4330" s="114" t="s">
        <v>3485</v>
      </c>
      <c r="G4330" s="114" t="s">
        <v>3485</v>
      </c>
    </row>
    <row r="4331" spans="1:7">
      <c r="A4331" s="847"/>
      <c r="B4331" s="95">
        <v>1</v>
      </c>
      <c r="C4331" s="86" t="s">
        <v>1792</v>
      </c>
      <c r="D4331" s="95" t="s">
        <v>2374</v>
      </c>
      <c r="E4331" s="220">
        <v>8</v>
      </c>
      <c r="F4331" s="190">
        <f>'HIRE CHARGES'!$D$542</f>
        <v>1003.1</v>
      </c>
      <c r="G4331" s="179">
        <f t="shared" ref="G4331:G4343" si="56">F4331*E4331</f>
        <v>8024.8</v>
      </c>
    </row>
    <row r="4332" spans="1:7">
      <c r="A4332" s="847"/>
      <c r="B4332" s="152"/>
      <c r="C4332" s="86" t="s">
        <v>2379</v>
      </c>
      <c r="D4332" s="105" t="s">
        <v>2374</v>
      </c>
      <c r="E4332" s="220">
        <v>8</v>
      </c>
      <c r="F4332" s="190">
        <f>'HIRE CHARGES'!$E$542</f>
        <v>476</v>
      </c>
      <c r="G4332" s="179">
        <f t="shared" si="56"/>
        <v>3808</v>
      </c>
    </row>
    <row r="4333" spans="1:7">
      <c r="A4333" s="847"/>
      <c r="B4333" s="105">
        <v>2</v>
      </c>
      <c r="C4333" s="86" t="s">
        <v>1502</v>
      </c>
      <c r="D4333" s="105" t="s">
        <v>2374</v>
      </c>
      <c r="E4333" s="220">
        <v>3</v>
      </c>
      <c r="F4333" s="214">
        <f>'HIRE CHARGES'!$D$499</f>
        <v>1715.5</v>
      </c>
      <c r="G4333" s="179">
        <f t="shared" si="56"/>
        <v>5146.5</v>
      </c>
    </row>
    <row r="4334" spans="1:7">
      <c r="A4334" s="847"/>
      <c r="B4334" s="152"/>
      <c r="C4334" s="86" t="s">
        <v>2379</v>
      </c>
      <c r="D4334" s="105" t="s">
        <v>2374</v>
      </c>
      <c r="E4334" s="220">
        <v>3</v>
      </c>
      <c r="F4334" s="214">
        <f>'HIRE CHARGES'!$E$499</f>
        <v>610.5</v>
      </c>
      <c r="G4334" s="179">
        <f t="shared" si="56"/>
        <v>1831.5</v>
      </c>
    </row>
    <row r="4335" spans="1:7">
      <c r="A4335" s="847"/>
      <c r="B4335" s="105">
        <v>3</v>
      </c>
      <c r="C4335" s="86" t="s">
        <v>1793</v>
      </c>
      <c r="D4335" s="105" t="s">
        <v>2374</v>
      </c>
      <c r="E4335" s="220">
        <v>24</v>
      </c>
      <c r="F4335" s="190">
        <f>'HIRE CHARGES'!$D$545</f>
        <v>446.7</v>
      </c>
      <c r="G4335" s="179">
        <f t="shared" si="56"/>
        <v>10720.8</v>
      </c>
    </row>
    <row r="4336" spans="1:7">
      <c r="A4336" s="847"/>
      <c r="B4336" s="152"/>
      <c r="C4336" s="86" t="s">
        <v>2379</v>
      </c>
      <c r="D4336" s="105" t="s">
        <v>2374</v>
      </c>
      <c r="E4336" s="220">
        <v>24</v>
      </c>
      <c r="F4336" s="190">
        <f>'HIRE CHARGES'!$E$545</f>
        <v>299.89999999999998</v>
      </c>
      <c r="G4336" s="179">
        <f t="shared" si="56"/>
        <v>7197.5999999999995</v>
      </c>
    </row>
    <row r="4337" spans="1:7">
      <c r="A4337" s="847"/>
      <c r="B4337" s="105">
        <v>4</v>
      </c>
      <c r="C4337" s="86" t="s">
        <v>1132</v>
      </c>
      <c r="D4337" s="105" t="s">
        <v>2374</v>
      </c>
      <c r="E4337" s="220">
        <v>4</v>
      </c>
      <c r="F4337" s="214">
        <f>'HIRE CHARGES'!$D$517</f>
        <v>10.199999999999999</v>
      </c>
      <c r="G4337" s="179">
        <f t="shared" si="56"/>
        <v>40.799999999999997</v>
      </c>
    </row>
    <row r="4338" spans="1:7">
      <c r="A4338" s="847"/>
      <c r="B4338" s="152"/>
      <c r="C4338" s="86" t="s">
        <v>2379</v>
      </c>
      <c r="D4338" s="105" t="s">
        <v>2374</v>
      </c>
      <c r="E4338" s="220">
        <v>4</v>
      </c>
      <c r="F4338" s="214">
        <f>'HIRE CHARGES'!$E$517</f>
        <v>79.3</v>
      </c>
      <c r="G4338" s="179">
        <f t="shared" si="56"/>
        <v>317.2</v>
      </c>
    </row>
    <row r="4339" spans="1:7">
      <c r="A4339" s="847"/>
      <c r="B4339" s="105">
        <v>5</v>
      </c>
      <c r="C4339" s="86" t="s">
        <v>6286</v>
      </c>
      <c r="D4339" s="105" t="s">
        <v>2374</v>
      </c>
      <c r="E4339" s="220">
        <v>4</v>
      </c>
      <c r="F4339" s="214">
        <f>'HIRE CHARGES'!$D$555</f>
        <v>402.5</v>
      </c>
      <c r="G4339" s="179">
        <f t="shared" si="56"/>
        <v>1610</v>
      </c>
    </row>
    <row r="4340" spans="1:7">
      <c r="A4340" s="847"/>
      <c r="B4340" s="152"/>
      <c r="C4340" s="86" t="s">
        <v>2379</v>
      </c>
      <c r="D4340" s="105" t="s">
        <v>2374</v>
      </c>
      <c r="E4340" s="220">
        <v>4</v>
      </c>
      <c r="F4340" s="214">
        <f>'HIRE CHARGES'!$E$555</f>
        <v>299.89999999999998</v>
      </c>
      <c r="G4340" s="179">
        <f t="shared" si="56"/>
        <v>1199.5999999999999</v>
      </c>
    </row>
    <row r="4341" spans="1:7">
      <c r="A4341" s="847"/>
      <c r="B4341" s="105">
        <v>6</v>
      </c>
      <c r="C4341" s="86" t="s">
        <v>3440</v>
      </c>
      <c r="D4341" s="105" t="s">
        <v>2374</v>
      </c>
      <c r="E4341" s="220">
        <f>G4313</f>
        <v>10</v>
      </c>
      <c r="F4341" s="214">
        <f>'HIRE CHARGES'!$D$541</f>
        <v>197.2</v>
      </c>
      <c r="G4341" s="179">
        <f t="shared" si="56"/>
        <v>1972</v>
      </c>
    </row>
    <row r="4342" spans="1:7">
      <c r="A4342" s="847"/>
      <c r="B4342" s="152"/>
      <c r="C4342" s="86" t="s">
        <v>2379</v>
      </c>
      <c r="D4342" s="105" t="s">
        <v>2374</v>
      </c>
      <c r="E4342" s="220">
        <f>G4313</f>
        <v>10</v>
      </c>
      <c r="F4342" s="214">
        <f>'HIRE CHARGES'!$E$541</f>
        <v>714</v>
      </c>
      <c r="G4342" s="179">
        <f t="shared" si="56"/>
        <v>7140</v>
      </c>
    </row>
    <row r="4343" spans="1:7">
      <c r="A4343" s="847"/>
      <c r="B4343" s="114">
        <v>7</v>
      </c>
      <c r="C4343" s="86" t="s">
        <v>2373</v>
      </c>
      <c r="D4343" s="105" t="s">
        <v>2173</v>
      </c>
      <c r="E4343" s="220">
        <v>5</v>
      </c>
      <c r="F4343" s="190">
        <f>'BASIC DATA'!$D$359</f>
        <v>30</v>
      </c>
      <c r="G4343" s="179">
        <f t="shared" si="56"/>
        <v>150</v>
      </c>
    </row>
    <row r="4344" spans="1:7">
      <c r="A4344" s="847"/>
      <c r="B4344" s="176"/>
      <c r="C4344" s="357" t="s">
        <v>2380</v>
      </c>
      <c r="D4344" s="174"/>
      <c r="E4344" s="192"/>
      <c r="F4344" s="236" t="s">
        <v>1698</v>
      </c>
      <c r="G4344" s="354">
        <f>SUM(G4331:G4343)</f>
        <v>49158.799999999996</v>
      </c>
    </row>
    <row r="4345" spans="1:7">
      <c r="A4345" s="847"/>
      <c r="B4345" s="78"/>
      <c r="C4345" s="48"/>
    </row>
    <row r="4346" spans="1:7">
      <c r="A4346" s="847"/>
      <c r="B4346" s="79" t="s">
        <v>2381</v>
      </c>
      <c r="C4346" s="48"/>
    </row>
    <row r="4347" spans="1:7">
      <c r="A4347" s="847"/>
      <c r="B4347" s="95" t="s">
        <v>2369</v>
      </c>
      <c r="C4347" s="350" t="s">
        <v>2378</v>
      </c>
      <c r="D4347" s="95" t="s">
        <v>2370</v>
      </c>
      <c r="E4347" s="95" t="s">
        <v>1166</v>
      </c>
      <c r="F4347" s="95" t="s">
        <v>2371</v>
      </c>
      <c r="G4347" s="95" t="s">
        <v>2372</v>
      </c>
    </row>
    <row r="4348" spans="1:7">
      <c r="A4348" s="847"/>
      <c r="B4348" s="114"/>
      <c r="C4348" s="351"/>
      <c r="D4348" s="105"/>
      <c r="E4348" s="114"/>
      <c r="F4348" s="114" t="s">
        <v>3485</v>
      </c>
      <c r="G4348" s="114" t="s">
        <v>3485</v>
      </c>
    </row>
    <row r="4349" spans="1:7">
      <c r="A4349" s="847"/>
      <c r="B4349" s="105">
        <v>1</v>
      </c>
      <c r="C4349" s="86" t="s">
        <v>300</v>
      </c>
      <c r="D4349" s="95" t="s">
        <v>2374</v>
      </c>
      <c r="E4349" s="207">
        <v>8</v>
      </c>
      <c r="F4349" s="190">
        <f>'HIRE CHARGES'!$F$542</f>
        <v>236.6</v>
      </c>
      <c r="G4349" s="179">
        <f t="shared" ref="G4349:G4356" si="57">F4349*E4349</f>
        <v>1892.8</v>
      </c>
    </row>
    <row r="4350" spans="1:7">
      <c r="A4350" s="847"/>
      <c r="B4350" s="105">
        <v>2</v>
      </c>
      <c r="C4350" s="86" t="s">
        <v>2870</v>
      </c>
      <c r="D4350" s="105" t="s">
        <v>2374</v>
      </c>
      <c r="E4350" s="207">
        <v>3</v>
      </c>
      <c r="F4350" s="190">
        <f>'HIRE CHARGES'!$F$499</f>
        <v>236.6</v>
      </c>
      <c r="G4350" s="179">
        <f t="shared" si="57"/>
        <v>709.8</v>
      </c>
    </row>
    <row r="4351" spans="1:7">
      <c r="A4351" s="847"/>
      <c r="B4351" s="105">
        <v>3</v>
      </c>
      <c r="C4351" s="86" t="s">
        <v>301</v>
      </c>
      <c r="D4351" s="105" t="s">
        <v>2374</v>
      </c>
      <c r="E4351" s="207">
        <v>24</v>
      </c>
      <c r="F4351" s="190">
        <f>'HIRE CHARGES'!$F$545</f>
        <v>177.5</v>
      </c>
      <c r="G4351" s="179">
        <f t="shared" si="57"/>
        <v>4260</v>
      </c>
    </row>
    <row r="4352" spans="1:7">
      <c r="A4352" s="847"/>
      <c r="B4352" s="105">
        <v>4</v>
      </c>
      <c r="C4352" s="86" t="s">
        <v>999</v>
      </c>
      <c r="D4352" s="105" t="s">
        <v>2374</v>
      </c>
      <c r="E4352" s="207">
        <v>4</v>
      </c>
      <c r="F4352" s="190">
        <f>'HIRE CHARGES'!$F$517</f>
        <v>111.1</v>
      </c>
      <c r="G4352" s="179">
        <f t="shared" si="57"/>
        <v>444.4</v>
      </c>
    </row>
    <row r="4353" spans="1:7">
      <c r="A4353" s="847"/>
      <c r="B4353" s="105">
        <v>5</v>
      </c>
      <c r="C4353" s="86" t="s">
        <v>1000</v>
      </c>
      <c r="D4353" s="105" t="s">
        <v>2374</v>
      </c>
      <c r="E4353" s="207">
        <v>4</v>
      </c>
      <c r="F4353" s="190">
        <f>'HIRE CHARGES'!$F$555</f>
        <v>177.5</v>
      </c>
      <c r="G4353" s="179">
        <f t="shared" si="57"/>
        <v>710</v>
      </c>
    </row>
    <row r="4354" spans="1:7">
      <c r="A4354" s="847"/>
      <c r="B4354" s="105">
        <v>6</v>
      </c>
      <c r="C4354" s="86" t="s">
        <v>1544</v>
      </c>
      <c r="D4354" s="105" t="s">
        <v>2374</v>
      </c>
      <c r="E4354" s="207">
        <f>G4313</f>
        <v>10</v>
      </c>
      <c r="F4354" s="214">
        <f>'HIRE CHARGES'!$F$541</f>
        <v>210.9</v>
      </c>
      <c r="G4354" s="179">
        <f t="shared" si="57"/>
        <v>2109</v>
      </c>
    </row>
    <row r="4355" spans="1:7">
      <c r="A4355" s="847"/>
      <c r="B4355" s="105">
        <v>7</v>
      </c>
      <c r="C4355" s="86" t="s">
        <v>4206</v>
      </c>
      <c r="D4355" s="105" t="s">
        <v>1172</v>
      </c>
      <c r="E4355" s="207">
        <v>2</v>
      </c>
      <c r="F4355" s="190">
        <f>'BASIC DATA'!$C$473</f>
        <v>450</v>
      </c>
      <c r="G4355" s="179">
        <f t="shared" si="57"/>
        <v>900</v>
      </c>
    </row>
    <row r="4356" spans="1:7">
      <c r="A4356" s="847"/>
      <c r="B4356" s="105">
        <v>8</v>
      </c>
      <c r="C4356" s="86" t="s">
        <v>2697</v>
      </c>
      <c r="D4356" s="105" t="s">
        <v>1172</v>
      </c>
      <c r="E4356" s="207">
        <v>38</v>
      </c>
      <c r="F4356" s="190">
        <f>'BASIC DATA'!$C$552</f>
        <v>350</v>
      </c>
      <c r="G4356" s="179">
        <f t="shared" si="57"/>
        <v>13300</v>
      </c>
    </row>
    <row r="4357" spans="1:7">
      <c r="A4357" s="847"/>
      <c r="B4357" s="92"/>
      <c r="C4357" s="353" t="s">
        <v>1174</v>
      </c>
      <c r="D4357" s="159"/>
      <c r="E4357" s="238"/>
      <c r="F4357" s="236" t="s">
        <v>1698</v>
      </c>
      <c r="G4357" s="318">
        <f>SUM(G4349:G4356)</f>
        <v>24326</v>
      </c>
    </row>
    <row r="4358" spans="1:7">
      <c r="A4358" s="847"/>
      <c r="B4358" s="359" t="s">
        <v>5948</v>
      </c>
      <c r="C4358" s="48"/>
      <c r="D4358" s="31"/>
      <c r="E4358" s="85">
        <f>ROUND(G4357/F4320,1)</f>
        <v>61.7</v>
      </c>
    </row>
    <row r="4359" spans="1:7">
      <c r="A4359" s="847"/>
      <c r="B4359" s="359" t="s">
        <v>3163</v>
      </c>
      <c r="C4359" s="48"/>
      <c r="D4359" s="922">
        <f>'BASIC DATA'!$C$577</f>
        <v>0.13614999999999999</v>
      </c>
      <c r="E4359" s="85">
        <f>ROUND(E4358*D4359,1)</f>
        <v>8.4</v>
      </c>
    </row>
    <row r="4360" spans="1:7">
      <c r="A4360" s="847"/>
      <c r="B4360" s="359" t="s">
        <v>5949</v>
      </c>
      <c r="C4360" s="48"/>
      <c r="D4360" s="31"/>
      <c r="E4360" s="408">
        <f>ROUND(E4359+E4358,1)</f>
        <v>70.099999999999994</v>
      </c>
    </row>
    <row r="4361" spans="1:7">
      <c r="A4361" s="847"/>
      <c r="C4361" s="48"/>
      <c r="E4361" s="141"/>
    </row>
    <row r="4362" spans="1:7">
      <c r="A4362" s="847"/>
      <c r="B4362" s="162" t="s">
        <v>1175</v>
      </c>
      <c r="C4362" s="48"/>
    </row>
    <row r="4363" spans="1:7">
      <c r="A4363" s="847"/>
      <c r="B4363" s="47" t="s">
        <v>1176</v>
      </c>
      <c r="C4363" s="48"/>
      <c r="F4363" s="171" t="s">
        <v>1698</v>
      </c>
      <c r="G4363" s="68">
        <f>G4326</f>
        <v>0</v>
      </c>
    </row>
    <row r="4364" spans="1:7">
      <c r="A4364" s="847"/>
      <c r="B4364" s="47" t="s">
        <v>1186</v>
      </c>
      <c r="C4364" s="48"/>
      <c r="F4364" s="171" t="s">
        <v>1698</v>
      </c>
      <c r="G4364" s="68">
        <f>G4344</f>
        <v>49158.799999999996</v>
      </c>
    </row>
    <row r="4365" spans="1:7">
      <c r="A4365" s="847"/>
      <c r="B4365" s="47" t="s">
        <v>2660</v>
      </c>
      <c r="C4365" s="48"/>
      <c r="F4365" s="171" t="s">
        <v>1698</v>
      </c>
      <c r="G4365" s="75">
        <f>G4357</f>
        <v>24326</v>
      </c>
    </row>
    <row r="4366" spans="1:7">
      <c r="A4366" s="847"/>
      <c r="B4366" s="78"/>
      <c r="C4366" s="48"/>
      <c r="E4366" s="261"/>
      <c r="F4366" s="171" t="s">
        <v>302</v>
      </c>
      <c r="G4366" s="205">
        <f>SUM(G4363:G4365)</f>
        <v>73484.799999999988</v>
      </c>
    </row>
    <row r="4367" spans="1:7" ht="34.5" customHeight="1">
      <c r="A4367" s="847"/>
      <c r="B4367" s="1207" t="s">
        <v>1379</v>
      </c>
      <c r="C4367" s="1207"/>
      <c r="D4367" s="1207"/>
      <c r="E4367" s="922">
        <f>'BASIC DATA'!$C$577</f>
        <v>0.13614999999999999</v>
      </c>
      <c r="F4367" s="171" t="s">
        <v>1698</v>
      </c>
      <c r="G4367" s="31">
        <f>ROUND(G4366*E4367,2)</f>
        <v>10004.959999999999</v>
      </c>
    </row>
    <row r="4368" spans="1:7">
      <c r="A4368" s="847"/>
      <c r="B4368" s="47" t="s">
        <v>1191</v>
      </c>
      <c r="C4368" s="48"/>
      <c r="D4368" s="68">
        <f>F4320</f>
        <v>394</v>
      </c>
      <c r="E4368" s="68" t="str">
        <f>G4320</f>
        <v>cum</v>
      </c>
      <c r="F4368" s="171" t="s">
        <v>1698</v>
      </c>
      <c r="G4368" s="211">
        <f>G4367+G4366</f>
        <v>83489.75999999998</v>
      </c>
    </row>
    <row r="4369" spans="1:8">
      <c r="A4369" s="847"/>
      <c r="B4369" s="79" t="s">
        <v>1584</v>
      </c>
      <c r="C4369" s="404" t="str">
        <f>E4368</f>
        <v>cum</v>
      </c>
      <c r="D4369" s="26" t="s">
        <v>5884</v>
      </c>
      <c r="F4369" s="171" t="s">
        <v>4108</v>
      </c>
      <c r="G4369" s="211">
        <f>ROUND(G4368/D4368,1)</f>
        <v>211.9</v>
      </c>
    </row>
    <row r="4370" spans="1:8">
      <c r="A4370" s="847"/>
      <c r="B4370" s="78"/>
      <c r="C4370" s="48"/>
    </row>
    <row r="4371" spans="1:8">
      <c r="A4371" s="847"/>
      <c r="B4371" s="78"/>
      <c r="C4371" s="48"/>
    </row>
    <row r="4372" spans="1:8" ht="18.75">
      <c r="A4372" s="841" t="s">
        <v>7470</v>
      </c>
      <c r="B4372" s="47" t="s">
        <v>8740</v>
      </c>
      <c r="C4372" s="48"/>
    </row>
    <row r="4373" spans="1:8" ht="18.75">
      <c r="A4373" s="889"/>
      <c r="B4373" s="47" t="s">
        <v>8741</v>
      </c>
      <c r="C4373" s="48"/>
    </row>
    <row r="4374" spans="1:8">
      <c r="A4374" s="889"/>
      <c r="B4374" s="47" t="s">
        <v>8742</v>
      </c>
      <c r="C4374" s="48"/>
    </row>
    <row r="4375" spans="1:8" ht="18.75">
      <c r="A4375" s="895"/>
      <c r="B4375" s="47" t="s">
        <v>8743</v>
      </c>
      <c r="C4375" s="48"/>
    </row>
    <row r="4376" spans="1:8" ht="18.75">
      <c r="A4376" s="895"/>
      <c r="B4376" s="47" t="s">
        <v>8744</v>
      </c>
      <c r="C4376" s="48"/>
      <c r="F4376" s="78"/>
      <c r="G4376" s="27"/>
    </row>
    <row r="4377" spans="1:8">
      <c r="A4377" s="889"/>
      <c r="B4377" s="162" t="s">
        <v>3441</v>
      </c>
      <c r="C4377" s="48"/>
      <c r="F4377" s="78"/>
    </row>
    <row r="4378" spans="1:8">
      <c r="A4378" s="889"/>
      <c r="C4378" s="48"/>
    </row>
    <row r="4379" spans="1:8" hidden="1">
      <c r="A4379" s="889" t="s">
        <v>3984</v>
      </c>
      <c r="B4379" s="47" t="s">
        <v>3442</v>
      </c>
      <c r="C4379" s="48"/>
      <c r="F4379" s="78" t="s">
        <v>1697</v>
      </c>
      <c r="G4379" s="26">
        <v>394</v>
      </c>
      <c r="H4379" s="26" t="s">
        <v>6901</v>
      </c>
    </row>
    <row r="4380" spans="1:8" hidden="1">
      <c r="A4380" s="889">
        <v>1</v>
      </c>
      <c r="B4380" s="47" t="s">
        <v>2860</v>
      </c>
      <c r="C4380" s="48"/>
    </row>
    <row r="4381" spans="1:8" hidden="1">
      <c r="A4381" s="889"/>
      <c r="B4381" s="47" t="s">
        <v>3727</v>
      </c>
      <c r="C4381" s="48"/>
    </row>
    <row r="4382" spans="1:8" hidden="1">
      <c r="A4382" s="889">
        <v>2</v>
      </c>
      <c r="B4382" s="47" t="s">
        <v>3728</v>
      </c>
      <c r="C4382" s="48"/>
    </row>
    <row r="4383" spans="1:8" hidden="1">
      <c r="A4383" s="889"/>
      <c r="B4383" s="47" t="s">
        <v>3729</v>
      </c>
      <c r="C4383" s="48"/>
    </row>
    <row r="4384" spans="1:8" hidden="1">
      <c r="A4384" s="889"/>
      <c r="B4384" s="47" t="s">
        <v>3730</v>
      </c>
      <c r="C4384" s="48"/>
    </row>
    <row r="4385" spans="1:9" hidden="1">
      <c r="A4385" s="889"/>
      <c r="B4385" s="47" t="s">
        <v>1342</v>
      </c>
      <c r="C4385" s="48"/>
    </row>
    <row r="4386" spans="1:9" hidden="1">
      <c r="A4386" s="889"/>
      <c r="B4386" s="47" t="s">
        <v>1343</v>
      </c>
      <c r="C4386" s="48"/>
    </row>
    <row r="4387" spans="1:9" hidden="1">
      <c r="A4387" s="889">
        <v>3</v>
      </c>
      <c r="B4387" s="47" t="s">
        <v>3655</v>
      </c>
      <c r="C4387" s="48"/>
    </row>
    <row r="4388" spans="1:9" ht="18.75" hidden="1">
      <c r="A4388" s="889"/>
      <c r="B4388" s="47" t="s">
        <v>8745</v>
      </c>
      <c r="C4388" s="48"/>
    </row>
    <row r="4389" spans="1:9" hidden="1">
      <c r="A4389" s="889"/>
      <c r="B4389" s="47" t="s">
        <v>6227</v>
      </c>
      <c r="C4389" s="48"/>
    </row>
    <row r="4390" spans="1:9" hidden="1">
      <c r="A4390" s="889"/>
      <c r="B4390" s="47" t="s">
        <v>363</v>
      </c>
      <c r="C4390" s="48"/>
      <c r="F4390" s="78" t="s">
        <v>1697</v>
      </c>
      <c r="G4390" s="26">
        <v>551.6</v>
      </c>
      <c r="H4390" s="26" t="s">
        <v>6901</v>
      </c>
    </row>
    <row r="4391" spans="1:9" hidden="1">
      <c r="A4391" s="889"/>
      <c r="B4391" s="47" t="s">
        <v>2189</v>
      </c>
      <c r="C4391" s="48"/>
    </row>
    <row r="4392" spans="1:9" hidden="1">
      <c r="A4392" s="889"/>
      <c r="B4392" s="47" t="s">
        <v>7107</v>
      </c>
      <c r="C4392" s="48"/>
      <c r="F4392" s="78" t="s">
        <v>1697</v>
      </c>
      <c r="G4392" s="26">
        <v>21</v>
      </c>
      <c r="H4392" s="26" t="s">
        <v>4808</v>
      </c>
    </row>
    <row r="4393" spans="1:9" hidden="1">
      <c r="A4393" s="889"/>
      <c r="B4393" s="47" t="s">
        <v>7108</v>
      </c>
      <c r="C4393" s="48"/>
      <c r="G4393" s="26">
        <f>G4390/G4392</f>
        <v>26.266666666666669</v>
      </c>
    </row>
    <row r="4394" spans="1:9" hidden="1">
      <c r="A4394" s="889">
        <v>4</v>
      </c>
      <c r="B4394" s="47" t="s">
        <v>6193</v>
      </c>
      <c r="C4394" s="48"/>
    </row>
    <row r="4395" spans="1:9" hidden="1">
      <c r="A4395" s="891"/>
      <c r="B4395" s="382" t="s">
        <v>2190</v>
      </c>
      <c r="C4395" s="49"/>
      <c r="D4395" s="61"/>
      <c r="E4395" s="61"/>
      <c r="F4395" s="61"/>
      <c r="G4395" s="61"/>
      <c r="H4395" s="61"/>
      <c r="I4395" s="61"/>
    </row>
    <row r="4396" spans="1:9" hidden="1">
      <c r="A4396" s="889"/>
      <c r="B4396" s="47" t="s">
        <v>6795</v>
      </c>
      <c r="C4396" s="48"/>
    </row>
    <row r="4397" spans="1:9" hidden="1">
      <c r="A4397" s="889"/>
      <c r="B4397" s="47" t="s">
        <v>2191</v>
      </c>
      <c r="C4397" s="48"/>
    </row>
    <row r="4398" spans="1:9" hidden="1">
      <c r="A4398" s="889"/>
      <c r="B4398" s="47" t="s">
        <v>1125</v>
      </c>
      <c r="C4398" s="48"/>
    </row>
    <row r="4399" spans="1:9" hidden="1">
      <c r="A4399" s="889"/>
      <c r="B4399" s="47" t="s">
        <v>2134</v>
      </c>
      <c r="C4399" s="48"/>
    </row>
    <row r="4400" spans="1:9" hidden="1">
      <c r="A4400" s="889"/>
      <c r="B4400" s="47" t="s">
        <v>3733</v>
      </c>
      <c r="C4400" s="48"/>
    </row>
    <row r="4401" spans="1:9" hidden="1">
      <c r="A4401" s="889"/>
      <c r="B4401" s="47" t="s">
        <v>1373</v>
      </c>
      <c r="C4401" s="48"/>
    </row>
    <row r="4402" spans="1:9" hidden="1">
      <c r="A4402" s="889"/>
      <c r="B4402" s="47" t="s">
        <v>7106</v>
      </c>
      <c r="C4402" s="48"/>
    </row>
    <row r="4403" spans="1:9" hidden="1">
      <c r="A4403" s="889">
        <v>5</v>
      </c>
      <c r="B4403" s="47" t="s">
        <v>6798</v>
      </c>
      <c r="C4403" s="48"/>
    </row>
    <row r="4404" spans="1:9" hidden="1">
      <c r="A4404" s="889"/>
      <c r="B4404" s="47" t="s">
        <v>3705</v>
      </c>
      <c r="C4404" s="48"/>
    </row>
    <row r="4405" spans="1:9" hidden="1">
      <c r="A4405" s="889"/>
      <c r="B4405" s="47" t="s">
        <v>4534</v>
      </c>
      <c r="C4405" s="48"/>
    </row>
    <row r="4406" spans="1:9" hidden="1">
      <c r="A4406" s="889"/>
      <c r="B4406" s="47" t="s">
        <v>1547</v>
      </c>
      <c r="C4406" s="48"/>
    </row>
    <row r="4407" spans="1:9" hidden="1">
      <c r="A4407" s="889"/>
      <c r="B4407" s="47" t="s">
        <v>3650</v>
      </c>
      <c r="C4407" s="48"/>
      <c r="F4407" s="78" t="s">
        <v>1697</v>
      </c>
      <c r="G4407" s="68">
        <v>1.5</v>
      </c>
      <c r="H4407" s="26" t="s">
        <v>3561</v>
      </c>
      <c r="I4407" s="31"/>
    </row>
    <row r="4408" spans="1:9" hidden="1">
      <c r="A4408" s="889"/>
      <c r="B4408" s="47" t="s">
        <v>4995</v>
      </c>
      <c r="C4408" s="48"/>
      <c r="F4408" s="78" t="s">
        <v>1697</v>
      </c>
      <c r="G4408" s="68">
        <v>3</v>
      </c>
      <c r="H4408" s="26" t="s">
        <v>3431</v>
      </c>
      <c r="I4408" s="31"/>
    </row>
    <row r="4409" spans="1:9" hidden="1">
      <c r="A4409" s="889"/>
      <c r="B4409" s="47" t="s">
        <v>4997</v>
      </c>
      <c r="C4409" s="48"/>
      <c r="F4409" s="78" t="s">
        <v>1697</v>
      </c>
      <c r="G4409" s="26">
        <v>0.15</v>
      </c>
      <c r="H4409" s="26" t="s">
        <v>3561</v>
      </c>
      <c r="I4409" s="31"/>
    </row>
    <row r="4410" spans="1:9" hidden="1">
      <c r="A4410" s="889"/>
      <c r="B4410" s="47" t="s">
        <v>1504</v>
      </c>
      <c r="C4410" s="48"/>
      <c r="F4410" s="78" t="s">
        <v>1697</v>
      </c>
      <c r="G4410" s="26">
        <v>10</v>
      </c>
      <c r="H4410" s="26" t="s">
        <v>3436</v>
      </c>
      <c r="I4410" s="31"/>
    </row>
    <row r="4411" spans="1:9" hidden="1">
      <c r="A4411" s="889"/>
      <c r="B4411" s="47" t="s">
        <v>1126</v>
      </c>
      <c r="C4411" s="48"/>
      <c r="I4411" s="31"/>
    </row>
    <row r="4412" spans="1:9" hidden="1">
      <c r="A4412" s="889"/>
      <c r="B4412" s="47" t="s">
        <v>4530</v>
      </c>
      <c r="C4412" s="48"/>
      <c r="E4412" s="26">
        <f>50/60*(1.5*3000*0.15*0.75/10)</f>
        <v>42.1875</v>
      </c>
      <c r="F4412" s="78" t="s">
        <v>1123</v>
      </c>
      <c r="G4412" s="26">
        <v>42</v>
      </c>
      <c r="H4412" s="26" t="s">
        <v>6901</v>
      </c>
      <c r="I4412" s="31"/>
    </row>
    <row r="4413" spans="1:9" hidden="1">
      <c r="A4413" s="889"/>
      <c r="B4413" s="47" t="s">
        <v>4531</v>
      </c>
      <c r="C4413" s="48"/>
      <c r="E4413" s="26">
        <f>551.6/G4412</f>
        <v>13.133333333333335</v>
      </c>
      <c r="F4413" s="78" t="s">
        <v>1123</v>
      </c>
      <c r="G4413" s="26">
        <v>13</v>
      </c>
      <c r="H4413" s="26" t="s">
        <v>3428</v>
      </c>
      <c r="I4413" s="31"/>
    </row>
    <row r="4414" spans="1:9" hidden="1">
      <c r="A4414" s="889">
        <v>6</v>
      </c>
      <c r="B4414" s="47" t="s">
        <v>3220</v>
      </c>
      <c r="C4414" s="48"/>
    </row>
    <row r="4415" spans="1:9" hidden="1">
      <c r="A4415" s="889"/>
      <c r="B4415" s="47" t="s">
        <v>4371</v>
      </c>
      <c r="C4415" s="48"/>
    </row>
    <row r="4416" spans="1:9" hidden="1">
      <c r="A4416" s="889"/>
      <c r="B4416" s="47" t="s">
        <v>2131</v>
      </c>
      <c r="C4416" s="48"/>
    </row>
    <row r="4417" spans="1:9" hidden="1">
      <c r="A4417" s="889"/>
      <c r="B4417" s="47" t="s">
        <v>7109</v>
      </c>
      <c r="C4417" s="48"/>
    </row>
    <row r="4418" spans="1:9" hidden="1">
      <c r="A4418" s="847"/>
      <c r="B4418" s="78"/>
      <c r="C4418" s="48"/>
    </row>
    <row r="4419" spans="1:9">
      <c r="A4419" s="847"/>
      <c r="B4419" s="78"/>
      <c r="C4419" s="48"/>
    </row>
    <row r="4420" spans="1:9">
      <c r="A4420" s="889" t="s">
        <v>3984</v>
      </c>
      <c r="B4420" s="78"/>
      <c r="C4420" s="349" t="s">
        <v>2367</v>
      </c>
      <c r="E4420" s="171" t="s">
        <v>297</v>
      </c>
      <c r="F4420" s="246">
        <v>394</v>
      </c>
      <c r="G4420" s="26" t="s">
        <v>3477</v>
      </c>
    </row>
    <row r="4421" spans="1:9">
      <c r="A4421" s="847"/>
      <c r="B4421" s="79" t="s">
        <v>2368</v>
      </c>
      <c r="C4421" s="48"/>
    </row>
    <row r="4422" spans="1:9">
      <c r="A4422" s="847"/>
      <c r="B4422" s="95" t="s">
        <v>2369</v>
      </c>
      <c r="C4422" s="350" t="s">
        <v>6374</v>
      </c>
      <c r="D4422" s="95" t="s">
        <v>2370</v>
      </c>
      <c r="E4422" s="95" t="s">
        <v>1166</v>
      </c>
      <c r="F4422" s="95" t="s">
        <v>2371</v>
      </c>
      <c r="G4422" s="95" t="s">
        <v>2372</v>
      </c>
    </row>
    <row r="4423" spans="1:9">
      <c r="A4423" s="847"/>
      <c r="B4423" s="114"/>
      <c r="C4423" s="351"/>
      <c r="D4423" s="114"/>
      <c r="E4423" s="114"/>
      <c r="F4423" s="114" t="s">
        <v>3485</v>
      </c>
      <c r="G4423" s="114" t="s">
        <v>3485</v>
      </c>
    </row>
    <row r="4424" spans="1:9">
      <c r="A4424" s="847"/>
      <c r="B4424" s="95">
        <v>1</v>
      </c>
      <c r="C4424" s="103" t="s">
        <v>4168</v>
      </c>
      <c r="D4424" s="95"/>
      <c r="E4424" s="220">
        <v>0</v>
      </c>
      <c r="F4424" s="214">
        <v>0</v>
      </c>
      <c r="G4424" s="179">
        <f>F4424*E4424</f>
        <v>0</v>
      </c>
    </row>
    <row r="4425" spans="1:9">
      <c r="A4425" s="847"/>
      <c r="B4425" s="152"/>
      <c r="C4425" s="355"/>
      <c r="D4425" s="105"/>
      <c r="E4425" s="220">
        <v>0</v>
      </c>
      <c r="F4425" s="214">
        <v>0</v>
      </c>
      <c r="G4425" s="179">
        <f>F4425*E4425</f>
        <v>0</v>
      </c>
    </row>
    <row r="4426" spans="1:9">
      <c r="A4426" s="847"/>
      <c r="B4426" s="92"/>
      <c r="C4426" s="353" t="s">
        <v>2376</v>
      </c>
      <c r="D4426" s="159"/>
      <c r="E4426" s="238"/>
      <c r="F4426" s="236" t="s">
        <v>1698</v>
      </c>
      <c r="G4426" s="318">
        <f>SUM(G4424:G4425)</f>
        <v>0</v>
      </c>
    </row>
    <row r="4427" spans="1:9">
      <c r="A4427" s="847"/>
      <c r="B4427" s="78"/>
      <c r="C4427" s="48"/>
    </row>
    <row r="4428" spans="1:9">
      <c r="A4428" s="847"/>
      <c r="B4428" s="79" t="s">
        <v>2377</v>
      </c>
      <c r="C4428" s="48"/>
    </row>
    <row r="4429" spans="1:9">
      <c r="A4429" s="847"/>
      <c r="B4429" s="95" t="s">
        <v>2369</v>
      </c>
      <c r="C4429" s="350" t="s">
        <v>2378</v>
      </c>
      <c r="D4429" s="95" t="s">
        <v>2370</v>
      </c>
      <c r="E4429" s="95" t="s">
        <v>1166</v>
      </c>
      <c r="F4429" s="95" t="s">
        <v>2371</v>
      </c>
      <c r="G4429" s="95" t="s">
        <v>2372</v>
      </c>
    </row>
    <row r="4430" spans="1:9">
      <c r="A4430" s="847"/>
      <c r="B4430" s="114"/>
      <c r="C4430" s="351"/>
      <c r="D4430" s="114"/>
      <c r="E4430" s="114"/>
      <c r="F4430" s="114" t="s">
        <v>3485</v>
      </c>
      <c r="G4430" s="114" t="s">
        <v>3485</v>
      </c>
    </row>
    <row r="4431" spans="1:9">
      <c r="A4431" s="847"/>
      <c r="B4431" s="95">
        <v>1</v>
      </c>
      <c r="C4431" s="86" t="s">
        <v>6666</v>
      </c>
      <c r="D4431" s="95" t="s">
        <v>2374</v>
      </c>
      <c r="E4431" s="220">
        <v>1.5</v>
      </c>
      <c r="F4431" s="214">
        <f>'HIRE CHARGES'!$D$499</f>
        <v>1715.5</v>
      </c>
      <c r="G4431" s="179">
        <f t="shared" ref="G4431:G4439" si="58">F4431*E4431</f>
        <v>2573.25</v>
      </c>
      <c r="I4431" s="75"/>
    </row>
    <row r="4432" spans="1:9">
      <c r="A4432" s="847"/>
      <c r="B4432" s="152"/>
      <c r="C4432" s="86" t="s">
        <v>2379</v>
      </c>
      <c r="D4432" s="105" t="s">
        <v>2374</v>
      </c>
      <c r="E4432" s="220">
        <v>1.5</v>
      </c>
      <c r="F4432" s="214">
        <f>'HIRE CHARGES'!$E$499</f>
        <v>610.5</v>
      </c>
      <c r="G4432" s="179">
        <f t="shared" si="58"/>
        <v>915.75</v>
      </c>
      <c r="I4432" s="75"/>
    </row>
    <row r="4433" spans="1:9">
      <c r="A4433" s="847"/>
      <c r="B4433" s="105">
        <v>2</v>
      </c>
      <c r="C4433" s="86" t="s">
        <v>1132</v>
      </c>
      <c r="D4433" s="105" t="s">
        <v>2374</v>
      </c>
      <c r="E4433" s="220">
        <v>5</v>
      </c>
      <c r="F4433" s="214">
        <f>'HIRE CHARGES'!$D$517</f>
        <v>10.199999999999999</v>
      </c>
      <c r="G4433" s="179">
        <f t="shared" si="58"/>
        <v>51</v>
      </c>
      <c r="I4433" s="75"/>
    </row>
    <row r="4434" spans="1:9">
      <c r="A4434" s="847"/>
      <c r="B4434" s="152"/>
      <c r="C4434" s="86" t="s">
        <v>2379</v>
      </c>
      <c r="D4434" s="105" t="s">
        <v>2374</v>
      </c>
      <c r="E4434" s="220">
        <v>5</v>
      </c>
      <c r="F4434" s="214">
        <f>'HIRE CHARGES'!$E$517</f>
        <v>79.3</v>
      </c>
      <c r="G4434" s="179">
        <f t="shared" si="58"/>
        <v>396.5</v>
      </c>
      <c r="I4434" s="75"/>
    </row>
    <row r="4435" spans="1:9">
      <c r="A4435" s="847"/>
      <c r="B4435" s="105">
        <v>3</v>
      </c>
      <c r="C4435" s="86" t="s">
        <v>6286</v>
      </c>
      <c r="D4435" s="105" t="s">
        <v>2374</v>
      </c>
      <c r="E4435" s="220">
        <v>5</v>
      </c>
      <c r="F4435" s="214">
        <f>'HIRE CHARGES'!$D$555</f>
        <v>402.5</v>
      </c>
      <c r="G4435" s="179">
        <f t="shared" si="58"/>
        <v>2012.5</v>
      </c>
      <c r="I4435" s="75"/>
    </row>
    <row r="4436" spans="1:9">
      <c r="A4436" s="847"/>
      <c r="B4436" s="152"/>
      <c r="C4436" s="86" t="s">
        <v>2379</v>
      </c>
      <c r="D4436" s="105" t="s">
        <v>2374</v>
      </c>
      <c r="E4436" s="220">
        <v>5</v>
      </c>
      <c r="F4436" s="214">
        <f>'HIRE CHARGES'!$E$555</f>
        <v>299.89999999999998</v>
      </c>
      <c r="G4436" s="179">
        <f t="shared" si="58"/>
        <v>1499.5</v>
      </c>
      <c r="I4436" s="75"/>
    </row>
    <row r="4437" spans="1:9">
      <c r="A4437" s="847"/>
      <c r="B4437" s="105">
        <v>4</v>
      </c>
      <c r="C4437" s="86" t="s">
        <v>1543</v>
      </c>
      <c r="D4437" s="105" t="s">
        <v>2374</v>
      </c>
      <c r="E4437" s="220">
        <f>G4413</f>
        <v>13</v>
      </c>
      <c r="F4437" s="214">
        <f>'HIRE CHARGES'!$D$541</f>
        <v>197.2</v>
      </c>
      <c r="G4437" s="179">
        <f t="shared" si="58"/>
        <v>2563.6</v>
      </c>
      <c r="I4437" s="75"/>
    </row>
    <row r="4438" spans="1:9">
      <c r="A4438" s="847"/>
      <c r="B4438" s="152"/>
      <c r="C4438" s="86" t="s">
        <v>2379</v>
      </c>
      <c r="D4438" s="105" t="s">
        <v>2374</v>
      </c>
      <c r="E4438" s="220">
        <f>G4413</f>
        <v>13</v>
      </c>
      <c r="F4438" s="214">
        <f>'HIRE CHARGES'!$E$541</f>
        <v>714</v>
      </c>
      <c r="G4438" s="179">
        <f t="shared" si="58"/>
        <v>9282</v>
      </c>
      <c r="I4438" s="75"/>
    </row>
    <row r="4439" spans="1:9">
      <c r="A4439" s="847"/>
      <c r="B4439" s="114">
        <v>5</v>
      </c>
      <c r="C4439" s="86" t="s">
        <v>2373</v>
      </c>
      <c r="D4439" s="105" t="s">
        <v>2173</v>
      </c>
      <c r="E4439" s="220">
        <v>5</v>
      </c>
      <c r="F4439" s="190">
        <f>'BASIC DATA'!$D$359</f>
        <v>30</v>
      </c>
      <c r="G4439" s="179">
        <f t="shared" si="58"/>
        <v>150</v>
      </c>
      <c r="I4439" s="294"/>
    </row>
    <row r="4440" spans="1:9">
      <c r="A4440" s="847"/>
      <c r="B4440" s="176"/>
      <c r="C4440" s="357" t="s">
        <v>2380</v>
      </c>
      <c r="D4440" s="174"/>
      <c r="E4440" s="192"/>
      <c r="F4440" s="236" t="s">
        <v>1698</v>
      </c>
      <c r="G4440" s="354">
        <f>SUM(G4431:G4439)</f>
        <v>19444.099999999999</v>
      </c>
    </row>
    <row r="4441" spans="1:9">
      <c r="A4441" s="847"/>
      <c r="B4441" s="78"/>
      <c r="C4441" s="48"/>
    </row>
    <row r="4442" spans="1:9">
      <c r="A4442" s="847"/>
      <c r="B4442" s="79" t="s">
        <v>2381</v>
      </c>
      <c r="C4442" s="48"/>
    </row>
    <row r="4443" spans="1:9">
      <c r="A4443" s="847"/>
      <c r="B4443" s="95" t="s">
        <v>2369</v>
      </c>
      <c r="C4443" s="350" t="s">
        <v>2378</v>
      </c>
      <c r="D4443" s="95" t="s">
        <v>2370</v>
      </c>
      <c r="E4443" s="95" t="s">
        <v>1166</v>
      </c>
      <c r="F4443" s="95" t="s">
        <v>2371</v>
      </c>
      <c r="G4443" s="95" t="s">
        <v>2372</v>
      </c>
    </row>
    <row r="4444" spans="1:9">
      <c r="A4444" s="847"/>
      <c r="B4444" s="114"/>
      <c r="C4444" s="351"/>
      <c r="D4444" s="105"/>
      <c r="E4444" s="114"/>
      <c r="F4444" s="114" t="s">
        <v>3485</v>
      </c>
      <c r="G4444" s="114" t="s">
        <v>3485</v>
      </c>
    </row>
    <row r="4445" spans="1:9">
      <c r="A4445" s="847"/>
      <c r="B4445" s="105">
        <v>1</v>
      </c>
      <c r="C4445" s="86" t="s">
        <v>2870</v>
      </c>
      <c r="D4445" s="105" t="s">
        <v>2374</v>
      </c>
      <c r="E4445" s="207">
        <v>1.5</v>
      </c>
      <c r="F4445" s="190">
        <f>'HIRE CHARGES'!$F$499</f>
        <v>236.6</v>
      </c>
      <c r="G4445" s="179">
        <f t="shared" ref="G4445:G4450" si="59">F4445*E4445</f>
        <v>354.9</v>
      </c>
      <c r="I4445" s="104"/>
    </row>
    <row r="4446" spans="1:9">
      <c r="A4446" s="847"/>
      <c r="B4446" s="105">
        <v>2</v>
      </c>
      <c r="C4446" s="86" t="s">
        <v>999</v>
      </c>
      <c r="D4446" s="105" t="s">
        <v>2374</v>
      </c>
      <c r="E4446" s="207">
        <v>5</v>
      </c>
      <c r="F4446" s="190">
        <f>'HIRE CHARGES'!$F$517</f>
        <v>111.1</v>
      </c>
      <c r="G4446" s="179">
        <f t="shared" si="59"/>
        <v>555.5</v>
      </c>
      <c r="I4446" s="104"/>
    </row>
    <row r="4447" spans="1:9">
      <c r="A4447" s="847"/>
      <c r="B4447" s="105">
        <v>3</v>
      </c>
      <c r="C4447" s="86" t="s">
        <v>1000</v>
      </c>
      <c r="D4447" s="105" t="s">
        <v>2374</v>
      </c>
      <c r="E4447" s="207">
        <v>5</v>
      </c>
      <c r="F4447" s="190">
        <f>'HIRE CHARGES'!$F$555</f>
        <v>177.5</v>
      </c>
      <c r="G4447" s="179">
        <f t="shared" si="59"/>
        <v>887.5</v>
      </c>
      <c r="I4447" s="104"/>
    </row>
    <row r="4448" spans="1:9">
      <c r="A4448" s="847"/>
      <c r="B4448" s="105">
        <v>4</v>
      </c>
      <c r="C4448" s="86" t="s">
        <v>1544</v>
      </c>
      <c r="D4448" s="105" t="s">
        <v>2374</v>
      </c>
      <c r="E4448" s="207">
        <f>G4413</f>
        <v>13</v>
      </c>
      <c r="F4448" s="214">
        <f>'HIRE CHARGES'!$F$541</f>
        <v>210.9</v>
      </c>
      <c r="G4448" s="179">
        <f t="shared" si="59"/>
        <v>2741.7000000000003</v>
      </c>
      <c r="I4448" s="104"/>
    </row>
    <row r="4449" spans="1:9">
      <c r="A4449" s="847"/>
      <c r="B4449" s="105">
        <v>5</v>
      </c>
      <c r="C4449" s="86" t="s">
        <v>4206</v>
      </c>
      <c r="D4449" s="105" t="s">
        <v>1172</v>
      </c>
      <c r="E4449" s="207">
        <v>2</v>
      </c>
      <c r="F4449" s="190">
        <f>'BASIC DATA'!$C$473</f>
        <v>450</v>
      </c>
      <c r="G4449" s="179">
        <f t="shared" si="59"/>
        <v>900</v>
      </c>
      <c r="I4449" s="104"/>
    </row>
    <row r="4450" spans="1:9">
      <c r="A4450" s="847"/>
      <c r="B4450" s="105">
        <v>6</v>
      </c>
      <c r="C4450" s="86" t="s">
        <v>2697</v>
      </c>
      <c r="D4450" s="105" t="s">
        <v>1172</v>
      </c>
      <c r="E4450" s="207">
        <v>38</v>
      </c>
      <c r="F4450" s="190">
        <f>'BASIC DATA'!$C$552</f>
        <v>350</v>
      </c>
      <c r="G4450" s="179">
        <f t="shared" si="59"/>
        <v>13300</v>
      </c>
      <c r="I4450" s="104"/>
    </row>
    <row r="4451" spans="1:9">
      <c r="A4451" s="847"/>
      <c r="B4451" s="92"/>
      <c r="C4451" s="353" t="s">
        <v>1174</v>
      </c>
      <c r="D4451" s="159"/>
      <c r="E4451" s="238"/>
      <c r="F4451" s="236" t="s">
        <v>1698</v>
      </c>
      <c r="G4451" s="318">
        <f>SUM(G4445:G4450)</f>
        <v>18739.599999999999</v>
      </c>
    </row>
    <row r="4452" spans="1:9">
      <c r="A4452" s="847"/>
      <c r="B4452" s="359" t="s">
        <v>5948</v>
      </c>
      <c r="C4452" s="355"/>
      <c r="D4452" s="31"/>
      <c r="E4452" s="85">
        <f>ROUND(G4451/F4420,1)</f>
        <v>47.6</v>
      </c>
    </row>
    <row r="4453" spans="1:9">
      <c r="A4453" s="847"/>
      <c r="B4453" s="359" t="s">
        <v>3163</v>
      </c>
      <c r="C4453" s="355"/>
      <c r="D4453" s="922">
        <f>'BASIC DATA'!$C$577</f>
        <v>0.13614999999999999</v>
      </c>
      <c r="E4453" s="85">
        <f>ROUND(E4452*D4453,1)</f>
        <v>6.5</v>
      </c>
    </row>
    <row r="4454" spans="1:9">
      <c r="A4454" s="847"/>
      <c r="B4454" s="359" t="s">
        <v>5949</v>
      </c>
      <c r="C4454" s="355"/>
      <c r="D4454" s="31"/>
      <c r="E4454" s="199">
        <f>ROUND(E4453+E4452,1)</f>
        <v>54.1</v>
      </c>
    </row>
    <row r="4455" spans="1:9">
      <c r="A4455" s="847"/>
      <c r="C4455" s="48"/>
    </row>
    <row r="4456" spans="1:9">
      <c r="A4456" s="847"/>
      <c r="B4456" s="162" t="s">
        <v>1175</v>
      </c>
      <c r="C4456" s="48"/>
    </row>
    <row r="4457" spans="1:9">
      <c r="A4457" s="847"/>
      <c r="B4457" s="47" t="s">
        <v>4</v>
      </c>
      <c r="C4457" s="48"/>
      <c r="F4457" s="171" t="s">
        <v>1698</v>
      </c>
      <c r="G4457" s="68">
        <f>G4426</f>
        <v>0</v>
      </c>
    </row>
    <row r="4458" spans="1:9">
      <c r="A4458" s="847"/>
      <c r="B4458" s="47" t="s">
        <v>1186</v>
      </c>
      <c r="C4458" s="48"/>
      <c r="F4458" s="171" t="s">
        <v>1698</v>
      </c>
      <c r="G4458" s="68">
        <f>G4440</f>
        <v>19444.099999999999</v>
      </c>
    </row>
    <row r="4459" spans="1:9">
      <c r="A4459" s="847"/>
      <c r="B4459" s="47" t="s">
        <v>2660</v>
      </c>
      <c r="C4459" s="48"/>
      <c r="F4459" s="171" t="s">
        <v>1698</v>
      </c>
      <c r="G4459" s="75">
        <f>G4451</f>
        <v>18739.599999999999</v>
      </c>
    </row>
    <row r="4460" spans="1:9">
      <c r="A4460" s="847"/>
      <c r="B4460" s="78"/>
      <c r="C4460" s="48"/>
      <c r="E4460" s="261"/>
      <c r="F4460" s="171" t="s">
        <v>302</v>
      </c>
      <c r="G4460" s="205">
        <f>SUM(G4457:G4459)</f>
        <v>38183.699999999997</v>
      </c>
    </row>
    <row r="4461" spans="1:9" ht="39" customHeight="1">
      <c r="A4461" s="847"/>
      <c r="B4461" s="1207" t="s">
        <v>1379</v>
      </c>
      <c r="C4461" s="1207"/>
      <c r="D4461" s="1207"/>
      <c r="E4461" s="922">
        <f>'BASIC DATA'!$C$577</f>
        <v>0.13614999999999999</v>
      </c>
      <c r="F4461" s="171" t="s">
        <v>1698</v>
      </c>
      <c r="G4461" s="31">
        <f>ROUND(G4460*E4461,2)</f>
        <v>5198.71</v>
      </c>
    </row>
    <row r="4462" spans="1:9">
      <c r="A4462" s="847"/>
      <c r="B4462" s="47" t="s">
        <v>1191</v>
      </c>
      <c r="C4462" s="48"/>
      <c r="D4462" s="68">
        <f>F4420</f>
        <v>394</v>
      </c>
      <c r="E4462" s="68" t="str">
        <f>G4420</f>
        <v>cum</v>
      </c>
      <c r="F4462" s="171" t="s">
        <v>1698</v>
      </c>
      <c r="G4462" s="211">
        <f>G4461+G4460</f>
        <v>43382.409999999996</v>
      </c>
    </row>
    <row r="4463" spans="1:9">
      <c r="A4463" s="847"/>
      <c r="B4463" s="79" t="s">
        <v>1584</v>
      </c>
      <c r="C4463" s="404" t="str">
        <f>E4462</f>
        <v>cum</v>
      </c>
      <c r="D4463" s="26" t="s">
        <v>5884</v>
      </c>
      <c r="F4463" s="171" t="s">
        <v>4108</v>
      </c>
      <c r="G4463" s="211">
        <f>ROUND(G4462/D4462,1)</f>
        <v>110.1</v>
      </c>
    </row>
    <row r="4464" spans="1:9">
      <c r="A4464" s="847"/>
      <c r="B4464" s="78"/>
      <c r="C4464" s="48"/>
    </row>
    <row r="4465" spans="1:9">
      <c r="A4465" s="847"/>
      <c r="B4465" s="78"/>
      <c r="C4465" s="48"/>
    </row>
    <row r="4466" spans="1:9">
      <c r="A4466" s="841" t="s">
        <v>7471</v>
      </c>
      <c r="B4466" s="47" t="s">
        <v>8746</v>
      </c>
      <c r="C4466" s="48"/>
    </row>
    <row r="4467" spans="1:9">
      <c r="A4467" s="889"/>
      <c r="B4467" s="47" t="s">
        <v>8747</v>
      </c>
      <c r="C4467" s="48"/>
    </row>
    <row r="4468" spans="1:9">
      <c r="A4468" s="889"/>
      <c r="B4468" s="162" t="s">
        <v>4038</v>
      </c>
      <c r="C4468" s="48"/>
    </row>
    <row r="4469" spans="1:9">
      <c r="A4469" s="895"/>
      <c r="C4469" s="48"/>
    </row>
    <row r="4470" spans="1:9" hidden="1">
      <c r="A4470" s="889" t="s">
        <v>3984</v>
      </c>
      <c r="B4470" s="47" t="s">
        <v>4039</v>
      </c>
      <c r="C4470" s="48"/>
      <c r="F4470" s="78"/>
    </row>
    <row r="4471" spans="1:9" hidden="1">
      <c r="A4471" s="889"/>
      <c r="B4471" s="47" t="s">
        <v>4208</v>
      </c>
      <c r="C4471" s="48"/>
    </row>
    <row r="4472" spans="1:9" hidden="1">
      <c r="A4472" s="889"/>
      <c r="B4472" s="47" t="s">
        <v>4040</v>
      </c>
      <c r="C4472" s="48"/>
    </row>
    <row r="4473" spans="1:9">
      <c r="A4473" s="847"/>
      <c r="B4473" s="78"/>
      <c r="C4473" s="48"/>
    </row>
    <row r="4474" spans="1:9">
      <c r="A4474" s="847" t="s">
        <v>1907</v>
      </c>
      <c r="B4474" s="78"/>
      <c r="C4474" s="349" t="s">
        <v>2367</v>
      </c>
      <c r="E4474" s="171" t="s">
        <v>297</v>
      </c>
      <c r="F4474" s="409">
        <v>32</v>
      </c>
      <c r="G4474" s="26" t="s">
        <v>4041</v>
      </c>
    </row>
    <row r="4475" spans="1:9">
      <c r="A4475" s="848"/>
      <c r="B4475" s="410" t="s">
        <v>2368</v>
      </c>
      <c r="C4475" s="49"/>
      <c r="D4475" s="61"/>
      <c r="E4475" s="61"/>
      <c r="F4475" s="61"/>
      <c r="G4475" s="61"/>
      <c r="H4475" s="61"/>
      <c r="I4475" s="61"/>
    </row>
    <row r="4476" spans="1:9">
      <c r="A4476" s="848"/>
      <c r="B4476" s="295" t="s">
        <v>2369</v>
      </c>
      <c r="C4476" s="411" t="s">
        <v>6374</v>
      </c>
      <c r="D4476" s="295" t="s">
        <v>2370</v>
      </c>
      <c r="E4476" s="295" t="s">
        <v>1166</v>
      </c>
      <c r="F4476" s="295" t="s">
        <v>2371</v>
      </c>
      <c r="G4476" s="295" t="s">
        <v>2372</v>
      </c>
      <c r="H4476" s="61"/>
      <c r="I4476" s="61"/>
    </row>
    <row r="4477" spans="1:9">
      <c r="A4477" s="848"/>
      <c r="B4477" s="237"/>
      <c r="C4477" s="412"/>
      <c r="D4477" s="237"/>
      <c r="E4477" s="237"/>
      <c r="F4477" s="237" t="s">
        <v>3485</v>
      </c>
      <c r="G4477" s="237" t="s">
        <v>3485</v>
      </c>
      <c r="H4477" s="61"/>
      <c r="I4477" s="61"/>
    </row>
    <row r="4478" spans="1:9">
      <c r="A4478" s="848"/>
      <c r="B4478" s="295">
        <v>1</v>
      </c>
      <c r="C4478" s="392" t="s">
        <v>4042</v>
      </c>
      <c r="D4478" s="295" t="s">
        <v>3481</v>
      </c>
      <c r="E4478" s="256">
        <v>32</v>
      </c>
      <c r="F4478" s="266">
        <f>'BASIC DATA'!$D$93</f>
        <v>23</v>
      </c>
      <c r="G4478" s="179">
        <f>F4478*E4478</f>
        <v>736</v>
      </c>
      <c r="H4478" s="61"/>
      <c r="I4478" s="61"/>
    </row>
    <row r="4479" spans="1:9">
      <c r="A4479" s="848"/>
      <c r="B4479" s="589"/>
      <c r="C4479" s="413"/>
      <c r="D4479" s="237"/>
      <c r="E4479" s="256">
        <v>0</v>
      </c>
      <c r="F4479" s="266">
        <v>0</v>
      </c>
      <c r="G4479" s="179">
        <f>F4479*E4479</f>
        <v>0</v>
      </c>
      <c r="H4479" s="61"/>
      <c r="I4479" s="61"/>
    </row>
    <row r="4480" spans="1:9">
      <c r="A4480" s="848"/>
      <c r="B4480" s="311"/>
      <c r="C4480" s="387" t="s">
        <v>2376</v>
      </c>
      <c r="D4480" s="388"/>
      <c r="E4480" s="389"/>
      <c r="F4480" s="390" t="s">
        <v>1698</v>
      </c>
      <c r="G4480" s="391">
        <f>SUM(G4478:G4479)</f>
        <v>736</v>
      </c>
      <c r="H4480" s="61"/>
      <c r="I4480" s="61"/>
    </row>
    <row r="4481" spans="1:9">
      <c r="A4481" s="848"/>
      <c r="B4481" s="62"/>
      <c r="C4481" s="49"/>
      <c r="D4481" s="61"/>
      <c r="E4481" s="61"/>
      <c r="F4481" s="61"/>
      <c r="G4481" s="61"/>
      <c r="H4481" s="61"/>
      <c r="I4481" s="61"/>
    </row>
    <row r="4482" spans="1:9">
      <c r="A4482" s="848"/>
      <c r="B4482" s="410" t="s">
        <v>2377</v>
      </c>
      <c r="C4482" s="49"/>
      <c r="D4482" s="61"/>
      <c r="E4482" s="61"/>
      <c r="F4482" s="61"/>
      <c r="G4482" s="61"/>
      <c r="H4482" s="61"/>
      <c r="I4482" s="61"/>
    </row>
    <row r="4483" spans="1:9">
      <c r="A4483" s="847"/>
      <c r="B4483" s="95" t="s">
        <v>2369</v>
      </c>
      <c r="C4483" s="350" t="s">
        <v>2378</v>
      </c>
      <c r="D4483" s="95" t="s">
        <v>2370</v>
      </c>
      <c r="E4483" s="95" t="s">
        <v>1166</v>
      </c>
      <c r="F4483" s="95" t="s">
        <v>2371</v>
      </c>
      <c r="G4483" s="95" t="s">
        <v>2372</v>
      </c>
    </row>
    <row r="4484" spans="1:9">
      <c r="A4484" s="847"/>
      <c r="B4484" s="114"/>
      <c r="C4484" s="351"/>
      <c r="D4484" s="114"/>
      <c r="E4484" s="114"/>
      <c r="F4484" s="114" t="s">
        <v>3485</v>
      </c>
      <c r="G4484" s="114" t="s">
        <v>3485</v>
      </c>
    </row>
    <row r="4485" spans="1:9">
      <c r="A4485" s="847"/>
      <c r="B4485" s="95">
        <v>1</v>
      </c>
      <c r="C4485" s="103" t="s">
        <v>4168</v>
      </c>
      <c r="D4485" s="95"/>
      <c r="E4485" s="220">
        <v>0</v>
      </c>
      <c r="F4485" s="214">
        <v>0</v>
      </c>
      <c r="G4485" s="179"/>
    </row>
    <row r="4486" spans="1:9">
      <c r="A4486" s="847"/>
      <c r="B4486" s="116"/>
      <c r="C4486" s="355"/>
      <c r="D4486" s="114"/>
      <c r="E4486" s="220">
        <v>0</v>
      </c>
      <c r="F4486" s="214">
        <v>0</v>
      </c>
      <c r="G4486" s="179"/>
    </row>
    <row r="4487" spans="1:9">
      <c r="A4487" s="847"/>
      <c r="B4487" s="176"/>
      <c r="C4487" s="357" t="s">
        <v>2380</v>
      </c>
      <c r="D4487" s="174"/>
      <c r="E4487" s="192"/>
      <c r="F4487" s="236" t="s">
        <v>1698</v>
      </c>
      <c r="G4487" s="354">
        <f>SUM(G4485:G4486)</f>
        <v>0</v>
      </c>
    </row>
    <row r="4488" spans="1:9">
      <c r="A4488" s="847"/>
      <c r="B4488" s="78"/>
      <c r="C4488" s="48"/>
    </row>
    <row r="4489" spans="1:9">
      <c r="A4489" s="847"/>
      <c r="B4489" s="79" t="s">
        <v>2381</v>
      </c>
      <c r="C4489" s="48"/>
    </row>
    <row r="4490" spans="1:9">
      <c r="A4490" s="847"/>
      <c r="B4490" s="95" t="s">
        <v>2369</v>
      </c>
      <c r="C4490" s="350" t="s">
        <v>2378</v>
      </c>
      <c r="D4490" s="95" t="s">
        <v>2370</v>
      </c>
      <c r="E4490" s="95" t="s">
        <v>1166</v>
      </c>
      <c r="F4490" s="95" t="s">
        <v>2371</v>
      </c>
      <c r="G4490" s="95" t="s">
        <v>2372</v>
      </c>
    </row>
    <row r="4491" spans="1:9">
      <c r="A4491" s="847"/>
      <c r="B4491" s="114"/>
      <c r="C4491" s="351"/>
      <c r="D4491" s="105"/>
      <c r="E4491" s="114"/>
      <c r="F4491" s="114" t="s">
        <v>3485</v>
      </c>
      <c r="G4491" s="114" t="s">
        <v>3485</v>
      </c>
    </row>
    <row r="4492" spans="1:9">
      <c r="A4492" s="847"/>
      <c r="B4492" s="105">
        <v>1</v>
      </c>
      <c r="C4492" s="86" t="s">
        <v>4206</v>
      </c>
      <c r="D4492" s="95" t="s">
        <v>1172</v>
      </c>
      <c r="E4492" s="207">
        <v>1</v>
      </c>
      <c r="F4492" s="190">
        <f>'BASIC DATA'!$C$473</f>
        <v>450</v>
      </c>
      <c r="G4492" s="179">
        <f>F4492*E4492</f>
        <v>450</v>
      </c>
    </row>
    <row r="4493" spans="1:9">
      <c r="A4493" s="847"/>
      <c r="B4493" s="105">
        <v>2</v>
      </c>
      <c r="C4493" s="86" t="s">
        <v>5609</v>
      </c>
      <c r="D4493" s="105" t="s">
        <v>1172</v>
      </c>
      <c r="E4493" s="207">
        <v>2</v>
      </c>
      <c r="F4493" s="190">
        <f>'BASIC DATA'!$C$502</f>
        <v>445</v>
      </c>
      <c r="G4493" s="179">
        <f>F4493*E4493</f>
        <v>890</v>
      </c>
    </row>
    <row r="4494" spans="1:9">
      <c r="A4494" s="847"/>
      <c r="B4494" s="105">
        <v>3</v>
      </c>
      <c r="C4494" s="86" t="s">
        <v>2697</v>
      </c>
      <c r="D4494" s="105" t="s">
        <v>1172</v>
      </c>
      <c r="E4494" s="207">
        <v>2</v>
      </c>
      <c r="F4494" s="190">
        <f>'BASIC DATA'!$C$552</f>
        <v>350</v>
      </c>
      <c r="G4494" s="179">
        <f>F4494*E4494</f>
        <v>700</v>
      </c>
    </row>
    <row r="4495" spans="1:9">
      <c r="A4495" s="847"/>
      <c r="B4495" s="92"/>
      <c r="C4495" s="353" t="s">
        <v>1174</v>
      </c>
      <c r="D4495" s="159"/>
      <c r="E4495" s="238"/>
      <c r="F4495" s="236" t="s">
        <v>1698</v>
      </c>
      <c r="G4495" s="318">
        <f>SUM(G4492:G4494)</f>
        <v>2040</v>
      </c>
    </row>
    <row r="4496" spans="1:9">
      <c r="A4496" s="847"/>
      <c r="B4496" s="359" t="s">
        <v>5948</v>
      </c>
      <c r="C4496" s="48"/>
      <c r="D4496" s="31"/>
      <c r="E4496" s="85">
        <f>ROUND(G4495/F4474,1)</f>
        <v>63.8</v>
      </c>
    </row>
    <row r="4497" spans="1:7">
      <c r="A4497" s="847"/>
      <c r="B4497" s="359" t="s">
        <v>3163</v>
      </c>
      <c r="C4497" s="48"/>
      <c r="D4497" s="922">
        <f>'BASIC DATA'!$C$577</f>
        <v>0.13614999999999999</v>
      </c>
      <c r="E4497" s="85">
        <f>ROUND(E4496*D4497,1)</f>
        <v>8.6999999999999993</v>
      </c>
    </row>
    <row r="4498" spans="1:7">
      <c r="A4498" s="847"/>
      <c r="B4498" s="359" t="s">
        <v>5949</v>
      </c>
      <c r="C4498" s="48"/>
      <c r="D4498" s="31"/>
      <c r="E4498" s="199">
        <f>ROUND(E4497+E4496,1)</f>
        <v>72.5</v>
      </c>
    </row>
    <row r="4499" spans="1:7">
      <c r="A4499" s="847"/>
      <c r="C4499" s="48"/>
    </row>
    <row r="4500" spans="1:7">
      <c r="A4500" s="847"/>
      <c r="B4500" s="162" t="s">
        <v>1175</v>
      </c>
      <c r="C4500" s="48"/>
    </row>
    <row r="4501" spans="1:7">
      <c r="A4501" s="847"/>
      <c r="B4501" s="47" t="s">
        <v>1176</v>
      </c>
      <c r="C4501" s="48"/>
      <c r="F4501" s="171" t="s">
        <v>1698</v>
      </c>
      <c r="G4501" s="68">
        <f>G4480</f>
        <v>736</v>
      </c>
    </row>
    <row r="4502" spans="1:7">
      <c r="A4502" s="847"/>
      <c r="B4502" s="47" t="s">
        <v>1186</v>
      </c>
      <c r="C4502" s="48"/>
      <c r="F4502" s="171" t="s">
        <v>1698</v>
      </c>
      <c r="G4502" s="68">
        <f>G4487</f>
        <v>0</v>
      </c>
    </row>
    <row r="4503" spans="1:7">
      <c r="A4503" s="847"/>
      <c r="B4503" s="47" t="s">
        <v>2660</v>
      </c>
      <c r="C4503" s="48"/>
      <c r="F4503" s="171" t="s">
        <v>1698</v>
      </c>
      <c r="G4503" s="75">
        <f>G4495</f>
        <v>2040</v>
      </c>
    </row>
    <row r="4504" spans="1:7">
      <c r="A4504" s="847"/>
      <c r="B4504" s="78"/>
      <c r="C4504" s="48"/>
      <c r="E4504" s="261"/>
      <c r="F4504" s="171" t="s">
        <v>302</v>
      </c>
      <c r="G4504" s="205">
        <f>SUM(G4501:G4503)</f>
        <v>2776</v>
      </c>
    </row>
    <row r="4505" spans="1:7" ht="38.25" customHeight="1">
      <c r="A4505" s="847"/>
      <c r="B4505" s="1207" t="s">
        <v>1379</v>
      </c>
      <c r="C4505" s="1207"/>
      <c r="D4505" s="1207"/>
      <c r="E4505" s="922">
        <f>'BASIC DATA'!$C$577</f>
        <v>0.13614999999999999</v>
      </c>
      <c r="F4505" s="171" t="s">
        <v>1698</v>
      </c>
      <c r="G4505" s="31">
        <f>ROUND(G4504*E4505,2)</f>
        <v>377.95</v>
      </c>
    </row>
    <row r="4506" spans="1:7">
      <c r="A4506" s="847"/>
      <c r="B4506" s="47" t="s">
        <v>1191</v>
      </c>
      <c r="C4506" s="48"/>
      <c r="D4506" s="68">
        <f>F4474</f>
        <v>32</v>
      </c>
      <c r="E4506" s="68" t="str">
        <f>G4474</f>
        <v>Nos.</v>
      </c>
      <c r="F4506" s="171" t="s">
        <v>1698</v>
      </c>
      <c r="G4506" s="211">
        <f>G4505+G4504</f>
        <v>3153.95</v>
      </c>
    </row>
    <row r="4507" spans="1:7">
      <c r="A4507" s="847"/>
      <c r="B4507" s="79" t="s">
        <v>1584</v>
      </c>
      <c r="C4507" s="404" t="s">
        <v>4935</v>
      </c>
      <c r="D4507" s="26" t="s">
        <v>5885</v>
      </c>
      <c r="F4507" s="171" t="s">
        <v>4108</v>
      </c>
      <c r="G4507" s="211">
        <f>ROUND(G4506/D4506,1)</f>
        <v>98.6</v>
      </c>
    </row>
    <row r="4508" spans="1:7">
      <c r="A4508" s="847"/>
      <c r="B4508" s="78"/>
      <c r="C4508" s="48"/>
    </row>
    <row r="4509" spans="1:7">
      <c r="A4509" s="847"/>
      <c r="B4509" s="78"/>
      <c r="C4509" s="48"/>
    </row>
    <row r="4510" spans="1:7" ht="18.75">
      <c r="A4510" s="841" t="s">
        <v>7472</v>
      </c>
      <c r="B4510" s="47" t="s">
        <v>8748</v>
      </c>
      <c r="C4510" s="48"/>
    </row>
    <row r="4511" spans="1:7">
      <c r="A4511" s="889"/>
      <c r="B4511" s="47" t="s">
        <v>3635</v>
      </c>
      <c r="C4511" s="48"/>
    </row>
    <row r="4512" spans="1:7">
      <c r="A4512" s="889"/>
      <c r="B4512" s="47" t="s">
        <v>4733</v>
      </c>
      <c r="C4512" s="48"/>
    </row>
    <row r="4513" spans="1:9" ht="18.75">
      <c r="A4513" s="895"/>
      <c r="B4513" s="47" t="s">
        <v>8749</v>
      </c>
      <c r="C4513" s="48"/>
    </row>
    <row r="4514" spans="1:9">
      <c r="A4514" s="889"/>
      <c r="C4514" s="48"/>
      <c r="F4514" s="78"/>
    </row>
    <row r="4515" spans="1:9" hidden="1">
      <c r="A4515" s="889" t="s">
        <v>3984</v>
      </c>
      <c r="B4515" s="47" t="s">
        <v>2500</v>
      </c>
      <c r="C4515" s="48"/>
    </row>
    <row r="4516" spans="1:9" hidden="1">
      <c r="A4516" s="889"/>
      <c r="B4516" s="47" t="s">
        <v>4046</v>
      </c>
      <c r="C4516" s="48"/>
      <c r="E4516" s="78" t="s">
        <v>1697</v>
      </c>
      <c r="F4516" s="61">
        <v>8</v>
      </c>
      <c r="G4516" s="26" t="s">
        <v>3033</v>
      </c>
    </row>
    <row r="4517" spans="1:9" hidden="1">
      <c r="A4517" s="891"/>
      <c r="B4517" s="382" t="s">
        <v>4047</v>
      </c>
      <c r="C4517" s="49"/>
      <c r="D4517" s="61"/>
      <c r="E4517" s="62" t="s">
        <v>1697</v>
      </c>
      <c r="F4517" s="61">
        <v>5</v>
      </c>
      <c r="G4517" s="61" t="s">
        <v>515</v>
      </c>
      <c r="H4517" s="61"/>
      <c r="I4517" s="61"/>
    </row>
    <row r="4518" spans="1:9" hidden="1">
      <c r="A4518" s="891"/>
      <c r="B4518" s="382" t="s">
        <v>4048</v>
      </c>
      <c r="C4518" s="49"/>
      <c r="D4518" s="62" t="s">
        <v>1697</v>
      </c>
      <c r="E4518" s="61" t="s">
        <v>4308</v>
      </c>
      <c r="F4518" s="61"/>
      <c r="G4518" s="61"/>
      <c r="H4518" s="61"/>
      <c r="I4518" s="61"/>
    </row>
    <row r="4519" spans="1:9" hidden="1">
      <c r="A4519" s="891"/>
      <c r="B4519" s="382" t="s">
        <v>4049</v>
      </c>
      <c r="C4519" s="49"/>
      <c r="D4519" s="62" t="s">
        <v>1697</v>
      </c>
      <c r="E4519" s="61" t="s">
        <v>6746</v>
      </c>
      <c r="F4519" s="61"/>
      <c r="G4519" s="61"/>
      <c r="H4519" s="61"/>
      <c r="I4519" s="61"/>
    </row>
    <row r="4520" spans="1:9" hidden="1">
      <c r="A4520" s="889"/>
      <c r="B4520" s="47" t="s">
        <v>2514</v>
      </c>
      <c r="C4520" s="48"/>
      <c r="D4520" s="78" t="s">
        <v>1697</v>
      </c>
      <c r="E4520" s="26" t="s">
        <v>6746</v>
      </c>
    </row>
    <row r="4521" spans="1:9" hidden="1">
      <c r="A4521" s="889"/>
      <c r="B4521" s="47" t="s">
        <v>2515</v>
      </c>
      <c r="C4521" s="48"/>
      <c r="D4521" s="78" t="s">
        <v>1697</v>
      </c>
      <c r="E4521" s="26" t="s">
        <v>4309</v>
      </c>
    </row>
    <row r="4522" spans="1:9">
      <c r="A4522" s="847"/>
      <c r="B4522" s="78"/>
      <c r="C4522" s="48"/>
    </row>
    <row r="4523" spans="1:9">
      <c r="A4523" s="847" t="s">
        <v>1907</v>
      </c>
      <c r="B4523" s="78"/>
      <c r="C4523" s="349" t="s">
        <v>2367</v>
      </c>
      <c r="E4523" s="171" t="s">
        <v>297</v>
      </c>
      <c r="F4523" s="246">
        <v>1000</v>
      </c>
      <c r="G4523" s="26" t="s">
        <v>3478</v>
      </c>
    </row>
    <row r="4524" spans="1:9">
      <c r="A4524" s="847"/>
      <c r="B4524" s="79" t="s">
        <v>2368</v>
      </c>
      <c r="C4524" s="48"/>
    </row>
    <row r="4525" spans="1:9">
      <c r="A4525" s="847"/>
      <c r="B4525" s="95" t="s">
        <v>2369</v>
      </c>
      <c r="C4525" s="350" t="s">
        <v>6374</v>
      </c>
      <c r="D4525" s="95" t="s">
        <v>2370</v>
      </c>
      <c r="E4525" s="95" t="s">
        <v>1166</v>
      </c>
      <c r="F4525" s="95" t="s">
        <v>2371</v>
      </c>
      <c r="G4525" s="95" t="s">
        <v>2372</v>
      </c>
    </row>
    <row r="4526" spans="1:9">
      <c r="A4526" s="847"/>
      <c r="B4526" s="114"/>
      <c r="C4526" s="351"/>
      <c r="D4526" s="114"/>
      <c r="E4526" s="114"/>
      <c r="F4526" s="114" t="s">
        <v>3485</v>
      </c>
      <c r="G4526" s="114" t="s">
        <v>3485</v>
      </c>
    </row>
    <row r="4527" spans="1:9">
      <c r="A4527" s="847"/>
      <c r="B4527" s="95">
        <v>1</v>
      </c>
      <c r="C4527" s="86" t="s">
        <v>6235</v>
      </c>
      <c r="D4527" s="95" t="s">
        <v>3478</v>
      </c>
      <c r="E4527" s="220">
        <v>1050</v>
      </c>
      <c r="F4527" s="214">
        <f>'BASIC DATA'!$D$91/1000</f>
        <v>34</v>
      </c>
      <c r="G4527" s="179">
        <f>F4527*E4527</f>
        <v>35700</v>
      </c>
      <c r="I4527" s="75"/>
    </row>
    <row r="4528" spans="1:9">
      <c r="A4528" s="847"/>
      <c r="B4528" s="105">
        <v>2</v>
      </c>
      <c r="C4528" s="86" t="s">
        <v>2637</v>
      </c>
      <c r="D4528" s="105" t="s">
        <v>3478</v>
      </c>
      <c r="E4528" s="220">
        <v>8</v>
      </c>
      <c r="F4528" s="214">
        <f>'BASIC DATA'!$D$30</f>
        <v>60</v>
      </c>
      <c r="G4528" s="179">
        <f>F4528*E4528</f>
        <v>480</v>
      </c>
      <c r="I4528" s="75"/>
    </row>
    <row r="4529" spans="1:9">
      <c r="A4529" s="847"/>
      <c r="B4529" s="114">
        <v>3</v>
      </c>
      <c r="C4529" s="355" t="s">
        <v>2638</v>
      </c>
      <c r="D4529" s="114" t="s">
        <v>2173</v>
      </c>
      <c r="E4529" s="256">
        <v>10</v>
      </c>
      <c r="F4529" s="190">
        <f>'BASIC DATA'!$D$359</f>
        <v>30</v>
      </c>
      <c r="G4529" s="179">
        <f>F4529*E4529</f>
        <v>300</v>
      </c>
      <c r="I4529" s="75"/>
    </row>
    <row r="4530" spans="1:9">
      <c r="A4530" s="847"/>
      <c r="B4530" s="92"/>
      <c r="C4530" s="353" t="s">
        <v>2376</v>
      </c>
      <c r="D4530" s="159"/>
      <c r="E4530" s="238"/>
      <c r="F4530" s="236" t="s">
        <v>1698</v>
      </c>
      <c r="G4530" s="318">
        <f>SUM(G4527:G4529)</f>
        <v>36480</v>
      </c>
    </row>
    <row r="4531" spans="1:9">
      <c r="A4531" s="847"/>
      <c r="B4531" s="78"/>
      <c r="C4531" s="48"/>
    </row>
    <row r="4532" spans="1:9">
      <c r="A4532" s="847"/>
      <c r="B4532" s="79" t="s">
        <v>2377</v>
      </c>
      <c r="C4532" s="48"/>
    </row>
    <row r="4533" spans="1:9">
      <c r="A4533" s="847"/>
      <c r="B4533" s="95" t="s">
        <v>2369</v>
      </c>
      <c r="C4533" s="350" t="s">
        <v>2378</v>
      </c>
      <c r="D4533" s="95" t="s">
        <v>2370</v>
      </c>
      <c r="E4533" s="95" t="s">
        <v>1166</v>
      </c>
      <c r="F4533" s="95" t="s">
        <v>2371</v>
      </c>
      <c r="G4533" s="95" t="s">
        <v>2372</v>
      </c>
    </row>
    <row r="4534" spans="1:9">
      <c r="A4534" s="847"/>
      <c r="B4534" s="114"/>
      <c r="C4534" s="351"/>
      <c r="D4534" s="114"/>
      <c r="E4534" s="114"/>
      <c r="F4534" s="114" t="s">
        <v>3485</v>
      </c>
      <c r="G4534" s="114" t="s">
        <v>3485</v>
      </c>
    </row>
    <row r="4535" spans="1:9">
      <c r="A4535" s="847"/>
      <c r="B4535" s="95">
        <v>1</v>
      </c>
      <c r="C4535" s="103" t="s">
        <v>4168</v>
      </c>
      <c r="D4535" s="95"/>
      <c r="E4535" s="220">
        <v>0</v>
      </c>
      <c r="F4535" s="214">
        <v>0</v>
      </c>
      <c r="G4535" s="179">
        <f>F4535*E4535</f>
        <v>0</v>
      </c>
    </row>
    <row r="4536" spans="1:9">
      <c r="A4536" s="847"/>
      <c r="B4536" s="116"/>
      <c r="C4536" s="414"/>
      <c r="D4536" s="114"/>
      <c r="E4536" s="215">
        <v>0</v>
      </c>
      <c r="F4536" s="214">
        <v>0</v>
      </c>
      <c r="G4536" s="179">
        <f>F4536*E4536</f>
        <v>0</v>
      </c>
    </row>
    <row r="4537" spans="1:9">
      <c r="A4537" s="847"/>
      <c r="B4537" s="176"/>
      <c r="C4537" s="357" t="s">
        <v>2380</v>
      </c>
      <c r="D4537" s="174"/>
      <c r="E4537" s="192"/>
      <c r="F4537" s="236" t="s">
        <v>1698</v>
      </c>
      <c r="G4537" s="354">
        <f>SUM(G4535:G4536)</f>
        <v>0</v>
      </c>
    </row>
    <row r="4538" spans="1:9">
      <c r="A4538" s="847"/>
      <c r="B4538" s="78"/>
      <c r="C4538" s="48"/>
    </row>
    <row r="4539" spans="1:9">
      <c r="A4539" s="847"/>
      <c r="B4539" s="79" t="s">
        <v>2381</v>
      </c>
      <c r="C4539" s="48"/>
    </row>
    <row r="4540" spans="1:9">
      <c r="A4540" s="847"/>
      <c r="B4540" s="95" t="s">
        <v>2369</v>
      </c>
      <c r="C4540" s="350" t="s">
        <v>2378</v>
      </c>
      <c r="D4540" s="95" t="s">
        <v>2370</v>
      </c>
      <c r="E4540" s="95" t="s">
        <v>1166</v>
      </c>
      <c r="F4540" s="95" t="s">
        <v>2371</v>
      </c>
      <c r="G4540" s="95" t="s">
        <v>2372</v>
      </c>
    </row>
    <row r="4541" spans="1:9">
      <c r="A4541" s="847"/>
      <c r="B4541" s="114"/>
      <c r="C4541" s="351"/>
      <c r="D4541" s="105"/>
      <c r="E4541" s="114"/>
      <c r="F4541" s="114" t="s">
        <v>3485</v>
      </c>
      <c r="G4541" s="114" t="s">
        <v>3485</v>
      </c>
    </row>
    <row r="4542" spans="1:9">
      <c r="A4542" s="847"/>
      <c r="B4542" s="105">
        <v>1</v>
      </c>
      <c r="C4542" s="86" t="s">
        <v>3836</v>
      </c>
      <c r="D4542" s="95" t="s">
        <v>1172</v>
      </c>
      <c r="E4542" s="207">
        <v>6</v>
      </c>
      <c r="F4542" s="190">
        <f>'BASIC DATA'!$C$464</f>
        <v>555</v>
      </c>
      <c r="G4542" s="179">
        <f>F4542*E4542</f>
        <v>3330</v>
      </c>
    </row>
    <row r="4543" spans="1:9">
      <c r="A4543" s="847"/>
      <c r="B4543" s="105">
        <v>2</v>
      </c>
      <c r="C4543" s="86" t="s">
        <v>2697</v>
      </c>
      <c r="D4543" s="105" t="s">
        <v>1172</v>
      </c>
      <c r="E4543" s="207">
        <v>11</v>
      </c>
      <c r="F4543" s="190">
        <f>'BASIC DATA'!$C$552</f>
        <v>350</v>
      </c>
      <c r="G4543" s="179">
        <f>F4543*E4543</f>
        <v>3850</v>
      </c>
    </row>
    <row r="4544" spans="1:9">
      <c r="A4544" s="847"/>
      <c r="B4544" s="92"/>
      <c r="C4544" s="353" t="s">
        <v>1174</v>
      </c>
      <c r="D4544" s="159"/>
      <c r="E4544" s="238"/>
      <c r="F4544" s="236" t="s">
        <v>1698</v>
      </c>
      <c r="G4544" s="318">
        <f>SUM(G4542:G4543)</f>
        <v>7180</v>
      </c>
    </row>
    <row r="4545" spans="1:9">
      <c r="A4545" s="847"/>
      <c r="B4545" s="359" t="s">
        <v>5948</v>
      </c>
      <c r="C4545" s="48"/>
      <c r="D4545" s="31"/>
      <c r="E4545" s="85">
        <f>ROUND(G4544/F4523,1)</f>
        <v>7.2</v>
      </c>
    </row>
    <row r="4546" spans="1:9">
      <c r="A4546" s="847"/>
      <c r="B4546" s="359" t="s">
        <v>3163</v>
      </c>
      <c r="C4546" s="48"/>
      <c r="D4546" s="922">
        <f>'BASIC DATA'!$C$577</f>
        <v>0.13614999999999999</v>
      </c>
      <c r="E4546" s="85">
        <f>ROUND(E4545*D4546,1)</f>
        <v>1</v>
      </c>
    </row>
    <row r="4547" spans="1:9">
      <c r="A4547" s="847"/>
      <c r="B4547" s="359" t="s">
        <v>5949</v>
      </c>
      <c r="C4547" s="48"/>
      <c r="D4547" s="31"/>
      <c r="E4547" s="199">
        <f>ROUND(E4546+E4545,1)</f>
        <v>8.1999999999999993</v>
      </c>
    </row>
    <row r="4548" spans="1:9">
      <c r="A4548" s="847"/>
      <c r="C4548" s="48"/>
    </row>
    <row r="4549" spans="1:9">
      <c r="A4549" s="847"/>
      <c r="B4549" s="162" t="s">
        <v>1175</v>
      </c>
      <c r="C4549" s="48"/>
    </row>
    <row r="4550" spans="1:9">
      <c r="A4550" s="847"/>
      <c r="B4550" s="47" t="s">
        <v>1176</v>
      </c>
      <c r="C4550" s="48"/>
      <c r="F4550" s="171" t="s">
        <v>1698</v>
      </c>
      <c r="G4550" s="68">
        <f>G4530</f>
        <v>36480</v>
      </c>
    </row>
    <row r="4551" spans="1:9">
      <c r="A4551" s="847"/>
      <c r="B4551" s="47" t="s">
        <v>1186</v>
      </c>
      <c r="C4551" s="48"/>
      <c r="F4551" s="171" t="s">
        <v>1698</v>
      </c>
      <c r="G4551" s="68">
        <f>G4537</f>
        <v>0</v>
      </c>
    </row>
    <row r="4552" spans="1:9">
      <c r="A4552" s="847"/>
      <c r="B4552" s="47" t="s">
        <v>2660</v>
      </c>
      <c r="C4552" s="48"/>
      <c r="F4552" s="171" t="s">
        <v>1698</v>
      </c>
      <c r="G4552" s="75">
        <f>G4544</f>
        <v>7180</v>
      </c>
    </row>
    <row r="4553" spans="1:9">
      <c r="A4553" s="847"/>
      <c r="B4553" s="78"/>
      <c r="C4553" s="48"/>
      <c r="E4553" s="261"/>
      <c r="F4553" s="171" t="s">
        <v>302</v>
      </c>
      <c r="G4553" s="205">
        <f>SUM(G4550:G4552)</f>
        <v>43660</v>
      </c>
    </row>
    <row r="4554" spans="1:9" ht="40.5" customHeight="1">
      <c r="A4554" s="847"/>
      <c r="B4554" s="1207" t="s">
        <v>1379</v>
      </c>
      <c r="C4554" s="1207"/>
      <c r="D4554" s="1207"/>
      <c r="E4554" s="922">
        <f>'BASIC DATA'!$C$577</f>
        <v>0.13614999999999999</v>
      </c>
      <c r="F4554" s="171" t="s">
        <v>1698</v>
      </c>
      <c r="G4554" s="31">
        <f>ROUND(G4553*E4554,2)</f>
        <v>5944.31</v>
      </c>
    </row>
    <row r="4555" spans="1:9">
      <c r="A4555" s="847"/>
      <c r="B4555" s="47" t="s">
        <v>1191</v>
      </c>
      <c r="C4555" s="48"/>
      <c r="D4555" s="68">
        <f>F4523</f>
        <v>1000</v>
      </c>
      <c r="E4555" s="68" t="str">
        <f>G4523</f>
        <v>kg</v>
      </c>
      <c r="F4555" s="171" t="s">
        <v>1698</v>
      </c>
      <c r="G4555" s="211">
        <f>G4554+G4553</f>
        <v>49604.31</v>
      </c>
    </row>
    <row r="4556" spans="1:9">
      <c r="A4556" s="847"/>
      <c r="B4556" s="79" t="s">
        <v>1584</v>
      </c>
      <c r="C4556" s="404" t="str">
        <f>E4555</f>
        <v>kg</v>
      </c>
      <c r="D4556" s="26" t="s">
        <v>5886</v>
      </c>
      <c r="F4556" s="171" t="s">
        <v>4108</v>
      </c>
      <c r="G4556" s="211">
        <f>ROUND(G4555/D4555,1)</f>
        <v>49.6</v>
      </c>
    </row>
    <row r="4557" spans="1:9">
      <c r="A4557" s="847"/>
      <c r="B4557" s="78"/>
      <c r="C4557" s="48"/>
    </row>
    <row r="4558" spans="1:9">
      <c r="A4558" s="848"/>
      <c r="B4558" s="62"/>
      <c r="C4558" s="49"/>
      <c r="D4558" s="61"/>
      <c r="E4558" s="61"/>
      <c r="F4558" s="61"/>
      <c r="G4558" s="61"/>
      <c r="H4558" s="61"/>
      <c r="I4558" s="61"/>
    </row>
    <row r="4559" spans="1:9" ht="18.75">
      <c r="A4559" s="841" t="s">
        <v>7473</v>
      </c>
      <c r="B4559" s="382" t="s">
        <v>8750</v>
      </c>
      <c r="C4559" s="49"/>
      <c r="D4559" s="61"/>
      <c r="E4559" s="61"/>
      <c r="F4559" s="61"/>
      <c r="G4559" s="61"/>
      <c r="H4559" s="61"/>
      <c r="I4559" s="61"/>
    </row>
    <row r="4560" spans="1:9" ht="18.75">
      <c r="A4560" s="891"/>
      <c r="B4560" s="382" t="s">
        <v>8751</v>
      </c>
      <c r="C4560" s="49"/>
      <c r="D4560" s="61"/>
      <c r="E4560" s="61"/>
      <c r="F4560" s="61"/>
      <c r="G4560" s="61"/>
      <c r="H4560" s="61"/>
      <c r="I4560" s="61"/>
    </row>
    <row r="4561" spans="1:9" ht="18.75">
      <c r="A4561" s="891"/>
      <c r="B4561" s="382" t="s">
        <v>8752</v>
      </c>
      <c r="C4561" s="49"/>
      <c r="D4561" s="61"/>
      <c r="E4561" s="61"/>
      <c r="F4561" s="61"/>
      <c r="G4561" s="61"/>
      <c r="H4561" s="61"/>
      <c r="I4561" s="61"/>
    </row>
    <row r="4562" spans="1:9">
      <c r="A4562" s="895"/>
      <c r="B4562" s="47" t="s">
        <v>2639</v>
      </c>
      <c r="C4562" s="48"/>
    </row>
    <row r="4563" spans="1:9">
      <c r="A4563" s="889"/>
      <c r="B4563" s="47" t="s">
        <v>3514</v>
      </c>
      <c r="C4563" s="48"/>
      <c r="F4563" s="78"/>
    </row>
    <row r="4564" spans="1:9" ht="18.75">
      <c r="A4564" s="889"/>
      <c r="B4564" s="47" t="s">
        <v>8753</v>
      </c>
      <c r="C4564" s="48"/>
    </row>
    <row r="4565" spans="1:9">
      <c r="A4565" s="889"/>
      <c r="B4565" s="162" t="s">
        <v>7739</v>
      </c>
      <c r="C4565" s="48"/>
    </row>
    <row r="4566" spans="1:9">
      <c r="A4566" s="891"/>
      <c r="B4566" s="588" t="s">
        <v>7737</v>
      </c>
      <c r="C4566" s="61"/>
      <c r="D4566" s="61"/>
      <c r="E4566" s="61"/>
      <c r="F4566" s="61"/>
      <c r="G4566" s="61"/>
      <c r="H4566" s="61"/>
      <c r="I4566" s="61"/>
    </row>
    <row r="4567" spans="1:9">
      <c r="A4567" s="889"/>
      <c r="B4567" s="162" t="s">
        <v>7738</v>
      </c>
      <c r="C4567" s="48"/>
    </row>
    <row r="4568" spans="1:9">
      <c r="A4568" s="889"/>
      <c r="B4568" s="162" t="s">
        <v>7736</v>
      </c>
      <c r="C4568" s="48"/>
    </row>
    <row r="4569" spans="1:9" hidden="1">
      <c r="A4569" s="889" t="s">
        <v>3984</v>
      </c>
      <c r="B4569" s="47" t="s">
        <v>1555</v>
      </c>
      <c r="C4569" s="48"/>
      <c r="F4569" s="78" t="s">
        <v>1697</v>
      </c>
      <c r="G4569" s="26">
        <v>75</v>
      </c>
      <c r="H4569" s="26" t="s">
        <v>1548</v>
      </c>
    </row>
    <row r="4570" spans="1:9" hidden="1">
      <c r="A4570" s="889"/>
      <c r="B4570" s="47" t="s">
        <v>1556</v>
      </c>
      <c r="C4570" s="48"/>
      <c r="F4570" s="78"/>
    </row>
    <row r="4571" spans="1:9" ht="18.75" hidden="1">
      <c r="A4571" s="889"/>
      <c r="B4571" s="47" t="s">
        <v>8754</v>
      </c>
      <c r="C4571" s="48"/>
      <c r="F4571" s="78"/>
    </row>
    <row r="4572" spans="1:9" hidden="1">
      <c r="A4572" s="889"/>
      <c r="B4572" s="47" t="s">
        <v>1557</v>
      </c>
      <c r="C4572" s="48"/>
      <c r="F4572" s="78" t="s">
        <v>1697</v>
      </c>
      <c r="G4572" s="26">
        <v>120</v>
      </c>
      <c r="H4572" s="26" t="s">
        <v>3883</v>
      </c>
    </row>
    <row r="4573" spans="1:9" hidden="1">
      <c r="A4573" s="889"/>
      <c r="B4573" s="47" t="s">
        <v>196</v>
      </c>
      <c r="C4573" s="48"/>
      <c r="F4573" s="78" t="s">
        <v>1697</v>
      </c>
      <c r="G4573" s="68">
        <f>G4572*G4569/1000</f>
        <v>9</v>
      </c>
      <c r="H4573" s="26" t="s">
        <v>6901</v>
      </c>
    </row>
    <row r="4574" spans="1:9" hidden="1">
      <c r="A4574" s="889"/>
      <c r="B4574" s="47" t="s">
        <v>3906</v>
      </c>
      <c r="C4574" s="48"/>
      <c r="F4574" s="78" t="s">
        <v>1697</v>
      </c>
      <c r="G4574" s="26">
        <f>G4573*10%</f>
        <v>0.9</v>
      </c>
      <c r="H4574" s="26" t="s">
        <v>6901</v>
      </c>
    </row>
    <row r="4575" spans="1:9" hidden="1">
      <c r="A4575" s="889"/>
      <c r="B4575" s="47" t="s">
        <v>1269</v>
      </c>
      <c r="C4575" s="48"/>
      <c r="F4575" s="78" t="s">
        <v>1697</v>
      </c>
      <c r="G4575" s="68">
        <f>SUM(G4573:G4574)</f>
        <v>9.9</v>
      </c>
      <c r="H4575" s="26" t="s">
        <v>6901</v>
      </c>
    </row>
    <row r="4576" spans="1:9" hidden="1">
      <c r="A4576" s="889"/>
      <c r="B4576" s="47" t="s">
        <v>1650</v>
      </c>
      <c r="C4576" s="48"/>
      <c r="F4576" s="78"/>
    </row>
    <row r="4577" spans="1:9" hidden="1">
      <c r="A4577" s="889"/>
      <c r="B4577" s="47" t="s">
        <v>1651</v>
      </c>
      <c r="C4577" s="48"/>
      <c r="F4577" s="78" t="s">
        <v>1697</v>
      </c>
      <c r="G4577" s="26">
        <f>ROUND(G4575*60/50/0.7,2)</f>
        <v>16.97</v>
      </c>
      <c r="H4577" s="26" t="s">
        <v>1549</v>
      </c>
    </row>
    <row r="4578" spans="1:9" ht="18.75" hidden="1">
      <c r="A4578" s="889"/>
      <c r="B4578" s="47" t="s">
        <v>8755</v>
      </c>
      <c r="C4578" s="48"/>
    </row>
    <row r="4579" spans="1:9" hidden="1">
      <c r="A4579" s="889"/>
      <c r="B4579" s="47" t="s">
        <v>7987</v>
      </c>
      <c r="C4579" s="48"/>
    </row>
    <row r="4580" spans="1:9" hidden="1">
      <c r="A4580" s="889"/>
      <c r="B4580" s="47" t="s">
        <v>1559</v>
      </c>
      <c r="C4580" s="48"/>
    </row>
    <row r="4581" spans="1:9" hidden="1">
      <c r="A4581" s="889"/>
      <c r="B4581" s="47" t="s">
        <v>1560</v>
      </c>
      <c r="C4581" s="48"/>
      <c r="F4581" s="78" t="s">
        <v>1697</v>
      </c>
      <c r="G4581" s="68">
        <v>3</v>
      </c>
      <c r="H4581" s="26" t="s">
        <v>1433</v>
      </c>
      <c r="I4581" s="62"/>
    </row>
    <row r="4582" spans="1:9" hidden="1">
      <c r="A4582" s="889"/>
      <c r="B4582" s="47" t="s">
        <v>1561</v>
      </c>
      <c r="C4582" s="48"/>
      <c r="F4582" s="78" t="s">
        <v>1697</v>
      </c>
      <c r="G4582" s="68">
        <v>10</v>
      </c>
      <c r="H4582" s="26" t="s">
        <v>1433</v>
      </c>
      <c r="I4582" s="62"/>
    </row>
    <row r="4583" spans="1:9" hidden="1">
      <c r="A4583" s="889"/>
      <c r="B4583" s="47" t="s">
        <v>1562</v>
      </c>
      <c r="C4583" s="48"/>
      <c r="F4583" s="78" t="s">
        <v>1697</v>
      </c>
      <c r="G4583" s="68">
        <v>15</v>
      </c>
      <c r="H4583" s="26" t="s">
        <v>1433</v>
      </c>
      <c r="I4583" s="62"/>
    </row>
    <row r="4584" spans="1:9" hidden="1">
      <c r="A4584" s="889"/>
      <c r="B4584" s="47" t="s">
        <v>1563</v>
      </c>
      <c r="C4584" s="48"/>
      <c r="F4584" s="78" t="s">
        <v>1697</v>
      </c>
      <c r="G4584" s="68">
        <v>3</v>
      </c>
      <c r="H4584" s="26" t="s">
        <v>1433</v>
      </c>
      <c r="I4584" s="62"/>
    </row>
    <row r="4585" spans="1:9" hidden="1">
      <c r="A4585" s="889"/>
      <c r="B4585" s="47" t="s">
        <v>2701</v>
      </c>
      <c r="C4585" s="48"/>
      <c r="F4585" s="78" t="s">
        <v>1697</v>
      </c>
      <c r="G4585" s="68">
        <v>10</v>
      </c>
      <c r="H4585" s="26" t="s">
        <v>1433</v>
      </c>
      <c r="I4585" s="62"/>
    </row>
    <row r="4586" spans="1:9" hidden="1">
      <c r="A4586" s="889"/>
      <c r="B4586" s="47" t="s">
        <v>2702</v>
      </c>
      <c r="C4586" s="48"/>
      <c r="F4586" s="78" t="s">
        <v>1697</v>
      </c>
      <c r="G4586" s="173">
        <v>12</v>
      </c>
      <c r="H4586" s="26" t="s">
        <v>1433</v>
      </c>
      <c r="I4586" s="62"/>
    </row>
    <row r="4587" spans="1:9" hidden="1">
      <c r="A4587" s="889"/>
      <c r="C4587" s="48"/>
      <c r="E4587" s="26" t="s">
        <v>1518</v>
      </c>
      <c r="F4587" s="78" t="s">
        <v>1697</v>
      </c>
      <c r="G4587" s="205">
        <f>SUM(G4581:G4586)</f>
        <v>53</v>
      </c>
      <c r="H4587" s="26" t="s">
        <v>1433</v>
      </c>
      <c r="I4587" s="168"/>
    </row>
    <row r="4588" spans="1:9" hidden="1">
      <c r="A4588" s="889"/>
      <c r="B4588" s="47" t="s">
        <v>2706</v>
      </c>
      <c r="C4588" s="48"/>
      <c r="F4588" s="78" t="s">
        <v>1697</v>
      </c>
      <c r="G4588" s="26">
        <f>ROUND((60/G4587)*4*(50/60),2)</f>
        <v>3.77</v>
      </c>
      <c r="H4588" s="26" t="s">
        <v>6901</v>
      </c>
    </row>
    <row r="4589" spans="1:9" hidden="1">
      <c r="A4589" s="889"/>
      <c r="B4589" s="47" t="s">
        <v>2707</v>
      </c>
      <c r="C4589" s="48"/>
      <c r="F4589" s="78" t="s">
        <v>1697</v>
      </c>
      <c r="G4589" s="68">
        <f>G4575</f>
        <v>9.9</v>
      </c>
      <c r="H4589" s="26" t="s">
        <v>6901</v>
      </c>
    </row>
    <row r="4590" spans="1:9" hidden="1">
      <c r="A4590" s="889"/>
      <c r="B4590" s="47" t="s">
        <v>1652</v>
      </c>
      <c r="C4590" s="48"/>
      <c r="F4590" s="78" t="s">
        <v>1697</v>
      </c>
      <c r="G4590" s="26">
        <f>ROUND(G4589/G4588,0)</f>
        <v>3</v>
      </c>
      <c r="H4590" s="26" t="s">
        <v>3032</v>
      </c>
    </row>
    <row r="4591" spans="1:9" ht="18.75" hidden="1">
      <c r="A4591" s="889"/>
      <c r="B4591" s="47" t="s">
        <v>8756</v>
      </c>
      <c r="C4591" s="48"/>
    </row>
    <row r="4592" spans="1:9" hidden="1">
      <c r="A4592" s="889"/>
      <c r="B4592" s="47" t="s">
        <v>1255</v>
      </c>
      <c r="C4592" s="48"/>
    </row>
    <row r="4593" spans="1:9" hidden="1">
      <c r="A4593" s="889"/>
      <c r="B4593" s="47" t="s">
        <v>1256</v>
      </c>
      <c r="C4593" s="48"/>
    </row>
    <row r="4594" spans="1:9" hidden="1">
      <c r="A4594" s="889"/>
      <c r="B4594" s="47" t="s">
        <v>1257</v>
      </c>
      <c r="C4594" s="48"/>
    </row>
    <row r="4595" spans="1:9" hidden="1">
      <c r="A4595" s="889"/>
      <c r="B4595" s="47" t="s">
        <v>1258</v>
      </c>
      <c r="C4595" s="48"/>
    </row>
    <row r="4596" spans="1:9" hidden="1">
      <c r="A4596" s="889"/>
      <c r="B4596" s="47" t="s">
        <v>1267</v>
      </c>
      <c r="C4596" s="48"/>
      <c r="F4596" s="78" t="s">
        <v>1697</v>
      </c>
      <c r="G4596" s="26">
        <f>120*8</f>
        <v>960</v>
      </c>
      <c r="H4596" s="26" t="s">
        <v>3883</v>
      </c>
    </row>
    <row r="4597" spans="1:9" hidden="1">
      <c r="A4597" s="889"/>
      <c r="B4597" s="47" t="s">
        <v>1268</v>
      </c>
      <c r="C4597" s="48"/>
      <c r="F4597" s="78" t="s">
        <v>1697</v>
      </c>
      <c r="G4597" s="68">
        <f>G4575*8</f>
        <v>79.2</v>
      </c>
      <c r="H4597" s="26" t="s">
        <v>6901</v>
      </c>
    </row>
    <row r="4598" spans="1:9" hidden="1">
      <c r="A4598" s="889"/>
      <c r="B4598" s="47" t="s">
        <v>6236</v>
      </c>
      <c r="C4598" s="48"/>
      <c r="F4598" s="78" t="s">
        <v>1697</v>
      </c>
    </row>
    <row r="4599" spans="1:9" ht="18.75" hidden="1">
      <c r="A4599" s="889"/>
      <c r="B4599" s="47" t="s">
        <v>8757</v>
      </c>
      <c r="C4599" s="48"/>
      <c r="F4599" s="78" t="s">
        <v>1697</v>
      </c>
      <c r="G4599" s="68">
        <f>G4597*0.52</f>
        <v>41.184000000000005</v>
      </c>
      <c r="H4599" s="26" t="s">
        <v>6901</v>
      </c>
      <c r="I4599" s="68"/>
    </row>
    <row r="4600" spans="1:9" ht="18.75" hidden="1">
      <c r="A4600" s="889"/>
      <c r="B4600" s="47" t="s">
        <v>8758</v>
      </c>
      <c r="C4600" s="48"/>
      <c r="F4600" s="78" t="s">
        <v>1697</v>
      </c>
      <c r="G4600" s="68">
        <f>G4597*0.28</f>
        <v>22.176000000000002</v>
      </c>
      <c r="H4600" s="26" t="s">
        <v>6901</v>
      </c>
      <c r="I4600" s="68"/>
    </row>
    <row r="4601" spans="1:9" ht="18.75" hidden="1">
      <c r="A4601" s="889"/>
      <c r="B4601" s="47" t="s">
        <v>8759</v>
      </c>
      <c r="C4601" s="48"/>
      <c r="F4601" s="78" t="s">
        <v>1697</v>
      </c>
      <c r="G4601" s="68">
        <f>G4597*0.45</f>
        <v>35.64</v>
      </c>
      <c r="H4601" s="26" t="s">
        <v>6901</v>
      </c>
      <c r="I4601" s="68"/>
    </row>
    <row r="4602" spans="1:9" ht="18.75" hidden="1">
      <c r="A4602" s="891"/>
      <c r="B4602" s="382" t="s">
        <v>8760</v>
      </c>
      <c r="C4602" s="49"/>
      <c r="E4602" s="61"/>
      <c r="F4602" s="62"/>
      <c r="G4602" s="26">
        <f>G4597*300</f>
        <v>23760</v>
      </c>
      <c r="H4602" s="26" t="s">
        <v>3033</v>
      </c>
      <c r="I4602" s="61"/>
    </row>
    <row r="4603" spans="1:9" hidden="1">
      <c r="A4603" s="891"/>
      <c r="B4603" s="382" t="s">
        <v>818</v>
      </c>
      <c r="C4603" s="49"/>
      <c r="D4603" s="61"/>
      <c r="E4603" s="61"/>
      <c r="F4603" s="62" t="s">
        <v>1697</v>
      </c>
      <c r="G4603" s="223">
        <f>G4602*0.4%</f>
        <v>95.04</v>
      </c>
      <c r="H4603" s="61" t="s">
        <v>3478</v>
      </c>
      <c r="I4603" s="61"/>
    </row>
    <row r="4604" spans="1:9" hidden="1">
      <c r="A4604" s="889"/>
      <c r="B4604" s="47" t="s">
        <v>959</v>
      </c>
      <c r="C4604" s="48"/>
      <c r="F4604" s="26" t="s">
        <v>1697</v>
      </c>
      <c r="G4604" s="171" t="s">
        <v>814</v>
      </c>
      <c r="H4604" s="26" t="s">
        <v>1550</v>
      </c>
      <c r="I4604" s="171"/>
    </row>
    <row r="4605" spans="1:9" hidden="1">
      <c r="A4605" s="889"/>
      <c r="B4605" s="47" t="s">
        <v>4310</v>
      </c>
      <c r="C4605" s="48"/>
      <c r="G4605" s="26">
        <f>(120/9)*((3*4)/2)*8</f>
        <v>640</v>
      </c>
      <c r="H4605" s="26" t="s">
        <v>3483</v>
      </c>
    </row>
    <row r="4606" spans="1:9" hidden="1">
      <c r="A4606" s="889"/>
      <c r="B4606" s="47" t="s">
        <v>1611</v>
      </c>
      <c r="C4606" s="48"/>
    </row>
    <row r="4607" spans="1:9" hidden="1">
      <c r="A4607" s="889"/>
      <c r="B4607" s="47" t="s">
        <v>2284</v>
      </c>
      <c r="C4607" s="48"/>
    </row>
    <row r="4608" spans="1:9" hidden="1">
      <c r="A4608" s="889"/>
      <c r="B4608" s="47" t="s">
        <v>4372</v>
      </c>
      <c r="C4608" s="48"/>
    </row>
    <row r="4609" spans="1:9" hidden="1">
      <c r="A4609" s="889"/>
      <c r="B4609" s="47" t="s">
        <v>2366</v>
      </c>
      <c r="C4609" s="362"/>
      <c r="F4609" s="78"/>
      <c r="G4609" s="68"/>
    </row>
    <row r="4610" spans="1:9" hidden="1">
      <c r="A4610" s="889"/>
      <c r="B4610" s="47" t="s">
        <v>1529</v>
      </c>
      <c r="C4610" s="48"/>
      <c r="D4610" s="362">
        <f>'BASIC DATA'!$D$310</f>
        <v>28080</v>
      </c>
      <c r="E4610" s="26" t="s">
        <v>1530</v>
      </c>
      <c r="F4610" s="78" t="s">
        <v>1698</v>
      </c>
      <c r="G4610" s="68">
        <f>D4610</f>
        <v>28080</v>
      </c>
      <c r="I4610" s="68"/>
    </row>
    <row r="4611" spans="1:9" hidden="1">
      <c r="A4611" s="889"/>
      <c r="B4611" s="47" t="s">
        <v>1531</v>
      </c>
      <c r="C4611" s="48"/>
      <c r="F4611" s="78" t="s">
        <v>1697</v>
      </c>
      <c r="G4611" s="68">
        <v>40000</v>
      </c>
    </row>
    <row r="4612" spans="1:9" hidden="1">
      <c r="A4612" s="889"/>
      <c r="B4612" s="47" t="s">
        <v>1532</v>
      </c>
      <c r="C4612" s="368" t="s">
        <v>7593</v>
      </c>
      <c r="F4612" s="78" t="s">
        <v>1698</v>
      </c>
      <c r="G4612" s="75">
        <f>G4610/G4611</f>
        <v>0.70199999999999996</v>
      </c>
    </row>
    <row r="4613" spans="1:9" hidden="1">
      <c r="A4613" s="889"/>
      <c r="B4613" s="47" t="s">
        <v>2708</v>
      </c>
      <c r="C4613" s="368">
        <v>0.25</v>
      </c>
      <c r="F4613" s="78" t="s">
        <v>1698</v>
      </c>
      <c r="G4613" s="75">
        <f>G4612*C4613</f>
        <v>0.17549999999999999</v>
      </c>
      <c r="I4613" s="68"/>
    </row>
    <row r="4614" spans="1:9" hidden="1">
      <c r="A4614" s="889"/>
      <c r="B4614" s="47" t="s">
        <v>2655</v>
      </c>
      <c r="C4614" s="48"/>
      <c r="F4614" s="26" t="s">
        <v>1698</v>
      </c>
      <c r="G4614" s="205">
        <f>SUM(G4612:G4613)</f>
        <v>0.87749999999999995</v>
      </c>
    </row>
    <row r="4615" spans="1:9" hidden="1">
      <c r="A4615" s="847"/>
      <c r="B4615" s="78"/>
      <c r="C4615" s="48"/>
    </row>
    <row r="4616" spans="1:9">
      <c r="A4616" s="847"/>
      <c r="B4616" s="78"/>
      <c r="C4616" s="363"/>
      <c r="E4616" s="171"/>
      <c r="F4616" s="217"/>
      <c r="I4616" s="68"/>
    </row>
    <row r="4617" spans="1:9">
      <c r="A4617" s="889" t="s">
        <v>3984</v>
      </c>
      <c r="B4617" s="27"/>
      <c r="C4617" s="370" t="s">
        <v>2367</v>
      </c>
      <c r="E4617" s="26" t="s">
        <v>297</v>
      </c>
      <c r="F4617" s="170">
        <v>960</v>
      </c>
      <c r="G4617" s="26" t="s">
        <v>3479</v>
      </c>
    </row>
    <row r="4618" spans="1:9">
      <c r="A4618" s="847"/>
      <c r="B4618" s="415" t="s">
        <v>2368</v>
      </c>
      <c r="C4618" s="350"/>
      <c r="D4618" s="95"/>
      <c r="E4618" s="95"/>
      <c r="F4618" s="95"/>
      <c r="G4618" s="95"/>
    </row>
    <row r="4619" spans="1:9">
      <c r="A4619" s="847"/>
      <c r="B4619" s="114" t="s">
        <v>2369</v>
      </c>
      <c r="C4619" s="351" t="s">
        <v>6374</v>
      </c>
      <c r="D4619" s="114" t="s">
        <v>2370</v>
      </c>
      <c r="E4619" s="114" t="s">
        <v>1166</v>
      </c>
      <c r="F4619" s="114" t="s">
        <v>2371</v>
      </c>
      <c r="G4619" s="114" t="s">
        <v>2372</v>
      </c>
    </row>
    <row r="4620" spans="1:9">
      <c r="A4620" s="847"/>
      <c r="B4620" s="95"/>
      <c r="C4620" s="86"/>
      <c r="D4620" s="95"/>
      <c r="E4620" s="220"/>
      <c r="F4620" s="214" t="s">
        <v>3485</v>
      </c>
      <c r="G4620" s="214" t="s">
        <v>3485</v>
      </c>
      <c r="I4620" s="68"/>
    </row>
    <row r="4621" spans="1:9">
      <c r="A4621" s="847"/>
      <c r="B4621" s="105">
        <v>1</v>
      </c>
      <c r="C4621" s="86" t="s">
        <v>7327</v>
      </c>
      <c r="D4621" s="105" t="s">
        <v>3478</v>
      </c>
      <c r="E4621" s="220">
        <f>G4602</f>
        <v>23760</v>
      </c>
      <c r="F4621" s="68">
        <f>'BASIC DATA'!$D$32/1000</f>
        <v>5.35</v>
      </c>
      <c r="G4621" s="179">
        <f t="shared" ref="G4621:G4628" si="60">F4621*E4621</f>
        <v>127115.99999999999</v>
      </c>
    </row>
    <row r="4622" spans="1:9">
      <c r="A4622" s="847"/>
      <c r="B4622" s="105">
        <v>2</v>
      </c>
      <c r="C4622" s="86" t="s">
        <v>6995</v>
      </c>
      <c r="D4622" s="105" t="s">
        <v>3477</v>
      </c>
      <c r="E4622" s="220">
        <f>G4599</f>
        <v>41.184000000000005</v>
      </c>
      <c r="F4622" s="190">
        <f>'BASIC DATA'!$D$35</f>
        <v>1225</v>
      </c>
      <c r="G4622" s="179">
        <f t="shared" si="60"/>
        <v>50450.400000000009</v>
      </c>
      <c r="I4622" s="68"/>
    </row>
    <row r="4623" spans="1:9">
      <c r="A4623" s="847"/>
      <c r="B4623" s="105"/>
      <c r="C4623" s="86" t="s">
        <v>6994</v>
      </c>
      <c r="D4623" s="105" t="s">
        <v>3477</v>
      </c>
      <c r="E4623" s="220">
        <f>G4600</f>
        <v>22.176000000000002</v>
      </c>
      <c r="F4623" s="190">
        <f>'BASIC DATA'!$D$34</f>
        <v>900</v>
      </c>
      <c r="G4623" s="179">
        <f t="shared" si="60"/>
        <v>19958.400000000001</v>
      </c>
      <c r="I4623" s="68"/>
    </row>
    <row r="4624" spans="1:9">
      <c r="A4624" s="848"/>
      <c r="B4624" s="240">
        <v>3</v>
      </c>
      <c r="C4624" s="392" t="s">
        <v>7935</v>
      </c>
      <c r="D4624" s="240" t="s">
        <v>3477</v>
      </c>
      <c r="E4624" s="256">
        <f>G4601</f>
        <v>35.64</v>
      </c>
      <c r="F4624" s="266">
        <f>'BASIC DATA'!$D$55</f>
        <v>95</v>
      </c>
      <c r="G4624" s="281">
        <f t="shared" si="60"/>
        <v>3385.8</v>
      </c>
      <c r="H4624" s="61"/>
      <c r="I4624" s="223"/>
    </row>
    <row r="4625" spans="1:9">
      <c r="A4625" s="848"/>
      <c r="B4625" s="240">
        <v>4</v>
      </c>
      <c r="C4625" s="392" t="s">
        <v>4282</v>
      </c>
      <c r="D4625" s="240" t="s">
        <v>3478</v>
      </c>
      <c r="E4625" s="256">
        <f>G4603</f>
        <v>95.04</v>
      </c>
      <c r="F4625" s="266">
        <f>'BASIC DATA'!$D$99</f>
        <v>55</v>
      </c>
      <c r="G4625" s="281">
        <f t="shared" si="60"/>
        <v>5227.2000000000007</v>
      </c>
      <c r="H4625" s="61"/>
      <c r="I4625" s="61"/>
    </row>
    <row r="4626" spans="1:9">
      <c r="A4626" s="847"/>
      <c r="B4626" s="240">
        <v>5</v>
      </c>
      <c r="C4626" s="392" t="s">
        <v>959</v>
      </c>
      <c r="D4626" s="240" t="s">
        <v>3483</v>
      </c>
      <c r="E4626" s="256">
        <f>G4605</f>
        <v>640</v>
      </c>
      <c r="F4626" s="266">
        <f>'BASIC DATA'!$D$88</f>
        <v>45</v>
      </c>
      <c r="G4626" s="179">
        <f t="shared" si="60"/>
        <v>28800</v>
      </c>
      <c r="H4626" s="61"/>
      <c r="I4626" s="68"/>
    </row>
    <row r="4627" spans="1:9">
      <c r="A4627" s="847"/>
      <c r="B4627" s="237">
        <v>6</v>
      </c>
      <c r="C4627" s="413" t="s">
        <v>4283</v>
      </c>
      <c r="D4627" s="237" t="s">
        <v>3479</v>
      </c>
      <c r="E4627" s="256">
        <f>F4617</f>
        <v>960</v>
      </c>
      <c r="F4627" s="266">
        <f>G4614</f>
        <v>0.87749999999999995</v>
      </c>
      <c r="G4627" s="179">
        <f t="shared" si="60"/>
        <v>842.4</v>
      </c>
      <c r="H4627" s="61"/>
      <c r="I4627" s="68"/>
    </row>
    <row r="4628" spans="1:9">
      <c r="A4628" s="847"/>
      <c r="B4628" s="263">
        <v>7</v>
      </c>
      <c r="C4628" s="142" t="s">
        <v>2373</v>
      </c>
      <c r="D4628" s="309" t="s">
        <v>2173</v>
      </c>
      <c r="E4628" s="256">
        <v>5</v>
      </c>
      <c r="F4628" s="190">
        <f>'BASIC DATA'!$D$359</f>
        <v>30</v>
      </c>
      <c r="G4628" s="179">
        <f t="shared" si="60"/>
        <v>150</v>
      </c>
      <c r="H4628" s="61"/>
    </row>
    <row r="4629" spans="1:9">
      <c r="A4629" s="847"/>
      <c r="B4629" s="39"/>
      <c r="C4629" s="142" t="s">
        <v>2376</v>
      </c>
      <c r="D4629" s="36"/>
      <c r="E4629" s="216"/>
      <c r="F4629" s="235" t="s">
        <v>1698</v>
      </c>
      <c r="G4629" s="354">
        <f>SUM(G4621:G4628)</f>
        <v>235930.19999999998</v>
      </c>
      <c r="I4629" s="68"/>
    </row>
    <row r="4630" spans="1:9">
      <c r="A4630" s="847"/>
      <c r="B4630" s="307"/>
      <c r="C4630" s="416"/>
      <c r="D4630" s="309"/>
      <c r="E4630" s="287"/>
      <c r="F4630" s="287"/>
      <c r="G4630" s="287"/>
      <c r="H4630" s="61"/>
      <c r="I4630" s="321"/>
    </row>
    <row r="4631" spans="1:9">
      <c r="A4631" s="847"/>
      <c r="B4631" s="44" t="s">
        <v>2377</v>
      </c>
      <c r="C4631" s="142"/>
      <c r="D4631" s="36"/>
      <c r="E4631" s="216"/>
      <c r="F4631" s="235"/>
      <c r="G4631" s="235"/>
      <c r="I4631" s="75"/>
    </row>
    <row r="4632" spans="1:9">
      <c r="A4632" s="847"/>
      <c r="B4632" s="153" t="s">
        <v>2369</v>
      </c>
      <c r="C4632" s="418" t="s">
        <v>2378</v>
      </c>
      <c r="D4632" s="95" t="s">
        <v>2370</v>
      </c>
      <c r="E4632" s="212" t="s">
        <v>1166</v>
      </c>
      <c r="F4632" s="212" t="s">
        <v>2371</v>
      </c>
      <c r="G4632" s="212" t="s">
        <v>2372</v>
      </c>
      <c r="I4632" s="75"/>
    </row>
    <row r="4633" spans="1:9">
      <c r="A4633" s="847"/>
      <c r="B4633" s="116"/>
      <c r="C4633" s="113"/>
      <c r="D4633" s="114"/>
      <c r="E4633" s="215"/>
      <c r="F4633" s="215" t="s">
        <v>3485</v>
      </c>
      <c r="G4633" s="215" t="s">
        <v>3485</v>
      </c>
      <c r="I4633" s="75"/>
    </row>
    <row r="4634" spans="1:9">
      <c r="A4634" s="847"/>
      <c r="B4634" s="95">
        <v>1</v>
      </c>
      <c r="C4634" s="137" t="s">
        <v>2135</v>
      </c>
      <c r="D4634" s="105" t="s">
        <v>2374</v>
      </c>
      <c r="E4634" s="419">
        <v>8</v>
      </c>
      <c r="F4634" s="214">
        <f>'HIRE CHARGES'!$D$501</f>
        <v>405.4</v>
      </c>
      <c r="G4634" s="179">
        <f t="shared" ref="G4634:G4650" si="61">F4634*E4634</f>
        <v>3243.2</v>
      </c>
      <c r="I4634" s="321"/>
    </row>
    <row r="4635" spans="1:9">
      <c r="A4635" s="847"/>
      <c r="B4635" s="105"/>
      <c r="C4635" s="137" t="s">
        <v>2335</v>
      </c>
      <c r="D4635" s="105" t="s">
        <v>2374</v>
      </c>
      <c r="E4635" s="419">
        <v>8</v>
      </c>
      <c r="F4635" s="214">
        <f>F4634*5%</f>
        <v>20.27</v>
      </c>
      <c r="G4635" s="179">
        <f t="shared" si="61"/>
        <v>162.16</v>
      </c>
      <c r="I4635" s="321"/>
    </row>
    <row r="4636" spans="1:9">
      <c r="A4636" s="847"/>
      <c r="B4636" s="105">
        <v>2</v>
      </c>
      <c r="C4636" s="137" t="s">
        <v>2336</v>
      </c>
      <c r="D4636" s="105" t="s">
        <v>2374</v>
      </c>
      <c r="E4636" s="419">
        <v>24</v>
      </c>
      <c r="F4636" s="214">
        <f>'HIRE CHARGES'!$D$492</f>
        <v>758.40000000000009</v>
      </c>
      <c r="G4636" s="179">
        <f t="shared" si="61"/>
        <v>18201.600000000002</v>
      </c>
      <c r="I4636" s="321"/>
    </row>
    <row r="4637" spans="1:9">
      <c r="A4637" s="847"/>
      <c r="B4637" s="105"/>
      <c r="C4637" s="137" t="s">
        <v>2379</v>
      </c>
      <c r="D4637" s="105" t="s">
        <v>2374</v>
      </c>
      <c r="E4637" s="419">
        <v>24</v>
      </c>
      <c r="F4637" s="214">
        <f>'HIRE CHARGES'!$E$492</f>
        <v>872.7</v>
      </c>
      <c r="G4637" s="179">
        <f t="shared" si="61"/>
        <v>20944.800000000003</v>
      </c>
      <c r="I4637" s="321"/>
    </row>
    <row r="4638" spans="1:9">
      <c r="A4638" s="847"/>
      <c r="B4638" s="105">
        <v>3</v>
      </c>
      <c r="C4638" s="137" t="s">
        <v>2337</v>
      </c>
      <c r="D4638" s="105" t="s">
        <v>2374</v>
      </c>
      <c r="E4638" s="419">
        <v>8</v>
      </c>
      <c r="F4638" s="214">
        <f>'HIRE CHARGES'!$D$511</f>
        <v>356.5</v>
      </c>
      <c r="G4638" s="179">
        <f t="shared" si="61"/>
        <v>2852</v>
      </c>
      <c r="I4638" s="321"/>
    </row>
    <row r="4639" spans="1:9">
      <c r="A4639" s="848"/>
      <c r="B4639" s="240"/>
      <c r="C4639" s="420" t="s">
        <v>2335</v>
      </c>
      <c r="D4639" s="240" t="s">
        <v>2374</v>
      </c>
      <c r="E4639" s="421">
        <v>8</v>
      </c>
      <c r="F4639" s="266">
        <f>F4638*5%</f>
        <v>17.824999999999999</v>
      </c>
      <c r="G4639" s="281">
        <f t="shared" si="61"/>
        <v>142.6</v>
      </c>
      <c r="H4639" s="61"/>
      <c r="I4639" s="321"/>
    </row>
    <row r="4640" spans="1:9">
      <c r="A4640" s="848"/>
      <c r="B4640" s="240">
        <v>4</v>
      </c>
      <c r="C4640" s="420" t="s">
        <v>2338</v>
      </c>
      <c r="D4640" s="240" t="s">
        <v>2374</v>
      </c>
      <c r="E4640" s="421">
        <v>8</v>
      </c>
      <c r="F4640" s="266">
        <f>'HIRE CHARGES'!$D$515</f>
        <v>85.1</v>
      </c>
      <c r="G4640" s="281">
        <f t="shared" si="61"/>
        <v>680.8</v>
      </c>
      <c r="H4640" s="61"/>
      <c r="I4640" s="321"/>
    </row>
    <row r="4641" spans="1:9">
      <c r="A4641" s="847"/>
      <c r="B4641" s="105"/>
      <c r="C4641" s="137" t="s">
        <v>2379</v>
      </c>
      <c r="D4641" s="105" t="s">
        <v>2374</v>
      </c>
      <c r="E4641" s="419">
        <v>8</v>
      </c>
      <c r="F4641" s="214">
        <f>'HIRE CHARGES'!$E$515</f>
        <v>952.1</v>
      </c>
      <c r="G4641" s="179">
        <f t="shared" si="61"/>
        <v>7616.8</v>
      </c>
      <c r="I4641" s="321"/>
    </row>
    <row r="4642" spans="1:9">
      <c r="A4642" s="847"/>
      <c r="B4642" s="105">
        <v>5</v>
      </c>
      <c r="C4642" s="137" t="s">
        <v>2339</v>
      </c>
      <c r="D4642" s="105" t="s">
        <v>2374</v>
      </c>
      <c r="E4642" s="419">
        <v>8</v>
      </c>
      <c r="F4642" s="214">
        <f>'HIRE CHARGES'!$D$514</f>
        <v>65.8</v>
      </c>
      <c r="G4642" s="179">
        <f t="shared" si="61"/>
        <v>526.4</v>
      </c>
      <c r="I4642" s="321"/>
    </row>
    <row r="4643" spans="1:9">
      <c r="A4643" s="847"/>
      <c r="B4643" s="105"/>
      <c r="C4643" s="137" t="s">
        <v>2379</v>
      </c>
      <c r="D4643" s="105" t="s">
        <v>2374</v>
      </c>
      <c r="E4643" s="419">
        <v>8</v>
      </c>
      <c r="F4643" s="214">
        <f>'HIRE CHARGES'!$E$514</f>
        <v>634.70000000000005</v>
      </c>
      <c r="G4643" s="179">
        <f t="shared" si="61"/>
        <v>5077.6000000000004</v>
      </c>
      <c r="I4643" s="321"/>
    </row>
    <row r="4644" spans="1:9">
      <c r="A4644" s="847"/>
      <c r="B4644" s="105">
        <v>6</v>
      </c>
      <c r="C4644" s="137" t="s">
        <v>2340</v>
      </c>
      <c r="D4644" s="105" t="s">
        <v>2374</v>
      </c>
      <c r="E4644" s="419">
        <v>2</v>
      </c>
      <c r="F4644" s="190">
        <f>'HIRE CHARGES'!$D$542</f>
        <v>1003.1</v>
      </c>
      <c r="G4644" s="179">
        <f t="shared" si="61"/>
        <v>2006.2</v>
      </c>
      <c r="I4644" s="321"/>
    </row>
    <row r="4645" spans="1:9">
      <c r="A4645" s="847"/>
      <c r="B4645" s="240"/>
      <c r="C4645" s="420" t="s">
        <v>2379</v>
      </c>
      <c r="D4645" s="240" t="s">
        <v>2374</v>
      </c>
      <c r="E4645" s="421">
        <v>2</v>
      </c>
      <c r="F4645" s="190">
        <f>'HIRE CHARGES'!$E$542</f>
        <v>476</v>
      </c>
      <c r="G4645" s="179">
        <f t="shared" si="61"/>
        <v>952</v>
      </c>
      <c r="H4645" s="61"/>
      <c r="I4645" s="321"/>
    </row>
    <row r="4646" spans="1:9">
      <c r="A4646" s="847"/>
      <c r="B4646" s="105">
        <v>7</v>
      </c>
      <c r="C4646" s="137" t="s">
        <v>2341</v>
      </c>
      <c r="D4646" s="105" t="s">
        <v>2374</v>
      </c>
      <c r="E4646" s="421">
        <v>8</v>
      </c>
      <c r="F4646" s="214">
        <f>'HIRE CHARGES'!$D$555</f>
        <v>402.5</v>
      </c>
      <c r="G4646" s="179">
        <f t="shared" si="61"/>
        <v>3220</v>
      </c>
      <c r="I4646" s="321"/>
    </row>
    <row r="4647" spans="1:9">
      <c r="A4647" s="847"/>
      <c r="B4647" s="105"/>
      <c r="C4647" s="422" t="s">
        <v>2379</v>
      </c>
      <c r="D4647" s="105" t="s">
        <v>2374</v>
      </c>
      <c r="E4647" s="421">
        <v>8</v>
      </c>
      <c r="F4647" s="214">
        <f>'HIRE CHARGES'!$E$555</f>
        <v>299.89999999999998</v>
      </c>
      <c r="G4647" s="179">
        <f t="shared" si="61"/>
        <v>2399.1999999999998</v>
      </c>
      <c r="I4647" s="321"/>
    </row>
    <row r="4648" spans="1:9" ht="36">
      <c r="A4648" s="847"/>
      <c r="B4648" s="105">
        <v>8</v>
      </c>
      <c r="C4648" s="422" t="s">
        <v>156</v>
      </c>
      <c r="D4648" s="105" t="s">
        <v>2374</v>
      </c>
      <c r="E4648" s="421">
        <v>8</v>
      </c>
      <c r="F4648" s="214">
        <f>'HIRE CHARGES'!$D$517</f>
        <v>10.199999999999999</v>
      </c>
      <c r="G4648" s="179">
        <f t="shared" si="61"/>
        <v>81.599999999999994</v>
      </c>
      <c r="I4648" s="321"/>
    </row>
    <row r="4649" spans="1:9">
      <c r="A4649" s="847"/>
      <c r="B4649" s="105"/>
      <c r="C4649" s="137" t="s">
        <v>2379</v>
      </c>
      <c r="D4649" s="105" t="s">
        <v>2374</v>
      </c>
      <c r="E4649" s="421">
        <v>8</v>
      </c>
      <c r="F4649" s="214">
        <f>'HIRE CHARGES'!$E$517</f>
        <v>79.3</v>
      </c>
      <c r="G4649" s="179">
        <f t="shared" si="61"/>
        <v>634.4</v>
      </c>
      <c r="I4649" s="75"/>
    </row>
    <row r="4650" spans="1:9">
      <c r="A4650" s="847"/>
      <c r="B4650" s="114">
        <v>9</v>
      </c>
      <c r="C4650" s="414" t="s">
        <v>157</v>
      </c>
      <c r="D4650" s="114" t="s">
        <v>2173</v>
      </c>
      <c r="E4650" s="421">
        <v>5</v>
      </c>
      <c r="F4650" s="190">
        <f>'BASIC DATA'!$D$359</f>
        <v>30</v>
      </c>
      <c r="G4650" s="179">
        <f t="shared" si="61"/>
        <v>150</v>
      </c>
      <c r="I4650" s="75"/>
    </row>
    <row r="4651" spans="1:9">
      <c r="A4651" s="847"/>
      <c r="B4651" s="39"/>
      <c r="C4651" s="142" t="s">
        <v>2380</v>
      </c>
      <c r="D4651" s="36"/>
      <c r="E4651" s="369"/>
      <c r="F4651" s="67" t="s">
        <v>1698</v>
      </c>
      <c r="G4651" s="318">
        <f>SUM(G4634:G4650)</f>
        <v>68891.360000000001</v>
      </c>
      <c r="I4651" s="75"/>
    </row>
    <row r="4652" spans="1:9">
      <c r="A4652" s="847"/>
      <c r="B4652" s="89"/>
      <c r="C4652" s="119"/>
      <c r="D4652" s="188"/>
      <c r="E4652" s="173"/>
      <c r="F4652" s="173"/>
      <c r="G4652" s="173"/>
      <c r="I4652" s="31"/>
    </row>
    <row r="4653" spans="1:9">
      <c r="A4653" s="847"/>
      <c r="B4653" s="44" t="s">
        <v>2381</v>
      </c>
      <c r="C4653" s="142"/>
      <c r="D4653" s="36"/>
      <c r="E4653" s="369"/>
      <c r="F4653" s="67"/>
      <c r="G4653" s="67"/>
      <c r="I4653" s="31"/>
    </row>
    <row r="4654" spans="1:9">
      <c r="A4654" s="847"/>
      <c r="B4654" s="39" t="s">
        <v>2369</v>
      </c>
      <c r="C4654" s="63" t="s">
        <v>2378</v>
      </c>
      <c r="D4654" s="36" t="s">
        <v>2370</v>
      </c>
      <c r="E4654" s="67" t="s">
        <v>1166</v>
      </c>
      <c r="F4654" s="67" t="s">
        <v>2371</v>
      </c>
      <c r="G4654" s="67" t="s">
        <v>2372</v>
      </c>
      <c r="I4654" s="31"/>
    </row>
    <row r="4655" spans="1:9">
      <c r="A4655" s="847"/>
      <c r="B4655" s="236"/>
      <c r="C4655" s="63"/>
      <c r="D4655" s="36"/>
      <c r="E4655" s="67"/>
      <c r="F4655" s="67" t="s">
        <v>3485</v>
      </c>
      <c r="G4655" s="67" t="s">
        <v>3485</v>
      </c>
      <c r="I4655" s="31"/>
    </row>
    <row r="4656" spans="1:9">
      <c r="A4656" s="847"/>
      <c r="B4656" s="95">
        <v>1</v>
      </c>
      <c r="C4656" s="137" t="s">
        <v>158</v>
      </c>
      <c r="D4656" s="276" t="s">
        <v>2374</v>
      </c>
      <c r="E4656" s="207">
        <v>8</v>
      </c>
      <c r="F4656" s="190">
        <f>'HIRE CHARGES'!$F$501</f>
        <v>340.6</v>
      </c>
      <c r="G4656" s="190">
        <f t="shared" ref="G4656:G4669" si="62">F4656*E4656</f>
        <v>2724.8</v>
      </c>
      <c r="I4656" s="75"/>
    </row>
    <row r="4657" spans="1:9">
      <c r="A4657" s="847"/>
      <c r="B4657" s="105">
        <v>2</v>
      </c>
      <c r="C4657" s="137" t="s">
        <v>1062</v>
      </c>
      <c r="D4657" s="276" t="s">
        <v>2374</v>
      </c>
      <c r="E4657" s="207">
        <v>24</v>
      </c>
      <c r="F4657" s="214">
        <f>'HIRE CHARGES'!$F$492</f>
        <v>283.89999999999998</v>
      </c>
      <c r="G4657" s="179">
        <f t="shared" si="62"/>
        <v>6813.5999999999995</v>
      </c>
      <c r="I4657" s="75"/>
    </row>
    <row r="4658" spans="1:9">
      <c r="A4658" s="847"/>
      <c r="B4658" s="105">
        <v>3</v>
      </c>
      <c r="C4658" s="137" t="s">
        <v>1063</v>
      </c>
      <c r="D4658" s="276" t="s">
        <v>2374</v>
      </c>
      <c r="E4658" s="207">
        <v>8</v>
      </c>
      <c r="F4658" s="190">
        <f>'HIRE CHARGES'!$F$511</f>
        <v>421.8</v>
      </c>
      <c r="G4658" s="179">
        <f t="shared" si="62"/>
        <v>3374.4</v>
      </c>
      <c r="I4658" s="75"/>
    </row>
    <row r="4659" spans="1:9">
      <c r="A4659" s="847"/>
      <c r="B4659" s="105">
        <v>4</v>
      </c>
      <c r="C4659" s="137" t="s">
        <v>1064</v>
      </c>
      <c r="D4659" s="276" t="s">
        <v>2374</v>
      </c>
      <c r="E4659" s="207">
        <v>16</v>
      </c>
      <c r="F4659" s="214">
        <f>'HIRE CHARGES'!$F$515</f>
        <v>131.80000000000001</v>
      </c>
      <c r="G4659" s="179">
        <f t="shared" si="62"/>
        <v>2108.8000000000002</v>
      </c>
      <c r="I4659" s="75"/>
    </row>
    <row r="4660" spans="1:9">
      <c r="A4660" s="847"/>
      <c r="B4660" s="105">
        <v>5</v>
      </c>
      <c r="C4660" s="137" t="s">
        <v>300</v>
      </c>
      <c r="D4660" s="276" t="s">
        <v>2374</v>
      </c>
      <c r="E4660" s="207">
        <v>2</v>
      </c>
      <c r="F4660" s="190">
        <f>'HIRE CHARGES'!$F$542</f>
        <v>236.6</v>
      </c>
      <c r="G4660" s="179">
        <f t="shared" si="62"/>
        <v>473.2</v>
      </c>
      <c r="I4660" s="75"/>
    </row>
    <row r="4661" spans="1:9">
      <c r="A4661" s="847"/>
      <c r="B4661" s="105">
        <v>6</v>
      </c>
      <c r="C4661" s="137" t="s">
        <v>1000</v>
      </c>
      <c r="D4661" s="105" t="s">
        <v>2374</v>
      </c>
      <c r="E4661" s="190">
        <v>8</v>
      </c>
      <c r="F4661" s="214">
        <f>'HIRE CHARGES'!$F$555</f>
        <v>177.5</v>
      </c>
      <c r="G4661" s="179">
        <f t="shared" si="62"/>
        <v>1420</v>
      </c>
      <c r="I4661" s="75"/>
    </row>
    <row r="4662" spans="1:9">
      <c r="A4662" s="847"/>
      <c r="B4662" s="105">
        <v>7</v>
      </c>
      <c r="C4662" s="137" t="s">
        <v>999</v>
      </c>
      <c r="D4662" s="105" t="s">
        <v>2374</v>
      </c>
      <c r="E4662" s="210">
        <v>16</v>
      </c>
      <c r="F4662" s="190">
        <f>'HIRE CHARGES'!$F$517</f>
        <v>111.1</v>
      </c>
      <c r="G4662" s="179">
        <f t="shared" si="62"/>
        <v>1777.6</v>
      </c>
      <c r="I4662" s="31"/>
    </row>
    <row r="4663" spans="1:9">
      <c r="A4663" s="847"/>
      <c r="B4663" s="105">
        <v>8</v>
      </c>
      <c r="C4663" s="422" t="s">
        <v>5606</v>
      </c>
      <c r="D4663" s="105" t="s">
        <v>1172</v>
      </c>
      <c r="E4663" s="210">
        <v>2</v>
      </c>
      <c r="F4663" s="190">
        <f>'BASIC DATA'!$C$474</f>
        <v>445</v>
      </c>
      <c r="G4663" s="179">
        <f>F4663*E4663</f>
        <v>890</v>
      </c>
      <c r="I4663" s="31"/>
    </row>
    <row r="4664" spans="1:9">
      <c r="A4664" s="847"/>
      <c r="B4664" s="105">
        <v>9</v>
      </c>
      <c r="C4664" s="422" t="s">
        <v>1065</v>
      </c>
      <c r="D4664" s="105" t="s">
        <v>1172</v>
      </c>
      <c r="E4664" s="210">
        <v>1</v>
      </c>
      <c r="F4664" s="190">
        <f>'BASIC DATA'!$C$475</f>
        <v>475</v>
      </c>
      <c r="G4664" s="179">
        <f>F4664*E4664</f>
        <v>475</v>
      </c>
    </row>
    <row r="4665" spans="1:9">
      <c r="A4665" s="847"/>
      <c r="B4665" s="105">
        <v>10</v>
      </c>
      <c r="C4665" s="422" t="s">
        <v>1066</v>
      </c>
      <c r="D4665" s="105" t="s">
        <v>1172</v>
      </c>
      <c r="E4665" s="210">
        <v>1</v>
      </c>
      <c r="F4665" s="214">
        <f>'BASIC DATA'!$C$475</f>
        <v>475</v>
      </c>
      <c r="G4665" s="179">
        <f>F4665*E4665</f>
        <v>475</v>
      </c>
    </row>
    <row r="4666" spans="1:9">
      <c r="A4666" s="847"/>
      <c r="B4666" s="105">
        <v>11</v>
      </c>
      <c r="C4666" s="422" t="s">
        <v>5604</v>
      </c>
      <c r="D4666" s="105" t="s">
        <v>1172</v>
      </c>
      <c r="E4666" s="210">
        <v>1</v>
      </c>
      <c r="F4666" s="68">
        <f>'BASIC DATA'!$C$468</f>
        <v>515</v>
      </c>
      <c r="G4666" s="179">
        <f>F4666*E4666</f>
        <v>515</v>
      </c>
    </row>
    <row r="4667" spans="1:9">
      <c r="A4667" s="847"/>
      <c r="B4667" s="105">
        <v>12</v>
      </c>
      <c r="C4667" s="422" t="s">
        <v>4206</v>
      </c>
      <c r="D4667" s="105" t="s">
        <v>1172</v>
      </c>
      <c r="E4667" s="210">
        <v>2</v>
      </c>
      <c r="F4667" s="190">
        <f>'BASIC DATA'!$C$473</f>
        <v>450</v>
      </c>
      <c r="G4667" s="179">
        <f t="shared" si="62"/>
        <v>900</v>
      </c>
    </row>
    <row r="4668" spans="1:9">
      <c r="A4668" s="847"/>
      <c r="B4668" s="105">
        <v>13</v>
      </c>
      <c r="C4668" s="422" t="s">
        <v>1808</v>
      </c>
      <c r="D4668" s="105" t="s">
        <v>1172</v>
      </c>
      <c r="E4668" s="210">
        <v>5</v>
      </c>
      <c r="F4668" s="190">
        <f>'BASIC DATA'!$C$552</f>
        <v>350</v>
      </c>
      <c r="G4668" s="179">
        <f t="shared" si="62"/>
        <v>1750</v>
      </c>
    </row>
    <row r="4669" spans="1:9">
      <c r="A4669" s="847"/>
      <c r="B4669" s="114">
        <v>14</v>
      </c>
      <c r="C4669" s="422" t="s">
        <v>1809</v>
      </c>
      <c r="D4669" s="105" t="s">
        <v>1172</v>
      </c>
      <c r="E4669" s="210">
        <v>10</v>
      </c>
      <c r="F4669" s="190">
        <f>'BASIC DATA'!$C$552</f>
        <v>350</v>
      </c>
      <c r="G4669" s="179">
        <f t="shared" si="62"/>
        <v>3500</v>
      </c>
    </row>
    <row r="4670" spans="1:9">
      <c r="A4670" s="847"/>
      <c r="B4670" s="92"/>
      <c r="C4670" s="406" t="s">
        <v>1174</v>
      </c>
      <c r="D4670" s="159"/>
      <c r="E4670" s="159"/>
      <c r="F4670" s="159" t="s">
        <v>1698</v>
      </c>
      <c r="G4670" s="282">
        <f>SUM(G4656:G4669)</f>
        <v>27197.399999999998</v>
      </c>
    </row>
    <row r="4671" spans="1:9">
      <c r="A4671" s="847"/>
      <c r="B4671" s="359" t="s">
        <v>5948</v>
      </c>
      <c r="C4671" s="48"/>
      <c r="D4671" s="31"/>
      <c r="E4671" s="85">
        <f>ROUND(G4670/F4617,1)</f>
        <v>28.3</v>
      </c>
    </row>
    <row r="4672" spans="1:9">
      <c r="A4672" s="847"/>
      <c r="B4672" s="359" t="s">
        <v>3163</v>
      </c>
      <c r="C4672" s="48"/>
      <c r="D4672" s="922">
        <f>'BASIC DATA'!$C$577</f>
        <v>0.13614999999999999</v>
      </c>
      <c r="E4672" s="85">
        <f>ROUND(E4671*D4672,1)</f>
        <v>3.9</v>
      </c>
    </row>
    <row r="4673" spans="1:9">
      <c r="A4673" s="847"/>
      <c r="B4673" s="359" t="s">
        <v>5949</v>
      </c>
      <c r="C4673" s="48"/>
      <c r="D4673" s="31"/>
      <c r="E4673" s="199">
        <f>ROUND(E4672+E4671,1)</f>
        <v>32.200000000000003</v>
      </c>
    </row>
    <row r="4674" spans="1:9">
      <c r="A4674" s="847"/>
      <c r="C4674" s="48"/>
    </row>
    <row r="4675" spans="1:9">
      <c r="A4675" s="847"/>
      <c r="B4675" s="162" t="s">
        <v>1175</v>
      </c>
      <c r="C4675" s="48"/>
    </row>
    <row r="4676" spans="1:9">
      <c r="A4676" s="847"/>
      <c r="B4676" s="47" t="s">
        <v>1176</v>
      </c>
      <c r="C4676" s="48"/>
      <c r="F4676" s="26" t="s">
        <v>1698</v>
      </c>
      <c r="G4676" s="68">
        <f>G4629</f>
        <v>235930.19999999998</v>
      </c>
    </row>
    <row r="4677" spans="1:9">
      <c r="A4677" s="847"/>
      <c r="B4677" s="47" t="s">
        <v>1186</v>
      </c>
      <c r="C4677" s="48"/>
      <c r="F4677" s="26" t="s">
        <v>1698</v>
      </c>
      <c r="G4677" s="68">
        <f>G4651</f>
        <v>68891.360000000001</v>
      </c>
    </row>
    <row r="4678" spans="1:9">
      <c r="A4678" s="847"/>
      <c r="B4678" s="47" t="s">
        <v>2660</v>
      </c>
      <c r="C4678" s="48"/>
      <c r="F4678" s="26" t="s">
        <v>1698</v>
      </c>
      <c r="G4678" s="26">
        <f>G4670</f>
        <v>27197.399999999998</v>
      </c>
    </row>
    <row r="4679" spans="1:9">
      <c r="A4679" s="847"/>
      <c r="C4679" s="48"/>
      <c r="F4679" s="26" t="s">
        <v>302</v>
      </c>
      <c r="G4679" s="159">
        <f>SUM(G4676:G4678)</f>
        <v>332018.96000000002</v>
      </c>
    </row>
    <row r="4680" spans="1:9">
      <c r="A4680" s="848"/>
      <c r="B4680" s="382" t="s">
        <v>1067</v>
      </c>
      <c r="C4680" s="49"/>
      <c r="D4680" s="290">
        <f>'BASIC DATA'!$C$580</f>
        <v>0.02</v>
      </c>
      <c r="E4680" s="61"/>
      <c r="F4680" s="61" t="s">
        <v>1068</v>
      </c>
      <c r="G4680" s="61">
        <f>G4679*D4680</f>
        <v>6640.3792000000003</v>
      </c>
      <c r="H4680" s="61"/>
      <c r="I4680" s="61"/>
    </row>
    <row r="4681" spans="1:9">
      <c r="A4681" s="848"/>
      <c r="B4681" s="382" t="s">
        <v>1035</v>
      </c>
      <c r="C4681" s="49"/>
      <c r="D4681" s="423">
        <f>'BASIC DATA'!$C$581</f>
        <v>5.0000000000000001E-3</v>
      </c>
      <c r="E4681" s="61"/>
      <c r="F4681" s="61" t="s">
        <v>1698</v>
      </c>
      <c r="G4681" s="61">
        <f>G4679*D4681</f>
        <v>1660.0948000000001</v>
      </c>
      <c r="H4681" s="61"/>
      <c r="I4681" s="61"/>
    </row>
    <row r="4682" spans="1:9">
      <c r="A4682" s="848"/>
      <c r="B4682" s="382" t="s">
        <v>1036</v>
      </c>
      <c r="C4682" s="49"/>
      <c r="D4682" s="290">
        <f>'BASIC DATA'!$C$582</f>
        <v>0.01</v>
      </c>
      <c r="E4682" s="61"/>
      <c r="F4682" s="61" t="s">
        <v>1698</v>
      </c>
      <c r="G4682" s="61">
        <f>G4679*D4682</f>
        <v>3320.1896000000002</v>
      </c>
      <c r="H4682" s="61"/>
      <c r="I4682" s="61"/>
    </row>
    <row r="4683" spans="1:9">
      <c r="A4683" s="847"/>
      <c r="B4683" s="78"/>
      <c r="C4683" s="48"/>
      <c r="E4683" s="261"/>
      <c r="F4683" s="171" t="s">
        <v>302</v>
      </c>
      <c r="G4683" s="205">
        <f>SUM(G4679:G4682)</f>
        <v>343639.62360000005</v>
      </c>
    </row>
    <row r="4684" spans="1:9">
      <c r="A4684" s="847"/>
      <c r="B4684" s="1207" t="s">
        <v>5888</v>
      </c>
      <c r="C4684" s="1207"/>
      <c r="D4684" s="1207"/>
      <c r="E4684" s="922">
        <f>'BASIC DATA'!$C$577</f>
        <v>0.13614999999999999</v>
      </c>
      <c r="F4684" s="171" t="s">
        <v>1698</v>
      </c>
      <c r="G4684" s="31">
        <f>ROUND(G4683*E4684,2)</f>
        <v>46786.53</v>
      </c>
    </row>
    <row r="4685" spans="1:9">
      <c r="A4685" s="847"/>
      <c r="B4685" s="27" t="s">
        <v>9590</v>
      </c>
      <c r="C4685" s="43"/>
      <c r="D4685" s="779">
        <f>E4624</f>
        <v>35.64</v>
      </c>
      <c r="E4685" s="201" t="s">
        <v>9591</v>
      </c>
      <c r="F4685" s="68" t="str">
        <f>CONCATENATE((leadcharges!$D$65)," ","Rs./Cum")</f>
        <v>31.5 Rs./Cum</v>
      </c>
      <c r="G4685" s="200">
        <f>leadcharges!$D$65*D4685</f>
        <v>1122.6600000000001</v>
      </c>
    </row>
    <row r="4686" spans="1:9">
      <c r="A4686" s="847"/>
      <c r="B4686" s="27" t="s">
        <v>9589</v>
      </c>
      <c r="C4686" s="43"/>
      <c r="D4686" s="779">
        <f>SUM(E4622:E4623)</f>
        <v>63.360000000000007</v>
      </c>
      <c r="E4686" s="201" t="s">
        <v>9591</v>
      </c>
      <c r="F4686" s="68" t="str">
        <f>CONCATENATE((leadcharges!$E$65)," ","Rs./Cum")</f>
        <v>30.4 Rs./Cum</v>
      </c>
      <c r="G4686" s="294">
        <f>leadcharges!$E$65*D4686</f>
        <v>1926.144</v>
      </c>
    </row>
    <row r="4687" spans="1:9" ht="37.5" hidden="1" customHeight="1">
      <c r="A4687" s="847"/>
      <c r="B4687" s="1207"/>
      <c r="C4687" s="1207"/>
      <c r="D4687" s="779"/>
      <c r="E4687" s="201"/>
      <c r="F4687" s="68"/>
      <c r="G4687" s="200"/>
    </row>
    <row r="4688" spans="1:9">
      <c r="A4688" s="847"/>
      <c r="B4688" s="47" t="s">
        <v>1191</v>
      </c>
      <c r="C4688" s="48"/>
      <c r="D4688" s="68">
        <f>F4617</f>
        <v>960</v>
      </c>
      <c r="E4688" s="68" t="str">
        <f>G4617</f>
        <v>sqm</v>
      </c>
      <c r="F4688" s="171" t="s">
        <v>1698</v>
      </c>
      <c r="G4688" s="211">
        <f>SUM(G4683:G4687)</f>
        <v>393474.95760000002</v>
      </c>
    </row>
    <row r="4689" spans="1:9">
      <c r="A4689" s="847"/>
      <c r="B4689" s="79" t="s">
        <v>1584</v>
      </c>
      <c r="C4689" s="404" t="str">
        <f>E4688</f>
        <v>sqm</v>
      </c>
      <c r="D4689" s="26" t="s">
        <v>5887</v>
      </c>
      <c r="F4689" s="171" t="s">
        <v>4108</v>
      </c>
      <c r="G4689" s="211">
        <f>ROUND(G4688/D4688,1)</f>
        <v>409.9</v>
      </c>
    </row>
    <row r="4690" spans="1:9">
      <c r="A4690" s="847"/>
      <c r="B4690" s="78"/>
      <c r="C4690" s="48"/>
    </row>
    <row r="4691" spans="1:9">
      <c r="A4691" s="848"/>
      <c r="B4691" s="62"/>
      <c r="C4691" s="49"/>
      <c r="D4691" s="61"/>
      <c r="E4691" s="61"/>
      <c r="F4691" s="61"/>
      <c r="G4691" s="61"/>
      <c r="H4691" s="61"/>
      <c r="I4691" s="61"/>
    </row>
    <row r="4692" spans="1:9" ht="18.75">
      <c r="A4692" s="841" t="s">
        <v>7474</v>
      </c>
      <c r="B4692" s="382" t="s">
        <v>8761</v>
      </c>
      <c r="C4692" s="49"/>
      <c r="D4692" s="61"/>
      <c r="E4692" s="61"/>
      <c r="F4692" s="61"/>
      <c r="G4692" s="61"/>
      <c r="H4692" s="61"/>
      <c r="I4692" s="61"/>
    </row>
    <row r="4693" spans="1:9" ht="18.75">
      <c r="A4693" s="891"/>
      <c r="B4693" s="382" t="s">
        <v>8751</v>
      </c>
      <c r="C4693" s="49"/>
      <c r="D4693" s="61"/>
      <c r="E4693" s="61"/>
      <c r="F4693" s="61"/>
      <c r="G4693" s="61"/>
      <c r="H4693" s="61"/>
      <c r="I4693" s="61"/>
    </row>
    <row r="4694" spans="1:9" ht="18.75">
      <c r="A4694" s="891"/>
      <c r="B4694" s="382" t="s">
        <v>8752</v>
      </c>
      <c r="C4694" s="49"/>
      <c r="D4694" s="61"/>
      <c r="E4694" s="61"/>
      <c r="F4694" s="61"/>
      <c r="G4694" s="61"/>
      <c r="H4694" s="61"/>
      <c r="I4694" s="61"/>
    </row>
    <row r="4695" spans="1:9">
      <c r="A4695" s="895"/>
      <c r="B4695" s="47" t="s">
        <v>2639</v>
      </c>
      <c r="C4695" s="48"/>
    </row>
    <row r="4696" spans="1:9">
      <c r="A4696" s="889"/>
      <c r="B4696" s="47" t="s">
        <v>3514</v>
      </c>
      <c r="C4696" s="48"/>
      <c r="F4696" s="78"/>
    </row>
    <row r="4697" spans="1:9" ht="18.75">
      <c r="A4697" s="889"/>
      <c r="B4697" s="47" t="s">
        <v>8753</v>
      </c>
      <c r="C4697" s="48"/>
    </row>
    <row r="4698" spans="1:9">
      <c r="A4698" s="889"/>
      <c r="B4698" s="162" t="s">
        <v>7740</v>
      </c>
      <c r="C4698" s="48"/>
    </row>
    <row r="4699" spans="1:9">
      <c r="A4699" s="891"/>
      <c r="B4699" s="588" t="s">
        <v>7737</v>
      </c>
      <c r="C4699" s="49"/>
      <c r="D4699" s="61"/>
      <c r="E4699" s="61"/>
      <c r="F4699" s="61"/>
      <c r="G4699" s="61"/>
      <c r="H4699" s="61"/>
      <c r="I4699" s="61"/>
    </row>
    <row r="4700" spans="1:9">
      <c r="A4700" s="889"/>
      <c r="B4700" s="162" t="s">
        <v>7741</v>
      </c>
      <c r="C4700" s="48"/>
    </row>
    <row r="4701" spans="1:9">
      <c r="A4701" s="889"/>
      <c r="B4701" s="162" t="s">
        <v>7736</v>
      </c>
      <c r="C4701" s="48"/>
    </row>
    <row r="4702" spans="1:9">
      <c r="A4702" s="889"/>
      <c r="C4702" s="48"/>
    </row>
    <row r="4703" spans="1:9" hidden="1">
      <c r="A4703" s="889" t="s">
        <v>3984</v>
      </c>
      <c r="B4703" s="47" t="s">
        <v>1555</v>
      </c>
      <c r="C4703" s="48"/>
      <c r="F4703" s="78" t="s">
        <v>1697</v>
      </c>
      <c r="G4703" s="26">
        <v>80</v>
      </c>
      <c r="H4703" s="26" t="s">
        <v>1548</v>
      </c>
    </row>
    <row r="4704" spans="1:9" hidden="1">
      <c r="A4704" s="889"/>
      <c r="B4704" s="47" t="s">
        <v>1556</v>
      </c>
      <c r="C4704" s="48"/>
      <c r="F4704" s="78"/>
    </row>
    <row r="4705" spans="1:9" ht="18.75" hidden="1">
      <c r="A4705" s="889"/>
      <c r="B4705" s="47" t="s">
        <v>8754</v>
      </c>
      <c r="C4705" s="48"/>
      <c r="F4705" s="78"/>
    </row>
    <row r="4706" spans="1:9" hidden="1">
      <c r="A4706" s="889"/>
      <c r="B4706" s="47" t="s">
        <v>1557</v>
      </c>
      <c r="C4706" s="48"/>
      <c r="F4706" s="78" t="s">
        <v>1697</v>
      </c>
      <c r="G4706" s="26">
        <v>120</v>
      </c>
      <c r="H4706" s="26" t="s">
        <v>3883</v>
      </c>
    </row>
    <row r="4707" spans="1:9" hidden="1">
      <c r="A4707" s="889"/>
      <c r="B4707" s="47" t="s">
        <v>815</v>
      </c>
      <c r="C4707" s="48"/>
      <c r="F4707" s="78" t="s">
        <v>1697</v>
      </c>
      <c r="G4707" s="68">
        <f>G4706*G4703/1000</f>
        <v>9.6</v>
      </c>
      <c r="H4707" s="26" t="s">
        <v>6901</v>
      </c>
    </row>
    <row r="4708" spans="1:9" hidden="1">
      <c r="A4708" s="889"/>
      <c r="B4708" s="47" t="s">
        <v>3906</v>
      </c>
      <c r="C4708" s="48"/>
      <c r="F4708" s="78" t="s">
        <v>1697</v>
      </c>
      <c r="G4708" s="26">
        <f>G4707*10%</f>
        <v>0.96</v>
      </c>
      <c r="H4708" s="26" t="s">
        <v>6901</v>
      </c>
    </row>
    <row r="4709" spans="1:9" hidden="1">
      <c r="A4709" s="889"/>
      <c r="B4709" s="47" t="s">
        <v>1269</v>
      </c>
      <c r="C4709" s="48"/>
      <c r="F4709" s="78" t="s">
        <v>1697</v>
      </c>
      <c r="G4709" s="68">
        <f>SUM(G4707:G4708)</f>
        <v>10.559999999999999</v>
      </c>
      <c r="H4709" s="26" t="s">
        <v>6901</v>
      </c>
    </row>
    <row r="4710" spans="1:9" hidden="1">
      <c r="A4710" s="889"/>
      <c r="B4710" s="47" t="s">
        <v>1650</v>
      </c>
      <c r="C4710" s="48"/>
      <c r="F4710" s="78"/>
    </row>
    <row r="4711" spans="1:9" hidden="1">
      <c r="A4711" s="889"/>
      <c r="B4711" s="47" t="s">
        <v>1651</v>
      </c>
      <c r="C4711" s="48"/>
      <c r="F4711" s="78" t="s">
        <v>1697</v>
      </c>
      <c r="G4711" s="26">
        <f>ROUND(G4709*60/50/0.7,2)</f>
        <v>18.100000000000001</v>
      </c>
      <c r="H4711" s="26" t="s">
        <v>1549</v>
      </c>
    </row>
    <row r="4712" spans="1:9" ht="18.75" hidden="1">
      <c r="A4712" s="889"/>
      <c r="B4712" s="47" t="s">
        <v>8755</v>
      </c>
      <c r="C4712" s="48"/>
    </row>
    <row r="4713" spans="1:9" hidden="1">
      <c r="A4713" s="889"/>
      <c r="B4713" s="47" t="s">
        <v>7987</v>
      </c>
      <c r="C4713" s="48"/>
    </row>
    <row r="4714" spans="1:9" hidden="1">
      <c r="A4714" s="889"/>
      <c r="B4714" s="47" t="s">
        <v>1559</v>
      </c>
      <c r="C4714" s="48"/>
    </row>
    <row r="4715" spans="1:9" hidden="1">
      <c r="A4715" s="889"/>
      <c r="B4715" s="47" t="s">
        <v>1560</v>
      </c>
      <c r="C4715" s="48"/>
      <c r="F4715" s="78" t="s">
        <v>1697</v>
      </c>
      <c r="G4715" s="68">
        <v>3</v>
      </c>
      <c r="H4715" s="26" t="s">
        <v>1433</v>
      </c>
      <c r="I4715" s="62"/>
    </row>
    <row r="4716" spans="1:9" hidden="1">
      <c r="A4716" s="889"/>
      <c r="B4716" s="47" t="s">
        <v>1561</v>
      </c>
      <c r="C4716" s="48"/>
      <c r="F4716" s="78" t="s">
        <v>1697</v>
      </c>
      <c r="G4716" s="68">
        <v>10</v>
      </c>
      <c r="H4716" s="26" t="s">
        <v>1433</v>
      </c>
      <c r="I4716" s="62"/>
    </row>
    <row r="4717" spans="1:9" hidden="1">
      <c r="A4717" s="889"/>
      <c r="B4717" s="47" t="s">
        <v>1562</v>
      </c>
      <c r="C4717" s="48"/>
      <c r="F4717" s="78" t="s">
        <v>1697</v>
      </c>
      <c r="G4717" s="68">
        <v>15</v>
      </c>
      <c r="H4717" s="26" t="s">
        <v>1433</v>
      </c>
      <c r="I4717" s="62"/>
    </row>
    <row r="4718" spans="1:9" hidden="1">
      <c r="A4718" s="889"/>
      <c r="B4718" s="47" t="s">
        <v>1563</v>
      </c>
      <c r="C4718" s="48"/>
      <c r="F4718" s="78" t="s">
        <v>1697</v>
      </c>
      <c r="G4718" s="68">
        <v>3</v>
      </c>
      <c r="H4718" s="26" t="s">
        <v>1433</v>
      </c>
      <c r="I4718" s="62"/>
    </row>
    <row r="4719" spans="1:9" hidden="1">
      <c r="A4719" s="889"/>
      <c r="B4719" s="47" t="s">
        <v>2701</v>
      </c>
      <c r="C4719" s="48"/>
      <c r="F4719" s="78" t="s">
        <v>1697</v>
      </c>
      <c r="G4719" s="68">
        <v>10</v>
      </c>
      <c r="H4719" s="26" t="s">
        <v>1433</v>
      </c>
      <c r="I4719" s="62"/>
    </row>
    <row r="4720" spans="1:9" hidden="1">
      <c r="A4720" s="889"/>
      <c r="B4720" s="47" t="s">
        <v>2702</v>
      </c>
      <c r="C4720" s="48"/>
      <c r="F4720" s="78" t="s">
        <v>1697</v>
      </c>
      <c r="G4720" s="173">
        <v>12</v>
      </c>
      <c r="H4720" s="26" t="s">
        <v>1433</v>
      </c>
      <c r="I4720" s="62"/>
    </row>
    <row r="4721" spans="1:9" hidden="1">
      <c r="A4721" s="889"/>
      <c r="C4721" s="48"/>
      <c r="E4721" s="26" t="s">
        <v>1518</v>
      </c>
      <c r="F4721" s="78" t="s">
        <v>1697</v>
      </c>
      <c r="G4721" s="205">
        <f>SUM(G4715:G4720)</f>
        <v>53</v>
      </c>
      <c r="H4721" s="26" t="s">
        <v>1433</v>
      </c>
      <c r="I4721" s="168"/>
    </row>
    <row r="4722" spans="1:9" hidden="1">
      <c r="A4722" s="889"/>
      <c r="B4722" s="47" t="s">
        <v>2706</v>
      </c>
      <c r="C4722" s="48"/>
      <c r="F4722" s="78" t="s">
        <v>1697</v>
      </c>
      <c r="G4722" s="26">
        <f>ROUND((60/G4721)*4*(50/60),2)</f>
        <v>3.77</v>
      </c>
      <c r="H4722" s="26" t="s">
        <v>6901</v>
      </c>
    </row>
    <row r="4723" spans="1:9" hidden="1">
      <c r="A4723" s="889"/>
      <c r="B4723" s="47" t="s">
        <v>2707</v>
      </c>
      <c r="C4723" s="48"/>
      <c r="F4723" s="78" t="s">
        <v>1697</v>
      </c>
      <c r="G4723" s="68">
        <f>G4709</f>
        <v>10.559999999999999</v>
      </c>
      <c r="H4723" s="26" t="s">
        <v>6901</v>
      </c>
    </row>
    <row r="4724" spans="1:9" hidden="1">
      <c r="A4724" s="889"/>
      <c r="B4724" s="47" t="s">
        <v>1652</v>
      </c>
      <c r="C4724" s="48"/>
      <c r="F4724" s="78" t="s">
        <v>1697</v>
      </c>
      <c r="G4724" s="26">
        <f>ROUND(G4723/G4722,0)</f>
        <v>3</v>
      </c>
      <c r="H4724" s="26" t="s">
        <v>3032</v>
      </c>
    </row>
    <row r="4725" spans="1:9" ht="18.75" hidden="1">
      <c r="A4725" s="889"/>
      <c r="B4725" s="47" t="s">
        <v>8756</v>
      </c>
      <c r="C4725" s="48"/>
    </row>
    <row r="4726" spans="1:9" hidden="1">
      <c r="A4726" s="889"/>
      <c r="B4726" s="47" t="s">
        <v>1255</v>
      </c>
      <c r="C4726" s="48"/>
    </row>
    <row r="4727" spans="1:9" hidden="1">
      <c r="A4727" s="889"/>
      <c r="B4727" s="47" t="s">
        <v>1256</v>
      </c>
      <c r="C4727" s="48"/>
    </row>
    <row r="4728" spans="1:9" hidden="1">
      <c r="A4728" s="889"/>
      <c r="B4728" s="47" t="s">
        <v>1257</v>
      </c>
      <c r="C4728" s="48"/>
    </row>
    <row r="4729" spans="1:9" hidden="1">
      <c r="A4729" s="889"/>
      <c r="B4729" s="47" t="s">
        <v>1258</v>
      </c>
      <c r="C4729" s="48"/>
    </row>
    <row r="4730" spans="1:9" hidden="1">
      <c r="A4730" s="889"/>
      <c r="B4730" s="47" t="s">
        <v>1267</v>
      </c>
      <c r="C4730" s="48"/>
      <c r="F4730" s="78" t="s">
        <v>1697</v>
      </c>
      <c r="G4730" s="26">
        <f>120*8</f>
        <v>960</v>
      </c>
      <c r="H4730" s="26" t="s">
        <v>3883</v>
      </c>
    </row>
    <row r="4731" spans="1:9" hidden="1">
      <c r="A4731" s="889"/>
      <c r="B4731" s="47" t="s">
        <v>1268</v>
      </c>
      <c r="C4731" s="48"/>
      <c r="F4731" s="78" t="s">
        <v>1697</v>
      </c>
      <c r="G4731" s="68">
        <f>G4709*8</f>
        <v>84.47999999999999</v>
      </c>
      <c r="H4731" s="26" t="s">
        <v>6901</v>
      </c>
    </row>
    <row r="4732" spans="1:9" hidden="1">
      <c r="A4732" s="889"/>
      <c r="B4732" s="47" t="s">
        <v>6236</v>
      </c>
      <c r="C4732" s="48"/>
      <c r="F4732" s="78" t="s">
        <v>1697</v>
      </c>
    </row>
    <row r="4733" spans="1:9" ht="18.75" hidden="1">
      <c r="A4733" s="889"/>
      <c r="B4733" s="47" t="s">
        <v>8757</v>
      </c>
      <c r="C4733" s="48"/>
      <c r="F4733" s="78" t="s">
        <v>1697</v>
      </c>
      <c r="G4733" s="68">
        <f>G4731*0.52</f>
        <v>43.929599999999994</v>
      </c>
      <c r="H4733" s="26" t="s">
        <v>6901</v>
      </c>
      <c r="I4733" s="68"/>
    </row>
    <row r="4734" spans="1:9" ht="18.75" hidden="1">
      <c r="A4734" s="889"/>
      <c r="B4734" s="47" t="s">
        <v>8762</v>
      </c>
      <c r="C4734" s="48"/>
      <c r="F4734" s="78" t="s">
        <v>1697</v>
      </c>
      <c r="G4734" s="68">
        <f>G4731*0.28</f>
        <v>23.654399999999999</v>
      </c>
      <c r="H4734" s="26" t="s">
        <v>6901</v>
      </c>
      <c r="I4734" s="68"/>
    </row>
    <row r="4735" spans="1:9" ht="18.75" hidden="1">
      <c r="A4735" s="889"/>
      <c r="B4735" s="47" t="s">
        <v>8759</v>
      </c>
      <c r="C4735" s="48"/>
      <c r="F4735" s="78" t="s">
        <v>1697</v>
      </c>
      <c r="G4735" s="68">
        <f>G4731*0.45</f>
        <v>38.015999999999998</v>
      </c>
      <c r="H4735" s="26" t="s">
        <v>6901</v>
      </c>
      <c r="I4735" s="68"/>
    </row>
    <row r="4736" spans="1:9" ht="18.75" hidden="1">
      <c r="A4736" s="891"/>
      <c r="B4736" s="382" t="s">
        <v>8760</v>
      </c>
      <c r="C4736" s="48"/>
      <c r="D4736" s="61"/>
      <c r="E4736" s="61"/>
      <c r="F4736" s="62"/>
      <c r="G4736" s="26">
        <f>G4731*300</f>
        <v>25343.999999999996</v>
      </c>
      <c r="H4736" s="26" t="s">
        <v>3033</v>
      </c>
      <c r="I4736" s="61"/>
    </row>
    <row r="4737" spans="1:9" hidden="1">
      <c r="A4737" s="891"/>
      <c r="B4737" s="382" t="s">
        <v>818</v>
      </c>
      <c r="C4737" s="49"/>
      <c r="D4737" s="61"/>
      <c r="E4737" s="61"/>
      <c r="F4737" s="62" t="s">
        <v>1697</v>
      </c>
      <c r="G4737" s="223">
        <f>G4736*0.4%</f>
        <v>101.37599999999999</v>
      </c>
      <c r="H4737" s="61" t="s">
        <v>3478</v>
      </c>
      <c r="I4737" s="61"/>
    </row>
    <row r="4738" spans="1:9" hidden="1">
      <c r="A4738" s="889"/>
      <c r="B4738" s="47" t="s">
        <v>959</v>
      </c>
      <c r="C4738" s="48"/>
      <c r="F4738" s="26" t="s">
        <v>1697</v>
      </c>
      <c r="G4738" s="171" t="s">
        <v>814</v>
      </c>
      <c r="H4738" s="26" t="s">
        <v>1550</v>
      </c>
      <c r="I4738" s="171"/>
    </row>
    <row r="4739" spans="1:9" hidden="1">
      <c r="A4739" s="889"/>
      <c r="B4739" s="47" t="s">
        <v>4310</v>
      </c>
      <c r="C4739" s="48"/>
      <c r="G4739" s="26">
        <f>(120/9)*((3*4)/2)*8</f>
        <v>640</v>
      </c>
      <c r="H4739" s="26" t="s">
        <v>3483</v>
      </c>
    </row>
    <row r="4740" spans="1:9" hidden="1">
      <c r="A4740" s="889"/>
      <c r="B4740" s="47" t="s">
        <v>1611</v>
      </c>
      <c r="C4740" s="48"/>
    </row>
    <row r="4741" spans="1:9" hidden="1">
      <c r="A4741" s="889"/>
      <c r="B4741" s="47" t="s">
        <v>2284</v>
      </c>
      <c r="C4741" s="48"/>
    </row>
    <row r="4742" spans="1:9" hidden="1">
      <c r="A4742" s="889"/>
      <c r="B4742" s="47" t="s">
        <v>4372</v>
      </c>
      <c r="C4742" s="48"/>
    </row>
    <row r="4743" spans="1:9" hidden="1">
      <c r="A4743" s="889"/>
      <c r="B4743" s="47" t="s">
        <v>2366</v>
      </c>
      <c r="C4743" s="48"/>
      <c r="D4743" s="68"/>
      <c r="F4743" s="78"/>
      <c r="G4743" s="68"/>
    </row>
    <row r="4744" spans="1:9" hidden="1">
      <c r="A4744" s="889"/>
      <c r="B4744" s="47" t="s">
        <v>1529</v>
      </c>
      <c r="C4744" s="48"/>
      <c r="D4744" s="68">
        <f>'BASIC DATA'!$D$310</f>
        <v>28080</v>
      </c>
      <c r="E4744" s="26" t="s">
        <v>1530</v>
      </c>
      <c r="F4744" s="78" t="s">
        <v>1698</v>
      </c>
      <c r="G4744" s="68">
        <f>D4744</f>
        <v>28080</v>
      </c>
      <c r="I4744" s="68"/>
    </row>
    <row r="4745" spans="1:9" hidden="1">
      <c r="A4745" s="889"/>
      <c r="B4745" s="47" t="s">
        <v>1531</v>
      </c>
      <c r="C4745" s="48"/>
      <c r="F4745" s="78" t="s">
        <v>1697</v>
      </c>
      <c r="G4745" s="68">
        <v>40000</v>
      </c>
    </row>
    <row r="4746" spans="1:9" hidden="1">
      <c r="A4746" s="889"/>
      <c r="B4746" s="47" t="s">
        <v>1532</v>
      </c>
      <c r="C4746" s="48"/>
      <c r="D4746" s="201" t="s">
        <v>7593</v>
      </c>
      <c r="F4746" s="78" t="s">
        <v>1698</v>
      </c>
      <c r="G4746" s="75">
        <f>G4744/G4745</f>
        <v>0.70199999999999996</v>
      </c>
    </row>
    <row r="4747" spans="1:9" hidden="1">
      <c r="A4747" s="889"/>
      <c r="B4747" s="47" t="s">
        <v>2708</v>
      </c>
      <c r="C4747" s="48"/>
      <c r="D4747" s="201">
        <v>0.25</v>
      </c>
      <c r="F4747" s="78" t="s">
        <v>1698</v>
      </c>
      <c r="G4747" s="75">
        <f>G4746*D4747</f>
        <v>0.17549999999999999</v>
      </c>
      <c r="I4747" s="68"/>
    </row>
    <row r="4748" spans="1:9" hidden="1">
      <c r="A4748" s="889"/>
      <c r="B4748" s="47" t="s">
        <v>2655</v>
      </c>
      <c r="C4748" s="48"/>
      <c r="F4748" s="26" t="s">
        <v>1698</v>
      </c>
      <c r="G4748" s="205">
        <f>SUM(G4746:G4747)</f>
        <v>0.87749999999999995</v>
      </c>
    </row>
    <row r="4749" spans="1:9" hidden="1">
      <c r="A4749" s="847"/>
      <c r="B4749" s="78"/>
      <c r="C4749" s="48"/>
    </row>
    <row r="4750" spans="1:9">
      <c r="A4750" s="847"/>
      <c r="B4750" s="78"/>
      <c r="C4750" s="363"/>
      <c r="E4750" s="171"/>
      <c r="F4750" s="217"/>
      <c r="I4750" s="68"/>
    </row>
    <row r="4751" spans="1:9">
      <c r="A4751" s="889" t="s">
        <v>3984</v>
      </c>
      <c r="B4751" s="27"/>
      <c r="C4751" s="370" t="s">
        <v>2367</v>
      </c>
      <c r="E4751" s="26" t="s">
        <v>297</v>
      </c>
      <c r="F4751" s="170">
        <v>960</v>
      </c>
      <c r="G4751" s="26" t="s">
        <v>3479</v>
      </c>
    </row>
    <row r="4752" spans="1:9">
      <c r="A4752" s="847"/>
      <c r="B4752" s="415" t="s">
        <v>2368</v>
      </c>
      <c r="C4752" s="350"/>
      <c r="D4752" s="95"/>
      <c r="E4752" s="95"/>
      <c r="F4752" s="95"/>
      <c r="G4752" s="95"/>
    </row>
    <row r="4753" spans="1:9">
      <c r="A4753" s="847"/>
      <c r="B4753" s="114" t="s">
        <v>2369</v>
      </c>
      <c r="C4753" s="351" t="s">
        <v>6374</v>
      </c>
      <c r="D4753" s="114" t="s">
        <v>2370</v>
      </c>
      <c r="E4753" s="114" t="s">
        <v>1166</v>
      </c>
      <c r="F4753" s="114" t="s">
        <v>2371</v>
      </c>
      <c r="G4753" s="114" t="s">
        <v>2372</v>
      </c>
    </row>
    <row r="4754" spans="1:9">
      <c r="A4754" s="847"/>
      <c r="B4754" s="153"/>
      <c r="C4754" s="86"/>
      <c r="D4754" s="95"/>
      <c r="E4754" s="220"/>
      <c r="F4754" s="214" t="s">
        <v>3485</v>
      </c>
      <c r="G4754" s="214" t="s">
        <v>3485</v>
      </c>
      <c r="I4754" s="68"/>
    </row>
    <row r="4755" spans="1:9">
      <c r="A4755" s="847"/>
      <c r="B4755" s="105">
        <v>1</v>
      </c>
      <c r="C4755" s="86" t="s">
        <v>7327</v>
      </c>
      <c r="D4755" s="105" t="s">
        <v>3478</v>
      </c>
      <c r="E4755" s="220">
        <f>G4736</f>
        <v>25343.999999999996</v>
      </c>
      <c r="F4755" s="68">
        <f>'BASIC DATA'!$D$32/1000</f>
        <v>5.35</v>
      </c>
      <c r="G4755" s="179">
        <f t="shared" ref="G4755:G4762" si="63">F4755*E4755</f>
        <v>135590.39999999997</v>
      </c>
    </row>
    <row r="4756" spans="1:9">
      <c r="A4756" s="847"/>
      <c r="B4756" s="105">
        <v>2</v>
      </c>
      <c r="C4756" s="86" t="s">
        <v>6995</v>
      </c>
      <c r="D4756" s="105" t="s">
        <v>3477</v>
      </c>
      <c r="E4756" s="220">
        <f>G4733</f>
        <v>43.929599999999994</v>
      </c>
      <c r="F4756" s="190">
        <f>'BASIC DATA'!$D$35</f>
        <v>1225</v>
      </c>
      <c r="G4756" s="179">
        <f t="shared" si="63"/>
        <v>53813.759999999995</v>
      </c>
      <c r="I4756" s="68"/>
    </row>
    <row r="4757" spans="1:9">
      <c r="A4757" s="847"/>
      <c r="B4757" s="105"/>
      <c r="C4757" s="86" t="s">
        <v>6994</v>
      </c>
      <c r="D4757" s="105" t="s">
        <v>3477</v>
      </c>
      <c r="E4757" s="220">
        <f>G4734</f>
        <v>23.654399999999999</v>
      </c>
      <c r="F4757" s="190">
        <f>'BASIC DATA'!$D$34</f>
        <v>900</v>
      </c>
      <c r="G4757" s="179">
        <f t="shared" si="63"/>
        <v>21288.959999999999</v>
      </c>
      <c r="I4757" s="68"/>
    </row>
    <row r="4758" spans="1:9">
      <c r="A4758" s="848"/>
      <c r="B4758" s="240">
        <v>3</v>
      </c>
      <c r="C4758" s="392" t="s">
        <v>7935</v>
      </c>
      <c r="D4758" s="240" t="s">
        <v>3477</v>
      </c>
      <c r="E4758" s="256">
        <f>G4735</f>
        <v>38.015999999999998</v>
      </c>
      <c r="F4758" s="266">
        <f>'BASIC DATA'!$D$55</f>
        <v>95</v>
      </c>
      <c r="G4758" s="281">
        <f t="shared" si="63"/>
        <v>3611.52</v>
      </c>
      <c r="H4758" s="61"/>
      <c r="I4758" s="223"/>
    </row>
    <row r="4759" spans="1:9">
      <c r="A4759" s="848"/>
      <c r="B4759" s="240">
        <v>4</v>
      </c>
      <c r="C4759" s="392" t="s">
        <v>4282</v>
      </c>
      <c r="D4759" s="240" t="s">
        <v>3478</v>
      </c>
      <c r="E4759" s="256">
        <f>G4737</f>
        <v>101.37599999999999</v>
      </c>
      <c r="F4759" s="266">
        <f>'BASIC DATA'!$D$99</f>
        <v>55</v>
      </c>
      <c r="G4759" s="281">
        <f t="shared" si="63"/>
        <v>5575.6799999999994</v>
      </c>
      <c r="H4759" s="61"/>
      <c r="I4759" s="61"/>
    </row>
    <row r="4760" spans="1:9">
      <c r="A4760" s="847"/>
      <c r="B4760" s="240">
        <v>5</v>
      </c>
      <c r="C4760" s="392" t="s">
        <v>959</v>
      </c>
      <c r="D4760" s="240" t="s">
        <v>3483</v>
      </c>
      <c r="E4760" s="256">
        <f>G4739</f>
        <v>640</v>
      </c>
      <c r="F4760" s="266">
        <f>'BASIC DATA'!$D$88</f>
        <v>45</v>
      </c>
      <c r="G4760" s="179">
        <f t="shared" si="63"/>
        <v>28800</v>
      </c>
      <c r="H4760" s="61"/>
      <c r="I4760" s="68"/>
    </row>
    <row r="4761" spans="1:9">
      <c r="A4761" s="847"/>
      <c r="B4761" s="237">
        <v>6</v>
      </c>
      <c r="C4761" s="413" t="s">
        <v>4283</v>
      </c>
      <c r="D4761" s="237" t="s">
        <v>3479</v>
      </c>
      <c r="E4761" s="256">
        <f>F4751</f>
        <v>960</v>
      </c>
      <c r="F4761" s="266">
        <f>G4748</f>
        <v>0.87749999999999995</v>
      </c>
      <c r="G4761" s="179">
        <f t="shared" si="63"/>
        <v>842.4</v>
      </c>
      <c r="H4761" s="61"/>
      <c r="I4761" s="68"/>
    </row>
    <row r="4762" spans="1:9">
      <c r="A4762" s="847"/>
      <c r="B4762" s="263">
        <v>7</v>
      </c>
      <c r="C4762" s="142" t="s">
        <v>2373</v>
      </c>
      <c r="D4762" s="309" t="s">
        <v>2173</v>
      </c>
      <c r="E4762" s="256">
        <v>5</v>
      </c>
      <c r="F4762" s="190">
        <f>'BASIC DATA'!$D$359</f>
        <v>30</v>
      </c>
      <c r="G4762" s="179">
        <f t="shared" si="63"/>
        <v>150</v>
      </c>
      <c r="H4762" s="61"/>
    </row>
    <row r="4763" spans="1:9">
      <c r="A4763" s="847"/>
      <c r="B4763" s="39"/>
      <c r="C4763" s="142" t="s">
        <v>2376</v>
      </c>
      <c r="D4763" s="36"/>
      <c r="E4763" s="216"/>
      <c r="F4763" s="235" t="s">
        <v>1698</v>
      </c>
      <c r="G4763" s="354">
        <f>SUM(G4755:G4762)</f>
        <v>249672.71999999994</v>
      </c>
      <c r="I4763" s="68"/>
    </row>
    <row r="4764" spans="1:9">
      <c r="A4764" s="847"/>
      <c r="B4764" s="307"/>
      <c r="C4764" s="416"/>
      <c r="D4764" s="309"/>
      <c r="E4764" s="287"/>
      <c r="F4764" s="287"/>
      <c r="G4764" s="287"/>
      <c r="H4764" s="61"/>
      <c r="I4764" s="321"/>
    </row>
    <row r="4765" spans="1:9">
      <c r="A4765" s="847"/>
      <c r="B4765" s="44" t="s">
        <v>2377</v>
      </c>
      <c r="C4765" s="142"/>
      <c r="D4765" s="36"/>
      <c r="E4765" s="216"/>
      <c r="F4765" s="235"/>
      <c r="G4765" s="235"/>
      <c r="I4765" s="75"/>
    </row>
    <row r="4766" spans="1:9">
      <c r="A4766" s="847"/>
      <c r="B4766" s="153" t="s">
        <v>2369</v>
      </c>
      <c r="C4766" s="418" t="s">
        <v>2378</v>
      </c>
      <c r="D4766" s="95" t="s">
        <v>2370</v>
      </c>
      <c r="E4766" s="212" t="s">
        <v>1166</v>
      </c>
      <c r="F4766" s="212" t="s">
        <v>2371</v>
      </c>
      <c r="G4766" s="212" t="s">
        <v>2372</v>
      </c>
      <c r="I4766" s="75"/>
    </row>
    <row r="4767" spans="1:9">
      <c r="A4767" s="847"/>
      <c r="B4767" s="116"/>
      <c r="C4767" s="113"/>
      <c r="D4767" s="114"/>
      <c r="E4767" s="215"/>
      <c r="F4767" s="215" t="s">
        <v>3485</v>
      </c>
      <c r="G4767" s="215" t="s">
        <v>3485</v>
      </c>
      <c r="I4767" s="75"/>
    </row>
    <row r="4768" spans="1:9">
      <c r="A4768" s="847"/>
      <c r="B4768" s="95">
        <v>1</v>
      </c>
      <c r="C4768" s="137" t="s">
        <v>2135</v>
      </c>
      <c r="D4768" s="105" t="s">
        <v>2374</v>
      </c>
      <c r="E4768" s="419">
        <v>8</v>
      </c>
      <c r="F4768" s="214">
        <f>'HIRE CHARGES'!$D$501</f>
        <v>405.4</v>
      </c>
      <c r="G4768" s="179">
        <f t="shared" ref="G4768:G4784" si="64">F4768*E4768</f>
        <v>3243.2</v>
      </c>
      <c r="I4768" s="321"/>
    </row>
    <row r="4769" spans="1:9">
      <c r="A4769" s="847"/>
      <c r="B4769" s="105"/>
      <c r="C4769" s="137" t="s">
        <v>2335</v>
      </c>
      <c r="D4769" s="105" t="s">
        <v>2374</v>
      </c>
      <c r="E4769" s="419">
        <v>8</v>
      </c>
      <c r="F4769" s="214">
        <f>F4768*5%</f>
        <v>20.27</v>
      </c>
      <c r="G4769" s="179">
        <f t="shared" si="64"/>
        <v>162.16</v>
      </c>
      <c r="I4769" s="321"/>
    </row>
    <row r="4770" spans="1:9">
      <c r="A4770" s="847"/>
      <c r="B4770" s="105">
        <v>2</v>
      </c>
      <c r="C4770" s="137" t="s">
        <v>2336</v>
      </c>
      <c r="D4770" s="105" t="s">
        <v>2374</v>
      </c>
      <c r="E4770" s="419">
        <v>24</v>
      </c>
      <c r="F4770" s="214">
        <f>'HIRE CHARGES'!$D$492</f>
        <v>758.40000000000009</v>
      </c>
      <c r="G4770" s="179">
        <f t="shared" si="64"/>
        <v>18201.600000000002</v>
      </c>
      <c r="I4770" s="321"/>
    </row>
    <row r="4771" spans="1:9">
      <c r="A4771" s="847"/>
      <c r="B4771" s="105"/>
      <c r="C4771" s="137" t="s">
        <v>2379</v>
      </c>
      <c r="D4771" s="105" t="s">
        <v>2374</v>
      </c>
      <c r="E4771" s="419">
        <v>24</v>
      </c>
      <c r="F4771" s="214">
        <f>'HIRE CHARGES'!$E$492</f>
        <v>872.7</v>
      </c>
      <c r="G4771" s="179">
        <f t="shared" si="64"/>
        <v>20944.800000000003</v>
      </c>
      <c r="I4771" s="321"/>
    </row>
    <row r="4772" spans="1:9">
      <c r="A4772" s="847"/>
      <c r="B4772" s="105">
        <v>3</v>
      </c>
      <c r="C4772" s="137" t="s">
        <v>2337</v>
      </c>
      <c r="D4772" s="105" t="s">
        <v>2374</v>
      </c>
      <c r="E4772" s="419">
        <v>8</v>
      </c>
      <c r="F4772" s="214">
        <f>'HIRE CHARGES'!$D$511</f>
        <v>356.5</v>
      </c>
      <c r="G4772" s="179">
        <f t="shared" si="64"/>
        <v>2852</v>
      </c>
      <c r="I4772" s="321"/>
    </row>
    <row r="4773" spans="1:9">
      <c r="A4773" s="848"/>
      <c r="B4773" s="240"/>
      <c r="C4773" s="420" t="s">
        <v>2335</v>
      </c>
      <c r="D4773" s="240" t="s">
        <v>2374</v>
      </c>
      <c r="E4773" s="421">
        <v>8</v>
      </c>
      <c r="F4773" s="266">
        <f>F4772*5%</f>
        <v>17.824999999999999</v>
      </c>
      <c r="G4773" s="281">
        <f t="shared" si="64"/>
        <v>142.6</v>
      </c>
      <c r="H4773" s="61"/>
      <c r="I4773" s="321"/>
    </row>
    <row r="4774" spans="1:9">
      <c r="A4774" s="848"/>
      <c r="B4774" s="240">
        <v>4</v>
      </c>
      <c r="C4774" s="420" t="s">
        <v>2338</v>
      </c>
      <c r="D4774" s="240" t="s">
        <v>2374</v>
      </c>
      <c r="E4774" s="421">
        <v>8</v>
      </c>
      <c r="F4774" s="266">
        <f>'HIRE CHARGES'!$D$515</f>
        <v>85.1</v>
      </c>
      <c r="G4774" s="281">
        <f t="shared" si="64"/>
        <v>680.8</v>
      </c>
      <c r="H4774" s="61"/>
      <c r="I4774" s="321"/>
    </row>
    <row r="4775" spans="1:9">
      <c r="A4775" s="847"/>
      <c r="B4775" s="105"/>
      <c r="C4775" s="137" t="s">
        <v>2379</v>
      </c>
      <c r="D4775" s="105" t="s">
        <v>2374</v>
      </c>
      <c r="E4775" s="419">
        <v>8</v>
      </c>
      <c r="F4775" s="214">
        <f>'HIRE CHARGES'!$E$515</f>
        <v>952.1</v>
      </c>
      <c r="G4775" s="179">
        <f t="shared" si="64"/>
        <v>7616.8</v>
      </c>
      <c r="I4775" s="321"/>
    </row>
    <row r="4776" spans="1:9">
      <c r="A4776" s="847"/>
      <c r="B4776" s="105">
        <v>5</v>
      </c>
      <c r="C4776" s="137" t="s">
        <v>2339</v>
      </c>
      <c r="D4776" s="105" t="s">
        <v>2374</v>
      </c>
      <c r="E4776" s="419">
        <v>8</v>
      </c>
      <c r="F4776" s="214">
        <f>'HIRE CHARGES'!$D$514</f>
        <v>65.8</v>
      </c>
      <c r="G4776" s="179">
        <f t="shared" si="64"/>
        <v>526.4</v>
      </c>
      <c r="I4776" s="321"/>
    </row>
    <row r="4777" spans="1:9">
      <c r="A4777" s="847"/>
      <c r="B4777" s="105"/>
      <c r="C4777" s="137" t="s">
        <v>2379</v>
      </c>
      <c r="D4777" s="105" t="s">
        <v>2374</v>
      </c>
      <c r="E4777" s="419">
        <v>8</v>
      </c>
      <c r="F4777" s="214">
        <f>'HIRE CHARGES'!$E$514</f>
        <v>634.70000000000005</v>
      </c>
      <c r="G4777" s="179">
        <f t="shared" si="64"/>
        <v>5077.6000000000004</v>
      </c>
      <c r="I4777" s="321"/>
    </row>
    <row r="4778" spans="1:9">
      <c r="A4778" s="847"/>
      <c r="B4778" s="105">
        <v>6</v>
      </c>
      <c r="C4778" s="137" t="s">
        <v>2340</v>
      </c>
      <c r="D4778" s="105" t="s">
        <v>2374</v>
      </c>
      <c r="E4778" s="419">
        <v>2</v>
      </c>
      <c r="F4778" s="190">
        <f>'HIRE CHARGES'!$D$542</f>
        <v>1003.1</v>
      </c>
      <c r="G4778" s="179">
        <f t="shared" si="64"/>
        <v>2006.2</v>
      </c>
      <c r="I4778" s="321"/>
    </row>
    <row r="4779" spans="1:9">
      <c r="A4779" s="847"/>
      <c r="B4779" s="240"/>
      <c r="C4779" s="420" t="s">
        <v>2379</v>
      </c>
      <c r="D4779" s="240" t="s">
        <v>2374</v>
      </c>
      <c r="E4779" s="421">
        <v>2</v>
      </c>
      <c r="F4779" s="190">
        <f>'HIRE CHARGES'!$E$542</f>
        <v>476</v>
      </c>
      <c r="G4779" s="179">
        <f t="shared" si="64"/>
        <v>952</v>
      </c>
      <c r="H4779" s="61"/>
      <c r="I4779" s="321"/>
    </row>
    <row r="4780" spans="1:9">
      <c r="A4780" s="847"/>
      <c r="B4780" s="105">
        <v>7</v>
      </c>
      <c r="C4780" s="137" t="s">
        <v>2341</v>
      </c>
      <c r="D4780" s="105" t="s">
        <v>2374</v>
      </c>
      <c r="E4780" s="421">
        <v>8</v>
      </c>
      <c r="F4780" s="214">
        <f>'HIRE CHARGES'!$D$555</f>
        <v>402.5</v>
      </c>
      <c r="G4780" s="179">
        <f t="shared" si="64"/>
        <v>3220</v>
      </c>
      <c r="I4780" s="321"/>
    </row>
    <row r="4781" spans="1:9">
      <c r="A4781" s="847"/>
      <c r="B4781" s="105"/>
      <c r="C4781" s="422" t="s">
        <v>2379</v>
      </c>
      <c r="D4781" s="105" t="s">
        <v>2374</v>
      </c>
      <c r="E4781" s="421">
        <v>8</v>
      </c>
      <c r="F4781" s="214">
        <f>'HIRE CHARGES'!$E$555</f>
        <v>299.89999999999998</v>
      </c>
      <c r="G4781" s="179">
        <f t="shared" si="64"/>
        <v>2399.1999999999998</v>
      </c>
      <c r="I4781" s="321"/>
    </row>
    <row r="4782" spans="1:9" ht="36">
      <c r="A4782" s="847"/>
      <c r="B4782" s="105">
        <v>8</v>
      </c>
      <c r="C4782" s="422" t="s">
        <v>156</v>
      </c>
      <c r="D4782" s="105" t="s">
        <v>2374</v>
      </c>
      <c r="E4782" s="421">
        <v>8</v>
      </c>
      <c r="F4782" s="214">
        <f>'HIRE CHARGES'!$D$517</f>
        <v>10.199999999999999</v>
      </c>
      <c r="G4782" s="179">
        <f t="shared" si="64"/>
        <v>81.599999999999994</v>
      </c>
      <c r="I4782" s="321"/>
    </row>
    <row r="4783" spans="1:9">
      <c r="A4783" s="847"/>
      <c r="B4783" s="105"/>
      <c r="C4783" s="137" t="s">
        <v>2379</v>
      </c>
      <c r="D4783" s="105" t="s">
        <v>2374</v>
      </c>
      <c r="E4783" s="421">
        <v>8</v>
      </c>
      <c r="F4783" s="214">
        <f>'HIRE CHARGES'!$E$517</f>
        <v>79.3</v>
      </c>
      <c r="G4783" s="179">
        <f t="shared" si="64"/>
        <v>634.4</v>
      </c>
      <c r="I4783" s="75"/>
    </row>
    <row r="4784" spans="1:9">
      <c r="A4784" s="847"/>
      <c r="B4784" s="105">
        <v>9</v>
      </c>
      <c r="C4784" s="414" t="s">
        <v>157</v>
      </c>
      <c r="D4784" s="114" t="s">
        <v>2173</v>
      </c>
      <c r="E4784" s="421">
        <v>5</v>
      </c>
      <c r="F4784" s="190">
        <f>'BASIC DATA'!$D$359</f>
        <v>30</v>
      </c>
      <c r="G4784" s="179">
        <f t="shared" si="64"/>
        <v>150</v>
      </c>
      <c r="I4784" s="75"/>
    </row>
    <row r="4785" spans="1:9">
      <c r="A4785" s="847"/>
      <c r="B4785" s="39"/>
      <c r="C4785" s="142" t="s">
        <v>2380</v>
      </c>
      <c r="D4785" s="36"/>
      <c r="E4785" s="369"/>
      <c r="F4785" s="67" t="s">
        <v>1698</v>
      </c>
      <c r="G4785" s="318">
        <f>SUM(G4768:G4784)</f>
        <v>68891.360000000001</v>
      </c>
      <c r="I4785" s="75"/>
    </row>
    <row r="4786" spans="1:9">
      <c r="A4786" s="847"/>
      <c r="B4786" s="89"/>
      <c r="C4786" s="119"/>
      <c r="D4786" s="188"/>
      <c r="E4786" s="173"/>
      <c r="F4786" s="173"/>
      <c r="G4786" s="173"/>
      <c r="I4786" s="31"/>
    </row>
    <row r="4787" spans="1:9">
      <c r="A4787" s="847"/>
      <c r="B4787" s="44" t="s">
        <v>2381</v>
      </c>
      <c r="C4787" s="142"/>
      <c r="D4787" s="36"/>
      <c r="E4787" s="369"/>
      <c r="F4787" s="67"/>
      <c r="G4787" s="67"/>
      <c r="I4787" s="31"/>
    </row>
    <row r="4788" spans="1:9">
      <c r="A4788" s="847"/>
      <c r="B4788" s="39" t="s">
        <v>2369</v>
      </c>
      <c r="C4788" s="63" t="s">
        <v>2378</v>
      </c>
      <c r="D4788" s="36" t="s">
        <v>2370</v>
      </c>
      <c r="E4788" s="67" t="s">
        <v>1166</v>
      </c>
      <c r="F4788" s="67" t="s">
        <v>2371</v>
      </c>
      <c r="G4788" s="67" t="s">
        <v>2372</v>
      </c>
      <c r="I4788" s="31"/>
    </row>
    <row r="4789" spans="1:9">
      <c r="A4789" s="847"/>
      <c r="B4789" s="236"/>
      <c r="C4789" s="63"/>
      <c r="D4789" s="36"/>
      <c r="E4789" s="67"/>
      <c r="F4789" s="67" t="s">
        <v>3485</v>
      </c>
      <c r="G4789" s="67" t="s">
        <v>3485</v>
      </c>
      <c r="I4789" s="31"/>
    </row>
    <row r="4790" spans="1:9">
      <c r="A4790" s="847"/>
      <c r="B4790" s="105">
        <v>1</v>
      </c>
      <c r="C4790" s="137" t="s">
        <v>158</v>
      </c>
      <c r="D4790" s="276" t="s">
        <v>2374</v>
      </c>
      <c r="E4790" s="207">
        <v>8</v>
      </c>
      <c r="F4790" s="190">
        <f>'HIRE CHARGES'!$F$501</f>
        <v>340.6</v>
      </c>
      <c r="G4790" s="190">
        <f t="shared" ref="G4790:G4803" si="65">F4790*E4790</f>
        <v>2724.8</v>
      </c>
      <c r="I4790" s="75"/>
    </row>
    <row r="4791" spans="1:9">
      <c r="A4791" s="847"/>
      <c r="B4791" s="105">
        <v>2</v>
      </c>
      <c r="C4791" s="137" t="s">
        <v>1062</v>
      </c>
      <c r="D4791" s="276" t="s">
        <v>2374</v>
      </c>
      <c r="E4791" s="207">
        <v>24</v>
      </c>
      <c r="F4791" s="214">
        <f>'HIRE CHARGES'!$F$492</f>
        <v>283.89999999999998</v>
      </c>
      <c r="G4791" s="179">
        <f t="shared" si="65"/>
        <v>6813.5999999999995</v>
      </c>
      <c r="I4791" s="75"/>
    </row>
    <row r="4792" spans="1:9">
      <c r="A4792" s="847"/>
      <c r="B4792" s="105">
        <v>3</v>
      </c>
      <c r="C4792" s="137" t="s">
        <v>1063</v>
      </c>
      <c r="D4792" s="276" t="s">
        <v>2374</v>
      </c>
      <c r="E4792" s="207">
        <v>8</v>
      </c>
      <c r="F4792" s="190">
        <f>'HIRE CHARGES'!$F$511</f>
        <v>421.8</v>
      </c>
      <c r="G4792" s="179">
        <f t="shared" si="65"/>
        <v>3374.4</v>
      </c>
      <c r="I4792" s="75"/>
    </row>
    <row r="4793" spans="1:9">
      <c r="A4793" s="847"/>
      <c r="B4793" s="105">
        <v>4</v>
      </c>
      <c r="C4793" s="137" t="s">
        <v>1064</v>
      </c>
      <c r="D4793" s="276" t="s">
        <v>2374</v>
      </c>
      <c r="E4793" s="207">
        <v>16</v>
      </c>
      <c r="F4793" s="214">
        <f>'HIRE CHARGES'!$F$515</f>
        <v>131.80000000000001</v>
      </c>
      <c r="G4793" s="179">
        <f t="shared" si="65"/>
        <v>2108.8000000000002</v>
      </c>
      <c r="I4793" s="75"/>
    </row>
    <row r="4794" spans="1:9">
      <c r="A4794" s="847"/>
      <c r="B4794" s="105">
        <v>5</v>
      </c>
      <c r="C4794" s="137" t="s">
        <v>300</v>
      </c>
      <c r="D4794" s="276" t="s">
        <v>2374</v>
      </c>
      <c r="E4794" s="207">
        <v>2</v>
      </c>
      <c r="F4794" s="190">
        <f>'HIRE CHARGES'!$F$542</f>
        <v>236.6</v>
      </c>
      <c r="G4794" s="179">
        <f t="shared" si="65"/>
        <v>473.2</v>
      </c>
      <c r="I4794" s="75"/>
    </row>
    <row r="4795" spans="1:9">
      <c r="A4795" s="847"/>
      <c r="B4795" s="105">
        <v>6</v>
      </c>
      <c r="C4795" s="137" t="s">
        <v>1000</v>
      </c>
      <c r="D4795" s="105" t="s">
        <v>2374</v>
      </c>
      <c r="E4795" s="190">
        <v>8</v>
      </c>
      <c r="F4795" s="214">
        <f>'HIRE CHARGES'!$F$555</f>
        <v>177.5</v>
      </c>
      <c r="G4795" s="179">
        <f t="shared" si="65"/>
        <v>1420</v>
      </c>
      <c r="I4795" s="75"/>
    </row>
    <row r="4796" spans="1:9">
      <c r="A4796" s="847"/>
      <c r="B4796" s="105">
        <v>7</v>
      </c>
      <c r="C4796" s="137" t="s">
        <v>999</v>
      </c>
      <c r="D4796" s="105" t="s">
        <v>2374</v>
      </c>
      <c r="E4796" s="210">
        <v>16</v>
      </c>
      <c r="F4796" s="190">
        <f>'HIRE CHARGES'!$F$517</f>
        <v>111.1</v>
      </c>
      <c r="G4796" s="179">
        <f t="shared" si="65"/>
        <v>1777.6</v>
      </c>
      <c r="I4796" s="31"/>
    </row>
    <row r="4797" spans="1:9">
      <c r="A4797" s="847"/>
      <c r="B4797" s="105">
        <v>8</v>
      </c>
      <c r="C4797" s="422" t="s">
        <v>5606</v>
      </c>
      <c r="D4797" s="105" t="s">
        <v>1172</v>
      </c>
      <c r="E4797" s="210">
        <v>2</v>
      </c>
      <c r="F4797" s="190">
        <f>'BASIC DATA'!$C$474</f>
        <v>445</v>
      </c>
      <c r="G4797" s="179">
        <f t="shared" si="65"/>
        <v>890</v>
      </c>
      <c r="I4797" s="31"/>
    </row>
    <row r="4798" spans="1:9">
      <c r="A4798" s="847"/>
      <c r="B4798" s="105">
        <v>9</v>
      </c>
      <c r="C4798" s="422" t="s">
        <v>1065</v>
      </c>
      <c r="D4798" s="105" t="s">
        <v>1172</v>
      </c>
      <c r="E4798" s="210">
        <v>1</v>
      </c>
      <c r="F4798" s="190">
        <f>'BASIC DATA'!$C$475</f>
        <v>475</v>
      </c>
      <c r="G4798" s="179">
        <f t="shared" si="65"/>
        <v>475</v>
      </c>
    </row>
    <row r="4799" spans="1:9">
      <c r="A4799" s="847"/>
      <c r="B4799" s="105">
        <v>10</v>
      </c>
      <c r="C4799" s="422" t="s">
        <v>1066</v>
      </c>
      <c r="D4799" s="105" t="s">
        <v>1172</v>
      </c>
      <c r="E4799" s="210">
        <v>1</v>
      </c>
      <c r="F4799" s="190">
        <f>'BASIC DATA'!$C$475</f>
        <v>475</v>
      </c>
      <c r="G4799" s="179">
        <f t="shared" si="65"/>
        <v>475</v>
      </c>
    </row>
    <row r="4800" spans="1:9">
      <c r="A4800" s="847"/>
      <c r="B4800" s="105">
        <v>11</v>
      </c>
      <c r="C4800" s="422" t="s">
        <v>5604</v>
      </c>
      <c r="D4800" s="105" t="s">
        <v>1172</v>
      </c>
      <c r="E4800" s="210">
        <v>1</v>
      </c>
      <c r="F4800" s="214">
        <f>'BASIC DATA'!$C$468</f>
        <v>515</v>
      </c>
      <c r="G4800" s="179">
        <f t="shared" si="65"/>
        <v>515</v>
      </c>
    </row>
    <row r="4801" spans="1:9">
      <c r="A4801" s="847"/>
      <c r="B4801" s="105">
        <v>12</v>
      </c>
      <c r="C4801" s="422" t="s">
        <v>4206</v>
      </c>
      <c r="D4801" s="105" t="s">
        <v>1172</v>
      </c>
      <c r="E4801" s="210">
        <v>2</v>
      </c>
      <c r="F4801" s="190">
        <f>'BASIC DATA'!$C$473</f>
        <v>450</v>
      </c>
      <c r="G4801" s="179">
        <f t="shared" si="65"/>
        <v>900</v>
      </c>
    </row>
    <row r="4802" spans="1:9">
      <c r="A4802" s="847"/>
      <c r="B4802" s="105">
        <v>13</v>
      </c>
      <c r="C4802" s="422" t="s">
        <v>1808</v>
      </c>
      <c r="D4802" s="105" t="s">
        <v>1172</v>
      </c>
      <c r="E4802" s="210">
        <v>5</v>
      </c>
      <c r="F4802" s="190">
        <f>'BASIC DATA'!$C$552</f>
        <v>350</v>
      </c>
      <c r="G4802" s="179">
        <f t="shared" si="65"/>
        <v>1750</v>
      </c>
    </row>
    <row r="4803" spans="1:9">
      <c r="A4803" s="847"/>
      <c r="B4803" s="114">
        <v>14</v>
      </c>
      <c r="C4803" s="422" t="s">
        <v>1809</v>
      </c>
      <c r="D4803" s="105" t="s">
        <v>1172</v>
      </c>
      <c r="E4803" s="210">
        <v>10</v>
      </c>
      <c r="F4803" s="190">
        <f>'BASIC DATA'!$C$552</f>
        <v>350</v>
      </c>
      <c r="G4803" s="179">
        <f t="shared" si="65"/>
        <v>3500</v>
      </c>
    </row>
    <row r="4804" spans="1:9">
      <c r="A4804" s="847"/>
      <c r="B4804" s="92"/>
      <c r="C4804" s="406" t="s">
        <v>1174</v>
      </c>
      <c r="D4804" s="159"/>
      <c r="E4804" s="159"/>
      <c r="F4804" s="159" t="s">
        <v>1698</v>
      </c>
      <c r="G4804" s="282">
        <f>SUM(G4790:G4803)</f>
        <v>27197.399999999998</v>
      </c>
    </row>
    <row r="4805" spans="1:9">
      <c r="A4805" s="847"/>
      <c r="B4805" s="359" t="s">
        <v>5948</v>
      </c>
      <c r="C4805" s="48"/>
      <c r="D4805" s="31"/>
      <c r="E4805" s="85">
        <f>ROUND(G4804/F4751,1)</f>
        <v>28.3</v>
      </c>
    </row>
    <row r="4806" spans="1:9">
      <c r="A4806" s="847"/>
      <c r="B4806" s="359" t="s">
        <v>3163</v>
      </c>
      <c r="C4806" s="48"/>
      <c r="D4806" s="922">
        <f>'BASIC DATA'!$C$577</f>
        <v>0.13614999999999999</v>
      </c>
      <c r="E4806" s="85">
        <f>ROUND(E4805*D4806,1)</f>
        <v>3.9</v>
      </c>
    </row>
    <row r="4807" spans="1:9">
      <c r="A4807" s="847"/>
      <c r="B4807" s="359" t="s">
        <v>5949</v>
      </c>
      <c r="C4807" s="48"/>
      <c r="D4807" s="31"/>
      <c r="E4807" s="199">
        <f>ROUND(E4806+E4805,1)</f>
        <v>32.200000000000003</v>
      </c>
    </row>
    <row r="4808" spans="1:9">
      <c r="A4808" s="847"/>
      <c r="C4808" s="48"/>
    </row>
    <row r="4809" spans="1:9">
      <c r="A4809" s="847"/>
      <c r="B4809" s="162" t="s">
        <v>1175</v>
      </c>
      <c r="C4809" s="48"/>
    </row>
    <row r="4810" spans="1:9">
      <c r="A4810" s="847"/>
      <c r="B4810" s="47" t="s">
        <v>1176</v>
      </c>
      <c r="C4810" s="48"/>
      <c r="F4810" s="26" t="s">
        <v>1698</v>
      </c>
      <c r="G4810" s="68">
        <f>G4763</f>
        <v>249672.71999999994</v>
      </c>
    </row>
    <row r="4811" spans="1:9">
      <c r="A4811" s="847"/>
      <c r="B4811" s="47" t="s">
        <v>1186</v>
      </c>
      <c r="C4811" s="48"/>
      <c r="F4811" s="26" t="s">
        <v>1698</v>
      </c>
      <c r="G4811" s="68">
        <f>G4785</f>
        <v>68891.360000000001</v>
      </c>
    </row>
    <row r="4812" spans="1:9">
      <c r="A4812" s="847"/>
      <c r="B4812" s="47" t="s">
        <v>2660</v>
      </c>
      <c r="C4812" s="48"/>
      <c r="F4812" s="26" t="s">
        <v>1698</v>
      </c>
      <c r="G4812" s="26">
        <f>G4804</f>
        <v>27197.399999999998</v>
      </c>
    </row>
    <row r="4813" spans="1:9">
      <c r="A4813" s="847"/>
      <c r="C4813" s="48"/>
      <c r="F4813" s="26" t="s">
        <v>302</v>
      </c>
      <c r="G4813" s="159">
        <f>SUM(G4810:G4812)</f>
        <v>345761.48</v>
      </c>
    </row>
    <row r="4814" spans="1:9">
      <c r="A4814" s="848"/>
      <c r="B4814" s="382" t="s">
        <v>1067</v>
      </c>
      <c r="C4814" s="49"/>
      <c r="D4814" s="290">
        <f>'BASIC DATA'!$C$580</f>
        <v>0.02</v>
      </c>
      <c r="E4814" s="61"/>
      <c r="F4814" s="61" t="s">
        <v>1068</v>
      </c>
      <c r="G4814" s="61">
        <f>G4813*D4814</f>
        <v>6915.2295999999997</v>
      </c>
      <c r="H4814" s="61"/>
      <c r="I4814" s="61"/>
    </row>
    <row r="4815" spans="1:9">
      <c r="A4815" s="848"/>
      <c r="B4815" s="382" t="s">
        <v>1035</v>
      </c>
      <c r="C4815" s="49"/>
      <c r="D4815" s="423">
        <f>'BASIC DATA'!$C$581</f>
        <v>5.0000000000000001E-3</v>
      </c>
      <c r="E4815" s="61"/>
      <c r="F4815" s="61" t="s">
        <v>1698</v>
      </c>
      <c r="G4815" s="61">
        <f>G4813*D4815</f>
        <v>1728.8073999999999</v>
      </c>
      <c r="H4815" s="61"/>
      <c r="I4815" s="61"/>
    </row>
    <row r="4816" spans="1:9">
      <c r="A4816" s="848"/>
      <c r="B4816" s="382" t="s">
        <v>1036</v>
      </c>
      <c r="C4816" s="49"/>
      <c r="D4816" s="290">
        <f>'BASIC DATA'!$C$582</f>
        <v>0.01</v>
      </c>
      <c r="E4816" s="61"/>
      <c r="F4816" s="61" t="s">
        <v>1698</v>
      </c>
      <c r="G4816" s="61">
        <f>G4813*D4816</f>
        <v>3457.6147999999998</v>
      </c>
      <c r="H4816" s="61"/>
      <c r="I4816" s="61"/>
    </row>
    <row r="4817" spans="1:9">
      <c r="A4817" s="847"/>
      <c r="B4817" s="78"/>
      <c r="C4817" s="48"/>
      <c r="E4817" s="261"/>
      <c r="F4817" s="171" t="s">
        <v>302</v>
      </c>
      <c r="G4817" s="205">
        <f>SUM(G4813:G4816)</f>
        <v>357863.13179999997</v>
      </c>
    </row>
    <row r="4818" spans="1:9">
      <c r="A4818" s="847"/>
      <c r="B4818" s="1207" t="s">
        <v>5888</v>
      </c>
      <c r="C4818" s="1207"/>
      <c r="D4818" s="1207"/>
      <c r="E4818" s="922">
        <f>'BASIC DATA'!$C$577</f>
        <v>0.13614999999999999</v>
      </c>
      <c r="F4818" s="171" t="s">
        <v>1698</v>
      </c>
      <c r="G4818" s="31">
        <f>ROUND(G4817*E4818,2)</f>
        <v>48723.07</v>
      </c>
    </row>
    <row r="4819" spans="1:9">
      <c r="A4819" s="847"/>
      <c r="B4819" s="27" t="s">
        <v>9590</v>
      </c>
      <c r="C4819" s="43"/>
      <c r="D4819" s="779">
        <f>E4758</f>
        <v>38.015999999999998</v>
      </c>
      <c r="E4819" s="201" t="s">
        <v>9591</v>
      </c>
      <c r="F4819" s="68" t="str">
        <f>CONCATENATE((leadcharges!$D$65)," ","Rs./Cum")</f>
        <v>31.5 Rs./Cum</v>
      </c>
      <c r="G4819" s="200">
        <f>leadcharges!$D$65*D4819</f>
        <v>1197.5039999999999</v>
      </c>
    </row>
    <row r="4820" spans="1:9">
      <c r="A4820" s="847"/>
      <c r="B4820" s="27" t="s">
        <v>9589</v>
      </c>
      <c r="C4820" s="43"/>
      <c r="D4820" s="779">
        <f>SUM(E4756:E4757)</f>
        <v>67.583999999999989</v>
      </c>
      <c r="E4820" s="201" t="s">
        <v>9591</v>
      </c>
      <c r="F4820" s="68" t="str">
        <f>CONCATENATE((leadcharges!$E$65)," ","Rs./Cum")</f>
        <v>30.4 Rs./Cum</v>
      </c>
      <c r="G4820" s="294">
        <f>leadcharges!$E$65*D4820</f>
        <v>2054.5535999999997</v>
      </c>
    </row>
    <row r="4821" spans="1:9" ht="38.25" hidden="1" customHeight="1">
      <c r="A4821" s="847"/>
      <c r="B4821" s="1207"/>
      <c r="C4821" s="1207"/>
      <c r="D4821" s="779"/>
      <c r="E4821" s="201"/>
      <c r="F4821" s="68"/>
      <c r="G4821" s="200"/>
    </row>
    <row r="4822" spans="1:9">
      <c r="A4822" s="847"/>
      <c r="B4822" s="47" t="s">
        <v>1191</v>
      </c>
      <c r="C4822" s="48"/>
      <c r="D4822" s="68">
        <f>F4751</f>
        <v>960</v>
      </c>
      <c r="E4822" s="68" t="str">
        <f>G4751</f>
        <v>sqm</v>
      </c>
      <c r="F4822" s="171" t="s">
        <v>1698</v>
      </c>
      <c r="G4822" s="211">
        <f>SUM(G4817:G4821)</f>
        <v>409838.25939999998</v>
      </c>
    </row>
    <row r="4823" spans="1:9">
      <c r="A4823" s="847"/>
      <c r="B4823" s="79" t="s">
        <v>1584</v>
      </c>
      <c r="C4823" s="404" t="str">
        <f>E4822</f>
        <v>sqm</v>
      </c>
      <c r="D4823" s="26" t="s">
        <v>5887</v>
      </c>
      <c r="F4823" s="171" t="s">
        <v>4108</v>
      </c>
      <c r="G4823" s="211">
        <f>ROUND(G4822/D4822,1)</f>
        <v>426.9</v>
      </c>
    </row>
    <row r="4824" spans="1:9">
      <c r="A4824" s="847"/>
      <c r="B4824" s="78"/>
      <c r="C4824" s="48"/>
    </row>
    <row r="4825" spans="1:9">
      <c r="A4825" s="847"/>
      <c r="B4825" s="78"/>
      <c r="C4825" s="48"/>
    </row>
    <row r="4826" spans="1:9" ht="18.75">
      <c r="A4826" s="841" t="s">
        <v>7475</v>
      </c>
      <c r="B4826" s="382" t="s">
        <v>8763</v>
      </c>
      <c r="C4826" s="49"/>
      <c r="D4826" s="61"/>
      <c r="E4826" s="61"/>
      <c r="F4826" s="61"/>
      <c r="G4826" s="61"/>
      <c r="H4826" s="61"/>
      <c r="I4826" s="61"/>
    </row>
    <row r="4827" spans="1:9" ht="18.75">
      <c r="A4827" s="848"/>
      <c r="B4827" s="382" t="s">
        <v>8764</v>
      </c>
      <c r="C4827" s="49"/>
      <c r="D4827" s="61"/>
      <c r="E4827" s="61"/>
      <c r="F4827" s="61"/>
      <c r="G4827" s="61"/>
      <c r="H4827" s="61"/>
      <c r="I4827" s="61"/>
    </row>
    <row r="4828" spans="1:9" ht="18.75">
      <c r="A4828" s="848"/>
      <c r="B4828" s="382" t="s">
        <v>8765</v>
      </c>
      <c r="C4828" s="49"/>
      <c r="D4828" s="61"/>
      <c r="E4828" s="61"/>
      <c r="F4828" s="61"/>
      <c r="G4828" s="61"/>
      <c r="H4828" s="61"/>
      <c r="I4828" s="61"/>
    </row>
    <row r="4829" spans="1:9">
      <c r="A4829" s="848"/>
      <c r="B4829" s="382" t="s">
        <v>4866</v>
      </c>
      <c r="C4829" s="49"/>
      <c r="D4829" s="61"/>
      <c r="E4829" s="61"/>
      <c r="F4829" s="61"/>
      <c r="G4829" s="61"/>
      <c r="H4829" s="61"/>
      <c r="I4829" s="61"/>
    </row>
    <row r="4830" spans="1:9">
      <c r="A4830" s="848"/>
      <c r="B4830" s="382" t="s">
        <v>3889</v>
      </c>
      <c r="C4830" s="49"/>
      <c r="D4830" s="61"/>
      <c r="E4830" s="61"/>
      <c r="F4830" s="61"/>
      <c r="G4830" s="61"/>
      <c r="H4830" s="61"/>
      <c r="I4830" s="61"/>
    </row>
    <row r="4831" spans="1:9" ht="18.75">
      <c r="A4831" s="848"/>
      <c r="B4831" s="382" t="s">
        <v>8766</v>
      </c>
      <c r="C4831" s="49"/>
      <c r="D4831" s="61"/>
      <c r="E4831" s="61"/>
      <c r="F4831" s="61"/>
      <c r="G4831" s="61"/>
      <c r="H4831" s="61"/>
      <c r="I4831" s="61"/>
    </row>
    <row r="4832" spans="1:9">
      <c r="A4832" s="848"/>
      <c r="B4832" s="162" t="s">
        <v>7743</v>
      </c>
      <c r="C4832" s="49"/>
      <c r="D4832" s="61"/>
      <c r="E4832" s="61"/>
      <c r="F4832" s="61"/>
      <c r="G4832" s="61"/>
      <c r="H4832" s="61"/>
      <c r="I4832" s="61"/>
    </row>
    <row r="4833" spans="1:9">
      <c r="A4833" s="848"/>
      <c r="B4833" s="588" t="s">
        <v>7737</v>
      </c>
      <c r="C4833" s="49"/>
      <c r="D4833" s="61"/>
      <c r="E4833" s="61"/>
      <c r="F4833" s="61"/>
      <c r="G4833" s="61"/>
      <c r="H4833" s="61"/>
      <c r="I4833" s="61"/>
    </row>
    <row r="4834" spans="1:9">
      <c r="A4834" s="848"/>
      <c r="B4834" s="162" t="s">
        <v>7742</v>
      </c>
      <c r="C4834" s="49"/>
      <c r="D4834" s="61"/>
      <c r="E4834" s="61"/>
      <c r="F4834" s="61"/>
      <c r="G4834" s="61"/>
      <c r="H4834" s="61"/>
      <c r="I4834" s="61"/>
    </row>
    <row r="4835" spans="1:9">
      <c r="A4835" s="848"/>
      <c r="B4835" s="162" t="s">
        <v>7736</v>
      </c>
      <c r="C4835" s="49"/>
      <c r="D4835" s="61"/>
      <c r="E4835" s="61"/>
      <c r="F4835" s="61"/>
      <c r="G4835" s="61"/>
      <c r="H4835" s="61"/>
      <c r="I4835" s="61"/>
    </row>
    <row r="4836" spans="1:9">
      <c r="A4836" s="848"/>
      <c r="B4836" s="382"/>
      <c r="C4836" s="49"/>
      <c r="D4836" s="61"/>
      <c r="E4836" s="61"/>
      <c r="F4836" s="61"/>
      <c r="G4836" s="61"/>
      <c r="H4836" s="61"/>
      <c r="I4836" s="61"/>
    </row>
    <row r="4837" spans="1:9" hidden="1">
      <c r="A4837" s="848" t="s">
        <v>3984</v>
      </c>
      <c r="B4837" s="382" t="s">
        <v>6237</v>
      </c>
      <c r="C4837" s="49"/>
      <c r="D4837" s="61"/>
      <c r="E4837" s="61"/>
      <c r="F4837" s="61" t="s">
        <v>1697</v>
      </c>
      <c r="G4837" s="61" t="s">
        <v>3890</v>
      </c>
      <c r="H4837" s="61"/>
      <c r="I4837" s="61"/>
    </row>
    <row r="4838" spans="1:9" hidden="1">
      <c r="A4838" s="848"/>
      <c r="B4838" s="382" t="s">
        <v>6238</v>
      </c>
      <c r="C4838" s="49"/>
      <c r="D4838" s="61"/>
      <c r="E4838" s="61"/>
      <c r="F4838" s="61"/>
      <c r="G4838" s="61"/>
      <c r="H4838" s="61"/>
      <c r="I4838" s="61"/>
    </row>
    <row r="4839" spans="1:9" ht="18.75" hidden="1">
      <c r="A4839" s="848"/>
      <c r="B4839" s="382" t="s">
        <v>8767</v>
      </c>
      <c r="C4839" s="49"/>
      <c r="D4839" s="61"/>
      <c r="E4839" s="61"/>
      <c r="F4839" s="61"/>
      <c r="G4839" s="61"/>
      <c r="H4839" s="61"/>
      <c r="I4839" s="61"/>
    </row>
    <row r="4840" spans="1:9" hidden="1">
      <c r="A4840" s="848"/>
      <c r="B4840" s="382"/>
      <c r="C4840" s="49"/>
      <c r="D4840" s="61"/>
      <c r="E4840" s="61"/>
      <c r="F4840" s="61"/>
      <c r="G4840" s="61"/>
      <c r="H4840" s="61"/>
      <c r="I4840" s="61"/>
    </row>
    <row r="4841" spans="1:9" hidden="1">
      <c r="A4841" s="848"/>
      <c r="B4841" s="382" t="s">
        <v>1557</v>
      </c>
      <c r="C4841" s="49"/>
      <c r="D4841" s="61"/>
      <c r="E4841" s="61"/>
      <c r="F4841" s="61" t="s">
        <v>1697</v>
      </c>
      <c r="G4841" s="61">
        <v>100</v>
      </c>
      <c r="H4841" s="61" t="s">
        <v>5860</v>
      </c>
      <c r="I4841" s="61"/>
    </row>
    <row r="4842" spans="1:9" hidden="1">
      <c r="A4842" s="848"/>
      <c r="B4842" s="382" t="s">
        <v>3891</v>
      </c>
      <c r="C4842" s="49"/>
      <c r="D4842" s="61"/>
      <c r="E4842" s="61"/>
      <c r="F4842" s="61" t="s">
        <v>1697</v>
      </c>
      <c r="G4842" s="61">
        <f>G4841*0.1</f>
        <v>10</v>
      </c>
      <c r="H4842" s="61" t="s">
        <v>3477</v>
      </c>
      <c r="I4842" s="61"/>
    </row>
    <row r="4843" spans="1:9" hidden="1">
      <c r="A4843" s="848"/>
      <c r="B4843" s="382" t="s">
        <v>3892</v>
      </c>
      <c r="C4843" s="49"/>
      <c r="D4843" s="61"/>
      <c r="E4843" s="61"/>
      <c r="F4843" s="61" t="s">
        <v>1697</v>
      </c>
      <c r="G4843" s="61">
        <f>G4842*10%</f>
        <v>1</v>
      </c>
      <c r="H4843" s="61" t="s">
        <v>3477</v>
      </c>
      <c r="I4843" s="61"/>
    </row>
    <row r="4844" spans="1:9" hidden="1">
      <c r="A4844" s="848"/>
      <c r="B4844" s="382" t="s">
        <v>1558</v>
      </c>
      <c r="C4844" s="49"/>
      <c r="D4844" s="61"/>
      <c r="E4844" s="61"/>
      <c r="F4844" s="61" t="s">
        <v>1697</v>
      </c>
      <c r="G4844" s="61">
        <f>SUM(G4842:G4843)</f>
        <v>11</v>
      </c>
      <c r="H4844" s="61" t="s">
        <v>3477</v>
      </c>
      <c r="I4844" s="61"/>
    </row>
    <row r="4845" spans="1:9" hidden="1">
      <c r="A4845" s="848"/>
      <c r="B4845" s="382" t="s">
        <v>4865</v>
      </c>
      <c r="C4845" s="49"/>
      <c r="D4845" s="61"/>
      <c r="E4845" s="61"/>
      <c r="F4845" s="61"/>
      <c r="G4845" s="61"/>
      <c r="H4845" s="61"/>
      <c r="I4845" s="61"/>
    </row>
    <row r="4846" spans="1:9" hidden="1">
      <c r="A4846" s="848"/>
      <c r="B4846" s="382" t="s">
        <v>5720</v>
      </c>
      <c r="C4846" s="49"/>
      <c r="D4846" s="61"/>
      <c r="E4846" s="61"/>
      <c r="F4846" s="61" t="s">
        <v>1697</v>
      </c>
      <c r="G4846" s="125">
        <f>ROUND(11*60/50/0.7,2)</f>
        <v>18.86</v>
      </c>
      <c r="H4846" s="61" t="s">
        <v>5721</v>
      </c>
      <c r="I4846" s="61"/>
    </row>
    <row r="4847" spans="1:9" ht="18.75" hidden="1">
      <c r="A4847" s="848"/>
      <c r="B4847" s="382" t="s">
        <v>8768</v>
      </c>
      <c r="C4847" s="49"/>
      <c r="D4847" s="61"/>
      <c r="E4847" s="61"/>
      <c r="F4847" s="61"/>
      <c r="G4847" s="61"/>
      <c r="H4847" s="61"/>
      <c r="I4847" s="61"/>
    </row>
    <row r="4848" spans="1:9" hidden="1">
      <c r="A4848" s="848"/>
      <c r="B4848" s="382" t="s">
        <v>7988</v>
      </c>
      <c r="C4848" s="49"/>
      <c r="D4848" s="61"/>
      <c r="E4848" s="61"/>
      <c r="F4848" s="61"/>
      <c r="G4848" s="61"/>
      <c r="H4848" s="61"/>
      <c r="I4848" s="61"/>
    </row>
    <row r="4849" spans="1:9" hidden="1">
      <c r="A4849" s="848"/>
      <c r="B4849" s="382" t="s">
        <v>1559</v>
      </c>
      <c r="C4849" s="49"/>
      <c r="D4849" s="61"/>
      <c r="E4849" s="61"/>
      <c r="F4849" s="61"/>
      <c r="G4849" s="61"/>
      <c r="H4849" s="61"/>
      <c r="I4849" s="61"/>
    </row>
    <row r="4850" spans="1:9" hidden="1">
      <c r="A4850" s="848"/>
      <c r="B4850" s="382" t="s">
        <v>1560</v>
      </c>
      <c r="C4850" s="49"/>
      <c r="D4850" s="61"/>
      <c r="E4850" s="61"/>
      <c r="F4850" s="61" t="s">
        <v>1697</v>
      </c>
      <c r="G4850" s="62">
        <v>3</v>
      </c>
      <c r="H4850" s="223" t="s">
        <v>812</v>
      </c>
      <c r="I4850" s="61"/>
    </row>
    <row r="4851" spans="1:9" hidden="1">
      <c r="A4851" s="848"/>
      <c r="B4851" s="382" t="s">
        <v>1561</v>
      </c>
      <c r="C4851" s="49"/>
      <c r="D4851" s="61"/>
      <c r="E4851" s="61"/>
      <c r="F4851" s="61" t="s">
        <v>1697</v>
      </c>
      <c r="G4851" s="62">
        <v>10</v>
      </c>
      <c r="H4851" s="223" t="s">
        <v>812</v>
      </c>
      <c r="I4851" s="61"/>
    </row>
    <row r="4852" spans="1:9" hidden="1">
      <c r="A4852" s="848"/>
      <c r="B4852" s="382" t="s">
        <v>6239</v>
      </c>
      <c r="C4852" s="49"/>
      <c r="D4852" s="61"/>
      <c r="E4852" s="61"/>
      <c r="F4852" s="61" t="s">
        <v>1697</v>
      </c>
      <c r="G4852" s="62">
        <v>15</v>
      </c>
      <c r="H4852" s="223" t="s">
        <v>812</v>
      </c>
      <c r="I4852" s="61"/>
    </row>
    <row r="4853" spans="1:9" hidden="1">
      <c r="A4853" s="848"/>
      <c r="B4853" s="382" t="s">
        <v>5842</v>
      </c>
      <c r="C4853" s="49"/>
      <c r="D4853" s="61"/>
      <c r="E4853" s="61"/>
      <c r="F4853" s="61" t="s">
        <v>1697</v>
      </c>
      <c r="G4853" s="62">
        <v>3</v>
      </c>
      <c r="H4853" s="223" t="s">
        <v>812</v>
      </c>
      <c r="I4853" s="61"/>
    </row>
    <row r="4854" spans="1:9" hidden="1">
      <c r="A4854" s="848"/>
      <c r="B4854" s="382" t="s">
        <v>5843</v>
      </c>
      <c r="C4854" s="49"/>
      <c r="D4854" s="61"/>
      <c r="E4854" s="61"/>
      <c r="F4854" s="61" t="s">
        <v>1697</v>
      </c>
      <c r="G4854" s="62">
        <v>10</v>
      </c>
      <c r="H4854" s="223" t="s">
        <v>812</v>
      </c>
      <c r="I4854" s="61"/>
    </row>
    <row r="4855" spans="1:9" hidden="1">
      <c r="A4855" s="848"/>
      <c r="B4855" s="47" t="s">
        <v>2702</v>
      </c>
      <c r="C4855" s="49"/>
      <c r="D4855" s="61"/>
      <c r="E4855" s="61"/>
      <c r="F4855" s="61"/>
      <c r="G4855" s="62">
        <v>12</v>
      </c>
      <c r="H4855" s="223" t="s">
        <v>812</v>
      </c>
      <c r="I4855" s="61"/>
    </row>
    <row r="4856" spans="1:9" hidden="1">
      <c r="A4856" s="848"/>
      <c r="B4856" s="382"/>
      <c r="C4856" s="49"/>
      <c r="D4856" s="61"/>
      <c r="E4856" s="61"/>
      <c r="F4856" s="61" t="s">
        <v>1518</v>
      </c>
      <c r="G4856" s="312">
        <f>SUM(G4850:G4855)</f>
        <v>53</v>
      </c>
      <c r="H4856" s="223" t="s">
        <v>812</v>
      </c>
      <c r="I4856" s="61"/>
    </row>
    <row r="4857" spans="1:9" hidden="1">
      <c r="A4857" s="848"/>
      <c r="B4857" s="382" t="s">
        <v>5844</v>
      </c>
      <c r="C4857" s="49"/>
      <c r="D4857" s="61"/>
      <c r="E4857" s="61"/>
      <c r="F4857" s="61" t="s">
        <v>1697</v>
      </c>
      <c r="G4857" s="61">
        <f>ROUND(60/G4856*4*50/60,2)</f>
        <v>3.77</v>
      </c>
      <c r="H4857" s="61" t="s">
        <v>3477</v>
      </c>
      <c r="I4857" s="60"/>
    </row>
    <row r="4858" spans="1:9" hidden="1">
      <c r="A4858" s="848"/>
      <c r="B4858" s="382" t="s">
        <v>5845</v>
      </c>
      <c r="C4858" s="49"/>
      <c r="D4858" s="61"/>
      <c r="E4858" s="61" t="s">
        <v>5785</v>
      </c>
      <c r="F4858" s="61" t="s">
        <v>1697</v>
      </c>
      <c r="G4858" s="61">
        <f>G4844</f>
        <v>11</v>
      </c>
      <c r="H4858" s="61" t="s">
        <v>3477</v>
      </c>
      <c r="I4858" s="61"/>
    </row>
    <row r="4859" spans="1:9" hidden="1">
      <c r="A4859" s="848"/>
      <c r="B4859" s="382" t="s">
        <v>813</v>
      </c>
      <c r="C4859" s="49"/>
      <c r="D4859" s="61"/>
      <c r="E4859" s="61"/>
      <c r="F4859" s="61" t="s">
        <v>1697</v>
      </c>
      <c r="G4859" s="61">
        <f>ROUND(G4858/G4857,0)</f>
        <v>3</v>
      </c>
      <c r="H4859" s="61" t="s">
        <v>4041</v>
      </c>
      <c r="I4859" s="61"/>
    </row>
    <row r="4860" spans="1:9" ht="18.75" hidden="1">
      <c r="A4860" s="848"/>
      <c r="B4860" s="382" t="s">
        <v>8769</v>
      </c>
      <c r="C4860" s="49"/>
      <c r="D4860" s="61"/>
      <c r="E4860" s="61"/>
      <c r="F4860" s="61"/>
      <c r="G4860" s="61"/>
      <c r="H4860" s="61"/>
      <c r="I4860" s="61"/>
    </row>
    <row r="4861" spans="1:9" hidden="1">
      <c r="A4861" s="848"/>
      <c r="B4861" s="382" t="s">
        <v>963</v>
      </c>
      <c r="C4861" s="49"/>
      <c r="D4861" s="61"/>
      <c r="E4861" s="61"/>
      <c r="F4861" s="61"/>
      <c r="G4861" s="61"/>
      <c r="H4861" s="61"/>
      <c r="I4861" s="61"/>
    </row>
    <row r="4862" spans="1:9" hidden="1">
      <c r="A4862" s="848"/>
      <c r="B4862" s="382" t="s">
        <v>5846</v>
      </c>
      <c r="C4862" s="49"/>
      <c r="D4862" s="61"/>
      <c r="E4862" s="61"/>
      <c r="F4862" s="61"/>
      <c r="G4862" s="61"/>
      <c r="H4862" s="61"/>
      <c r="I4862" s="61"/>
    </row>
    <row r="4863" spans="1:9" hidden="1">
      <c r="A4863" s="848"/>
      <c r="B4863" s="382" t="s">
        <v>4235</v>
      </c>
      <c r="C4863" s="49"/>
      <c r="D4863" s="61"/>
      <c r="E4863" s="61"/>
      <c r="F4863" s="61"/>
      <c r="G4863" s="61"/>
      <c r="H4863" s="61"/>
      <c r="I4863" s="61"/>
    </row>
    <row r="4864" spans="1:9" hidden="1">
      <c r="A4864" s="848"/>
      <c r="B4864" s="382" t="s">
        <v>4236</v>
      </c>
      <c r="C4864" s="49"/>
      <c r="D4864" s="61"/>
      <c r="E4864" s="61"/>
      <c r="F4864" s="61"/>
      <c r="G4864" s="61"/>
      <c r="H4864" s="61"/>
      <c r="I4864" s="61"/>
    </row>
    <row r="4865" spans="1:9" hidden="1">
      <c r="A4865" s="848"/>
      <c r="B4865" s="382" t="s">
        <v>2564</v>
      </c>
      <c r="C4865" s="49"/>
      <c r="D4865" s="61"/>
      <c r="E4865" s="61"/>
      <c r="F4865" s="61" t="s">
        <v>1697</v>
      </c>
      <c r="G4865" s="61">
        <v>800</v>
      </c>
      <c r="H4865" s="61" t="s">
        <v>3479</v>
      </c>
      <c r="I4865" s="61"/>
    </row>
    <row r="4866" spans="1:9" hidden="1">
      <c r="A4866" s="848"/>
      <c r="B4866" s="382" t="s">
        <v>4237</v>
      </c>
      <c r="C4866" s="49"/>
      <c r="D4866" s="61"/>
      <c r="E4866" s="61"/>
      <c r="F4866" s="61" t="s">
        <v>1697</v>
      </c>
      <c r="G4866" s="61">
        <f>G4858*8</f>
        <v>88</v>
      </c>
      <c r="H4866" s="61" t="s">
        <v>3477</v>
      </c>
      <c r="I4866" s="61"/>
    </row>
    <row r="4867" spans="1:9" ht="18.75" hidden="1">
      <c r="A4867" s="848"/>
      <c r="B4867" s="382" t="s">
        <v>8757</v>
      </c>
      <c r="C4867" s="49"/>
      <c r="D4867" s="61"/>
      <c r="E4867" s="61"/>
      <c r="F4867" s="61" t="s">
        <v>1697</v>
      </c>
      <c r="G4867" s="61">
        <f>G4866*0.52</f>
        <v>45.760000000000005</v>
      </c>
      <c r="H4867" s="61" t="s">
        <v>2113</v>
      </c>
      <c r="I4867" s="61"/>
    </row>
    <row r="4868" spans="1:9" ht="18.75" hidden="1">
      <c r="A4868" s="848"/>
      <c r="B4868" s="382" t="s">
        <v>8770</v>
      </c>
      <c r="C4868" s="49"/>
      <c r="D4868" s="61"/>
      <c r="E4868" s="61"/>
      <c r="F4868" s="61" t="s">
        <v>1697</v>
      </c>
      <c r="G4868" s="61">
        <f>G4866*0.28</f>
        <v>24.64</v>
      </c>
      <c r="H4868" s="61" t="s">
        <v>3477</v>
      </c>
      <c r="I4868" s="61"/>
    </row>
    <row r="4869" spans="1:9" ht="18.75" hidden="1">
      <c r="A4869" s="848"/>
      <c r="B4869" s="382" t="s">
        <v>8771</v>
      </c>
      <c r="C4869" s="49"/>
      <c r="D4869" s="61"/>
      <c r="E4869" s="61"/>
      <c r="F4869" s="61" t="s">
        <v>1697</v>
      </c>
      <c r="G4869" s="61">
        <f>G4866*0.45</f>
        <v>39.6</v>
      </c>
      <c r="H4869" s="61" t="s">
        <v>6901</v>
      </c>
      <c r="I4869" s="61"/>
    </row>
    <row r="4870" spans="1:9" hidden="1">
      <c r="A4870" s="848"/>
      <c r="B4870" s="382" t="s">
        <v>7744</v>
      </c>
      <c r="C4870" s="49"/>
      <c r="D4870" s="61"/>
      <c r="E4870" s="61"/>
      <c r="F4870" s="61" t="s">
        <v>1697</v>
      </c>
      <c r="G4870" s="61">
        <f>300*G4866</f>
        <v>26400</v>
      </c>
      <c r="H4870" s="61" t="s">
        <v>3478</v>
      </c>
      <c r="I4870" s="61"/>
    </row>
    <row r="4871" spans="1:9" hidden="1">
      <c r="A4871" s="848"/>
      <c r="B4871" s="382" t="s">
        <v>4238</v>
      </c>
      <c r="C4871" s="49"/>
      <c r="D4871" s="61"/>
      <c r="E4871" s="61"/>
      <c r="F4871" s="61" t="s">
        <v>1697</v>
      </c>
      <c r="G4871" s="61">
        <f>G4870*0.4%</f>
        <v>105.60000000000001</v>
      </c>
      <c r="H4871" s="61" t="s">
        <v>3478</v>
      </c>
      <c r="I4871" s="61"/>
    </row>
    <row r="4872" spans="1:9" hidden="1">
      <c r="A4872" s="848"/>
      <c r="B4872" s="382" t="s">
        <v>959</v>
      </c>
      <c r="C4872" s="49"/>
      <c r="D4872" s="61"/>
      <c r="E4872" s="61"/>
      <c r="F4872" s="61" t="s">
        <v>1697</v>
      </c>
      <c r="G4872" s="222" t="s">
        <v>964</v>
      </c>
      <c r="H4872" s="61">
        <f>ROUND(100/9*((3*4)/2)*8,0)</f>
        <v>533</v>
      </c>
      <c r="I4872" s="223" t="s">
        <v>3483</v>
      </c>
    </row>
    <row r="4873" spans="1:9" hidden="1">
      <c r="A4873" s="848"/>
      <c r="B4873" s="382" t="s">
        <v>1865</v>
      </c>
      <c r="C4873" s="49"/>
      <c r="D4873" s="61"/>
      <c r="E4873" s="61"/>
      <c r="F4873" s="61"/>
      <c r="G4873" s="61"/>
      <c r="H4873" s="61"/>
      <c r="I4873" s="61"/>
    </row>
    <row r="4874" spans="1:9" hidden="1">
      <c r="A4874" s="848"/>
      <c r="B4874" s="382" t="s">
        <v>1810</v>
      </c>
      <c r="C4874" s="49"/>
      <c r="D4874" s="61"/>
      <c r="E4874" s="61"/>
      <c r="F4874" s="61"/>
      <c r="G4874" s="61"/>
      <c r="H4874" s="61"/>
      <c r="I4874" s="61"/>
    </row>
    <row r="4875" spans="1:9" hidden="1">
      <c r="A4875" s="848"/>
      <c r="B4875" s="382" t="s">
        <v>2284</v>
      </c>
      <c r="C4875" s="49"/>
      <c r="D4875" s="61"/>
      <c r="E4875" s="61"/>
      <c r="F4875" s="61"/>
      <c r="G4875" s="61"/>
      <c r="H4875" s="61"/>
      <c r="I4875" s="61"/>
    </row>
    <row r="4876" spans="1:9" hidden="1">
      <c r="A4876" s="848"/>
      <c r="B4876" s="382" t="s">
        <v>4373</v>
      </c>
      <c r="C4876" s="49"/>
      <c r="D4876" s="61"/>
      <c r="E4876" s="61"/>
      <c r="F4876" s="61"/>
      <c r="G4876" s="61"/>
      <c r="H4876" s="61"/>
      <c r="I4876" s="61"/>
    </row>
    <row r="4877" spans="1:9" hidden="1">
      <c r="A4877" s="848"/>
      <c r="B4877" s="382" t="s">
        <v>4184</v>
      </c>
      <c r="C4877" s="49"/>
      <c r="D4877" s="61"/>
      <c r="E4877" s="61"/>
      <c r="F4877" s="61"/>
      <c r="G4877" s="61"/>
      <c r="H4877" s="61"/>
      <c r="I4877" s="61"/>
    </row>
    <row r="4878" spans="1:9" hidden="1">
      <c r="A4878" s="848"/>
      <c r="B4878" s="382" t="s">
        <v>965</v>
      </c>
      <c r="C4878" s="49"/>
      <c r="D4878" s="223">
        <f>'BASIC DATA'!$D$310</f>
        <v>28080</v>
      </c>
      <c r="E4878" s="61" t="s">
        <v>2290</v>
      </c>
      <c r="F4878" s="61" t="s">
        <v>4108</v>
      </c>
      <c r="G4878" s="223">
        <f>D4878</f>
        <v>28080</v>
      </c>
      <c r="H4878" s="61"/>
      <c r="I4878" s="61"/>
    </row>
    <row r="4879" spans="1:9" hidden="1">
      <c r="A4879" s="848"/>
      <c r="B4879" s="382" t="s">
        <v>231</v>
      </c>
      <c r="C4879" s="49"/>
      <c r="D4879" s="61"/>
      <c r="E4879" s="61"/>
      <c r="F4879" s="61" t="s">
        <v>1697</v>
      </c>
      <c r="G4879" s="26">
        <v>40000</v>
      </c>
      <c r="H4879" s="61"/>
      <c r="I4879" s="61"/>
    </row>
    <row r="4880" spans="1:9" hidden="1">
      <c r="A4880" s="848"/>
      <c r="B4880" s="382" t="s">
        <v>2505</v>
      </c>
      <c r="C4880" s="49"/>
      <c r="D4880" s="61" t="s">
        <v>2506</v>
      </c>
      <c r="E4880" s="61"/>
      <c r="F4880" s="61" t="s">
        <v>4108</v>
      </c>
      <c r="G4880" s="61">
        <f>G4878/G4879</f>
        <v>0.70199999999999996</v>
      </c>
      <c r="H4880" s="61"/>
      <c r="I4880" s="61"/>
    </row>
    <row r="4881" spans="1:9" hidden="1">
      <c r="A4881" s="848"/>
      <c r="B4881" s="382" t="s">
        <v>6329</v>
      </c>
      <c r="C4881" s="49"/>
      <c r="D4881" s="61"/>
      <c r="E4881" s="61"/>
      <c r="F4881" s="61" t="s">
        <v>4108</v>
      </c>
      <c r="G4881" s="61">
        <f>G4880*25%</f>
        <v>0.17549999999999999</v>
      </c>
      <c r="H4881" s="61"/>
      <c r="I4881" s="61"/>
    </row>
    <row r="4882" spans="1:9" hidden="1">
      <c r="A4882" s="848"/>
      <c r="B4882" s="382" t="s">
        <v>5784</v>
      </c>
      <c r="C4882" s="49"/>
      <c r="D4882" s="61"/>
      <c r="E4882" s="61"/>
      <c r="F4882" s="61" t="s">
        <v>4108</v>
      </c>
      <c r="G4882" s="388">
        <f>SUM(G4880:G4881)</f>
        <v>0.87749999999999995</v>
      </c>
      <c r="H4882" s="61"/>
      <c r="I4882" s="61"/>
    </row>
    <row r="4883" spans="1:9">
      <c r="A4883" s="848"/>
      <c r="B4883" s="382"/>
      <c r="C4883" s="49"/>
      <c r="D4883" s="61"/>
      <c r="E4883" s="61"/>
      <c r="F4883" s="61"/>
      <c r="G4883" s="61"/>
      <c r="H4883" s="61"/>
      <c r="I4883" s="61"/>
    </row>
    <row r="4884" spans="1:9">
      <c r="A4884" s="889" t="s">
        <v>3984</v>
      </c>
      <c r="B4884" s="382"/>
      <c r="C4884" s="424" t="s">
        <v>6330</v>
      </c>
      <c r="D4884" s="61" t="s">
        <v>3476</v>
      </c>
      <c r="E4884" s="61" t="s">
        <v>1697</v>
      </c>
      <c r="F4884" s="248">
        <v>800</v>
      </c>
      <c r="G4884" s="61" t="s">
        <v>6550</v>
      </c>
      <c r="H4884" s="61"/>
      <c r="I4884" s="61"/>
    </row>
    <row r="4885" spans="1:9">
      <c r="A4885" s="848"/>
      <c r="B4885" s="590" t="s">
        <v>2368</v>
      </c>
      <c r="C4885" s="46"/>
      <c r="D4885" s="50"/>
      <c r="E4885" s="50"/>
      <c r="F4885" s="50"/>
      <c r="G4885" s="50"/>
      <c r="H4885" s="61"/>
      <c r="I4885" s="61"/>
    </row>
    <row r="4886" spans="1:9">
      <c r="A4886" s="848"/>
      <c r="B4886" s="591" t="s">
        <v>4442</v>
      </c>
      <c r="C4886" s="46" t="s">
        <v>4443</v>
      </c>
      <c r="D4886" s="50" t="s">
        <v>2370</v>
      </c>
      <c r="E4886" s="50" t="s">
        <v>4444</v>
      </c>
      <c r="F4886" s="50" t="s">
        <v>6247</v>
      </c>
      <c r="G4886" s="50" t="s">
        <v>6665</v>
      </c>
      <c r="H4886" s="61"/>
      <c r="I4886" s="61"/>
    </row>
    <row r="4887" spans="1:9">
      <c r="A4887" s="848"/>
      <c r="B4887" s="69">
        <v>1</v>
      </c>
      <c r="C4887" s="46" t="s">
        <v>7327</v>
      </c>
      <c r="D4887" s="50" t="s">
        <v>1791</v>
      </c>
      <c r="E4887" s="50">
        <f>G4870</f>
        <v>26400</v>
      </c>
      <c r="F4887" s="264">
        <f>'BASIC DATA'!$D$32/1000</f>
        <v>5.35</v>
      </c>
      <c r="G4887" s="264">
        <f t="shared" ref="G4887:G4893" si="66">F4887*E4887</f>
        <v>141240</v>
      </c>
      <c r="H4887" s="61"/>
      <c r="I4887" s="61"/>
    </row>
    <row r="4888" spans="1:9">
      <c r="A4888" s="848"/>
      <c r="B4888" s="69">
        <v>2</v>
      </c>
      <c r="C4888" s="46" t="s">
        <v>6995</v>
      </c>
      <c r="D4888" s="50" t="s">
        <v>3477</v>
      </c>
      <c r="E4888" s="50">
        <f>G4867</f>
        <v>45.760000000000005</v>
      </c>
      <c r="F4888" s="264">
        <f>'BASIC DATA'!$D$35</f>
        <v>1225</v>
      </c>
      <c r="G4888" s="264">
        <f t="shared" si="66"/>
        <v>56056.000000000007</v>
      </c>
      <c r="H4888" s="61"/>
      <c r="I4888" s="61"/>
    </row>
    <row r="4889" spans="1:9">
      <c r="A4889" s="848"/>
      <c r="B4889" s="69" t="s">
        <v>5785</v>
      </c>
      <c r="C4889" s="46" t="s">
        <v>6994</v>
      </c>
      <c r="D4889" s="50" t="s">
        <v>3477</v>
      </c>
      <c r="E4889" s="50">
        <f>G4868</f>
        <v>24.64</v>
      </c>
      <c r="F4889" s="264">
        <f>'BASIC DATA'!$D$34</f>
        <v>900</v>
      </c>
      <c r="G4889" s="264">
        <f t="shared" si="66"/>
        <v>22176</v>
      </c>
      <c r="H4889" s="61"/>
      <c r="I4889" s="61"/>
    </row>
    <row r="4890" spans="1:9">
      <c r="A4890" s="848"/>
      <c r="B4890" s="69">
        <v>3</v>
      </c>
      <c r="C4890" s="46" t="s">
        <v>7941</v>
      </c>
      <c r="D4890" s="50" t="s">
        <v>3477</v>
      </c>
      <c r="E4890" s="50">
        <f>G4869</f>
        <v>39.6</v>
      </c>
      <c r="F4890" s="243">
        <f>'BASIC DATA'!$D$55</f>
        <v>95</v>
      </c>
      <c r="G4890" s="264">
        <f t="shared" si="66"/>
        <v>3762</v>
      </c>
      <c r="H4890" s="61"/>
      <c r="I4890" s="61"/>
    </row>
    <row r="4891" spans="1:9">
      <c r="A4891" s="848"/>
      <c r="B4891" s="69">
        <v>4</v>
      </c>
      <c r="C4891" s="46" t="s">
        <v>4180</v>
      </c>
      <c r="D4891" s="50" t="s">
        <v>3478</v>
      </c>
      <c r="E4891" s="50">
        <f>G4871</f>
        <v>105.60000000000001</v>
      </c>
      <c r="F4891" s="243">
        <f>'BASIC DATA'!$D$99</f>
        <v>55</v>
      </c>
      <c r="G4891" s="264">
        <f t="shared" si="66"/>
        <v>5808.0000000000009</v>
      </c>
      <c r="H4891" s="61"/>
      <c r="I4891" s="61"/>
    </row>
    <row r="4892" spans="1:9">
      <c r="A4892" s="848"/>
      <c r="B4892" s="69">
        <v>5</v>
      </c>
      <c r="C4892" s="46" t="s">
        <v>959</v>
      </c>
      <c r="D4892" s="50" t="s">
        <v>3483</v>
      </c>
      <c r="E4892" s="50">
        <f>H4872</f>
        <v>533</v>
      </c>
      <c r="F4892" s="243">
        <f>'BASIC DATA'!$D$88</f>
        <v>45</v>
      </c>
      <c r="G4892" s="264">
        <f t="shared" si="66"/>
        <v>23985</v>
      </c>
      <c r="H4892" s="61"/>
      <c r="I4892" s="61"/>
    </row>
    <row r="4893" spans="1:9">
      <c r="A4893" s="848"/>
      <c r="B4893" s="69">
        <v>6</v>
      </c>
      <c r="C4893" s="46" t="s">
        <v>4181</v>
      </c>
      <c r="D4893" s="50" t="s">
        <v>3479</v>
      </c>
      <c r="E4893" s="50">
        <v>800</v>
      </c>
      <c r="F4893" s="50">
        <f>G4882</f>
        <v>0.87749999999999995</v>
      </c>
      <c r="G4893" s="264">
        <f t="shared" si="66"/>
        <v>702</v>
      </c>
      <c r="H4893" s="61"/>
      <c r="I4893" s="61"/>
    </row>
    <row r="4894" spans="1:9">
      <c r="A4894" s="848"/>
      <c r="B4894" s="591"/>
      <c r="C4894" s="46" t="s">
        <v>2114</v>
      </c>
      <c r="D4894" s="50"/>
      <c r="E4894" s="50"/>
      <c r="F4894" s="50" t="s">
        <v>4108</v>
      </c>
      <c r="G4894" s="425">
        <f>SUM(G4887:G4893)</f>
        <v>253729</v>
      </c>
      <c r="H4894" s="61"/>
      <c r="I4894" s="61"/>
    </row>
    <row r="4895" spans="1:9">
      <c r="A4895" s="848"/>
      <c r="B4895" s="382"/>
      <c r="C4895" s="49"/>
      <c r="D4895" s="61"/>
      <c r="E4895" s="61"/>
      <c r="F4895" s="61"/>
      <c r="G4895" s="61"/>
      <c r="H4895" s="61"/>
      <c r="I4895" s="61"/>
    </row>
    <row r="4896" spans="1:9">
      <c r="A4896" s="848"/>
      <c r="B4896" s="588" t="s">
        <v>6443</v>
      </c>
      <c r="C4896" s="49"/>
      <c r="D4896" s="61"/>
      <c r="E4896" s="61"/>
      <c r="F4896" s="61"/>
      <c r="G4896" s="61"/>
      <c r="H4896" s="61"/>
      <c r="I4896" s="61"/>
    </row>
    <row r="4897" spans="1:9">
      <c r="A4897" s="848"/>
      <c r="B4897" s="591" t="s">
        <v>4442</v>
      </c>
      <c r="C4897" s="46" t="s">
        <v>4443</v>
      </c>
      <c r="D4897" s="50" t="s">
        <v>2370</v>
      </c>
      <c r="E4897" s="50" t="s">
        <v>4444</v>
      </c>
      <c r="F4897" s="50" t="s">
        <v>6247</v>
      </c>
      <c r="G4897" s="50" t="s">
        <v>6665</v>
      </c>
      <c r="H4897" s="61"/>
      <c r="I4897" s="61"/>
    </row>
    <row r="4898" spans="1:9">
      <c r="A4898" s="848"/>
      <c r="B4898" s="69">
        <v>1</v>
      </c>
      <c r="C4898" s="46" t="s">
        <v>2136</v>
      </c>
      <c r="D4898" s="50" t="s">
        <v>2374</v>
      </c>
      <c r="E4898" s="50">
        <v>8</v>
      </c>
      <c r="F4898" s="243">
        <f>'HIRE CHARGES'!$D$501</f>
        <v>405.4</v>
      </c>
      <c r="G4898" s="264">
        <f t="shared" ref="G4898:G4912" si="67">F4898*E4898</f>
        <v>3243.2</v>
      </c>
      <c r="H4898" s="61"/>
      <c r="I4898" s="61"/>
    </row>
    <row r="4899" spans="1:9">
      <c r="A4899" s="848"/>
      <c r="B4899" s="69">
        <v>2</v>
      </c>
      <c r="C4899" s="46" t="s">
        <v>2336</v>
      </c>
      <c r="D4899" s="50" t="s">
        <v>2374</v>
      </c>
      <c r="E4899" s="50">
        <v>24</v>
      </c>
      <c r="F4899" s="243">
        <f>'HIRE CHARGES'!$D$492</f>
        <v>758.40000000000009</v>
      </c>
      <c r="G4899" s="264">
        <f t="shared" si="67"/>
        <v>18201.600000000002</v>
      </c>
      <c r="H4899" s="61"/>
      <c r="I4899" s="61"/>
    </row>
    <row r="4900" spans="1:9">
      <c r="A4900" s="848"/>
      <c r="B4900" s="69" t="s">
        <v>5785</v>
      </c>
      <c r="C4900" s="46" t="s">
        <v>2379</v>
      </c>
      <c r="D4900" s="50" t="s">
        <v>2374</v>
      </c>
      <c r="E4900" s="50">
        <v>24</v>
      </c>
      <c r="F4900" s="243">
        <f>'HIRE CHARGES'!$E$492</f>
        <v>872.7</v>
      </c>
      <c r="G4900" s="264">
        <f t="shared" si="67"/>
        <v>20944.800000000003</v>
      </c>
      <c r="H4900" s="61"/>
      <c r="I4900" s="61"/>
    </row>
    <row r="4901" spans="1:9">
      <c r="A4901" s="848"/>
      <c r="B4901" s="69">
        <v>3</v>
      </c>
      <c r="C4901" s="46" t="s">
        <v>2337</v>
      </c>
      <c r="D4901" s="50" t="s">
        <v>2374</v>
      </c>
      <c r="E4901" s="50">
        <v>8</v>
      </c>
      <c r="F4901" s="243">
        <f>'HIRE CHARGES'!$D$511</f>
        <v>356.5</v>
      </c>
      <c r="G4901" s="264">
        <f t="shared" si="67"/>
        <v>2852</v>
      </c>
      <c r="H4901" s="61"/>
      <c r="I4901" s="61"/>
    </row>
    <row r="4902" spans="1:9">
      <c r="A4902" s="848"/>
      <c r="B4902" s="69" t="s">
        <v>5785</v>
      </c>
      <c r="C4902" s="46" t="s">
        <v>6444</v>
      </c>
      <c r="D4902" s="50" t="s">
        <v>2374</v>
      </c>
      <c r="E4902" s="50">
        <v>8</v>
      </c>
      <c r="F4902" s="243">
        <f>F4901*5%</f>
        <v>17.824999999999999</v>
      </c>
      <c r="G4902" s="264">
        <f t="shared" si="67"/>
        <v>142.6</v>
      </c>
      <c r="H4902" s="61"/>
      <c r="I4902" s="61"/>
    </row>
    <row r="4903" spans="1:9">
      <c r="A4903" s="848"/>
      <c r="B4903" s="69">
        <v>4</v>
      </c>
      <c r="C4903" s="46" t="s">
        <v>2338</v>
      </c>
      <c r="D4903" s="50" t="s">
        <v>2374</v>
      </c>
      <c r="E4903" s="50">
        <v>8</v>
      </c>
      <c r="F4903" s="243">
        <f>'HIRE CHARGES'!$D$515</f>
        <v>85.1</v>
      </c>
      <c r="G4903" s="264">
        <f t="shared" si="67"/>
        <v>680.8</v>
      </c>
      <c r="H4903" s="61"/>
      <c r="I4903" s="61"/>
    </row>
    <row r="4904" spans="1:9">
      <c r="A4904" s="848"/>
      <c r="B4904" s="69" t="s">
        <v>5785</v>
      </c>
      <c r="C4904" s="46" t="s">
        <v>2379</v>
      </c>
      <c r="D4904" s="50" t="s">
        <v>2374</v>
      </c>
      <c r="E4904" s="50">
        <v>8</v>
      </c>
      <c r="F4904" s="243">
        <f>'HIRE CHARGES'!$E$515</f>
        <v>952.1</v>
      </c>
      <c r="G4904" s="264">
        <f t="shared" si="67"/>
        <v>7616.8</v>
      </c>
      <c r="H4904" s="61"/>
      <c r="I4904" s="61"/>
    </row>
    <row r="4905" spans="1:9">
      <c r="A4905" s="848"/>
      <c r="B4905" s="69">
        <v>5</v>
      </c>
      <c r="C4905" s="46" t="s">
        <v>2339</v>
      </c>
      <c r="D4905" s="50" t="s">
        <v>2374</v>
      </c>
      <c r="E4905" s="50">
        <v>8</v>
      </c>
      <c r="F4905" s="243">
        <f>'HIRE CHARGES'!$D$514</f>
        <v>65.8</v>
      </c>
      <c r="G4905" s="264">
        <f t="shared" si="67"/>
        <v>526.4</v>
      </c>
      <c r="H4905" s="61"/>
      <c r="I4905" s="61"/>
    </row>
    <row r="4906" spans="1:9">
      <c r="A4906" s="848"/>
      <c r="B4906" s="69"/>
      <c r="C4906" s="46" t="s">
        <v>2379</v>
      </c>
      <c r="D4906" s="50" t="s">
        <v>2374</v>
      </c>
      <c r="E4906" s="50">
        <v>8</v>
      </c>
      <c r="F4906" s="243">
        <f>'HIRE CHARGES'!$E$514</f>
        <v>634.70000000000005</v>
      </c>
      <c r="G4906" s="264">
        <f t="shared" si="67"/>
        <v>5077.6000000000004</v>
      </c>
      <c r="H4906" s="61"/>
      <c r="I4906" s="61"/>
    </row>
    <row r="4907" spans="1:9">
      <c r="A4907" s="848"/>
      <c r="B4907" s="69">
        <v>6</v>
      </c>
      <c r="C4907" s="422" t="s">
        <v>2340</v>
      </c>
      <c r="D4907" s="426" t="s">
        <v>2374</v>
      </c>
      <c r="E4907" s="419">
        <v>2</v>
      </c>
      <c r="F4907" s="419">
        <f>'HIRE CHARGES'!$D$542</f>
        <v>1003.1</v>
      </c>
      <c r="G4907" s="427">
        <f t="shared" si="67"/>
        <v>2006.2</v>
      </c>
      <c r="H4907" s="61"/>
      <c r="I4907" s="61"/>
    </row>
    <row r="4908" spans="1:9">
      <c r="A4908" s="848"/>
      <c r="B4908" s="69"/>
      <c r="C4908" s="428" t="s">
        <v>2379</v>
      </c>
      <c r="D4908" s="429" t="s">
        <v>2374</v>
      </c>
      <c r="E4908" s="421">
        <v>2</v>
      </c>
      <c r="F4908" s="419">
        <f>'HIRE CHARGES'!$E$542</f>
        <v>476</v>
      </c>
      <c r="G4908" s="427">
        <f t="shared" si="67"/>
        <v>952</v>
      </c>
      <c r="H4908" s="61"/>
      <c r="I4908" s="61"/>
    </row>
    <row r="4909" spans="1:9">
      <c r="A4909" s="848"/>
      <c r="B4909" s="69">
        <v>7</v>
      </c>
      <c r="C4909" s="46" t="s">
        <v>2341</v>
      </c>
      <c r="D4909" s="50" t="s">
        <v>2374</v>
      </c>
      <c r="E4909" s="50">
        <v>8</v>
      </c>
      <c r="F4909" s="264">
        <f>'HIRE CHARGES'!$D$555</f>
        <v>402.5</v>
      </c>
      <c r="G4909" s="264">
        <f t="shared" si="67"/>
        <v>3220</v>
      </c>
      <c r="H4909" s="61"/>
      <c r="I4909" s="61"/>
    </row>
    <row r="4910" spans="1:9">
      <c r="A4910" s="848"/>
      <c r="B4910" s="69"/>
      <c r="C4910" s="46" t="s">
        <v>2379</v>
      </c>
      <c r="D4910" s="50" t="s">
        <v>2374</v>
      </c>
      <c r="E4910" s="50">
        <v>8</v>
      </c>
      <c r="F4910" s="264">
        <f>'HIRE CHARGES'!$E$555</f>
        <v>299.89999999999998</v>
      </c>
      <c r="G4910" s="264">
        <f t="shared" si="67"/>
        <v>2399.1999999999998</v>
      </c>
      <c r="H4910" s="61"/>
      <c r="I4910" s="61"/>
    </row>
    <row r="4911" spans="1:9" ht="36">
      <c r="A4911" s="848"/>
      <c r="B4911" s="69">
        <v>8</v>
      </c>
      <c r="C4911" s="46" t="s">
        <v>5786</v>
      </c>
      <c r="D4911" s="50" t="s">
        <v>2374</v>
      </c>
      <c r="E4911" s="50">
        <v>8</v>
      </c>
      <c r="F4911" s="264">
        <f>'HIRE CHARGES'!$D$517</f>
        <v>10.199999999999999</v>
      </c>
      <c r="G4911" s="264">
        <f t="shared" si="67"/>
        <v>81.599999999999994</v>
      </c>
      <c r="H4911" s="61"/>
      <c r="I4911" s="61"/>
    </row>
    <row r="4912" spans="1:9">
      <c r="A4912" s="848"/>
      <c r="B4912" s="591"/>
      <c r="C4912" s="46" t="s">
        <v>2379</v>
      </c>
      <c r="D4912" s="50"/>
      <c r="E4912" s="50">
        <v>8</v>
      </c>
      <c r="F4912" s="264">
        <f>'HIRE CHARGES'!$E$517</f>
        <v>79.3</v>
      </c>
      <c r="G4912" s="264">
        <f t="shared" si="67"/>
        <v>634.4</v>
      </c>
      <c r="H4912" s="61"/>
      <c r="I4912" s="61"/>
    </row>
    <row r="4913" spans="1:9">
      <c r="A4913" s="848"/>
      <c r="B4913" s="591"/>
      <c r="C4913" s="46" t="s">
        <v>6445</v>
      </c>
      <c r="D4913" s="50"/>
      <c r="E4913" s="50"/>
      <c r="F4913" s="50" t="s">
        <v>4108</v>
      </c>
      <c r="G4913" s="50">
        <f>SUM(G4898:G4912)</f>
        <v>68579.200000000012</v>
      </c>
      <c r="H4913" s="61"/>
      <c r="I4913" s="61"/>
    </row>
    <row r="4914" spans="1:9">
      <c r="A4914" s="848"/>
      <c r="B4914" s="382"/>
      <c r="C4914" s="49"/>
      <c r="D4914" s="61"/>
      <c r="E4914" s="61"/>
      <c r="F4914" s="61"/>
      <c r="G4914" s="61"/>
      <c r="H4914" s="61"/>
      <c r="I4914" s="61"/>
    </row>
    <row r="4915" spans="1:9">
      <c r="A4915" s="847"/>
      <c r="B4915" s="592" t="s">
        <v>2381</v>
      </c>
      <c r="C4915" s="110"/>
      <c r="D4915" s="95"/>
      <c r="E4915" s="178"/>
      <c r="F4915" s="179"/>
      <c r="G4915" s="179"/>
    </row>
    <row r="4916" spans="1:9">
      <c r="A4916" s="847"/>
      <c r="B4916" s="153" t="s">
        <v>2369</v>
      </c>
      <c r="C4916" s="110" t="s">
        <v>2378</v>
      </c>
      <c r="D4916" s="95" t="s">
        <v>2370</v>
      </c>
      <c r="E4916" s="178" t="s">
        <v>1166</v>
      </c>
      <c r="F4916" s="179" t="s">
        <v>2371</v>
      </c>
      <c r="G4916" s="179" t="s">
        <v>2372</v>
      </c>
    </row>
    <row r="4917" spans="1:9">
      <c r="A4917" s="847"/>
      <c r="B4917" s="226"/>
      <c r="C4917" s="119"/>
      <c r="D4917" s="114"/>
      <c r="E4917" s="181"/>
      <c r="F4917" s="182" t="s">
        <v>3485</v>
      </c>
      <c r="G4917" s="190" t="s">
        <v>3485</v>
      </c>
    </row>
    <row r="4918" spans="1:9">
      <c r="A4918" s="847"/>
      <c r="B4918" s="95">
        <v>1</v>
      </c>
      <c r="C4918" s="86" t="s">
        <v>158</v>
      </c>
      <c r="D4918" s="105" t="s">
        <v>2374</v>
      </c>
      <c r="E4918" s="207">
        <v>8</v>
      </c>
      <c r="F4918" s="190">
        <f>'HIRE CHARGES'!$F$501</f>
        <v>340.6</v>
      </c>
      <c r="G4918" s="190">
        <f>F4918*E4918</f>
        <v>2724.8</v>
      </c>
    </row>
    <row r="4919" spans="1:9">
      <c r="A4919" s="847"/>
      <c r="B4919" s="105">
        <v>2</v>
      </c>
      <c r="C4919" s="137" t="s">
        <v>1062</v>
      </c>
      <c r="D4919" s="276" t="s">
        <v>2374</v>
      </c>
      <c r="E4919" s="207">
        <v>24</v>
      </c>
      <c r="F4919" s="214">
        <f>'HIRE CHARGES'!$F$492</f>
        <v>283.89999999999998</v>
      </c>
      <c r="G4919" s="190">
        <f t="shared" ref="G4919:G4931" si="68">F4919*E4919</f>
        <v>6813.5999999999995</v>
      </c>
    </row>
    <row r="4920" spans="1:9">
      <c r="A4920" s="847"/>
      <c r="B4920" s="105">
        <v>3</v>
      </c>
      <c r="C4920" s="137" t="s">
        <v>1063</v>
      </c>
      <c r="D4920" s="276" t="s">
        <v>2374</v>
      </c>
      <c r="E4920" s="207">
        <v>8</v>
      </c>
      <c r="F4920" s="221">
        <f>'HIRE CHARGES'!$F$511</f>
        <v>421.8</v>
      </c>
      <c r="G4920" s="190">
        <f t="shared" si="68"/>
        <v>3374.4</v>
      </c>
    </row>
    <row r="4921" spans="1:9">
      <c r="A4921" s="847"/>
      <c r="B4921" s="105">
        <v>4</v>
      </c>
      <c r="C4921" s="137" t="s">
        <v>1064</v>
      </c>
      <c r="D4921" s="276" t="s">
        <v>2374</v>
      </c>
      <c r="E4921" s="207">
        <v>16</v>
      </c>
      <c r="F4921" s="214">
        <f>'HIRE CHARGES'!$F$515</f>
        <v>131.80000000000001</v>
      </c>
      <c r="G4921" s="190">
        <f t="shared" si="68"/>
        <v>2108.8000000000002</v>
      </c>
    </row>
    <row r="4922" spans="1:9">
      <c r="A4922" s="847"/>
      <c r="B4922" s="105">
        <v>5</v>
      </c>
      <c r="C4922" s="137" t="s">
        <v>300</v>
      </c>
      <c r="D4922" s="105" t="s">
        <v>2374</v>
      </c>
      <c r="E4922" s="190">
        <v>2</v>
      </c>
      <c r="F4922" s="190">
        <f>'HIRE CHARGES'!$F$542</f>
        <v>236.6</v>
      </c>
      <c r="G4922" s="190">
        <f t="shared" si="68"/>
        <v>473.2</v>
      </c>
    </row>
    <row r="4923" spans="1:9">
      <c r="A4923" s="847"/>
      <c r="B4923" s="105">
        <v>6</v>
      </c>
      <c r="C4923" s="137" t="s">
        <v>1000</v>
      </c>
      <c r="D4923" s="105" t="s">
        <v>2374</v>
      </c>
      <c r="E4923" s="210">
        <v>8</v>
      </c>
      <c r="F4923" s="430">
        <f>'HIRE CHARGES'!$F$555</f>
        <v>177.5</v>
      </c>
      <c r="G4923" s="190">
        <f t="shared" si="68"/>
        <v>1420</v>
      </c>
    </row>
    <row r="4924" spans="1:9">
      <c r="A4924" s="847"/>
      <c r="B4924" s="105">
        <v>7</v>
      </c>
      <c r="C4924" s="422" t="s">
        <v>999</v>
      </c>
      <c r="D4924" s="105" t="s">
        <v>2374</v>
      </c>
      <c r="E4924" s="210">
        <v>8</v>
      </c>
      <c r="F4924" s="190">
        <f>'HIRE CHARGES'!$F$517</f>
        <v>111.1</v>
      </c>
      <c r="G4924" s="190">
        <f t="shared" si="68"/>
        <v>888.8</v>
      </c>
    </row>
    <row r="4925" spans="1:9">
      <c r="A4925" s="847"/>
      <c r="B4925" s="105">
        <v>8</v>
      </c>
      <c r="C4925" s="422" t="s">
        <v>5606</v>
      </c>
      <c r="D4925" s="105" t="s">
        <v>1172</v>
      </c>
      <c r="E4925" s="210">
        <v>2</v>
      </c>
      <c r="F4925" s="190">
        <f>'BASIC DATA'!$C$474</f>
        <v>445</v>
      </c>
      <c r="G4925" s="190">
        <f t="shared" si="68"/>
        <v>890</v>
      </c>
    </row>
    <row r="4926" spans="1:9">
      <c r="A4926" s="847"/>
      <c r="B4926" s="105">
        <v>9</v>
      </c>
      <c r="C4926" s="422" t="s">
        <v>1065</v>
      </c>
      <c r="D4926" s="105" t="s">
        <v>1172</v>
      </c>
      <c r="E4926" s="210">
        <v>1</v>
      </c>
      <c r="F4926" s="190">
        <f>'BASIC DATA'!$C$475</f>
        <v>475</v>
      </c>
      <c r="G4926" s="190">
        <f t="shared" si="68"/>
        <v>475</v>
      </c>
    </row>
    <row r="4927" spans="1:9">
      <c r="A4927" s="847"/>
      <c r="B4927" s="105">
        <v>10</v>
      </c>
      <c r="C4927" s="422" t="s">
        <v>1066</v>
      </c>
      <c r="D4927" s="105" t="s">
        <v>1172</v>
      </c>
      <c r="E4927" s="210">
        <v>1</v>
      </c>
      <c r="F4927" s="190">
        <f>'BASIC DATA'!$C$475</f>
        <v>475</v>
      </c>
      <c r="G4927" s="190">
        <f t="shared" si="68"/>
        <v>475</v>
      </c>
    </row>
    <row r="4928" spans="1:9">
      <c r="A4928" s="847"/>
      <c r="B4928" s="105">
        <v>11</v>
      </c>
      <c r="C4928" s="422" t="s">
        <v>5604</v>
      </c>
      <c r="D4928" s="105" t="s">
        <v>1172</v>
      </c>
      <c r="E4928" s="210">
        <v>1</v>
      </c>
      <c r="F4928" s="214">
        <f>'BASIC DATA'!$C$468</f>
        <v>515</v>
      </c>
      <c r="G4928" s="190">
        <f t="shared" si="68"/>
        <v>515</v>
      </c>
    </row>
    <row r="4929" spans="1:9">
      <c r="A4929" s="847"/>
      <c r="B4929" s="105">
        <v>12</v>
      </c>
      <c r="C4929" s="422" t="s">
        <v>4206</v>
      </c>
      <c r="D4929" s="105" t="s">
        <v>1172</v>
      </c>
      <c r="E4929" s="210">
        <v>2</v>
      </c>
      <c r="F4929" s="190">
        <f>'BASIC DATA'!$C$473</f>
        <v>450</v>
      </c>
      <c r="G4929" s="190">
        <f t="shared" si="68"/>
        <v>900</v>
      </c>
    </row>
    <row r="4930" spans="1:9">
      <c r="A4930" s="847"/>
      <c r="B4930" s="105">
        <v>13</v>
      </c>
      <c r="C4930" s="422" t="s">
        <v>1808</v>
      </c>
      <c r="D4930" s="105" t="s">
        <v>1172</v>
      </c>
      <c r="E4930" s="210">
        <v>5</v>
      </c>
      <c r="F4930" s="190">
        <f>'BASIC DATA'!$C$552</f>
        <v>350</v>
      </c>
      <c r="G4930" s="190">
        <f t="shared" si="68"/>
        <v>1750</v>
      </c>
    </row>
    <row r="4931" spans="1:9">
      <c r="A4931" s="847"/>
      <c r="B4931" s="237">
        <v>14</v>
      </c>
      <c r="C4931" s="431" t="s">
        <v>1809</v>
      </c>
      <c r="D4931" s="237" t="s">
        <v>1172</v>
      </c>
      <c r="E4931" s="277">
        <v>10</v>
      </c>
      <c r="F4931" s="190">
        <f>'BASIC DATA'!$C$552</f>
        <v>350</v>
      </c>
      <c r="G4931" s="190">
        <f t="shared" si="68"/>
        <v>3500</v>
      </c>
      <c r="H4931" s="61"/>
      <c r="I4931" s="61"/>
    </row>
    <row r="4932" spans="1:9">
      <c r="A4932" s="847"/>
      <c r="B4932" s="158"/>
      <c r="C4932" s="406" t="s">
        <v>1174</v>
      </c>
      <c r="D4932" s="159"/>
      <c r="E4932" s="159"/>
      <c r="F4932" s="159" t="s">
        <v>1698</v>
      </c>
      <c r="G4932" s="407">
        <f>SUM(G4918:G4931)</f>
        <v>26308.6</v>
      </c>
    </row>
    <row r="4933" spans="1:9">
      <c r="A4933" s="848"/>
      <c r="B4933" s="359" t="s">
        <v>5948</v>
      </c>
      <c r="C4933" s="49"/>
      <c r="D4933" s="31"/>
      <c r="E4933" s="85">
        <f>ROUND(G4932/F4884,1)</f>
        <v>32.9</v>
      </c>
      <c r="F4933" s="61"/>
      <c r="G4933" s="61"/>
      <c r="H4933" s="61"/>
      <c r="I4933" s="61"/>
    </row>
    <row r="4934" spans="1:9">
      <c r="A4934" s="848"/>
      <c r="B4934" s="359" t="s">
        <v>3163</v>
      </c>
      <c r="C4934" s="49"/>
      <c r="D4934" s="922">
        <f>'BASIC DATA'!$C$577</f>
        <v>0.13614999999999999</v>
      </c>
      <c r="E4934" s="85">
        <f>ROUND(E4933*D4934,1)</f>
        <v>4.5</v>
      </c>
      <c r="F4934" s="61"/>
      <c r="G4934" s="61"/>
      <c r="H4934" s="61"/>
      <c r="I4934" s="61"/>
    </row>
    <row r="4935" spans="1:9">
      <c r="A4935" s="848"/>
      <c r="B4935" s="359" t="s">
        <v>5949</v>
      </c>
      <c r="C4935" s="49"/>
      <c r="D4935" s="31"/>
      <c r="E4935" s="199">
        <f>ROUND(E4934+E4933,1)</f>
        <v>37.4</v>
      </c>
      <c r="F4935" s="61"/>
      <c r="G4935" s="61"/>
      <c r="H4935" s="61"/>
      <c r="I4935" s="61"/>
    </row>
    <row r="4936" spans="1:9">
      <c r="A4936" s="848"/>
      <c r="B4936" s="382"/>
      <c r="C4936" s="49"/>
      <c r="D4936" s="61"/>
      <c r="E4936" s="61"/>
      <c r="F4936" s="61"/>
      <c r="G4936" s="61"/>
      <c r="H4936" s="61"/>
      <c r="I4936" s="61"/>
    </row>
    <row r="4937" spans="1:9">
      <c r="A4937" s="848"/>
      <c r="B4937" s="382" t="s">
        <v>6765</v>
      </c>
      <c r="C4937" s="49"/>
      <c r="D4937" s="61"/>
      <c r="E4937" s="61"/>
      <c r="F4937" s="61"/>
      <c r="G4937" s="61"/>
      <c r="H4937" s="61"/>
      <c r="I4937" s="61"/>
    </row>
    <row r="4938" spans="1:9">
      <c r="A4938" s="848"/>
      <c r="B4938" s="382" t="s">
        <v>1176</v>
      </c>
      <c r="C4938" s="49"/>
      <c r="D4938" s="61"/>
      <c r="E4938" s="61"/>
      <c r="F4938" s="61" t="s">
        <v>4108</v>
      </c>
      <c r="G4938" s="61">
        <f>G4894</f>
        <v>253729</v>
      </c>
      <c r="H4938" s="61"/>
      <c r="I4938" s="61"/>
    </row>
    <row r="4939" spans="1:9">
      <c r="A4939" s="848"/>
      <c r="B4939" s="382" t="s">
        <v>1186</v>
      </c>
      <c r="C4939" s="49"/>
      <c r="D4939" s="61"/>
      <c r="E4939" s="61"/>
      <c r="F4939" s="61" t="s">
        <v>4108</v>
      </c>
      <c r="G4939" s="61">
        <f>G4913</f>
        <v>68579.200000000012</v>
      </c>
      <c r="H4939" s="61"/>
      <c r="I4939" s="61"/>
    </row>
    <row r="4940" spans="1:9">
      <c r="A4940" s="848"/>
      <c r="B4940" s="382" t="s">
        <v>2660</v>
      </c>
      <c r="C4940" s="49"/>
      <c r="D4940" s="61"/>
      <c r="E4940" s="61"/>
      <c r="F4940" s="61" t="s">
        <v>4108</v>
      </c>
      <c r="G4940" s="223">
        <f>G4932</f>
        <v>26308.6</v>
      </c>
      <c r="H4940" s="61"/>
      <c r="I4940" s="61"/>
    </row>
    <row r="4941" spans="1:9">
      <c r="A4941" s="848"/>
      <c r="B4941" s="382"/>
      <c r="C4941" s="49"/>
      <c r="D4941" s="61"/>
      <c r="E4941" s="61"/>
      <c r="F4941" s="61" t="s">
        <v>5787</v>
      </c>
      <c r="G4941" s="388">
        <f>SUM(G4938:G4940)</f>
        <v>348616.8</v>
      </c>
      <c r="H4941" s="61"/>
      <c r="I4941" s="61"/>
    </row>
    <row r="4942" spans="1:9">
      <c r="A4942" s="848"/>
      <c r="B4942" s="382" t="s">
        <v>1067</v>
      </c>
      <c r="C4942" s="49"/>
      <c r="D4942" s="61"/>
      <c r="E4942" s="290">
        <f>'BASIC DATA'!$C$580</f>
        <v>0.02</v>
      </c>
      <c r="F4942" s="61" t="s">
        <v>4108</v>
      </c>
      <c r="G4942" s="61">
        <f>G4941*E4942</f>
        <v>6972.3360000000002</v>
      </c>
      <c r="H4942" s="61"/>
      <c r="I4942" s="61"/>
    </row>
    <row r="4943" spans="1:9">
      <c r="A4943" s="848"/>
      <c r="B4943" s="382" t="s">
        <v>5859</v>
      </c>
      <c r="C4943" s="49"/>
      <c r="D4943" s="61"/>
      <c r="E4943" s="423">
        <f>'BASIC DATA'!$C$581</f>
        <v>5.0000000000000001E-3</v>
      </c>
      <c r="F4943" s="61" t="s">
        <v>4108</v>
      </c>
      <c r="G4943" s="61">
        <f>G4941*E4943</f>
        <v>1743.0840000000001</v>
      </c>
      <c r="H4943" s="61"/>
      <c r="I4943" s="61"/>
    </row>
    <row r="4944" spans="1:9">
      <c r="A4944" s="848"/>
      <c r="B4944" s="382" t="s">
        <v>1036</v>
      </c>
      <c r="C4944" s="49"/>
      <c r="D4944" s="61"/>
      <c r="E4944" s="290">
        <f>'BASIC DATA'!$C$582</f>
        <v>0.01</v>
      </c>
      <c r="F4944" s="61" t="s">
        <v>4108</v>
      </c>
      <c r="G4944" s="61">
        <f>G4941*E4944</f>
        <v>3486.1680000000001</v>
      </c>
      <c r="H4944" s="61"/>
      <c r="I4944" s="61"/>
    </row>
    <row r="4945" spans="1:9">
      <c r="A4945" s="848"/>
      <c r="B4945" s="62"/>
      <c r="C4945" s="49"/>
      <c r="D4945" s="61"/>
      <c r="E4945" s="320"/>
      <c r="F4945" s="222" t="s">
        <v>302</v>
      </c>
      <c r="G4945" s="381">
        <f>SUM(G4941:G4944)</f>
        <v>360818.38799999998</v>
      </c>
      <c r="H4945" s="61"/>
      <c r="I4945" s="61"/>
    </row>
    <row r="4946" spans="1:9">
      <c r="A4946" s="848"/>
      <c r="B4946" s="1207" t="s">
        <v>5888</v>
      </c>
      <c r="C4946" s="1207"/>
      <c r="D4946" s="1207"/>
      <c r="E4946" s="922">
        <f>'BASIC DATA'!$C$577</f>
        <v>0.13614999999999999</v>
      </c>
      <c r="F4946" s="171" t="s">
        <v>1698</v>
      </c>
      <c r="G4946" s="31">
        <f>ROUND(G4945*E4946,2)</f>
        <v>49125.42</v>
      </c>
      <c r="H4946" s="61"/>
      <c r="I4946" s="61"/>
    </row>
    <row r="4947" spans="1:9">
      <c r="A4947" s="848"/>
      <c r="B4947" s="27" t="s">
        <v>9590</v>
      </c>
      <c r="C4947" s="43"/>
      <c r="D4947" s="779">
        <f>E4890</f>
        <v>39.6</v>
      </c>
      <c r="E4947" s="201" t="s">
        <v>9591</v>
      </c>
      <c r="F4947" s="68" t="str">
        <f>CONCATENATE((leadcharges!$D$65)," ","Rs./Cum")</f>
        <v>31.5 Rs./Cum</v>
      </c>
      <c r="G4947" s="200">
        <f>leadcharges!$D$65*D4947</f>
        <v>1247.4000000000001</v>
      </c>
      <c r="H4947" s="61"/>
      <c r="I4947" s="61"/>
    </row>
    <row r="4948" spans="1:9">
      <c r="A4948" s="848"/>
      <c r="B4948" s="27" t="s">
        <v>9589</v>
      </c>
      <c r="C4948" s="43"/>
      <c r="D4948" s="779">
        <f>SUM(E4888:E4889)</f>
        <v>70.400000000000006</v>
      </c>
      <c r="E4948" s="201" t="s">
        <v>9591</v>
      </c>
      <c r="F4948" s="68" t="str">
        <f>CONCATENATE((leadcharges!$E$65)," ","Rs./Cum")</f>
        <v>30.4 Rs./Cum</v>
      </c>
      <c r="G4948" s="294">
        <f>leadcharges!$E$65*D4948</f>
        <v>2140.16</v>
      </c>
      <c r="H4948" s="61"/>
      <c r="I4948" s="61"/>
    </row>
    <row r="4949" spans="1:9" ht="38.25" hidden="1" customHeight="1">
      <c r="A4949" s="848"/>
      <c r="B4949" s="1207"/>
      <c r="C4949" s="1207"/>
      <c r="D4949" s="779"/>
      <c r="E4949" s="201"/>
      <c r="F4949" s="68"/>
      <c r="G4949" s="200"/>
      <c r="H4949" s="61"/>
      <c r="I4949" s="61"/>
    </row>
    <row r="4950" spans="1:9">
      <c r="A4950" s="848"/>
      <c r="B4950" s="47" t="s">
        <v>1191</v>
      </c>
      <c r="C4950" s="48"/>
      <c r="D4950" s="68">
        <f>F4884</f>
        <v>800</v>
      </c>
      <c r="E4950" s="68" t="str">
        <f>G4884</f>
        <v xml:space="preserve">Sqm </v>
      </c>
      <c r="F4950" s="171" t="s">
        <v>1698</v>
      </c>
      <c r="G4950" s="211">
        <f>SUM(G4945:G4949)</f>
        <v>413331.36799999996</v>
      </c>
      <c r="H4950" s="61"/>
      <c r="I4950" s="61"/>
    </row>
    <row r="4951" spans="1:9">
      <c r="A4951" s="848"/>
      <c r="B4951" s="79" t="s">
        <v>1584</v>
      </c>
      <c r="C4951" s="404" t="str">
        <f>E4950</f>
        <v xml:space="preserve">Sqm </v>
      </c>
      <c r="D4951" s="26" t="s">
        <v>5889</v>
      </c>
      <c r="F4951" s="171" t="s">
        <v>4108</v>
      </c>
      <c r="G4951" s="211">
        <f>ROUND(G4950/D4950,1)</f>
        <v>516.70000000000005</v>
      </c>
      <c r="H4951" s="61"/>
      <c r="I4951" s="61"/>
    </row>
    <row r="4952" spans="1:9">
      <c r="A4952" s="847"/>
      <c r="B4952" s="78"/>
      <c r="C4952" s="48"/>
    </row>
    <row r="4953" spans="1:9">
      <c r="A4953" s="847"/>
      <c r="B4953" s="78"/>
      <c r="C4953" s="48"/>
    </row>
    <row r="4954" spans="1:9" ht="18.75">
      <c r="A4954" s="841" t="s">
        <v>7476</v>
      </c>
      <c r="B4954" s="47" t="s">
        <v>8772</v>
      </c>
      <c r="C4954" s="48"/>
    </row>
    <row r="4955" spans="1:9">
      <c r="A4955" s="889"/>
      <c r="B4955" s="47" t="s">
        <v>2301</v>
      </c>
      <c r="C4955" s="48"/>
    </row>
    <row r="4956" spans="1:9">
      <c r="A4956" s="889"/>
      <c r="B4956" s="47" t="s">
        <v>3935</v>
      </c>
      <c r="C4956" s="48"/>
    </row>
    <row r="4957" spans="1:9" ht="18.75">
      <c r="A4957" s="895"/>
      <c r="B4957" s="47" t="s">
        <v>8773</v>
      </c>
      <c r="C4957" s="48"/>
    </row>
    <row r="4958" spans="1:9">
      <c r="A4958" s="889"/>
      <c r="C4958" s="48"/>
      <c r="F4958" s="78"/>
    </row>
    <row r="4959" spans="1:9">
      <c r="A4959" s="890" t="s">
        <v>1940</v>
      </c>
      <c r="B4959" s="47" t="s">
        <v>6272</v>
      </c>
      <c r="C4959" s="48"/>
    </row>
    <row r="4960" spans="1:9">
      <c r="A4960" s="889"/>
      <c r="B4960" s="47" t="s">
        <v>932</v>
      </c>
      <c r="C4960" s="48"/>
    </row>
    <row r="4961" spans="1:7">
      <c r="A4961" s="889"/>
      <c r="C4961" s="48"/>
    </row>
    <row r="4962" spans="1:7" hidden="1">
      <c r="A4962" s="889" t="s">
        <v>3984</v>
      </c>
      <c r="B4962" s="47" t="s">
        <v>6644</v>
      </c>
      <c r="C4962" s="48"/>
      <c r="F4962" s="78"/>
    </row>
    <row r="4963" spans="1:7" hidden="1">
      <c r="A4963" s="889"/>
      <c r="B4963" s="47" t="s">
        <v>6645</v>
      </c>
      <c r="C4963" s="48"/>
    </row>
    <row r="4964" spans="1:7" hidden="1">
      <c r="A4964" s="889"/>
      <c r="B4964" s="47" t="s">
        <v>6646</v>
      </c>
      <c r="C4964" s="48"/>
    </row>
    <row r="4965" spans="1:7" hidden="1">
      <c r="A4965" s="889"/>
      <c r="B4965" s="47" t="s">
        <v>3366</v>
      </c>
      <c r="C4965" s="48"/>
    </row>
    <row r="4966" spans="1:7" hidden="1">
      <c r="A4966" s="889"/>
      <c r="B4966" s="47" t="s">
        <v>3367</v>
      </c>
      <c r="C4966" s="48"/>
    </row>
    <row r="4967" spans="1:7" hidden="1">
      <c r="A4967" s="889"/>
      <c r="B4967" s="47" t="s">
        <v>3368</v>
      </c>
      <c r="C4967" s="48"/>
    </row>
    <row r="4968" spans="1:7" hidden="1">
      <c r="A4968" s="889"/>
      <c r="B4968" s="47" t="s">
        <v>1690</v>
      </c>
      <c r="C4968" s="48"/>
    </row>
    <row r="4969" spans="1:7" hidden="1">
      <c r="A4969" s="889"/>
      <c r="B4969" s="47" t="s">
        <v>2085</v>
      </c>
      <c r="C4969" s="48"/>
    </row>
    <row r="4970" spans="1:7">
      <c r="A4970" s="847"/>
      <c r="B4970" s="78"/>
      <c r="C4970" s="48"/>
    </row>
    <row r="4971" spans="1:7">
      <c r="A4971" s="847"/>
      <c r="B4971" s="78"/>
      <c r="C4971" s="48"/>
    </row>
    <row r="4972" spans="1:7">
      <c r="A4972" s="889" t="s">
        <v>3984</v>
      </c>
      <c r="B4972" s="78"/>
      <c r="C4972" s="349" t="s">
        <v>2367</v>
      </c>
      <c r="E4972" s="171" t="s">
        <v>297</v>
      </c>
      <c r="F4972" s="246">
        <v>1</v>
      </c>
      <c r="G4972" s="26" t="s">
        <v>2086</v>
      </c>
    </row>
    <row r="4973" spans="1:7">
      <c r="A4973" s="847"/>
      <c r="B4973" s="79" t="s">
        <v>2368</v>
      </c>
      <c r="C4973" s="48"/>
    </row>
    <row r="4974" spans="1:7">
      <c r="A4974" s="847"/>
      <c r="B4974" s="95" t="s">
        <v>2369</v>
      </c>
      <c r="C4974" s="350" t="s">
        <v>6374</v>
      </c>
      <c r="D4974" s="95" t="s">
        <v>2370</v>
      </c>
      <c r="E4974" s="95" t="s">
        <v>1166</v>
      </c>
      <c r="F4974" s="95" t="s">
        <v>2371</v>
      </c>
      <c r="G4974" s="95" t="s">
        <v>2372</v>
      </c>
    </row>
    <row r="4975" spans="1:7">
      <c r="A4975" s="847"/>
      <c r="B4975" s="114"/>
      <c r="C4975" s="351"/>
      <c r="D4975" s="114"/>
      <c r="E4975" s="114"/>
      <c r="F4975" s="114" t="s">
        <v>3485</v>
      </c>
      <c r="G4975" s="114" t="s">
        <v>3485</v>
      </c>
    </row>
    <row r="4976" spans="1:7">
      <c r="A4976" s="847"/>
      <c r="B4976" s="95">
        <v>1</v>
      </c>
      <c r="C4976" s="86" t="s">
        <v>6976</v>
      </c>
      <c r="D4976" s="95"/>
      <c r="E4976" s="220">
        <v>0</v>
      </c>
      <c r="F4976" s="214">
        <v>0</v>
      </c>
    </row>
    <row r="4977" spans="1:7">
      <c r="A4977" s="847"/>
      <c r="B4977" s="116"/>
      <c r="C4977" s="355"/>
      <c r="D4977" s="114"/>
      <c r="E4977" s="220"/>
      <c r="F4977" s="214"/>
      <c r="G4977" s="214"/>
    </row>
    <row r="4978" spans="1:7">
      <c r="A4978" s="847"/>
      <c r="B4978" s="92"/>
      <c r="C4978" s="353" t="s">
        <v>2376</v>
      </c>
      <c r="D4978" s="159"/>
      <c r="E4978" s="238"/>
      <c r="F4978" s="236" t="s">
        <v>1698</v>
      </c>
      <c r="G4978" s="318">
        <f>SUM(G4976:G4977)</f>
        <v>0</v>
      </c>
    </row>
    <row r="4979" spans="1:7">
      <c r="A4979" s="847"/>
      <c r="B4979" s="78"/>
      <c r="C4979" s="48"/>
    </row>
    <row r="4980" spans="1:7">
      <c r="A4980" s="847"/>
      <c r="B4980" s="79" t="s">
        <v>2377</v>
      </c>
      <c r="C4980" s="48"/>
    </row>
    <row r="4981" spans="1:7">
      <c r="A4981" s="847"/>
      <c r="B4981" s="95" t="s">
        <v>2369</v>
      </c>
      <c r="C4981" s="350" t="s">
        <v>2378</v>
      </c>
      <c r="D4981" s="95" t="s">
        <v>2370</v>
      </c>
      <c r="E4981" s="95" t="s">
        <v>1166</v>
      </c>
      <c r="F4981" s="95" t="s">
        <v>2371</v>
      </c>
      <c r="G4981" s="95" t="s">
        <v>2372</v>
      </c>
    </row>
    <row r="4982" spans="1:7">
      <c r="A4982" s="847"/>
      <c r="B4982" s="114"/>
      <c r="C4982" s="351"/>
      <c r="D4982" s="114"/>
      <c r="E4982" s="114"/>
      <c r="F4982" s="114" t="s">
        <v>3485</v>
      </c>
      <c r="G4982" s="114" t="s">
        <v>3485</v>
      </c>
    </row>
    <row r="4983" spans="1:7">
      <c r="A4983" s="847"/>
      <c r="B4983" s="95">
        <v>1</v>
      </c>
      <c r="C4983" s="86" t="s">
        <v>2087</v>
      </c>
      <c r="D4983" s="95" t="s">
        <v>2374</v>
      </c>
      <c r="E4983" s="220">
        <v>4</v>
      </c>
      <c r="F4983" s="214">
        <f>'HIRE CHARGES'!$D$545</f>
        <v>446.7</v>
      </c>
      <c r="G4983" s="26">
        <f>F4983*E4983</f>
        <v>1786.8</v>
      </c>
    </row>
    <row r="4984" spans="1:7">
      <c r="A4984" s="847"/>
      <c r="B4984" s="152"/>
      <c r="C4984" s="86" t="s">
        <v>2379</v>
      </c>
      <c r="D4984" s="105" t="s">
        <v>2374</v>
      </c>
      <c r="E4984" s="220">
        <v>1</v>
      </c>
      <c r="F4984" s="214">
        <f>'HIRE CHARGES'!$E$545</f>
        <v>299.89999999999998</v>
      </c>
      <c r="G4984" s="26">
        <f>F4984*E4984</f>
        <v>299.89999999999998</v>
      </c>
    </row>
    <row r="4985" spans="1:7">
      <c r="A4985" s="847"/>
      <c r="B4985" s="114">
        <v>2</v>
      </c>
      <c r="C4985" s="86" t="s">
        <v>2088</v>
      </c>
      <c r="D4985" s="114" t="s">
        <v>2173</v>
      </c>
      <c r="E4985" s="220">
        <v>1</v>
      </c>
      <c r="F4985" s="190">
        <f>'BASIC DATA'!$D$359</f>
        <v>30</v>
      </c>
      <c r="G4985" s="26">
        <f>F4985*E4985</f>
        <v>30</v>
      </c>
    </row>
    <row r="4986" spans="1:7">
      <c r="A4986" s="847"/>
      <c r="B4986" s="176"/>
      <c r="C4986" s="357" t="s">
        <v>2380</v>
      </c>
      <c r="D4986" s="174"/>
      <c r="E4986" s="192"/>
      <c r="F4986" s="236" t="s">
        <v>1698</v>
      </c>
      <c r="G4986" s="354">
        <f>SUM(G4983:G4985)</f>
        <v>2116.6999999999998</v>
      </c>
    </row>
    <row r="4987" spans="1:7">
      <c r="A4987" s="847"/>
      <c r="B4987" s="78"/>
      <c r="C4987" s="48"/>
    </row>
    <row r="4988" spans="1:7">
      <c r="A4988" s="847"/>
      <c r="B4988" s="79" t="s">
        <v>2381</v>
      </c>
      <c r="C4988" s="48"/>
    </row>
    <row r="4989" spans="1:7">
      <c r="A4989" s="847"/>
      <c r="B4989" s="95" t="s">
        <v>2369</v>
      </c>
      <c r="C4989" s="350" t="s">
        <v>2378</v>
      </c>
      <c r="D4989" s="95" t="s">
        <v>2370</v>
      </c>
      <c r="E4989" s="95" t="s">
        <v>1166</v>
      </c>
      <c r="F4989" s="95" t="s">
        <v>2371</v>
      </c>
      <c r="G4989" s="95" t="s">
        <v>2372</v>
      </c>
    </row>
    <row r="4990" spans="1:7">
      <c r="A4990" s="847"/>
      <c r="B4990" s="114"/>
      <c r="C4990" s="351"/>
      <c r="D4990" s="105"/>
      <c r="E4990" s="114"/>
      <c r="F4990" s="114" t="s">
        <v>3485</v>
      </c>
      <c r="G4990" s="114" t="s">
        <v>3485</v>
      </c>
    </row>
    <row r="4991" spans="1:7">
      <c r="A4991" s="847"/>
      <c r="B4991" s="105">
        <v>1</v>
      </c>
      <c r="C4991" s="86" t="s">
        <v>301</v>
      </c>
      <c r="D4991" s="95" t="s">
        <v>2374</v>
      </c>
      <c r="E4991" s="207">
        <v>4</v>
      </c>
      <c r="F4991" s="214">
        <f>'HIRE CHARGES'!$F$545</f>
        <v>177.5</v>
      </c>
      <c r="G4991" s="26">
        <f>F4991*E4991</f>
        <v>710</v>
      </c>
    </row>
    <row r="4992" spans="1:7">
      <c r="A4992" s="847"/>
      <c r="B4992" s="105">
        <v>2</v>
      </c>
      <c r="C4992" s="86" t="s">
        <v>2089</v>
      </c>
      <c r="D4992" s="105" t="s">
        <v>2374</v>
      </c>
      <c r="E4992" s="207">
        <v>8</v>
      </c>
      <c r="F4992" s="214">
        <f>'HIRE CHARGES'!$F$511</f>
        <v>421.8</v>
      </c>
      <c r="G4992" s="26">
        <f>F4992*E4992</f>
        <v>3374.4</v>
      </c>
    </row>
    <row r="4993" spans="1:7">
      <c r="A4993" s="847"/>
      <c r="B4993" s="105">
        <v>3</v>
      </c>
      <c r="C4993" s="86" t="s">
        <v>2697</v>
      </c>
      <c r="D4993" s="105" t="s">
        <v>1172</v>
      </c>
      <c r="E4993" s="207">
        <v>6</v>
      </c>
      <c r="F4993" s="190">
        <f>'BASIC DATA'!$C$552</f>
        <v>350</v>
      </c>
      <c r="G4993" s="26">
        <f>F4993*E4993</f>
        <v>2100</v>
      </c>
    </row>
    <row r="4994" spans="1:7">
      <c r="A4994" s="847"/>
      <c r="B4994" s="92"/>
      <c r="C4994" s="353" t="s">
        <v>1174</v>
      </c>
      <c r="D4994" s="159"/>
      <c r="E4994" s="238"/>
      <c r="F4994" s="236" t="s">
        <v>1698</v>
      </c>
      <c r="G4994" s="318">
        <f>SUM(G4991:G4993)</f>
        <v>6184.4</v>
      </c>
    </row>
    <row r="4995" spans="1:7">
      <c r="A4995" s="847"/>
      <c r="B4995" s="359" t="s">
        <v>5948</v>
      </c>
      <c r="C4995" s="48"/>
      <c r="D4995" s="31"/>
      <c r="E4995" s="85">
        <f>ROUND(G4994/F4972,1)</f>
        <v>6184.4</v>
      </c>
    </row>
    <row r="4996" spans="1:7">
      <c r="A4996" s="847"/>
      <c r="B4996" s="359" t="s">
        <v>3163</v>
      </c>
      <c r="C4996" s="48"/>
      <c r="D4996" s="922">
        <f>'BASIC DATA'!$C$577</f>
        <v>0.13614999999999999</v>
      </c>
      <c r="E4996" s="85">
        <f>ROUND(E4995*D4996,1)</f>
        <v>842</v>
      </c>
    </row>
    <row r="4997" spans="1:7">
      <c r="A4997" s="847"/>
      <c r="B4997" s="359" t="s">
        <v>5949</v>
      </c>
      <c r="C4997" s="48"/>
      <c r="D4997" s="31"/>
      <c r="E4997" s="199">
        <f>ROUND(E4996+E4995,1)</f>
        <v>7026.4</v>
      </c>
    </row>
    <row r="4998" spans="1:7">
      <c r="A4998" s="847"/>
      <c r="C4998" s="48"/>
    </row>
    <row r="4999" spans="1:7">
      <c r="A4999" s="847"/>
      <c r="B4999" s="162" t="s">
        <v>1175</v>
      </c>
      <c r="C4999" s="48"/>
    </row>
    <row r="5000" spans="1:7">
      <c r="A5000" s="847"/>
      <c r="B5000" s="47" t="s">
        <v>4</v>
      </c>
      <c r="C5000" s="48"/>
      <c r="F5000" s="171" t="s">
        <v>1698</v>
      </c>
      <c r="G5000" s="68">
        <f>G4978</f>
        <v>0</v>
      </c>
    </row>
    <row r="5001" spans="1:7">
      <c r="A5001" s="847"/>
      <c r="B5001" s="47" t="s">
        <v>1186</v>
      </c>
      <c r="C5001" s="48"/>
      <c r="F5001" s="171" t="s">
        <v>1698</v>
      </c>
      <c r="G5001" s="68">
        <f>G4986</f>
        <v>2116.6999999999998</v>
      </c>
    </row>
    <row r="5002" spans="1:7">
      <c r="A5002" s="847"/>
      <c r="B5002" s="47" t="s">
        <v>2660</v>
      </c>
      <c r="C5002" s="48"/>
      <c r="F5002" s="171" t="s">
        <v>1698</v>
      </c>
      <c r="G5002" s="75">
        <f>G4994</f>
        <v>6184.4</v>
      </c>
    </row>
    <row r="5003" spans="1:7">
      <c r="A5003" s="847"/>
      <c r="B5003" s="78"/>
      <c r="C5003" s="48"/>
      <c r="E5003" s="261"/>
      <c r="F5003" s="171" t="s">
        <v>302</v>
      </c>
      <c r="G5003" s="205">
        <f>SUM(G5000:G5002)</f>
        <v>8301.0999999999985</v>
      </c>
    </row>
    <row r="5004" spans="1:7" ht="36.75" customHeight="1">
      <c r="A5004" s="847"/>
      <c r="B5004" s="1207" t="s">
        <v>1379</v>
      </c>
      <c r="C5004" s="1207"/>
      <c r="D5004" s="1207"/>
      <c r="E5004" s="922">
        <f>'BASIC DATA'!$C$577</f>
        <v>0.13614999999999999</v>
      </c>
      <c r="F5004" s="171" t="s">
        <v>1698</v>
      </c>
      <c r="G5004" s="31">
        <f>ROUND(G5003*E5004,2)</f>
        <v>1130.19</v>
      </c>
    </row>
    <row r="5005" spans="1:7">
      <c r="A5005" s="847"/>
      <c r="B5005" s="47" t="s">
        <v>1191</v>
      </c>
      <c r="C5005" s="48"/>
      <c r="D5005" s="68">
        <f>F4972</f>
        <v>1</v>
      </c>
      <c r="E5005" s="68" t="str">
        <f>G4972</f>
        <v>Shifting</v>
      </c>
      <c r="F5005" s="171" t="s">
        <v>1698</v>
      </c>
      <c r="G5005" s="211">
        <f>G5004+G5003</f>
        <v>9431.2899999999991</v>
      </c>
    </row>
    <row r="5006" spans="1:7">
      <c r="A5006" s="847"/>
      <c r="B5006" s="79" t="s">
        <v>1584</v>
      </c>
      <c r="C5006" s="404" t="str">
        <f>E5005</f>
        <v>Shifting</v>
      </c>
      <c r="D5006" s="26" t="s">
        <v>1324</v>
      </c>
      <c r="F5006" s="171" t="s">
        <v>4108</v>
      </c>
      <c r="G5006" s="211">
        <f>ROUND(G5005/D5005,1)</f>
        <v>9431.2999999999993</v>
      </c>
    </row>
    <row r="5007" spans="1:7"/>
    <row r="5008" spans="1:7"/>
    <row r="5009" spans="1:9" ht="36.75">
      <c r="A5009" s="841" t="s">
        <v>7477</v>
      </c>
      <c r="B5009" s="47" t="s">
        <v>8774</v>
      </c>
      <c r="C5009" s="48"/>
    </row>
    <row r="5010" spans="1:9" ht="18.75">
      <c r="A5010" s="889"/>
      <c r="B5010" s="47" t="s">
        <v>8775</v>
      </c>
      <c r="C5010" s="48"/>
    </row>
    <row r="5011" spans="1:9">
      <c r="A5011" s="889"/>
      <c r="B5011" s="47" t="s">
        <v>8776</v>
      </c>
      <c r="C5011" s="48"/>
    </row>
    <row r="5012" spans="1:9">
      <c r="A5012" s="895"/>
      <c r="B5012" s="47" t="s">
        <v>5</v>
      </c>
      <c r="C5012" s="48"/>
    </row>
    <row r="5013" spans="1:9">
      <c r="A5013" s="889"/>
      <c r="B5013" s="47" t="s">
        <v>6</v>
      </c>
      <c r="C5013" s="48"/>
    </row>
    <row r="5014" spans="1:9" ht="18.75">
      <c r="A5014" s="889"/>
      <c r="B5014" s="47" t="s">
        <v>8777</v>
      </c>
      <c r="C5014" s="48"/>
    </row>
    <row r="5015" spans="1:9">
      <c r="A5015" s="889"/>
      <c r="B5015" s="162" t="s">
        <v>7704</v>
      </c>
      <c r="C5015" s="48"/>
    </row>
    <row r="5016" spans="1:9">
      <c r="A5016" s="891"/>
      <c r="B5016" s="588" t="s">
        <v>4521</v>
      </c>
      <c r="C5016" s="49"/>
      <c r="D5016" s="61"/>
      <c r="E5016" s="61"/>
      <c r="F5016" s="61"/>
      <c r="G5016" s="61"/>
      <c r="H5016" s="61"/>
      <c r="I5016" s="61"/>
    </row>
    <row r="5017" spans="1:9" hidden="1"/>
    <row r="5018" spans="1:9" hidden="1"/>
    <row r="5019" spans="1:9" hidden="1"/>
    <row r="5020" spans="1:9"/>
    <row r="5021" spans="1:9"/>
    <row r="5022" spans="1:9"/>
    <row r="5023" spans="1:9"/>
    <row r="5024" spans="1:9"/>
    <row r="5025" spans="1:3"/>
    <row r="5026" spans="1:3"/>
    <row r="5027" spans="1:3"/>
    <row r="5028" spans="1:3"/>
    <row r="5029" spans="1:3"/>
    <row r="5030" spans="1:3"/>
    <row r="5031" spans="1:3"/>
    <row r="5032" spans="1:3"/>
    <row r="5033" spans="1:3"/>
    <row r="5034" spans="1:3" ht="18" hidden="1" customHeight="1">
      <c r="A5034" s="889" t="s">
        <v>3984</v>
      </c>
      <c r="B5034" s="47" t="s">
        <v>2605</v>
      </c>
      <c r="C5034" s="48"/>
    </row>
    <row r="5035" spans="1:3" ht="18" hidden="1" customHeight="1">
      <c r="A5035" s="847"/>
      <c r="B5035" s="47" t="s">
        <v>2606</v>
      </c>
      <c r="C5035" s="48"/>
    </row>
    <row r="5036" spans="1:3" ht="18" hidden="1" customHeight="1">
      <c r="A5036" s="847"/>
      <c r="B5036" s="47" t="s">
        <v>546</v>
      </c>
      <c r="C5036" s="48"/>
    </row>
    <row r="5037" spans="1:3" ht="18" hidden="1" customHeight="1">
      <c r="A5037" s="847"/>
      <c r="B5037" s="47" t="s">
        <v>539</v>
      </c>
      <c r="C5037" s="48"/>
    </row>
    <row r="5038" spans="1:3" ht="18" hidden="1" customHeight="1">
      <c r="A5038" s="847"/>
      <c r="B5038" s="47" t="s">
        <v>540</v>
      </c>
      <c r="C5038" s="48"/>
    </row>
    <row r="5039" spans="1:3" ht="18" hidden="1" customHeight="1">
      <c r="A5039" s="847"/>
      <c r="B5039" s="47" t="s">
        <v>699</v>
      </c>
      <c r="C5039" s="48"/>
    </row>
    <row r="5040" spans="1:3" ht="18" hidden="1" customHeight="1">
      <c r="A5040" s="847"/>
      <c r="B5040" s="47" t="s">
        <v>700</v>
      </c>
      <c r="C5040" s="48"/>
    </row>
    <row r="5041" spans="1:9" ht="18" hidden="1" customHeight="1">
      <c r="A5041" s="847"/>
      <c r="B5041" s="47" t="s">
        <v>753</v>
      </c>
      <c r="C5041" s="48"/>
    </row>
    <row r="5042" spans="1:9" ht="18" hidden="1" customHeight="1">
      <c r="A5042" s="847"/>
      <c r="B5042" s="47" t="s">
        <v>754</v>
      </c>
      <c r="C5042" s="48"/>
    </row>
    <row r="5043" spans="1:9" ht="18" hidden="1" customHeight="1">
      <c r="A5043" s="847"/>
      <c r="B5043" s="47" t="s">
        <v>755</v>
      </c>
      <c r="C5043" s="48"/>
    </row>
    <row r="5044" spans="1:9" ht="18" hidden="1" customHeight="1">
      <c r="A5044" s="847"/>
      <c r="B5044" s="47" t="s">
        <v>756</v>
      </c>
      <c r="C5044" s="48"/>
    </row>
    <row r="5045" spans="1:9" ht="18" hidden="1" customHeight="1">
      <c r="A5045" s="847"/>
      <c r="B5045" s="47" t="s">
        <v>1196</v>
      </c>
      <c r="C5045" s="48"/>
    </row>
    <row r="5046" spans="1:9" ht="18" hidden="1" customHeight="1">
      <c r="A5046" s="847"/>
      <c r="B5046" s="47" t="s">
        <v>1197</v>
      </c>
      <c r="C5046" s="48"/>
      <c r="F5046" s="78" t="s">
        <v>1697</v>
      </c>
      <c r="G5046" s="68">
        <v>597</v>
      </c>
      <c r="H5046" s="26" t="s">
        <v>3033</v>
      </c>
      <c r="I5046" s="321"/>
    </row>
    <row r="5047" spans="1:9" ht="18" hidden="1" customHeight="1">
      <c r="A5047" s="847"/>
      <c r="B5047" s="47" t="s">
        <v>1198</v>
      </c>
      <c r="C5047" s="48"/>
      <c r="F5047" s="78"/>
      <c r="G5047" s="68"/>
      <c r="I5047" s="321"/>
    </row>
    <row r="5048" spans="1:9" ht="18" hidden="1" customHeight="1">
      <c r="A5048" s="847"/>
      <c r="B5048" s="47" t="s">
        <v>1199</v>
      </c>
      <c r="C5048" s="48"/>
      <c r="F5048" s="78" t="s">
        <v>1697</v>
      </c>
      <c r="G5048" s="68">
        <v>288</v>
      </c>
      <c r="H5048" s="26" t="s">
        <v>3033</v>
      </c>
      <c r="I5048" s="321"/>
    </row>
    <row r="5049" spans="1:9" ht="18" hidden="1" customHeight="1">
      <c r="A5049" s="847"/>
      <c r="B5049" s="47" t="s">
        <v>4296</v>
      </c>
      <c r="C5049" s="48"/>
      <c r="F5049" s="78" t="s">
        <v>1697</v>
      </c>
      <c r="G5049" s="68">
        <v>136</v>
      </c>
      <c r="H5049" s="26" t="s">
        <v>3033</v>
      </c>
      <c r="I5049" s="321"/>
    </row>
    <row r="5050" spans="1:9" ht="18" hidden="1" customHeight="1">
      <c r="A5050" s="847"/>
      <c r="B5050" s="47" t="s">
        <v>1200</v>
      </c>
      <c r="C5050" s="48"/>
      <c r="F5050" s="78" t="s">
        <v>1697</v>
      </c>
      <c r="G5050" s="68">
        <v>203</v>
      </c>
      <c r="H5050" s="26" t="s">
        <v>3033</v>
      </c>
      <c r="I5050" s="321"/>
    </row>
    <row r="5051" spans="1:9" ht="18" hidden="1" customHeight="1">
      <c r="A5051" s="847"/>
      <c r="B5051" s="47" t="s">
        <v>1201</v>
      </c>
      <c r="C5051" s="48"/>
      <c r="F5051" s="78" t="s">
        <v>1697</v>
      </c>
      <c r="G5051" s="68">
        <v>42</v>
      </c>
      <c r="H5051" s="26" t="s">
        <v>3033</v>
      </c>
      <c r="I5051" s="321"/>
    </row>
    <row r="5052" spans="1:9" ht="18" hidden="1" customHeight="1">
      <c r="A5052" s="847"/>
      <c r="B5052" s="47" t="s">
        <v>1852</v>
      </c>
      <c r="C5052" s="48"/>
      <c r="F5052" s="78" t="s">
        <v>1697</v>
      </c>
      <c r="G5052" s="68">
        <v>155</v>
      </c>
      <c r="H5052" s="26" t="s">
        <v>3033</v>
      </c>
      <c r="I5052" s="321"/>
    </row>
    <row r="5053" spans="1:9" ht="18" hidden="1" customHeight="1">
      <c r="A5053" s="847"/>
      <c r="B5053" s="47" t="s">
        <v>1853</v>
      </c>
      <c r="C5053" s="48"/>
      <c r="F5053" s="78" t="s">
        <v>1697</v>
      </c>
      <c r="G5053" s="68">
        <v>75</v>
      </c>
      <c r="H5053" s="26" t="s">
        <v>3033</v>
      </c>
      <c r="I5053" s="321"/>
    </row>
    <row r="5054" spans="1:9" ht="18" hidden="1" customHeight="1">
      <c r="A5054" s="847"/>
      <c r="B5054" s="47" t="s">
        <v>1854</v>
      </c>
      <c r="C5054" s="48"/>
      <c r="F5054" s="78" t="s">
        <v>1697</v>
      </c>
      <c r="G5054" s="68">
        <v>150</v>
      </c>
      <c r="H5054" s="26" t="s">
        <v>3033</v>
      </c>
      <c r="I5054" s="321"/>
    </row>
    <row r="5055" spans="1:9" ht="18" hidden="1" customHeight="1">
      <c r="A5055" s="847"/>
      <c r="B5055" s="47" t="s">
        <v>1855</v>
      </c>
      <c r="C5055" s="48"/>
      <c r="F5055" s="78" t="s">
        <v>1697</v>
      </c>
      <c r="G5055" s="68">
        <v>150</v>
      </c>
      <c r="H5055" s="26" t="s">
        <v>3033</v>
      </c>
      <c r="I5055" s="321"/>
    </row>
    <row r="5056" spans="1:9" ht="18" hidden="1" customHeight="1">
      <c r="A5056" s="847"/>
      <c r="B5056" s="47" t="s">
        <v>2391</v>
      </c>
      <c r="C5056" s="48"/>
      <c r="F5056" s="78" t="s">
        <v>1697</v>
      </c>
      <c r="G5056" s="68">
        <v>50</v>
      </c>
      <c r="H5056" s="26" t="s">
        <v>3033</v>
      </c>
      <c r="I5056" s="321"/>
    </row>
    <row r="5057" spans="1:9" ht="18" hidden="1" customHeight="1">
      <c r="A5057" s="847"/>
      <c r="C5057" s="48"/>
      <c r="E5057" s="78" t="s">
        <v>2392</v>
      </c>
      <c r="F5057" s="78" t="s">
        <v>2393</v>
      </c>
      <c r="G5057" s="205">
        <f>SUM(G5046:G5056)</f>
        <v>1846</v>
      </c>
      <c r="H5057" s="26" t="s">
        <v>3033</v>
      </c>
      <c r="I5057" s="321"/>
    </row>
    <row r="5058" spans="1:9" ht="18" hidden="1" customHeight="1">
      <c r="A5058" s="847"/>
      <c r="C5058" s="48"/>
      <c r="F5058" s="78" t="s">
        <v>1123</v>
      </c>
      <c r="G5058" s="68">
        <v>1850</v>
      </c>
      <c r="H5058" s="26" t="s">
        <v>3033</v>
      </c>
      <c r="I5058" s="321"/>
    </row>
    <row r="5059" spans="1:9" ht="18" hidden="1" customHeight="1">
      <c r="A5059" s="847"/>
      <c r="B5059" s="47" t="s">
        <v>3019</v>
      </c>
      <c r="C5059" s="48"/>
      <c r="D5059" s="26">
        <v>50000</v>
      </c>
      <c r="E5059" s="26" t="s">
        <v>1167</v>
      </c>
      <c r="F5059" s="78" t="s">
        <v>1698</v>
      </c>
      <c r="G5059" s="26">
        <v>92500</v>
      </c>
      <c r="I5059" s="321"/>
    </row>
    <row r="5060" spans="1:9" ht="18" hidden="1" customHeight="1">
      <c r="A5060" s="847"/>
      <c r="B5060" s="47" t="s">
        <v>2711</v>
      </c>
      <c r="C5060" s="48"/>
      <c r="D5060" s="201">
        <v>0.15</v>
      </c>
      <c r="F5060" s="78" t="s">
        <v>1698</v>
      </c>
      <c r="G5060" s="174">
        <f>G5059*D5060</f>
        <v>13875</v>
      </c>
      <c r="I5060" s="321"/>
    </row>
    <row r="5061" spans="1:9" ht="18" hidden="1" customHeight="1">
      <c r="A5061" s="847"/>
      <c r="C5061" s="48"/>
      <c r="F5061" s="78" t="s">
        <v>1698</v>
      </c>
      <c r="G5061" s="26">
        <f>G5059-G5060</f>
        <v>78625</v>
      </c>
      <c r="I5061" s="321"/>
    </row>
    <row r="5062" spans="1:9" ht="18" hidden="1" customHeight="1">
      <c r="A5062" s="847"/>
      <c r="B5062" s="47" t="s">
        <v>3020</v>
      </c>
      <c r="C5062" s="48"/>
      <c r="F5062" s="78"/>
      <c r="I5062" s="60"/>
    </row>
    <row r="5063" spans="1:9" ht="18" hidden="1" customHeight="1">
      <c r="A5063" s="847"/>
      <c r="B5063" s="47" t="s">
        <v>4613</v>
      </c>
      <c r="C5063" s="48"/>
      <c r="D5063" s="26">
        <v>200</v>
      </c>
      <c r="E5063" s="26" t="s">
        <v>4614</v>
      </c>
      <c r="F5063" s="78" t="s">
        <v>1698</v>
      </c>
      <c r="G5063" s="68">
        <f>G5061/D5063</f>
        <v>393.125</v>
      </c>
      <c r="I5063" s="60"/>
    </row>
    <row r="5064" spans="1:9" ht="18" hidden="1" customHeight="1">
      <c r="A5064" s="847"/>
      <c r="B5064" s="47" t="s">
        <v>2709</v>
      </c>
      <c r="C5064" s="48"/>
      <c r="D5064" s="201">
        <f>'BASIC DATA'!$C$587</f>
        <v>0.15</v>
      </c>
      <c r="F5064" s="78" t="s">
        <v>1698</v>
      </c>
      <c r="G5064" s="68">
        <f>G5063*D5064</f>
        <v>58.96875</v>
      </c>
      <c r="I5064" s="321"/>
    </row>
    <row r="5065" spans="1:9" ht="18" hidden="1" customHeight="1">
      <c r="A5065" s="847"/>
      <c r="B5065" s="47" t="s">
        <v>1814</v>
      </c>
      <c r="C5065" s="48"/>
      <c r="D5065" s="68">
        <f>'BASIC DATA'!$D$357</f>
        <v>50</v>
      </c>
      <c r="E5065" s="26" t="s">
        <v>3482</v>
      </c>
      <c r="F5065" s="78" t="s">
        <v>1698</v>
      </c>
      <c r="G5065" s="174">
        <f>0.05*18*D5065</f>
        <v>45</v>
      </c>
      <c r="I5065" s="60"/>
    </row>
    <row r="5066" spans="1:9" ht="18" hidden="1" customHeight="1">
      <c r="A5066" s="847"/>
      <c r="C5066" s="48"/>
      <c r="E5066" s="26" t="s">
        <v>2392</v>
      </c>
      <c r="F5066" s="78" t="s">
        <v>1698</v>
      </c>
      <c r="G5066" s="68">
        <f>SUM(G5063:G5065)</f>
        <v>497.09375</v>
      </c>
      <c r="I5066" s="60"/>
    </row>
    <row r="5067" spans="1:9" ht="18" hidden="1" customHeight="1">
      <c r="A5067" s="847"/>
      <c r="B5067" s="47" t="s">
        <v>1815</v>
      </c>
      <c r="C5067" s="48"/>
      <c r="G5067" s="26">
        <v>18</v>
      </c>
      <c r="H5067" s="26" t="s">
        <v>3883</v>
      </c>
      <c r="I5067" s="102"/>
    </row>
    <row r="5068" spans="1:9" ht="18" hidden="1" customHeight="1">
      <c r="A5068" s="847"/>
      <c r="B5068" s="47" t="s">
        <v>3669</v>
      </c>
      <c r="C5068" s="48"/>
      <c r="F5068" s="78" t="s">
        <v>1698</v>
      </c>
      <c r="G5068" s="68">
        <f>G5066/G5067</f>
        <v>27.616319444444443</v>
      </c>
    </row>
    <row r="5069" spans="1:9" ht="18" hidden="1" customHeight="1">
      <c r="A5069" s="847"/>
      <c r="B5069" s="47" t="s">
        <v>3670</v>
      </c>
      <c r="C5069" s="48"/>
    </row>
    <row r="5070" spans="1:9" ht="18" hidden="1" customHeight="1">
      <c r="A5070" s="847"/>
      <c r="B5070" s="47" t="s">
        <v>3671</v>
      </c>
      <c r="C5070" s="48"/>
    </row>
    <row r="5071" spans="1:9" ht="18" hidden="1" customHeight="1">
      <c r="A5071" s="847"/>
      <c r="B5071" s="47" t="s">
        <v>3672</v>
      </c>
      <c r="C5071" s="48"/>
    </row>
    <row r="5072" spans="1:9" ht="18" hidden="1" customHeight="1">
      <c r="A5072" s="847"/>
      <c r="B5072" s="47" t="s">
        <v>5779</v>
      </c>
      <c r="C5072" s="48"/>
    </row>
    <row r="5073" spans="1:8" ht="18" hidden="1" customHeight="1">
      <c r="A5073" s="847"/>
      <c r="C5073" s="48"/>
    </row>
    <row r="5074" spans="1:8" ht="18" hidden="1" customHeight="1">
      <c r="A5074" s="847"/>
      <c r="B5074" s="47" t="s">
        <v>5780</v>
      </c>
      <c r="C5074" s="48"/>
    </row>
    <row r="5075" spans="1:8" ht="18" hidden="1" customHeight="1">
      <c r="A5075" s="847"/>
      <c r="B5075" s="47" t="s">
        <v>5021</v>
      </c>
      <c r="C5075" s="48"/>
    </row>
    <row r="5076" spans="1:8" ht="18" hidden="1" customHeight="1">
      <c r="A5076" s="847"/>
      <c r="B5076" s="47" t="s">
        <v>7705</v>
      </c>
      <c r="C5076" s="48"/>
    </row>
    <row r="5077" spans="1:8" ht="18" hidden="1" customHeight="1">
      <c r="A5077" s="847"/>
      <c r="B5077" s="47" t="s">
        <v>7707</v>
      </c>
      <c r="C5077" s="48"/>
      <c r="E5077" s="26">
        <f>100*5*8/250</f>
        <v>16</v>
      </c>
      <c r="F5077" s="26" t="s">
        <v>7706</v>
      </c>
    </row>
    <row r="5078" spans="1:8" ht="18" hidden="1" customHeight="1">
      <c r="A5078" s="847"/>
      <c r="B5078" s="47" t="s">
        <v>1914</v>
      </c>
      <c r="C5078" s="48"/>
    </row>
    <row r="5079" spans="1:8" ht="18" hidden="1" customHeight="1">
      <c r="A5079" s="847"/>
      <c r="B5079" s="47" t="s">
        <v>889</v>
      </c>
      <c r="C5079" s="48"/>
      <c r="G5079" s="68">
        <v>32</v>
      </c>
      <c r="H5079" s="26" t="s">
        <v>6901</v>
      </c>
    </row>
    <row r="5080" spans="1:8" ht="18.75" hidden="1" customHeight="1">
      <c r="A5080" s="847"/>
      <c r="B5080" s="47" t="s">
        <v>8778</v>
      </c>
      <c r="C5080" s="48"/>
    </row>
    <row r="5081" spans="1:8" ht="18" hidden="1" customHeight="1">
      <c r="A5081" s="847"/>
      <c r="B5081" s="47" t="s">
        <v>3306</v>
      </c>
      <c r="C5081" s="48"/>
      <c r="D5081" s="26" t="s">
        <v>3307</v>
      </c>
      <c r="G5081" s="68">
        <f>18*0.15</f>
        <v>2.6999999999999997</v>
      </c>
      <c r="H5081" s="26" t="s">
        <v>6901</v>
      </c>
    </row>
    <row r="5082" spans="1:8" ht="18" hidden="1" customHeight="1">
      <c r="A5082" s="847"/>
      <c r="B5082" s="47" t="s">
        <v>3308</v>
      </c>
      <c r="C5082" s="48"/>
      <c r="D5082" s="26" t="s">
        <v>7708</v>
      </c>
      <c r="G5082" s="26">
        <f>ROUND(G5081*8*60/G5079,0)</f>
        <v>41</v>
      </c>
      <c r="H5082" s="26" t="s">
        <v>6903</v>
      </c>
    </row>
    <row r="5083" spans="1:8" ht="18" hidden="1" customHeight="1">
      <c r="A5083" s="847"/>
      <c r="B5083" s="47" t="s">
        <v>60</v>
      </c>
      <c r="C5083" s="48"/>
      <c r="G5083" s="26">
        <v>5</v>
      </c>
      <c r="H5083" s="26" t="s">
        <v>6903</v>
      </c>
    </row>
    <row r="5084" spans="1:8" ht="18" hidden="1" customHeight="1">
      <c r="A5084" s="847"/>
      <c r="B5084" s="47" t="s">
        <v>2770</v>
      </c>
      <c r="C5084" s="48"/>
      <c r="G5084" s="159">
        <f>SUM(G5082:G5083)</f>
        <v>46</v>
      </c>
      <c r="H5084" s="26" t="s">
        <v>6903</v>
      </c>
    </row>
    <row r="5085" spans="1:8" ht="18" hidden="1" customHeight="1">
      <c r="A5085" s="847"/>
      <c r="B5085" s="47" t="s">
        <v>62</v>
      </c>
      <c r="C5085" s="48"/>
      <c r="D5085" s="26" t="s">
        <v>7709</v>
      </c>
      <c r="F5085" s="78" t="s">
        <v>1123</v>
      </c>
      <c r="G5085" s="26">
        <f>ROUND(8*60/G5084*G5081,2)</f>
        <v>28.17</v>
      </c>
      <c r="H5085" s="26" t="s">
        <v>6901</v>
      </c>
    </row>
    <row r="5086" spans="1:8" ht="18" hidden="1" customHeight="1">
      <c r="A5086" s="847"/>
      <c r="B5086" s="47" t="s">
        <v>887</v>
      </c>
      <c r="C5086" s="48"/>
    </row>
    <row r="5087" spans="1:8" ht="18" hidden="1" customHeight="1">
      <c r="A5087" s="847"/>
      <c r="B5087" s="47" t="s">
        <v>888</v>
      </c>
      <c r="C5087" s="48"/>
      <c r="G5087" s="68">
        <v>18</v>
      </c>
      <c r="H5087" s="26" t="s">
        <v>3883</v>
      </c>
    </row>
    <row r="5088" spans="1:8" ht="18" hidden="1" customHeight="1">
      <c r="A5088" s="847"/>
      <c r="B5088" s="47" t="s">
        <v>7710</v>
      </c>
      <c r="C5088" s="48"/>
      <c r="D5088" s="26" t="s">
        <v>7711</v>
      </c>
      <c r="F5088" s="78" t="s">
        <v>1123</v>
      </c>
      <c r="G5088" s="26">
        <f>ROUND(G5085/G5081,0)</f>
        <v>10</v>
      </c>
      <c r="H5088" s="26" t="s">
        <v>3039</v>
      </c>
    </row>
    <row r="5089" spans="1:8" ht="18" hidden="1" customHeight="1">
      <c r="A5089" s="847"/>
      <c r="B5089" s="47" t="s">
        <v>7713</v>
      </c>
      <c r="C5089" s="48"/>
      <c r="D5089" s="26" t="s">
        <v>7712</v>
      </c>
      <c r="G5089" s="26">
        <f>G5087*G5088</f>
        <v>180</v>
      </c>
      <c r="H5089" s="26" t="s">
        <v>3883</v>
      </c>
    </row>
    <row r="5090" spans="1:8" ht="18" hidden="1" customHeight="1">
      <c r="A5090" s="847"/>
      <c r="B5090" s="47" t="s">
        <v>2388</v>
      </c>
      <c r="C5090" s="48"/>
    </row>
    <row r="5091" spans="1:8" ht="18" hidden="1" customHeight="1">
      <c r="A5091" s="847"/>
      <c r="B5091" s="47" t="s">
        <v>2389</v>
      </c>
      <c r="C5091" s="48"/>
      <c r="F5091" s="78" t="s">
        <v>1697</v>
      </c>
      <c r="G5091" s="26">
        <v>2</v>
      </c>
      <c r="H5091" s="26" t="s">
        <v>4041</v>
      </c>
    </row>
    <row r="5092" spans="1:8" ht="18" hidden="1" customHeight="1">
      <c r="A5092" s="847"/>
      <c r="B5092" s="47" t="s">
        <v>637</v>
      </c>
      <c r="C5092" s="48"/>
      <c r="F5092" s="78"/>
    </row>
    <row r="5093" spans="1:8" ht="18" hidden="1" customHeight="1">
      <c r="A5093" s="847"/>
      <c r="B5093" s="47" t="s">
        <v>2826</v>
      </c>
      <c r="C5093" s="48"/>
      <c r="F5093" s="78" t="s">
        <v>1697</v>
      </c>
      <c r="G5093" s="26">
        <v>4</v>
      </c>
      <c r="H5093" s="26" t="s">
        <v>4041</v>
      </c>
    </row>
    <row r="5094" spans="1:8" ht="18" hidden="1" customHeight="1">
      <c r="A5094" s="847"/>
      <c r="B5094" s="47" t="s">
        <v>891</v>
      </c>
      <c r="C5094" s="48"/>
      <c r="F5094" s="78" t="s">
        <v>1697</v>
      </c>
      <c r="G5094" s="26">
        <v>6</v>
      </c>
      <c r="H5094" s="26" t="s">
        <v>4041</v>
      </c>
    </row>
    <row r="5095" spans="1:8" ht="18" hidden="1" customHeight="1">
      <c r="A5095" s="847"/>
      <c r="B5095" s="47" t="s">
        <v>1593</v>
      </c>
      <c r="C5095" s="48"/>
      <c r="F5095" s="78" t="s">
        <v>1697</v>
      </c>
      <c r="G5095" s="26">
        <v>6</v>
      </c>
      <c r="H5095" s="26" t="s">
        <v>4041</v>
      </c>
    </row>
    <row r="5096" spans="1:8" ht="18" hidden="1" customHeight="1">
      <c r="A5096" s="847"/>
      <c r="B5096" s="47" t="s">
        <v>1594</v>
      </c>
      <c r="C5096" s="48"/>
      <c r="F5096" s="78" t="s">
        <v>1697</v>
      </c>
      <c r="G5096" s="26">
        <v>6</v>
      </c>
      <c r="H5096" s="26" t="s">
        <v>4041</v>
      </c>
    </row>
    <row r="5097" spans="1:8" ht="18" hidden="1" customHeight="1">
      <c r="A5097" s="847"/>
      <c r="B5097" s="47" t="s">
        <v>1595</v>
      </c>
      <c r="C5097" s="48"/>
      <c r="F5097" s="78" t="s">
        <v>1697</v>
      </c>
      <c r="G5097" s="26">
        <v>4</v>
      </c>
      <c r="H5097" s="26" t="s">
        <v>4041</v>
      </c>
    </row>
    <row r="5098" spans="1:8" ht="18" hidden="1" customHeight="1">
      <c r="A5098" s="847"/>
      <c r="B5098" s="47" t="s">
        <v>2093</v>
      </c>
      <c r="C5098" s="48"/>
      <c r="F5098" s="78" t="s">
        <v>1697</v>
      </c>
      <c r="G5098" s="26">
        <v>4</v>
      </c>
      <c r="H5098" s="26" t="s">
        <v>4041</v>
      </c>
    </row>
    <row r="5099" spans="1:8" ht="18" hidden="1" customHeight="1">
      <c r="A5099" s="847"/>
      <c r="B5099" s="47" t="s">
        <v>2094</v>
      </c>
      <c r="C5099" s="48"/>
      <c r="F5099" s="78" t="s">
        <v>1697</v>
      </c>
      <c r="G5099" s="26">
        <v>4</v>
      </c>
      <c r="H5099" s="26" t="s">
        <v>4041</v>
      </c>
    </row>
    <row r="5100" spans="1:8" ht="18" hidden="1" customHeight="1">
      <c r="A5100" s="847"/>
      <c r="B5100" s="47" t="s">
        <v>2095</v>
      </c>
      <c r="C5100" s="48"/>
      <c r="F5100" s="78" t="s">
        <v>1697</v>
      </c>
      <c r="G5100" s="26">
        <v>2</v>
      </c>
      <c r="H5100" s="26" t="s">
        <v>4041</v>
      </c>
    </row>
    <row r="5101" spans="1:8" ht="18" hidden="1" customHeight="1">
      <c r="A5101" s="847"/>
      <c r="B5101" s="47" t="s">
        <v>4374</v>
      </c>
      <c r="C5101" s="48"/>
      <c r="F5101" s="78"/>
      <c r="H5101" s="26" t="s">
        <v>4041</v>
      </c>
    </row>
    <row r="5102" spans="1:8" ht="18" hidden="1" customHeight="1">
      <c r="A5102" s="847"/>
      <c r="B5102" s="47" t="s">
        <v>1046</v>
      </c>
      <c r="C5102" s="48"/>
      <c r="F5102" s="78" t="s">
        <v>1697</v>
      </c>
      <c r="G5102" s="26">
        <f>G5085</f>
        <v>28.17</v>
      </c>
      <c r="H5102" s="26" t="s">
        <v>4041</v>
      </c>
    </row>
    <row r="5103" spans="1:8" ht="18" hidden="1" customHeight="1">
      <c r="A5103" s="847"/>
      <c r="B5103" s="47" t="s">
        <v>1047</v>
      </c>
      <c r="C5103" s="48"/>
      <c r="F5103" s="78" t="s">
        <v>1697</v>
      </c>
      <c r="G5103" s="26">
        <v>2</v>
      </c>
      <c r="H5103" s="26" t="s">
        <v>4041</v>
      </c>
    </row>
    <row r="5104" spans="1:8" ht="18" hidden="1" customHeight="1">
      <c r="A5104" s="847"/>
      <c r="B5104" s="78"/>
      <c r="C5104" s="48"/>
    </row>
    <row r="5105" spans="1:9" ht="18" hidden="1" customHeight="1">
      <c r="A5105" s="847"/>
      <c r="B5105" s="78"/>
      <c r="C5105" s="48"/>
    </row>
    <row r="5106" spans="1:9" ht="18" hidden="1" customHeight="1">
      <c r="A5106" s="847"/>
      <c r="B5106" s="78"/>
      <c r="C5106" s="48"/>
    </row>
    <row r="5107" spans="1:9">
      <c r="A5107" s="847"/>
      <c r="B5107" s="78"/>
      <c r="C5107" s="48"/>
    </row>
    <row r="5108" spans="1:9">
      <c r="A5108" s="847" t="s">
        <v>1907</v>
      </c>
      <c r="B5108" s="78"/>
      <c r="C5108" s="349" t="s">
        <v>2367</v>
      </c>
      <c r="E5108" s="171" t="s">
        <v>297</v>
      </c>
      <c r="F5108" s="246">
        <f>G5085</f>
        <v>28.17</v>
      </c>
      <c r="G5108" s="26" t="s">
        <v>3477</v>
      </c>
    </row>
    <row r="5109" spans="1:9">
      <c r="A5109" s="847"/>
      <c r="B5109" s="79" t="s">
        <v>2368</v>
      </c>
      <c r="C5109" s="48"/>
    </row>
    <row r="5110" spans="1:9">
      <c r="A5110" s="847"/>
      <c r="B5110" s="95" t="s">
        <v>2369</v>
      </c>
      <c r="C5110" s="350" t="s">
        <v>6374</v>
      </c>
      <c r="D5110" s="95" t="s">
        <v>2370</v>
      </c>
      <c r="E5110" s="95" t="s">
        <v>1166</v>
      </c>
      <c r="F5110" s="95" t="s">
        <v>2371</v>
      </c>
      <c r="G5110" s="95" t="s">
        <v>2372</v>
      </c>
    </row>
    <row r="5111" spans="1:9">
      <c r="A5111" s="847"/>
      <c r="B5111" s="114"/>
      <c r="C5111" s="351"/>
      <c r="D5111" s="114"/>
      <c r="E5111" s="114"/>
      <c r="F5111" s="114" t="s">
        <v>3485</v>
      </c>
      <c r="G5111" s="114" t="s">
        <v>3485</v>
      </c>
    </row>
    <row r="5112" spans="1:9">
      <c r="A5112" s="847"/>
      <c r="B5112" s="95">
        <v>1</v>
      </c>
      <c r="C5112" s="418" t="s">
        <v>1048</v>
      </c>
      <c r="D5112" s="95" t="s">
        <v>3478</v>
      </c>
      <c r="E5112" s="26">
        <f>250*F5108</f>
        <v>7042.5</v>
      </c>
      <c r="F5112" s="179">
        <f>'BASIC DATA'!$D$32/1000</f>
        <v>5.35</v>
      </c>
      <c r="G5112" s="107">
        <f t="shared" ref="G5112:G5120" si="69">F5112*E5112</f>
        <v>37677.375</v>
      </c>
    </row>
    <row r="5113" spans="1:9" ht="36">
      <c r="A5113" s="847"/>
      <c r="B5113" s="152"/>
      <c r="C5113" s="137" t="s">
        <v>1049</v>
      </c>
      <c r="D5113" s="105" t="s">
        <v>3478</v>
      </c>
      <c r="E5113" s="26">
        <f>5*F5108</f>
        <v>140.85000000000002</v>
      </c>
      <c r="F5113" s="190">
        <f>'BASIC DATA'!$D$32/1000</f>
        <v>5.35</v>
      </c>
      <c r="G5113" s="210">
        <f t="shared" si="69"/>
        <v>753.54750000000013</v>
      </c>
    </row>
    <row r="5114" spans="1:9">
      <c r="A5114" s="847"/>
      <c r="B5114" s="105">
        <v>2</v>
      </c>
      <c r="C5114" s="137" t="s">
        <v>6996</v>
      </c>
      <c r="D5114" s="105" t="s">
        <v>3477</v>
      </c>
      <c r="E5114" s="68">
        <f>F5108*0.9*0.5</f>
        <v>12.676500000000001</v>
      </c>
      <c r="F5114" s="190">
        <f>'BASIC DATA'!$D$36</f>
        <v>1175</v>
      </c>
      <c r="G5114" s="210">
        <f t="shared" si="69"/>
        <v>14894.887500000001</v>
      </c>
    </row>
    <row r="5115" spans="1:9">
      <c r="A5115" s="847"/>
      <c r="B5115" s="152"/>
      <c r="C5115" s="137" t="s">
        <v>6995</v>
      </c>
      <c r="D5115" s="105" t="s">
        <v>3477</v>
      </c>
      <c r="E5115" s="68">
        <f>F5108*0.9*0.3</f>
        <v>7.6059000000000001</v>
      </c>
      <c r="F5115" s="190">
        <f>'BASIC DATA'!$D$35</f>
        <v>1225</v>
      </c>
      <c r="G5115" s="210">
        <f t="shared" si="69"/>
        <v>9317.2275000000009</v>
      </c>
    </row>
    <row r="5116" spans="1:9">
      <c r="A5116" s="847"/>
      <c r="B5116" s="152"/>
      <c r="C5116" s="137" t="s">
        <v>1050</v>
      </c>
      <c r="D5116" s="105" t="s">
        <v>3477</v>
      </c>
      <c r="E5116" s="68">
        <f>F5108*0.9*0.2</f>
        <v>5.0706000000000007</v>
      </c>
      <c r="F5116" s="190">
        <f>'BASIC DATA'!$D$34</f>
        <v>900</v>
      </c>
      <c r="G5116" s="210">
        <f t="shared" si="69"/>
        <v>4563.5400000000009</v>
      </c>
    </row>
    <row r="5117" spans="1:9">
      <c r="A5117" s="848"/>
      <c r="B5117" s="240">
        <v>3</v>
      </c>
      <c r="C5117" s="420" t="s">
        <v>7941</v>
      </c>
      <c r="D5117" s="240" t="s">
        <v>3477</v>
      </c>
      <c r="E5117" s="223">
        <f>F5108*0.4</f>
        <v>11.268000000000001</v>
      </c>
      <c r="F5117" s="266">
        <f>'BASIC DATA'!$D$55</f>
        <v>95</v>
      </c>
      <c r="G5117" s="254">
        <f t="shared" si="69"/>
        <v>1070.46</v>
      </c>
      <c r="H5117" s="61"/>
      <c r="I5117" s="61"/>
    </row>
    <row r="5118" spans="1:9">
      <c r="A5118" s="847"/>
      <c r="B5118" s="105">
        <v>4</v>
      </c>
      <c r="C5118" s="137" t="s">
        <v>523</v>
      </c>
      <c r="D5118" s="105" t="s">
        <v>3478</v>
      </c>
      <c r="E5118" s="26">
        <f>0.4%*E5112</f>
        <v>28.17</v>
      </c>
      <c r="F5118" s="266">
        <f>'BASIC DATA'!$D$99</f>
        <v>55</v>
      </c>
      <c r="G5118" s="210">
        <f t="shared" si="69"/>
        <v>1549.3500000000001</v>
      </c>
    </row>
    <row r="5119" spans="1:9">
      <c r="A5119" s="847"/>
      <c r="B5119" s="105">
        <v>6</v>
      </c>
      <c r="C5119" s="137" t="s">
        <v>524</v>
      </c>
      <c r="D5119" s="105" t="s">
        <v>3479</v>
      </c>
      <c r="E5119" s="26">
        <f>G5089</f>
        <v>180</v>
      </c>
      <c r="F5119" s="214">
        <f>IF(F5118=0,0,G5068)</f>
        <v>27.616319444444443</v>
      </c>
      <c r="G5119" s="210">
        <f>ROUND(F5119*E5119,2)</f>
        <v>4970.9399999999996</v>
      </c>
    </row>
    <row r="5120" spans="1:9">
      <c r="A5120" s="847"/>
      <c r="B5120" s="114">
        <v>7</v>
      </c>
      <c r="C5120" s="414" t="s">
        <v>2373</v>
      </c>
      <c r="D5120" s="114" t="s">
        <v>2173</v>
      </c>
      <c r="E5120" s="191">
        <v>2</v>
      </c>
      <c r="F5120" s="182">
        <f>'BASIC DATA'!$D$359</f>
        <v>30</v>
      </c>
      <c r="G5120" s="191">
        <f t="shared" si="69"/>
        <v>60</v>
      </c>
    </row>
    <row r="5121" spans="1:7">
      <c r="A5121" s="847"/>
      <c r="B5121" s="92"/>
      <c r="C5121" s="353" t="s">
        <v>2376</v>
      </c>
      <c r="D5121" s="159"/>
      <c r="E5121" s="238"/>
      <c r="F5121" s="394" t="s">
        <v>1698</v>
      </c>
      <c r="G5121" s="318">
        <f>SUM(G5112:G5120)</f>
        <v>74857.327500000014</v>
      </c>
    </row>
    <row r="5122" spans="1:7">
      <c r="A5122" s="847"/>
      <c r="B5122" s="78"/>
      <c r="C5122" s="48"/>
    </row>
    <row r="5123" spans="1:7">
      <c r="A5123" s="847"/>
      <c r="B5123" s="79" t="s">
        <v>2377</v>
      </c>
      <c r="C5123" s="48"/>
    </row>
    <row r="5124" spans="1:7">
      <c r="A5124" s="847"/>
      <c r="B5124" s="95" t="s">
        <v>2369</v>
      </c>
      <c r="C5124" s="350" t="s">
        <v>2378</v>
      </c>
      <c r="D5124" s="95" t="s">
        <v>2370</v>
      </c>
      <c r="E5124" s="95" t="s">
        <v>1166</v>
      </c>
      <c r="F5124" s="95" t="s">
        <v>2371</v>
      </c>
      <c r="G5124" s="95" t="s">
        <v>2372</v>
      </c>
    </row>
    <row r="5125" spans="1:7">
      <c r="A5125" s="847"/>
      <c r="B5125" s="114"/>
      <c r="C5125" s="351"/>
      <c r="D5125" s="114"/>
      <c r="E5125" s="114"/>
      <c r="F5125" s="114" t="s">
        <v>3485</v>
      </c>
      <c r="G5125" s="114" t="s">
        <v>3485</v>
      </c>
    </row>
    <row r="5126" spans="1:7" ht="36">
      <c r="A5126" s="847"/>
      <c r="B5126" s="95">
        <v>1</v>
      </c>
      <c r="C5126" s="418" t="s">
        <v>525</v>
      </c>
      <c r="D5126" s="95" t="s">
        <v>2374</v>
      </c>
      <c r="E5126" s="212">
        <v>16</v>
      </c>
      <c r="F5126" s="214">
        <f>'HIRE CHARGES'!$D$509</f>
        <v>92.7</v>
      </c>
      <c r="G5126" s="107">
        <f t="shared" ref="G5126:G5133" si="70">F5126*E5126</f>
        <v>1483.2</v>
      </c>
    </row>
    <row r="5127" spans="1:7">
      <c r="A5127" s="847"/>
      <c r="B5127" s="152"/>
      <c r="C5127" s="137" t="s">
        <v>2379</v>
      </c>
      <c r="D5127" s="105" t="s">
        <v>2374</v>
      </c>
      <c r="E5127" s="214">
        <v>16</v>
      </c>
      <c r="F5127" s="214">
        <f>'HIRE CHARGES'!$E$509</f>
        <v>158.69999999999999</v>
      </c>
      <c r="G5127" s="210">
        <f t="shared" si="70"/>
        <v>2539.1999999999998</v>
      </c>
    </row>
    <row r="5128" spans="1:7">
      <c r="A5128" s="847"/>
      <c r="B5128" s="105">
        <v>2</v>
      </c>
      <c r="C5128" s="137" t="s">
        <v>189</v>
      </c>
      <c r="D5128" s="105" t="s">
        <v>2374</v>
      </c>
      <c r="E5128" s="214">
        <v>0.5</v>
      </c>
      <c r="F5128" s="214">
        <f>'HIRE CHARGES'!$D$517</f>
        <v>10.199999999999999</v>
      </c>
      <c r="G5128" s="210">
        <f t="shared" si="70"/>
        <v>5.0999999999999996</v>
      </c>
    </row>
    <row r="5129" spans="1:7">
      <c r="A5129" s="847"/>
      <c r="B5129" s="152"/>
      <c r="C5129" s="137" t="s">
        <v>2379</v>
      </c>
      <c r="D5129" s="105" t="s">
        <v>2374</v>
      </c>
      <c r="E5129" s="214">
        <v>0.5</v>
      </c>
      <c r="F5129" s="214">
        <f>'HIRE CHARGES'!$E$517</f>
        <v>79.3</v>
      </c>
      <c r="G5129" s="210">
        <f t="shared" si="70"/>
        <v>39.65</v>
      </c>
    </row>
    <row r="5130" spans="1:7">
      <c r="A5130" s="847"/>
      <c r="B5130" s="105">
        <v>3</v>
      </c>
      <c r="C5130" s="137" t="s">
        <v>6286</v>
      </c>
      <c r="D5130" s="105" t="s">
        <v>2374</v>
      </c>
      <c r="E5130" s="214">
        <v>1</v>
      </c>
      <c r="F5130" s="214">
        <f>'HIRE CHARGES'!$D$555</f>
        <v>402.5</v>
      </c>
      <c r="G5130" s="210">
        <f t="shared" si="70"/>
        <v>402.5</v>
      </c>
    </row>
    <row r="5131" spans="1:7">
      <c r="A5131" s="847"/>
      <c r="B5131" s="152"/>
      <c r="C5131" s="137" t="s">
        <v>2379</v>
      </c>
      <c r="D5131" s="105" t="s">
        <v>2374</v>
      </c>
      <c r="E5131" s="214">
        <v>1</v>
      </c>
      <c r="F5131" s="214">
        <f>'HIRE CHARGES'!$E$555</f>
        <v>299.89999999999998</v>
      </c>
      <c r="G5131" s="210">
        <f t="shared" si="70"/>
        <v>299.89999999999998</v>
      </c>
    </row>
    <row r="5132" spans="1:7" ht="36">
      <c r="A5132" s="847"/>
      <c r="B5132" s="105">
        <v>4</v>
      </c>
      <c r="C5132" s="137" t="s">
        <v>526</v>
      </c>
      <c r="D5132" s="105" t="s">
        <v>2374</v>
      </c>
      <c r="E5132" s="214">
        <v>16</v>
      </c>
      <c r="F5132" s="214">
        <f>'HIRE CHARGES'!$D$531</f>
        <v>7.6</v>
      </c>
      <c r="G5132" s="210">
        <f t="shared" si="70"/>
        <v>121.6</v>
      </c>
    </row>
    <row r="5133" spans="1:7">
      <c r="A5133" s="847"/>
      <c r="B5133" s="116"/>
      <c r="C5133" s="113" t="s">
        <v>2379</v>
      </c>
      <c r="D5133" s="114" t="s">
        <v>2374</v>
      </c>
      <c r="E5133" s="215">
        <v>16</v>
      </c>
      <c r="F5133" s="214">
        <f>'HIRE CHARGES'!$E$531</f>
        <v>18.8</v>
      </c>
      <c r="G5133" s="191">
        <f t="shared" si="70"/>
        <v>300.8</v>
      </c>
    </row>
    <row r="5134" spans="1:7">
      <c r="A5134" s="847"/>
      <c r="B5134" s="176"/>
      <c r="C5134" s="357" t="s">
        <v>2380</v>
      </c>
      <c r="D5134" s="174"/>
      <c r="E5134" s="192"/>
      <c r="F5134" s="236" t="s">
        <v>1698</v>
      </c>
      <c r="G5134" s="354">
        <f>SUM(G5126:G5133)</f>
        <v>5191.95</v>
      </c>
    </row>
    <row r="5135" spans="1:7">
      <c r="A5135" s="847"/>
      <c r="B5135" s="78"/>
      <c r="C5135" s="48"/>
    </row>
    <row r="5136" spans="1:7">
      <c r="A5136" s="847"/>
      <c r="B5136" s="79" t="s">
        <v>2381</v>
      </c>
      <c r="C5136" s="48"/>
    </row>
    <row r="5137" spans="1:7">
      <c r="A5137" s="847"/>
      <c r="B5137" s="95" t="s">
        <v>2369</v>
      </c>
      <c r="C5137" s="350" t="s">
        <v>2378</v>
      </c>
      <c r="D5137" s="95" t="s">
        <v>2370</v>
      </c>
      <c r="E5137" s="95" t="s">
        <v>1166</v>
      </c>
      <c r="F5137" s="95" t="s">
        <v>2371</v>
      </c>
      <c r="G5137" s="95" t="s">
        <v>2372</v>
      </c>
    </row>
    <row r="5138" spans="1:7">
      <c r="A5138" s="847"/>
      <c r="B5138" s="114"/>
      <c r="C5138" s="351"/>
      <c r="D5138" s="105"/>
      <c r="E5138" s="114"/>
      <c r="F5138" s="114" t="s">
        <v>3485</v>
      </c>
      <c r="G5138" s="36" t="s">
        <v>3485</v>
      </c>
    </row>
    <row r="5139" spans="1:7">
      <c r="A5139" s="847"/>
      <c r="B5139" s="105">
        <v>1</v>
      </c>
      <c r="C5139" s="86" t="s">
        <v>527</v>
      </c>
      <c r="D5139" s="95" t="s">
        <v>2374</v>
      </c>
      <c r="E5139" s="207">
        <v>16</v>
      </c>
      <c r="F5139" s="214">
        <f>'HIRE CHARGES'!$F$509</f>
        <v>219.7</v>
      </c>
      <c r="G5139" s="210">
        <f t="shared" ref="G5139:G5145" si="71">F5139*E5139</f>
        <v>3515.2</v>
      </c>
    </row>
    <row r="5140" spans="1:7">
      <c r="A5140" s="847"/>
      <c r="B5140" s="105">
        <v>2</v>
      </c>
      <c r="C5140" s="86" t="s">
        <v>999</v>
      </c>
      <c r="D5140" s="105" t="s">
        <v>2374</v>
      </c>
      <c r="E5140" s="207">
        <v>0.5</v>
      </c>
      <c r="F5140" s="214">
        <f>'HIRE CHARGES'!$F$517</f>
        <v>111.1</v>
      </c>
      <c r="G5140" s="210">
        <f t="shared" si="71"/>
        <v>55.55</v>
      </c>
    </row>
    <row r="5141" spans="1:7">
      <c r="A5141" s="847"/>
      <c r="B5141" s="105">
        <v>3</v>
      </c>
      <c r="C5141" s="86" t="s">
        <v>1000</v>
      </c>
      <c r="D5141" s="105" t="s">
        <v>2374</v>
      </c>
      <c r="E5141" s="207">
        <v>1</v>
      </c>
      <c r="F5141" s="190">
        <f>'HIRE CHARGES'!$F$555</f>
        <v>177.5</v>
      </c>
      <c r="G5141" s="210">
        <f t="shared" si="71"/>
        <v>177.5</v>
      </c>
    </row>
    <row r="5142" spans="1:7">
      <c r="A5142" s="847"/>
      <c r="B5142" s="105">
        <v>4</v>
      </c>
      <c r="C5142" s="86" t="s">
        <v>439</v>
      </c>
      <c r="D5142" s="105" t="s">
        <v>2374</v>
      </c>
      <c r="E5142" s="207">
        <v>16</v>
      </c>
      <c r="F5142" s="214">
        <f>'HIRE CHARGES'!$F$531</f>
        <v>158.19999999999999</v>
      </c>
      <c r="G5142" s="210">
        <f t="shared" si="71"/>
        <v>2531.1999999999998</v>
      </c>
    </row>
    <row r="5143" spans="1:7">
      <c r="A5143" s="847"/>
      <c r="B5143" s="105">
        <v>5</v>
      </c>
      <c r="C5143" s="86" t="s">
        <v>4206</v>
      </c>
      <c r="D5143" s="105" t="s">
        <v>1172</v>
      </c>
      <c r="E5143" s="207">
        <v>1</v>
      </c>
      <c r="F5143" s="190">
        <f>'BASIC DATA'!$C$473</f>
        <v>450</v>
      </c>
      <c r="G5143" s="210">
        <f t="shared" si="71"/>
        <v>450</v>
      </c>
    </row>
    <row r="5144" spans="1:7">
      <c r="A5144" s="847"/>
      <c r="B5144" s="105">
        <v>6</v>
      </c>
      <c r="C5144" s="86" t="s">
        <v>440</v>
      </c>
      <c r="D5144" s="105" t="s">
        <v>1172</v>
      </c>
      <c r="E5144" s="207">
        <v>2</v>
      </c>
      <c r="F5144" s="190">
        <f>'BASIC DATA'!$C$474</f>
        <v>445</v>
      </c>
      <c r="G5144" s="210">
        <f t="shared" si="71"/>
        <v>890</v>
      </c>
    </row>
    <row r="5145" spans="1:7">
      <c r="A5145" s="847"/>
      <c r="B5145" s="105">
        <v>7</v>
      </c>
      <c r="C5145" s="86" t="s">
        <v>1066</v>
      </c>
      <c r="D5145" s="105" t="s">
        <v>1172</v>
      </c>
      <c r="E5145" s="207">
        <v>1</v>
      </c>
      <c r="F5145" s="190">
        <f>'BASIC DATA'!$C$475</f>
        <v>475</v>
      </c>
      <c r="G5145" s="210">
        <f t="shared" si="71"/>
        <v>475</v>
      </c>
    </row>
    <row r="5146" spans="1:7">
      <c r="A5146" s="847"/>
      <c r="B5146" s="105">
        <v>8</v>
      </c>
      <c r="C5146" s="86" t="s">
        <v>2697</v>
      </c>
      <c r="D5146" s="105"/>
      <c r="E5146" s="207"/>
      <c r="F5146" s="190"/>
      <c r="G5146" s="190"/>
    </row>
    <row r="5147" spans="1:7">
      <c r="A5147" s="847"/>
      <c r="B5147" s="152"/>
      <c r="C5147" s="86" t="s">
        <v>441</v>
      </c>
      <c r="D5147" s="105" t="s">
        <v>1172</v>
      </c>
      <c r="E5147" s="207">
        <v>22</v>
      </c>
      <c r="F5147" s="190">
        <f>'BASIC DATA'!$C$552</f>
        <v>350</v>
      </c>
      <c r="G5147" s="210">
        <f>F5147*E5147</f>
        <v>7700</v>
      </c>
    </row>
    <row r="5148" spans="1:7">
      <c r="A5148" s="847"/>
      <c r="B5148" s="152"/>
      <c r="C5148" s="86" t="s">
        <v>442</v>
      </c>
      <c r="D5148" s="105" t="s">
        <v>1172</v>
      </c>
      <c r="E5148" s="207">
        <v>8</v>
      </c>
      <c r="F5148" s="190">
        <f>'BASIC DATA'!$C$552</f>
        <v>350</v>
      </c>
      <c r="G5148" s="210">
        <f>F5148*E5148</f>
        <v>2800</v>
      </c>
    </row>
    <row r="5149" spans="1:7">
      <c r="A5149" s="847"/>
      <c r="B5149" s="152"/>
      <c r="C5149" s="86" t="s">
        <v>443</v>
      </c>
      <c r="D5149" s="105" t="s">
        <v>1172</v>
      </c>
      <c r="E5149" s="207">
        <v>6</v>
      </c>
      <c r="F5149" s="190">
        <f>'BASIC DATA'!$C$552</f>
        <v>350</v>
      </c>
      <c r="G5149" s="210">
        <f>F5149*E5149</f>
        <v>2100</v>
      </c>
    </row>
    <row r="5150" spans="1:7">
      <c r="A5150" s="847"/>
      <c r="B5150" s="152"/>
      <c r="C5150" s="86" t="s">
        <v>444</v>
      </c>
      <c r="D5150" s="105" t="s">
        <v>1172</v>
      </c>
      <c r="E5150" s="207">
        <f>F5108</f>
        <v>28.17</v>
      </c>
      <c r="F5150" s="190">
        <f>'BASIC DATA'!$C$552</f>
        <v>350</v>
      </c>
      <c r="G5150" s="210">
        <f>F5150*E5150</f>
        <v>9859.5</v>
      </c>
    </row>
    <row r="5151" spans="1:7">
      <c r="A5151" s="847"/>
      <c r="B5151" s="152"/>
      <c r="C5151" s="86" t="s">
        <v>445</v>
      </c>
      <c r="D5151" s="105" t="s">
        <v>1172</v>
      </c>
      <c r="E5151" s="207">
        <v>2</v>
      </c>
      <c r="F5151" s="190">
        <f>'BASIC DATA'!$C$552</f>
        <v>350</v>
      </c>
      <c r="G5151" s="210">
        <f>F5151*E5151</f>
        <v>700</v>
      </c>
    </row>
    <row r="5152" spans="1:7">
      <c r="A5152" s="847"/>
      <c r="B5152" s="92"/>
      <c r="C5152" s="353" t="s">
        <v>1174</v>
      </c>
      <c r="D5152" s="159"/>
      <c r="E5152" s="238"/>
      <c r="F5152" s="344" t="s">
        <v>1698</v>
      </c>
      <c r="G5152" s="318">
        <f>SUM(G5139:G5151)</f>
        <v>31253.95</v>
      </c>
    </row>
    <row r="5153" spans="1:7">
      <c r="A5153" s="847"/>
      <c r="B5153" s="359" t="s">
        <v>5948</v>
      </c>
      <c r="C5153" s="48"/>
      <c r="D5153" s="31"/>
      <c r="E5153" s="85">
        <f>ROUND(G5152/F5108,1)</f>
        <v>1109.5</v>
      </c>
      <c r="F5153" s="85"/>
    </row>
    <row r="5154" spans="1:7">
      <c r="A5154" s="847"/>
      <c r="B5154" s="359" t="s">
        <v>3163</v>
      </c>
      <c r="C5154" s="48"/>
      <c r="D5154" s="922">
        <f>'BASIC DATA'!$C$577</f>
        <v>0.13614999999999999</v>
      </c>
      <c r="E5154" s="85">
        <f>ROUND(E5153*D5154,1)</f>
        <v>151.1</v>
      </c>
      <c r="F5154" s="85"/>
    </row>
    <row r="5155" spans="1:7">
      <c r="A5155" s="847"/>
      <c r="B5155" s="359" t="s">
        <v>5949</v>
      </c>
      <c r="C5155" s="48"/>
      <c r="D5155" s="31"/>
      <c r="E5155" s="199">
        <f>ROUND(E5154+E5153,1)</f>
        <v>1260.5999999999999</v>
      </c>
      <c r="F5155" s="85"/>
    </row>
    <row r="5156" spans="1:7">
      <c r="A5156" s="847"/>
      <c r="C5156" s="48"/>
    </row>
    <row r="5157" spans="1:7">
      <c r="A5157" s="847"/>
      <c r="B5157" s="162" t="s">
        <v>1175</v>
      </c>
      <c r="C5157" s="48"/>
    </row>
    <row r="5158" spans="1:7">
      <c r="A5158" s="847"/>
      <c r="B5158" s="47" t="s">
        <v>1176</v>
      </c>
      <c r="C5158" s="48"/>
      <c r="F5158" s="171" t="s">
        <v>1698</v>
      </c>
      <c r="G5158" s="68">
        <f>G5121</f>
        <v>74857.327500000014</v>
      </c>
    </row>
    <row r="5159" spans="1:7">
      <c r="A5159" s="847"/>
      <c r="B5159" s="47" t="s">
        <v>1186</v>
      </c>
      <c r="C5159" s="48"/>
      <c r="F5159" s="171" t="s">
        <v>1698</v>
      </c>
      <c r="G5159" s="68">
        <f>G5134</f>
        <v>5191.95</v>
      </c>
    </row>
    <row r="5160" spans="1:7">
      <c r="A5160" s="847"/>
      <c r="B5160" s="47" t="s">
        <v>2660</v>
      </c>
      <c r="C5160" s="48"/>
      <c r="F5160" s="171" t="s">
        <v>1698</v>
      </c>
      <c r="G5160" s="75">
        <f>G5152</f>
        <v>31253.95</v>
      </c>
    </row>
    <row r="5161" spans="1:7">
      <c r="A5161" s="847"/>
      <c r="B5161" s="78"/>
      <c r="C5161" s="48"/>
      <c r="E5161" s="261"/>
      <c r="F5161" s="171" t="s">
        <v>302</v>
      </c>
      <c r="G5161" s="205">
        <f>SUM(G5158:G5160)</f>
        <v>111303.22750000001</v>
      </c>
    </row>
    <row r="5162" spans="1:7" ht="42.75" customHeight="1">
      <c r="A5162" s="847"/>
      <c r="B5162" s="1207" t="s">
        <v>1379</v>
      </c>
      <c r="C5162" s="1207"/>
      <c r="D5162" s="1207"/>
      <c r="E5162" s="922">
        <f>'BASIC DATA'!$C$577</f>
        <v>0.13614999999999999</v>
      </c>
      <c r="F5162" s="171" t="s">
        <v>1698</v>
      </c>
      <c r="G5162" s="31">
        <f>ROUND(G5161*E5162,2)</f>
        <v>15153.93</v>
      </c>
    </row>
    <row r="5163" spans="1:7">
      <c r="A5163" s="847"/>
      <c r="B5163" s="47" t="s">
        <v>1191</v>
      </c>
      <c r="C5163" s="48"/>
      <c r="D5163" s="68">
        <f>F5108</f>
        <v>28.17</v>
      </c>
      <c r="E5163" s="68" t="str">
        <f>G5108</f>
        <v>cum</v>
      </c>
      <c r="F5163" s="171" t="s">
        <v>1698</v>
      </c>
      <c r="G5163" s="211">
        <f>G5162+G5161</f>
        <v>126457.1575</v>
      </c>
    </row>
    <row r="5164" spans="1:7">
      <c r="A5164" s="847"/>
      <c r="B5164" s="79" t="s">
        <v>1584</v>
      </c>
      <c r="C5164" s="404" t="str">
        <f>E5163</f>
        <v>cum</v>
      </c>
      <c r="D5164" s="26" t="s">
        <v>7714</v>
      </c>
      <c r="F5164" s="171" t="s">
        <v>4108</v>
      </c>
      <c r="G5164" s="211">
        <f>ROUND(G5163/D5163,1)</f>
        <v>4489.1000000000004</v>
      </c>
    </row>
    <row r="5165" spans="1:7">
      <c r="A5165" s="847"/>
      <c r="B5165" s="78"/>
      <c r="C5165" s="48"/>
    </row>
    <row r="5166" spans="1:7">
      <c r="A5166" s="847"/>
      <c r="B5166" s="78"/>
      <c r="C5166" s="48"/>
    </row>
    <row r="5167" spans="1:7" ht="36.75">
      <c r="A5167" s="841" t="s">
        <v>7478</v>
      </c>
      <c r="B5167" s="47" t="s">
        <v>8779</v>
      </c>
      <c r="C5167" s="48"/>
    </row>
    <row r="5168" spans="1:7" ht="18.75">
      <c r="A5168" s="847"/>
      <c r="B5168" s="47" t="s">
        <v>8780</v>
      </c>
      <c r="C5168" s="48"/>
    </row>
    <row r="5169" spans="1:9" ht="18.75">
      <c r="A5169" s="847"/>
      <c r="B5169" s="47" t="s">
        <v>8781</v>
      </c>
      <c r="C5169" s="48"/>
    </row>
    <row r="5170" spans="1:9">
      <c r="A5170" s="847"/>
      <c r="B5170" s="47" t="s">
        <v>7598</v>
      </c>
      <c r="C5170" s="48"/>
    </row>
    <row r="5171" spans="1:9">
      <c r="A5171" s="847"/>
      <c r="B5171" s="47" t="s">
        <v>6</v>
      </c>
      <c r="C5171" s="48"/>
    </row>
    <row r="5172" spans="1:9">
      <c r="A5172" s="847"/>
      <c r="B5172" s="47" t="s">
        <v>8782</v>
      </c>
      <c r="C5172" s="48"/>
    </row>
    <row r="5173" spans="1:9">
      <c r="A5173" s="889"/>
      <c r="B5173" s="162" t="s">
        <v>7704</v>
      </c>
      <c r="C5173" s="48"/>
    </row>
    <row r="5174" spans="1:9">
      <c r="A5174" s="891"/>
      <c r="B5174" s="588" t="s">
        <v>4521</v>
      </c>
      <c r="C5174" s="49"/>
      <c r="D5174" s="61"/>
      <c r="E5174" s="61"/>
      <c r="F5174" s="61"/>
      <c r="G5174" s="61"/>
      <c r="H5174" s="61"/>
      <c r="I5174" s="61"/>
    </row>
    <row r="5175" spans="1:9">
      <c r="A5175" s="847"/>
      <c r="C5175" s="48"/>
    </row>
    <row r="5176" spans="1:9" hidden="1">
      <c r="A5176" s="847" t="s">
        <v>3984</v>
      </c>
      <c r="B5176" s="47" t="s">
        <v>4302</v>
      </c>
      <c r="C5176" s="48"/>
    </row>
    <row r="5177" spans="1:9" hidden="1">
      <c r="A5177" s="847"/>
      <c r="B5177" s="47" t="s">
        <v>5630</v>
      </c>
      <c r="C5177" s="48"/>
      <c r="E5177" s="26" t="s">
        <v>5631</v>
      </c>
    </row>
    <row r="5178" spans="1:9" hidden="1">
      <c r="A5178" s="847"/>
      <c r="B5178" s="47" t="s">
        <v>7715</v>
      </c>
      <c r="C5178" s="48"/>
      <c r="E5178" s="26" t="s">
        <v>7716</v>
      </c>
    </row>
    <row r="5179" spans="1:9" hidden="1">
      <c r="A5179" s="847"/>
      <c r="B5179" s="47" t="s">
        <v>7717</v>
      </c>
      <c r="C5179" s="48"/>
      <c r="D5179" s="26">
        <f>100*5*8/250</f>
        <v>16</v>
      </c>
      <c r="E5179" s="26" t="s">
        <v>7706</v>
      </c>
    </row>
    <row r="5180" spans="1:9" hidden="1">
      <c r="A5180" s="847"/>
      <c r="B5180" s="47" t="s">
        <v>990</v>
      </c>
      <c r="C5180" s="48"/>
    </row>
    <row r="5181" spans="1:9" hidden="1">
      <c r="A5181" s="847"/>
      <c r="B5181" s="47" t="s">
        <v>7718</v>
      </c>
      <c r="C5181" s="48"/>
      <c r="D5181" s="26">
        <f>D5179*2</f>
        <v>32</v>
      </c>
      <c r="E5181" s="26" t="s">
        <v>3760</v>
      </c>
    </row>
    <row r="5182" spans="1:9" ht="18.75" hidden="1">
      <c r="A5182" s="847"/>
      <c r="B5182" s="47" t="s">
        <v>8783</v>
      </c>
      <c r="C5182" s="48"/>
    </row>
    <row r="5183" spans="1:9" hidden="1">
      <c r="A5183" s="847"/>
      <c r="C5183" s="48"/>
    </row>
    <row r="5184" spans="1:9" hidden="1">
      <c r="A5184" s="847"/>
      <c r="B5184" s="47" t="s">
        <v>3923</v>
      </c>
      <c r="C5184" s="48"/>
      <c r="D5184" s="26" t="s">
        <v>3924</v>
      </c>
      <c r="G5184" s="26">
        <f>18*0.1</f>
        <v>1.8</v>
      </c>
      <c r="H5184" s="26" t="s">
        <v>6901</v>
      </c>
    </row>
    <row r="5185" spans="1:8" hidden="1">
      <c r="A5185" s="847"/>
      <c r="B5185" s="47" t="s">
        <v>3925</v>
      </c>
      <c r="C5185" s="48"/>
      <c r="E5185" s="26" t="s">
        <v>7719</v>
      </c>
      <c r="G5185" s="171">
        <f>G5184*8*60/D5181</f>
        <v>27</v>
      </c>
      <c r="H5185" s="26" t="s">
        <v>2603</v>
      </c>
    </row>
    <row r="5186" spans="1:8" hidden="1">
      <c r="A5186" s="847"/>
      <c r="B5186" s="47" t="s">
        <v>60</v>
      </c>
      <c r="C5186" s="48"/>
      <c r="G5186" s="26">
        <v>5</v>
      </c>
      <c r="H5186" s="26" t="s">
        <v>2603</v>
      </c>
    </row>
    <row r="5187" spans="1:8" hidden="1">
      <c r="A5187" s="847"/>
      <c r="B5187" s="47" t="s">
        <v>449</v>
      </c>
      <c r="C5187" s="48"/>
      <c r="G5187" s="26">
        <f>SUM(G5185:G5186)</f>
        <v>32</v>
      </c>
      <c r="H5187" s="26" t="s">
        <v>2603</v>
      </c>
    </row>
    <row r="5188" spans="1:8" hidden="1">
      <c r="A5188" s="847"/>
      <c r="B5188" s="47" t="s">
        <v>7720</v>
      </c>
      <c r="C5188" s="48"/>
      <c r="G5188" s="26">
        <f>8*60*G5184/G5187</f>
        <v>27</v>
      </c>
      <c r="H5188" s="26" t="s">
        <v>3477</v>
      </c>
    </row>
    <row r="5189" spans="1:8" hidden="1">
      <c r="A5189" s="847"/>
      <c r="B5189" s="47" t="s">
        <v>3926</v>
      </c>
      <c r="C5189" s="48"/>
    </row>
    <row r="5190" spans="1:8" hidden="1">
      <c r="A5190" s="847"/>
      <c r="B5190" s="47" t="s">
        <v>888</v>
      </c>
      <c r="C5190" s="48"/>
      <c r="G5190" s="26" t="s">
        <v>3927</v>
      </c>
    </row>
    <row r="5191" spans="1:8" hidden="1">
      <c r="A5191" s="847"/>
      <c r="B5191" s="47" t="s">
        <v>7721</v>
      </c>
      <c r="C5191" s="48"/>
      <c r="E5191" s="26" t="s">
        <v>7722</v>
      </c>
      <c r="G5191" s="26">
        <f>G5188/G5184</f>
        <v>15</v>
      </c>
      <c r="H5191" s="26" t="s">
        <v>4614</v>
      </c>
    </row>
    <row r="5192" spans="1:8" hidden="1">
      <c r="A5192" s="847"/>
      <c r="B5192" s="47" t="s">
        <v>5059</v>
      </c>
      <c r="C5192" s="48"/>
      <c r="E5192" s="26" t="s">
        <v>7723</v>
      </c>
      <c r="G5192" s="26">
        <f>G5191*18</f>
        <v>270</v>
      </c>
      <c r="H5192" s="26" t="s">
        <v>3479</v>
      </c>
    </row>
    <row r="5193" spans="1:8">
      <c r="A5193" s="847"/>
      <c r="C5193" s="48"/>
    </row>
    <row r="5194" spans="1:8">
      <c r="A5194" s="847" t="s">
        <v>1907</v>
      </c>
      <c r="C5194" s="370" t="s">
        <v>2367</v>
      </c>
      <c r="E5194" s="26" t="s">
        <v>1188</v>
      </c>
      <c r="F5194" s="170">
        <f>G5188</f>
        <v>27</v>
      </c>
      <c r="G5194" s="26" t="s">
        <v>3477</v>
      </c>
    </row>
    <row r="5195" spans="1:8">
      <c r="A5195" s="847"/>
      <c r="C5195" s="48"/>
    </row>
    <row r="5196" spans="1:8">
      <c r="A5196" s="847"/>
      <c r="B5196" s="162" t="s">
        <v>2368</v>
      </c>
      <c r="C5196" s="48"/>
    </row>
    <row r="5197" spans="1:8">
      <c r="A5197" s="847"/>
      <c r="B5197" s="95" t="s">
        <v>4442</v>
      </c>
      <c r="C5197" s="96" t="s">
        <v>4443</v>
      </c>
      <c r="D5197" s="97" t="s">
        <v>2370</v>
      </c>
      <c r="E5197" s="95" t="s">
        <v>4444</v>
      </c>
      <c r="F5197" s="95" t="s">
        <v>6247</v>
      </c>
      <c r="G5197" s="95" t="s">
        <v>6665</v>
      </c>
    </row>
    <row r="5198" spans="1:8">
      <c r="A5198" s="847"/>
      <c r="B5198" s="105">
        <v>1</v>
      </c>
      <c r="C5198" s="422" t="s">
        <v>1048</v>
      </c>
      <c r="D5198" s="107" t="s">
        <v>3478</v>
      </c>
      <c r="E5198" s="107">
        <f>F5194*250</f>
        <v>6750</v>
      </c>
      <c r="F5198" s="180">
        <f>'BASIC DATA'!$D$32/1000</f>
        <v>5.35</v>
      </c>
      <c r="G5198" s="179">
        <f>E5198*F5198</f>
        <v>36112.5</v>
      </c>
    </row>
    <row r="5199" spans="1:8" ht="36">
      <c r="A5199" s="847"/>
      <c r="B5199" s="426" t="s">
        <v>5785</v>
      </c>
      <c r="C5199" s="422" t="s">
        <v>7629</v>
      </c>
      <c r="D5199" s="210" t="s">
        <v>3478</v>
      </c>
      <c r="E5199" s="210">
        <f>5*F5194</f>
        <v>135</v>
      </c>
      <c r="F5199" s="180">
        <f>'BASIC DATA'!$D$32/1000</f>
        <v>5.35</v>
      </c>
      <c r="G5199" s="190">
        <f t="shared" ref="G5199:G5205" si="72">E5199*F5199</f>
        <v>722.25</v>
      </c>
    </row>
    <row r="5200" spans="1:8">
      <c r="A5200" s="847"/>
      <c r="B5200" s="105">
        <v>2</v>
      </c>
      <c r="C5200" s="422" t="s">
        <v>5006</v>
      </c>
      <c r="D5200" s="210" t="s">
        <v>3477</v>
      </c>
      <c r="E5200" s="210">
        <f>0.9*0.5*F5194</f>
        <v>12.15</v>
      </c>
      <c r="F5200" s="221">
        <f>'BASIC DATA'!$D$36</f>
        <v>1175</v>
      </c>
      <c r="G5200" s="190">
        <f t="shared" si="72"/>
        <v>14276.25</v>
      </c>
    </row>
    <row r="5201" spans="1:9">
      <c r="A5201" s="847"/>
      <c r="B5201" s="426"/>
      <c r="C5201" s="422" t="s">
        <v>3952</v>
      </c>
      <c r="D5201" s="210" t="s">
        <v>3477</v>
      </c>
      <c r="E5201" s="210">
        <f>0.9*0.3*F5194</f>
        <v>7.2900000000000009</v>
      </c>
      <c r="F5201" s="221">
        <f>'BASIC DATA'!$D$35</f>
        <v>1225</v>
      </c>
      <c r="G5201" s="190">
        <f t="shared" si="72"/>
        <v>8930.2500000000018</v>
      </c>
    </row>
    <row r="5202" spans="1:9">
      <c r="A5202" s="847"/>
      <c r="B5202" s="426"/>
      <c r="C5202" s="422" t="s">
        <v>3953</v>
      </c>
      <c r="D5202" s="210" t="s">
        <v>3477</v>
      </c>
      <c r="E5202" s="210">
        <f>0.9*0.2*F5194</f>
        <v>4.8600000000000003</v>
      </c>
      <c r="F5202" s="221">
        <f>'BASIC DATA'!$D$34</f>
        <v>900</v>
      </c>
      <c r="G5202" s="190">
        <f t="shared" si="72"/>
        <v>4374</v>
      </c>
    </row>
    <row r="5203" spans="1:9">
      <c r="A5203" s="848"/>
      <c r="B5203" s="240">
        <v>3</v>
      </c>
      <c r="C5203" s="428" t="s">
        <v>7941</v>
      </c>
      <c r="D5203" s="254" t="s">
        <v>3477</v>
      </c>
      <c r="E5203" s="254">
        <f>0.4*F5194</f>
        <v>10.8</v>
      </c>
      <c r="F5203" s="267">
        <f>'BASIC DATA'!$D$55</f>
        <v>95</v>
      </c>
      <c r="G5203" s="255">
        <f t="shared" si="72"/>
        <v>1026</v>
      </c>
      <c r="H5203" s="61"/>
      <c r="I5203" s="61"/>
    </row>
    <row r="5204" spans="1:9">
      <c r="A5204" s="847"/>
      <c r="B5204" s="105">
        <v>4</v>
      </c>
      <c r="C5204" s="422" t="s">
        <v>523</v>
      </c>
      <c r="D5204" s="210" t="s">
        <v>3478</v>
      </c>
      <c r="E5204" s="210">
        <f>0.4%*E5198</f>
        <v>27</v>
      </c>
      <c r="F5204" s="221">
        <f>'BASIC DATA'!$D$99</f>
        <v>55</v>
      </c>
      <c r="G5204" s="190">
        <f t="shared" si="72"/>
        <v>1485</v>
      </c>
    </row>
    <row r="5205" spans="1:9">
      <c r="A5205" s="847"/>
      <c r="B5205" s="105">
        <v>5</v>
      </c>
      <c r="C5205" s="422" t="s">
        <v>524</v>
      </c>
      <c r="D5205" s="210" t="s">
        <v>3479</v>
      </c>
      <c r="E5205" s="191">
        <f>G5192</f>
        <v>270</v>
      </c>
      <c r="F5205" s="221">
        <f>IF(F5204=0,0,G5068)</f>
        <v>27.616319444444443</v>
      </c>
      <c r="G5205" s="182">
        <f t="shared" si="72"/>
        <v>7456.40625</v>
      </c>
    </row>
    <row r="5206" spans="1:9">
      <c r="A5206" s="847"/>
      <c r="B5206" s="232"/>
      <c r="C5206" s="432"/>
      <c r="D5206" s="187"/>
      <c r="E5206" s="187"/>
      <c r="F5206" s="195" t="s">
        <v>6251</v>
      </c>
      <c r="G5206" s="190">
        <f>SUM(G5198:G5205)</f>
        <v>74382.65625</v>
      </c>
    </row>
    <row r="5207" spans="1:9">
      <c r="A5207" s="847"/>
      <c r="B5207" s="234"/>
      <c r="C5207" s="433" t="s">
        <v>2114</v>
      </c>
      <c r="D5207" s="154"/>
      <c r="E5207" s="174"/>
      <c r="F5207" s="192" t="s">
        <v>4108</v>
      </c>
      <c r="G5207" s="434">
        <f>SUM(G5206)</f>
        <v>74382.65625</v>
      </c>
    </row>
    <row r="5208" spans="1:9">
      <c r="A5208" s="847"/>
      <c r="C5208" s="48"/>
    </row>
    <row r="5209" spans="1:9">
      <c r="A5209" s="847"/>
      <c r="B5209" s="162" t="s">
        <v>2377</v>
      </c>
      <c r="C5209" s="48"/>
    </row>
    <row r="5210" spans="1:9">
      <c r="A5210" s="847"/>
      <c r="B5210" s="95" t="s">
        <v>4442</v>
      </c>
      <c r="C5210" s="96" t="s">
        <v>4443</v>
      </c>
      <c r="D5210" s="97" t="s">
        <v>2370</v>
      </c>
      <c r="E5210" s="95" t="s">
        <v>4444</v>
      </c>
      <c r="F5210" s="95" t="s">
        <v>6247</v>
      </c>
      <c r="G5210" s="95" t="s">
        <v>6665</v>
      </c>
    </row>
    <row r="5211" spans="1:9" ht="36">
      <c r="A5211" s="847"/>
      <c r="B5211" s="105">
        <v>1</v>
      </c>
      <c r="C5211" s="422" t="s">
        <v>4414</v>
      </c>
      <c r="D5211" s="107" t="s">
        <v>2374</v>
      </c>
      <c r="E5211" s="180">
        <v>16</v>
      </c>
      <c r="F5211" s="179">
        <f>'HIRE CHARGES'!$D$509</f>
        <v>92.7</v>
      </c>
      <c r="G5211" s="178">
        <f>E5211*F5211</f>
        <v>1483.2</v>
      </c>
    </row>
    <row r="5212" spans="1:9">
      <c r="A5212" s="847"/>
      <c r="B5212" s="426"/>
      <c r="C5212" s="422" t="s">
        <v>2379</v>
      </c>
      <c r="D5212" s="210" t="s">
        <v>2374</v>
      </c>
      <c r="E5212" s="221">
        <v>16</v>
      </c>
      <c r="F5212" s="190">
        <f>'HIRE CHARGES'!$E$509</f>
        <v>158.69999999999999</v>
      </c>
      <c r="G5212" s="179">
        <f t="shared" ref="G5212:G5218" si="73">E5212*F5212</f>
        <v>2539.1999999999998</v>
      </c>
    </row>
    <row r="5213" spans="1:9">
      <c r="A5213" s="847"/>
      <c r="B5213" s="105">
        <v>2</v>
      </c>
      <c r="C5213" s="422" t="s">
        <v>4415</v>
      </c>
      <c r="D5213" s="210" t="s">
        <v>2374</v>
      </c>
      <c r="E5213" s="221">
        <v>0.5</v>
      </c>
      <c r="F5213" s="190">
        <f>'HIRE CHARGES'!$D$517</f>
        <v>10.199999999999999</v>
      </c>
      <c r="G5213" s="190">
        <f t="shared" si="73"/>
        <v>5.0999999999999996</v>
      </c>
    </row>
    <row r="5214" spans="1:9">
      <c r="A5214" s="847"/>
      <c r="B5214" s="426"/>
      <c r="C5214" s="422" t="s">
        <v>2379</v>
      </c>
      <c r="D5214" s="210" t="s">
        <v>2374</v>
      </c>
      <c r="E5214" s="221">
        <v>0.5</v>
      </c>
      <c r="F5214" s="190">
        <f>'HIRE CHARGES'!$E$517</f>
        <v>79.3</v>
      </c>
      <c r="G5214" s="190">
        <f t="shared" si="73"/>
        <v>39.65</v>
      </c>
    </row>
    <row r="5215" spans="1:9">
      <c r="A5215" s="847"/>
      <c r="B5215" s="105">
        <v>3</v>
      </c>
      <c r="C5215" s="422" t="s">
        <v>6286</v>
      </c>
      <c r="D5215" s="210" t="s">
        <v>2374</v>
      </c>
      <c r="E5215" s="221">
        <v>1</v>
      </c>
      <c r="F5215" s="190">
        <f>'HIRE CHARGES'!$D$555</f>
        <v>402.5</v>
      </c>
      <c r="G5215" s="190">
        <f t="shared" si="73"/>
        <v>402.5</v>
      </c>
    </row>
    <row r="5216" spans="1:9">
      <c r="A5216" s="847"/>
      <c r="B5216" s="426"/>
      <c r="C5216" s="422" t="s">
        <v>2379</v>
      </c>
      <c r="D5216" s="210" t="s">
        <v>2374</v>
      </c>
      <c r="E5216" s="221">
        <v>1</v>
      </c>
      <c r="F5216" s="190">
        <f>'HIRE CHARGES'!$E$555</f>
        <v>299.89999999999998</v>
      </c>
      <c r="G5216" s="190">
        <f>E5216*F5216</f>
        <v>299.89999999999998</v>
      </c>
    </row>
    <row r="5217" spans="1:7" ht="36">
      <c r="A5217" s="847"/>
      <c r="B5217" s="105">
        <v>4</v>
      </c>
      <c r="C5217" s="422" t="s">
        <v>4416</v>
      </c>
      <c r="D5217" s="210" t="s">
        <v>2374</v>
      </c>
      <c r="E5217" s="221">
        <v>4</v>
      </c>
      <c r="F5217" s="190">
        <f>'HIRE CHARGES'!$D$531</f>
        <v>7.6</v>
      </c>
      <c r="G5217" s="190">
        <f t="shared" si="73"/>
        <v>30.4</v>
      </c>
    </row>
    <row r="5218" spans="1:7">
      <c r="A5218" s="847"/>
      <c r="B5218" s="226"/>
      <c r="C5218" s="414" t="s">
        <v>2379</v>
      </c>
      <c r="D5218" s="191" t="s">
        <v>2374</v>
      </c>
      <c r="E5218" s="183">
        <v>4</v>
      </c>
      <c r="F5218" s="190">
        <f>'HIRE CHARGES'!$E$531</f>
        <v>18.8</v>
      </c>
      <c r="G5218" s="182">
        <f t="shared" si="73"/>
        <v>75.2</v>
      </c>
    </row>
    <row r="5219" spans="1:7">
      <c r="A5219" s="847"/>
      <c r="B5219" s="231"/>
      <c r="C5219" s="406" t="s">
        <v>6250</v>
      </c>
      <c r="D5219" s="159"/>
      <c r="E5219" s="159"/>
      <c r="F5219" s="238" t="s">
        <v>4108</v>
      </c>
      <c r="G5219" s="434">
        <f>SUM(G5211:G5218)</f>
        <v>4875.1499999999987</v>
      </c>
    </row>
    <row r="5220" spans="1:7">
      <c r="A5220" s="847"/>
      <c r="C5220" s="48"/>
    </row>
    <row r="5221" spans="1:7">
      <c r="A5221" s="847"/>
      <c r="B5221" s="79" t="s">
        <v>2381</v>
      </c>
      <c r="C5221" s="48"/>
    </row>
    <row r="5222" spans="1:7">
      <c r="A5222" s="847"/>
      <c r="B5222" s="95" t="s">
        <v>2369</v>
      </c>
      <c r="C5222" s="350" t="s">
        <v>2378</v>
      </c>
      <c r="D5222" s="95" t="s">
        <v>2370</v>
      </c>
      <c r="E5222" s="95" t="s">
        <v>1166</v>
      </c>
      <c r="F5222" s="95" t="s">
        <v>2371</v>
      </c>
      <c r="G5222" s="95" t="s">
        <v>2372</v>
      </c>
    </row>
    <row r="5223" spans="1:7">
      <c r="A5223" s="847"/>
      <c r="B5223" s="114"/>
      <c r="C5223" s="351"/>
      <c r="D5223" s="105"/>
      <c r="E5223" s="114"/>
      <c r="F5223" s="114" t="s">
        <v>3485</v>
      </c>
      <c r="G5223" s="114" t="s">
        <v>3485</v>
      </c>
    </row>
    <row r="5224" spans="1:7">
      <c r="A5224" s="847"/>
      <c r="B5224" s="105">
        <v>1</v>
      </c>
      <c r="C5224" s="86" t="s">
        <v>527</v>
      </c>
      <c r="D5224" s="95" t="s">
        <v>2374</v>
      </c>
      <c r="E5224" s="207">
        <v>16</v>
      </c>
      <c r="F5224" s="214">
        <f>'HIRE CHARGES'!$F$509</f>
        <v>219.7</v>
      </c>
      <c r="G5224" s="107">
        <f t="shared" ref="G5224:G5230" si="74">F5224*E5224</f>
        <v>3515.2</v>
      </c>
    </row>
    <row r="5225" spans="1:7">
      <c r="A5225" s="847"/>
      <c r="B5225" s="105">
        <v>2</v>
      </c>
      <c r="C5225" s="86" t="s">
        <v>999</v>
      </c>
      <c r="D5225" s="105" t="s">
        <v>2374</v>
      </c>
      <c r="E5225" s="207">
        <v>0.5</v>
      </c>
      <c r="F5225" s="214">
        <f>'HIRE CHARGES'!$F$517</f>
        <v>111.1</v>
      </c>
      <c r="G5225" s="210">
        <f t="shared" si="74"/>
        <v>55.55</v>
      </c>
    </row>
    <row r="5226" spans="1:7">
      <c r="A5226" s="847"/>
      <c r="B5226" s="105">
        <v>3</v>
      </c>
      <c r="C5226" s="86" t="s">
        <v>1000</v>
      </c>
      <c r="D5226" s="105" t="s">
        <v>2374</v>
      </c>
      <c r="E5226" s="207">
        <v>1</v>
      </c>
      <c r="F5226" s="190">
        <f>'HIRE CHARGES'!$F$555</f>
        <v>177.5</v>
      </c>
      <c r="G5226" s="210">
        <f t="shared" si="74"/>
        <v>177.5</v>
      </c>
    </row>
    <row r="5227" spans="1:7">
      <c r="A5227" s="847"/>
      <c r="B5227" s="105">
        <v>4</v>
      </c>
      <c r="C5227" s="86" t="s">
        <v>439</v>
      </c>
      <c r="D5227" s="105" t="s">
        <v>2374</v>
      </c>
      <c r="E5227" s="207">
        <v>16</v>
      </c>
      <c r="F5227" s="214">
        <f>'HIRE CHARGES'!$F$531</f>
        <v>158.19999999999999</v>
      </c>
      <c r="G5227" s="210">
        <f t="shared" si="74"/>
        <v>2531.1999999999998</v>
      </c>
    </row>
    <row r="5228" spans="1:7">
      <c r="A5228" s="847"/>
      <c r="B5228" s="105">
        <v>5</v>
      </c>
      <c r="C5228" s="86" t="s">
        <v>4206</v>
      </c>
      <c r="D5228" s="105" t="s">
        <v>1172</v>
      </c>
      <c r="E5228" s="207">
        <v>1</v>
      </c>
      <c r="F5228" s="190">
        <f>'BASIC DATA'!$C$473</f>
        <v>450</v>
      </c>
      <c r="G5228" s="210">
        <f t="shared" si="74"/>
        <v>450</v>
      </c>
    </row>
    <row r="5229" spans="1:7">
      <c r="A5229" s="847"/>
      <c r="B5229" s="105">
        <v>6</v>
      </c>
      <c r="C5229" s="86" t="s">
        <v>440</v>
      </c>
      <c r="D5229" s="105" t="s">
        <v>1172</v>
      </c>
      <c r="E5229" s="207">
        <v>2</v>
      </c>
      <c r="F5229" s="190">
        <f>'BASIC DATA'!$C$474</f>
        <v>445</v>
      </c>
      <c r="G5229" s="210">
        <f t="shared" si="74"/>
        <v>890</v>
      </c>
    </row>
    <row r="5230" spans="1:7">
      <c r="A5230" s="847"/>
      <c r="B5230" s="105">
        <v>7</v>
      </c>
      <c r="C5230" s="86" t="s">
        <v>1066</v>
      </c>
      <c r="D5230" s="105" t="s">
        <v>1172</v>
      </c>
      <c r="E5230" s="207">
        <v>1</v>
      </c>
      <c r="F5230" s="190">
        <f>'BASIC DATA'!$C$475</f>
        <v>475</v>
      </c>
      <c r="G5230" s="210">
        <f t="shared" si="74"/>
        <v>475</v>
      </c>
    </row>
    <row r="5231" spans="1:7">
      <c r="A5231" s="847"/>
      <c r="B5231" s="105">
        <v>8</v>
      </c>
      <c r="C5231" s="86" t="s">
        <v>2697</v>
      </c>
      <c r="D5231" s="105"/>
      <c r="E5231" s="207"/>
      <c r="F5231" s="190"/>
      <c r="G5231" s="190"/>
    </row>
    <row r="5232" spans="1:7">
      <c r="A5232" s="847"/>
      <c r="B5232" s="152"/>
      <c r="C5232" s="86" t="s">
        <v>441</v>
      </c>
      <c r="D5232" s="105" t="s">
        <v>1172</v>
      </c>
      <c r="E5232" s="207">
        <v>22</v>
      </c>
      <c r="F5232" s="190">
        <f>'BASIC DATA'!$C$552</f>
        <v>350</v>
      </c>
      <c r="G5232" s="210">
        <f>F5232*E5232</f>
        <v>7700</v>
      </c>
    </row>
    <row r="5233" spans="1:7">
      <c r="A5233" s="847"/>
      <c r="B5233" s="152"/>
      <c r="C5233" s="86" t="s">
        <v>442</v>
      </c>
      <c r="D5233" s="105" t="s">
        <v>1172</v>
      </c>
      <c r="E5233" s="207">
        <v>8</v>
      </c>
      <c r="F5233" s="190">
        <f>'BASIC DATA'!$C$552</f>
        <v>350</v>
      </c>
      <c r="G5233" s="210">
        <f>F5233*E5233</f>
        <v>2800</v>
      </c>
    </row>
    <row r="5234" spans="1:7">
      <c r="A5234" s="847"/>
      <c r="B5234" s="152"/>
      <c r="C5234" s="86" t="s">
        <v>443</v>
      </c>
      <c r="D5234" s="105" t="s">
        <v>1172</v>
      </c>
      <c r="E5234" s="207">
        <v>6</v>
      </c>
      <c r="F5234" s="190">
        <f>'BASIC DATA'!$C$552</f>
        <v>350</v>
      </c>
      <c r="G5234" s="210">
        <f>F5234*E5234</f>
        <v>2100</v>
      </c>
    </row>
    <row r="5235" spans="1:7">
      <c r="A5235" s="847"/>
      <c r="B5235" s="152"/>
      <c r="C5235" s="86" t="s">
        <v>444</v>
      </c>
      <c r="D5235" s="105" t="s">
        <v>1172</v>
      </c>
      <c r="E5235" s="207">
        <f>F5194</f>
        <v>27</v>
      </c>
      <c r="F5235" s="190">
        <f>'BASIC DATA'!$C$552</f>
        <v>350</v>
      </c>
      <c r="G5235" s="210">
        <f>F5235*E5235</f>
        <v>9450</v>
      </c>
    </row>
    <row r="5236" spans="1:7">
      <c r="A5236" s="847"/>
      <c r="B5236" s="152"/>
      <c r="C5236" s="86" t="s">
        <v>445</v>
      </c>
      <c r="D5236" s="105" t="s">
        <v>1172</v>
      </c>
      <c r="E5236" s="207">
        <v>2</v>
      </c>
      <c r="F5236" s="190">
        <f>'BASIC DATA'!$C$552</f>
        <v>350</v>
      </c>
      <c r="G5236" s="210">
        <f>F5236*E5236</f>
        <v>700</v>
      </c>
    </row>
    <row r="5237" spans="1:7">
      <c r="A5237" s="847"/>
      <c r="B5237" s="92"/>
      <c r="C5237" s="353" t="s">
        <v>1174</v>
      </c>
      <c r="D5237" s="159"/>
      <c r="E5237" s="238"/>
      <c r="F5237" s="236" t="s">
        <v>1698</v>
      </c>
      <c r="G5237" s="318">
        <f>SUM(G5224:G5236)</f>
        <v>30844.45</v>
      </c>
    </row>
    <row r="5238" spans="1:7">
      <c r="A5238" s="847"/>
      <c r="B5238" s="359" t="s">
        <v>5948</v>
      </c>
      <c r="C5238" s="48"/>
      <c r="D5238" s="31"/>
      <c r="E5238" s="85">
        <f>ROUND(G5237/F5194,1)</f>
        <v>1142.4000000000001</v>
      </c>
    </row>
    <row r="5239" spans="1:7">
      <c r="A5239" s="847"/>
      <c r="B5239" s="359" t="s">
        <v>3163</v>
      </c>
      <c r="C5239" s="48"/>
      <c r="D5239" s="922">
        <f>'BASIC DATA'!$C$577</f>
        <v>0.13614999999999999</v>
      </c>
      <c r="E5239" s="85">
        <f>ROUND(E5238*D5239,1)</f>
        <v>155.5</v>
      </c>
    </row>
    <row r="5240" spans="1:7">
      <c r="A5240" s="847"/>
      <c r="B5240" s="359" t="s">
        <v>5949</v>
      </c>
      <c r="C5240" s="48"/>
      <c r="D5240" s="31"/>
      <c r="E5240" s="199">
        <f>ROUND(E5239+E5238,1)</f>
        <v>1297.9000000000001</v>
      </c>
    </row>
    <row r="5241" spans="1:7">
      <c r="A5241" s="847"/>
      <c r="C5241" s="48"/>
    </row>
    <row r="5242" spans="1:7">
      <c r="A5242" s="847"/>
      <c r="B5242" s="162" t="s">
        <v>1175</v>
      </c>
      <c r="C5242" s="48"/>
    </row>
    <row r="5243" spans="1:7">
      <c r="A5243" s="847"/>
      <c r="B5243" s="47" t="s">
        <v>4417</v>
      </c>
      <c r="C5243" s="48"/>
      <c r="F5243" s="26" t="s">
        <v>4108</v>
      </c>
      <c r="G5243" s="68">
        <f>G5207</f>
        <v>74382.65625</v>
      </c>
    </row>
    <row r="5244" spans="1:7">
      <c r="A5244" s="847"/>
      <c r="B5244" s="47" t="s">
        <v>1186</v>
      </c>
      <c r="C5244" s="48"/>
      <c r="F5244" s="26" t="s">
        <v>4108</v>
      </c>
      <c r="G5244" s="68">
        <f>G5219</f>
        <v>4875.1499999999987</v>
      </c>
    </row>
    <row r="5245" spans="1:7">
      <c r="A5245" s="847"/>
      <c r="B5245" s="47" t="s">
        <v>2660</v>
      </c>
      <c r="C5245" s="48"/>
      <c r="F5245" s="26" t="s">
        <v>4108</v>
      </c>
      <c r="G5245" s="173">
        <f>G5237</f>
        <v>30844.45</v>
      </c>
    </row>
    <row r="5246" spans="1:7">
      <c r="A5246" s="847"/>
      <c r="C5246" s="48"/>
      <c r="F5246" s="26" t="s">
        <v>6251</v>
      </c>
      <c r="G5246" s="68">
        <f>SUM(G5243:G5245)</f>
        <v>110102.25624999999</v>
      </c>
    </row>
    <row r="5247" spans="1:7" ht="42.75" customHeight="1">
      <c r="A5247" s="847"/>
      <c r="B5247" s="1207" t="s">
        <v>1379</v>
      </c>
      <c r="C5247" s="1207"/>
      <c r="D5247" s="1207"/>
      <c r="E5247" s="922">
        <f>'BASIC DATA'!$C$577</f>
        <v>0.13614999999999999</v>
      </c>
      <c r="F5247" s="171" t="s">
        <v>1698</v>
      </c>
      <c r="G5247" s="31">
        <f>ROUND(G5246*E5247,2)</f>
        <v>14990.42</v>
      </c>
    </row>
    <row r="5248" spans="1:7">
      <c r="A5248" s="847"/>
      <c r="B5248" s="47" t="s">
        <v>1191</v>
      </c>
      <c r="C5248" s="48"/>
      <c r="D5248" s="68">
        <f>F5194</f>
        <v>27</v>
      </c>
      <c r="E5248" s="68" t="str">
        <f>G5194</f>
        <v>cum</v>
      </c>
      <c r="F5248" s="171" t="s">
        <v>1698</v>
      </c>
      <c r="G5248" s="211">
        <f>G5247+G5246</f>
        <v>125092.67624999999</v>
      </c>
    </row>
    <row r="5249" spans="1:9">
      <c r="A5249" s="847"/>
      <c r="B5249" s="79" t="s">
        <v>1584</v>
      </c>
      <c r="C5249" s="404" t="str">
        <f>E5248</f>
        <v>cum</v>
      </c>
      <c r="D5249" s="26" t="s">
        <v>7724</v>
      </c>
      <c r="F5249" s="171" t="s">
        <v>4108</v>
      </c>
      <c r="G5249" s="211">
        <f>ROUND(G5248/D5248,1)</f>
        <v>4633.1000000000004</v>
      </c>
    </row>
    <row r="5250" spans="1:9">
      <c r="A5250" s="847"/>
      <c r="C5250" s="48"/>
      <c r="G5250" s="68"/>
    </row>
    <row r="5251" spans="1:9">
      <c r="A5251" s="848"/>
      <c r="B5251" s="382"/>
      <c r="C5251" s="49"/>
      <c r="D5251" s="61"/>
      <c r="E5251" s="61"/>
      <c r="F5251" s="61"/>
      <c r="G5251" s="223"/>
      <c r="H5251" s="61"/>
      <c r="I5251" s="61"/>
    </row>
    <row r="5252" spans="1:9" ht="36.75">
      <c r="A5252" s="841" t="s">
        <v>7479</v>
      </c>
      <c r="B5252" s="382" t="s">
        <v>8784</v>
      </c>
      <c r="C5252" s="49"/>
      <c r="D5252" s="61"/>
      <c r="E5252" s="61"/>
      <c r="F5252" s="61"/>
      <c r="G5252" s="61"/>
      <c r="H5252" s="61"/>
    </row>
    <row r="5253" spans="1:9" ht="18.75">
      <c r="A5253" s="848"/>
      <c r="B5253" s="382" t="s">
        <v>8785</v>
      </c>
      <c r="C5253" s="49"/>
      <c r="D5253" s="61"/>
      <c r="E5253" s="61"/>
      <c r="F5253" s="61"/>
      <c r="G5253" s="61"/>
      <c r="H5253" s="61"/>
    </row>
    <row r="5254" spans="1:9" ht="18.75">
      <c r="A5254" s="848"/>
      <c r="B5254" s="382" t="s">
        <v>8786</v>
      </c>
      <c r="C5254" s="49"/>
      <c r="D5254" s="61"/>
      <c r="E5254" s="61"/>
      <c r="F5254" s="61"/>
      <c r="G5254" s="61"/>
      <c r="H5254" s="61"/>
    </row>
    <row r="5255" spans="1:9">
      <c r="A5255" s="848"/>
      <c r="B5255" s="382" t="s">
        <v>4698</v>
      </c>
      <c r="C5255" s="49"/>
      <c r="D5255" s="61"/>
      <c r="E5255" s="61"/>
      <c r="F5255" s="61"/>
      <c r="G5255" s="61"/>
      <c r="H5255" s="61"/>
    </row>
    <row r="5256" spans="1:9">
      <c r="A5256" s="848"/>
      <c r="B5256" s="382" t="s">
        <v>7989</v>
      </c>
      <c r="C5256" s="49"/>
      <c r="D5256" s="61"/>
      <c r="E5256" s="61"/>
      <c r="F5256" s="61"/>
      <c r="G5256" s="61"/>
      <c r="H5256" s="61"/>
    </row>
    <row r="5257" spans="1:9" ht="18.75">
      <c r="A5257" s="848"/>
      <c r="B5257" s="382" t="s">
        <v>8787</v>
      </c>
      <c r="C5257" s="49"/>
      <c r="D5257" s="61"/>
      <c r="E5257" s="61"/>
      <c r="F5257" s="61"/>
      <c r="G5257" s="61"/>
      <c r="H5257" s="61"/>
      <c r="I5257" s="61"/>
    </row>
    <row r="5258" spans="1:9">
      <c r="A5258" s="889"/>
      <c r="B5258" s="162" t="s">
        <v>7725</v>
      </c>
      <c r="C5258" s="48"/>
    </row>
    <row r="5259" spans="1:9">
      <c r="A5259" s="891"/>
      <c r="B5259" s="588" t="s">
        <v>4521</v>
      </c>
      <c r="C5259" s="49"/>
      <c r="D5259" s="61"/>
      <c r="E5259" s="61"/>
      <c r="F5259" s="61"/>
      <c r="G5259" s="61"/>
      <c r="H5259" s="61"/>
      <c r="I5259" s="61"/>
    </row>
    <row r="5260" spans="1:9">
      <c r="A5260" s="891"/>
      <c r="B5260" s="382"/>
      <c r="C5260" s="49"/>
      <c r="D5260" s="61"/>
      <c r="E5260" s="61"/>
      <c r="F5260" s="61"/>
      <c r="G5260" s="61"/>
      <c r="H5260" s="61"/>
      <c r="I5260" s="61"/>
    </row>
    <row r="5261" spans="1:9" hidden="1">
      <c r="A5261" s="848" t="s">
        <v>3984</v>
      </c>
      <c r="B5261" s="382" t="s">
        <v>6237</v>
      </c>
      <c r="C5261" s="49"/>
      <c r="D5261" s="61"/>
      <c r="E5261" s="61"/>
      <c r="F5261" s="61" t="s">
        <v>1697</v>
      </c>
      <c r="G5261" s="61" t="s">
        <v>3890</v>
      </c>
      <c r="H5261" s="61"/>
      <c r="I5261" s="61"/>
    </row>
    <row r="5262" spans="1:9" hidden="1">
      <c r="A5262" s="848"/>
      <c r="B5262" s="382" t="s">
        <v>6238</v>
      </c>
      <c r="C5262" s="49"/>
      <c r="D5262" s="61"/>
      <c r="E5262" s="61"/>
      <c r="F5262" s="61"/>
      <c r="G5262" s="61"/>
      <c r="H5262" s="61"/>
      <c r="I5262" s="61"/>
    </row>
    <row r="5263" spans="1:9" ht="18.75" hidden="1">
      <c r="A5263" s="848"/>
      <c r="B5263" s="382" t="s">
        <v>8767</v>
      </c>
      <c r="C5263" s="49"/>
      <c r="D5263" s="61"/>
      <c r="E5263" s="61"/>
      <c r="F5263" s="61"/>
      <c r="G5263" s="61"/>
      <c r="H5263" s="61"/>
      <c r="I5263" s="61"/>
    </row>
    <row r="5264" spans="1:9" hidden="1">
      <c r="A5264" s="848"/>
      <c r="B5264" s="382"/>
      <c r="C5264" s="49"/>
      <c r="D5264" s="61"/>
      <c r="E5264" s="61"/>
      <c r="F5264" s="61"/>
      <c r="G5264" s="61"/>
      <c r="H5264" s="61"/>
      <c r="I5264" s="61"/>
    </row>
    <row r="5265" spans="1:9" hidden="1">
      <c r="A5265" s="848"/>
      <c r="B5265" s="382" t="s">
        <v>1557</v>
      </c>
      <c r="C5265" s="49"/>
      <c r="D5265" s="61"/>
      <c r="E5265" s="61"/>
      <c r="F5265" s="61" t="s">
        <v>1697</v>
      </c>
      <c r="G5265" s="61">
        <v>100</v>
      </c>
      <c r="H5265" s="61" t="s">
        <v>5860</v>
      </c>
      <c r="I5265" s="61"/>
    </row>
    <row r="5266" spans="1:9" hidden="1">
      <c r="A5266" s="848"/>
      <c r="B5266" s="382" t="s">
        <v>3891</v>
      </c>
      <c r="C5266" s="49"/>
      <c r="D5266" s="61"/>
      <c r="E5266" s="61"/>
      <c r="F5266" s="61" t="s">
        <v>1697</v>
      </c>
      <c r="G5266" s="61">
        <f>G5265*0.1</f>
        <v>10</v>
      </c>
      <c r="H5266" s="61" t="s">
        <v>3477</v>
      </c>
      <c r="I5266" s="61"/>
    </row>
    <row r="5267" spans="1:9" hidden="1">
      <c r="A5267" s="848"/>
      <c r="B5267" s="382" t="s">
        <v>3892</v>
      </c>
      <c r="C5267" s="49"/>
      <c r="D5267" s="61"/>
      <c r="E5267" s="61"/>
      <c r="F5267" s="61" t="s">
        <v>1697</v>
      </c>
      <c r="G5267" s="61">
        <f>G5266*10%</f>
        <v>1</v>
      </c>
      <c r="H5267" s="61" t="s">
        <v>3477</v>
      </c>
      <c r="I5267" s="61"/>
    </row>
    <row r="5268" spans="1:9" hidden="1">
      <c r="A5268" s="848"/>
      <c r="B5268" s="382" t="s">
        <v>1558</v>
      </c>
      <c r="C5268" s="49"/>
      <c r="D5268" s="61"/>
      <c r="E5268" s="61"/>
      <c r="F5268" s="61" t="s">
        <v>1697</v>
      </c>
      <c r="G5268" s="223">
        <v>11</v>
      </c>
      <c r="H5268" s="61" t="s">
        <v>6901</v>
      </c>
      <c r="I5268" s="61"/>
    </row>
    <row r="5269" spans="1:9" hidden="1">
      <c r="A5269" s="848"/>
      <c r="B5269" s="382" t="s">
        <v>3796</v>
      </c>
      <c r="C5269" s="49"/>
      <c r="D5269" s="61"/>
      <c r="E5269" s="61"/>
      <c r="F5269" s="61"/>
      <c r="G5269" s="61"/>
      <c r="H5269" s="61"/>
      <c r="I5269" s="61"/>
    </row>
    <row r="5270" spans="1:9" hidden="1">
      <c r="A5270" s="848"/>
      <c r="B5270" s="382" t="s">
        <v>4297</v>
      </c>
      <c r="C5270" s="49"/>
      <c r="D5270" s="61"/>
      <c r="E5270" s="61"/>
      <c r="F5270" s="61" t="s">
        <v>1697</v>
      </c>
      <c r="G5270" s="61">
        <f>ROUND(11*60/50/0.7,2)</f>
        <v>18.86</v>
      </c>
      <c r="H5270" s="61" t="s">
        <v>5721</v>
      </c>
      <c r="I5270" s="61"/>
    </row>
    <row r="5271" spans="1:9" ht="18.75" hidden="1">
      <c r="A5271" s="848"/>
      <c r="B5271" s="382" t="s">
        <v>8768</v>
      </c>
      <c r="C5271" s="49"/>
      <c r="D5271" s="61"/>
      <c r="E5271" s="61"/>
      <c r="F5271" s="61"/>
      <c r="G5271" s="61"/>
      <c r="H5271" s="61"/>
      <c r="I5271" s="61"/>
    </row>
    <row r="5272" spans="1:9" hidden="1">
      <c r="A5272" s="848"/>
      <c r="B5272" s="382" t="s">
        <v>7988</v>
      </c>
      <c r="C5272" s="49"/>
      <c r="D5272" s="61"/>
      <c r="E5272" s="61"/>
      <c r="F5272" s="61"/>
      <c r="G5272" s="61"/>
      <c r="H5272" s="61"/>
      <c r="I5272" s="61"/>
    </row>
    <row r="5273" spans="1:9" hidden="1">
      <c r="A5273" s="848"/>
      <c r="B5273" s="382" t="s">
        <v>1559</v>
      </c>
      <c r="C5273" s="49"/>
      <c r="D5273" s="61"/>
      <c r="E5273" s="61"/>
      <c r="F5273" s="61"/>
      <c r="G5273" s="61"/>
      <c r="H5273" s="61"/>
      <c r="I5273" s="61"/>
    </row>
    <row r="5274" spans="1:9" hidden="1">
      <c r="A5274" s="848"/>
      <c r="B5274" s="382" t="s">
        <v>1560</v>
      </c>
      <c r="C5274" s="49"/>
      <c r="D5274" s="61"/>
      <c r="E5274" s="61"/>
      <c r="F5274" s="61" t="s">
        <v>1697</v>
      </c>
      <c r="G5274" s="62">
        <v>3</v>
      </c>
      <c r="H5274" s="223" t="s">
        <v>812</v>
      </c>
      <c r="I5274" s="61"/>
    </row>
    <row r="5275" spans="1:9" hidden="1">
      <c r="A5275" s="848"/>
      <c r="B5275" s="382" t="s">
        <v>1561</v>
      </c>
      <c r="C5275" s="49"/>
      <c r="D5275" s="61"/>
      <c r="E5275" s="61"/>
      <c r="F5275" s="61" t="s">
        <v>1697</v>
      </c>
      <c r="G5275" s="62">
        <v>10</v>
      </c>
      <c r="H5275" s="223" t="s">
        <v>812</v>
      </c>
      <c r="I5275" s="61"/>
    </row>
    <row r="5276" spans="1:9" hidden="1">
      <c r="A5276" s="848"/>
      <c r="B5276" s="382" t="s">
        <v>6239</v>
      </c>
      <c r="C5276" s="49"/>
      <c r="D5276" s="61"/>
      <c r="E5276" s="61"/>
      <c r="F5276" s="61" t="s">
        <v>1697</v>
      </c>
      <c r="G5276" s="62">
        <v>15</v>
      </c>
      <c r="H5276" s="223" t="s">
        <v>812</v>
      </c>
      <c r="I5276" s="61"/>
    </row>
    <row r="5277" spans="1:9" hidden="1">
      <c r="A5277" s="848"/>
      <c r="B5277" s="382" t="s">
        <v>5842</v>
      </c>
      <c r="C5277" s="49"/>
      <c r="D5277" s="61"/>
      <c r="E5277" s="61"/>
      <c r="F5277" s="61" t="s">
        <v>1697</v>
      </c>
      <c r="G5277" s="62">
        <v>3</v>
      </c>
      <c r="H5277" s="223" t="s">
        <v>812</v>
      </c>
      <c r="I5277" s="61"/>
    </row>
    <row r="5278" spans="1:9" hidden="1">
      <c r="A5278" s="848"/>
      <c r="B5278" s="382" t="s">
        <v>5843</v>
      </c>
      <c r="C5278" s="49"/>
      <c r="D5278" s="61"/>
      <c r="E5278" s="61"/>
      <c r="F5278" s="61" t="s">
        <v>1697</v>
      </c>
      <c r="G5278" s="62">
        <v>10</v>
      </c>
      <c r="H5278" s="223" t="s">
        <v>812</v>
      </c>
      <c r="I5278" s="61"/>
    </row>
    <row r="5279" spans="1:9" hidden="1">
      <c r="A5279" s="848"/>
      <c r="B5279" s="382" t="s">
        <v>2702</v>
      </c>
      <c r="C5279" s="49"/>
      <c r="D5279" s="61"/>
      <c r="E5279" s="61"/>
      <c r="F5279" s="61"/>
      <c r="G5279" s="62">
        <v>12</v>
      </c>
      <c r="H5279" s="223" t="s">
        <v>812</v>
      </c>
      <c r="I5279" s="61"/>
    </row>
    <row r="5280" spans="1:9" hidden="1">
      <c r="A5280" s="848"/>
      <c r="B5280" s="382"/>
      <c r="C5280" s="49"/>
      <c r="D5280" s="61"/>
      <c r="E5280" s="61"/>
      <c r="F5280" s="61" t="s">
        <v>1518</v>
      </c>
      <c r="G5280" s="312">
        <f>SUM(G5274:G5279)</f>
        <v>53</v>
      </c>
      <c r="H5280" s="223" t="s">
        <v>812</v>
      </c>
      <c r="I5280" s="61"/>
    </row>
    <row r="5281" spans="1:9" hidden="1">
      <c r="A5281" s="848"/>
      <c r="B5281" s="382" t="s">
        <v>5844</v>
      </c>
      <c r="C5281" s="49"/>
      <c r="D5281" s="61"/>
      <c r="E5281" s="61"/>
      <c r="F5281" s="61" t="s">
        <v>1697</v>
      </c>
      <c r="G5281" s="61">
        <f>ROUND(60/G5280*4*50/60,2)</f>
        <v>3.77</v>
      </c>
      <c r="H5281" s="223" t="s">
        <v>3477</v>
      </c>
      <c r="I5281" s="61"/>
    </row>
    <row r="5282" spans="1:9" hidden="1">
      <c r="A5282" s="848"/>
      <c r="B5282" s="382" t="s">
        <v>2970</v>
      </c>
      <c r="C5282" s="49"/>
      <c r="D5282" s="61"/>
      <c r="E5282" s="61" t="s">
        <v>5785</v>
      </c>
      <c r="F5282" s="61" t="s">
        <v>1697</v>
      </c>
      <c r="G5282" s="61">
        <v>11</v>
      </c>
      <c r="H5282" s="61" t="s">
        <v>3477</v>
      </c>
      <c r="I5282" s="61"/>
    </row>
    <row r="5283" spans="1:9" hidden="1">
      <c r="A5283" s="848"/>
      <c r="B5283" s="382" t="s">
        <v>813</v>
      </c>
      <c r="C5283" s="49"/>
      <c r="D5283" s="61"/>
      <c r="E5283" s="61"/>
      <c r="F5283" s="61" t="s">
        <v>1697</v>
      </c>
      <c r="G5283" s="61">
        <f>ROUND(G5282/G5281,0)</f>
        <v>3</v>
      </c>
      <c r="H5283" s="223" t="s">
        <v>4041</v>
      </c>
      <c r="I5283" s="61"/>
    </row>
    <row r="5284" spans="1:9" ht="18.75" hidden="1">
      <c r="A5284" s="848"/>
      <c r="B5284" s="382" t="s">
        <v>8788</v>
      </c>
      <c r="C5284" s="49"/>
      <c r="D5284" s="61"/>
      <c r="E5284" s="61"/>
      <c r="F5284" s="61"/>
      <c r="G5284" s="61"/>
      <c r="H5284" s="61"/>
      <c r="I5284" s="61"/>
    </row>
    <row r="5285" spans="1:9" hidden="1">
      <c r="A5285" s="848"/>
      <c r="B5285" s="382" t="s">
        <v>963</v>
      </c>
      <c r="C5285" s="49"/>
      <c r="D5285" s="61"/>
      <c r="E5285" s="61"/>
      <c r="F5285" s="61"/>
      <c r="G5285" s="61"/>
      <c r="H5285" s="61"/>
      <c r="I5285" s="61"/>
    </row>
    <row r="5286" spans="1:9" hidden="1">
      <c r="A5286" s="848"/>
      <c r="B5286" s="382" t="s">
        <v>5846</v>
      </c>
      <c r="C5286" s="49"/>
      <c r="D5286" s="61"/>
      <c r="E5286" s="61"/>
      <c r="F5286" s="61"/>
      <c r="G5286" s="61"/>
      <c r="H5286" s="61"/>
      <c r="I5286" s="61"/>
    </row>
    <row r="5287" spans="1:9" hidden="1">
      <c r="A5287" s="848"/>
      <c r="B5287" s="382" t="s">
        <v>4235</v>
      </c>
      <c r="C5287" s="49"/>
      <c r="D5287" s="61"/>
      <c r="E5287" s="61"/>
      <c r="F5287" s="61"/>
      <c r="G5287" s="61"/>
      <c r="H5287" s="61"/>
      <c r="I5287" s="61"/>
    </row>
    <row r="5288" spans="1:9" hidden="1">
      <c r="A5288" s="848"/>
      <c r="B5288" s="382" t="s">
        <v>4236</v>
      </c>
      <c r="C5288" s="49"/>
      <c r="D5288" s="61"/>
      <c r="E5288" s="61"/>
      <c r="F5288" s="61"/>
      <c r="G5288" s="61"/>
      <c r="H5288" s="61"/>
      <c r="I5288" s="61"/>
    </row>
    <row r="5289" spans="1:9" hidden="1">
      <c r="A5289" s="848"/>
      <c r="B5289" s="382" t="s">
        <v>2564</v>
      </c>
      <c r="C5289" s="49"/>
      <c r="D5289" s="61"/>
      <c r="E5289" s="61"/>
      <c r="F5289" s="61" t="s">
        <v>1697</v>
      </c>
      <c r="G5289" s="61">
        <v>800</v>
      </c>
      <c r="H5289" s="61" t="s">
        <v>3479</v>
      </c>
      <c r="I5289" s="61"/>
    </row>
    <row r="5290" spans="1:9" hidden="1">
      <c r="A5290" s="848"/>
      <c r="B5290" s="382" t="s">
        <v>4237</v>
      </c>
      <c r="C5290" s="49"/>
      <c r="D5290" s="61"/>
      <c r="E5290" s="61"/>
      <c r="F5290" s="61" t="s">
        <v>1697</v>
      </c>
      <c r="G5290" s="61">
        <v>88</v>
      </c>
      <c r="H5290" s="61" t="s">
        <v>3477</v>
      </c>
      <c r="I5290" s="61"/>
    </row>
    <row r="5291" spans="1:9" hidden="1">
      <c r="A5291" s="848"/>
      <c r="B5291" s="382" t="s">
        <v>3934</v>
      </c>
      <c r="C5291" s="49"/>
      <c r="D5291" s="61"/>
      <c r="E5291" s="61"/>
      <c r="F5291" s="61"/>
      <c r="G5291" s="61">
        <f>0.5*0.9*G5290</f>
        <v>39.6</v>
      </c>
      <c r="H5291" s="61" t="s">
        <v>3933</v>
      </c>
      <c r="I5291" s="61"/>
    </row>
    <row r="5292" spans="1:9" hidden="1">
      <c r="A5292" s="848"/>
      <c r="B5292" s="382" t="s">
        <v>2971</v>
      </c>
      <c r="C5292" s="49"/>
      <c r="D5292" s="61"/>
      <c r="E5292" s="61"/>
      <c r="F5292" s="61" t="s">
        <v>1697</v>
      </c>
      <c r="G5292" s="61">
        <f>0.3*0.9*G5290</f>
        <v>23.76</v>
      </c>
      <c r="H5292" s="61" t="s">
        <v>3933</v>
      </c>
      <c r="I5292" s="61"/>
    </row>
    <row r="5293" spans="1:9" hidden="1">
      <c r="A5293" s="848"/>
      <c r="B5293" s="382" t="s">
        <v>2972</v>
      </c>
      <c r="C5293" s="49"/>
      <c r="D5293" s="61"/>
      <c r="E5293" s="61"/>
      <c r="F5293" s="61" t="s">
        <v>1697</v>
      </c>
      <c r="G5293" s="61">
        <f>0.2*0.9*G5290</f>
        <v>15.840000000000002</v>
      </c>
      <c r="H5293" s="61" t="s">
        <v>3933</v>
      </c>
      <c r="I5293" s="61"/>
    </row>
    <row r="5294" spans="1:9" hidden="1">
      <c r="A5294" s="848"/>
      <c r="B5294" s="382" t="s">
        <v>6549</v>
      </c>
      <c r="C5294" s="49"/>
      <c r="D5294" s="61"/>
      <c r="E5294" s="61"/>
      <c r="F5294" s="61" t="s">
        <v>1697</v>
      </c>
      <c r="G5294" s="61">
        <f>G5290*0.4</f>
        <v>35.200000000000003</v>
      </c>
      <c r="H5294" s="61" t="s">
        <v>3933</v>
      </c>
      <c r="I5294" s="61"/>
    </row>
    <row r="5295" spans="1:9" hidden="1">
      <c r="A5295" s="848"/>
      <c r="B5295" s="382" t="s">
        <v>7726</v>
      </c>
      <c r="C5295" s="49"/>
      <c r="D5295" s="61"/>
      <c r="E5295" s="61"/>
      <c r="F5295" s="61" t="s">
        <v>1697</v>
      </c>
      <c r="G5295" s="61">
        <f>250*G5290</f>
        <v>22000</v>
      </c>
      <c r="H5295" s="61" t="s">
        <v>3478</v>
      </c>
      <c r="I5295" s="61"/>
    </row>
    <row r="5296" spans="1:9" hidden="1">
      <c r="A5296" s="848"/>
      <c r="B5296" s="382" t="s">
        <v>3154</v>
      </c>
      <c r="C5296" s="49"/>
      <c r="D5296" s="61"/>
      <c r="E5296" s="61"/>
      <c r="F5296" s="61" t="s">
        <v>1697</v>
      </c>
      <c r="G5296" s="61">
        <f>0.4%*G5295</f>
        <v>88</v>
      </c>
      <c r="H5296" s="61" t="s">
        <v>3478</v>
      </c>
      <c r="I5296" s="222"/>
    </row>
    <row r="5297" spans="1:9" hidden="1">
      <c r="A5297" s="848"/>
      <c r="B5297" s="382" t="s">
        <v>959</v>
      </c>
      <c r="C5297" s="49"/>
      <c r="D5297" s="61"/>
      <c r="E5297" s="61"/>
      <c r="F5297" s="61" t="s">
        <v>1697</v>
      </c>
      <c r="G5297" s="61" t="s">
        <v>964</v>
      </c>
      <c r="H5297" s="61">
        <f>ROUND(100/9*((3*4)/2)*8,0)</f>
        <v>533</v>
      </c>
      <c r="I5297" s="223" t="s">
        <v>3483</v>
      </c>
    </row>
    <row r="5298" spans="1:9" hidden="1">
      <c r="A5298" s="848"/>
      <c r="B5298" s="382" t="s">
        <v>1865</v>
      </c>
      <c r="C5298" s="49"/>
      <c r="D5298" s="61"/>
      <c r="E5298" s="61"/>
      <c r="F5298" s="61"/>
      <c r="G5298" s="61"/>
      <c r="H5298" s="61"/>
      <c r="I5298" s="61"/>
    </row>
    <row r="5299" spans="1:9" hidden="1">
      <c r="A5299" s="848"/>
      <c r="B5299" s="382" t="s">
        <v>1810</v>
      </c>
      <c r="C5299" s="49"/>
      <c r="D5299" s="61"/>
      <c r="E5299" s="61"/>
      <c r="F5299" s="61"/>
      <c r="G5299" s="61"/>
      <c r="H5299" s="61"/>
      <c r="I5299" s="61"/>
    </row>
    <row r="5300" spans="1:9" hidden="1">
      <c r="A5300" s="848"/>
      <c r="B5300" s="382" t="s">
        <v>2284</v>
      </c>
      <c r="C5300" s="49"/>
      <c r="D5300" s="61"/>
      <c r="E5300" s="61"/>
      <c r="F5300" s="61"/>
      <c r="G5300" s="61"/>
      <c r="H5300" s="61"/>
      <c r="I5300" s="61"/>
    </row>
    <row r="5301" spans="1:9" hidden="1">
      <c r="A5301" s="848"/>
      <c r="B5301" s="382" t="s">
        <v>4373</v>
      </c>
      <c r="C5301" s="49"/>
      <c r="D5301" s="61"/>
      <c r="E5301" s="61"/>
      <c r="F5301" s="61"/>
      <c r="G5301" s="61"/>
      <c r="H5301" s="61"/>
      <c r="I5301" s="61"/>
    </row>
    <row r="5302" spans="1:9" hidden="1">
      <c r="A5302" s="848"/>
      <c r="B5302" s="382" t="s">
        <v>4184</v>
      </c>
      <c r="C5302" s="49"/>
      <c r="D5302" s="61"/>
      <c r="E5302" s="61"/>
      <c r="F5302" s="61"/>
      <c r="G5302" s="61"/>
      <c r="H5302" s="61"/>
      <c r="I5302" s="61"/>
    </row>
    <row r="5303" spans="1:9" hidden="1">
      <c r="A5303" s="848"/>
      <c r="B5303" s="382" t="s">
        <v>965</v>
      </c>
      <c r="C5303" s="435">
        <f>'BASIC DATA'!$D$310</f>
        <v>28080</v>
      </c>
      <c r="D5303" s="61"/>
      <c r="E5303" s="61" t="s">
        <v>2290</v>
      </c>
      <c r="F5303" s="222" t="s">
        <v>4108</v>
      </c>
      <c r="G5303" s="223">
        <f>C5303</f>
        <v>28080</v>
      </c>
      <c r="H5303" s="61"/>
      <c r="I5303" s="61"/>
    </row>
    <row r="5304" spans="1:9" hidden="1">
      <c r="A5304" s="848"/>
      <c r="B5304" s="382" t="s">
        <v>231</v>
      </c>
      <c r="C5304" s="49"/>
      <c r="D5304" s="61"/>
      <c r="E5304" s="61"/>
      <c r="F5304" s="222" t="s">
        <v>1697</v>
      </c>
      <c r="G5304" s="61">
        <v>40000</v>
      </c>
      <c r="H5304" s="61"/>
      <c r="I5304" s="61"/>
    </row>
    <row r="5305" spans="1:9" hidden="1">
      <c r="A5305" s="848"/>
      <c r="B5305" s="382" t="s">
        <v>2505</v>
      </c>
      <c r="C5305" s="49" t="s">
        <v>2506</v>
      </c>
      <c r="D5305" s="61"/>
      <c r="E5305" s="61"/>
      <c r="F5305" s="222" t="s">
        <v>4108</v>
      </c>
      <c r="G5305" s="61">
        <f>G5303/G5304</f>
        <v>0.70199999999999996</v>
      </c>
      <c r="H5305" s="61"/>
      <c r="I5305" s="61"/>
    </row>
    <row r="5306" spans="1:9" hidden="1">
      <c r="A5306" s="848"/>
      <c r="B5306" s="382" t="s">
        <v>6329</v>
      </c>
      <c r="C5306" s="49"/>
      <c r="D5306" s="61"/>
      <c r="E5306" s="61"/>
      <c r="F5306" s="222" t="s">
        <v>4108</v>
      </c>
      <c r="G5306" s="241">
        <f>G5305*25%</f>
        <v>0.17549999999999999</v>
      </c>
      <c r="H5306" s="61"/>
      <c r="I5306" s="61"/>
    </row>
    <row r="5307" spans="1:9" hidden="1">
      <c r="A5307" s="848"/>
      <c r="B5307" s="382" t="s">
        <v>5784</v>
      </c>
      <c r="C5307" s="49"/>
      <c r="D5307" s="61"/>
      <c r="E5307" s="61"/>
      <c r="F5307" s="222" t="s">
        <v>4108</v>
      </c>
      <c r="G5307" s="61">
        <f>SUM(G5305:G5306)</f>
        <v>0.87749999999999995</v>
      </c>
      <c r="H5307" s="61"/>
      <c r="I5307" s="61"/>
    </row>
    <row r="5308" spans="1:9">
      <c r="A5308" s="848"/>
      <c r="B5308" s="382"/>
      <c r="C5308" s="49"/>
      <c r="D5308" s="61"/>
      <c r="E5308" s="61"/>
      <c r="F5308" s="61"/>
      <c r="G5308" s="61"/>
      <c r="H5308" s="61"/>
      <c r="I5308" s="61"/>
    </row>
    <row r="5309" spans="1:9">
      <c r="A5309" s="889" t="s">
        <v>3984</v>
      </c>
      <c r="B5309" s="382"/>
      <c r="C5309" s="424" t="s">
        <v>6330</v>
      </c>
      <c r="D5309" s="61" t="s">
        <v>3476</v>
      </c>
      <c r="E5309" s="61" t="s">
        <v>1697</v>
      </c>
      <c r="F5309" s="248">
        <f>G5289</f>
        <v>800</v>
      </c>
      <c r="G5309" s="61" t="s">
        <v>6550</v>
      </c>
      <c r="H5309" s="61"/>
      <c r="I5309" s="61"/>
    </row>
    <row r="5310" spans="1:9">
      <c r="A5310" s="848"/>
      <c r="B5310" s="588" t="s">
        <v>2368</v>
      </c>
      <c r="C5310" s="49"/>
      <c r="D5310" s="61"/>
      <c r="E5310" s="61"/>
      <c r="F5310" s="61"/>
      <c r="G5310" s="61"/>
      <c r="H5310" s="61"/>
      <c r="I5310" s="61"/>
    </row>
    <row r="5311" spans="1:9">
      <c r="A5311" s="848"/>
      <c r="B5311" s="69" t="s">
        <v>4442</v>
      </c>
      <c r="C5311" s="436" t="s">
        <v>4443</v>
      </c>
      <c r="D5311" s="69" t="s">
        <v>2370</v>
      </c>
      <c r="E5311" s="69" t="s">
        <v>4444</v>
      </c>
      <c r="F5311" s="69" t="s">
        <v>6247</v>
      </c>
      <c r="G5311" s="69" t="s">
        <v>6665</v>
      </c>
      <c r="H5311" s="61"/>
      <c r="I5311" s="61"/>
    </row>
    <row r="5312" spans="1:9">
      <c r="A5312" s="848"/>
      <c r="B5312" s="69">
        <v>1</v>
      </c>
      <c r="C5312" s="46" t="s">
        <v>7327</v>
      </c>
      <c r="D5312" s="50" t="s">
        <v>1791</v>
      </c>
      <c r="E5312" s="264">
        <f>G5295</f>
        <v>22000</v>
      </c>
      <c r="F5312" s="264">
        <f>'BASIC DATA'!$D$32/1000</f>
        <v>5.35</v>
      </c>
      <c r="G5312" s="50">
        <f t="shared" ref="G5312:G5319" si="75">F5312*E5312</f>
        <v>117699.99999999999</v>
      </c>
      <c r="H5312" s="61"/>
      <c r="I5312" s="61"/>
    </row>
    <row r="5313" spans="1:9">
      <c r="A5313" s="848"/>
      <c r="B5313" s="69">
        <v>2</v>
      </c>
      <c r="C5313" s="46" t="s">
        <v>4591</v>
      </c>
      <c r="D5313" s="50" t="s">
        <v>3477</v>
      </c>
      <c r="E5313" s="264">
        <f>G5291</f>
        <v>39.6</v>
      </c>
      <c r="F5313" s="264">
        <f>'BASIC DATA'!$D$36</f>
        <v>1175</v>
      </c>
      <c r="G5313" s="50">
        <f t="shared" si="75"/>
        <v>46530</v>
      </c>
      <c r="H5313" s="61"/>
      <c r="I5313" s="61"/>
    </row>
    <row r="5314" spans="1:9">
      <c r="A5314" s="848"/>
      <c r="B5314" s="69"/>
      <c r="C5314" s="46" t="s">
        <v>4592</v>
      </c>
      <c r="D5314" s="50" t="s">
        <v>3477</v>
      </c>
      <c r="E5314" s="264">
        <f>G5292</f>
        <v>23.76</v>
      </c>
      <c r="F5314" s="264">
        <f>'BASIC DATA'!$D$35</f>
        <v>1225</v>
      </c>
      <c r="G5314" s="50">
        <f t="shared" si="75"/>
        <v>29106.000000000004</v>
      </c>
      <c r="H5314" s="61"/>
      <c r="I5314" s="61"/>
    </row>
    <row r="5315" spans="1:9">
      <c r="A5315" s="848"/>
      <c r="B5315" s="69" t="s">
        <v>5785</v>
      </c>
      <c r="C5315" s="46" t="s">
        <v>4593</v>
      </c>
      <c r="D5315" s="50" t="s">
        <v>3477</v>
      </c>
      <c r="E5315" s="264">
        <f>G5293</f>
        <v>15.840000000000002</v>
      </c>
      <c r="F5315" s="264">
        <f>'BASIC DATA'!$D$34</f>
        <v>900</v>
      </c>
      <c r="G5315" s="50">
        <f t="shared" si="75"/>
        <v>14256.000000000002</v>
      </c>
      <c r="H5315" s="61"/>
      <c r="I5315" s="61"/>
    </row>
    <row r="5316" spans="1:9">
      <c r="A5316" s="848"/>
      <c r="B5316" s="69">
        <v>3</v>
      </c>
      <c r="C5316" s="46" t="s">
        <v>7941</v>
      </c>
      <c r="D5316" s="50" t="s">
        <v>3477</v>
      </c>
      <c r="E5316" s="264">
        <f>G5294</f>
        <v>35.200000000000003</v>
      </c>
      <c r="F5316" s="243">
        <f>'BASIC DATA'!$D$55</f>
        <v>95</v>
      </c>
      <c r="G5316" s="50">
        <f t="shared" si="75"/>
        <v>3344.0000000000005</v>
      </c>
      <c r="H5316" s="61"/>
      <c r="I5316" s="61"/>
    </row>
    <row r="5317" spans="1:9">
      <c r="A5317" s="848"/>
      <c r="B5317" s="69">
        <v>4</v>
      </c>
      <c r="C5317" s="46" t="s">
        <v>4180</v>
      </c>
      <c r="D5317" s="50" t="s">
        <v>3478</v>
      </c>
      <c r="E5317" s="264">
        <f>G5296</f>
        <v>88</v>
      </c>
      <c r="F5317" s="243">
        <f>'BASIC DATA'!$D$99</f>
        <v>55</v>
      </c>
      <c r="G5317" s="50">
        <f t="shared" si="75"/>
        <v>4840</v>
      </c>
      <c r="H5317" s="61"/>
      <c r="I5317" s="61"/>
    </row>
    <row r="5318" spans="1:9">
      <c r="A5318" s="848"/>
      <c r="B5318" s="69">
        <v>5</v>
      </c>
      <c r="C5318" s="46" t="s">
        <v>959</v>
      </c>
      <c r="D5318" s="50" t="s">
        <v>3483</v>
      </c>
      <c r="E5318" s="264">
        <f>H5297</f>
        <v>533</v>
      </c>
      <c r="F5318" s="243">
        <f>'BASIC DATA'!$D$88</f>
        <v>45</v>
      </c>
      <c r="G5318" s="50">
        <f t="shared" si="75"/>
        <v>23985</v>
      </c>
      <c r="H5318" s="61"/>
      <c r="I5318" s="61"/>
    </row>
    <row r="5319" spans="1:9">
      <c r="A5319" s="848"/>
      <c r="B5319" s="69">
        <v>6</v>
      </c>
      <c r="C5319" s="46" t="s">
        <v>4181</v>
      </c>
      <c r="D5319" s="50" t="s">
        <v>3479</v>
      </c>
      <c r="E5319" s="264">
        <f>G5289</f>
        <v>800</v>
      </c>
      <c r="F5319" s="400">
        <f>G5307</f>
        <v>0.87749999999999995</v>
      </c>
      <c r="G5319" s="50">
        <f t="shared" si="75"/>
        <v>702</v>
      </c>
      <c r="H5319" s="61"/>
      <c r="I5319" s="61"/>
    </row>
    <row r="5320" spans="1:9">
      <c r="A5320" s="848"/>
      <c r="B5320" s="591"/>
      <c r="C5320" s="46" t="s">
        <v>2114</v>
      </c>
      <c r="D5320" s="50"/>
      <c r="E5320" s="50"/>
      <c r="F5320" s="50" t="s">
        <v>4108</v>
      </c>
      <c r="G5320" s="391">
        <f>SUM(G5312:G5319)</f>
        <v>240463</v>
      </c>
      <c r="H5320" s="61"/>
      <c r="I5320" s="61"/>
    </row>
    <row r="5321" spans="1:9">
      <c r="A5321" s="848"/>
      <c r="B5321" s="382"/>
      <c r="C5321" s="49"/>
      <c r="D5321" s="61"/>
      <c r="E5321" s="61"/>
      <c r="F5321" s="61"/>
      <c r="G5321" s="61"/>
      <c r="H5321" s="61"/>
      <c r="I5321" s="61"/>
    </row>
    <row r="5322" spans="1:9">
      <c r="A5322" s="848"/>
      <c r="B5322" s="588" t="s">
        <v>6443</v>
      </c>
      <c r="C5322" s="49"/>
      <c r="D5322" s="61"/>
      <c r="E5322" s="61"/>
      <c r="F5322" s="61"/>
      <c r="G5322" s="61"/>
      <c r="H5322" s="61"/>
      <c r="I5322" s="61"/>
    </row>
    <row r="5323" spans="1:9">
      <c r="A5323" s="896"/>
      <c r="B5323" s="69" t="s">
        <v>4442</v>
      </c>
      <c r="C5323" s="436" t="s">
        <v>4443</v>
      </c>
      <c r="D5323" s="69" t="s">
        <v>2370</v>
      </c>
      <c r="E5323" s="69" t="s">
        <v>4444</v>
      </c>
      <c r="F5323" s="69" t="s">
        <v>6247</v>
      </c>
      <c r="G5323" s="69" t="s">
        <v>6665</v>
      </c>
      <c r="H5323" s="60"/>
      <c r="I5323" s="60"/>
    </row>
    <row r="5324" spans="1:9">
      <c r="A5324" s="848"/>
      <c r="B5324" s="237">
        <v>1</v>
      </c>
      <c r="C5324" s="431" t="s">
        <v>2135</v>
      </c>
      <c r="D5324" s="277" t="s">
        <v>2374</v>
      </c>
      <c r="E5324" s="289">
        <v>8</v>
      </c>
      <c r="F5324" s="284">
        <f>'HIRE CHARGES'!$D$501</f>
        <v>405.4</v>
      </c>
      <c r="G5324" s="277">
        <f t="shared" ref="G5324:G5338" si="76">F5324*E5324</f>
        <v>3243.2</v>
      </c>
      <c r="H5324" s="61"/>
      <c r="I5324" s="61"/>
    </row>
    <row r="5325" spans="1:9">
      <c r="A5325" s="848"/>
      <c r="B5325" s="69">
        <v>2</v>
      </c>
      <c r="C5325" s="46" t="s">
        <v>2336</v>
      </c>
      <c r="D5325" s="50" t="s">
        <v>2374</v>
      </c>
      <c r="E5325" s="264">
        <v>24</v>
      </c>
      <c r="F5325" s="243">
        <f>'HIRE CHARGES'!$D$492</f>
        <v>758.40000000000009</v>
      </c>
      <c r="G5325" s="50">
        <f t="shared" si="76"/>
        <v>18201.600000000002</v>
      </c>
      <c r="H5325" s="61"/>
      <c r="I5325" s="61"/>
    </row>
    <row r="5326" spans="1:9">
      <c r="A5326" s="848"/>
      <c r="B5326" s="69" t="s">
        <v>5785</v>
      </c>
      <c r="C5326" s="46" t="s">
        <v>2379</v>
      </c>
      <c r="D5326" s="50" t="s">
        <v>2374</v>
      </c>
      <c r="E5326" s="264">
        <v>24</v>
      </c>
      <c r="F5326" s="243">
        <f>'HIRE CHARGES'!$E$492</f>
        <v>872.7</v>
      </c>
      <c r="G5326" s="50">
        <f t="shared" si="76"/>
        <v>20944.800000000003</v>
      </c>
      <c r="H5326" s="61"/>
      <c r="I5326" s="61"/>
    </row>
    <row r="5327" spans="1:9">
      <c r="A5327" s="848"/>
      <c r="B5327" s="69">
        <v>3</v>
      </c>
      <c r="C5327" s="46" t="s">
        <v>2337</v>
      </c>
      <c r="D5327" s="50" t="s">
        <v>2374</v>
      </c>
      <c r="E5327" s="264">
        <v>5</v>
      </c>
      <c r="F5327" s="243">
        <f>'HIRE CHARGES'!$D$511</f>
        <v>356.5</v>
      </c>
      <c r="G5327" s="50">
        <f t="shared" si="76"/>
        <v>1782.5</v>
      </c>
      <c r="H5327" s="61"/>
      <c r="I5327" s="61"/>
    </row>
    <row r="5328" spans="1:9">
      <c r="A5328" s="848"/>
      <c r="B5328" s="69" t="s">
        <v>5785</v>
      </c>
      <c r="C5328" s="46" t="s">
        <v>6444</v>
      </c>
      <c r="D5328" s="50" t="s">
        <v>2374</v>
      </c>
      <c r="E5328" s="264">
        <v>5</v>
      </c>
      <c r="F5328" s="243">
        <f>F5327*5%</f>
        <v>17.824999999999999</v>
      </c>
      <c r="G5328" s="50">
        <f t="shared" si="76"/>
        <v>89.125</v>
      </c>
      <c r="H5328" s="61"/>
      <c r="I5328" s="61"/>
    </row>
    <row r="5329" spans="1:9">
      <c r="A5329" s="848"/>
      <c r="B5329" s="69">
        <v>4</v>
      </c>
      <c r="C5329" s="46" t="s">
        <v>2338</v>
      </c>
      <c r="D5329" s="50" t="s">
        <v>2374</v>
      </c>
      <c r="E5329" s="264">
        <v>8</v>
      </c>
      <c r="F5329" s="243">
        <f>'HIRE CHARGES'!$D$515</f>
        <v>85.1</v>
      </c>
      <c r="G5329" s="50">
        <f t="shared" si="76"/>
        <v>680.8</v>
      </c>
      <c r="H5329" s="61"/>
      <c r="I5329" s="61"/>
    </row>
    <row r="5330" spans="1:9">
      <c r="A5330" s="848"/>
      <c r="B5330" s="69" t="s">
        <v>5785</v>
      </c>
      <c r="C5330" s="46" t="s">
        <v>2379</v>
      </c>
      <c r="D5330" s="50" t="s">
        <v>2374</v>
      </c>
      <c r="E5330" s="264">
        <v>8</v>
      </c>
      <c r="F5330" s="243">
        <f>'HIRE CHARGES'!$E$515</f>
        <v>952.1</v>
      </c>
      <c r="G5330" s="50">
        <f t="shared" si="76"/>
        <v>7616.8</v>
      </c>
      <c r="H5330" s="61"/>
      <c r="I5330" s="61"/>
    </row>
    <row r="5331" spans="1:9">
      <c r="A5331" s="848"/>
      <c r="B5331" s="69">
        <v>5</v>
      </c>
      <c r="C5331" s="46" t="s">
        <v>2339</v>
      </c>
      <c r="D5331" s="50" t="s">
        <v>2374</v>
      </c>
      <c r="E5331" s="264">
        <v>8</v>
      </c>
      <c r="F5331" s="243">
        <f>'HIRE CHARGES'!$D$514</f>
        <v>65.8</v>
      </c>
      <c r="G5331" s="50">
        <f t="shared" si="76"/>
        <v>526.4</v>
      </c>
      <c r="H5331" s="61"/>
      <c r="I5331" s="61"/>
    </row>
    <row r="5332" spans="1:9">
      <c r="A5332" s="848"/>
      <c r="B5332" s="69"/>
      <c r="C5332" s="46" t="s">
        <v>2379</v>
      </c>
      <c r="D5332" s="50" t="s">
        <v>2374</v>
      </c>
      <c r="E5332" s="264">
        <v>8</v>
      </c>
      <c r="F5332" s="243">
        <f>'HIRE CHARGES'!$E$514</f>
        <v>634.70000000000005</v>
      </c>
      <c r="G5332" s="50">
        <f t="shared" si="76"/>
        <v>5077.6000000000004</v>
      </c>
      <c r="H5332" s="61"/>
      <c r="I5332" s="61"/>
    </row>
    <row r="5333" spans="1:9">
      <c r="A5333" s="848"/>
      <c r="B5333" s="69">
        <v>6</v>
      </c>
      <c r="C5333" s="422" t="s">
        <v>2340</v>
      </c>
      <c r="D5333" s="426" t="s">
        <v>2374</v>
      </c>
      <c r="E5333" s="419">
        <v>2</v>
      </c>
      <c r="F5333" s="419">
        <f>'HIRE CHARGES'!$D$542</f>
        <v>1003.1</v>
      </c>
      <c r="G5333" s="427">
        <f t="shared" si="76"/>
        <v>2006.2</v>
      </c>
      <c r="H5333" s="61"/>
      <c r="I5333" s="61"/>
    </row>
    <row r="5334" spans="1:9">
      <c r="A5334" s="848"/>
      <c r="B5334" s="69"/>
      <c r="C5334" s="428" t="s">
        <v>2379</v>
      </c>
      <c r="D5334" s="429" t="s">
        <v>2374</v>
      </c>
      <c r="E5334" s="421">
        <v>2</v>
      </c>
      <c r="F5334" s="419">
        <f>'HIRE CHARGES'!$E$542</f>
        <v>476</v>
      </c>
      <c r="G5334" s="427">
        <f t="shared" si="76"/>
        <v>952</v>
      </c>
      <c r="H5334" s="61"/>
      <c r="I5334" s="61"/>
    </row>
    <row r="5335" spans="1:9">
      <c r="A5335" s="848"/>
      <c r="B5335" s="69">
        <v>7</v>
      </c>
      <c r="C5335" s="46" t="s">
        <v>2341</v>
      </c>
      <c r="D5335" s="50" t="s">
        <v>2374</v>
      </c>
      <c r="E5335" s="264">
        <v>8</v>
      </c>
      <c r="F5335" s="243">
        <f>'HIRE CHARGES'!$D$555</f>
        <v>402.5</v>
      </c>
      <c r="G5335" s="50">
        <f t="shared" si="76"/>
        <v>3220</v>
      </c>
      <c r="H5335" s="61"/>
      <c r="I5335" s="61"/>
    </row>
    <row r="5336" spans="1:9">
      <c r="A5336" s="848"/>
      <c r="B5336" s="69"/>
      <c r="C5336" s="46" t="s">
        <v>2379</v>
      </c>
      <c r="D5336" s="50" t="s">
        <v>2374</v>
      </c>
      <c r="E5336" s="264">
        <v>8</v>
      </c>
      <c r="F5336" s="243">
        <f>'HIRE CHARGES'!$E$555</f>
        <v>299.89999999999998</v>
      </c>
      <c r="G5336" s="50">
        <f t="shared" si="76"/>
        <v>2399.1999999999998</v>
      </c>
      <c r="H5336" s="61"/>
      <c r="I5336" s="61"/>
    </row>
    <row r="5337" spans="1:9" ht="36">
      <c r="A5337" s="848"/>
      <c r="B5337" s="69">
        <v>8</v>
      </c>
      <c r="C5337" s="46" t="s">
        <v>5786</v>
      </c>
      <c r="D5337" s="50" t="s">
        <v>2374</v>
      </c>
      <c r="E5337" s="264">
        <v>8</v>
      </c>
      <c r="F5337" s="243">
        <f>'HIRE CHARGES'!$D$517</f>
        <v>10.199999999999999</v>
      </c>
      <c r="G5337" s="50">
        <f t="shared" si="76"/>
        <v>81.599999999999994</v>
      </c>
      <c r="H5337" s="61"/>
      <c r="I5337" s="61"/>
    </row>
    <row r="5338" spans="1:9">
      <c r="A5338" s="848"/>
      <c r="B5338" s="591"/>
      <c r="C5338" s="46" t="s">
        <v>2379</v>
      </c>
      <c r="D5338" s="50" t="s">
        <v>2374</v>
      </c>
      <c r="E5338" s="264">
        <v>8</v>
      </c>
      <c r="F5338" s="243">
        <f>'HIRE CHARGES'!$E$517</f>
        <v>79.3</v>
      </c>
      <c r="G5338" s="50">
        <f t="shared" si="76"/>
        <v>634.4</v>
      </c>
      <c r="H5338" s="61"/>
      <c r="I5338" s="61"/>
    </row>
    <row r="5339" spans="1:9">
      <c r="A5339" s="848"/>
      <c r="B5339" s="591"/>
      <c r="C5339" s="46" t="s">
        <v>6445</v>
      </c>
      <c r="D5339" s="50"/>
      <c r="E5339" s="50"/>
      <c r="F5339" s="50" t="s">
        <v>4108</v>
      </c>
      <c r="G5339" s="264">
        <f>SUM(G5324:G5338)</f>
        <v>67456.225000000006</v>
      </c>
      <c r="H5339" s="61"/>
      <c r="I5339" s="61"/>
    </row>
    <row r="5340" spans="1:9">
      <c r="A5340" s="848"/>
      <c r="B5340" s="359"/>
      <c r="C5340" s="413"/>
      <c r="D5340" s="60"/>
      <c r="E5340" s="60"/>
      <c r="F5340" s="60"/>
      <c r="G5340" s="321"/>
      <c r="H5340" s="61"/>
      <c r="I5340" s="61"/>
    </row>
    <row r="5341" spans="1:9">
      <c r="A5341" s="848"/>
      <c r="B5341" s="382"/>
      <c r="C5341" s="49"/>
      <c r="D5341" s="61"/>
      <c r="E5341" s="61"/>
      <c r="F5341" s="61"/>
      <c r="G5341" s="61"/>
      <c r="H5341" s="61"/>
      <c r="I5341" s="61"/>
    </row>
    <row r="5342" spans="1:9">
      <c r="A5342" s="847"/>
      <c r="B5342" s="592" t="s">
        <v>2381</v>
      </c>
      <c r="C5342" s="110"/>
      <c r="D5342" s="95"/>
      <c r="E5342" s="178"/>
      <c r="F5342" s="179"/>
      <c r="G5342" s="179"/>
    </row>
    <row r="5343" spans="1:9">
      <c r="A5343" s="847"/>
      <c r="B5343" s="153" t="s">
        <v>2369</v>
      </c>
      <c r="C5343" s="110" t="s">
        <v>2378</v>
      </c>
      <c r="D5343" s="95" t="s">
        <v>2370</v>
      </c>
      <c r="E5343" s="178" t="s">
        <v>1166</v>
      </c>
      <c r="F5343" s="179" t="s">
        <v>2371</v>
      </c>
      <c r="G5343" s="179" t="s">
        <v>2372</v>
      </c>
    </row>
    <row r="5344" spans="1:9">
      <c r="A5344" s="847"/>
      <c r="B5344" s="226"/>
      <c r="C5344" s="119"/>
      <c r="D5344" s="114"/>
      <c r="E5344" s="181"/>
      <c r="F5344" s="182" t="s">
        <v>3485</v>
      </c>
      <c r="G5344" s="190" t="s">
        <v>3485</v>
      </c>
    </row>
    <row r="5345" spans="1:9">
      <c r="A5345" s="847"/>
      <c r="B5345" s="95">
        <v>1</v>
      </c>
      <c r="C5345" s="86" t="s">
        <v>158</v>
      </c>
      <c r="D5345" s="105" t="s">
        <v>2374</v>
      </c>
      <c r="E5345" s="207">
        <v>8</v>
      </c>
      <c r="F5345" s="190">
        <f>'HIRE CHARGES'!$F$501</f>
        <v>340.6</v>
      </c>
      <c r="G5345" s="190">
        <f>F5345*E5345</f>
        <v>2724.8</v>
      </c>
    </row>
    <row r="5346" spans="1:9">
      <c r="A5346" s="847"/>
      <c r="B5346" s="105">
        <v>2</v>
      </c>
      <c r="C5346" s="137" t="s">
        <v>1062</v>
      </c>
      <c r="D5346" s="276" t="s">
        <v>2374</v>
      </c>
      <c r="E5346" s="207">
        <v>24</v>
      </c>
      <c r="F5346" s="214">
        <f>'HIRE CHARGES'!$F$492</f>
        <v>283.89999999999998</v>
      </c>
      <c r="G5346" s="190">
        <f t="shared" ref="G5346:G5358" si="77">F5346*E5346</f>
        <v>6813.5999999999995</v>
      </c>
    </row>
    <row r="5347" spans="1:9">
      <c r="A5347" s="847"/>
      <c r="B5347" s="105">
        <v>3</v>
      </c>
      <c r="C5347" s="137" t="s">
        <v>1063</v>
      </c>
      <c r="D5347" s="276" t="s">
        <v>2374</v>
      </c>
      <c r="E5347" s="207">
        <v>8</v>
      </c>
      <c r="F5347" s="221">
        <f>'HIRE CHARGES'!$F$511</f>
        <v>421.8</v>
      </c>
      <c r="G5347" s="190">
        <f t="shared" si="77"/>
        <v>3374.4</v>
      </c>
    </row>
    <row r="5348" spans="1:9">
      <c r="A5348" s="847"/>
      <c r="B5348" s="105">
        <v>4</v>
      </c>
      <c r="C5348" s="137" t="s">
        <v>1064</v>
      </c>
      <c r="D5348" s="276" t="s">
        <v>2374</v>
      </c>
      <c r="E5348" s="207">
        <v>16</v>
      </c>
      <c r="F5348" s="214">
        <f>'HIRE CHARGES'!$F$515</f>
        <v>131.80000000000001</v>
      </c>
      <c r="G5348" s="190">
        <f t="shared" si="77"/>
        <v>2108.8000000000002</v>
      </c>
    </row>
    <row r="5349" spans="1:9">
      <c r="A5349" s="847"/>
      <c r="B5349" s="105">
        <v>5</v>
      </c>
      <c r="C5349" s="137" t="s">
        <v>300</v>
      </c>
      <c r="D5349" s="105" t="s">
        <v>2374</v>
      </c>
      <c r="E5349" s="190">
        <v>2</v>
      </c>
      <c r="F5349" s="190">
        <f>'HIRE CHARGES'!$F$542</f>
        <v>236.6</v>
      </c>
      <c r="G5349" s="190">
        <f t="shared" si="77"/>
        <v>473.2</v>
      </c>
    </row>
    <row r="5350" spans="1:9">
      <c r="A5350" s="847"/>
      <c r="B5350" s="105">
        <v>6</v>
      </c>
      <c r="C5350" s="137" t="s">
        <v>1000</v>
      </c>
      <c r="D5350" s="105" t="s">
        <v>2374</v>
      </c>
      <c r="E5350" s="210">
        <v>8</v>
      </c>
      <c r="F5350" s="430">
        <f>'HIRE CHARGES'!$F$555</f>
        <v>177.5</v>
      </c>
      <c r="G5350" s="190">
        <f t="shared" si="77"/>
        <v>1420</v>
      </c>
    </row>
    <row r="5351" spans="1:9">
      <c r="A5351" s="847"/>
      <c r="B5351" s="105">
        <v>7</v>
      </c>
      <c r="C5351" s="422" t="s">
        <v>999</v>
      </c>
      <c r="D5351" s="105" t="s">
        <v>2374</v>
      </c>
      <c r="E5351" s="210">
        <v>8</v>
      </c>
      <c r="F5351" s="190">
        <f>'HIRE CHARGES'!$F$517</f>
        <v>111.1</v>
      </c>
      <c r="G5351" s="190">
        <f t="shared" si="77"/>
        <v>888.8</v>
      </c>
    </row>
    <row r="5352" spans="1:9">
      <c r="A5352" s="847"/>
      <c r="B5352" s="105">
        <v>8</v>
      </c>
      <c r="C5352" s="422" t="s">
        <v>5606</v>
      </c>
      <c r="D5352" s="105" t="s">
        <v>1172</v>
      </c>
      <c r="E5352" s="210">
        <v>2</v>
      </c>
      <c r="F5352" s="190">
        <f>'BASIC DATA'!$C$474</f>
        <v>445</v>
      </c>
      <c r="G5352" s="190">
        <f t="shared" si="77"/>
        <v>890</v>
      </c>
    </row>
    <row r="5353" spans="1:9">
      <c r="A5353" s="847"/>
      <c r="B5353" s="105">
        <v>9</v>
      </c>
      <c r="C5353" s="422" t="s">
        <v>1065</v>
      </c>
      <c r="D5353" s="105" t="s">
        <v>1172</v>
      </c>
      <c r="E5353" s="210">
        <v>1</v>
      </c>
      <c r="F5353" s="190">
        <f>'BASIC DATA'!$C$475</f>
        <v>475</v>
      </c>
      <c r="G5353" s="190">
        <f t="shared" si="77"/>
        <v>475</v>
      </c>
    </row>
    <row r="5354" spans="1:9">
      <c r="A5354" s="847"/>
      <c r="B5354" s="105">
        <v>10</v>
      </c>
      <c r="C5354" s="422" t="s">
        <v>1066</v>
      </c>
      <c r="D5354" s="105" t="s">
        <v>1172</v>
      </c>
      <c r="E5354" s="210">
        <v>1</v>
      </c>
      <c r="F5354" s="190">
        <f>'BASIC DATA'!$C$475</f>
        <v>475</v>
      </c>
      <c r="G5354" s="190">
        <f t="shared" si="77"/>
        <v>475</v>
      </c>
    </row>
    <row r="5355" spans="1:9">
      <c r="A5355" s="847"/>
      <c r="B5355" s="105">
        <v>11</v>
      </c>
      <c r="C5355" s="422" t="s">
        <v>5604</v>
      </c>
      <c r="D5355" s="105" t="s">
        <v>1172</v>
      </c>
      <c r="E5355" s="210">
        <v>1</v>
      </c>
      <c r="F5355" s="214">
        <f>'BASIC DATA'!$C$468</f>
        <v>515</v>
      </c>
      <c r="G5355" s="190">
        <f t="shared" si="77"/>
        <v>515</v>
      </c>
    </row>
    <row r="5356" spans="1:9">
      <c r="A5356" s="847"/>
      <c r="B5356" s="105">
        <v>12</v>
      </c>
      <c r="C5356" s="422" t="s">
        <v>4206</v>
      </c>
      <c r="D5356" s="105" t="s">
        <v>1172</v>
      </c>
      <c r="E5356" s="210">
        <v>2</v>
      </c>
      <c r="F5356" s="190">
        <f>'BASIC DATA'!$C$473</f>
        <v>450</v>
      </c>
      <c r="G5356" s="190">
        <f t="shared" si="77"/>
        <v>900</v>
      </c>
    </row>
    <row r="5357" spans="1:9">
      <c r="A5357" s="847"/>
      <c r="B5357" s="105">
        <v>13</v>
      </c>
      <c r="C5357" s="422" t="s">
        <v>1808</v>
      </c>
      <c r="D5357" s="105" t="s">
        <v>1172</v>
      </c>
      <c r="E5357" s="210">
        <v>5</v>
      </c>
      <c r="F5357" s="190">
        <f>'BASIC DATA'!$C$552</f>
        <v>350</v>
      </c>
      <c r="G5357" s="190">
        <f t="shared" si="77"/>
        <v>1750</v>
      </c>
    </row>
    <row r="5358" spans="1:9">
      <c r="A5358" s="847"/>
      <c r="B5358" s="237">
        <v>14</v>
      </c>
      <c r="C5358" s="431" t="s">
        <v>1809</v>
      </c>
      <c r="D5358" s="237" t="s">
        <v>1172</v>
      </c>
      <c r="E5358" s="277">
        <v>10</v>
      </c>
      <c r="F5358" s="190">
        <f>'BASIC DATA'!$C$552</f>
        <v>350</v>
      </c>
      <c r="G5358" s="190">
        <f t="shared" si="77"/>
        <v>3500</v>
      </c>
      <c r="H5358" s="61"/>
      <c r="I5358" s="61"/>
    </row>
    <row r="5359" spans="1:9">
      <c r="A5359" s="847"/>
      <c r="B5359" s="158"/>
      <c r="C5359" s="406" t="s">
        <v>1174</v>
      </c>
      <c r="D5359" s="159"/>
      <c r="E5359" s="159"/>
      <c r="F5359" s="159" t="s">
        <v>1698</v>
      </c>
      <c r="G5359" s="407">
        <f>SUM(G5345:G5358)</f>
        <v>26308.6</v>
      </c>
    </row>
    <row r="5360" spans="1:9">
      <c r="A5360" s="848"/>
      <c r="B5360" s="359" t="s">
        <v>5948</v>
      </c>
      <c r="C5360" s="49"/>
      <c r="D5360" s="31"/>
      <c r="E5360" s="85">
        <f>ROUND(G5359/F5309,1)</f>
        <v>32.9</v>
      </c>
      <c r="F5360" s="61"/>
      <c r="G5360" s="61"/>
      <c r="H5360" s="61"/>
      <c r="I5360" s="61"/>
    </row>
    <row r="5361" spans="1:9">
      <c r="A5361" s="848"/>
      <c r="B5361" s="359" t="s">
        <v>3163</v>
      </c>
      <c r="C5361" s="49"/>
      <c r="D5361" s="922">
        <f>'BASIC DATA'!$C$577</f>
        <v>0.13614999999999999</v>
      </c>
      <c r="E5361" s="85">
        <f>ROUND(E5360*D5361,1)</f>
        <v>4.5</v>
      </c>
      <c r="F5361" s="61"/>
      <c r="G5361" s="61"/>
      <c r="H5361" s="61"/>
      <c r="I5361" s="61"/>
    </row>
    <row r="5362" spans="1:9">
      <c r="A5362" s="848"/>
      <c r="B5362" s="359" t="s">
        <v>5949</v>
      </c>
      <c r="C5362" s="49"/>
      <c r="D5362" s="31"/>
      <c r="E5362" s="199">
        <f>ROUND(E5361+E5360,1)</f>
        <v>37.4</v>
      </c>
      <c r="F5362" s="61"/>
      <c r="G5362" s="61"/>
      <c r="H5362" s="61"/>
      <c r="I5362" s="61"/>
    </row>
    <row r="5363" spans="1:9">
      <c r="A5363" s="848"/>
      <c r="B5363" s="382"/>
      <c r="C5363" s="49"/>
      <c r="D5363" s="61"/>
      <c r="E5363" s="61"/>
      <c r="F5363" s="61"/>
      <c r="G5363" s="223"/>
      <c r="H5363" s="61"/>
      <c r="I5363" s="61"/>
    </row>
    <row r="5364" spans="1:9">
      <c r="A5364" s="848"/>
      <c r="B5364" s="588" t="s">
        <v>1175</v>
      </c>
      <c r="C5364" s="49"/>
      <c r="D5364" s="61"/>
      <c r="E5364" s="61"/>
      <c r="F5364" s="61"/>
      <c r="G5364" s="61"/>
      <c r="H5364" s="61"/>
      <c r="I5364" s="61"/>
    </row>
    <row r="5365" spans="1:9">
      <c r="A5365" s="848"/>
      <c r="B5365" s="382" t="s">
        <v>1176</v>
      </c>
      <c r="C5365" s="49"/>
      <c r="D5365" s="61"/>
      <c r="E5365" s="61"/>
      <c r="F5365" s="61" t="s">
        <v>4108</v>
      </c>
      <c r="G5365" s="223">
        <f>G5320</f>
        <v>240463</v>
      </c>
      <c r="H5365" s="61"/>
      <c r="I5365" s="61"/>
    </row>
    <row r="5366" spans="1:9">
      <c r="A5366" s="848"/>
      <c r="B5366" s="382" t="s">
        <v>1186</v>
      </c>
      <c r="C5366" s="49"/>
      <c r="D5366" s="61"/>
      <c r="E5366" s="61"/>
      <c r="F5366" s="61" t="s">
        <v>4108</v>
      </c>
      <c r="G5366" s="223">
        <f>G5339</f>
        <v>67456.225000000006</v>
      </c>
      <c r="H5366" s="61"/>
      <c r="I5366" s="61"/>
    </row>
    <row r="5367" spans="1:9">
      <c r="A5367" s="848"/>
      <c r="B5367" s="382" t="s">
        <v>2660</v>
      </c>
      <c r="C5367" s="49"/>
      <c r="D5367" s="61"/>
      <c r="E5367" s="61"/>
      <c r="F5367" s="61" t="s">
        <v>4108</v>
      </c>
      <c r="G5367" s="223">
        <f>G5359</f>
        <v>26308.6</v>
      </c>
      <c r="H5367" s="61"/>
      <c r="I5367" s="61"/>
    </row>
    <row r="5368" spans="1:9">
      <c r="A5368" s="848"/>
      <c r="B5368" s="382"/>
      <c r="C5368" s="49"/>
      <c r="D5368" s="61"/>
      <c r="E5368" s="61"/>
      <c r="F5368" s="61" t="s">
        <v>5787</v>
      </c>
      <c r="G5368" s="381">
        <f>SUM(G5365:G5367)</f>
        <v>334227.82499999995</v>
      </c>
      <c r="H5368" s="61"/>
      <c r="I5368" s="61"/>
    </row>
    <row r="5369" spans="1:9">
      <c r="A5369" s="848"/>
      <c r="B5369" s="382" t="s">
        <v>1067</v>
      </c>
      <c r="C5369" s="49"/>
      <c r="D5369" s="61"/>
      <c r="E5369" s="290">
        <f>'BASIC DATA'!$C$580</f>
        <v>0.02</v>
      </c>
      <c r="F5369" s="61" t="s">
        <v>4108</v>
      </c>
      <c r="G5369" s="60">
        <f>ROUND(G5368*E5369,2)</f>
        <v>6684.56</v>
      </c>
      <c r="H5369" s="61"/>
      <c r="I5369" s="61"/>
    </row>
    <row r="5370" spans="1:9">
      <c r="A5370" s="848"/>
      <c r="B5370" s="382" t="s">
        <v>5859</v>
      </c>
      <c r="C5370" s="49"/>
      <c r="D5370" s="61"/>
      <c r="E5370" s="423">
        <f>'BASIC DATA'!$C$581</f>
        <v>5.0000000000000001E-3</v>
      </c>
      <c r="F5370" s="61" t="s">
        <v>4108</v>
      </c>
      <c r="G5370" s="61">
        <f>ROUND(G5368*E5370,2)</f>
        <v>1671.14</v>
      </c>
      <c r="H5370" s="61"/>
      <c r="I5370" s="61"/>
    </row>
    <row r="5371" spans="1:9">
      <c r="A5371" s="848"/>
      <c r="B5371" s="382" t="s">
        <v>1036</v>
      </c>
      <c r="C5371" s="49"/>
      <c r="D5371" s="61"/>
      <c r="E5371" s="290">
        <f>'BASIC DATA'!$C$582</f>
        <v>0.01</v>
      </c>
      <c r="F5371" s="61" t="s">
        <v>4108</v>
      </c>
      <c r="G5371" s="61">
        <f>ROUND(G5368*E5371,2)</f>
        <v>3342.28</v>
      </c>
      <c r="H5371" s="61"/>
      <c r="I5371" s="61"/>
    </row>
    <row r="5372" spans="1:9">
      <c r="A5372" s="848"/>
      <c r="B5372" s="62"/>
      <c r="C5372" s="49"/>
      <c r="D5372" s="61"/>
      <c r="E5372" s="320"/>
      <c r="F5372" s="222" t="s">
        <v>302</v>
      </c>
      <c r="G5372" s="381">
        <f>SUM(G5368:G5371)</f>
        <v>345925.80499999999</v>
      </c>
      <c r="H5372" s="61"/>
      <c r="I5372" s="61"/>
    </row>
    <row r="5373" spans="1:9">
      <c r="A5373" s="847"/>
      <c r="B5373" s="1207" t="s">
        <v>5888</v>
      </c>
      <c r="C5373" s="1207"/>
      <c r="D5373" s="1207"/>
      <c r="E5373" s="922">
        <f>'BASIC DATA'!$C$577</f>
        <v>0.13614999999999999</v>
      </c>
      <c r="F5373" s="171" t="s">
        <v>1698</v>
      </c>
      <c r="G5373" s="31">
        <f>ROUND(G5372*E5373,2)</f>
        <v>47097.8</v>
      </c>
    </row>
    <row r="5374" spans="1:9">
      <c r="A5374" s="847"/>
      <c r="B5374" s="27" t="s">
        <v>9590</v>
      </c>
      <c r="C5374" s="43"/>
      <c r="D5374" s="779">
        <f>E5316</f>
        <v>35.200000000000003</v>
      </c>
      <c r="E5374" s="201" t="s">
        <v>9591</v>
      </c>
      <c r="F5374" s="68" t="str">
        <f>CONCATENATE((leadcharges!$D$65)," ","Rs./Cum")</f>
        <v>31.5 Rs./Cum</v>
      </c>
      <c r="G5374" s="200">
        <f>leadcharges!$D$65*D5374</f>
        <v>1108.8000000000002</v>
      </c>
    </row>
    <row r="5375" spans="1:9">
      <c r="A5375" s="847"/>
      <c r="B5375" s="27" t="s">
        <v>9589</v>
      </c>
      <c r="C5375" s="43"/>
      <c r="D5375" s="779">
        <f>SUM(E5313:E5315)</f>
        <v>79.2</v>
      </c>
      <c r="E5375" s="201" t="s">
        <v>9591</v>
      </c>
      <c r="F5375" s="68" t="str">
        <f>CONCATENATE((leadcharges!$E$65)," ","Rs./Cum")</f>
        <v>30.4 Rs./Cum</v>
      </c>
      <c r="G5375" s="294">
        <f>leadcharges!$E$65*D5375</f>
        <v>2407.6799999999998</v>
      </c>
    </row>
    <row r="5376" spans="1:9" ht="40.5" hidden="1" customHeight="1">
      <c r="A5376" s="847"/>
      <c r="B5376" s="1207"/>
      <c r="C5376" s="1207"/>
      <c r="D5376" s="779"/>
      <c r="E5376" s="201"/>
      <c r="F5376" s="68"/>
      <c r="G5376" s="200"/>
    </row>
    <row r="5377" spans="1:9">
      <c r="A5377" s="847"/>
      <c r="B5377" s="47" t="s">
        <v>1191</v>
      </c>
      <c r="C5377" s="48"/>
      <c r="D5377" s="68">
        <f>F5309</f>
        <v>800</v>
      </c>
      <c r="E5377" s="68" t="str">
        <f>G5309</f>
        <v xml:space="preserve">Sqm </v>
      </c>
      <c r="F5377" s="171" t="s">
        <v>1698</v>
      </c>
      <c r="G5377" s="211">
        <f>SUM(G5372:G5376)</f>
        <v>396540.08499999996</v>
      </c>
    </row>
    <row r="5378" spans="1:9">
      <c r="A5378" s="848"/>
      <c r="B5378" s="79" t="s">
        <v>1584</v>
      </c>
      <c r="C5378" s="404" t="str">
        <f>E5377</f>
        <v xml:space="preserve">Sqm </v>
      </c>
      <c r="D5378" s="26" t="s">
        <v>5889</v>
      </c>
      <c r="F5378" s="171" t="s">
        <v>4108</v>
      </c>
      <c r="G5378" s="211">
        <f>ROUND(G5377/D5377,1)</f>
        <v>495.7</v>
      </c>
      <c r="H5378" s="61"/>
      <c r="I5378" s="61"/>
    </row>
    <row r="5379" spans="1:9">
      <c r="A5379" s="847"/>
      <c r="B5379" s="78"/>
      <c r="C5379" s="48"/>
    </row>
    <row r="5380" spans="1:9">
      <c r="A5380" s="847"/>
      <c r="B5380" s="78"/>
      <c r="C5380" s="48"/>
    </row>
    <row r="5381" spans="1:9" ht="36.75">
      <c r="A5381" s="841" t="s">
        <v>7480</v>
      </c>
      <c r="B5381" s="47" t="s">
        <v>8774</v>
      </c>
      <c r="C5381" s="48"/>
    </row>
    <row r="5382" spans="1:9" ht="18.75">
      <c r="A5382" s="889"/>
      <c r="B5382" s="47" t="s">
        <v>8789</v>
      </c>
      <c r="C5382" s="48"/>
    </row>
    <row r="5383" spans="1:9">
      <c r="A5383" s="889"/>
      <c r="B5383" s="47" t="s">
        <v>8790</v>
      </c>
      <c r="C5383" s="48"/>
    </row>
    <row r="5384" spans="1:9">
      <c r="A5384" s="895"/>
      <c r="B5384" s="47" t="s">
        <v>5</v>
      </c>
      <c r="C5384" s="48"/>
    </row>
    <row r="5385" spans="1:9">
      <c r="A5385" s="889"/>
      <c r="B5385" s="47" t="s">
        <v>6</v>
      </c>
      <c r="C5385" s="48"/>
    </row>
    <row r="5386" spans="1:9" ht="18.75">
      <c r="A5386" s="889"/>
      <c r="B5386" s="47" t="s">
        <v>8791</v>
      </c>
      <c r="C5386" s="48"/>
    </row>
    <row r="5387" spans="1:9">
      <c r="A5387" s="889"/>
      <c r="B5387" s="162" t="s">
        <v>7725</v>
      </c>
      <c r="C5387" s="48"/>
    </row>
    <row r="5388" spans="1:9">
      <c r="A5388" s="891"/>
      <c r="B5388" s="588" t="s">
        <v>6409</v>
      </c>
      <c r="C5388" s="49"/>
      <c r="D5388" s="61"/>
      <c r="E5388" s="61"/>
      <c r="F5388" s="61"/>
      <c r="G5388" s="61"/>
      <c r="H5388" s="61"/>
      <c r="I5388" s="61"/>
    </row>
    <row r="5389" spans="1:9">
      <c r="A5389" s="889"/>
      <c r="C5389" s="48"/>
    </row>
    <row r="5390" spans="1:9" hidden="1">
      <c r="A5390" s="889" t="s">
        <v>3984</v>
      </c>
      <c r="B5390" s="47" t="s">
        <v>5780</v>
      </c>
      <c r="C5390" s="48"/>
    </row>
    <row r="5391" spans="1:9" hidden="1">
      <c r="A5391" s="889"/>
      <c r="B5391" s="47" t="s">
        <v>446</v>
      </c>
      <c r="C5391" s="48"/>
    </row>
    <row r="5392" spans="1:9" hidden="1">
      <c r="A5392" s="889"/>
      <c r="B5392" s="47" t="s">
        <v>7745</v>
      </c>
      <c r="C5392" s="48"/>
    </row>
    <row r="5393" spans="1:8" hidden="1">
      <c r="A5393" s="889"/>
      <c r="B5393" s="47" t="s">
        <v>7746</v>
      </c>
      <c r="C5393" s="48"/>
      <c r="E5393" s="26">
        <f>ROUND(10*50*8/250,2)</f>
        <v>16</v>
      </c>
      <c r="F5393" s="26" t="s">
        <v>1312</v>
      </c>
    </row>
    <row r="5394" spans="1:8" hidden="1">
      <c r="A5394" s="889"/>
      <c r="B5394" s="47" t="s">
        <v>1914</v>
      </c>
      <c r="C5394" s="48"/>
    </row>
    <row r="5395" spans="1:8" hidden="1">
      <c r="A5395" s="889"/>
      <c r="B5395" s="47" t="s">
        <v>447</v>
      </c>
      <c r="C5395" s="48"/>
      <c r="G5395" s="68">
        <f>2*E5393</f>
        <v>32</v>
      </c>
      <c r="H5395" s="26" t="s">
        <v>6901</v>
      </c>
    </row>
    <row r="5396" spans="1:8" ht="18.75" hidden="1">
      <c r="A5396" s="889"/>
      <c r="B5396" s="47" t="s">
        <v>8792</v>
      </c>
      <c r="C5396" s="48"/>
    </row>
    <row r="5397" spans="1:8" hidden="1">
      <c r="A5397" s="889"/>
      <c r="B5397" s="47" t="s">
        <v>3306</v>
      </c>
      <c r="C5397" s="48"/>
      <c r="D5397" s="26" t="s">
        <v>448</v>
      </c>
      <c r="G5397" s="68">
        <v>1.8</v>
      </c>
      <c r="H5397" s="26" t="s">
        <v>6901</v>
      </c>
    </row>
    <row r="5398" spans="1:8" hidden="1">
      <c r="A5398" s="889"/>
      <c r="B5398" s="47" t="s">
        <v>3308</v>
      </c>
      <c r="C5398" s="48"/>
      <c r="D5398" s="26" t="s">
        <v>7747</v>
      </c>
      <c r="G5398" s="26">
        <f>G5397*8*60/G5395</f>
        <v>27</v>
      </c>
      <c r="H5398" s="26" t="s">
        <v>6903</v>
      </c>
    </row>
    <row r="5399" spans="1:8" hidden="1">
      <c r="A5399" s="889"/>
      <c r="B5399" s="47" t="s">
        <v>60</v>
      </c>
      <c r="C5399" s="48"/>
      <c r="G5399" s="26">
        <v>5</v>
      </c>
      <c r="H5399" s="26" t="s">
        <v>6903</v>
      </c>
    </row>
    <row r="5400" spans="1:8" hidden="1">
      <c r="A5400" s="889"/>
      <c r="B5400" s="47" t="s">
        <v>449</v>
      </c>
      <c r="C5400" s="48"/>
      <c r="G5400" s="159">
        <f>SUM(G5398:G5399)</f>
        <v>32</v>
      </c>
      <c r="H5400" s="26" t="s">
        <v>6903</v>
      </c>
    </row>
    <row r="5401" spans="1:8" hidden="1">
      <c r="A5401" s="889"/>
      <c r="B5401" s="47" t="s">
        <v>62</v>
      </c>
      <c r="C5401" s="48"/>
      <c r="D5401" s="26" t="s">
        <v>7748</v>
      </c>
      <c r="G5401" s="26">
        <f>(8*60/G5400)*G5397</f>
        <v>27</v>
      </c>
      <c r="H5401" s="26" t="s">
        <v>6901</v>
      </c>
    </row>
    <row r="5402" spans="1:8" hidden="1">
      <c r="A5402" s="889"/>
      <c r="B5402" s="47" t="s">
        <v>887</v>
      </c>
      <c r="C5402" s="48"/>
    </row>
    <row r="5403" spans="1:8" hidden="1">
      <c r="A5403" s="889"/>
      <c r="B5403" s="47" t="s">
        <v>888</v>
      </c>
      <c r="C5403" s="48"/>
      <c r="G5403" s="68">
        <v>18</v>
      </c>
      <c r="H5403" s="26" t="s">
        <v>3883</v>
      </c>
    </row>
    <row r="5404" spans="1:8" hidden="1">
      <c r="A5404" s="889"/>
      <c r="B5404" s="47" t="s">
        <v>7749</v>
      </c>
      <c r="C5404" s="48"/>
      <c r="D5404" s="26" t="s">
        <v>7750</v>
      </c>
      <c r="G5404" s="26">
        <f>ROUND(G5401/G5397,0)</f>
        <v>15</v>
      </c>
      <c r="H5404" s="26" t="s">
        <v>3039</v>
      </c>
    </row>
    <row r="5405" spans="1:8" hidden="1">
      <c r="A5405" s="889"/>
      <c r="B5405" s="47" t="s">
        <v>7751</v>
      </c>
      <c r="C5405" s="48"/>
      <c r="D5405" s="26" t="s">
        <v>450</v>
      </c>
      <c r="G5405" s="26">
        <f>G5403*G5404</f>
        <v>270</v>
      </c>
      <c r="H5405" s="26" t="s">
        <v>3883</v>
      </c>
    </row>
    <row r="5406" spans="1:8" hidden="1">
      <c r="A5406" s="889"/>
      <c r="B5406" s="47" t="s">
        <v>451</v>
      </c>
      <c r="C5406" s="48"/>
    </row>
    <row r="5407" spans="1:8" hidden="1">
      <c r="A5407" s="889"/>
      <c r="B5407" s="47" t="s">
        <v>7752</v>
      </c>
      <c r="C5407" s="48"/>
    </row>
    <row r="5408" spans="1:8" hidden="1">
      <c r="A5408" s="889"/>
      <c r="B5408" s="47" t="s">
        <v>452</v>
      </c>
      <c r="C5408" s="48"/>
    </row>
    <row r="5409" spans="1:9" hidden="1">
      <c r="A5409" s="889"/>
      <c r="B5409" s="47" t="s">
        <v>4375</v>
      </c>
      <c r="C5409" s="48"/>
      <c r="G5409" s="26">
        <v>27</v>
      </c>
      <c r="H5409" s="26" t="s">
        <v>3032</v>
      </c>
    </row>
    <row r="5410" spans="1:9" hidden="1">
      <c r="A5410" s="847"/>
      <c r="B5410" s="78"/>
      <c r="C5410" s="48"/>
    </row>
    <row r="5411" spans="1:9">
      <c r="A5411" s="847"/>
      <c r="B5411" s="78"/>
      <c r="C5411" s="48"/>
    </row>
    <row r="5412" spans="1:9">
      <c r="A5412" s="847" t="s">
        <v>1907</v>
      </c>
      <c r="B5412" s="78"/>
      <c r="C5412" s="349" t="s">
        <v>2367</v>
      </c>
      <c r="E5412" s="171" t="s">
        <v>297</v>
      </c>
      <c r="F5412" s="246">
        <f>G5401</f>
        <v>27</v>
      </c>
      <c r="G5412" s="26" t="s">
        <v>3477</v>
      </c>
    </row>
    <row r="5413" spans="1:9">
      <c r="A5413" s="847"/>
      <c r="B5413" s="79" t="s">
        <v>2368</v>
      </c>
      <c r="C5413" s="48"/>
    </row>
    <row r="5414" spans="1:9">
      <c r="A5414" s="847"/>
      <c r="B5414" s="95" t="s">
        <v>2369</v>
      </c>
      <c r="C5414" s="350" t="s">
        <v>6374</v>
      </c>
      <c r="D5414" s="95" t="s">
        <v>2370</v>
      </c>
      <c r="E5414" s="95" t="s">
        <v>1166</v>
      </c>
      <c r="F5414" s="95" t="s">
        <v>2371</v>
      </c>
      <c r="G5414" s="95" t="s">
        <v>2372</v>
      </c>
    </row>
    <row r="5415" spans="1:9">
      <c r="A5415" s="847"/>
      <c r="B5415" s="114"/>
      <c r="C5415" s="351"/>
      <c r="D5415" s="114"/>
      <c r="E5415" s="114"/>
      <c r="F5415" s="114" t="s">
        <v>3485</v>
      </c>
      <c r="G5415" s="114" t="s">
        <v>3485</v>
      </c>
    </row>
    <row r="5416" spans="1:9">
      <c r="A5416" s="847"/>
      <c r="B5416" s="95">
        <v>1</v>
      </c>
      <c r="C5416" s="86" t="s">
        <v>1048</v>
      </c>
      <c r="D5416" s="95" t="s">
        <v>3478</v>
      </c>
      <c r="E5416" s="107">
        <f>250*F5412</f>
        <v>6750</v>
      </c>
      <c r="F5416" s="68">
        <f>'BASIC DATA'!$D$32/1000</f>
        <v>5.35</v>
      </c>
      <c r="G5416" s="107">
        <f t="shared" ref="G5416:G5423" si="78">F5416*E5416</f>
        <v>36112.5</v>
      </c>
    </row>
    <row r="5417" spans="1:9" ht="36">
      <c r="A5417" s="847"/>
      <c r="B5417" s="152"/>
      <c r="C5417" s="86" t="s">
        <v>1049</v>
      </c>
      <c r="D5417" s="105" t="s">
        <v>3478</v>
      </c>
      <c r="E5417" s="210">
        <f>5*F5412</f>
        <v>135</v>
      </c>
      <c r="F5417" s="68">
        <f>'BASIC DATA'!$D$32/1000</f>
        <v>5.35</v>
      </c>
      <c r="G5417" s="210">
        <f t="shared" si="78"/>
        <v>722.25</v>
      </c>
    </row>
    <row r="5418" spans="1:9">
      <c r="A5418" s="847"/>
      <c r="B5418" s="105">
        <v>2</v>
      </c>
      <c r="C5418" s="86" t="s">
        <v>6995</v>
      </c>
      <c r="D5418" s="105" t="s">
        <v>3477</v>
      </c>
      <c r="E5418" s="26">
        <f>0.8*F5412*0.65</f>
        <v>14.040000000000001</v>
      </c>
      <c r="F5418" s="221">
        <f>'BASIC DATA'!$D$35</f>
        <v>1225</v>
      </c>
      <c r="G5418" s="210">
        <f t="shared" si="78"/>
        <v>17199</v>
      </c>
    </row>
    <row r="5419" spans="1:9">
      <c r="A5419" s="847"/>
      <c r="B5419" s="152"/>
      <c r="C5419" s="86" t="s">
        <v>1050</v>
      </c>
      <c r="D5419" s="105" t="s">
        <v>3477</v>
      </c>
      <c r="E5419" s="26">
        <f>0.8*0.35*F5412</f>
        <v>7.56</v>
      </c>
      <c r="F5419" s="221">
        <f>'BASIC DATA'!$D$34</f>
        <v>900</v>
      </c>
      <c r="G5419" s="210">
        <f t="shared" si="78"/>
        <v>6804</v>
      </c>
    </row>
    <row r="5420" spans="1:9">
      <c r="A5420" s="848"/>
      <c r="B5420" s="240">
        <v>3</v>
      </c>
      <c r="C5420" s="392" t="s">
        <v>7941</v>
      </c>
      <c r="D5420" s="240" t="s">
        <v>3477</v>
      </c>
      <c r="E5420" s="61">
        <f>0.45*F5412</f>
        <v>12.15</v>
      </c>
      <c r="F5420" s="437">
        <f>'BASIC DATA'!$D$55</f>
        <v>95</v>
      </c>
      <c r="G5420" s="254">
        <f t="shared" si="78"/>
        <v>1154.25</v>
      </c>
      <c r="H5420" s="61"/>
      <c r="I5420" s="61"/>
    </row>
    <row r="5421" spans="1:9">
      <c r="A5421" s="848"/>
      <c r="B5421" s="240">
        <v>4</v>
      </c>
      <c r="C5421" s="392" t="s">
        <v>523</v>
      </c>
      <c r="D5421" s="240" t="s">
        <v>3478</v>
      </c>
      <c r="E5421" s="26">
        <f>0.4%*E5416</f>
        <v>27</v>
      </c>
      <c r="F5421" s="437">
        <f>'BASIC DATA'!$D$99</f>
        <v>55</v>
      </c>
      <c r="G5421" s="254">
        <f t="shared" si="78"/>
        <v>1485</v>
      </c>
      <c r="H5421" s="61"/>
      <c r="I5421" s="61"/>
    </row>
    <row r="5422" spans="1:9">
      <c r="A5422" s="847"/>
      <c r="B5422" s="105">
        <v>5</v>
      </c>
      <c r="C5422" s="86" t="s">
        <v>524</v>
      </c>
      <c r="D5422" s="105" t="s">
        <v>3479</v>
      </c>
      <c r="E5422" s="26">
        <f>G5405</f>
        <v>270</v>
      </c>
      <c r="F5422" s="430">
        <f>IF(F5421=0,0,G5068)</f>
        <v>27.616319444444443</v>
      </c>
      <c r="G5422" s="190">
        <f t="shared" si="78"/>
        <v>7456.40625</v>
      </c>
    </row>
    <row r="5423" spans="1:9">
      <c r="A5423" s="847"/>
      <c r="B5423" s="114">
        <v>6</v>
      </c>
      <c r="C5423" s="355" t="s">
        <v>2373</v>
      </c>
      <c r="D5423" s="114" t="s">
        <v>2173</v>
      </c>
      <c r="E5423" s="191">
        <v>2</v>
      </c>
      <c r="F5423" s="221">
        <f>'BASIC DATA'!$D$359</f>
        <v>30</v>
      </c>
      <c r="G5423" s="210">
        <f t="shared" si="78"/>
        <v>60</v>
      </c>
    </row>
    <row r="5424" spans="1:9">
      <c r="A5424" s="847"/>
      <c r="B5424" s="92"/>
      <c r="C5424" s="353" t="s">
        <v>2376</v>
      </c>
      <c r="D5424" s="159"/>
      <c r="E5424" s="238"/>
      <c r="F5424" s="394" t="s">
        <v>1698</v>
      </c>
      <c r="G5424" s="318">
        <f>SUM(G5416:G5423)</f>
        <v>70993.40625</v>
      </c>
    </row>
    <row r="5425" spans="1:7">
      <c r="A5425" s="847"/>
      <c r="B5425" s="78"/>
      <c r="C5425" s="48"/>
    </row>
    <row r="5426" spans="1:7">
      <c r="A5426" s="847"/>
      <c r="B5426" s="79" t="s">
        <v>2377</v>
      </c>
      <c r="C5426" s="48"/>
    </row>
    <row r="5427" spans="1:7">
      <c r="A5427" s="847"/>
      <c r="B5427" s="95" t="s">
        <v>2369</v>
      </c>
      <c r="C5427" s="350" t="s">
        <v>2378</v>
      </c>
      <c r="D5427" s="95" t="s">
        <v>2370</v>
      </c>
      <c r="E5427" s="95" t="s">
        <v>1166</v>
      </c>
      <c r="F5427" s="95" t="s">
        <v>2371</v>
      </c>
      <c r="G5427" s="95" t="s">
        <v>2372</v>
      </c>
    </row>
    <row r="5428" spans="1:7">
      <c r="A5428" s="847"/>
      <c r="B5428" s="114"/>
      <c r="C5428" s="351"/>
      <c r="D5428" s="114"/>
      <c r="E5428" s="114"/>
      <c r="F5428" s="114" t="s">
        <v>3485</v>
      </c>
      <c r="G5428" s="114" t="s">
        <v>3485</v>
      </c>
    </row>
    <row r="5429" spans="1:7" ht="36">
      <c r="A5429" s="847"/>
      <c r="B5429" s="95">
        <v>1</v>
      </c>
      <c r="C5429" s="86" t="s">
        <v>525</v>
      </c>
      <c r="D5429" s="95" t="s">
        <v>2374</v>
      </c>
      <c r="E5429" s="220">
        <v>16</v>
      </c>
      <c r="F5429" s="214">
        <f>'HIRE CHARGES'!$D$509</f>
        <v>92.7</v>
      </c>
      <c r="G5429" s="107">
        <f t="shared" ref="G5429:G5436" si="79">F5429*E5429</f>
        <v>1483.2</v>
      </c>
    </row>
    <row r="5430" spans="1:7">
      <c r="A5430" s="847"/>
      <c r="B5430" s="152"/>
      <c r="C5430" s="86" t="s">
        <v>2379</v>
      </c>
      <c r="D5430" s="105" t="s">
        <v>2374</v>
      </c>
      <c r="E5430" s="220">
        <v>16</v>
      </c>
      <c r="F5430" s="214">
        <f>'HIRE CHARGES'!$E$509</f>
        <v>158.69999999999999</v>
      </c>
      <c r="G5430" s="210">
        <f t="shared" si="79"/>
        <v>2539.1999999999998</v>
      </c>
    </row>
    <row r="5431" spans="1:7">
      <c r="A5431" s="847"/>
      <c r="B5431" s="105">
        <v>2</v>
      </c>
      <c r="C5431" s="86" t="s">
        <v>189</v>
      </c>
      <c r="D5431" s="105" t="s">
        <v>2374</v>
      </c>
      <c r="E5431" s="220">
        <v>0.5</v>
      </c>
      <c r="F5431" s="214">
        <f>'HIRE CHARGES'!$D$517</f>
        <v>10.199999999999999</v>
      </c>
      <c r="G5431" s="210">
        <f t="shared" si="79"/>
        <v>5.0999999999999996</v>
      </c>
    </row>
    <row r="5432" spans="1:7">
      <c r="A5432" s="847"/>
      <c r="B5432" s="152"/>
      <c r="C5432" s="86" t="s">
        <v>2379</v>
      </c>
      <c r="D5432" s="105" t="s">
        <v>2374</v>
      </c>
      <c r="E5432" s="220">
        <v>0.5</v>
      </c>
      <c r="F5432" s="214">
        <f>'HIRE CHARGES'!$E$517</f>
        <v>79.3</v>
      </c>
      <c r="G5432" s="210">
        <f t="shared" si="79"/>
        <v>39.65</v>
      </c>
    </row>
    <row r="5433" spans="1:7">
      <c r="A5433" s="847"/>
      <c r="B5433" s="105">
        <v>3</v>
      </c>
      <c r="C5433" s="86" t="s">
        <v>6286</v>
      </c>
      <c r="D5433" s="105" t="s">
        <v>2374</v>
      </c>
      <c r="E5433" s="220">
        <v>1</v>
      </c>
      <c r="F5433" s="214">
        <f>'HIRE CHARGES'!$D$555</f>
        <v>402.5</v>
      </c>
      <c r="G5433" s="210">
        <f t="shared" si="79"/>
        <v>402.5</v>
      </c>
    </row>
    <row r="5434" spans="1:7">
      <c r="A5434" s="847"/>
      <c r="B5434" s="152"/>
      <c r="C5434" s="86" t="s">
        <v>2379</v>
      </c>
      <c r="D5434" s="105" t="s">
        <v>2374</v>
      </c>
      <c r="E5434" s="220">
        <v>1</v>
      </c>
      <c r="F5434" s="214">
        <f>'HIRE CHARGES'!$E$555</f>
        <v>299.89999999999998</v>
      </c>
      <c r="G5434" s="210">
        <f t="shared" si="79"/>
        <v>299.89999999999998</v>
      </c>
    </row>
    <row r="5435" spans="1:7" ht="36">
      <c r="A5435" s="847"/>
      <c r="B5435" s="105">
        <v>4</v>
      </c>
      <c r="C5435" s="86" t="s">
        <v>526</v>
      </c>
      <c r="D5435" s="105" t="s">
        <v>2374</v>
      </c>
      <c r="E5435" s="220">
        <v>16</v>
      </c>
      <c r="F5435" s="214">
        <f>'HIRE CHARGES'!$D$531</f>
        <v>7.6</v>
      </c>
      <c r="G5435" s="210">
        <f t="shared" si="79"/>
        <v>121.6</v>
      </c>
    </row>
    <row r="5436" spans="1:7">
      <c r="A5436" s="847"/>
      <c r="B5436" s="116"/>
      <c r="C5436" s="86" t="s">
        <v>2379</v>
      </c>
      <c r="D5436" s="114" t="s">
        <v>2374</v>
      </c>
      <c r="E5436" s="220">
        <v>16</v>
      </c>
      <c r="F5436" s="214">
        <f>'HIRE CHARGES'!$E$531</f>
        <v>18.8</v>
      </c>
      <c r="G5436" s="210">
        <f t="shared" si="79"/>
        <v>300.8</v>
      </c>
    </row>
    <row r="5437" spans="1:7">
      <c r="A5437" s="847"/>
      <c r="B5437" s="176"/>
      <c r="C5437" s="357" t="s">
        <v>2380</v>
      </c>
      <c r="D5437" s="174"/>
      <c r="E5437" s="192"/>
      <c r="F5437" s="236" t="s">
        <v>1698</v>
      </c>
      <c r="G5437" s="354">
        <f>SUM(G5429:G5436)</f>
        <v>5191.95</v>
      </c>
    </row>
    <row r="5438" spans="1:7">
      <c r="A5438" s="847"/>
      <c r="B5438" s="78"/>
      <c r="C5438" s="48"/>
    </row>
    <row r="5439" spans="1:7">
      <c r="A5439" s="847"/>
      <c r="B5439" s="79" t="s">
        <v>2381</v>
      </c>
      <c r="C5439" s="48"/>
    </row>
    <row r="5440" spans="1:7">
      <c r="A5440" s="847"/>
      <c r="B5440" s="95" t="s">
        <v>2369</v>
      </c>
      <c r="C5440" s="350" t="s">
        <v>2378</v>
      </c>
      <c r="D5440" s="95" t="s">
        <v>2370</v>
      </c>
      <c r="E5440" s="95" t="s">
        <v>1166</v>
      </c>
      <c r="F5440" s="95" t="s">
        <v>2371</v>
      </c>
      <c r="G5440" s="95" t="s">
        <v>2372</v>
      </c>
    </row>
    <row r="5441" spans="1:7">
      <c r="A5441" s="847"/>
      <c r="B5441" s="114"/>
      <c r="C5441" s="351"/>
      <c r="D5441" s="105"/>
      <c r="E5441" s="114"/>
      <c r="F5441" s="114" t="s">
        <v>3485</v>
      </c>
      <c r="G5441" s="114" t="s">
        <v>3485</v>
      </c>
    </row>
    <row r="5442" spans="1:7">
      <c r="A5442" s="847"/>
      <c r="B5442" s="105">
        <v>1</v>
      </c>
      <c r="C5442" s="86" t="s">
        <v>527</v>
      </c>
      <c r="D5442" s="95" t="s">
        <v>2374</v>
      </c>
      <c r="E5442" s="207">
        <v>16</v>
      </c>
      <c r="F5442" s="214">
        <f>'HIRE CHARGES'!$F$509</f>
        <v>219.7</v>
      </c>
      <c r="G5442" s="107">
        <f t="shared" ref="G5442:G5448" si="80">F5442*E5442</f>
        <v>3515.2</v>
      </c>
    </row>
    <row r="5443" spans="1:7">
      <c r="A5443" s="847"/>
      <c r="B5443" s="105">
        <v>2</v>
      </c>
      <c r="C5443" s="86" t="s">
        <v>999</v>
      </c>
      <c r="D5443" s="105" t="s">
        <v>2374</v>
      </c>
      <c r="E5443" s="207">
        <v>0.5</v>
      </c>
      <c r="F5443" s="214">
        <f>'HIRE CHARGES'!$F$517</f>
        <v>111.1</v>
      </c>
      <c r="G5443" s="210">
        <f t="shared" si="80"/>
        <v>55.55</v>
      </c>
    </row>
    <row r="5444" spans="1:7">
      <c r="A5444" s="847"/>
      <c r="B5444" s="105">
        <v>3</v>
      </c>
      <c r="C5444" s="86" t="s">
        <v>1000</v>
      </c>
      <c r="D5444" s="105" t="s">
        <v>2374</v>
      </c>
      <c r="E5444" s="207">
        <v>1</v>
      </c>
      <c r="F5444" s="190">
        <f>'HIRE CHARGES'!$F$555</f>
        <v>177.5</v>
      </c>
      <c r="G5444" s="210">
        <f t="shared" si="80"/>
        <v>177.5</v>
      </c>
    </row>
    <row r="5445" spans="1:7">
      <c r="A5445" s="847"/>
      <c r="B5445" s="105">
        <v>4</v>
      </c>
      <c r="C5445" s="86" t="s">
        <v>5148</v>
      </c>
      <c r="D5445" s="105" t="s">
        <v>2374</v>
      </c>
      <c r="E5445" s="207">
        <v>16</v>
      </c>
      <c r="F5445" s="214">
        <f>'HIRE CHARGES'!$F$531</f>
        <v>158.19999999999999</v>
      </c>
      <c r="G5445" s="190">
        <f t="shared" si="80"/>
        <v>2531.1999999999998</v>
      </c>
    </row>
    <row r="5446" spans="1:7">
      <c r="A5446" s="847"/>
      <c r="B5446" s="105">
        <v>5</v>
      </c>
      <c r="C5446" s="86" t="s">
        <v>440</v>
      </c>
      <c r="D5446" s="105" t="s">
        <v>1172</v>
      </c>
      <c r="E5446" s="207">
        <v>2</v>
      </c>
      <c r="F5446" s="190">
        <f>'BASIC DATA'!$C$474</f>
        <v>445</v>
      </c>
      <c r="G5446" s="210">
        <f t="shared" si="80"/>
        <v>890</v>
      </c>
    </row>
    <row r="5447" spans="1:7">
      <c r="A5447" s="847"/>
      <c r="B5447" s="105">
        <v>6</v>
      </c>
      <c r="C5447" s="86" t="s">
        <v>4206</v>
      </c>
      <c r="D5447" s="105" t="s">
        <v>1172</v>
      </c>
      <c r="E5447" s="207">
        <v>1</v>
      </c>
      <c r="F5447" s="190">
        <f>'BASIC DATA'!$C$473</f>
        <v>450</v>
      </c>
      <c r="G5447" s="210">
        <f t="shared" si="80"/>
        <v>450</v>
      </c>
    </row>
    <row r="5448" spans="1:7">
      <c r="A5448" s="847"/>
      <c r="B5448" s="105">
        <v>7</v>
      </c>
      <c r="C5448" s="86" t="s">
        <v>1066</v>
      </c>
      <c r="D5448" s="105" t="s">
        <v>1172</v>
      </c>
      <c r="E5448" s="207">
        <v>1</v>
      </c>
      <c r="F5448" s="190">
        <f>'BASIC DATA'!$C$475</f>
        <v>475</v>
      </c>
      <c r="G5448" s="210">
        <f t="shared" si="80"/>
        <v>475</v>
      </c>
    </row>
    <row r="5449" spans="1:7">
      <c r="A5449" s="847"/>
      <c r="B5449" s="105">
        <v>8</v>
      </c>
      <c r="C5449" s="86" t="s">
        <v>2697</v>
      </c>
      <c r="D5449" s="105"/>
      <c r="E5449" s="207"/>
      <c r="F5449" s="190"/>
      <c r="G5449" s="190"/>
    </row>
    <row r="5450" spans="1:7">
      <c r="A5450" s="847"/>
      <c r="B5450" s="152"/>
      <c r="C5450" s="86" t="s">
        <v>441</v>
      </c>
      <c r="D5450" s="105" t="s">
        <v>1172</v>
      </c>
      <c r="E5450" s="207">
        <v>22</v>
      </c>
      <c r="F5450" s="190">
        <f>'BASIC DATA'!$C$552</f>
        <v>350</v>
      </c>
      <c r="G5450" s="210">
        <f>F5450*E5450</f>
        <v>7700</v>
      </c>
    </row>
    <row r="5451" spans="1:7">
      <c r="A5451" s="847"/>
      <c r="B5451" s="152"/>
      <c r="C5451" s="86" t="s">
        <v>442</v>
      </c>
      <c r="D5451" s="105" t="s">
        <v>1172</v>
      </c>
      <c r="E5451" s="207">
        <v>8</v>
      </c>
      <c r="F5451" s="190">
        <f>'BASIC DATA'!$C$552</f>
        <v>350</v>
      </c>
      <c r="G5451" s="210">
        <f>F5451*E5451</f>
        <v>2800</v>
      </c>
    </row>
    <row r="5452" spans="1:7">
      <c r="A5452" s="847"/>
      <c r="B5452" s="152"/>
      <c r="C5452" s="86" t="s">
        <v>443</v>
      </c>
      <c r="D5452" s="105" t="s">
        <v>1172</v>
      </c>
      <c r="E5452" s="207">
        <v>6</v>
      </c>
      <c r="F5452" s="190">
        <f>'BASIC DATA'!$C$552</f>
        <v>350</v>
      </c>
      <c r="G5452" s="210">
        <f>F5452*E5452</f>
        <v>2100</v>
      </c>
    </row>
    <row r="5453" spans="1:7">
      <c r="A5453" s="847"/>
      <c r="B5453" s="152"/>
      <c r="C5453" s="86" t="s">
        <v>444</v>
      </c>
      <c r="D5453" s="105" t="s">
        <v>1172</v>
      </c>
      <c r="E5453" s="207">
        <f>F5412</f>
        <v>27</v>
      </c>
      <c r="F5453" s="190">
        <f>'BASIC DATA'!$C$552</f>
        <v>350</v>
      </c>
      <c r="G5453" s="210">
        <f>F5453*E5453</f>
        <v>9450</v>
      </c>
    </row>
    <row r="5454" spans="1:7">
      <c r="A5454" s="847"/>
      <c r="B5454" s="152"/>
      <c r="C5454" s="86" t="s">
        <v>445</v>
      </c>
      <c r="D5454" s="105" t="s">
        <v>1172</v>
      </c>
      <c r="E5454" s="207">
        <v>2</v>
      </c>
      <c r="F5454" s="190">
        <f>'BASIC DATA'!$C$552</f>
        <v>350</v>
      </c>
      <c r="G5454" s="191">
        <f>F5454*E5454</f>
        <v>700</v>
      </c>
    </row>
    <row r="5455" spans="1:7">
      <c r="A5455" s="847"/>
      <c r="B5455" s="92"/>
      <c r="C5455" s="353" t="s">
        <v>1174</v>
      </c>
      <c r="D5455" s="159"/>
      <c r="E5455" s="238"/>
      <c r="F5455" s="236" t="s">
        <v>1698</v>
      </c>
      <c r="G5455" s="318">
        <f>SUM(G5442:G5454)</f>
        <v>30844.45</v>
      </c>
    </row>
    <row r="5456" spans="1:7">
      <c r="A5456" s="847"/>
      <c r="B5456" s="359" t="s">
        <v>5948</v>
      </c>
      <c r="C5456" s="48"/>
      <c r="D5456" s="31"/>
      <c r="E5456" s="85">
        <f>ROUND(G5455/F5412,1)</f>
        <v>1142.4000000000001</v>
      </c>
    </row>
    <row r="5457" spans="1:7">
      <c r="A5457" s="847"/>
      <c r="B5457" s="359" t="s">
        <v>3163</v>
      </c>
      <c r="C5457" s="48"/>
      <c r="D5457" s="922">
        <f>'BASIC DATA'!$C$577</f>
        <v>0.13614999999999999</v>
      </c>
      <c r="E5457" s="85">
        <f>ROUND(E5456*D5457,1)</f>
        <v>155.5</v>
      </c>
    </row>
    <row r="5458" spans="1:7">
      <c r="A5458" s="847"/>
      <c r="B5458" s="359" t="s">
        <v>5949</v>
      </c>
      <c r="C5458" s="48"/>
      <c r="D5458" s="31"/>
      <c r="E5458" s="199">
        <f>ROUND(E5457+E5456,1)</f>
        <v>1297.9000000000001</v>
      </c>
    </row>
    <row r="5459" spans="1:7">
      <c r="A5459" s="847"/>
      <c r="C5459" s="48"/>
    </row>
    <row r="5460" spans="1:7">
      <c r="A5460" s="847"/>
      <c r="B5460" s="162" t="s">
        <v>1175</v>
      </c>
      <c r="C5460" s="48"/>
    </row>
    <row r="5461" spans="1:7">
      <c r="A5461" s="847"/>
      <c r="B5461" s="47" t="s">
        <v>1176</v>
      </c>
      <c r="C5461" s="48"/>
      <c r="F5461" s="171" t="s">
        <v>1698</v>
      </c>
      <c r="G5461" s="68">
        <f>G5424</f>
        <v>70993.40625</v>
      </c>
    </row>
    <row r="5462" spans="1:7">
      <c r="A5462" s="847"/>
      <c r="B5462" s="47" t="s">
        <v>1186</v>
      </c>
      <c r="C5462" s="48"/>
      <c r="F5462" s="171" t="s">
        <v>1698</v>
      </c>
      <c r="G5462" s="68">
        <f>G5437</f>
        <v>5191.95</v>
      </c>
    </row>
    <row r="5463" spans="1:7">
      <c r="A5463" s="847"/>
      <c r="B5463" s="47" t="s">
        <v>2660</v>
      </c>
      <c r="C5463" s="48"/>
      <c r="F5463" s="171" t="s">
        <v>1698</v>
      </c>
      <c r="G5463" s="75">
        <f>G5455</f>
        <v>30844.45</v>
      </c>
    </row>
    <row r="5464" spans="1:7">
      <c r="A5464" s="847"/>
      <c r="B5464" s="78"/>
      <c r="C5464" s="48"/>
      <c r="E5464" s="261"/>
      <c r="F5464" s="171" t="s">
        <v>302</v>
      </c>
      <c r="G5464" s="205">
        <f>SUM(G5461:G5463)</f>
        <v>107029.80624999999</v>
      </c>
    </row>
    <row r="5465" spans="1:7" ht="40.5" customHeight="1">
      <c r="A5465" s="847"/>
      <c r="B5465" s="1207" t="s">
        <v>1379</v>
      </c>
      <c r="C5465" s="1207"/>
      <c r="D5465" s="1207"/>
      <c r="E5465" s="922">
        <f>'BASIC DATA'!$C$577</f>
        <v>0.13614999999999999</v>
      </c>
      <c r="F5465" s="171" t="s">
        <v>1698</v>
      </c>
      <c r="G5465" s="31">
        <f>ROUND(G5464*E5465,2)</f>
        <v>14572.11</v>
      </c>
    </row>
    <row r="5466" spans="1:7">
      <c r="A5466" s="847"/>
      <c r="B5466" s="47" t="s">
        <v>1191</v>
      </c>
      <c r="C5466" s="48"/>
      <c r="D5466" s="68">
        <f>F5412</f>
        <v>27</v>
      </c>
      <c r="E5466" s="68" t="str">
        <f>G5412</f>
        <v>cum</v>
      </c>
      <c r="F5466" s="171" t="s">
        <v>1698</v>
      </c>
      <c r="G5466" s="211">
        <f>G5465+G5464</f>
        <v>121601.91624999999</v>
      </c>
    </row>
    <row r="5467" spans="1:7">
      <c r="A5467" s="847"/>
      <c r="B5467" s="79" t="s">
        <v>1584</v>
      </c>
      <c r="C5467" s="404" t="str">
        <f>E5466</f>
        <v>cum</v>
      </c>
      <c r="D5467" s="26" t="s">
        <v>7724</v>
      </c>
      <c r="F5467" s="171" t="s">
        <v>4108</v>
      </c>
      <c r="G5467" s="211">
        <f>ROUND(G5466/D5466,1)</f>
        <v>4503.8</v>
      </c>
    </row>
    <row r="5468" spans="1:7">
      <c r="A5468" s="847"/>
      <c r="B5468" s="78"/>
      <c r="C5468" s="48"/>
      <c r="F5468" s="171"/>
      <c r="G5468" s="68"/>
    </row>
    <row r="5469" spans="1:7">
      <c r="A5469" s="847"/>
      <c r="B5469" s="78"/>
      <c r="C5469" s="48"/>
      <c r="F5469" s="171"/>
      <c r="G5469" s="68"/>
    </row>
    <row r="5470" spans="1:7" ht="36.75">
      <c r="A5470" s="841" t="s">
        <v>7481</v>
      </c>
      <c r="B5470" s="47" t="s">
        <v>8793</v>
      </c>
      <c r="C5470" s="48"/>
    </row>
    <row r="5471" spans="1:7" ht="18.75">
      <c r="A5471" s="889"/>
      <c r="B5471" s="47" t="s">
        <v>8794</v>
      </c>
      <c r="C5471" s="48"/>
    </row>
    <row r="5472" spans="1:7">
      <c r="A5472" s="889"/>
      <c r="B5472" s="47" t="s">
        <v>8795</v>
      </c>
      <c r="C5472" s="48"/>
    </row>
    <row r="5473" spans="1:9">
      <c r="A5473" s="895"/>
      <c r="B5473" s="47" t="s">
        <v>5</v>
      </c>
      <c r="C5473" s="48"/>
    </row>
    <row r="5474" spans="1:9">
      <c r="A5474" s="889"/>
      <c r="B5474" s="47" t="s">
        <v>6</v>
      </c>
      <c r="C5474" s="48"/>
    </row>
    <row r="5475" spans="1:9" ht="18.75">
      <c r="A5475" s="889"/>
      <c r="B5475" s="162" t="s">
        <v>8796</v>
      </c>
      <c r="C5475" s="48"/>
    </row>
    <row r="5476" spans="1:9">
      <c r="A5476" s="889"/>
      <c r="B5476" s="162" t="s">
        <v>7727</v>
      </c>
      <c r="C5476" s="48"/>
    </row>
    <row r="5477" spans="1:9">
      <c r="A5477" s="891"/>
      <c r="B5477" s="588" t="s">
        <v>7630</v>
      </c>
      <c r="C5477" s="49"/>
      <c r="D5477" s="61"/>
      <c r="E5477" s="61"/>
      <c r="F5477" s="61"/>
      <c r="G5477" s="61"/>
      <c r="H5477" s="61"/>
      <c r="I5477" s="61"/>
    </row>
    <row r="5478" spans="1:9">
      <c r="A5478" s="889"/>
      <c r="C5478" s="48"/>
    </row>
    <row r="5479" spans="1:9" hidden="1">
      <c r="A5479" s="889" t="s">
        <v>3984</v>
      </c>
      <c r="B5479" s="47" t="s">
        <v>5780</v>
      </c>
      <c r="C5479" s="48"/>
    </row>
    <row r="5480" spans="1:9" hidden="1">
      <c r="A5480" s="889"/>
      <c r="B5480" s="47" t="s">
        <v>5149</v>
      </c>
      <c r="C5480" s="48"/>
      <c r="D5480" s="26" t="s">
        <v>5150</v>
      </c>
    </row>
    <row r="5481" spans="1:9" hidden="1">
      <c r="A5481" s="889"/>
      <c r="B5481" s="47" t="s">
        <v>7728</v>
      </c>
      <c r="C5481" s="48"/>
      <c r="D5481" s="26" t="s">
        <v>7729</v>
      </c>
    </row>
    <row r="5482" spans="1:9" ht="18.75" hidden="1">
      <c r="A5482" s="889"/>
      <c r="B5482" s="47" t="s">
        <v>8797</v>
      </c>
      <c r="C5482" s="48"/>
      <c r="G5482" s="68">
        <f>100*5*8/290</f>
        <v>13.793103448275861</v>
      </c>
      <c r="H5482" s="26" t="s">
        <v>6901</v>
      </c>
    </row>
    <row r="5483" spans="1:9" hidden="1">
      <c r="A5483" s="889"/>
      <c r="B5483" s="47" t="s">
        <v>1914</v>
      </c>
      <c r="C5483" s="48"/>
    </row>
    <row r="5484" spans="1:9" hidden="1">
      <c r="A5484" s="889"/>
      <c r="B5484" s="47" t="s">
        <v>889</v>
      </c>
      <c r="C5484" s="48"/>
      <c r="G5484" s="68">
        <f>G5482*2</f>
        <v>27.586206896551722</v>
      </c>
      <c r="H5484" s="26" t="s">
        <v>6901</v>
      </c>
    </row>
    <row r="5485" spans="1:9" ht="18.75" hidden="1">
      <c r="A5485" s="889"/>
      <c r="B5485" s="47" t="s">
        <v>8798</v>
      </c>
      <c r="C5485" s="48"/>
    </row>
    <row r="5486" spans="1:9" hidden="1">
      <c r="A5486" s="889"/>
      <c r="B5486" s="47" t="s">
        <v>3306</v>
      </c>
      <c r="C5486" s="48"/>
      <c r="D5486" s="26" t="s">
        <v>3307</v>
      </c>
      <c r="G5486" s="68">
        <v>2.7</v>
      </c>
      <c r="H5486" s="26" t="s">
        <v>6901</v>
      </c>
    </row>
    <row r="5487" spans="1:9" hidden="1">
      <c r="A5487" s="889"/>
      <c r="B5487" s="47" t="s">
        <v>3308</v>
      </c>
      <c r="C5487" s="48"/>
      <c r="D5487" s="26" t="s">
        <v>7864</v>
      </c>
      <c r="F5487" s="26">
        <f>G5486*8*60/G5484</f>
        <v>46.980000000000004</v>
      </c>
      <c r="G5487" s="26">
        <v>47</v>
      </c>
      <c r="H5487" s="26" t="s">
        <v>6903</v>
      </c>
    </row>
    <row r="5488" spans="1:9" hidden="1">
      <c r="A5488" s="889"/>
      <c r="B5488" s="47" t="s">
        <v>60</v>
      </c>
      <c r="C5488" s="48"/>
      <c r="G5488" s="26">
        <v>5</v>
      </c>
      <c r="H5488" s="26" t="s">
        <v>6903</v>
      </c>
    </row>
    <row r="5489" spans="1:8" hidden="1">
      <c r="A5489" s="889"/>
      <c r="B5489" s="47" t="s">
        <v>61</v>
      </c>
      <c r="C5489" s="48"/>
      <c r="G5489" s="159">
        <f>SUM(G5487:G5488)</f>
        <v>52</v>
      </c>
      <c r="H5489" s="26" t="s">
        <v>6903</v>
      </c>
    </row>
    <row r="5490" spans="1:8" hidden="1">
      <c r="A5490" s="889"/>
      <c r="B5490" s="47" t="s">
        <v>62</v>
      </c>
      <c r="C5490" s="48"/>
      <c r="D5490" s="26" t="s">
        <v>7730</v>
      </c>
      <c r="F5490" s="78" t="s">
        <v>1123</v>
      </c>
      <c r="G5490" s="68">
        <f>ROUND(8*60*G5486/G5489,2)</f>
        <v>24.92</v>
      </c>
      <c r="H5490" s="26" t="s">
        <v>6901</v>
      </c>
    </row>
    <row r="5491" spans="1:8" hidden="1">
      <c r="A5491" s="889"/>
      <c r="B5491" s="47" t="s">
        <v>887</v>
      </c>
      <c r="C5491" s="48"/>
      <c r="F5491" s="78"/>
    </row>
    <row r="5492" spans="1:8" hidden="1">
      <c r="A5492" s="889"/>
      <c r="B5492" s="47" t="s">
        <v>888</v>
      </c>
      <c r="C5492" s="48"/>
      <c r="F5492" s="78"/>
      <c r="G5492" s="68">
        <v>18</v>
      </c>
      <c r="H5492" s="26" t="s">
        <v>3883</v>
      </c>
    </row>
    <row r="5493" spans="1:8" hidden="1">
      <c r="A5493" s="889"/>
      <c r="B5493" s="47" t="s">
        <v>7731</v>
      </c>
      <c r="C5493" s="48"/>
      <c r="D5493" s="26" t="s">
        <v>7732</v>
      </c>
      <c r="F5493" s="78" t="s">
        <v>1123</v>
      </c>
      <c r="G5493" s="68">
        <f>ROUND(G5490/G5486,2)</f>
        <v>9.23</v>
      </c>
      <c r="H5493" s="26" t="s">
        <v>3039</v>
      </c>
    </row>
    <row r="5494" spans="1:8" hidden="1">
      <c r="A5494" s="889"/>
      <c r="B5494" s="47" t="s">
        <v>7733</v>
      </c>
      <c r="C5494" s="48"/>
      <c r="D5494" s="26" t="s">
        <v>7734</v>
      </c>
      <c r="G5494" s="26">
        <f>18*G5493</f>
        <v>166.14000000000001</v>
      </c>
      <c r="H5494" s="26" t="s">
        <v>3883</v>
      </c>
    </row>
    <row r="5495" spans="1:8" hidden="1">
      <c r="A5495" s="889"/>
      <c r="B5495" s="47" t="s">
        <v>451</v>
      </c>
      <c r="C5495" s="48"/>
    </row>
    <row r="5496" spans="1:8" hidden="1">
      <c r="A5496" s="889"/>
      <c r="B5496" s="47" t="s">
        <v>7753</v>
      </c>
      <c r="C5496" s="48"/>
    </row>
    <row r="5497" spans="1:8" hidden="1">
      <c r="A5497" s="889"/>
      <c r="B5497" s="47" t="s">
        <v>452</v>
      </c>
      <c r="C5497" s="48"/>
    </row>
    <row r="5498" spans="1:8" hidden="1">
      <c r="A5498" s="889"/>
      <c r="B5498" s="47" t="s">
        <v>4375</v>
      </c>
      <c r="C5498" s="48"/>
      <c r="G5498" s="68">
        <f>G5490</f>
        <v>24.92</v>
      </c>
      <c r="H5498" s="26" t="s">
        <v>3032</v>
      </c>
    </row>
    <row r="5499" spans="1:8" hidden="1">
      <c r="A5499" s="847"/>
      <c r="B5499" s="78"/>
      <c r="C5499" s="48"/>
    </row>
    <row r="5500" spans="1:8">
      <c r="A5500" s="847"/>
      <c r="B5500" s="78"/>
      <c r="C5500" s="48"/>
    </row>
    <row r="5501" spans="1:8">
      <c r="A5501" s="847" t="s">
        <v>1907</v>
      </c>
      <c r="B5501" s="78"/>
      <c r="C5501" s="349" t="s">
        <v>2367</v>
      </c>
      <c r="E5501" s="171" t="s">
        <v>297</v>
      </c>
      <c r="F5501" s="246">
        <f>G5490</f>
        <v>24.92</v>
      </c>
      <c r="G5501" s="26" t="s">
        <v>3477</v>
      </c>
    </row>
    <row r="5502" spans="1:8">
      <c r="A5502" s="847"/>
      <c r="B5502" s="79" t="s">
        <v>2368</v>
      </c>
      <c r="C5502" s="48"/>
    </row>
    <row r="5503" spans="1:8">
      <c r="A5503" s="847"/>
      <c r="B5503" s="95" t="s">
        <v>2369</v>
      </c>
      <c r="C5503" s="350" t="s">
        <v>6374</v>
      </c>
      <c r="D5503" s="95" t="s">
        <v>2370</v>
      </c>
      <c r="E5503" s="95" t="s">
        <v>1166</v>
      </c>
      <c r="F5503" s="95" t="s">
        <v>2371</v>
      </c>
      <c r="G5503" s="95" t="s">
        <v>2372</v>
      </c>
    </row>
    <row r="5504" spans="1:8">
      <c r="A5504" s="847"/>
      <c r="B5504" s="114"/>
      <c r="C5504" s="351"/>
      <c r="D5504" s="114"/>
      <c r="E5504" s="114"/>
      <c r="F5504" s="114" t="s">
        <v>3485</v>
      </c>
      <c r="G5504" s="114" t="s">
        <v>3485</v>
      </c>
    </row>
    <row r="5505" spans="1:9">
      <c r="A5505" s="847"/>
      <c r="B5505" s="95">
        <v>1</v>
      </c>
      <c r="C5505" s="86" t="s">
        <v>1048</v>
      </c>
      <c r="D5505" s="95" t="s">
        <v>3478</v>
      </c>
      <c r="E5505" s="107">
        <f>ROUND(290*F5501,2)</f>
        <v>7226.8</v>
      </c>
      <c r="F5505" s="68">
        <f>'BASIC DATA'!$D$32/1000</f>
        <v>5.35</v>
      </c>
      <c r="G5505" s="179">
        <f t="shared" ref="G5505:G5513" si="81">F5505*E5505</f>
        <v>38663.379999999997</v>
      </c>
    </row>
    <row r="5506" spans="1:9" ht="36">
      <c r="A5506" s="847"/>
      <c r="B5506" s="152"/>
      <c r="C5506" s="86" t="s">
        <v>1049</v>
      </c>
      <c r="D5506" s="105" t="s">
        <v>3478</v>
      </c>
      <c r="E5506" s="210">
        <f>5*F5501</f>
        <v>124.60000000000001</v>
      </c>
      <c r="F5506" s="68">
        <f>'BASIC DATA'!$D$32/1000</f>
        <v>5.35</v>
      </c>
      <c r="G5506" s="210">
        <f t="shared" si="81"/>
        <v>666.61</v>
      </c>
    </row>
    <row r="5507" spans="1:9">
      <c r="A5507" s="847"/>
      <c r="B5507" s="105">
        <v>2</v>
      </c>
      <c r="C5507" s="86" t="s">
        <v>6996</v>
      </c>
      <c r="D5507" s="105" t="s">
        <v>3477</v>
      </c>
      <c r="E5507" s="190">
        <f>0.9*0.5*F5501</f>
        <v>11.214</v>
      </c>
      <c r="F5507" s="75">
        <f>'BASIC DATA'!$D$36</f>
        <v>1175</v>
      </c>
      <c r="G5507" s="210">
        <f t="shared" si="81"/>
        <v>13176.45</v>
      </c>
    </row>
    <row r="5508" spans="1:9">
      <c r="A5508" s="847"/>
      <c r="B5508" s="152"/>
      <c r="C5508" s="86" t="s">
        <v>6995</v>
      </c>
      <c r="D5508" s="105" t="s">
        <v>3477</v>
      </c>
      <c r="E5508" s="190">
        <f>0.9*0.3*F5501</f>
        <v>6.7284000000000006</v>
      </c>
      <c r="F5508" s="75">
        <f>'BASIC DATA'!$D$35</f>
        <v>1225</v>
      </c>
      <c r="G5508" s="210">
        <f t="shared" si="81"/>
        <v>8242.2900000000009</v>
      </c>
    </row>
    <row r="5509" spans="1:9">
      <c r="A5509" s="847"/>
      <c r="B5509" s="152"/>
      <c r="C5509" s="86" t="s">
        <v>1050</v>
      </c>
      <c r="D5509" s="105" t="s">
        <v>3477</v>
      </c>
      <c r="E5509" s="190">
        <f>0.9*0.2*F5501</f>
        <v>4.4856000000000007</v>
      </c>
      <c r="F5509" s="75">
        <f>'BASIC DATA'!$D$34</f>
        <v>900</v>
      </c>
      <c r="G5509" s="190">
        <f t="shared" si="81"/>
        <v>4037.0400000000004</v>
      </c>
    </row>
    <row r="5510" spans="1:9">
      <c r="A5510" s="848"/>
      <c r="B5510" s="240">
        <v>3</v>
      </c>
      <c r="C5510" s="392" t="s">
        <v>7941</v>
      </c>
      <c r="D5510" s="240" t="s">
        <v>3477</v>
      </c>
      <c r="E5510" s="255">
        <f>0.4*F5501</f>
        <v>9.9680000000000017</v>
      </c>
      <c r="F5510" s="439">
        <f>'BASIC DATA'!$D$55</f>
        <v>95</v>
      </c>
      <c r="G5510" s="254">
        <f t="shared" si="81"/>
        <v>946.96000000000015</v>
      </c>
      <c r="H5510" s="61"/>
      <c r="I5510" s="61"/>
    </row>
    <row r="5511" spans="1:9">
      <c r="A5511" s="848"/>
      <c r="B5511" s="240">
        <v>4</v>
      </c>
      <c r="C5511" s="392" t="s">
        <v>523</v>
      </c>
      <c r="D5511" s="240" t="s">
        <v>3478</v>
      </c>
      <c r="E5511" s="190">
        <f>0.4%*E5505</f>
        <v>28.9072</v>
      </c>
      <c r="F5511" s="439">
        <f>'BASIC DATA'!$D$99</f>
        <v>55</v>
      </c>
      <c r="G5511" s="255">
        <f t="shared" si="81"/>
        <v>1589.896</v>
      </c>
      <c r="H5511" s="61"/>
      <c r="I5511" s="61"/>
    </row>
    <row r="5512" spans="1:9">
      <c r="A5512" s="847"/>
      <c r="B5512" s="105">
        <v>5</v>
      </c>
      <c r="C5512" s="86" t="s">
        <v>524</v>
      </c>
      <c r="D5512" s="105" t="s">
        <v>3479</v>
      </c>
      <c r="E5512" s="210">
        <f>G5494</f>
        <v>166.14000000000001</v>
      </c>
      <c r="F5512" s="294">
        <f>IF(F5511=0,0,G5068)</f>
        <v>27.616319444444443</v>
      </c>
      <c r="G5512" s="190">
        <f t="shared" si="81"/>
        <v>4588.1753125000005</v>
      </c>
    </row>
    <row r="5513" spans="1:9">
      <c r="A5513" s="847"/>
      <c r="B5513" s="114">
        <v>6</v>
      </c>
      <c r="C5513" s="355" t="s">
        <v>2373</v>
      </c>
      <c r="D5513" s="114" t="s">
        <v>2173</v>
      </c>
      <c r="E5513" s="191">
        <v>2</v>
      </c>
      <c r="F5513" s="75">
        <f>'BASIC DATA'!$D$359</f>
        <v>30</v>
      </c>
      <c r="G5513" s="190">
        <f t="shared" si="81"/>
        <v>60</v>
      </c>
    </row>
    <row r="5514" spans="1:9">
      <c r="A5514" s="847"/>
      <c r="B5514" s="92"/>
      <c r="C5514" s="353" t="s">
        <v>2376</v>
      </c>
      <c r="D5514" s="159"/>
      <c r="E5514" s="238"/>
      <c r="F5514" s="236" t="s">
        <v>1698</v>
      </c>
      <c r="G5514" s="318">
        <f>SUM(G5505:G5513)</f>
        <v>71970.8013125</v>
      </c>
    </row>
    <row r="5515" spans="1:9">
      <c r="A5515" s="847"/>
      <c r="B5515" s="78"/>
      <c r="C5515" s="48"/>
    </row>
    <row r="5516" spans="1:9">
      <c r="A5516" s="847"/>
      <c r="B5516" s="79" t="s">
        <v>2377</v>
      </c>
      <c r="C5516" s="48"/>
    </row>
    <row r="5517" spans="1:9">
      <c r="A5517" s="847"/>
      <c r="B5517" s="95" t="s">
        <v>2369</v>
      </c>
      <c r="C5517" s="350" t="s">
        <v>2378</v>
      </c>
      <c r="D5517" s="95" t="s">
        <v>2370</v>
      </c>
      <c r="E5517" s="95" t="s">
        <v>1166</v>
      </c>
      <c r="F5517" s="95" t="s">
        <v>2371</v>
      </c>
      <c r="G5517" s="95" t="s">
        <v>2372</v>
      </c>
    </row>
    <row r="5518" spans="1:9">
      <c r="A5518" s="847"/>
      <c r="B5518" s="114"/>
      <c r="C5518" s="351"/>
      <c r="D5518" s="114"/>
      <c r="E5518" s="114"/>
      <c r="F5518" s="114" t="s">
        <v>3485</v>
      </c>
      <c r="G5518" s="114" t="s">
        <v>3485</v>
      </c>
    </row>
    <row r="5519" spans="1:9" ht="36">
      <c r="A5519" s="847"/>
      <c r="B5519" s="95">
        <v>1</v>
      </c>
      <c r="C5519" s="86" t="s">
        <v>525</v>
      </c>
      <c r="D5519" s="95" t="s">
        <v>2374</v>
      </c>
      <c r="E5519" s="220">
        <v>16</v>
      </c>
      <c r="F5519" s="214">
        <f>'HIRE CHARGES'!$D$509</f>
        <v>92.7</v>
      </c>
      <c r="G5519" s="179">
        <f t="shared" ref="G5519:G5526" si="82">F5519*E5519</f>
        <v>1483.2</v>
      </c>
    </row>
    <row r="5520" spans="1:9">
      <c r="A5520" s="847"/>
      <c r="B5520" s="152"/>
      <c r="C5520" s="86" t="s">
        <v>2379</v>
      </c>
      <c r="D5520" s="105" t="s">
        <v>2374</v>
      </c>
      <c r="E5520" s="220">
        <v>16</v>
      </c>
      <c r="F5520" s="214">
        <f>'HIRE CHARGES'!$E$509</f>
        <v>158.69999999999999</v>
      </c>
      <c r="G5520" s="190">
        <f t="shared" si="82"/>
        <v>2539.1999999999998</v>
      </c>
    </row>
    <row r="5521" spans="1:7">
      <c r="A5521" s="847"/>
      <c r="B5521" s="105">
        <v>2</v>
      </c>
      <c r="C5521" s="86" t="s">
        <v>189</v>
      </c>
      <c r="D5521" s="105" t="s">
        <v>2374</v>
      </c>
      <c r="E5521" s="220">
        <v>0.5</v>
      </c>
      <c r="F5521" s="214">
        <f>'HIRE CHARGES'!$D$517</f>
        <v>10.199999999999999</v>
      </c>
      <c r="G5521" s="190">
        <f t="shared" si="82"/>
        <v>5.0999999999999996</v>
      </c>
    </row>
    <row r="5522" spans="1:7">
      <c r="A5522" s="847"/>
      <c r="B5522" s="152"/>
      <c r="C5522" s="86" t="s">
        <v>2379</v>
      </c>
      <c r="D5522" s="105" t="s">
        <v>2374</v>
      </c>
      <c r="E5522" s="220">
        <v>0.5</v>
      </c>
      <c r="F5522" s="214">
        <f>'HIRE CHARGES'!$E$517</f>
        <v>79.3</v>
      </c>
      <c r="G5522" s="190">
        <f t="shared" si="82"/>
        <v>39.65</v>
      </c>
    </row>
    <row r="5523" spans="1:7">
      <c r="A5523" s="847"/>
      <c r="B5523" s="105">
        <v>3</v>
      </c>
      <c r="C5523" s="86" t="s">
        <v>6286</v>
      </c>
      <c r="D5523" s="105" t="s">
        <v>2374</v>
      </c>
      <c r="E5523" s="220">
        <v>1</v>
      </c>
      <c r="F5523" s="214">
        <f>'HIRE CHARGES'!$D$555</f>
        <v>402.5</v>
      </c>
      <c r="G5523" s="190">
        <f t="shared" si="82"/>
        <v>402.5</v>
      </c>
    </row>
    <row r="5524" spans="1:7">
      <c r="A5524" s="847"/>
      <c r="B5524" s="152"/>
      <c r="C5524" s="86" t="s">
        <v>2379</v>
      </c>
      <c r="D5524" s="105" t="s">
        <v>2374</v>
      </c>
      <c r="E5524" s="220">
        <v>1</v>
      </c>
      <c r="F5524" s="214">
        <f>'HIRE CHARGES'!$E$555</f>
        <v>299.89999999999998</v>
      </c>
      <c r="G5524" s="190">
        <f t="shared" si="82"/>
        <v>299.89999999999998</v>
      </c>
    </row>
    <row r="5525" spans="1:7" ht="36">
      <c r="A5525" s="847"/>
      <c r="B5525" s="105">
        <v>4</v>
      </c>
      <c r="C5525" s="86" t="s">
        <v>526</v>
      </c>
      <c r="D5525" s="105" t="s">
        <v>2374</v>
      </c>
      <c r="E5525" s="220">
        <v>16</v>
      </c>
      <c r="F5525" s="214">
        <f>'HIRE CHARGES'!$D$531</f>
        <v>7.6</v>
      </c>
      <c r="G5525" s="190">
        <f t="shared" si="82"/>
        <v>121.6</v>
      </c>
    </row>
    <row r="5526" spans="1:7">
      <c r="A5526" s="847"/>
      <c r="B5526" s="116"/>
      <c r="C5526" s="86" t="s">
        <v>2379</v>
      </c>
      <c r="D5526" s="114" t="s">
        <v>2374</v>
      </c>
      <c r="E5526" s="220">
        <v>16</v>
      </c>
      <c r="F5526" s="214">
        <f>'HIRE CHARGES'!$E$531</f>
        <v>18.8</v>
      </c>
      <c r="G5526" s="182">
        <f t="shared" si="82"/>
        <v>300.8</v>
      </c>
    </row>
    <row r="5527" spans="1:7">
      <c r="A5527" s="847"/>
      <c r="B5527" s="176"/>
      <c r="C5527" s="357" t="s">
        <v>2380</v>
      </c>
      <c r="D5527" s="174"/>
      <c r="E5527" s="192"/>
      <c r="F5527" s="236" t="s">
        <v>1698</v>
      </c>
      <c r="G5527" s="354">
        <f>SUM(G5519:G5526)</f>
        <v>5191.95</v>
      </c>
    </row>
    <row r="5528" spans="1:7">
      <c r="A5528" s="847"/>
      <c r="B5528" s="78"/>
      <c r="C5528" s="48"/>
    </row>
    <row r="5529" spans="1:7">
      <c r="A5529" s="847"/>
      <c r="B5529" s="79" t="s">
        <v>2381</v>
      </c>
      <c r="C5529" s="48"/>
    </row>
    <row r="5530" spans="1:7">
      <c r="A5530" s="847"/>
      <c r="B5530" s="95" t="s">
        <v>2369</v>
      </c>
      <c r="C5530" s="350" t="s">
        <v>2378</v>
      </c>
      <c r="D5530" s="95" t="s">
        <v>2370</v>
      </c>
      <c r="E5530" s="95" t="s">
        <v>1166</v>
      </c>
      <c r="F5530" s="95" t="s">
        <v>2371</v>
      </c>
      <c r="G5530" s="95" t="s">
        <v>2372</v>
      </c>
    </row>
    <row r="5531" spans="1:7">
      <c r="A5531" s="847"/>
      <c r="B5531" s="114"/>
      <c r="C5531" s="351"/>
      <c r="D5531" s="105"/>
      <c r="E5531" s="114"/>
      <c r="F5531" s="114" t="s">
        <v>3485</v>
      </c>
      <c r="G5531" s="114" t="s">
        <v>3485</v>
      </c>
    </row>
    <row r="5532" spans="1:7">
      <c r="A5532" s="847"/>
      <c r="B5532" s="105">
        <v>1</v>
      </c>
      <c r="C5532" s="86" t="s">
        <v>527</v>
      </c>
      <c r="D5532" s="95" t="s">
        <v>2374</v>
      </c>
      <c r="E5532" s="207">
        <v>16</v>
      </c>
      <c r="F5532" s="214">
        <f>'HIRE CHARGES'!$F$509</f>
        <v>219.7</v>
      </c>
      <c r="G5532" s="107">
        <f t="shared" ref="G5532:G5538" si="83">F5532*E5532</f>
        <v>3515.2</v>
      </c>
    </row>
    <row r="5533" spans="1:7">
      <c r="A5533" s="847"/>
      <c r="B5533" s="105">
        <v>2</v>
      </c>
      <c r="C5533" s="86" t="s">
        <v>999</v>
      </c>
      <c r="D5533" s="105" t="s">
        <v>2374</v>
      </c>
      <c r="E5533" s="207">
        <v>0.5</v>
      </c>
      <c r="F5533" s="214">
        <f>'HIRE CHARGES'!$F$517</f>
        <v>111.1</v>
      </c>
      <c r="G5533" s="190">
        <f t="shared" si="83"/>
        <v>55.55</v>
      </c>
    </row>
    <row r="5534" spans="1:7">
      <c r="A5534" s="847"/>
      <c r="B5534" s="105">
        <v>3</v>
      </c>
      <c r="C5534" s="86" t="s">
        <v>1000</v>
      </c>
      <c r="D5534" s="105" t="s">
        <v>2374</v>
      </c>
      <c r="E5534" s="207">
        <v>1</v>
      </c>
      <c r="F5534" s="190">
        <f>'HIRE CHARGES'!$F$555</f>
        <v>177.5</v>
      </c>
      <c r="G5534" s="210">
        <f t="shared" si="83"/>
        <v>177.5</v>
      </c>
    </row>
    <row r="5535" spans="1:7">
      <c r="A5535" s="847"/>
      <c r="B5535" s="105">
        <v>4</v>
      </c>
      <c r="C5535" s="86" t="s">
        <v>5148</v>
      </c>
      <c r="D5535" s="105" t="s">
        <v>2374</v>
      </c>
      <c r="E5535" s="207">
        <v>16</v>
      </c>
      <c r="F5535" s="214">
        <f>'HIRE CHARGES'!$F$531</f>
        <v>158.19999999999999</v>
      </c>
      <c r="G5535" s="190">
        <f t="shared" si="83"/>
        <v>2531.1999999999998</v>
      </c>
    </row>
    <row r="5536" spans="1:7">
      <c r="A5536" s="847"/>
      <c r="B5536" s="105">
        <v>5</v>
      </c>
      <c r="C5536" s="86" t="s">
        <v>440</v>
      </c>
      <c r="D5536" s="105" t="s">
        <v>1172</v>
      </c>
      <c r="E5536" s="207">
        <v>2</v>
      </c>
      <c r="F5536" s="190">
        <f>'BASIC DATA'!$C$474</f>
        <v>445</v>
      </c>
      <c r="G5536" s="210">
        <f t="shared" si="83"/>
        <v>890</v>
      </c>
    </row>
    <row r="5537" spans="1:7">
      <c r="A5537" s="847"/>
      <c r="B5537" s="105">
        <v>6</v>
      </c>
      <c r="C5537" s="86" t="s">
        <v>4206</v>
      </c>
      <c r="D5537" s="105" t="s">
        <v>1172</v>
      </c>
      <c r="E5537" s="207">
        <v>1</v>
      </c>
      <c r="F5537" s="190">
        <f>'BASIC DATA'!$C$473</f>
        <v>450</v>
      </c>
      <c r="G5537" s="210">
        <f t="shared" si="83"/>
        <v>450</v>
      </c>
    </row>
    <row r="5538" spans="1:7">
      <c r="A5538" s="847"/>
      <c r="B5538" s="105">
        <v>7</v>
      </c>
      <c r="C5538" s="86" t="s">
        <v>1066</v>
      </c>
      <c r="D5538" s="105" t="s">
        <v>1172</v>
      </c>
      <c r="E5538" s="207">
        <v>1</v>
      </c>
      <c r="F5538" s="190">
        <f>'BASIC DATA'!$C$475</f>
        <v>475</v>
      </c>
      <c r="G5538" s="210">
        <f t="shared" si="83"/>
        <v>475</v>
      </c>
    </row>
    <row r="5539" spans="1:7">
      <c r="A5539" s="847"/>
      <c r="B5539" s="105">
        <v>8</v>
      </c>
      <c r="C5539" s="86" t="s">
        <v>2697</v>
      </c>
      <c r="D5539" s="105"/>
      <c r="E5539" s="207"/>
      <c r="F5539" s="190"/>
      <c r="G5539" s="190"/>
    </row>
    <row r="5540" spans="1:7">
      <c r="A5540" s="847"/>
      <c r="B5540" s="152"/>
      <c r="C5540" s="86" t="s">
        <v>441</v>
      </c>
      <c r="D5540" s="105" t="s">
        <v>1172</v>
      </c>
      <c r="E5540" s="207">
        <v>22</v>
      </c>
      <c r="F5540" s="190">
        <f>'BASIC DATA'!$C$552</f>
        <v>350</v>
      </c>
      <c r="G5540" s="210">
        <f>F5540*E5540</f>
        <v>7700</v>
      </c>
    </row>
    <row r="5541" spans="1:7">
      <c r="A5541" s="847"/>
      <c r="B5541" s="152"/>
      <c r="C5541" s="86" t="s">
        <v>442</v>
      </c>
      <c r="D5541" s="105" t="s">
        <v>1172</v>
      </c>
      <c r="E5541" s="207">
        <v>8</v>
      </c>
      <c r="F5541" s="190">
        <f>'BASIC DATA'!$C$552</f>
        <v>350</v>
      </c>
      <c r="G5541" s="210">
        <f>F5541*E5541</f>
        <v>2800</v>
      </c>
    </row>
    <row r="5542" spans="1:7">
      <c r="A5542" s="847"/>
      <c r="B5542" s="152"/>
      <c r="C5542" s="86" t="s">
        <v>5151</v>
      </c>
      <c r="D5542" s="105" t="s">
        <v>1172</v>
      </c>
      <c r="E5542" s="207">
        <v>6</v>
      </c>
      <c r="F5542" s="190">
        <f>'BASIC DATA'!$C$552</f>
        <v>350</v>
      </c>
      <c r="G5542" s="210">
        <f>F5542*E5542</f>
        <v>2100</v>
      </c>
    </row>
    <row r="5543" spans="1:7">
      <c r="A5543" s="847"/>
      <c r="B5543" s="152"/>
      <c r="C5543" s="86" t="s">
        <v>444</v>
      </c>
      <c r="D5543" s="105" t="s">
        <v>1172</v>
      </c>
      <c r="E5543" s="207">
        <f>F5501</f>
        <v>24.92</v>
      </c>
      <c r="F5543" s="190">
        <f>'BASIC DATA'!$C$552</f>
        <v>350</v>
      </c>
      <c r="G5543" s="210">
        <f>F5543*E5543</f>
        <v>8722</v>
      </c>
    </row>
    <row r="5544" spans="1:7">
      <c r="A5544" s="847"/>
      <c r="B5544" s="152"/>
      <c r="C5544" s="86" t="s">
        <v>445</v>
      </c>
      <c r="D5544" s="105" t="s">
        <v>1172</v>
      </c>
      <c r="E5544" s="207">
        <v>2</v>
      </c>
      <c r="F5544" s="190">
        <f>'BASIC DATA'!$C$552</f>
        <v>350</v>
      </c>
      <c r="G5544" s="191">
        <f>F5544*E5544</f>
        <v>700</v>
      </c>
    </row>
    <row r="5545" spans="1:7">
      <c r="A5545" s="847"/>
      <c r="B5545" s="92"/>
      <c r="C5545" s="353" t="s">
        <v>1174</v>
      </c>
      <c r="D5545" s="159"/>
      <c r="E5545" s="238"/>
      <c r="F5545" s="236" t="s">
        <v>1698</v>
      </c>
      <c r="G5545" s="318">
        <f>SUM(G5532:G5544)</f>
        <v>30116.45</v>
      </c>
    </row>
    <row r="5546" spans="1:7">
      <c r="A5546" s="847"/>
      <c r="B5546" s="359" t="s">
        <v>5948</v>
      </c>
      <c r="C5546" s="48"/>
      <c r="D5546" s="31"/>
      <c r="E5546" s="85">
        <f>ROUND(G5545/F5501,1)</f>
        <v>1208.5</v>
      </c>
    </row>
    <row r="5547" spans="1:7">
      <c r="A5547" s="847"/>
      <c r="B5547" s="359" t="s">
        <v>3163</v>
      </c>
      <c r="C5547" s="48"/>
      <c r="D5547" s="922">
        <f>'BASIC DATA'!$C$577</f>
        <v>0.13614999999999999</v>
      </c>
      <c r="E5547" s="85">
        <f>ROUND(E5546*D5547,1)</f>
        <v>164.5</v>
      </c>
    </row>
    <row r="5548" spans="1:7">
      <c r="A5548" s="847"/>
      <c r="B5548" s="359" t="s">
        <v>5949</v>
      </c>
      <c r="C5548" s="48"/>
      <c r="D5548" s="31"/>
      <c r="E5548" s="199">
        <f>ROUND(E5547+E5546,1)</f>
        <v>1373</v>
      </c>
    </row>
    <row r="5549" spans="1:7">
      <c r="A5549" s="847"/>
      <c r="C5549" s="48"/>
    </row>
    <row r="5550" spans="1:7">
      <c r="A5550" s="847"/>
      <c r="B5550" s="162" t="s">
        <v>1175</v>
      </c>
      <c r="C5550" s="48"/>
    </row>
    <row r="5551" spans="1:7">
      <c r="A5551" s="847"/>
      <c r="B5551" s="47" t="s">
        <v>1176</v>
      </c>
      <c r="C5551" s="48"/>
      <c r="F5551" s="171" t="s">
        <v>1698</v>
      </c>
      <c r="G5551" s="68">
        <f>G5514</f>
        <v>71970.8013125</v>
      </c>
    </row>
    <row r="5552" spans="1:7">
      <c r="A5552" s="847"/>
      <c r="B5552" s="47" t="s">
        <v>1186</v>
      </c>
      <c r="C5552" s="48"/>
      <c r="F5552" s="171" t="s">
        <v>1698</v>
      </c>
      <c r="G5552" s="68">
        <f>G5527</f>
        <v>5191.95</v>
      </c>
    </row>
    <row r="5553" spans="1:9">
      <c r="A5553" s="847"/>
      <c r="B5553" s="47" t="s">
        <v>2660</v>
      </c>
      <c r="C5553" s="48"/>
      <c r="F5553" s="171" t="s">
        <v>1698</v>
      </c>
      <c r="G5553" s="75">
        <f>G5545</f>
        <v>30116.45</v>
      </c>
    </row>
    <row r="5554" spans="1:9">
      <c r="A5554" s="847"/>
      <c r="B5554" s="78"/>
      <c r="C5554" s="48"/>
      <c r="E5554" s="261"/>
      <c r="F5554" s="171" t="s">
        <v>302</v>
      </c>
      <c r="G5554" s="205">
        <f>SUM(G5551:G5553)</f>
        <v>107279.20131249999</v>
      </c>
    </row>
    <row r="5555" spans="1:9" ht="34.5" customHeight="1">
      <c r="A5555" s="847"/>
      <c r="B5555" s="1207" t="s">
        <v>1379</v>
      </c>
      <c r="C5555" s="1207"/>
      <c r="D5555" s="1207"/>
      <c r="E5555" s="922">
        <f>'BASIC DATA'!$C$577</f>
        <v>0.13614999999999999</v>
      </c>
      <c r="F5555" s="171" t="s">
        <v>1698</v>
      </c>
      <c r="G5555" s="31">
        <f>ROUND(G5554*E5555,2)</f>
        <v>14606.06</v>
      </c>
    </row>
    <row r="5556" spans="1:9">
      <c r="A5556" s="847"/>
      <c r="B5556" s="47" t="s">
        <v>1191</v>
      </c>
      <c r="C5556" s="48"/>
      <c r="D5556" s="68">
        <f>F5501</f>
        <v>24.92</v>
      </c>
      <c r="E5556" s="68" t="str">
        <f>G5501</f>
        <v>cum</v>
      </c>
      <c r="F5556" s="171" t="s">
        <v>1698</v>
      </c>
      <c r="G5556" s="211">
        <f>G5555+G5554</f>
        <v>121885.26131249999</v>
      </c>
    </row>
    <row r="5557" spans="1:9">
      <c r="A5557" s="847"/>
      <c r="B5557" s="79" t="s">
        <v>1584</v>
      </c>
      <c r="C5557" s="404" t="str">
        <f>E5556</f>
        <v>cum</v>
      </c>
      <c r="D5557" s="26" t="s">
        <v>7735</v>
      </c>
      <c r="F5557" s="171" t="s">
        <v>4108</v>
      </c>
      <c r="G5557" s="211">
        <f>ROUND(G5556/D5556,1)</f>
        <v>4891.1000000000004</v>
      </c>
    </row>
    <row r="5558" spans="1:9">
      <c r="A5558" s="847"/>
      <c r="B5558" s="78"/>
      <c r="C5558" s="48"/>
    </row>
    <row r="5559" spans="1:9">
      <c r="A5559" s="847"/>
      <c r="B5559" s="78"/>
      <c r="C5559" s="48"/>
    </row>
    <row r="5560" spans="1:9" ht="36.75">
      <c r="A5560" s="841" t="s">
        <v>7482</v>
      </c>
      <c r="B5560" s="47" t="s">
        <v>8799</v>
      </c>
      <c r="C5560" s="48"/>
    </row>
    <row r="5561" spans="1:9" ht="18.75">
      <c r="A5561" s="889"/>
      <c r="B5561" s="47" t="s">
        <v>8800</v>
      </c>
      <c r="C5561" s="48"/>
    </row>
    <row r="5562" spans="1:9">
      <c r="A5562" s="889"/>
      <c r="B5562" s="47" t="s">
        <v>8801</v>
      </c>
      <c r="C5562" s="48"/>
    </row>
    <row r="5563" spans="1:9">
      <c r="A5563" s="895"/>
      <c r="B5563" s="47" t="s">
        <v>5</v>
      </c>
      <c r="C5563" s="48"/>
    </row>
    <row r="5564" spans="1:9">
      <c r="A5564" s="889"/>
      <c r="B5564" s="47" t="s">
        <v>6</v>
      </c>
      <c r="C5564" s="48"/>
    </row>
    <row r="5565" spans="1:9" ht="18.75">
      <c r="A5565" s="889"/>
      <c r="B5565" s="47" t="s">
        <v>8802</v>
      </c>
      <c r="C5565" s="48"/>
    </row>
    <row r="5566" spans="1:9">
      <c r="A5566" s="889"/>
      <c r="B5566" s="162" t="s">
        <v>7754</v>
      </c>
      <c r="C5566" s="48"/>
    </row>
    <row r="5567" spans="1:9">
      <c r="A5567" s="891"/>
      <c r="B5567" s="588" t="s">
        <v>5382</v>
      </c>
      <c r="C5567" s="49"/>
      <c r="D5567" s="61"/>
      <c r="E5567" s="61"/>
      <c r="F5567" s="61"/>
      <c r="G5567" s="61"/>
      <c r="H5567" s="61"/>
      <c r="I5567" s="61"/>
    </row>
    <row r="5568" spans="1:9">
      <c r="A5568" s="889"/>
      <c r="C5568" s="48"/>
    </row>
    <row r="5569" spans="1:8" hidden="1">
      <c r="A5569" s="889" t="s">
        <v>3984</v>
      </c>
      <c r="B5569" s="47" t="s">
        <v>5780</v>
      </c>
      <c r="C5569" s="48"/>
    </row>
    <row r="5570" spans="1:8" hidden="1">
      <c r="A5570" s="889"/>
      <c r="B5570" s="47" t="s">
        <v>1133</v>
      </c>
      <c r="C5570" s="48"/>
      <c r="E5570" s="26" t="s">
        <v>2231</v>
      </c>
    </row>
    <row r="5571" spans="1:8" hidden="1">
      <c r="A5571" s="889"/>
      <c r="B5571" s="47" t="s">
        <v>7755</v>
      </c>
      <c r="C5571" s="48"/>
      <c r="E5571" s="26" t="s">
        <v>7756</v>
      </c>
    </row>
    <row r="5572" spans="1:8" hidden="1">
      <c r="A5572" s="889"/>
      <c r="B5572" s="47" t="s">
        <v>7757</v>
      </c>
      <c r="C5572" s="48"/>
      <c r="E5572" s="68">
        <f>100*5*8/300</f>
        <v>13.333333333333334</v>
      </c>
      <c r="F5572" s="26" t="s">
        <v>3760</v>
      </c>
    </row>
    <row r="5573" spans="1:8" hidden="1">
      <c r="B5573" s="47" t="s">
        <v>1914</v>
      </c>
      <c r="C5573" s="48"/>
    </row>
    <row r="5574" spans="1:8" hidden="1">
      <c r="B5574" s="47" t="s">
        <v>889</v>
      </c>
      <c r="C5574" s="48"/>
      <c r="G5574" s="68">
        <f>E5572*2</f>
        <v>26.666666666666668</v>
      </c>
      <c r="H5574" s="26" t="s">
        <v>6901</v>
      </c>
    </row>
    <row r="5575" spans="1:8" ht="18.75" hidden="1">
      <c r="B5575" s="47" t="s">
        <v>8803</v>
      </c>
      <c r="C5575" s="48"/>
    </row>
    <row r="5576" spans="1:8" hidden="1">
      <c r="B5576" s="47" t="s">
        <v>3306</v>
      </c>
      <c r="C5576" s="48"/>
      <c r="D5576" s="26" t="s">
        <v>448</v>
      </c>
      <c r="G5576" s="68">
        <v>1.8</v>
      </c>
      <c r="H5576" s="26" t="s">
        <v>6901</v>
      </c>
    </row>
    <row r="5577" spans="1:8" hidden="1">
      <c r="B5577" s="47" t="s">
        <v>3308</v>
      </c>
      <c r="C5577" s="48"/>
      <c r="D5577" s="26" t="s">
        <v>7758</v>
      </c>
      <c r="G5577" s="26">
        <f>G5576*8*60/G5574</f>
        <v>32.4</v>
      </c>
      <c r="H5577" s="26" t="s">
        <v>6903</v>
      </c>
    </row>
    <row r="5578" spans="1:8" hidden="1">
      <c r="B5578" s="47" t="s">
        <v>60</v>
      </c>
      <c r="C5578" s="48"/>
      <c r="G5578" s="26">
        <v>5</v>
      </c>
      <c r="H5578" s="26" t="s">
        <v>6903</v>
      </c>
    </row>
    <row r="5579" spans="1:8" hidden="1">
      <c r="B5579" s="47" t="s">
        <v>449</v>
      </c>
      <c r="C5579" s="48"/>
      <c r="G5579" s="159">
        <f>SUM(G5577:G5578)</f>
        <v>37.4</v>
      </c>
      <c r="H5579" s="26" t="s">
        <v>6903</v>
      </c>
    </row>
    <row r="5580" spans="1:8" hidden="1">
      <c r="B5580" s="47" t="s">
        <v>62</v>
      </c>
      <c r="C5580" s="48"/>
      <c r="D5580" s="26" t="s">
        <v>7759</v>
      </c>
      <c r="G5580" s="26">
        <f>ROUND(8*60/G5579*G5576,2)</f>
        <v>23.1</v>
      </c>
      <c r="H5580" s="26" t="s">
        <v>6901</v>
      </c>
    </row>
    <row r="5581" spans="1:8" hidden="1">
      <c r="B5581" s="47" t="s">
        <v>887</v>
      </c>
      <c r="C5581" s="48"/>
    </row>
    <row r="5582" spans="1:8" hidden="1">
      <c r="B5582" s="47" t="s">
        <v>888</v>
      </c>
      <c r="C5582" s="48"/>
      <c r="G5582" s="68">
        <v>18</v>
      </c>
      <c r="H5582" s="26" t="s">
        <v>3883</v>
      </c>
    </row>
    <row r="5583" spans="1:8" hidden="1">
      <c r="B5583" s="47" t="s">
        <v>7760</v>
      </c>
      <c r="C5583" s="48"/>
      <c r="D5583" s="26" t="s">
        <v>7761</v>
      </c>
      <c r="G5583" s="68">
        <f>G5580/G5576</f>
        <v>12.833333333333334</v>
      </c>
      <c r="H5583" s="26" t="s">
        <v>3039</v>
      </c>
    </row>
    <row r="5584" spans="1:8" hidden="1">
      <c r="B5584" s="47" t="s">
        <v>7762</v>
      </c>
      <c r="C5584" s="48"/>
      <c r="D5584" s="26" t="s">
        <v>7763</v>
      </c>
      <c r="G5584" s="26">
        <f>G5582*G5583</f>
        <v>231</v>
      </c>
      <c r="H5584" s="26" t="s">
        <v>3883</v>
      </c>
    </row>
    <row r="5585" spans="1:9" hidden="1">
      <c r="B5585" s="47" t="s">
        <v>451</v>
      </c>
      <c r="C5585" s="48"/>
    </row>
    <row r="5586" spans="1:9" hidden="1">
      <c r="B5586" s="47" t="s">
        <v>7753</v>
      </c>
      <c r="C5586" s="48"/>
    </row>
    <row r="5587" spans="1:9" hidden="1">
      <c r="B5587" s="47" t="s">
        <v>452</v>
      </c>
      <c r="C5587" s="48"/>
    </row>
    <row r="5588" spans="1:9" hidden="1">
      <c r="B5588" s="47" t="s">
        <v>4376</v>
      </c>
      <c r="C5588" s="48"/>
      <c r="G5588" s="26">
        <f>G5580</f>
        <v>23.1</v>
      </c>
      <c r="H5588" s="26" t="s">
        <v>3032</v>
      </c>
    </row>
    <row r="5589" spans="1:9" hidden="1">
      <c r="A5589" s="847"/>
      <c r="B5589" s="78"/>
      <c r="C5589" s="48"/>
    </row>
    <row r="5590" spans="1:9">
      <c r="A5590" s="847"/>
      <c r="B5590" s="78"/>
      <c r="C5590" s="48"/>
    </row>
    <row r="5591" spans="1:9">
      <c r="A5591" s="847" t="s">
        <v>1907</v>
      </c>
      <c r="B5591" s="78"/>
      <c r="C5591" s="349" t="s">
        <v>2367</v>
      </c>
      <c r="E5591" s="171" t="s">
        <v>297</v>
      </c>
      <c r="F5591" s="246">
        <f>G5580</f>
        <v>23.1</v>
      </c>
      <c r="G5591" s="26" t="s">
        <v>3477</v>
      </c>
    </row>
    <row r="5592" spans="1:9">
      <c r="A5592" s="847"/>
      <c r="B5592" s="79" t="s">
        <v>2368</v>
      </c>
      <c r="C5592" s="48"/>
    </row>
    <row r="5593" spans="1:9">
      <c r="A5593" s="847"/>
      <c r="B5593" s="95" t="s">
        <v>2369</v>
      </c>
      <c r="C5593" s="350" t="s">
        <v>6374</v>
      </c>
      <c r="D5593" s="95" t="s">
        <v>2370</v>
      </c>
      <c r="E5593" s="95" t="s">
        <v>1166</v>
      </c>
      <c r="F5593" s="95" t="s">
        <v>2371</v>
      </c>
      <c r="G5593" s="95" t="s">
        <v>2372</v>
      </c>
    </row>
    <row r="5594" spans="1:9">
      <c r="A5594" s="847"/>
      <c r="B5594" s="114"/>
      <c r="C5594" s="351"/>
      <c r="D5594" s="114"/>
      <c r="E5594" s="114"/>
      <c r="F5594" s="114" t="s">
        <v>3485</v>
      </c>
      <c r="G5594" s="114" t="s">
        <v>3485</v>
      </c>
    </row>
    <row r="5595" spans="1:9">
      <c r="A5595" s="847"/>
      <c r="B5595" s="95">
        <v>1</v>
      </c>
      <c r="C5595" s="86" t="s">
        <v>1048</v>
      </c>
      <c r="D5595" s="95" t="s">
        <v>3478</v>
      </c>
      <c r="E5595" s="107">
        <f>ROUND(300*F5591,2)</f>
        <v>6930</v>
      </c>
      <c r="F5595" s="179">
        <f>'BASIC DATA'!$D$32/1000</f>
        <v>5.35</v>
      </c>
      <c r="G5595" s="107">
        <f t="shared" ref="G5595:G5602" si="84">F5595*E5595</f>
        <v>37075.5</v>
      </c>
    </row>
    <row r="5596" spans="1:9" ht="36">
      <c r="A5596" s="847"/>
      <c r="B5596" s="152"/>
      <c r="C5596" s="86" t="s">
        <v>1049</v>
      </c>
      <c r="D5596" s="105" t="s">
        <v>3478</v>
      </c>
      <c r="E5596" s="210">
        <f>ROUND(5*F5591,2)</f>
        <v>115.5</v>
      </c>
      <c r="F5596" s="190">
        <f>'BASIC DATA'!$D$32/1000</f>
        <v>5.35</v>
      </c>
      <c r="G5596" s="210">
        <f t="shared" si="84"/>
        <v>617.92499999999995</v>
      </c>
    </row>
    <row r="5597" spans="1:9">
      <c r="A5597" s="847"/>
      <c r="B5597" s="105">
        <v>2</v>
      </c>
      <c r="C5597" s="86" t="s">
        <v>6995</v>
      </c>
      <c r="D5597" s="105" t="s">
        <v>3477</v>
      </c>
      <c r="E5597" s="190">
        <f>0.8*0.65*F5591</f>
        <v>12.012</v>
      </c>
      <c r="F5597" s="190">
        <f>'BASIC DATA'!$D$35</f>
        <v>1225</v>
      </c>
      <c r="G5597" s="210">
        <f t="shared" si="84"/>
        <v>14714.7</v>
      </c>
    </row>
    <row r="5598" spans="1:9">
      <c r="A5598" s="847"/>
      <c r="B5598" s="152"/>
      <c r="C5598" s="86" t="s">
        <v>1050</v>
      </c>
      <c r="D5598" s="105" t="s">
        <v>3477</v>
      </c>
      <c r="E5598" s="190">
        <f>0.8*0.35*F5591</f>
        <v>6.468</v>
      </c>
      <c r="F5598" s="190">
        <f>'BASIC DATA'!$D$34</f>
        <v>900</v>
      </c>
      <c r="G5598" s="210">
        <f t="shared" si="84"/>
        <v>5821.2</v>
      </c>
    </row>
    <row r="5599" spans="1:9">
      <c r="A5599" s="848"/>
      <c r="B5599" s="240">
        <v>3</v>
      </c>
      <c r="C5599" s="392" t="s">
        <v>7941</v>
      </c>
      <c r="D5599" s="240" t="s">
        <v>3477</v>
      </c>
      <c r="E5599" s="255">
        <f>0.45*F5591</f>
        <v>10.395000000000001</v>
      </c>
      <c r="F5599" s="266">
        <f>'BASIC DATA'!$D$55</f>
        <v>95</v>
      </c>
      <c r="G5599" s="254">
        <f t="shared" si="84"/>
        <v>987.52500000000009</v>
      </c>
      <c r="H5599" s="61"/>
      <c r="I5599" s="61"/>
    </row>
    <row r="5600" spans="1:9">
      <c r="A5600" s="847"/>
      <c r="B5600" s="105">
        <v>4</v>
      </c>
      <c r="C5600" s="86" t="s">
        <v>523</v>
      </c>
      <c r="D5600" s="105" t="s">
        <v>3478</v>
      </c>
      <c r="E5600" s="190">
        <f>0.4%*E5595</f>
        <v>27.72</v>
      </c>
      <c r="F5600" s="266">
        <f>'BASIC DATA'!$D$99</f>
        <v>55</v>
      </c>
      <c r="G5600" s="190">
        <f t="shared" si="84"/>
        <v>1524.6</v>
      </c>
    </row>
    <row r="5601" spans="1:7">
      <c r="A5601" s="847"/>
      <c r="B5601" s="105">
        <v>6</v>
      </c>
      <c r="C5601" s="86" t="s">
        <v>524</v>
      </c>
      <c r="D5601" s="105" t="s">
        <v>3479</v>
      </c>
      <c r="E5601" s="210">
        <f>G5584</f>
        <v>231</v>
      </c>
      <c r="F5601" s="214">
        <f>IF(F5600=0,0,G5068)</f>
        <v>27.616319444444443</v>
      </c>
      <c r="G5601" s="190">
        <f t="shared" si="84"/>
        <v>6379.3697916666661</v>
      </c>
    </row>
    <row r="5602" spans="1:7">
      <c r="A5602" s="847"/>
      <c r="B5602" s="114">
        <v>7</v>
      </c>
      <c r="C5602" s="401" t="s">
        <v>2373</v>
      </c>
      <c r="D5602" s="114" t="s">
        <v>2173</v>
      </c>
      <c r="E5602" s="191">
        <v>2</v>
      </c>
      <c r="F5602" s="182">
        <f>'BASIC DATA'!$D$359</f>
        <v>30</v>
      </c>
      <c r="G5602" s="191">
        <f t="shared" si="84"/>
        <v>60</v>
      </c>
    </row>
    <row r="5603" spans="1:7">
      <c r="A5603" s="847"/>
      <c r="B5603" s="92"/>
      <c r="C5603" s="353" t="s">
        <v>2376</v>
      </c>
      <c r="D5603" s="159"/>
      <c r="E5603" s="238"/>
      <c r="F5603" s="236" t="s">
        <v>1698</v>
      </c>
      <c r="G5603" s="318">
        <f>SUM(G5595:G5602)</f>
        <v>67180.819791666669</v>
      </c>
    </row>
    <row r="5604" spans="1:7">
      <c r="A5604" s="847"/>
      <c r="B5604" s="78"/>
      <c r="C5604" s="48"/>
    </row>
    <row r="5605" spans="1:7">
      <c r="A5605" s="847"/>
      <c r="B5605" s="79" t="s">
        <v>2377</v>
      </c>
      <c r="C5605" s="48"/>
    </row>
    <row r="5606" spans="1:7">
      <c r="A5606" s="847"/>
      <c r="B5606" s="95" t="s">
        <v>2369</v>
      </c>
      <c r="C5606" s="350" t="s">
        <v>2378</v>
      </c>
      <c r="D5606" s="95" t="s">
        <v>2370</v>
      </c>
      <c r="E5606" s="95" t="s">
        <v>1166</v>
      </c>
      <c r="F5606" s="95" t="s">
        <v>2371</v>
      </c>
      <c r="G5606" s="95" t="s">
        <v>2372</v>
      </c>
    </row>
    <row r="5607" spans="1:7">
      <c r="A5607" s="847"/>
      <c r="B5607" s="114"/>
      <c r="C5607" s="351"/>
      <c r="D5607" s="114"/>
      <c r="E5607" s="114"/>
      <c r="F5607" s="114" t="s">
        <v>3485</v>
      </c>
      <c r="G5607" s="114" t="s">
        <v>3485</v>
      </c>
    </row>
    <row r="5608" spans="1:7" ht="36">
      <c r="A5608" s="847"/>
      <c r="B5608" s="95">
        <v>1</v>
      </c>
      <c r="C5608" s="86" t="s">
        <v>525</v>
      </c>
      <c r="D5608" s="95" t="s">
        <v>2374</v>
      </c>
      <c r="E5608" s="212">
        <v>16</v>
      </c>
      <c r="F5608" s="214">
        <f>'HIRE CHARGES'!$D$509</f>
        <v>92.7</v>
      </c>
      <c r="G5608" s="107">
        <f t="shared" ref="G5608:G5615" si="85">F5608*E5608</f>
        <v>1483.2</v>
      </c>
    </row>
    <row r="5609" spans="1:7">
      <c r="A5609" s="847"/>
      <c r="B5609" s="152"/>
      <c r="C5609" s="86" t="s">
        <v>2379</v>
      </c>
      <c r="D5609" s="105" t="s">
        <v>2374</v>
      </c>
      <c r="E5609" s="214">
        <v>16</v>
      </c>
      <c r="F5609" s="214">
        <f>'HIRE CHARGES'!$E$509</f>
        <v>158.69999999999999</v>
      </c>
      <c r="G5609" s="210">
        <f t="shared" si="85"/>
        <v>2539.1999999999998</v>
      </c>
    </row>
    <row r="5610" spans="1:7">
      <c r="A5610" s="847"/>
      <c r="B5610" s="105">
        <v>2</v>
      </c>
      <c r="C5610" s="86" t="s">
        <v>189</v>
      </c>
      <c r="D5610" s="105" t="s">
        <v>2374</v>
      </c>
      <c r="E5610" s="214">
        <v>0.5</v>
      </c>
      <c r="F5610" s="214">
        <f>'HIRE CHARGES'!$D$517</f>
        <v>10.199999999999999</v>
      </c>
      <c r="G5610" s="210">
        <f t="shared" si="85"/>
        <v>5.0999999999999996</v>
      </c>
    </row>
    <row r="5611" spans="1:7">
      <c r="A5611" s="847"/>
      <c r="B5611" s="152"/>
      <c r="C5611" s="86" t="s">
        <v>2379</v>
      </c>
      <c r="D5611" s="105" t="s">
        <v>2374</v>
      </c>
      <c r="E5611" s="214">
        <v>0.5</v>
      </c>
      <c r="F5611" s="214">
        <f>'HIRE CHARGES'!$E$517</f>
        <v>79.3</v>
      </c>
      <c r="G5611" s="210">
        <f t="shared" si="85"/>
        <v>39.65</v>
      </c>
    </row>
    <row r="5612" spans="1:7">
      <c r="A5612" s="847"/>
      <c r="B5612" s="105">
        <v>3</v>
      </c>
      <c r="C5612" s="86" t="s">
        <v>6286</v>
      </c>
      <c r="D5612" s="105" t="s">
        <v>2374</v>
      </c>
      <c r="E5612" s="214">
        <v>1</v>
      </c>
      <c r="F5612" s="214">
        <f>'HIRE CHARGES'!$D$555</f>
        <v>402.5</v>
      </c>
      <c r="G5612" s="210">
        <f t="shared" si="85"/>
        <v>402.5</v>
      </c>
    </row>
    <row r="5613" spans="1:7">
      <c r="A5613" s="847"/>
      <c r="B5613" s="152"/>
      <c r="C5613" s="86" t="s">
        <v>2379</v>
      </c>
      <c r="D5613" s="105" t="s">
        <v>2374</v>
      </c>
      <c r="E5613" s="214">
        <v>1</v>
      </c>
      <c r="F5613" s="214">
        <f>'HIRE CHARGES'!$E$555</f>
        <v>299.89999999999998</v>
      </c>
      <c r="G5613" s="210">
        <f t="shared" si="85"/>
        <v>299.89999999999998</v>
      </c>
    </row>
    <row r="5614" spans="1:7" ht="36">
      <c r="A5614" s="847"/>
      <c r="B5614" s="105">
        <v>4</v>
      </c>
      <c r="C5614" s="86" t="s">
        <v>526</v>
      </c>
      <c r="D5614" s="105" t="s">
        <v>2374</v>
      </c>
      <c r="E5614" s="214">
        <v>16</v>
      </c>
      <c r="F5614" s="214">
        <f>'HIRE CHARGES'!$D$531</f>
        <v>7.6</v>
      </c>
      <c r="G5614" s="210">
        <f t="shared" si="85"/>
        <v>121.6</v>
      </c>
    </row>
    <row r="5615" spans="1:7">
      <c r="A5615" s="847"/>
      <c r="B5615" s="116"/>
      <c r="C5615" s="86" t="s">
        <v>2379</v>
      </c>
      <c r="D5615" s="114" t="s">
        <v>2374</v>
      </c>
      <c r="E5615" s="215">
        <v>16</v>
      </c>
      <c r="F5615" s="214">
        <f>'HIRE CHARGES'!$E$531</f>
        <v>18.8</v>
      </c>
      <c r="G5615" s="191">
        <f t="shared" si="85"/>
        <v>300.8</v>
      </c>
    </row>
    <row r="5616" spans="1:7">
      <c r="A5616" s="847"/>
      <c r="B5616" s="176"/>
      <c r="C5616" s="357" t="s">
        <v>2380</v>
      </c>
      <c r="D5616" s="174"/>
      <c r="E5616" s="192"/>
      <c r="F5616" s="236" t="s">
        <v>1698</v>
      </c>
      <c r="G5616" s="354">
        <f>SUM(G5608:G5615)</f>
        <v>5191.95</v>
      </c>
    </row>
    <row r="5617" spans="1:7">
      <c r="A5617" s="847"/>
      <c r="B5617" s="78"/>
      <c r="C5617" s="48"/>
    </row>
    <row r="5618" spans="1:7">
      <c r="A5618" s="847"/>
      <c r="B5618" s="79" t="s">
        <v>2381</v>
      </c>
      <c r="C5618" s="48"/>
    </row>
    <row r="5619" spans="1:7">
      <c r="A5619" s="847"/>
      <c r="B5619" s="95" t="s">
        <v>2369</v>
      </c>
      <c r="C5619" s="350" t="s">
        <v>2378</v>
      </c>
      <c r="D5619" s="95" t="s">
        <v>2370</v>
      </c>
      <c r="E5619" s="95" t="s">
        <v>1166</v>
      </c>
      <c r="F5619" s="95" t="s">
        <v>2371</v>
      </c>
      <c r="G5619" s="95" t="s">
        <v>2372</v>
      </c>
    </row>
    <row r="5620" spans="1:7">
      <c r="A5620" s="847"/>
      <c r="B5620" s="114"/>
      <c r="C5620" s="351"/>
      <c r="D5620" s="105"/>
      <c r="E5620" s="114"/>
      <c r="F5620" s="114" t="s">
        <v>3485</v>
      </c>
      <c r="G5620" s="114" t="s">
        <v>3485</v>
      </c>
    </row>
    <row r="5621" spans="1:7">
      <c r="A5621" s="847"/>
      <c r="B5621" s="105">
        <v>1</v>
      </c>
      <c r="C5621" s="86" t="s">
        <v>527</v>
      </c>
      <c r="D5621" s="95" t="s">
        <v>2374</v>
      </c>
      <c r="E5621" s="207">
        <v>16</v>
      </c>
      <c r="F5621" s="214">
        <f>'HIRE CHARGES'!$F$509</f>
        <v>219.7</v>
      </c>
      <c r="G5621" s="107">
        <f t="shared" ref="G5621:G5627" si="86">F5621*E5621</f>
        <v>3515.2</v>
      </c>
    </row>
    <row r="5622" spans="1:7">
      <c r="A5622" s="847"/>
      <c r="B5622" s="105">
        <v>2</v>
      </c>
      <c r="C5622" s="86" t="s">
        <v>999</v>
      </c>
      <c r="D5622" s="105" t="s">
        <v>2374</v>
      </c>
      <c r="E5622" s="207">
        <v>0.5</v>
      </c>
      <c r="F5622" s="214">
        <f>'HIRE CHARGES'!$F$517</f>
        <v>111.1</v>
      </c>
      <c r="G5622" s="210">
        <f t="shared" si="86"/>
        <v>55.55</v>
      </c>
    </row>
    <row r="5623" spans="1:7">
      <c r="A5623" s="847"/>
      <c r="B5623" s="105">
        <v>3</v>
      </c>
      <c r="C5623" s="86" t="s">
        <v>1000</v>
      </c>
      <c r="D5623" s="105" t="s">
        <v>2374</v>
      </c>
      <c r="E5623" s="207">
        <v>1</v>
      </c>
      <c r="F5623" s="190">
        <f>'HIRE CHARGES'!$F$555</f>
        <v>177.5</v>
      </c>
      <c r="G5623" s="210">
        <f t="shared" si="86"/>
        <v>177.5</v>
      </c>
    </row>
    <row r="5624" spans="1:7">
      <c r="A5624" s="847"/>
      <c r="B5624" s="105">
        <v>4</v>
      </c>
      <c r="C5624" s="86" t="s">
        <v>5148</v>
      </c>
      <c r="D5624" s="105" t="s">
        <v>2374</v>
      </c>
      <c r="E5624" s="207">
        <v>16</v>
      </c>
      <c r="F5624" s="214">
        <f>'HIRE CHARGES'!$F$531</f>
        <v>158.19999999999999</v>
      </c>
      <c r="G5624" s="210">
        <f t="shared" si="86"/>
        <v>2531.1999999999998</v>
      </c>
    </row>
    <row r="5625" spans="1:7">
      <c r="A5625" s="847"/>
      <c r="B5625" s="105">
        <v>5</v>
      </c>
      <c r="C5625" s="86" t="s">
        <v>440</v>
      </c>
      <c r="D5625" s="105" t="s">
        <v>1172</v>
      </c>
      <c r="E5625" s="207">
        <v>2</v>
      </c>
      <c r="F5625" s="190">
        <f>'BASIC DATA'!$C$474</f>
        <v>445</v>
      </c>
      <c r="G5625" s="210">
        <f t="shared" si="86"/>
        <v>890</v>
      </c>
    </row>
    <row r="5626" spans="1:7">
      <c r="A5626" s="847"/>
      <c r="B5626" s="105">
        <v>6</v>
      </c>
      <c r="C5626" s="86" t="s">
        <v>4206</v>
      </c>
      <c r="D5626" s="105" t="s">
        <v>1172</v>
      </c>
      <c r="E5626" s="207">
        <v>1</v>
      </c>
      <c r="F5626" s="190">
        <f>'BASIC DATA'!$C$473</f>
        <v>450</v>
      </c>
      <c r="G5626" s="210">
        <f t="shared" si="86"/>
        <v>450</v>
      </c>
    </row>
    <row r="5627" spans="1:7">
      <c r="A5627" s="847"/>
      <c r="B5627" s="105">
        <v>7</v>
      </c>
      <c r="C5627" s="86" t="s">
        <v>1066</v>
      </c>
      <c r="D5627" s="105" t="s">
        <v>1172</v>
      </c>
      <c r="E5627" s="207">
        <v>1</v>
      </c>
      <c r="F5627" s="190">
        <f>'BASIC DATA'!$C$475</f>
        <v>475</v>
      </c>
      <c r="G5627" s="210">
        <f t="shared" si="86"/>
        <v>475</v>
      </c>
    </row>
    <row r="5628" spans="1:7">
      <c r="A5628" s="847"/>
      <c r="B5628" s="105">
        <v>8</v>
      </c>
      <c r="C5628" s="86" t="s">
        <v>2697</v>
      </c>
      <c r="D5628" s="105"/>
      <c r="E5628" s="207"/>
      <c r="F5628" s="190"/>
      <c r="G5628" s="190"/>
    </row>
    <row r="5629" spans="1:7">
      <c r="A5629" s="847"/>
      <c r="B5629" s="152"/>
      <c r="C5629" s="86" t="s">
        <v>441</v>
      </c>
      <c r="D5629" s="105" t="s">
        <v>1172</v>
      </c>
      <c r="E5629" s="207">
        <v>22</v>
      </c>
      <c r="F5629" s="190">
        <f>'BASIC DATA'!$C$552</f>
        <v>350</v>
      </c>
      <c r="G5629" s="210">
        <f>F5629*E5629</f>
        <v>7700</v>
      </c>
    </row>
    <row r="5630" spans="1:7">
      <c r="A5630" s="847"/>
      <c r="B5630" s="152"/>
      <c r="C5630" s="86" t="s">
        <v>442</v>
      </c>
      <c r="D5630" s="105" t="s">
        <v>1172</v>
      </c>
      <c r="E5630" s="207">
        <v>8</v>
      </c>
      <c r="F5630" s="190">
        <f>'BASIC DATA'!$C$552</f>
        <v>350</v>
      </c>
      <c r="G5630" s="210">
        <f>F5630*E5630</f>
        <v>2800</v>
      </c>
    </row>
    <row r="5631" spans="1:7">
      <c r="A5631" s="847"/>
      <c r="B5631" s="152"/>
      <c r="C5631" s="86" t="s">
        <v>443</v>
      </c>
      <c r="D5631" s="105" t="s">
        <v>1172</v>
      </c>
      <c r="E5631" s="207">
        <v>6</v>
      </c>
      <c r="F5631" s="190">
        <f>'BASIC DATA'!$C$552</f>
        <v>350</v>
      </c>
      <c r="G5631" s="210">
        <f>F5631*E5631</f>
        <v>2100</v>
      </c>
    </row>
    <row r="5632" spans="1:7">
      <c r="A5632" s="847"/>
      <c r="B5632" s="152"/>
      <c r="C5632" s="86" t="s">
        <v>444</v>
      </c>
      <c r="D5632" s="105" t="s">
        <v>1172</v>
      </c>
      <c r="E5632" s="207">
        <f>F5591</f>
        <v>23.1</v>
      </c>
      <c r="F5632" s="190">
        <f>'BASIC DATA'!$C$552</f>
        <v>350</v>
      </c>
      <c r="G5632" s="210">
        <f>F5632*E5632</f>
        <v>8085.0000000000009</v>
      </c>
    </row>
    <row r="5633" spans="1:7">
      <c r="A5633" s="847"/>
      <c r="B5633" s="152"/>
      <c r="C5633" s="86" t="s">
        <v>445</v>
      </c>
      <c r="D5633" s="105" t="s">
        <v>1172</v>
      </c>
      <c r="E5633" s="207">
        <v>2</v>
      </c>
      <c r="F5633" s="190">
        <f>'BASIC DATA'!$C$552</f>
        <v>350</v>
      </c>
      <c r="G5633" s="191">
        <f>F5633*E5633</f>
        <v>700</v>
      </c>
    </row>
    <row r="5634" spans="1:7">
      <c r="A5634" s="847"/>
      <c r="B5634" s="92"/>
      <c r="C5634" s="353" t="s">
        <v>1174</v>
      </c>
      <c r="D5634" s="159"/>
      <c r="E5634" s="238"/>
      <c r="F5634" s="236" t="s">
        <v>1698</v>
      </c>
      <c r="G5634" s="318">
        <f>SUM(G5621:G5633)</f>
        <v>29479.45</v>
      </c>
    </row>
    <row r="5635" spans="1:7">
      <c r="A5635" s="847"/>
      <c r="B5635" s="359" t="s">
        <v>5948</v>
      </c>
      <c r="C5635" s="48"/>
      <c r="D5635" s="31"/>
      <c r="E5635" s="85">
        <f>ROUND(G5634/F5591,1)</f>
        <v>1276.2</v>
      </c>
    </row>
    <row r="5636" spans="1:7">
      <c r="A5636" s="847"/>
      <c r="B5636" s="359" t="s">
        <v>3163</v>
      </c>
      <c r="C5636" s="48"/>
      <c r="D5636" s="922">
        <f>'BASIC DATA'!$C$577</f>
        <v>0.13614999999999999</v>
      </c>
      <c r="E5636" s="85">
        <f>ROUND(E5635*D5636,1)</f>
        <v>173.8</v>
      </c>
    </row>
    <row r="5637" spans="1:7">
      <c r="A5637" s="847"/>
      <c r="B5637" s="359" t="s">
        <v>5949</v>
      </c>
      <c r="C5637" s="48"/>
      <c r="D5637" s="31"/>
      <c r="E5637" s="199">
        <f>ROUND(E5636+E5635,1)</f>
        <v>1450</v>
      </c>
    </row>
    <row r="5638" spans="1:7">
      <c r="A5638" s="847"/>
      <c r="C5638" s="48"/>
    </row>
    <row r="5639" spans="1:7">
      <c r="A5639" s="847"/>
      <c r="B5639" s="162" t="s">
        <v>1175</v>
      </c>
      <c r="C5639" s="48"/>
    </row>
    <row r="5640" spans="1:7">
      <c r="A5640" s="847"/>
      <c r="B5640" s="47" t="s">
        <v>1176</v>
      </c>
      <c r="C5640" s="48"/>
      <c r="F5640" s="171" t="s">
        <v>1698</v>
      </c>
      <c r="G5640" s="68">
        <f>G5603</f>
        <v>67180.819791666669</v>
      </c>
    </row>
    <row r="5641" spans="1:7">
      <c r="A5641" s="847"/>
      <c r="B5641" s="47" t="s">
        <v>1186</v>
      </c>
      <c r="C5641" s="48"/>
      <c r="F5641" s="171" t="s">
        <v>1698</v>
      </c>
      <c r="G5641" s="68">
        <f>G5616</f>
        <v>5191.95</v>
      </c>
    </row>
    <row r="5642" spans="1:7">
      <c r="A5642" s="847"/>
      <c r="B5642" s="47" t="s">
        <v>2660</v>
      </c>
      <c r="C5642" s="48"/>
      <c r="F5642" s="171" t="s">
        <v>1698</v>
      </c>
      <c r="G5642" s="75">
        <f>G5634</f>
        <v>29479.45</v>
      </c>
    </row>
    <row r="5643" spans="1:7">
      <c r="A5643" s="847"/>
      <c r="B5643" s="78"/>
      <c r="C5643" s="48"/>
      <c r="E5643" s="261"/>
      <c r="F5643" s="171" t="s">
        <v>302</v>
      </c>
      <c r="G5643" s="205">
        <f>SUM(G5640:G5642)</f>
        <v>101852.21979166666</v>
      </c>
    </row>
    <row r="5644" spans="1:7" ht="36.75" customHeight="1">
      <c r="A5644" s="847"/>
      <c r="B5644" s="1207" t="s">
        <v>1379</v>
      </c>
      <c r="C5644" s="1207"/>
      <c r="D5644" s="1207"/>
      <c r="E5644" s="922">
        <f>'BASIC DATA'!$C$577</f>
        <v>0.13614999999999999</v>
      </c>
      <c r="F5644" s="171" t="s">
        <v>1698</v>
      </c>
      <c r="G5644" s="31">
        <f>ROUND(G5643*E5644,2)</f>
        <v>13867.18</v>
      </c>
    </row>
    <row r="5645" spans="1:7">
      <c r="A5645" s="847"/>
      <c r="B5645" s="47" t="s">
        <v>1191</v>
      </c>
      <c r="C5645" s="48"/>
      <c r="D5645" s="68">
        <f>F5591</f>
        <v>23.1</v>
      </c>
      <c r="E5645" s="68" t="str">
        <f>G5591</f>
        <v>cum</v>
      </c>
      <c r="F5645" s="171" t="s">
        <v>1698</v>
      </c>
      <c r="G5645" s="211">
        <f>G5644+G5643</f>
        <v>115719.39979166666</v>
      </c>
    </row>
    <row r="5646" spans="1:7">
      <c r="A5646" s="847"/>
      <c r="B5646" s="79" t="s">
        <v>1584</v>
      </c>
      <c r="C5646" s="404" t="str">
        <f>E5645</f>
        <v>cum</v>
      </c>
      <c r="D5646" s="26" t="s">
        <v>7764</v>
      </c>
      <c r="F5646" s="171" t="s">
        <v>4108</v>
      </c>
      <c r="G5646" s="211">
        <f>ROUND(G5645/D5645,1)</f>
        <v>5009.5</v>
      </c>
    </row>
    <row r="5647" spans="1:7">
      <c r="A5647" s="847"/>
      <c r="B5647" s="78"/>
      <c r="C5647" s="48"/>
      <c r="F5647" s="171"/>
      <c r="G5647" s="68"/>
    </row>
    <row r="5648" spans="1:7">
      <c r="A5648" s="847"/>
      <c r="B5648" s="78"/>
      <c r="C5648" s="48"/>
    </row>
    <row r="5649" spans="1:9" ht="36.75">
      <c r="A5649" s="841" t="s">
        <v>7483</v>
      </c>
      <c r="B5649" s="382" t="s">
        <v>8804</v>
      </c>
      <c r="C5649" s="49"/>
      <c r="D5649" s="61"/>
      <c r="E5649" s="61"/>
      <c r="F5649" s="61"/>
      <c r="G5649" s="61"/>
      <c r="H5649" s="61"/>
      <c r="I5649" s="61"/>
    </row>
    <row r="5650" spans="1:9" ht="18.75">
      <c r="A5650" s="848"/>
      <c r="B5650" s="382" t="s">
        <v>8805</v>
      </c>
      <c r="C5650" s="49"/>
      <c r="D5650" s="61"/>
      <c r="E5650" s="61"/>
      <c r="F5650" s="61"/>
      <c r="G5650" s="61"/>
      <c r="H5650" s="61"/>
      <c r="I5650" s="61"/>
    </row>
    <row r="5651" spans="1:9" ht="18.75">
      <c r="A5651" s="848"/>
      <c r="B5651" s="382" t="s">
        <v>8806</v>
      </c>
      <c r="C5651" s="49"/>
      <c r="D5651" s="61"/>
      <c r="E5651" s="61"/>
      <c r="F5651" s="61"/>
      <c r="G5651" s="61"/>
      <c r="H5651" s="61"/>
      <c r="I5651" s="61"/>
    </row>
    <row r="5652" spans="1:9">
      <c r="A5652" s="848"/>
      <c r="B5652" s="382" t="s">
        <v>4698</v>
      </c>
      <c r="C5652" s="49"/>
      <c r="D5652" s="61"/>
      <c r="E5652" s="61"/>
      <c r="F5652" s="61"/>
      <c r="G5652" s="61"/>
      <c r="H5652" s="61"/>
      <c r="I5652" s="61"/>
    </row>
    <row r="5653" spans="1:9">
      <c r="A5653" s="848"/>
      <c r="B5653" s="382" t="s">
        <v>3794</v>
      </c>
      <c r="C5653" s="49"/>
      <c r="D5653" s="61"/>
      <c r="E5653" s="61"/>
      <c r="F5653" s="61"/>
      <c r="G5653" s="61"/>
      <c r="H5653" s="61"/>
      <c r="I5653" s="61"/>
    </row>
    <row r="5654" spans="1:9">
      <c r="A5654" s="848"/>
      <c r="B5654" s="382" t="s">
        <v>8807</v>
      </c>
      <c r="C5654" s="49"/>
      <c r="D5654" s="61"/>
      <c r="E5654" s="61"/>
      <c r="F5654" s="61"/>
      <c r="G5654" s="61"/>
      <c r="H5654" s="61"/>
      <c r="I5654" s="61"/>
    </row>
    <row r="5655" spans="1:9">
      <c r="A5655" s="891"/>
      <c r="B5655" s="162" t="s">
        <v>7767</v>
      </c>
      <c r="C5655" s="49"/>
      <c r="D5655" s="61"/>
      <c r="E5655" s="61"/>
      <c r="F5655" s="61"/>
      <c r="G5655" s="61"/>
      <c r="H5655" s="61"/>
      <c r="I5655" s="61"/>
    </row>
    <row r="5656" spans="1:9">
      <c r="A5656" s="891"/>
      <c r="B5656" s="588" t="s">
        <v>7737</v>
      </c>
      <c r="C5656" s="49"/>
      <c r="D5656" s="61"/>
      <c r="E5656" s="61"/>
      <c r="F5656" s="61"/>
      <c r="G5656" s="61"/>
      <c r="H5656" s="61"/>
      <c r="I5656" s="61"/>
    </row>
    <row r="5657" spans="1:9">
      <c r="A5657" s="891"/>
      <c r="B5657" s="162" t="s">
        <v>7766</v>
      </c>
      <c r="C5657" s="49"/>
      <c r="D5657" s="61"/>
      <c r="E5657" s="61"/>
      <c r="F5657" s="61"/>
      <c r="G5657" s="61"/>
      <c r="H5657" s="61"/>
      <c r="I5657" s="61"/>
    </row>
    <row r="5658" spans="1:9">
      <c r="A5658" s="891"/>
      <c r="B5658" s="162" t="s">
        <v>7736</v>
      </c>
      <c r="C5658" s="49"/>
      <c r="D5658" s="61"/>
      <c r="E5658" s="61"/>
      <c r="F5658" s="61"/>
      <c r="G5658" s="61"/>
      <c r="H5658" s="61"/>
      <c r="I5658" s="61"/>
    </row>
    <row r="5659" spans="1:9">
      <c r="A5659" s="891"/>
      <c r="B5659" s="382"/>
      <c r="C5659" s="49"/>
      <c r="D5659" s="61"/>
      <c r="E5659" s="61"/>
      <c r="F5659" s="61"/>
      <c r="G5659" s="61"/>
      <c r="H5659" s="61"/>
      <c r="I5659" s="61"/>
    </row>
    <row r="5660" spans="1:9" hidden="1">
      <c r="A5660" s="848" t="s">
        <v>3984</v>
      </c>
      <c r="B5660" s="382" t="s">
        <v>6237</v>
      </c>
      <c r="C5660" s="49"/>
      <c r="D5660" s="61"/>
      <c r="E5660" s="61"/>
      <c r="F5660" s="61" t="s">
        <v>1697</v>
      </c>
      <c r="G5660" s="61" t="s">
        <v>4528</v>
      </c>
      <c r="H5660" s="61"/>
      <c r="I5660" s="61"/>
    </row>
    <row r="5661" spans="1:9" hidden="1">
      <c r="A5661" s="848"/>
      <c r="B5661" s="382" t="s">
        <v>6238</v>
      </c>
      <c r="C5661" s="49"/>
      <c r="D5661" s="61"/>
      <c r="E5661" s="61"/>
      <c r="F5661" s="61"/>
      <c r="G5661" s="61"/>
      <c r="H5661" s="61"/>
      <c r="I5661" s="61"/>
    </row>
    <row r="5662" spans="1:9" hidden="1">
      <c r="A5662" s="848"/>
      <c r="B5662" s="382" t="s">
        <v>3795</v>
      </c>
      <c r="C5662" s="49"/>
      <c r="D5662" s="61"/>
      <c r="E5662" s="61"/>
      <c r="F5662" s="61"/>
      <c r="G5662" s="61"/>
      <c r="H5662" s="61"/>
      <c r="I5662" s="61"/>
    </row>
    <row r="5663" spans="1:9" hidden="1">
      <c r="A5663" s="848"/>
      <c r="B5663" s="382"/>
      <c r="C5663" s="49"/>
      <c r="D5663" s="61"/>
      <c r="E5663" s="61"/>
      <c r="F5663" s="61"/>
      <c r="G5663" s="61"/>
      <c r="H5663" s="61"/>
      <c r="I5663" s="61"/>
    </row>
    <row r="5664" spans="1:9" hidden="1">
      <c r="A5664" s="848"/>
      <c r="B5664" s="382" t="s">
        <v>1557</v>
      </c>
      <c r="C5664" s="49"/>
      <c r="D5664" s="61"/>
      <c r="E5664" s="61"/>
      <c r="F5664" s="61" t="s">
        <v>1697</v>
      </c>
      <c r="G5664" s="61">
        <v>100</v>
      </c>
      <c r="H5664" s="61" t="s">
        <v>5860</v>
      </c>
      <c r="I5664" s="61"/>
    </row>
    <row r="5665" spans="1:9" hidden="1">
      <c r="A5665" s="848"/>
      <c r="B5665" s="382" t="s">
        <v>4529</v>
      </c>
      <c r="C5665" s="49"/>
      <c r="D5665" s="61"/>
      <c r="E5665" s="61"/>
      <c r="F5665" s="61" t="s">
        <v>1697</v>
      </c>
      <c r="G5665" s="61">
        <f>100*0.15</f>
        <v>15</v>
      </c>
      <c r="H5665" s="61" t="s">
        <v>3477</v>
      </c>
      <c r="I5665" s="61"/>
    </row>
    <row r="5666" spans="1:9" hidden="1">
      <c r="A5666" s="848"/>
      <c r="B5666" s="382" t="s">
        <v>3892</v>
      </c>
      <c r="C5666" s="49"/>
      <c r="D5666" s="61"/>
      <c r="E5666" s="61"/>
      <c r="F5666" s="61" t="s">
        <v>1697</v>
      </c>
      <c r="G5666" s="61">
        <f>G5665*10%</f>
        <v>1.5</v>
      </c>
      <c r="H5666" s="61" t="s">
        <v>3477</v>
      </c>
      <c r="I5666" s="61"/>
    </row>
    <row r="5667" spans="1:9" hidden="1">
      <c r="A5667" s="848"/>
      <c r="B5667" s="382" t="s">
        <v>1558</v>
      </c>
      <c r="C5667" s="49"/>
      <c r="D5667" s="61"/>
      <c r="E5667" s="61"/>
      <c r="F5667" s="61" t="s">
        <v>1697</v>
      </c>
      <c r="G5667" s="223">
        <f>SUM(G5665:G5666)</f>
        <v>16.5</v>
      </c>
      <c r="H5667" s="61" t="s">
        <v>3477</v>
      </c>
      <c r="I5667" s="61"/>
    </row>
    <row r="5668" spans="1:9" hidden="1">
      <c r="A5668" s="848"/>
      <c r="B5668" s="382" t="s">
        <v>3072</v>
      </c>
      <c r="C5668" s="49"/>
      <c r="D5668" s="61"/>
      <c r="E5668" s="61"/>
      <c r="F5668" s="61"/>
      <c r="G5668" s="61"/>
      <c r="H5668" s="61"/>
      <c r="I5668" s="61"/>
    </row>
    <row r="5669" spans="1:9" hidden="1">
      <c r="A5669" s="848"/>
      <c r="B5669" s="382" t="s">
        <v>3610</v>
      </c>
      <c r="C5669" s="49"/>
      <c r="D5669" s="61"/>
      <c r="E5669" s="61"/>
      <c r="F5669" s="61" t="s">
        <v>1697</v>
      </c>
      <c r="G5669" s="61">
        <f>ROUND(G5667*60/50/0.7,2)</f>
        <v>28.29</v>
      </c>
      <c r="H5669" s="61" t="s">
        <v>5721</v>
      </c>
      <c r="I5669" s="61"/>
    </row>
    <row r="5670" spans="1:9" ht="18.75" hidden="1">
      <c r="A5670" s="848"/>
      <c r="B5670" s="382" t="s">
        <v>8808</v>
      </c>
      <c r="C5670" s="49"/>
      <c r="D5670" s="61"/>
      <c r="E5670" s="61"/>
      <c r="F5670" s="61"/>
      <c r="G5670" s="61"/>
      <c r="H5670" s="61"/>
      <c r="I5670" s="61"/>
    </row>
    <row r="5671" spans="1:9" hidden="1">
      <c r="A5671" s="848"/>
      <c r="B5671" s="382" t="s">
        <v>7988</v>
      </c>
      <c r="C5671" s="49"/>
      <c r="D5671" s="61"/>
      <c r="E5671" s="61"/>
      <c r="F5671" s="61"/>
      <c r="G5671" s="61"/>
      <c r="H5671" s="61"/>
      <c r="I5671" s="61"/>
    </row>
    <row r="5672" spans="1:9" hidden="1">
      <c r="A5672" s="848"/>
      <c r="B5672" s="382" t="s">
        <v>1559</v>
      </c>
      <c r="C5672" s="49"/>
      <c r="D5672" s="61"/>
      <c r="E5672" s="61"/>
      <c r="F5672" s="61"/>
      <c r="G5672" s="61"/>
      <c r="H5672" s="61"/>
      <c r="I5672" s="61"/>
    </row>
    <row r="5673" spans="1:9" hidden="1">
      <c r="A5673" s="848"/>
      <c r="B5673" s="382" t="s">
        <v>1560</v>
      </c>
      <c r="C5673" s="49"/>
      <c r="D5673" s="61"/>
      <c r="E5673" s="61"/>
      <c r="F5673" s="61" t="s">
        <v>1697</v>
      </c>
      <c r="G5673" s="62">
        <v>3</v>
      </c>
      <c r="H5673" s="223" t="s">
        <v>812</v>
      </c>
      <c r="I5673" s="61"/>
    </row>
    <row r="5674" spans="1:9" hidden="1">
      <c r="A5674" s="848"/>
      <c r="B5674" s="382" t="s">
        <v>1561</v>
      </c>
      <c r="C5674" s="49"/>
      <c r="D5674" s="61"/>
      <c r="E5674" s="61"/>
      <c r="F5674" s="61" t="s">
        <v>1697</v>
      </c>
      <c r="G5674" s="62">
        <v>10</v>
      </c>
      <c r="H5674" s="223" t="s">
        <v>812</v>
      </c>
      <c r="I5674" s="61"/>
    </row>
    <row r="5675" spans="1:9" hidden="1">
      <c r="A5675" s="848"/>
      <c r="B5675" s="382" t="s">
        <v>6239</v>
      </c>
      <c r="C5675" s="49"/>
      <c r="D5675" s="61"/>
      <c r="E5675" s="61"/>
      <c r="F5675" s="61" t="s">
        <v>1697</v>
      </c>
      <c r="G5675" s="62">
        <v>15</v>
      </c>
      <c r="H5675" s="223" t="s">
        <v>812</v>
      </c>
      <c r="I5675" s="61"/>
    </row>
    <row r="5676" spans="1:9" hidden="1">
      <c r="A5676" s="848"/>
      <c r="B5676" s="382" t="s">
        <v>5842</v>
      </c>
      <c r="C5676" s="49"/>
      <c r="D5676" s="61"/>
      <c r="E5676" s="61"/>
      <c r="F5676" s="61" t="s">
        <v>1697</v>
      </c>
      <c r="G5676" s="62">
        <v>3</v>
      </c>
      <c r="H5676" s="223" t="s">
        <v>812</v>
      </c>
      <c r="I5676" s="61"/>
    </row>
    <row r="5677" spans="1:9" hidden="1">
      <c r="A5677" s="848"/>
      <c r="B5677" s="382" t="s">
        <v>5843</v>
      </c>
      <c r="C5677" s="49"/>
      <c r="D5677" s="61"/>
      <c r="E5677" s="61"/>
      <c r="F5677" s="61" t="s">
        <v>1697</v>
      </c>
      <c r="G5677" s="62">
        <v>10</v>
      </c>
      <c r="H5677" s="223" t="s">
        <v>812</v>
      </c>
      <c r="I5677" s="61"/>
    </row>
    <row r="5678" spans="1:9" hidden="1">
      <c r="A5678" s="848"/>
      <c r="B5678" s="382" t="s">
        <v>2702</v>
      </c>
      <c r="C5678" s="49"/>
      <c r="D5678" s="61"/>
      <c r="E5678" s="61"/>
      <c r="F5678" s="61"/>
      <c r="G5678" s="62">
        <v>12</v>
      </c>
      <c r="H5678" s="223" t="s">
        <v>812</v>
      </c>
      <c r="I5678" s="223"/>
    </row>
    <row r="5679" spans="1:9" hidden="1">
      <c r="A5679" s="848"/>
      <c r="B5679" s="382"/>
      <c r="C5679" s="49"/>
      <c r="D5679" s="61"/>
      <c r="E5679" s="61"/>
      <c r="F5679" s="61" t="s">
        <v>1518</v>
      </c>
      <c r="G5679" s="312">
        <f>SUM(G5673:G5678)</f>
        <v>53</v>
      </c>
      <c r="H5679" s="223" t="s">
        <v>812</v>
      </c>
      <c r="I5679" s="61"/>
    </row>
    <row r="5680" spans="1:9" hidden="1">
      <c r="A5680" s="848"/>
      <c r="B5680" s="382" t="s">
        <v>5844</v>
      </c>
      <c r="C5680" s="49"/>
      <c r="D5680" s="61"/>
      <c r="E5680" s="61"/>
      <c r="F5680" s="61" t="s">
        <v>1697</v>
      </c>
      <c r="G5680" s="61">
        <f>ROUND(60/G5679*4*50/60,2)</f>
        <v>3.77</v>
      </c>
      <c r="H5680" s="223" t="s">
        <v>3477</v>
      </c>
      <c r="I5680" s="61"/>
    </row>
    <row r="5681" spans="1:9" hidden="1">
      <c r="A5681" s="848"/>
      <c r="B5681" s="382" t="s">
        <v>2970</v>
      </c>
      <c r="C5681" s="49"/>
      <c r="D5681" s="61"/>
      <c r="E5681" s="61" t="s">
        <v>5785</v>
      </c>
      <c r="F5681" s="61" t="s">
        <v>1697</v>
      </c>
      <c r="G5681" s="223">
        <f>G5667</f>
        <v>16.5</v>
      </c>
      <c r="H5681" s="61" t="s">
        <v>3477</v>
      </c>
      <c r="I5681" s="61"/>
    </row>
    <row r="5682" spans="1:9" hidden="1">
      <c r="A5682" s="848"/>
      <c r="B5682" s="382" t="s">
        <v>3611</v>
      </c>
      <c r="C5682" s="49"/>
      <c r="D5682" s="61"/>
      <c r="E5682" s="61"/>
      <c r="F5682" s="61" t="s">
        <v>1697</v>
      </c>
      <c r="G5682" s="61">
        <f>ROUND(G5681/G5680,0)</f>
        <v>4</v>
      </c>
      <c r="H5682" s="223" t="s">
        <v>4041</v>
      </c>
      <c r="I5682" s="61"/>
    </row>
    <row r="5683" spans="1:9" hidden="1">
      <c r="A5683" s="848"/>
      <c r="B5683" s="382" t="s">
        <v>3614</v>
      </c>
      <c r="C5683" s="49"/>
      <c r="D5683" s="61"/>
      <c r="E5683" s="61"/>
      <c r="F5683" s="61"/>
      <c r="G5683" s="61"/>
      <c r="H5683" s="61"/>
      <c r="I5683" s="61"/>
    </row>
    <row r="5684" spans="1:9" hidden="1">
      <c r="A5684" s="848"/>
      <c r="B5684" s="382" t="s">
        <v>963</v>
      </c>
      <c r="C5684" s="49"/>
      <c r="D5684" s="61"/>
      <c r="E5684" s="61"/>
      <c r="F5684" s="61"/>
      <c r="G5684" s="61"/>
      <c r="H5684" s="61"/>
      <c r="I5684" s="61"/>
    </row>
    <row r="5685" spans="1:9" hidden="1">
      <c r="A5685" s="848"/>
      <c r="B5685" s="382" t="s">
        <v>5846</v>
      </c>
      <c r="C5685" s="49"/>
      <c r="D5685" s="61"/>
      <c r="E5685" s="61"/>
      <c r="F5685" s="61"/>
      <c r="G5685" s="61"/>
      <c r="H5685" s="61"/>
      <c r="I5685" s="61"/>
    </row>
    <row r="5686" spans="1:9" hidden="1">
      <c r="A5686" s="848"/>
      <c r="B5686" s="382" t="s">
        <v>4235</v>
      </c>
      <c r="C5686" s="49"/>
      <c r="D5686" s="61"/>
      <c r="E5686" s="61"/>
      <c r="F5686" s="61"/>
      <c r="G5686" s="61"/>
      <c r="H5686" s="61"/>
      <c r="I5686" s="61"/>
    </row>
    <row r="5687" spans="1:9" hidden="1">
      <c r="A5687" s="848"/>
      <c r="B5687" s="382" t="s">
        <v>4236</v>
      </c>
      <c r="C5687" s="49"/>
      <c r="D5687" s="61"/>
      <c r="E5687" s="61"/>
      <c r="F5687" s="61"/>
      <c r="G5687" s="61"/>
      <c r="H5687" s="61"/>
      <c r="I5687" s="61"/>
    </row>
    <row r="5688" spans="1:9" hidden="1">
      <c r="A5688" s="848"/>
      <c r="B5688" s="382" t="s">
        <v>2564</v>
      </c>
      <c r="C5688" s="49"/>
      <c r="D5688" s="61"/>
      <c r="E5688" s="61"/>
      <c r="F5688" s="61" t="s">
        <v>1697</v>
      </c>
      <c r="G5688" s="61">
        <f>G5664*8</f>
        <v>800</v>
      </c>
      <c r="H5688" s="61" t="s">
        <v>3479</v>
      </c>
      <c r="I5688" s="61"/>
    </row>
    <row r="5689" spans="1:9" hidden="1">
      <c r="A5689" s="848"/>
      <c r="B5689" s="382" t="s">
        <v>4237</v>
      </c>
      <c r="C5689" s="49"/>
      <c r="D5689" s="61"/>
      <c r="E5689" s="61"/>
      <c r="F5689" s="61" t="s">
        <v>1697</v>
      </c>
      <c r="G5689" s="61">
        <f>16.5*8</f>
        <v>132</v>
      </c>
      <c r="H5689" s="61" t="s">
        <v>3477</v>
      </c>
      <c r="I5689" s="61"/>
    </row>
    <row r="5690" spans="1:9" hidden="1">
      <c r="A5690" s="848"/>
      <c r="B5690" s="382" t="s">
        <v>2971</v>
      </c>
      <c r="C5690" s="49"/>
      <c r="D5690" s="61"/>
      <c r="E5690" s="61"/>
      <c r="F5690" s="61"/>
      <c r="G5690" s="61">
        <f>G5689*0.8*0.65</f>
        <v>68.640000000000015</v>
      </c>
      <c r="H5690" s="61" t="s">
        <v>3477</v>
      </c>
      <c r="I5690" s="61"/>
    </row>
    <row r="5691" spans="1:9" hidden="1">
      <c r="A5691" s="848"/>
      <c r="B5691" s="382" t="s">
        <v>2972</v>
      </c>
      <c r="C5691" s="49"/>
      <c r="D5691" s="61"/>
      <c r="E5691" s="61"/>
      <c r="F5691" s="61"/>
      <c r="G5691" s="61">
        <f>G5689*0.35*0.8</f>
        <v>36.96</v>
      </c>
      <c r="H5691" s="61" t="s">
        <v>3933</v>
      </c>
      <c r="I5691" s="61"/>
    </row>
    <row r="5692" spans="1:9" hidden="1">
      <c r="A5692" s="848"/>
      <c r="B5692" s="382" t="s">
        <v>6324</v>
      </c>
      <c r="C5692" s="49"/>
      <c r="D5692" s="61"/>
      <c r="E5692" s="61"/>
      <c r="F5692" s="61" t="s">
        <v>1697</v>
      </c>
      <c r="G5692" s="61">
        <f>G5689*0.44</f>
        <v>58.08</v>
      </c>
      <c r="H5692" s="61" t="s">
        <v>3933</v>
      </c>
      <c r="I5692" s="61"/>
    </row>
    <row r="5693" spans="1:9" hidden="1">
      <c r="A5693" s="848"/>
      <c r="B5693" s="382" t="s">
        <v>7765</v>
      </c>
      <c r="C5693" s="49"/>
      <c r="D5693" s="61"/>
      <c r="E5693" s="61"/>
      <c r="F5693" s="61" t="s">
        <v>1697</v>
      </c>
      <c r="G5693" s="61">
        <f>300*G5689</f>
        <v>39600</v>
      </c>
      <c r="H5693" s="61" t="s">
        <v>3933</v>
      </c>
      <c r="I5693" s="61"/>
    </row>
    <row r="5694" spans="1:9" hidden="1">
      <c r="A5694" s="848"/>
      <c r="B5694" s="382" t="s">
        <v>4238</v>
      </c>
      <c r="C5694" s="49"/>
      <c r="D5694" s="61"/>
      <c r="E5694" s="61"/>
      <c r="F5694" s="61" t="s">
        <v>1697</v>
      </c>
      <c r="G5694" s="61">
        <f>G5693*0.4%</f>
        <v>158.4</v>
      </c>
      <c r="H5694" s="61" t="s">
        <v>3478</v>
      </c>
      <c r="I5694" s="61"/>
    </row>
    <row r="5695" spans="1:9" hidden="1">
      <c r="A5695" s="848"/>
      <c r="B5695" s="382" t="s">
        <v>959</v>
      </c>
      <c r="C5695" s="49"/>
      <c r="D5695" s="61"/>
      <c r="E5695" s="61"/>
      <c r="F5695" s="61" t="s">
        <v>1697</v>
      </c>
      <c r="G5695" s="61" t="s">
        <v>964</v>
      </c>
      <c r="H5695" s="61">
        <f>ROUND(100/9*((3*4)/2)*8,0)</f>
        <v>533</v>
      </c>
      <c r="I5695" s="223" t="s">
        <v>3483</v>
      </c>
    </row>
    <row r="5696" spans="1:9" hidden="1">
      <c r="A5696" s="848"/>
      <c r="B5696" s="382" t="s">
        <v>5847</v>
      </c>
      <c r="C5696" s="49"/>
      <c r="D5696" s="61"/>
      <c r="E5696" s="61"/>
      <c r="F5696" s="61" t="s">
        <v>1697</v>
      </c>
      <c r="G5696" s="61"/>
      <c r="H5696" s="61"/>
      <c r="I5696" s="61"/>
    </row>
    <row r="5697" spans="1:9" hidden="1">
      <c r="A5697" s="848"/>
      <c r="B5697" s="382" t="s">
        <v>3685</v>
      </c>
      <c r="C5697" s="49"/>
      <c r="D5697" s="61"/>
      <c r="E5697" s="61"/>
      <c r="F5697" s="61" t="s">
        <v>1697</v>
      </c>
      <c r="G5697" s="61"/>
      <c r="H5697" s="61"/>
      <c r="I5697" s="61"/>
    </row>
    <row r="5698" spans="1:9" hidden="1">
      <c r="A5698" s="848"/>
      <c r="B5698" s="382" t="s">
        <v>984</v>
      </c>
      <c r="C5698" s="49"/>
      <c r="D5698" s="61"/>
      <c r="E5698" s="61"/>
      <c r="F5698" s="61"/>
      <c r="G5698" s="61"/>
      <c r="H5698" s="61"/>
      <c r="I5698" s="61"/>
    </row>
    <row r="5699" spans="1:9" hidden="1">
      <c r="A5699" s="848"/>
      <c r="B5699" s="382" t="s">
        <v>4184</v>
      </c>
      <c r="C5699" s="49"/>
      <c r="D5699" s="61"/>
      <c r="E5699" s="61"/>
      <c r="F5699" s="61"/>
      <c r="G5699" s="61"/>
      <c r="H5699" s="61"/>
      <c r="I5699" s="61"/>
    </row>
    <row r="5700" spans="1:9" hidden="1">
      <c r="A5700" s="848"/>
      <c r="B5700" s="382" t="s">
        <v>965</v>
      </c>
      <c r="C5700" s="49"/>
      <c r="D5700" s="223">
        <f>'BASIC DATA'!$D$310</f>
        <v>28080</v>
      </c>
      <c r="E5700" s="61" t="s">
        <v>2290</v>
      </c>
      <c r="F5700" s="222" t="s">
        <v>4108</v>
      </c>
      <c r="G5700" s="223">
        <f>D5700</f>
        <v>28080</v>
      </c>
      <c r="H5700" s="61"/>
      <c r="I5700" s="61"/>
    </row>
    <row r="5701" spans="1:9" hidden="1">
      <c r="A5701" s="848"/>
      <c r="B5701" s="382" t="s">
        <v>231</v>
      </c>
      <c r="C5701" s="49"/>
      <c r="D5701" s="61"/>
      <c r="E5701" s="61"/>
      <c r="F5701" s="222" t="s">
        <v>1697</v>
      </c>
      <c r="G5701" s="61">
        <v>40000</v>
      </c>
      <c r="H5701" s="61"/>
      <c r="I5701" s="61"/>
    </row>
    <row r="5702" spans="1:9" hidden="1">
      <c r="A5702" s="848"/>
      <c r="B5702" s="382" t="s">
        <v>2505</v>
      </c>
      <c r="C5702" s="49"/>
      <c r="D5702" s="61" t="s">
        <v>2506</v>
      </c>
      <c r="E5702" s="61"/>
      <c r="F5702" s="222" t="s">
        <v>4108</v>
      </c>
      <c r="G5702" s="61">
        <f>G5700/G5701</f>
        <v>0.70199999999999996</v>
      </c>
      <c r="H5702" s="61"/>
      <c r="I5702" s="61"/>
    </row>
    <row r="5703" spans="1:9" hidden="1">
      <c r="A5703" s="848"/>
      <c r="B5703" s="382" t="s">
        <v>6329</v>
      </c>
      <c r="C5703" s="49"/>
      <c r="D5703" s="61"/>
      <c r="E5703" s="61"/>
      <c r="F5703" s="222" t="s">
        <v>4108</v>
      </c>
      <c r="G5703" s="241">
        <f>G5702*25%</f>
        <v>0.17549999999999999</v>
      </c>
      <c r="H5703" s="61"/>
      <c r="I5703" s="61"/>
    </row>
    <row r="5704" spans="1:9" hidden="1">
      <c r="A5704" s="848"/>
      <c r="B5704" s="382" t="s">
        <v>5784</v>
      </c>
      <c r="C5704" s="49"/>
      <c r="D5704" s="61"/>
      <c r="E5704" s="61"/>
      <c r="F5704" s="222" t="s">
        <v>4108</v>
      </c>
      <c r="G5704" s="61">
        <f>SUM(G5702:G5703)</f>
        <v>0.87749999999999995</v>
      </c>
      <c r="H5704" s="61"/>
      <c r="I5704" s="61"/>
    </row>
    <row r="5705" spans="1:9" hidden="1">
      <c r="A5705" s="848"/>
      <c r="B5705" s="382"/>
      <c r="C5705" s="49"/>
      <c r="D5705" s="61"/>
      <c r="E5705" s="61"/>
      <c r="F5705" s="61"/>
      <c r="G5705" s="61"/>
      <c r="H5705" s="61"/>
      <c r="I5705" s="61"/>
    </row>
    <row r="5706" spans="1:9">
      <c r="A5706" s="848"/>
      <c r="B5706" s="382"/>
      <c r="C5706" s="49"/>
      <c r="D5706" s="61"/>
      <c r="E5706" s="61"/>
      <c r="F5706" s="61"/>
      <c r="G5706" s="61"/>
      <c r="H5706" s="61"/>
      <c r="I5706" s="61"/>
    </row>
    <row r="5707" spans="1:9">
      <c r="A5707" s="848"/>
      <c r="B5707" s="382"/>
      <c r="C5707" s="49"/>
      <c r="D5707" s="61"/>
      <c r="E5707" s="61"/>
      <c r="F5707" s="61"/>
      <c r="G5707" s="61"/>
      <c r="H5707" s="61"/>
      <c r="I5707" s="61"/>
    </row>
    <row r="5708" spans="1:9">
      <c r="A5708" s="889" t="s">
        <v>3984</v>
      </c>
      <c r="B5708" s="382"/>
      <c r="C5708" s="424" t="s">
        <v>6330</v>
      </c>
      <c r="D5708" s="61" t="s">
        <v>3476</v>
      </c>
      <c r="E5708" s="61" t="s">
        <v>1697</v>
      </c>
      <c r="F5708" s="248">
        <f>G5688</f>
        <v>800</v>
      </c>
      <c r="G5708" s="61" t="s">
        <v>6550</v>
      </c>
      <c r="H5708" s="61"/>
      <c r="I5708" s="61"/>
    </row>
    <row r="5709" spans="1:9">
      <c r="A5709" s="848"/>
      <c r="B5709" s="588" t="s">
        <v>2368</v>
      </c>
      <c r="C5709" s="49"/>
      <c r="D5709" s="61"/>
      <c r="E5709" s="61"/>
      <c r="F5709" s="61"/>
      <c r="G5709" s="61"/>
      <c r="H5709" s="61"/>
      <c r="I5709" s="61"/>
    </row>
    <row r="5710" spans="1:9">
      <c r="A5710" s="848"/>
      <c r="B5710" s="295" t="s">
        <v>4442</v>
      </c>
      <c r="C5710" s="440" t="s">
        <v>4443</v>
      </c>
      <c r="D5710" s="295" t="s">
        <v>2370</v>
      </c>
      <c r="E5710" s="295" t="s">
        <v>4444</v>
      </c>
      <c r="F5710" s="295" t="s">
        <v>6247</v>
      </c>
      <c r="G5710" s="295" t="s">
        <v>6665</v>
      </c>
      <c r="H5710" s="61"/>
      <c r="I5710" s="61"/>
    </row>
    <row r="5711" spans="1:9">
      <c r="A5711" s="848"/>
      <c r="B5711" s="295">
        <v>1</v>
      </c>
      <c r="C5711" s="441" t="s">
        <v>7327</v>
      </c>
      <c r="D5711" s="50" t="s">
        <v>1791</v>
      </c>
      <c r="E5711" s="264">
        <f>G5693</f>
        <v>39600</v>
      </c>
      <c r="F5711" s="264">
        <f>'BASIC DATA'!$D$32/1000</f>
        <v>5.35</v>
      </c>
      <c r="G5711" s="50">
        <f t="shared" ref="G5711:G5717" si="87">F5711*E5711</f>
        <v>211860</v>
      </c>
      <c r="H5711" s="61"/>
      <c r="I5711" s="61"/>
    </row>
    <row r="5712" spans="1:9">
      <c r="A5712" s="848"/>
      <c r="B5712" s="240">
        <v>2</v>
      </c>
      <c r="C5712" s="428" t="s">
        <v>4592</v>
      </c>
      <c r="D5712" s="50" t="s">
        <v>3477</v>
      </c>
      <c r="E5712" s="264">
        <f>G5690</f>
        <v>68.640000000000015</v>
      </c>
      <c r="F5712" s="264">
        <f>'BASIC DATA'!$D$35</f>
        <v>1225</v>
      </c>
      <c r="G5712" s="50">
        <f t="shared" si="87"/>
        <v>84084.000000000015</v>
      </c>
      <c r="H5712" s="61"/>
      <c r="I5712" s="61"/>
    </row>
    <row r="5713" spans="1:9">
      <c r="A5713" s="848"/>
      <c r="B5713" s="429" t="s">
        <v>5785</v>
      </c>
      <c r="C5713" s="428" t="s">
        <v>4593</v>
      </c>
      <c r="D5713" s="50" t="s">
        <v>3477</v>
      </c>
      <c r="E5713" s="264">
        <f>G5691</f>
        <v>36.96</v>
      </c>
      <c r="F5713" s="264">
        <f>'BASIC DATA'!$D$34</f>
        <v>900</v>
      </c>
      <c r="G5713" s="50">
        <f t="shared" si="87"/>
        <v>33264</v>
      </c>
      <c r="H5713" s="61"/>
      <c r="I5713" s="61"/>
    </row>
    <row r="5714" spans="1:9">
      <c r="A5714" s="848"/>
      <c r="B5714" s="240">
        <v>3</v>
      </c>
      <c r="C5714" s="428" t="s">
        <v>7941</v>
      </c>
      <c r="D5714" s="50" t="s">
        <v>3477</v>
      </c>
      <c r="E5714" s="264">
        <f>G5692</f>
        <v>58.08</v>
      </c>
      <c r="F5714" s="243">
        <f>'BASIC DATA'!$D$55</f>
        <v>95</v>
      </c>
      <c r="G5714" s="50">
        <f t="shared" si="87"/>
        <v>5517.5999999999995</v>
      </c>
      <c r="H5714" s="61"/>
      <c r="I5714" s="61"/>
    </row>
    <row r="5715" spans="1:9">
      <c r="A5715" s="848"/>
      <c r="B5715" s="240">
        <v>4</v>
      </c>
      <c r="C5715" s="428" t="s">
        <v>4180</v>
      </c>
      <c r="D5715" s="50" t="s">
        <v>3478</v>
      </c>
      <c r="E5715" s="264">
        <f>G5694</f>
        <v>158.4</v>
      </c>
      <c r="F5715" s="243">
        <f>'BASIC DATA'!$D$99</f>
        <v>55</v>
      </c>
      <c r="G5715" s="50">
        <f t="shared" si="87"/>
        <v>8712</v>
      </c>
      <c r="H5715" s="61"/>
      <c r="I5715" s="61"/>
    </row>
    <row r="5716" spans="1:9">
      <c r="A5716" s="848"/>
      <c r="B5716" s="240">
        <v>5</v>
      </c>
      <c r="C5716" s="428" t="s">
        <v>959</v>
      </c>
      <c r="D5716" s="50" t="s">
        <v>3483</v>
      </c>
      <c r="E5716" s="264">
        <f>H5695</f>
        <v>533</v>
      </c>
      <c r="F5716" s="243">
        <f>'BASIC DATA'!$D$88</f>
        <v>45</v>
      </c>
      <c r="G5716" s="50">
        <f t="shared" si="87"/>
        <v>23985</v>
      </c>
      <c r="H5716" s="61"/>
      <c r="I5716" s="61"/>
    </row>
    <row r="5717" spans="1:9">
      <c r="A5717" s="848"/>
      <c r="B5717" s="240">
        <v>6</v>
      </c>
      <c r="C5717" s="428" t="s">
        <v>4181</v>
      </c>
      <c r="D5717" s="50" t="s">
        <v>3479</v>
      </c>
      <c r="E5717" s="264">
        <f>G5688</f>
        <v>800</v>
      </c>
      <c r="F5717" s="400">
        <f>G5704</f>
        <v>0.87749999999999995</v>
      </c>
      <c r="G5717" s="50">
        <f t="shared" si="87"/>
        <v>702</v>
      </c>
      <c r="H5717" s="61"/>
      <c r="I5717" s="61"/>
    </row>
    <row r="5718" spans="1:9">
      <c r="A5718" s="848"/>
      <c r="B5718" s="593"/>
      <c r="C5718" s="431" t="s">
        <v>2114</v>
      </c>
      <c r="D5718" s="277"/>
      <c r="E5718" s="277"/>
      <c r="F5718" s="277" t="s">
        <v>4108</v>
      </c>
      <c r="G5718" s="442">
        <f>SUM(G5711:G5717)</f>
        <v>368124.6</v>
      </c>
      <c r="H5718" s="61"/>
      <c r="I5718" s="61"/>
    </row>
    <row r="5719" spans="1:9">
      <c r="A5719" s="848"/>
      <c r="B5719" s="382"/>
      <c r="C5719" s="49"/>
      <c r="D5719" s="61"/>
      <c r="E5719" s="61"/>
      <c r="F5719" s="61"/>
      <c r="G5719" s="61"/>
      <c r="H5719" s="61"/>
      <c r="I5719" s="61"/>
    </row>
    <row r="5720" spans="1:9">
      <c r="A5720" s="848"/>
      <c r="B5720" s="588" t="s">
        <v>6443</v>
      </c>
      <c r="C5720" s="49"/>
      <c r="D5720" s="61"/>
      <c r="E5720" s="61"/>
      <c r="F5720" s="61"/>
      <c r="G5720" s="61"/>
      <c r="H5720" s="61"/>
      <c r="I5720" s="61"/>
    </row>
    <row r="5721" spans="1:9">
      <c r="A5721" s="848"/>
      <c r="B5721" s="295" t="s">
        <v>4442</v>
      </c>
      <c r="C5721" s="443" t="s">
        <v>4443</v>
      </c>
      <c r="D5721" s="295" t="s">
        <v>2370</v>
      </c>
      <c r="E5721" s="295" t="s">
        <v>4444</v>
      </c>
      <c r="F5721" s="295" t="s">
        <v>6247</v>
      </c>
      <c r="G5721" s="295" t="s">
        <v>6665</v>
      </c>
      <c r="H5721" s="61"/>
      <c r="I5721" s="61"/>
    </row>
    <row r="5722" spans="1:9">
      <c r="A5722" s="848"/>
      <c r="B5722" s="308">
        <v>1</v>
      </c>
      <c r="C5722" s="441" t="s">
        <v>2135</v>
      </c>
      <c r="D5722" s="297" t="s">
        <v>2374</v>
      </c>
      <c r="E5722" s="281">
        <v>8</v>
      </c>
      <c r="F5722" s="266">
        <f>'HIRE CHARGES'!$D$501</f>
        <v>405.4</v>
      </c>
      <c r="G5722" s="61">
        <f t="shared" ref="G5722:G5736" si="88">F5722*E5722</f>
        <v>3243.2</v>
      </c>
      <c r="H5722" s="61"/>
      <c r="I5722" s="61"/>
    </row>
    <row r="5723" spans="1:9">
      <c r="A5723" s="848"/>
      <c r="B5723" s="444">
        <v>2</v>
      </c>
      <c r="C5723" s="428" t="s">
        <v>2336</v>
      </c>
      <c r="D5723" s="254" t="s">
        <v>2374</v>
      </c>
      <c r="E5723" s="255">
        <v>24</v>
      </c>
      <c r="F5723" s="266">
        <f>'HIRE CHARGES'!$D$492</f>
        <v>758.40000000000009</v>
      </c>
      <c r="G5723" s="61">
        <f t="shared" si="88"/>
        <v>18201.600000000002</v>
      </c>
      <c r="H5723" s="61"/>
      <c r="I5723" s="61"/>
    </row>
    <row r="5724" spans="1:9">
      <c r="A5724" s="848"/>
      <c r="B5724" s="594" t="s">
        <v>5785</v>
      </c>
      <c r="C5724" s="428" t="s">
        <v>2379</v>
      </c>
      <c r="D5724" s="254" t="s">
        <v>2374</v>
      </c>
      <c r="E5724" s="255">
        <v>24</v>
      </c>
      <c r="F5724" s="266">
        <f>'HIRE CHARGES'!$E$492</f>
        <v>872.7</v>
      </c>
      <c r="G5724" s="61">
        <f t="shared" si="88"/>
        <v>20944.800000000003</v>
      </c>
      <c r="H5724" s="61"/>
      <c r="I5724" s="61"/>
    </row>
    <row r="5725" spans="1:9">
      <c r="A5725" s="848"/>
      <c r="B5725" s="444">
        <v>3</v>
      </c>
      <c r="C5725" s="428" t="s">
        <v>2337</v>
      </c>
      <c r="D5725" s="254" t="s">
        <v>2374</v>
      </c>
      <c r="E5725" s="255">
        <v>5</v>
      </c>
      <c r="F5725" s="266">
        <f>'HIRE CHARGES'!$D$511</f>
        <v>356.5</v>
      </c>
      <c r="G5725" s="61">
        <f t="shared" si="88"/>
        <v>1782.5</v>
      </c>
      <c r="H5725" s="61"/>
      <c r="I5725" s="61"/>
    </row>
    <row r="5726" spans="1:9">
      <c r="A5726" s="848"/>
      <c r="B5726" s="594" t="s">
        <v>5785</v>
      </c>
      <c r="C5726" s="428" t="s">
        <v>6444</v>
      </c>
      <c r="D5726" s="254" t="s">
        <v>2374</v>
      </c>
      <c r="E5726" s="255">
        <v>5</v>
      </c>
      <c r="F5726" s="256">
        <f>F5725*5%</f>
        <v>17.824999999999999</v>
      </c>
      <c r="G5726" s="61">
        <f t="shared" si="88"/>
        <v>89.125</v>
      </c>
      <c r="H5726" s="61"/>
      <c r="I5726" s="61"/>
    </row>
    <row r="5727" spans="1:9">
      <c r="A5727" s="848"/>
      <c r="B5727" s="444">
        <v>4</v>
      </c>
      <c r="C5727" s="428" t="s">
        <v>2338</v>
      </c>
      <c r="D5727" s="254" t="s">
        <v>2374</v>
      </c>
      <c r="E5727" s="255">
        <v>8</v>
      </c>
      <c r="F5727" s="266">
        <f>'HIRE CHARGES'!$D$515</f>
        <v>85.1</v>
      </c>
      <c r="G5727" s="61">
        <f t="shared" si="88"/>
        <v>680.8</v>
      </c>
      <c r="H5727" s="61"/>
      <c r="I5727" s="61"/>
    </row>
    <row r="5728" spans="1:9">
      <c r="A5728" s="848"/>
      <c r="B5728" s="594" t="s">
        <v>5785</v>
      </c>
      <c r="C5728" s="428" t="s">
        <v>2379</v>
      </c>
      <c r="D5728" s="254" t="s">
        <v>2374</v>
      </c>
      <c r="E5728" s="255">
        <v>8</v>
      </c>
      <c r="F5728" s="266">
        <f>'HIRE CHARGES'!$E$515</f>
        <v>952.1</v>
      </c>
      <c r="G5728" s="61">
        <f t="shared" si="88"/>
        <v>7616.8</v>
      </c>
      <c r="H5728" s="61"/>
      <c r="I5728" s="61"/>
    </row>
    <row r="5729" spans="1:9">
      <c r="A5729" s="848"/>
      <c r="B5729" s="444">
        <v>5</v>
      </c>
      <c r="C5729" s="428" t="s">
        <v>2339</v>
      </c>
      <c r="D5729" s="254" t="s">
        <v>2374</v>
      </c>
      <c r="E5729" s="255">
        <v>8</v>
      </c>
      <c r="F5729" s="266">
        <f>'HIRE CHARGES'!$D$514</f>
        <v>65.8</v>
      </c>
      <c r="G5729" s="61">
        <f t="shared" si="88"/>
        <v>526.4</v>
      </c>
      <c r="H5729" s="61"/>
      <c r="I5729" s="61"/>
    </row>
    <row r="5730" spans="1:9">
      <c r="A5730" s="848"/>
      <c r="B5730" s="594"/>
      <c r="C5730" s="428" t="s">
        <v>2379</v>
      </c>
      <c r="D5730" s="254" t="s">
        <v>2374</v>
      </c>
      <c r="E5730" s="255">
        <v>8</v>
      </c>
      <c r="F5730" s="266">
        <f>'HIRE CHARGES'!$E$514</f>
        <v>634.70000000000005</v>
      </c>
      <c r="G5730" s="61">
        <f t="shared" si="88"/>
        <v>5077.6000000000004</v>
      </c>
      <c r="H5730" s="61"/>
      <c r="I5730" s="61"/>
    </row>
    <row r="5731" spans="1:9">
      <c r="A5731" s="848"/>
      <c r="B5731" s="444">
        <v>6</v>
      </c>
      <c r="C5731" s="422" t="s">
        <v>2340</v>
      </c>
      <c r="D5731" s="426" t="s">
        <v>2374</v>
      </c>
      <c r="E5731" s="419">
        <v>2</v>
      </c>
      <c r="F5731" s="419">
        <f>'HIRE CHARGES'!$D$542</f>
        <v>1003.1</v>
      </c>
      <c r="G5731" s="427">
        <f t="shared" si="88"/>
        <v>2006.2</v>
      </c>
      <c r="H5731" s="61"/>
      <c r="I5731" s="61"/>
    </row>
    <row r="5732" spans="1:9">
      <c r="A5732" s="848"/>
      <c r="B5732" s="594"/>
      <c r="C5732" s="428" t="s">
        <v>2379</v>
      </c>
      <c r="D5732" s="429" t="s">
        <v>2374</v>
      </c>
      <c r="E5732" s="421">
        <v>2</v>
      </c>
      <c r="F5732" s="419">
        <f>'HIRE CHARGES'!$E$542</f>
        <v>476</v>
      </c>
      <c r="G5732" s="427">
        <f t="shared" si="88"/>
        <v>952</v>
      </c>
      <c r="H5732" s="61"/>
      <c r="I5732" s="61"/>
    </row>
    <row r="5733" spans="1:9">
      <c r="A5733" s="848"/>
      <c r="B5733" s="444">
        <v>7</v>
      </c>
      <c r="C5733" s="428" t="s">
        <v>2341</v>
      </c>
      <c r="D5733" s="254" t="s">
        <v>2374</v>
      </c>
      <c r="E5733" s="255">
        <v>8</v>
      </c>
      <c r="F5733" s="255">
        <f>'HIRE CHARGES'!$D$555</f>
        <v>402.5</v>
      </c>
      <c r="G5733" s="61">
        <f t="shared" si="88"/>
        <v>3220</v>
      </c>
      <c r="H5733" s="61"/>
      <c r="I5733" s="61"/>
    </row>
    <row r="5734" spans="1:9">
      <c r="A5734" s="848"/>
      <c r="B5734" s="594"/>
      <c r="C5734" s="428" t="s">
        <v>2379</v>
      </c>
      <c r="D5734" s="254" t="s">
        <v>2374</v>
      </c>
      <c r="E5734" s="255">
        <v>8</v>
      </c>
      <c r="F5734" s="255">
        <f>'HIRE CHARGES'!$E$555</f>
        <v>299.89999999999998</v>
      </c>
      <c r="G5734" s="61">
        <f t="shared" si="88"/>
        <v>2399.1999999999998</v>
      </c>
      <c r="H5734" s="61"/>
      <c r="I5734" s="61"/>
    </row>
    <row r="5735" spans="1:9" ht="36">
      <c r="A5735" s="848"/>
      <c r="B5735" s="444">
        <v>8</v>
      </c>
      <c r="C5735" s="428" t="s">
        <v>5786</v>
      </c>
      <c r="D5735" s="254" t="s">
        <v>2374</v>
      </c>
      <c r="E5735" s="255">
        <v>8</v>
      </c>
      <c r="F5735" s="266">
        <f>'HIRE CHARGES'!$D$517</f>
        <v>10.199999999999999</v>
      </c>
      <c r="G5735" s="61">
        <f t="shared" si="88"/>
        <v>81.599999999999994</v>
      </c>
      <c r="H5735" s="61"/>
      <c r="I5735" s="61"/>
    </row>
    <row r="5736" spans="1:9">
      <c r="A5736" s="848"/>
      <c r="B5736" s="595"/>
      <c r="C5736" s="428" t="s">
        <v>2379</v>
      </c>
      <c r="D5736" s="254" t="s">
        <v>2374</v>
      </c>
      <c r="E5736" s="255">
        <v>8</v>
      </c>
      <c r="F5736" s="266">
        <f>'HIRE CHARGES'!$E$517</f>
        <v>79.3</v>
      </c>
      <c r="G5736" s="61">
        <f t="shared" si="88"/>
        <v>634.4</v>
      </c>
      <c r="H5736" s="61"/>
      <c r="I5736" s="61"/>
    </row>
    <row r="5737" spans="1:9">
      <c r="A5737" s="848"/>
      <c r="B5737" s="596"/>
      <c r="C5737" s="445" t="s">
        <v>6445</v>
      </c>
      <c r="D5737" s="388"/>
      <c r="E5737" s="388"/>
      <c r="F5737" s="388" t="s">
        <v>4108</v>
      </c>
      <c r="G5737" s="384">
        <f>SUM(G5722:G5736)</f>
        <v>67456.225000000006</v>
      </c>
      <c r="H5737" s="61"/>
      <c r="I5737" s="61"/>
    </row>
    <row r="5738" spans="1:9">
      <c r="A5738" s="848"/>
      <c r="B5738" s="382"/>
      <c r="C5738" s="49"/>
      <c r="D5738" s="61"/>
      <c r="E5738" s="61"/>
      <c r="F5738" s="61"/>
      <c r="G5738" s="61"/>
      <c r="H5738" s="61"/>
      <c r="I5738" s="61"/>
    </row>
    <row r="5739" spans="1:9">
      <c r="A5739" s="847"/>
      <c r="B5739" s="592" t="s">
        <v>2381</v>
      </c>
      <c r="C5739" s="110"/>
      <c r="D5739" s="95"/>
      <c r="E5739" s="178"/>
      <c r="F5739" s="179"/>
      <c r="G5739" s="179"/>
    </row>
    <row r="5740" spans="1:9">
      <c r="A5740" s="847"/>
      <c r="B5740" s="153" t="s">
        <v>2369</v>
      </c>
      <c r="C5740" s="110" t="s">
        <v>2378</v>
      </c>
      <c r="D5740" s="95" t="s">
        <v>2370</v>
      </c>
      <c r="E5740" s="178" t="s">
        <v>1166</v>
      </c>
      <c r="F5740" s="179" t="s">
        <v>2371</v>
      </c>
      <c r="G5740" s="179" t="s">
        <v>2372</v>
      </c>
    </row>
    <row r="5741" spans="1:9">
      <c r="A5741" s="847"/>
      <c r="B5741" s="226"/>
      <c r="C5741" s="119"/>
      <c r="D5741" s="114"/>
      <c r="E5741" s="181"/>
      <c r="F5741" s="182" t="s">
        <v>3485</v>
      </c>
      <c r="G5741" s="190" t="s">
        <v>3485</v>
      </c>
    </row>
    <row r="5742" spans="1:9">
      <c r="A5742" s="847"/>
      <c r="B5742" s="95">
        <v>1</v>
      </c>
      <c r="C5742" s="86" t="s">
        <v>158</v>
      </c>
      <c r="D5742" s="105" t="s">
        <v>2374</v>
      </c>
      <c r="E5742" s="207">
        <v>8</v>
      </c>
      <c r="F5742" s="190">
        <f>'HIRE CHARGES'!$F$501</f>
        <v>340.6</v>
      </c>
      <c r="G5742" s="190">
        <f>F5742*E5742</f>
        <v>2724.8</v>
      </c>
    </row>
    <row r="5743" spans="1:9">
      <c r="A5743" s="847"/>
      <c r="B5743" s="105">
        <v>2</v>
      </c>
      <c r="C5743" s="137" t="s">
        <v>1062</v>
      </c>
      <c r="D5743" s="276" t="s">
        <v>2374</v>
      </c>
      <c r="E5743" s="207">
        <v>24</v>
      </c>
      <c r="F5743" s="214">
        <f>'HIRE CHARGES'!$F$492</f>
        <v>283.89999999999998</v>
      </c>
      <c r="G5743" s="190">
        <f t="shared" ref="G5743:G5755" si="89">F5743*E5743</f>
        <v>6813.5999999999995</v>
      </c>
    </row>
    <row r="5744" spans="1:9">
      <c r="A5744" s="847"/>
      <c r="B5744" s="105">
        <v>3</v>
      </c>
      <c r="C5744" s="137" t="s">
        <v>1063</v>
      </c>
      <c r="D5744" s="276" t="s">
        <v>2374</v>
      </c>
      <c r="E5744" s="207">
        <v>8</v>
      </c>
      <c r="F5744" s="221">
        <f>'HIRE CHARGES'!$F$511</f>
        <v>421.8</v>
      </c>
      <c r="G5744" s="190">
        <f t="shared" si="89"/>
        <v>3374.4</v>
      </c>
    </row>
    <row r="5745" spans="1:9">
      <c r="A5745" s="847"/>
      <c r="B5745" s="105">
        <v>4</v>
      </c>
      <c r="C5745" s="137" t="s">
        <v>1064</v>
      </c>
      <c r="D5745" s="276" t="s">
        <v>2374</v>
      </c>
      <c r="E5745" s="207">
        <v>16</v>
      </c>
      <c r="F5745" s="214">
        <f>'HIRE CHARGES'!$F$515</f>
        <v>131.80000000000001</v>
      </c>
      <c r="G5745" s="190">
        <f t="shared" si="89"/>
        <v>2108.8000000000002</v>
      </c>
    </row>
    <row r="5746" spans="1:9">
      <c r="A5746" s="847"/>
      <c r="B5746" s="105">
        <v>5</v>
      </c>
      <c r="C5746" s="137" t="s">
        <v>300</v>
      </c>
      <c r="D5746" s="105" t="s">
        <v>2374</v>
      </c>
      <c r="E5746" s="190">
        <v>2</v>
      </c>
      <c r="F5746" s="190">
        <f>'HIRE CHARGES'!$F$542</f>
        <v>236.6</v>
      </c>
      <c r="G5746" s="190">
        <f t="shared" si="89"/>
        <v>473.2</v>
      </c>
    </row>
    <row r="5747" spans="1:9">
      <c r="A5747" s="847"/>
      <c r="B5747" s="105">
        <v>6</v>
      </c>
      <c r="C5747" s="137" t="s">
        <v>1000</v>
      </c>
      <c r="D5747" s="105" t="s">
        <v>2374</v>
      </c>
      <c r="E5747" s="210">
        <v>8</v>
      </c>
      <c r="F5747" s="430">
        <f>'HIRE CHARGES'!$F$555</f>
        <v>177.5</v>
      </c>
      <c r="G5747" s="190">
        <f t="shared" si="89"/>
        <v>1420</v>
      </c>
    </row>
    <row r="5748" spans="1:9">
      <c r="A5748" s="847"/>
      <c r="B5748" s="105">
        <v>7</v>
      </c>
      <c r="C5748" s="422" t="s">
        <v>999</v>
      </c>
      <c r="D5748" s="105" t="s">
        <v>2374</v>
      </c>
      <c r="E5748" s="210">
        <v>8</v>
      </c>
      <c r="F5748" s="190">
        <f>'HIRE CHARGES'!$F$517</f>
        <v>111.1</v>
      </c>
      <c r="G5748" s="190">
        <f t="shared" si="89"/>
        <v>888.8</v>
      </c>
    </row>
    <row r="5749" spans="1:9">
      <c r="A5749" s="847"/>
      <c r="B5749" s="105">
        <v>8</v>
      </c>
      <c r="C5749" s="422" t="s">
        <v>5606</v>
      </c>
      <c r="D5749" s="105" t="s">
        <v>1172</v>
      </c>
      <c r="E5749" s="210">
        <v>2</v>
      </c>
      <c r="F5749" s="190">
        <f>'BASIC DATA'!$C$474</f>
        <v>445</v>
      </c>
      <c r="G5749" s="190">
        <f t="shared" si="89"/>
        <v>890</v>
      </c>
    </row>
    <row r="5750" spans="1:9">
      <c r="A5750" s="847"/>
      <c r="B5750" s="105">
        <v>9</v>
      </c>
      <c r="C5750" s="422" t="s">
        <v>1065</v>
      </c>
      <c r="D5750" s="105" t="s">
        <v>1172</v>
      </c>
      <c r="E5750" s="210">
        <v>1</v>
      </c>
      <c r="F5750" s="190">
        <f>'BASIC DATA'!$C$475</f>
        <v>475</v>
      </c>
      <c r="G5750" s="190">
        <f t="shared" si="89"/>
        <v>475</v>
      </c>
    </row>
    <row r="5751" spans="1:9">
      <c r="A5751" s="847"/>
      <c r="B5751" s="105">
        <v>10</v>
      </c>
      <c r="C5751" s="422" t="s">
        <v>1066</v>
      </c>
      <c r="D5751" s="105" t="s">
        <v>1172</v>
      </c>
      <c r="E5751" s="210">
        <v>1</v>
      </c>
      <c r="F5751" s="190">
        <f>'BASIC DATA'!$C$475</f>
        <v>475</v>
      </c>
      <c r="G5751" s="190">
        <f t="shared" si="89"/>
        <v>475</v>
      </c>
    </row>
    <row r="5752" spans="1:9">
      <c r="A5752" s="847"/>
      <c r="B5752" s="105">
        <v>11</v>
      </c>
      <c r="C5752" s="422" t="s">
        <v>5604</v>
      </c>
      <c r="D5752" s="105" t="s">
        <v>1172</v>
      </c>
      <c r="E5752" s="210">
        <v>1</v>
      </c>
      <c r="F5752" s="214">
        <f>'BASIC DATA'!$C$468</f>
        <v>515</v>
      </c>
      <c r="G5752" s="190">
        <f t="shared" si="89"/>
        <v>515</v>
      </c>
    </row>
    <row r="5753" spans="1:9">
      <c r="A5753" s="847"/>
      <c r="B5753" s="105">
        <v>12</v>
      </c>
      <c r="C5753" s="422" t="s">
        <v>4206</v>
      </c>
      <c r="D5753" s="105" t="s">
        <v>1172</v>
      </c>
      <c r="E5753" s="210">
        <v>2</v>
      </c>
      <c r="F5753" s="190">
        <f>'BASIC DATA'!$C$473</f>
        <v>450</v>
      </c>
      <c r="G5753" s="190">
        <f t="shared" si="89"/>
        <v>900</v>
      </c>
    </row>
    <row r="5754" spans="1:9">
      <c r="A5754" s="847"/>
      <c r="B5754" s="105">
        <v>13</v>
      </c>
      <c r="C5754" s="422" t="s">
        <v>1808</v>
      </c>
      <c r="D5754" s="105" t="s">
        <v>1172</v>
      </c>
      <c r="E5754" s="210">
        <v>5</v>
      </c>
      <c r="F5754" s="190">
        <f>'BASIC DATA'!$C$552</f>
        <v>350</v>
      </c>
      <c r="G5754" s="190">
        <f t="shared" si="89"/>
        <v>1750</v>
      </c>
    </row>
    <row r="5755" spans="1:9">
      <c r="A5755" s="847"/>
      <c r="B5755" s="237">
        <v>14</v>
      </c>
      <c r="C5755" s="431" t="s">
        <v>1809</v>
      </c>
      <c r="D5755" s="237" t="s">
        <v>1172</v>
      </c>
      <c r="E5755" s="277">
        <v>10</v>
      </c>
      <c r="F5755" s="190">
        <f>'BASIC DATA'!$C$552</f>
        <v>350</v>
      </c>
      <c r="G5755" s="190">
        <f t="shared" si="89"/>
        <v>3500</v>
      </c>
      <c r="H5755" s="61"/>
      <c r="I5755" s="61"/>
    </row>
    <row r="5756" spans="1:9">
      <c r="A5756" s="847"/>
      <c r="B5756" s="158"/>
      <c r="C5756" s="406" t="s">
        <v>1174</v>
      </c>
      <c r="D5756" s="159"/>
      <c r="E5756" s="159"/>
      <c r="F5756" s="159" t="s">
        <v>1698</v>
      </c>
      <c r="G5756" s="407">
        <f>SUM(G5742:G5755)</f>
        <v>26308.6</v>
      </c>
    </row>
    <row r="5757" spans="1:9">
      <c r="A5757" s="848"/>
      <c r="B5757" s="359" t="s">
        <v>5948</v>
      </c>
      <c r="C5757" s="49"/>
      <c r="D5757" s="31"/>
      <c r="E5757" s="85">
        <f>ROUND(G5756/F5708,1)</f>
        <v>32.9</v>
      </c>
      <c r="F5757" s="61"/>
      <c r="G5757" s="61"/>
      <c r="H5757" s="61"/>
      <c r="I5757" s="61"/>
    </row>
    <row r="5758" spans="1:9">
      <c r="A5758" s="848"/>
      <c r="B5758" s="359" t="s">
        <v>3163</v>
      </c>
      <c r="C5758" s="49"/>
      <c r="D5758" s="922">
        <f>'BASIC DATA'!$C$577</f>
        <v>0.13614999999999999</v>
      </c>
      <c r="E5758" s="85">
        <f>ROUND(E5757*D5758,1)</f>
        <v>4.5</v>
      </c>
      <c r="F5758" s="61"/>
      <c r="G5758" s="61"/>
      <c r="H5758" s="61"/>
      <c r="I5758" s="61"/>
    </row>
    <row r="5759" spans="1:9">
      <c r="A5759" s="848"/>
      <c r="B5759" s="359" t="s">
        <v>5949</v>
      </c>
      <c r="C5759" s="49"/>
      <c r="D5759" s="31"/>
      <c r="E5759" s="199">
        <f>ROUND(E5758+E5757,1)</f>
        <v>37.4</v>
      </c>
      <c r="F5759" s="61"/>
      <c r="G5759" s="61"/>
      <c r="H5759" s="61"/>
      <c r="I5759" s="61"/>
    </row>
    <row r="5760" spans="1:9">
      <c r="A5760" s="848"/>
      <c r="B5760" s="382"/>
      <c r="C5760" s="49"/>
      <c r="D5760" s="61"/>
      <c r="E5760" s="61"/>
      <c r="F5760" s="61"/>
      <c r="G5760" s="223"/>
      <c r="H5760" s="61"/>
      <c r="I5760" s="61"/>
    </row>
    <row r="5761" spans="1:9">
      <c r="A5761" s="848"/>
      <c r="B5761" s="382" t="s">
        <v>6765</v>
      </c>
      <c r="C5761" s="49"/>
      <c r="D5761" s="61"/>
      <c r="E5761" s="61"/>
      <c r="F5761" s="61"/>
      <c r="G5761" s="61"/>
      <c r="H5761" s="61"/>
      <c r="I5761" s="61"/>
    </row>
    <row r="5762" spans="1:9">
      <c r="A5762" s="848"/>
      <c r="B5762" s="382" t="s">
        <v>1176</v>
      </c>
      <c r="C5762" s="49"/>
      <c r="D5762" s="61"/>
      <c r="E5762" s="61"/>
      <c r="F5762" s="61" t="s">
        <v>4108</v>
      </c>
      <c r="G5762" s="223">
        <f>G5718</f>
        <v>368124.6</v>
      </c>
      <c r="H5762" s="61"/>
      <c r="I5762" s="61"/>
    </row>
    <row r="5763" spans="1:9">
      <c r="A5763" s="848"/>
      <c r="B5763" s="382" t="s">
        <v>1186</v>
      </c>
      <c r="C5763" s="49"/>
      <c r="D5763" s="61"/>
      <c r="E5763" s="61"/>
      <c r="F5763" s="61" t="s">
        <v>4108</v>
      </c>
      <c r="G5763" s="223">
        <f>G5737</f>
        <v>67456.225000000006</v>
      </c>
      <c r="H5763" s="61"/>
      <c r="I5763" s="61"/>
    </row>
    <row r="5764" spans="1:9">
      <c r="A5764" s="848"/>
      <c r="B5764" s="382" t="s">
        <v>2660</v>
      </c>
      <c r="C5764" s="49"/>
      <c r="D5764" s="61"/>
      <c r="E5764" s="61"/>
      <c r="F5764" s="61" t="s">
        <v>4108</v>
      </c>
      <c r="G5764" s="223">
        <f>G5756</f>
        <v>26308.6</v>
      </c>
      <c r="H5764" s="61"/>
      <c r="I5764" s="61"/>
    </row>
    <row r="5765" spans="1:9">
      <c r="A5765" s="848"/>
      <c r="B5765" s="382"/>
      <c r="C5765" s="49"/>
      <c r="D5765" s="61"/>
      <c r="E5765" s="61"/>
      <c r="F5765" s="61" t="s">
        <v>5787</v>
      </c>
      <c r="G5765" s="381">
        <f>SUM(G5762:G5764)</f>
        <v>461889.42499999993</v>
      </c>
      <c r="H5765" s="61"/>
      <c r="I5765" s="61"/>
    </row>
    <row r="5766" spans="1:9">
      <c r="A5766" s="848"/>
      <c r="B5766" s="382" t="s">
        <v>1067</v>
      </c>
      <c r="C5766" s="49"/>
      <c r="D5766" s="61"/>
      <c r="E5766" s="290">
        <f>'BASIC DATA'!$C$580</f>
        <v>0.02</v>
      </c>
      <c r="F5766" s="61" t="s">
        <v>4108</v>
      </c>
      <c r="G5766" s="61">
        <f>ROUND(G5765*E5766,2)</f>
        <v>9237.7900000000009</v>
      </c>
      <c r="H5766" s="61"/>
      <c r="I5766" s="61"/>
    </row>
    <row r="5767" spans="1:9">
      <c r="A5767" s="848"/>
      <c r="B5767" s="382" t="s">
        <v>5859</v>
      </c>
      <c r="C5767" s="49"/>
      <c r="D5767" s="61"/>
      <c r="E5767" s="423">
        <f>'BASIC DATA'!$C$581</f>
        <v>5.0000000000000001E-3</v>
      </c>
      <c r="F5767" s="61" t="s">
        <v>4108</v>
      </c>
      <c r="G5767" s="61">
        <f>ROUND(G5765*E5767,2)</f>
        <v>2309.4499999999998</v>
      </c>
      <c r="H5767" s="61"/>
      <c r="I5767" s="61"/>
    </row>
    <row r="5768" spans="1:9">
      <c r="A5768" s="848"/>
      <c r="B5768" s="382" t="s">
        <v>1036</v>
      </c>
      <c r="C5768" s="49"/>
      <c r="D5768" s="61"/>
      <c r="E5768" s="290">
        <f>'BASIC DATA'!$C$582</f>
        <v>0.01</v>
      </c>
      <c r="F5768" s="61" t="s">
        <v>4108</v>
      </c>
      <c r="G5768" s="61">
        <f>ROUND(G5765*E5768,2)</f>
        <v>4618.8900000000003</v>
      </c>
      <c r="H5768" s="61"/>
      <c r="I5768" s="61"/>
    </row>
    <row r="5769" spans="1:9">
      <c r="A5769" s="847"/>
      <c r="B5769" s="78"/>
      <c r="C5769" s="48"/>
      <c r="E5769" s="261"/>
      <c r="F5769" s="171" t="s">
        <v>302</v>
      </c>
      <c r="G5769" s="205">
        <f>SUM(G5765:G5768)</f>
        <v>478055.55499999993</v>
      </c>
    </row>
    <row r="5770" spans="1:9">
      <c r="A5770" s="847"/>
      <c r="B5770" s="1207" t="s">
        <v>5888</v>
      </c>
      <c r="C5770" s="1207"/>
      <c r="D5770" s="1207"/>
      <c r="E5770" s="922">
        <f>'BASIC DATA'!$C$577</f>
        <v>0.13614999999999999</v>
      </c>
      <c r="F5770" s="171" t="s">
        <v>1698</v>
      </c>
      <c r="G5770" s="31">
        <f>ROUND(G5769*E5770,2)</f>
        <v>65087.26</v>
      </c>
    </row>
    <row r="5771" spans="1:9">
      <c r="A5771" s="847"/>
      <c r="B5771" s="27" t="s">
        <v>9590</v>
      </c>
      <c r="C5771" s="43"/>
      <c r="D5771" s="779">
        <f>E5714</f>
        <v>58.08</v>
      </c>
      <c r="E5771" s="201" t="s">
        <v>9591</v>
      </c>
      <c r="F5771" s="68" t="str">
        <f>CONCATENATE((leadcharges!$D$65)," ","Rs./Cum")</f>
        <v>31.5 Rs./Cum</v>
      </c>
      <c r="G5771" s="200">
        <f>leadcharges!$D$65*D5771</f>
        <v>1829.52</v>
      </c>
    </row>
    <row r="5772" spans="1:9">
      <c r="A5772" s="847"/>
      <c r="B5772" s="27" t="s">
        <v>9589</v>
      </c>
      <c r="C5772" s="43"/>
      <c r="D5772" s="779">
        <f>SUM(E5712:E5713)</f>
        <v>105.60000000000002</v>
      </c>
      <c r="E5772" s="201" t="s">
        <v>9591</v>
      </c>
      <c r="F5772" s="68" t="str">
        <f>CONCATENATE((leadcharges!$E$65)," ","Rs./Cum")</f>
        <v>30.4 Rs./Cum</v>
      </c>
      <c r="G5772" s="294">
        <f>leadcharges!$E$65*D5772</f>
        <v>3210.2400000000007</v>
      </c>
    </row>
    <row r="5773" spans="1:9" ht="37.5" hidden="1" customHeight="1">
      <c r="A5773" s="847"/>
      <c r="B5773" s="1207"/>
      <c r="C5773" s="1207"/>
      <c r="D5773" s="779"/>
      <c r="E5773" s="201"/>
      <c r="F5773" s="68"/>
      <c r="G5773" s="200"/>
    </row>
    <row r="5774" spans="1:9">
      <c r="A5774" s="848"/>
      <c r="B5774" s="47" t="s">
        <v>1191</v>
      </c>
      <c r="C5774" s="48"/>
      <c r="D5774" s="68">
        <f>F5708</f>
        <v>800</v>
      </c>
      <c r="E5774" s="68" t="str">
        <f>G5708</f>
        <v xml:space="preserve">Sqm </v>
      </c>
      <c r="F5774" s="171" t="s">
        <v>1698</v>
      </c>
      <c r="G5774" s="211">
        <f>SUM(G5769:G5773)</f>
        <v>548182.57499999995</v>
      </c>
      <c r="H5774" s="61"/>
      <c r="I5774" s="61"/>
    </row>
    <row r="5775" spans="1:9">
      <c r="A5775" s="848"/>
      <c r="B5775" s="79" t="s">
        <v>1584</v>
      </c>
      <c r="C5775" s="404" t="str">
        <f>E5774</f>
        <v xml:space="preserve">Sqm </v>
      </c>
      <c r="D5775" s="26" t="s">
        <v>5889</v>
      </c>
      <c r="F5775" s="171" t="s">
        <v>4108</v>
      </c>
      <c r="G5775" s="211">
        <f>ROUND(G5774/D5774,1)</f>
        <v>685.2</v>
      </c>
      <c r="H5775" s="61"/>
      <c r="I5775" s="61"/>
    </row>
    <row r="5776" spans="1:9">
      <c r="A5776" s="847"/>
      <c r="B5776" s="78"/>
      <c r="C5776" s="48"/>
    </row>
    <row r="5777" spans="1:6">
      <c r="A5777" s="847"/>
      <c r="B5777" s="78"/>
      <c r="C5777" s="48"/>
    </row>
    <row r="5778" spans="1:6" ht="36.75">
      <c r="A5778" s="841" t="s">
        <v>7484</v>
      </c>
      <c r="B5778" s="47" t="s">
        <v>8809</v>
      </c>
      <c r="C5778" s="48"/>
    </row>
    <row r="5779" spans="1:6" ht="18.75">
      <c r="A5779" s="889"/>
      <c r="B5779" s="47" t="s">
        <v>8810</v>
      </c>
      <c r="C5779" s="48"/>
    </row>
    <row r="5780" spans="1:6" ht="18.75">
      <c r="A5780" s="889"/>
      <c r="B5780" s="47" t="s">
        <v>8811</v>
      </c>
      <c r="C5780" s="48"/>
    </row>
    <row r="5781" spans="1:6">
      <c r="A5781" s="895"/>
      <c r="B5781" s="47" t="s">
        <v>251</v>
      </c>
      <c r="C5781" s="48"/>
    </row>
    <row r="5782" spans="1:6">
      <c r="A5782" s="889"/>
      <c r="B5782" s="47" t="s">
        <v>6724</v>
      </c>
      <c r="C5782" s="48"/>
    </row>
    <row r="5783" spans="1:6" ht="18.75">
      <c r="A5783" s="889"/>
      <c r="B5783" s="47" t="s">
        <v>8812</v>
      </c>
      <c r="C5783" s="48"/>
    </row>
    <row r="5784" spans="1:6">
      <c r="A5784" s="889"/>
      <c r="C5784" s="48"/>
    </row>
    <row r="5785" spans="1:6" hidden="1">
      <c r="A5785" s="889" t="s">
        <v>3984</v>
      </c>
      <c r="B5785" s="47" t="s">
        <v>6725</v>
      </c>
      <c r="C5785" s="48"/>
    </row>
    <row r="5786" spans="1:6" hidden="1">
      <c r="A5786" s="889"/>
      <c r="B5786" s="47" t="s">
        <v>6726</v>
      </c>
      <c r="C5786" s="48"/>
    </row>
    <row r="5787" spans="1:6" hidden="1">
      <c r="A5787" s="889"/>
      <c r="B5787" s="47" t="s">
        <v>6727</v>
      </c>
      <c r="C5787" s="48"/>
      <c r="D5787" s="26" t="s">
        <v>6728</v>
      </c>
      <c r="F5787" s="26" t="s">
        <v>6729</v>
      </c>
    </row>
    <row r="5788" spans="1:6"/>
    <row r="5789" spans="1:6"/>
    <row r="5790" spans="1:6"/>
    <row r="5791" spans="1:6"/>
    <row r="5792" spans="1:6"/>
    <row r="5793" spans="1:8"/>
    <row r="5794" spans="1:8"/>
    <row r="5795" spans="1:8"/>
    <row r="5796" spans="1:8"/>
    <row r="5797" spans="1:8" hidden="1">
      <c r="A5797" s="847"/>
      <c r="B5797" s="47" t="s">
        <v>6730</v>
      </c>
      <c r="C5797" s="48"/>
      <c r="E5797" s="78" t="s">
        <v>5602</v>
      </c>
      <c r="F5797" s="78" t="s">
        <v>1697</v>
      </c>
      <c r="G5797" s="26">
        <v>3.5200000000000002E-2</v>
      </c>
      <c r="H5797" s="26" t="s">
        <v>6901</v>
      </c>
    </row>
    <row r="5798" spans="1:8" hidden="1">
      <c r="A5798" s="847"/>
      <c r="B5798" s="27" t="s">
        <v>6731</v>
      </c>
      <c r="C5798" s="48"/>
      <c r="F5798" s="78" t="s">
        <v>1697</v>
      </c>
      <c r="G5798" s="26">
        <v>8.5000000000000006E-3</v>
      </c>
      <c r="H5798" s="26" t="s">
        <v>6901</v>
      </c>
    </row>
    <row r="5799" spans="1:8" hidden="1">
      <c r="A5799" s="847"/>
      <c r="B5799" s="27" t="s">
        <v>6732</v>
      </c>
      <c r="C5799" s="48"/>
      <c r="F5799" s="78" t="s">
        <v>1697</v>
      </c>
      <c r="G5799" s="174">
        <v>1.01E-2</v>
      </c>
      <c r="H5799" s="26" t="s">
        <v>6901</v>
      </c>
    </row>
    <row r="5800" spans="1:8" hidden="1">
      <c r="A5800" s="847"/>
      <c r="C5800" s="48"/>
      <c r="E5800" s="78" t="s">
        <v>1518</v>
      </c>
      <c r="F5800" s="78" t="s">
        <v>1697</v>
      </c>
      <c r="G5800" s="26">
        <f>SUM(G5797:G5799)</f>
        <v>5.3800000000000001E-2</v>
      </c>
      <c r="H5800" s="26" t="s">
        <v>6901</v>
      </c>
    </row>
    <row r="5801" spans="1:8" hidden="1">
      <c r="A5801" s="847"/>
      <c r="C5801" s="48"/>
      <c r="F5801" s="78" t="s">
        <v>1123</v>
      </c>
      <c r="G5801" s="26">
        <v>5.3999999999999999E-2</v>
      </c>
      <c r="H5801" s="26" t="s">
        <v>6901</v>
      </c>
    </row>
    <row r="5802" spans="1:8" hidden="1">
      <c r="A5802" s="847"/>
      <c r="C5802" s="48"/>
    </row>
    <row r="5803" spans="1:8" hidden="1">
      <c r="A5803" s="847"/>
      <c r="B5803" s="47" t="s">
        <v>1492</v>
      </c>
      <c r="C5803" s="48"/>
    </row>
    <row r="5804" spans="1:8" hidden="1">
      <c r="A5804" s="847"/>
      <c r="B5804" s="47" t="s">
        <v>1493</v>
      </c>
      <c r="C5804" s="48"/>
      <c r="D5804" s="26" t="s">
        <v>1494</v>
      </c>
    </row>
    <row r="5805" spans="1:8" hidden="1">
      <c r="A5805" s="847"/>
      <c r="B5805" s="47" t="s">
        <v>1495</v>
      </c>
      <c r="C5805" s="48"/>
      <c r="D5805" s="26" t="s">
        <v>1496</v>
      </c>
    </row>
    <row r="5806" spans="1:8" hidden="1">
      <c r="A5806" s="847"/>
      <c r="B5806" s="47" t="s">
        <v>1497</v>
      </c>
      <c r="C5806" s="48"/>
      <c r="D5806" s="26" t="s">
        <v>1596</v>
      </c>
    </row>
    <row r="5807" spans="1:8" hidden="1">
      <c r="A5807" s="847"/>
      <c r="B5807" s="47" t="s">
        <v>1597</v>
      </c>
      <c r="C5807" s="48"/>
    </row>
    <row r="5808" spans="1:8" hidden="1">
      <c r="A5808" s="847"/>
      <c r="B5808" s="47" t="s">
        <v>2090</v>
      </c>
      <c r="C5808" s="48"/>
    </row>
    <row r="5809" spans="1:9" hidden="1">
      <c r="A5809" s="847"/>
      <c r="B5809" s="47" t="s">
        <v>2091</v>
      </c>
      <c r="C5809" s="48"/>
    </row>
    <row r="5810" spans="1:9" hidden="1">
      <c r="A5810" s="847"/>
      <c r="B5810" s="47" t="s">
        <v>7990</v>
      </c>
      <c r="C5810" s="48"/>
    </row>
    <row r="5811" spans="1:9" hidden="1">
      <c r="A5811" s="847"/>
      <c r="B5811" s="47" t="s">
        <v>1598</v>
      </c>
      <c r="C5811" s="48"/>
    </row>
    <row r="5812" spans="1:9" hidden="1">
      <c r="A5812" s="847"/>
      <c r="B5812" s="47" t="s">
        <v>1599</v>
      </c>
      <c r="C5812" s="48"/>
    </row>
    <row r="5813" spans="1:9" hidden="1">
      <c r="A5813" s="847"/>
      <c r="B5813" s="47" t="s">
        <v>1600</v>
      </c>
      <c r="C5813" s="48"/>
    </row>
    <row r="5814" spans="1:9" hidden="1">
      <c r="A5814" s="847"/>
      <c r="B5814" s="47" t="s">
        <v>1601</v>
      </c>
      <c r="C5814" s="48"/>
      <c r="F5814" s="78" t="s">
        <v>1602</v>
      </c>
      <c r="G5814" s="68">
        <v>46</v>
      </c>
      <c r="H5814" s="26" t="s">
        <v>3033</v>
      </c>
    </row>
    <row r="5815" spans="1:9" hidden="1">
      <c r="A5815" s="847"/>
      <c r="B5815" s="47" t="s">
        <v>1603</v>
      </c>
      <c r="C5815" s="48"/>
      <c r="F5815" s="78" t="s">
        <v>1602</v>
      </c>
      <c r="G5815" s="68">
        <v>4</v>
      </c>
      <c r="H5815" s="26" t="s">
        <v>3033</v>
      </c>
    </row>
    <row r="5816" spans="1:9" hidden="1">
      <c r="A5816" s="847"/>
      <c r="B5816" s="47" t="s">
        <v>1604</v>
      </c>
      <c r="C5816" s="48"/>
      <c r="F5816" s="78" t="s">
        <v>1602</v>
      </c>
      <c r="G5816" s="68">
        <v>39</v>
      </c>
      <c r="H5816" s="26" t="s">
        <v>3033</v>
      </c>
    </row>
    <row r="5817" spans="1:9" hidden="1">
      <c r="A5817" s="847"/>
      <c r="B5817" s="47" t="s">
        <v>1605</v>
      </c>
      <c r="C5817" s="48"/>
      <c r="F5817" s="78" t="s">
        <v>1602</v>
      </c>
      <c r="G5817" s="173">
        <v>4</v>
      </c>
      <c r="H5817" s="26" t="s">
        <v>3033</v>
      </c>
    </row>
    <row r="5818" spans="1:9" hidden="1">
      <c r="A5818" s="847"/>
      <c r="C5818" s="48"/>
      <c r="E5818" s="26" t="s">
        <v>1606</v>
      </c>
      <c r="F5818" s="78" t="s">
        <v>1697</v>
      </c>
      <c r="G5818" s="68">
        <f>SUM(G5814:G5817)</f>
        <v>93</v>
      </c>
      <c r="H5818" s="26" t="s">
        <v>3033</v>
      </c>
    </row>
    <row r="5819" spans="1:9" hidden="1">
      <c r="A5819" s="847"/>
      <c r="B5819" s="47" t="s">
        <v>1607</v>
      </c>
      <c r="C5819" s="48"/>
      <c r="D5819" s="337">
        <f>'BASIC DATA'!$D$97/1000</f>
        <v>37.5</v>
      </c>
      <c r="E5819" s="26" t="s">
        <v>1608</v>
      </c>
      <c r="F5819" s="78" t="s">
        <v>1698</v>
      </c>
      <c r="G5819" s="26">
        <v>920</v>
      </c>
    </row>
    <row r="5820" spans="1:9" hidden="1">
      <c r="A5820" s="847"/>
      <c r="B5820" s="47" t="s">
        <v>2490</v>
      </c>
      <c r="C5820" s="48"/>
      <c r="D5820" s="337">
        <f>'BASIC DATA'!$D$98/1000</f>
        <v>37.4</v>
      </c>
      <c r="E5820" s="26" t="s">
        <v>1608</v>
      </c>
      <c r="F5820" s="78" t="s">
        <v>1698</v>
      </c>
      <c r="G5820" s="26">
        <v>96</v>
      </c>
      <c r="I5820" s="49"/>
    </row>
    <row r="5821" spans="1:9" hidden="1">
      <c r="A5821" s="847"/>
      <c r="B5821" s="47" t="s">
        <v>2491</v>
      </c>
      <c r="C5821" s="48"/>
      <c r="D5821" s="337">
        <f>'BASIC DATA'!$D$98/1000</f>
        <v>37.4</v>
      </c>
      <c r="E5821" s="26" t="s">
        <v>1608</v>
      </c>
      <c r="F5821" s="78" t="s">
        <v>1698</v>
      </c>
      <c r="G5821" s="26">
        <v>936</v>
      </c>
    </row>
    <row r="5822" spans="1:9" hidden="1">
      <c r="A5822" s="847"/>
      <c r="B5822" s="47" t="s">
        <v>2492</v>
      </c>
      <c r="C5822" s="48"/>
      <c r="D5822" s="337">
        <f>'BASIC DATA'!$D$97/1000</f>
        <v>37.5</v>
      </c>
      <c r="E5822" s="26" t="s">
        <v>1608</v>
      </c>
      <c r="F5822" s="78" t="s">
        <v>1698</v>
      </c>
      <c r="G5822" s="174">
        <v>80</v>
      </c>
    </row>
    <row r="5823" spans="1:9" hidden="1">
      <c r="A5823" s="847"/>
      <c r="C5823" s="48"/>
      <c r="E5823" s="78" t="s">
        <v>1518</v>
      </c>
      <c r="F5823" s="78" t="s">
        <v>1698</v>
      </c>
      <c r="G5823" s="26">
        <f>SUM(G5819:G5822)</f>
        <v>2032</v>
      </c>
    </row>
    <row r="5824" spans="1:9" hidden="1">
      <c r="A5824" s="847"/>
      <c r="B5824" s="47" t="s">
        <v>2493</v>
      </c>
      <c r="C5824" s="48"/>
      <c r="E5824" s="78" t="s">
        <v>2494</v>
      </c>
      <c r="F5824" s="78" t="s">
        <v>1698</v>
      </c>
      <c r="G5824" s="26">
        <v>22.5</v>
      </c>
    </row>
    <row r="5825" spans="1:7" hidden="1">
      <c r="A5825" s="847"/>
      <c r="B5825" s="47" t="s">
        <v>2495</v>
      </c>
      <c r="C5825" s="48"/>
      <c r="D5825" s="186">
        <f>'BASIC DATA'!$D$358</f>
        <v>24</v>
      </c>
      <c r="E5825" s="26" t="s">
        <v>1608</v>
      </c>
      <c r="F5825" s="78" t="s">
        <v>1698</v>
      </c>
      <c r="G5825" s="174">
        <f>G5818*D5825</f>
        <v>2232</v>
      </c>
    </row>
    <row r="5826" spans="1:7" hidden="1">
      <c r="A5826" s="847"/>
      <c r="C5826" s="48"/>
      <c r="E5826" s="78" t="s">
        <v>1518</v>
      </c>
      <c r="F5826" s="78" t="s">
        <v>1698</v>
      </c>
      <c r="G5826" s="26">
        <f>SUM(G5823:G5825)</f>
        <v>4286.5</v>
      </c>
    </row>
    <row r="5827" spans="1:7" hidden="1">
      <c r="A5827" s="847"/>
      <c r="B5827" s="47" t="s">
        <v>33</v>
      </c>
      <c r="C5827" s="48"/>
      <c r="E5827" s="78" t="s">
        <v>2497</v>
      </c>
      <c r="F5827" s="78" t="s">
        <v>1698</v>
      </c>
      <c r="G5827" s="26">
        <v>-419.78</v>
      </c>
    </row>
    <row r="5828" spans="1:7" hidden="1">
      <c r="A5828" s="847"/>
      <c r="B5828" s="47" t="s">
        <v>5282</v>
      </c>
      <c r="C5828" s="48"/>
      <c r="E5828" s="78" t="s">
        <v>2494</v>
      </c>
      <c r="F5828" s="78" t="s">
        <v>1698</v>
      </c>
      <c r="G5828" s="174">
        <v>315</v>
      </c>
    </row>
    <row r="5829" spans="1:7" hidden="1">
      <c r="A5829" s="847"/>
      <c r="C5829" s="48"/>
      <c r="E5829" s="78" t="s">
        <v>1518</v>
      </c>
      <c r="F5829" s="78" t="s">
        <v>1698</v>
      </c>
      <c r="G5829" s="26">
        <f>SUM(G5826:G5828)</f>
        <v>4181.72</v>
      </c>
    </row>
    <row r="5830" spans="1:7" hidden="1">
      <c r="A5830" s="847"/>
      <c r="B5830" s="47" t="s">
        <v>5283</v>
      </c>
      <c r="C5830" s="48"/>
      <c r="E5830" s="78"/>
      <c r="F5830" s="78"/>
    </row>
    <row r="5831" spans="1:7" hidden="1">
      <c r="A5831" s="847"/>
      <c r="B5831" s="47" t="s">
        <v>4616</v>
      </c>
      <c r="C5831" s="48"/>
      <c r="D5831" s="26">
        <v>100</v>
      </c>
      <c r="E5831" s="26" t="s">
        <v>4614</v>
      </c>
      <c r="F5831" s="78" t="s">
        <v>1698</v>
      </c>
      <c r="G5831" s="68">
        <f>G5829/D5831</f>
        <v>41.8172</v>
      </c>
    </row>
    <row r="5832" spans="1:7" hidden="1">
      <c r="A5832" s="847"/>
      <c r="B5832" s="47" t="s">
        <v>4615</v>
      </c>
      <c r="C5832" s="48"/>
      <c r="D5832" s="201">
        <f>'BASIC DATA'!$C$587</f>
        <v>0.15</v>
      </c>
      <c r="F5832" s="78" t="s">
        <v>1698</v>
      </c>
      <c r="G5832" s="68">
        <f>G5831*D5832</f>
        <v>6.2725799999999996</v>
      </c>
    </row>
    <row r="5833" spans="1:7" hidden="1">
      <c r="A5833" s="847"/>
      <c r="B5833" s="47" t="s">
        <v>5284</v>
      </c>
      <c r="C5833" s="48"/>
      <c r="D5833" s="68">
        <f>'BASIC DATA'!$D$357</f>
        <v>50</v>
      </c>
      <c r="E5833" s="78" t="s">
        <v>5285</v>
      </c>
      <c r="F5833" s="78" t="s">
        <v>1698</v>
      </c>
      <c r="G5833" s="174">
        <f>D5833*0.2</f>
        <v>10</v>
      </c>
    </row>
    <row r="5834" spans="1:7" hidden="1">
      <c r="A5834" s="847"/>
      <c r="C5834" s="48"/>
      <c r="E5834" s="78" t="s">
        <v>1518</v>
      </c>
      <c r="F5834" s="78" t="s">
        <v>1698</v>
      </c>
      <c r="G5834" s="68">
        <f>SUM(G5831:G5833)</f>
        <v>58.089779999999998</v>
      </c>
    </row>
    <row r="5835" spans="1:7" hidden="1">
      <c r="A5835" s="847"/>
      <c r="B5835" s="47" t="s">
        <v>5286</v>
      </c>
      <c r="C5835" s="48"/>
      <c r="F5835" s="78" t="s">
        <v>1698</v>
      </c>
      <c r="G5835" s="68">
        <f>G5834</f>
        <v>58.089779999999998</v>
      </c>
    </row>
    <row r="5836" spans="1:7" hidden="1">
      <c r="A5836" s="847"/>
      <c r="B5836" s="47" t="s">
        <v>6923</v>
      </c>
      <c r="C5836" s="48"/>
    </row>
    <row r="5837" spans="1:7">
      <c r="A5837" s="847"/>
      <c r="B5837" s="78"/>
      <c r="C5837" s="48"/>
    </row>
    <row r="5838" spans="1:7">
      <c r="A5838" s="847" t="s">
        <v>1907</v>
      </c>
      <c r="B5838" s="78"/>
      <c r="C5838" s="349" t="s">
        <v>2367</v>
      </c>
      <c r="E5838" s="171" t="s">
        <v>297</v>
      </c>
      <c r="F5838" s="246">
        <v>20</v>
      </c>
      <c r="G5838" s="26" t="s">
        <v>6924</v>
      </c>
    </row>
    <row r="5839" spans="1:7">
      <c r="A5839" s="847"/>
      <c r="B5839" s="79" t="s">
        <v>2368</v>
      </c>
      <c r="C5839" s="48"/>
    </row>
    <row r="5840" spans="1:7">
      <c r="A5840" s="847"/>
      <c r="B5840" s="95" t="s">
        <v>2369</v>
      </c>
      <c r="C5840" s="350" t="s">
        <v>6374</v>
      </c>
      <c r="D5840" s="95" t="s">
        <v>2370</v>
      </c>
      <c r="E5840" s="95" t="s">
        <v>1166</v>
      </c>
      <c r="F5840" s="95" t="s">
        <v>2371</v>
      </c>
      <c r="G5840" s="95" t="s">
        <v>2372</v>
      </c>
    </row>
    <row r="5841" spans="1:9">
      <c r="A5841" s="847"/>
      <c r="B5841" s="114"/>
      <c r="C5841" s="351"/>
      <c r="D5841" s="114"/>
      <c r="E5841" s="114"/>
      <c r="F5841" s="114" t="s">
        <v>3485</v>
      </c>
      <c r="G5841" s="114" t="s">
        <v>3485</v>
      </c>
    </row>
    <row r="5842" spans="1:9">
      <c r="A5842" s="847"/>
      <c r="B5842" s="95">
        <v>1</v>
      </c>
      <c r="C5842" s="86" t="s">
        <v>7327</v>
      </c>
      <c r="D5842" s="95" t="s">
        <v>3478</v>
      </c>
      <c r="E5842" s="220">
        <v>310</v>
      </c>
      <c r="F5842" s="68">
        <f>'BASIC DATA'!$D$32/1000</f>
        <v>5.35</v>
      </c>
      <c r="G5842" s="26">
        <f t="shared" ref="G5842:G5849" si="90">F5842*E5842</f>
        <v>1658.5</v>
      </c>
    </row>
    <row r="5843" spans="1:9">
      <c r="A5843" s="848"/>
      <c r="B5843" s="240">
        <v>2</v>
      </c>
      <c r="C5843" s="392" t="s">
        <v>7936</v>
      </c>
      <c r="D5843" s="240" t="s">
        <v>3477</v>
      </c>
      <c r="E5843" s="256">
        <v>0.5</v>
      </c>
      <c r="F5843" s="266">
        <f>'BASIC DATA'!$D$55</f>
        <v>95</v>
      </c>
      <c r="G5843" s="61">
        <f t="shared" si="90"/>
        <v>47.5</v>
      </c>
      <c r="H5843" s="61"/>
      <c r="I5843" s="61"/>
    </row>
    <row r="5844" spans="1:9">
      <c r="A5844" s="847"/>
      <c r="B5844" s="105">
        <v>3</v>
      </c>
      <c r="C5844" s="86" t="s">
        <v>6995</v>
      </c>
      <c r="D5844" s="105" t="s">
        <v>3477</v>
      </c>
      <c r="E5844" s="220">
        <v>0.5</v>
      </c>
      <c r="F5844" s="190">
        <f>'BASIC DATA'!$D$35</f>
        <v>1225</v>
      </c>
      <c r="G5844" s="26">
        <f t="shared" si="90"/>
        <v>612.5</v>
      </c>
    </row>
    <row r="5845" spans="1:9">
      <c r="A5845" s="847"/>
      <c r="B5845" s="152"/>
      <c r="C5845" s="86" t="s">
        <v>6994</v>
      </c>
      <c r="D5845" s="105" t="s">
        <v>3477</v>
      </c>
      <c r="E5845" s="220">
        <v>0.3</v>
      </c>
      <c r="F5845" s="190">
        <f>'BASIC DATA'!$D$34</f>
        <v>900</v>
      </c>
      <c r="G5845" s="26">
        <f t="shared" si="90"/>
        <v>270</v>
      </c>
    </row>
    <row r="5846" spans="1:9">
      <c r="A5846" s="847"/>
      <c r="B5846" s="105">
        <v>4</v>
      </c>
      <c r="C5846" s="86" t="s">
        <v>961</v>
      </c>
      <c r="D5846" s="105" t="s">
        <v>3478</v>
      </c>
      <c r="E5846" s="220">
        <v>200</v>
      </c>
      <c r="F5846" s="214">
        <f>'BASIC DATA'!$D$91/1000</f>
        <v>34</v>
      </c>
      <c r="G5846" s="26">
        <f t="shared" si="90"/>
        <v>6800</v>
      </c>
    </row>
    <row r="5847" spans="1:9">
      <c r="A5847" s="847"/>
      <c r="B5847" s="105">
        <v>5</v>
      </c>
      <c r="C5847" s="86" t="s">
        <v>5730</v>
      </c>
      <c r="D5847" s="105" t="s">
        <v>3478</v>
      </c>
      <c r="E5847" s="220">
        <v>3</v>
      </c>
      <c r="F5847" s="214">
        <f>'BASIC DATA'!$D$30</f>
        <v>60</v>
      </c>
      <c r="G5847" s="26">
        <f t="shared" si="90"/>
        <v>180</v>
      </c>
    </row>
    <row r="5848" spans="1:9">
      <c r="A5848" s="847"/>
      <c r="B5848" s="105">
        <v>6</v>
      </c>
      <c r="C5848" s="86" t="s">
        <v>6926</v>
      </c>
      <c r="D5848" s="105" t="s">
        <v>6927</v>
      </c>
      <c r="E5848" s="220">
        <v>20</v>
      </c>
      <c r="F5848" s="214">
        <f>G5835</f>
        <v>58.089779999999998</v>
      </c>
      <c r="G5848" s="26">
        <f t="shared" si="90"/>
        <v>1161.7955999999999</v>
      </c>
    </row>
    <row r="5849" spans="1:9">
      <c r="A5849" s="847"/>
      <c r="B5849" s="114">
        <v>7</v>
      </c>
      <c r="C5849" s="355" t="s">
        <v>6928</v>
      </c>
      <c r="D5849" s="114" t="s">
        <v>2173</v>
      </c>
      <c r="E5849" s="220">
        <v>1</v>
      </c>
      <c r="F5849" s="190">
        <f>'BASIC DATA'!$D$359</f>
        <v>30</v>
      </c>
      <c r="G5849" s="26">
        <f t="shared" si="90"/>
        <v>30</v>
      </c>
    </row>
    <row r="5850" spans="1:9">
      <c r="A5850" s="847"/>
      <c r="B5850" s="92"/>
      <c r="C5850" s="353" t="s">
        <v>2376</v>
      </c>
      <c r="D5850" s="159"/>
      <c r="E5850" s="238"/>
      <c r="F5850" s="236" t="s">
        <v>1698</v>
      </c>
      <c r="G5850" s="318">
        <f>SUM(G5842:G5849)</f>
        <v>10760.295599999999</v>
      </c>
    </row>
    <row r="5851" spans="1:9">
      <c r="A5851" s="847"/>
      <c r="B5851" s="78"/>
      <c r="C5851" s="48"/>
    </row>
    <row r="5852" spans="1:9">
      <c r="A5852" s="847"/>
      <c r="B5852" s="79" t="s">
        <v>2377</v>
      </c>
      <c r="C5852" s="48"/>
    </row>
    <row r="5853" spans="1:9">
      <c r="A5853" s="847"/>
      <c r="B5853" s="95" t="s">
        <v>2369</v>
      </c>
      <c r="C5853" s="350" t="s">
        <v>2378</v>
      </c>
      <c r="D5853" s="95" t="s">
        <v>2370</v>
      </c>
      <c r="E5853" s="95" t="s">
        <v>1166</v>
      </c>
      <c r="F5853" s="95" t="s">
        <v>2371</v>
      </c>
      <c r="G5853" s="95" t="s">
        <v>2372</v>
      </c>
    </row>
    <row r="5854" spans="1:9">
      <c r="A5854" s="847"/>
      <c r="B5854" s="114"/>
      <c r="C5854" s="351"/>
      <c r="D5854" s="114"/>
      <c r="E5854" s="114"/>
      <c r="F5854" s="114" t="s">
        <v>3485</v>
      </c>
      <c r="G5854" s="114" t="s">
        <v>3485</v>
      </c>
    </row>
    <row r="5855" spans="1:9">
      <c r="A5855" s="847"/>
      <c r="B5855" s="95">
        <v>1</v>
      </c>
      <c r="C5855" s="86" t="s">
        <v>6929</v>
      </c>
      <c r="D5855" s="95" t="s">
        <v>2374</v>
      </c>
      <c r="E5855" s="220">
        <v>8</v>
      </c>
      <c r="F5855" s="214">
        <f>'HIRE CHARGES'!$D$506</f>
        <v>5.5</v>
      </c>
      <c r="G5855" s="26">
        <f>F5855*E5855</f>
        <v>44</v>
      </c>
    </row>
    <row r="5856" spans="1:9">
      <c r="A5856" s="847"/>
      <c r="B5856" s="116"/>
      <c r="C5856" s="113"/>
      <c r="D5856" s="114"/>
      <c r="E5856" s="220">
        <v>8</v>
      </c>
      <c r="F5856" s="214">
        <f>'HIRE CHARGES'!$E$506</f>
        <v>0</v>
      </c>
      <c r="G5856" s="26">
        <f>F5856*E5856</f>
        <v>0</v>
      </c>
    </row>
    <row r="5857" spans="1:7">
      <c r="A5857" s="847"/>
      <c r="B5857" s="176"/>
      <c r="C5857" s="357" t="s">
        <v>2380</v>
      </c>
      <c r="D5857" s="174"/>
      <c r="E5857" s="192"/>
      <c r="F5857" s="236" t="s">
        <v>1698</v>
      </c>
      <c r="G5857" s="354">
        <f>SUM(G5855:G5856)</f>
        <v>44</v>
      </c>
    </row>
    <row r="5858" spans="1:7">
      <c r="A5858" s="847"/>
      <c r="B5858" s="78"/>
      <c r="C5858" s="48"/>
    </row>
    <row r="5859" spans="1:7">
      <c r="A5859" s="847"/>
      <c r="B5859" s="79" t="s">
        <v>2381</v>
      </c>
      <c r="C5859" s="48"/>
    </row>
    <row r="5860" spans="1:7">
      <c r="A5860" s="847"/>
      <c r="B5860" s="95" t="s">
        <v>2369</v>
      </c>
      <c r="C5860" s="350" t="s">
        <v>2378</v>
      </c>
      <c r="D5860" s="95" t="s">
        <v>2370</v>
      </c>
      <c r="E5860" s="95" t="s">
        <v>1166</v>
      </c>
      <c r="F5860" s="95" t="s">
        <v>2371</v>
      </c>
      <c r="G5860" s="95" t="s">
        <v>2372</v>
      </c>
    </row>
    <row r="5861" spans="1:7">
      <c r="A5861" s="847"/>
      <c r="B5861" s="114"/>
      <c r="C5861" s="351"/>
      <c r="D5861" s="105"/>
      <c r="E5861" s="114"/>
      <c r="F5861" s="114" t="s">
        <v>3485</v>
      </c>
      <c r="G5861" s="114" t="s">
        <v>3485</v>
      </c>
    </row>
    <row r="5862" spans="1:7">
      <c r="A5862" s="847"/>
      <c r="B5862" s="105">
        <v>1</v>
      </c>
      <c r="C5862" s="86" t="s">
        <v>4206</v>
      </c>
      <c r="D5862" s="95" t="s">
        <v>1172</v>
      </c>
      <c r="E5862" s="207">
        <v>1</v>
      </c>
      <c r="F5862" s="190">
        <f>'BASIC DATA'!$C$473</f>
        <v>450</v>
      </c>
      <c r="G5862" s="26">
        <f t="shared" ref="G5862:G5868" si="91">F5862*E5862</f>
        <v>450</v>
      </c>
    </row>
    <row r="5863" spans="1:7">
      <c r="A5863" s="847"/>
      <c r="B5863" s="105">
        <v>2</v>
      </c>
      <c r="C5863" s="86" t="s">
        <v>6930</v>
      </c>
      <c r="D5863" s="105" t="s">
        <v>1172</v>
      </c>
      <c r="E5863" s="207">
        <v>1</v>
      </c>
      <c r="F5863" s="190">
        <f>'BASIC DATA'!$C$474</f>
        <v>445</v>
      </c>
      <c r="G5863" s="26">
        <f t="shared" si="91"/>
        <v>445</v>
      </c>
    </row>
    <row r="5864" spans="1:7">
      <c r="A5864" s="847"/>
      <c r="B5864" s="105">
        <v>3</v>
      </c>
      <c r="C5864" s="86" t="s">
        <v>6931</v>
      </c>
      <c r="D5864" s="105" t="s">
        <v>1172</v>
      </c>
      <c r="E5864" s="207">
        <v>2</v>
      </c>
      <c r="F5864" s="190">
        <f>'BASIC DATA'!$C$541</f>
        <v>400</v>
      </c>
      <c r="G5864" s="26">
        <f t="shared" si="91"/>
        <v>800</v>
      </c>
    </row>
    <row r="5865" spans="1:7">
      <c r="A5865" s="847"/>
      <c r="B5865" s="105">
        <v>4</v>
      </c>
      <c r="C5865" s="86" t="s">
        <v>3836</v>
      </c>
      <c r="D5865" s="105" t="s">
        <v>1172</v>
      </c>
      <c r="E5865" s="207">
        <v>1</v>
      </c>
      <c r="F5865" s="190">
        <f>'BASIC DATA'!$C$464</f>
        <v>555</v>
      </c>
      <c r="G5865" s="26">
        <f t="shared" si="91"/>
        <v>555</v>
      </c>
    </row>
    <row r="5866" spans="1:7">
      <c r="A5866" s="847"/>
      <c r="B5866" s="105">
        <v>5</v>
      </c>
      <c r="C5866" s="86" t="s">
        <v>638</v>
      </c>
      <c r="D5866" s="105" t="s">
        <v>1172</v>
      </c>
      <c r="E5866" s="207">
        <v>4</v>
      </c>
      <c r="F5866" s="190">
        <f>'BASIC DATA'!$C$552</f>
        <v>350</v>
      </c>
      <c r="G5866" s="26">
        <f t="shared" si="91"/>
        <v>1400</v>
      </c>
    </row>
    <row r="5867" spans="1:7">
      <c r="A5867" s="847"/>
      <c r="B5867" s="152"/>
      <c r="C5867" s="86" t="s">
        <v>639</v>
      </c>
      <c r="D5867" s="105" t="s">
        <v>1172</v>
      </c>
      <c r="E5867" s="207">
        <v>2</v>
      </c>
      <c r="F5867" s="190">
        <f>'BASIC DATA'!$C$552</f>
        <v>350</v>
      </c>
      <c r="G5867" s="26">
        <f t="shared" si="91"/>
        <v>700</v>
      </c>
    </row>
    <row r="5868" spans="1:7">
      <c r="A5868" s="847"/>
      <c r="B5868" s="152"/>
      <c r="C5868" s="86" t="s">
        <v>5865</v>
      </c>
      <c r="D5868" s="105" t="s">
        <v>1172</v>
      </c>
      <c r="E5868" s="207">
        <v>2</v>
      </c>
      <c r="F5868" s="190">
        <f>'BASIC DATA'!$C$552</f>
        <v>350</v>
      </c>
      <c r="G5868" s="26">
        <f t="shared" si="91"/>
        <v>700</v>
      </c>
    </row>
    <row r="5869" spans="1:7">
      <c r="A5869" s="847"/>
      <c r="B5869" s="92"/>
      <c r="C5869" s="353" t="s">
        <v>1174</v>
      </c>
      <c r="D5869" s="159"/>
      <c r="E5869" s="238"/>
      <c r="F5869" s="236" t="s">
        <v>1698</v>
      </c>
      <c r="G5869" s="318">
        <f>SUM(G5862:G5868)</f>
        <v>5050</v>
      </c>
    </row>
    <row r="5870" spans="1:7">
      <c r="A5870" s="847"/>
      <c r="B5870" s="359" t="s">
        <v>5948</v>
      </c>
      <c r="C5870" s="48"/>
      <c r="D5870" s="31"/>
      <c r="E5870" s="85">
        <f>ROUND(G5869/F5838,1)</f>
        <v>252.5</v>
      </c>
    </row>
    <row r="5871" spans="1:7">
      <c r="A5871" s="847"/>
      <c r="B5871" s="359" t="s">
        <v>3163</v>
      </c>
      <c r="C5871" s="48"/>
      <c r="D5871" s="922">
        <f>'BASIC DATA'!$C$577</f>
        <v>0.13614999999999999</v>
      </c>
      <c r="E5871" s="85">
        <f>ROUND(E5870*D5871,1)</f>
        <v>34.4</v>
      </c>
    </row>
    <row r="5872" spans="1:7">
      <c r="A5872" s="847"/>
      <c r="B5872" s="359" t="s">
        <v>5949</v>
      </c>
      <c r="C5872" s="48"/>
      <c r="D5872" s="31"/>
      <c r="E5872" s="199">
        <f>ROUND(E5871+E5870,1)</f>
        <v>286.89999999999998</v>
      </c>
    </row>
    <row r="5873" spans="1:7"/>
    <row r="5874" spans="1:7">
      <c r="A5874" s="847"/>
      <c r="B5874" s="162" t="s">
        <v>1175</v>
      </c>
      <c r="C5874" s="48"/>
    </row>
    <row r="5875" spans="1:7">
      <c r="A5875" s="847"/>
      <c r="B5875" s="47" t="s">
        <v>4383</v>
      </c>
      <c r="C5875" s="48"/>
      <c r="F5875" s="171" t="s">
        <v>1698</v>
      </c>
      <c r="G5875" s="68">
        <f>G5850</f>
        <v>10760.295599999999</v>
      </c>
    </row>
    <row r="5876" spans="1:7">
      <c r="A5876" s="847"/>
      <c r="B5876" s="47" t="s">
        <v>1186</v>
      </c>
      <c r="C5876" s="48"/>
      <c r="F5876" s="171" t="s">
        <v>1698</v>
      </c>
      <c r="G5876" s="68">
        <f>G5857</f>
        <v>44</v>
      </c>
    </row>
    <row r="5877" spans="1:7">
      <c r="A5877" s="847"/>
      <c r="B5877" s="47" t="s">
        <v>2660</v>
      </c>
      <c r="C5877" s="48"/>
      <c r="F5877" s="171" t="s">
        <v>1698</v>
      </c>
      <c r="G5877" s="75">
        <f>G5869</f>
        <v>5050</v>
      </c>
    </row>
    <row r="5878" spans="1:7">
      <c r="A5878" s="847"/>
      <c r="B5878" s="78"/>
      <c r="C5878" s="48"/>
      <c r="E5878" s="261"/>
      <c r="F5878" s="171" t="s">
        <v>302</v>
      </c>
      <c r="G5878" s="205">
        <f>SUM(G5875:G5877)</f>
        <v>15854.295599999999</v>
      </c>
    </row>
    <row r="5879" spans="1:7">
      <c r="A5879" s="847"/>
      <c r="B5879" s="1207" t="s">
        <v>1379</v>
      </c>
      <c r="C5879" s="1207"/>
      <c r="D5879" s="1207"/>
      <c r="E5879" s="922">
        <f>'BASIC DATA'!$C$577</f>
        <v>0.13614999999999999</v>
      </c>
      <c r="F5879" s="171" t="s">
        <v>1698</v>
      </c>
      <c r="G5879" s="31">
        <f>ROUND(G5878*E5879,2)</f>
        <v>2158.56</v>
      </c>
    </row>
    <row r="5880" spans="1:7">
      <c r="A5880" s="847"/>
      <c r="B5880" s="27" t="s">
        <v>9590</v>
      </c>
      <c r="C5880" s="43"/>
      <c r="D5880" s="779">
        <f>E5843</f>
        <v>0.5</v>
      </c>
      <c r="E5880" s="201" t="s">
        <v>9591</v>
      </c>
      <c r="F5880" s="68" t="str">
        <f>CONCATENATE((leadcharges!$D$65)," ","Rs./Cum")</f>
        <v>31.5 Rs./Cum</v>
      </c>
      <c r="G5880" s="200">
        <f>leadcharges!$D$65*D5880</f>
        <v>15.75</v>
      </c>
    </row>
    <row r="5881" spans="1:7">
      <c r="A5881" s="847"/>
      <c r="B5881" s="27" t="s">
        <v>9589</v>
      </c>
      <c r="C5881" s="43"/>
      <c r="D5881" s="779">
        <f>SUM(E5844:E5845)</f>
        <v>0.8</v>
      </c>
      <c r="E5881" s="201" t="s">
        <v>9591</v>
      </c>
      <c r="F5881" s="68" t="str">
        <f>CONCATENATE((leadcharges!$E$65)," ","Rs./Cum")</f>
        <v>30.4 Rs./Cum</v>
      </c>
      <c r="G5881" s="294">
        <f>leadcharges!$E$65*D5881</f>
        <v>24.32</v>
      </c>
    </row>
    <row r="5882" spans="1:7" ht="36.75" hidden="1" customHeight="1">
      <c r="A5882" s="847"/>
      <c r="B5882" s="1207"/>
      <c r="C5882" s="1207"/>
      <c r="D5882" s="779"/>
      <c r="E5882" s="201"/>
      <c r="F5882" s="68"/>
      <c r="G5882" s="200"/>
    </row>
    <row r="5883" spans="1:7" ht="36.75" customHeight="1">
      <c r="A5883" s="847"/>
      <c r="B5883" s="1207" t="s">
        <v>9611</v>
      </c>
      <c r="C5883" s="1207"/>
      <c r="D5883" s="779">
        <f>E5846/1000</f>
        <v>0.2</v>
      </c>
      <c r="E5883" s="201" t="s">
        <v>9592</v>
      </c>
      <c r="F5883" s="68" t="str">
        <f>CONCATENATE((leadcharges!$F$65+leadcharges!$G$78+leadcharges!$G$79)," ","Rs./Tonne")</f>
        <v>168.6 Rs./Tonne</v>
      </c>
      <c r="G5883" s="200">
        <f>(leadcharges!$F$65+leadcharges!$G$78+leadcharges!$G$79)*D5883</f>
        <v>33.72</v>
      </c>
    </row>
    <row r="5884" spans="1:7">
      <c r="A5884" s="847"/>
      <c r="B5884" s="47" t="s">
        <v>1191</v>
      </c>
      <c r="C5884" s="48"/>
      <c r="D5884" s="68">
        <f>F5838</f>
        <v>20</v>
      </c>
      <c r="E5884" s="68" t="str">
        <f>G5838</f>
        <v>templete</v>
      </c>
      <c r="F5884" s="171" t="s">
        <v>1698</v>
      </c>
      <c r="G5884" s="211">
        <f>SUM(G5878:G5883)</f>
        <v>18086.6456</v>
      </c>
    </row>
    <row r="5885" spans="1:7">
      <c r="A5885" s="847"/>
      <c r="B5885" s="79" t="s">
        <v>1584</v>
      </c>
      <c r="C5885" s="404" t="str">
        <f>E5884</f>
        <v>templete</v>
      </c>
      <c r="D5885" s="26" t="s">
        <v>5890</v>
      </c>
      <c r="F5885" s="171" t="s">
        <v>4108</v>
      </c>
      <c r="G5885" s="211">
        <f>ROUND(G5884/D5884,1)</f>
        <v>904.3</v>
      </c>
    </row>
    <row r="5886" spans="1:7">
      <c r="A5886" s="847"/>
      <c r="B5886" s="78"/>
      <c r="C5886" s="48"/>
    </row>
    <row r="5887" spans="1:7">
      <c r="A5887" s="847"/>
      <c r="B5887" s="78"/>
      <c r="C5887" s="48"/>
    </row>
    <row r="5888" spans="1:7" ht="36.75">
      <c r="A5888" s="841" t="s">
        <v>7485</v>
      </c>
      <c r="B5888" s="47" t="s">
        <v>8813</v>
      </c>
      <c r="C5888" s="48"/>
    </row>
    <row r="5889" spans="1:7">
      <c r="A5889" s="889"/>
      <c r="B5889" s="47" t="s">
        <v>3568</v>
      </c>
      <c r="C5889" s="48"/>
    </row>
    <row r="5890" spans="1:7" ht="18.75">
      <c r="A5890" s="889"/>
      <c r="B5890" s="47" t="s">
        <v>8814</v>
      </c>
      <c r="C5890" s="48"/>
    </row>
    <row r="5891" spans="1:7">
      <c r="A5891" s="895"/>
      <c r="B5891" s="162" t="s">
        <v>3569</v>
      </c>
      <c r="C5891" s="48"/>
    </row>
    <row r="5892" spans="1:7">
      <c r="A5892" s="895"/>
      <c r="C5892" s="48"/>
    </row>
    <row r="5893" spans="1:7" hidden="1">
      <c r="A5893" s="889" t="s">
        <v>3984</v>
      </c>
      <c r="B5893" s="47" t="s">
        <v>5745</v>
      </c>
      <c r="C5893" s="48"/>
    </row>
    <row r="5894" spans="1:7">
      <c r="A5894" s="847"/>
      <c r="B5894" s="78"/>
      <c r="C5894" s="48"/>
    </row>
    <row r="5895" spans="1:7">
      <c r="A5895" s="847"/>
      <c r="B5895" s="78"/>
      <c r="C5895" s="48"/>
    </row>
    <row r="5896" spans="1:7">
      <c r="A5896" s="847" t="s">
        <v>1907</v>
      </c>
      <c r="B5896" s="78"/>
      <c r="C5896" s="349" t="s">
        <v>2367</v>
      </c>
      <c r="E5896" s="171" t="s">
        <v>297</v>
      </c>
      <c r="F5896" s="409">
        <v>10</v>
      </c>
      <c r="G5896" s="26" t="s">
        <v>4041</v>
      </c>
    </row>
    <row r="5897" spans="1:7">
      <c r="A5897" s="847"/>
      <c r="B5897" s="79" t="s">
        <v>2368</v>
      </c>
      <c r="C5897" s="48"/>
    </row>
    <row r="5898" spans="1:7">
      <c r="A5898" s="847"/>
      <c r="B5898" s="95" t="s">
        <v>2369</v>
      </c>
      <c r="C5898" s="350" t="s">
        <v>6374</v>
      </c>
      <c r="D5898" s="95" t="s">
        <v>2370</v>
      </c>
      <c r="E5898" s="95" t="s">
        <v>1166</v>
      </c>
      <c r="F5898" s="95" t="s">
        <v>2371</v>
      </c>
      <c r="G5898" s="95" t="s">
        <v>2372</v>
      </c>
    </row>
    <row r="5899" spans="1:7">
      <c r="A5899" s="847"/>
      <c r="B5899" s="114"/>
      <c r="C5899" s="351"/>
      <c r="D5899" s="114"/>
      <c r="E5899" s="114"/>
      <c r="F5899" s="114" t="s">
        <v>3485</v>
      </c>
      <c r="G5899" s="114" t="s">
        <v>3485</v>
      </c>
    </row>
    <row r="5900" spans="1:7">
      <c r="A5900" s="847"/>
      <c r="B5900" s="95">
        <v>1</v>
      </c>
      <c r="C5900" s="86" t="s">
        <v>5746</v>
      </c>
      <c r="D5900" s="95" t="s">
        <v>3483</v>
      </c>
      <c r="E5900" s="220">
        <v>1.25</v>
      </c>
      <c r="F5900" s="214">
        <f>'BASIC DATA'!$D$65</f>
        <v>310</v>
      </c>
      <c r="G5900" s="26">
        <f>F5900*E5900</f>
        <v>387.5</v>
      </c>
    </row>
    <row r="5901" spans="1:7" ht="36">
      <c r="A5901" s="847"/>
      <c r="B5901" s="114">
        <v>2</v>
      </c>
      <c r="C5901" s="355" t="s">
        <v>5747</v>
      </c>
      <c r="D5901" s="114" t="s">
        <v>2173</v>
      </c>
      <c r="E5901" s="220">
        <v>10</v>
      </c>
      <c r="F5901" s="214">
        <f>'BASIC DATA'!$D$359</f>
        <v>30</v>
      </c>
      <c r="G5901" s="26">
        <f>F5901*E5901</f>
        <v>300</v>
      </c>
    </row>
    <row r="5902" spans="1:7">
      <c r="A5902" s="847"/>
      <c r="B5902" s="92"/>
      <c r="C5902" s="353" t="s">
        <v>2376</v>
      </c>
      <c r="D5902" s="159"/>
      <c r="E5902" s="238"/>
      <c r="F5902" s="236" t="s">
        <v>1698</v>
      </c>
      <c r="G5902" s="318">
        <f>SUM(G5900:G5901)</f>
        <v>687.5</v>
      </c>
    </row>
    <row r="5903" spans="1:7">
      <c r="A5903" s="847"/>
      <c r="B5903" s="78"/>
      <c r="C5903" s="48"/>
    </row>
    <row r="5904" spans="1:7">
      <c r="A5904" s="847"/>
      <c r="B5904" s="79" t="s">
        <v>2377</v>
      </c>
      <c r="C5904" s="48"/>
    </row>
    <row r="5905" spans="1:7">
      <c r="A5905" s="847"/>
      <c r="B5905" s="95" t="s">
        <v>2369</v>
      </c>
      <c r="C5905" s="350" t="s">
        <v>2378</v>
      </c>
      <c r="D5905" s="95" t="s">
        <v>2370</v>
      </c>
      <c r="E5905" s="95" t="s">
        <v>1166</v>
      </c>
      <c r="F5905" s="95" t="s">
        <v>2371</v>
      </c>
      <c r="G5905" s="95" t="s">
        <v>2372</v>
      </c>
    </row>
    <row r="5906" spans="1:7">
      <c r="A5906" s="847"/>
      <c r="B5906" s="114"/>
      <c r="C5906" s="351"/>
      <c r="D5906" s="114"/>
      <c r="E5906" s="114"/>
      <c r="F5906" s="114" t="s">
        <v>3485</v>
      </c>
      <c r="G5906" s="114" t="s">
        <v>3485</v>
      </c>
    </row>
    <row r="5907" spans="1:7">
      <c r="A5907" s="847"/>
      <c r="B5907" s="95">
        <v>1</v>
      </c>
      <c r="C5907" s="86" t="s">
        <v>5748</v>
      </c>
      <c r="D5907" s="95" t="s">
        <v>2173</v>
      </c>
      <c r="E5907" s="220">
        <v>0.5</v>
      </c>
      <c r="F5907" s="214">
        <f>'BASIC DATA'!$D$359</f>
        <v>30</v>
      </c>
      <c r="G5907" s="107">
        <f>F5907*E5907</f>
        <v>15</v>
      </c>
    </row>
    <row r="5908" spans="1:7">
      <c r="A5908" s="847"/>
      <c r="B5908" s="116"/>
      <c r="C5908" s="113"/>
      <c r="D5908" s="114"/>
      <c r="E5908" s="215">
        <v>0</v>
      </c>
      <c r="F5908" s="214"/>
      <c r="G5908" s="191"/>
    </row>
    <row r="5909" spans="1:7">
      <c r="A5909" s="847"/>
      <c r="B5909" s="176"/>
      <c r="C5909" s="357" t="s">
        <v>2380</v>
      </c>
      <c r="D5909" s="174"/>
      <c r="E5909" s="192"/>
      <c r="F5909" s="236" t="s">
        <v>1698</v>
      </c>
      <c r="G5909" s="354">
        <f>SUM(G5907:G5908)</f>
        <v>15</v>
      </c>
    </row>
    <row r="5910" spans="1:7">
      <c r="A5910" s="847"/>
      <c r="B5910" s="78"/>
      <c r="C5910" s="48"/>
    </row>
    <row r="5911" spans="1:7">
      <c r="A5911" s="847"/>
      <c r="B5911" s="79" t="s">
        <v>2381</v>
      </c>
      <c r="C5911" s="48"/>
    </row>
    <row r="5912" spans="1:7">
      <c r="A5912" s="847"/>
      <c r="B5912" s="95" t="s">
        <v>2369</v>
      </c>
      <c r="C5912" s="350" t="s">
        <v>2378</v>
      </c>
      <c r="D5912" s="95" t="s">
        <v>2370</v>
      </c>
      <c r="E5912" s="95" t="s">
        <v>1166</v>
      </c>
      <c r="F5912" s="95" t="s">
        <v>2371</v>
      </c>
      <c r="G5912" s="95" t="s">
        <v>2372</v>
      </c>
    </row>
    <row r="5913" spans="1:7">
      <c r="A5913" s="847"/>
      <c r="B5913" s="114"/>
      <c r="C5913" s="351"/>
      <c r="D5913" s="105"/>
      <c r="E5913" s="114"/>
      <c r="F5913" s="114" t="s">
        <v>3485</v>
      </c>
      <c r="G5913" s="114" t="s">
        <v>3485</v>
      </c>
    </row>
    <row r="5914" spans="1:7">
      <c r="A5914" s="847"/>
      <c r="B5914" s="105">
        <v>1</v>
      </c>
      <c r="C5914" s="86" t="s">
        <v>5608</v>
      </c>
      <c r="D5914" s="95" t="s">
        <v>1172</v>
      </c>
      <c r="E5914" s="207">
        <v>0.5</v>
      </c>
      <c r="F5914" s="190">
        <f>'BASIC DATA'!$C$499</f>
        <v>510</v>
      </c>
      <c r="G5914" s="26">
        <f>F5914*E5914</f>
        <v>255</v>
      </c>
    </row>
    <row r="5915" spans="1:7">
      <c r="A5915" s="847"/>
      <c r="B5915" s="152"/>
      <c r="C5915" s="86" t="s">
        <v>2697</v>
      </c>
      <c r="D5915" s="105" t="s">
        <v>1172</v>
      </c>
      <c r="E5915" s="207">
        <v>0.5</v>
      </c>
      <c r="F5915" s="190">
        <f>'BASIC DATA'!$C$552</f>
        <v>350</v>
      </c>
      <c r="G5915" s="26">
        <f>F5915*E5915</f>
        <v>175</v>
      </c>
    </row>
    <row r="5916" spans="1:7">
      <c r="A5916" s="847"/>
      <c r="B5916" s="92"/>
      <c r="C5916" s="353" t="s">
        <v>1174</v>
      </c>
      <c r="D5916" s="159"/>
      <c r="E5916" s="238"/>
      <c r="F5916" s="236" t="s">
        <v>1698</v>
      </c>
      <c r="G5916" s="318">
        <f>SUM(G5914:G5915)</f>
        <v>430</v>
      </c>
    </row>
    <row r="5917" spans="1:7">
      <c r="A5917" s="847"/>
      <c r="B5917" s="359" t="s">
        <v>5948</v>
      </c>
      <c r="C5917" s="355"/>
      <c r="D5917" s="31"/>
      <c r="E5917" s="85">
        <f>ROUND(G5916/F5896,1)</f>
        <v>43</v>
      </c>
    </row>
    <row r="5918" spans="1:7">
      <c r="A5918" s="847"/>
      <c r="B5918" s="359" t="s">
        <v>3163</v>
      </c>
      <c r="C5918" s="355"/>
      <c r="D5918" s="922">
        <f>'BASIC DATA'!$C$577</f>
        <v>0.13614999999999999</v>
      </c>
      <c r="E5918" s="85">
        <f>ROUND(E5917*D5918,1)</f>
        <v>5.9</v>
      </c>
    </row>
    <row r="5919" spans="1:7">
      <c r="A5919" s="847"/>
      <c r="B5919" s="359" t="s">
        <v>5949</v>
      </c>
      <c r="C5919" s="355"/>
      <c r="D5919" s="31"/>
      <c r="E5919" s="199">
        <f>ROUND(E5918+E5917,1)</f>
        <v>48.9</v>
      </c>
    </row>
    <row r="5920" spans="1:7">
      <c r="A5920" s="847"/>
      <c r="B5920" s="78"/>
      <c r="C5920" s="48"/>
    </row>
    <row r="5921" spans="1:7">
      <c r="A5921" s="847"/>
      <c r="B5921" s="162" t="s">
        <v>1175</v>
      </c>
      <c r="C5921" s="48"/>
    </row>
    <row r="5922" spans="1:7">
      <c r="A5922" s="847"/>
      <c r="B5922" s="47" t="s">
        <v>4</v>
      </c>
      <c r="C5922" s="48"/>
      <c r="F5922" s="171" t="s">
        <v>1698</v>
      </c>
      <c r="G5922" s="68">
        <f>G5902</f>
        <v>687.5</v>
      </c>
    </row>
    <row r="5923" spans="1:7">
      <c r="A5923" s="847"/>
      <c r="B5923" s="47" t="s">
        <v>1186</v>
      </c>
      <c r="C5923" s="48"/>
      <c r="F5923" s="171" t="s">
        <v>1698</v>
      </c>
      <c r="G5923" s="68">
        <f>G5909</f>
        <v>15</v>
      </c>
    </row>
    <row r="5924" spans="1:7">
      <c r="A5924" s="847"/>
      <c r="B5924" s="47" t="s">
        <v>2660</v>
      </c>
      <c r="C5924" s="48"/>
      <c r="F5924" s="171" t="s">
        <v>1698</v>
      </c>
      <c r="G5924" s="75">
        <f>G5916</f>
        <v>430</v>
      </c>
    </row>
    <row r="5925" spans="1:7">
      <c r="A5925" s="847"/>
      <c r="B5925" s="78"/>
      <c r="C5925" s="48"/>
      <c r="E5925" s="261"/>
      <c r="F5925" s="171" t="s">
        <v>302</v>
      </c>
      <c r="G5925" s="205">
        <f>SUM(G5922:G5924)</f>
        <v>1132.5</v>
      </c>
    </row>
    <row r="5926" spans="1:7" ht="38.25" customHeight="1">
      <c r="A5926" s="847"/>
      <c r="B5926" s="1207" t="s">
        <v>1379</v>
      </c>
      <c r="C5926" s="1207"/>
      <c r="D5926" s="1207"/>
      <c r="E5926" s="922">
        <f>'BASIC DATA'!$C$577</f>
        <v>0.13614999999999999</v>
      </c>
      <c r="F5926" s="171" t="s">
        <v>1698</v>
      </c>
      <c r="G5926" s="31">
        <f>ROUND(G5925*E5926,2)</f>
        <v>154.19</v>
      </c>
    </row>
    <row r="5927" spans="1:7">
      <c r="A5927" s="847"/>
      <c r="B5927" s="47" t="s">
        <v>1191</v>
      </c>
      <c r="C5927" s="48"/>
      <c r="D5927" s="68">
        <f>F5896</f>
        <v>10</v>
      </c>
      <c r="E5927" s="68" t="str">
        <f>G5896</f>
        <v>Nos.</v>
      </c>
      <c r="F5927" s="171" t="s">
        <v>1698</v>
      </c>
      <c r="G5927" s="211">
        <f>G5926+G5925</f>
        <v>1286.69</v>
      </c>
    </row>
    <row r="5928" spans="1:7">
      <c r="A5928" s="847"/>
      <c r="B5928" s="79" t="s">
        <v>1584</v>
      </c>
      <c r="C5928" s="404" t="s">
        <v>4935</v>
      </c>
      <c r="D5928" s="26" t="s">
        <v>5891</v>
      </c>
      <c r="F5928" s="171" t="s">
        <v>4108</v>
      </c>
      <c r="G5928" s="211">
        <f>ROUND(G5927/D5927,1)</f>
        <v>128.69999999999999</v>
      </c>
    </row>
    <row r="5929" spans="1:7">
      <c r="A5929" s="847"/>
      <c r="B5929" s="78"/>
      <c r="C5929" s="48"/>
    </row>
    <row r="5930" spans="1:7">
      <c r="A5930" s="847"/>
      <c r="B5930" s="78"/>
      <c r="C5930" s="48"/>
    </row>
    <row r="5931" spans="1:7" ht="36.75">
      <c r="A5931" s="841" t="s">
        <v>7486</v>
      </c>
      <c r="B5931" s="47" t="s">
        <v>8815</v>
      </c>
      <c r="C5931" s="48"/>
    </row>
    <row r="5932" spans="1:7">
      <c r="A5932" s="889"/>
      <c r="B5932" s="47" t="s">
        <v>3568</v>
      </c>
      <c r="C5932" s="48"/>
    </row>
    <row r="5933" spans="1:7" ht="18.75">
      <c r="A5933" s="889"/>
      <c r="B5933" s="47" t="s">
        <v>8816</v>
      </c>
      <c r="C5933" s="48"/>
    </row>
    <row r="5934" spans="1:7">
      <c r="A5934" s="895"/>
      <c r="B5934" s="162" t="s">
        <v>3569</v>
      </c>
      <c r="C5934" s="48"/>
    </row>
    <row r="5935" spans="1:7">
      <c r="A5935" s="895"/>
      <c r="C5935" s="48"/>
    </row>
    <row r="5936" spans="1:7" hidden="1">
      <c r="A5936" s="889" t="s">
        <v>3984</v>
      </c>
      <c r="B5936" s="47" t="s">
        <v>5749</v>
      </c>
      <c r="C5936" s="48"/>
    </row>
    <row r="5937" spans="1:7">
      <c r="A5937" s="847"/>
      <c r="B5937" s="78"/>
      <c r="C5937" s="48"/>
    </row>
    <row r="5938" spans="1:7">
      <c r="A5938" s="847" t="s">
        <v>1907</v>
      </c>
      <c r="B5938" s="78"/>
      <c r="C5938" s="349" t="s">
        <v>2367</v>
      </c>
      <c r="E5938" s="171" t="s">
        <v>297</v>
      </c>
      <c r="F5938" s="409">
        <v>10</v>
      </c>
      <c r="G5938" s="26" t="s">
        <v>4041</v>
      </c>
    </row>
    <row r="5939" spans="1:7">
      <c r="A5939" s="847"/>
      <c r="B5939" s="79" t="s">
        <v>2368</v>
      </c>
      <c r="C5939" s="48"/>
    </row>
    <row r="5940" spans="1:7">
      <c r="A5940" s="847"/>
      <c r="B5940" s="95" t="s">
        <v>2369</v>
      </c>
      <c r="C5940" s="350" t="s">
        <v>6374</v>
      </c>
      <c r="D5940" s="95" t="s">
        <v>2370</v>
      </c>
      <c r="E5940" s="95" t="s">
        <v>1166</v>
      </c>
      <c r="F5940" s="95" t="s">
        <v>2371</v>
      </c>
      <c r="G5940" s="95" t="s">
        <v>2372</v>
      </c>
    </row>
    <row r="5941" spans="1:7">
      <c r="A5941" s="847"/>
      <c r="B5941" s="114"/>
      <c r="C5941" s="351"/>
      <c r="D5941" s="114"/>
      <c r="E5941" s="114"/>
      <c r="F5941" s="114" t="s">
        <v>3485</v>
      </c>
      <c r="G5941" s="114" t="s">
        <v>3485</v>
      </c>
    </row>
    <row r="5942" spans="1:7">
      <c r="A5942" s="847"/>
      <c r="B5942" s="95">
        <v>1</v>
      </c>
      <c r="C5942" s="86" t="s">
        <v>5746</v>
      </c>
      <c r="D5942" s="95" t="s">
        <v>3483</v>
      </c>
      <c r="E5942" s="220">
        <v>2.25</v>
      </c>
      <c r="F5942" s="214">
        <f>'BASIC DATA'!$D$65</f>
        <v>310</v>
      </c>
      <c r="G5942" s="26">
        <f>F5942*E5942</f>
        <v>697.5</v>
      </c>
    </row>
    <row r="5943" spans="1:7" ht="36">
      <c r="A5943" s="847"/>
      <c r="B5943" s="114">
        <v>2</v>
      </c>
      <c r="C5943" s="355" t="s">
        <v>5747</v>
      </c>
      <c r="D5943" s="114" t="s">
        <v>2173</v>
      </c>
      <c r="E5943" s="220">
        <v>10</v>
      </c>
      <c r="F5943" s="214">
        <f>'BASIC DATA'!$D$359</f>
        <v>30</v>
      </c>
      <c r="G5943" s="26">
        <f>F5943*E5943</f>
        <v>300</v>
      </c>
    </row>
    <row r="5944" spans="1:7">
      <c r="A5944" s="847"/>
      <c r="B5944" s="92"/>
      <c r="C5944" s="353" t="s">
        <v>2376</v>
      </c>
      <c r="D5944" s="159"/>
      <c r="E5944" s="238"/>
      <c r="F5944" s="236" t="s">
        <v>1698</v>
      </c>
      <c r="G5944" s="318">
        <f>SUM(G5942:G5943)</f>
        <v>997.5</v>
      </c>
    </row>
    <row r="5945" spans="1:7">
      <c r="A5945" s="847"/>
      <c r="B5945" s="78"/>
      <c r="C5945" s="48"/>
    </row>
    <row r="5946" spans="1:7">
      <c r="A5946" s="847"/>
      <c r="B5946" s="79" t="s">
        <v>2377</v>
      </c>
      <c r="C5946" s="48"/>
    </row>
    <row r="5947" spans="1:7">
      <c r="A5947" s="847"/>
      <c r="B5947" s="95" t="s">
        <v>2369</v>
      </c>
      <c r="C5947" s="350" t="s">
        <v>2378</v>
      </c>
      <c r="D5947" s="95" t="s">
        <v>2370</v>
      </c>
      <c r="E5947" s="95" t="s">
        <v>1166</v>
      </c>
      <c r="F5947" s="95" t="s">
        <v>2371</v>
      </c>
      <c r="G5947" s="95" t="s">
        <v>2372</v>
      </c>
    </row>
    <row r="5948" spans="1:7">
      <c r="A5948" s="847"/>
      <c r="B5948" s="114"/>
      <c r="C5948" s="351"/>
      <c r="D5948" s="114"/>
      <c r="E5948" s="114"/>
      <c r="F5948" s="114" t="s">
        <v>3485</v>
      </c>
      <c r="G5948" s="114" t="s">
        <v>3485</v>
      </c>
    </row>
    <row r="5949" spans="1:7">
      <c r="A5949" s="847"/>
      <c r="B5949" s="95">
        <v>1</v>
      </c>
      <c r="C5949" s="86" t="s">
        <v>5748</v>
      </c>
      <c r="D5949" s="95" t="s">
        <v>2173</v>
      </c>
      <c r="E5949" s="220">
        <v>5</v>
      </c>
      <c r="F5949" s="214">
        <f>'BASIC DATA'!$D$359</f>
        <v>30</v>
      </c>
      <c r="G5949" s="107">
        <f>F5949*E5949</f>
        <v>150</v>
      </c>
    </row>
    <row r="5950" spans="1:7">
      <c r="A5950" s="847"/>
      <c r="B5950" s="116"/>
      <c r="C5950" s="113"/>
      <c r="D5950" s="114"/>
      <c r="E5950" s="215">
        <v>0</v>
      </c>
      <c r="F5950" s="214"/>
      <c r="G5950" s="191"/>
    </row>
    <row r="5951" spans="1:7">
      <c r="A5951" s="847"/>
      <c r="B5951" s="176"/>
      <c r="C5951" s="357" t="s">
        <v>2380</v>
      </c>
      <c r="D5951" s="174"/>
      <c r="E5951" s="192"/>
      <c r="F5951" s="236" t="s">
        <v>1698</v>
      </c>
      <c r="G5951" s="354">
        <f>SUM(G5949:G5950)</f>
        <v>150</v>
      </c>
    </row>
    <row r="5952" spans="1:7">
      <c r="A5952" s="847"/>
      <c r="B5952" s="78"/>
      <c r="C5952" s="48"/>
    </row>
    <row r="5953" spans="1:7">
      <c r="A5953" s="847"/>
      <c r="B5953" s="79" t="s">
        <v>2381</v>
      </c>
      <c r="C5953" s="48"/>
    </row>
    <row r="5954" spans="1:7">
      <c r="A5954" s="847"/>
      <c r="B5954" s="95" t="s">
        <v>2369</v>
      </c>
      <c r="C5954" s="350" t="s">
        <v>2378</v>
      </c>
      <c r="D5954" s="95" t="s">
        <v>2370</v>
      </c>
      <c r="E5954" s="95" t="s">
        <v>1166</v>
      </c>
      <c r="F5954" s="95" t="s">
        <v>2371</v>
      </c>
      <c r="G5954" s="95" t="s">
        <v>2372</v>
      </c>
    </row>
    <row r="5955" spans="1:7">
      <c r="A5955" s="847"/>
      <c r="B5955" s="114"/>
      <c r="C5955" s="351"/>
      <c r="D5955" s="105"/>
      <c r="E5955" s="114"/>
      <c r="F5955" s="114" t="s">
        <v>3485</v>
      </c>
      <c r="G5955" s="114" t="s">
        <v>3485</v>
      </c>
    </row>
    <row r="5956" spans="1:7">
      <c r="A5956" s="847"/>
      <c r="B5956" s="105">
        <v>1</v>
      </c>
      <c r="C5956" s="86" t="s">
        <v>5608</v>
      </c>
      <c r="D5956" s="95" t="s">
        <v>1172</v>
      </c>
      <c r="E5956" s="207">
        <v>0.5</v>
      </c>
      <c r="F5956" s="190">
        <f>'BASIC DATA'!$C$499</f>
        <v>510</v>
      </c>
      <c r="G5956" s="26">
        <f>F5956*E5956</f>
        <v>255</v>
      </c>
    </row>
    <row r="5957" spans="1:7">
      <c r="A5957" s="847"/>
      <c r="B5957" s="152"/>
      <c r="C5957" s="86" t="s">
        <v>2697</v>
      </c>
      <c r="D5957" s="105" t="s">
        <v>1172</v>
      </c>
      <c r="E5957" s="207">
        <v>0.5</v>
      </c>
      <c r="F5957" s="190">
        <f>'BASIC DATA'!$C$552</f>
        <v>350</v>
      </c>
      <c r="G5957" s="26">
        <f>F5957*E5957</f>
        <v>175</v>
      </c>
    </row>
    <row r="5958" spans="1:7">
      <c r="A5958" s="847"/>
      <c r="B5958" s="92"/>
      <c r="C5958" s="353" t="s">
        <v>1174</v>
      </c>
      <c r="D5958" s="159"/>
      <c r="E5958" s="238"/>
      <c r="F5958" s="236" t="s">
        <v>1698</v>
      </c>
      <c r="G5958" s="318">
        <f>SUM(G5956:G5957)</f>
        <v>430</v>
      </c>
    </row>
    <row r="5959" spans="1:7">
      <c r="A5959" s="847"/>
      <c r="B5959" s="359" t="s">
        <v>5948</v>
      </c>
      <c r="C5959" s="355"/>
      <c r="D5959" s="31"/>
      <c r="E5959" s="85">
        <f>ROUND(G5958/F5938,1)</f>
        <v>43</v>
      </c>
    </row>
    <row r="5960" spans="1:7">
      <c r="A5960" s="847"/>
      <c r="B5960" s="359" t="s">
        <v>3163</v>
      </c>
      <c r="C5960" s="355"/>
      <c r="D5960" s="922">
        <f>'BASIC DATA'!$C$577</f>
        <v>0.13614999999999999</v>
      </c>
      <c r="E5960" s="85">
        <f>ROUND(E5959*D5960,1)</f>
        <v>5.9</v>
      </c>
    </row>
    <row r="5961" spans="1:7">
      <c r="A5961" s="847"/>
      <c r="B5961" s="359" t="s">
        <v>5949</v>
      </c>
      <c r="C5961" s="355"/>
      <c r="D5961" s="31"/>
      <c r="E5961" s="199">
        <f>ROUND(E5960+E5959,1)</f>
        <v>48.9</v>
      </c>
    </row>
    <row r="5962" spans="1:7">
      <c r="A5962" s="847"/>
      <c r="B5962" s="78"/>
      <c r="C5962" s="48"/>
    </row>
    <row r="5963" spans="1:7">
      <c r="A5963" s="847"/>
      <c r="B5963" s="162" t="s">
        <v>1175</v>
      </c>
      <c r="C5963" s="48"/>
    </row>
    <row r="5964" spans="1:7">
      <c r="A5964" s="847"/>
      <c r="B5964" s="47" t="s">
        <v>4</v>
      </c>
      <c r="C5964" s="48"/>
      <c r="F5964" s="171" t="s">
        <v>1698</v>
      </c>
      <c r="G5964" s="68">
        <f>G5944</f>
        <v>997.5</v>
      </c>
    </row>
    <row r="5965" spans="1:7">
      <c r="A5965" s="847"/>
      <c r="B5965" s="47" t="s">
        <v>1186</v>
      </c>
      <c r="C5965" s="48"/>
      <c r="F5965" s="171" t="s">
        <v>1698</v>
      </c>
      <c r="G5965" s="68">
        <f>G5951</f>
        <v>150</v>
      </c>
    </row>
    <row r="5966" spans="1:7">
      <c r="A5966" s="847"/>
      <c r="B5966" s="47" t="s">
        <v>2660</v>
      </c>
      <c r="C5966" s="48"/>
      <c r="F5966" s="171" t="s">
        <v>1698</v>
      </c>
      <c r="G5966" s="75">
        <f>G5958</f>
        <v>430</v>
      </c>
    </row>
    <row r="5967" spans="1:7">
      <c r="A5967" s="847"/>
      <c r="B5967" s="78"/>
      <c r="C5967" s="48"/>
      <c r="E5967" s="261"/>
      <c r="F5967" s="171" t="s">
        <v>302</v>
      </c>
      <c r="G5967" s="205">
        <f>SUM(G5964:G5966)</f>
        <v>1577.5</v>
      </c>
    </row>
    <row r="5968" spans="1:7" ht="36.75" customHeight="1">
      <c r="A5968" s="847"/>
      <c r="B5968" s="1207" t="s">
        <v>1379</v>
      </c>
      <c r="C5968" s="1207"/>
      <c r="D5968" s="1207"/>
      <c r="E5968" s="922">
        <f>'BASIC DATA'!$C$577</f>
        <v>0.13614999999999999</v>
      </c>
      <c r="F5968" s="171" t="s">
        <v>1698</v>
      </c>
      <c r="G5968" s="31">
        <f>ROUND(G5967*E5968,2)</f>
        <v>214.78</v>
      </c>
    </row>
    <row r="5969" spans="1:7">
      <c r="A5969" s="847"/>
      <c r="B5969" s="47" t="s">
        <v>1191</v>
      </c>
      <c r="C5969" s="48"/>
      <c r="D5969" s="68">
        <f>F5938</f>
        <v>10</v>
      </c>
      <c r="E5969" s="68" t="str">
        <f>G5938</f>
        <v>Nos.</v>
      </c>
      <c r="F5969" s="171" t="s">
        <v>1698</v>
      </c>
      <c r="G5969" s="211">
        <f>G5968+G5967</f>
        <v>1792.28</v>
      </c>
    </row>
    <row r="5970" spans="1:7">
      <c r="A5970" s="847"/>
      <c r="B5970" s="79" t="s">
        <v>1584</v>
      </c>
      <c r="C5970" s="404" t="s">
        <v>4089</v>
      </c>
      <c r="D5970" s="26" t="s">
        <v>5891</v>
      </c>
      <c r="F5970" s="171" t="s">
        <v>4108</v>
      </c>
      <c r="G5970" s="211">
        <f>ROUND(G5969/D5969,1)</f>
        <v>179.2</v>
      </c>
    </row>
    <row r="5971" spans="1:7">
      <c r="A5971" s="847"/>
      <c r="B5971" s="78"/>
      <c r="C5971" s="48"/>
    </row>
    <row r="5972" spans="1:7">
      <c r="A5972" s="847"/>
      <c r="B5972" s="78"/>
      <c r="C5972" s="48"/>
    </row>
    <row r="5973" spans="1:7" ht="36">
      <c r="A5973" s="841" t="s">
        <v>7487</v>
      </c>
      <c r="B5973" s="47" t="s">
        <v>8817</v>
      </c>
      <c r="C5973" s="48"/>
    </row>
    <row r="5974" spans="1:7">
      <c r="A5974" s="889"/>
      <c r="B5974" s="47" t="s">
        <v>3568</v>
      </c>
      <c r="C5974" s="48"/>
    </row>
    <row r="5975" spans="1:7" ht="18.75">
      <c r="A5975" s="889"/>
      <c r="B5975" s="47" t="s">
        <v>8816</v>
      </c>
      <c r="C5975" s="48"/>
    </row>
    <row r="5976" spans="1:7">
      <c r="A5976" s="895"/>
      <c r="B5976" s="162" t="s">
        <v>3569</v>
      </c>
      <c r="C5976" s="48"/>
    </row>
    <row r="5977" spans="1:7">
      <c r="A5977" s="895"/>
      <c r="C5977" s="48"/>
    </row>
    <row r="5978" spans="1:7" hidden="1">
      <c r="A5978" s="889" t="s">
        <v>3984</v>
      </c>
      <c r="B5978" s="47" t="s">
        <v>6347</v>
      </c>
      <c r="C5978" s="48"/>
    </row>
    <row r="5979" spans="1:7">
      <c r="A5979" s="847"/>
      <c r="B5979" s="78"/>
      <c r="C5979" s="48"/>
    </row>
    <row r="5980" spans="1:7">
      <c r="A5980" s="847" t="s">
        <v>1907</v>
      </c>
      <c r="B5980" s="78"/>
      <c r="C5980" s="349" t="s">
        <v>2367</v>
      </c>
      <c r="E5980" s="171" t="s">
        <v>297</v>
      </c>
      <c r="F5980" s="409">
        <v>10</v>
      </c>
      <c r="G5980" s="26" t="s">
        <v>4041</v>
      </c>
    </row>
    <row r="5981" spans="1:7">
      <c r="A5981" s="847"/>
      <c r="B5981" s="79" t="s">
        <v>2368</v>
      </c>
      <c r="C5981" s="48"/>
    </row>
    <row r="5982" spans="1:7">
      <c r="A5982" s="847"/>
      <c r="B5982" s="95" t="s">
        <v>2369</v>
      </c>
      <c r="C5982" s="350" t="s">
        <v>6374</v>
      </c>
      <c r="D5982" s="95" t="s">
        <v>2370</v>
      </c>
      <c r="E5982" s="95" t="s">
        <v>1166</v>
      </c>
      <c r="F5982" s="95" t="s">
        <v>2371</v>
      </c>
      <c r="G5982" s="95" t="s">
        <v>2372</v>
      </c>
    </row>
    <row r="5983" spans="1:7">
      <c r="A5983" s="847"/>
      <c r="B5983" s="114"/>
      <c r="C5983" s="351"/>
      <c r="D5983" s="114"/>
      <c r="E5983" s="114"/>
      <c r="F5983" s="114" t="s">
        <v>3485</v>
      </c>
      <c r="G5983" s="114" t="s">
        <v>3485</v>
      </c>
    </row>
    <row r="5984" spans="1:7">
      <c r="A5984" s="847"/>
      <c r="B5984" s="95">
        <v>1</v>
      </c>
      <c r="C5984" s="86" t="s">
        <v>5746</v>
      </c>
      <c r="D5984" s="95" t="s">
        <v>3483</v>
      </c>
      <c r="E5984" s="220">
        <v>3</v>
      </c>
      <c r="F5984" s="214">
        <f>'BASIC DATA'!$D$65</f>
        <v>310</v>
      </c>
      <c r="G5984" s="214">
        <f>E5984*F5984</f>
        <v>930</v>
      </c>
    </row>
    <row r="5985" spans="1:7" ht="36">
      <c r="A5985" s="847"/>
      <c r="B5985" s="114">
        <v>2</v>
      </c>
      <c r="C5985" s="355" t="s">
        <v>5747</v>
      </c>
      <c r="D5985" s="114" t="s">
        <v>2173</v>
      </c>
      <c r="E5985" s="220">
        <v>10</v>
      </c>
      <c r="F5985" s="214">
        <f>'BASIC DATA'!$D$359</f>
        <v>30</v>
      </c>
      <c r="G5985" s="214">
        <f>E5985*F5985</f>
        <v>300</v>
      </c>
    </row>
    <row r="5986" spans="1:7">
      <c r="A5986" s="847"/>
      <c r="B5986" s="92"/>
      <c r="C5986" s="353" t="s">
        <v>2376</v>
      </c>
      <c r="D5986" s="159"/>
      <c r="E5986" s="238"/>
      <c r="F5986" s="236" t="s">
        <v>1698</v>
      </c>
      <c r="G5986" s="318">
        <f>SUM(G5984:G5985)</f>
        <v>1230</v>
      </c>
    </row>
    <row r="5987" spans="1:7">
      <c r="A5987" s="847"/>
      <c r="B5987" s="78"/>
      <c r="C5987" s="48"/>
    </row>
    <row r="5988" spans="1:7">
      <c r="A5988" s="847"/>
      <c r="B5988" s="79" t="s">
        <v>2377</v>
      </c>
      <c r="C5988" s="48"/>
    </row>
    <row r="5989" spans="1:7">
      <c r="A5989" s="847"/>
      <c r="B5989" s="95" t="s">
        <v>2369</v>
      </c>
      <c r="C5989" s="350" t="s">
        <v>2378</v>
      </c>
      <c r="D5989" s="95" t="s">
        <v>2370</v>
      </c>
      <c r="E5989" s="95" t="s">
        <v>1166</v>
      </c>
      <c r="F5989" s="95" t="s">
        <v>2371</v>
      </c>
      <c r="G5989" s="95" t="s">
        <v>2372</v>
      </c>
    </row>
    <row r="5990" spans="1:7">
      <c r="A5990" s="847"/>
      <c r="B5990" s="114"/>
      <c r="C5990" s="351"/>
      <c r="D5990" s="114"/>
      <c r="E5990" s="114"/>
      <c r="F5990" s="114" t="s">
        <v>3485</v>
      </c>
      <c r="G5990" s="114" t="s">
        <v>3485</v>
      </c>
    </row>
    <row r="5991" spans="1:7">
      <c r="A5991" s="847"/>
      <c r="B5991" s="95">
        <v>1</v>
      </c>
      <c r="C5991" s="86" t="s">
        <v>5748</v>
      </c>
      <c r="D5991" s="95" t="s">
        <v>2173</v>
      </c>
      <c r="E5991" s="220">
        <v>7</v>
      </c>
      <c r="F5991" s="214">
        <f>'BASIC DATA'!$D$359</f>
        <v>30</v>
      </c>
      <c r="G5991" s="214">
        <f>E5991*F5991</f>
        <v>210</v>
      </c>
    </row>
    <row r="5992" spans="1:7">
      <c r="A5992" s="847"/>
      <c r="B5992" s="116"/>
      <c r="C5992" s="113"/>
      <c r="D5992" s="114"/>
      <c r="E5992" s="215">
        <v>0</v>
      </c>
      <c r="F5992" s="214"/>
      <c r="G5992" s="214"/>
    </row>
    <row r="5993" spans="1:7">
      <c r="A5993" s="847"/>
      <c r="B5993" s="176"/>
      <c r="C5993" s="357" t="s">
        <v>2380</v>
      </c>
      <c r="D5993" s="174"/>
      <c r="E5993" s="192"/>
      <c r="F5993" s="236" t="s">
        <v>1698</v>
      </c>
      <c r="G5993" s="354">
        <f>SUM(G5991:G5992)</f>
        <v>210</v>
      </c>
    </row>
    <row r="5994" spans="1:7">
      <c r="A5994" s="847"/>
      <c r="B5994" s="78"/>
      <c r="C5994" s="48"/>
    </row>
    <row r="5995" spans="1:7">
      <c r="A5995" s="847"/>
      <c r="B5995" s="79" t="s">
        <v>2381</v>
      </c>
      <c r="C5995" s="48"/>
    </row>
    <row r="5996" spans="1:7">
      <c r="A5996" s="847"/>
      <c r="B5996" s="95" t="s">
        <v>2369</v>
      </c>
      <c r="C5996" s="350" t="s">
        <v>2378</v>
      </c>
      <c r="D5996" s="95" t="s">
        <v>2370</v>
      </c>
      <c r="E5996" s="95" t="s">
        <v>1166</v>
      </c>
      <c r="F5996" s="95" t="s">
        <v>2371</v>
      </c>
      <c r="G5996" s="95" t="s">
        <v>2372</v>
      </c>
    </row>
    <row r="5997" spans="1:7">
      <c r="A5997" s="847"/>
      <c r="B5997" s="114"/>
      <c r="C5997" s="351"/>
      <c r="D5997" s="105"/>
      <c r="E5997" s="114"/>
      <c r="F5997" s="114" t="s">
        <v>3485</v>
      </c>
      <c r="G5997" s="114" t="s">
        <v>3485</v>
      </c>
    </row>
    <row r="5998" spans="1:7">
      <c r="A5998" s="847"/>
      <c r="B5998" s="105">
        <v>1</v>
      </c>
      <c r="C5998" s="86" t="s">
        <v>5608</v>
      </c>
      <c r="D5998" s="95" t="s">
        <v>1172</v>
      </c>
      <c r="E5998" s="207">
        <v>0.5</v>
      </c>
      <c r="F5998" s="190">
        <f>'BASIC DATA'!$C$499</f>
        <v>510</v>
      </c>
      <c r="G5998" s="214">
        <f>E5998*F5998</f>
        <v>255</v>
      </c>
    </row>
    <row r="5999" spans="1:7">
      <c r="A5999" s="847"/>
      <c r="B5999" s="152"/>
      <c r="C5999" s="86" t="s">
        <v>2697</v>
      </c>
      <c r="D5999" s="105" t="s">
        <v>1172</v>
      </c>
      <c r="E5999" s="207">
        <v>0.5</v>
      </c>
      <c r="F5999" s="190">
        <f>'BASIC DATA'!$C$552</f>
        <v>350</v>
      </c>
      <c r="G5999" s="214">
        <f>E5999*F5999</f>
        <v>175</v>
      </c>
    </row>
    <row r="6000" spans="1:7">
      <c r="A6000" s="847"/>
      <c r="B6000" s="92"/>
      <c r="C6000" s="353" t="s">
        <v>1174</v>
      </c>
      <c r="D6000" s="159"/>
      <c r="E6000" s="238"/>
      <c r="F6000" s="236" t="s">
        <v>1698</v>
      </c>
      <c r="G6000" s="318">
        <f>SUM(G5998:G5999)</f>
        <v>430</v>
      </c>
    </row>
    <row r="6001" spans="1:7">
      <c r="A6001" s="847"/>
      <c r="B6001" s="359" t="s">
        <v>5948</v>
      </c>
      <c r="C6001" s="355"/>
      <c r="D6001" s="31"/>
      <c r="E6001" s="85">
        <f>ROUND(G6000/F5980,1)</f>
        <v>43</v>
      </c>
    </row>
    <row r="6002" spans="1:7">
      <c r="A6002" s="847"/>
      <c r="B6002" s="359" t="s">
        <v>3163</v>
      </c>
      <c r="C6002" s="355"/>
      <c r="D6002" s="922">
        <f>'BASIC DATA'!$C$577</f>
        <v>0.13614999999999999</v>
      </c>
      <c r="E6002" s="85">
        <f>ROUND(E6001*D6002,1)</f>
        <v>5.9</v>
      </c>
    </row>
    <row r="6003" spans="1:7">
      <c r="A6003" s="847"/>
      <c r="B6003" s="359" t="s">
        <v>5949</v>
      </c>
      <c r="C6003" s="355"/>
      <c r="D6003" s="31"/>
      <c r="E6003" s="199">
        <f>ROUND(E6002+E6001,1)</f>
        <v>48.9</v>
      </c>
    </row>
    <row r="6004" spans="1:7">
      <c r="A6004" s="847"/>
      <c r="B6004" s="78"/>
      <c r="C6004" s="48"/>
    </row>
    <row r="6005" spans="1:7">
      <c r="A6005" s="847"/>
      <c r="B6005" s="162" t="s">
        <v>1175</v>
      </c>
      <c r="C6005" s="48"/>
    </row>
    <row r="6006" spans="1:7">
      <c r="A6006" s="847"/>
      <c r="B6006" s="47" t="s">
        <v>4</v>
      </c>
      <c r="C6006" s="48"/>
      <c r="F6006" s="171" t="s">
        <v>1698</v>
      </c>
      <c r="G6006" s="68">
        <f>G5986</f>
        <v>1230</v>
      </c>
    </row>
    <row r="6007" spans="1:7">
      <c r="A6007" s="847"/>
      <c r="B6007" s="47" t="s">
        <v>1186</v>
      </c>
      <c r="C6007" s="48"/>
      <c r="F6007" s="171" t="s">
        <v>1698</v>
      </c>
      <c r="G6007" s="68">
        <f>G5993</f>
        <v>210</v>
      </c>
    </row>
    <row r="6008" spans="1:7">
      <c r="A6008" s="847"/>
      <c r="B6008" s="30" t="s">
        <v>2660</v>
      </c>
      <c r="C6008" s="48"/>
      <c r="D6008" s="31"/>
      <c r="E6008" s="31"/>
      <c r="F6008" s="200" t="s">
        <v>1698</v>
      </c>
      <c r="G6008" s="75">
        <f>G6000</f>
        <v>430</v>
      </c>
    </row>
    <row r="6009" spans="1:7">
      <c r="A6009" s="847"/>
      <c r="B6009" s="78"/>
      <c r="C6009" s="48"/>
      <c r="E6009" s="261"/>
      <c r="F6009" s="171" t="s">
        <v>302</v>
      </c>
      <c r="G6009" s="205">
        <f>SUM(G6006:G6008)</f>
        <v>1870</v>
      </c>
    </row>
    <row r="6010" spans="1:7" ht="40.5" customHeight="1">
      <c r="A6010" s="847"/>
      <c r="B6010" s="1207" t="s">
        <v>1379</v>
      </c>
      <c r="C6010" s="1207"/>
      <c r="D6010" s="1207"/>
      <c r="E6010" s="922">
        <f>'BASIC DATA'!$C$577</f>
        <v>0.13614999999999999</v>
      </c>
      <c r="F6010" s="171" t="s">
        <v>1698</v>
      </c>
      <c r="G6010" s="31">
        <f>ROUND(G6009*E6010,2)</f>
        <v>254.6</v>
      </c>
    </row>
    <row r="6011" spans="1:7">
      <c r="A6011" s="847"/>
      <c r="B6011" s="47" t="s">
        <v>1191</v>
      </c>
      <c r="C6011" s="48"/>
      <c r="D6011" s="68">
        <f>F5980</f>
        <v>10</v>
      </c>
      <c r="E6011" s="68" t="str">
        <f>G5980</f>
        <v>Nos.</v>
      </c>
      <c r="F6011" s="171" t="s">
        <v>1698</v>
      </c>
      <c r="G6011" s="211">
        <f>G6010+G6009</f>
        <v>2124.6</v>
      </c>
    </row>
    <row r="6012" spans="1:7">
      <c r="A6012" s="847"/>
      <c r="B6012" s="79" t="s">
        <v>1584</v>
      </c>
      <c r="C6012" s="404" t="s">
        <v>4089</v>
      </c>
      <c r="D6012" s="26" t="s">
        <v>5891</v>
      </c>
      <c r="F6012" s="171" t="s">
        <v>4108</v>
      </c>
      <c r="G6012" s="211">
        <f>ROUND(G6011/D6011,1)</f>
        <v>212.5</v>
      </c>
    </row>
    <row r="6013" spans="1:7">
      <c r="A6013" s="847"/>
      <c r="B6013" s="78"/>
      <c r="C6013" s="48"/>
      <c r="F6013" s="171"/>
    </row>
    <row r="6014" spans="1:7">
      <c r="A6014" s="847"/>
      <c r="B6014" s="78"/>
      <c r="C6014" s="48"/>
    </row>
    <row r="6015" spans="1:7" ht="36">
      <c r="A6015" s="841" t="s">
        <v>7488</v>
      </c>
      <c r="B6015" s="47" t="s">
        <v>8818</v>
      </c>
      <c r="C6015" s="48"/>
    </row>
    <row r="6016" spans="1:7">
      <c r="A6016" s="889"/>
      <c r="B6016" s="47" t="s">
        <v>3568</v>
      </c>
      <c r="C6016" s="48"/>
    </row>
    <row r="6017" spans="1:7" ht="18.75">
      <c r="A6017" s="889"/>
      <c r="B6017" s="47" t="s">
        <v>8816</v>
      </c>
      <c r="C6017" s="48"/>
    </row>
    <row r="6018" spans="1:7">
      <c r="A6018" s="895"/>
      <c r="B6018" s="162" t="s">
        <v>3569</v>
      </c>
      <c r="C6018" s="48"/>
    </row>
    <row r="6019" spans="1:7">
      <c r="A6019" s="895"/>
      <c r="C6019" s="48"/>
    </row>
    <row r="6020" spans="1:7" hidden="1">
      <c r="A6020" s="889" t="s">
        <v>3984</v>
      </c>
      <c r="B6020" s="47" t="s">
        <v>6348</v>
      </c>
      <c r="C6020" s="48"/>
    </row>
    <row r="6021" spans="1:7">
      <c r="A6021" s="847"/>
      <c r="B6021" s="78"/>
      <c r="C6021" s="48"/>
    </row>
    <row r="6022" spans="1:7">
      <c r="A6022" s="847" t="s">
        <v>1907</v>
      </c>
      <c r="B6022" s="78"/>
      <c r="C6022" s="349" t="s">
        <v>2367</v>
      </c>
      <c r="E6022" s="171" t="s">
        <v>297</v>
      </c>
      <c r="F6022" s="409">
        <v>10</v>
      </c>
      <c r="G6022" s="26" t="s">
        <v>4041</v>
      </c>
    </row>
    <row r="6023" spans="1:7">
      <c r="A6023" s="847"/>
      <c r="B6023" s="79" t="s">
        <v>2368</v>
      </c>
      <c r="C6023" s="48"/>
    </row>
    <row r="6024" spans="1:7">
      <c r="A6024" s="847"/>
      <c r="B6024" s="95" t="s">
        <v>2369</v>
      </c>
      <c r="C6024" s="350" t="s">
        <v>6374</v>
      </c>
      <c r="D6024" s="95" t="s">
        <v>2370</v>
      </c>
      <c r="E6024" s="95" t="s">
        <v>1166</v>
      </c>
      <c r="F6024" s="95" t="s">
        <v>2371</v>
      </c>
      <c r="G6024" s="95" t="s">
        <v>2372</v>
      </c>
    </row>
    <row r="6025" spans="1:7">
      <c r="A6025" s="847"/>
      <c r="B6025" s="114"/>
      <c r="C6025" s="351"/>
      <c r="D6025" s="114"/>
      <c r="E6025" s="114"/>
      <c r="F6025" s="114" t="s">
        <v>3485</v>
      </c>
      <c r="G6025" s="114" t="s">
        <v>3485</v>
      </c>
    </row>
    <row r="6026" spans="1:7">
      <c r="A6026" s="847"/>
      <c r="B6026" s="95">
        <v>1</v>
      </c>
      <c r="C6026" s="86" t="s">
        <v>5746</v>
      </c>
      <c r="D6026" s="95" t="s">
        <v>3483</v>
      </c>
      <c r="E6026" s="220">
        <v>4.5</v>
      </c>
      <c r="F6026" s="214">
        <f>'BASIC DATA'!$D$65</f>
        <v>310</v>
      </c>
      <c r="G6026" s="214">
        <f>E6026*F6026</f>
        <v>1395</v>
      </c>
    </row>
    <row r="6027" spans="1:7" ht="36">
      <c r="A6027" s="847"/>
      <c r="B6027" s="114">
        <v>2</v>
      </c>
      <c r="C6027" s="355" t="s">
        <v>5747</v>
      </c>
      <c r="D6027" s="114" t="s">
        <v>2173</v>
      </c>
      <c r="E6027" s="220">
        <v>10</v>
      </c>
      <c r="F6027" s="214">
        <f>'BASIC DATA'!$D$359</f>
        <v>30</v>
      </c>
      <c r="G6027" s="214">
        <f>E6027*F6027</f>
        <v>300</v>
      </c>
    </row>
    <row r="6028" spans="1:7">
      <c r="A6028" s="847"/>
      <c r="B6028" s="92"/>
      <c r="C6028" s="353" t="s">
        <v>2376</v>
      </c>
      <c r="D6028" s="159"/>
      <c r="E6028" s="238"/>
      <c r="F6028" s="236" t="s">
        <v>1698</v>
      </c>
      <c r="G6028" s="318">
        <f>SUM(G6026:G6027)</f>
        <v>1695</v>
      </c>
    </row>
    <row r="6029" spans="1:7">
      <c r="A6029" s="847"/>
      <c r="B6029" s="78"/>
      <c r="C6029" s="48"/>
    </row>
    <row r="6030" spans="1:7">
      <c r="A6030" s="847"/>
      <c r="B6030" s="79" t="s">
        <v>2377</v>
      </c>
      <c r="C6030" s="48"/>
    </row>
    <row r="6031" spans="1:7">
      <c r="A6031" s="847"/>
      <c r="B6031" s="95" t="s">
        <v>2369</v>
      </c>
      <c r="C6031" s="350" t="s">
        <v>2378</v>
      </c>
      <c r="D6031" s="95" t="s">
        <v>2370</v>
      </c>
      <c r="E6031" s="95" t="s">
        <v>1166</v>
      </c>
      <c r="F6031" s="95" t="s">
        <v>2371</v>
      </c>
      <c r="G6031" s="95" t="s">
        <v>2372</v>
      </c>
    </row>
    <row r="6032" spans="1:7">
      <c r="A6032" s="847"/>
      <c r="B6032" s="114"/>
      <c r="C6032" s="351"/>
      <c r="D6032" s="114"/>
      <c r="E6032" s="114"/>
      <c r="F6032" s="114" t="s">
        <v>3485</v>
      </c>
      <c r="G6032" s="114" t="s">
        <v>3485</v>
      </c>
    </row>
    <row r="6033" spans="1:7">
      <c r="A6033" s="847"/>
      <c r="B6033" s="95">
        <v>1</v>
      </c>
      <c r="C6033" s="86" t="s">
        <v>5748</v>
      </c>
      <c r="D6033" s="95" t="s">
        <v>2173</v>
      </c>
      <c r="E6033" s="220">
        <v>10</v>
      </c>
      <c r="F6033" s="214">
        <f>'BASIC DATA'!$D$359</f>
        <v>30</v>
      </c>
      <c r="G6033" s="214">
        <f>E6033*F6033</f>
        <v>300</v>
      </c>
    </row>
    <row r="6034" spans="1:7">
      <c r="A6034" s="847"/>
      <c r="B6034" s="116"/>
      <c r="C6034" s="113"/>
      <c r="D6034" s="114"/>
      <c r="E6034" s="215">
        <v>0</v>
      </c>
      <c r="F6034" s="214"/>
      <c r="G6034" s="214"/>
    </row>
    <row r="6035" spans="1:7">
      <c r="A6035" s="847"/>
      <c r="B6035" s="176"/>
      <c r="C6035" s="357" t="s">
        <v>2380</v>
      </c>
      <c r="D6035" s="174"/>
      <c r="E6035" s="192"/>
      <c r="F6035" s="236" t="s">
        <v>1698</v>
      </c>
      <c r="G6035" s="354">
        <f>SUM(G6033:G6034)</f>
        <v>300</v>
      </c>
    </row>
    <row r="6036" spans="1:7">
      <c r="A6036" s="847"/>
      <c r="B6036" s="78"/>
      <c r="C6036" s="48"/>
    </row>
    <row r="6037" spans="1:7">
      <c r="A6037" s="847"/>
      <c r="B6037" s="79" t="s">
        <v>2381</v>
      </c>
      <c r="C6037" s="48"/>
    </row>
    <row r="6038" spans="1:7">
      <c r="A6038" s="847"/>
      <c r="B6038" s="95" t="s">
        <v>2369</v>
      </c>
      <c r="C6038" s="350" t="s">
        <v>2378</v>
      </c>
      <c r="D6038" s="95" t="s">
        <v>2370</v>
      </c>
      <c r="E6038" s="95" t="s">
        <v>1166</v>
      </c>
      <c r="F6038" s="95" t="s">
        <v>2371</v>
      </c>
      <c r="G6038" s="95" t="s">
        <v>2372</v>
      </c>
    </row>
    <row r="6039" spans="1:7">
      <c r="A6039" s="847"/>
      <c r="B6039" s="114"/>
      <c r="C6039" s="351"/>
      <c r="D6039" s="105"/>
      <c r="E6039" s="114"/>
      <c r="F6039" s="114" t="s">
        <v>3485</v>
      </c>
      <c r="G6039" s="114" t="s">
        <v>3485</v>
      </c>
    </row>
    <row r="6040" spans="1:7">
      <c r="A6040" s="847"/>
      <c r="B6040" s="105">
        <v>1</v>
      </c>
      <c r="C6040" s="86" t="s">
        <v>5608</v>
      </c>
      <c r="D6040" s="95" t="s">
        <v>1172</v>
      </c>
      <c r="E6040" s="207">
        <v>0.5</v>
      </c>
      <c r="F6040" s="190">
        <f>'BASIC DATA'!$C$499</f>
        <v>510</v>
      </c>
      <c r="G6040" s="214">
        <f>E6040*F6040</f>
        <v>255</v>
      </c>
    </row>
    <row r="6041" spans="1:7">
      <c r="A6041" s="847"/>
      <c r="B6041" s="152"/>
      <c r="C6041" s="86" t="s">
        <v>2697</v>
      </c>
      <c r="D6041" s="105" t="s">
        <v>1172</v>
      </c>
      <c r="E6041" s="207">
        <v>0.5</v>
      </c>
      <c r="F6041" s="190">
        <f>'BASIC DATA'!$C$552</f>
        <v>350</v>
      </c>
      <c r="G6041" s="214">
        <f>E6041*F6041</f>
        <v>175</v>
      </c>
    </row>
    <row r="6042" spans="1:7">
      <c r="A6042" s="847"/>
      <c r="B6042" s="92"/>
      <c r="C6042" s="353" t="s">
        <v>1174</v>
      </c>
      <c r="D6042" s="159"/>
      <c r="E6042" s="238"/>
      <c r="F6042" s="236" t="s">
        <v>1698</v>
      </c>
      <c r="G6042" s="318">
        <f>SUM(G6040:G6041)</f>
        <v>430</v>
      </c>
    </row>
    <row r="6043" spans="1:7">
      <c r="A6043" s="847"/>
      <c r="B6043" s="359" t="s">
        <v>5948</v>
      </c>
      <c r="C6043" s="48"/>
      <c r="D6043" s="31"/>
      <c r="E6043" s="85">
        <f>ROUND(G6042/F6022,1)</f>
        <v>43</v>
      </c>
    </row>
    <row r="6044" spans="1:7">
      <c r="A6044" s="847"/>
      <c r="B6044" s="359" t="s">
        <v>3163</v>
      </c>
      <c r="C6044" s="48"/>
      <c r="D6044" s="922">
        <f>'BASIC DATA'!$C$577</f>
        <v>0.13614999999999999</v>
      </c>
      <c r="E6044" s="85">
        <f>ROUND(E6043*D6044,1)</f>
        <v>5.9</v>
      </c>
    </row>
    <row r="6045" spans="1:7">
      <c r="A6045" s="847"/>
      <c r="B6045" s="359" t="s">
        <v>5949</v>
      </c>
      <c r="C6045" s="48"/>
      <c r="D6045" s="31"/>
      <c r="E6045" s="199">
        <f>ROUND(E6044+E6043,1)</f>
        <v>48.9</v>
      </c>
    </row>
    <row r="6046" spans="1:7">
      <c r="A6046" s="847"/>
      <c r="C6046" s="48"/>
    </row>
    <row r="6047" spans="1:7">
      <c r="A6047" s="847"/>
      <c r="B6047" s="162" t="s">
        <v>1175</v>
      </c>
      <c r="C6047" s="48"/>
    </row>
    <row r="6048" spans="1:7">
      <c r="A6048" s="847"/>
      <c r="B6048" s="47" t="s">
        <v>4</v>
      </c>
      <c r="C6048" s="48"/>
      <c r="F6048" s="171" t="s">
        <v>1698</v>
      </c>
      <c r="G6048" s="68">
        <f>G6028</f>
        <v>1695</v>
      </c>
    </row>
    <row r="6049" spans="1:7">
      <c r="A6049" s="847"/>
      <c r="B6049" s="47" t="s">
        <v>1186</v>
      </c>
      <c r="C6049" s="48"/>
      <c r="F6049" s="171" t="s">
        <v>1698</v>
      </c>
      <c r="G6049" s="68">
        <f>G6035</f>
        <v>300</v>
      </c>
    </row>
    <row r="6050" spans="1:7">
      <c r="A6050" s="847"/>
      <c r="B6050" s="47" t="s">
        <v>2660</v>
      </c>
      <c r="C6050" s="48"/>
      <c r="F6050" s="171" t="s">
        <v>1698</v>
      </c>
      <c r="G6050" s="75">
        <f>G6042</f>
        <v>430</v>
      </c>
    </row>
    <row r="6051" spans="1:7">
      <c r="A6051" s="847"/>
      <c r="B6051" s="78"/>
      <c r="C6051" s="48"/>
      <c r="E6051" s="261"/>
      <c r="F6051" s="171" t="s">
        <v>302</v>
      </c>
      <c r="G6051" s="205">
        <f>SUM(G6048:G6050)</f>
        <v>2425</v>
      </c>
    </row>
    <row r="6052" spans="1:7" ht="35.25" customHeight="1">
      <c r="A6052" s="847"/>
      <c r="B6052" s="1207" t="s">
        <v>1379</v>
      </c>
      <c r="C6052" s="1207"/>
      <c r="D6052" s="1207"/>
      <c r="E6052" s="922">
        <f>'BASIC DATA'!$C$577</f>
        <v>0.13614999999999999</v>
      </c>
      <c r="F6052" s="171" t="s">
        <v>1698</v>
      </c>
      <c r="G6052" s="31">
        <f>ROUND(G6051*E6052,2)</f>
        <v>330.16</v>
      </c>
    </row>
    <row r="6053" spans="1:7">
      <c r="A6053" s="847"/>
      <c r="B6053" s="47" t="s">
        <v>1191</v>
      </c>
      <c r="C6053" s="48"/>
      <c r="D6053" s="68">
        <f>F6022</f>
        <v>10</v>
      </c>
      <c r="E6053" s="68" t="str">
        <f>G6022</f>
        <v>Nos.</v>
      </c>
      <c r="F6053" s="171" t="s">
        <v>1698</v>
      </c>
      <c r="G6053" s="211">
        <f>G6052+G6051</f>
        <v>2755.16</v>
      </c>
    </row>
    <row r="6054" spans="1:7">
      <c r="A6054" s="847"/>
      <c r="B6054" s="79" t="s">
        <v>1584</v>
      </c>
      <c r="C6054" s="404" t="s">
        <v>4089</v>
      </c>
      <c r="D6054" s="26" t="s">
        <v>5891</v>
      </c>
      <c r="F6054" s="171" t="s">
        <v>4108</v>
      </c>
      <c r="G6054" s="211">
        <f>ROUND(G6053/D6053,1)</f>
        <v>275.5</v>
      </c>
    </row>
    <row r="6055" spans="1:7">
      <c r="A6055" s="847"/>
      <c r="B6055" s="78"/>
      <c r="C6055" s="48"/>
    </row>
    <row r="6056" spans="1:7">
      <c r="A6056" s="847"/>
      <c r="B6056" s="78"/>
      <c r="C6056" s="48"/>
    </row>
    <row r="6057" spans="1:7" ht="36">
      <c r="A6057" s="841" t="s">
        <v>7489</v>
      </c>
      <c r="B6057" s="47" t="s">
        <v>8819</v>
      </c>
      <c r="C6057" s="48"/>
    </row>
    <row r="6058" spans="1:7">
      <c r="A6058" s="889"/>
      <c r="B6058" s="47" t="s">
        <v>3568</v>
      </c>
      <c r="C6058" s="48"/>
    </row>
    <row r="6059" spans="1:7" ht="18.75">
      <c r="A6059" s="889"/>
      <c r="B6059" s="47" t="s">
        <v>8816</v>
      </c>
      <c r="C6059" s="48"/>
    </row>
    <row r="6060" spans="1:7">
      <c r="A6060" s="895"/>
      <c r="B6060" s="162" t="s">
        <v>3569</v>
      </c>
      <c r="C6060" s="48"/>
    </row>
    <row r="6061" spans="1:7">
      <c r="A6061" s="895"/>
      <c r="C6061" s="48"/>
    </row>
    <row r="6062" spans="1:7" hidden="1">
      <c r="A6062" s="889" t="s">
        <v>3984</v>
      </c>
      <c r="B6062" s="47" t="s">
        <v>6349</v>
      </c>
      <c r="C6062" s="48"/>
    </row>
    <row r="6063" spans="1:7">
      <c r="A6063" s="847"/>
      <c r="B6063" s="78"/>
      <c r="C6063" s="48"/>
    </row>
    <row r="6064" spans="1:7">
      <c r="A6064" s="847" t="s">
        <v>1907</v>
      </c>
      <c r="B6064" s="78"/>
      <c r="C6064" s="349" t="s">
        <v>2367</v>
      </c>
      <c r="E6064" s="171" t="s">
        <v>297</v>
      </c>
      <c r="F6064" s="409">
        <v>10</v>
      </c>
      <c r="G6064" s="26" t="s">
        <v>4041</v>
      </c>
    </row>
    <row r="6065" spans="1:7">
      <c r="A6065" s="847"/>
      <c r="B6065" s="79" t="s">
        <v>2368</v>
      </c>
      <c r="C6065" s="48"/>
    </row>
    <row r="6066" spans="1:7">
      <c r="A6066" s="847"/>
      <c r="B6066" s="95" t="s">
        <v>2369</v>
      </c>
      <c r="C6066" s="350" t="s">
        <v>6374</v>
      </c>
      <c r="D6066" s="95" t="s">
        <v>2370</v>
      </c>
      <c r="E6066" s="95" t="s">
        <v>1166</v>
      </c>
      <c r="F6066" s="95" t="s">
        <v>2371</v>
      </c>
      <c r="G6066" s="95" t="s">
        <v>2372</v>
      </c>
    </row>
    <row r="6067" spans="1:7">
      <c r="A6067" s="847"/>
      <c r="B6067" s="114"/>
      <c r="C6067" s="351"/>
      <c r="D6067" s="114"/>
      <c r="E6067" s="114"/>
      <c r="F6067" s="114" t="s">
        <v>3485</v>
      </c>
      <c r="G6067" s="114" t="s">
        <v>3485</v>
      </c>
    </row>
    <row r="6068" spans="1:7">
      <c r="A6068" s="847"/>
      <c r="B6068" s="95">
        <v>1</v>
      </c>
      <c r="C6068" s="86" t="s">
        <v>6350</v>
      </c>
      <c r="D6068" s="95" t="s">
        <v>3483</v>
      </c>
      <c r="E6068" s="220">
        <v>7.5</v>
      </c>
      <c r="F6068" s="214">
        <f>'BASIC DATA'!$D$65</f>
        <v>310</v>
      </c>
      <c r="G6068" s="214">
        <f>E6068*F6068</f>
        <v>2325</v>
      </c>
    </row>
    <row r="6069" spans="1:7" ht="36">
      <c r="A6069" s="847"/>
      <c r="B6069" s="114">
        <v>2</v>
      </c>
      <c r="C6069" s="355" t="s">
        <v>5747</v>
      </c>
      <c r="D6069" s="114" t="s">
        <v>2173</v>
      </c>
      <c r="E6069" s="220">
        <v>10</v>
      </c>
      <c r="F6069" s="214">
        <f>'BASIC DATA'!$D$359</f>
        <v>30</v>
      </c>
      <c r="G6069" s="214">
        <f>E6069*F6069</f>
        <v>300</v>
      </c>
    </row>
    <row r="6070" spans="1:7">
      <c r="A6070" s="847"/>
      <c r="B6070" s="92"/>
      <c r="C6070" s="353" t="s">
        <v>2376</v>
      </c>
      <c r="D6070" s="159"/>
      <c r="E6070" s="238"/>
      <c r="F6070" s="236" t="s">
        <v>1698</v>
      </c>
      <c r="G6070" s="318">
        <f>SUM(G6068:G6069)</f>
        <v>2625</v>
      </c>
    </row>
    <row r="6071" spans="1:7">
      <c r="A6071" s="847"/>
      <c r="B6071" s="78"/>
      <c r="C6071" s="48"/>
    </row>
    <row r="6072" spans="1:7">
      <c r="A6072" s="847"/>
      <c r="B6072" s="79" t="s">
        <v>2377</v>
      </c>
      <c r="C6072" s="48"/>
    </row>
    <row r="6073" spans="1:7">
      <c r="A6073" s="847"/>
      <c r="B6073" s="95" t="s">
        <v>2369</v>
      </c>
      <c r="C6073" s="350" t="s">
        <v>2378</v>
      </c>
      <c r="D6073" s="95" t="s">
        <v>2370</v>
      </c>
      <c r="E6073" s="95" t="s">
        <v>1166</v>
      </c>
      <c r="F6073" s="95" t="s">
        <v>2371</v>
      </c>
      <c r="G6073" s="95" t="s">
        <v>2372</v>
      </c>
    </row>
    <row r="6074" spans="1:7">
      <c r="A6074" s="847"/>
      <c r="B6074" s="114"/>
      <c r="C6074" s="351"/>
      <c r="D6074" s="114"/>
      <c r="E6074" s="114"/>
      <c r="F6074" s="114" t="s">
        <v>3485</v>
      </c>
      <c r="G6074" s="114" t="s">
        <v>3485</v>
      </c>
    </row>
    <row r="6075" spans="1:7">
      <c r="A6075" s="847"/>
      <c r="B6075" s="95">
        <v>1</v>
      </c>
      <c r="C6075" s="86" t="s">
        <v>5748</v>
      </c>
      <c r="D6075" s="95" t="s">
        <v>2173</v>
      </c>
      <c r="E6075" s="220">
        <v>15</v>
      </c>
      <c r="F6075" s="214">
        <f>'BASIC DATA'!$D$359</f>
        <v>30</v>
      </c>
      <c r="G6075" s="214">
        <f>E6075*F6075</f>
        <v>450</v>
      </c>
    </row>
    <row r="6076" spans="1:7">
      <c r="A6076" s="847"/>
      <c r="B6076" s="116"/>
      <c r="C6076" s="113"/>
      <c r="D6076" s="114"/>
      <c r="E6076" s="215">
        <v>0</v>
      </c>
      <c r="F6076" s="214"/>
      <c r="G6076" s="214"/>
    </row>
    <row r="6077" spans="1:7">
      <c r="A6077" s="847"/>
      <c r="B6077" s="176"/>
      <c r="C6077" s="357" t="s">
        <v>2380</v>
      </c>
      <c r="D6077" s="174"/>
      <c r="E6077" s="192"/>
      <c r="F6077" s="236" t="s">
        <v>1698</v>
      </c>
      <c r="G6077" s="354">
        <f>SUM(G6075:G6076)</f>
        <v>450</v>
      </c>
    </row>
    <row r="6078" spans="1:7">
      <c r="A6078" s="847"/>
      <c r="B6078" s="78"/>
      <c r="C6078" s="48"/>
    </row>
    <row r="6079" spans="1:7">
      <c r="A6079" s="847"/>
      <c r="B6079" s="79" t="s">
        <v>2381</v>
      </c>
      <c r="C6079" s="48"/>
    </row>
    <row r="6080" spans="1:7">
      <c r="A6080" s="847"/>
      <c r="B6080" s="95" t="s">
        <v>2369</v>
      </c>
      <c r="C6080" s="350" t="s">
        <v>2378</v>
      </c>
      <c r="D6080" s="95" t="s">
        <v>2370</v>
      </c>
      <c r="E6080" s="95" t="s">
        <v>1166</v>
      </c>
      <c r="F6080" s="95" t="s">
        <v>2371</v>
      </c>
      <c r="G6080" s="95" t="s">
        <v>2372</v>
      </c>
    </row>
    <row r="6081" spans="1:7">
      <c r="A6081" s="847"/>
      <c r="B6081" s="114"/>
      <c r="C6081" s="351"/>
      <c r="D6081" s="105"/>
      <c r="E6081" s="114"/>
      <c r="F6081" s="114" t="s">
        <v>3485</v>
      </c>
      <c r="G6081" s="114" t="s">
        <v>3485</v>
      </c>
    </row>
    <row r="6082" spans="1:7">
      <c r="A6082" s="847"/>
      <c r="B6082" s="105">
        <v>1</v>
      </c>
      <c r="C6082" s="86" t="s">
        <v>5608</v>
      </c>
      <c r="D6082" s="95" t="s">
        <v>1172</v>
      </c>
      <c r="E6082" s="207">
        <v>0.5</v>
      </c>
      <c r="F6082" s="190">
        <f>'BASIC DATA'!$C$499</f>
        <v>510</v>
      </c>
      <c r="G6082" s="214">
        <f>E6082*F6082</f>
        <v>255</v>
      </c>
    </row>
    <row r="6083" spans="1:7">
      <c r="A6083" s="847"/>
      <c r="B6083" s="105">
        <v>2</v>
      </c>
      <c r="C6083" s="86" t="s">
        <v>2697</v>
      </c>
      <c r="D6083" s="105" t="s">
        <v>1172</v>
      </c>
      <c r="E6083" s="207">
        <v>0.5</v>
      </c>
      <c r="F6083" s="190">
        <f>'BASIC DATA'!$C$552</f>
        <v>350</v>
      </c>
      <c r="G6083" s="214">
        <f>E6083*F6083</f>
        <v>175</v>
      </c>
    </row>
    <row r="6084" spans="1:7">
      <c r="A6084" s="847"/>
      <c r="B6084" s="92"/>
      <c r="C6084" s="353" t="s">
        <v>1174</v>
      </c>
      <c r="D6084" s="159"/>
      <c r="E6084" s="238"/>
      <c r="F6084" s="236" t="s">
        <v>1698</v>
      </c>
      <c r="G6084" s="318">
        <f>SUM(G6082:G6083)</f>
        <v>430</v>
      </c>
    </row>
    <row r="6085" spans="1:7">
      <c r="A6085" s="847"/>
      <c r="B6085" s="359" t="s">
        <v>5948</v>
      </c>
      <c r="C6085" s="355"/>
      <c r="D6085" s="31"/>
      <c r="E6085" s="85">
        <f>ROUND(G6084/F6064,1)</f>
        <v>43</v>
      </c>
    </row>
    <row r="6086" spans="1:7">
      <c r="A6086" s="847"/>
      <c r="B6086" s="359" t="s">
        <v>3163</v>
      </c>
      <c r="C6086" s="355"/>
      <c r="D6086" s="922">
        <f>'BASIC DATA'!$C$577</f>
        <v>0.13614999999999999</v>
      </c>
      <c r="E6086" s="85">
        <f>ROUND(E6085*D6086,1)</f>
        <v>5.9</v>
      </c>
    </row>
    <row r="6087" spans="1:7">
      <c r="A6087" s="847"/>
      <c r="B6087" s="359" t="s">
        <v>5949</v>
      </c>
      <c r="C6087" s="355"/>
      <c r="D6087" s="31"/>
      <c r="E6087" s="199">
        <f>ROUND(E6086+E6085,1)</f>
        <v>48.9</v>
      </c>
    </row>
    <row r="6088" spans="1:7">
      <c r="A6088" s="847"/>
      <c r="B6088" s="78"/>
      <c r="C6088" s="48"/>
    </row>
    <row r="6089" spans="1:7">
      <c r="A6089" s="847"/>
      <c r="B6089" s="162" t="s">
        <v>1175</v>
      </c>
      <c r="C6089" s="48"/>
    </row>
    <row r="6090" spans="1:7">
      <c r="A6090" s="847"/>
      <c r="B6090" s="47" t="s">
        <v>4</v>
      </c>
      <c r="C6090" s="48"/>
      <c r="F6090" s="171" t="s">
        <v>1698</v>
      </c>
      <c r="G6090" s="68">
        <f>G6070</f>
        <v>2625</v>
      </c>
    </row>
    <row r="6091" spans="1:7">
      <c r="A6091" s="847"/>
      <c r="B6091" s="47" t="s">
        <v>1186</v>
      </c>
      <c r="C6091" s="48"/>
      <c r="F6091" s="171" t="s">
        <v>1698</v>
      </c>
      <c r="G6091" s="68">
        <f>G6077</f>
        <v>450</v>
      </c>
    </row>
    <row r="6092" spans="1:7">
      <c r="A6092" s="847"/>
      <c r="B6092" s="47" t="s">
        <v>2660</v>
      </c>
      <c r="C6092" s="48"/>
      <c r="F6092" s="171" t="s">
        <v>1698</v>
      </c>
      <c r="G6092" s="75">
        <f>G6084</f>
        <v>430</v>
      </c>
    </row>
    <row r="6093" spans="1:7">
      <c r="A6093" s="847"/>
      <c r="B6093" s="78"/>
      <c r="C6093" s="48"/>
      <c r="E6093" s="261"/>
      <c r="F6093" s="171" t="s">
        <v>302</v>
      </c>
      <c r="G6093" s="205">
        <f>SUM(G6090:G6092)</f>
        <v>3505</v>
      </c>
    </row>
    <row r="6094" spans="1:7" ht="39" customHeight="1">
      <c r="A6094" s="847"/>
      <c r="B6094" s="1207" t="s">
        <v>1379</v>
      </c>
      <c r="C6094" s="1207"/>
      <c r="D6094" s="1207"/>
      <c r="E6094" s="922">
        <f>'BASIC DATA'!$C$577</f>
        <v>0.13614999999999999</v>
      </c>
      <c r="F6094" s="171" t="s">
        <v>1698</v>
      </c>
      <c r="G6094" s="31">
        <f>ROUND(G6093*E6094,2)</f>
        <v>477.21</v>
      </c>
    </row>
    <row r="6095" spans="1:7">
      <c r="A6095" s="847"/>
      <c r="B6095" s="47" t="s">
        <v>1191</v>
      </c>
      <c r="C6095" s="48"/>
      <c r="D6095" s="68">
        <f>F6064</f>
        <v>10</v>
      </c>
      <c r="E6095" s="68" t="str">
        <f>G6064</f>
        <v>Nos.</v>
      </c>
      <c r="F6095" s="171" t="s">
        <v>1698</v>
      </c>
      <c r="G6095" s="211">
        <f>G6094+G6093</f>
        <v>3982.21</v>
      </c>
    </row>
    <row r="6096" spans="1:7">
      <c r="A6096" s="847"/>
      <c r="B6096" s="79" t="s">
        <v>1584</v>
      </c>
      <c r="C6096" s="404" t="s">
        <v>4089</v>
      </c>
      <c r="D6096" s="26" t="s">
        <v>5891</v>
      </c>
      <c r="F6096" s="171" t="s">
        <v>4108</v>
      </c>
      <c r="G6096" s="211">
        <f>ROUND(G6095/D6095,1)</f>
        <v>398.2</v>
      </c>
    </row>
    <row r="6097" spans="1:7">
      <c r="A6097" s="847"/>
      <c r="B6097" s="78"/>
      <c r="C6097" s="48"/>
    </row>
    <row r="6098" spans="1:7">
      <c r="A6098" s="847"/>
      <c r="B6098" s="78"/>
      <c r="C6098" s="48"/>
    </row>
    <row r="6099" spans="1:7" ht="36">
      <c r="A6099" s="841" t="s">
        <v>7490</v>
      </c>
      <c r="B6099" s="27" t="s">
        <v>8820</v>
      </c>
      <c r="C6099" s="43"/>
      <c r="D6099" s="27"/>
      <c r="E6099" s="27"/>
      <c r="F6099" s="27"/>
    </row>
    <row r="6100" spans="1:7">
      <c r="A6100" s="847"/>
      <c r="B6100" s="47" t="s">
        <v>2698</v>
      </c>
      <c r="C6100" s="48"/>
    </row>
    <row r="6101" spans="1:7">
      <c r="A6101" s="847"/>
      <c r="B6101" s="162" t="s">
        <v>3569</v>
      </c>
      <c r="C6101" s="48"/>
    </row>
    <row r="6102" spans="1:7">
      <c r="A6102" s="847"/>
      <c r="C6102" s="48"/>
    </row>
    <row r="6103" spans="1:7" hidden="1">
      <c r="A6103" s="847" t="s">
        <v>3984</v>
      </c>
      <c r="B6103" s="27" t="s">
        <v>2699</v>
      </c>
      <c r="C6103" s="43"/>
      <c r="D6103" s="27"/>
      <c r="E6103" s="27"/>
    </row>
    <row r="6104" spans="1:7">
      <c r="A6104" s="847"/>
      <c r="C6104" s="48"/>
    </row>
    <row r="6105" spans="1:7">
      <c r="A6105" s="847" t="s">
        <v>1907</v>
      </c>
      <c r="C6105" s="370" t="s">
        <v>2367</v>
      </c>
      <c r="E6105" s="26" t="s">
        <v>1188</v>
      </c>
      <c r="F6105" s="170">
        <v>10</v>
      </c>
      <c r="G6105" s="26" t="s">
        <v>4041</v>
      </c>
    </row>
    <row r="6106" spans="1:7">
      <c r="A6106" s="847"/>
      <c r="B6106" s="162" t="s">
        <v>2368</v>
      </c>
      <c r="C6106" s="48"/>
    </row>
    <row r="6107" spans="1:7" ht="36">
      <c r="A6107" s="847"/>
      <c r="B6107" s="95" t="s">
        <v>4442</v>
      </c>
      <c r="C6107" s="96" t="s">
        <v>4443</v>
      </c>
      <c r="D6107" s="96" t="s">
        <v>2370</v>
      </c>
      <c r="E6107" s="96" t="s">
        <v>4444</v>
      </c>
      <c r="F6107" s="96" t="s">
        <v>6034</v>
      </c>
      <c r="G6107" s="96" t="s">
        <v>2111</v>
      </c>
    </row>
    <row r="6108" spans="1:7">
      <c r="A6108" s="847"/>
      <c r="B6108" s="95">
        <v>1</v>
      </c>
      <c r="C6108" s="446" t="s">
        <v>2700</v>
      </c>
      <c r="D6108" s="107" t="s">
        <v>3483</v>
      </c>
      <c r="E6108" s="179">
        <v>10</v>
      </c>
      <c r="F6108" s="179">
        <f>'BASIC DATA'!$D$90</f>
        <v>170</v>
      </c>
      <c r="G6108" s="214">
        <f>E6108*F6108</f>
        <v>1700</v>
      </c>
    </row>
    <row r="6109" spans="1:7">
      <c r="A6109" s="847"/>
      <c r="B6109" s="231"/>
      <c r="C6109" s="402" t="s">
        <v>2114</v>
      </c>
      <c r="D6109" s="159"/>
      <c r="E6109" s="159"/>
      <c r="F6109" s="159" t="s">
        <v>4108</v>
      </c>
      <c r="G6109" s="282">
        <f>SUM(G6108)</f>
        <v>1700</v>
      </c>
    </row>
    <row r="6110" spans="1:7">
      <c r="A6110" s="847"/>
      <c r="C6110" s="48"/>
    </row>
    <row r="6111" spans="1:7">
      <c r="A6111" s="847"/>
      <c r="B6111" s="47" t="s">
        <v>6246</v>
      </c>
      <c r="C6111" s="48"/>
    </row>
    <row r="6112" spans="1:7" ht="36">
      <c r="A6112" s="847"/>
      <c r="B6112" s="35" t="s">
        <v>4442</v>
      </c>
      <c r="C6112" s="34" t="s">
        <v>2378</v>
      </c>
      <c r="D6112" s="34" t="s">
        <v>2370</v>
      </c>
      <c r="E6112" s="34" t="s">
        <v>1166</v>
      </c>
      <c r="F6112" s="34" t="s">
        <v>6247</v>
      </c>
      <c r="G6112" s="34" t="s">
        <v>6248</v>
      </c>
    </row>
    <row r="6113" spans="1:7">
      <c r="A6113" s="847"/>
      <c r="B6113" s="36">
        <v>1</v>
      </c>
      <c r="C6113" s="42" t="s">
        <v>1130</v>
      </c>
      <c r="D6113" s="38"/>
      <c r="E6113" s="67">
        <v>0</v>
      </c>
      <c r="F6113" s="67">
        <v>0</v>
      </c>
      <c r="G6113" s="214"/>
    </row>
    <row r="6114" spans="1:7">
      <c r="A6114" s="847"/>
      <c r="B6114" s="45"/>
      <c r="C6114" s="42"/>
      <c r="D6114" s="38"/>
      <c r="E6114" s="67">
        <v>0</v>
      </c>
      <c r="F6114" s="67">
        <v>0</v>
      </c>
      <c r="G6114" s="214"/>
    </row>
    <row r="6115" spans="1:7">
      <c r="A6115" s="847"/>
      <c r="B6115" s="45"/>
      <c r="C6115" s="42" t="s">
        <v>3107</v>
      </c>
      <c r="D6115" s="38"/>
      <c r="E6115" s="38"/>
      <c r="F6115" s="38" t="s">
        <v>4108</v>
      </c>
      <c r="G6115" s="67">
        <f>SUM(G6113:G6114)</f>
        <v>0</v>
      </c>
    </row>
    <row r="6116" spans="1:7">
      <c r="A6116" s="847"/>
      <c r="C6116" s="48"/>
    </row>
    <row r="6117" spans="1:7">
      <c r="A6117" s="847"/>
      <c r="B6117" s="47" t="s">
        <v>6252</v>
      </c>
      <c r="C6117" s="48"/>
    </row>
    <row r="6118" spans="1:7" ht="36">
      <c r="A6118" s="847"/>
      <c r="B6118" s="36" t="s">
        <v>4442</v>
      </c>
      <c r="C6118" s="65" t="s">
        <v>4443</v>
      </c>
      <c r="D6118" s="96" t="s">
        <v>2370</v>
      </c>
      <c r="E6118" s="65" t="s">
        <v>4444</v>
      </c>
      <c r="F6118" s="65" t="s">
        <v>6034</v>
      </c>
      <c r="G6118" s="65" t="s">
        <v>2111</v>
      </c>
    </row>
    <row r="6119" spans="1:7">
      <c r="A6119" s="847"/>
      <c r="B6119" s="95">
        <v>1</v>
      </c>
      <c r="C6119" s="399" t="s">
        <v>5608</v>
      </c>
      <c r="D6119" s="107" t="s">
        <v>1172</v>
      </c>
      <c r="E6119" s="178">
        <v>0.25</v>
      </c>
      <c r="F6119" s="190">
        <f>'BASIC DATA'!$C$499</f>
        <v>510</v>
      </c>
      <c r="G6119" s="214">
        <f>E6119*F6119</f>
        <v>127.5</v>
      </c>
    </row>
    <row r="6120" spans="1:7">
      <c r="A6120" s="847"/>
      <c r="B6120" s="105">
        <v>2</v>
      </c>
      <c r="C6120" s="447" t="s">
        <v>4647</v>
      </c>
      <c r="D6120" s="210" t="s">
        <v>1172</v>
      </c>
      <c r="E6120" s="207">
        <v>0.25</v>
      </c>
      <c r="F6120" s="190">
        <f>'BASIC DATA'!$C$552</f>
        <v>350</v>
      </c>
      <c r="G6120" s="214">
        <f>E6120*F6120</f>
        <v>87.5</v>
      </c>
    </row>
    <row r="6121" spans="1:7">
      <c r="A6121" s="847"/>
      <c r="B6121" s="231"/>
      <c r="C6121" s="402" t="s">
        <v>1174</v>
      </c>
      <c r="D6121" s="159"/>
      <c r="E6121" s="159"/>
      <c r="F6121" s="159" t="s">
        <v>4108</v>
      </c>
      <c r="G6121" s="318">
        <f>SUM(G6119:G6120)</f>
        <v>215</v>
      </c>
    </row>
    <row r="6122" spans="1:7">
      <c r="A6122" s="847"/>
      <c r="B6122" s="359" t="s">
        <v>5948</v>
      </c>
      <c r="C6122" s="355"/>
      <c r="D6122" s="31"/>
      <c r="E6122" s="85">
        <f>ROUND(G6121/F6105,1)</f>
        <v>21.5</v>
      </c>
    </row>
    <row r="6123" spans="1:7">
      <c r="A6123" s="847"/>
      <c r="B6123" s="359" t="s">
        <v>3163</v>
      </c>
      <c r="C6123" s="355"/>
      <c r="D6123" s="922">
        <f>'BASIC DATA'!$C$577</f>
        <v>0.13614999999999999</v>
      </c>
      <c r="E6123" s="85">
        <f>ROUND(E6122*D6123,1)</f>
        <v>2.9</v>
      </c>
    </row>
    <row r="6124" spans="1:7">
      <c r="A6124" s="847"/>
      <c r="B6124" s="359" t="s">
        <v>5949</v>
      </c>
      <c r="C6124" s="355"/>
      <c r="D6124" s="31"/>
      <c r="E6124" s="199">
        <f>ROUND(E6123+E6122,1)</f>
        <v>24.4</v>
      </c>
    </row>
    <row r="6125" spans="1:7">
      <c r="A6125" s="847"/>
      <c r="C6125" s="48"/>
    </row>
    <row r="6126" spans="1:7">
      <c r="A6126" s="847"/>
      <c r="B6126" s="47" t="s">
        <v>6765</v>
      </c>
      <c r="C6126" s="48"/>
    </row>
    <row r="6127" spans="1:7">
      <c r="A6127" s="847"/>
      <c r="B6127" s="47" t="s">
        <v>1176</v>
      </c>
      <c r="C6127" s="48"/>
      <c r="F6127" s="26" t="s">
        <v>4108</v>
      </c>
      <c r="G6127" s="68">
        <f>G6109</f>
        <v>1700</v>
      </c>
    </row>
    <row r="6128" spans="1:7">
      <c r="A6128" s="847"/>
      <c r="B6128" s="47" t="s">
        <v>1186</v>
      </c>
      <c r="C6128" s="48"/>
      <c r="F6128" s="26" t="s">
        <v>4108</v>
      </c>
      <c r="G6128" s="75">
        <f>G6115</f>
        <v>0</v>
      </c>
    </row>
    <row r="6129" spans="1:8">
      <c r="A6129" s="847"/>
      <c r="B6129" s="47" t="s">
        <v>2660</v>
      </c>
      <c r="C6129" s="48"/>
      <c r="F6129" s="26" t="s">
        <v>4108</v>
      </c>
      <c r="G6129" s="75">
        <f>G6121</f>
        <v>215</v>
      </c>
    </row>
    <row r="6130" spans="1:8">
      <c r="A6130" s="847"/>
      <c r="B6130" s="78"/>
      <c r="C6130" s="48"/>
      <c r="E6130" s="261"/>
      <c r="F6130" s="171" t="s">
        <v>302</v>
      </c>
      <c r="G6130" s="205">
        <f>SUM(G6127:G6129)</f>
        <v>1915</v>
      </c>
    </row>
    <row r="6131" spans="1:8" ht="36.75" customHeight="1">
      <c r="A6131" s="847"/>
      <c r="B6131" s="1207" t="s">
        <v>1379</v>
      </c>
      <c r="C6131" s="1207"/>
      <c r="D6131" s="1207"/>
      <c r="E6131" s="922">
        <f>'BASIC DATA'!$C$577</f>
        <v>0.13614999999999999</v>
      </c>
      <c r="F6131" s="171" t="s">
        <v>1698</v>
      </c>
      <c r="G6131" s="31">
        <f>ROUND(G6130*E6131,2)</f>
        <v>260.73</v>
      </c>
    </row>
    <row r="6132" spans="1:8">
      <c r="A6132" s="847"/>
      <c r="B6132" s="47" t="s">
        <v>1191</v>
      </c>
      <c r="C6132" s="48"/>
      <c r="D6132" s="68">
        <f>F6105</f>
        <v>10</v>
      </c>
      <c r="E6132" s="68" t="str">
        <f>G6105</f>
        <v>Nos.</v>
      </c>
      <c r="F6132" s="171" t="s">
        <v>1698</v>
      </c>
      <c r="G6132" s="211">
        <f>G6131+G6130</f>
        <v>2175.73</v>
      </c>
    </row>
    <row r="6133" spans="1:8">
      <c r="A6133" s="847"/>
      <c r="B6133" s="79" t="s">
        <v>1584</v>
      </c>
      <c r="C6133" s="404" t="s">
        <v>4089</v>
      </c>
      <c r="D6133" s="26" t="s">
        <v>5891</v>
      </c>
      <c r="F6133" s="171" t="s">
        <v>4108</v>
      </c>
      <c r="G6133" s="211">
        <f>ROUND(G6132/D6132,1)</f>
        <v>217.6</v>
      </c>
    </row>
    <row r="6134" spans="1:8">
      <c r="A6134" s="847"/>
      <c r="B6134" s="78"/>
      <c r="C6134" s="48"/>
    </row>
    <row r="6135" spans="1:8">
      <c r="A6135" s="847"/>
      <c r="B6135" s="78"/>
      <c r="C6135" s="48"/>
    </row>
    <row r="6136" spans="1:8" ht="36">
      <c r="A6136" s="841" t="s">
        <v>7491</v>
      </c>
      <c r="B6136" s="47" t="s">
        <v>8821</v>
      </c>
      <c r="C6136" s="48"/>
    </row>
    <row r="6137" spans="1:8" ht="18.75">
      <c r="A6137" s="889"/>
      <c r="B6137" s="47" t="s">
        <v>8822</v>
      </c>
      <c r="C6137" s="48"/>
    </row>
    <row r="6138" spans="1:8">
      <c r="A6138" s="889"/>
      <c r="B6138" s="162" t="s">
        <v>3569</v>
      </c>
      <c r="C6138" s="48"/>
    </row>
    <row r="6139" spans="1:8">
      <c r="C6139" s="48"/>
    </row>
    <row r="6140" spans="1:8" hidden="1">
      <c r="A6140" s="889" t="s">
        <v>3984</v>
      </c>
      <c r="B6140" s="47" t="s">
        <v>6683</v>
      </c>
      <c r="C6140" s="48"/>
    </row>
    <row r="6141" spans="1:8" hidden="1">
      <c r="A6141" s="889"/>
      <c r="B6141" s="47" t="s">
        <v>6351</v>
      </c>
      <c r="C6141" s="48"/>
      <c r="G6141" s="68">
        <v>5</v>
      </c>
      <c r="H6141" s="26" t="s">
        <v>3034</v>
      </c>
    </row>
    <row r="6142" spans="1:8" hidden="1">
      <c r="A6142" s="889"/>
      <c r="B6142" s="47" t="s">
        <v>6352</v>
      </c>
      <c r="C6142" s="48"/>
    </row>
    <row r="6143" spans="1:8" hidden="1">
      <c r="A6143" s="889"/>
      <c r="B6143" s="47" t="s">
        <v>4106</v>
      </c>
      <c r="C6143" s="48"/>
      <c r="G6143" s="26">
        <v>10</v>
      </c>
      <c r="H6143" s="26" t="s">
        <v>294</v>
      </c>
    </row>
    <row r="6144" spans="1:8" hidden="1">
      <c r="A6144" s="889"/>
      <c r="B6144" s="47" t="s">
        <v>2366</v>
      </c>
      <c r="C6144" s="48"/>
    </row>
    <row r="6145" spans="1:8" hidden="1">
      <c r="A6145" s="889"/>
      <c r="B6145" s="47" t="s">
        <v>4107</v>
      </c>
      <c r="C6145" s="48"/>
      <c r="D6145" s="68">
        <f>'BASIC DATA'!$D$307</f>
        <v>4028</v>
      </c>
      <c r="E6145" s="26" t="s">
        <v>2290</v>
      </c>
      <c r="F6145" s="78" t="s">
        <v>4108</v>
      </c>
      <c r="G6145" s="68">
        <f>D6145</f>
        <v>4028</v>
      </c>
    </row>
    <row r="6146" spans="1:8" hidden="1">
      <c r="A6146" s="889"/>
      <c r="B6146" s="47" t="s">
        <v>99</v>
      </c>
      <c r="C6146" s="48"/>
      <c r="F6146" s="78"/>
      <c r="G6146" s="316">
        <v>150</v>
      </c>
      <c r="H6146" s="26" t="s">
        <v>3034</v>
      </c>
    </row>
    <row r="6147" spans="1:8" hidden="1">
      <c r="A6147" s="889"/>
      <c r="B6147" s="47" t="s">
        <v>7592</v>
      </c>
      <c r="C6147" s="48"/>
      <c r="D6147" s="26" t="s">
        <v>7593</v>
      </c>
      <c r="F6147" s="78" t="s">
        <v>4108</v>
      </c>
      <c r="G6147" s="68">
        <f>G6145/G6146</f>
        <v>26.853333333333332</v>
      </c>
    </row>
    <row r="6148" spans="1:8" hidden="1">
      <c r="A6148" s="889"/>
      <c r="B6148" s="47" t="s">
        <v>4109</v>
      </c>
      <c r="C6148" s="48"/>
      <c r="D6148" s="68">
        <f>'BASIC DATA'!$D$344</f>
        <v>185</v>
      </c>
      <c r="E6148" s="26" t="s">
        <v>2618</v>
      </c>
      <c r="F6148" s="78" t="s">
        <v>4108</v>
      </c>
      <c r="G6148" s="68">
        <f>D6148*50</f>
        <v>9250</v>
      </c>
    </row>
    <row r="6149" spans="1:8" hidden="1">
      <c r="A6149" s="889"/>
      <c r="B6149" s="47" t="s">
        <v>5152</v>
      </c>
      <c r="C6149" s="48"/>
      <c r="F6149" s="78"/>
      <c r="G6149" s="316">
        <v>800</v>
      </c>
      <c r="H6149" s="26" t="s">
        <v>3428</v>
      </c>
    </row>
    <row r="6150" spans="1:8" hidden="1">
      <c r="A6150" s="889"/>
      <c r="B6150" s="47" t="s">
        <v>4110</v>
      </c>
      <c r="C6150" s="48"/>
      <c r="D6150" s="26" t="s">
        <v>7593</v>
      </c>
      <c r="F6150" s="78" t="s">
        <v>4108</v>
      </c>
      <c r="G6150" s="68">
        <f>G6148/G6149</f>
        <v>11.5625</v>
      </c>
    </row>
    <row r="6151" spans="1:8" hidden="1">
      <c r="A6151" s="889"/>
      <c r="B6151" s="47" t="s">
        <v>4111</v>
      </c>
      <c r="C6151" s="48"/>
    </row>
    <row r="6152" spans="1:8">
      <c r="A6152" s="847"/>
      <c r="B6152" s="78"/>
      <c r="C6152" s="48"/>
    </row>
    <row r="6153" spans="1:8">
      <c r="A6153" s="889" t="s">
        <v>3984</v>
      </c>
      <c r="B6153" s="78"/>
      <c r="C6153" s="349" t="s">
        <v>2367</v>
      </c>
      <c r="E6153" s="171" t="s">
        <v>297</v>
      </c>
      <c r="F6153" s="409">
        <v>10</v>
      </c>
      <c r="G6153" s="26" t="s">
        <v>4041</v>
      </c>
    </row>
    <row r="6154" spans="1:8">
      <c r="A6154" s="847"/>
      <c r="B6154" s="79" t="s">
        <v>2368</v>
      </c>
      <c r="C6154" s="48"/>
    </row>
    <row r="6155" spans="1:8">
      <c r="A6155" s="847"/>
      <c r="B6155" s="95" t="s">
        <v>2369</v>
      </c>
      <c r="C6155" s="350" t="s">
        <v>6374</v>
      </c>
      <c r="D6155" s="95" t="s">
        <v>2370</v>
      </c>
      <c r="E6155" s="95" t="s">
        <v>1166</v>
      </c>
      <c r="F6155" s="95" t="s">
        <v>2371</v>
      </c>
      <c r="G6155" s="95" t="s">
        <v>2372</v>
      </c>
    </row>
    <row r="6156" spans="1:8">
      <c r="A6156" s="847"/>
      <c r="B6156" s="114"/>
      <c r="C6156" s="351"/>
      <c r="D6156" s="114"/>
      <c r="E6156" s="114"/>
      <c r="F6156" s="114" t="s">
        <v>3485</v>
      </c>
      <c r="G6156" s="114" t="s">
        <v>3485</v>
      </c>
    </row>
    <row r="6157" spans="1:8">
      <c r="A6157" s="847"/>
      <c r="B6157" s="95">
        <v>1</v>
      </c>
      <c r="C6157" s="86" t="s">
        <v>4112</v>
      </c>
      <c r="D6157" s="95" t="s">
        <v>3483</v>
      </c>
      <c r="E6157" s="220">
        <v>10</v>
      </c>
      <c r="F6157" s="214">
        <f>G6147</f>
        <v>26.853333333333332</v>
      </c>
      <c r="G6157" s="214">
        <f>E6157*F6157</f>
        <v>268.5333333333333</v>
      </c>
    </row>
    <row r="6158" spans="1:8">
      <c r="A6158" s="847"/>
      <c r="B6158" s="152"/>
      <c r="C6158" s="86" t="s">
        <v>5125</v>
      </c>
      <c r="E6158" s="224">
        <v>0.1</v>
      </c>
      <c r="F6158" s="214"/>
      <c r="G6158" s="214">
        <f>G6157*E6158</f>
        <v>26.853333333333332</v>
      </c>
    </row>
    <row r="6159" spans="1:8">
      <c r="A6159" s="847"/>
      <c r="B6159" s="114">
        <v>2</v>
      </c>
      <c r="C6159" s="355" t="s">
        <v>3098</v>
      </c>
      <c r="D6159" s="114" t="s">
        <v>2374</v>
      </c>
      <c r="E6159" s="220">
        <v>2</v>
      </c>
      <c r="F6159" s="214">
        <f>G6150</f>
        <v>11.5625</v>
      </c>
      <c r="G6159" s="214">
        <f>E6159*F6159</f>
        <v>23.125</v>
      </c>
    </row>
    <row r="6160" spans="1:8">
      <c r="A6160" s="847"/>
      <c r="B6160" s="92"/>
      <c r="C6160" s="353" t="s">
        <v>2376</v>
      </c>
      <c r="D6160" s="159"/>
      <c r="E6160" s="238"/>
      <c r="F6160" s="236" t="s">
        <v>1698</v>
      </c>
      <c r="G6160" s="318">
        <f>SUM(G6157:G6159)</f>
        <v>318.51166666666666</v>
      </c>
    </row>
    <row r="6161" spans="1:7">
      <c r="A6161" s="847"/>
      <c r="B6161" s="78"/>
      <c r="C6161" s="48"/>
    </row>
    <row r="6162" spans="1:7">
      <c r="A6162" s="847"/>
      <c r="B6162" s="79" t="s">
        <v>2377</v>
      </c>
      <c r="C6162" s="48"/>
    </row>
    <row r="6163" spans="1:7">
      <c r="A6163" s="847"/>
      <c r="B6163" s="95" t="s">
        <v>2369</v>
      </c>
      <c r="C6163" s="350" t="s">
        <v>2378</v>
      </c>
      <c r="D6163" s="95" t="s">
        <v>2370</v>
      </c>
      <c r="E6163" s="95" t="s">
        <v>1166</v>
      </c>
      <c r="F6163" s="95" t="s">
        <v>2371</v>
      </c>
      <c r="G6163" s="95" t="s">
        <v>2372</v>
      </c>
    </row>
    <row r="6164" spans="1:7">
      <c r="A6164" s="847"/>
      <c r="B6164" s="114"/>
      <c r="C6164" s="351"/>
      <c r="D6164" s="114"/>
      <c r="E6164" s="114"/>
      <c r="F6164" s="114" t="s">
        <v>3485</v>
      </c>
      <c r="G6164" s="114" t="s">
        <v>3485</v>
      </c>
    </row>
    <row r="6165" spans="1:7">
      <c r="A6165" s="847"/>
      <c r="B6165" s="95">
        <v>1</v>
      </c>
      <c r="C6165" s="86" t="s">
        <v>3173</v>
      </c>
      <c r="D6165" s="95" t="s">
        <v>2374</v>
      </c>
      <c r="E6165" s="220">
        <v>1</v>
      </c>
      <c r="F6165" s="214">
        <f>'HIRE CHARGES'!$D$496</f>
        <v>275.60000000000002</v>
      </c>
      <c r="G6165" s="214">
        <f>E6165*F6165</f>
        <v>275.60000000000002</v>
      </c>
    </row>
    <row r="6166" spans="1:7">
      <c r="A6166" s="847"/>
      <c r="B6166" s="152"/>
      <c r="C6166" s="86" t="s">
        <v>2379</v>
      </c>
      <c r="D6166" s="105" t="s">
        <v>2374</v>
      </c>
      <c r="E6166" s="220">
        <v>1</v>
      </c>
      <c r="F6166" s="214">
        <f>'HIRE CHARGES'!$E$496</f>
        <v>892.5</v>
      </c>
      <c r="G6166" s="214">
        <f>E6166*F6166</f>
        <v>892.5</v>
      </c>
    </row>
    <row r="6167" spans="1:7">
      <c r="A6167" s="847"/>
      <c r="B6167" s="105">
        <v>2</v>
      </c>
      <c r="C6167" s="86" t="s">
        <v>3099</v>
      </c>
      <c r="D6167" s="105" t="s">
        <v>2374</v>
      </c>
      <c r="E6167" s="220">
        <v>2</v>
      </c>
      <c r="F6167" s="214">
        <f>'HIRE CHARGES'!$D$530</f>
        <v>19.8</v>
      </c>
      <c r="G6167" s="214">
        <f>E6167*F6167</f>
        <v>39.6</v>
      </c>
    </row>
    <row r="6168" spans="1:7">
      <c r="A6168" s="847"/>
      <c r="B6168" s="116"/>
      <c r="C6168" s="86" t="s">
        <v>2379</v>
      </c>
      <c r="D6168" s="114" t="s">
        <v>2374</v>
      </c>
      <c r="E6168" s="220">
        <v>2</v>
      </c>
      <c r="F6168" s="214">
        <f>'HIRE CHARGES'!$E$530</f>
        <v>0</v>
      </c>
      <c r="G6168" s="214">
        <f>E6168*F6168</f>
        <v>0</v>
      </c>
    </row>
    <row r="6169" spans="1:7">
      <c r="A6169" s="847"/>
      <c r="B6169" s="176"/>
      <c r="C6169" s="357" t="s">
        <v>2380</v>
      </c>
      <c r="D6169" s="174"/>
      <c r="E6169" s="192"/>
      <c r="F6169" s="236" t="s">
        <v>1698</v>
      </c>
      <c r="G6169" s="354">
        <f>SUM(G6165:G6168)</f>
        <v>1207.6999999999998</v>
      </c>
    </row>
    <row r="6170" spans="1:7">
      <c r="A6170" s="847"/>
      <c r="B6170" s="78"/>
      <c r="C6170" s="48"/>
    </row>
    <row r="6171" spans="1:7">
      <c r="A6171" s="847"/>
      <c r="B6171" s="79" t="s">
        <v>2381</v>
      </c>
      <c r="C6171" s="48"/>
    </row>
    <row r="6172" spans="1:7">
      <c r="A6172" s="847"/>
      <c r="B6172" s="95" t="s">
        <v>2369</v>
      </c>
      <c r="C6172" s="350" t="s">
        <v>2378</v>
      </c>
      <c r="D6172" s="95" t="s">
        <v>2370</v>
      </c>
      <c r="E6172" s="95" t="s">
        <v>1166</v>
      </c>
      <c r="F6172" s="95" t="s">
        <v>2371</v>
      </c>
      <c r="G6172" s="95" t="s">
        <v>2372</v>
      </c>
    </row>
    <row r="6173" spans="1:7">
      <c r="A6173" s="847"/>
      <c r="B6173" s="114"/>
      <c r="C6173" s="351"/>
      <c r="D6173" s="105"/>
      <c r="E6173" s="114"/>
      <c r="F6173" s="114" t="s">
        <v>3485</v>
      </c>
      <c r="G6173" s="114" t="s">
        <v>3485</v>
      </c>
    </row>
    <row r="6174" spans="1:7">
      <c r="A6174" s="847"/>
      <c r="B6174" s="105">
        <v>1</v>
      </c>
      <c r="C6174" s="86" t="s">
        <v>4606</v>
      </c>
      <c r="D6174" s="95" t="s">
        <v>2374</v>
      </c>
      <c r="E6174" s="207">
        <v>1</v>
      </c>
      <c r="F6174" s="190">
        <f>'HIRE CHARGES'!$F$496</f>
        <v>210.9</v>
      </c>
      <c r="G6174" s="214">
        <f>E6174*F6174</f>
        <v>210.9</v>
      </c>
    </row>
    <row r="6175" spans="1:7">
      <c r="A6175" s="847"/>
      <c r="B6175" s="105">
        <v>2</v>
      </c>
      <c r="C6175" s="86" t="s">
        <v>4607</v>
      </c>
      <c r="D6175" s="105" t="s">
        <v>2374</v>
      </c>
      <c r="E6175" s="207">
        <v>2</v>
      </c>
      <c r="F6175" s="190">
        <f>'HIRE CHARGES'!$F$530</f>
        <v>329.6</v>
      </c>
      <c r="G6175" s="214">
        <f>E6175*F6175</f>
        <v>659.2</v>
      </c>
    </row>
    <row r="6176" spans="1:7">
      <c r="A6176" s="847"/>
      <c r="B6176" s="92"/>
      <c r="C6176" s="353" t="s">
        <v>1174</v>
      </c>
      <c r="D6176" s="159"/>
      <c r="E6176" s="238"/>
      <c r="F6176" s="236" t="s">
        <v>1698</v>
      </c>
      <c r="G6176" s="318">
        <f>SUM(G6174:G6175)</f>
        <v>870.1</v>
      </c>
    </row>
    <row r="6177" spans="1:7">
      <c r="A6177" s="847"/>
      <c r="B6177" s="359" t="s">
        <v>5948</v>
      </c>
      <c r="C6177" s="355"/>
      <c r="D6177" s="31"/>
      <c r="E6177" s="85">
        <f>ROUND(G6176/F6153,1)</f>
        <v>87</v>
      </c>
    </row>
    <row r="6178" spans="1:7">
      <c r="A6178" s="847"/>
      <c r="B6178" s="359" t="s">
        <v>3163</v>
      </c>
      <c r="C6178" s="355"/>
      <c r="D6178" s="922">
        <f>'BASIC DATA'!$C$577</f>
        <v>0.13614999999999999</v>
      </c>
      <c r="E6178" s="85">
        <f>ROUND(E6177*D6178,1)</f>
        <v>11.8</v>
      </c>
    </row>
    <row r="6179" spans="1:7">
      <c r="A6179" s="847"/>
      <c r="B6179" s="359" t="s">
        <v>5949</v>
      </c>
      <c r="C6179" s="355"/>
      <c r="D6179" s="31"/>
      <c r="E6179" s="199">
        <f>ROUND(E6178+E6177,1)</f>
        <v>98.8</v>
      </c>
    </row>
    <row r="6180" spans="1:7">
      <c r="A6180" s="847"/>
      <c r="B6180" s="78"/>
      <c r="C6180" s="48"/>
    </row>
    <row r="6181" spans="1:7">
      <c r="A6181" s="847"/>
      <c r="B6181" s="162" t="s">
        <v>1175</v>
      </c>
      <c r="C6181" s="48"/>
    </row>
    <row r="6182" spans="1:7">
      <c r="A6182" s="847"/>
      <c r="B6182" s="47" t="s">
        <v>4</v>
      </c>
      <c r="C6182" s="48"/>
      <c r="F6182" s="171" t="s">
        <v>1698</v>
      </c>
      <c r="G6182" s="68">
        <f>G6160</f>
        <v>318.51166666666666</v>
      </c>
    </row>
    <row r="6183" spans="1:7">
      <c r="A6183" s="847"/>
      <c r="B6183" s="47" t="s">
        <v>1186</v>
      </c>
      <c r="C6183" s="48"/>
      <c r="F6183" s="171" t="s">
        <v>1698</v>
      </c>
      <c r="G6183" s="68">
        <f>G6169</f>
        <v>1207.6999999999998</v>
      </c>
    </row>
    <row r="6184" spans="1:7">
      <c r="A6184" s="847"/>
      <c r="B6184" s="47" t="s">
        <v>2660</v>
      </c>
      <c r="C6184" s="48"/>
      <c r="F6184" s="171" t="s">
        <v>1698</v>
      </c>
      <c r="G6184" s="75">
        <f>G6176</f>
        <v>870.1</v>
      </c>
    </row>
    <row r="6185" spans="1:7">
      <c r="A6185" s="847"/>
      <c r="B6185" s="78"/>
      <c r="C6185" s="48"/>
      <c r="E6185" s="261"/>
      <c r="F6185" s="171" t="s">
        <v>302</v>
      </c>
      <c r="G6185" s="205">
        <f>SUM(G6182:G6184)</f>
        <v>2396.3116666666665</v>
      </c>
    </row>
    <row r="6186" spans="1:7" ht="36.75" customHeight="1">
      <c r="A6186" s="847"/>
      <c r="B6186" s="1207" t="s">
        <v>1379</v>
      </c>
      <c r="C6186" s="1207"/>
      <c r="D6186" s="1207"/>
      <c r="E6186" s="922">
        <f>'BASIC DATA'!$C$577</f>
        <v>0.13614999999999999</v>
      </c>
      <c r="F6186" s="171" t="s">
        <v>1698</v>
      </c>
      <c r="G6186" s="31">
        <f>ROUND(G6185*E6186,2)</f>
        <v>326.26</v>
      </c>
    </row>
    <row r="6187" spans="1:7">
      <c r="A6187" s="847"/>
      <c r="B6187" s="47" t="s">
        <v>1191</v>
      </c>
      <c r="C6187" s="48"/>
      <c r="D6187" s="68">
        <f>F6153</f>
        <v>10</v>
      </c>
      <c r="E6187" s="68" t="str">
        <f>G6153</f>
        <v>Nos.</v>
      </c>
      <c r="F6187" s="171" t="s">
        <v>1698</v>
      </c>
      <c r="G6187" s="211">
        <f>G6186+G6185</f>
        <v>2722.5716666666667</v>
      </c>
    </row>
    <row r="6188" spans="1:7">
      <c r="A6188" s="847"/>
      <c r="B6188" s="79" t="s">
        <v>1584</v>
      </c>
      <c r="C6188" s="404" t="s">
        <v>4089</v>
      </c>
      <c r="D6188" s="26" t="s">
        <v>5891</v>
      </c>
      <c r="F6188" s="171" t="s">
        <v>4108</v>
      </c>
      <c r="G6188" s="211">
        <f>ROUND(G6187/D6187,1)</f>
        <v>272.3</v>
      </c>
    </row>
    <row r="6189" spans="1:7">
      <c r="A6189" s="847"/>
      <c r="C6189" s="48"/>
      <c r="F6189" s="68"/>
      <c r="G6189" s="75"/>
    </row>
    <row r="6190" spans="1:7">
      <c r="A6190" s="847"/>
      <c r="B6190" s="78"/>
      <c r="C6190" s="48"/>
    </row>
    <row r="6191" spans="1:7" ht="36.75">
      <c r="A6191" s="841" t="s">
        <v>7492</v>
      </c>
      <c r="B6191" s="47" t="s">
        <v>8823</v>
      </c>
      <c r="C6191" s="48"/>
    </row>
    <row r="6192" spans="1:7">
      <c r="A6192" s="889"/>
      <c r="B6192" s="47" t="s">
        <v>3127</v>
      </c>
      <c r="C6192" s="48"/>
    </row>
    <row r="6193" spans="1:9">
      <c r="A6193" s="889"/>
      <c r="B6193" s="47" t="s">
        <v>991</v>
      </c>
      <c r="C6193" s="48"/>
    </row>
    <row r="6194" spans="1:9">
      <c r="A6194" s="895"/>
      <c r="B6194" s="162" t="s">
        <v>992</v>
      </c>
      <c r="C6194" s="48"/>
    </row>
    <row r="6195" spans="1:9">
      <c r="A6195" s="895"/>
      <c r="C6195" s="48"/>
    </row>
    <row r="6196" spans="1:9" hidden="1">
      <c r="A6196" s="889" t="s">
        <v>3984</v>
      </c>
      <c r="B6196" s="47" t="s">
        <v>993</v>
      </c>
      <c r="C6196" s="48"/>
    </row>
    <row r="6197" spans="1:9" hidden="1">
      <c r="A6197" s="889"/>
      <c r="B6197" s="47" t="s">
        <v>4057</v>
      </c>
      <c r="C6197" s="48"/>
      <c r="F6197" s="26">
        <v>0.15</v>
      </c>
      <c r="G6197" s="26" t="s">
        <v>6901</v>
      </c>
    </row>
    <row r="6198" spans="1:9" hidden="1">
      <c r="A6198" s="889"/>
      <c r="B6198" s="47" t="s">
        <v>5124</v>
      </c>
      <c r="C6198" s="48"/>
      <c r="F6198" s="26">
        <v>0.35</v>
      </c>
      <c r="G6198" s="26" t="s">
        <v>6901</v>
      </c>
    </row>
    <row r="6199" spans="1:9">
      <c r="A6199" s="847"/>
      <c r="B6199" s="78"/>
      <c r="C6199" s="48"/>
    </row>
    <row r="6200" spans="1:9">
      <c r="A6200" s="847" t="s">
        <v>1907</v>
      </c>
      <c r="B6200" s="78"/>
      <c r="C6200" s="349" t="s">
        <v>2367</v>
      </c>
      <c r="E6200" s="171" t="s">
        <v>297</v>
      </c>
      <c r="F6200" s="409">
        <v>10</v>
      </c>
      <c r="G6200" s="26" t="s">
        <v>4041</v>
      </c>
    </row>
    <row r="6201" spans="1:9">
      <c r="A6201" s="847"/>
      <c r="B6201" s="79" t="s">
        <v>2368</v>
      </c>
      <c r="C6201" s="48"/>
    </row>
    <row r="6202" spans="1:9">
      <c r="A6202" s="847"/>
      <c r="B6202" s="95" t="s">
        <v>2369</v>
      </c>
      <c r="C6202" s="350" t="s">
        <v>6374</v>
      </c>
      <c r="D6202" s="95" t="s">
        <v>2370</v>
      </c>
      <c r="E6202" s="95" t="s">
        <v>1166</v>
      </c>
      <c r="F6202" s="95" t="s">
        <v>2371</v>
      </c>
      <c r="G6202" s="95" t="s">
        <v>2372</v>
      </c>
    </row>
    <row r="6203" spans="1:9">
      <c r="A6203" s="847"/>
      <c r="B6203" s="114"/>
      <c r="C6203" s="351"/>
      <c r="D6203" s="114"/>
      <c r="E6203" s="114"/>
      <c r="F6203" s="114" t="s">
        <v>3485</v>
      </c>
      <c r="G6203" s="114" t="s">
        <v>3485</v>
      </c>
    </row>
    <row r="6204" spans="1:9">
      <c r="A6204" s="847"/>
      <c r="B6204" s="95">
        <v>1</v>
      </c>
      <c r="C6204" s="86" t="s">
        <v>6994</v>
      </c>
      <c r="D6204" s="95" t="s">
        <v>3477</v>
      </c>
      <c r="E6204" s="220">
        <v>0.15</v>
      </c>
      <c r="F6204" s="190">
        <f>'BASIC DATA'!$D$34</f>
        <v>900</v>
      </c>
      <c r="G6204" s="214">
        <f>E6204*F6204</f>
        <v>135</v>
      </c>
    </row>
    <row r="6205" spans="1:9">
      <c r="A6205" s="848"/>
      <c r="B6205" s="237">
        <v>2</v>
      </c>
      <c r="C6205" s="448" t="s">
        <v>7936</v>
      </c>
      <c r="D6205" s="237" t="s">
        <v>3477</v>
      </c>
      <c r="E6205" s="258">
        <v>0.35</v>
      </c>
      <c r="F6205" s="255">
        <f>'BASIC DATA'!$D$55</f>
        <v>95</v>
      </c>
      <c r="G6205" s="266">
        <f>E6205*F6205</f>
        <v>33.25</v>
      </c>
      <c r="H6205" s="61"/>
      <c r="I6205" s="61"/>
    </row>
    <row r="6206" spans="1:9">
      <c r="A6206" s="847"/>
      <c r="B6206" s="92"/>
      <c r="C6206" s="353" t="s">
        <v>2376</v>
      </c>
      <c r="D6206" s="159"/>
      <c r="E6206" s="238"/>
      <c r="F6206" s="236" t="s">
        <v>1698</v>
      </c>
      <c r="G6206" s="318">
        <f>SUM(G6204:G6205)</f>
        <v>168.25</v>
      </c>
    </row>
    <row r="6207" spans="1:9">
      <c r="A6207" s="847"/>
      <c r="B6207" s="78"/>
      <c r="C6207" s="48"/>
    </row>
    <row r="6208" spans="1:9">
      <c r="A6208" s="847"/>
      <c r="B6208" s="79" t="s">
        <v>2377</v>
      </c>
      <c r="C6208" s="48"/>
    </row>
    <row r="6209" spans="1:7">
      <c r="A6209" s="847"/>
      <c r="B6209" s="95" t="s">
        <v>2369</v>
      </c>
      <c r="C6209" s="350" t="s">
        <v>2378</v>
      </c>
      <c r="D6209" s="95" t="s">
        <v>2370</v>
      </c>
      <c r="E6209" s="95" t="s">
        <v>1166</v>
      </c>
      <c r="F6209" s="95" t="s">
        <v>2371</v>
      </c>
      <c r="G6209" s="95" t="s">
        <v>2372</v>
      </c>
    </row>
    <row r="6210" spans="1:7">
      <c r="A6210" s="847"/>
      <c r="B6210" s="114"/>
      <c r="C6210" s="351"/>
      <c r="D6210" s="114"/>
      <c r="E6210" s="114"/>
      <c r="F6210" s="114" t="s">
        <v>3485</v>
      </c>
      <c r="G6210" s="114" t="s">
        <v>3485</v>
      </c>
    </row>
    <row r="6211" spans="1:7">
      <c r="A6211" s="847"/>
      <c r="B6211" s="95">
        <v>1</v>
      </c>
      <c r="C6211" s="103" t="s">
        <v>4168</v>
      </c>
      <c r="D6211" s="95"/>
      <c r="E6211" s="220">
        <v>0</v>
      </c>
      <c r="F6211" s="214">
        <v>0</v>
      </c>
      <c r="G6211" s="214"/>
    </row>
    <row r="6212" spans="1:7">
      <c r="A6212" s="847"/>
      <c r="B6212" s="116"/>
      <c r="C6212" s="86"/>
      <c r="D6212" s="114"/>
      <c r="E6212" s="220"/>
      <c r="F6212" s="214"/>
      <c r="G6212" s="214"/>
    </row>
    <row r="6213" spans="1:7">
      <c r="A6213" s="847"/>
      <c r="B6213" s="176"/>
      <c r="C6213" s="357" t="s">
        <v>2380</v>
      </c>
      <c r="D6213" s="174"/>
      <c r="E6213" s="192"/>
      <c r="F6213" s="236" t="s">
        <v>1698</v>
      </c>
      <c r="G6213" s="354">
        <f>SUM(G6211:G6212)</f>
        <v>0</v>
      </c>
    </row>
    <row r="6214" spans="1:7">
      <c r="A6214" s="847"/>
      <c r="B6214" s="78"/>
      <c r="C6214" s="48"/>
    </row>
    <row r="6215" spans="1:7">
      <c r="A6215" s="847"/>
      <c r="B6215" s="79" t="s">
        <v>2381</v>
      </c>
      <c r="C6215" s="48"/>
    </row>
    <row r="6216" spans="1:7">
      <c r="A6216" s="847"/>
      <c r="B6216" s="95" t="s">
        <v>2369</v>
      </c>
      <c r="C6216" s="350" t="s">
        <v>2378</v>
      </c>
      <c r="D6216" s="95" t="s">
        <v>2370</v>
      </c>
      <c r="E6216" s="95" t="s">
        <v>1166</v>
      </c>
      <c r="F6216" s="95" t="s">
        <v>2371</v>
      </c>
      <c r="G6216" s="95" t="s">
        <v>2372</v>
      </c>
    </row>
    <row r="6217" spans="1:7">
      <c r="A6217" s="847"/>
      <c r="B6217" s="114"/>
      <c r="C6217" s="351"/>
      <c r="D6217" s="105"/>
      <c r="E6217" s="114"/>
      <c r="F6217" s="114" t="s">
        <v>3485</v>
      </c>
      <c r="G6217" s="114" t="s">
        <v>3485</v>
      </c>
    </row>
    <row r="6218" spans="1:7">
      <c r="A6218" s="847"/>
      <c r="B6218" s="105">
        <v>1</v>
      </c>
      <c r="C6218" s="86" t="s">
        <v>4203</v>
      </c>
      <c r="D6218" s="95" t="s">
        <v>1172</v>
      </c>
      <c r="E6218" s="207">
        <v>0.1</v>
      </c>
      <c r="F6218" s="190">
        <f>'BASIC DATA'!$C$541</f>
        <v>400</v>
      </c>
      <c r="G6218" s="214">
        <f>E6218*F6218</f>
        <v>40</v>
      </c>
    </row>
    <row r="6219" spans="1:7">
      <c r="A6219" s="847"/>
      <c r="B6219" s="105">
        <v>2</v>
      </c>
      <c r="C6219" s="86" t="s">
        <v>2697</v>
      </c>
      <c r="D6219" s="105" t="s">
        <v>1172</v>
      </c>
      <c r="E6219" s="207">
        <v>0.1</v>
      </c>
      <c r="F6219" s="190">
        <f>'BASIC DATA'!$C$552</f>
        <v>350</v>
      </c>
      <c r="G6219" s="214">
        <f>E6219*F6219</f>
        <v>35</v>
      </c>
    </row>
    <row r="6220" spans="1:7">
      <c r="A6220" s="847"/>
      <c r="B6220" s="92"/>
      <c r="C6220" s="353" t="s">
        <v>1174</v>
      </c>
      <c r="D6220" s="159"/>
      <c r="E6220" s="238"/>
      <c r="F6220" s="236" t="s">
        <v>1698</v>
      </c>
      <c r="G6220" s="318">
        <f>SUM(G6218:G6219)</f>
        <v>75</v>
      </c>
    </row>
    <row r="6221" spans="1:7">
      <c r="A6221" s="847"/>
      <c r="B6221" s="359" t="s">
        <v>5948</v>
      </c>
      <c r="C6221" s="355"/>
      <c r="D6221" s="31"/>
      <c r="E6221" s="85">
        <f>ROUND(G6220/F6200,1)</f>
        <v>7.5</v>
      </c>
    </row>
    <row r="6222" spans="1:7">
      <c r="A6222" s="847"/>
      <c r="B6222" s="359" t="s">
        <v>3163</v>
      </c>
      <c r="C6222" s="355"/>
      <c r="D6222" s="922">
        <f>'BASIC DATA'!$C$577</f>
        <v>0.13614999999999999</v>
      </c>
      <c r="E6222" s="85">
        <f>ROUND(E6221*D6222,1)</f>
        <v>1</v>
      </c>
    </row>
    <row r="6223" spans="1:7">
      <c r="A6223" s="847"/>
      <c r="B6223" s="359" t="s">
        <v>5949</v>
      </c>
      <c r="C6223" s="355"/>
      <c r="D6223" s="31"/>
      <c r="E6223" s="199">
        <f>ROUND(E6222+E6221,1)</f>
        <v>8.5</v>
      </c>
    </row>
    <row r="6224" spans="1:7">
      <c r="A6224" s="847"/>
      <c r="B6224" s="78"/>
      <c r="C6224" s="48"/>
    </row>
    <row r="6225" spans="1:7">
      <c r="A6225" s="847"/>
      <c r="B6225" s="162" t="s">
        <v>1175</v>
      </c>
      <c r="C6225" s="48"/>
    </row>
    <row r="6226" spans="1:7">
      <c r="A6226" s="847"/>
      <c r="B6226" s="47" t="s">
        <v>1176</v>
      </c>
      <c r="C6226" s="48"/>
      <c r="F6226" s="171" t="s">
        <v>1698</v>
      </c>
      <c r="G6226" s="68">
        <f>G6206</f>
        <v>168.25</v>
      </c>
    </row>
    <row r="6227" spans="1:7">
      <c r="A6227" s="847"/>
      <c r="B6227" s="47" t="s">
        <v>1186</v>
      </c>
      <c r="C6227" s="48"/>
      <c r="F6227" s="171" t="s">
        <v>1698</v>
      </c>
      <c r="G6227" s="68">
        <f>G6213</f>
        <v>0</v>
      </c>
    </row>
    <row r="6228" spans="1:7">
      <c r="A6228" s="847"/>
      <c r="B6228" s="47" t="s">
        <v>2660</v>
      </c>
      <c r="C6228" s="48"/>
      <c r="F6228" s="171" t="s">
        <v>1698</v>
      </c>
      <c r="G6228" s="75">
        <f>G6220</f>
        <v>75</v>
      </c>
    </row>
    <row r="6229" spans="1:7">
      <c r="A6229" s="847"/>
      <c r="B6229" s="78"/>
      <c r="C6229" s="48"/>
      <c r="F6229" s="171" t="s">
        <v>302</v>
      </c>
      <c r="G6229" s="205">
        <f>SUM(G6226:G6228)</f>
        <v>243.25</v>
      </c>
    </row>
    <row r="6230" spans="1:7" ht="38.25" customHeight="1">
      <c r="A6230" s="847"/>
      <c r="B6230" s="1207" t="s">
        <v>1379</v>
      </c>
      <c r="C6230" s="1207"/>
      <c r="D6230" s="1207"/>
      <c r="E6230" s="922">
        <f>'BASIC DATA'!$C$577</f>
        <v>0.13614999999999999</v>
      </c>
      <c r="F6230" s="171" t="s">
        <v>1698</v>
      </c>
      <c r="G6230" s="31">
        <f>ROUND(G6229*E6230,2)</f>
        <v>33.119999999999997</v>
      </c>
    </row>
    <row r="6231" spans="1:7">
      <c r="A6231" s="847"/>
      <c r="B6231" s="47" t="s">
        <v>1191</v>
      </c>
      <c r="C6231" s="48"/>
      <c r="D6231" s="68">
        <f>F6200</f>
        <v>10</v>
      </c>
      <c r="E6231" s="68" t="str">
        <f>G6200</f>
        <v>Nos.</v>
      </c>
      <c r="F6231" s="171" t="s">
        <v>1698</v>
      </c>
      <c r="G6231" s="211">
        <f>G6230+G6229</f>
        <v>276.37</v>
      </c>
    </row>
    <row r="6232" spans="1:7">
      <c r="A6232" s="847"/>
      <c r="B6232" s="79" t="s">
        <v>1584</v>
      </c>
      <c r="C6232" s="404" t="s">
        <v>4089</v>
      </c>
      <c r="D6232" s="26" t="s">
        <v>5891</v>
      </c>
      <c r="F6232" s="171" t="s">
        <v>4108</v>
      </c>
      <c r="G6232" s="211">
        <f>ROUND(G6231/D6231,1)</f>
        <v>27.6</v>
      </c>
    </row>
    <row r="6233" spans="1:7">
      <c r="A6233" s="847"/>
      <c r="B6233" s="78"/>
      <c r="C6233" s="48"/>
    </row>
    <row r="6234" spans="1:7">
      <c r="A6234" s="847"/>
      <c r="B6234" s="78"/>
      <c r="C6234" s="48"/>
    </row>
    <row r="6235" spans="1:7" ht="36.75">
      <c r="A6235" s="841" t="s">
        <v>7493</v>
      </c>
      <c r="B6235" s="47" t="s">
        <v>8824</v>
      </c>
      <c r="C6235" s="48"/>
    </row>
    <row r="6236" spans="1:7">
      <c r="A6236" s="889"/>
      <c r="B6236" s="47" t="s">
        <v>8825</v>
      </c>
      <c r="C6236" s="48"/>
    </row>
    <row r="6237" spans="1:7">
      <c r="A6237" s="889"/>
      <c r="B6237" s="47" t="s">
        <v>2180</v>
      </c>
      <c r="C6237" s="48"/>
    </row>
    <row r="6238" spans="1:7" ht="18.75">
      <c r="A6238" s="895"/>
      <c r="B6238" s="162" t="s">
        <v>8826</v>
      </c>
      <c r="C6238" s="48"/>
    </row>
    <row r="6239" spans="1:7">
      <c r="C6239" s="48"/>
    </row>
    <row r="6240" spans="1:7" hidden="1">
      <c r="A6240" s="889" t="s">
        <v>3984</v>
      </c>
      <c r="B6240" s="47" t="s">
        <v>2303</v>
      </c>
      <c r="C6240" s="48"/>
    </row>
    <row r="6241" spans="1:8" hidden="1">
      <c r="A6241" s="889"/>
      <c r="B6241" s="47" t="s">
        <v>2304</v>
      </c>
      <c r="C6241" s="48"/>
      <c r="F6241" s="78" t="s">
        <v>1697</v>
      </c>
      <c r="G6241" s="26">
        <v>105</v>
      </c>
      <c r="H6241" s="26" t="s">
        <v>3883</v>
      </c>
    </row>
    <row r="6242" spans="1:8" hidden="1">
      <c r="A6242" s="889"/>
      <c r="B6242" s="47" t="s">
        <v>2305</v>
      </c>
      <c r="C6242" s="48"/>
      <c r="F6242" s="78" t="s">
        <v>1697</v>
      </c>
      <c r="G6242" s="68">
        <v>0.4</v>
      </c>
      <c r="H6242" s="26" t="s">
        <v>6901</v>
      </c>
    </row>
    <row r="6243" spans="1:8" hidden="1">
      <c r="A6243" s="889"/>
      <c r="B6243" s="47" t="s">
        <v>6669</v>
      </c>
      <c r="C6243" s="48"/>
      <c r="F6243" s="78" t="s">
        <v>1697</v>
      </c>
      <c r="G6243" s="26">
        <v>200</v>
      </c>
      <c r="H6243" s="26" t="s">
        <v>3478</v>
      </c>
    </row>
    <row r="6244" spans="1:8" hidden="1">
      <c r="A6244" s="889"/>
      <c r="B6244" s="47" t="s">
        <v>2791</v>
      </c>
      <c r="C6244" s="48"/>
      <c r="F6244" s="78" t="s">
        <v>1697</v>
      </c>
      <c r="G6244" s="26">
        <v>0.4</v>
      </c>
      <c r="H6244" s="26" t="s">
        <v>6901</v>
      </c>
    </row>
    <row r="6245" spans="1:8" hidden="1">
      <c r="A6245" s="889"/>
      <c r="B6245" s="47" t="s">
        <v>2306</v>
      </c>
      <c r="C6245" s="48"/>
      <c r="F6245" s="78"/>
    </row>
    <row r="6246" spans="1:8" hidden="1">
      <c r="A6246" s="889"/>
      <c r="B6246" s="47" t="s">
        <v>1942</v>
      </c>
      <c r="C6246" s="48"/>
      <c r="F6246" s="78" t="s">
        <v>1697</v>
      </c>
      <c r="G6246" s="26">
        <v>2</v>
      </c>
      <c r="H6246" s="26" t="s">
        <v>3032</v>
      </c>
    </row>
    <row r="6247" spans="1:8" hidden="1">
      <c r="A6247" s="889"/>
      <c r="B6247" s="47" t="s">
        <v>4027</v>
      </c>
      <c r="C6247" s="48"/>
      <c r="F6247" s="78" t="s">
        <v>1697</v>
      </c>
      <c r="G6247" s="26">
        <v>4</v>
      </c>
      <c r="H6247" s="26" t="s">
        <v>3032</v>
      </c>
    </row>
    <row r="6248" spans="1:8" hidden="1">
      <c r="A6248" s="889"/>
      <c r="B6248" s="47" t="s">
        <v>640</v>
      </c>
      <c r="C6248" s="48"/>
      <c r="F6248" s="78" t="s">
        <v>1697</v>
      </c>
      <c r="G6248" s="26">
        <v>4</v>
      </c>
      <c r="H6248" s="26" t="s">
        <v>3032</v>
      </c>
    </row>
    <row r="6249" spans="1:8" hidden="1">
      <c r="A6249" s="889"/>
      <c r="B6249" s="47" t="s">
        <v>641</v>
      </c>
      <c r="C6249" s="48"/>
      <c r="F6249" s="78" t="s">
        <v>1697</v>
      </c>
      <c r="G6249" s="26">
        <v>2</v>
      </c>
      <c r="H6249" s="26" t="s">
        <v>3032</v>
      </c>
    </row>
    <row r="6250" spans="1:8" hidden="1">
      <c r="A6250" s="889"/>
      <c r="B6250" s="47" t="s">
        <v>642</v>
      </c>
      <c r="C6250" s="48"/>
      <c r="F6250" s="78" t="s">
        <v>1697</v>
      </c>
      <c r="G6250" s="26">
        <v>1</v>
      </c>
      <c r="H6250" s="26" t="s">
        <v>3035</v>
      </c>
    </row>
    <row r="6251" spans="1:8" hidden="1">
      <c r="A6251" s="889"/>
      <c r="B6251" s="47" t="s">
        <v>2307</v>
      </c>
      <c r="C6251" s="48"/>
      <c r="F6251" s="78" t="s">
        <v>1697</v>
      </c>
      <c r="G6251" s="26">
        <v>1</v>
      </c>
      <c r="H6251" s="26" t="s">
        <v>3035</v>
      </c>
    </row>
    <row r="6252" spans="1:8" hidden="1">
      <c r="A6252" s="889"/>
      <c r="B6252" s="47" t="s">
        <v>3945</v>
      </c>
      <c r="C6252" s="48"/>
      <c r="F6252" s="78" t="s">
        <v>1697</v>
      </c>
      <c r="G6252" s="26">
        <v>1</v>
      </c>
      <c r="H6252" s="26" t="s">
        <v>3035</v>
      </c>
    </row>
    <row r="6253" spans="1:8">
      <c r="A6253" s="847"/>
      <c r="B6253" s="78"/>
      <c r="C6253" s="48"/>
    </row>
    <row r="6254" spans="1:8">
      <c r="A6254" s="889" t="s">
        <v>3984</v>
      </c>
      <c r="B6254" s="78"/>
      <c r="C6254" s="349" t="s">
        <v>2367</v>
      </c>
      <c r="E6254" s="171" t="s">
        <v>297</v>
      </c>
      <c r="F6254" s="246">
        <v>100</v>
      </c>
      <c r="G6254" s="26" t="s">
        <v>3479</v>
      </c>
    </row>
    <row r="6255" spans="1:8">
      <c r="A6255" s="847"/>
      <c r="B6255" s="79" t="s">
        <v>2368</v>
      </c>
      <c r="C6255" s="48"/>
    </row>
    <row r="6256" spans="1:8">
      <c r="A6256" s="847"/>
      <c r="B6256" s="95" t="s">
        <v>2369</v>
      </c>
      <c r="C6256" s="350" t="s">
        <v>6374</v>
      </c>
      <c r="D6256" s="95" t="s">
        <v>2370</v>
      </c>
      <c r="E6256" s="95" t="s">
        <v>1166</v>
      </c>
      <c r="F6256" s="95" t="s">
        <v>2371</v>
      </c>
      <c r="G6256" s="95" t="s">
        <v>2372</v>
      </c>
    </row>
    <row r="6257" spans="1:9">
      <c r="A6257" s="847"/>
      <c r="B6257" s="114"/>
      <c r="C6257" s="351"/>
      <c r="D6257" s="114"/>
      <c r="E6257" s="114"/>
      <c r="F6257" s="114" t="s">
        <v>3485</v>
      </c>
      <c r="G6257" s="114" t="s">
        <v>3485</v>
      </c>
    </row>
    <row r="6258" spans="1:9">
      <c r="A6258" s="847"/>
      <c r="B6258" s="95">
        <v>1</v>
      </c>
      <c r="C6258" s="86" t="s">
        <v>2308</v>
      </c>
      <c r="D6258" s="95" t="s">
        <v>3479</v>
      </c>
      <c r="E6258" s="220">
        <v>105</v>
      </c>
      <c r="F6258" s="214">
        <f>'BASIC DATA'!$D$94</f>
        <v>235</v>
      </c>
      <c r="G6258" s="214">
        <f>E6258*F6258</f>
        <v>24675</v>
      </c>
    </row>
    <row r="6259" spans="1:9">
      <c r="A6259" s="847"/>
      <c r="B6259" s="105">
        <v>2</v>
      </c>
      <c r="C6259" s="86" t="s">
        <v>7327</v>
      </c>
      <c r="D6259" s="105" t="s">
        <v>3478</v>
      </c>
      <c r="E6259" s="220">
        <f>G6243</f>
        <v>200</v>
      </c>
      <c r="F6259" s="68">
        <f>'BASIC DATA'!$D$32/1000</f>
        <v>5.35</v>
      </c>
      <c r="G6259" s="214">
        <f>E6259*F6259</f>
        <v>1070</v>
      </c>
    </row>
    <row r="6260" spans="1:9">
      <c r="A6260" s="848"/>
      <c r="B6260" s="237">
        <v>3</v>
      </c>
      <c r="C6260" s="413" t="s">
        <v>7937</v>
      </c>
      <c r="D6260" s="237" t="s">
        <v>3477</v>
      </c>
      <c r="E6260" s="256">
        <f>G6244</f>
        <v>0.4</v>
      </c>
      <c r="F6260" s="266">
        <f>'BASIC DATA'!$D$57</f>
        <v>165</v>
      </c>
      <c r="G6260" s="266">
        <f>E6260*F6260</f>
        <v>66</v>
      </c>
      <c r="H6260" s="61"/>
      <c r="I6260" s="61"/>
    </row>
    <row r="6261" spans="1:9">
      <c r="A6261" s="847"/>
      <c r="B6261" s="92"/>
      <c r="C6261" s="353" t="s">
        <v>2376</v>
      </c>
      <c r="D6261" s="159"/>
      <c r="E6261" s="238"/>
      <c r="F6261" s="236" t="s">
        <v>1698</v>
      </c>
      <c r="G6261" s="318">
        <f>SUM(G6258:G6260)</f>
        <v>25811</v>
      </c>
    </row>
    <row r="6262" spans="1:9">
      <c r="A6262" s="847"/>
      <c r="B6262" s="78"/>
      <c r="C6262" s="48"/>
    </row>
    <row r="6263" spans="1:9">
      <c r="A6263" s="847"/>
      <c r="B6263" s="79" t="s">
        <v>2377</v>
      </c>
      <c r="C6263" s="48"/>
    </row>
    <row r="6264" spans="1:9">
      <c r="A6264" s="847"/>
      <c r="B6264" s="95" t="s">
        <v>2369</v>
      </c>
      <c r="C6264" s="350" t="s">
        <v>2378</v>
      </c>
      <c r="D6264" s="95" t="s">
        <v>2370</v>
      </c>
      <c r="E6264" s="95" t="s">
        <v>1166</v>
      </c>
      <c r="F6264" s="95" t="s">
        <v>2371</v>
      </c>
      <c r="G6264" s="95" t="s">
        <v>2372</v>
      </c>
    </row>
    <row r="6265" spans="1:9">
      <c r="A6265" s="847"/>
      <c r="B6265" s="114"/>
      <c r="C6265" s="351"/>
      <c r="D6265" s="114"/>
      <c r="E6265" s="114"/>
      <c r="F6265" s="114" t="s">
        <v>3485</v>
      </c>
      <c r="G6265" s="114" t="s">
        <v>3485</v>
      </c>
    </row>
    <row r="6266" spans="1:9">
      <c r="A6266" s="847"/>
      <c r="B6266" s="95">
        <v>1</v>
      </c>
      <c r="C6266" s="86" t="s">
        <v>189</v>
      </c>
      <c r="D6266" s="95" t="s">
        <v>2374</v>
      </c>
      <c r="E6266" s="220">
        <v>2</v>
      </c>
      <c r="F6266" s="214">
        <f>'HIRE CHARGES'!$D$517</f>
        <v>10.199999999999999</v>
      </c>
      <c r="G6266" s="214">
        <f>E6266*F6266</f>
        <v>20.399999999999999</v>
      </c>
    </row>
    <row r="6267" spans="1:9">
      <c r="A6267" s="847"/>
      <c r="B6267" s="116"/>
      <c r="C6267" s="86" t="s">
        <v>2379</v>
      </c>
      <c r="D6267" s="114" t="s">
        <v>2374</v>
      </c>
      <c r="E6267" s="220">
        <v>2</v>
      </c>
      <c r="F6267" s="214">
        <f>'HIRE CHARGES'!$E$517</f>
        <v>79.3</v>
      </c>
      <c r="G6267" s="214">
        <f>E6267*F6267</f>
        <v>158.6</v>
      </c>
    </row>
    <row r="6268" spans="1:9">
      <c r="A6268" s="847"/>
      <c r="B6268" s="176"/>
      <c r="C6268" s="357" t="s">
        <v>2380</v>
      </c>
      <c r="D6268" s="174"/>
      <c r="E6268" s="192"/>
      <c r="F6268" s="236" t="s">
        <v>1698</v>
      </c>
      <c r="G6268" s="354">
        <f>SUM(G6266:G6267)</f>
        <v>179</v>
      </c>
    </row>
    <row r="6269" spans="1:9">
      <c r="A6269" s="847"/>
      <c r="B6269" s="78"/>
      <c r="C6269" s="48"/>
    </row>
    <row r="6270" spans="1:9">
      <c r="A6270" s="847"/>
      <c r="B6270" s="79" t="s">
        <v>2381</v>
      </c>
      <c r="C6270" s="48"/>
    </row>
    <row r="6271" spans="1:9">
      <c r="A6271" s="847"/>
      <c r="B6271" s="95" t="s">
        <v>2369</v>
      </c>
      <c r="C6271" s="350" t="s">
        <v>2378</v>
      </c>
      <c r="D6271" s="95" t="s">
        <v>2370</v>
      </c>
      <c r="E6271" s="95" t="s">
        <v>1166</v>
      </c>
      <c r="F6271" s="95" t="s">
        <v>2371</v>
      </c>
      <c r="G6271" s="95" t="s">
        <v>2372</v>
      </c>
    </row>
    <row r="6272" spans="1:9">
      <c r="A6272" s="847"/>
      <c r="B6272" s="114"/>
      <c r="C6272" s="351"/>
      <c r="D6272" s="105"/>
      <c r="E6272" s="114"/>
      <c r="F6272" s="114" t="s">
        <v>3485</v>
      </c>
      <c r="G6272" s="114" t="s">
        <v>3485</v>
      </c>
    </row>
    <row r="6273" spans="1:9">
      <c r="A6273" s="847"/>
      <c r="B6273" s="105">
        <v>1</v>
      </c>
      <c r="C6273" s="86" t="s">
        <v>190</v>
      </c>
      <c r="D6273" s="95" t="s">
        <v>2374</v>
      </c>
      <c r="E6273" s="207">
        <v>2</v>
      </c>
      <c r="F6273" s="214">
        <f>'HIRE CHARGES'!$F$517</f>
        <v>111.1</v>
      </c>
      <c r="G6273" s="214">
        <f t="shared" ref="G6273:G6278" si="92">E6273*F6273</f>
        <v>222.2</v>
      </c>
    </row>
    <row r="6274" spans="1:9">
      <c r="A6274" s="847"/>
      <c r="B6274" s="105">
        <v>2</v>
      </c>
      <c r="C6274" s="86" t="s">
        <v>4206</v>
      </c>
      <c r="D6274" s="105" t="s">
        <v>1172</v>
      </c>
      <c r="E6274" s="207">
        <v>1</v>
      </c>
      <c r="F6274" s="190">
        <f>'BASIC DATA'!$C$473</f>
        <v>450</v>
      </c>
      <c r="G6274" s="214">
        <f t="shared" si="92"/>
        <v>450</v>
      </c>
    </row>
    <row r="6275" spans="1:9">
      <c r="A6275" s="847"/>
      <c r="B6275" s="105">
        <v>3</v>
      </c>
      <c r="C6275" s="86" t="s">
        <v>5606</v>
      </c>
      <c r="D6275" s="105" t="s">
        <v>1172</v>
      </c>
      <c r="E6275" s="207">
        <v>4</v>
      </c>
      <c r="F6275" s="190">
        <f>'BASIC DATA'!$C$474</f>
        <v>445</v>
      </c>
      <c r="G6275" s="214">
        <f t="shared" si="92"/>
        <v>1780</v>
      </c>
    </row>
    <row r="6276" spans="1:9">
      <c r="A6276" s="847"/>
      <c r="B6276" s="105">
        <v>4</v>
      </c>
      <c r="C6276" s="86" t="s">
        <v>5607</v>
      </c>
      <c r="D6276" s="105" t="s">
        <v>1172</v>
      </c>
      <c r="E6276" s="207">
        <v>2</v>
      </c>
      <c r="F6276" s="190">
        <f>'BASIC DATA'!$C$541</f>
        <v>400</v>
      </c>
      <c r="G6276" s="214">
        <f t="shared" si="92"/>
        <v>800</v>
      </c>
    </row>
    <row r="6277" spans="1:9">
      <c r="A6277" s="847"/>
      <c r="B6277" s="105">
        <v>5</v>
      </c>
      <c r="C6277" s="86" t="s">
        <v>2697</v>
      </c>
      <c r="D6277" s="105" t="s">
        <v>1172</v>
      </c>
      <c r="E6277" s="207">
        <v>8</v>
      </c>
      <c r="F6277" s="190">
        <f>'BASIC DATA'!$C$552</f>
        <v>350</v>
      </c>
      <c r="G6277" s="214">
        <f t="shared" si="92"/>
        <v>2800</v>
      </c>
    </row>
    <row r="6278" spans="1:9" ht="36">
      <c r="A6278" s="847"/>
      <c r="B6278" s="105">
        <v>6</v>
      </c>
      <c r="C6278" s="86" t="s">
        <v>7658</v>
      </c>
      <c r="D6278" s="105" t="s">
        <v>1172</v>
      </c>
      <c r="E6278" s="207">
        <v>1</v>
      </c>
      <c r="F6278" s="190">
        <f>'BASIC DATA'!$C$511</f>
        <v>465</v>
      </c>
      <c r="G6278" s="214">
        <f t="shared" si="92"/>
        <v>465</v>
      </c>
      <c r="I6278" s="31"/>
    </row>
    <row r="6279" spans="1:9">
      <c r="A6279" s="847"/>
      <c r="B6279" s="92"/>
      <c r="C6279" s="353" t="s">
        <v>1174</v>
      </c>
      <c r="D6279" s="159"/>
      <c r="E6279" s="238"/>
      <c r="F6279" s="236" t="s">
        <v>1698</v>
      </c>
      <c r="G6279" s="318">
        <f>SUM(G6273:G6278)</f>
        <v>6517.2</v>
      </c>
    </row>
    <row r="6280" spans="1:9">
      <c r="A6280" s="847"/>
      <c r="B6280" s="359" t="s">
        <v>5948</v>
      </c>
      <c r="C6280" s="355"/>
      <c r="D6280" s="31"/>
      <c r="E6280" s="85">
        <f>ROUND(G6279/F6254,1)</f>
        <v>65.2</v>
      </c>
    </row>
    <row r="6281" spans="1:9">
      <c r="A6281" s="847"/>
      <c r="B6281" s="359" t="s">
        <v>3163</v>
      </c>
      <c r="C6281" s="355"/>
      <c r="D6281" s="922">
        <f>'BASIC DATA'!$C$577</f>
        <v>0.13614999999999999</v>
      </c>
      <c r="E6281" s="85">
        <f>ROUND(E6280*D6281,1)</f>
        <v>8.9</v>
      </c>
    </row>
    <row r="6282" spans="1:9">
      <c r="A6282" s="847"/>
      <c r="B6282" s="359" t="s">
        <v>5949</v>
      </c>
      <c r="C6282" s="355"/>
      <c r="D6282" s="31"/>
      <c r="E6282" s="199">
        <f>ROUND(E6281+E6280,1)</f>
        <v>74.099999999999994</v>
      </c>
    </row>
    <row r="6283" spans="1:9">
      <c r="A6283" s="847"/>
      <c r="B6283" s="78"/>
      <c r="C6283" s="48"/>
    </row>
    <row r="6284" spans="1:9">
      <c r="A6284" s="847"/>
      <c r="B6284" s="162" t="s">
        <v>1175</v>
      </c>
      <c r="C6284" s="48"/>
    </row>
    <row r="6285" spans="1:9">
      <c r="A6285" s="847"/>
      <c r="B6285" s="47" t="s">
        <v>1176</v>
      </c>
      <c r="C6285" s="48"/>
      <c r="F6285" s="171" t="s">
        <v>1698</v>
      </c>
      <c r="G6285" s="68">
        <f>G6261</f>
        <v>25811</v>
      </c>
    </row>
    <row r="6286" spans="1:9">
      <c r="A6286" s="847"/>
      <c r="B6286" s="47" t="s">
        <v>1186</v>
      </c>
      <c r="C6286" s="48"/>
      <c r="F6286" s="171" t="s">
        <v>1698</v>
      </c>
      <c r="G6286" s="68">
        <f>G6268</f>
        <v>179</v>
      </c>
    </row>
    <row r="6287" spans="1:9">
      <c r="A6287" s="847"/>
      <c r="B6287" s="47" t="s">
        <v>2660</v>
      </c>
      <c r="C6287" s="48"/>
      <c r="F6287" s="171" t="s">
        <v>1698</v>
      </c>
      <c r="G6287" s="75">
        <f>G6279</f>
        <v>6517.2</v>
      </c>
    </row>
    <row r="6288" spans="1:9">
      <c r="A6288" s="847"/>
      <c r="B6288" s="78"/>
      <c r="C6288" s="48"/>
      <c r="F6288" s="171" t="s">
        <v>302</v>
      </c>
      <c r="G6288" s="205">
        <f>SUM(G6285:G6287)</f>
        <v>32507.200000000001</v>
      </c>
    </row>
    <row r="6289" spans="1:8" ht="39" customHeight="1">
      <c r="A6289" s="847"/>
      <c r="B6289" s="1207" t="s">
        <v>1379</v>
      </c>
      <c r="C6289" s="1207"/>
      <c r="D6289" s="1207"/>
      <c r="E6289" s="922">
        <f>'BASIC DATA'!$C$577</f>
        <v>0.13614999999999999</v>
      </c>
      <c r="F6289" s="171" t="s">
        <v>1698</v>
      </c>
      <c r="G6289" s="31">
        <f>ROUND(G6288*E6289,2)</f>
        <v>4425.8599999999997</v>
      </c>
    </row>
    <row r="6290" spans="1:8">
      <c r="A6290" s="847"/>
      <c r="B6290" s="47" t="s">
        <v>1191</v>
      </c>
      <c r="C6290" s="48"/>
      <c r="D6290" s="68">
        <f>F6254</f>
        <v>100</v>
      </c>
      <c r="E6290" s="68" t="str">
        <f>G6254</f>
        <v>sqm</v>
      </c>
      <c r="F6290" s="171" t="s">
        <v>1698</v>
      </c>
      <c r="G6290" s="211">
        <f>G6289+G6288</f>
        <v>36933.06</v>
      </c>
    </row>
    <row r="6291" spans="1:8">
      <c r="A6291" s="847"/>
      <c r="B6291" s="79" t="s">
        <v>1584</v>
      </c>
      <c r="C6291" s="404" t="str">
        <f>E6290</f>
        <v>sqm</v>
      </c>
      <c r="D6291" s="26" t="s">
        <v>5882</v>
      </c>
      <c r="F6291" s="171" t="s">
        <v>4108</v>
      </c>
      <c r="G6291" s="211">
        <f>ROUND(G6290/D6290,1)</f>
        <v>369.3</v>
      </c>
    </row>
    <row r="6292" spans="1:8">
      <c r="A6292" s="847"/>
      <c r="B6292" s="78"/>
      <c r="C6292" s="48"/>
      <c r="F6292" s="171"/>
      <c r="G6292" s="68"/>
    </row>
    <row r="6293" spans="1:8">
      <c r="A6293" s="847"/>
      <c r="B6293" s="78"/>
      <c r="C6293" s="48"/>
    </row>
    <row r="6294" spans="1:8" ht="36">
      <c r="A6294" s="841" t="s">
        <v>7494</v>
      </c>
      <c r="B6294" s="47" t="s">
        <v>8827</v>
      </c>
      <c r="C6294" s="48"/>
    </row>
    <row r="6295" spans="1:8">
      <c r="A6295" s="889"/>
      <c r="B6295" s="47" t="s">
        <v>1250</v>
      </c>
      <c r="C6295" s="48"/>
    </row>
    <row r="6296" spans="1:8" ht="18.75">
      <c r="A6296" s="889"/>
      <c r="B6296" s="47" t="s">
        <v>8828</v>
      </c>
      <c r="C6296" s="48"/>
    </row>
    <row r="6297" spans="1:8">
      <c r="C6297" s="48"/>
    </row>
    <row r="6298" spans="1:8" hidden="1">
      <c r="A6298" s="889" t="s">
        <v>3984</v>
      </c>
      <c r="B6298" s="47" t="s">
        <v>1930</v>
      </c>
      <c r="C6298" s="48"/>
      <c r="E6298" s="26" t="s">
        <v>6826</v>
      </c>
    </row>
    <row r="6299" spans="1:8" hidden="1">
      <c r="A6299" s="889"/>
      <c r="B6299" s="47" t="s">
        <v>2305</v>
      </c>
      <c r="C6299" s="48"/>
      <c r="F6299" s="78" t="s">
        <v>1697</v>
      </c>
      <c r="G6299" s="68">
        <v>0.5</v>
      </c>
      <c r="H6299" s="26" t="s">
        <v>6901</v>
      </c>
    </row>
    <row r="6300" spans="1:8" hidden="1">
      <c r="A6300" s="889"/>
      <c r="B6300" s="47" t="s">
        <v>5853</v>
      </c>
      <c r="C6300" s="48"/>
      <c r="F6300" s="78" t="s">
        <v>1697</v>
      </c>
      <c r="G6300" s="26">
        <v>240</v>
      </c>
      <c r="H6300" s="26" t="s">
        <v>3478</v>
      </c>
    </row>
    <row r="6301" spans="1:8" hidden="1">
      <c r="A6301" s="889"/>
      <c r="B6301" s="47" t="s">
        <v>2791</v>
      </c>
      <c r="C6301" s="48"/>
      <c r="F6301" s="78" t="s">
        <v>1697</v>
      </c>
      <c r="G6301" s="68">
        <v>0.5</v>
      </c>
      <c r="H6301" s="26" t="s">
        <v>6901</v>
      </c>
    </row>
    <row r="6302" spans="1:8" hidden="1">
      <c r="A6302" s="889"/>
      <c r="B6302" s="47" t="s">
        <v>2306</v>
      </c>
      <c r="C6302" s="48"/>
      <c r="F6302" s="78"/>
    </row>
    <row r="6303" spans="1:8" hidden="1">
      <c r="A6303" s="889"/>
      <c r="B6303" s="47" t="s">
        <v>1931</v>
      </c>
      <c r="C6303" s="48"/>
      <c r="F6303" s="78" t="s">
        <v>1697</v>
      </c>
      <c r="G6303" s="26">
        <v>4</v>
      </c>
      <c r="H6303" s="26" t="s">
        <v>3032</v>
      </c>
    </row>
    <row r="6304" spans="1:8" hidden="1">
      <c r="A6304" s="889"/>
      <c r="B6304" s="47" t="s">
        <v>643</v>
      </c>
      <c r="C6304" s="48"/>
      <c r="F6304" s="78" t="s">
        <v>1697</v>
      </c>
      <c r="G6304" s="26">
        <v>4</v>
      </c>
      <c r="H6304" s="26" t="s">
        <v>3032</v>
      </c>
    </row>
    <row r="6305" spans="1:9" hidden="1">
      <c r="A6305" s="889"/>
      <c r="B6305" s="47" t="s">
        <v>3957</v>
      </c>
      <c r="C6305" s="48"/>
      <c r="F6305" s="78" t="s">
        <v>1697</v>
      </c>
      <c r="G6305" s="26">
        <v>3</v>
      </c>
      <c r="H6305" s="26" t="s">
        <v>3032</v>
      </c>
    </row>
    <row r="6306" spans="1:9" hidden="1">
      <c r="A6306" s="889"/>
      <c r="B6306" s="47" t="s">
        <v>642</v>
      </c>
      <c r="C6306" s="48"/>
      <c r="F6306" s="78" t="s">
        <v>1697</v>
      </c>
      <c r="G6306" s="26">
        <v>1</v>
      </c>
      <c r="H6306" s="26" t="s">
        <v>3035</v>
      </c>
    </row>
    <row r="6307" spans="1:9" hidden="1">
      <c r="A6307" s="889"/>
      <c r="B6307" s="47" t="s">
        <v>2307</v>
      </c>
      <c r="C6307" s="48"/>
      <c r="F6307" s="78" t="s">
        <v>1697</v>
      </c>
      <c r="G6307" s="26">
        <v>1</v>
      </c>
      <c r="H6307" s="26" t="s">
        <v>3035</v>
      </c>
    </row>
    <row r="6308" spans="1:9" hidden="1">
      <c r="A6308" s="889"/>
      <c r="B6308" s="47" t="s">
        <v>3945</v>
      </c>
      <c r="C6308" s="48"/>
      <c r="F6308" s="78" t="s">
        <v>1697</v>
      </c>
      <c r="G6308" s="26">
        <v>1</v>
      </c>
      <c r="H6308" s="26" t="s">
        <v>3035</v>
      </c>
    </row>
    <row r="6309" spans="1:9">
      <c r="A6309" s="847"/>
      <c r="B6309" s="78"/>
      <c r="C6309" s="48"/>
    </row>
    <row r="6310" spans="1:9">
      <c r="A6310" s="889" t="s">
        <v>3984</v>
      </c>
      <c r="B6310" s="78"/>
      <c r="C6310" s="349" t="s">
        <v>2367</v>
      </c>
      <c r="E6310" s="171" t="s">
        <v>297</v>
      </c>
      <c r="F6310" s="246">
        <v>100</v>
      </c>
      <c r="G6310" s="26" t="s">
        <v>3479</v>
      </c>
    </row>
    <row r="6311" spans="1:9">
      <c r="A6311" s="847"/>
      <c r="B6311" s="79" t="s">
        <v>2368</v>
      </c>
      <c r="C6311" s="48"/>
    </row>
    <row r="6312" spans="1:9">
      <c r="A6312" s="847"/>
      <c r="B6312" s="95" t="s">
        <v>2369</v>
      </c>
      <c r="C6312" s="350" t="s">
        <v>6374</v>
      </c>
      <c r="D6312" s="95" t="s">
        <v>2370</v>
      </c>
      <c r="E6312" s="95" t="s">
        <v>1166</v>
      </c>
      <c r="F6312" s="95" t="s">
        <v>2371</v>
      </c>
      <c r="G6312" s="95" t="s">
        <v>2372</v>
      </c>
    </row>
    <row r="6313" spans="1:9">
      <c r="A6313" s="847"/>
      <c r="B6313" s="114"/>
      <c r="C6313" s="351"/>
      <c r="D6313" s="114"/>
      <c r="E6313" s="114"/>
      <c r="F6313" s="114" t="s">
        <v>3485</v>
      </c>
      <c r="G6313" s="114" t="s">
        <v>3485</v>
      </c>
    </row>
    <row r="6314" spans="1:9">
      <c r="A6314" s="847"/>
      <c r="B6314" s="95">
        <v>1</v>
      </c>
      <c r="C6314" s="86" t="s">
        <v>7327</v>
      </c>
      <c r="D6314" s="95" t="s">
        <v>3478</v>
      </c>
      <c r="E6314" s="220">
        <v>240</v>
      </c>
      <c r="F6314" s="68">
        <f>'BASIC DATA'!$D$32/1000</f>
        <v>5.35</v>
      </c>
      <c r="G6314" s="214">
        <f>E6314*F6314</f>
        <v>1284</v>
      </c>
    </row>
    <row r="6315" spans="1:9">
      <c r="A6315" s="848"/>
      <c r="B6315" s="237">
        <v>2</v>
      </c>
      <c r="C6315" s="413" t="s">
        <v>6827</v>
      </c>
      <c r="D6315" s="237" t="s">
        <v>3477</v>
      </c>
      <c r="E6315" s="256">
        <v>0.5</v>
      </c>
      <c r="F6315" s="266">
        <f>'BASIC DATA'!$D$57</f>
        <v>165</v>
      </c>
      <c r="G6315" s="266">
        <f>E6315*F6315</f>
        <v>82.5</v>
      </c>
      <c r="H6315" s="61"/>
      <c r="I6315" s="61"/>
    </row>
    <row r="6316" spans="1:9">
      <c r="A6316" s="847"/>
      <c r="B6316" s="92"/>
      <c r="C6316" s="353" t="s">
        <v>2376</v>
      </c>
      <c r="D6316" s="159"/>
      <c r="E6316" s="238"/>
      <c r="F6316" s="236" t="s">
        <v>1698</v>
      </c>
      <c r="G6316" s="318">
        <f>SUM(G6314:G6315)</f>
        <v>1366.5</v>
      </c>
    </row>
    <row r="6317" spans="1:9">
      <c r="A6317" s="847"/>
      <c r="B6317" s="78"/>
      <c r="C6317" s="48"/>
    </row>
    <row r="6318" spans="1:9">
      <c r="A6318" s="847"/>
      <c r="B6318" s="79" t="s">
        <v>2377</v>
      </c>
      <c r="C6318" s="48"/>
    </row>
    <row r="6319" spans="1:9">
      <c r="A6319" s="847"/>
      <c r="B6319" s="95" t="s">
        <v>2369</v>
      </c>
      <c r="C6319" s="350" t="s">
        <v>2378</v>
      </c>
      <c r="D6319" s="95" t="s">
        <v>2370</v>
      </c>
      <c r="E6319" s="95" t="s">
        <v>1166</v>
      </c>
      <c r="F6319" s="95" t="s">
        <v>2371</v>
      </c>
      <c r="G6319" s="95" t="s">
        <v>2372</v>
      </c>
    </row>
    <row r="6320" spans="1:9">
      <c r="A6320" s="847"/>
      <c r="B6320" s="114"/>
      <c r="C6320" s="351"/>
      <c r="D6320" s="114"/>
      <c r="E6320" s="114"/>
      <c r="F6320" s="114" t="s">
        <v>3485</v>
      </c>
      <c r="G6320" s="114" t="s">
        <v>3485</v>
      </c>
    </row>
    <row r="6321" spans="1:7">
      <c r="A6321" s="847"/>
      <c r="B6321" s="95">
        <v>1</v>
      </c>
      <c r="C6321" s="86" t="s">
        <v>189</v>
      </c>
      <c r="D6321" s="95" t="s">
        <v>2374</v>
      </c>
      <c r="E6321" s="220">
        <v>2</v>
      </c>
      <c r="F6321" s="214">
        <f>'HIRE CHARGES'!$D$517</f>
        <v>10.199999999999999</v>
      </c>
      <c r="G6321" s="214">
        <f>E6321*F6321</f>
        <v>20.399999999999999</v>
      </c>
    </row>
    <row r="6322" spans="1:7">
      <c r="A6322" s="847"/>
      <c r="B6322" s="116"/>
      <c r="C6322" s="113" t="s">
        <v>2379</v>
      </c>
      <c r="D6322" s="114" t="s">
        <v>2374</v>
      </c>
      <c r="E6322" s="220">
        <v>2</v>
      </c>
      <c r="F6322" s="214">
        <f>'HIRE CHARGES'!$E$517</f>
        <v>79.3</v>
      </c>
      <c r="G6322" s="214">
        <f>E6322*F6322</f>
        <v>158.6</v>
      </c>
    </row>
    <row r="6323" spans="1:7">
      <c r="A6323" s="847"/>
      <c r="B6323" s="176"/>
      <c r="C6323" s="357" t="s">
        <v>2380</v>
      </c>
      <c r="D6323" s="174"/>
      <c r="E6323" s="192"/>
      <c r="F6323" s="236" t="s">
        <v>1698</v>
      </c>
      <c r="G6323" s="354">
        <f>SUM(G6321:G6322)</f>
        <v>179</v>
      </c>
    </row>
    <row r="6324" spans="1:7">
      <c r="A6324" s="847"/>
      <c r="B6324" s="78"/>
      <c r="C6324" s="48"/>
    </row>
    <row r="6325" spans="1:7">
      <c r="A6325" s="847"/>
      <c r="B6325" s="79" t="s">
        <v>2381</v>
      </c>
      <c r="C6325" s="48"/>
    </row>
    <row r="6326" spans="1:7">
      <c r="A6326" s="847"/>
      <c r="B6326" s="95" t="s">
        <v>2369</v>
      </c>
      <c r="C6326" s="350" t="s">
        <v>2378</v>
      </c>
      <c r="D6326" s="95" t="s">
        <v>2370</v>
      </c>
      <c r="E6326" s="95" t="s">
        <v>1166</v>
      </c>
      <c r="F6326" s="95" t="s">
        <v>2371</v>
      </c>
      <c r="G6326" s="95" t="s">
        <v>2372</v>
      </c>
    </row>
    <row r="6327" spans="1:7">
      <c r="A6327" s="847"/>
      <c r="B6327" s="114"/>
      <c r="C6327" s="351"/>
      <c r="D6327" s="105"/>
      <c r="E6327" s="114"/>
      <c r="F6327" s="114" t="s">
        <v>3485</v>
      </c>
      <c r="G6327" s="114" t="s">
        <v>3485</v>
      </c>
    </row>
    <row r="6328" spans="1:7">
      <c r="A6328" s="847"/>
      <c r="B6328" s="105">
        <v>1</v>
      </c>
      <c r="C6328" s="86" t="s">
        <v>190</v>
      </c>
      <c r="D6328" s="95" t="s">
        <v>2374</v>
      </c>
      <c r="E6328" s="207">
        <v>2</v>
      </c>
      <c r="F6328" s="214">
        <f>'HIRE CHARGES'!$F$517</f>
        <v>111.1</v>
      </c>
      <c r="G6328" s="214">
        <f>E6328*F6328</f>
        <v>222.2</v>
      </c>
    </row>
    <row r="6329" spans="1:7">
      <c r="A6329" s="847"/>
      <c r="B6329" s="105">
        <v>2</v>
      </c>
      <c r="C6329" s="86" t="s">
        <v>4206</v>
      </c>
      <c r="D6329" s="105" t="s">
        <v>1172</v>
      </c>
      <c r="E6329" s="207">
        <v>1</v>
      </c>
      <c r="F6329" s="190">
        <f>'BASIC DATA'!$C$473</f>
        <v>450</v>
      </c>
      <c r="G6329" s="214">
        <f>E6329*F6329</f>
        <v>450</v>
      </c>
    </row>
    <row r="6330" spans="1:7">
      <c r="A6330" s="847"/>
      <c r="B6330" s="105">
        <v>3</v>
      </c>
      <c r="C6330" s="86" t="s">
        <v>5606</v>
      </c>
      <c r="D6330" s="105" t="s">
        <v>1172</v>
      </c>
      <c r="E6330" s="207">
        <v>4</v>
      </c>
      <c r="F6330" s="190">
        <f>'BASIC DATA'!$C$474</f>
        <v>445</v>
      </c>
      <c r="G6330" s="214">
        <f>E6330*F6330</f>
        <v>1780</v>
      </c>
    </row>
    <row r="6331" spans="1:7">
      <c r="A6331" s="847"/>
      <c r="B6331" s="105">
        <v>4</v>
      </c>
      <c r="C6331" s="86" t="s">
        <v>2697</v>
      </c>
      <c r="D6331" s="105" t="s">
        <v>1172</v>
      </c>
      <c r="E6331" s="207">
        <v>9</v>
      </c>
      <c r="F6331" s="190">
        <f>'BASIC DATA'!$C$552</f>
        <v>350</v>
      </c>
      <c r="G6331" s="214">
        <f>E6331*F6331</f>
        <v>3150</v>
      </c>
    </row>
    <row r="6332" spans="1:7" ht="36">
      <c r="A6332" s="847"/>
      <c r="B6332" s="105">
        <v>5</v>
      </c>
      <c r="C6332" s="86" t="s">
        <v>7658</v>
      </c>
      <c r="D6332" s="105" t="s">
        <v>1172</v>
      </c>
      <c r="E6332" s="207">
        <v>1</v>
      </c>
      <c r="F6332" s="190">
        <f>'BASIC DATA'!$C$511</f>
        <v>465</v>
      </c>
      <c r="G6332" s="214">
        <f>E6332*F6332</f>
        <v>465</v>
      </c>
    </row>
    <row r="6333" spans="1:7">
      <c r="A6333" s="847"/>
      <c r="B6333" s="92"/>
      <c r="C6333" s="353" t="s">
        <v>1174</v>
      </c>
      <c r="D6333" s="159"/>
      <c r="E6333" s="238"/>
      <c r="F6333" s="236" t="s">
        <v>1698</v>
      </c>
      <c r="G6333" s="318">
        <f>SUM(G6328:G6332)</f>
        <v>6067.2</v>
      </c>
    </row>
    <row r="6334" spans="1:7">
      <c r="A6334" s="847"/>
      <c r="B6334" s="359" t="s">
        <v>5948</v>
      </c>
      <c r="C6334" s="355"/>
      <c r="D6334" s="31"/>
      <c r="E6334" s="85">
        <f>ROUND(G6333/F6310,1)</f>
        <v>60.7</v>
      </c>
    </row>
    <row r="6335" spans="1:7">
      <c r="A6335" s="847"/>
      <c r="B6335" s="359" t="s">
        <v>3163</v>
      </c>
      <c r="C6335" s="355"/>
      <c r="D6335" s="922">
        <f>'BASIC DATA'!$C$577</f>
        <v>0.13614999999999999</v>
      </c>
      <c r="E6335" s="85">
        <f>ROUND(E6334*D6335,1)</f>
        <v>8.3000000000000007</v>
      </c>
    </row>
    <row r="6336" spans="1:7">
      <c r="A6336" s="847"/>
      <c r="B6336" s="359" t="s">
        <v>5949</v>
      </c>
      <c r="C6336" s="355"/>
      <c r="D6336" s="31"/>
      <c r="E6336" s="199">
        <f>ROUND(E6335+E6334,1)</f>
        <v>69</v>
      </c>
    </row>
    <row r="6337" spans="1:7">
      <c r="A6337" s="847"/>
      <c r="B6337" s="78"/>
      <c r="C6337" s="48"/>
    </row>
    <row r="6338" spans="1:7">
      <c r="A6338" s="847"/>
      <c r="B6338" s="162" t="s">
        <v>1175</v>
      </c>
      <c r="C6338" s="48"/>
    </row>
    <row r="6339" spans="1:7">
      <c r="A6339" s="847"/>
      <c r="B6339" s="47" t="s">
        <v>1176</v>
      </c>
      <c r="C6339" s="48"/>
      <c r="F6339" s="171" t="s">
        <v>1698</v>
      </c>
      <c r="G6339" s="68">
        <f>G6316</f>
        <v>1366.5</v>
      </c>
    </row>
    <row r="6340" spans="1:7">
      <c r="A6340" s="847"/>
      <c r="B6340" s="47" t="s">
        <v>1186</v>
      </c>
      <c r="C6340" s="48"/>
      <c r="F6340" s="171" t="s">
        <v>1698</v>
      </c>
      <c r="G6340" s="68">
        <f>G6323</f>
        <v>179</v>
      </c>
    </row>
    <row r="6341" spans="1:7">
      <c r="A6341" s="847"/>
      <c r="B6341" s="47" t="s">
        <v>2660</v>
      </c>
      <c r="C6341" s="48"/>
      <c r="F6341" s="171" t="s">
        <v>1698</v>
      </c>
      <c r="G6341" s="75">
        <f>G6333</f>
        <v>6067.2</v>
      </c>
    </row>
    <row r="6342" spans="1:7">
      <c r="A6342" s="847"/>
      <c r="B6342" s="78"/>
      <c r="C6342" s="48"/>
      <c r="F6342" s="171" t="s">
        <v>302</v>
      </c>
      <c r="G6342" s="205">
        <f>SUM(G6339:G6341)</f>
        <v>7612.7</v>
      </c>
    </row>
    <row r="6343" spans="1:7" ht="39" customHeight="1">
      <c r="A6343" s="847"/>
      <c r="B6343" s="1207" t="s">
        <v>1379</v>
      </c>
      <c r="C6343" s="1207"/>
      <c r="D6343" s="1207"/>
      <c r="E6343" s="922">
        <f>'BASIC DATA'!$C$577</f>
        <v>0.13614999999999999</v>
      </c>
      <c r="F6343" s="171" t="s">
        <v>1698</v>
      </c>
      <c r="G6343" s="31">
        <f>ROUND(G6342*E6343,2)</f>
        <v>1036.47</v>
      </c>
    </row>
    <row r="6344" spans="1:7">
      <c r="A6344" s="847"/>
      <c r="B6344" s="47" t="s">
        <v>1191</v>
      </c>
      <c r="C6344" s="48"/>
      <c r="D6344" s="68">
        <f>F6310</f>
        <v>100</v>
      </c>
      <c r="E6344" s="68" t="str">
        <f>G6310</f>
        <v>sqm</v>
      </c>
      <c r="F6344" s="171" t="s">
        <v>1698</v>
      </c>
      <c r="G6344" s="211">
        <f>G6343+G6342</f>
        <v>8649.17</v>
      </c>
    </row>
    <row r="6345" spans="1:7">
      <c r="A6345" s="847"/>
      <c r="B6345" s="79" t="s">
        <v>1584</v>
      </c>
      <c r="C6345" s="404" t="str">
        <f>E6344</f>
        <v>sqm</v>
      </c>
      <c r="D6345" s="26" t="s">
        <v>5882</v>
      </c>
      <c r="F6345" s="171" t="s">
        <v>4108</v>
      </c>
      <c r="G6345" s="211">
        <f>ROUND(G6344/D6344,1)</f>
        <v>86.5</v>
      </c>
    </row>
    <row r="6346" spans="1:7">
      <c r="A6346" s="847"/>
      <c r="B6346" s="78"/>
      <c r="C6346" s="48"/>
    </row>
    <row r="6347" spans="1:7">
      <c r="A6347" s="847"/>
      <c r="B6347" s="78"/>
      <c r="C6347" s="48"/>
    </row>
    <row r="6348" spans="1:7" ht="36">
      <c r="A6348" s="841" t="s">
        <v>7495</v>
      </c>
      <c r="B6348" s="47" t="s">
        <v>8829</v>
      </c>
      <c r="C6348" s="48"/>
    </row>
    <row r="6349" spans="1:7">
      <c r="A6349" s="889"/>
      <c r="B6349" s="47" t="s">
        <v>2260</v>
      </c>
      <c r="C6349" s="48"/>
    </row>
    <row r="6350" spans="1:7" ht="18.75">
      <c r="A6350" s="889"/>
      <c r="B6350" s="47" t="s">
        <v>8830</v>
      </c>
      <c r="C6350" s="48"/>
    </row>
    <row r="6351" spans="1:7">
      <c r="A6351" s="895"/>
      <c r="B6351" s="162" t="s">
        <v>4735</v>
      </c>
      <c r="C6351" s="48"/>
    </row>
    <row r="6352" spans="1:7">
      <c r="C6352" s="48"/>
    </row>
    <row r="6353" spans="1:8" hidden="1">
      <c r="A6353" s="889" t="s">
        <v>3984</v>
      </c>
      <c r="B6353" s="47" t="s">
        <v>2261</v>
      </c>
      <c r="C6353" s="48"/>
    </row>
    <row r="6354" spans="1:8" hidden="1">
      <c r="A6354" s="889"/>
      <c r="B6354" s="47" t="s">
        <v>2305</v>
      </c>
      <c r="C6354" s="48"/>
      <c r="F6354" s="78" t="s">
        <v>1697</v>
      </c>
      <c r="G6354" s="68">
        <v>0.12</v>
      </c>
      <c r="H6354" s="26" t="s">
        <v>6901</v>
      </c>
    </row>
    <row r="6355" spans="1:8" hidden="1">
      <c r="A6355" s="889"/>
      <c r="B6355" s="47" t="s">
        <v>6669</v>
      </c>
      <c r="C6355" s="48"/>
      <c r="F6355" s="78" t="s">
        <v>1697</v>
      </c>
      <c r="G6355" s="26">
        <v>58</v>
      </c>
      <c r="H6355" s="26" t="s">
        <v>3478</v>
      </c>
    </row>
    <row r="6356" spans="1:8" hidden="1">
      <c r="A6356" s="889"/>
      <c r="B6356" s="47" t="s">
        <v>2791</v>
      </c>
      <c r="C6356" s="48"/>
      <c r="F6356" s="78" t="s">
        <v>1697</v>
      </c>
      <c r="G6356" s="26">
        <v>0.12</v>
      </c>
      <c r="H6356" s="26" t="s">
        <v>6901</v>
      </c>
    </row>
    <row r="6357" spans="1:8" hidden="1">
      <c r="A6357" s="889"/>
      <c r="B6357" s="47" t="s">
        <v>2262</v>
      </c>
      <c r="C6357" s="48"/>
      <c r="F6357" s="78"/>
    </row>
    <row r="6358" spans="1:8" hidden="1">
      <c r="A6358" s="889"/>
      <c r="B6358" s="47" t="s">
        <v>2263</v>
      </c>
      <c r="C6358" s="48"/>
      <c r="F6358" s="78" t="s">
        <v>1697</v>
      </c>
      <c r="G6358" s="26">
        <v>2</v>
      </c>
      <c r="H6358" s="26" t="s">
        <v>3032</v>
      </c>
    </row>
    <row r="6359" spans="1:8" hidden="1">
      <c r="A6359" s="889"/>
      <c r="B6359" s="47" t="s">
        <v>2264</v>
      </c>
      <c r="C6359" s="48"/>
      <c r="F6359" s="78" t="s">
        <v>1697</v>
      </c>
      <c r="G6359" s="26">
        <v>1</v>
      </c>
      <c r="H6359" s="26" t="s">
        <v>3035</v>
      </c>
    </row>
    <row r="6360" spans="1:8" hidden="1">
      <c r="A6360" s="889"/>
      <c r="B6360" s="47" t="s">
        <v>4233</v>
      </c>
      <c r="C6360" s="48"/>
      <c r="F6360" s="78" t="s">
        <v>1697</v>
      </c>
      <c r="G6360" s="26">
        <v>1</v>
      </c>
      <c r="H6360" s="26" t="s">
        <v>3035</v>
      </c>
    </row>
    <row r="6361" spans="1:8" hidden="1">
      <c r="A6361" s="889"/>
      <c r="B6361" s="47" t="s">
        <v>4234</v>
      </c>
      <c r="C6361" s="48"/>
      <c r="F6361" s="78" t="s">
        <v>1697</v>
      </c>
      <c r="G6361" s="26">
        <v>2</v>
      </c>
      <c r="H6361" s="26" t="s">
        <v>3032</v>
      </c>
    </row>
    <row r="6362" spans="1:8" hidden="1">
      <c r="A6362" s="889"/>
      <c r="B6362" s="47" t="s">
        <v>642</v>
      </c>
      <c r="C6362" s="48"/>
      <c r="F6362" s="78" t="s">
        <v>1697</v>
      </c>
      <c r="G6362" s="26">
        <v>1</v>
      </c>
      <c r="H6362" s="26" t="s">
        <v>3035</v>
      </c>
    </row>
    <row r="6363" spans="1:8" hidden="1">
      <c r="A6363" s="889"/>
      <c r="B6363" s="47" t="s">
        <v>3946</v>
      </c>
      <c r="C6363" s="48"/>
      <c r="F6363" s="78" t="s">
        <v>1697</v>
      </c>
      <c r="G6363" s="26">
        <v>1</v>
      </c>
      <c r="H6363" s="26" t="s">
        <v>3035</v>
      </c>
    </row>
    <row r="6364" spans="1:8" hidden="1">
      <c r="A6364" s="889"/>
      <c r="B6364" s="47" t="s">
        <v>2307</v>
      </c>
      <c r="C6364" s="48"/>
      <c r="F6364" s="78" t="s">
        <v>1697</v>
      </c>
      <c r="G6364" s="26">
        <v>1</v>
      </c>
      <c r="H6364" s="26" t="s">
        <v>3035</v>
      </c>
    </row>
    <row r="6365" spans="1:8" hidden="1">
      <c r="A6365" s="889"/>
      <c r="B6365" s="47" t="s">
        <v>3945</v>
      </c>
      <c r="C6365" s="48"/>
      <c r="F6365" s="78" t="s">
        <v>1697</v>
      </c>
      <c r="G6365" s="26">
        <v>1</v>
      </c>
      <c r="H6365" s="26" t="s">
        <v>3035</v>
      </c>
    </row>
    <row r="6366" spans="1:8" hidden="1">
      <c r="A6366" s="847"/>
      <c r="B6366" s="78"/>
      <c r="C6366" s="48"/>
    </row>
    <row r="6367" spans="1:8">
      <c r="A6367" s="847"/>
      <c r="B6367" s="78"/>
      <c r="C6367" s="48"/>
    </row>
    <row r="6368" spans="1:8">
      <c r="A6368" s="889" t="s">
        <v>3984</v>
      </c>
      <c r="B6368" s="78"/>
      <c r="C6368" s="349" t="s">
        <v>2367</v>
      </c>
      <c r="E6368" s="171" t="s">
        <v>297</v>
      </c>
      <c r="F6368" s="246">
        <v>100</v>
      </c>
      <c r="G6368" s="26" t="s">
        <v>3483</v>
      </c>
    </row>
    <row r="6369" spans="1:9">
      <c r="A6369" s="847"/>
      <c r="B6369" s="79" t="s">
        <v>2368</v>
      </c>
      <c r="C6369" s="48"/>
    </row>
    <row r="6370" spans="1:9">
      <c r="A6370" s="847"/>
      <c r="B6370" s="95" t="s">
        <v>2369</v>
      </c>
      <c r="C6370" s="350" t="s">
        <v>6374</v>
      </c>
      <c r="D6370" s="95" t="s">
        <v>2370</v>
      </c>
      <c r="E6370" s="95" t="s">
        <v>1166</v>
      </c>
      <c r="F6370" s="95" t="s">
        <v>2371</v>
      </c>
      <c r="G6370" s="95" t="s">
        <v>2372</v>
      </c>
    </row>
    <row r="6371" spans="1:9">
      <c r="A6371" s="847"/>
      <c r="B6371" s="114"/>
      <c r="C6371" s="351"/>
      <c r="D6371" s="114"/>
      <c r="E6371" s="114"/>
      <c r="F6371" s="114" t="s">
        <v>3485</v>
      </c>
      <c r="G6371" s="114" t="s">
        <v>3485</v>
      </c>
    </row>
    <row r="6372" spans="1:9">
      <c r="A6372" s="847"/>
      <c r="B6372" s="95">
        <v>1</v>
      </c>
      <c r="C6372" s="86" t="s">
        <v>7327</v>
      </c>
      <c r="D6372" s="95" t="s">
        <v>3478</v>
      </c>
      <c r="E6372" s="220">
        <f>G6355</f>
        <v>58</v>
      </c>
      <c r="F6372" s="68">
        <f>'BASIC DATA'!$D$32/1000</f>
        <v>5.35</v>
      </c>
      <c r="G6372" s="214">
        <f>E6372*F6372</f>
        <v>310.29999999999995</v>
      </c>
    </row>
    <row r="6373" spans="1:9">
      <c r="A6373" s="848"/>
      <c r="B6373" s="237">
        <v>2</v>
      </c>
      <c r="C6373" s="413" t="s">
        <v>4982</v>
      </c>
      <c r="D6373" s="237" t="s">
        <v>3477</v>
      </c>
      <c r="E6373" s="256">
        <f>G6356</f>
        <v>0.12</v>
      </c>
      <c r="F6373" s="266">
        <f>'BASIC DATA'!$D$57</f>
        <v>165</v>
      </c>
      <c r="G6373" s="266">
        <f>E6373*F6373</f>
        <v>19.8</v>
      </c>
      <c r="H6373" s="61"/>
      <c r="I6373" s="61"/>
    </row>
    <row r="6374" spans="1:9">
      <c r="A6374" s="847"/>
      <c r="B6374" s="92"/>
      <c r="C6374" s="353" t="s">
        <v>2376</v>
      </c>
      <c r="D6374" s="159"/>
      <c r="E6374" s="238"/>
      <c r="F6374" s="236" t="s">
        <v>1698</v>
      </c>
      <c r="G6374" s="318">
        <f>SUM(G6372:G6373)</f>
        <v>330.09999999999997</v>
      </c>
    </row>
    <row r="6375" spans="1:9">
      <c r="A6375" s="847"/>
      <c r="B6375" s="78"/>
      <c r="C6375" s="48"/>
    </row>
    <row r="6376" spans="1:9">
      <c r="A6376" s="847"/>
      <c r="B6376" s="79" t="s">
        <v>2377</v>
      </c>
      <c r="C6376" s="48"/>
    </row>
    <row r="6377" spans="1:9">
      <c r="A6377" s="847"/>
      <c r="B6377" s="95" t="s">
        <v>2369</v>
      </c>
      <c r="C6377" s="350" t="s">
        <v>2378</v>
      </c>
      <c r="D6377" s="95" t="s">
        <v>2370</v>
      </c>
      <c r="E6377" s="95" t="s">
        <v>1166</v>
      </c>
      <c r="F6377" s="95" t="s">
        <v>2371</v>
      </c>
      <c r="G6377" s="95" t="s">
        <v>2372</v>
      </c>
    </row>
    <row r="6378" spans="1:9">
      <c r="A6378" s="847"/>
      <c r="B6378" s="114"/>
      <c r="C6378" s="351"/>
      <c r="D6378" s="114"/>
      <c r="E6378" s="114"/>
      <c r="F6378" s="114" t="s">
        <v>3485</v>
      </c>
      <c r="G6378" s="114" t="s">
        <v>3485</v>
      </c>
    </row>
    <row r="6379" spans="1:9">
      <c r="A6379" s="847"/>
      <c r="B6379" s="95">
        <v>1</v>
      </c>
      <c r="C6379" s="86" t="s">
        <v>189</v>
      </c>
      <c r="D6379" s="95" t="s">
        <v>2374</v>
      </c>
      <c r="E6379" s="220">
        <v>1</v>
      </c>
      <c r="F6379" s="214">
        <f>'HIRE CHARGES'!$D$517</f>
        <v>10.199999999999999</v>
      </c>
      <c r="G6379" s="214">
        <f>E6379*F6379</f>
        <v>10.199999999999999</v>
      </c>
    </row>
    <row r="6380" spans="1:9">
      <c r="A6380" s="847"/>
      <c r="B6380" s="116"/>
      <c r="C6380" s="86" t="s">
        <v>2379</v>
      </c>
      <c r="D6380" s="114" t="s">
        <v>2374</v>
      </c>
      <c r="E6380" s="220">
        <v>1</v>
      </c>
      <c r="F6380" s="214">
        <f>'HIRE CHARGES'!$E$517</f>
        <v>79.3</v>
      </c>
      <c r="G6380" s="214">
        <f>E6380*F6380</f>
        <v>79.3</v>
      </c>
    </row>
    <row r="6381" spans="1:9">
      <c r="A6381" s="847"/>
      <c r="B6381" s="176"/>
      <c r="C6381" s="357" t="s">
        <v>2380</v>
      </c>
      <c r="D6381" s="174"/>
      <c r="E6381" s="192"/>
      <c r="F6381" s="236" t="s">
        <v>1698</v>
      </c>
      <c r="G6381" s="354">
        <f>SUM(G6379:G6380)</f>
        <v>89.5</v>
      </c>
    </row>
    <row r="6382" spans="1:9">
      <c r="A6382" s="847"/>
      <c r="B6382" s="78"/>
      <c r="C6382" s="48"/>
    </row>
    <row r="6383" spans="1:9">
      <c r="A6383" s="847"/>
      <c r="B6383" s="79" t="s">
        <v>2381</v>
      </c>
      <c r="C6383" s="48"/>
    </row>
    <row r="6384" spans="1:9">
      <c r="A6384" s="847"/>
      <c r="B6384" s="95" t="s">
        <v>2369</v>
      </c>
      <c r="C6384" s="350" t="s">
        <v>2378</v>
      </c>
      <c r="D6384" s="95" t="s">
        <v>2370</v>
      </c>
      <c r="E6384" s="95" t="s">
        <v>1166</v>
      </c>
      <c r="F6384" s="95" t="s">
        <v>2371</v>
      </c>
      <c r="G6384" s="95" t="s">
        <v>2372</v>
      </c>
    </row>
    <row r="6385" spans="1:7">
      <c r="A6385" s="847"/>
      <c r="B6385" s="114"/>
      <c r="C6385" s="351"/>
      <c r="D6385" s="105"/>
      <c r="E6385" s="114"/>
      <c r="F6385" s="114" t="s">
        <v>3485</v>
      </c>
      <c r="G6385" s="114" t="s">
        <v>3485</v>
      </c>
    </row>
    <row r="6386" spans="1:7">
      <c r="A6386" s="847"/>
      <c r="B6386" s="105">
        <v>1</v>
      </c>
      <c r="C6386" s="86" t="s">
        <v>190</v>
      </c>
      <c r="D6386" s="95" t="s">
        <v>2374</v>
      </c>
      <c r="E6386" s="207">
        <v>1</v>
      </c>
      <c r="F6386" s="214">
        <f>'HIRE CHARGES'!$F$517</f>
        <v>111.1</v>
      </c>
      <c r="G6386" s="214">
        <f t="shared" ref="G6386:G6391" si="93">E6386*F6386</f>
        <v>111.1</v>
      </c>
    </row>
    <row r="6387" spans="1:7">
      <c r="A6387" s="847"/>
      <c r="B6387" s="105">
        <v>2</v>
      </c>
      <c r="C6387" s="86" t="s">
        <v>4206</v>
      </c>
      <c r="D6387" s="105" t="s">
        <v>1172</v>
      </c>
      <c r="E6387" s="207">
        <v>1</v>
      </c>
      <c r="F6387" s="190">
        <f>'BASIC DATA'!$C$473</f>
        <v>450</v>
      </c>
      <c r="G6387" s="214">
        <f t="shared" si="93"/>
        <v>450</v>
      </c>
    </row>
    <row r="6388" spans="1:7">
      <c r="A6388" s="847"/>
      <c r="B6388" s="105">
        <v>3</v>
      </c>
      <c r="C6388" s="86" t="s">
        <v>5606</v>
      </c>
      <c r="D6388" s="105" t="s">
        <v>1172</v>
      </c>
      <c r="E6388" s="207">
        <v>2</v>
      </c>
      <c r="F6388" s="190">
        <f>'BASIC DATA'!$C$474</f>
        <v>445</v>
      </c>
      <c r="G6388" s="214">
        <f t="shared" si="93"/>
        <v>890</v>
      </c>
    </row>
    <row r="6389" spans="1:7">
      <c r="A6389" s="847"/>
      <c r="B6389" s="105">
        <v>4</v>
      </c>
      <c r="C6389" s="86" t="s">
        <v>5607</v>
      </c>
      <c r="D6389" s="105" t="s">
        <v>1172</v>
      </c>
      <c r="E6389" s="207">
        <v>1</v>
      </c>
      <c r="F6389" s="190">
        <f>'BASIC DATA'!$C$541</f>
        <v>400</v>
      </c>
      <c r="G6389" s="214">
        <f t="shared" si="93"/>
        <v>400</v>
      </c>
    </row>
    <row r="6390" spans="1:7">
      <c r="A6390" s="847"/>
      <c r="B6390" s="105">
        <v>5</v>
      </c>
      <c r="C6390" s="86" t="s">
        <v>2697</v>
      </c>
      <c r="D6390" s="105" t="s">
        <v>1172</v>
      </c>
      <c r="E6390" s="207">
        <v>5</v>
      </c>
      <c r="F6390" s="190">
        <f>'BASIC DATA'!$C$552</f>
        <v>350</v>
      </c>
      <c r="G6390" s="214">
        <f t="shared" si="93"/>
        <v>1750</v>
      </c>
    </row>
    <row r="6391" spans="1:7" ht="36">
      <c r="A6391" s="847"/>
      <c r="B6391" s="105">
        <v>6</v>
      </c>
      <c r="C6391" s="86" t="s">
        <v>7658</v>
      </c>
      <c r="D6391" s="105" t="s">
        <v>1172</v>
      </c>
      <c r="E6391" s="207">
        <v>1</v>
      </c>
      <c r="F6391" s="190">
        <f>'BASIC DATA'!$C$511</f>
        <v>465</v>
      </c>
      <c r="G6391" s="214">
        <f t="shared" si="93"/>
        <v>465</v>
      </c>
    </row>
    <row r="6392" spans="1:7">
      <c r="A6392" s="847"/>
      <c r="B6392" s="92"/>
      <c r="C6392" s="353" t="s">
        <v>1174</v>
      </c>
      <c r="D6392" s="159"/>
      <c r="E6392" s="238"/>
      <c r="F6392" s="236" t="s">
        <v>1698</v>
      </c>
      <c r="G6392" s="318">
        <f>SUM(G6386:G6391)</f>
        <v>4066.1</v>
      </c>
    </row>
    <row r="6393" spans="1:7">
      <c r="A6393" s="847"/>
      <c r="B6393" s="359" t="s">
        <v>5948</v>
      </c>
      <c r="C6393" s="355"/>
      <c r="D6393" s="31"/>
      <c r="E6393" s="85">
        <f>ROUND(G6392/F6368,1)</f>
        <v>40.700000000000003</v>
      </c>
    </row>
    <row r="6394" spans="1:7">
      <c r="A6394" s="847"/>
      <c r="B6394" s="359" t="s">
        <v>3163</v>
      </c>
      <c r="C6394" s="355"/>
      <c r="D6394" s="922">
        <f>'BASIC DATA'!$C$577</f>
        <v>0.13614999999999999</v>
      </c>
      <c r="E6394" s="85">
        <f>ROUND(E6393*D6394,1)</f>
        <v>5.5</v>
      </c>
    </row>
    <row r="6395" spans="1:7">
      <c r="A6395" s="847"/>
      <c r="B6395" s="359" t="s">
        <v>5949</v>
      </c>
      <c r="C6395" s="355"/>
      <c r="D6395" s="31"/>
      <c r="E6395" s="199">
        <f>ROUND(E6394+E6393,1)</f>
        <v>46.2</v>
      </c>
    </row>
    <row r="6396" spans="1:7">
      <c r="A6396" s="847"/>
      <c r="B6396" s="78"/>
      <c r="C6396" s="48"/>
    </row>
    <row r="6397" spans="1:7">
      <c r="A6397" s="847"/>
      <c r="B6397" s="162" t="s">
        <v>1175</v>
      </c>
      <c r="C6397" s="48"/>
    </row>
    <row r="6398" spans="1:7">
      <c r="A6398" s="847"/>
      <c r="B6398" s="47" t="s">
        <v>1176</v>
      </c>
      <c r="C6398" s="48"/>
      <c r="F6398" s="171" t="s">
        <v>1698</v>
      </c>
      <c r="G6398" s="68">
        <f>G6374</f>
        <v>330.09999999999997</v>
      </c>
    </row>
    <row r="6399" spans="1:7">
      <c r="A6399" s="847"/>
      <c r="B6399" s="47" t="s">
        <v>1186</v>
      </c>
      <c r="C6399" s="48"/>
      <c r="F6399" s="171" t="s">
        <v>1698</v>
      </c>
      <c r="G6399" s="68">
        <f>G6381</f>
        <v>89.5</v>
      </c>
    </row>
    <row r="6400" spans="1:7">
      <c r="A6400" s="847"/>
      <c r="B6400" s="47" t="s">
        <v>2660</v>
      </c>
      <c r="C6400" s="48"/>
      <c r="F6400" s="171" t="s">
        <v>1698</v>
      </c>
      <c r="G6400" s="75">
        <f>G6392</f>
        <v>4066.1</v>
      </c>
    </row>
    <row r="6401" spans="1:7">
      <c r="A6401" s="847"/>
      <c r="B6401" s="78"/>
      <c r="C6401" s="48"/>
      <c r="F6401" s="171" t="s">
        <v>302</v>
      </c>
      <c r="G6401" s="205">
        <f>SUM(G6398:G6400)</f>
        <v>4485.7</v>
      </c>
    </row>
    <row r="6402" spans="1:7" ht="39" customHeight="1">
      <c r="A6402" s="847"/>
      <c r="B6402" s="1207" t="s">
        <v>1379</v>
      </c>
      <c r="C6402" s="1207"/>
      <c r="D6402" s="1207"/>
      <c r="E6402" s="922">
        <f>'BASIC DATA'!$C$577</f>
        <v>0.13614999999999999</v>
      </c>
      <c r="F6402" s="171" t="s">
        <v>1698</v>
      </c>
      <c r="G6402" s="31">
        <f>ROUND(G6401*E6402,2)</f>
        <v>610.73</v>
      </c>
    </row>
    <row r="6403" spans="1:7">
      <c r="A6403" s="847"/>
      <c r="B6403" s="47" t="s">
        <v>1191</v>
      </c>
      <c r="C6403" s="48"/>
      <c r="D6403" s="68">
        <f>F6368</f>
        <v>100</v>
      </c>
      <c r="E6403" s="68" t="str">
        <f>G6368</f>
        <v>Rm</v>
      </c>
      <c r="F6403" s="171" t="s">
        <v>1698</v>
      </c>
      <c r="G6403" s="211">
        <f>G6402+G6401</f>
        <v>5096.43</v>
      </c>
    </row>
    <row r="6404" spans="1:7">
      <c r="A6404" s="847"/>
      <c r="B6404" s="79" t="s">
        <v>1584</v>
      </c>
      <c r="C6404" s="404" t="str">
        <f>E6403</f>
        <v>Rm</v>
      </c>
      <c r="D6404" s="26" t="s">
        <v>5882</v>
      </c>
      <c r="F6404" s="171" t="s">
        <v>4108</v>
      </c>
      <c r="G6404" s="211">
        <f>ROUND(G6403/D6403,1)</f>
        <v>51</v>
      </c>
    </row>
    <row r="6405" spans="1:7">
      <c r="A6405" s="847"/>
      <c r="B6405" s="78"/>
      <c r="C6405" s="48"/>
      <c r="F6405" s="171"/>
      <c r="G6405" s="68"/>
    </row>
    <row r="6406" spans="1:7">
      <c r="A6406" s="847"/>
      <c r="B6406" s="78"/>
      <c r="C6406" s="48"/>
    </row>
    <row r="6407" spans="1:7" ht="36.75">
      <c r="A6407" s="841" t="s">
        <v>7496</v>
      </c>
      <c r="B6407" s="47" t="s">
        <v>8831</v>
      </c>
      <c r="C6407" s="48"/>
    </row>
    <row r="6408" spans="1:7">
      <c r="A6408" s="889"/>
      <c r="B6408" s="162" t="s">
        <v>2265</v>
      </c>
      <c r="C6408" s="48"/>
    </row>
    <row r="6409" spans="1:7">
      <c r="A6409" s="889"/>
      <c r="C6409" s="48"/>
    </row>
    <row r="6410" spans="1:7" hidden="1">
      <c r="A6410" s="889" t="s">
        <v>3984</v>
      </c>
      <c r="B6410" s="47" t="s">
        <v>2266</v>
      </c>
      <c r="C6410" s="48"/>
      <c r="F6410" s="78" t="s">
        <v>1697</v>
      </c>
      <c r="G6410" s="26" t="s">
        <v>1130</v>
      </c>
    </row>
    <row r="6411" spans="1:7" hidden="1">
      <c r="A6411" s="847"/>
      <c r="B6411" s="47" t="s">
        <v>4318</v>
      </c>
      <c r="C6411" s="48"/>
    </row>
    <row r="6412" spans="1:7">
      <c r="A6412" s="847"/>
      <c r="B6412" s="78"/>
      <c r="C6412" s="48"/>
    </row>
    <row r="6413" spans="1:7">
      <c r="A6413" s="847" t="s">
        <v>3984</v>
      </c>
      <c r="B6413" s="78"/>
      <c r="C6413" s="349" t="s">
        <v>2367</v>
      </c>
      <c r="E6413" s="171" t="s">
        <v>297</v>
      </c>
      <c r="F6413" s="409">
        <v>7</v>
      </c>
      <c r="G6413" s="26" t="s">
        <v>4041</v>
      </c>
    </row>
    <row r="6414" spans="1:7">
      <c r="A6414" s="847"/>
      <c r="B6414" s="79" t="s">
        <v>2368</v>
      </c>
      <c r="C6414" s="48"/>
    </row>
    <row r="6415" spans="1:7">
      <c r="A6415" s="847"/>
      <c r="B6415" s="95" t="s">
        <v>2369</v>
      </c>
      <c r="C6415" s="350" t="s">
        <v>6374</v>
      </c>
      <c r="D6415" s="95" t="s">
        <v>2370</v>
      </c>
      <c r="E6415" s="95" t="s">
        <v>1166</v>
      </c>
      <c r="F6415" s="95" t="s">
        <v>2371</v>
      </c>
      <c r="G6415" s="95" t="s">
        <v>2372</v>
      </c>
    </row>
    <row r="6416" spans="1:7">
      <c r="A6416" s="847"/>
      <c r="B6416" s="114"/>
      <c r="C6416" s="351"/>
      <c r="D6416" s="114"/>
      <c r="E6416" s="114"/>
      <c r="F6416" s="114" t="s">
        <v>3485</v>
      </c>
      <c r="G6416" s="114" t="s">
        <v>3485</v>
      </c>
    </row>
    <row r="6417" spans="1:7">
      <c r="A6417" s="847"/>
      <c r="B6417" s="95">
        <v>1</v>
      </c>
      <c r="C6417" s="103" t="s">
        <v>1130</v>
      </c>
      <c r="D6417" s="95"/>
      <c r="E6417" s="220">
        <v>0</v>
      </c>
      <c r="F6417" s="214">
        <v>0</v>
      </c>
      <c r="G6417" s="214"/>
    </row>
    <row r="6418" spans="1:7">
      <c r="A6418" s="847"/>
      <c r="B6418" s="116"/>
      <c r="C6418" s="355"/>
      <c r="D6418" s="114"/>
      <c r="E6418" s="220">
        <v>0</v>
      </c>
      <c r="F6418" s="214">
        <v>0</v>
      </c>
      <c r="G6418" s="214"/>
    </row>
    <row r="6419" spans="1:7">
      <c r="A6419" s="847"/>
      <c r="B6419" s="92"/>
      <c r="C6419" s="353" t="s">
        <v>2376</v>
      </c>
      <c r="D6419" s="159"/>
      <c r="E6419" s="238"/>
      <c r="F6419" s="236" t="s">
        <v>1698</v>
      </c>
      <c r="G6419" s="318">
        <f>SUM(G6417:G6418)</f>
        <v>0</v>
      </c>
    </row>
    <row r="6420" spans="1:7">
      <c r="A6420" s="847"/>
      <c r="B6420" s="78"/>
      <c r="C6420" s="48"/>
    </row>
    <row r="6421" spans="1:7">
      <c r="A6421" s="847"/>
      <c r="B6421" s="79" t="s">
        <v>2377</v>
      </c>
      <c r="C6421" s="48"/>
    </row>
    <row r="6422" spans="1:7">
      <c r="A6422" s="847"/>
      <c r="B6422" s="95" t="s">
        <v>2369</v>
      </c>
      <c r="C6422" s="350" t="s">
        <v>2378</v>
      </c>
      <c r="D6422" s="95" t="s">
        <v>2370</v>
      </c>
      <c r="E6422" s="95" t="s">
        <v>1166</v>
      </c>
      <c r="F6422" s="95" t="s">
        <v>2371</v>
      </c>
      <c r="G6422" s="95" t="s">
        <v>2372</v>
      </c>
    </row>
    <row r="6423" spans="1:7">
      <c r="A6423" s="847"/>
      <c r="B6423" s="114"/>
      <c r="C6423" s="351"/>
      <c r="D6423" s="114"/>
      <c r="E6423" s="114"/>
      <c r="F6423" s="114" t="s">
        <v>3485</v>
      </c>
      <c r="G6423" s="114" t="s">
        <v>3485</v>
      </c>
    </row>
    <row r="6424" spans="1:7">
      <c r="A6424" s="847"/>
      <c r="B6424" s="95">
        <v>1</v>
      </c>
      <c r="C6424" s="103" t="s">
        <v>1130</v>
      </c>
      <c r="D6424" s="95"/>
      <c r="E6424" s="220">
        <v>0</v>
      </c>
      <c r="F6424" s="214">
        <v>0</v>
      </c>
      <c r="G6424" s="214"/>
    </row>
    <row r="6425" spans="1:7">
      <c r="A6425" s="847"/>
      <c r="B6425" s="116"/>
      <c r="C6425" s="355"/>
      <c r="D6425" s="114"/>
      <c r="E6425" s="220">
        <v>0</v>
      </c>
      <c r="F6425" s="214">
        <v>0</v>
      </c>
      <c r="G6425" s="214"/>
    </row>
    <row r="6426" spans="1:7">
      <c r="A6426" s="847"/>
      <c r="B6426" s="176"/>
      <c r="C6426" s="357" t="s">
        <v>2380</v>
      </c>
      <c r="D6426" s="174"/>
      <c r="E6426" s="192"/>
      <c r="F6426" s="236" t="s">
        <v>1698</v>
      </c>
      <c r="G6426" s="318">
        <f>SUM(G6424:G6425)</f>
        <v>0</v>
      </c>
    </row>
    <row r="6427" spans="1:7">
      <c r="A6427" s="847"/>
      <c r="B6427" s="78"/>
      <c r="C6427" s="48"/>
    </row>
    <row r="6428" spans="1:7">
      <c r="A6428" s="847"/>
      <c r="B6428" s="79" t="s">
        <v>2381</v>
      </c>
      <c r="C6428" s="48"/>
    </row>
    <row r="6429" spans="1:7">
      <c r="A6429" s="847"/>
      <c r="B6429" s="95" t="s">
        <v>2369</v>
      </c>
      <c r="C6429" s="350" t="s">
        <v>2378</v>
      </c>
      <c r="D6429" s="95" t="s">
        <v>2370</v>
      </c>
      <c r="E6429" s="95" t="s">
        <v>1166</v>
      </c>
      <c r="F6429" s="95" t="s">
        <v>2371</v>
      </c>
      <c r="G6429" s="95" t="s">
        <v>2372</v>
      </c>
    </row>
    <row r="6430" spans="1:7">
      <c r="A6430" s="847"/>
      <c r="B6430" s="114"/>
      <c r="C6430" s="351"/>
      <c r="D6430" s="105"/>
      <c r="E6430" s="114"/>
      <c r="F6430" s="114" t="s">
        <v>3485</v>
      </c>
      <c r="G6430" s="114" t="s">
        <v>3485</v>
      </c>
    </row>
    <row r="6431" spans="1:7">
      <c r="A6431" s="847"/>
      <c r="B6431" s="105">
        <v>1</v>
      </c>
      <c r="C6431" s="86" t="s">
        <v>4206</v>
      </c>
      <c r="D6431" s="95" t="s">
        <v>1172</v>
      </c>
      <c r="E6431" s="207">
        <v>1</v>
      </c>
      <c r="F6431" s="190">
        <f>'BASIC DATA'!$C$473</f>
        <v>450</v>
      </c>
      <c r="G6431" s="214">
        <f>E6431*F6431</f>
        <v>450</v>
      </c>
    </row>
    <row r="6432" spans="1:7">
      <c r="A6432" s="847"/>
      <c r="B6432" s="105">
        <v>2</v>
      </c>
      <c r="C6432" s="86" t="s">
        <v>4203</v>
      </c>
      <c r="D6432" s="105" t="s">
        <v>1172</v>
      </c>
      <c r="E6432" s="207">
        <v>1</v>
      </c>
      <c r="F6432" s="190">
        <f>'BASIC DATA'!$C$541</f>
        <v>400</v>
      </c>
      <c r="G6432" s="214">
        <f>E6432*F6432</f>
        <v>400</v>
      </c>
    </row>
    <row r="6433" spans="1:7">
      <c r="A6433" s="847"/>
      <c r="B6433" s="105">
        <v>3</v>
      </c>
      <c r="C6433" s="86" t="s">
        <v>2697</v>
      </c>
      <c r="D6433" s="105" t="s">
        <v>1172</v>
      </c>
      <c r="E6433" s="207">
        <v>1</v>
      </c>
      <c r="F6433" s="190">
        <f>'BASIC DATA'!$C$552</f>
        <v>350</v>
      </c>
      <c r="G6433" s="214">
        <f>E6433*F6433</f>
        <v>350</v>
      </c>
    </row>
    <row r="6434" spans="1:7">
      <c r="A6434" s="847"/>
      <c r="B6434" s="92"/>
      <c r="C6434" s="353" t="s">
        <v>1174</v>
      </c>
      <c r="D6434" s="159"/>
      <c r="E6434" s="238"/>
      <c r="F6434" s="236" t="s">
        <v>1698</v>
      </c>
      <c r="G6434" s="318">
        <f>SUM(G6431:G6433)</f>
        <v>1200</v>
      </c>
    </row>
    <row r="6435" spans="1:7">
      <c r="A6435" s="847"/>
      <c r="B6435" s="359" t="s">
        <v>5948</v>
      </c>
      <c r="C6435" s="355"/>
      <c r="D6435" s="31"/>
      <c r="E6435" s="85">
        <f>ROUND(G6434/F6413,1)</f>
        <v>171.4</v>
      </c>
    </row>
    <row r="6436" spans="1:7">
      <c r="A6436" s="847"/>
      <c r="B6436" s="359" t="s">
        <v>3163</v>
      </c>
      <c r="C6436" s="355"/>
      <c r="D6436" s="922">
        <f>'BASIC DATA'!$C$577</f>
        <v>0.13614999999999999</v>
      </c>
      <c r="E6436" s="85">
        <f>ROUND(E6435*D6436,1)</f>
        <v>23.3</v>
      </c>
    </row>
    <row r="6437" spans="1:7">
      <c r="A6437" s="847"/>
      <c r="B6437" s="359" t="s">
        <v>5949</v>
      </c>
      <c r="C6437" s="355"/>
      <c r="D6437" s="31"/>
      <c r="E6437" s="199">
        <f>ROUND(E6436+E6435,1)</f>
        <v>194.7</v>
      </c>
    </row>
    <row r="6438" spans="1:7">
      <c r="A6438" s="847"/>
      <c r="C6438" s="48"/>
    </row>
    <row r="6439" spans="1:7">
      <c r="A6439" s="847"/>
      <c r="B6439" s="162" t="s">
        <v>1175</v>
      </c>
      <c r="C6439" s="48"/>
    </row>
    <row r="6440" spans="1:7">
      <c r="A6440" s="847"/>
      <c r="B6440" s="47" t="s">
        <v>4</v>
      </c>
      <c r="C6440" s="48"/>
      <c r="F6440" s="171" t="s">
        <v>1698</v>
      </c>
      <c r="G6440" s="68">
        <f>G6419</f>
        <v>0</v>
      </c>
    </row>
    <row r="6441" spans="1:7">
      <c r="A6441" s="847"/>
      <c r="B6441" s="47" t="s">
        <v>1186</v>
      </c>
      <c r="C6441" s="48"/>
      <c r="F6441" s="171" t="s">
        <v>1698</v>
      </c>
      <c r="G6441" s="68">
        <f>G6426</f>
        <v>0</v>
      </c>
    </row>
    <row r="6442" spans="1:7">
      <c r="A6442" s="847"/>
      <c r="B6442" s="47" t="s">
        <v>2660</v>
      </c>
      <c r="C6442" s="48"/>
      <c r="F6442" s="171" t="s">
        <v>1698</v>
      </c>
      <c r="G6442" s="75">
        <f>G6434</f>
        <v>1200</v>
      </c>
    </row>
    <row r="6443" spans="1:7">
      <c r="A6443" s="847"/>
      <c r="B6443" s="78"/>
      <c r="C6443" s="48"/>
      <c r="F6443" s="171" t="s">
        <v>302</v>
      </c>
      <c r="G6443" s="205">
        <f>SUM(G6440:G6442)</f>
        <v>1200</v>
      </c>
    </row>
    <row r="6444" spans="1:7" ht="38.25" customHeight="1">
      <c r="A6444" s="847"/>
      <c r="B6444" s="1207" t="s">
        <v>1379</v>
      </c>
      <c r="C6444" s="1207"/>
      <c r="D6444" s="1207"/>
      <c r="E6444" s="922">
        <f>'BASIC DATA'!$C$577</f>
        <v>0.13614999999999999</v>
      </c>
      <c r="F6444" s="171" t="s">
        <v>1698</v>
      </c>
      <c r="G6444" s="31">
        <f>ROUND(G6443*E6444,2)</f>
        <v>163.38</v>
      </c>
    </row>
    <row r="6445" spans="1:7">
      <c r="A6445" s="847"/>
      <c r="B6445" s="47" t="s">
        <v>1191</v>
      </c>
      <c r="C6445" s="48"/>
      <c r="D6445" s="68">
        <f>F6413</f>
        <v>7</v>
      </c>
      <c r="E6445" s="68" t="str">
        <f>G6413</f>
        <v>Nos.</v>
      </c>
      <c r="F6445" s="171" t="s">
        <v>1698</v>
      </c>
      <c r="G6445" s="211">
        <f>G6444+G6443</f>
        <v>1363.38</v>
      </c>
    </row>
    <row r="6446" spans="1:7">
      <c r="A6446" s="847"/>
      <c r="B6446" s="79" t="s">
        <v>1584</v>
      </c>
      <c r="C6446" s="404" t="s">
        <v>4089</v>
      </c>
      <c r="D6446" s="26" t="s">
        <v>7667</v>
      </c>
      <c r="F6446" s="171" t="s">
        <v>4108</v>
      </c>
      <c r="G6446" s="211">
        <f>ROUND(G6445/D6445,1)</f>
        <v>194.8</v>
      </c>
    </row>
    <row r="6447" spans="1:7">
      <c r="A6447" s="847"/>
      <c r="B6447" s="78"/>
      <c r="C6447" s="48"/>
      <c r="F6447" s="171"/>
      <c r="G6447" s="68"/>
    </row>
    <row r="6448" spans="1:7">
      <c r="A6448" s="847"/>
      <c r="B6448" s="78"/>
      <c r="C6448" s="48"/>
      <c r="F6448" s="171"/>
      <c r="G6448" s="68"/>
    </row>
    <row r="6449" spans="1:6" ht="36.75">
      <c r="A6449" s="841" t="s">
        <v>7497</v>
      </c>
      <c r="B6449" s="47" t="s">
        <v>8832</v>
      </c>
      <c r="C6449" s="48"/>
    </row>
    <row r="6450" spans="1:6" ht="18.75">
      <c r="A6450" s="889"/>
      <c r="B6450" s="47" t="s">
        <v>8833</v>
      </c>
      <c r="C6450" s="48"/>
    </row>
    <row r="6451" spans="1:6">
      <c r="A6451" s="895" t="s">
        <v>1535</v>
      </c>
      <c r="B6451" s="162" t="s">
        <v>2267</v>
      </c>
      <c r="C6451" s="48"/>
    </row>
    <row r="6452" spans="1:6">
      <c r="A6452" s="889"/>
      <c r="C6452" s="48"/>
      <c r="F6452" s="78"/>
    </row>
    <row r="6453" spans="1:6" hidden="1">
      <c r="A6453" s="889" t="s">
        <v>3984</v>
      </c>
      <c r="B6453" s="47" t="s">
        <v>2268</v>
      </c>
      <c r="C6453" s="48"/>
    </row>
    <row r="6454" spans="1:6" hidden="1">
      <c r="A6454" s="889"/>
      <c r="B6454" s="47" t="s">
        <v>2269</v>
      </c>
      <c r="C6454" s="48"/>
    </row>
    <row r="6455" spans="1:6" hidden="1">
      <c r="A6455" s="889"/>
      <c r="B6455" s="47" t="s">
        <v>2522</v>
      </c>
      <c r="C6455" s="48"/>
    </row>
    <row r="6456" spans="1:6" hidden="1">
      <c r="A6456" s="889"/>
      <c r="B6456" s="47" t="s">
        <v>4701</v>
      </c>
      <c r="C6456" s="48"/>
    </row>
    <row r="6457" spans="1:6" hidden="1"/>
    <row r="6458" spans="1:6"/>
    <row r="6459" spans="1:6"/>
    <row r="6460" spans="1:6"/>
    <row r="6461" spans="1:6"/>
    <row r="6462" spans="1:6"/>
    <row r="6463" spans="1:6"/>
    <row r="6464" spans="1:6"/>
    <row r="6465" spans="1:7"/>
    <row r="6466" spans="1:7"/>
    <row r="6467" spans="1:7"/>
    <row r="6468" spans="1:7"/>
    <row r="6469" spans="1:7"/>
    <row r="6470" spans="1:7"/>
    <row r="6471" spans="1:7"/>
    <row r="6472" spans="1:7"/>
    <row r="6473" spans="1:7"/>
    <row r="6474" spans="1:7" hidden="1"/>
    <row r="6475" spans="1:7" hidden="1"/>
    <row r="6476" spans="1:7" hidden="1"/>
    <row r="6477" spans="1:7"/>
    <row r="6478" spans="1:7">
      <c r="A6478" s="847" t="s">
        <v>3984</v>
      </c>
      <c r="B6478" s="78"/>
      <c r="C6478" s="349" t="s">
        <v>2367</v>
      </c>
      <c r="E6478" s="171" t="s">
        <v>297</v>
      </c>
      <c r="F6478" s="246">
        <v>250</v>
      </c>
      <c r="G6478" s="26" t="s">
        <v>3479</v>
      </c>
    </row>
    <row r="6479" spans="1:7">
      <c r="A6479" s="847"/>
      <c r="B6479" s="79" t="s">
        <v>2368</v>
      </c>
      <c r="C6479" s="48"/>
    </row>
    <row r="6480" spans="1:7">
      <c r="A6480" s="847"/>
      <c r="B6480" s="95" t="s">
        <v>2369</v>
      </c>
      <c r="C6480" s="350" t="s">
        <v>6374</v>
      </c>
      <c r="D6480" s="95" t="s">
        <v>2370</v>
      </c>
      <c r="E6480" s="95" t="s">
        <v>1166</v>
      </c>
      <c r="F6480" s="95" t="s">
        <v>2371</v>
      </c>
      <c r="G6480" s="95" t="s">
        <v>2372</v>
      </c>
    </row>
    <row r="6481" spans="1:7">
      <c r="A6481" s="847"/>
      <c r="B6481" s="114"/>
      <c r="C6481" s="351"/>
      <c r="D6481" s="114"/>
      <c r="E6481" s="114"/>
      <c r="F6481" s="114" t="s">
        <v>3485</v>
      </c>
      <c r="G6481" s="114" t="s">
        <v>3485</v>
      </c>
    </row>
    <row r="6482" spans="1:7">
      <c r="A6482" s="847"/>
      <c r="B6482" s="95">
        <v>1</v>
      </c>
      <c r="C6482" s="86" t="s">
        <v>3331</v>
      </c>
      <c r="D6482" s="95" t="s">
        <v>3479</v>
      </c>
      <c r="E6482" s="220">
        <v>275</v>
      </c>
      <c r="F6482" s="214">
        <f>'BASIC DATA'!$D$81</f>
        <v>92</v>
      </c>
      <c r="G6482" s="214">
        <f>E6482*F6482</f>
        <v>25300</v>
      </c>
    </row>
    <row r="6483" spans="1:7">
      <c r="A6483" s="847"/>
      <c r="B6483" s="114">
        <v>2</v>
      </c>
      <c r="C6483" s="86" t="s">
        <v>2523</v>
      </c>
      <c r="D6483" s="114" t="s">
        <v>3478</v>
      </c>
      <c r="E6483" s="220">
        <v>4</v>
      </c>
      <c r="F6483" s="214">
        <f>'BASIC DATA'!$D$29</f>
        <v>46</v>
      </c>
      <c r="G6483" s="214">
        <f>E6483*F6483</f>
        <v>184</v>
      </c>
    </row>
    <row r="6484" spans="1:7">
      <c r="A6484" s="847"/>
      <c r="B6484" s="92"/>
      <c r="C6484" s="353" t="s">
        <v>2376</v>
      </c>
      <c r="D6484" s="159"/>
      <c r="E6484" s="238"/>
      <c r="F6484" s="236" t="s">
        <v>1698</v>
      </c>
      <c r="G6484" s="318">
        <f>SUM(G6482:G6483)</f>
        <v>25484</v>
      </c>
    </row>
    <row r="6485" spans="1:7">
      <c r="A6485" s="847"/>
      <c r="B6485" s="78"/>
      <c r="C6485" s="48"/>
    </row>
    <row r="6486" spans="1:7">
      <c r="A6486" s="847"/>
      <c r="B6486" s="79" t="s">
        <v>2377</v>
      </c>
      <c r="C6486" s="48"/>
    </row>
    <row r="6487" spans="1:7">
      <c r="A6487" s="847"/>
      <c r="B6487" s="95" t="s">
        <v>2369</v>
      </c>
      <c r="C6487" s="350" t="s">
        <v>2378</v>
      </c>
      <c r="D6487" s="95" t="s">
        <v>2370</v>
      </c>
      <c r="E6487" s="95" t="s">
        <v>1166</v>
      </c>
      <c r="F6487" s="95" t="s">
        <v>2371</v>
      </c>
      <c r="G6487" s="95" t="s">
        <v>2372</v>
      </c>
    </row>
    <row r="6488" spans="1:7">
      <c r="A6488" s="847"/>
      <c r="B6488" s="114"/>
      <c r="C6488" s="351"/>
      <c r="D6488" s="114"/>
      <c r="E6488" s="114"/>
      <c r="F6488" s="114" t="s">
        <v>3485</v>
      </c>
      <c r="G6488" s="114" t="s">
        <v>3485</v>
      </c>
    </row>
    <row r="6489" spans="1:7">
      <c r="A6489" s="847"/>
      <c r="B6489" s="95">
        <v>1</v>
      </c>
      <c r="C6489" s="103" t="s">
        <v>1130</v>
      </c>
      <c r="D6489" s="95"/>
      <c r="E6489" s="220">
        <v>0</v>
      </c>
      <c r="F6489" s="214">
        <v>0</v>
      </c>
      <c r="G6489" s="214">
        <f>E6489*F6489</f>
        <v>0</v>
      </c>
    </row>
    <row r="6490" spans="1:7">
      <c r="A6490" s="847"/>
      <c r="B6490" s="116"/>
      <c r="C6490" s="414"/>
      <c r="D6490" s="114"/>
      <c r="E6490" s="220">
        <v>0</v>
      </c>
      <c r="F6490" s="214">
        <v>0</v>
      </c>
      <c r="G6490" s="214">
        <f>E6490*F6490</f>
        <v>0</v>
      </c>
    </row>
    <row r="6491" spans="1:7">
      <c r="A6491" s="847"/>
      <c r="B6491" s="176"/>
      <c r="C6491" s="357" t="s">
        <v>2380</v>
      </c>
      <c r="D6491" s="174"/>
      <c r="E6491" s="192"/>
      <c r="F6491" s="236" t="s">
        <v>1698</v>
      </c>
      <c r="G6491" s="318">
        <f>SUM(G6489:G6490)</f>
        <v>0</v>
      </c>
    </row>
    <row r="6492" spans="1:7">
      <c r="A6492" s="847"/>
      <c r="B6492" s="78"/>
      <c r="C6492" s="48"/>
    </row>
    <row r="6493" spans="1:7">
      <c r="A6493" s="847"/>
      <c r="B6493" s="79" t="s">
        <v>2381</v>
      </c>
      <c r="C6493" s="48"/>
    </row>
    <row r="6494" spans="1:7">
      <c r="A6494" s="847"/>
      <c r="B6494" s="95" t="s">
        <v>2369</v>
      </c>
      <c r="C6494" s="350" t="s">
        <v>2378</v>
      </c>
      <c r="D6494" s="95" t="s">
        <v>2370</v>
      </c>
      <c r="E6494" s="95" t="s">
        <v>1166</v>
      </c>
      <c r="F6494" s="95" t="s">
        <v>2371</v>
      </c>
      <c r="G6494" s="95" t="s">
        <v>2372</v>
      </c>
    </row>
    <row r="6495" spans="1:7">
      <c r="A6495" s="847"/>
      <c r="B6495" s="114"/>
      <c r="C6495" s="351"/>
      <c r="D6495" s="105"/>
      <c r="E6495" s="114"/>
      <c r="F6495" s="114" t="s">
        <v>3485</v>
      </c>
      <c r="G6495" s="114" t="s">
        <v>3485</v>
      </c>
    </row>
    <row r="6496" spans="1:7" ht="36">
      <c r="A6496" s="847"/>
      <c r="B6496" s="105">
        <v>1</v>
      </c>
      <c r="C6496" s="86" t="s">
        <v>2524</v>
      </c>
      <c r="D6496" s="95" t="s">
        <v>3479</v>
      </c>
      <c r="E6496" s="207">
        <v>250</v>
      </c>
      <c r="F6496" s="190">
        <f>F6482*10%</f>
        <v>9.2000000000000011</v>
      </c>
      <c r="G6496" s="214">
        <f>E6496*F6496</f>
        <v>2300.0000000000005</v>
      </c>
    </row>
    <row r="6497" spans="1:7">
      <c r="A6497" s="847"/>
      <c r="B6497" s="105">
        <v>2</v>
      </c>
      <c r="C6497" s="86" t="s">
        <v>2697</v>
      </c>
      <c r="D6497" s="105" t="s">
        <v>1172</v>
      </c>
      <c r="E6497" s="207">
        <v>1</v>
      </c>
      <c r="F6497" s="190">
        <f>'BASIC DATA'!$C$552</f>
        <v>350</v>
      </c>
      <c r="G6497" s="214">
        <f>E6497*F6497</f>
        <v>350</v>
      </c>
    </row>
    <row r="6498" spans="1:7">
      <c r="A6498" s="847"/>
      <c r="B6498" s="92"/>
      <c r="C6498" s="353" t="s">
        <v>1174</v>
      </c>
      <c r="D6498" s="159"/>
      <c r="E6498" s="238"/>
      <c r="F6498" s="236" t="s">
        <v>1698</v>
      </c>
      <c r="G6498" s="318">
        <f>SUM(G6496:G6497)</f>
        <v>2650.0000000000005</v>
      </c>
    </row>
    <row r="6499" spans="1:7">
      <c r="A6499" s="847"/>
      <c r="B6499" s="359" t="s">
        <v>5948</v>
      </c>
      <c r="C6499" s="355"/>
      <c r="D6499" s="31"/>
      <c r="E6499" s="85">
        <f>ROUND(G6498/F6478,1)</f>
        <v>10.6</v>
      </c>
    </row>
    <row r="6500" spans="1:7">
      <c r="A6500" s="847"/>
      <c r="B6500" s="359" t="s">
        <v>3163</v>
      </c>
      <c r="C6500" s="355"/>
      <c r="D6500" s="922">
        <f>'BASIC DATA'!$C$577</f>
        <v>0.13614999999999999</v>
      </c>
      <c r="E6500" s="85">
        <f>ROUND(E6499*D6500,1)</f>
        <v>1.4</v>
      </c>
    </row>
    <row r="6501" spans="1:7">
      <c r="A6501" s="847"/>
      <c r="B6501" s="359" t="s">
        <v>5949</v>
      </c>
      <c r="C6501" s="355"/>
      <c r="D6501" s="31"/>
      <c r="E6501" s="199">
        <f>ROUND(E6500+E6499,1)</f>
        <v>12</v>
      </c>
    </row>
    <row r="6502" spans="1:7">
      <c r="A6502" s="847"/>
      <c r="C6502" s="48"/>
    </row>
    <row r="6503" spans="1:7">
      <c r="A6503" s="847"/>
      <c r="B6503" s="162" t="s">
        <v>1175</v>
      </c>
      <c r="C6503" s="48"/>
    </row>
    <row r="6504" spans="1:7">
      <c r="A6504" s="847"/>
      <c r="B6504" s="47" t="s">
        <v>1176</v>
      </c>
      <c r="C6504" s="48"/>
      <c r="F6504" s="171" t="s">
        <v>1698</v>
      </c>
      <c r="G6504" s="68">
        <f>G6484</f>
        <v>25484</v>
      </c>
    </row>
    <row r="6505" spans="1:7">
      <c r="A6505" s="847"/>
      <c r="B6505" s="47" t="s">
        <v>1186</v>
      </c>
      <c r="C6505" s="48"/>
      <c r="F6505" s="171" t="s">
        <v>1698</v>
      </c>
      <c r="G6505" s="68">
        <f>G6491</f>
        <v>0</v>
      </c>
    </row>
    <row r="6506" spans="1:7">
      <c r="A6506" s="847"/>
      <c r="B6506" s="47" t="s">
        <v>2660</v>
      </c>
      <c r="C6506" s="48"/>
      <c r="F6506" s="171" t="s">
        <v>1698</v>
      </c>
      <c r="G6506" s="75">
        <f>G6498</f>
        <v>2650.0000000000005</v>
      </c>
    </row>
    <row r="6507" spans="1:7">
      <c r="A6507" s="847"/>
      <c r="B6507" s="78"/>
      <c r="C6507" s="48"/>
      <c r="F6507" s="171" t="s">
        <v>302</v>
      </c>
      <c r="G6507" s="205">
        <f>SUM(G6504:G6506)</f>
        <v>28134</v>
      </c>
    </row>
    <row r="6508" spans="1:7">
      <c r="A6508" s="847"/>
      <c r="B6508" s="1207" t="s">
        <v>1379</v>
      </c>
      <c r="C6508" s="1207"/>
      <c r="D6508" s="1207"/>
      <c r="E6508" s="922">
        <f>'BASIC DATA'!$C$577</f>
        <v>0.13614999999999999</v>
      </c>
      <c r="F6508" s="171" t="s">
        <v>1698</v>
      </c>
      <c r="G6508" s="31">
        <f>ROUND(G6507*E6508,2)</f>
        <v>3830.44</v>
      </c>
    </row>
    <row r="6509" spans="1:7">
      <c r="A6509" s="847"/>
      <c r="B6509" s="47" t="s">
        <v>1191</v>
      </c>
      <c r="C6509" s="48"/>
      <c r="D6509" s="68">
        <f>F6478</f>
        <v>250</v>
      </c>
      <c r="E6509" s="68" t="str">
        <f>G6478</f>
        <v>sqm</v>
      </c>
      <c r="F6509" s="171" t="s">
        <v>1698</v>
      </c>
      <c r="G6509" s="211">
        <f>G6508+G6507</f>
        <v>31964.44</v>
      </c>
    </row>
    <row r="6510" spans="1:7">
      <c r="A6510" s="847"/>
      <c r="B6510" s="79" t="s">
        <v>1584</v>
      </c>
      <c r="C6510" s="404" t="str">
        <f>E6509</f>
        <v>sqm</v>
      </c>
      <c r="D6510" s="26" t="s">
        <v>5892</v>
      </c>
      <c r="F6510" s="171" t="s">
        <v>4108</v>
      </c>
      <c r="G6510" s="211">
        <f>ROUND(G6509/D6509,1)</f>
        <v>127.9</v>
      </c>
    </row>
    <row r="6511" spans="1:7">
      <c r="A6511" s="847"/>
      <c r="B6511" s="78"/>
      <c r="C6511" s="48"/>
    </row>
    <row r="6512" spans="1:7">
      <c r="A6512" s="847"/>
      <c r="B6512" s="78" t="s">
        <v>2525</v>
      </c>
      <c r="C6512" s="47" t="s">
        <v>6699</v>
      </c>
    </row>
    <row r="6513" spans="1:9">
      <c r="A6513" s="847"/>
      <c r="B6513" s="78"/>
      <c r="C6513" s="47" t="s">
        <v>7942</v>
      </c>
    </row>
    <row r="6514" spans="1:9">
      <c r="A6514" s="847"/>
      <c r="B6514" s="78"/>
      <c r="C6514" s="48"/>
    </row>
    <row r="6515" spans="1:9">
      <c r="A6515" s="847"/>
      <c r="B6515" s="78"/>
      <c r="C6515" s="47" t="s">
        <v>5873</v>
      </c>
    </row>
    <row r="6516" spans="1:9">
      <c r="A6516" s="847"/>
      <c r="B6516" s="78"/>
      <c r="C6516" s="48"/>
    </row>
    <row r="6517" spans="1:9">
      <c r="A6517" s="889" t="s">
        <v>3984</v>
      </c>
      <c r="B6517" s="47" t="s">
        <v>4737</v>
      </c>
      <c r="C6517" s="48"/>
      <c r="D6517" s="26" t="s">
        <v>6828</v>
      </c>
      <c r="F6517" s="68">
        <f>250*0.075</f>
        <v>18.75</v>
      </c>
      <c r="G6517" s="26" t="s">
        <v>6901</v>
      </c>
    </row>
    <row r="6518" spans="1:9">
      <c r="A6518" s="889"/>
      <c r="B6518" s="47" t="s">
        <v>3947</v>
      </c>
      <c r="C6518" s="48"/>
    </row>
    <row r="6519" spans="1:9">
      <c r="A6519" s="847"/>
      <c r="B6519" s="78"/>
      <c r="C6519" s="48"/>
    </row>
    <row r="6520" spans="1:9">
      <c r="A6520" s="847"/>
      <c r="B6520" s="78"/>
      <c r="C6520" s="349" t="s">
        <v>2367</v>
      </c>
      <c r="E6520" s="171" t="s">
        <v>297</v>
      </c>
      <c r="F6520" s="246">
        <v>250</v>
      </c>
      <c r="G6520" s="26" t="s">
        <v>3479</v>
      </c>
    </row>
    <row r="6521" spans="1:9">
      <c r="A6521" s="847"/>
      <c r="B6521" s="79" t="s">
        <v>2368</v>
      </c>
      <c r="C6521" s="48"/>
    </row>
    <row r="6522" spans="1:9">
      <c r="A6522" s="847"/>
      <c r="B6522" s="95" t="s">
        <v>2369</v>
      </c>
      <c r="C6522" s="350" t="s">
        <v>6374</v>
      </c>
      <c r="D6522" s="95" t="s">
        <v>2370</v>
      </c>
      <c r="E6522" s="95" t="s">
        <v>1166</v>
      </c>
      <c r="F6522" s="95" t="s">
        <v>2371</v>
      </c>
      <c r="G6522" s="95" t="s">
        <v>2372</v>
      </c>
    </row>
    <row r="6523" spans="1:9">
      <c r="A6523" s="847"/>
      <c r="B6523" s="114"/>
      <c r="C6523" s="351"/>
      <c r="D6523" s="114"/>
      <c r="E6523" s="114"/>
      <c r="F6523" s="114" t="s">
        <v>3485</v>
      </c>
      <c r="G6523" s="114" t="s">
        <v>3485</v>
      </c>
    </row>
    <row r="6524" spans="1:9">
      <c r="A6524" s="848"/>
      <c r="B6524" s="295">
        <v>1</v>
      </c>
      <c r="C6524" s="392" t="s">
        <v>7871</v>
      </c>
      <c r="D6524" s="295" t="s">
        <v>3477</v>
      </c>
      <c r="E6524" s="256">
        <v>18.75</v>
      </c>
      <c r="F6524" s="255">
        <f>'BASIC DATA'!$D$56</f>
        <v>95</v>
      </c>
      <c r="G6524" s="266">
        <f>E6524*F6524</f>
        <v>1781.25</v>
      </c>
      <c r="H6524" s="61"/>
      <c r="I6524" s="61"/>
    </row>
    <row r="6525" spans="1:9">
      <c r="A6525" s="847"/>
      <c r="B6525" s="116"/>
      <c r="C6525" s="86"/>
      <c r="D6525" s="114"/>
      <c r="E6525" s="220">
        <v>0</v>
      </c>
      <c r="F6525" s="214">
        <v>0</v>
      </c>
      <c r="G6525" s="214"/>
    </row>
    <row r="6526" spans="1:9">
      <c r="A6526" s="847"/>
      <c r="B6526" s="92"/>
      <c r="C6526" s="353" t="s">
        <v>2376</v>
      </c>
      <c r="D6526" s="159"/>
      <c r="E6526" s="238"/>
      <c r="F6526" s="236" t="s">
        <v>1698</v>
      </c>
      <c r="G6526" s="318">
        <f>SUM(G6524:G6525)</f>
        <v>1781.25</v>
      </c>
    </row>
    <row r="6527" spans="1:9">
      <c r="A6527" s="847"/>
      <c r="B6527" s="78"/>
      <c r="C6527" s="48"/>
    </row>
    <row r="6528" spans="1:9">
      <c r="A6528" s="847"/>
      <c r="B6528" s="79" t="s">
        <v>2377</v>
      </c>
      <c r="C6528" s="48"/>
    </row>
    <row r="6529" spans="1:7">
      <c r="A6529" s="847"/>
      <c r="B6529" s="95" t="s">
        <v>2369</v>
      </c>
      <c r="C6529" s="350" t="s">
        <v>2378</v>
      </c>
      <c r="D6529" s="95" t="s">
        <v>2370</v>
      </c>
      <c r="E6529" s="95" t="s">
        <v>1166</v>
      </c>
      <c r="F6529" s="95" t="s">
        <v>2371</v>
      </c>
      <c r="G6529" s="95" t="s">
        <v>2372</v>
      </c>
    </row>
    <row r="6530" spans="1:7">
      <c r="A6530" s="847"/>
      <c r="B6530" s="114"/>
      <c r="C6530" s="351"/>
      <c r="D6530" s="114"/>
      <c r="E6530" s="114"/>
      <c r="F6530" s="114" t="s">
        <v>3485</v>
      </c>
      <c r="G6530" s="114" t="s">
        <v>3485</v>
      </c>
    </row>
    <row r="6531" spans="1:7">
      <c r="A6531" s="847"/>
      <c r="B6531" s="95">
        <v>1</v>
      </c>
      <c r="C6531" s="350" t="s">
        <v>1130</v>
      </c>
      <c r="D6531" s="95"/>
      <c r="E6531" s="218">
        <v>0</v>
      </c>
      <c r="F6531" s="214">
        <v>0</v>
      </c>
      <c r="G6531" s="214">
        <f>E6531*F6531</f>
        <v>0</v>
      </c>
    </row>
    <row r="6532" spans="1:7">
      <c r="A6532" s="847"/>
      <c r="B6532" s="116"/>
      <c r="C6532" s="351"/>
      <c r="D6532" s="114"/>
      <c r="E6532" s="257">
        <v>0</v>
      </c>
      <c r="F6532" s="214">
        <v>0</v>
      </c>
      <c r="G6532" s="214">
        <f>E6532*F6532</f>
        <v>0</v>
      </c>
    </row>
    <row r="6533" spans="1:7">
      <c r="A6533" s="847"/>
      <c r="B6533" s="176"/>
      <c r="C6533" s="357" t="s">
        <v>2380</v>
      </c>
      <c r="D6533" s="174"/>
      <c r="E6533" s="192"/>
      <c r="F6533" s="236" t="s">
        <v>1698</v>
      </c>
      <c r="G6533" s="318">
        <f>SUM(G6531:G6532)</f>
        <v>0</v>
      </c>
    </row>
    <row r="6534" spans="1:7">
      <c r="A6534" s="847"/>
      <c r="B6534" s="78"/>
      <c r="C6534" s="48"/>
    </row>
    <row r="6535" spans="1:7">
      <c r="A6535" s="847"/>
      <c r="B6535" s="79" t="s">
        <v>2381</v>
      </c>
      <c r="C6535" s="48"/>
    </row>
    <row r="6536" spans="1:7">
      <c r="A6536" s="847"/>
      <c r="B6536" s="95" t="s">
        <v>2369</v>
      </c>
      <c r="C6536" s="350" t="s">
        <v>2378</v>
      </c>
      <c r="D6536" s="95" t="s">
        <v>2370</v>
      </c>
      <c r="E6536" s="95" t="s">
        <v>1166</v>
      </c>
      <c r="F6536" s="95" t="s">
        <v>2371</v>
      </c>
      <c r="G6536" s="95" t="s">
        <v>2372</v>
      </c>
    </row>
    <row r="6537" spans="1:7">
      <c r="A6537" s="847"/>
      <c r="B6537" s="114"/>
      <c r="C6537" s="351"/>
      <c r="D6537" s="105"/>
      <c r="E6537" s="114"/>
      <c r="F6537" s="114" t="s">
        <v>3485</v>
      </c>
      <c r="G6537" s="114" t="s">
        <v>3485</v>
      </c>
    </row>
    <row r="6538" spans="1:7">
      <c r="A6538" s="847"/>
      <c r="B6538" s="105">
        <v>1</v>
      </c>
      <c r="C6538" s="86" t="s">
        <v>2697</v>
      </c>
      <c r="D6538" s="95" t="s">
        <v>1172</v>
      </c>
      <c r="E6538" s="207">
        <v>6</v>
      </c>
      <c r="F6538" s="190">
        <f>'BASIC DATA'!$C$552</f>
        <v>350</v>
      </c>
      <c r="G6538" s="214">
        <f>E6538*F6538</f>
        <v>2100</v>
      </c>
    </row>
    <row r="6539" spans="1:7">
      <c r="A6539" s="847"/>
      <c r="B6539" s="92"/>
      <c r="C6539" s="353" t="s">
        <v>1174</v>
      </c>
      <c r="D6539" s="159"/>
      <c r="E6539" s="238"/>
      <c r="F6539" s="236" t="s">
        <v>1698</v>
      </c>
      <c r="G6539" s="318">
        <f>SUM(G6538:G6538)</f>
        <v>2100</v>
      </c>
    </row>
    <row r="6540" spans="1:7">
      <c r="A6540" s="847"/>
      <c r="B6540" s="359" t="s">
        <v>5948</v>
      </c>
      <c r="C6540" s="48"/>
      <c r="D6540" s="31"/>
      <c r="E6540" s="85">
        <f>ROUND(G6539/F6520,1)</f>
        <v>8.4</v>
      </c>
    </row>
    <row r="6541" spans="1:7">
      <c r="A6541" s="847"/>
      <c r="B6541" s="359" t="s">
        <v>3163</v>
      </c>
      <c r="C6541" s="48"/>
      <c r="D6541" s="922">
        <f>'BASIC DATA'!$C$577</f>
        <v>0.13614999999999999</v>
      </c>
      <c r="E6541" s="85">
        <f>ROUND(E6540*D6541,1)</f>
        <v>1.1000000000000001</v>
      </c>
    </row>
    <row r="6542" spans="1:7">
      <c r="A6542" s="847"/>
      <c r="B6542" s="359" t="s">
        <v>5949</v>
      </c>
      <c r="C6542" s="48"/>
      <c r="D6542" s="31"/>
      <c r="E6542" s="199">
        <f>ROUND(E6541+E6540,1)</f>
        <v>9.5</v>
      </c>
    </row>
    <row r="6543" spans="1:7">
      <c r="A6543" s="847"/>
      <c r="C6543" s="48"/>
    </row>
    <row r="6544" spans="1:7">
      <c r="A6544" s="847"/>
      <c r="B6544" s="162" t="s">
        <v>1175</v>
      </c>
      <c r="C6544" s="48"/>
    </row>
    <row r="6545" spans="1:7">
      <c r="A6545" s="847"/>
      <c r="B6545" s="47" t="s">
        <v>4</v>
      </c>
      <c r="C6545" s="48"/>
      <c r="F6545" s="171" t="s">
        <v>1698</v>
      </c>
      <c r="G6545" s="68">
        <f>G6526</f>
        <v>1781.25</v>
      </c>
    </row>
    <row r="6546" spans="1:7">
      <c r="A6546" s="847"/>
      <c r="B6546" s="47" t="s">
        <v>1186</v>
      </c>
      <c r="C6546" s="48"/>
      <c r="F6546" s="171" t="s">
        <v>1698</v>
      </c>
      <c r="G6546" s="68">
        <f>G6533</f>
        <v>0</v>
      </c>
    </row>
    <row r="6547" spans="1:7">
      <c r="A6547" s="847"/>
      <c r="B6547" s="47" t="s">
        <v>2660</v>
      </c>
      <c r="C6547" s="48"/>
      <c r="F6547" s="171" t="s">
        <v>1698</v>
      </c>
      <c r="G6547" s="75">
        <f>G6539</f>
        <v>2100</v>
      </c>
    </row>
    <row r="6548" spans="1:7">
      <c r="A6548" s="847"/>
      <c r="B6548" s="78"/>
      <c r="C6548" s="48"/>
      <c r="F6548" s="171" t="s">
        <v>302</v>
      </c>
      <c r="G6548" s="205">
        <f>SUM(G6545:G6547)</f>
        <v>3881.25</v>
      </c>
    </row>
    <row r="6549" spans="1:7" ht="38.25" customHeight="1">
      <c r="A6549" s="847"/>
      <c r="B6549" s="1207" t="s">
        <v>1379</v>
      </c>
      <c r="C6549" s="1207"/>
      <c r="D6549" s="1207"/>
      <c r="E6549" s="922">
        <f>'BASIC DATA'!$C$577</f>
        <v>0.13614999999999999</v>
      </c>
      <c r="F6549" s="171" t="s">
        <v>1698</v>
      </c>
      <c r="G6549" s="31">
        <f>ROUND(G6548*E6549,2)</f>
        <v>528.42999999999995</v>
      </c>
    </row>
    <row r="6550" spans="1:7">
      <c r="A6550" s="847"/>
      <c r="B6550" s="47" t="s">
        <v>1191</v>
      </c>
      <c r="C6550" s="48"/>
      <c r="D6550" s="68">
        <f>F6520</f>
        <v>250</v>
      </c>
      <c r="E6550" s="68" t="str">
        <f>G6520</f>
        <v>sqm</v>
      </c>
      <c r="F6550" s="171" t="s">
        <v>1698</v>
      </c>
      <c r="G6550" s="211">
        <f>G6549+G6548</f>
        <v>4409.68</v>
      </c>
    </row>
    <row r="6551" spans="1:7">
      <c r="A6551" s="847"/>
      <c r="B6551" s="79" t="s">
        <v>1584</v>
      </c>
      <c r="C6551" s="404" t="str">
        <f>E6550</f>
        <v>sqm</v>
      </c>
      <c r="D6551" s="26" t="s">
        <v>5892</v>
      </c>
      <c r="F6551" s="171" t="s">
        <v>4108</v>
      </c>
      <c r="G6551" s="211">
        <f>ROUND(G6550/D6550,1)</f>
        <v>17.600000000000001</v>
      </c>
    </row>
    <row r="6552" spans="1:7">
      <c r="A6552" s="847"/>
      <c r="B6552" s="78"/>
      <c r="C6552" s="48"/>
    </row>
    <row r="6553" spans="1:7">
      <c r="A6553" s="847"/>
      <c r="B6553" s="78"/>
      <c r="C6553" s="48"/>
    </row>
    <row r="6554" spans="1:7" ht="36.75">
      <c r="A6554" s="841" t="s">
        <v>7498</v>
      </c>
      <c r="B6554" s="47" t="s">
        <v>8832</v>
      </c>
      <c r="C6554" s="48"/>
    </row>
    <row r="6555" spans="1:7" ht="18.75">
      <c r="A6555" s="889"/>
      <c r="B6555" s="47" t="s">
        <v>8833</v>
      </c>
      <c r="C6555" s="48"/>
    </row>
    <row r="6556" spans="1:7">
      <c r="A6556" s="895" t="s">
        <v>5400</v>
      </c>
      <c r="B6556" s="162" t="s">
        <v>3391</v>
      </c>
      <c r="C6556" s="48"/>
    </row>
    <row r="6557" spans="1:7">
      <c r="A6557" s="889"/>
      <c r="C6557" s="48"/>
      <c r="F6557" s="78"/>
    </row>
    <row r="6558" spans="1:7" hidden="1">
      <c r="A6558" s="889" t="s">
        <v>3984</v>
      </c>
      <c r="B6558" s="47" t="s">
        <v>3392</v>
      </c>
      <c r="C6558" s="48"/>
    </row>
    <row r="6559" spans="1:7" hidden="1">
      <c r="A6559" s="889"/>
      <c r="B6559" s="47" t="s">
        <v>2269</v>
      </c>
      <c r="C6559" s="48"/>
    </row>
    <row r="6560" spans="1:7" hidden="1">
      <c r="A6560" s="889"/>
      <c r="B6560" s="47" t="s">
        <v>2522</v>
      </c>
      <c r="C6560" s="48"/>
    </row>
    <row r="6561" spans="1:7" hidden="1">
      <c r="A6561" s="889"/>
      <c r="B6561" s="47" t="s">
        <v>4701</v>
      </c>
      <c r="C6561" s="48"/>
    </row>
    <row r="6562" spans="1:7">
      <c r="A6562" s="847"/>
      <c r="B6562" s="78"/>
      <c r="C6562" s="48"/>
    </row>
    <row r="6563" spans="1:7">
      <c r="A6563" s="847" t="s">
        <v>3984</v>
      </c>
      <c r="B6563" s="78"/>
      <c r="C6563" s="349" t="s">
        <v>2367</v>
      </c>
      <c r="E6563" s="171" t="s">
        <v>297</v>
      </c>
      <c r="F6563" s="246">
        <v>250</v>
      </c>
      <c r="G6563" s="26" t="s">
        <v>3479</v>
      </c>
    </row>
    <row r="6564" spans="1:7">
      <c r="A6564" s="847"/>
      <c r="B6564" s="79" t="s">
        <v>2368</v>
      </c>
      <c r="C6564" s="48"/>
    </row>
    <row r="6565" spans="1:7">
      <c r="A6565" s="847"/>
      <c r="B6565" s="95" t="s">
        <v>2369</v>
      </c>
      <c r="C6565" s="350" t="s">
        <v>6374</v>
      </c>
      <c r="D6565" s="95" t="s">
        <v>2370</v>
      </c>
      <c r="E6565" s="95" t="s">
        <v>1166</v>
      </c>
      <c r="F6565" s="95" t="s">
        <v>2371</v>
      </c>
      <c r="G6565" s="95" t="s">
        <v>2372</v>
      </c>
    </row>
    <row r="6566" spans="1:7">
      <c r="A6566" s="847"/>
      <c r="B6566" s="114"/>
      <c r="C6566" s="351"/>
      <c r="D6566" s="114"/>
      <c r="E6566" s="114"/>
      <c r="F6566" s="114" t="s">
        <v>3485</v>
      </c>
      <c r="G6566" s="114" t="s">
        <v>3485</v>
      </c>
    </row>
    <row r="6567" spans="1:7">
      <c r="A6567" s="847"/>
      <c r="B6567" s="95">
        <v>1</v>
      </c>
      <c r="C6567" s="86" t="s">
        <v>3332</v>
      </c>
      <c r="D6567" s="95"/>
      <c r="E6567" s="220">
        <v>275</v>
      </c>
      <c r="F6567" s="214">
        <f>'BASIC DATA'!$D$82</f>
        <v>135</v>
      </c>
      <c r="G6567" s="214">
        <f>E6567*F6567</f>
        <v>37125</v>
      </c>
    </row>
    <row r="6568" spans="1:7">
      <c r="A6568" s="847"/>
      <c r="B6568" s="114">
        <v>2</v>
      </c>
      <c r="C6568" s="86" t="s">
        <v>2523</v>
      </c>
      <c r="D6568" s="114"/>
      <c r="E6568" s="220">
        <v>4</v>
      </c>
      <c r="F6568" s="214">
        <f>'BASIC DATA'!$D$29</f>
        <v>46</v>
      </c>
      <c r="G6568" s="214">
        <f>E6568*F6568</f>
        <v>184</v>
      </c>
    </row>
    <row r="6569" spans="1:7">
      <c r="A6569" s="847"/>
      <c r="B6569" s="92"/>
      <c r="C6569" s="353" t="s">
        <v>2376</v>
      </c>
      <c r="D6569" s="159"/>
      <c r="E6569" s="238"/>
      <c r="F6569" s="236" t="s">
        <v>1698</v>
      </c>
      <c r="G6569" s="318">
        <f>SUM(G6567:G6568)</f>
        <v>37309</v>
      </c>
    </row>
    <row r="6570" spans="1:7">
      <c r="A6570" s="847"/>
      <c r="B6570" s="78"/>
      <c r="C6570" s="48"/>
    </row>
    <row r="6571" spans="1:7">
      <c r="A6571" s="847"/>
      <c r="B6571" s="79" t="s">
        <v>2377</v>
      </c>
      <c r="C6571" s="48"/>
    </row>
    <row r="6572" spans="1:7">
      <c r="A6572" s="847"/>
      <c r="B6572" s="95" t="s">
        <v>2369</v>
      </c>
      <c r="C6572" s="350" t="s">
        <v>2378</v>
      </c>
      <c r="D6572" s="95" t="s">
        <v>2370</v>
      </c>
      <c r="E6572" s="95" t="s">
        <v>1166</v>
      </c>
      <c r="F6572" s="95" t="s">
        <v>2371</v>
      </c>
      <c r="G6572" s="95" t="s">
        <v>2372</v>
      </c>
    </row>
    <row r="6573" spans="1:7">
      <c r="A6573" s="847"/>
      <c r="B6573" s="114"/>
      <c r="C6573" s="351"/>
      <c r="D6573" s="114"/>
      <c r="E6573" s="114"/>
      <c r="F6573" s="114" t="s">
        <v>3485</v>
      </c>
      <c r="G6573" s="114" t="s">
        <v>3485</v>
      </c>
    </row>
    <row r="6574" spans="1:7">
      <c r="A6574" s="847"/>
      <c r="B6574" s="95">
        <v>1</v>
      </c>
      <c r="C6574" s="103" t="s">
        <v>1130</v>
      </c>
      <c r="D6574" s="95"/>
      <c r="E6574" s="220">
        <v>0</v>
      </c>
      <c r="F6574" s="214">
        <v>0</v>
      </c>
      <c r="G6574" s="214"/>
    </row>
    <row r="6575" spans="1:7">
      <c r="A6575" s="847"/>
      <c r="B6575" s="116"/>
      <c r="C6575" s="355"/>
      <c r="D6575" s="114"/>
      <c r="E6575" s="220">
        <v>0</v>
      </c>
      <c r="F6575" s="214">
        <v>0</v>
      </c>
      <c r="G6575" s="214"/>
    </row>
    <row r="6576" spans="1:7">
      <c r="A6576" s="847"/>
      <c r="B6576" s="176"/>
      <c r="C6576" s="357" t="s">
        <v>2380</v>
      </c>
      <c r="D6576" s="174"/>
      <c r="E6576" s="192"/>
      <c r="F6576" s="236" t="s">
        <v>1698</v>
      </c>
      <c r="G6576" s="318">
        <f>SUM(G6574:G6575)</f>
        <v>0</v>
      </c>
    </row>
    <row r="6577" spans="1:7">
      <c r="A6577" s="847"/>
      <c r="B6577" s="78"/>
      <c r="C6577" s="48"/>
    </row>
    <row r="6578" spans="1:7">
      <c r="A6578" s="847"/>
      <c r="B6578" s="79" t="s">
        <v>2381</v>
      </c>
      <c r="C6578" s="48"/>
    </row>
    <row r="6579" spans="1:7">
      <c r="A6579" s="847"/>
      <c r="B6579" s="95" t="s">
        <v>2369</v>
      </c>
      <c r="C6579" s="350" t="s">
        <v>2378</v>
      </c>
      <c r="D6579" s="95" t="s">
        <v>2370</v>
      </c>
      <c r="E6579" s="95" t="s">
        <v>1166</v>
      </c>
      <c r="F6579" s="95" t="s">
        <v>2371</v>
      </c>
      <c r="G6579" s="95" t="s">
        <v>2372</v>
      </c>
    </row>
    <row r="6580" spans="1:7">
      <c r="A6580" s="847"/>
      <c r="B6580" s="114"/>
      <c r="C6580" s="351"/>
      <c r="D6580" s="105"/>
      <c r="E6580" s="114"/>
      <c r="F6580" s="114" t="s">
        <v>3485</v>
      </c>
      <c r="G6580" s="114" t="s">
        <v>3485</v>
      </c>
    </row>
    <row r="6581" spans="1:7" ht="36">
      <c r="A6581" s="847"/>
      <c r="B6581" s="105">
        <v>1</v>
      </c>
      <c r="C6581" s="86" t="s">
        <v>2524</v>
      </c>
      <c r="D6581" s="95" t="s">
        <v>3479</v>
      </c>
      <c r="E6581" s="207">
        <v>250</v>
      </c>
      <c r="F6581" s="190">
        <f>F6567*10%</f>
        <v>13.5</v>
      </c>
      <c r="G6581" s="214">
        <f>E6581*F6581</f>
        <v>3375</v>
      </c>
    </row>
    <row r="6582" spans="1:7">
      <c r="A6582" s="847"/>
      <c r="B6582" s="105">
        <v>2</v>
      </c>
      <c r="C6582" s="86" t="s">
        <v>2697</v>
      </c>
      <c r="D6582" s="105" t="s">
        <v>1172</v>
      </c>
      <c r="E6582" s="207">
        <v>1</v>
      </c>
      <c r="F6582" s="190">
        <f>'BASIC DATA'!$C$552</f>
        <v>350</v>
      </c>
      <c r="G6582" s="214">
        <f>E6582*F6582</f>
        <v>350</v>
      </c>
    </row>
    <row r="6583" spans="1:7">
      <c r="A6583" s="847"/>
      <c r="B6583" s="92"/>
      <c r="C6583" s="353" t="s">
        <v>1174</v>
      </c>
      <c r="D6583" s="159"/>
      <c r="E6583" s="238"/>
      <c r="F6583" s="236" t="s">
        <v>1698</v>
      </c>
      <c r="G6583" s="318">
        <f>SUM(G6581:G6582)</f>
        <v>3725</v>
      </c>
    </row>
    <row r="6584" spans="1:7">
      <c r="A6584" s="847"/>
      <c r="B6584" s="359" t="s">
        <v>5948</v>
      </c>
      <c r="C6584" s="355"/>
      <c r="D6584" s="31"/>
      <c r="E6584" s="85">
        <f>ROUND(G6583/F6563,1)</f>
        <v>14.9</v>
      </c>
    </row>
    <row r="6585" spans="1:7">
      <c r="A6585" s="847"/>
      <c r="B6585" s="359" t="s">
        <v>3163</v>
      </c>
      <c r="C6585" s="355"/>
      <c r="D6585" s="922">
        <f>'BASIC DATA'!$C$577</f>
        <v>0.13614999999999999</v>
      </c>
      <c r="E6585" s="85">
        <f>ROUND(E6584*D6585,1)</f>
        <v>2</v>
      </c>
    </row>
    <row r="6586" spans="1:7">
      <c r="A6586" s="847"/>
      <c r="B6586" s="359" t="s">
        <v>5949</v>
      </c>
      <c r="C6586" s="355"/>
      <c r="D6586" s="31"/>
      <c r="E6586" s="199">
        <f>ROUND(E6585+E6584,1)</f>
        <v>16.899999999999999</v>
      </c>
    </row>
    <row r="6587" spans="1:7">
      <c r="A6587" s="847"/>
      <c r="C6587" s="48"/>
    </row>
    <row r="6588" spans="1:7">
      <c r="A6588" s="847"/>
      <c r="B6588" s="162" t="s">
        <v>1175</v>
      </c>
      <c r="C6588" s="48"/>
    </row>
    <row r="6589" spans="1:7">
      <c r="A6589" s="847"/>
      <c r="B6589" s="47" t="s">
        <v>1176</v>
      </c>
      <c r="C6589" s="48"/>
      <c r="F6589" s="171" t="s">
        <v>1698</v>
      </c>
      <c r="G6589" s="68">
        <f>G6569</f>
        <v>37309</v>
      </c>
    </row>
    <row r="6590" spans="1:7">
      <c r="A6590" s="847"/>
      <c r="B6590" s="47" t="s">
        <v>1186</v>
      </c>
      <c r="C6590" s="48"/>
      <c r="F6590" s="171" t="s">
        <v>1698</v>
      </c>
      <c r="G6590" s="68">
        <f>G6576</f>
        <v>0</v>
      </c>
    </row>
    <row r="6591" spans="1:7">
      <c r="A6591" s="847"/>
      <c r="B6591" s="47" t="s">
        <v>2660</v>
      </c>
      <c r="C6591" s="48"/>
      <c r="F6591" s="171" t="s">
        <v>1698</v>
      </c>
      <c r="G6591" s="75">
        <f>G6583</f>
        <v>3725</v>
      </c>
    </row>
    <row r="6592" spans="1:7">
      <c r="A6592" s="847"/>
      <c r="B6592" s="78"/>
      <c r="C6592" s="48"/>
      <c r="F6592" s="171" t="s">
        <v>302</v>
      </c>
      <c r="G6592" s="205">
        <f>SUM(G6589:G6591)</f>
        <v>41034</v>
      </c>
    </row>
    <row r="6593" spans="1:7" ht="38.25" customHeight="1">
      <c r="A6593" s="847"/>
      <c r="B6593" s="1207" t="s">
        <v>1379</v>
      </c>
      <c r="C6593" s="1207"/>
      <c r="D6593" s="1207"/>
      <c r="E6593" s="922">
        <f>'BASIC DATA'!$C$577</f>
        <v>0.13614999999999999</v>
      </c>
      <c r="F6593" s="171" t="s">
        <v>1698</v>
      </c>
      <c r="G6593" s="31">
        <f>ROUND(G6592*E6593,2)</f>
        <v>5586.78</v>
      </c>
    </row>
    <row r="6594" spans="1:7">
      <c r="A6594" s="847"/>
      <c r="B6594" s="47" t="s">
        <v>1191</v>
      </c>
      <c r="C6594" s="48"/>
      <c r="D6594" s="68">
        <f>F6563</f>
        <v>250</v>
      </c>
      <c r="E6594" s="68" t="str">
        <f>G6563</f>
        <v>sqm</v>
      </c>
      <c r="F6594" s="171" t="s">
        <v>1698</v>
      </c>
      <c r="G6594" s="211">
        <f>G6593+G6592</f>
        <v>46620.78</v>
      </c>
    </row>
    <row r="6595" spans="1:7">
      <c r="A6595" s="847"/>
      <c r="B6595" s="79" t="s">
        <v>1584</v>
      </c>
      <c r="C6595" s="404" t="str">
        <f>E6594</f>
        <v>sqm</v>
      </c>
      <c r="D6595" s="26" t="s">
        <v>5892</v>
      </c>
      <c r="F6595" s="171" t="s">
        <v>4108</v>
      </c>
      <c r="G6595" s="211">
        <f>ROUND(G6594/D6594,1)</f>
        <v>186.5</v>
      </c>
    </row>
    <row r="6596" spans="1:7">
      <c r="A6596" s="847"/>
      <c r="B6596" s="78"/>
      <c r="C6596" s="48"/>
    </row>
    <row r="6597" spans="1:7">
      <c r="A6597" s="847"/>
      <c r="B6597" s="78" t="s">
        <v>2525</v>
      </c>
      <c r="C6597" s="47" t="s">
        <v>3393</v>
      </c>
    </row>
    <row r="6598" spans="1:7">
      <c r="A6598" s="847"/>
      <c r="B6598" s="78"/>
      <c r="C6598" s="47" t="s">
        <v>5872</v>
      </c>
    </row>
    <row r="6599" spans="1:7">
      <c r="A6599" s="847"/>
      <c r="B6599" s="78"/>
      <c r="C6599" s="47" t="s">
        <v>3993</v>
      </c>
      <c r="E6599" s="171" t="s">
        <v>3994</v>
      </c>
      <c r="F6599" s="171" t="s">
        <v>2844</v>
      </c>
      <c r="G6599" s="68">
        <f>G6551</f>
        <v>17.600000000000001</v>
      </c>
    </row>
    <row r="6600" spans="1:7">
      <c r="A6600" s="847"/>
      <c r="B6600" s="78"/>
      <c r="C6600" s="48"/>
    </row>
    <row r="6601" spans="1:7">
      <c r="A6601" s="847"/>
      <c r="B6601" s="78"/>
      <c r="C6601" s="48"/>
    </row>
    <row r="6602" spans="1:7" ht="36.75">
      <c r="A6602" s="841" t="s">
        <v>7499</v>
      </c>
      <c r="B6602" s="47" t="s">
        <v>8832</v>
      </c>
      <c r="C6602" s="48"/>
    </row>
    <row r="6603" spans="1:7" ht="18.75">
      <c r="A6603" s="889"/>
      <c r="B6603" s="47" t="s">
        <v>8833</v>
      </c>
      <c r="C6603" s="48"/>
    </row>
    <row r="6604" spans="1:7">
      <c r="A6604" s="895" t="s">
        <v>5401</v>
      </c>
      <c r="B6604" s="162" t="s">
        <v>3995</v>
      </c>
      <c r="C6604" s="48"/>
    </row>
    <row r="6605" spans="1:7">
      <c r="A6605" s="889"/>
      <c r="C6605" s="48"/>
      <c r="F6605" s="78"/>
    </row>
    <row r="6606" spans="1:7" hidden="1">
      <c r="A6606" s="889" t="s">
        <v>3984</v>
      </c>
      <c r="B6606" s="47" t="s">
        <v>3392</v>
      </c>
      <c r="C6606" s="48"/>
    </row>
    <row r="6607" spans="1:7" hidden="1">
      <c r="A6607" s="889"/>
      <c r="B6607" s="47" t="s">
        <v>2269</v>
      </c>
      <c r="C6607" s="48"/>
    </row>
    <row r="6608" spans="1:7" hidden="1">
      <c r="A6608" s="889"/>
      <c r="B6608" s="47" t="s">
        <v>2522</v>
      </c>
      <c r="C6608" s="48"/>
    </row>
    <row r="6609" spans="1:7" hidden="1">
      <c r="A6609" s="889"/>
      <c r="B6609" s="47" t="s">
        <v>4701</v>
      </c>
      <c r="C6609" s="48"/>
    </row>
    <row r="6610" spans="1:7">
      <c r="A6610" s="847"/>
      <c r="B6610" s="78"/>
      <c r="C6610" s="48"/>
    </row>
    <row r="6611" spans="1:7">
      <c r="A6611" s="847" t="s">
        <v>3984</v>
      </c>
      <c r="B6611" s="78"/>
      <c r="C6611" s="349" t="s">
        <v>2367</v>
      </c>
      <c r="E6611" s="171" t="s">
        <v>297</v>
      </c>
      <c r="F6611" s="246">
        <v>250</v>
      </c>
      <c r="G6611" s="26" t="s">
        <v>3479</v>
      </c>
    </row>
    <row r="6612" spans="1:7">
      <c r="A6612" s="847"/>
      <c r="B6612" s="79" t="s">
        <v>2368</v>
      </c>
      <c r="C6612" s="48"/>
    </row>
    <row r="6613" spans="1:7">
      <c r="A6613" s="847"/>
      <c r="B6613" s="95" t="s">
        <v>2369</v>
      </c>
      <c r="C6613" s="350" t="s">
        <v>6374</v>
      </c>
      <c r="D6613" s="95" t="s">
        <v>2370</v>
      </c>
      <c r="E6613" s="95" t="s">
        <v>1166</v>
      </c>
      <c r="F6613" s="95" t="s">
        <v>2371</v>
      </c>
      <c r="G6613" s="95" t="s">
        <v>2372</v>
      </c>
    </row>
    <row r="6614" spans="1:7">
      <c r="A6614" s="847"/>
      <c r="B6614" s="114"/>
      <c r="C6614" s="351"/>
      <c r="D6614" s="114"/>
      <c r="E6614" s="114"/>
      <c r="F6614" s="114" t="s">
        <v>3485</v>
      </c>
      <c r="G6614" s="114" t="s">
        <v>3485</v>
      </c>
    </row>
    <row r="6615" spans="1:7">
      <c r="A6615" s="847"/>
      <c r="B6615" s="95">
        <v>1</v>
      </c>
      <c r="C6615" s="86" t="s">
        <v>143</v>
      </c>
      <c r="D6615" s="95"/>
      <c r="E6615" s="220">
        <v>275</v>
      </c>
      <c r="F6615" s="214">
        <f>'BASIC DATA'!$D$83</f>
        <v>185</v>
      </c>
      <c r="G6615" s="214">
        <f>E6615*F6615</f>
        <v>50875</v>
      </c>
    </row>
    <row r="6616" spans="1:7">
      <c r="A6616" s="847"/>
      <c r="B6616" s="114">
        <v>2</v>
      </c>
      <c r="C6616" s="86" t="s">
        <v>2523</v>
      </c>
      <c r="D6616" s="114"/>
      <c r="E6616" s="220">
        <v>4</v>
      </c>
      <c r="F6616" s="214">
        <f>'BASIC DATA'!$D$29</f>
        <v>46</v>
      </c>
      <c r="G6616" s="214">
        <f>E6616*F6616</f>
        <v>184</v>
      </c>
    </row>
    <row r="6617" spans="1:7">
      <c r="A6617" s="847"/>
      <c r="B6617" s="92"/>
      <c r="C6617" s="353" t="s">
        <v>2376</v>
      </c>
      <c r="D6617" s="159"/>
      <c r="E6617" s="238"/>
      <c r="F6617" s="236" t="s">
        <v>1698</v>
      </c>
      <c r="G6617" s="318">
        <f>SUM(G6615:G6616)</f>
        <v>51059</v>
      </c>
    </row>
    <row r="6618" spans="1:7">
      <c r="A6618" s="847"/>
      <c r="B6618" s="78"/>
      <c r="C6618" s="48"/>
    </row>
    <row r="6619" spans="1:7">
      <c r="A6619" s="847"/>
      <c r="B6619" s="79" t="s">
        <v>2377</v>
      </c>
      <c r="C6619" s="48"/>
    </row>
    <row r="6620" spans="1:7">
      <c r="A6620" s="847"/>
      <c r="B6620" s="95" t="s">
        <v>2369</v>
      </c>
      <c r="C6620" s="350" t="s">
        <v>2378</v>
      </c>
      <c r="D6620" s="95" t="s">
        <v>2370</v>
      </c>
      <c r="E6620" s="95" t="s">
        <v>1166</v>
      </c>
      <c r="F6620" s="95" t="s">
        <v>2371</v>
      </c>
      <c r="G6620" s="95" t="s">
        <v>2372</v>
      </c>
    </row>
    <row r="6621" spans="1:7">
      <c r="A6621" s="847"/>
      <c r="B6621" s="114"/>
      <c r="C6621" s="351"/>
      <c r="D6621" s="114"/>
      <c r="E6621" s="114"/>
      <c r="F6621" s="114" t="s">
        <v>3485</v>
      </c>
      <c r="G6621" s="114" t="s">
        <v>3485</v>
      </c>
    </row>
    <row r="6622" spans="1:7">
      <c r="A6622" s="847"/>
      <c r="B6622" s="95">
        <v>1</v>
      </c>
      <c r="C6622" s="103" t="s">
        <v>1130</v>
      </c>
      <c r="D6622" s="95"/>
      <c r="E6622" s="220">
        <v>0</v>
      </c>
      <c r="F6622" s="214">
        <v>0</v>
      </c>
      <c r="G6622" s="214">
        <f>E6622*F6622</f>
        <v>0</v>
      </c>
    </row>
    <row r="6623" spans="1:7">
      <c r="A6623" s="847"/>
      <c r="B6623" s="116"/>
      <c r="C6623" s="355"/>
      <c r="D6623" s="114"/>
      <c r="E6623" s="220">
        <v>0</v>
      </c>
      <c r="F6623" s="214">
        <v>0</v>
      </c>
      <c r="G6623" s="214">
        <f>E6623*F6623</f>
        <v>0</v>
      </c>
    </row>
    <row r="6624" spans="1:7">
      <c r="A6624" s="847"/>
      <c r="B6624" s="176"/>
      <c r="C6624" s="357" t="s">
        <v>2380</v>
      </c>
      <c r="D6624" s="174"/>
      <c r="E6624" s="192"/>
      <c r="F6624" s="236" t="s">
        <v>1698</v>
      </c>
      <c r="G6624" s="318">
        <f>SUM(G6622:G6623)</f>
        <v>0</v>
      </c>
    </row>
    <row r="6625" spans="1:7">
      <c r="A6625" s="847"/>
      <c r="B6625" s="78"/>
      <c r="C6625" s="48"/>
    </row>
    <row r="6626" spans="1:7">
      <c r="A6626" s="847"/>
      <c r="B6626" s="79" t="s">
        <v>2381</v>
      </c>
      <c r="C6626" s="48"/>
    </row>
    <row r="6627" spans="1:7">
      <c r="A6627" s="847"/>
      <c r="B6627" s="95" t="s">
        <v>2369</v>
      </c>
      <c r="C6627" s="350" t="s">
        <v>2378</v>
      </c>
      <c r="D6627" s="95" t="s">
        <v>2370</v>
      </c>
      <c r="E6627" s="95" t="s">
        <v>1166</v>
      </c>
      <c r="F6627" s="95" t="s">
        <v>2371</v>
      </c>
      <c r="G6627" s="95" t="s">
        <v>2372</v>
      </c>
    </row>
    <row r="6628" spans="1:7">
      <c r="A6628" s="847"/>
      <c r="B6628" s="114"/>
      <c r="C6628" s="351"/>
      <c r="D6628" s="105"/>
      <c r="E6628" s="114"/>
      <c r="F6628" s="114" t="s">
        <v>3485</v>
      </c>
      <c r="G6628" s="114" t="s">
        <v>3485</v>
      </c>
    </row>
    <row r="6629" spans="1:7" ht="36">
      <c r="A6629" s="847"/>
      <c r="B6629" s="105">
        <v>1</v>
      </c>
      <c r="C6629" s="86" t="s">
        <v>2524</v>
      </c>
      <c r="D6629" s="95" t="s">
        <v>3479</v>
      </c>
      <c r="E6629" s="207">
        <v>250</v>
      </c>
      <c r="F6629" s="190">
        <f>F6615*10%</f>
        <v>18.5</v>
      </c>
      <c r="G6629" s="214">
        <f>E6629*F6629</f>
        <v>4625</v>
      </c>
    </row>
    <row r="6630" spans="1:7">
      <c r="A6630" s="847"/>
      <c r="B6630" s="105">
        <v>2</v>
      </c>
      <c r="C6630" s="86" t="s">
        <v>2697</v>
      </c>
      <c r="D6630" s="105" t="s">
        <v>1172</v>
      </c>
      <c r="E6630" s="207">
        <v>1</v>
      </c>
      <c r="F6630" s="190">
        <f>'BASIC DATA'!$C$552</f>
        <v>350</v>
      </c>
      <c r="G6630" s="214">
        <f>E6630*F6630</f>
        <v>350</v>
      </c>
    </row>
    <row r="6631" spans="1:7">
      <c r="A6631" s="847"/>
      <c r="B6631" s="92"/>
      <c r="C6631" s="353" t="s">
        <v>1174</v>
      </c>
      <c r="D6631" s="159"/>
      <c r="E6631" s="238"/>
      <c r="F6631" s="236" t="s">
        <v>1698</v>
      </c>
      <c r="G6631" s="318">
        <f>SUM(G6629:G6630)</f>
        <v>4975</v>
      </c>
    </row>
    <row r="6632" spans="1:7">
      <c r="A6632" s="847"/>
      <c r="B6632" s="359" t="s">
        <v>5948</v>
      </c>
      <c r="C6632" s="355"/>
      <c r="D6632" s="31"/>
      <c r="E6632" s="85">
        <f>ROUND(G6631/F6611,1)</f>
        <v>19.899999999999999</v>
      </c>
    </row>
    <row r="6633" spans="1:7">
      <c r="A6633" s="847"/>
      <c r="B6633" s="359" t="s">
        <v>3163</v>
      </c>
      <c r="C6633" s="355"/>
      <c r="D6633" s="922">
        <f>'BASIC DATA'!$C$577</f>
        <v>0.13614999999999999</v>
      </c>
      <c r="E6633" s="85">
        <f>ROUND(E6632*D6633,1)</f>
        <v>2.7</v>
      </c>
    </row>
    <row r="6634" spans="1:7">
      <c r="A6634" s="847"/>
      <c r="B6634" s="359" t="s">
        <v>5949</v>
      </c>
      <c r="C6634" s="355"/>
      <c r="D6634" s="31"/>
      <c r="E6634" s="199">
        <f>ROUND(E6633+E6632,1)</f>
        <v>22.6</v>
      </c>
    </row>
    <row r="6635" spans="1:7">
      <c r="A6635" s="847"/>
      <c r="B6635" s="78"/>
      <c r="C6635" s="48"/>
    </row>
    <row r="6636" spans="1:7">
      <c r="A6636" s="847"/>
      <c r="B6636" s="162" t="s">
        <v>1175</v>
      </c>
      <c r="C6636" s="48"/>
    </row>
    <row r="6637" spans="1:7">
      <c r="A6637" s="847"/>
      <c r="B6637" s="47" t="s">
        <v>1176</v>
      </c>
      <c r="C6637" s="48"/>
      <c r="F6637" s="171" t="s">
        <v>1698</v>
      </c>
      <c r="G6637" s="68">
        <f>G6617</f>
        <v>51059</v>
      </c>
    </row>
    <row r="6638" spans="1:7">
      <c r="A6638" s="847"/>
      <c r="B6638" s="47" t="s">
        <v>1186</v>
      </c>
      <c r="C6638" s="48"/>
      <c r="F6638" s="171" t="s">
        <v>1698</v>
      </c>
      <c r="G6638" s="68">
        <f>G6624</f>
        <v>0</v>
      </c>
    </row>
    <row r="6639" spans="1:7">
      <c r="A6639" s="847"/>
      <c r="B6639" s="47" t="s">
        <v>2660</v>
      </c>
      <c r="C6639" s="48"/>
      <c r="F6639" s="171" t="s">
        <v>1698</v>
      </c>
      <c r="G6639" s="75">
        <f>G6631</f>
        <v>4975</v>
      </c>
    </row>
    <row r="6640" spans="1:7">
      <c r="A6640" s="847"/>
      <c r="B6640" s="78"/>
      <c r="C6640" s="48"/>
      <c r="F6640" s="171" t="s">
        <v>302</v>
      </c>
      <c r="G6640" s="205">
        <f>SUM(G6637:G6639)</f>
        <v>56034</v>
      </c>
    </row>
    <row r="6641" spans="1:9" ht="36.75" customHeight="1">
      <c r="A6641" s="847"/>
      <c r="B6641" s="1207" t="s">
        <v>1379</v>
      </c>
      <c r="C6641" s="1207"/>
      <c r="D6641" s="1207"/>
      <c r="E6641" s="922">
        <f>'BASIC DATA'!$C$577</f>
        <v>0.13614999999999999</v>
      </c>
      <c r="F6641" s="171" t="s">
        <v>1698</v>
      </c>
      <c r="G6641" s="31">
        <f>ROUND(G6640*E6641,2)</f>
        <v>7629.03</v>
      </c>
    </row>
    <row r="6642" spans="1:9">
      <c r="A6642" s="847"/>
      <c r="B6642" s="47" t="s">
        <v>1191</v>
      </c>
      <c r="C6642" s="48"/>
      <c r="D6642" s="68">
        <f>F6611</f>
        <v>250</v>
      </c>
      <c r="E6642" s="68" t="str">
        <f>G6611</f>
        <v>sqm</v>
      </c>
      <c r="F6642" s="171" t="s">
        <v>1698</v>
      </c>
      <c r="G6642" s="211">
        <f>G6641+G6640</f>
        <v>63663.03</v>
      </c>
    </row>
    <row r="6643" spans="1:9">
      <c r="A6643" s="847"/>
      <c r="B6643" s="79" t="s">
        <v>1584</v>
      </c>
      <c r="C6643" s="404" t="str">
        <f>E6642</f>
        <v>sqm</v>
      </c>
      <c r="D6643" s="26" t="s">
        <v>5892</v>
      </c>
      <c r="F6643" s="171" t="s">
        <v>4108</v>
      </c>
      <c r="G6643" s="211">
        <f>ROUND(G6642/D6642,1)</f>
        <v>254.7</v>
      </c>
    </row>
    <row r="6644" spans="1:9">
      <c r="A6644" s="847"/>
      <c r="B6644" s="78"/>
      <c r="C6644" s="48"/>
    </row>
    <row r="6645" spans="1:9">
      <c r="A6645" s="847"/>
      <c r="B6645" s="78" t="s">
        <v>2525</v>
      </c>
      <c r="C6645" s="47" t="s">
        <v>3393</v>
      </c>
    </row>
    <row r="6646" spans="1:9">
      <c r="A6646" s="847"/>
      <c r="B6646" s="78"/>
      <c r="C6646" s="47" t="s">
        <v>5872</v>
      </c>
    </row>
    <row r="6647" spans="1:9">
      <c r="A6647" s="847"/>
      <c r="B6647" s="78"/>
      <c r="C6647" s="47" t="s">
        <v>3993</v>
      </c>
      <c r="E6647" s="171" t="s">
        <v>3994</v>
      </c>
      <c r="F6647" s="171" t="s">
        <v>2844</v>
      </c>
      <c r="G6647" s="186">
        <f>G6551</f>
        <v>17.600000000000001</v>
      </c>
    </row>
    <row r="6648" spans="1:9">
      <c r="A6648" s="847"/>
      <c r="B6648" s="78"/>
      <c r="C6648" s="48"/>
    </row>
    <row r="6649" spans="1:9">
      <c r="A6649" s="847"/>
      <c r="B6649" s="78"/>
      <c r="C6649" s="48"/>
    </row>
    <row r="6650" spans="1:9" ht="36.75">
      <c r="A6650" s="841" t="s">
        <v>7500</v>
      </c>
      <c r="B6650" s="47" t="s">
        <v>8834</v>
      </c>
      <c r="C6650" s="48"/>
    </row>
    <row r="6651" spans="1:9">
      <c r="A6651" s="889"/>
      <c r="B6651" s="47" t="s">
        <v>8835</v>
      </c>
      <c r="C6651" s="48"/>
    </row>
    <row r="6652" spans="1:9">
      <c r="A6652" s="895"/>
      <c r="B6652" s="162" t="s">
        <v>3569</v>
      </c>
      <c r="C6652" s="48"/>
    </row>
    <row r="6653" spans="1:9">
      <c r="A6653" s="889"/>
      <c r="C6653" s="48"/>
      <c r="F6653" s="78"/>
    </row>
    <row r="6654" spans="1:9" hidden="1">
      <c r="A6654" s="889" t="s">
        <v>3984</v>
      </c>
      <c r="B6654" s="47" t="s">
        <v>3178</v>
      </c>
      <c r="C6654" s="48"/>
    </row>
    <row r="6655" spans="1:9" hidden="1">
      <c r="A6655" s="891"/>
      <c r="B6655" s="382" t="s">
        <v>1180</v>
      </c>
      <c r="C6655" s="49"/>
      <c r="D6655" s="61"/>
      <c r="E6655" s="62" t="s">
        <v>1697</v>
      </c>
      <c r="F6655" s="61">
        <v>38.75</v>
      </c>
      <c r="G6655" s="61" t="s">
        <v>3883</v>
      </c>
      <c r="H6655" s="61"/>
      <c r="I6655" s="61"/>
    </row>
    <row r="6656" spans="1:9">
      <c r="A6656" s="847"/>
      <c r="B6656" s="78"/>
      <c r="C6656" s="48"/>
    </row>
    <row r="6657" spans="1:9">
      <c r="A6657" s="847" t="s">
        <v>1907</v>
      </c>
      <c r="B6657" s="78"/>
      <c r="C6657" s="349" t="s">
        <v>2367</v>
      </c>
      <c r="E6657" s="171" t="s">
        <v>297</v>
      </c>
      <c r="F6657" s="246">
        <v>100</v>
      </c>
      <c r="G6657" s="26" t="s">
        <v>3483</v>
      </c>
    </row>
    <row r="6658" spans="1:9">
      <c r="A6658" s="847"/>
      <c r="B6658" s="79" t="s">
        <v>2368</v>
      </c>
      <c r="C6658" s="48"/>
    </row>
    <row r="6659" spans="1:9">
      <c r="A6659" s="847"/>
      <c r="B6659" s="95" t="s">
        <v>2369</v>
      </c>
      <c r="C6659" s="350" t="s">
        <v>6374</v>
      </c>
      <c r="D6659" s="95" t="s">
        <v>2370</v>
      </c>
      <c r="E6659" s="95" t="s">
        <v>1166</v>
      </c>
      <c r="F6659" s="95" t="s">
        <v>2371</v>
      </c>
      <c r="G6659" s="95" t="s">
        <v>2372</v>
      </c>
    </row>
    <row r="6660" spans="1:9">
      <c r="A6660" s="847"/>
      <c r="B6660" s="114"/>
      <c r="C6660" s="351"/>
      <c r="D6660" s="114"/>
      <c r="E6660" s="114"/>
      <c r="F6660" s="114" t="s">
        <v>3485</v>
      </c>
      <c r="G6660" s="114" t="s">
        <v>3485</v>
      </c>
    </row>
    <row r="6661" spans="1:9" ht="36">
      <c r="A6661" s="847"/>
      <c r="B6661" s="95">
        <v>1</v>
      </c>
      <c r="C6661" s="86" t="s">
        <v>2693</v>
      </c>
      <c r="D6661" s="95" t="s">
        <v>3479</v>
      </c>
      <c r="E6661" s="220">
        <v>38.75</v>
      </c>
      <c r="F6661" s="214">
        <f>'BASIC DATA'!$D$102</f>
        <v>415</v>
      </c>
      <c r="G6661" s="214">
        <f>E6661*F6661</f>
        <v>16081.25</v>
      </c>
    </row>
    <row r="6662" spans="1:9">
      <c r="A6662" s="847"/>
      <c r="B6662" s="116"/>
      <c r="C6662" s="86"/>
      <c r="D6662" s="114"/>
      <c r="E6662" s="220">
        <v>0</v>
      </c>
      <c r="F6662" s="214">
        <v>0</v>
      </c>
      <c r="G6662" s="214"/>
    </row>
    <row r="6663" spans="1:9">
      <c r="A6663" s="847"/>
      <c r="B6663" s="92"/>
      <c r="C6663" s="353" t="s">
        <v>2376</v>
      </c>
      <c r="D6663" s="159"/>
      <c r="E6663" s="238"/>
      <c r="F6663" s="236" t="s">
        <v>1698</v>
      </c>
      <c r="G6663" s="318">
        <f>SUM(G6661:G6662)</f>
        <v>16081.25</v>
      </c>
    </row>
    <row r="6664" spans="1:9">
      <c r="A6664" s="847"/>
      <c r="B6664" s="78"/>
      <c r="C6664" s="48"/>
      <c r="I6664" s="31"/>
    </row>
    <row r="6665" spans="1:9">
      <c r="A6665" s="847"/>
      <c r="B6665" s="79" t="s">
        <v>2377</v>
      </c>
      <c r="C6665" s="48"/>
    </row>
    <row r="6666" spans="1:9">
      <c r="A6666" s="847"/>
      <c r="B6666" s="95" t="s">
        <v>2369</v>
      </c>
      <c r="C6666" s="350" t="s">
        <v>2378</v>
      </c>
      <c r="D6666" s="95" t="s">
        <v>2370</v>
      </c>
      <c r="E6666" s="95" t="s">
        <v>1166</v>
      </c>
      <c r="F6666" s="95" t="s">
        <v>2371</v>
      </c>
      <c r="G6666" s="95" t="s">
        <v>2372</v>
      </c>
    </row>
    <row r="6667" spans="1:9">
      <c r="A6667" s="847"/>
      <c r="B6667" s="114"/>
      <c r="C6667" s="351"/>
      <c r="D6667" s="114"/>
      <c r="E6667" s="114"/>
      <c r="F6667" s="114" t="s">
        <v>3485</v>
      </c>
      <c r="G6667" s="114" t="s">
        <v>3485</v>
      </c>
    </row>
    <row r="6668" spans="1:9">
      <c r="A6668" s="847"/>
      <c r="B6668" s="95">
        <v>1</v>
      </c>
      <c r="C6668" s="103" t="s">
        <v>1130</v>
      </c>
      <c r="D6668" s="95"/>
      <c r="E6668" s="220">
        <v>0</v>
      </c>
      <c r="F6668" s="214">
        <v>0</v>
      </c>
      <c r="G6668" s="214"/>
    </row>
    <row r="6669" spans="1:9">
      <c r="A6669" s="847"/>
      <c r="B6669" s="116"/>
      <c r="C6669" s="355"/>
      <c r="D6669" s="114"/>
      <c r="E6669" s="220">
        <v>0</v>
      </c>
      <c r="F6669" s="214">
        <v>0</v>
      </c>
      <c r="G6669" s="214"/>
    </row>
    <row r="6670" spans="1:9">
      <c r="A6670" s="847"/>
      <c r="B6670" s="176"/>
      <c r="C6670" s="357" t="s">
        <v>2380</v>
      </c>
      <c r="D6670" s="174"/>
      <c r="E6670" s="192"/>
      <c r="F6670" s="236" t="s">
        <v>1698</v>
      </c>
      <c r="G6670" s="318">
        <f>SUM(G6668:G6669)</f>
        <v>0</v>
      </c>
    </row>
    <row r="6671" spans="1:9">
      <c r="A6671" s="847"/>
      <c r="B6671" s="78"/>
      <c r="C6671" s="48"/>
    </row>
    <row r="6672" spans="1:9">
      <c r="A6672" s="847"/>
      <c r="B6672" s="79" t="s">
        <v>2381</v>
      </c>
      <c r="C6672" s="48"/>
    </row>
    <row r="6673" spans="1:7">
      <c r="A6673" s="847"/>
      <c r="B6673" s="95" t="s">
        <v>2369</v>
      </c>
      <c r="C6673" s="350" t="s">
        <v>2378</v>
      </c>
      <c r="D6673" s="95" t="s">
        <v>2370</v>
      </c>
      <c r="E6673" s="95" t="s">
        <v>1166</v>
      </c>
      <c r="F6673" s="95" t="s">
        <v>2371</v>
      </c>
      <c r="G6673" s="95" t="s">
        <v>2372</v>
      </c>
    </row>
    <row r="6674" spans="1:7">
      <c r="A6674" s="847"/>
      <c r="B6674" s="114"/>
      <c r="C6674" s="351"/>
      <c r="D6674" s="105"/>
      <c r="E6674" s="114"/>
      <c r="F6674" s="114" t="s">
        <v>3485</v>
      </c>
      <c r="G6674" s="114" t="s">
        <v>3485</v>
      </c>
    </row>
    <row r="6675" spans="1:7">
      <c r="A6675" s="847"/>
      <c r="B6675" s="105">
        <v>1</v>
      </c>
      <c r="C6675" s="86" t="s">
        <v>1181</v>
      </c>
      <c r="D6675" s="95" t="s">
        <v>1172</v>
      </c>
      <c r="E6675" s="207">
        <v>1</v>
      </c>
      <c r="F6675" s="190">
        <f>'BASIC DATA'!$C$510</f>
        <v>400</v>
      </c>
      <c r="G6675" s="190">
        <f>E6675*F6675</f>
        <v>400</v>
      </c>
    </row>
    <row r="6676" spans="1:7">
      <c r="A6676" s="847"/>
      <c r="B6676" s="105">
        <v>2</v>
      </c>
      <c r="C6676" s="86" t="s">
        <v>2697</v>
      </c>
      <c r="D6676" s="105" t="s">
        <v>1172</v>
      </c>
      <c r="E6676" s="207">
        <v>1</v>
      </c>
      <c r="F6676" s="190">
        <f>'BASIC DATA'!$C$552</f>
        <v>350</v>
      </c>
      <c r="G6676" s="190">
        <f>E6676*F6676</f>
        <v>350</v>
      </c>
    </row>
    <row r="6677" spans="1:7">
      <c r="A6677" s="847"/>
      <c r="B6677" s="92"/>
      <c r="C6677" s="353" t="s">
        <v>1174</v>
      </c>
      <c r="D6677" s="159"/>
      <c r="E6677" s="238"/>
      <c r="F6677" s="236" t="s">
        <v>1698</v>
      </c>
      <c r="G6677" s="318">
        <f>SUM(G6675:G6676)</f>
        <v>750</v>
      </c>
    </row>
    <row r="6678" spans="1:7">
      <c r="A6678" s="847"/>
      <c r="B6678" s="359" t="s">
        <v>5948</v>
      </c>
      <c r="C6678" s="355"/>
      <c r="D6678" s="31"/>
      <c r="E6678" s="85">
        <f>ROUND(G6677/F6657,1)</f>
        <v>7.5</v>
      </c>
    </row>
    <row r="6679" spans="1:7">
      <c r="A6679" s="847"/>
      <c r="B6679" s="359" t="s">
        <v>3163</v>
      </c>
      <c r="C6679" s="355"/>
      <c r="D6679" s="922">
        <f>'BASIC DATA'!$C$577</f>
        <v>0.13614999999999999</v>
      </c>
      <c r="E6679" s="85">
        <f>ROUND(E6678*D6679,1)</f>
        <v>1</v>
      </c>
    </row>
    <row r="6680" spans="1:7">
      <c r="A6680" s="847"/>
      <c r="B6680" s="359" t="s">
        <v>5949</v>
      </c>
      <c r="C6680" s="355"/>
      <c r="D6680" s="31"/>
      <c r="E6680" s="199">
        <f>ROUND(E6679+E6678,1)</f>
        <v>8.5</v>
      </c>
    </row>
    <row r="6681" spans="1:7">
      <c r="A6681" s="847"/>
      <c r="C6681" s="48"/>
    </row>
    <row r="6682" spans="1:7">
      <c r="A6682" s="847"/>
      <c r="B6682" s="162" t="s">
        <v>1175</v>
      </c>
      <c r="C6682" s="48"/>
    </row>
    <row r="6683" spans="1:7">
      <c r="A6683" s="847"/>
      <c r="B6683" s="47" t="s">
        <v>4</v>
      </c>
      <c r="C6683" s="48"/>
      <c r="F6683" s="171" t="s">
        <v>1698</v>
      </c>
      <c r="G6683" s="68">
        <f>G6663</f>
        <v>16081.25</v>
      </c>
    </row>
    <row r="6684" spans="1:7">
      <c r="A6684" s="847"/>
      <c r="B6684" s="47" t="s">
        <v>1186</v>
      </c>
      <c r="C6684" s="48"/>
      <c r="F6684" s="171" t="s">
        <v>1698</v>
      </c>
      <c r="G6684" s="68">
        <f>G6670</f>
        <v>0</v>
      </c>
    </row>
    <row r="6685" spans="1:7">
      <c r="A6685" s="847"/>
      <c r="B6685" s="47" t="s">
        <v>2660</v>
      </c>
      <c r="C6685" s="48"/>
      <c r="F6685" s="171" t="s">
        <v>1698</v>
      </c>
      <c r="G6685" s="75">
        <f>G6677</f>
        <v>750</v>
      </c>
    </row>
    <row r="6686" spans="1:7">
      <c r="A6686" s="847"/>
      <c r="B6686" s="78"/>
      <c r="C6686" s="48"/>
      <c r="F6686" s="171" t="s">
        <v>302</v>
      </c>
      <c r="G6686" s="205">
        <f>SUM(G6683:G6685)</f>
        <v>16831.25</v>
      </c>
    </row>
    <row r="6687" spans="1:7" ht="36.75" customHeight="1">
      <c r="A6687" s="847"/>
      <c r="B6687" s="1207" t="s">
        <v>1379</v>
      </c>
      <c r="C6687" s="1207"/>
      <c r="D6687" s="1207"/>
      <c r="E6687" s="922">
        <f>'BASIC DATA'!$C$577</f>
        <v>0.13614999999999999</v>
      </c>
      <c r="F6687" s="171" t="s">
        <v>1698</v>
      </c>
      <c r="G6687" s="31">
        <f>ROUND(G6686*E6687,2)</f>
        <v>2291.5700000000002</v>
      </c>
    </row>
    <row r="6688" spans="1:7">
      <c r="A6688" s="847"/>
      <c r="B6688" s="47" t="s">
        <v>1191</v>
      </c>
      <c r="C6688" s="48"/>
      <c r="D6688" s="68">
        <f>F6657</f>
        <v>100</v>
      </c>
      <c r="E6688" s="68" t="str">
        <f>G6657</f>
        <v>Rm</v>
      </c>
      <c r="F6688" s="171" t="s">
        <v>1698</v>
      </c>
      <c r="G6688" s="211">
        <f>G6687+G6686</f>
        <v>19122.82</v>
      </c>
    </row>
    <row r="6689" spans="1:7">
      <c r="A6689" s="847"/>
      <c r="B6689" s="79" t="s">
        <v>1584</v>
      </c>
      <c r="C6689" s="404" t="str">
        <f>E6688</f>
        <v>Rm</v>
      </c>
      <c r="D6689" s="26" t="s">
        <v>5893</v>
      </c>
      <c r="F6689" s="171" t="s">
        <v>4108</v>
      </c>
      <c r="G6689" s="211">
        <f>ROUND(G6688/D6688,1)</f>
        <v>191.2</v>
      </c>
    </row>
    <row r="6690" spans="1:7">
      <c r="A6690" s="847"/>
      <c r="B6690" s="78"/>
      <c r="C6690" s="48"/>
    </row>
    <row r="6691" spans="1:7">
      <c r="A6691" s="847"/>
      <c r="B6691" s="78"/>
      <c r="C6691" s="48"/>
    </row>
    <row r="6692" spans="1:7" ht="36.75">
      <c r="A6692" s="841" t="s">
        <v>7501</v>
      </c>
      <c r="B6692" s="47" t="s">
        <v>8836</v>
      </c>
      <c r="C6692" s="48"/>
    </row>
    <row r="6693" spans="1:7" ht="18.75">
      <c r="A6693" s="889"/>
      <c r="B6693" s="47" t="s">
        <v>8837</v>
      </c>
      <c r="C6693" s="48"/>
    </row>
    <row r="6694" spans="1:7">
      <c r="A6694" s="895"/>
      <c r="B6694" s="162" t="s">
        <v>3569</v>
      </c>
      <c r="C6694" s="48"/>
    </row>
    <row r="6695" spans="1:7">
      <c r="A6695" s="889"/>
      <c r="C6695" s="48"/>
      <c r="F6695" s="78"/>
    </row>
    <row r="6696" spans="1:7" hidden="1">
      <c r="A6696" s="889" t="s">
        <v>3984</v>
      </c>
      <c r="B6696" s="47" t="s">
        <v>3178</v>
      </c>
      <c r="C6696" s="48"/>
    </row>
    <row r="6697" spans="1:7" hidden="1">
      <c r="A6697" s="889"/>
      <c r="B6697" s="47" t="s">
        <v>5981</v>
      </c>
      <c r="C6697" s="48"/>
      <c r="E6697" s="78" t="s">
        <v>1697</v>
      </c>
      <c r="F6697" s="68">
        <v>10</v>
      </c>
      <c r="G6697" s="26" t="s">
        <v>3883</v>
      </c>
    </row>
    <row r="6698" spans="1:7">
      <c r="A6698" s="847"/>
      <c r="B6698" s="78"/>
      <c r="C6698" s="48"/>
    </row>
    <row r="6699" spans="1:7">
      <c r="A6699" s="847" t="s">
        <v>1907</v>
      </c>
      <c r="B6699" s="78"/>
      <c r="C6699" s="349" t="s">
        <v>2367</v>
      </c>
      <c r="E6699" s="171" t="s">
        <v>297</v>
      </c>
      <c r="F6699" s="246">
        <v>100</v>
      </c>
      <c r="G6699" s="26" t="s">
        <v>3483</v>
      </c>
    </row>
    <row r="6700" spans="1:7">
      <c r="A6700" s="847"/>
      <c r="B6700" s="79" t="s">
        <v>2368</v>
      </c>
      <c r="C6700" s="48"/>
    </row>
    <row r="6701" spans="1:7">
      <c r="A6701" s="847"/>
      <c r="B6701" s="95" t="s">
        <v>2369</v>
      </c>
      <c r="C6701" s="350" t="s">
        <v>6374</v>
      </c>
      <c r="D6701" s="95" t="s">
        <v>2370</v>
      </c>
      <c r="E6701" s="95" t="s">
        <v>1166</v>
      </c>
      <c r="F6701" s="95" t="s">
        <v>2371</v>
      </c>
      <c r="G6701" s="95" t="s">
        <v>2372</v>
      </c>
    </row>
    <row r="6702" spans="1:7">
      <c r="A6702" s="847"/>
      <c r="B6702" s="114"/>
      <c r="C6702" s="351"/>
      <c r="D6702" s="114"/>
      <c r="E6702" s="114"/>
      <c r="F6702" s="114" t="s">
        <v>3485</v>
      </c>
      <c r="G6702" s="114" t="s">
        <v>3485</v>
      </c>
    </row>
    <row r="6703" spans="1:7" ht="36">
      <c r="A6703" s="847"/>
      <c r="B6703" s="95">
        <v>1</v>
      </c>
      <c r="C6703" s="86" t="s">
        <v>2694</v>
      </c>
      <c r="D6703" s="95" t="s">
        <v>3479</v>
      </c>
      <c r="E6703" s="220">
        <v>10</v>
      </c>
      <c r="F6703" s="214">
        <f>'BASIC DATA'!$D$103</f>
        <v>630</v>
      </c>
      <c r="G6703" s="449">
        <f>E6703*F6703</f>
        <v>6300</v>
      </c>
    </row>
    <row r="6704" spans="1:7">
      <c r="A6704" s="847"/>
      <c r="B6704" s="116"/>
      <c r="C6704" s="86"/>
      <c r="D6704" s="114"/>
      <c r="E6704" s="220">
        <v>0</v>
      </c>
      <c r="F6704" s="214">
        <v>0</v>
      </c>
      <c r="G6704" s="449">
        <f>E6704*F6704</f>
        <v>0</v>
      </c>
    </row>
    <row r="6705" spans="1:9">
      <c r="A6705" s="847"/>
      <c r="B6705" s="92"/>
      <c r="C6705" s="353" t="s">
        <v>2376</v>
      </c>
      <c r="D6705" s="159"/>
      <c r="E6705" s="238"/>
      <c r="F6705" s="236" t="s">
        <v>1698</v>
      </c>
      <c r="G6705" s="318">
        <f>SUM(G6703:G6704)</f>
        <v>6300</v>
      </c>
    </row>
    <row r="6706" spans="1:9">
      <c r="A6706" s="847"/>
      <c r="B6706" s="78"/>
      <c r="C6706" s="48"/>
    </row>
    <row r="6707" spans="1:9">
      <c r="A6707" s="847"/>
      <c r="B6707" s="79" t="s">
        <v>2377</v>
      </c>
      <c r="C6707" s="48"/>
    </row>
    <row r="6708" spans="1:9">
      <c r="A6708" s="847"/>
      <c r="B6708" s="95" t="s">
        <v>2369</v>
      </c>
      <c r="C6708" s="350" t="s">
        <v>2378</v>
      </c>
      <c r="D6708" s="95" t="s">
        <v>2370</v>
      </c>
      <c r="E6708" s="95" t="s">
        <v>1166</v>
      </c>
      <c r="F6708" s="95" t="s">
        <v>2371</v>
      </c>
      <c r="G6708" s="95" t="s">
        <v>2372</v>
      </c>
    </row>
    <row r="6709" spans="1:9">
      <c r="A6709" s="847"/>
      <c r="B6709" s="114"/>
      <c r="C6709" s="351"/>
      <c r="D6709" s="114"/>
      <c r="E6709" s="114"/>
      <c r="F6709" s="114" t="s">
        <v>3485</v>
      </c>
      <c r="G6709" s="114" t="s">
        <v>3485</v>
      </c>
    </row>
    <row r="6710" spans="1:9">
      <c r="A6710" s="847"/>
      <c r="B6710" s="95">
        <v>1</v>
      </c>
      <c r="C6710" s="103" t="s">
        <v>1130</v>
      </c>
      <c r="D6710" s="95"/>
      <c r="E6710" s="220">
        <v>0</v>
      </c>
      <c r="F6710" s="214">
        <v>0</v>
      </c>
      <c r="G6710" s="449">
        <f>E6710*F6710</f>
        <v>0</v>
      </c>
      <c r="I6710" s="31"/>
    </row>
    <row r="6711" spans="1:9">
      <c r="A6711" s="847"/>
      <c r="B6711" s="116"/>
      <c r="C6711" s="355"/>
      <c r="D6711" s="114"/>
      <c r="E6711" s="220">
        <v>0</v>
      </c>
      <c r="F6711" s="214">
        <v>0</v>
      </c>
      <c r="G6711" s="449">
        <f>E6711*F6711</f>
        <v>0</v>
      </c>
    </row>
    <row r="6712" spans="1:9">
      <c r="A6712" s="847"/>
      <c r="B6712" s="176"/>
      <c r="C6712" s="357" t="s">
        <v>2380</v>
      </c>
      <c r="D6712" s="174"/>
      <c r="E6712" s="192"/>
      <c r="F6712" s="236" t="s">
        <v>1698</v>
      </c>
      <c r="G6712" s="318">
        <f>SUM(G6710:G6711)</f>
        <v>0</v>
      </c>
    </row>
    <row r="6713" spans="1:9">
      <c r="A6713" s="847"/>
      <c r="B6713" s="78"/>
      <c r="C6713" s="48"/>
    </row>
    <row r="6714" spans="1:9">
      <c r="A6714" s="847"/>
      <c r="B6714" s="79" t="s">
        <v>2381</v>
      </c>
      <c r="C6714" s="48"/>
    </row>
    <row r="6715" spans="1:9">
      <c r="A6715" s="847"/>
      <c r="B6715" s="95" t="s">
        <v>2369</v>
      </c>
      <c r="C6715" s="350" t="s">
        <v>2378</v>
      </c>
      <c r="D6715" s="95" t="s">
        <v>2370</v>
      </c>
      <c r="E6715" s="95" t="s">
        <v>1166</v>
      </c>
      <c r="F6715" s="95" t="s">
        <v>2371</v>
      </c>
      <c r="G6715" s="95" t="s">
        <v>2372</v>
      </c>
    </row>
    <row r="6716" spans="1:9">
      <c r="A6716" s="847"/>
      <c r="B6716" s="114"/>
      <c r="C6716" s="351"/>
      <c r="D6716" s="105"/>
      <c r="E6716" s="114"/>
      <c r="F6716" s="114" t="s">
        <v>3485</v>
      </c>
      <c r="G6716" s="114" t="s">
        <v>3485</v>
      </c>
    </row>
    <row r="6717" spans="1:9">
      <c r="A6717" s="847"/>
      <c r="B6717" s="105">
        <v>1</v>
      </c>
      <c r="C6717" s="86" t="s">
        <v>1181</v>
      </c>
      <c r="D6717" s="95" t="s">
        <v>1172</v>
      </c>
      <c r="E6717" s="207">
        <v>1</v>
      </c>
      <c r="F6717" s="190">
        <f>'BASIC DATA'!$C$510</f>
        <v>400</v>
      </c>
      <c r="G6717" s="449">
        <f>E6717*F6717</f>
        <v>400</v>
      </c>
    </row>
    <row r="6718" spans="1:9">
      <c r="A6718" s="847"/>
      <c r="B6718" s="105">
        <v>2</v>
      </c>
      <c r="C6718" s="86" t="s">
        <v>2697</v>
      </c>
      <c r="D6718" s="105" t="s">
        <v>1172</v>
      </c>
      <c r="E6718" s="207">
        <v>1</v>
      </c>
      <c r="F6718" s="190">
        <f>'BASIC DATA'!$C$552</f>
        <v>350</v>
      </c>
      <c r="G6718" s="449">
        <f>E6718*F6718</f>
        <v>350</v>
      </c>
    </row>
    <row r="6719" spans="1:9">
      <c r="A6719" s="847"/>
      <c r="B6719" s="92"/>
      <c r="C6719" s="353" t="s">
        <v>1174</v>
      </c>
      <c r="D6719" s="159"/>
      <c r="E6719" s="238"/>
      <c r="F6719" s="236" t="s">
        <v>1698</v>
      </c>
      <c r="G6719" s="318">
        <f>SUM(G6717:G6718)</f>
        <v>750</v>
      </c>
    </row>
    <row r="6720" spans="1:9">
      <c r="A6720" s="847"/>
      <c r="B6720" s="359" t="s">
        <v>5948</v>
      </c>
      <c r="C6720" s="355"/>
      <c r="D6720" s="31"/>
      <c r="E6720" s="85">
        <f>ROUND(G6719/F6699,1)</f>
        <v>7.5</v>
      </c>
    </row>
    <row r="6721" spans="1:7">
      <c r="A6721" s="847"/>
      <c r="B6721" s="359" t="s">
        <v>3163</v>
      </c>
      <c r="C6721" s="355"/>
      <c r="D6721" s="922">
        <f>'BASIC DATA'!$C$577</f>
        <v>0.13614999999999999</v>
      </c>
      <c r="E6721" s="85">
        <f>ROUND(E6720*D6721,1)</f>
        <v>1</v>
      </c>
    </row>
    <row r="6722" spans="1:7">
      <c r="A6722" s="847"/>
      <c r="B6722" s="359" t="s">
        <v>5949</v>
      </c>
      <c r="C6722" s="355"/>
      <c r="D6722" s="31"/>
      <c r="E6722" s="199">
        <f>ROUND(E6721+E6720,1)</f>
        <v>8.5</v>
      </c>
    </row>
    <row r="6723" spans="1:7">
      <c r="A6723" s="847"/>
      <c r="B6723" s="78"/>
      <c r="C6723" s="48"/>
    </row>
    <row r="6724" spans="1:7">
      <c r="A6724" s="847"/>
      <c r="B6724" s="162" t="s">
        <v>1175</v>
      </c>
      <c r="C6724" s="48"/>
    </row>
    <row r="6725" spans="1:7">
      <c r="A6725" s="847"/>
      <c r="B6725" s="47" t="s">
        <v>1176</v>
      </c>
      <c r="C6725" s="48"/>
      <c r="F6725" s="171" t="s">
        <v>1698</v>
      </c>
      <c r="G6725" s="68">
        <f>G6705</f>
        <v>6300</v>
      </c>
    </row>
    <row r="6726" spans="1:7">
      <c r="A6726" s="847"/>
      <c r="B6726" s="47" t="s">
        <v>1186</v>
      </c>
      <c r="C6726" s="48"/>
      <c r="F6726" s="171" t="s">
        <v>1698</v>
      </c>
      <c r="G6726" s="68">
        <f>G6712</f>
        <v>0</v>
      </c>
    </row>
    <row r="6727" spans="1:7">
      <c r="A6727" s="847"/>
      <c r="B6727" s="47" t="s">
        <v>2660</v>
      </c>
      <c r="C6727" s="48"/>
      <c r="F6727" s="171" t="s">
        <v>1698</v>
      </c>
      <c r="G6727" s="75">
        <f>G6719</f>
        <v>750</v>
      </c>
    </row>
    <row r="6728" spans="1:7">
      <c r="A6728" s="847"/>
      <c r="B6728" s="78"/>
      <c r="C6728" s="48"/>
      <c r="F6728" s="171" t="s">
        <v>302</v>
      </c>
      <c r="G6728" s="205">
        <f>SUM(G6725:G6727)</f>
        <v>7050</v>
      </c>
    </row>
    <row r="6729" spans="1:7" ht="36.75" customHeight="1">
      <c r="A6729" s="847"/>
      <c r="B6729" s="1207" t="s">
        <v>1379</v>
      </c>
      <c r="C6729" s="1207"/>
      <c r="D6729" s="1207"/>
      <c r="E6729" s="922">
        <f>'BASIC DATA'!$C$577</f>
        <v>0.13614999999999999</v>
      </c>
      <c r="F6729" s="171" t="s">
        <v>1698</v>
      </c>
      <c r="G6729" s="31">
        <f>ROUND(G6728*E6729,2)</f>
        <v>959.86</v>
      </c>
    </row>
    <row r="6730" spans="1:7">
      <c r="A6730" s="847"/>
      <c r="B6730" s="47" t="s">
        <v>1191</v>
      </c>
      <c r="C6730" s="48"/>
      <c r="D6730" s="68">
        <f>F6699</f>
        <v>100</v>
      </c>
      <c r="E6730" s="68" t="str">
        <f>G6699</f>
        <v>Rm</v>
      </c>
      <c r="F6730" s="171" t="s">
        <v>1698</v>
      </c>
      <c r="G6730" s="211">
        <f>G6729+G6728</f>
        <v>8009.86</v>
      </c>
    </row>
    <row r="6731" spans="1:7">
      <c r="A6731" s="847"/>
      <c r="B6731" s="79" t="s">
        <v>1584</v>
      </c>
      <c r="C6731" s="404" t="str">
        <f>E6730</f>
        <v>Rm</v>
      </c>
      <c r="D6731" s="26" t="s">
        <v>5893</v>
      </c>
      <c r="F6731" s="171" t="s">
        <v>4108</v>
      </c>
      <c r="G6731" s="211">
        <f>ROUND(G6730/D6730,1)</f>
        <v>80.099999999999994</v>
      </c>
    </row>
    <row r="6732" spans="1:7">
      <c r="A6732" s="847"/>
      <c r="B6732" s="78"/>
      <c r="C6732" s="48"/>
    </row>
    <row r="6733" spans="1:7">
      <c r="A6733" s="847"/>
      <c r="B6733" s="78"/>
      <c r="C6733" s="48"/>
    </row>
    <row r="6734" spans="1:7" ht="36.75">
      <c r="A6734" s="841" t="s">
        <v>7502</v>
      </c>
      <c r="B6734" s="47" t="s">
        <v>8838</v>
      </c>
      <c r="C6734" s="48"/>
    </row>
    <row r="6735" spans="1:7" ht="18.75">
      <c r="A6735" s="889"/>
      <c r="B6735" s="47" t="s">
        <v>8837</v>
      </c>
      <c r="C6735" s="48"/>
    </row>
    <row r="6736" spans="1:7">
      <c r="A6736" s="895"/>
      <c r="B6736" s="162" t="s">
        <v>3569</v>
      </c>
      <c r="C6736" s="48"/>
    </row>
    <row r="6737" spans="1:7">
      <c r="A6737" s="889"/>
      <c r="C6737" s="48"/>
      <c r="E6737" s="78"/>
    </row>
    <row r="6738" spans="1:7" hidden="1">
      <c r="A6738" s="889" t="s">
        <v>3984</v>
      </c>
      <c r="B6738" s="47" t="s">
        <v>3178</v>
      </c>
      <c r="C6738" s="48"/>
    </row>
    <row r="6739" spans="1:7" hidden="1">
      <c r="A6739" s="889"/>
      <c r="B6739" s="47" t="s">
        <v>6963</v>
      </c>
      <c r="C6739" s="48"/>
      <c r="E6739" s="78" t="s">
        <v>1697</v>
      </c>
      <c r="F6739" s="68">
        <f>100*0.15</f>
        <v>15</v>
      </c>
      <c r="G6739" s="26" t="s">
        <v>3883</v>
      </c>
    </row>
    <row r="6740" spans="1:7">
      <c r="A6740" s="847"/>
      <c r="B6740" s="78"/>
      <c r="C6740" s="48"/>
    </row>
    <row r="6741" spans="1:7">
      <c r="A6741" s="847" t="s">
        <v>3984</v>
      </c>
      <c r="B6741" s="78"/>
      <c r="C6741" s="349" t="s">
        <v>2367</v>
      </c>
      <c r="E6741" s="171" t="s">
        <v>297</v>
      </c>
      <c r="F6741" s="246">
        <v>100</v>
      </c>
      <c r="G6741" s="26" t="s">
        <v>3483</v>
      </c>
    </row>
    <row r="6742" spans="1:7">
      <c r="A6742" s="847"/>
      <c r="B6742" s="79" t="s">
        <v>2368</v>
      </c>
      <c r="C6742" s="48"/>
    </row>
    <row r="6743" spans="1:7">
      <c r="A6743" s="847"/>
      <c r="B6743" s="95" t="s">
        <v>2369</v>
      </c>
      <c r="C6743" s="350" t="s">
        <v>6374</v>
      </c>
      <c r="D6743" s="95" t="s">
        <v>2370</v>
      </c>
      <c r="E6743" s="95" t="s">
        <v>1166</v>
      </c>
      <c r="F6743" s="95" t="s">
        <v>2371</v>
      </c>
      <c r="G6743" s="95" t="s">
        <v>2372</v>
      </c>
    </row>
    <row r="6744" spans="1:7">
      <c r="A6744" s="847"/>
      <c r="B6744" s="114"/>
      <c r="C6744" s="351"/>
      <c r="D6744" s="114"/>
      <c r="E6744" s="114"/>
      <c r="F6744" s="114" t="s">
        <v>3485</v>
      </c>
      <c r="G6744" s="114" t="s">
        <v>3485</v>
      </c>
    </row>
    <row r="6745" spans="1:7" ht="36">
      <c r="A6745" s="847"/>
      <c r="B6745" s="95">
        <v>1</v>
      </c>
      <c r="C6745" s="86" t="s">
        <v>2694</v>
      </c>
      <c r="D6745" s="95" t="s">
        <v>3479</v>
      </c>
      <c r="E6745" s="220">
        <v>15.3</v>
      </c>
      <c r="F6745" s="214">
        <f>'BASIC DATA'!$D$103</f>
        <v>630</v>
      </c>
      <c r="G6745" s="449">
        <f>E6745*F6745</f>
        <v>9639</v>
      </c>
    </row>
    <row r="6746" spans="1:7">
      <c r="A6746" s="847"/>
      <c r="B6746" s="116"/>
      <c r="C6746" s="86"/>
      <c r="D6746" s="114"/>
      <c r="E6746" s="220">
        <v>0</v>
      </c>
      <c r="F6746" s="214">
        <v>0</v>
      </c>
      <c r="G6746" s="449"/>
    </row>
    <row r="6747" spans="1:7">
      <c r="A6747" s="847"/>
      <c r="B6747" s="92"/>
      <c r="C6747" s="353" t="s">
        <v>2376</v>
      </c>
      <c r="D6747" s="159"/>
      <c r="E6747" s="238"/>
      <c r="F6747" s="236" t="s">
        <v>1698</v>
      </c>
      <c r="G6747" s="318">
        <f>SUM(G6745:G6746)</f>
        <v>9639</v>
      </c>
    </row>
    <row r="6748" spans="1:7">
      <c r="A6748" s="847"/>
      <c r="B6748" s="78"/>
      <c r="C6748" s="48"/>
    </row>
    <row r="6749" spans="1:7">
      <c r="A6749" s="847"/>
      <c r="B6749" s="79" t="s">
        <v>2377</v>
      </c>
      <c r="C6749" s="48"/>
    </row>
    <row r="6750" spans="1:7">
      <c r="A6750" s="847"/>
      <c r="B6750" s="95" t="s">
        <v>2369</v>
      </c>
      <c r="C6750" s="350" t="s">
        <v>2378</v>
      </c>
      <c r="D6750" s="95" t="s">
        <v>2370</v>
      </c>
      <c r="E6750" s="95" t="s">
        <v>1166</v>
      </c>
      <c r="F6750" s="95" t="s">
        <v>2371</v>
      </c>
      <c r="G6750" s="95" t="s">
        <v>2372</v>
      </c>
    </row>
    <row r="6751" spans="1:7">
      <c r="A6751" s="847"/>
      <c r="B6751" s="114"/>
      <c r="C6751" s="351"/>
      <c r="D6751" s="114"/>
      <c r="E6751" s="114"/>
      <c r="F6751" s="114" t="s">
        <v>3485</v>
      </c>
      <c r="G6751" s="114" t="s">
        <v>3485</v>
      </c>
    </row>
    <row r="6752" spans="1:7">
      <c r="A6752" s="847"/>
      <c r="B6752" s="95">
        <v>1</v>
      </c>
      <c r="C6752" s="103" t="s">
        <v>1130</v>
      </c>
      <c r="D6752" s="95"/>
      <c r="E6752" s="220">
        <v>0</v>
      </c>
      <c r="F6752" s="214">
        <v>0</v>
      </c>
      <c r="G6752" s="449"/>
    </row>
    <row r="6753" spans="1:7">
      <c r="A6753" s="847"/>
      <c r="B6753" s="116"/>
      <c r="C6753" s="355"/>
      <c r="D6753" s="114"/>
      <c r="E6753" s="220">
        <v>0</v>
      </c>
      <c r="F6753" s="214">
        <v>0</v>
      </c>
      <c r="G6753" s="449"/>
    </row>
    <row r="6754" spans="1:7">
      <c r="A6754" s="847"/>
      <c r="B6754" s="176"/>
      <c r="C6754" s="357" t="s">
        <v>2380</v>
      </c>
      <c r="D6754" s="174"/>
      <c r="E6754" s="192"/>
      <c r="F6754" s="236" t="s">
        <v>1698</v>
      </c>
      <c r="G6754" s="318">
        <f>SUM(G6752:G6753)</f>
        <v>0</v>
      </c>
    </row>
    <row r="6755" spans="1:7">
      <c r="A6755" s="847"/>
      <c r="B6755" s="78"/>
      <c r="C6755" s="48"/>
    </row>
    <row r="6756" spans="1:7">
      <c r="A6756" s="847"/>
      <c r="B6756" s="79" t="s">
        <v>2381</v>
      </c>
      <c r="C6756" s="48"/>
    </row>
    <row r="6757" spans="1:7">
      <c r="A6757" s="847"/>
      <c r="B6757" s="95" t="s">
        <v>2369</v>
      </c>
      <c r="C6757" s="350" t="s">
        <v>2378</v>
      </c>
      <c r="D6757" s="95" t="s">
        <v>2370</v>
      </c>
      <c r="E6757" s="95" t="s">
        <v>1166</v>
      </c>
      <c r="F6757" s="95" t="s">
        <v>2371</v>
      </c>
      <c r="G6757" s="95" t="s">
        <v>2372</v>
      </c>
    </row>
    <row r="6758" spans="1:7">
      <c r="A6758" s="847"/>
      <c r="B6758" s="114"/>
      <c r="C6758" s="351"/>
      <c r="D6758" s="105"/>
      <c r="E6758" s="114"/>
      <c r="F6758" s="114" t="s">
        <v>3485</v>
      </c>
      <c r="G6758" s="114" t="s">
        <v>3485</v>
      </c>
    </row>
    <row r="6759" spans="1:7">
      <c r="A6759" s="847"/>
      <c r="B6759" s="105">
        <v>1</v>
      </c>
      <c r="C6759" s="86" t="s">
        <v>1181</v>
      </c>
      <c r="D6759" s="95" t="s">
        <v>1172</v>
      </c>
      <c r="E6759" s="207">
        <v>1</v>
      </c>
      <c r="F6759" s="190">
        <f>'BASIC DATA'!$C$510</f>
        <v>400</v>
      </c>
      <c r="G6759" s="449">
        <f>E6759*F6759</f>
        <v>400</v>
      </c>
    </row>
    <row r="6760" spans="1:7">
      <c r="A6760" s="847"/>
      <c r="B6760" s="105">
        <v>2</v>
      </c>
      <c r="C6760" s="86" t="s">
        <v>2697</v>
      </c>
      <c r="D6760" s="105" t="s">
        <v>1172</v>
      </c>
      <c r="E6760" s="207">
        <v>1</v>
      </c>
      <c r="F6760" s="190">
        <f>'BASIC DATA'!$C$552</f>
        <v>350</v>
      </c>
      <c r="G6760" s="449">
        <f>E6760*F6760</f>
        <v>350</v>
      </c>
    </row>
    <row r="6761" spans="1:7">
      <c r="A6761" s="847"/>
      <c r="B6761" s="92"/>
      <c r="C6761" s="353" t="s">
        <v>1174</v>
      </c>
      <c r="D6761" s="159"/>
      <c r="E6761" s="238"/>
      <c r="F6761" s="236" t="s">
        <v>1698</v>
      </c>
      <c r="G6761" s="318">
        <f>SUM(G6759:G6760)</f>
        <v>750</v>
      </c>
    </row>
    <row r="6762" spans="1:7">
      <c r="A6762" s="847"/>
      <c r="B6762" s="359" t="s">
        <v>5948</v>
      </c>
      <c r="C6762" s="48"/>
      <c r="D6762" s="31"/>
      <c r="E6762" s="85">
        <f>ROUND(G6761/F6741,1)</f>
        <v>7.5</v>
      </c>
    </row>
    <row r="6763" spans="1:7">
      <c r="A6763" s="847"/>
      <c r="B6763" s="359" t="s">
        <v>3163</v>
      </c>
      <c r="C6763" s="48"/>
      <c r="D6763" s="922">
        <f>'BASIC DATA'!$C$577</f>
        <v>0.13614999999999999</v>
      </c>
      <c r="E6763" s="85">
        <f>ROUND(E6762*D6763,1)</f>
        <v>1</v>
      </c>
    </row>
    <row r="6764" spans="1:7">
      <c r="A6764" s="847"/>
      <c r="B6764" s="359" t="s">
        <v>5949</v>
      </c>
      <c r="C6764" s="48"/>
      <c r="D6764" s="31"/>
      <c r="E6764" s="199">
        <f>ROUND(E6763+E6762,1)</f>
        <v>8.5</v>
      </c>
    </row>
    <row r="6765" spans="1:7">
      <c r="A6765" s="847"/>
      <c r="C6765" s="48"/>
    </row>
    <row r="6766" spans="1:7">
      <c r="A6766" s="847"/>
      <c r="B6766" s="162" t="s">
        <v>1175</v>
      </c>
      <c r="C6766" s="48"/>
    </row>
    <row r="6767" spans="1:7">
      <c r="A6767" s="847"/>
      <c r="B6767" s="47" t="s">
        <v>1176</v>
      </c>
      <c r="C6767" s="48"/>
      <c r="F6767" s="171" t="s">
        <v>1698</v>
      </c>
      <c r="G6767" s="68">
        <f>G6747</f>
        <v>9639</v>
      </c>
    </row>
    <row r="6768" spans="1:7">
      <c r="A6768" s="847"/>
      <c r="B6768" s="47" t="s">
        <v>1186</v>
      </c>
      <c r="C6768" s="48"/>
      <c r="F6768" s="171" t="s">
        <v>1698</v>
      </c>
      <c r="G6768" s="68">
        <f>G6754</f>
        <v>0</v>
      </c>
    </row>
    <row r="6769" spans="1:7">
      <c r="A6769" s="847"/>
      <c r="B6769" s="47" t="s">
        <v>2660</v>
      </c>
      <c r="C6769" s="48"/>
      <c r="F6769" s="171" t="s">
        <v>1698</v>
      </c>
      <c r="G6769" s="75">
        <f>G6761</f>
        <v>750</v>
      </c>
    </row>
    <row r="6770" spans="1:7">
      <c r="A6770" s="847"/>
      <c r="B6770" s="78"/>
      <c r="C6770" s="48"/>
      <c r="F6770" s="171" t="s">
        <v>302</v>
      </c>
      <c r="G6770" s="205">
        <f>SUM(G6767:G6769)</f>
        <v>10389</v>
      </c>
    </row>
    <row r="6771" spans="1:7" ht="41.25" customHeight="1">
      <c r="A6771" s="847"/>
      <c r="B6771" s="1207" t="s">
        <v>1379</v>
      </c>
      <c r="C6771" s="1207"/>
      <c r="D6771" s="1207"/>
      <c r="E6771" s="922">
        <f>'BASIC DATA'!$C$577</f>
        <v>0.13614999999999999</v>
      </c>
      <c r="F6771" s="171" t="s">
        <v>1698</v>
      </c>
      <c r="G6771" s="31">
        <f>ROUND(G6770*E6771,2)</f>
        <v>1414.46</v>
      </c>
    </row>
    <row r="6772" spans="1:7">
      <c r="A6772" s="847"/>
      <c r="B6772" s="47" t="s">
        <v>1191</v>
      </c>
      <c r="C6772" s="48"/>
      <c r="D6772" s="68">
        <f>F6741</f>
        <v>100</v>
      </c>
      <c r="E6772" s="68" t="str">
        <f>G6741</f>
        <v>Rm</v>
      </c>
      <c r="F6772" s="171" t="s">
        <v>1698</v>
      </c>
      <c r="G6772" s="211">
        <f>G6771+G6770</f>
        <v>11803.46</v>
      </c>
    </row>
    <row r="6773" spans="1:7">
      <c r="A6773" s="847"/>
      <c r="B6773" s="79" t="s">
        <v>1584</v>
      </c>
      <c r="C6773" s="404" t="str">
        <f>E6772</f>
        <v>Rm</v>
      </c>
      <c r="D6773" s="26" t="s">
        <v>5893</v>
      </c>
      <c r="F6773" s="171" t="s">
        <v>4108</v>
      </c>
      <c r="G6773" s="211">
        <f>ROUND(G6772/D6772,1)</f>
        <v>118</v>
      </c>
    </row>
    <row r="6774" spans="1:7">
      <c r="A6774" s="847"/>
      <c r="B6774" s="78"/>
      <c r="C6774" s="48"/>
    </row>
    <row r="6775" spans="1:7">
      <c r="A6775" s="847"/>
      <c r="B6775" s="78"/>
      <c r="C6775" s="48"/>
    </row>
    <row r="6776" spans="1:7" ht="36.75">
      <c r="A6776" s="841" t="s">
        <v>7503</v>
      </c>
      <c r="B6776" s="47" t="s">
        <v>8839</v>
      </c>
      <c r="C6776" s="48"/>
    </row>
    <row r="6777" spans="1:7" ht="18.75">
      <c r="A6777" s="889"/>
      <c r="B6777" s="47" t="s">
        <v>8840</v>
      </c>
      <c r="C6777" s="48"/>
    </row>
    <row r="6778" spans="1:7">
      <c r="A6778" s="895"/>
      <c r="B6778" s="162" t="s">
        <v>2398</v>
      </c>
      <c r="C6778" s="48"/>
    </row>
    <row r="6779" spans="1:7"/>
    <row r="6780" spans="1:7" hidden="1">
      <c r="A6780" s="889" t="s">
        <v>3984</v>
      </c>
      <c r="B6780" s="47" t="s">
        <v>2399</v>
      </c>
      <c r="C6780" s="48"/>
    </row>
    <row r="6781" spans="1:7" hidden="1">
      <c r="A6781" s="889"/>
      <c r="B6781" s="47" t="s">
        <v>2400</v>
      </c>
      <c r="C6781" s="48"/>
      <c r="E6781" s="78" t="s">
        <v>1697</v>
      </c>
      <c r="F6781" s="26">
        <v>35</v>
      </c>
      <c r="G6781" s="26" t="s">
        <v>3033</v>
      </c>
    </row>
    <row r="6782" spans="1:7" hidden="1">
      <c r="A6782" s="889"/>
      <c r="B6782" s="47" t="s">
        <v>6925</v>
      </c>
      <c r="C6782" s="48"/>
      <c r="E6782" s="78" t="s">
        <v>1697</v>
      </c>
      <c r="F6782" s="26">
        <v>0.04</v>
      </c>
      <c r="G6782" s="26" t="s">
        <v>6901</v>
      </c>
    </row>
    <row r="6783" spans="1:7">
      <c r="A6783" s="847"/>
      <c r="B6783" s="78"/>
      <c r="C6783" s="48"/>
    </row>
    <row r="6784" spans="1:7">
      <c r="A6784" s="847" t="s">
        <v>3984</v>
      </c>
      <c r="B6784" s="78"/>
      <c r="C6784" s="349" t="s">
        <v>2367</v>
      </c>
      <c r="E6784" s="171" t="s">
        <v>297</v>
      </c>
      <c r="F6784" s="246">
        <v>100</v>
      </c>
      <c r="G6784" s="26" t="s">
        <v>3483</v>
      </c>
    </row>
    <row r="6785" spans="1:11">
      <c r="A6785" s="847"/>
      <c r="B6785" s="79" t="s">
        <v>2368</v>
      </c>
      <c r="C6785" s="48"/>
    </row>
    <row r="6786" spans="1:11">
      <c r="A6786" s="847"/>
      <c r="B6786" s="95" t="s">
        <v>2369</v>
      </c>
      <c r="C6786" s="350" t="s">
        <v>6374</v>
      </c>
      <c r="D6786" s="95" t="s">
        <v>2370</v>
      </c>
      <c r="E6786" s="95" t="s">
        <v>1166</v>
      </c>
      <c r="F6786" s="95" t="s">
        <v>2371</v>
      </c>
      <c r="G6786" s="95" t="s">
        <v>2372</v>
      </c>
    </row>
    <row r="6787" spans="1:11">
      <c r="A6787" s="847"/>
      <c r="B6787" s="114"/>
      <c r="C6787" s="351"/>
      <c r="D6787" s="114"/>
      <c r="E6787" s="114"/>
      <c r="F6787" s="114" t="s">
        <v>3485</v>
      </c>
      <c r="G6787" s="114" t="s">
        <v>3485</v>
      </c>
    </row>
    <row r="6788" spans="1:11">
      <c r="A6788" s="847"/>
      <c r="B6788" s="95">
        <v>1</v>
      </c>
      <c r="C6788" s="86" t="s">
        <v>2400</v>
      </c>
      <c r="D6788" s="95" t="s">
        <v>3478</v>
      </c>
      <c r="E6788" s="220">
        <v>35</v>
      </c>
      <c r="F6788" s="214">
        <f>'BASIC DATA'!$D$29</f>
        <v>46</v>
      </c>
      <c r="G6788" s="449">
        <f>E6788*F6788</f>
        <v>1610</v>
      </c>
    </row>
    <row r="6789" spans="1:11">
      <c r="A6789" s="848"/>
      <c r="B6789" s="589"/>
      <c r="C6789" s="392" t="s">
        <v>7937</v>
      </c>
      <c r="D6789" s="237" t="s">
        <v>3477</v>
      </c>
      <c r="E6789" s="256">
        <v>0.04</v>
      </c>
      <c r="F6789" s="266">
        <f>'BASIC DATA'!$D$57</f>
        <v>165</v>
      </c>
      <c r="G6789" s="450">
        <f>E6789*F6789</f>
        <v>6.6000000000000005</v>
      </c>
      <c r="H6789" s="61"/>
      <c r="I6789" s="61"/>
      <c r="J6789" s="61"/>
      <c r="K6789" s="61"/>
    </row>
    <row r="6790" spans="1:11">
      <c r="A6790" s="847"/>
      <c r="B6790" s="92"/>
      <c r="C6790" s="353" t="s">
        <v>2376</v>
      </c>
      <c r="D6790" s="159"/>
      <c r="E6790" s="238"/>
      <c r="F6790" s="236" t="s">
        <v>1698</v>
      </c>
      <c r="G6790" s="318">
        <f>SUM(G6788:G6789)</f>
        <v>1616.6</v>
      </c>
    </row>
    <row r="6791" spans="1:11">
      <c r="A6791" s="847"/>
      <c r="B6791" s="78"/>
      <c r="C6791" s="48"/>
    </row>
    <row r="6792" spans="1:11">
      <c r="A6792" s="847"/>
      <c r="B6792" s="79" t="s">
        <v>2377</v>
      </c>
      <c r="C6792" s="48"/>
    </row>
    <row r="6793" spans="1:11">
      <c r="A6793" s="847"/>
      <c r="B6793" s="95" t="s">
        <v>2369</v>
      </c>
      <c r="C6793" s="350" t="s">
        <v>2378</v>
      </c>
      <c r="D6793" s="95" t="s">
        <v>2370</v>
      </c>
      <c r="E6793" s="95" t="s">
        <v>1166</v>
      </c>
      <c r="F6793" s="95" t="s">
        <v>2371</v>
      </c>
      <c r="G6793" s="95" t="s">
        <v>2372</v>
      </c>
    </row>
    <row r="6794" spans="1:11">
      <c r="A6794" s="847"/>
      <c r="B6794" s="114"/>
      <c r="C6794" s="351"/>
      <c r="D6794" s="114"/>
      <c r="E6794" s="114"/>
      <c r="F6794" s="114" t="s">
        <v>3485</v>
      </c>
      <c r="G6794" s="114" t="s">
        <v>3485</v>
      </c>
    </row>
    <row r="6795" spans="1:11">
      <c r="A6795" s="847"/>
      <c r="B6795" s="95">
        <v>1</v>
      </c>
      <c r="C6795" s="103" t="s">
        <v>1130</v>
      </c>
      <c r="D6795" s="95"/>
      <c r="E6795" s="220">
        <v>0</v>
      </c>
      <c r="F6795" s="214">
        <v>0</v>
      </c>
      <c r="G6795" s="449">
        <f>E6795*F6795</f>
        <v>0</v>
      </c>
    </row>
    <row r="6796" spans="1:11">
      <c r="A6796" s="847"/>
      <c r="B6796" s="116"/>
      <c r="C6796" s="355"/>
      <c r="D6796" s="114"/>
      <c r="E6796" s="220">
        <v>0</v>
      </c>
      <c r="F6796" s="214">
        <v>0</v>
      </c>
      <c r="G6796" s="449">
        <f>E6796*F6796</f>
        <v>0</v>
      </c>
    </row>
    <row r="6797" spans="1:11">
      <c r="A6797" s="847"/>
      <c r="B6797" s="176"/>
      <c r="C6797" s="357" t="s">
        <v>2380</v>
      </c>
      <c r="D6797" s="174"/>
      <c r="E6797" s="192"/>
      <c r="F6797" s="236" t="s">
        <v>1698</v>
      </c>
      <c r="G6797" s="318">
        <f>SUM(G6795:G6796)</f>
        <v>0</v>
      </c>
    </row>
    <row r="6798" spans="1:11">
      <c r="A6798" s="847"/>
      <c r="B6798" s="78"/>
      <c r="C6798" s="48"/>
      <c r="J6798" s="60"/>
    </row>
    <row r="6799" spans="1:11">
      <c r="A6799" s="847"/>
      <c r="B6799" s="79" t="s">
        <v>2381</v>
      </c>
      <c r="C6799" s="48"/>
    </row>
    <row r="6800" spans="1:11">
      <c r="A6800" s="847"/>
      <c r="B6800" s="95" t="s">
        <v>2369</v>
      </c>
      <c r="C6800" s="350" t="s">
        <v>2378</v>
      </c>
      <c r="D6800" s="95" t="s">
        <v>2370</v>
      </c>
      <c r="E6800" s="95" t="s">
        <v>1166</v>
      </c>
      <c r="F6800" s="95" t="s">
        <v>2371</v>
      </c>
      <c r="G6800" s="95" t="s">
        <v>2372</v>
      </c>
    </row>
    <row r="6801" spans="1:7">
      <c r="A6801" s="847"/>
      <c r="B6801" s="114"/>
      <c r="C6801" s="351"/>
      <c r="D6801" s="105"/>
      <c r="E6801" s="114"/>
      <c r="F6801" s="114" t="s">
        <v>3485</v>
      </c>
      <c r="G6801" s="114" t="s">
        <v>3485</v>
      </c>
    </row>
    <row r="6802" spans="1:7">
      <c r="A6802" s="847"/>
      <c r="B6802" s="105">
        <v>1</v>
      </c>
      <c r="C6802" s="86" t="s">
        <v>4203</v>
      </c>
      <c r="D6802" s="95" t="s">
        <v>1172</v>
      </c>
      <c r="E6802" s="207">
        <v>0.5</v>
      </c>
      <c r="F6802" s="190">
        <f>'BASIC DATA'!$C$541</f>
        <v>400</v>
      </c>
      <c r="G6802" s="449">
        <f>E6802*F6802</f>
        <v>200</v>
      </c>
    </row>
    <row r="6803" spans="1:7">
      <c r="A6803" s="847"/>
      <c r="B6803" s="105">
        <v>2</v>
      </c>
      <c r="C6803" s="86" t="s">
        <v>2697</v>
      </c>
      <c r="D6803" s="105" t="s">
        <v>1172</v>
      </c>
      <c r="E6803" s="207">
        <v>1</v>
      </c>
      <c r="F6803" s="190">
        <f>'BASIC DATA'!$C$552</f>
        <v>350</v>
      </c>
      <c r="G6803" s="449">
        <f>E6803*F6803</f>
        <v>350</v>
      </c>
    </row>
    <row r="6804" spans="1:7">
      <c r="A6804" s="847"/>
      <c r="B6804" s="92"/>
      <c r="C6804" s="353" t="s">
        <v>1174</v>
      </c>
      <c r="D6804" s="159"/>
      <c r="E6804" s="238"/>
      <c r="F6804" s="236" t="s">
        <v>1698</v>
      </c>
      <c r="G6804" s="318">
        <f>SUM(G6802:G6803)</f>
        <v>550</v>
      </c>
    </row>
    <row r="6805" spans="1:7">
      <c r="A6805" s="847"/>
      <c r="B6805" s="359" t="s">
        <v>5948</v>
      </c>
      <c r="C6805" s="413"/>
      <c r="D6805" s="31"/>
      <c r="E6805" s="85">
        <f>ROUND(G6804/F6784,1)</f>
        <v>5.5</v>
      </c>
    </row>
    <row r="6806" spans="1:7">
      <c r="A6806" s="847"/>
      <c r="B6806" s="359" t="s">
        <v>3163</v>
      </c>
      <c r="C6806" s="413"/>
      <c r="D6806" s="922">
        <f>'BASIC DATA'!$C$577</f>
        <v>0.13614999999999999</v>
      </c>
      <c r="E6806" s="85">
        <f>ROUND(E6805*D6806,1)</f>
        <v>0.7</v>
      </c>
    </row>
    <row r="6807" spans="1:7">
      <c r="A6807" s="847"/>
      <c r="B6807" s="359" t="s">
        <v>5949</v>
      </c>
      <c r="C6807" s="413"/>
      <c r="D6807" s="31"/>
      <c r="E6807" s="199">
        <f>ROUND(E6806+E6805,1)</f>
        <v>6.2</v>
      </c>
    </row>
    <row r="6808" spans="1:7">
      <c r="A6808" s="847"/>
      <c r="C6808" s="48"/>
    </row>
    <row r="6809" spans="1:7">
      <c r="A6809" s="847"/>
      <c r="B6809" s="162" t="s">
        <v>1175</v>
      </c>
      <c r="C6809" s="48"/>
    </row>
    <row r="6810" spans="1:7">
      <c r="A6810" s="847"/>
      <c r="B6810" s="47" t="s">
        <v>1176</v>
      </c>
      <c r="C6810" s="48"/>
      <c r="F6810" s="171" t="s">
        <v>1698</v>
      </c>
      <c r="G6810" s="68">
        <f>G6790</f>
        <v>1616.6</v>
      </c>
    </row>
    <row r="6811" spans="1:7">
      <c r="A6811" s="847"/>
      <c r="B6811" s="47" t="s">
        <v>1186</v>
      </c>
      <c r="C6811" s="48"/>
      <c r="F6811" s="171" t="s">
        <v>1698</v>
      </c>
      <c r="G6811" s="68">
        <f>G6797</f>
        <v>0</v>
      </c>
    </row>
    <row r="6812" spans="1:7">
      <c r="A6812" s="847"/>
      <c r="B6812" s="47" t="s">
        <v>2660</v>
      </c>
      <c r="C6812" s="48"/>
      <c r="F6812" s="171" t="s">
        <v>1698</v>
      </c>
      <c r="G6812" s="75">
        <f>G6804</f>
        <v>550</v>
      </c>
    </row>
    <row r="6813" spans="1:7">
      <c r="A6813" s="847"/>
      <c r="B6813" s="78"/>
      <c r="C6813" s="48"/>
      <c r="E6813" s="171" t="s">
        <v>4835</v>
      </c>
      <c r="F6813" s="171" t="s">
        <v>1173</v>
      </c>
      <c r="G6813" s="205">
        <f>SUM(G6810:G6812)</f>
        <v>2166.6</v>
      </c>
    </row>
    <row r="6814" spans="1:7" ht="40.5" customHeight="1">
      <c r="A6814" s="847"/>
      <c r="B6814" s="1207" t="s">
        <v>1379</v>
      </c>
      <c r="C6814" s="1207"/>
      <c r="D6814" s="1207"/>
      <c r="E6814" s="922">
        <f>'BASIC DATA'!$C$577</f>
        <v>0.13614999999999999</v>
      </c>
      <c r="F6814" s="171" t="s">
        <v>1698</v>
      </c>
      <c r="G6814" s="31">
        <f>ROUND(G6813*E6814,2)</f>
        <v>294.98</v>
      </c>
    </row>
    <row r="6815" spans="1:7">
      <c r="A6815" s="847"/>
      <c r="B6815" s="47" t="s">
        <v>1191</v>
      </c>
      <c r="C6815" s="48"/>
      <c r="D6815" s="68">
        <f>F6784</f>
        <v>100</v>
      </c>
      <c r="E6815" s="68" t="str">
        <f>G6784</f>
        <v>Rm</v>
      </c>
      <c r="F6815" s="171" t="s">
        <v>1698</v>
      </c>
      <c r="G6815" s="211">
        <f>G6814+G6813</f>
        <v>2461.58</v>
      </c>
    </row>
    <row r="6816" spans="1:7">
      <c r="A6816" s="847"/>
      <c r="B6816" s="79" t="s">
        <v>1584</v>
      </c>
      <c r="C6816" s="404" t="str">
        <f>E6815</f>
        <v>Rm</v>
      </c>
      <c r="D6816" s="26" t="s">
        <v>5893</v>
      </c>
      <c r="F6816" s="171" t="s">
        <v>4108</v>
      </c>
      <c r="G6816" s="211">
        <f>ROUND(G6815/D6815,1)</f>
        <v>24.6</v>
      </c>
    </row>
    <row r="6817" spans="1:11">
      <c r="A6817" s="847"/>
      <c r="B6817" s="78"/>
      <c r="C6817" s="48"/>
    </row>
    <row r="6818" spans="1:11">
      <c r="A6818" s="847"/>
      <c r="B6818" s="78"/>
      <c r="C6818" s="48"/>
    </row>
    <row r="6819" spans="1:11" ht="36.75">
      <c r="A6819" s="841" t="s">
        <v>7504</v>
      </c>
      <c r="B6819" s="47" t="s">
        <v>8841</v>
      </c>
      <c r="C6819" s="48"/>
    </row>
    <row r="6820" spans="1:11" ht="18.75">
      <c r="A6820" s="889"/>
      <c r="B6820" s="47" t="s">
        <v>8842</v>
      </c>
      <c r="C6820" s="48"/>
    </row>
    <row r="6821" spans="1:11">
      <c r="A6821" s="895"/>
      <c r="B6821" s="47" t="s">
        <v>2401</v>
      </c>
      <c r="C6821" s="48"/>
    </row>
    <row r="6822" spans="1:11" ht="18.75">
      <c r="A6822" s="889"/>
      <c r="B6822" s="47" t="s">
        <v>8843</v>
      </c>
      <c r="C6822" s="48"/>
      <c r="F6822" s="78"/>
    </row>
    <row r="6823" spans="1:11">
      <c r="A6823" s="889"/>
      <c r="B6823" s="162" t="s">
        <v>7679</v>
      </c>
      <c r="C6823" s="48"/>
    </row>
    <row r="6824" spans="1:11">
      <c r="A6824" s="889"/>
      <c r="B6824" s="162" t="s">
        <v>7774</v>
      </c>
      <c r="C6824" s="48"/>
    </row>
    <row r="6825" spans="1:11">
      <c r="A6825" s="889"/>
      <c r="B6825" s="162" t="s">
        <v>7773</v>
      </c>
      <c r="C6825" s="48"/>
    </row>
    <row r="6826" spans="1:11">
      <c r="C6826" s="48"/>
    </row>
    <row r="6827" spans="1:11" hidden="1">
      <c r="A6827" s="889" t="s">
        <v>3984</v>
      </c>
      <c r="B6827" s="47" t="s">
        <v>1943</v>
      </c>
    </row>
    <row r="6828" spans="1:11" hidden="1">
      <c r="A6828" s="847"/>
      <c r="B6828" s="47" t="s">
        <v>7768</v>
      </c>
    </row>
    <row r="6829" spans="1:11" hidden="1">
      <c r="A6829" s="847"/>
      <c r="B6829" s="47" t="s">
        <v>3460</v>
      </c>
      <c r="G6829" s="278">
        <f>0.55*0.55*0.055</f>
        <v>1.6637500000000003E-2</v>
      </c>
      <c r="H6829" s="26" t="s">
        <v>6901</v>
      </c>
    </row>
    <row r="6830" spans="1:11" hidden="1">
      <c r="A6830" s="847"/>
      <c r="B6830" s="47" t="s">
        <v>4448</v>
      </c>
      <c r="G6830" s="26">
        <v>60</v>
      </c>
      <c r="H6830" s="26" t="s">
        <v>3032</v>
      </c>
      <c r="K6830" s="61"/>
    </row>
    <row r="6831" spans="1:11" hidden="1">
      <c r="A6831" s="847"/>
      <c r="B6831" s="47" t="s">
        <v>784</v>
      </c>
    </row>
    <row r="6832" spans="1:11" hidden="1">
      <c r="A6832" s="847"/>
      <c r="B6832" s="47" t="s">
        <v>785</v>
      </c>
      <c r="F6832" s="78" t="s">
        <v>1602</v>
      </c>
      <c r="G6832" s="26">
        <v>250</v>
      </c>
      <c r="H6832" s="26" t="s">
        <v>1552</v>
      </c>
    </row>
    <row r="6833" spans="1:11" hidden="1">
      <c r="A6833" s="847"/>
      <c r="B6833" s="47" t="s">
        <v>786</v>
      </c>
    </row>
    <row r="6834" spans="1:11" hidden="1">
      <c r="A6834" s="847"/>
      <c r="B6834" s="47" t="s">
        <v>1952</v>
      </c>
    </row>
    <row r="6835" spans="1:11" hidden="1">
      <c r="A6835" s="847"/>
      <c r="B6835" s="47" t="s">
        <v>69</v>
      </c>
      <c r="E6835" s="26" t="s">
        <v>70</v>
      </c>
      <c r="G6835" s="26">
        <v>90</v>
      </c>
      <c r="H6835" s="26" t="s">
        <v>515</v>
      </c>
    </row>
    <row r="6836" spans="1:11" hidden="1">
      <c r="A6836" s="847"/>
      <c r="E6836" s="26" t="s">
        <v>5188</v>
      </c>
      <c r="G6836" s="26">
        <v>10</v>
      </c>
      <c r="H6836" s="26" t="s">
        <v>515</v>
      </c>
      <c r="K6836" s="31"/>
    </row>
    <row r="6837" spans="1:11" hidden="1">
      <c r="A6837" s="847"/>
      <c r="B6837" s="47" t="s">
        <v>5189</v>
      </c>
      <c r="G6837" s="26">
        <f>ROUND(G6829*225,2)</f>
        <v>3.74</v>
      </c>
      <c r="H6837" s="26" t="s">
        <v>6901</v>
      </c>
    </row>
    <row r="6838" spans="1:11" hidden="1">
      <c r="A6838" s="847"/>
      <c r="B6838" s="47" t="s">
        <v>2999</v>
      </c>
    </row>
    <row r="6839" spans="1:11" hidden="1">
      <c r="A6839" s="847"/>
      <c r="B6839" s="47" t="s">
        <v>3174</v>
      </c>
    </row>
    <row r="6840" spans="1:11" hidden="1">
      <c r="A6840" s="847"/>
      <c r="B6840" s="47" t="s">
        <v>3175</v>
      </c>
    </row>
    <row r="6841" spans="1:11" hidden="1">
      <c r="A6841" s="847"/>
      <c r="B6841" s="47" t="s">
        <v>3176</v>
      </c>
    </row>
    <row r="6842" spans="1:11" hidden="1">
      <c r="A6842" s="847"/>
      <c r="B6842" s="47" t="s">
        <v>651</v>
      </c>
      <c r="F6842" s="78" t="s">
        <v>1602</v>
      </c>
      <c r="G6842" s="68">
        <v>5.5</v>
      </c>
      <c r="H6842" s="26" t="s">
        <v>3033</v>
      </c>
    </row>
    <row r="6843" spans="1:11" hidden="1">
      <c r="A6843" s="847"/>
      <c r="B6843" s="47" t="s">
        <v>652</v>
      </c>
      <c r="D6843" s="68">
        <f>'BASIC DATA'!$D$97/1000</f>
        <v>37.5</v>
      </c>
      <c r="E6843" s="26" t="s">
        <v>1513</v>
      </c>
      <c r="F6843" s="78" t="s">
        <v>1698</v>
      </c>
      <c r="G6843" s="68">
        <f>G6842*D6843</f>
        <v>206.25</v>
      </c>
    </row>
    <row r="6844" spans="1:11" hidden="1">
      <c r="A6844" s="847"/>
      <c r="B6844" s="47" t="s">
        <v>3437</v>
      </c>
      <c r="D6844" s="68">
        <f>'BASIC DATA'!$D$358</f>
        <v>24</v>
      </c>
      <c r="E6844" s="26" t="s">
        <v>1513</v>
      </c>
      <c r="F6844" s="78" t="s">
        <v>1698</v>
      </c>
      <c r="G6844" s="173">
        <f>G6842*D6844</f>
        <v>132</v>
      </c>
    </row>
    <row r="6845" spans="1:11" hidden="1">
      <c r="A6845" s="847"/>
      <c r="E6845" s="78" t="s">
        <v>1518</v>
      </c>
      <c r="F6845" s="78" t="s">
        <v>1698</v>
      </c>
      <c r="G6845" s="68">
        <f>SUM(G6843:G6844)</f>
        <v>338.25</v>
      </c>
    </row>
    <row r="6846" spans="1:11" hidden="1">
      <c r="A6846" s="847"/>
      <c r="B6846" s="47" t="s">
        <v>2496</v>
      </c>
      <c r="E6846" s="201">
        <v>0.15</v>
      </c>
      <c r="F6846" s="78" t="s">
        <v>1698</v>
      </c>
      <c r="G6846" s="173">
        <f>G6845*E6846</f>
        <v>50.737499999999997</v>
      </c>
    </row>
    <row r="6847" spans="1:11" hidden="1">
      <c r="A6847" s="847"/>
      <c r="E6847" s="78" t="s">
        <v>1518</v>
      </c>
      <c r="F6847" s="78" t="s">
        <v>1698</v>
      </c>
      <c r="G6847" s="68">
        <f>G6845-G6846</f>
        <v>287.51249999999999</v>
      </c>
    </row>
    <row r="6848" spans="1:11" hidden="1">
      <c r="A6848" s="847"/>
      <c r="B6848" s="47" t="s">
        <v>4617</v>
      </c>
      <c r="D6848" s="26">
        <v>500</v>
      </c>
      <c r="E6848" s="26" t="s">
        <v>4614</v>
      </c>
      <c r="F6848" s="78" t="s">
        <v>1698</v>
      </c>
      <c r="G6848" s="68">
        <f>G6847/D6848</f>
        <v>0.57502500000000001</v>
      </c>
    </row>
    <row r="6849" spans="1:11" hidden="1">
      <c r="A6849" s="847"/>
      <c r="B6849" s="47" t="s">
        <v>170</v>
      </c>
      <c r="D6849" s="201">
        <v>0.15</v>
      </c>
      <c r="F6849" s="78" t="s">
        <v>1698</v>
      </c>
      <c r="G6849" s="68">
        <f>G6848*D6849</f>
        <v>8.6253750000000004E-2</v>
      </c>
    </row>
    <row r="6850" spans="1:11" hidden="1">
      <c r="A6850" s="847"/>
      <c r="B6850" s="47" t="s">
        <v>3438</v>
      </c>
      <c r="D6850" s="68">
        <f>'BASIC DATA'!$D$357</f>
        <v>50</v>
      </c>
      <c r="E6850" s="26" t="s">
        <v>5285</v>
      </c>
      <c r="F6850" s="78" t="s">
        <v>1698</v>
      </c>
      <c r="G6850" s="173">
        <f>D6850*0.1</f>
        <v>5</v>
      </c>
    </row>
    <row r="6851" spans="1:11" hidden="1">
      <c r="A6851" s="847"/>
      <c r="B6851" s="78"/>
      <c r="C6851" s="48"/>
      <c r="D6851" s="27" t="s">
        <v>3439</v>
      </c>
      <c r="F6851" s="78" t="s">
        <v>1698</v>
      </c>
      <c r="G6851" s="68">
        <f>SUM(G6848:G6850)</f>
        <v>5.6612787500000001</v>
      </c>
    </row>
    <row r="6852" spans="1:11">
      <c r="A6852" s="847"/>
      <c r="B6852" s="78"/>
      <c r="C6852" s="48"/>
    </row>
    <row r="6853" spans="1:11">
      <c r="A6853" s="889" t="s">
        <v>3984</v>
      </c>
      <c r="B6853" s="78"/>
      <c r="C6853" s="349" t="s">
        <v>2367</v>
      </c>
      <c r="E6853" s="171" t="s">
        <v>297</v>
      </c>
      <c r="F6853" s="409">
        <v>225</v>
      </c>
      <c r="G6853" s="26" t="s">
        <v>4041</v>
      </c>
    </row>
    <row r="6854" spans="1:11">
      <c r="A6854" s="847"/>
      <c r="B6854" s="79" t="s">
        <v>2368</v>
      </c>
      <c r="C6854" s="48"/>
    </row>
    <row r="6855" spans="1:11">
      <c r="A6855" s="847"/>
      <c r="B6855" s="95" t="s">
        <v>2369</v>
      </c>
      <c r="C6855" s="350" t="s">
        <v>6374</v>
      </c>
      <c r="D6855" s="95" t="s">
        <v>2370</v>
      </c>
      <c r="E6855" s="95" t="s">
        <v>1166</v>
      </c>
      <c r="F6855" s="95" t="s">
        <v>2371</v>
      </c>
      <c r="G6855" s="95" t="s">
        <v>2372</v>
      </c>
    </row>
    <row r="6856" spans="1:11">
      <c r="A6856" s="847"/>
      <c r="B6856" s="114"/>
      <c r="C6856" s="351"/>
      <c r="D6856" s="114"/>
      <c r="E6856" s="114"/>
      <c r="F6856" s="114" t="s">
        <v>3485</v>
      </c>
      <c r="G6856" s="114" t="s">
        <v>3485</v>
      </c>
    </row>
    <row r="6857" spans="1:11">
      <c r="A6857" s="847"/>
      <c r="B6857" s="95">
        <v>1</v>
      </c>
      <c r="C6857" s="86" t="s">
        <v>1048</v>
      </c>
      <c r="D6857" s="451" t="s">
        <v>3478</v>
      </c>
      <c r="E6857" s="220">
        <f>G6837*300</f>
        <v>1122</v>
      </c>
      <c r="F6857" s="68">
        <f>'BASIC DATA'!$D$32/1000</f>
        <v>5.35</v>
      </c>
      <c r="G6857" s="449">
        <f t="shared" ref="G6857:G6863" si="94">E6857*F6857</f>
        <v>6002.7</v>
      </c>
    </row>
    <row r="6858" spans="1:11" ht="36">
      <c r="A6858" s="847"/>
      <c r="B6858" s="152"/>
      <c r="C6858" s="86" t="s">
        <v>4090</v>
      </c>
      <c r="D6858" s="319" t="s">
        <v>3478</v>
      </c>
      <c r="E6858" s="220">
        <f>1*F6853</f>
        <v>225</v>
      </c>
      <c r="F6858" s="68">
        <f>'BASIC DATA'!$D$32/1000</f>
        <v>5.35</v>
      </c>
      <c r="G6858" s="449">
        <f t="shared" si="94"/>
        <v>1203.75</v>
      </c>
    </row>
    <row r="6859" spans="1:11">
      <c r="A6859" s="847"/>
      <c r="B6859" s="105">
        <v>2</v>
      </c>
      <c r="C6859" s="86" t="s">
        <v>6995</v>
      </c>
      <c r="D6859" s="319" t="s">
        <v>3477</v>
      </c>
      <c r="E6859" s="220">
        <f>G6837*0.65*0.8</f>
        <v>1.9448000000000001</v>
      </c>
      <c r="F6859" s="190">
        <f>'BASIC DATA'!$D$35</f>
        <v>1225</v>
      </c>
      <c r="G6859" s="449">
        <f t="shared" si="94"/>
        <v>2382.38</v>
      </c>
    </row>
    <row r="6860" spans="1:11">
      <c r="A6860" s="847"/>
      <c r="B6860" s="152"/>
      <c r="C6860" s="86" t="s">
        <v>1050</v>
      </c>
      <c r="D6860" s="319" t="s">
        <v>3477</v>
      </c>
      <c r="E6860" s="220">
        <f>G6837*0.35*0.8</f>
        <v>1.0471999999999999</v>
      </c>
      <c r="F6860" s="190">
        <f>'BASIC DATA'!$D$34</f>
        <v>900</v>
      </c>
      <c r="G6860" s="449">
        <f t="shared" si="94"/>
        <v>942.4799999999999</v>
      </c>
    </row>
    <row r="6861" spans="1:11" ht="18.75" thickBot="1">
      <c r="A6861" s="848"/>
      <c r="B6861" s="240">
        <v>3</v>
      </c>
      <c r="C6861" s="392" t="s">
        <v>7935</v>
      </c>
      <c r="D6861" s="452" t="s">
        <v>3477</v>
      </c>
      <c r="E6861" s="256">
        <f>G6837*0.45</f>
        <v>1.6830000000000001</v>
      </c>
      <c r="F6861" s="266">
        <f>'BASIC DATA'!$D$55</f>
        <v>95</v>
      </c>
      <c r="G6861" s="450">
        <f t="shared" si="94"/>
        <v>159.88499999999999</v>
      </c>
      <c r="H6861" s="61"/>
      <c r="I6861" s="61"/>
      <c r="J6861" s="61"/>
      <c r="K6861" s="61"/>
    </row>
    <row r="6862" spans="1:11">
      <c r="A6862" s="847"/>
      <c r="B6862" s="453">
        <v>4</v>
      </c>
      <c r="C6862" s="454" t="s">
        <v>523</v>
      </c>
      <c r="D6862" s="455" t="s">
        <v>3478</v>
      </c>
      <c r="E6862" s="456">
        <f>0.4%*E6857</f>
        <v>4.4880000000000004</v>
      </c>
      <c r="F6862" s="457">
        <f>'BASIC DATA'!$D$99</f>
        <v>55</v>
      </c>
      <c r="G6862" s="458">
        <f t="shared" si="94"/>
        <v>246.84000000000003</v>
      </c>
    </row>
    <row r="6863" spans="1:11" ht="18.75" thickBot="1">
      <c r="A6863" s="847"/>
      <c r="B6863" s="459">
        <v>5</v>
      </c>
      <c r="C6863" s="460" t="s">
        <v>4091</v>
      </c>
      <c r="D6863" s="461" t="s">
        <v>4089</v>
      </c>
      <c r="E6863" s="462">
        <f>F6853</f>
        <v>225</v>
      </c>
      <c r="F6863" s="463">
        <f>G6851</f>
        <v>5.6612787500000001</v>
      </c>
      <c r="G6863" s="464">
        <f t="shared" si="94"/>
        <v>1273.7877187500001</v>
      </c>
    </row>
    <row r="6864" spans="1:11">
      <c r="A6864" s="847"/>
      <c r="B6864" s="92"/>
      <c r="C6864" s="353" t="s">
        <v>2376</v>
      </c>
      <c r="D6864" s="159"/>
      <c r="E6864" s="238"/>
      <c r="F6864" s="236" t="s">
        <v>1698</v>
      </c>
      <c r="G6864" s="318">
        <f>SUM(G6857:G6863)</f>
        <v>12211.82271875</v>
      </c>
    </row>
    <row r="6865" spans="1:9">
      <c r="A6865" s="847"/>
      <c r="B6865" s="78"/>
      <c r="C6865" s="48"/>
    </row>
    <row r="6866" spans="1:9">
      <c r="A6866" s="847"/>
      <c r="B6866" s="79" t="s">
        <v>2377</v>
      </c>
      <c r="C6866" s="48"/>
    </row>
    <row r="6867" spans="1:9">
      <c r="A6867" s="847"/>
      <c r="B6867" s="95" t="s">
        <v>2369</v>
      </c>
      <c r="C6867" s="350" t="s">
        <v>2378</v>
      </c>
      <c r="D6867" s="95" t="s">
        <v>2370</v>
      </c>
      <c r="E6867" s="95" t="s">
        <v>1166</v>
      </c>
      <c r="F6867" s="95" t="s">
        <v>2371</v>
      </c>
      <c r="G6867" s="95" t="s">
        <v>2372</v>
      </c>
    </row>
    <row r="6868" spans="1:9">
      <c r="A6868" s="847"/>
      <c r="B6868" s="114"/>
      <c r="C6868" s="351"/>
      <c r="D6868" s="114"/>
      <c r="E6868" s="114"/>
      <c r="F6868" s="114" t="s">
        <v>3485</v>
      </c>
      <c r="G6868" s="114" t="s">
        <v>3485</v>
      </c>
    </row>
    <row r="6869" spans="1:9" ht="36">
      <c r="A6869" s="847"/>
      <c r="B6869" s="95">
        <v>1</v>
      </c>
      <c r="C6869" s="86" t="s">
        <v>2749</v>
      </c>
      <c r="D6869" s="95" t="s">
        <v>2374</v>
      </c>
      <c r="E6869" s="220">
        <v>8</v>
      </c>
      <c r="F6869" s="214">
        <f>'HIRE CHARGES'!$D$507</f>
        <v>53.5</v>
      </c>
      <c r="G6869" s="449">
        <f t="shared" ref="G6869:G6874" si="95">E6869*F6869</f>
        <v>428</v>
      </c>
    </row>
    <row r="6870" spans="1:9">
      <c r="A6870" s="847"/>
      <c r="B6870" s="152"/>
      <c r="C6870" s="86" t="s">
        <v>2379</v>
      </c>
      <c r="D6870" s="105" t="s">
        <v>2374</v>
      </c>
      <c r="E6870" s="220">
        <v>8</v>
      </c>
      <c r="F6870" s="214">
        <f>'HIRE CHARGES'!$E$507</f>
        <v>79.3</v>
      </c>
      <c r="G6870" s="449">
        <f t="shared" si="95"/>
        <v>634.4</v>
      </c>
    </row>
    <row r="6871" spans="1:9">
      <c r="A6871" s="847"/>
      <c r="B6871" s="105">
        <v>2</v>
      </c>
      <c r="C6871" s="86" t="s">
        <v>189</v>
      </c>
      <c r="D6871" s="105" t="s">
        <v>2374</v>
      </c>
      <c r="E6871" s="220">
        <v>0.1</v>
      </c>
      <c r="F6871" s="214">
        <f>'HIRE CHARGES'!$D$517</f>
        <v>10.199999999999999</v>
      </c>
      <c r="G6871" s="449">
        <f t="shared" si="95"/>
        <v>1.02</v>
      </c>
    </row>
    <row r="6872" spans="1:9">
      <c r="A6872" s="847"/>
      <c r="B6872" s="152"/>
      <c r="C6872" s="86" t="s">
        <v>2379</v>
      </c>
      <c r="D6872" s="105" t="s">
        <v>2374</v>
      </c>
      <c r="E6872" s="220">
        <v>0.1</v>
      </c>
      <c r="F6872" s="214">
        <f>'HIRE CHARGES'!$E$517</f>
        <v>79.3</v>
      </c>
      <c r="G6872" s="449">
        <f t="shared" si="95"/>
        <v>7.93</v>
      </c>
    </row>
    <row r="6873" spans="1:9">
      <c r="A6873" s="847"/>
      <c r="B6873" s="105">
        <v>3</v>
      </c>
      <c r="C6873" s="86" t="s">
        <v>6286</v>
      </c>
      <c r="D6873" s="105" t="s">
        <v>2374</v>
      </c>
      <c r="E6873" s="220">
        <v>0.2</v>
      </c>
      <c r="F6873" s="214">
        <f>'HIRE CHARGES'!$D$555</f>
        <v>402.5</v>
      </c>
      <c r="G6873" s="449">
        <f t="shared" si="95"/>
        <v>80.5</v>
      </c>
    </row>
    <row r="6874" spans="1:9">
      <c r="A6874" s="847"/>
      <c r="B6874" s="116"/>
      <c r="C6874" s="86" t="s">
        <v>2379</v>
      </c>
      <c r="D6874" s="114" t="s">
        <v>2374</v>
      </c>
      <c r="E6874" s="220">
        <v>0.2</v>
      </c>
      <c r="F6874" s="214">
        <f>'HIRE CHARGES'!$E$555</f>
        <v>299.89999999999998</v>
      </c>
      <c r="G6874" s="449">
        <f t="shared" si="95"/>
        <v>59.98</v>
      </c>
    </row>
    <row r="6875" spans="1:9">
      <c r="A6875" s="847"/>
      <c r="B6875" s="176"/>
      <c r="C6875" s="357" t="s">
        <v>2380</v>
      </c>
      <c r="D6875" s="174"/>
      <c r="E6875" s="192"/>
      <c r="F6875" s="236" t="s">
        <v>1698</v>
      </c>
      <c r="G6875" s="67">
        <f>SUM(G6869:G6874)</f>
        <v>1211.8300000000002</v>
      </c>
    </row>
    <row r="6876" spans="1:9" ht="36">
      <c r="A6876" s="847"/>
      <c r="B6876" s="176"/>
      <c r="C6876" s="119" t="s">
        <v>4509</v>
      </c>
      <c r="D6876" s="174"/>
      <c r="E6876" s="274">
        <f>'BASIC DATA'!$C$583</f>
        <v>0.9</v>
      </c>
      <c r="F6876" s="236" t="s">
        <v>1698</v>
      </c>
      <c r="G6876" s="318">
        <f>E6876*G6875</f>
        <v>1090.6470000000002</v>
      </c>
    </row>
    <row r="6877" spans="1:9">
      <c r="A6877" s="847"/>
      <c r="B6877" s="78"/>
      <c r="C6877" s="48"/>
    </row>
    <row r="6878" spans="1:9">
      <c r="A6878" s="847"/>
      <c r="B6878" s="79" t="s">
        <v>2381</v>
      </c>
      <c r="C6878" s="48"/>
    </row>
    <row r="6879" spans="1:9">
      <c r="A6879" s="847"/>
      <c r="B6879" s="95" t="s">
        <v>2369</v>
      </c>
      <c r="C6879" s="350" t="s">
        <v>2378</v>
      </c>
      <c r="D6879" s="95" t="s">
        <v>2370</v>
      </c>
      <c r="E6879" s="95" t="s">
        <v>1166</v>
      </c>
      <c r="F6879" s="95" t="s">
        <v>2371</v>
      </c>
      <c r="G6879" s="95" t="s">
        <v>2372</v>
      </c>
    </row>
    <row r="6880" spans="1:9">
      <c r="A6880" s="847"/>
      <c r="B6880" s="114"/>
      <c r="C6880" s="351"/>
      <c r="D6880" s="105"/>
      <c r="E6880" s="114"/>
      <c r="F6880" s="114" t="s">
        <v>3485</v>
      </c>
      <c r="G6880" s="114" t="s">
        <v>3485</v>
      </c>
      <c r="I6880" s="61"/>
    </row>
    <row r="6881" spans="1:7">
      <c r="A6881" s="847"/>
      <c r="B6881" s="105">
        <v>1</v>
      </c>
      <c r="C6881" s="86" t="s">
        <v>527</v>
      </c>
      <c r="D6881" s="95" t="s">
        <v>2374</v>
      </c>
      <c r="E6881" s="207">
        <v>8</v>
      </c>
      <c r="F6881" s="214">
        <f>'HIRE CHARGES'!$F$507</f>
        <v>219.7</v>
      </c>
      <c r="G6881" s="449">
        <f>E6881*F6881</f>
        <v>1757.6</v>
      </c>
    </row>
    <row r="6882" spans="1:7">
      <c r="A6882" s="847"/>
      <c r="B6882" s="105">
        <v>2</v>
      </c>
      <c r="C6882" s="86" t="s">
        <v>999</v>
      </c>
      <c r="D6882" s="105" t="s">
        <v>2374</v>
      </c>
      <c r="E6882" s="207">
        <v>0.1</v>
      </c>
      <c r="F6882" s="214">
        <f>'HIRE CHARGES'!$F$517</f>
        <v>111.1</v>
      </c>
      <c r="G6882" s="449">
        <f>E6882*F6882</f>
        <v>11.11</v>
      </c>
    </row>
    <row r="6883" spans="1:7">
      <c r="A6883" s="847"/>
      <c r="B6883" s="105">
        <v>3</v>
      </c>
      <c r="C6883" s="86" t="s">
        <v>1000</v>
      </c>
      <c r="D6883" s="105" t="s">
        <v>2374</v>
      </c>
      <c r="E6883" s="207">
        <v>0.2</v>
      </c>
      <c r="F6883" s="190">
        <f>'HIRE CHARGES'!$F$555</f>
        <v>177.5</v>
      </c>
      <c r="G6883" s="449">
        <f>E6883*F6883</f>
        <v>35.5</v>
      </c>
    </row>
    <row r="6884" spans="1:7">
      <c r="A6884" s="847"/>
      <c r="B6884" s="105">
        <v>4</v>
      </c>
      <c r="C6884" s="86" t="s">
        <v>440</v>
      </c>
      <c r="D6884" s="105" t="s">
        <v>1172</v>
      </c>
      <c r="E6884" s="207">
        <v>2</v>
      </c>
      <c r="F6884" s="190">
        <f>'BASIC DATA'!$C$474</f>
        <v>445</v>
      </c>
      <c r="G6884" s="449">
        <f>E6884*F6884</f>
        <v>890</v>
      </c>
    </row>
    <row r="6885" spans="1:7">
      <c r="A6885" s="847"/>
      <c r="B6885" s="105">
        <v>5</v>
      </c>
      <c r="C6885" s="86" t="s">
        <v>4206</v>
      </c>
      <c r="D6885" s="105" t="s">
        <v>1172</v>
      </c>
      <c r="E6885" s="207">
        <v>1</v>
      </c>
      <c r="F6885" s="190">
        <f>'BASIC DATA'!$C$473</f>
        <v>450</v>
      </c>
      <c r="G6885" s="449">
        <f>E6885*F6885</f>
        <v>450</v>
      </c>
    </row>
    <row r="6886" spans="1:7">
      <c r="A6886" s="847"/>
      <c r="B6886" s="105">
        <v>6</v>
      </c>
      <c r="C6886" s="86" t="s">
        <v>2697</v>
      </c>
      <c r="D6886" s="105"/>
      <c r="E6886" s="207"/>
      <c r="F6886" s="190"/>
      <c r="G6886" s="190"/>
    </row>
    <row r="6887" spans="1:7">
      <c r="A6887" s="847"/>
      <c r="B6887" s="152"/>
      <c r="C6887" s="86" t="s">
        <v>2750</v>
      </c>
      <c r="D6887" s="105" t="s">
        <v>1172</v>
      </c>
      <c r="E6887" s="207">
        <v>3</v>
      </c>
      <c r="F6887" s="190">
        <f>'BASIC DATA'!$C$552</f>
        <v>350</v>
      </c>
      <c r="G6887" s="449">
        <f>E6887*F6887</f>
        <v>1050</v>
      </c>
    </row>
    <row r="6888" spans="1:7">
      <c r="A6888" s="847"/>
      <c r="B6888" s="152"/>
      <c r="C6888" s="86" t="s">
        <v>2751</v>
      </c>
      <c r="D6888" s="105" t="s">
        <v>1172</v>
      </c>
      <c r="E6888" s="207">
        <v>2</v>
      </c>
      <c r="F6888" s="190">
        <f>'BASIC DATA'!$C$552</f>
        <v>350</v>
      </c>
      <c r="G6888" s="449">
        <f>E6888*F6888</f>
        <v>700</v>
      </c>
    </row>
    <row r="6889" spans="1:7">
      <c r="A6889" s="847"/>
      <c r="B6889" s="152"/>
      <c r="C6889" s="86" t="s">
        <v>2752</v>
      </c>
      <c r="D6889" s="105" t="s">
        <v>1172</v>
      </c>
      <c r="E6889" s="207">
        <v>1</v>
      </c>
      <c r="F6889" s="190">
        <f>'BASIC DATA'!$C$552</f>
        <v>350</v>
      </c>
      <c r="G6889" s="449">
        <f>E6889*F6889</f>
        <v>350</v>
      </c>
    </row>
    <row r="6890" spans="1:7">
      <c r="A6890" s="847"/>
      <c r="B6890" s="152"/>
      <c r="C6890" s="86" t="s">
        <v>1184</v>
      </c>
      <c r="D6890" s="105" t="s">
        <v>1172</v>
      </c>
      <c r="E6890" s="207">
        <v>1</v>
      </c>
      <c r="F6890" s="190">
        <f>'BASIC DATA'!$C$552</f>
        <v>350</v>
      </c>
      <c r="G6890" s="449">
        <f>E6890*F6890</f>
        <v>350</v>
      </c>
    </row>
    <row r="6891" spans="1:7">
      <c r="A6891" s="847"/>
      <c r="B6891" s="152"/>
      <c r="C6891" s="86" t="s">
        <v>1185</v>
      </c>
      <c r="D6891" s="105" t="s">
        <v>1172</v>
      </c>
      <c r="E6891" s="207">
        <v>1</v>
      </c>
      <c r="F6891" s="190">
        <f>'BASIC DATA'!$C$552</f>
        <v>350</v>
      </c>
      <c r="G6891" s="449">
        <f>E6891*F6891</f>
        <v>350</v>
      </c>
    </row>
    <row r="6892" spans="1:7">
      <c r="A6892" s="847"/>
      <c r="B6892" s="92"/>
      <c r="C6892" s="353" t="s">
        <v>1174</v>
      </c>
      <c r="D6892" s="159"/>
      <c r="E6892" s="238"/>
      <c r="F6892" s="236" t="s">
        <v>1698</v>
      </c>
      <c r="G6892" s="67">
        <f>SUM(G6881:G6891)</f>
        <v>5944.21</v>
      </c>
    </row>
    <row r="6893" spans="1:7" ht="36">
      <c r="A6893" s="847"/>
      <c r="B6893" s="92"/>
      <c r="C6893" s="119" t="s">
        <v>4510</v>
      </c>
      <c r="D6893" s="159"/>
      <c r="E6893" s="466">
        <f>'BASIC DATA'!$C$584</f>
        <v>0.9</v>
      </c>
      <c r="F6893" s="236" t="s">
        <v>1698</v>
      </c>
      <c r="G6893" s="318">
        <f>E6893*G6892</f>
        <v>5349.7889999999998</v>
      </c>
    </row>
    <row r="6894" spans="1:7">
      <c r="A6894" s="847"/>
      <c r="B6894" s="359" t="s">
        <v>5948</v>
      </c>
      <c r="C6894" s="413"/>
      <c r="D6894" s="31"/>
      <c r="E6894" s="85">
        <f>ROUND(G6893/F6853,1)</f>
        <v>23.8</v>
      </c>
    </row>
    <row r="6895" spans="1:7">
      <c r="A6895" s="847"/>
      <c r="B6895" s="359" t="s">
        <v>3163</v>
      </c>
      <c r="C6895" s="413"/>
      <c r="D6895" s="922">
        <f>'BASIC DATA'!$C$577</f>
        <v>0.13614999999999999</v>
      </c>
      <c r="E6895" s="85">
        <f>ROUND(E6894*D6895,1)</f>
        <v>3.2</v>
      </c>
    </row>
    <row r="6896" spans="1:7">
      <c r="A6896" s="847"/>
      <c r="B6896" s="359" t="s">
        <v>5949</v>
      </c>
      <c r="C6896" s="413"/>
      <c r="D6896" s="31"/>
      <c r="E6896" s="199">
        <f>ROUND(E6895+E6894,1)</f>
        <v>27</v>
      </c>
    </row>
    <row r="6897" spans="1:9">
      <c r="A6897" s="847"/>
      <c r="C6897" s="48"/>
    </row>
    <row r="6898" spans="1:9">
      <c r="A6898" s="847"/>
      <c r="B6898" s="162" t="s">
        <v>1175</v>
      </c>
      <c r="C6898" s="48"/>
    </row>
    <row r="6899" spans="1:9">
      <c r="A6899" s="847"/>
      <c r="B6899" s="47" t="s">
        <v>1176</v>
      </c>
      <c r="C6899" s="48"/>
      <c r="F6899" s="171" t="s">
        <v>1698</v>
      </c>
      <c r="G6899" s="68">
        <f>G6864</f>
        <v>12211.82271875</v>
      </c>
    </row>
    <row r="6900" spans="1:9">
      <c r="A6900" s="847"/>
      <c r="B6900" s="47" t="s">
        <v>1186</v>
      </c>
      <c r="C6900" s="48"/>
      <c r="F6900" s="171" t="s">
        <v>1698</v>
      </c>
      <c r="G6900" s="68">
        <f>G6876</f>
        <v>1090.6470000000002</v>
      </c>
      <c r="I6900" s="61"/>
    </row>
    <row r="6901" spans="1:9">
      <c r="A6901" s="847"/>
      <c r="B6901" s="47" t="s">
        <v>2660</v>
      </c>
      <c r="C6901" s="48"/>
      <c r="F6901" s="171" t="s">
        <v>1698</v>
      </c>
      <c r="G6901" s="75">
        <f>G6893</f>
        <v>5349.7889999999998</v>
      </c>
    </row>
    <row r="6902" spans="1:9">
      <c r="A6902" s="847"/>
      <c r="B6902" s="78"/>
      <c r="C6902" s="48"/>
      <c r="E6902" s="171" t="s">
        <v>4835</v>
      </c>
      <c r="F6902" s="171" t="s">
        <v>1173</v>
      </c>
      <c r="G6902" s="205">
        <f>SUM(G6899:G6901)</f>
        <v>18652.258718749999</v>
      </c>
    </row>
    <row r="6903" spans="1:9" ht="39" customHeight="1">
      <c r="A6903" s="847"/>
      <c r="B6903" s="1207" t="s">
        <v>1379</v>
      </c>
      <c r="C6903" s="1207"/>
      <c r="D6903" s="1207"/>
      <c r="E6903" s="922">
        <f>'BASIC DATA'!$C$577</f>
        <v>0.13614999999999999</v>
      </c>
      <c r="F6903" s="171" t="s">
        <v>1698</v>
      </c>
      <c r="G6903" s="31">
        <f>ROUND(G6902*E6903,2)</f>
        <v>2539.5100000000002</v>
      </c>
    </row>
    <row r="6904" spans="1:9">
      <c r="A6904" s="847"/>
      <c r="B6904" s="47" t="s">
        <v>1191</v>
      </c>
      <c r="C6904" s="48"/>
      <c r="D6904" s="68">
        <f>F6853</f>
        <v>225</v>
      </c>
      <c r="E6904" s="68" t="str">
        <f>G6853</f>
        <v>Nos.</v>
      </c>
      <c r="F6904" s="171" t="s">
        <v>1698</v>
      </c>
      <c r="G6904" s="211">
        <f>G6903+G6902</f>
        <v>21191.768718749998</v>
      </c>
    </row>
    <row r="6905" spans="1:9">
      <c r="A6905" s="847"/>
      <c r="B6905" s="79" t="s">
        <v>1584</v>
      </c>
      <c r="C6905" s="404" t="s">
        <v>4935</v>
      </c>
      <c r="D6905" s="26" t="s">
        <v>5894</v>
      </c>
      <c r="F6905" s="171" t="s">
        <v>4108</v>
      </c>
      <c r="G6905" s="211">
        <f>ROUND(G6904/D6904,1)</f>
        <v>94.2</v>
      </c>
    </row>
    <row r="6906" spans="1:9">
      <c r="A6906" s="847"/>
      <c r="B6906" s="78"/>
      <c r="C6906" s="48"/>
      <c r="F6906" s="171"/>
      <c r="G6906" s="68"/>
      <c r="I6906" s="31"/>
    </row>
    <row r="6907" spans="1:9">
      <c r="A6907" s="847"/>
      <c r="B6907" s="78"/>
      <c r="C6907" s="48"/>
      <c r="F6907" s="171"/>
      <c r="G6907" s="68"/>
    </row>
    <row r="6908" spans="1:9" ht="36.75">
      <c r="A6908" s="841" t="s">
        <v>7505</v>
      </c>
      <c r="B6908" s="47" t="s">
        <v>8844</v>
      </c>
      <c r="C6908" s="48"/>
    </row>
    <row r="6909" spans="1:9" ht="18.75">
      <c r="A6909" s="889"/>
      <c r="B6909" s="47" t="s">
        <v>8845</v>
      </c>
      <c r="C6909" s="48"/>
    </row>
    <row r="6910" spans="1:9">
      <c r="A6910" s="895"/>
      <c r="B6910" s="47" t="s">
        <v>2401</v>
      </c>
      <c r="C6910" s="48"/>
    </row>
    <row r="6911" spans="1:9" ht="18.75">
      <c r="A6911" s="889"/>
      <c r="B6911" s="47" t="s">
        <v>8843</v>
      </c>
      <c r="C6911" s="48"/>
      <c r="F6911" s="78"/>
    </row>
    <row r="6912" spans="1:9">
      <c r="A6912" s="889"/>
      <c r="B6912" s="162" t="s">
        <v>7679</v>
      </c>
      <c r="C6912" s="48"/>
    </row>
    <row r="6913" spans="1:10">
      <c r="A6913" s="889"/>
      <c r="B6913" s="162" t="s">
        <v>7771</v>
      </c>
      <c r="C6913" s="48"/>
    </row>
    <row r="6914" spans="1:10">
      <c r="A6914" s="847"/>
      <c r="B6914" s="79" t="s">
        <v>7772</v>
      </c>
      <c r="C6914" s="48"/>
    </row>
    <row r="6915" spans="1:10">
      <c r="A6915" s="847"/>
      <c r="B6915" s="27"/>
      <c r="C6915" s="48"/>
    </row>
    <row r="6916" spans="1:10" hidden="1">
      <c r="A6916" s="889" t="s">
        <v>3984</v>
      </c>
      <c r="B6916" s="47" t="s">
        <v>1932</v>
      </c>
      <c r="D6916" s="26" t="s">
        <v>1933</v>
      </c>
    </row>
    <row r="6917" spans="1:10" hidden="1">
      <c r="A6917" s="847"/>
      <c r="B6917" s="47" t="s">
        <v>7769</v>
      </c>
      <c r="D6917" s="26" t="s">
        <v>7770</v>
      </c>
      <c r="J6917" s="61"/>
    </row>
    <row r="6918" spans="1:10" hidden="1">
      <c r="A6918" s="847"/>
      <c r="B6918" s="47" t="s">
        <v>1934</v>
      </c>
      <c r="G6918" s="278">
        <f>0.55*0.3*0.055</f>
        <v>9.0749999999999997E-3</v>
      </c>
      <c r="H6918" s="26" t="s">
        <v>6901</v>
      </c>
      <c r="J6918" s="61"/>
    </row>
    <row r="6919" spans="1:10" hidden="1">
      <c r="A6919" s="847"/>
      <c r="B6919" s="47" t="s">
        <v>4448</v>
      </c>
      <c r="G6919" s="316">
        <f>1/G6918</f>
        <v>110.19283746556474</v>
      </c>
      <c r="H6919" s="26" t="s">
        <v>3032</v>
      </c>
    </row>
    <row r="6920" spans="1:10" hidden="1">
      <c r="A6920" s="847"/>
      <c r="B6920" s="47" t="s">
        <v>784</v>
      </c>
    </row>
    <row r="6921" spans="1:10" hidden="1">
      <c r="A6921" s="847"/>
      <c r="B6921" s="47" t="s">
        <v>785</v>
      </c>
      <c r="F6921" s="78" t="s">
        <v>1602</v>
      </c>
      <c r="G6921" s="26">
        <v>250</v>
      </c>
      <c r="H6921" s="26" t="s">
        <v>1552</v>
      </c>
    </row>
    <row r="6922" spans="1:10" hidden="1">
      <c r="A6922" s="847"/>
      <c r="B6922" s="47" t="s">
        <v>786</v>
      </c>
    </row>
    <row r="6923" spans="1:10" hidden="1">
      <c r="A6923" s="847"/>
      <c r="B6923" s="47" t="s">
        <v>1952</v>
      </c>
    </row>
    <row r="6924" spans="1:10" hidden="1">
      <c r="A6924" s="847"/>
      <c r="B6924" s="47" t="s">
        <v>69</v>
      </c>
      <c r="E6924" s="26" t="s">
        <v>317</v>
      </c>
      <c r="G6924" s="26">
        <v>90</v>
      </c>
      <c r="H6924" s="26" t="s">
        <v>515</v>
      </c>
    </row>
    <row r="6925" spans="1:10" hidden="1">
      <c r="A6925" s="847"/>
      <c r="E6925" s="26" t="s">
        <v>318</v>
      </c>
      <c r="G6925" s="26">
        <v>10</v>
      </c>
      <c r="H6925" s="26" t="s">
        <v>515</v>
      </c>
    </row>
    <row r="6926" spans="1:10" hidden="1">
      <c r="A6926" s="847"/>
      <c r="B6926" s="47" t="s">
        <v>319</v>
      </c>
      <c r="G6926" s="68">
        <f>ROUND(G6918*25,2)</f>
        <v>0.23</v>
      </c>
      <c r="H6926" s="26" t="s">
        <v>6901</v>
      </c>
    </row>
    <row r="6927" spans="1:10" hidden="1">
      <c r="A6927" s="847"/>
      <c r="B6927" s="47" t="s">
        <v>320</v>
      </c>
    </row>
    <row r="6928" spans="1:10" hidden="1">
      <c r="A6928" s="847"/>
      <c r="B6928" s="47" t="s">
        <v>3174</v>
      </c>
    </row>
    <row r="6929" spans="1:10" hidden="1">
      <c r="A6929" s="847"/>
      <c r="B6929" s="47" t="s">
        <v>3175</v>
      </c>
    </row>
    <row r="6930" spans="1:10" hidden="1">
      <c r="A6930" s="847"/>
      <c r="B6930" s="47" t="s">
        <v>3176</v>
      </c>
    </row>
    <row r="6931" spans="1:10" hidden="1">
      <c r="A6931" s="847"/>
      <c r="B6931" s="47" t="s">
        <v>67</v>
      </c>
      <c r="F6931" s="27" t="s">
        <v>1602</v>
      </c>
      <c r="G6931" s="26">
        <v>4.25</v>
      </c>
      <c r="H6931" s="26" t="s">
        <v>3033</v>
      </c>
    </row>
    <row r="6932" spans="1:10" hidden="1">
      <c r="A6932" s="847"/>
      <c r="B6932" s="47" t="s">
        <v>68</v>
      </c>
      <c r="D6932" s="68">
        <f>'BASIC DATA'!$D$97/1000</f>
        <v>37.5</v>
      </c>
      <c r="E6932" s="26" t="s">
        <v>1513</v>
      </c>
      <c r="F6932" s="78" t="s">
        <v>1698</v>
      </c>
      <c r="G6932" s="68">
        <f>G6931*D6932</f>
        <v>159.375</v>
      </c>
    </row>
    <row r="6933" spans="1:10" hidden="1">
      <c r="A6933" s="847"/>
      <c r="B6933" s="47" t="s">
        <v>4029</v>
      </c>
      <c r="D6933" s="68">
        <f>'BASIC DATA'!$D$358</f>
        <v>24</v>
      </c>
      <c r="E6933" s="26" t="s">
        <v>1513</v>
      </c>
      <c r="F6933" s="78" t="s">
        <v>1698</v>
      </c>
      <c r="G6933" s="173">
        <f>G6931*D6933</f>
        <v>102</v>
      </c>
    </row>
    <row r="6934" spans="1:10" hidden="1">
      <c r="A6934" s="847"/>
      <c r="E6934" s="171" t="s">
        <v>1518</v>
      </c>
      <c r="F6934" s="78" t="s">
        <v>1698</v>
      </c>
      <c r="G6934" s="68">
        <f>SUM(G6932:G6933)</f>
        <v>261.375</v>
      </c>
      <c r="J6934" s="61"/>
    </row>
    <row r="6935" spans="1:10" hidden="1">
      <c r="A6935" s="847"/>
      <c r="B6935" s="47" t="s">
        <v>2496</v>
      </c>
      <c r="E6935" s="201">
        <v>0.15</v>
      </c>
      <c r="F6935" s="78" t="s">
        <v>1698</v>
      </c>
      <c r="G6935" s="173">
        <f>G6934*E6935</f>
        <v>39.206249999999997</v>
      </c>
    </row>
    <row r="6936" spans="1:10" hidden="1">
      <c r="A6936" s="847"/>
      <c r="E6936" s="171" t="s">
        <v>1518</v>
      </c>
      <c r="F6936" s="78" t="s">
        <v>1698</v>
      </c>
      <c r="G6936" s="68">
        <f>G6934-G6935</f>
        <v>222.16874999999999</v>
      </c>
    </row>
    <row r="6937" spans="1:10" hidden="1">
      <c r="A6937" s="847"/>
      <c r="B6937" s="47" t="s">
        <v>4617</v>
      </c>
      <c r="D6937" s="26">
        <v>500</v>
      </c>
      <c r="E6937" s="26" t="s">
        <v>4614</v>
      </c>
      <c r="F6937" s="78" t="s">
        <v>1698</v>
      </c>
      <c r="G6937" s="68">
        <f>G6936/D6937</f>
        <v>0.4443375</v>
      </c>
    </row>
    <row r="6938" spans="1:10" hidden="1">
      <c r="A6938" s="847"/>
      <c r="B6938" s="47" t="s">
        <v>4503</v>
      </c>
      <c r="D6938" s="201">
        <v>0.15</v>
      </c>
      <c r="F6938" s="78" t="s">
        <v>1698</v>
      </c>
      <c r="G6938" s="68">
        <f>G6937*D6938</f>
        <v>6.6650624999999991E-2</v>
      </c>
    </row>
    <row r="6939" spans="1:10" hidden="1">
      <c r="A6939" s="847"/>
      <c r="B6939" s="47" t="s">
        <v>5092</v>
      </c>
      <c r="D6939" s="68">
        <f>'BASIC DATA'!$D$357</f>
        <v>50</v>
      </c>
      <c r="E6939" s="26" t="s">
        <v>5285</v>
      </c>
      <c r="F6939" s="78" t="s">
        <v>1698</v>
      </c>
      <c r="G6939" s="173">
        <f>D6939*0.06</f>
        <v>3</v>
      </c>
    </row>
    <row r="6940" spans="1:10" hidden="1">
      <c r="A6940" s="847"/>
      <c r="B6940" s="78"/>
      <c r="C6940" s="48"/>
      <c r="D6940" s="26" t="s">
        <v>3439</v>
      </c>
      <c r="F6940" s="78" t="s">
        <v>1698</v>
      </c>
      <c r="G6940" s="68">
        <f>SUM(G6937:G6939)</f>
        <v>3.5109881249999999</v>
      </c>
      <c r="J6940" s="31"/>
    </row>
    <row r="6941" spans="1:10">
      <c r="A6941" s="847"/>
      <c r="B6941" s="78"/>
      <c r="C6941" s="48"/>
      <c r="F6941" s="78"/>
      <c r="G6941" s="68"/>
    </row>
    <row r="6942" spans="1:10">
      <c r="A6942" s="889" t="s">
        <v>3984</v>
      </c>
      <c r="B6942" s="78"/>
      <c r="C6942" s="349" t="s">
        <v>2367</v>
      </c>
      <c r="E6942" s="171" t="s">
        <v>297</v>
      </c>
      <c r="F6942" s="409">
        <v>25</v>
      </c>
      <c r="G6942" s="26" t="s">
        <v>4041</v>
      </c>
    </row>
    <row r="6943" spans="1:10">
      <c r="A6943" s="847"/>
      <c r="B6943" s="79" t="s">
        <v>2368</v>
      </c>
      <c r="C6943" s="48"/>
    </row>
    <row r="6944" spans="1:10">
      <c r="A6944" s="847"/>
      <c r="B6944" s="95" t="s">
        <v>2369</v>
      </c>
      <c r="C6944" s="350" t="s">
        <v>6374</v>
      </c>
      <c r="D6944" s="95" t="s">
        <v>2370</v>
      </c>
      <c r="E6944" s="95" t="s">
        <v>1166</v>
      </c>
      <c r="F6944" s="95" t="s">
        <v>2371</v>
      </c>
      <c r="G6944" s="95" t="s">
        <v>2372</v>
      </c>
    </row>
    <row r="6945" spans="1:11">
      <c r="A6945" s="847"/>
      <c r="B6945" s="114"/>
      <c r="C6945" s="351"/>
      <c r="D6945" s="114"/>
      <c r="E6945" s="114"/>
      <c r="F6945" s="114" t="s">
        <v>3485</v>
      </c>
      <c r="G6945" s="114" t="s">
        <v>3485</v>
      </c>
    </row>
    <row r="6946" spans="1:11">
      <c r="A6946" s="847"/>
      <c r="B6946" s="95">
        <v>1</v>
      </c>
      <c r="C6946" s="86" t="s">
        <v>1048</v>
      </c>
      <c r="D6946" s="451" t="s">
        <v>3478</v>
      </c>
      <c r="E6946" s="220">
        <f>G6926*300</f>
        <v>69</v>
      </c>
      <c r="F6946" s="68">
        <f>'BASIC DATA'!$D$32/1000</f>
        <v>5.35</v>
      </c>
      <c r="G6946" s="449">
        <f t="shared" ref="G6946:G6952" si="96">E6946*F6946</f>
        <v>369.15</v>
      </c>
    </row>
    <row r="6947" spans="1:11" ht="36">
      <c r="A6947" s="847"/>
      <c r="B6947" s="152"/>
      <c r="C6947" s="86" t="s">
        <v>4000</v>
      </c>
      <c r="D6947" s="319" t="s">
        <v>3478</v>
      </c>
      <c r="E6947" s="220">
        <f>F6942*0.5</f>
        <v>12.5</v>
      </c>
      <c r="F6947" s="68">
        <f>'BASIC DATA'!$D$32/1000</f>
        <v>5.35</v>
      </c>
      <c r="G6947" s="449">
        <f t="shared" si="96"/>
        <v>66.875</v>
      </c>
    </row>
    <row r="6948" spans="1:11">
      <c r="A6948" s="847"/>
      <c r="B6948" s="105">
        <v>2</v>
      </c>
      <c r="C6948" s="86" t="s">
        <v>6995</v>
      </c>
      <c r="D6948" s="319" t="s">
        <v>3477</v>
      </c>
      <c r="E6948" s="220">
        <f>0.65*G6926*0.8</f>
        <v>0.11960000000000003</v>
      </c>
      <c r="F6948" s="190">
        <f>'BASIC DATA'!$D$35</f>
        <v>1225</v>
      </c>
      <c r="G6948" s="449">
        <f t="shared" si="96"/>
        <v>146.51000000000002</v>
      </c>
    </row>
    <row r="6949" spans="1:11">
      <c r="A6949" s="847"/>
      <c r="B6949" s="152"/>
      <c r="C6949" s="86" t="s">
        <v>1050</v>
      </c>
      <c r="D6949" s="319" t="s">
        <v>3477</v>
      </c>
      <c r="E6949" s="220">
        <f>0.35*G6926*0.8</f>
        <v>6.4399999999999999E-2</v>
      </c>
      <c r="F6949" s="190">
        <f>'BASIC DATA'!$D$34</f>
        <v>900</v>
      </c>
      <c r="G6949" s="449">
        <f t="shared" si="96"/>
        <v>57.96</v>
      </c>
    </row>
    <row r="6950" spans="1:11">
      <c r="A6950" s="848"/>
      <c r="B6950" s="240">
        <v>3</v>
      </c>
      <c r="C6950" s="392" t="s">
        <v>7935</v>
      </c>
      <c r="D6950" s="452" t="s">
        <v>3477</v>
      </c>
      <c r="E6950" s="256">
        <f>G6926*0.45</f>
        <v>0.10350000000000001</v>
      </c>
      <c r="F6950" s="266">
        <f>'BASIC DATA'!$D$55</f>
        <v>95</v>
      </c>
      <c r="G6950" s="450">
        <f t="shared" si="96"/>
        <v>9.8325000000000014</v>
      </c>
      <c r="H6950" s="61"/>
      <c r="I6950" s="61"/>
      <c r="J6950" s="61"/>
      <c r="K6950" s="61"/>
    </row>
    <row r="6951" spans="1:11">
      <c r="A6951" s="847"/>
      <c r="B6951" s="105">
        <v>4</v>
      </c>
      <c r="C6951" s="86" t="s">
        <v>523</v>
      </c>
      <c r="D6951" s="319" t="s">
        <v>3478</v>
      </c>
      <c r="E6951" s="220">
        <f>0.4%*E6946</f>
        <v>0.27600000000000002</v>
      </c>
      <c r="F6951" s="266">
        <f>'BASIC DATA'!$D$99</f>
        <v>55</v>
      </c>
      <c r="G6951" s="449">
        <f t="shared" si="96"/>
        <v>15.180000000000001</v>
      </c>
      <c r="K6951" s="61"/>
    </row>
    <row r="6952" spans="1:11">
      <c r="A6952" s="847"/>
      <c r="B6952" s="114">
        <v>5</v>
      </c>
      <c r="C6952" s="86" t="s">
        <v>4091</v>
      </c>
      <c r="D6952" s="467" t="s">
        <v>4089</v>
      </c>
      <c r="E6952" s="220">
        <f>F6942</f>
        <v>25</v>
      </c>
      <c r="F6952" s="214">
        <f>G6940</f>
        <v>3.5109881249999999</v>
      </c>
      <c r="G6952" s="449">
        <f t="shared" si="96"/>
        <v>87.774703125000002</v>
      </c>
    </row>
    <row r="6953" spans="1:11">
      <c r="A6953" s="847"/>
      <c r="B6953" s="92"/>
      <c r="C6953" s="353" t="s">
        <v>2376</v>
      </c>
      <c r="D6953" s="159"/>
      <c r="E6953" s="238"/>
      <c r="F6953" s="236" t="s">
        <v>1698</v>
      </c>
      <c r="G6953" s="318">
        <f>SUM(G6946:G6952)</f>
        <v>753.28220312499991</v>
      </c>
    </row>
    <row r="6954" spans="1:11">
      <c r="A6954" s="847"/>
      <c r="B6954" s="78"/>
      <c r="C6954" s="48"/>
    </row>
    <row r="6955" spans="1:11">
      <c r="A6955" s="847"/>
      <c r="B6955" s="79" t="s">
        <v>2377</v>
      </c>
      <c r="C6955" s="48"/>
    </row>
    <row r="6956" spans="1:11">
      <c r="A6956" s="847"/>
      <c r="B6956" s="95" t="s">
        <v>2369</v>
      </c>
      <c r="C6956" s="350" t="s">
        <v>2378</v>
      </c>
      <c r="D6956" s="95" t="s">
        <v>2370</v>
      </c>
      <c r="E6956" s="95" t="s">
        <v>1166</v>
      </c>
      <c r="F6956" s="95" t="s">
        <v>2371</v>
      </c>
      <c r="G6956" s="95" t="s">
        <v>2372</v>
      </c>
    </row>
    <row r="6957" spans="1:11">
      <c r="A6957" s="847"/>
      <c r="B6957" s="114"/>
      <c r="C6957" s="351"/>
      <c r="D6957" s="114"/>
      <c r="E6957" s="114"/>
      <c r="F6957" s="114" t="s">
        <v>3485</v>
      </c>
      <c r="G6957" s="114" t="s">
        <v>3485</v>
      </c>
      <c r="J6957" s="61"/>
    </row>
    <row r="6958" spans="1:11" ht="36">
      <c r="A6958" s="847"/>
      <c r="B6958" s="95">
        <v>1</v>
      </c>
      <c r="C6958" s="86" t="s">
        <v>2749</v>
      </c>
      <c r="D6958" s="95" t="s">
        <v>2374</v>
      </c>
      <c r="E6958" s="220">
        <v>8</v>
      </c>
      <c r="F6958" s="214">
        <f>'HIRE CHARGES'!$D$507</f>
        <v>53.5</v>
      </c>
      <c r="G6958" s="449">
        <f t="shared" ref="G6958:G6963" si="97">E6958*F6958</f>
        <v>428</v>
      </c>
    </row>
    <row r="6959" spans="1:11">
      <c r="A6959" s="847"/>
      <c r="B6959" s="152"/>
      <c r="C6959" s="86" t="s">
        <v>2379</v>
      </c>
      <c r="D6959" s="105" t="s">
        <v>2374</v>
      </c>
      <c r="E6959" s="220">
        <v>8</v>
      </c>
      <c r="F6959" s="214">
        <f>'HIRE CHARGES'!$E$507</f>
        <v>79.3</v>
      </c>
      <c r="G6959" s="449">
        <f t="shared" si="97"/>
        <v>634.4</v>
      </c>
    </row>
    <row r="6960" spans="1:11">
      <c r="A6960" s="847"/>
      <c r="B6960" s="105">
        <v>2</v>
      </c>
      <c r="C6960" s="86" t="s">
        <v>189</v>
      </c>
      <c r="D6960" s="105" t="s">
        <v>2374</v>
      </c>
      <c r="E6960" s="220">
        <v>0.1</v>
      </c>
      <c r="F6960" s="214">
        <f>'HIRE CHARGES'!$D$517</f>
        <v>10.199999999999999</v>
      </c>
      <c r="G6960" s="449">
        <f t="shared" si="97"/>
        <v>1.02</v>
      </c>
    </row>
    <row r="6961" spans="1:11">
      <c r="A6961" s="847"/>
      <c r="B6961" s="152"/>
      <c r="C6961" s="86" t="s">
        <v>2379</v>
      </c>
      <c r="D6961" s="105" t="s">
        <v>2374</v>
      </c>
      <c r="E6961" s="220">
        <v>0.1</v>
      </c>
      <c r="F6961" s="214">
        <f>'HIRE CHARGES'!$E$517</f>
        <v>79.3</v>
      </c>
      <c r="G6961" s="449">
        <f t="shared" si="97"/>
        <v>7.93</v>
      </c>
    </row>
    <row r="6962" spans="1:11">
      <c r="A6962" s="847"/>
      <c r="B6962" s="105">
        <v>3</v>
      </c>
      <c r="C6962" s="86" t="s">
        <v>6286</v>
      </c>
      <c r="D6962" s="105" t="s">
        <v>2374</v>
      </c>
      <c r="E6962" s="220">
        <v>0.2</v>
      </c>
      <c r="F6962" s="214">
        <f>'HIRE CHARGES'!$D$555</f>
        <v>402.5</v>
      </c>
      <c r="G6962" s="449">
        <f t="shared" si="97"/>
        <v>80.5</v>
      </c>
    </row>
    <row r="6963" spans="1:11">
      <c r="A6963" s="847"/>
      <c r="B6963" s="116"/>
      <c r="C6963" s="86" t="s">
        <v>2379</v>
      </c>
      <c r="D6963" s="114" t="s">
        <v>2374</v>
      </c>
      <c r="E6963" s="220">
        <v>0.2</v>
      </c>
      <c r="F6963" s="214">
        <f>'HIRE CHARGES'!$E$555</f>
        <v>299.89999999999998</v>
      </c>
      <c r="G6963" s="449">
        <f t="shared" si="97"/>
        <v>59.98</v>
      </c>
    </row>
    <row r="6964" spans="1:11">
      <c r="A6964" s="847"/>
      <c r="B6964" s="176"/>
      <c r="C6964" s="357" t="s">
        <v>2380</v>
      </c>
      <c r="D6964" s="174"/>
      <c r="E6964" s="192"/>
      <c r="F6964" s="236" t="s">
        <v>1698</v>
      </c>
      <c r="G6964" s="67">
        <f>SUM(G6958:G6963)</f>
        <v>1211.8300000000002</v>
      </c>
    </row>
    <row r="6965" spans="1:11" ht="36">
      <c r="A6965" s="848"/>
      <c r="B6965" s="263"/>
      <c r="C6965" s="416" t="s">
        <v>4511</v>
      </c>
      <c r="D6965" s="241"/>
      <c r="E6965" s="468">
        <f>'BASIC DATA'!$C$585</f>
        <v>0.1</v>
      </c>
      <c r="F6965" s="390" t="s">
        <v>1698</v>
      </c>
      <c r="G6965" s="391">
        <f>E6965*G6964</f>
        <v>121.18300000000002</v>
      </c>
      <c r="H6965" s="61"/>
      <c r="I6965" s="61"/>
      <c r="J6965" s="61"/>
      <c r="K6965" s="61"/>
    </row>
    <row r="6966" spans="1:11">
      <c r="A6966" s="847"/>
      <c r="B6966" s="78"/>
      <c r="C6966" s="48"/>
    </row>
    <row r="6967" spans="1:11">
      <c r="A6967" s="847"/>
      <c r="B6967" s="79" t="s">
        <v>2381</v>
      </c>
      <c r="C6967" s="48"/>
      <c r="K6967" s="61"/>
    </row>
    <row r="6968" spans="1:11">
      <c r="A6968" s="847"/>
      <c r="B6968" s="95" t="s">
        <v>2369</v>
      </c>
      <c r="C6968" s="350" t="s">
        <v>2378</v>
      </c>
      <c r="D6968" s="95" t="s">
        <v>2370</v>
      </c>
      <c r="E6968" s="95" t="s">
        <v>1166</v>
      </c>
      <c r="F6968" s="95" t="s">
        <v>2371</v>
      </c>
      <c r="G6968" s="95" t="s">
        <v>2372</v>
      </c>
      <c r="K6968" s="61"/>
    </row>
    <row r="6969" spans="1:11">
      <c r="A6969" s="847"/>
      <c r="B6969" s="114"/>
      <c r="C6969" s="351"/>
      <c r="D6969" s="105"/>
      <c r="E6969" s="114"/>
      <c r="F6969" s="114" t="s">
        <v>3485</v>
      </c>
      <c r="G6969" s="114" t="s">
        <v>3485</v>
      </c>
    </row>
    <row r="6970" spans="1:11">
      <c r="A6970" s="847"/>
      <c r="B6970" s="105">
        <v>1</v>
      </c>
      <c r="C6970" s="86" t="s">
        <v>527</v>
      </c>
      <c r="D6970" s="95" t="s">
        <v>2374</v>
      </c>
      <c r="E6970" s="207">
        <v>8</v>
      </c>
      <c r="F6970" s="214">
        <f>'HIRE CHARGES'!$F$507</f>
        <v>219.7</v>
      </c>
      <c r="G6970" s="449">
        <f>E6970*F6970</f>
        <v>1757.6</v>
      </c>
    </row>
    <row r="6971" spans="1:11">
      <c r="A6971" s="847"/>
      <c r="B6971" s="105">
        <v>2</v>
      </c>
      <c r="C6971" s="86" t="s">
        <v>999</v>
      </c>
      <c r="D6971" s="105" t="s">
        <v>2374</v>
      </c>
      <c r="E6971" s="207">
        <v>0.1</v>
      </c>
      <c r="F6971" s="214">
        <f>'HIRE CHARGES'!$F$517</f>
        <v>111.1</v>
      </c>
      <c r="G6971" s="449">
        <f>E6971*F6971</f>
        <v>11.11</v>
      </c>
    </row>
    <row r="6972" spans="1:11">
      <c r="A6972" s="847"/>
      <c r="B6972" s="105">
        <v>3</v>
      </c>
      <c r="C6972" s="86" t="s">
        <v>1000</v>
      </c>
      <c r="D6972" s="105" t="s">
        <v>2374</v>
      </c>
      <c r="E6972" s="207">
        <v>0.2</v>
      </c>
      <c r="F6972" s="190">
        <f>'HIRE CHARGES'!$F$555</f>
        <v>177.5</v>
      </c>
      <c r="G6972" s="449">
        <f>E6972*F6972</f>
        <v>35.5</v>
      </c>
    </row>
    <row r="6973" spans="1:11">
      <c r="A6973" s="847"/>
      <c r="B6973" s="105">
        <v>4</v>
      </c>
      <c r="C6973" s="86" t="s">
        <v>440</v>
      </c>
      <c r="D6973" s="105" t="s">
        <v>1172</v>
      </c>
      <c r="E6973" s="207">
        <v>2</v>
      </c>
      <c r="F6973" s="190">
        <f>'BASIC DATA'!$C$474</f>
        <v>445</v>
      </c>
      <c r="G6973" s="449">
        <f>E6973*F6973</f>
        <v>890</v>
      </c>
    </row>
    <row r="6974" spans="1:11">
      <c r="A6974" s="847"/>
      <c r="B6974" s="105">
        <v>5</v>
      </c>
      <c r="C6974" s="86" t="s">
        <v>4206</v>
      </c>
      <c r="D6974" s="105" t="s">
        <v>1172</v>
      </c>
      <c r="E6974" s="207">
        <v>1</v>
      </c>
      <c r="F6974" s="190">
        <f>'BASIC DATA'!$C$473</f>
        <v>450</v>
      </c>
      <c r="G6974" s="449">
        <f>E6974*F6974</f>
        <v>450</v>
      </c>
      <c r="J6974" s="61"/>
    </row>
    <row r="6975" spans="1:11">
      <c r="A6975" s="847"/>
      <c r="B6975" s="105">
        <v>6</v>
      </c>
      <c r="C6975" s="86" t="s">
        <v>2697</v>
      </c>
      <c r="D6975" s="105"/>
      <c r="E6975" s="207"/>
      <c r="F6975" s="190"/>
      <c r="G6975" s="190"/>
    </row>
    <row r="6976" spans="1:11">
      <c r="A6976" s="847"/>
      <c r="B6976" s="152"/>
      <c r="C6976" s="86" t="s">
        <v>2750</v>
      </c>
      <c r="D6976" s="105" t="s">
        <v>1172</v>
      </c>
      <c r="E6976" s="207">
        <v>3</v>
      </c>
      <c r="F6976" s="190">
        <f>'BASIC DATA'!$C$552</f>
        <v>350</v>
      </c>
      <c r="G6976" s="449">
        <f>E6976*F6976</f>
        <v>1050</v>
      </c>
    </row>
    <row r="6977" spans="1:11">
      <c r="A6977" s="847"/>
      <c r="B6977" s="152"/>
      <c r="C6977" s="86" t="s">
        <v>2751</v>
      </c>
      <c r="D6977" s="105" t="s">
        <v>1172</v>
      </c>
      <c r="E6977" s="207">
        <v>2</v>
      </c>
      <c r="F6977" s="190">
        <f>'BASIC DATA'!$C$552</f>
        <v>350</v>
      </c>
      <c r="G6977" s="449">
        <f>E6977*F6977</f>
        <v>700</v>
      </c>
    </row>
    <row r="6978" spans="1:11">
      <c r="A6978" s="847"/>
      <c r="B6978" s="152"/>
      <c r="C6978" s="86" t="s">
        <v>2752</v>
      </c>
      <c r="D6978" s="105" t="s">
        <v>1172</v>
      </c>
      <c r="E6978" s="207">
        <v>1</v>
      </c>
      <c r="F6978" s="190">
        <f>'BASIC DATA'!$C$552</f>
        <v>350</v>
      </c>
      <c r="G6978" s="449">
        <f>E6978*F6978</f>
        <v>350</v>
      </c>
    </row>
    <row r="6979" spans="1:11">
      <c r="A6979" s="847"/>
      <c r="B6979" s="152"/>
      <c r="C6979" s="86" t="s">
        <v>1184</v>
      </c>
      <c r="D6979" s="105" t="s">
        <v>1172</v>
      </c>
      <c r="E6979" s="207">
        <v>1</v>
      </c>
      <c r="F6979" s="190">
        <f>'BASIC DATA'!$C$552</f>
        <v>350</v>
      </c>
      <c r="G6979" s="449">
        <f>E6979*F6979</f>
        <v>350</v>
      </c>
    </row>
    <row r="6980" spans="1:11">
      <c r="A6980" s="847"/>
      <c r="B6980" s="152"/>
      <c r="C6980" s="86" t="s">
        <v>1185</v>
      </c>
      <c r="D6980" s="105" t="s">
        <v>1172</v>
      </c>
      <c r="E6980" s="207">
        <v>1</v>
      </c>
      <c r="F6980" s="190">
        <f>'BASIC DATA'!$C$552</f>
        <v>350</v>
      </c>
      <c r="G6980" s="449">
        <f>E6980*F6980</f>
        <v>350</v>
      </c>
    </row>
    <row r="6981" spans="1:11">
      <c r="A6981" s="847"/>
      <c r="B6981" s="92"/>
      <c r="C6981" s="353" t="s">
        <v>1174</v>
      </c>
      <c r="D6981" s="159"/>
      <c r="E6981" s="238"/>
      <c r="F6981" s="236" t="s">
        <v>1698</v>
      </c>
      <c r="G6981" s="67">
        <f>SUM(G6970:G6980)</f>
        <v>5944.21</v>
      </c>
    </row>
    <row r="6982" spans="1:11" ht="36">
      <c r="A6982" s="848"/>
      <c r="B6982" s="311"/>
      <c r="C6982" s="416" t="s">
        <v>4512</v>
      </c>
      <c r="D6982" s="388"/>
      <c r="E6982" s="469">
        <f>'BASIC DATA'!$C$586</f>
        <v>0.1</v>
      </c>
      <c r="F6982" s="390" t="s">
        <v>1698</v>
      </c>
      <c r="G6982" s="391">
        <f>E6982*G6981</f>
        <v>594.42100000000005</v>
      </c>
      <c r="H6982" s="61"/>
      <c r="I6982" s="61"/>
      <c r="J6982" s="61"/>
      <c r="K6982" s="61"/>
    </row>
    <row r="6983" spans="1:11">
      <c r="A6983" s="847"/>
      <c r="B6983" s="359" t="s">
        <v>5948</v>
      </c>
      <c r="C6983" s="355"/>
      <c r="D6983" s="31"/>
      <c r="E6983" s="85">
        <f>ROUND(G6982/F6942,1)</f>
        <v>23.8</v>
      </c>
      <c r="K6983" s="61"/>
    </row>
    <row r="6984" spans="1:11">
      <c r="A6984" s="847"/>
      <c r="B6984" s="359" t="s">
        <v>3163</v>
      </c>
      <c r="C6984" s="355"/>
      <c r="D6984" s="922">
        <f>'BASIC DATA'!$C$577</f>
        <v>0.13614999999999999</v>
      </c>
      <c r="E6984" s="85">
        <f>ROUND(E6983*D6984,1)</f>
        <v>3.2</v>
      </c>
      <c r="K6984" s="61"/>
    </row>
    <row r="6985" spans="1:11">
      <c r="A6985" s="847"/>
      <c r="B6985" s="359" t="s">
        <v>5949</v>
      </c>
      <c r="C6985" s="355"/>
      <c r="D6985" s="31"/>
      <c r="E6985" s="199">
        <f>ROUND(E6984+E6983,1)</f>
        <v>27</v>
      </c>
      <c r="K6985" s="61"/>
    </row>
    <row r="6986" spans="1:11">
      <c r="A6986" s="847"/>
      <c r="C6986" s="48"/>
      <c r="K6986" s="61"/>
    </row>
    <row r="6987" spans="1:11">
      <c r="A6987" s="847"/>
      <c r="B6987" s="162" t="s">
        <v>1175</v>
      </c>
      <c r="C6987" s="48"/>
    </row>
    <row r="6988" spans="1:11">
      <c r="A6988" s="847"/>
      <c r="B6988" s="47" t="s">
        <v>4</v>
      </c>
      <c r="C6988" s="48"/>
      <c r="F6988" s="171" t="s">
        <v>1698</v>
      </c>
      <c r="G6988" s="68">
        <f>G6953</f>
        <v>753.28220312499991</v>
      </c>
    </row>
    <row r="6989" spans="1:11">
      <c r="A6989" s="847"/>
      <c r="B6989" s="47" t="s">
        <v>1186</v>
      </c>
      <c r="C6989" s="48"/>
      <c r="F6989" s="171" t="s">
        <v>1698</v>
      </c>
      <c r="G6989" s="68">
        <f>G6965</f>
        <v>121.18300000000002</v>
      </c>
    </row>
    <row r="6990" spans="1:11">
      <c r="A6990" s="847"/>
      <c r="B6990" s="47" t="s">
        <v>2660</v>
      </c>
      <c r="C6990" s="48"/>
      <c r="F6990" s="171" t="s">
        <v>1698</v>
      </c>
      <c r="G6990" s="75">
        <f>G6982</f>
        <v>594.42100000000005</v>
      </c>
    </row>
    <row r="6991" spans="1:11">
      <c r="A6991" s="847"/>
      <c r="B6991" s="78"/>
      <c r="C6991" s="48"/>
      <c r="E6991" s="171" t="s">
        <v>4835</v>
      </c>
      <c r="F6991" s="171" t="s">
        <v>1173</v>
      </c>
      <c r="G6991" s="205">
        <f>SUM(G6988:G6990)</f>
        <v>1468.8862031250001</v>
      </c>
    </row>
    <row r="6992" spans="1:11" ht="39" customHeight="1">
      <c r="A6992" s="847"/>
      <c r="B6992" s="1207" t="s">
        <v>1379</v>
      </c>
      <c r="C6992" s="1207"/>
      <c r="D6992" s="1207"/>
      <c r="E6992" s="922">
        <f>'BASIC DATA'!$C$577</f>
        <v>0.13614999999999999</v>
      </c>
      <c r="F6992" s="171" t="s">
        <v>1698</v>
      </c>
      <c r="G6992" s="31">
        <f>ROUND(G6991*E6992,2)</f>
        <v>199.99</v>
      </c>
    </row>
    <row r="6993" spans="1:8">
      <c r="A6993" s="847"/>
      <c r="B6993" s="47" t="s">
        <v>1191</v>
      </c>
      <c r="C6993" s="48"/>
      <c r="D6993" s="68">
        <f>F6942</f>
        <v>25</v>
      </c>
      <c r="E6993" s="68" t="str">
        <f>G6942</f>
        <v>Nos.</v>
      </c>
      <c r="F6993" s="171" t="s">
        <v>1698</v>
      </c>
      <c r="G6993" s="211">
        <f>G6992+G6991</f>
        <v>1668.8762031250001</v>
      </c>
    </row>
    <row r="6994" spans="1:8">
      <c r="A6994" s="847"/>
      <c r="B6994" s="79" t="s">
        <v>1584</v>
      </c>
      <c r="C6994" s="404" t="s">
        <v>4935</v>
      </c>
      <c r="D6994" s="26" t="s">
        <v>5895</v>
      </c>
      <c r="F6994" s="171" t="s">
        <v>4108</v>
      </c>
      <c r="G6994" s="211">
        <f>ROUND(G6993/D6993,1)</f>
        <v>66.8</v>
      </c>
    </row>
    <row r="6995" spans="1:8">
      <c r="A6995" s="847"/>
      <c r="B6995" s="78"/>
      <c r="C6995" s="48"/>
      <c r="F6995" s="171"/>
      <c r="G6995" s="68"/>
    </row>
    <row r="6996" spans="1:8">
      <c r="A6996" s="847"/>
      <c r="B6996" s="78"/>
      <c r="C6996" s="48"/>
      <c r="F6996" s="171"/>
      <c r="G6996" s="68"/>
    </row>
    <row r="6997" spans="1:8" ht="36.75">
      <c r="A6997" s="841" t="s">
        <v>7506</v>
      </c>
      <c r="B6997" s="47" t="s">
        <v>8846</v>
      </c>
      <c r="C6997" s="48"/>
    </row>
    <row r="6998" spans="1:8" ht="18.75">
      <c r="A6998" s="889"/>
      <c r="B6998" s="47" t="s">
        <v>8847</v>
      </c>
      <c r="C6998" s="48"/>
    </row>
    <row r="6999" spans="1:8">
      <c r="A6999" s="895"/>
      <c r="B6999" s="47" t="s">
        <v>2401</v>
      </c>
      <c r="C6999" s="48"/>
    </row>
    <row r="7000" spans="1:8" ht="18.75">
      <c r="A7000" s="889"/>
      <c r="B7000" s="47" t="s">
        <v>8843</v>
      </c>
      <c r="C7000" s="48"/>
      <c r="F7000" s="78"/>
    </row>
    <row r="7001" spans="1:8">
      <c r="A7001" s="889"/>
      <c r="B7001" s="162" t="s">
        <v>7677</v>
      </c>
      <c r="C7001" s="48"/>
    </row>
    <row r="7002" spans="1:8">
      <c r="A7002" s="889"/>
      <c r="B7002" s="162" t="s">
        <v>5896</v>
      </c>
      <c r="C7002" s="48"/>
    </row>
    <row r="7003" spans="1:8">
      <c r="A7003" s="847"/>
      <c r="B7003" s="78"/>
      <c r="C7003" s="48"/>
    </row>
    <row r="7004" spans="1:8">
      <c r="B7004" s="78"/>
      <c r="C7004" s="48"/>
    </row>
    <row r="7005" spans="1:8" hidden="1">
      <c r="A7005" s="889" t="s">
        <v>3984</v>
      </c>
      <c r="B7005" s="47" t="s">
        <v>5121</v>
      </c>
    </row>
    <row r="7006" spans="1:8" hidden="1">
      <c r="A7006" s="847"/>
      <c r="B7006" s="47" t="s">
        <v>7678</v>
      </c>
    </row>
    <row r="7007" spans="1:8" hidden="1">
      <c r="A7007" s="847"/>
      <c r="B7007" s="47" t="s">
        <v>1203</v>
      </c>
      <c r="G7007" s="26">
        <v>4.0000000000000001E-3</v>
      </c>
      <c r="H7007" s="26" t="s">
        <v>6901</v>
      </c>
    </row>
    <row r="7008" spans="1:8" hidden="1">
      <c r="A7008" s="847"/>
      <c r="B7008" s="47" t="s">
        <v>4448</v>
      </c>
      <c r="G7008" s="26">
        <v>247</v>
      </c>
      <c r="H7008" s="26" t="s">
        <v>3032</v>
      </c>
    </row>
    <row r="7009" spans="1:10" hidden="1">
      <c r="A7009" s="847"/>
      <c r="B7009" s="47" t="s">
        <v>784</v>
      </c>
    </row>
    <row r="7010" spans="1:10" hidden="1">
      <c r="A7010" s="847"/>
      <c r="B7010" s="47" t="s">
        <v>785</v>
      </c>
      <c r="F7010" s="78" t="s">
        <v>1602</v>
      </c>
      <c r="G7010" s="26">
        <v>250</v>
      </c>
      <c r="H7010" s="26" t="s">
        <v>1552</v>
      </c>
      <c r="I7010" s="61"/>
    </row>
    <row r="7011" spans="1:10" hidden="1">
      <c r="A7011" s="847"/>
      <c r="B7011" s="47" t="s">
        <v>786</v>
      </c>
    </row>
    <row r="7012" spans="1:10" hidden="1">
      <c r="A7012" s="847"/>
      <c r="B7012" s="47" t="s">
        <v>6704</v>
      </c>
    </row>
    <row r="7013" spans="1:10" hidden="1">
      <c r="A7013" s="847"/>
      <c r="B7013" s="47" t="s">
        <v>69</v>
      </c>
      <c r="E7013" s="26" t="s">
        <v>70</v>
      </c>
      <c r="G7013" s="26">
        <v>90</v>
      </c>
      <c r="H7013" s="26" t="s">
        <v>515</v>
      </c>
      <c r="J7013" s="61"/>
    </row>
    <row r="7014" spans="1:10" hidden="1">
      <c r="A7014" s="847"/>
      <c r="E7014" s="26" t="s">
        <v>5188</v>
      </c>
      <c r="G7014" s="26">
        <v>10</v>
      </c>
      <c r="H7014" s="26" t="s">
        <v>515</v>
      </c>
    </row>
    <row r="7015" spans="1:10" hidden="1">
      <c r="A7015" s="847"/>
      <c r="B7015" s="47" t="s">
        <v>5189</v>
      </c>
      <c r="G7015" s="68">
        <v>0.9</v>
      </c>
      <c r="H7015" s="26" t="s">
        <v>6901</v>
      </c>
    </row>
    <row r="7016" spans="1:10" hidden="1">
      <c r="A7016" s="847"/>
      <c r="B7016" s="47" t="s">
        <v>6705</v>
      </c>
    </row>
    <row r="7017" spans="1:10" hidden="1">
      <c r="A7017" s="847"/>
      <c r="B7017" s="47" t="s">
        <v>3174</v>
      </c>
    </row>
    <row r="7018" spans="1:10" hidden="1">
      <c r="A7018" s="847"/>
      <c r="B7018" s="47" t="s">
        <v>3175</v>
      </c>
    </row>
    <row r="7019" spans="1:10" hidden="1">
      <c r="A7019" s="847"/>
      <c r="B7019" s="47" t="s">
        <v>6706</v>
      </c>
      <c r="J7019" s="31"/>
    </row>
    <row r="7020" spans="1:10" hidden="1">
      <c r="A7020" s="847"/>
      <c r="B7020" s="47" t="s">
        <v>733</v>
      </c>
      <c r="F7020" s="26" t="s">
        <v>1602</v>
      </c>
      <c r="G7020" s="68">
        <v>2.8</v>
      </c>
      <c r="H7020" s="26" t="s">
        <v>3033</v>
      </c>
    </row>
    <row r="7021" spans="1:10" hidden="1">
      <c r="A7021" s="847"/>
      <c r="B7021" s="47" t="s">
        <v>5022</v>
      </c>
      <c r="D7021" s="68">
        <f>'BASIC DATA'!$D$97/1000</f>
        <v>37.5</v>
      </c>
      <c r="E7021" s="26" t="s">
        <v>1513</v>
      </c>
      <c r="F7021" s="78" t="s">
        <v>1698</v>
      </c>
      <c r="G7021" s="68">
        <f>G7020*D7021</f>
        <v>105</v>
      </c>
    </row>
    <row r="7022" spans="1:10" hidden="1">
      <c r="A7022" s="847"/>
      <c r="B7022" s="47" t="s">
        <v>5023</v>
      </c>
      <c r="D7022" s="68">
        <f>'BASIC DATA'!$D$358</f>
        <v>24</v>
      </c>
      <c r="E7022" s="26" t="s">
        <v>1513</v>
      </c>
      <c r="F7022" s="78" t="s">
        <v>1698</v>
      </c>
      <c r="G7022" s="173">
        <f>G7020*D7022</f>
        <v>67.199999999999989</v>
      </c>
    </row>
    <row r="7023" spans="1:10" hidden="1">
      <c r="A7023" s="847"/>
      <c r="E7023" s="171" t="s">
        <v>1518</v>
      </c>
      <c r="F7023" s="78" t="s">
        <v>1698</v>
      </c>
      <c r="G7023" s="68">
        <f>SUM(G7021:G7022)</f>
        <v>172.2</v>
      </c>
    </row>
    <row r="7024" spans="1:10" hidden="1">
      <c r="A7024" s="847"/>
      <c r="B7024" s="47" t="s">
        <v>2496</v>
      </c>
      <c r="E7024" s="201">
        <v>0.15</v>
      </c>
      <c r="F7024" s="78" t="s">
        <v>1698</v>
      </c>
      <c r="G7024" s="173">
        <f>G7023*E7024</f>
        <v>25.83</v>
      </c>
    </row>
    <row r="7025" spans="1:11" hidden="1">
      <c r="A7025" s="847"/>
      <c r="E7025" s="171" t="s">
        <v>1518</v>
      </c>
      <c r="F7025" s="78" t="s">
        <v>1698</v>
      </c>
      <c r="G7025" s="68">
        <f>G7023-G7024</f>
        <v>146.37</v>
      </c>
    </row>
    <row r="7026" spans="1:11" hidden="1">
      <c r="A7026" s="847"/>
      <c r="B7026" s="47" t="s">
        <v>4617</v>
      </c>
      <c r="D7026" s="26">
        <v>500</v>
      </c>
      <c r="E7026" s="26" t="s">
        <v>4614</v>
      </c>
      <c r="F7026" s="78" t="s">
        <v>1698</v>
      </c>
      <c r="G7026" s="68">
        <f>G7025/D7026</f>
        <v>0.29274</v>
      </c>
    </row>
    <row r="7027" spans="1:11" hidden="1">
      <c r="A7027" s="847"/>
      <c r="B7027" s="47" t="s">
        <v>4503</v>
      </c>
      <c r="D7027" s="201">
        <v>0.15</v>
      </c>
      <c r="F7027" s="78" t="s">
        <v>1698</v>
      </c>
      <c r="G7027" s="68">
        <f>G7026*D7027</f>
        <v>4.3910999999999999E-2</v>
      </c>
    </row>
    <row r="7028" spans="1:11" hidden="1">
      <c r="A7028" s="847"/>
      <c r="B7028" s="47" t="s">
        <v>5024</v>
      </c>
      <c r="D7028" s="68">
        <f>'BASIC DATA'!$D$357</f>
        <v>50</v>
      </c>
      <c r="E7028" s="26" t="s">
        <v>5025</v>
      </c>
      <c r="F7028" s="78" t="s">
        <v>1698</v>
      </c>
      <c r="G7028" s="173">
        <f>D7028*0.04</f>
        <v>2</v>
      </c>
    </row>
    <row r="7029" spans="1:11" hidden="1">
      <c r="A7029" s="847"/>
      <c r="B7029" s="78"/>
      <c r="C7029" s="48"/>
      <c r="D7029" s="26" t="s">
        <v>3439</v>
      </c>
      <c r="F7029" s="78" t="s">
        <v>1698</v>
      </c>
      <c r="G7029" s="68">
        <f>SUM(G7026:G7028)</f>
        <v>2.3366509999999998</v>
      </c>
    </row>
    <row r="7030" spans="1:11">
      <c r="A7030" s="847"/>
      <c r="B7030" s="78"/>
      <c r="C7030" s="48"/>
    </row>
    <row r="7031" spans="1:11">
      <c r="A7031" s="889" t="s">
        <v>3984</v>
      </c>
      <c r="B7031" s="78"/>
      <c r="C7031" s="349" t="s">
        <v>2367</v>
      </c>
      <c r="E7031" s="171" t="s">
        <v>297</v>
      </c>
      <c r="F7031" s="409">
        <v>225</v>
      </c>
      <c r="G7031" s="26" t="s">
        <v>4041</v>
      </c>
      <c r="K7031" s="61"/>
    </row>
    <row r="7032" spans="1:11">
      <c r="A7032" s="847"/>
      <c r="B7032" s="79" t="s">
        <v>2368</v>
      </c>
      <c r="C7032" s="48"/>
    </row>
    <row r="7033" spans="1:11">
      <c r="A7033" s="847"/>
      <c r="B7033" s="95" t="s">
        <v>2369</v>
      </c>
      <c r="C7033" s="350" t="s">
        <v>6374</v>
      </c>
      <c r="D7033" s="95" t="s">
        <v>2370</v>
      </c>
      <c r="E7033" s="95" t="s">
        <v>1166</v>
      </c>
      <c r="F7033" s="95" t="s">
        <v>2371</v>
      </c>
      <c r="G7033" s="95" t="s">
        <v>2372</v>
      </c>
    </row>
    <row r="7034" spans="1:11">
      <c r="A7034" s="847"/>
      <c r="B7034" s="114"/>
      <c r="C7034" s="351"/>
      <c r="D7034" s="114"/>
      <c r="E7034" s="114"/>
      <c r="F7034" s="114" t="s">
        <v>3485</v>
      </c>
      <c r="G7034" s="114" t="s">
        <v>3485</v>
      </c>
    </row>
    <row r="7035" spans="1:11">
      <c r="A7035" s="847"/>
      <c r="B7035" s="95">
        <v>1</v>
      </c>
      <c r="C7035" s="86" t="s">
        <v>1048</v>
      </c>
      <c r="D7035" s="451" t="s">
        <v>3478</v>
      </c>
      <c r="E7035" s="220">
        <f>G7015*300</f>
        <v>270</v>
      </c>
      <c r="F7035" s="68">
        <f>'BASIC DATA'!$D$32/1000</f>
        <v>5.35</v>
      </c>
      <c r="G7035" s="449">
        <f t="shared" ref="G7035:G7040" si="98">E7035*F7035</f>
        <v>1444.5</v>
      </c>
    </row>
    <row r="7036" spans="1:11" ht="36">
      <c r="A7036" s="847"/>
      <c r="B7036" s="152"/>
      <c r="C7036" s="86" t="s">
        <v>4000</v>
      </c>
      <c r="D7036" s="319" t="s">
        <v>3478</v>
      </c>
      <c r="E7036" s="220">
        <f>0.5*F7031</f>
        <v>112.5</v>
      </c>
      <c r="F7036" s="68">
        <f>'BASIC DATA'!$D$32/1000</f>
        <v>5.35</v>
      </c>
      <c r="G7036" s="449">
        <f t="shared" si="98"/>
        <v>601.875</v>
      </c>
    </row>
    <row r="7037" spans="1:11">
      <c r="A7037" s="847"/>
      <c r="B7037" s="105">
        <v>2</v>
      </c>
      <c r="C7037" s="86" t="s">
        <v>1050</v>
      </c>
      <c r="D7037" s="319" t="s">
        <v>3477</v>
      </c>
      <c r="E7037" s="220">
        <f>G7015*0.68</f>
        <v>0.6120000000000001</v>
      </c>
      <c r="F7037" s="190">
        <f>'BASIC DATA'!$D$34</f>
        <v>900</v>
      </c>
      <c r="G7037" s="449">
        <f t="shared" si="98"/>
        <v>550.80000000000007</v>
      </c>
    </row>
    <row r="7038" spans="1:11">
      <c r="A7038" s="848"/>
      <c r="B7038" s="240">
        <v>3</v>
      </c>
      <c r="C7038" s="392" t="s">
        <v>7935</v>
      </c>
      <c r="D7038" s="452" t="s">
        <v>3477</v>
      </c>
      <c r="E7038" s="256">
        <f>G7015*0.43</f>
        <v>0.38700000000000001</v>
      </c>
      <c r="F7038" s="266">
        <f>'BASIC DATA'!$D$55</f>
        <v>95</v>
      </c>
      <c r="G7038" s="450">
        <f t="shared" si="98"/>
        <v>36.765000000000001</v>
      </c>
      <c r="H7038" s="61"/>
      <c r="I7038" s="61"/>
      <c r="J7038" s="61"/>
      <c r="K7038" s="61"/>
    </row>
    <row r="7039" spans="1:11">
      <c r="A7039" s="847"/>
      <c r="B7039" s="105">
        <v>4</v>
      </c>
      <c r="C7039" s="86" t="s">
        <v>523</v>
      </c>
      <c r="D7039" s="319" t="s">
        <v>3478</v>
      </c>
      <c r="E7039" s="220">
        <f>0.4%*E7035</f>
        <v>1.08</v>
      </c>
      <c r="F7039" s="266">
        <f>'BASIC DATA'!$D$99</f>
        <v>55</v>
      </c>
      <c r="G7039" s="449">
        <f t="shared" si="98"/>
        <v>59.400000000000006</v>
      </c>
    </row>
    <row r="7040" spans="1:11">
      <c r="A7040" s="847"/>
      <c r="B7040" s="114">
        <v>5</v>
      </c>
      <c r="C7040" s="86" t="s">
        <v>5026</v>
      </c>
      <c r="D7040" s="467" t="s">
        <v>4089</v>
      </c>
      <c r="E7040" s="220">
        <f>F7031</f>
        <v>225</v>
      </c>
      <c r="F7040" s="214">
        <f>G7029</f>
        <v>2.3366509999999998</v>
      </c>
      <c r="G7040" s="449">
        <f t="shared" si="98"/>
        <v>525.74647499999992</v>
      </c>
    </row>
    <row r="7041" spans="1:11">
      <c r="A7041" s="847"/>
      <c r="B7041" s="92"/>
      <c r="C7041" s="353" t="s">
        <v>2376</v>
      </c>
      <c r="D7041" s="159"/>
      <c r="E7041" s="238"/>
      <c r="F7041" s="236" t="s">
        <v>1698</v>
      </c>
      <c r="G7041" s="318">
        <f>SUM(G7035:G7040)</f>
        <v>3219.0864750000001</v>
      </c>
    </row>
    <row r="7042" spans="1:11">
      <c r="A7042" s="847"/>
      <c r="B7042" s="78"/>
      <c r="C7042" s="48"/>
    </row>
    <row r="7043" spans="1:11">
      <c r="A7043" s="847"/>
      <c r="B7043" s="79" t="s">
        <v>2377</v>
      </c>
      <c r="C7043" s="48"/>
    </row>
    <row r="7044" spans="1:11">
      <c r="A7044" s="847"/>
      <c r="B7044" s="95" t="s">
        <v>2369</v>
      </c>
      <c r="C7044" s="350" t="s">
        <v>2378</v>
      </c>
      <c r="D7044" s="95" t="s">
        <v>2370</v>
      </c>
      <c r="E7044" s="95" t="s">
        <v>1166</v>
      </c>
      <c r="F7044" s="95" t="s">
        <v>2371</v>
      </c>
      <c r="G7044" s="95" t="s">
        <v>2372</v>
      </c>
    </row>
    <row r="7045" spans="1:11">
      <c r="A7045" s="847"/>
      <c r="B7045" s="114"/>
      <c r="C7045" s="351"/>
      <c r="D7045" s="114"/>
      <c r="E7045" s="114"/>
      <c r="F7045" s="114" t="s">
        <v>3485</v>
      </c>
      <c r="G7045" s="114" t="s">
        <v>3485</v>
      </c>
    </row>
    <row r="7046" spans="1:11">
      <c r="A7046" s="847"/>
      <c r="B7046" s="95">
        <v>1</v>
      </c>
      <c r="C7046" s="86" t="s">
        <v>5027</v>
      </c>
      <c r="D7046" s="95" t="s">
        <v>2374</v>
      </c>
      <c r="E7046" s="220">
        <v>8</v>
      </c>
      <c r="F7046" s="214">
        <f>'HIRE CHARGES'!$D$506</f>
        <v>5.5</v>
      </c>
      <c r="G7046" s="449">
        <f t="shared" ref="G7046:G7051" si="99">E7046*F7046</f>
        <v>44</v>
      </c>
    </row>
    <row r="7047" spans="1:11">
      <c r="A7047" s="847"/>
      <c r="B7047" s="152"/>
      <c r="C7047" s="86" t="s">
        <v>2379</v>
      </c>
      <c r="D7047" s="105" t="s">
        <v>2374</v>
      </c>
      <c r="E7047" s="220">
        <v>8</v>
      </c>
      <c r="F7047" s="214">
        <f>'HIRE CHARGES'!$E$506</f>
        <v>0</v>
      </c>
      <c r="G7047" s="449">
        <f t="shared" si="99"/>
        <v>0</v>
      </c>
      <c r="K7047" s="61"/>
    </row>
    <row r="7048" spans="1:11">
      <c r="A7048" s="847"/>
      <c r="B7048" s="105">
        <v>2</v>
      </c>
      <c r="C7048" s="86" t="s">
        <v>189</v>
      </c>
      <c r="D7048" s="105" t="s">
        <v>2374</v>
      </c>
      <c r="E7048" s="220">
        <v>0.1</v>
      </c>
      <c r="F7048" s="214">
        <f>'HIRE CHARGES'!$D$517</f>
        <v>10.199999999999999</v>
      </c>
      <c r="G7048" s="449">
        <f t="shared" si="99"/>
        <v>1.02</v>
      </c>
      <c r="K7048" s="61"/>
    </row>
    <row r="7049" spans="1:11">
      <c r="A7049" s="847"/>
      <c r="B7049" s="152"/>
      <c r="C7049" s="86" t="s">
        <v>2379</v>
      </c>
      <c r="D7049" s="105" t="s">
        <v>2374</v>
      </c>
      <c r="E7049" s="220">
        <v>0.1</v>
      </c>
      <c r="F7049" s="214">
        <f>'HIRE CHARGES'!$E$517</f>
        <v>79.3</v>
      </c>
      <c r="G7049" s="449">
        <f t="shared" si="99"/>
        <v>7.93</v>
      </c>
    </row>
    <row r="7050" spans="1:11">
      <c r="A7050" s="847"/>
      <c r="B7050" s="105">
        <v>3</v>
      </c>
      <c r="C7050" s="86" t="s">
        <v>6286</v>
      </c>
      <c r="D7050" s="105" t="s">
        <v>2374</v>
      </c>
      <c r="E7050" s="220">
        <v>0.2</v>
      </c>
      <c r="F7050" s="214">
        <f>'HIRE CHARGES'!$D$555</f>
        <v>402.5</v>
      </c>
      <c r="G7050" s="449">
        <f t="shared" si="99"/>
        <v>80.5</v>
      </c>
    </row>
    <row r="7051" spans="1:11">
      <c r="A7051" s="847"/>
      <c r="B7051" s="116"/>
      <c r="C7051" s="113" t="s">
        <v>2379</v>
      </c>
      <c r="D7051" s="114" t="s">
        <v>2374</v>
      </c>
      <c r="E7051" s="220">
        <v>0.2</v>
      </c>
      <c r="F7051" s="214">
        <f>'HIRE CHARGES'!$E$555</f>
        <v>299.89999999999998</v>
      </c>
      <c r="G7051" s="449">
        <f t="shared" si="99"/>
        <v>59.98</v>
      </c>
    </row>
    <row r="7052" spans="1:11">
      <c r="A7052" s="847"/>
      <c r="B7052" s="176"/>
      <c r="C7052" s="357" t="s">
        <v>2380</v>
      </c>
      <c r="D7052" s="174"/>
      <c r="E7052" s="192"/>
      <c r="F7052" s="236" t="s">
        <v>1698</v>
      </c>
      <c r="G7052" s="67">
        <f>SUM(G7046:G7051)</f>
        <v>193.42999999999998</v>
      </c>
    </row>
    <row r="7053" spans="1:11" ht="36">
      <c r="A7053" s="847"/>
      <c r="B7053" s="263"/>
      <c r="C7053" s="416" t="s">
        <v>4513</v>
      </c>
      <c r="D7053" s="241"/>
      <c r="E7053" s="468">
        <f>'BASIC DATA'!$C$583</f>
        <v>0.9</v>
      </c>
      <c r="F7053" s="390" t="s">
        <v>1698</v>
      </c>
      <c r="G7053" s="391">
        <f>E7053*G7052</f>
        <v>174.08699999999999</v>
      </c>
      <c r="H7053" s="61"/>
    </row>
    <row r="7054" spans="1:11">
      <c r="A7054" s="847"/>
      <c r="B7054" s="62"/>
      <c r="C7054" s="49"/>
      <c r="D7054" s="61"/>
      <c r="E7054" s="61"/>
      <c r="F7054" s="61"/>
      <c r="G7054" s="61"/>
      <c r="H7054" s="61"/>
    </row>
    <row r="7055" spans="1:11">
      <c r="A7055" s="847"/>
      <c r="B7055" s="79" t="s">
        <v>2381</v>
      </c>
      <c r="C7055" s="48"/>
    </row>
    <row r="7056" spans="1:11">
      <c r="A7056" s="847"/>
      <c r="B7056" s="95" t="s">
        <v>2369</v>
      </c>
      <c r="C7056" s="350" t="s">
        <v>2378</v>
      </c>
      <c r="D7056" s="95" t="s">
        <v>2370</v>
      </c>
      <c r="E7056" s="95" t="s">
        <v>1166</v>
      </c>
      <c r="F7056" s="95" t="s">
        <v>2371</v>
      </c>
      <c r="G7056" s="95" t="s">
        <v>2372</v>
      </c>
    </row>
    <row r="7057" spans="1:11">
      <c r="A7057" s="847"/>
      <c r="B7057" s="114"/>
      <c r="C7057" s="351"/>
      <c r="D7057" s="105"/>
      <c r="E7057" s="114"/>
      <c r="F7057" s="114" t="s">
        <v>3485</v>
      </c>
      <c r="G7057" s="114" t="s">
        <v>3485</v>
      </c>
    </row>
    <row r="7058" spans="1:11">
      <c r="A7058" s="847"/>
      <c r="B7058" s="105">
        <v>1</v>
      </c>
      <c r="C7058" s="86" t="s">
        <v>999</v>
      </c>
      <c r="D7058" s="95" t="s">
        <v>2374</v>
      </c>
      <c r="E7058" s="207">
        <v>0.1</v>
      </c>
      <c r="F7058" s="214">
        <f>'HIRE CHARGES'!$F$517</f>
        <v>111.1</v>
      </c>
      <c r="G7058" s="449">
        <f>E7058*F7058</f>
        <v>11.11</v>
      </c>
    </row>
    <row r="7059" spans="1:11">
      <c r="A7059" s="847"/>
      <c r="B7059" s="105">
        <v>2</v>
      </c>
      <c r="C7059" s="86" t="s">
        <v>1000</v>
      </c>
      <c r="D7059" s="105" t="s">
        <v>2374</v>
      </c>
      <c r="E7059" s="207">
        <v>0.2</v>
      </c>
      <c r="F7059" s="190">
        <f>'HIRE CHARGES'!$F$555</f>
        <v>177.5</v>
      </c>
      <c r="G7059" s="449">
        <f>E7059*F7059</f>
        <v>35.5</v>
      </c>
    </row>
    <row r="7060" spans="1:11">
      <c r="A7060" s="847"/>
      <c r="B7060" s="105">
        <v>3</v>
      </c>
      <c r="C7060" s="86" t="s">
        <v>440</v>
      </c>
      <c r="D7060" s="105" t="s">
        <v>1172</v>
      </c>
      <c r="E7060" s="207">
        <v>2</v>
      </c>
      <c r="F7060" s="190">
        <f>'BASIC DATA'!$C$474</f>
        <v>445</v>
      </c>
      <c r="G7060" s="449">
        <f>E7060*F7060</f>
        <v>890</v>
      </c>
      <c r="I7060" s="61"/>
    </row>
    <row r="7061" spans="1:11">
      <c r="A7061" s="847"/>
      <c r="B7061" s="105">
        <v>4</v>
      </c>
      <c r="C7061" s="86" t="s">
        <v>4206</v>
      </c>
      <c r="D7061" s="105" t="s">
        <v>1172</v>
      </c>
      <c r="E7061" s="207">
        <v>1</v>
      </c>
      <c r="F7061" s="190">
        <f>'BASIC DATA'!$C$473</f>
        <v>450</v>
      </c>
      <c r="G7061" s="449">
        <f>E7061*F7061</f>
        <v>450</v>
      </c>
    </row>
    <row r="7062" spans="1:11">
      <c r="A7062" s="847"/>
      <c r="B7062" s="105">
        <v>5</v>
      </c>
      <c r="C7062" s="86" t="s">
        <v>2697</v>
      </c>
      <c r="D7062" s="105"/>
      <c r="E7062" s="207"/>
      <c r="F7062" s="190"/>
      <c r="G7062" s="190"/>
    </row>
    <row r="7063" spans="1:11">
      <c r="A7063" s="847"/>
      <c r="B7063" s="152"/>
      <c r="C7063" s="86" t="s">
        <v>5028</v>
      </c>
      <c r="D7063" s="105" t="s">
        <v>1172</v>
      </c>
      <c r="E7063" s="207">
        <v>2</v>
      </c>
      <c r="F7063" s="190">
        <f>'BASIC DATA'!$C$552</f>
        <v>350</v>
      </c>
      <c r="G7063" s="449">
        <f>E7063*F7063</f>
        <v>700</v>
      </c>
    </row>
    <row r="7064" spans="1:11">
      <c r="A7064" s="847"/>
      <c r="B7064" s="152"/>
      <c r="C7064" s="86" t="s">
        <v>5029</v>
      </c>
      <c r="D7064" s="105" t="s">
        <v>1172</v>
      </c>
      <c r="E7064" s="207">
        <v>2</v>
      </c>
      <c r="F7064" s="190">
        <f>'BASIC DATA'!$C$552</f>
        <v>350</v>
      </c>
      <c r="G7064" s="449">
        <f>E7064*F7064</f>
        <v>700</v>
      </c>
      <c r="K7064" s="61"/>
    </row>
    <row r="7065" spans="1:11">
      <c r="A7065" s="847"/>
      <c r="B7065" s="152"/>
      <c r="C7065" s="86" t="s">
        <v>2752</v>
      </c>
      <c r="D7065" s="105" t="s">
        <v>1172</v>
      </c>
      <c r="E7065" s="207">
        <v>1</v>
      </c>
      <c r="F7065" s="190">
        <f>'BASIC DATA'!$C$552</f>
        <v>350</v>
      </c>
      <c r="G7065" s="449">
        <f>E7065*F7065</f>
        <v>350</v>
      </c>
    </row>
    <row r="7066" spans="1:11">
      <c r="A7066" s="847"/>
      <c r="B7066" s="152"/>
      <c r="C7066" s="86" t="s">
        <v>1184</v>
      </c>
      <c r="D7066" s="105" t="s">
        <v>1172</v>
      </c>
      <c r="E7066" s="207">
        <v>1</v>
      </c>
      <c r="F7066" s="190">
        <f>'BASIC DATA'!$C$552</f>
        <v>350</v>
      </c>
      <c r="G7066" s="449">
        <f>E7066*F7066</f>
        <v>350</v>
      </c>
    </row>
    <row r="7067" spans="1:11">
      <c r="A7067" s="847"/>
      <c r="B7067" s="152"/>
      <c r="C7067" s="86" t="s">
        <v>1185</v>
      </c>
      <c r="D7067" s="105" t="s">
        <v>1172</v>
      </c>
      <c r="E7067" s="207">
        <v>1</v>
      </c>
      <c r="F7067" s="190">
        <f>'BASIC DATA'!$C$552</f>
        <v>350</v>
      </c>
      <c r="G7067" s="449">
        <f>E7067*F7067</f>
        <v>350</v>
      </c>
    </row>
    <row r="7068" spans="1:11">
      <c r="A7068" s="847"/>
      <c r="B7068" s="92"/>
      <c r="C7068" s="353" t="s">
        <v>1174</v>
      </c>
      <c r="D7068" s="159"/>
      <c r="E7068" s="238"/>
      <c r="F7068" s="236" t="s">
        <v>1698</v>
      </c>
      <c r="G7068" s="67">
        <f>SUM(G7058:G7067)</f>
        <v>3836.61</v>
      </c>
    </row>
    <row r="7069" spans="1:11" ht="36">
      <c r="A7069" s="847"/>
      <c r="B7069" s="311"/>
      <c r="C7069" s="416" t="s">
        <v>4510</v>
      </c>
      <c r="D7069" s="388"/>
      <c r="E7069" s="469">
        <f>'BASIC DATA'!$C$584</f>
        <v>0.9</v>
      </c>
      <c r="F7069" s="390" t="s">
        <v>1698</v>
      </c>
      <c r="G7069" s="391">
        <f>E7069*G7068</f>
        <v>3452.9490000000001</v>
      </c>
      <c r="H7069" s="61"/>
    </row>
    <row r="7070" spans="1:11">
      <c r="A7070" s="847"/>
      <c r="B7070" s="359" t="s">
        <v>5948</v>
      </c>
      <c r="C7070" s="48"/>
      <c r="D7070" s="31"/>
      <c r="E7070" s="85">
        <f>ROUND(G7069/F7031,1)</f>
        <v>15.3</v>
      </c>
    </row>
    <row r="7071" spans="1:11">
      <c r="A7071" s="847"/>
      <c r="B7071" s="359" t="s">
        <v>3163</v>
      </c>
      <c r="C7071" s="48"/>
      <c r="D7071" s="922">
        <f>'BASIC DATA'!$C$577</f>
        <v>0.13614999999999999</v>
      </c>
      <c r="E7071" s="85">
        <f>ROUND(E7070*D7071,1)</f>
        <v>2.1</v>
      </c>
    </row>
    <row r="7072" spans="1:11">
      <c r="A7072" s="847"/>
      <c r="B7072" s="359" t="s">
        <v>5949</v>
      </c>
      <c r="C7072" s="48"/>
      <c r="D7072" s="31"/>
      <c r="E7072" s="199">
        <f>ROUND(E7071+E7070,1)</f>
        <v>17.399999999999999</v>
      </c>
    </row>
    <row r="7073" spans="1:7">
      <c r="A7073" s="847"/>
      <c r="C7073" s="48"/>
    </row>
    <row r="7074" spans="1:7">
      <c r="A7074" s="847"/>
      <c r="B7074" s="162" t="s">
        <v>1175</v>
      </c>
      <c r="C7074" s="48"/>
    </row>
    <row r="7075" spans="1:7">
      <c r="A7075" s="847"/>
      <c r="B7075" s="47" t="s">
        <v>1176</v>
      </c>
      <c r="C7075" s="48"/>
      <c r="F7075" s="171" t="s">
        <v>1698</v>
      </c>
      <c r="G7075" s="68">
        <f>G7041</f>
        <v>3219.0864750000001</v>
      </c>
    </row>
    <row r="7076" spans="1:7">
      <c r="A7076" s="847"/>
      <c r="B7076" s="47" t="s">
        <v>1186</v>
      </c>
      <c r="C7076" s="48"/>
      <c r="F7076" s="171" t="s">
        <v>1698</v>
      </c>
      <c r="G7076" s="68">
        <f>G7053</f>
        <v>174.08699999999999</v>
      </c>
    </row>
    <row r="7077" spans="1:7">
      <c r="A7077" s="847"/>
      <c r="B7077" s="47" t="s">
        <v>2660</v>
      </c>
      <c r="C7077" s="48"/>
      <c r="F7077" s="171" t="s">
        <v>1698</v>
      </c>
      <c r="G7077" s="75">
        <f>G7069</f>
        <v>3452.9490000000001</v>
      </c>
    </row>
    <row r="7078" spans="1:7">
      <c r="A7078" s="847"/>
      <c r="B7078" s="78"/>
      <c r="C7078" s="48"/>
      <c r="E7078" s="171" t="s">
        <v>4835</v>
      </c>
      <c r="F7078" s="171" t="s">
        <v>1173</v>
      </c>
      <c r="G7078" s="205">
        <f>SUM(G7075:G7077)</f>
        <v>6846.1224750000001</v>
      </c>
    </row>
    <row r="7079" spans="1:7" ht="38.25" customHeight="1">
      <c r="A7079" s="847"/>
      <c r="B7079" s="1207" t="s">
        <v>1379</v>
      </c>
      <c r="C7079" s="1207"/>
      <c r="D7079" s="1207"/>
      <c r="E7079" s="922">
        <f>'BASIC DATA'!$C$577</f>
        <v>0.13614999999999999</v>
      </c>
      <c r="F7079" s="171" t="s">
        <v>1698</v>
      </c>
      <c r="G7079" s="31">
        <f>ROUND(G7078*E7079,2)</f>
        <v>932.1</v>
      </c>
    </row>
    <row r="7080" spans="1:7">
      <c r="A7080" s="847"/>
      <c r="B7080" s="47" t="s">
        <v>1191</v>
      </c>
      <c r="C7080" s="48"/>
      <c r="D7080" s="68">
        <f>F7031</f>
        <v>225</v>
      </c>
      <c r="E7080" s="68" t="str">
        <f>G7031</f>
        <v>Nos.</v>
      </c>
      <c r="F7080" s="171" t="s">
        <v>1698</v>
      </c>
      <c r="G7080" s="211">
        <f>G7079+G7078</f>
        <v>7778.2224750000005</v>
      </c>
    </row>
    <row r="7081" spans="1:7">
      <c r="A7081" s="847"/>
      <c r="B7081" s="79" t="s">
        <v>1584</v>
      </c>
      <c r="C7081" s="404" t="s">
        <v>4935</v>
      </c>
      <c r="D7081" s="26" t="s">
        <v>5894</v>
      </c>
      <c r="F7081" s="171" t="s">
        <v>4108</v>
      </c>
      <c r="G7081" s="211">
        <f>ROUND(G7080/D7080,1)</f>
        <v>34.6</v>
      </c>
    </row>
    <row r="7082" spans="1:7">
      <c r="A7082" s="847"/>
      <c r="B7082" s="78"/>
      <c r="C7082" s="48"/>
      <c r="F7082" s="171"/>
      <c r="G7082" s="68"/>
    </row>
    <row r="7083" spans="1:7">
      <c r="A7083" s="847"/>
      <c r="B7083" s="78"/>
      <c r="C7083" s="48"/>
      <c r="F7083" s="171"/>
      <c r="G7083" s="68"/>
    </row>
    <row r="7084" spans="1:7" ht="36.75">
      <c r="A7084" s="841" t="s">
        <v>7507</v>
      </c>
      <c r="B7084" s="47" t="s">
        <v>8848</v>
      </c>
      <c r="C7084" s="48"/>
    </row>
    <row r="7085" spans="1:7" ht="18.75">
      <c r="A7085" s="889"/>
      <c r="B7085" s="47" t="s">
        <v>8849</v>
      </c>
      <c r="C7085" s="48"/>
    </row>
    <row r="7086" spans="1:7">
      <c r="A7086" s="895"/>
      <c r="B7086" s="47" t="s">
        <v>2401</v>
      </c>
      <c r="C7086" s="48"/>
    </row>
    <row r="7087" spans="1:7" ht="18.75">
      <c r="A7087" s="889"/>
      <c r="B7087" s="47" t="s">
        <v>8843</v>
      </c>
      <c r="C7087" s="48"/>
      <c r="F7087" s="78"/>
    </row>
    <row r="7088" spans="1:7">
      <c r="A7088" s="889"/>
      <c r="B7088" s="162" t="s">
        <v>7679</v>
      </c>
      <c r="C7088" s="48"/>
    </row>
    <row r="7089" spans="1:10">
      <c r="A7089" s="889"/>
      <c r="B7089" s="162" t="s">
        <v>457</v>
      </c>
      <c r="C7089" s="48"/>
    </row>
    <row r="7090" spans="1:10">
      <c r="A7090" s="847"/>
      <c r="B7090" s="78"/>
      <c r="C7090" s="48"/>
    </row>
    <row r="7091" spans="1:10">
      <c r="B7091" s="78"/>
      <c r="C7091" s="48"/>
    </row>
    <row r="7092" spans="1:10" hidden="1">
      <c r="A7092" s="889" t="s">
        <v>3984</v>
      </c>
      <c r="B7092" s="47" t="s">
        <v>5030</v>
      </c>
    </row>
    <row r="7093" spans="1:10" hidden="1">
      <c r="A7093" s="847"/>
      <c r="B7093" s="47" t="s">
        <v>7680</v>
      </c>
    </row>
    <row r="7094" spans="1:10" hidden="1">
      <c r="A7094" s="847"/>
      <c r="B7094" s="47" t="s">
        <v>409</v>
      </c>
      <c r="G7094" s="26">
        <v>2E-3</v>
      </c>
      <c r="H7094" s="26" t="s">
        <v>6901</v>
      </c>
    </row>
    <row r="7095" spans="1:10" hidden="1">
      <c r="A7095" s="847"/>
      <c r="B7095" s="47" t="s">
        <v>4448</v>
      </c>
      <c r="G7095" s="26">
        <v>494</v>
      </c>
      <c r="H7095" s="26" t="s">
        <v>3032</v>
      </c>
    </row>
    <row r="7096" spans="1:10" hidden="1">
      <c r="A7096" s="847"/>
      <c r="B7096" s="47" t="s">
        <v>784</v>
      </c>
    </row>
    <row r="7097" spans="1:10" hidden="1">
      <c r="A7097" s="847"/>
      <c r="B7097" s="47" t="s">
        <v>785</v>
      </c>
      <c r="F7097" s="78" t="s">
        <v>1602</v>
      </c>
      <c r="G7097" s="26">
        <v>250</v>
      </c>
      <c r="H7097" s="26" t="s">
        <v>1552</v>
      </c>
    </row>
    <row r="7098" spans="1:10" hidden="1">
      <c r="A7098" s="847"/>
      <c r="B7098" s="47" t="s">
        <v>786</v>
      </c>
      <c r="J7098" s="61"/>
    </row>
    <row r="7099" spans="1:10" hidden="1">
      <c r="A7099" s="847"/>
      <c r="B7099" s="47" t="s">
        <v>6704</v>
      </c>
    </row>
    <row r="7100" spans="1:10" hidden="1">
      <c r="A7100" s="847"/>
      <c r="B7100" s="47" t="s">
        <v>69</v>
      </c>
      <c r="E7100" s="26" t="s">
        <v>70</v>
      </c>
      <c r="G7100" s="26">
        <v>90</v>
      </c>
      <c r="H7100" s="26" t="s">
        <v>515</v>
      </c>
    </row>
    <row r="7101" spans="1:10" hidden="1">
      <c r="A7101" s="847"/>
      <c r="E7101" s="26" t="s">
        <v>5188</v>
      </c>
      <c r="G7101" s="26">
        <v>10</v>
      </c>
      <c r="H7101" s="26" t="s">
        <v>515</v>
      </c>
    </row>
    <row r="7102" spans="1:10" hidden="1">
      <c r="A7102" s="847"/>
      <c r="B7102" s="47" t="s">
        <v>319</v>
      </c>
      <c r="G7102" s="68">
        <f>G7094*25</f>
        <v>0.05</v>
      </c>
      <c r="H7102" s="26" t="s">
        <v>6901</v>
      </c>
    </row>
    <row r="7103" spans="1:10" hidden="1">
      <c r="A7103" s="847"/>
      <c r="B7103" s="47" t="s">
        <v>6705</v>
      </c>
    </row>
    <row r="7104" spans="1:10" hidden="1">
      <c r="A7104" s="847"/>
      <c r="B7104" s="47" t="s">
        <v>3174</v>
      </c>
    </row>
    <row r="7105" spans="1:8" hidden="1">
      <c r="A7105" s="847"/>
      <c r="B7105" s="47" t="s">
        <v>3175</v>
      </c>
    </row>
    <row r="7106" spans="1:8" hidden="1">
      <c r="A7106" s="847"/>
      <c r="B7106" s="47" t="s">
        <v>6706</v>
      </c>
    </row>
    <row r="7107" spans="1:8" hidden="1">
      <c r="A7107" s="847"/>
      <c r="B7107" s="47" t="s">
        <v>410</v>
      </c>
      <c r="F7107" s="26" t="s">
        <v>1602</v>
      </c>
      <c r="G7107" s="68">
        <v>2.25</v>
      </c>
      <c r="H7107" s="26" t="s">
        <v>3033</v>
      </c>
    </row>
    <row r="7108" spans="1:8" hidden="1">
      <c r="A7108" s="847"/>
      <c r="B7108" s="47" t="s">
        <v>652</v>
      </c>
      <c r="D7108" s="68">
        <f>'BASIC DATA'!$D$97/1000</f>
        <v>37.5</v>
      </c>
      <c r="E7108" s="26" t="s">
        <v>1513</v>
      </c>
      <c r="F7108" s="78" t="s">
        <v>1698</v>
      </c>
      <c r="G7108" s="68">
        <f>G7107*D7108</f>
        <v>84.375</v>
      </c>
    </row>
    <row r="7109" spans="1:8" hidden="1">
      <c r="A7109" s="847"/>
      <c r="B7109" s="47" t="s">
        <v>411</v>
      </c>
      <c r="D7109" s="68">
        <f>'BASIC DATA'!$D$358</f>
        <v>24</v>
      </c>
      <c r="E7109" s="26" t="s">
        <v>5219</v>
      </c>
      <c r="F7109" s="78" t="s">
        <v>1698</v>
      </c>
      <c r="G7109" s="173">
        <f>G7107*D7109</f>
        <v>54</v>
      </c>
    </row>
    <row r="7110" spans="1:8" hidden="1">
      <c r="A7110" s="847"/>
      <c r="E7110" s="171" t="s">
        <v>1518</v>
      </c>
      <c r="F7110" s="78" t="s">
        <v>1698</v>
      </c>
      <c r="G7110" s="68">
        <f>SUM(G7108:G7109)</f>
        <v>138.375</v>
      </c>
    </row>
    <row r="7111" spans="1:8" hidden="1">
      <c r="A7111" s="847"/>
      <c r="B7111" s="47" t="s">
        <v>2496</v>
      </c>
      <c r="E7111" s="201">
        <v>0.15</v>
      </c>
      <c r="F7111" s="78" t="s">
        <v>1698</v>
      </c>
      <c r="G7111" s="173">
        <f>G7110*E7111</f>
        <v>20.756249999999998</v>
      </c>
    </row>
    <row r="7112" spans="1:8" hidden="1">
      <c r="A7112" s="847"/>
      <c r="E7112" s="171" t="s">
        <v>1518</v>
      </c>
      <c r="F7112" s="78" t="s">
        <v>1698</v>
      </c>
      <c r="G7112" s="68">
        <f>G7110-G7111</f>
        <v>117.61875000000001</v>
      </c>
    </row>
    <row r="7113" spans="1:8" hidden="1">
      <c r="A7113" s="847"/>
      <c r="B7113" s="47" t="s">
        <v>4617</v>
      </c>
      <c r="D7113" s="26">
        <v>500</v>
      </c>
      <c r="E7113" s="26" t="s">
        <v>4614</v>
      </c>
      <c r="F7113" s="78" t="s">
        <v>1698</v>
      </c>
      <c r="G7113" s="68">
        <f>G7112/D7113</f>
        <v>0.23523750000000002</v>
      </c>
    </row>
    <row r="7114" spans="1:8" hidden="1">
      <c r="A7114" s="847"/>
      <c r="B7114" s="47" t="s">
        <v>4503</v>
      </c>
      <c r="D7114" s="201">
        <v>0.15</v>
      </c>
      <c r="F7114" s="78" t="s">
        <v>1698</v>
      </c>
      <c r="G7114" s="68">
        <f>G7113*D7114</f>
        <v>3.5285625000000001E-2</v>
      </c>
    </row>
    <row r="7115" spans="1:8" hidden="1">
      <c r="A7115" s="847"/>
      <c r="B7115" s="47" t="s">
        <v>5220</v>
      </c>
      <c r="D7115" s="68">
        <f>'BASIC DATA'!$D$357</f>
        <v>50</v>
      </c>
      <c r="E7115" s="26" t="s">
        <v>5025</v>
      </c>
      <c r="F7115" s="78" t="s">
        <v>1698</v>
      </c>
      <c r="G7115" s="173">
        <f>D7115*0.02</f>
        <v>1</v>
      </c>
    </row>
    <row r="7116" spans="1:8" hidden="1">
      <c r="A7116" s="847"/>
      <c r="B7116" s="78"/>
      <c r="C7116" s="48"/>
      <c r="D7116" s="26" t="s">
        <v>3439</v>
      </c>
      <c r="F7116" s="78" t="s">
        <v>1698</v>
      </c>
      <c r="G7116" s="68">
        <f>SUM(G7113:G7115)</f>
        <v>1.270523125</v>
      </c>
    </row>
    <row r="7117" spans="1:8">
      <c r="A7117" s="847"/>
      <c r="B7117" s="78"/>
      <c r="C7117" s="48"/>
    </row>
    <row r="7118" spans="1:8">
      <c r="A7118" s="889" t="s">
        <v>3984</v>
      </c>
      <c r="B7118" s="78"/>
      <c r="C7118" s="349" t="s">
        <v>2367</v>
      </c>
      <c r="E7118" s="171" t="s">
        <v>297</v>
      </c>
      <c r="F7118" s="409">
        <v>25</v>
      </c>
      <c r="G7118" s="26" t="s">
        <v>4041</v>
      </c>
    </row>
    <row r="7119" spans="1:8">
      <c r="A7119" s="847"/>
      <c r="B7119" s="79" t="s">
        <v>2368</v>
      </c>
      <c r="C7119" s="48"/>
    </row>
    <row r="7120" spans="1:8">
      <c r="A7120" s="847"/>
      <c r="B7120" s="95" t="s">
        <v>2369</v>
      </c>
      <c r="C7120" s="350" t="s">
        <v>6374</v>
      </c>
      <c r="D7120" s="95" t="s">
        <v>2370</v>
      </c>
      <c r="E7120" s="95" t="s">
        <v>1166</v>
      </c>
      <c r="F7120" s="95" t="s">
        <v>2371</v>
      </c>
      <c r="G7120" s="95" t="s">
        <v>2372</v>
      </c>
    </row>
    <row r="7121" spans="1:11">
      <c r="A7121" s="847"/>
      <c r="B7121" s="114"/>
      <c r="C7121" s="351"/>
      <c r="D7121" s="114"/>
      <c r="E7121" s="114"/>
      <c r="F7121" s="114" t="s">
        <v>3485</v>
      </c>
      <c r="G7121" s="114" t="s">
        <v>3485</v>
      </c>
    </row>
    <row r="7122" spans="1:11">
      <c r="A7122" s="847"/>
      <c r="B7122" s="95">
        <v>1</v>
      </c>
      <c r="C7122" s="86" t="s">
        <v>1048</v>
      </c>
      <c r="D7122" s="451" t="s">
        <v>3478</v>
      </c>
      <c r="E7122" s="220">
        <f>G7102*300</f>
        <v>15</v>
      </c>
      <c r="F7122" s="68">
        <f>'BASIC DATA'!$D$32/1000</f>
        <v>5.35</v>
      </c>
      <c r="G7122" s="449">
        <f t="shared" ref="G7122:G7127" si="100">E7122*F7122</f>
        <v>80.25</v>
      </c>
    </row>
    <row r="7123" spans="1:11" ht="36">
      <c r="A7123" s="847"/>
      <c r="B7123" s="152"/>
      <c r="C7123" s="86" t="s">
        <v>5221</v>
      </c>
      <c r="D7123" s="319" t="s">
        <v>3478</v>
      </c>
      <c r="E7123" s="220">
        <f>0.3*F7118</f>
        <v>7.5</v>
      </c>
      <c r="F7123" s="68">
        <f>'BASIC DATA'!$D$32/1000</f>
        <v>5.35</v>
      </c>
      <c r="G7123" s="449">
        <f t="shared" si="100"/>
        <v>40.125</v>
      </c>
    </row>
    <row r="7124" spans="1:11">
      <c r="A7124" s="847"/>
      <c r="B7124" s="240">
        <v>2</v>
      </c>
      <c r="C7124" s="392" t="s">
        <v>1050</v>
      </c>
      <c r="D7124" s="452" t="s">
        <v>3477</v>
      </c>
      <c r="E7124" s="256">
        <f>0.68*G7102</f>
        <v>3.4000000000000002E-2</v>
      </c>
      <c r="F7124" s="190">
        <f>'BASIC DATA'!$D$34</f>
        <v>900</v>
      </c>
      <c r="G7124" s="449">
        <f t="shared" si="100"/>
        <v>30.6</v>
      </c>
      <c r="H7124" s="61"/>
      <c r="K7124" s="31"/>
    </row>
    <row r="7125" spans="1:11">
      <c r="A7125" s="848"/>
      <c r="B7125" s="240">
        <v>3</v>
      </c>
      <c r="C7125" s="392" t="s">
        <v>7935</v>
      </c>
      <c r="D7125" s="452" t="s">
        <v>3477</v>
      </c>
      <c r="E7125" s="256">
        <f>G7102*0.43</f>
        <v>2.1500000000000002E-2</v>
      </c>
      <c r="F7125" s="266">
        <f>'BASIC DATA'!$D$55</f>
        <v>95</v>
      </c>
      <c r="G7125" s="450">
        <f t="shared" si="100"/>
        <v>2.0425</v>
      </c>
      <c r="H7125" s="61"/>
      <c r="I7125" s="61"/>
      <c r="J7125" s="61"/>
      <c r="K7125" s="61"/>
    </row>
    <row r="7126" spans="1:11">
      <c r="A7126" s="847"/>
      <c r="B7126" s="105">
        <v>4</v>
      </c>
      <c r="C7126" s="86" t="s">
        <v>523</v>
      </c>
      <c r="D7126" s="319" t="s">
        <v>3478</v>
      </c>
      <c r="E7126" s="220">
        <f>E7122*0.4%</f>
        <v>0.06</v>
      </c>
      <c r="F7126" s="266">
        <f>'BASIC DATA'!$D$99</f>
        <v>55</v>
      </c>
      <c r="G7126" s="449">
        <f t="shared" si="100"/>
        <v>3.3</v>
      </c>
      <c r="J7126" s="61"/>
    </row>
    <row r="7127" spans="1:11">
      <c r="A7127" s="847"/>
      <c r="B7127" s="114">
        <v>5</v>
      </c>
      <c r="C7127" s="86" t="s">
        <v>5026</v>
      </c>
      <c r="D7127" s="467" t="s">
        <v>4089</v>
      </c>
      <c r="E7127" s="220">
        <v>25</v>
      </c>
      <c r="F7127" s="214">
        <f>G7116</f>
        <v>1.270523125</v>
      </c>
      <c r="G7127" s="449">
        <f t="shared" si="100"/>
        <v>31.763078125</v>
      </c>
    </row>
    <row r="7128" spans="1:11">
      <c r="A7128" s="847"/>
      <c r="B7128" s="92"/>
      <c r="C7128" s="353" t="s">
        <v>2376</v>
      </c>
      <c r="D7128" s="159"/>
      <c r="E7128" s="238"/>
      <c r="F7128" s="236" t="s">
        <v>1698</v>
      </c>
      <c r="G7128" s="318">
        <f>SUM(G7122:G7127)</f>
        <v>188.08057812499999</v>
      </c>
    </row>
    <row r="7129" spans="1:11">
      <c r="A7129" s="847"/>
      <c r="B7129" s="78"/>
      <c r="C7129" s="48"/>
    </row>
    <row r="7130" spans="1:11">
      <c r="A7130" s="847"/>
      <c r="B7130" s="79" t="s">
        <v>2377</v>
      </c>
      <c r="C7130" s="48"/>
    </row>
    <row r="7131" spans="1:11">
      <c r="A7131" s="847"/>
      <c r="B7131" s="95" t="s">
        <v>2369</v>
      </c>
      <c r="C7131" s="350" t="s">
        <v>2378</v>
      </c>
      <c r="D7131" s="95" t="s">
        <v>2370</v>
      </c>
      <c r="E7131" s="95" t="s">
        <v>1166</v>
      </c>
      <c r="F7131" s="95" t="s">
        <v>2371</v>
      </c>
      <c r="G7131" s="95" t="s">
        <v>2372</v>
      </c>
    </row>
    <row r="7132" spans="1:11">
      <c r="A7132" s="847"/>
      <c r="B7132" s="114"/>
      <c r="C7132" s="351"/>
      <c r="D7132" s="114"/>
      <c r="E7132" s="114"/>
      <c r="F7132" s="114" t="s">
        <v>3485</v>
      </c>
      <c r="G7132" s="114" t="s">
        <v>3485</v>
      </c>
    </row>
    <row r="7133" spans="1:11">
      <c r="A7133" s="847"/>
      <c r="B7133" s="95">
        <v>1</v>
      </c>
      <c r="C7133" s="86" t="s">
        <v>5027</v>
      </c>
      <c r="D7133" s="95" t="s">
        <v>2374</v>
      </c>
      <c r="E7133" s="220">
        <v>8</v>
      </c>
      <c r="F7133" s="214">
        <f>'HIRE CHARGES'!$D$506</f>
        <v>5.5</v>
      </c>
      <c r="G7133" s="449">
        <f t="shared" ref="G7133:G7138" si="101">E7133*F7133</f>
        <v>44</v>
      </c>
    </row>
    <row r="7134" spans="1:11">
      <c r="A7134" s="847"/>
      <c r="B7134" s="152"/>
      <c r="C7134" s="86" t="s">
        <v>2379</v>
      </c>
      <c r="D7134" s="105" t="s">
        <v>2374</v>
      </c>
      <c r="E7134" s="220">
        <v>8</v>
      </c>
      <c r="F7134" s="214">
        <f>'HIRE CHARGES'!$E$506</f>
        <v>0</v>
      </c>
      <c r="G7134" s="449">
        <f t="shared" si="101"/>
        <v>0</v>
      </c>
    </row>
    <row r="7135" spans="1:11">
      <c r="A7135" s="847"/>
      <c r="B7135" s="105">
        <v>2</v>
      </c>
      <c r="C7135" s="86" t="s">
        <v>189</v>
      </c>
      <c r="D7135" s="105" t="s">
        <v>2374</v>
      </c>
      <c r="E7135" s="220">
        <v>0.1</v>
      </c>
      <c r="F7135" s="214">
        <f>'HIRE CHARGES'!$D$517</f>
        <v>10.199999999999999</v>
      </c>
      <c r="G7135" s="449">
        <f t="shared" si="101"/>
        <v>1.02</v>
      </c>
      <c r="K7135" s="31"/>
    </row>
    <row r="7136" spans="1:11">
      <c r="A7136" s="847"/>
      <c r="B7136" s="152"/>
      <c r="C7136" s="86" t="s">
        <v>2379</v>
      </c>
      <c r="D7136" s="105" t="s">
        <v>2374</v>
      </c>
      <c r="E7136" s="220">
        <v>0.1</v>
      </c>
      <c r="F7136" s="214">
        <f>'HIRE CHARGES'!$E$517</f>
        <v>79.3</v>
      </c>
      <c r="G7136" s="449">
        <f t="shared" si="101"/>
        <v>7.93</v>
      </c>
    </row>
    <row r="7137" spans="1:9">
      <c r="A7137" s="847"/>
      <c r="B7137" s="105">
        <v>3</v>
      </c>
      <c r="C7137" s="86" t="s">
        <v>6286</v>
      </c>
      <c r="D7137" s="105" t="s">
        <v>2374</v>
      </c>
      <c r="E7137" s="220">
        <v>0.2</v>
      </c>
      <c r="F7137" s="214">
        <f>'HIRE CHARGES'!$D$555</f>
        <v>402.5</v>
      </c>
      <c r="G7137" s="449">
        <f t="shared" si="101"/>
        <v>80.5</v>
      </c>
    </row>
    <row r="7138" spans="1:9">
      <c r="A7138" s="847"/>
      <c r="B7138" s="116"/>
      <c r="C7138" s="113" t="s">
        <v>2379</v>
      </c>
      <c r="D7138" s="114" t="s">
        <v>2374</v>
      </c>
      <c r="E7138" s="220">
        <v>0.2</v>
      </c>
      <c r="F7138" s="214">
        <f>'HIRE CHARGES'!$E$555</f>
        <v>299.89999999999998</v>
      </c>
      <c r="G7138" s="449">
        <f t="shared" si="101"/>
        <v>59.98</v>
      </c>
    </row>
    <row r="7139" spans="1:9">
      <c r="A7139" s="847"/>
      <c r="B7139" s="176"/>
      <c r="C7139" s="357" t="s">
        <v>2380</v>
      </c>
      <c r="D7139" s="174"/>
      <c r="E7139" s="192"/>
      <c r="F7139" s="236" t="s">
        <v>1698</v>
      </c>
      <c r="G7139" s="67">
        <f>SUM(G7133:G7138)</f>
        <v>193.42999999999998</v>
      </c>
    </row>
    <row r="7140" spans="1:9" ht="36">
      <c r="A7140" s="847"/>
      <c r="B7140" s="263"/>
      <c r="C7140" s="416" t="s">
        <v>4514</v>
      </c>
      <c r="D7140" s="241"/>
      <c r="E7140" s="468">
        <f>'BASIC DATA'!$C$585</f>
        <v>0.1</v>
      </c>
      <c r="F7140" s="390" t="s">
        <v>1698</v>
      </c>
      <c r="G7140" s="391">
        <f>E7140*G7139</f>
        <v>19.343</v>
      </c>
      <c r="H7140" s="61"/>
    </row>
    <row r="7141" spans="1:9">
      <c r="A7141" s="847"/>
      <c r="B7141" s="62"/>
      <c r="C7141" s="49"/>
      <c r="D7141" s="61"/>
      <c r="E7141" s="61"/>
      <c r="F7141" s="61"/>
      <c r="G7141" s="61"/>
      <c r="H7141" s="61"/>
    </row>
    <row r="7142" spans="1:9">
      <c r="A7142" s="847"/>
      <c r="B7142" s="79" t="s">
        <v>2381</v>
      </c>
      <c r="C7142" s="48"/>
    </row>
    <row r="7143" spans="1:9">
      <c r="A7143" s="847"/>
      <c r="B7143" s="95" t="s">
        <v>2369</v>
      </c>
      <c r="C7143" s="350" t="s">
        <v>2378</v>
      </c>
      <c r="D7143" s="95" t="s">
        <v>2370</v>
      </c>
      <c r="E7143" s="95" t="s">
        <v>1166</v>
      </c>
      <c r="F7143" s="95" t="s">
        <v>2371</v>
      </c>
      <c r="G7143" s="95" t="s">
        <v>2372</v>
      </c>
    </row>
    <row r="7144" spans="1:9">
      <c r="A7144" s="847"/>
      <c r="B7144" s="114"/>
      <c r="C7144" s="351"/>
      <c r="D7144" s="105"/>
      <c r="E7144" s="114"/>
      <c r="F7144" s="114" t="s">
        <v>3485</v>
      </c>
      <c r="G7144" s="114" t="s">
        <v>3485</v>
      </c>
    </row>
    <row r="7145" spans="1:9">
      <c r="A7145" s="847"/>
      <c r="B7145" s="105">
        <v>1</v>
      </c>
      <c r="C7145" s="86" t="s">
        <v>999</v>
      </c>
      <c r="D7145" s="95" t="s">
        <v>2374</v>
      </c>
      <c r="E7145" s="207">
        <v>0.1</v>
      </c>
      <c r="F7145" s="214">
        <f>'HIRE CHARGES'!$F$517</f>
        <v>111.1</v>
      </c>
      <c r="G7145" s="449">
        <f>E7145*F7145</f>
        <v>11.11</v>
      </c>
    </row>
    <row r="7146" spans="1:9">
      <c r="A7146" s="847"/>
      <c r="B7146" s="105">
        <v>2</v>
      </c>
      <c r="C7146" s="86" t="s">
        <v>1000</v>
      </c>
      <c r="D7146" s="105" t="s">
        <v>2374</v>
      </c>
      <c r="E7146" s="207">
        <v>0.2</v>
      </c>
      <c r="F7146" s="190">
        <f>'HIRE CHARGES'!$F$555</f>
        <v>177.5</v>
      </c>
      <c r="G7146" s="449">
        <f>E7146*F7146</f>
        <v>35.5</v>
      </c>
      <c r="I7146" s="31"/>
    </row>
    <row r="7147" spans="1:9">
      <c r="A7147" s="847"/>
      <c r="B7147" s="105">
        <v>3</v>
      </c>
      <c r="C7147" s="86" t="s">
        <v>440</v>
      </c>
      <c r="D7147" s="105" t="s">
        <v>1172</v>
      </c>
      <c r="E7147" s="207">
        <v>2</v>
      </c>
      <c r="F7147" s="190">
        <f>'BASIC DATA'!$C$474</f>
        <v>445</v>
      </c>
      <c r="G7147" s="449">
        <f>E7147*F7147</f>
        <v>890</v>
      </c>
    </row>
    <row r="7148" spans="1:9">
      <c r="A7148" s="847"/>
      <c r="B7148" s="105">
        <v>4</v>
      </c>
      <c r="C7148" s="86" t="s">
        <v>4206</v>
      </c>
      <c r="D7148" s="105" t="s">
        <v>1172</v>
      </c>
      <c r="E7148" s="207">
        <v>1</v>
      </c>
      <c r="F7148" s="190">
        <f>'BASIC DATA'!$C$473</f>
        <v>450</v>
      </c>
      <c r="G7148" s="449">
        <f>E7148*F7148</f>
        <v>450</v>
      </c>
    </row>
    <row r="7149" spans="1:9">
      <c r="A7149" s="847"/>
      <c r="B7149" s="105">
        <v>5</v>
      </c>
      <c r="C7149" s="86" t="s">
        <v>2697</v>
      </c>
      <c r="D7149" s="105"/>
      <c r="E7149" s="207"/>
      <c r="F7149" s="190"/>
      <c r="G7149" s="190"/>
      <c r="I7149" s="61"/>
    </row>
    <row r="7150" spans="1:9">
      <c r="A7150" s="847"/>
      <c r="B7150" s="152"/>
      <c r="C7150" s="86" t="s">
        <v>5028</v>
      </c>
      <c r="D7150" s="105" t="s">
        <v>1172</v>
      </c>
      <c r="E7150" s="207">
        <v>2</v>
      </c>
      <c r="F7150" s="190">
        <f>'BASIC DATA'!$C$552</f>
        <v>350</v>
      </c>
      <c r="G7150" s="449">
        <f>E7150*F7150</f>
        <v>700</v>
      </c>
    </row>
    <row r="7151" spans="1:9">
      <c r="A7151" s="847"/>
      <c r="B7151" s="152"/>
      <c r="C7151" s="86" t="s">
        <v>5029</v>
      </c>
      <c r="D7151" s="105" t="s">
        <v>1172</v>
      </c>
      <c r="E7151" s="207">
        <v>2</v>
      </c>
      <c r="F7151" s="190">
        <f>'BASIC DATA'!$C$552</f>
        <v>350</v>
      </c>
      <c r="G7151" s="449">
        <f>E7151*F7151</f>
        <v>700</v>
      </c>
    </row>
    <row r="7152" spans="1:9">
      <c r="A7152" s="847"/>
      <c r="B7152" s="152"/>
      <c r="C7152" s="86" t="s">
        <v>2752</v>
      </c>
      <c r="D7152" s="105" t="s">
        <v>1172</v>
      </c>
      <c r="E7152" s="207">
        <v>1</v>
      </c>
      <c r="F7152" s="190">
        <f>'BASIC DATA'!$C$552</f>
        <v>350</v>
      </c>
      <c r="G7152" s="449">
        <f>E7152*F7152</f>
        <v>350</v>
      </c>
    </row>
    <row r="7153" spans="1:10">
      <c r="A7153" s="847"/>
      <c r="B7153" s="152"/>
      <c r="C7153" s="86" t="s">
        <v>1184</v>
      </c>
      <c r="D7153" s="105" t="s">
        <v>1172</v>
      </c>
      <c r="E7153" s="207">
        <v>1</v>
      </c>
      <c r="F7153" s="190">
        <f>'BASIC DATA'!$C$552</f>
        <v>350</v>
      </c>
      <c r="G7153" s="449">
        <f>E7153*F7153</f>
        <v>350</v>
      </c>
    </row>
    <row r="7154" spans="1:10">
      <c r="A7154" s="847"/>
      <c r="B7154" s="152"/>
      <c r="C7154" s="86" t="s">
        <v>1185</v>
      </c>
      <c r="D7154" s="105" t="s">
        <v>1172</v>
      </c>
      <c r="E7154" s="207">
        <v>1</v>
      </c>
      <c r="F7154" s="190">
        <f>'BASIC DATA'!$C$552</f>
        <v>350</v>
      </c>
      <c r="G7154" s="449">
        <f>E7154*F7154</f>
        <v>350</v>
      </c>
    </row>
    <row r="7155" spans="1:10">
      <c r="A7155" s="847"/>
      <c r="B7155" s="92"/>
      <c r="C7155" s="353" t="s">
        <v>1174</v>
      </c>
      <c r="D7155" s="159"/>
      <c r="E7155" s="238"/>
      <c r="F7155" s="236" t="s">
        <v>1698</v>
      </c>
      <c r="G7155" s="67">
        <f>SUM(G7145:G7154)</f>
        <v>3836.61</v>
      </c>
    </row>
    <row r="7156" spans="1:10" ht="36">
      <c r="A7156" s="847"/>
      <c r="B7156" s="311"/>
      <c r="C7156" s="416" t="s">
        <v>5679</v>
      </c>
      <c r="D7156" s="388"/>
      <c r="E7156" s="469">
        <f>'BASIC DATA'!$C$586</f>
        <v>0.1</v>
      </c>
      <c r="F7156" s="390" t="s">
        <v>1698</v>
      </c>
      <c r="G7156" s="391">
        <f>E7156*G7155</f>
        <v>383.66100000000006</v>
      </c>
      <c r="H7156" s="61"/>
    </row>
    <row r="7157" spans="1:10">
      <c r="A7157" s="847"/>
      <c r="B7157" s="359" t="s">
        <v>5948</v>
      </c>
      <c r="C7157" s="48"/>
      <c r="D7157" s="31"/>
      <c r="E7157" s="85">
        <f>ROUND(G7156/F7118,1)</f>
        <v>15.3</v>
      </c>
    </row>
    <row r="7158" spans="1:10">
      <c r="A7158" s="847"/>
      <c r="B7158" s="359" t="s">
        <v>3163</v>
      </c>
      <c r="C7158" s="48"/>
      <c r="D7158" s="922">
        <f>'BASIC DATA'!$C$577</f>
        <v>0.13614999999999999</v>
      </c>
      <c r="E7158" s="85">
        <f>ROUND(E7157*D7158,1)</f>
        <v>2.1</v>
      </c>
    </row>
    <row r="7159" spans="1:10">
      <c r="A7159" s="847"/>
      <c r="B7159" s="359" t="s">
        <v>5949</v>
      </c>
      <c r="C7159" s="48"/>
      <c r="D7159" s="31"/>
      <c r="E7159" s="199">
        <f>ROUND(E7158+E7157,1)</f>
        <v>17.399999999999999</v>
      </c>
    </row>
    <row r="7160" spans="1:10">
      <c r="A7160" s="847"/>
      <c r="C7160" s="48"/>
    </row>
    <row r="7161" spans="1:10">
      <c r="A7161" s="847"/>
      <c r="B7161" s="162" t="s">
        <v>1175</v>
      </c>
      <c r="C7161" s="48"/>
    </row>
    <row r="7162" spans="1:10">
      <c r="A7162" s="847"/>
      <c r="B7162" s="47" t="s">
        <v>1176</v>
      </c>
      <c r="C7162" s="48"/>
      <c r="F7162" s="171" t="s">
        <v>1698</v>
      </c>
      <c r="G7162" s="68">
        <f>G7128</f>
        <v>188.08057812499999</v>
      </c>
      <c r="J7162" s="61"/>
    </row>
    <row r="7163" spans="1:10">
      <c r="A7163" s="847"/>
      <c r="B7163" s="47" t="s">
        <v>1186</v>
      </c>
      <c r="C7163" s="48"/>
      <c r="F7163" s="171" t="s">
        <v>1698</v>
      </c>
      <c r="G7163" s="68">
        <f>G7140</f>
        <v>19.343</v>
      </c>
      <c r="J7163" s="61"/>
    </row>
    <row r="7164" spans="1:10">
      <c r="A7164" s="847"/>
      <c r="B7164" s="47" t="s">
        <v>2660</v>
      </c>
      <c r="C7164" s="48"/>
      <c r="F7164" s="171" t="s">
        <v>1698</v>
      </c>
      <c r="G7164" s="75">
        <f>G7156</f>
        <v>383.66100000000006</v>
      </c>
      <c r="J7164" s="61"/>
    </row>
    <row r="7165" spans="1:10">
      <c r="A7165" s="847"/>
      <c r="B7165" s="78"/>
      <c r="C7165" s="48"/>
      <c r="E7165" s="171" t="s">
        <v>4835</v>
      </c>
      <c r="F7165" s="171" t="s">
        <v>1173</v>
      </c>
      <c r="G7165" s="205">
        <f>SUM(G7162:G7164)</f>
        <v>591.08457812500001</v>
      </c>
    </row>
    <row r="7166" spans="1:10" ht="39" customHeight="1">
      <c r="A7166" s="847"/>
      <c r="B7166" s="1207" t="s">
        <v>1379</v>
      </c>
      <c r="C7166" s="1207"/>
      <c r="D7166" s="1207"/>
      <c r="E7166" s="922">
        <f>'BASIC DATA'!$C$577</f>
        <v>0.13614999999999999</v>
      </c>
      <c r="F7166" s="171" t="s">
        <v>1698</v>
      </c>
      <c r="G7166" s="31">
        <f>ROUND(G7165*E7166,2)</f>
        <v>80.48</v>
      </c>
    </row>
    <row r="7167" spans="1:10">
      <c r="A7167" s="847"/>
      <c r="B7167" s="47" t="s">
        <v>1191</v>
      </c>
      <c r="C7167" s="48"/>
      <c r="D7167" s="68">
        <f>F7118</f>
        <v>25</v>
      </c>
      <c r="E7167" s="68" t="str">
        <f>G7118</f>
        <v>Nos.</v>
      </c>
      <c r="F7167" s="171" t="s">
        <v>1698</v>
      </c>
      <c r="G7167" s="211">
        <f>G7166+G7165</f>
        <v>671.56457812500003</v>
      </c>
    </row>
    <row r="7168" spans="1:10">
      <c r="A7168" s="847"/>
      <c r="B7168" s="79" t="s">
        <v>1584</v>
      </c>
      <c r="C7168" s="404" t="s">
        <v>4935</v>
      </c>
      <c r="D7168" s="26" t="s">
        <v>5895</v>
      </c>
      <c r="F7168" s="171" t="s">
        <v>4108</v>
      </c>
      <c r="G7168" s="211">
        <f>ROUND(G7167/D7167,1)</f>
        <v>26.9</v>
      </c>
    </row>
    <row r="7169" spans="1:8">
      <c r="A7169" s="847"/>
      <c r="B7169" s="78"/>
      <c r="C7169" s="48"/>
      <c r="F7169" s="171"/>
      <c r="G7169" s="68"/>
    </row>
    <row r="7170" spans="1:8">
      <c r="A7170" s="847"/>
      <c r="B7170" s="78"/>
      <c r="C7170" s="48"/>
      <c r="F7170" s="171"/>
      <c r="G7170" s="68"/>
    </row>
    <row r="7171" spans="1:8" ht="36.75">
      <c r="A7171" s="841" t="s">
        <v>7508</v>
      </c>
      <c r="B7171" s="47" t="s">
        <v>8850</v>
      </c>
      <c r="C7171" s="48"/>
      <c r="D7171" s="48"/>
      <c r="E7171" s="48"/>
      <c r="F7171" s="48"/>
      <c r="G7171" s="48"/>
      <c r="H7171" s="48"/>
    </row>
    <row r="7172" spans="1:8" ht="18.75">
      <c r="A7172" s="847"/>
      <c r="B7172" s="47" t="s">
        <v>8851</v>
      </c>
      <c r="C7172" s="48"/>
      <c r="D7172" s="48"/>
      <c r="E7172" s="48"/>
      <c r="F7172" s="48"/>
      <c r="G7172" s="48"/>
      <c r="H7172" s="48"/>
    </row>
    <row r="7173" spans="1:8">
      <c r="A7173" s="847"/>
      <c r="B7173" s="47" t="s">
        <v>8852</v>
      </c>
      <c r="C7173" s="48"/>
      <c r="D7173" s="48"/>
      <c r="E7173" s="48"/>
      <c r="F7173" s="48"/>
      <c r="G7173" s="48"/>
      <c r="H7173" s="48"/>
    </row>
    <row r="7174" spans="1:8">
      <c r="A7174" s="847"/>
      <c r="B7174" s="47" t="s">
        <v>8853</v>
      </c>
      <c r="C7174" s="48"/>
      <c r="D7174" s="43"/>
      <c r="E7174" s="43"/>
      <c r="F7174" s="43"/>
      <c r="G7174" s="43"/>
      <c r="H7174" s="43"/>
    </row>
    <row r="7175" spans="1:8">
      <c r="A7175" s="847"/>
      <c r="B7175" s="162" t="s">
        <v>244</v>
      </c>
      <c r="C7175" s="48"/>
      <c r="D7175" s="43"/>
      <c r="E7175" s="43"/>
      <c r="F7175" s="43"/>
      <c r="G7175" s="43"/>
      <c r="H7175" s="43"/>
    </row>
    <row r="7176" spans="1:8">
      <c r="A7176" s="847"/>
      <c r="B7176" s="162" t="s">
        <v>7679</v>
      </c>
      <c r="C7176" s="48"/>
    </row>
    <row r="7177" spans="1:8">
      <c r="A7177" s="847"/>
      <c r="B7177" s="162" t="s">
        <v>245</v>
      </c>
      <c r="C7177" s="48"/>
    </row>
    <row r="7178" spans="1:8">
      <c r="A7178" s="897"/>
      <c r="B7178" s="471"/>
      <c r="C7178" s="48"/>
    </row>
    <row r="7179" spans="1:8" hidden="1">
      <c r="A7179" s="897" t="s">
        <v>1907</v>
      </c>
      <c r="B7179" s="47" t="s">
        <v>246</v>
      </c>
      <c r="D7179" s="48"/>
      <c r="E7179" s="48"/>
      <c r="F7179" s="48"/>
      <c r="G7179" s="48"/>
      <c r="H7179" s="48"/>
    </row>
    <row r="7180" spans="1:8" hidden="1">
      <c r="A7180" s="847"/>
      <c r="B7180" s="47" t="s">
        <v>7681</v>
      </c>
    </row>
    <row r="7181" spans="1:8" hidden="1">
      <c r="A7181" s="847"/>
      <c r="B7181" s="47" t="s">
        <v>2120</v>
      </c>
      <c r="D7181" s="47"/>
      <c r="E7181" s="47"/>
      <c r="G7181" s="471">
        <v>1.7999999999999999E-2</v>
      </c>
      <c r="H7181" s="26" t="s">
        <v>5336</v>
      </c>
    </row>
    <row r="7182" spans="1:8" hidden="1">
      <c r="A7182" s="847"/>
      <c r="B7182" s="47" t="s">
        <v>4448</v>
      </c>
      <c r="D7182" s="48"/>
      <c r="E7182" s="48"/>
      <c r="F7182" s="48"/>
      <c r="G7182" s="471">
        <v>56</v>
      </c>
      <c r="H7182" s="26" t="s">
        <v>3032</v>
      </c>
    </row>
    <row r="7183" spans="1:8" hidden="1">
      <c r="A7183" s="847"/>
      <c r="B7183" s="47" t="s">
        <v>4631</v>
      </c>
      <c r="D7183" s="48"/>
      <c r="E7183" s="48"/>
      <c r="F7183" s="48"/>
    </row>
    <row r="7184" spans="1:8" hidden="1">
      <c r="A7184" s="847"/>
      <c r="B7184" s="47" t="s">
        <v>4632</v>
      </c>
      <c r="D7184" s="48"/>
      <c r="E7184" s="48"/>
      <c r="F7184" s="48"/>
    </row>
    <row r="7185" spans="1:11" hidden="1">
      <c r="A7185" s="847"/>
      <c r="K7185" s="61"/>
    </row>
    <row r="7186" spans="1:11" hidden="1">
      <c r="A7186" s="847"/>
      <c r="B7186" s="47" t="s">
        <v>3510</v>
      </c>
      <c r="D7186" s="48"/>
      <c r="E7186" s="48"/>
      <c r="F7186" s="48" t="s">
        <v>2121</v>
      </c>
      <c r="G7186" s="471">
        <v>250</v>
      </c>
      <c r="H7186" s="26" t="s">
        <v>1552</v>
      </c>
    </row>
    <row r="7187" spans="1:11" hidden="1">
      <c r="A7187" s="847"/>
      <c r="B7187" s="47" t="s">
        <v>1344</v>
      </c>
      <c r="D7187" s="48"/>
      <c r="E7187" s="48"/>
      <c r="F7187" s="48"/>
      <c r="G7187" s="48"/>
    </row>
    <row r="7188" spans="1:11" hidden="1">
      <c r="A7188" s="847"/>
      <c r="B7188" s="47" t="s">
        <v>1345</v>
      </c>
    </row>
    <row r="7189" spans="1:11" hidden="1">
      <c r="A7189" s="847"/>
      <c r="B7189" s="47" t="s">
        <v>3511</v>
      </c>
      <c r="D7189" s="47"/>
      <c r="E7189" s="47"/>
      <c r="G7189" s="471" t="s">
        <v>3512</v>
      </c>
    </row>
    <row r="7190" spans="1:11" hidden="1">
      <c r="A7190" s="847"/>
      <c r="D7190" s="1160" t="s">
        <v>3513</v>
      </c>
      <c r="E7190" s="1160"/>
      <c r="G7190" s="471" t="s">
        <v>4437</v>
      </c>
    </row>
    <row r="7191" spans="1:11" hidden="1">
      <c r="A7191" s="847"/>
      <c r="B7191" s="47" t="s">
        <v>5189</v>
      </c>
      <c r="D7191" s="48"/>
      <c r="E7191" s="48"/>
      <c r="F7191" s="48"/>
      <c r="G7191" s="471">
        <f>G7181*225</f>
        <v>4.05</v>
      </c>
      <c r="H7191" s="26" t="s">
        <v>3477</v>
      </c>
      <c r="K7191" s="31"/>
    </row>
    <row r="7192" spans="1:11" hidden="1">
      <c r="A7192" s="847"/>
      <c r="B7192" s="47" t="s">
        <v>4148</v>
      </c>
      <c r="D7192" s="47"/>
      <c r="E7192" s="47"/>
      <c r="F7192" s="47"/>
      <c r="G7192" s="47"/>
    </row>
    <row r="7193" spans="1:11" hidden="1">
      <c r="A7193" s="847"/>
      <c r="B7193" s="47" t="s">
        <v>1346</v>
      </c>
      <c r="D7193" s="48"/>
      <c r="E7193" s="48"/>
      <c r="F7193" s="48"/>
      <c r="G7193" s="48"/>
    </row>
    <row r="7194" spans="1:11" hidden="1">
      <c r="A7194" s="847"/>
      <c r="B7194" s="47" t="s">
        <v>1347</v>
      </c>
    </row>
    <row r="7195" spans="1:11" hidden="1">
      <c r="A7195" s="847"/>
    </row>
    <row r="7196" spans="1:11" hidden="1">
      <c r="A7196" s="847"/>
      <c r="B7196" s="47" t="s">
        <v>4149</v>
      </c>
      <c r="D7196" s="377"/>
      <c r="E7196" s="377"/>
      <c r="F7196" s="1251"/>
    </row>
    <row r="7197" spans="1:11" hidden="1">
      <c r="A7197" s="847"/>
      <c r="B7197" s="494"/>
      <c r="D7197" s="473"/>
      <c r="E7197" s="473"/>
      <c r="F7197" s="1251"/>
    </row>
    <row r="7198" spans="1:11" ht="36" hidden="1">
      <c r="A7198" s="847"/>
      <c r="B7198" s="47" t="s">
        <v>4150</v>
      </c>
      <c r="D7198" s="377"/>
      <c r="E7198" s="377"/>
      <c r="G7198" s="472" t="s">
        <v>4151</v>
      </c>
    </row>
    <row r="7199" spans="1:11" hidden="1">
      <c r="A7199" s="847"/>
      <c r="B7199" s="47" t="s">
        <v>4525</v>
      </c>
      <c r="D7199" s="472">
        <f>'BASIC DATA'!$D$97/1000</f>
        <v>37.5</v>
      </c>
      <c r="E7199" s="26" t="s">
        <v>4083</v>
      </c>
      <c r="F7199" s="472" t="s">
        <v>4108</v>
      </c>
      <c r="G7199" s="472">
        <v>96</v>
      </c>
    </row>
    <row r="7200" spans="1:11" hidden="1">
      <c r="A7200" s="847"/>
      <c r="B7200" s="47" t="s">
        <v>4526</v>
      </c>
      <c r="D7200" s="474">
        <f>'BASIC DATA'!$D$358</f>
        <v>24</v>
      </c>
      <c r="E7200" s="26" t="s">
        <v>4083</v>
      </c>
      <c r="F7200" s="472" t="s">
        <v>4108</v>
      </c>
      <c r="G7200" s="475">
        <v>19.2</v>
      </c>
    </row>
    <row r="7201" spans="1:11" ht="36" hidden="1">
      <c r="A7201" s="847"/>
      <c r="B7201" s="493"/>
      <c r="C7201" s="470"/>
      <c r="D7201" s="472"/>
      <c r="F7201" s="472" t="s">
        <v>6251</v>
      </c>
      <c r="G7201" s="472">
        <f>SUM(G7199:G7200)</f>
        <v>115.2</v>
      </c>
    </row>
    <row r="7202" spans="1:11" ht="36" hidden="1">
      <c r="A7202" s="847"/>
      <c r="B7202" s="47" t="s">
        <v>2496</v>
      </c>
      <c r="D7202" s="472"/>
      <c r="F7202" s="472" t="s">
        <v>4527</v>
      </c>
      <c r="G7202" s="475">
        <v>-17.28</v>
      </c>
    </row>
    <row r="7203" spans="1:11" ht="36" hidden="1">
      <c r="A7203" s="847"/>
      <c r="B7203" s="493"/>
      <c r="D7203" s="472"/>
      <c r="F7203" s="472" t="s">
        <v>6251</v>
      </c>
      <c r="G7203" s="472">
        <f>SUM(G7201:G7202)</f>
        <v>97.92</v>
      </c>
    </row>
    <row r="7204" spans="1:11" hidden="1">
      <c r="A7204" s="847"/>
      <c r="B7204" s="47" t="s">
        <v>2640</v>
      </c>
      <c r="D7204" s="472"/>
      <c r="F7204" s="472" t="s">
        <v>4108</v>
      </c>
      <c r="G7204" s="472">
        <v>0.2</v>
      </c>
    </row>
    <row r="7205" spans="1:11" hidden="1">
      <c r="A7205" s="847"/>
      <c r="B7205" s="47" t="s">
        <v>2641</v>
      </c>
      <c r="D7205" s="472"/>
      <c r="F7205" s="472" t="s">
        <v>4108</v>
      </c>
      <c r="G7205" s="472">
        <v>0.03</v>
      </c>
    </row>
    <row r="7206" spans="1:11" hidden="1">
      <c r="A7206" s="847"/>
      <c r="B7206" s="47" t="s">
        <v>2642</v>
      </c>
      <c r="D7206" s="474">
        <f>'BASIC DATA'!$D$357</f>
        <v>50</v>
      </c>
      <c r="E7206" s="26" t="s">
        <v>4084</v>
      </c>
      <c r="F7206" s="472" t="s">
        <v>4108</v>
      </c>
      <c r="G7206" s="474">
        <v>1</v>
      </c>
    </row>
    <row r="7207" spans="1:11" hidden="1">
      <c r="A7207" s="847"/>
      <c r="B7207" s="493"/>
      <c r="C7207" s="470"/>
      <c r="E7207" s="1252" t="s">
        <v>2643</v>
      </c>
      <c r="F7207" s="1252"/>
      <c r="G7207" s="476">
        <f>SUM(G7204:G7206)</f>
        <v>1.23</v>
      </c>
    </row>
    <row r="7208" spans="1:11">
      <c r="A7208" s="847"/>
      <c r="B7208" s="471" t="s">
        <v>5785</v>
      </c>
      <c r="C7208" s="48"/>
    </row>
    <row r="7209" spans="1:11">
      <c r="A7209" s="847" t="s">
        <v>3984</v>
      </c>
      <c r="C7209" s="370" t="s">
        <v>2367</v>
      </c>
      <c r="E7209" s="471" t="s">
        <v>1188</v>
      </c>
      <c r="F7209" s="477">
        <v>225</v>
      </c>
      <c r="G7209" s="26" t="s">
        <v>4041</v>
      </c>
    </row>
    <row r="7210" spans="1:11">
      <c r="A7210" s="847"/>
      <c r="B7210" s="471"/>
      <c r="C7210" s="48"/>
      <c r="K7210" s="61"/>
    </row>
    <row r="7211" spans="1:11">
      <c r="A7211" s="847"/>
      <c r="B7211" s="47" t="s">
        <v>6633</v>
      </c>
      <c r="C7211" s="48"/>
    </row>
    <row r="7212" spans="1:11">
      <c r="A7212" s="847"/>
      <c r="B7212" s="471"/>
      <c r="C7212" s="48"/>
    </row>
    <row r="7213" spans="1:11">
      <c r="A7213" s="847"/>
      <c r="B7213" s="1246" t="s">
        <v>6634</v>
      </c>
      <c r="C7213" s="1248" t="s">
        <v>4443</v>
      </c>
      <c r="D7213" s="1248" t="s">
        <v>2370</v>
      </c>
      <c r="E7213" s="1248" t="s">
        <v>1166</v>
      </c>
      <c r="F7213" s="478" t="s">
        <v>2371</v>
      </c>
      <c r="G7213" s="1248" t="s">
        <v>6248</v>
      </c>
    </row>
    <row r="7214" spans="1:11">
      <c r="A7214" s="847"/>
      <c r="B7214" s="1247"/>
      <c r="C7214" s="1249"/>
      <c r="D7214" s="1249"/>
      <c r="E7214" s="1249"/>
      <c r="F7214" s="479" t="s">
        <v>3485</v>
      </c>
      <c r="G7214" s="1249"/>
    </row>
    <row r="7215" spans="1:11">
      <c r="A7215" s="847"/>
      <c r="B7215" s="598">
        <v>1</v>
      </c>
      <c r="C7215" s="48" t="s">
        <v>1048</v>
      </c>
      <c r="D7215" s="480" t="s">
        <v>1791</v>
      </c>
      <c r="E7215" s="481">
        <f>300*G7191</f>
        <v>1215</v>
      </c>
      <c r="F7215" s="68">
        <f>'BASIC DATA'!$D$32/1000</f>
        <v>5.35</v>
      </c>
      <c r="G7215" s="449">
        <f t="shared" ref="G7215:G7221" si="102">E7215*F7215</f>
        <v>6500.25</v>
      </c>
    </row>
    <row r="7216" spans="1:11" ht="36">
      <c r="A7216" s="847"/>
      <c r="B7216" s="598">
        <v>2</v>
      </c>
      <c r="C7216" s="48" t="s">
        <v>4152</v>
      </c>
      <c r="D7216" s="480" t="s">
        <v>1791</v>
      </c>
      <c r="E7216" s="481">
        <f>0.5*F7209</f>
        <v>112.5</v>
      </c>
      <c r="F7216" s="68">
        <f>'BASIC DATA'!$D$32/1000</f>
        <v>5.35</v>
      </c>
      <c r="G7216" s="449">
        <f t="shared" si="102"/>
        <v>601.875</v>
      </c>
    </row>
    <row r="7217" spans="1:11">
      <c r="A7217" s="847"/>
      <c r="B7217" s="598">
        <v>3</v>
      </c>
      <c r="C7217" s="48" t="s">
        <v>4153</v>
      </c>
      <c r="D7217" s="480" t="s">
        <v>2113</v>
      </c>
      <c r="E7217" s="449">
        <f>0.65*G7191*0.8</f>
        <v>2.1059999999999999</v>
      </c>
      <c r="F7217" s="190">
        <f>'BASIC DATA'!$D$35</f>
        <v>1225</v>
      </c>
      <c r="G7217" s="449">
        <f t="shared" si="102"/>
        <v>2579.85</v>
      </c>
    </row>
    <row r="7218" spans="1:11">
      <c r="A7218" s="847"/>
      <c r="B7218" s="598">
        <v>4</v>
      </c>
      <c r="C7218" s="48" t="s">
        <v>1050</v>
      </c>
      <c r="D7218" s="480" t="s">
        <v>2113</v>
      </c>
      <c r="E7218" s="449">
        <f>G7191*0.35*0.8</f>
        <v>1.1339999999999999</v>
      </c>
      <c r="F7218" s="190">
        <f>'BASIC DATA'!$D$34</f>
        <v>900</v>
      </c>
      <c r="G7218" s="449">
        <f t="shared" si="102"/>
        <v>1020.5999999999999</v>
      </c>
    </row>
    <row r="7219" spans="1:11">
      <c r="A7219" s="848"/>
      <c r="B7219" s="599">
        <v>5</v>
      </c>
      <c r="C7219" s="49" t="s">
        <v>7941</v>
      </c>
      <c r="D7219" s="482" t="s">
        <v>2113</v>
      </c>
      <c r="E7219" s="450">
        <f>0.45*G7191</f>
        <v>1.8225</v>
      </c>
      <c r="F7219" s="266">
        <f>'BASIC DATA'!$D$55</f>
        <v>95</v>
      </c>
      <c r="G7219" s="450">
        <f t="shared" si="102"/>
        <v>173.13749999999999</v>
      </c>
      <c r="H7219" s="61"/>
      <c r="I7219" s="61"/>
      <c r="J7219" s="61"/>
      <c r="K7219" s="61"/>
    </row>
    <row r="7220" spans="1:11">
      <c r="A7220" s="847"/>
      <c r="B7220" s="598">
        <v>6</v>
      </c>
      <c r="C7220" s="48" t="s">
        <v>523</v>
      </c>
      <c r="D7220" s="480" t="s">
        <v>3478</v>
      </c>
      <c r="E7220" s="449">
        <f>E7215*0.4%</f>
        <v>4.8600000000000003</v>
      </c>
      <c r="F7220" s="266">
        <f>'BASIC DATA'!$D$99</f>
        <v>55</v>
      </c>
      <c r="G7220" s="449">
        <f t="shared" si="102"/>
        <v>267.3</v>
      </c>
    </row>
    <row r="7221" spans="1:11">
      <c r="A7221" s="847"/>
      <c r="B7221" s="597">
        <v>7</v>
      </c>
      <c r="C7221" s="48" t="s">
        <v>5026</v>
      </c>
      <c r="D7221" s="479" t="s">
        <v>4089</v>
      </c>
      <c r="E7221" s="483">
        <v>225</v>
      </c>
      <c r="F7221" s="483">
        <f>IF(F7220=0,0,G7207)</f>
        <v>1.23</v>
      </c>
      <c r="G7221" s="449">
        <f t="shared" si="102"/>
        <v>276.75</v>
      </c>
    </row>
    <row r="7222" spans="1:11">
      <c r="A7222" s="847"/>
      <c r="B7222" s="600"/>
      <c r="C7222" s="1243" t="s">
        <v>6635</v>
      </c>
      <c r="D7222" s="1243"/>
      <c r="E7222" s="1243"/>
      <c r="F7222" s="1244"/>
      <c r="G7222" s="484">
        <f>SUM(G7215:G7221)</f>
        <v>11419.762500000001</v>
      </c>
    </row>
    <row r="7223" spans="1:11">
      <c r="A7223" s="847"/>
      <c r="B7223" s="471"/>
      <c r="C7223" s="48"/>
    </row>
    <row r="7224" spans="1:11">
      <c r="A7224" s="847"/>
      <c r="B7224" s="47" t="s">
        <v>6636</v>
      </c>
      <c r="C7224" s="48"/>
    </row>
    <row r="7225" spans="1:11">
      <c r="A7225" s="847"/>
      <c r="B7225" s="471"/>
      <c r="C7225" s="48"/>
    </row>
    <row r="7226" spans="1:11">
      <c r="A7226" s="847"/>
      <c r="B7226" s="1246" t="s">
        <v>6634</v>
      </c>
      <c r="C7226" s="1248" t="s">
        <v>4443</v>
      </c>
      <c r="D7226" s="1248" t="s">
        <v>2370</v>
      </c>
      <c r="E7226" s="1248" t="s">
        <v>1166</v>
      </c>
      <c r="F7226" s="478" t="s">
        <v>2371</v>
      </c>
      <c r="G7226" s="1248" t="s">
        <v>6248</v>
      </c>
    </row>
    <row r="7227" spans="1:11">
      <c r="A7227" s="847"/>
      <c r="B7227" s="1247"/>
      <c r="C7227" s="1249"/>
      <c r="D7227" s="1249"/>
      <c r="E7227" s="1249"/>
      <c r="F7227" s="479" t="s">
        <v>3485</v>
      </c>
      <c r="G7227" s="1249"/>
    </row>
    <row r="7228" spans="1:11">
      <c r="A7228" s="847"/>
      <c r="B7228" s="598">
        <v>1</v>
      </c>
      <c r="C7228" s="48" t="s">
        <v>1462</v>
      </c>
      <c r="D7228" s="480" t="s">
        <v>2374</v>
      </c>
      <c r="E7228" s="481">
        <v>8</v>
      </c>
      <c r="F7228" s="214">
        <f>'HIRE CHARGES'!$D$507</f>
        <v>53.5</v>
      </c>
      <c r="G7228" s="449">
        <f t="shared" ref="G7228:G7233" si="103">E7228*F7228</f>
        <v>428</v>
      </c>
    </row>
    <row r="7229" spans="1:11">
      <c r="A7229" s="847"/>
      <c r="B7229" s="598"/>
      <c r="C7229" s="48" t="s">
        <v>4864</v>
      </c>
      <c r="D7229" s="480" t="s">
        <v>2374</v>
      </c>
      <c r="E7229" s="481">
        <v>8</v>
      </c>
      <c r="F7229" s="214">
        <f>'HIRE CHARGES'!$E$507</f>
        <v>79.3</v>
      </c>
      <c r="G7229" s="449">
        <f t="shared" si="103"/>
        <v>634.4</v>
      </c>
    </row>
    <row r="7230" spans="1:11">
      <c r="A7230" s="847"/>
      <c r="B7230" s="598">
        <v>2</v>
      </c>
      <c r="C7230" s="48" t="s">
        <v>2644</v>
      </c>
      <c r="D7230" s="480" t="s">
        <v>2374</v>
      </c>
      <c r="E7230" s="481">
        <v>0.1</v>
      </c>
      <c r="F7230" s="214">
        <f>'HIRE CHARGES'!$D$517</f>
        <v>10.199999999999999</v>
      </c>
      <c r="G7230" s="449">
        <f t="shared" si="103"/>
        <v>1.02</v>
      </c>
    </row>
    <row r="7231" spans="1:11">
      <c r="A7231" s="847"/>
      <c r="B7231" s="598"/>
      <c r="C7231" s="48" t="s">
        <v>4864</v>
      </c>
      <c r="D7231" s="480" t="s">
        <v>2374</v>
      </c>
      <c r="E7231" s="481">
        <v>0.1</v>
      </c>
      <c r="F7231" s="214">
        <f>'HIRE CHARGES'!$E$517</f>
        <v>79.3</v>
      </c>
      <c r="G7231" s="449">
        <f t="shared" si="103"/>
        <v>7.93</v>
      </c>
    </row>
    <row r="7232" spans="1:11">
      <c r="A7232" s="847"/>
      <c r="B7232" s="598">
        <v>3</v>
      </c>
      <c r="C7232" s="48" t="s">
        <v>6286</v>
      </c>
      <c r="D7232" s="480" t="s">
        <v>2374</v>
      </c>
      <c r="E7232" s="481">
        <v>0.2</v>
      </c>
      <c r="F7232" s="214">
        <f>'HIRE CHARGES'!$D$555</f>
        <v>402.5</v>
      </c>
      <c r="G7232" s="449">
        <f t="shared" si="103"/>
        <v>80.5</v>
      </c>
    </row>
    <row r="7233" spans="1:9">
      <c r="A7233" s="847"/>
      <c r="B7233" s="597"/>
      <c r="C7233" s="48" t="s">
        <v>4864</v>
      </c>
      <c r="D7233" s="479" t="s">
        <v>2374</v>
      </c>
      <c r="E7233" s="483">
        <v>0.2</v>
      </c>
      <c r="F7233" s="214">
        <f>'HIRE CHARGES'!$E$555</f>
        <v>299.89999999999998</v>
      </c>
      <c r="G7233" s="449">
        <f t="shared" si="103"/>
        <v>59.98</v>
      </c>
    </row>
    <row r="7234" spans="1:9">
      <c r="A7234" s="847"/>
      <c r="B7234" s="600"/>
      <c r="C7234" s="1243" t="s">
        <v>3530</v>
      </c>
      <c r="D7234" s="1243"/>
      <c r="E7234" s="1243"/>
      <c r="F7234" s="1244"/>
      <c r="G7234" s="485">
        <f>SUM(G7228:G7233)</f>
        <v>1211.8300000000002</v>
      </c>
      <c r="I7234" s="61"/>
    </row>
    <row r="7235" spans="1:9" ht="54">
      <c r="A7235" s="847"/>
      <c r="B7235" s="600"/>
      <c r="C7235" s="486" t="s">
        <v>5680</v>
      </c>
      <c r="D7235" s="486"/>
      <c r="E7235" s="487">
        <f>'BASIC DATA'!$C$583</f>
        <v>0.9</v>
      </c>
      <c r="F7235" s="488"/>
      <c r="G7235" s="484">
        <f>E7235*G7234</f>
        <v>1090.6470000000002</v>
      </c>
    </row>
    <row r="7236" spans="1:9">
      <c r="A7236" s="847"/>
      <c r="B7236" s="471"/>
      <c r="C7236" s="48"/>
    </row>
    <row r="7237" spans="1:9" ht="36">
      <c r="A7237" s="847"/>
      <c r="B7237" s="471" t="s">
        <v>670</v>
      </c>
      <c r="C7237" s="48"/>
    </row>
    <row r="7238" spans="1:9">
      <c r="A7238" s="847"/>
      <c r="B7238" s="1246" t="s">
        <v>6634</v>
      </c>
      <c r="C7238" s="1248" t="s">
        <v>4443</v>
      </c>
      <c r="D7238" s="1248" t="s">
        <v>2370</v>
      </c>
      <c r="E7238" s="1248" t="s">
        <v>1166</v>
      </c>
      <c r="F7238" s="478" t="s">
        <v>2371</v>
      </c>
      <c r="G7238" s="1248" t="s">
        <v>6248</v>
      </c>
    </row>
    <row r="7239" spans="1:9">
      <c r="A7239" s="847"/>
      <c r="B7239" s="1247"/>
      <c r="C7239" s="1249"/>
      <c r="D7239" s="1249"/>
      <c r="E7239" s="1249"/>
      <c r="F7239" s="479" t="s">
        <v>3485</v>
      </c>
      <c r="G7239" s="1250"/>
    </row>
    <row r="7240" spans="1:9">
      <c r="A7240" s="847"/>
      <c r="B7240" s="598">
        <v>1</v>
      </c>
      <c r="C7240" s="48" t="s">
        <v>999</v>
      </c>
      <c r="D7240" s="480" t="s">
        <v>2374</v>
      </c>
      <c r="E7240" s="481">
        <v>0.1</v>
      </c>
      <c r="F7240" s="214">
        <f>'HIRE CHARGES'!$F$517</f>
        <v>111.1</v>
      </c>
      <c r="G7240" s="449">
        <f t="shared" ref="G7240:G7248" si="104">E7240*F7240</f>
        <v>11.11</v>
      </c>
      <c r="I7240" s="75"/>
    </row>
    <row r="7241" spans="1:9">
      <c r="A7241" s="847"/>
      <c r="B7241" s="598">
        <v>2</v>
      </c>
      <c r="C7241" s="48" t="s">
        <v>2645</v>
      </c>
      <c r="D7241" s="480" t="s">
        <v>2374</v>
      </c>
      <c r="E7241" s="481">
        <v>0.2</v>
      </c>
      <c r="F7241" s="190">
        <f>'HIRE CHARGES'!$F$555</f>
        <v>177.5</v>
      </c>
      <c r="G7241" s="449">
        <f t="shared" si="104"/>
        <v>35.5</v>
      </c>
      <c r="I7241" s="75"/>
    </row>
    <row r="7242" spans="1:9">
      <c r="A7242" s="847"/>
      <c r="B7242" s="598">
        <v>3</v>
      </c>
      <c r="C7242" s="48" t="s">
        <v>440</v>
      </c>
      <c r="D7242" s="480" t="s">
        <v>1172</v>
      </c>
      <c r="E7242" s="481">
        <v>2</v>
      </c>
      <c r="F7242" s="190">
        <f>'BASIC DATA'!$C$474</f>
        <v>445</v>
      </c>
      <c r="G7242" s="449">
        <f t="shared" si="104"/>
        <v>890</v>
      </c>
      <c r="I7242" s="75"/>
    </row>
    <row r="7243" spans="1:9">
      <c r="A7243" s="847"/>
      <c r="B7243" s="598">
        <v>4</v>
      </c>
      <c r="C7243" s="48" t="s">
        <v>3005</v>
      </c>
      <c r="D7243" s="480" t="s">
        <v>1172</v>
      </c>
      <c r="E7243" s="481">
        <v>1</v>
      </c>
      <c r="F7243" s="190">
        <f>'BASIC DATA'!$C$541</f>
        <v>400</v>
      </c>
      <c r="G7243" s="449">
        <f t="shared" si="104"/>
        <v>400</v>
      </c>
      <c r="I7243" s="75"/>
    </row>
    <row r="7244" spans="1:9">
      <c r="A7244" s="847"/>
      <c r="B7244" s="598">
        <v>5</v>
      </c>
      <c r="C7244" s="48" t="s">
        <v>4647</v>
      </c>
      <c r="D7244" s="480"/>
      <c r="E7244" s="481"/>
      <c r="F7244" s="489"/>
      <c r="G7244" s="490"/>
      <c r="I7244" s="75"/>
    </row>
    <row r="7245" spans="1:9">
      <c r="A7245" s="847"/>
      <c r="B7245" s="601"/>
      <c r="C7245" s="48" t="s">
        <v>3006</v>
      </c>
      <c r="D7245" s="480" t="s">
        <v>1172</v>
      </c>
      <c r="E7245" s="481">
        <v>2</v>
      </c>
      <c r="F7245" s="490">
        <f>'BASIC DATA'!$C$552</f>
        <v>350</v>
      </c>
      <c r="G7245" s="449">
        <f t="shared" si="104"/>
        <v>700</v>
      </c>
      <c r="I7245" s="75"/>
    </row>
    <row r="7246" spans="1:9">
      <c r="A7246" s="847"/>
      <c r="B7246" s="601"/>
      <c r="C7246" s="48" t="s">
        <v>3007</v>
      </c>
      <c r="D7246" s="480"/>
      <c r="E7246" s="481">
        <v>2</v>
      </c>
      <c r="F7246" s="491">
        <f>'BASIC DATA'!$C$552</f>
        <v>350</v>
      </c>
      <c r="G7246" s="490">
        <f t="shared" si="104"/>
        <v>700</v>
      </c>
      <c r="I7246" s="75"/>
    </row>
    <row r="7247" spans="1:9">
      <c r="A7247" s="847"/>
      <c r="B7247" s="601"/>
      <c r="C7247" s="48" t="s">
        <v>2646</v>
      </c>
      <c r="D7247" s="480"/>
      <c r="E7247" s="481">
        <v>1</v>
      </c>
      <c r="F7247" s="491">
        <f>'BASIC DATA'!$C$552</f>
        <v>350</v>
      </c>
      <c r="G7247" s="490">
        <f t="shared" si="104"/>
        <v>350</v>
      </c>
      <c r="I7247" s="75"/>
    </row>
    <row r="7248" spans="1:9">
      <c r="A7248" s="847"/>
      <c r="B7248" s="601"/>
      <c r="C7248" s="48" t="s">
        <v>2647</v>
      </c>
      <c r="D7248" s="480"/>
      <c r="E7248" s="481">
        <v>1</v>
      </c>
      <c r="F7248" s="491">
        <f>'BASIC DATA'!$C$552</f>
        <v>350</v>
      </c>
      <c r="G7248" s="490">
        <f t="shared" si="104"/>
        <v>350</v>
      </c>
      <c r="I7248" s="75"/>
    </row>
    <row r="7249" spans="1:10">
      <c r="A7249" s="847"/>
      <c r="B7249" s="602"/>
      <c r="C7249" s="48" t="s">
        <v>4742</v>
      </c>
      <c r="D7249" s="479" t="s">
        <v>1172</v>
      </c>
      <c r="E7249" s="483">
        <v>1</v>
      </c>
      <c r="F7249" s="492">
        <f>'BASIC DATA'!$C$552</f>
        <v>350</v>
      </c>
      <c r="G7249" s="492">
        <f>E7249*F7249</f>
        <v>350</v>
      </c>
      <c r="I7249" s="75"/>
    </row>
    <row r="7250" spans="1:10">
      <c r="A7250" s="847"/>
      <c r="B7250" s="600"/>
      <c r="C7250" s="1243" t="s">
        <v>671</v>
      </c>
      <c r="D7250" s="1243"/>
      <c r="E7250" s="1243"/>
      <c r="F7250" s="1244"/>
      <c r="G7250" s="485">
        <f>SUM(G7240:G7249)</f>
        <v>3786.61</v>
      </c>
      <c r="I7250" s="31"/>
    </row>
    <row r="7251" spans="1:10" ht="36">
      <c r="A7251" s="847"/>
      <c r="B7251" s="600"/>
      <c r="C7251" s="486" t="s">
        <v>5681</v>
      </c>
      <c r="D7251" s="486"/>
      <c r="E7251" s="487">
        <f>'BASIC DATA'!$C$584</f>
        <v>0.9</v>
      </c>
      <c r="F7251" s="488"/>
      <c r="G7251" s="484">
        <f>G7250*E7251</f>
        <v>3407.9490000000001</v>
      </c>
    </row>
    <row r="7252" spans="1:10">
      <c r="A7252" s="847"/>
      <c r="B7252" s="359" t="s">
        <v>5948</v>
      </c>
      <c r="C7252" s="355"/>
      <c r="D7252" s="31"/>
      <c r="E7252" s="85">
        <f>ROUND(G7251/F7209,1)</f>
        <v>15.1</v>
      </c>
    </row>
    <row r="7253" spans="1:10">
      <c r="A7253" s="847"/>
      <c r="B7253" s="359" t="s">
        <v>3163</v>
      </c>
      <c r="C7253" s="355"/>
      <c r="D7253" s="922">
        <f>'BASIC DATA'!$C$577</f>
        <v>0.13614999999999999</v>
      </c>
      <c r="E7253" s="85">
        <f>ROUND(E7252*D7253,1)</f>
        <v>2.1</v>
      </c>
    </row>
    <row r="7254" spans="1:10">
      <c r="A7254" s="847"/>
      <c r="B7254" s="359" t="s">
        <v>5949</v>
      </c>
      <c r="C7254" s="355"/>
      <c r="D7254" s="31"/>
      <c r="E7254" s="199">
        <f>ROUND(E7253+E7252,1)</f>
        <v>17.2</v>
      </c>
    </row>
    <row r="7255" spans="1:10">
      <c r="A7255" s="847"/>
      <c r="C7255" s="48"/>
    </row>
    <row r="7256" spans="1:10" ht="36">
      <c r="A7256" s="847"/>
      <c r="B7256" s="471" t="s">
        <v>1139</v>
      </c>
      <c r="C7256" s="48"/>
    </row>
    <row r="7257" spans="1:10" ht="20.25" customHeight="1">
      <c r="A7257" s="847"/>
      <c r="B7257" s="603" t="s">
        <v>1176</v>
      </c>
      <c r="C7257" s="603"/>
      <c r="F7257" s="472" t="s">
        <v>4108</v>
      </c>
      <c r="G7257" s="472">
        <f>G7222</f>
        <v>11419.762500000001</v>
      </c>
    </row>
    <row r="7258" spans="1:10">
      <c r="A7258" s="847"/>
      <c r="B7258" s="1245" t="s">
        <v>1348</v>
      </c>
      <c r="C7258" s="1245"/>
      <c r="F7258" s="472" t="s">
        <v>4108</v>
      </c>
      <c r="G7258" s="474">
        <f>G7235</f>
        <v>1090.6470000000002</v>
      </c>
      <c r="H7258" s="68"/>
      <c r="J7258" s="61"/>
    </row>
    <row r="7259" spans="1:10">
      <c r="A7259" s="847"/>
      <c r="B7259" s="603" t="s">
        <v>2660</v>
      </c>
      <c r="C7259" s="377"/>
      <c r="F7259" s="472" t="s">
        <v>4108</v>
      </c>
      <c r="G7259" s="491">
        <f>G7251</f>
        <v>3407.9490000000001</v>
      </c>
      <c r="H7259" s="68"/>
    </row>
    <row r="7260" spans="1:10">
      <c r="A7260" s="847"/>
      <c r="B7260" s="78"/>
      <c r="C7260" s="48"/>
      <c r="E7260" s="171" t="s">
        <v>4835</v>
      </c>
      <c r="F7260" s="171" t="s">
        <v>1173</v>
      </c>
      <c r="G7260" s="205">
        <f>SUM(G7257:G7259)</f>
        <v>15918.358500000002</v>
      </c>
    </row>
    <row r="7261" spans="1:10" ht="42.75" customHeight="1">
      <c r="A7261" s="847"/>
      <c r="B7261" s="1207" t="s">
        <v>1379</v>
      </c>
      <c r="C7261" s="1207"/>
      <c r="D7261" s="1207"/>
      <c r="E7261" s="922">
        <f>'BASIC DATA'!$C$577</f>
        <v>0.13614999999999999</v>
      </c>
      <c r="F7261" s="171" t="s">
        <v>1698</v>
      </c>
      <c r="G7261" s="31">
        <f>ROUND(G7260*E7261,2)</f>
        <v>2167.2800000000002</v>
      </c>
    </row>
    <row r="7262" spans="1:10">
      <c r="A7262" s="847"/>
      <c r="B7262" s="47" t="s">
        <v>1191</v>
      </c>
      <c r="C7262" s="48"/>
      <c r="D7262" s="68">
        <f>F7209</f>
        <v>225</v>
      </c>
      <c r="E7262" s="68" t="str">
        <f>G7209</f>
        <v>Nos.</v>
      </c>
      <c r="F7262" s="171" t="s">
        <v>1698</v>
      </c>
      <c r="G7262" s="211">
        <f>G7261+G7260</f>
        <v>18085.638500000001</v>
      </c>
    </row>
    <row r="7263" spans="1:10">
      <c r="A7263" s="847"/>
      <c r="B7263" s="79" t="s">
        <v>1584</v>
      </c>
      <c r="C7263" s="404" t="s">
        <v>4935</v>
      </c>
      <c r="D7263" s="26" t="s">
        <v>5894</v>
      </c>
      <c r="F7263" s="171" t="s">
        <v>4108</v>
      </c>
      <c r="G7263" s="211">
        <f>ROUND(G7262/D7262,1)</f>
        <v>80.400000000000006</v>
      </c>
    </row>
    <row r="7264" spans="1:10">
      <c r="A7264" s="847"/>
      <c r="B7264" s="78"/>
      <c r="C7264" s="48"/>
      <c r="F7264" s="171"/>
      <c r="G7264" s="68"/>
      <c r="I7264" s="61"/>
    </row>
    <row r="7265" spans="1:11">
      <c r="A7265" s="847"/>
      <c r="B7265" s="78"/>
      <c r="C7265" s="48"/>
      <c r="F7265" s="171"/>
      <c r="G7265" s="68"/>
      <c r="I7265" s="61"/>
    </row>
    <row r="7266" spans="1:11" ht="36">
      <c r="A7266" s="841" t="s">
        <v>7509</v>
      </c>
      <c r="B7266" s="47" t="s">
        <v>8854</v>
      </c>
      <c r="C7266" s="48"/>
      <c r="K7266" s="61"/>
    </row>
    <row r="7267" spans="1:11">
      <c r="A7267" s="847"/>
      <c r="B7267" s="47" t="s">
        <v>8855</v>
      </c>
      <c r="C7267" s="48"/>
      <c r="K7267" s="61"/>
    </row>
    <row r="7268" spans="1:11">
      <c r="A7268" s="847"/>
      <c r="B7268" s="47" t="s">
        <v>2401</v>
      </c>
      <c r="C7268" s="48"/>
      <c r="K7268" s="61"/>
    </row>
    <row r="7269" spans="1:11" ht="18.75">
      <c r="A7269" s="847"/>
      <c r="B7269" s="47" t="s">
        <v>8843</v>
      </c>
      <c r="C7269" s="48"/>
      <c r="F7269" s="78"/>
      <c r="K7269" s="61"/>
    </row>
    <row r="7270" spans="1:11">
      <c r="A7270" s="847"/>
      <c r="B7270" s="162" t="s">
        <v>7679</v>
      </c>
      <c r="C7270" s="48"/>
    </row>
    <row r="7271" spans="1:11">
      <c r="A7271" s="847"/>
      <c r="B7271" s="162" t="s">
        <v>457</v>
      </c>
      <c r="C7271" s="48"/>
    </row>
    <row r="7272" spans="1:11">
      <c r="B7272" s="78"/>
      <c r="C7272" s="48"/>
      <c r="K7272" s="61"/>
    </row>
    <row r="7273" spans="1:11" hidden="1">
      <c r="A7273" s="889" t="s">
        <v>3984</v>
      </c>
      <c r="B7273" s="47" t="s">
        <v>4239</v>
      </c>
      <c r="D7273" s="26" t="s">
        <v>4240</v>
      </c>
      <c r="K7273" s="61"/>
    </row>
    <row r="7274" spans="1:11" hidden="1">
      <c r="A7274" s="847"/>
      <c r="B7274" s="47" t="s">
        <v>7682</v>
      </c>
      <c r="D7274" s="26" t="s">
        <v>84</v>
      </c>
      <c r="E7274" s="26">
        <f>300*0.4%</f>
        <v>1.2</v>
      </c>
      <c r="F7274" s="26" t="s">
        <v>3033</v>
      </c>
      <c r="K7274" s="61"/>
    </row>
    <row r="7275" spans="1:11" hidden="1">
      <c r="A7275" s="847"/>
      <c r="B7275" s="47" t="s">
        <v>1059</v>
      </c>
      <c r="G7275" s="26">
        <v>4.7999999999999996E-3</v>
      </c>
      <c r="H7275" s="26" t="s">
        <v>6901</v>
      </c>
      <c r="K7275" s="61"/>
    </row>
    <row r="7276" spans="1:11" hidden="1">
      <c r="A7276" s="847"/>
      <c r="B7276" s="47" t="s">
        <v>4448</v>
      </c>
      <c r="G7276" s="26">
        <v>208</v>
      </c>
      <c r="H7276" s="26" t="s">
        <v>3032</v>
      </c>
      <c r="K7276" s="61"/>
    </row>
    <row r="7277" spans="1:11" hidden="1">
      <c r="A7277" s="847"/>
      <c r="B7277" s="47" t="s">
        <v>784</v>
      </c>
      <c r="K7277" s="61"/>
    </row>
    <row r="7278" spans="1:11" hidden="1">
      <c r="A7278" s="847"/>
      <c r="B7278" s="47" t="s">
        <v>785</v>
      </c>
      <c r="F7278" s="26" t="s">
        <v>1602</v>
      </c>
      <c r="G7278" s="26">
        <v>250</v>
      </c>
      <c r="H7278" s="26" t="s">
        <v>1552</v>
      </c>
      <c r="K7278" s="61"/>
    </row>
    <row r="7279" spans="1:11" hidden="1">
      <c r="A7279" s="847"/>
      <c r="B7279" s="47" t="s">
        <v>786</v>
      </c>
      <c r="K7279" s="61"/>
    </row>
    <row r="7280" spans="1:11" hidden="1">
      <c r="A7280" s="847"/>
      <c r="B7280" s="47" t="s">
        <v>6704</v>
      </c>
      <c r="K7280" s="61"/>
    </row>
    <row r="7281" spans="1:11" hidden="1">
      <c r="A7281" s="847"/>
      <c r="B7281" s="47" t="s">
        <v>69</v>
      </c>
      <c r="E7281" s="26" t="s">
        <v>1060</v>
      </c>
      <c r="G7281" s="26">
        <v>90</v>
      </c>
      <c r="H7281" s="26" t="s">
        <v>515</v>
      </c>
      <c r="K7281" s="61"/>
    </row>
    <row r="7282" spans="1:11" hidden="1">
      <c r="A7282" s="847"/>
      <c r="E7282" s="26" t="s">
        <v>1061</v>
      </c>
      <c r="G7282" s="26">
        <v>10</v>
      </c>
      <c r="H7282" s="26" t="s">
        <v>515</v>
      </c>
      <c r="K7282" s="61"/>
    </row>
    <row r="7283" spans="1:11" hidden="1">
      <c r="A7283" s="847"/>
      <c r="B7283" s="47" t="s">
        <v>5189</v>
      </c>
      <c r="G7283" s="68">
        <v>1.08</v>
      </c>
      <c r="H7283" s="26" t="s">
        <v>6901</v>
      </c>
      <c r="K7283" s="61"/>
    </row>
    <row r="7284" spans="1:11" hidden="1">
      <c r="A7284" s="847"/>
      <c r="B7284" s="47" t="s">
        <v>6705</v>
      </c>
    </row>
    <row r="7285" spans="1:11" hidden="1">
      <c r="A7285" s="847"/>
      <c r="B7285" s="47" t="s">
        <v>3174</v>
      </c>
    </row>
    <row r="7286" spans="1:11" hidden="1">
      <c r="A7286" s="847"/>
      <c r="B7286" s="47" t="s">
        <v>3175</v>
      </c>
    </row>
    <row r="7287" spans="1:11" hidden="1">
      <c r="A7287" s="847"/>
      <c r="B7287" s="47" t="s">
        <v>6706</v>
      </c>
    </row>
    <row r="7288" spans="1:11" hidden="1">
      <c r="A7288" s="847"/>
      <c r="B7288" s="47" t="s">
        <v>1480</v>
      </c>
      <c r="E7288" s="171" t="s">
        <v>1602</v>
      </c>
      <c r="G7288" s="68">
        <v>3</v>
      </c>
      <c r="H7288" s="26" t="s">
        <v>3033</v>
      </c>
    </row>
    <row r="7289" spans="1:11" hidden="1">
      <c r="A7289" s="847"/>
      <c r="B7289" s="47" t="s">
        <v>1481</v>
      </c>
      <c r="D7289" s="68">
        <f>'BASIC DATA'!$D$97/1000</f>
        <v>37.5</v>
      </c>
      <c r="E7289" s="26" t="s">
        <v>1513</v>
      </c>
      <c r="F7289" s="78" t="s">
        <v>1698</v>
      </c>
      <c r="G7289" s="68">
        <f>G7288*D7289</f>
        <v>112.5</v>
      </c>
    </row>
    <row r="7290" spans="1:11" hidden="1">
      <c r="A7290" s="847"/>
      <c r="B7290" s="47" t="s">
        <v>411</v>
      </c>
      <c r="D7290" s="68">
        <f>'BASIC DATA'!$D$358</f>
        <v>24</v>
      </c>
      <c r="E7290" s="26" t="s">
        <v>5219</v>
      </c>
      <c r="F7290" s="78" t="s">
        <v>1698</v>
      </c>
      <c r="G7290" s="173">
        <f>G7288*D7290</f>
        <v>72</v>
      </c>
    </row>
    <row r="7291" spans="1:11" hidden="1">
      <c r="A7291" s="847"/>
      <c r="E7291" s="171" t="s">
        <v>1518</v>
      </c>
      <c r="F7291" s="78" t="s">
        <v>1698</v>
      </c>
      <c r="G7291" s="68">
        <f>SUM(G7289:G7290)</f>
        <v>184.5</v>
      </c>
    </row>
    <row r="7292" spans="1:11" hidden="1">
      <c r="A7292" s="847"/>
      <c r="B7292" s="47" t="s">
        <v>2496</v>
      </c>
      <c r="E7292" s="201">
        <v>0.15</v>
      </c>
      <c r="F7292" s="78" t="s">
        <v>1698</v>
      </c>
      <c r="G7292" s="173">
        <f>G7291*E7292</f>
        <v>27.675000000000001</v>
      </c>
    </row>
    <row r="7293" spans="1:11" hidden="1">
      <c r="A7293" s="847"/>
      <c r="E7293" s="171" t="s">
        <v>1518</v>
      </c>
      <c r="F7293" s="78" t="s">
        <v>1698</v>
      </c>
      <c r="G7293" s="68">
        <f>G7291-G7292</f>
        <v>156.82499999999999</v>
      </c>
    </row>
    <row r="7294" spans="1:11" hidden="1">
      <c r="A7294" s="847"/>
      <c r="B7294" s="47" t="s">
        <v>4617</v>
      </c>
      <c r="D7294" s="26">
        <v>500</v>
      </c>
      <c r="E7294" s="26" t="s">
        <v>4614</v>
      </c>
      <c r="F7294" s="78" t="s">
        <v>1698</v>
      </c>
      <c r="G7294" s="68">
        <f>G7293/D7294</f>
        <v>0.31364999999999998</v>
      </c>
    </row>
    <row r="7295" spans="1:11" hidden="1">
      <c r="A7295" s="847"/>
      <c r="B7295" s="47" t="s">
        <v>4503</v>
      </c>
      <c r="D7295" s="201">
        <v>0.15</v>
      </c>
      <c r="F7295" s="78" t="s">
        <v>1698</v>
      </c>
      <c r="G7295" s="68">
        <f>G7294*D7295</f>
        <v>4.7047499999999999E-2</v>
      </c>
    </row>
    <row r="7296" spans="1:11" hidden="1">
      <c r="A7296" s="847"/>
      <c r="B7296" s="47" t="s">
        <v>5024</v>
      </c>
      <c r="D7296" s="68">
        <f>'BASIC DATA'!$D$357</f>
        <v>50</v>
      </c>
      <c r="E7296" s="26" t="s">
        <v>5025</v>
      </c>
      <c r="F7296" s="78" t="s">
        <v>1698</v>
      </c>
      <c r="G7296" s="173">
        <f>D7296*0.04</f>
        <v>2</v>
      </c>
    </row>
    <row r="7297" spans="1:11" hidden="1">
      <c r="A7297" s="847"/>
      <c r="B7297" s="78"/>
      <c r="C7297" s="48"/>
      <c r="D7297" s="26" t="s">
        <v>3439</v>
      </c>
      <c r="F7297" s="78" t="s">
        <v>1698</v>
      </c>
      <c r="G7297" s="68">
        <f>SUM(G7294:G7296)</f>
        <v>2.3606975000000001</v>
      </c>
    </row>
    <row r="7298" spans="1:11">
      <c r="A7298" s="847"/>
      <c r="B7298" s="78"/>
      <c r="C7298" s="48"/>
      <c r="I7298" s="61"/>
    </row>
    <row r="7299" spans="1:11">
      <c r="A7299" s="889" t="s">
        <v>3984</v>
      </c>
      <c r="B7299" s="78"/>
      <c r="C7299" s="349" t="s">
        <v>2367</v>
      </c>
      <c r="E7299" s="171" t="s">
        <v>297</v>
      </c>
      <c r="F7299" s="409">
        <v>225</v>
      </c>
      <c r="G7299" s="26" t="s">
        <v>4041</v>
      </c>
      <c r="I7299" s="61"/>
    </row>
    <row r="7300" spans="1:11">
      <c r="A7300" s="847"/>
      <c r="B7300" s="79" t="s">
        <v>2368</v>
      </c>
      <c r="C7300" s="48"/>
      <c r="I7300" s="61"/>
      <c r="K7300" s="61"/>
    </row>
    <row r="7301" spans="1:11">
      <c r="A7301" s="847"/>
      <c r="B7301" s="95" t="s">
        <v>2369</v>
      </c>
      <c r="C7301" s="350" t="s">
        <v>6374</v>
      </c>
      <c r="D7301" s="95" t="s">
        <v>2370</v>
      </c>
      <c r="E7301" s="95" t="s">
        <v>1166</v>
      </c>
      <c r="F7301" s="95" t="s">
        <v>2371</v>
      </c>
      <c r="G7301" s="95" t="s">
        <v>2372</v>
      </c>
      <c r="K7301" s="61"/>
    </row>
    <row r="7302" spans="1:11">
      <c r="A7302" s="847"/>
      <c r="B7302" s="114"/>
      <c r="C7302" s="351"/>
      <c r="D7302" s="114"/>
      <c r="E7302" s="114"/>
      <c r="F7302" s="114" t="s">
        <v>3485</v>
      </c>
      <c r="G7302" s="114" t="s">
        <v>3485</v>
      </c>
      <c r="K7302" s="61"/>
    </row>
    <row r="7303" spans="1:11">
      <c r="A7303" s="847"/>
      <c r="B7303" s="95">
        <v>1</v>
      </c>
      <c r="C7303" s="86" t="s">
        <v>1048</v>
      </c>
      <c r="D7303" s="451" t="s">
        <v>3478</v>
      </c>
      <c r="E7303" s="220">
        <f>300*G7283</f>
        <v>324</v>
      </c>
      <c r="F7303" s="68">
        <f>'BASIC DATA'!$D$32/1000</f>
        <v>5.35</v>
      </c>
      <c r="G7303" s="449">
        <f t="shared" ref="G7303:G7308" si="105">E7303*F7303</f>
        <v>1733.3999999999999</v>
      </c>
      <c r="K7303" s="61"/>
    </row>
    <row r="7304" spans="1:11" ht="36">
      <c r="A7304" s="847"/>
      <c r="B7304" s="152"/>
      <c r="C7304" s="86" t="s">
        <v>4000</v>
      </c>
      <c r="D7304" s="319" t="s">
        <v>3478</v>
      </c>
      <c r="E7304" s="220">
        <f>0.5*F7299</f>
        <v>112.5</v>
      </c>
      <c r="F7304" s="68">
        <f>'BASIC DATA'!$D$32/1000</f>
        <v>5.35</v>
      </c>
      <c r="G7304" s="449">
        <f t="shared" si="105"/>
        <v>601.875</v>
      </c>
      <c r="K7304" s="61"/>
    </row>
    <row r="7305" spans="1:11">
      <c r="A7305" s="847"/>
      <c r="B7305" s="240">
        <v>2</v>
      </c>
      <c r="C7305" s="392" t="s">
        <v>1050</v>
      </c>
      <c r="D7305" s="452" t="s">
        <v>3477</v>
      </c>
      <c r="E7305" s="256">
        <f>0.68*G7283</f>
        <v>0.73440000000000005</v>
      </c>
      <c r="F7305" s="190">
        <f>'BASIC DATA'!$D$34</f>
        <v>900</v>
      </c>
      <c r="G7305" s="449">
        <f t="shared" si="105"/>
        <v>660.96</v>
      </c>
      <c r="H7305" s="61"/>
      <c r="K7305" s="61"/>
    </row>
    <row r="7306" spans="1:11">
      <c r="A7306" s="848"/>
      <c r="B7306" s="240">
        <v>3</v>
      </c>
      <c r="C7306" s="392" t="s">
        <v>7935</v>
      </c>
      <c r="D7306" s="452" t="s">
        <v>3477</v>
      </c>
      <c r="E7306" s="256">
        <f>0.43*G7283</f>
        <v>0.46440000000000003</v>
      </c>
      <c r="F7306" s="266">
        <f>'BASIC DATA'!$D$55</f>
        <v>95</v>
      </c>
      <c r="G7306" s="450">
        <f t="shared" si="105"/>
        <v>44.118000000000002</v>
      </c>
      <c r="H7306" s="61"/>
      <c r="I7306" s="61"/>
      <c r="J7306" s="61"/>
      <c r="K7306" s="61"/>
    </row>
    <row r="7307" spans="1:11">
      <c r="A7307" s="847"/>
      <c r="B7307" s="105">
        <v>4</v>
      </c>
      <c r="C7307" s="86" t="s">
        <v>523</v>
      </c>
      <c r="D7307" s="319" t="s">
        <v>3478</v>
      </c>
      <c r="E7307" s="220">
        <f>E7303*0.4%</f>
        <v>1.296</v>
      </c>
      <c r="F7307" s="266">
        <f>'BASIC DATA'!$D$99</f>
        <v>55</v>
      </c>
      <c r="G7307" s="449">
        <f t="shared" si="105"/>
        <v>71.28</v>
      </c>
      <c r="I7307" s="61"/>
      <c r="K7307" s="61"/>
    </row>
    <row r="7308" spans="1:11">
      <c r="A7308" s="847"/>
      <c r="B7308" s="114">
        <v>5</v>
      </c>
      <c r="C7308" s="86" t="s">
        <v>5026</v>
      </c>
      <c r="D7308" s="467" t="s">
        <v>4089</v>
      </c>
      <c r="E7308" s="220">
        <v>225</v>
      </c>
      <c r="F7308" s="214">
        <f>G7297</f>
        <v>2.3606975000000001</v>
      </c>
      <c r="G7308" s="449">
        <f t="shared" si="105"/>
        <v>531.15693750000003</v>
      </c>
      <c r="I7308" s="61"/>
      <c r="K7308" s="61"/>
    </row>
    <row r="7309" spans="1:11">
      <c r="A7309" s="847"/>
      <c r="B7309" s="92"/>
      <c r="C7309" s="353" t="s">
        <v>2376</v>
      </c>
      <c r="D7309" s="159"/>
      <c r="E7309" s="238"/>
      <c r="F7309" s="236" t="s">
        <v>1698</v>
      </c>
      <c r="G7309" s="318">
        <f>SUM(G7303:G7308)</f>
        <v>3642.7899374999997</v>
      </c>
      <c r="K7309" s="61"/>
    </row>
    <row r="7310" spans="1:11">
      <c r="A7310" s="847"/>
      <c r="B7310" s="78"/>
      <c r="C7310" s="48"/>
      <c r="K7310" s="61"/>
    </row>
    <row r="7311" spans="1:11">
      <c r="A7311" s="847"/>
      <c r="B7311" s="79" t="s">
        <v>2377</v>
      </c>
      <c r="C7311" s="48"/>
      <c r="K7311" s="61"/>
    </row>
    <row r="7312" spans="1:11">
      <c r="A7312" s="847"/>
      <c r="B7312" s="95" t="s">
        <v>2369</v>
      </c>
      <c r="C7312" s="350" t="s">
        <v>2378</v>
      </c>
      <c r="D7312" s="95" t="s">
        <v>2370</v>
      </c>
      <c r="E7312" s="95" t="s">
        <v>1166</v>
      </c>
      <c r="F7312" s="95" t="s">
        <v>2371</v>
      </c>
      <c r="G7312" s="95" t="s">
        <v>2372</v>
      </c>
      <c r="K7312" s="61"/>
    </row>
    <row r="7313" spans="1:11">
      <c r="A7313" s="847"/>
      <c r="B7313" s="114"/>
      <c r="C7313" s="351"/>
      <c r="D7313" s="114"/>
      <c r="E7313" s="114"/>
      <c r="F7313" s="114" t="s">
        <v>3485</v>
      </c>
      <c r="G7313" s="114" t="s">
        <v>3485</v>
      </c>
      <c r="K7313" s="61"/>
    </row>
    <row r="7314" spans="1:11">
      <c r="A7314" s="847"/>
      <c r="B7314" s="95">
        <v>1</v>
      </c>
      <c r="C7314" s="86" t="s">
        <v>5027</v>
      </c>
      <c r="D7314" s="95" t="s">
        <v>2374</v>
      </c>
      <c r="E7314" s="220">
        <v>8</v>
      </c>
      <c r="F7314" s="214">
        <f>'HIRE CHARGES'!$D$506</f>
        <v>5.5</v>
      </c>
      <c r="G7314" s="449">
        <f t="shared" ref="G7314:G7319" si="106">E7314*F7314</f>
        <v>44</v>
      </c>
      <c r="K7314" s="61"/>
    </row>
    <row r="7315" spans="1:11">
      <c r="A7315" s="847"/>
      <c r="B7315" s="152"/>
      <c r="C7315" s="86" t="s">
        <v>2379</v>
      </c>
      <c r="D7315" s="105" t="s">
        <v>2374</v>
      </c>
      <c r="E7315" s="220">
        <v>8</v>
      </c>
      <c r="F7315" s="214">
        <f>'HIRE CHARGES'!$E$506</f>
        <v>0</v>
      </c>
      <c r="G7315" s="449">
        <f t="shared" si="106"/>
        <v>0</v>
      </c>
      <c r="K7315" s="61"/>
    </row>
    <row r="7316" spans="1:11">
      <c r="A7316" s="847"/>
      <c r="B7316" s="105">
        <v>2</v>
      </c>
      <c r="C7316" s="86" t="s">
        <v>189</v>
      </c>
      <c r="D7316" s="105" t="s">
        <v>2374</v>
      </c>
      <c r="E7316" s="220">
        <v>0.1</v>
      </c>
      <c r="F7316" s="214">
        <f>'HIRE CHARGES'!$D$517</f>
        <v>10.199999999999999</v>
      </c>
      <c r="G7316" s="449">
        <f t="shared" si="106"/>
        <v>1.02</v>
      </c>
      <c r="K7316" s="61"/>
    </row>
    <row r="7317" spans="1:11">
      <c r="A7317" s="847"/>
      <c r="B7317" s="152"/>
      <c r="C7317" s="86" t="s">
        <v>2379</v>
      </c>
      <c r="D7317" s="105" t="s">
        <v>2374</v>
      </c>
      <c r="E7317" s="220">
        <v>0.1</v>
      </c>
      <c r="F7317" s="214">
        <f>'HIRE CHARGES'!$E$517</f>
        <v>79.3</v>
      </c>
      <c r="G7317" s="449">
        <f t="shared" si="106"/>
        <v>7.93</v>
      </c>
      <c r="K7317" s="61"/>
    </row>
    <row r="7318" spans="1:11">
      <c r="A7318" s="847"/>
      <c r="B7318" s="105">
        <v>3</v>
      </c>
      <c r="C7318" s="86" t="s">
        <v>6286</v>
      </c>
      <c r="D7318" s="105" t="s">
        <v>2374</v>
      </c>
      <c r="E7318" s="220">
        <v>0.2</v>
      </c>
      <c r="F7318" s="214">
        <f>'HIRE CHARGES'!$D$555</f>
        <v>402.5</v>
      </c>
      <c r="G7318" s="449">
        <f t="shared" si="106"/>
        <v>80.5</v>
      </c>
      <c r="K7318" s="61"/>
    </row>
    <row r="7319" spans="1:11">
      <c r="A7319" s="847"/>
      <c r="B7319" s="152"/>
      <c r="C7319" s="86" t="s">
        <v>2379</v>
      </c>
      <c r="D7319" s="105" t="s">
        <v>2374</v>
      </c>
      <c r="E7319" s="220">
        <v>0.2</v>
      </c>
      <c r="F7319" s="214">
        <f>'HIRE CHARGES'!$E$555</f>
        <v>299.89999999999998</v>
      </c>
      <c r="G7319" s="449">
        <f t="shared" si="106"/>
        <v>59.98</v>
      </c>
      <c r="I7319" s="60"/>
      <c r="K7319" s="61"/>
    </row>
    <row r="7320" spans="1:11">
      <c r="A7320" s="847"/>
      <c r="B7320" s="92"/>
      <c r="C7320" s="353" t="s">
        <v>2380</v>
      </c>
      <c r="D7320" s="159"/>
      <c r="E7320" s="238"/>
      <c r="F7320" s="236" t="s">
        <v>1698</v>
      </c>
      <c r="G7320" s="67">
        <f>SUM(G7314:G7319)</f>
        <v>193.42999999999998</v>
      </c>
      <c r="K7320" s="61"/>
    </row>
    <row r="7321" spans="1:11" ht="36">
      <c r="A7321" s="847"/>
      <c r="B7321" s="263"/>
      <c r="C7321" s="416" t="s">
        <v>5682</v>
      </c>
      <c r="D7321" s="241"/>
      <c r="E7321" s="468">
        <f>'BASIC DATA'!$C$583</f>
        <v>0.9</v>
      </c>
      <c r="F7321" s="390" t="s">
        <v>1698</v>
      </c>
      <c r="G7321" s="391">
        <f>E7321*G7320</f>
        <v>174.08699999999999</v>
      </c>
      <c r="H7321" s="61"/>
      <c r="K7321" s="61"/>
    </row>
    <row r="7322" spans="1:11">
      <c r="A7322" s="847"/>
      <c r="B7322" s="62"/>
      <c r="C7322" s="49"/>
      <c r="D7322" s="61"/>
      <c r="E7322" s="61"/>
      <c r="F7322" s="61"/>
      <c r="G7322" s="61"/>
      <c r="H7322" s="61"/>
      <c r="K7322" s="61"/>
    </row>
    <row r="7323" spans="1:11">
      <c r="A7323" s="847"/>
      <c r="B7323" s="79" t="s">
        <v>2381</v>
      </c>
      <c r="C7323" s="48"/>
      <c r="K7323" s="61"/>
    </row>
    <row r="7324" spans="1:11">
      <c r="A7324" s="847"/>
      <c r="B7324" s="95" t="s">
        <v>2369</v>
      </c>
      <c r="C7324" s="350" t="s">
        <v>2378</v>
      </c>
      <c r="D7324" s="95" t="s">
        <v>2370</v>
      </c>
      <c r="E7324" s="95" t="s">
        <v>1166</v>
      </c>
      <c r="F7324" s="95" t="s">
        <v>2371</v>
      </c>
      <c r="G7324" s="95" t="s">
        <v>2372</v>
      </c>
      <c r="K7324" s="61"/>
    </row>
    <row r="7325" spans="1:11">
      <c r="A7325" s="847"/>
      <c r="B7325" s="114"/>
      <c r="C7325" s="351"/>
      <c r="D7325" s="105"/>
      <c r="E7325" s="114"/>
      <c r="F7325" s="114" t="s">
        <v>3485</v>
      </c>
      <c r="G7325" s="114" t="s">
        <v>3485</v>
      </c>
      <c r="K7325" s="61"/>
    </row>
    <row r="7326" spans="1:11">
      <c r="A7326" s="847"/>
      <c r="B7326" s="105">
        <v>1</v>
      </c>
      <c r="C7326" s="86" t="s">
        <v>999</v>
      </c>
      <c r="D7326" s="95" t="s">
        <v>2374</v>
      </c>
      <c r="E7326" s="207">
        <v>0.1</v>
      </c>
      <c r="F7326" s="214">
        <f>'HIRE CHARGES'!$F$517</f>
        <v>111.1</v>
      </c>
      <c r="G7326" s="449">
        <f>E7326*F7326</f>
        <v>11.11</v>
      </c>
      <c r="K7326" s="61"/>
    </row>
    <row r="7327" spans="1:11">
      <c r="A7327" s="847"/>
      <c r="B7327" s="105">
        <v>2</v>
      </c>
      <c r="C7327" s="86" t="s">
        <v>1000</v>
      </c>
      <c r="D7327" s="105" t="s">
        <v>2374</v>
      </c>
      <c r="E7327" s="207">
        <v>0.2</v>
      </c>
      <c r="F7327" s="190">
        <f>'HIRE CHARGES'!$F$555</f>
        <v>177.5</v>
      </c>
      <c r="G7327" s="449">
        <f>E7327*F7327</f>
        <v>35.5</v>
      </c>
      <c r="K7327" s="61"/>
    </row>
    <row r="7328" spans="1:11">
      <c r="A7328" s="847"/>
      <c r="B7328" s="105">
        <v>3</v>
      </c>
      <c r="C7328" s="86" t="s">
        <v>440</v>
      </c>
      <c r="D7328" s="105" t="s">
        <v>1172</v>
      </c>
      <c r="E7328" s="207">
        <v>2</v>
      </c>
      <c r="F7328" s="190">
        <f>'BASIC DATA'!$C$474</f>
        <v>445</v>
      </c>
      <c r="G7328" s="449">
        <f>E7328*F7328</f>
        <v>890</v>
      </c>
      <c r="K7328" s="61"/>
    </row>
    <row r="7329" spans="1:11">
      <c r="A7329" s="847"/>
      <c r="B7329" s="105">
        <v>4</v>
      </c>
      <c r="C7329" s="86" t="s">
        <v>4206</v>
      </c>
      <c r="D7329" s="105" t="s">
        <v>1172</v>
      </c>
      <c r="E7329" s="207">
        <v>1</v>
      </c>
      <c r="F7329" s="190">
        <f>'BASIC DATA'!$C$473</f>
        <v>450</v>
      </c>
      <c r="G7329" s="449">
        <f>E7329*F7329</f>
        <v>450</v>
      </c>
      <c r="K7329" s="61"/>
    </row>
    <row r="7330" spans="1:11">
      <c r="A7330" s="847"/>
      <c r="B7330" s="105">
        <v>5</v>
      </c>
      <c r="C7330" s="86" t="s">
        <v>2697</v>
      </c>
      <c r="D7330" s="105"/>
      <c r="E7330" s="207"/>
      <c r="F7330" s="190"/>
      <c r="G7330" s="190"/>
      <c r="K7330" s="61"/>
    </row>
    <row r="7331" spans="1:11">
      <c r="A7331" s="847"/>
      <c r="B7331" s="152"/>
      <c r="C7331" s="86" t="s">
        <v>5028</v>
      </c>
      <c r="D7331" s="105" t="s">
        <v>1172</v>
      </c>
      <c r="E7331" s="207">
        <v>2</v>
      </c>
      <c r="F7331" s="190">
        <f>'BASIC DATA'!$C$552</f>
        <v>350</v>
      </c>
      <c r="G7331" s="449">
        <f>E7331*F7331</f>
        <v>700</v>
      </c>
      <c r="K7331" s="61"/>
    </row>
    <row r="7332" spans="1:11">
      <c r="A7332" s="847"/>
      <c r="B7332" s="152"/>
      <c r="C7332" s="86" t="s">
        <v>5029</v>
      </c>
      <c r="D7332" s="105" t="s">
        <v>1172</v>
      </c>
      <c r="E7332" s="207">
        <v>2</v>
      </c>
      <c r="F7332" s="190">
        <f>'BASIC DATA'!$C$552</f>
        <v>350</v>
      </c>
      <c r="G7332" s="449">
        <f>E7332*F7332</f>
        <v>700</v>
      </c>
      <c r="K7332" s="61"/>
    </row>
    <row r="7333" spans="1:11">
      <c r="A7333" s="847"/>
      <c r="B7333" s="152"/>
      <c r="C7333" s="86" t="s">
        <v>2752</v>
      </c>
      <c r="D7333" s="105" t="s">
        <v>1172</v>
      </c>
      <c r="E7333" s="207">
        <v>1</v>
      </c>
      <c r="F7333" s="190">
        <f>'BASIC DATA'!$C$552</f>
        <v>350</v>
      </c>
      <c r="G7333" s="449">
        <f>E7333*F7333</f>
        <v>350</v>
      </c>
      <c r="K7333" s="61"/>
    </row>
    <row r="7334" spans="1:11">
      <c r="A7334" s="847"/>
      <c r="B7334" s="152"/>
      <c r="C7334" s="86" t="s">
        <v>1184</v>
      </c>
      <c r="D7334" s="105" t="s">
        <v>1172</v>
      </c>
      <c r="E7334" s="207">
        <v>1</v>
      </c>
      <c r="F7334" s="190">
        <f>'BASIC DATA'!$C$552</f>
        <v>350</v>
      </c>
      <c r="G7334" s="449">
        <f>E7334*F7334</f>
        <v>350</v>
      </c>
      <c r="J7334" s="61"/>
      <c r="K7334" s="61"/>
    </row>
    <row r="7335" spans="1:11">
      <c r="A7335" s="847"/>
      <c r="B7335" s="152"/>
      <c r="C7335" s="86" t="s">
        <v>1185</v>
      </c>
      <c r="D7335" s="105" t="s">
        <v>1172</v>
      </c>
      <c r="E7335" s="207">
        <v>1</v>
      </c>
      <c r="F7335" s="190">
        <f>'BASIC DATA'!$C$552</f>
        <v>350</v>
      </c>
      <c r="G7335" s="449">
        <f>E7335*F7335</f>
        <v>350</v>
      </c>
      <c r="K7335" s="61"/>
    </row>
    <row r="7336" spans="1:11">
      <c r="A7336" s="847"/>
      <c r="B7336" s="92"/>
      <c r="C7336" s="353" t="s">
        <v>1174</v>
      </c>
      <c r="D7336" s="159"/>
      <c r="E7336" s="238"/>
      <c r="F7336" s="236" t="s">
        <v>1698</v>
      </c>
      <c r="G7336" s="67">
        <f>SUM(G7326:G7335)</f>
        <v>3836.61</v>
      </c>
      <c r="K7336" s="61"/>
    </row>
    <row r="7337" spans="1:11" ht="36">
      <c r="A7337" s="847"/>
      <c r="B7337" s="311"/>
      <c r="C7337" s="416" t="s">
        <v>5683</v>
      </c>
      <c r="D7337" s="388"/>
      <c r="E7337" s="469">
        <f>'BASIC DATA'!$C$584</f>
        <v>0.9</v>
      </c>
      <c r="F7337" s="390" t="s">
        <v>1698</v>
      </c>
      <c r="G7337" s="391">
        <f>E7337*G7336</f>
        <v>3452.9490000000001</v>
      </c>
      <c r="H7337" s="61"/>
      <c r="K7337" s="61"/>
    </row>
    <row r="7338" spans="1:11">
      <c r="A7338" s="847"/>
      <c r="B7338" s="359" t="s">
        <v>5948</v>
      </c>
      <c r="C7338" s="48"/>
      <c r="D7338" s="31"/>
      <c r="E7338" s="85">
        <f>ROUND(G7337/F7299,1)</f>
        <v>15.3</v>
      </c>
      <c r="H7338" s="61"/>
      <c r="K7338" s="61"/>
    </row>
    <row r="7339" spans="1:11">
      <c r="A7339" s="847"/>
      <c r="B7339" s="359" t="s">
        <v>3163</v>
      </c>
      <c r="C7339" s="48"/>
      <c r="D7339" s="922">
        <f>'BASIC DATA'!$C$577</f>
        <v>0.13614999999999999</v>
      </c>
      <c r="E7339" s="85">
        <f>ROUND(E7338*D7339,1)</f>
        <v>2.1</v>
      </c>
      <c r="H7339" s="61"/>
      <c r="K7339" s="61"/>
    </row>
    <row r="7340" spans="1:11">
      <c r="A7340" s="847"/>
      <c r="B7340" s="359" t="s">
        <v>5949</v>
      </c>
      <c r="C7340" s="48"/>
      <c r="D7340" s="31"/>
      <c r="E7340" s="199">
        <f>ROUND(E7339+E7338,1)</f>
        <v>17.399999999999999</v>
      </c>
      <c r="H7340" s="61"/>
      <c r="K7340" s="61"/>
    </row>
    <row r="7341" spans="1:11">
      <c r="A7341" s="847"/>
      <c r="C7341" s="48"/>
      <c r="K7341" s="61"/>
    </row>
    <row r="7342" spans="1:11">
      <c r="A7342" s="847"/>
      <c r="B7342" s="162" t="s">
        <v>1175</v>
      </c>
      <c r="C7342" s="48"/>
      <c r="K7342" s="61"/>
    </row>
    <row r="7343" spans="1:11">
      <c r="A7343" s="847"/>
      <c r="B7343" s="47" t="s">
        <v>1176</v>
      </c>
      <c r="C7343" s="48"/>
      <c r="F7343" s="171" t="s">
        <v>1698</v>
      </c>
      <c r="G7343" s="68">
        <f>G7309</f>
        <v>3642.7899374999997</v>
      </c>
      <c r="K7343" s="61"/>
    </row>
    <row r="7344" spans="1:11">
      <c r="A7344" s="847"/>
      <c r="B7344" s="47" t="s">
        <v>1186</v>
      </c>
      <c r="C7344" s="48"/>
      <c r="F7344" s="171" t="s">
        <v>1698</v>
      </c>
      <c r="G7344" s="68">
        <f>G7321</f>
        <v>174.08699999999999</v>
      </c>
      <c r="K7344" s="61"/>
    </row>
    <row r="7345" spans="1:11">
      <c r="A7345" s="847"/>
      <c r="B7345" s="47" t="s">
        <v>2660</v>
      </c>
      <c r="C7345" s="48"/>
      <c r="F7345" s="171" t="s">
        <v>1698</v>
      </c>
      <c r="G7345" s="75">
        <f>G7337</f>
        <v>3452.9490000000001</v>
      </c>
      <c r="K7345" s="61"/>
    </row>
    <row r="7346" spans="1:11">
      <c r="A7346" s="847"/>
      <c r="B7346" s="78"/>
      <c r="C7346" s="48"/>
      <c r="E7346" s="171" t="s">
        <v>4835</v>
      </c>
      <c r="F7346" s="171" t="s">
        <v>1173</v>
      </c>
      <c r="G7346" s="205">
        <f>SUM(G7343:G7345)</f>
        <v>7269.8259374999998</v>
      </c>
    </row>
    <row r="7347" spans="1:11" ht="38.25" customHeight="1">
      <c r="A7347" s="847"/>
      <c r="B7347" s="1207" t="s">
        <v>1379</v>
      </c>
      <c r="C7347" s="1207"/>
      <c r="D7347" s="1207"/>
      <c r="E7347" s="922">
        <f>'BASIC DATA'!$C$577</f>
        <v>0.13614999999999999</v>
      </c>
      <c r="F7347" s="171" t="s">
        <v>1698</v>
      </c>
      <c r="G7347" s="31">
        <f>ROUND(G7346*E7347,2)</f>
        <v>989.79</v>
      </c>
    </row>
    <row r="7348" spans="1:11">
      <c r="A7348" s="847"/>
      <c r="B7348" s="47" t="s">
        <v>1191</v>
      </c>
      <c r="C7348" s="48"/>
      <c r="D7348" s="68">
        <f>F7299</f>
        <v>225</v>
      </c>
      <c r="E7348" s="68" t="str">
        <f>G7299</f>
        <v>Nos.</v>
      </c>
      <c r="F7348" s="171" t="s">
        <v>1698</v>
      </c>
      <c r="G7348" s="211">
        <f>G7347+G7346</f>
        <v>8259.6159374999988</v>
      </c>
    </row>
    <row r="7349" spans="1:11">
      <c r="A7349" s="847"/>
      <c r="B7349" s="79" t="s">
        <v>1584</v>
      </c>
      <c r="C7349" s="404" t="s">
        <v>4935</v>
      </c>
      <c r="D7349" s="26" t="s">
        <v>5894</v>
      </c>
      <c r="F7349" s="171" t="s">
        <v>4108</v>
      </c>
      <c r="G7349" s="211">
        <f>ROUND(G7348/D7348,1)</f>
        <v>36.700000000000003</v>
      </c>
      <c r="K7349" s="61"/>
    </row>
    <row r="7350" spans="1:11">
      <c r="A7350" s="847"/>
      <c r="B7350" s="78"/>
      <c r="C7350" s="48"/>
      <c r="F7350" s="171"/>
      <c r="G7350" s="68"/>
      <c r="K7350" s="61"/>
    </row>
    <row r="7351" spans="1:11">
      <c r="A7351" s="847"/>
      <c r="B7351" s="78"/>
      <c r="C7351" s="48"/>
      <c r="F7351" s="171"/>
      <c r="G7351" s="68"/>
      <c r="J7351" s="61"/>
      <c r="K7351" s="61"/>
    </row>
    <row r="7352" spans="1:11" ht="36.75">
      <c r="A7352" s="841" t="s">
        <v>7510</v>
      </c>
      <c r="B7352" s="47" t="s">
        <v>8856</v>
      </c>
      <c r="C7352" s="48"/>
      <c r="J7352" s="61"/>
      <c r="K7352" s="61"/>
    </row>
    <row r="7353" spans="1:11" ht="18.75">
      <c r="A7353" s="889"/>
      <c r="B7353" s="47" t="s">
        <v>8857</v>
      </c>
      <c r="C7353" s="48"/>
      <c r="J7353" s="61"/>
      <c r="K7353" s="61"/>
    </row>
    <row r="7354" spans="1:11">
      <c r="A7354" s="895"/>
      <c r="B7354" s="47" t="s">
        <v>2401</v>
      </c>
      <c r="C7354" s="48"/>
      <c r="J7354" s="61"/>
      <c r="K7354" s="61"/>
    </row>
    <row r="7355" spans="1:11" ht="18.75">
      <c r="A7355" s="889"/>
      <c r="B7355" s="47" t="s">
        <v>8858</v>
      </c>
      <c r="C7355" s="48"/>
      <c r="F7355" s="78"/>
      <c r="J7355" s="61"/>
      <c r="K7355" s="61"/>
    </row>
    <row r="7356" spans="1:11">
      <c r="A7356" s="889"/>
      <c r="B7356" s="162" t="s">
        <v>7679</v>
      </c>
      <c r="C7356" s="48"/>
    </row>
    <row r="7357" spans="1:11">
      <c r="A7357" s="889"/>
      <c r="B7357" s="162" t="s">
        <v>1349</v>
      </c>
      <c r="C7357" s="48"/>
    </row>
    <row r="7358" spans="1:11">
      <c r="A7358" s="847"/>
      <c r="B7358" s="78"/>
      <c r="C7358" s="48"/>
      <c r="J7358" s="61"/>
      <c r="K7358" s="61"/>
    </row>
    <row r="7359" spans="1:11">
      <c r="A7359" s="847"/>
      <c r="B7359" s="78"/>
      <c r="C7359" s="48"/>
      <c r="J7359" s="61"/>
      <c r="K7359" s="61"/>
    </row>
    <row r="7360" spans="1:11" hidden="1">
      <c r="A7360" s="889" t="s">
        <v>3984</v>
      </c>
      <c r="B7360" s="47" t="s">
        <v>1482</v>
      </c>
      <c r="J7360" s="61"/>
      <c r="K7360" s="61"/>
    </row>
    <row r="7361" spans="1:11" hidden="1">
      <c r="A7361" s="847"/>
      <c r="B7361" s="47" t="s">
        <v>7683</v>
      </c>
      <c r="J7361" s="61"/>
      <c r="K7361" s="61"/>
    </row>
    <row r="7362" spans="1:11" hidden="1">
      <c r="A7362" s="847"/>
      <c r="B7362" s="47" t="s">
        <v>6045</v>
      </c>
      <c r="G7362" s="26">
        <v>1.8E-3</v>
      </c>
      <c r="H7362" s="26" t="s">
        <v>6901</v>
      </c>
      <c r="J7362" s="61"/>
      <c r="K7362" s="61"/>
    </row>
    <row r="7363" spans="1:11" hidden="1">
      <c r="A7363" s="847"/>
      <c r="B7363" s="47" t="s">
        <v>4448</v>
      </c>
      <c r="G7363" s="26">
        <v>555</v>
      </c>
      <c r="H7363" s="26" t="s">
        <v>3032</v>
      </c>
      <c r="J7363" s="61"/>
      <c r="K7363" s="61"/>
    </row>
    <row r="7364" spans="1:11" hidden="1">
      <c r="A7364" s="847"/>
      <c r="B7364" s="47" t="s">
        <v>784</v>
      </c>
      <c r="J7364" s="61"/>
      <c r="K7364" s="61"/>
    </row>
    <row r="7365" spans="1:11" hidden="1">
      <c r="A7365" s="847"/>
      <c r="B7365" s="47" t="s">
        <v>5944</v>
      </c>
      <c r="J7365" s="61"/>
      <c r="K7365" s="61"/>
    </row>
    <row r="7366" spans="1:11" hidden="1">
      <c r="A7366" s="847"/>
      <c r="B7366" s="47" t="s">
        <v>786</v>
      </c>
      <c r="J7366" s="61"/>
      <c r="K7366" s="61"/>
    </row>
    <row r="7367" spans="1:11" hidden="1">
      <c r="A7367" s="847"/>
      <c r="B7367" s="47" t="s">
        <v>6704</v>
      </c>
      <c r="J7367" s="61"/>
      <c r="K7367" s="61"/>
    </row>
    <row r="7368" spans="1:11" hidden="1">
      <c r="A7368" s="847"/>
      <c r="B7368" s="47" t="s">
        <v>69</v>
      </c>
      <c r="E7368" s="26" t="s">
        <v>1060</v>
      </c>
      <c r="G7368" s="26">
        <v>90</v>
      </c>
      <c r="H7368" s="26" t="s">
        <v>515</v>
      </c>
      <c r="J7368" s="61"/>
      <c r="K7368" s="61"/>
    </row>
    <row r="7369" spans="1:11" hidden="1">
      <c r="A7369" s="847"/>
      <c r="E7369" s="26" t="s">
        <v>1061</v>
      </c>
      <c r="G7369" s="26">
        <v>10</v>
      </c>
      <c r="H7369" s="26" t="s">
        <v>515</v>
      </c>
      <c r="J7369" s="61"/>
      <c r="K7369" s="61"/>
    </row>
    <row r="7370" spans="1:11" hidden="1">
      <c r="A7370" s="847"/>
      <c r="B7370" s="47" t="s">
        <v>319</v>
      </c>
      <c r="G7370" s="68">
        <f>G7362*25</f>
        <v>4.4999999999999998E-2</v>
      </c>
      <c r="H7370" s="26" t="s">
        <v>6901</v>
      </c>
      <c r="J7370" s="61"/>
      <c r="K7370" s="61"/>
    </row>
    <row r="7371" spans="1:11" hidden="1">
      <c r="A7371" s="847"/>
      <c r="B7371" s="47" t="s">
        <v>6705</v>
      </c>
      <c r="J7371" s="61"/>
      <c r="K7371" s="61"/>
    </row>
    <row r="7372" spans="1:11" hidden="1">
      <c r="A7372" s="847"/>
      <c r="B7372" s="47" t="s">
        <v>4881</v>
      </c>
      <c r="J7372" s="61"/>
      <c r="K7372" s="61"/>
    </row>
    <row r="7373" spans="1:11" hidden="1">
      <c r="A7373" s="847"/>
      <c r="B7373" s="47" t="s">
        <v>3175</v>
      </c>
      <c r="J7373" s="61"/>
      <c r="K7373" s="61"/>
    </row>
    <row r="7374" spans="1:11" hidden="1">
      <c r="A7374" s="847"/>
      <c r="B7374" s="47" t="s">
        <v>6706</v>
      </c>
      <c r="J7374" s="61"/>
      <c r="K7374" s="61"/>
    </row>
    <row r="7375" spans="1:11" hidden="1">
      <c r="A7375" s="847"/>
      <c r="B7375" s="47" t="s">
        <v>4882</v>
      </c>
      <c r="F7375" s="26" t="s">
        <v>1602</v>
      </c>
      <c r="G7375" s="68">
        <v>2</v>
      </c>
      <c r="H7375" s="26" t="s">
        <v>3033</v>
      </c>
      <c r="J7375" s="61"/>
      <c r="K7375" s="61"/>
    </row>
    <row r="7376" spans="1:11" hidden="1">
      <c r="A7376" s="847"/>
      <c r="B7376" s="47" t="s">
        <v>4883</v>
      </c>
      <c r="D7376" s="68">
        <f>'BASIC DATA'!$D$97/1000</f>
        <v>37.5</v>
      </c>
      <c r="E7376" s="26" t="s">
        <v>1513</v>
      </c>
      <c r="F7376" s="78" t="s">
        <v>1698</v>
      </c>
      <c r="G7376" s="68">
        <f>G7375*D7376</f>
        <v>75</v>
      </c>
      <c r="J7376" s="61"/>
      <c r="K7376" s="61"/>
    </row>
    <row r="7377" spans="1:11" hidden="1">
      <c r="A7377" s="847"/>
      <c r="B7377" s="47" t="s">
        <v>4884</v>
      </c>
      <c r="D7377" s="68">
        <f>'BASIC DATA'!$D$358</f>
        <v>24</v>
      </c>
      <c r="E7377" s="26" t="s">
        <v>5219</v>
      </c>
      <c r="F7377" s="78" t="s">
        <v>1698</v>
      </c>
      <c r="G7377" s="68">
        <f>G7375*D7377</f>
        <v>48</v>
      </c>
      <c r="J7377" s="61"/>
      <c r="K7377" s="61"/>
    </row>
    <row r="7378" spans="1:11" hidden="1">
      <c r="A7378" s="847"/>
      <c r="E7378" s="171" t="s">
        <v>1518</v>
      </c>
      <c r="F7378" s="78" t="s">
        <v>1698</v>
      </c>
      <c r="G7378" s="68">
        <f>SUM(G7376:G7377)</f>
        <v>123</v>
      </c>
      <c r="J7378" s="61"/>
      <c r="K7378" s="61"/>
    </row>
    <row r="7379" spans="1:11" hidden="1">
      <c r="A7379" s="847"/>
      <c r="B7379" s="47" t="s">
        <v>2496</v>
      </c>
      <c r="E7379" s="201">
        <v>0.15</v>
      </c>
      <c r="F7379" s="78" t="s">
        <v>1698</v>
      </c>
      <c r="G7379" s="173">
        <f>G7378*E7379</f>
        <v>18.45</v>
      </c>
      <c r="J7379" s="61"/>
      <c r="K7379" s="61"/>
    </row>
    <row r="7380" spans="1:11" hidden="1">
      <c r="A7380" s="847"/>
      <c r="E7380" s="171" t="s">
        <v>1518</v>
      </c>
      <c r="F7380" s="78" t="s">
        <v>1698</v>
      </c>
      <c r="G7380" s="68">
        <f>G7378-G7379</f>
        <v>104.55</v>
      </c>
      <c r="J7380" s="61"/>
      <c r="K7380" s="61"/>
    </row>
    <row r="7381" spans="1:11" hidden="1">
      <c r="A7381" s="847"/>
      <c r="B7381" s="47" t="s">
        <v>4617</v>
      </c>
      <c r="D7381" s="26">
        <v>500</v>
      </c>
      <c r="E7381" s="26" t="s">
        <v>4614</v>
      </c>
      <c r="F7381" s="78" t="s">
        <v>1698</v>
      </c>
      <c r="G7381" s="68">
        <f>G7380/D7381</f>
        <v>0.20910000000000001</v>
      </c>
      <c r="J7381" s="61"/>
      <c r="K7381" s="61"/>
    </row>
    <row r="7382" spans="1:11" hidden="1">
      <c r="A7382" s="847"/>
      <c r="B7382" s="47" t="s">
        <v>4503</v>
      </c>
      <c r="D7382" s="201">
        <v>0.15</v>
      </c>
      <c r="F7382" s="78" t="s">
        <v>1698</v>
      </c>
      <c r="G7382" s="68">
        <f>G7381*D7382</f>
        <v>3.1364999999999997E-2</v>
      </c>
      <c r="J7382" s="61"/>
      <c r="K7382" s="61"/>
    </row>
    <row r="7383" spans="1:11" hidden="1">
      <c r="A7383" s="847"/>
      <c r="B7383" s="47" t="s">
        <v>5220</v>
      </c>
      <c r="D7383" s="68">
        <f>'BASIC DATA'!$D$357</f>
        <v>50</v>
      </c>
      <c r="E7383" s="26" t="s">
        <v>5025</v>
      </c>
      <c r="F7383" s="78" t="s">
        <v>1698</v>
      </c>
      <c r="G7383" s="173">
        <f>D7383*0.02</f>
        <v>1</v>
      </c>
      <c r="J7383" s="61"/>
      <c r="K7383" s="61"/>
    </row>
    <row r="7384" spans="1:11" hidden="1">
      <c r="A7384" s="847"/>
      <c r="B7384" s="78"/>
      <c r="C7384" s="48"/>
      <c r="D7384" s="26" t="s">
        <v>3439</v>
      </c>
      <c r="F7384" s="78" t="s">
        <v>1698</v>
      </c>
      <c r="G7384" s="68">
        <f>SUM(G7381:G7383)</f>
        <v>1.2404649999999999</v>
      </c>
      <c r="J7384" s="61"/>
      <c r="K7384" s="61"/>
    </row>
    <row r="7385" spans="1:11">
      <c r="A7385" s="847"/>
      <c r="B7385" s="78"/>
      <c r="C7385" s="48"/>
      <c r="J7385" s="61"/>
      <c r="K7385" s="61"/>
    </row>
    <row r="7386" spans="1:11">
      <c r="A7386" s="847" t="s">
        <v>3984</v>
      </c>
      <c r="B7386" s="78"/>
      <c r="C7386" s="349" t="s">
        <v>2367</v>
      </c>
      <c r="E7386" s="171" t="s">
        <v>297</v>
      </c>
      <c r="F7386" s="409">
        <v>25</v>
      </c>
      <c r="G7386" s="26" t="s">
        <v>4041</v>
      </c>
      <c r="J7386" s="61"/>
      <c r="K7386" s="61"/>
    </row>
    <row r="7387" spans="1:11">
      <c r="A7387" s="847"/>
      <c r="B7387" s="79" t="s">
        <v>2368</v>
      </c>
      <c r="C7387" s="48"/>
      <c r="J7387" s="61"/>
      <c r="K7387" s="61"/>
    </row>
    <row r="7388" spans="1:11">
      <c r="A7388" s="847"/>
      <c r="B7388" s="95" t="s">
        <v>2369</v>
      </c>
      <c r="C7388" s="350" t="s">
        <v>6374</v>
      </c>
      <c r="D7388" s="95" t="s">
        <v>2370</v>
      </c>
      <c r="E7388" s="95" t="s">
        <v>1166</v>
      </c>
      <c r="F7388" s="95" t="s">
        <v>2371</v>
      </c>
      <c r="G7388" s="95" t="s">
        <v>2372</v>
      </c>
      <c r="J7388" s="61"/>
      <c r="K7388" s="61"/>
    </row>
    <row r="7389" spans="1:11">
      <c r="A7389" s="847"/>
      <c r="B7389" s="114"/>
      <c r="C7389" s="351"/>
      <c r="D7389" s="114"/>
      <c r="E7389" s="114"/>
      <c r="F7389" s="114" t="s">
        <v>3485</v>
      </c>
      <c r="G7389" s="114" t="s">
        <v>3485</v>
      </c>
      <c r="J7389" s="61"/>
      <c r="K7389" s="61"/>
    </row>
    <row r="7390" spans="1:11">
      <c r="A7390" s="847"/>
      <c r="B7390" s="95">
        <v>1</v>
      </c>
      <c r="C7390" s="86" t="s">
        <v>1048</v>
      </c>
      <c r="D7390" s="451" t="s">
        <v>3478</v>
      </c>
      <c r="E7390" s="220">
        <f>300*G7370</f>
        <v>13.5</v>
      </c>
      <c r="F7390" s="68">
        <f>'BASIC DATA'!$D$32/1000</f>
        <v>5.35</v>
      </c>
      <c r="G7390" s="449">
        <f t="shared" ref="G7390:G7395" si="107">E7390*F7390</f>
        <v>72.224999999999994</v>
      </c>
      <c r="J7390" s="61"/>
      <c r="K7390" s="61"/>
    </row>
    <row r="7391" spans="1:11" ht="36">
      <c r="A7391" s="847"/>
      <c r="B7391" s="152"/>
      <c r="C7391" s="86" t="s">
        <v>5221</v>
      </c>
      <c r="D7391" s="319" t="s">
        <v>3478</v>
      </c>
      <c r="E7391" s="220">
        <f>0.3*F7386</f>
        <v>7.5</v>
      </c>
      <c r="F7391" s="68">
        <f>'BASIC DATA'!$D$32/1000</f>
        <v>5.35</v>
      </c>
      <c r="G7391" s="449">
        <f t="shared" si="107"/>
        <v>40.125</v>
      </c>
      <c r="J7391" s="61"/>
      <c r="K7391" s="61"/>
    </row>
    <row r="7392" spans="1:11">
      <c r="A7392" s="847"/>
      <c r="B7392" s="240">
        <v>2</v>
      </c>
      <c r="C7392" s="392" t="s">
        <v>1050</v>
      </c>
      <c r="D7392" s="452" t="s">
        <v>3477</v>
      </c>
      <c r="E7392" s="256">
        <f>0.68*G7370</f>
        <v>3.0600000000000002E-2</v>
      </c>
      <c r="F7392" s="190">
        <f>'BASIC DATA'!$D$34</f>
        <v>900</v>
      </c>
      <c r="G7392" s="449">
        <f t="shared" si="107"/>
        <v>27.540000000000003</v>
      </c>
      <c r="H7392" s="61"/>
      <c r="J7392" s="61"/>
      <c r="K7392" s="61"/>
    </row>
    <row r="7393" spans="1:11">
      <c r="A7393" s="848"/>
      <c r="B7393" s="240">
        <v>3</v>
      </c>
      <c r="C7393" s="392" t="s">
        <v>7935</v>
      </c>
      <c r="D7393" s="452" t="s">
        <v>3477</v>
      </c>
      <c r="E7393" s="256">
        <f>0.43*G7370</f>
        <v>1.9349999999999999E-2</v>
      </c>
      <c r="F7393" s="266">
        <f>'BASIC DATA'!$D$55</f>
        <v>95</v>
      </c>
      <c r="G7393" s="450">
        <f t="shared" si="107"/>
        <v>1.8382499999999999</v>
      </c>
      <c r="H7393" s="61"/>
      <c r="I7393" s="61"/>
      <c r="J7393" s="61"/>
      <c r="K7393" s="61"/>
    </row>
    <row r="7394" spans="1:11">
      <c r="A7394" s="847"/>
      <c r="B7394" s="105">
        <v>4</v>
      </c>
      <c r="C7394" s="86" t="s">
        <v>523</v>
      </c>
      <c r="D7394" s="319" t="s">
        <v>3478</v>
      </c>
      <c r="E7394" s="220">
        <f>E7390*0.4%</f>
        <v>5.3999999999999999E-2</v>
      </c>
      <c r="F7394" s="266">
        <f>'BASIC DATA'!$D$99</f>
        <v>55</v>
      </c>
      <c r="G7394" s="449">
        <f t="shared" si="107"/>
        <v>2.9699999999999998</v>
      </c>
      <c r="J7394" s="61"/>
      <c r="K7394" s="61"/>
    </row>
    <row r="7395" spans="1:11">
      <c r="A7395" s="847"/>
      <c r="B7395" s="114">
        <v>5</v>
      </c>
      <c r="C7395" s="86" t="s">
        <v>5026</v>
      </c>
      <c r="D7395" s="467" t="s">
        <v>4089</v>
      </c>
      <c r="E7395" s="220">
        <v>25</v>
      </c>
      <c r="F7395" s="214">
        <f>G7384</f>
        <v>1.2404649999999999</v>
      </c>
      <c r="G7395" s="449">
        <f t="shared" si="107"/>
        <v>31.011624999999999</v>
      </c>
      <c r="J7395" s="61"/>
      <c r="K7395" s="61"/>
    </row>
    <row r="7396" spans="1:11">
      <c r="A7396" s="847"/>
      <c r="B7396" s="92"/>
      <c r="C7396" s="353" t="s">
        <v>2376</v>
      </c>
      <c r="D7396" s="159"/>
      <c r="E7396" s="238"/>
      <c r="F7396" s="236" t="s">
        <v>1698</v>
      </c>
      <c r="G7396" s="318">
        <f>SUM(G7390:G7395)</f>
        <v>175.70987499999998</v>
      </c>
      <c r="J7396" s="61"/>
      <c r="K7396" s="61"/>
    </row>
    <row r="7397" spans="1:11">
      <c r="A7397" s="847"/>
      <c r="B7397" s="78"/>
      <c r="C7397" s="48"/>
      <c r="J7397" s="61"/>
      <c r="K7397" s="61"/>
    </row>
    <row r="7398" spans="1:11">
      <c r="A7398" s="847"/>
      <c r="B7398" s="79" t="s">
        <v>2377</v>
      </c>
      <c r="C7398" s="48"/>
      <c r="J7398" s="61"/>
      <c r="K7398" s="61"/>
    </row>
    <row r="7399" spans="1:11">
      <c r="A7399" s="847"/>
      <c r="B7399" s="95" t="s">
        <v>2369</v>
      </c>
      <c r="C7399" s="350" t="s">
        <v>2378</v>
      </c>
      <c r="D7399" s="95" t="s">
        <v>2370</v>
      </c>
      <c r="E7399" s="95" t="s">
        <v>1166</v>
      </c>
      <c r="F7399" s="95" t="s">
        <v>2371</v>
      </c>
      <c r="G7399" s="95" t="s">
        <v>2372</v>
      </c>
      <c r="J7399" s="61"/>
      <c r="K7399" s="61"/>
    </row>
    <row r="7400" spans="1:11">
      <c r="A7400" s="847"/>
      <c r="B7400" s="114"/>
      <c r="C7400" s="351"/>
      <c r="D7400" s="114"/>
      <c r="E7400" s="114"/>
      <c r="F7400" s="114" t="s">
        <v>3485</v>
      </c>
      <c r="G7400" s="114" t="s">
        <v>3485</v>
      </c>
      <c r="J7400" s="61"/>
      <c r="K7400" s="61"/>
    </row>
    <row r="7401" spans="1:11">
      <c r="A7401" s="847"/>
      <c r="B7401" s="95">
        <v>1</v>
      </c>
      <c r="C7401" s="86" t="s">
        <v>5027</v>
      </c>
      <c r="D7401" s="95" t="s">
        <v>2374</v>
      </c>
      <c r="E7401" s="220">
        <v>8</v>
      </c>
      <c r="F7401" s="214">
        <f>'HIRE CHARGES'!$D$506</f>
        <v>5.5</v>
      </c>
      <c r="G7401" s="449">
        <f t="shared" ref="G7401:G7406" si="108">E7401*F7401</f>
        <v>44</v>
      </c>
      <c r="J7401" s="61"/>
      <c r="K7401" s="61"/>
    </row>
    <row r="7402" spans="1:11">
      <c r="A7402" s="847"/>
      <c r="B7402" s="152"/>
      <c r="C7402" s="86" t="s">
        <v>2379</v>
      </c>
      <c r="D7402" s="105" t="s">
        <v>2374</v>
      </c>
      <c r="E7402" s="220">
        <v>8</v>
      </c>
      <c r="F7402" s="214">
        <f>'HIRE CHARGES'!$E$506</f>
        <v>0</v>
      </c>
      <c r="G7402" s="449">
        <f t="shared" si="108"/>
        <v>0</v>
      </c>
      <c r="J7402" s="61"/>
      <c r="K7402" s="61"/>
    </row>
    <row r="7403" spans="1:11">
      <c r="A7403" s="847"/>
      <c r="B7403" s="105">
        <v>2</v>
      </c>
      <c r="C7403" s="86" t="s">
        <v>189</v>
      </c>
      <c r="D7403" s="105" t="s">
        <v>2374</v>
      </c>
      <c r="E7403" s="220">
        <v>0.1</v>
      </c>
      <c r="F7403" s="214">
        <f>'HIRE CHARGES'!$D$517</f>
        <v>10.199999999999999</v>
      </c>
      <c r="G7403" s="449">
        <f t="shared" si="108"/>
        <v>1.02</v>
      </c>
      <c r="J7403" s="61"/>
      <c r="K7403" s="61"/>
    </row>
    <row r="7404" spans="1:11">
      <c r="A7404" s="847"/>
      <c r="B7404" s="152"/>
      <c r="C7404" s="86" t="s">
        <v>2379</v>
      </c>
      <c r="D7404" s="105" t="s">
        <v>2374</v>
      </c>
      <c r="E7404" s="220">
        <v>0.1</v>
      </c>
      <c r="F7404" s="214">
        <f>'HIRE CHARGES'!$E$517</f>
        <v>79.3</v>
      </c>
      <c r="G7404" s="449">
        <f t="shared" si="108"/>
        <v>7.93</v>
      </c>
      <c r="J7404" s="61"/>
      <c r="K7404" s="61"/>
    </row>
    <row r="7405" spans="1:11">
      <c r="A7405" s="847"/>
      <c r="B7405" s="105">
        <v>3</v>
      </c>
      <c r="C7405" s="86" t="s">
        <v>6286</v>
      </c>
      <c r="D7405" s="105" t="s">
        <v>2374</v>
      </c>
      <c r="E7405" s="220">
        <v>0.2</v>
      </c>
      <c r="F7405" s="214">
        <f>'HIRE CHARGES'!$D$555</f>
        <v>402.5</v>
      </c>
      <c r="G7405" s="449">
        <f t="shared" si="108"/>
        <v>80.5</v>
      </c>
      <c r="J7405" s="61"/>
      <c r="K7405" s="61"/>
    </row>
    <row r="7406" spans="1:11">
      <c r="A7406" s="847"/>
      <c r="B7406" s="116"/>
      <c r="C7406" s="86" t="s">
        <v>2379</v>
      </c>
      <c r="D7406" s="114" t="s">
        <v>2374</v>
      </c>
      <c r="E7406" s="220">
        <v>0.2</v>
      </c>
      <c r="F7406" s="214">
        <f>'HIRE CHARGES'!$E$555</f>
        <v>299.89999999999998</v>
      </c>
      <c r="G7406" s="449">
        <f t="shared" si="108"/>
        <v>59.98</v>
      </c>
      <c r="J7406" s="61"/>
      <c r="K7406" s="61"/>
    </row>
    <row r="7407" spans="1:11">
      <c r="A7407" s="847"/>
      <c r="B7407" s="176"/>
      <c r="C7407" s="357" t="s">
        <v>2380</v>
      </c>
      <c r="D7407" s="174"/>
      <c r="E7407" s="192"/>
      <c r="F7407" s="236" t="s">
        <v>1698</v>
      </c>
      <c r="G7407" s="67">
        <f>SUM(G7401:G7406)</f>
        <v>193.42999999999998</v>
      </c>
      <c r="J7407" s="61"/>
      <c r="K7407" s="61"/>
    </row>
    <row r="7408" spans="1:11" ht="36">
      <c r="A7408" s="847"/>
      <c r="B7408" s="263"/>
      <c r="C7408" s="416" t="s">
        <v>4514</v>
      </c>
      <c r="D7408" s="241"/>
      <c r="E7408" s="468">
        <f>'BASIC DATA'!$C$585</f>
        <v>0.1</v>
      </c>
      <c r="F7408" s="390" t="s">
        <v>1698</v>
      </c>
      <c r="G7408" s="391">
        <f>E7408*G7407</f>
        <v>19.343</v>
      </c>
      <c r="H7408" s="61"/>
      <c r="J7408" s="61"/>
      <c r="K7408" s="61"/>
    </row>
    <row r="7409" spans="1:11">
      <c r="A7409" s="847"/>
      <c r="B7409" s="62"/>
      <c r="C7409" s="49"/>
      <c r="D7409" s="61"/>
      <c r="E7409" s="61"/>
      <c r="F7409" s="61"/>
      <c r="G7409" s="61"/>
      <c r="H7409" s="61"/>
      <c r="J7409" s="61"/>
      <c r="K7409" s="61"/>
    </row>
    <row r="7410" spans="1:11">
      <c r="A7410" s="847"/>
      <c r="B7410" s="79" t="s">
        <v>2381</v>
      </c>
      <c r="C7410" s="48"/>
      <c r="J7410" s="61"/>
      <c r="K7410" s="61"/>
    </row>
    <row r="7411" spans="1:11">
      <c r="A7411" s="847"/>
      <c r="B7411" s="95" t="s">
        <v>2369</v>
      </c>
      <c r="C7411" s="350" t="s">
        <v>2378</v>
      </c>
      <c r="D7411" s="95" t="s">
        <v>2370</v>
      </c>
      <c r="E7411" s="95" t="s">
        <v>1166</v>
      </c>
      <c r="F7411" s="95" t="s">
        <v>2371</v>
      </c>
      <c r="G7411" s="95" t="s">
        <v>2372</v>
      </c>
      <c r="J7411" s="61"/>
      <c r="K7411" s="61"/>
    </row>
    <row r="7412" spans="1:11">
      <c r="A7412" s="847"/>
      <c r="B7412" s="114"/>
      <c r="C7412" s="351"/>
      <c r="D7412" s="105"/>
      <c r="E7412" s="114"/>
      <c r="F7412" s="114" t="s">
        <v>3485</v>
      </c>
      <c r="G7412" s="114" t="s">
        <v>3485</v>
      </c>
      <c r="J7412" s="61"/>
      <c r="K7412" s="61"/>
    </row>
    <row r="7413" spans="1:11">
      <c r="A7413" s="847"/>
      <c r="B7413" s="105">
        <v>1</v>
      </c>
      <c r="C7413" s="86" t="s">
        <v>999</v>
      </c>
      <c r="D7413" s="95" t="s">
        <v>2374</v>
      </c>
      <c r="E7413" s="207">
        <v>0.1</v>
      </c>
      <c r="F7413" s="214">
        <f>'HIRE CHARGES'!$F$517</f>
        <v>111.1</v>
      </c>
      <c r="G7413" s="449">
        <f>E7413*F7413</f>
        <v>11.11</v>
      </c>
      <c r="J7413" s="61"/>
      <c r="K7413" s="61"/>
    </row>
    <row r="7414" spans="1:11">
      <c r="A7414" s="847"/>
      <c r="B7414" s="105">
        <v>2</v>
      </c>
      <c r="C7414" s="86" t="s">
        <v>1000</v>
      </c>
      <c r="D7414" s="105" t="s">
        <v>2374</v>
      </c>
      <c r="E7414" s="207">
        <v>0.2</v>
      </c>
      <c r="F7414" s="190">
        <f>'HIRE CHARGES'!$F$555</f>
        <v>177.5</v>
      </c>
      <c r="G7414" s="449">
        <f>E7414*F7414</f>
        <v>35.5</v>
      </c>
      <c r="J7414" s="61"/>
      <c r="K7414" s="61"/>
    </row>
    <row r="7415" spans="1:11">
      <c r="A7415" s="847"/>
      <c r="B7415" s="105">
        <v>3</v>
      </c>
      <c r="C7415" s="86" t="s">
        <v>440</v>
      </c>
      <c r="D7415" s="105" t="s">
        <v>1172</v>
      </c>
      <c r="E7415" s="207">
        <v>2</v>
      </c>
      <c r="F7415" s="190">
        <f>'BASIC DATA'!$C$474</f>
        <v>445</v>
      </c>
      <c r="G7415" s="449">
        <f>E7415*F7415</f>
        <v>890</v>
      </c>
      <c r="J7415" s="61"/>
      <c r="K7415" s="61"/>
    </row>
    <row r="7416" spans="1:11">
      <c r="A7416" s="847"/>
      <c r="B7416" s="105">
        <v>4</v>
      </c>
      <c r="C7416" s="86" t="s">
        <v>4206</v>
      </c>
      <c r="D7416" s="105" t="s">
        <v>1172</v>
      </c>
      <c r="E7416" s="207">
        <v>1</v>
      </c>
      <c r="F7416" s="190">
        <f>'BASIC DATA'!$C$473</f>
        <v>450</v>
      </c>
      <c r="G7416" s="449">
        <f>E7416*F7416</f>
        <v>450</v>
      </c>
      <c r="J7416" s="61"/>
      <c r="K7416" s="61"/>
    </row>
    <row r="7417" spans="1:11">
      <c r="A7417" s="847"/>
      <c r="B7417" s="105">
        <v>5</v>
      </c>
      <c r="C7417" s="86" t="s">
        <v>2697</v>
      </c>
      <c r="D7417" s="105"/>
      <c r="E7417" s="207"/>
      <c r="F7417" s="190"/>
      <c r="G7417" s="190"/>
      <c r="J7417" s="61"/>
      <c r="K7417" s="61"/>
    </row>
    <row r="7418" spans="1:11">
      <c r="A7418" s="847"/>
      <c r="B7418" s="152"/>
      <c r="C7418" s="86" t="s">
        <v>5028</v>
      </c>
      <c r="D7418" s="105" t="s">
        <v>1172</v>
      </c>
      <c r="E7418" s="207">
        <v>2</v>
      </c>
      <c r="F7418" s="190">
        <f>'BASIC DATA'!$C$552</f>
        <v>350</v>
      </c>
      <c r="G7418" s="449">
        <f>E7418*F7418</f>
        <v>700</v>
      </c>
      <c r="J7418" s="61"/>
      <c r="K7418" s="61"/>
    </row>
    <row r="7419" spans="1:11">
      <c r="A7419" s="847"/>
      <c r="B7419" s="152"/>
      <c r="C7419" s="86" t="s">
        <v>5029</v>
      </c>
      <c r="D7419" s="105" t="s">
        <v>1172</v>
      </c>
      <c r="E7419" s="207">
        <v>2</v>
      </c>
      <c r="F7419" s="190">
        <f>'BASIC DATA'!$C$552</f>
        <v>350</v>
      </c>
      <c r="G7419" s="449">
        <f>E7419*F7419</f>
        <v>700</v>
      </c>
      <c r="J7419" s="61"/>
      <c r="K7419" s="61"/>
    </row>
    <row r="7420" spans="1:11">
      <c r="A7420" s="847"/>
      <c r="B7420" s="152"/>
      <c r="C7420" s="86" t="s">
        <v>2752</v>
      </c>
      <c r="D7420" s="105" t="s">
        <v>1172</v>
      </c>
      <c r="E7420" s="207">
        <v>1</v>
      </c>
      <c r="F7420" s="190">
        <f>'BASIC DATA'!$C$552</f>
        <v>350</v>
      </c>
      <c r="G7420" s="449">
        <f>E7420*F7420</f>
        <v>350</v>
      </c>
      <c r="J7420" s="61"/>
      <c r="K7420" s="61"/>
    </row>
    <row r="7421" spans="1:11">
      <c r="A7421" s="847"/>
      <c r="B7421" s="152"/>
      <c r="C7421" s="86" t="s">
        <v>1184</v>
      </c>
      <c r="D7421" s="105" t="s">
        <v>1172</v>
      </c>
      <c r="E7421" s="207">
        <v>1</v>
      </c>
      <c r="F7421" s="190">
        <f>'BASIC DATA'!$C$552</f>
        <v>350</v>
      </c>
      <c r="G7421" s="449">
        <f>E7421*F7421</f>
        <v>350</v>
      </c>
      <c r="J7421" s="61"/>
      <c r="K7421" s="61"/>
    </row>
    <row r="7422" spans="1:11">
      <c r="A7422" s="847"/>
      <c r="B7422" s="152"/>
      <c r="C7422" s="86" t="s">
        <v>1185</v>
      </c>
      <c r="D7422" s="105" t="s">
        <v>1172</v>
      </c>
      <c r="E7422" s="207">
        <v>1</v>
      </c>
      <c r="F7422" s="190">
        <f>'BASIC DATA'!$C$552</f>
        <v>350</v>
      </c>
      <c r="G7422" s="449">
        <f>E7422*F7422</f>
        <v>350</v>
      </c>
      <c r="J7422" s="61"/>
      <c r="K7422" s="61"/>
    </row>
    <row r="7423" spans="1:11">
      <c r="A7423" s="847"/>
      <c r="B7423" s="92"/>
      <c r="C7423" s="353" t="s">
        <v>1174</v>
      </c>
      <c r="D7423" s="159"/>
      <c r="E7423" s="238"/>
      <c r="F7423" s="236" t="s">
        <v>1698</v>
      </c>
      <c r="G7423" s="67">
        <f>SUM(G7413:G7422)</f>
        <v>3836.61</v>
      </c>
      <c r="J7423" s="61"/>
      <c r="K7423" s="61"/>
    </row>
    <row r="7424" spans="1:11" ht="36">
      <c r="A7424" s="847"/>
      <c r="B7424" s="311"/>
      <c r="C7424" s="416" t="s">
        <v>5679</v>
      </c>
      <c r="D7424" s="388"/>
      <c r="E7424" s="469">
        <f>'BASIC DATA'!$C$586</f>
        <v>0.1</v>
      </c>
      <c r="F7424" s="390" t="s">
        <v>1698</v>
      </c>
      <c r="G7424" s="391">
        <f>E7424*G7423</f>
        <v>383.66100000000006</v>
      </c>
      <c r="H7424" s="61"/>
      <c r="J7424" s="61"/>
      <c r="K7424" s="61"/>
    </row>
    <row r="7425" spans="1:11">
      <c r="A7425" s="847"/>
      <c r="B7425" s="359" t="s">
        <v>5948</v>
      </c>
      <c r="C7425" s="48"/>
      <c r="D7425" s="31"/>
      <c r="E7425" s="85">
        <f>ROUND(G7424/F7386,1)</f>
        <v>15.3</v>
      </c>
      <c r="J7425" s="61"/>
      <c r="K7425" s="61"/>
    </row>
    <row r="7426" spans="1:11">
      <c r="A7426" s="847"/>
      <c r="B7426" s="359" t="s">
        <v>3163</v>
      </c>
      <c r="C7426" s="48"/>
      <c r="D7426" s="922">
        <f>'BASIC DATA'!$C$577</f>
        <v>0.13614999999999999</v>
      </c>
      <c r="E7426" s="85">
        <f>ROUND(E7425*D7426,1)</f>
        <v>2.1</v>
      </c>
      <c r="J7426" s="61"/>
      <c r="K7426" s="61"/>
    </row>
    <row r="7427" spans="1:11">
      <c r="A7427" s="847"/>
      <c r="B7427" s="359" t="s">
        <v>5949</v>
      </c>
      <c r="C7427" s="48"/>
      <c r="D7427" s="31"/>
      <c r="E7427" s="199">
        <f>ROUND(E7426+E7425,1)</f>
        <v>17.399999999999999</v>
      </c>
      <c r="J7427" s="61"/>
      <c r="K7427" s="61"/>
    </row>
    <row r="7428" spans="1:11">
      <c r="A7428" s="847"/>
      <c r="C7428" s="48"/>
      <c r="J7428" s="61"/>
      <c r="K7428" s="61"/>
    </row>
    <row r="7429" spans="1:11">
      <c r="A7429" s="847"/>
      <c r="B7429" s="162" t="s">
        <v>1175</v>
      </c>
      <c r="C7429" s="48"/>
      <c r="J7429" s="61"/>
      <c r="K7429" s="61"/>
    </row>
    <row r="7430" spans="1:11">
      <c r="A7430" s="847"/>
      <c r="B7430" s="47" t="s">
        <v>4</v>
      </c>
      <c r="C7430" s="48"/>
      <c r="F7430" s="171" t="s">
        <v>1698</v>
      </c>
      <c r="G7430" s="68">
        <f>G7396</f>
        <v>175.70987499999998</v>
      </c>
      <c r="I7430" s="61"/>
      <c r="J7430" s="61"/>
      <c r="K7430" s="61"/>
    </row>
    <row r="7431" spans="1:11">
      <c r="A7431" s="847"/>
      <c r="B7431" s="47" t="s">
        <v>1186</v>
      </c>
      <c r="C7431" s="48"/>
      <c r="F7431" s="171" t="s">
        <v>1698</v>
      </c>
      <c r="G7431" s="68">
        <f>G7408</f>
        <v>19.343</v>
      </c>
      <c r="I7431" s="61"/>
      <c r="J7431" s="61"/>
      <c r="K7431" s="61"/>
    </row>
    <row r="7432" spans="1:11">
      <c r="A7432" s="847"/>
      <c r="B7432" s="47" t="s">
        <v>2660</v>
      </c>
      <c r="C7432" s="48"/>
      <c r="F7432" s="171" t="s">
        <v>1698</v>
      </c>
      <c r="G7432" s="75">
        <f>G7424</f>
        <v>383.66100000000006</v>
      </c>
      <c r="I7432" s="61"/>
      <c r="J7432" s="61"/>
      <c r="K7432" s="61"/>
    </row>
    <row r="7433" spans="1:11">
      <c r="A7433" s="847"/>
      <c r="B7433" s="78"/>
      <c r="C7433" s="48"/>
      <c r="E7433" s="171" t="s">
        <v>4835</v>
      </c>
      <c r="F7433" s="171" t="s">
        <v>1173</v>
      </c>
      <c r="G7433" s="205">
        <f>SUM(G7430:G7432)</f>
        <v>578.71387500000003</v>
      </c>
    </row>
    <row r="7434" spans="1:11" ht="38.25" customHeight="1">
      <c r="A7434" s="847"/>
      <c r="B7434" s="1207" t="s">
        <v>1379</v>
      </c>
      <c r="C7434" s="1207"/>
      <c r="D7434" s="1207"/>
      <c r="E7434" s="922">
        <f>'BASIC DATA'!$C$577</f>
        <v>0.13614999999999999</v>
      </c>
      <c r="F7434" s="171" t="s">
        <v>1698</v>
      </c>
      <c r="G7434" s="31">
        <f>ROUND(G7433*E7434,2)</f>
        <v>78.790000000000006</v>
      </c>
    </row>
    <row r="7435" spans="1:11">
      <c r="A7435" s="847"/>
      <c r="B7435" s="47" t="s">
        <v>1191</v>
      </c>
      <c r="C7435" s="48"/>
      <c r="D7435" s="68">
        <f>F7386</f>
        <v>25</v>
      </c>
      <c r="E7435" s="68" t="str">
        <f>G7386</f>
        <v>Nos.</v>
      </c>
      <c r="F7435" s="171" t="s">
        <v>1698</v>
      </c>
      <c r="G7435" s="211">
        <f>G7434+G7433</f>
        <v>657.50387499999999</v>
      </c>
    </row>
    <row r="7436" spans="1:11">
      <c r="A7436" s="847"/>
      <c r="B7436" s="79" t="s">
        <v>1584</v>
      </c>
      <c r="C7436" s="404" t="s">
        <v>4935</v>
      </c>
      <c r="D7436" s="26" t="s">
        <v>5895</v>
      </c>
      <c r="F7436" s="171" t="s">
        <v>4108</v>
      </c>
      <c r="G7436" s="211">
        <f>ROUND(G7435/D7435,1)</f>
        <v>26.3</v>
      </c>
      <c r="I7436" s="61"/>
      <c r="J7436" s="61"/>
      <c r="K7436" s="61"/>
    </row>
    <row r="7437" spans="1:11">
      <c r="A7437" s="847"/>
      <c r="B7437" s="78"/>
      <c r="C7437" s="48"/>
      <c r="I7437" s="61"/>
      <c r="J7437" s="61"/>
      <c r="K7437" s="61"/>
    </row>
    <row r="7438" spans="1:11">
      <c r="A7438" s="847"/>
      <c r="B7438" s="78"/>
      <c r="C7438" s="48"/>
      <c r="I7438" s="61"/>
      <c r="J7438" s="61"/>
      <c r="K7438" s="61"/>
    </row>
    <row r="7439" spans="1:11" ht="36.75">
      <c r="A7439" s="841" t="s">
        <v>7511</v>
      </c>
      <c r="B7439" s="47" t="s">
        <v>8859</v>
      </c>
      <c r="C7439" s="48"/>
      <c r="I7439" s="61"/>
      <c r="J7439" s="61"/>
      <c r="K7439" s="61"/>
    </row>
    <row r="7440" spans="1:11" ht="18.75">
      <c r="A7440" s="889"/>
      <c r="B7440" s="47" t="s">
        <v>8860</v>
      </c>
      <c r="C7440" s="48"/>
      <c r="I7440" s="61"/>
      <c r="J7440" s="61"/>
      <c r="K7440" s="61"/>
    </row>
    <row r="7441" spans="1:11">
      <c r="A7441" s="895"/>
      <c r="B7441" s="47" t="s">
        <v>1615</v>
      </c>
      <c r="C7441" s="48"/>
      <c r="I7441" s="61"/>
      <c r="J7441" s="495"/>
      <c r="K7441" s="61"/>
    </row>
    <row r="7442" spans="1:11" ht="18.75">
      <c r="A7442" s="889"/>
      <c r="B7442" s="162" t="s">
        <v>8861</v>
      </c>
      <c r="C7442" s="48"/>
      <c r="F7442" s="78"/>
      <c r="I7442" s="61"/>
      <c r="J7442" s="495"/>
      <c r="K7442" s="61"/>
    </row>
    <row r="7443" spans="1:11">
      <c r="A7443" s="889"/>
      <c r="B7443" s="162" t="s">
        <v>7618</v>
      </c>
      <c r="C7443" s="48"/>
    </row>
    <row r="7444" spans="1:11">
      <c r="A7444" s="847"/>
      <c r="B7444" s="79" t="s">
        <v>7619</v>
      </c>
      <c r="C7444" s="48"/>
    </row>
    <row r="7445" spans="1:11">
      <c r="B7445" s="78"/>
      <c r="C7445" s="48"/>
      <c r="I7445" s="61"/>
      <c r="J7445" s="496"/>
      <c r="K7445" s="61"/>
    </row>
    <row r="7446" spans="1:11" hidden="1">
      <c r="A7446" s="889" t="s">
        <v>3984</v>
      </c>
      <c r="B7446" s="47" t="s">
        <v>1616</v>
      </c>
      <c r="I7446" s="61"/>
      <c r="J7446" s="496"/>
      <c r="K7446" s="61"/>
    </row>
    <row r="7447" spans="1:11" hidden="1">
      <c r="A7447" s="847"/>
      <c r="B7447" s="47" t="s">
        <v>1617</v>
      </c>
      <c r="F7447" s="78" t="s">
        <v>1697</v>
      </c>
      <c r="G7447" s="26">
        <v>30</v>
      </c>
      <c r="H7447" s="26" t="s">
        <v>4809</v>
      </c>
      <c r="I7447" s="61"/>
      <c r="J7447" s="497"/>
      <c r="K7447" s="61"/>
    </row>
    <row r="7448" spans="1:11" hidden="1">
      <c r="A7448" s="847"/>
      <c r="B7448" s="47" t="s">
        <v>1618</v>
      </c>
      <c r="F7448" s="78" t="s">
        <v>1697</v>
      </c>
      <c r="G7448" s="68">
        <v>4</v>
      </c>
      <c r="H7448" s="26" t="s">
        <v>6901</v>
      </c>
      <c r="I7448" s="61"/>
      <c r="J7448" s="496"/>
      <c r="K7448" s="61"/>
    </row>
    <row r="7449" spans="1:11" hidden="1">
      <c r="A7449" s="847"/>
      <c r="B7449" s="47" t="s">
        <v>6669</v>
      </c>
      <c r="F7449" s="78" t="s">
        <v>1697</v>
      </c>
      <c r="G7449" s="26">
        <f>1/5*4*1440</f>
        <v>1152</v>
      </c>
      <c r="H7449" s="26" t="s">
        <v>3033</v>
      </c>
      <c r="I7449" s="61"/>
      <c r="J7449" s="60"/>
      <c r="K7449" s="61"/>
    </row>
    <row r="7450" spans="1:11" hidden="1">
      <c r="A7450" s="847"/>
      <c r="B7450" s="47" t="s">
        <v>2791</v>
      </c>
      <c r="F7450" s="78" t="s">
        <v>1697</v>
      </c>
      <c r="G7450" s="68">
        <f>G7448</f>
        <v>4</v>
      </c>
      <c r="H7450" s="26" t="s">
        <v>6901</v>
      </c>
      <c r="I7450" s="61"/>
      <c r="J7450" s="60"/>
      <c r="K7450" s="61"/>
    </row>
    <row r="7451" spans="1:11" hidden="1">
      <c r="A7451" s="847"/>
      <c r="B7451" s="47" t="s">
        <v>1619</v>
      </c>
      <c r="F7451" s="78" t="s">
        <v>1697</v>
      </c>
      <c r="G7451" s="26">
        <v>9.6</v>
      </c>
      <c r="H7451" s="26" t="s">
        <v>6901</v>
      </c>
      <c r="I7451" s="61"/>
      <c r="J7451" s="495"/>
      <c r="K7451" s="61"/>
    </row>
    <row r="7452" spans="1:11" hidden="1">
      <c r="A7452" s="847"/>
      <c r="B7452" s="47" t="s">
        <v>1620</v>
      </c>
      <c r="E7452" s="26">
        <f>G7451*1/(G7447*0.01)</f>
        <v>32</v>
      </c>
      <c r="F7452" s="78" t="s">
        <v>1564</v>
      </c>
      <c r="G7452" s="68">
        <v>32</v>
      </c>
      <c r="H7452" s="26" t="s">
        <v>3436</v>
      </c>
      <c r="I7452" s="61"/>
      <c r="J7452" s="495"/>
      <c r="K7452" s="61"/>
    </row>
    <row r="7453" spans="1:11" hidden="1">
      <c r="A7453" s="847"/>
      <c r="B7453" s="47" t="s">
        <v>4074</v>
      </c>
      <c r="F7453" s="78" t="s">
        <v>1697</v>
      </c>
      <c r="G7453" s="26">
        <v>1.5</v>
      </c>
      <c r="H7453" s="26" t="s">
        <v>6901</v>
      </c>
      <c r="I7453" s="61"/>
      <c r="J7453" s="496"/>
      <c r="K7453" s="61"/>
    </row>
    <row r="7454" spans="1:11" hidden="1">
      <c r="A7454" s="847"/>
      <c r="B7454" s="47" t="s">
        <v>4075</v>
      </c>
      <c r="F7454" s="78"/>
      <c r="I7454" s="61"/>
      <c r="J7454" s="496"/>
      <c r="K7454" s="61"/>
    </row>
    <row r="7455" spans="1:11" hidden="1">
      <c r="A7455" s="847"/>
      <c r="B7455" s="47" t="s">
        <v>4255</v>
      </c>
      <c r="F7455" s="78" t="s">
        <v>1697</v>
      </c>
      <c r="G7455" s="26">
        <v>3</v>
      </c>
      <c r="H7455" s="26" t="s">
        <v>3436</v>
      </c>
      <c r="I7455" s="61"/>
      <c r="J7455" s="496"/>
      <c r="K7455" s="61"/>
    </row>
    <row r="7456" spans="1:11" hidden="1">
      <c r="A7456" s="847"/>
      <c r="B7456" s="47" t="s">
        <v>4256</v>
      </c>
      <c r="F7456" s="78" t="s">
        <v>1697</v>
      </c>
      <c r="G7456" s="26">
        <v>2</v>
      </c>
      <c r="H7456" s="26" t="s">
        <v>3436</v>
      </c>
      <c r="I7456" s="61"/>
      <c r="J7456" s="496"/>
      <c r="K7456" s="61"/>
    </row>
    <row r="7457" spans="1:11" hidden="1">
      <c r="A7457" s="847"/>
      <c r="B7457" s="47" t="s">
        <v>4702</v>
      </c>
      <c r="F7457" s="78" t="s">
        <v>1697</v>
      </c>
      <c r="G7457" s="26">
        <v>2</v>
      </c>
      <c r="H7457" s="26" t="s">
        <v>3436</v>
      </c>
      <c r="I7457" s="61"/>
      <c r="J7457" s="60"/>
      <c r="K7457" s="61"/>
    </row>
    <row r="7458" spans="1:11" hidden="1">
      <c r="A7458" s="847"/>
      <c r="B7458" s="47" t="s">
        <v>1571</v>
      </c>
      <c r="F7458" s="78" t="s">
        <v>1697</v>
      </c>
      <c r="G7458" s="26">
        <v>1</v>
      </c>
      <c r="H7458" s="26" t="s">
        <v>3035</v>
      </c>
      <c r="I7458" s="61"/>
      <c r="J7458" s="60"/>
      <c r="K7458" s="61"/>
    </row>
    <row r="7459" spans="1:11" hidden="1">
      <c r="A7459" s="847"/>
      <c r="B7459" s="47" t="s">
        <v>4703</v>
      </c>
      <c r="F7459" s="78" t="s">
        <v>1697</v>
      </c>
      <c r="G7459" s="26">
        <v>1</v>
      </c>
      <c r="H7459" s="26" t="s">
        <v>3035</v>
      </c>
      <c r="I7459" s="61"/>
      <c r="J7459" s="495"/>
      <c r="K7459" s="61"/>
    </row>
    <row r="7460" spans="1:11" hidden="1">
      <c r="A7460" s="847"/>
      <c r="B7460" s="47" t="s">
        <v>3946</v>
      </c>
      <c r="F7460" s="78" t="s">
        <v>1697</v>
      </c>
      <c r="G7460" s="26">
        <v>2</v>
      </c>
      <c r="H7460" s="26" t="s">
        <v>3436</v>
      </c>
      <c r="I7460" s="61"/>
      <c r="J7460" s="495"/>
      <c r="K7460" s="61"/>
    </row>
    <row r="7461" spans="1:11" hidden="1">
      <c r="A7461" s="847"/>
      <c r="B7461" s="47" t="s">
        <v>4704</v>
      </c>
      <c r="F7461" s="78" t="s">
        <v>1697</v>
      </c>
      <c r="G7461" s="26">
        <v>1</v>
      </c>
      <c r="H7461" s="26" t="s">
        <v>3035</v>
      </c>
      <c r="I7461" s="61"/>
      <c r="J7461" s="496"/>
      <c r="K7461" s="61"/>
    </row>
    <row r="7462" spans="1:11" hidden="1">
      <c r="A7462" s="847"/>
      <c r="B7462" s="47" t="s">
        <v>2307</v>
      </c>
      <c r="F7462" s="78" t="s">
        <v>1697</v>
      </c>
      <c r="G7462" s="26">
        <v>1</v>
      </c>
      <c r="H7462" s="26" t="s">
        <v>3035</v>
      </c>
      <c r="I7462" s="61"/>
      <c r="J7462" s="496"/>
      <c r="K7462" s="61"/>
    </row>
    <row r="7463" spans="1:11" hidden="1">
      <c r="A7463" s="847"/>
      <c r="B7463" s="47" t="s">
        <v>3945</v>
      </c>
      <c r="F7463" s="78" t="s">
        <v>1697</v>
      </c>
      <c r="G7463" s="26">
        <v>1</v>
      </c>
      <c r="H7463" s="26" t="s">
        <v>3035</v>
      </c>
      <c r="I7463" s="61"/>
      <c r="J7463" s="496"/>
      <c r="K7463" s="61"/>
    </row>
    <row r="7464" spans="1:11">
      <c r="A7464" s="847"/>
      <c r="B7464" s="78"/>
      <c r="C7464" s="48"/>
      <c r="I7464" s="61"/>
      <c r="J7464" s="61"/>
      <c r="K7464" s="61"/>
    </row>
    <row r="7465" spans="1:11">
      <c r="A7465" s="889" t="s">
        <v>3984</v>
      </c>
      <c r="B7465" s="78"/>
      <c r="C7465" s="349" t="s">
        <v>2367</v>
      </c>
      <c r="E7465" s="171" t="s">
        <v>297</v>
      </c>
      <c r="F7465" s="246">
        <v>10</v>
      </c>
      <c r="G7465" s="26" t="s">
        <v>3477</v>
      </c>
      <c r="I7465" s="61"/>
      <c r="J7465" s="61"/>
      <c r="K7465" s="61"/>
    </row>
    <row r="7466" spans="1:11">
      <c r="A7466" s="847"/>
      <c r="B7466" s="79" t="s">
        <v>2368</v>
      </c>
      <c r="C7466" s="48"/>
      <c r="I7466" s="61"/>
      <c r="J7466" s="435"/>
      <c r="K7466" s="61"/>
    </row>
    <row r="7467" spans="1:11">
      <c r="A7467" s="847"/>
      <c r="B7467" s="95" t="s">
        <v>2369</v>
      </c>
      <c r="C7467" s="350" t="s">
        <v>6374</v>
      </c>
      <c r="D7467" s="95" t="s">
        <v>2370</v>
      </c>
      <c r="E7467" s="95" t="s">
        <v>1166</v>
      </c>
      <c r="F7467" s="95" t="s">
        <v>2371</v>
      </c>
      <c r="G7467" s="95" t="s">
        <v>2372</v>
      </c>
      <c r="I7467" s="61"/>
      <c r="J7467" s="435"/>
      <c r="K7467" s="61"/>
    </row>
    <row r="7468" spans="1:11">
      <c r="A7468" s="847"/>
      <c r="B7468" s="114"/>
      <c r="C7468" s="351"/>
      <c r="D7468" s="114"/>
      <c r="E7468" s="114"/>
      <c r="F7468" s="114" t="s">
        <v>3485</v>
      </c>
      <c r="G7468" s="114" t="s">
        <v>3485</v>
      </c>
      <c r="I7468" s="61"/>
      <c r="J7468" s="435"/>
      <c r="K7468" s="61"/>
    </row>
    <row r="7469" spans="1:11">
      <c r="A7469" s="847"/>
      <c r="B7469" s="95">
        <v>1</v>
      </c>
      <c r="C7469" s="86" t="s">
        <v>7327</v>
      </c>
      <c r="D7469" s="451" t="s">
        <v>3478</v>
      </c>
      <c r="E7469" s="220">
        <f>G7449</f>
        <v>1152</v>
      </c>
      <c r="F7469" s="68">
        <f>'BASIC DATA'!$D$32/1000</f>
        <v>5.35</v>
      </c>
      <c r="G7469" s="449">
        <f>E7469*F7469</f>
        <v>6163.2</v>
      </c>
      <c r="I7469" s="61"/>
      <c r="J7469" s="435"/>
      <c r="K7469" s="61"/>
    </row>
    <row r="7470" spans="1:11">
      <c r="A7470" s="848"/>
      <c r="B7470" s="240">
        <v>2</v>
      </c>
      <c r="C7470" s="392" t="s">
        <v>7937</v>
      </c>
      <c r="D7470" s="452" t="s">
        <v>3477</v>
      </c>
      <c r="E7470" s="256">
        <f>G7450</f>
        <v>4</v>
      </c>
      <c r="F7470" s="266">
        <f>'BASIC DATA'!$D$57</f>
        <v>165</v>
      </c>
      <c r="G7470" s="450">
        <f>E7470*F7470</f>
        <v>660</v>
      </c>
      <c r="H7470" s="61"/>
      <c r="I7470" s="61"/>
      <c r="J7470" s="435"/>
      <c r="K7470" s="61"/>
    </row>
    <row r="7471" spans="1:11" ht="36">
      <c r="A7471" s="847"/>
      <c r="B7471" s="105">
        <v>3</v>
      </c>
      <c r="C7471" s="86" t="s">
        <v>4257</v>
      </c>
      <c r="D7471" s="319" t="s">
        <v>3477</v>
      </c>
      <c r="E7471" s="220">
        <f>G7451</f>
        <v>9.6</v>
      </c>
      <c r="F7471" s="190">
        <f>'BASIC DATA'!$D$108</f>
        <v>318</v>
      </c>
      <c r="G7471" s="449">
        <f>E7471*F7471</f>
        <v>3052.7999999999997</v>
      </c>
      <c r="J7471" s="435"/>
      <c r="K7471" s="61"/>
    </row>
    <row r="7472" spans="1:11">
      <c r="A7472" s="847"/>
      <c r="B7472" s="105">
        <v>4</v>
      </c>
      <c r="C7472" s="86" t="s">
        <v>4258</v>
      </c>
      <c r="D7472" s="319" t="s">
        <v>2059</v>
      </c>
      <c r="E7472" s="220">
        <f>G7452</f>
        <v>32</v>
      </c>
      <c r="F7472" s="214">
        <f>'BASIC DATA'!$D$104</f>
        <v>22</v>
      </c>
      <c r="G7472" s="449">
        <f>E7472*F7472</f>
        <v>704</v>
      </c>
      <c r="J7472" s="49"/>
      <c r="K7472" s="61"/>
    </row>
    <row r="7473" spans="1:11">
      <c r="A7473" s="847"/>
      <c r="B7473" s="114">
        <v>5</v>
      </c>
      <c r="C7473" s="113" t="s">
        <v>4080</v>
      </c>
      <c r="D7473" s="467" t="s">
        <v>3477</v>
      </c>
      <c r="E7473" s="220">
        <f>G7453</f>
        <v>1.5</v>
      </c>
      <c r="F7473" s="190">
        <f>'BASIC DATA'!$D$96</f>
        <v>350</v>
      </c>
      <c r="G7473" s="449">
        <f>E7473*F7473</f>
        <v>525</v>
      </c>
      <c r="J7473" s="435"/>
      <c r="K7473" s="61"/>
    </row>
    <row r="7474" spans="1:11">
      <c r="A7474" s="847"/>
      <c r="B7474" s="92"/>
      <c r="C7474" s="353" t="s">
        <v>2376</v>
      </c>
      <c r="D7474" s="159"/>
      <c r="E7474" s="238"/>
      <c r="F7474" s="236" t="s">
        <v>1698</v>
      </c>
      <c r="G7474" s="318">
        <f>SUM(G7469:G7473)</f>
        <v>11105</v>
      </c>
      <c r="J7474" s="61"/>
      <c r="K7474" s="61"/>
    </row>
    <row r="7475" spans="1:11">
      <c r="A7475" s="847"/>
      <c r="B7475" s="78"/>
      <c r="C7475" s="48"/>
      <c r="J7475" s="61"/>
      <c r="K7475" s="61"/>
    </row>
    <row r="7476" spans="1:11">
      <c r="A7476" s="847"/>
      <c r="B7476" s="79" t="s">
        <v>2377</v>
      </c>
      <c r="C7476" s="48"/>
      <c r="J7476" s="61"/>
      <c r="K7476" s="61"/>
    </row>
    <row r="7477" spans="1:11">
      <c r="A7477" s="847"/>
      <c r="B7477" s="95" t="s">
        <v>2369</v>
      </c>
      <c r="C7477" s="350" t="s">
        <v>2378</v>
      </c>
      <c r="D7477" s="95" t="s">
        <v>2370</v>
      </c>
      <c r="E7477" s="95" t="s">
        <v>1166</v>
      </c>
      <c r="F7477" s="95" t="s">
        <v>2371</v>
      </c>
      <c r="G7477" s="95" t="s">
        <v>2372</v>
      </c>
      <c r="J7477" s="61"/>
      <c r="K7477" s="61"/>
    </row>
    <row r="7478" spans="1:11">
      <c r="A7478" s="847"/>
      <c r="B7478" s="114"/>
      <c r="C7478" s="351"/>
      <c r="D7478" s="114"/>
      <c r="E7478" s="114"/>
      <c r="F7478" s="114" t="s">
        <v>3485</v>
      </c>
      <c r="G7478" s="114" t="s">
        <v>3485</v>
      </c>
      <c r="J7478" s="61"/>
      <c r="K7478" s="61"/>
    </row>
    <row r="7479" spans="1:11">
      <c r="A7479" s="847"/>
      <c r="B7479" s="95">
        <v>1</v>
      </c>
      <c r="C7479" s="86" t="s">
        <v>189</v>
      </c>
      <c r="D7479" s="95" t="s">
        <v>2374</v>
      </c>
      <c r="E7479" s="220">
        <v>4</v>
      </c>
      <c r="F7479" s="214">
        <f>'HIRE CHARGES'!$D$517</f>
        <v>10.199999999999999</v>
      </c>
      <c r="G7479" s="449">
        <f>E7479*F7479</f>
        <v>40.799999999999997</v>
      </c>
      <c r="J7479" s="61"/>
      <c r="K7479" s="61"/>
    </row>
    <row r="7480" spans="1:11">
      <c r="A7480" s="847"/>
      <c r="B7480" s="116"/>
      <c r="C7480" s="86" t="s">
        <v>2379</v>
      </c>
      <c r="D7480" s="114" t="s">
        <v>2374</v>
      </c>
      <c r="E7480" s="220">
        <v>4</v>
      </c>
      <c r="F7480" s="214">
        <f>'HIRE CHARGES'!$E$517</f>
        <v>79.3</v>
      </c>
      <c r="G7480" s="449">
        <f>E7480*F7480</f>
        <v>317.2</v>
      </c>
      <c r="J7480" s="61"/>
      <c r="K7480" s="61"/>
    </row>
    <row r="7481" spans="1:11">
      <c r="A7481" s="847"/>
      <c r="B7481" s="176"/>
      <c r="C7481" s="357" t="s">
        <v>2380</v>
      </c>
      <c r="D7481" s="174"/>
      <c r="E7481" s="192"/>
      <c r="F7481" s="236" t="s">
        <v>1698</v>
      </c>
      <c r="G7481" s="318">
        <f>SUM(G7479:G7480)</f>
        <v>358</v>
      </c>
      <c r="J7481" s="61"/>
      <c r="K7481" s="61"/>
    </row>
    <row r="7482" spans="1:11">
      <c r="A7482" s="847"/>
      <c r="B7482" s="78"/>
      <c r="C7482" s="48"/>
      <c r="J7482" s="61"/>
      <c r="K7482" s="61"/>
    </row>
    <row r="7483" spans="1:11">
      <c r="A7483" s="847"/>
      <c r="B7483" s="79" t="s">
        <v>2381</v>
      </c>
      <c r="C7483" s="48"/>
      <c r="J7483" s="61"/>
      <c r="K7483" s="61"/>
    </row>
    <row r="7484" spans="1:11">
      <c r="A7484" s="847"/>
      <c r="B7484" s="95" t="s">
        <v>2369</v>
      </c>
      <c r="C7484" s="350" t="s">
        <v>2378</v>
      </c>
      <c r="D7484" s="95" t="s">
        <v>2370</v>
      </c>
      <c r="E7484" s="95" t="s">
        <v>1166</v>
      </c>
      <c r="F7484" s="95" t="s">
        <v>2371</v>
      </c>
      <c r="G7484" s="95" t="s">
        <v>2372</v>
      </c>
      <c r="J7484" s="61"/>
      <c r="K7484" s="61"/>
    </row>
    <row r="7485" spans="1:11">
      <c r="A7485" s="847"/>
      <c r="B7485" s="114"/>
      <c r="C7485" s="351"/>
      <c r="D7485" s="105"/>
      <c r="E7485" s="114"/>
      <c r="F7485" s="114" t="s">
        <v>3485</v>
      </c>
      <c r="G7485" s="114" t="s">
        <v>3485</v>
      </c>
      <c r="J7485" s="61"/>
      <c r="K7485" s="61"/>
    </row>
    <row r="7486" spans="1:11">
      <c r="A7486" s="847"/>
      <c r="B7486" s="105">
        <v>1</v>
      </c>
      <c r="C7486" s="86" t="s">
        <v>190</v>
      </c>
      <c r="D7486" s="95" t="s">
        <v>2374</v>
      </c>
      <c r="E7486" s="207">
        <v>4</v>
      </c>
      <c r="F7486" s="214">
        <f>'HIRE CHARGES'!$F$517</f>
        <v>111.1</v>
      </c>
      <c r="G7486" s="449">
        <f t="shared" ref="G7486:G7491" si="109">E7486*F7486</f>
        <v>444.4</v>
      </c>
      <c r="J7486" s="61"/>
      <c r="K7486" s="61"/>
    </row>
    <row r="7487" spans="1:11">
      <c r="A7487" s="847"/>
      <c r="B7487" s="105">
        <v>2</v>
      </c>
      <c r="C7487" s="86" t="s">
        <v>4206</v>
      </c>
      <c r="D7487" s="105" t="s">
        <v>1172</v>
      </c>
      <c r="E7487" s="207">
        <v>1</v>
      </c>
      <c r="F7487" s="190">
        <f>'BASIC DATA'!$C$473</f>
        <v>450</v>
      </c>
      <c r="G7487" s="449">
        <f t="shared" si="109"/>
        <v>450</v>
      </c>
      <c r="J7487" s="61"/>
      <c r="K7487" s="61"/>
    </row>
    <row r="7488" spans="1:11">
      <c r="A7488" s="847"/>
      <c r="B7488" s="105">
        <v>3</v>
      </c>
      <c r="C7488" s="86" t="s">
        <v>5606</v>
      </c>
      <c r="D7488" s="105" t="s">
        <v>1172</v>
      </c>
      <c r="E7488" s="207">
        <v>2</v>
      </c>
      <c r="F7488" s="190">
        <f>'BASIC DATA'!$C$474</f>
        <v>445</v>
      </c>
      <c r="G7488" s="449">
        <f t="shared" si="109"/>
        <v>890</v>
      </c>
      <c r="J7488" s="61"/>
      <c r="K7488" s="61"/>
    </row>
    <row r="7489" spans="1:11">
      <c r="A7489" s="847"/>
      <c r="B7489" s="105">
        <v>4</v>
      </c>
      <c r="C7489" s="86" t="s">
        <v>5607</v>
      </c>
      <c r="D7489" s="105" t="s">
        <v>1172</v>
      </c>
      <c r="E7489" s="207">
        <v>2</v>
      </c>
      <c r="F7489" s="190">
        <f>'BASIC DATA'!$C$541</f>
        <v>400</v>
      </c>
      <c r="G7489" s="449">
        <f t="shared" si="109"/>
        <v>800</v>
      </c>
      <c r="J7489" s="61"/>
      <c r="K7489" s="61"/>
    </row>
    <row r="7490" spans="1:11">
      <c r="A7490" s="847"/>
      <c r="B7490" s="105">
        <v>5</v>
      </c>
      <c r="C7490" s="86" t="s">
        <v>2697</v>
      </c>
      <c r="D7490" s="105" t="s">
        <v>1172</v>
      </c>
      <c r="E7490" s="207">
        <v>8</v>
      </c>
      <c r="F7490" s="190">
        <f>'BASIC DATA'!$C$552</f>
        <v>350</v>
      </c>
      <c r="G7490" s="449">
        <f t="shared" si="109"/>
        <v>2800</v>
      </c>
      <c r="J7490" s="61"/>
      <c r="K7490" s="61"/>
    </row>
    <row r="7491" spans="1:11" ht="36">
      <c r="A7491" s="847"/>
      <c r="B7491" s="105">
        <v>6</v>
      </c>
      <c r="C7491" s="86" t="s">
        <v>7658</v>
      </c>
      <c r="D7491" s="105" t="s">
        <v>1172</v>
      </c>
      <c r="E7491" s="207">
        <v>1</v>
      </c>
      <c r="F7491" s="190">
        <f>'BASIC DATA'!$C$511</f>
        <v>465</v>
      </c>
      <c r="G7491" s="449">
        <f t="shared" si="109"/>
        <v>465</v>
      </c>
      <c r="J7491" s="61"/>
      <c r="K7491" s="61"/>
    </row>
    <row r="7492" spans="1:11">
      <c r="A7492" s="847"/>
      <c r="B7492" s="92"/>
      <c r="C7492" s="353" t="s">
        <v>1174</v>
      </c>
      <c r="D7492" s="159"/>
      <c r="E7492" s="238"/>
      <c r="F7492" s="236" t="s">
        <v>1698</v>
      </c>
      <c r="G7492" s="318">
        <f>SUM(G7486:G7491)</f>
        <v>5849.4</v>
      </c>
      <c r="J7492" s="61"/>
      <c r="K7492" s="61"/>
    </row>
    <row r="7493" spans="1:11">
      <c r="A7493" s="847"/>
      <c r="B7493" s="359" t="s">
        <v>5948</v>
      </c>
      <c r="C7493" s="48"/>
      <c r="D7493" s="31"/>
      <c r="E7493" s="85">
        <f>ROUND(G7492/F7465,1)</f>
        <v>584.9</v>
      </c>
      <c r="J7493" s="61"/>
      <c r="K7493" s="61"/>
    </row>
    <row r="7494" spans="1:11">
      <c r="A7494" s="847"/>
      <c r="B7494" s="359" t="s">
        <v>3163</v>
      </c>
      <c r="C7494" s="48"/>
      <c r="D7494" s="922">
        <f>'BASIC DATA'!$C$577</f>
        <v>0.13614999999999999</v>
      </c>
      <c r="E7494" s="85">
        <f>ROUND(E7493*D7494,1)</f>
        <v>79.599999999999994</v>
      </c>
      <c r="J7494" s="61"/>
      <c r="K7494" s="61"/>
    </row>
    <row r="7495" spans="1:11">
      <c r="A7495" s="847"/>
      <c r="B7495" s="359" t="s">
        <v>5949</v>
      </c>
      <c r="C7495" s="48"/>
      <c r="D7495" s="31"/>
      <c r="E7495" s="199">
        <f>ROUND(E7494+E7493,1)</f>
        <v>664.5</v>
      </c>
      <c r="J7495" s="61"/>
      <c r="K7495" s="61"/>
    </row>
    <row r="7496" spans="1:11">
      <c r="A7496" s="847"/>
      <c r="C7496" s="48"/>
      <c r="J7496" s="61"/>
      <c r="K7496" s="61"/>
    </row>
    <row r="7497" spans="1:11">
      <c r="A7497" s="847"/>
      <c r="B7497" s="162" t="s">
        <v>1175</v>
      </c>
      <c r="C7497" s="48"/>
      <c r="J7497" s="61"/>
      <c r="K7497" s="61"/>
    </row>
    <row r="7498" spans="1:11">
      <c r="A7498" s="847"/>
      <c r="B7498" s="47" t="s">
        <v>1176</v>
      </c>
      <c r="C7498" s="48"/>
      <c r="F7498" s="171" t="s">
        <v>1698</v>
      </c>
      <c r="G7498" s="68">
        <f>G7474</f>
        <v>11105</v>
      </c>
      <c r="J7498" s="61"/>
      <c r="K7498" s="61"/>
    </row>
    <row r="7499" spans="1:11">
      <c r="A7499" s="847"/>
      <c r="B7499" s="47" t="s">
        <v>1186</v>
      </c>
      <c r="C7499" s="48"/>
      <c r="F7499" s="171" t="s">
        <v>1698</v>
      </c>
      <c r="G7499" s="68">
        <f>G7481</f>
        <v>358</v>
      </c>
      <c r="J7499" s="61"/>
      <c r="K7499" s="61"/>
    </row>
    <row r="7500" spans="1:11">
      <c r="A7500" s="847"/>
      <c r="B7500" s="47" t="s">
        <v>2660</v>
      </c>
      <c r="C7500" s="48"/>
      <c r="F7500" s="171" t="s">
        <v>1698</v>
      </c>
      <c r="G7500" s="75">
        <f>G7492</f>
        <v>5849.4</v>
      </c>
      <c r="J7500" s="61"/>
      <c r="K7500" s="61"/>
    </row>
    <row r="7501" spans="1:11">
      <c r="A7501" s="847"/>
      <c r="B7501" s="78"/>
      <c r="C7501" s="48"/>
      <c r="E7501" s="171" t="s">
        <v>4835</v>
      </c>
      <c r="F7501" s="171" t="s">
        <v>1173</v>
      </c>
      <c r="G7501" s="205">
        <f>SUM(G7498:G7500)</f>
        <v>17312.400000000001</v>
      </c>
    </row>
    <row r="7502" spans="1:11" ht="35.25" customHeight="1">
      <c r="A7502" s="847"/>
      <c r="B7502" s="1207" t="s">
        <v>1379</v>
      </c>
      <c r="C7502" s="1207"/>
      <c r="D7502" s="1207"/>
      <c r="E7502" s="922">
        <f>'BASIC DATA'!$C$577</f>
        <v>0.13614999999999999</v>
      </c>
      <c r="F7502" s="171" t="s">
        <v>1698</v>
      </c>
      <c r="G7502" s="31">
        <f>ROUND(G7501*E7502,2)</f>
        <v>2357.08</v>
      </c>
    </row>
    <row r="7503" spans="1:11">
      <c r="A7503" s="847"/>
      <c r="B7503" s="47" t="s">
        <v>1191</v>
      </c>
      <c r="C7503" s="48"/>
      <c r="D7503" s="68">
        <f>F7465</f>
        <v>10</v>
      </c>
      <c r="E7503" s="68" t="str">
        <f>G7465</f>
        <v>cum</v>
      </c>
      <c r="F7503" s="171" t="s">
        <v>1698</v>
      </c>
      <c r="G7503" s="211">
        <f>G7502+G7501</f>
        <v>19669.480000000003</v>
      </c>
    </row>
    <row r="7504" spans="1:11">
      <c r="A7504" s="847"/>
      <c r="B7504" s="79" t="s">
        <v>1584</v>
      </c>
      <c r="C7504" s="404" t="str">
        <f>E7503</f>
        <v>cum</v>
      </c>
      <c r="D7504" s="26" t="s">
        <v>5891</v>
      </c>
      <c r="F7504" s="171" t="s">
        <v>4108</v>
      </c>
      <c r="G7504" s="211">
        <f>ROUND(G7503/D7503,1)</f>
        <v>1966.9</v>
      </c>
      <c r="J7504" s="61"/>
      <c r="K7504" s="61"/>
    </row>
    <row r="7505" spans="1:11">
      <c r="A7505" s="847"/>
      <c r="B7505" s="78"/>
      <c r="C7505" s="48"/>
      <c r="F7505" s="171"/>
      <c r="G7505" s="68"/>
      <c r="J7505" s="61"/>
      <c r="K7505" s="61"/>
    </row>
    <row r="7506" spans="1:11">
      <c r="A7506" s="847"/>
      <c r="B7506" s="78"/>
      <c r="C7506" s="48"/>
      <c r="F7506" s="171"/>
      <c r="G7506" s="68"/>
      <c r="J7506" s="61"/>
      <c r="K7506" s="61"/>
    </row>
    <row r="7507" spans="1:11" ht="36">
      <c r="A7507" s="841" t="s">
        <v>7512</v>
      </c>
      <c r="B7507" s="125" t="s">
        <v>8862</v>
      </c>
      <c r="C7507" s="385"/>
      <c r="D7507" s="385"/>
      <c r="E7507" s="385"/>
      <c r="F7507" s="385"/>
      <c r="G7507" s="385"/>
      <c r="H7507" s="61"/>
      <c r="I7507" s="61"/>
      <c r="J7507" s="61"/>
      <c r="K7507" s="61"/>
    </row>
    <row r="7508" spans="1:11">
      <c r="A7508" s="898"/>
      <c r="B7508" s="125" t="s">
        <v>8863</v>
      </c>
      <c r="C7508" s="348"/>
      <c r="D7508" s="348"/>
      <c r="E7508" s="348"/>
      <c r="F7508" s="348"/>
      <c r="G7508" s="348"/>
      <c r="H7508" s="61"/>
      <c r="I7508" s="61"/>
      <c r="J7508" s="61"/>
      <c r="K7508" s="61"/>
    </row>
    <row r="7509" spans="1:11">
      <c r="A7509" s="898"/>
      <c r="B7509" s="125" t="s">
        <v>1350</v>
      </c>
      <c r="C7509" s="385"/>
      <c r="D7509" s="385"/>
      <c r="E7509" s="385"/>
      <c r="F7509" s="385"/>
      <c r="G7509" s="385"/>
      <c r="H7509" s="61"/>
      <c r="I7509" s="61"/>
      <c r="J7509" s="61"/>
      <c r="K7509" s="61"/>
    </row>
    <row r="7510" spans="1:11">
      <c r="A7510" s="889"/>
      <c r="B7510" s="162" t="s">
        <v>7622</v>
      </c>
      <c r="C7510" s="48"/>
    </row>
    <row r="7511" spans="1:11">
      <c r="A7511" s="847"/>
      <c r="B7511" s="79" t="s">
        <v>7623</v>
      </c>
      <c r="C7511" s="48"/>
    </row>
    <row r="7512" spans="1:11">
      <c r="A7512" s="848"/>
      <c r="B7512" s="499"/>
      <c r="C7512" s="49"/>
      <c r="D7512" s="61"/>
      <c r="E7512" s="61"/>
      <c r="F7512" s="61"/>
      <c r="G7512" s="61"/>
      <c r="H7512" s="61"/>
      <c r="I7512" s="61"/>
      <c r="J7512" s="61"/>
      <c r="K7512" s="61"/>
    </row>
    <row r="7513" spans="1:11" hidden="1">
      <c r="A7513" s="899" t="s">
        <v>1907</v>
      </c>
      <c r="B7513" s="382" t="s">
        <v>7031</v>
      </c>
      <c r="C7513" s="61"/>
      <c r="D7513" s="382"/>
      <c r="E7513" s="382"/>
      <c r="F7513" s="382"/>
      <c r="G7513" s="382"/>
      <c r="H7513" s="61"/>
      <c r="I7513" s="61"/>
      <c r="J7513" s="61"/>
      <c r="K7513" s="61"/>
    </row>
    <row r="7514" spans="1:11" hidden="1">
      <c r="A7514" s="848"/>
      <c r="B7514" s="382"/>
      <c r="C7514" s="500"/>
      <c r="D7514" s="61"/>
      <c r="E7514" s="61"/>
      <c r="F7514" s="61"/>
      <c r="G7514" s="61"/>
      <c r="H7514" s="61"/>
      <c r="I7514" s="61"/>
      <c r="J7514" s="61"/>
      <c r="K7514" s="61"/>
    </row>
    <row r="7515" spans="1:11" hidden="1">
      <c r="A7515" s="848"/>
      <c r="B7515" s="382"/>
      <c r="C7515" s="500" t="s">
        <v>1617</v>
      </c>
      <c r="D7515" s="61"/>
      <c r="E7515" s="499" t="s">
        <v>1697</v>
      </c>
      <c r="F7515" s="499" t="s">
        <v>7032</v>
      </c>
      <c r="G7515" s="61"/>
      <c r="H7515" s="61"/>
      <c r="I7515" s="61"/>
      <c r="J7515" s="61"/>
      <c r="K7515" s="61"/>
    </row>
    <row r="7516" spans="1:11" ht="36" hidden="1">
      <c r="A7516" s="848"/>
      <c r="B7516" s="382"/>
      <c r="C7516" s="382" t="s">
        <v>6609</v>
      </c>
      <c r="D7516" s="382"/>
      <c r="E7516" s="499" t="s">
        <v>1697</v>
      </c>
      <c r="F7516" s="499" t="s">
        <v>6610</v>
      </c>
      <c r="G7516" s="61"/>
      <c r="H7516" s="61"/>
      <c r="I7516" s="61"/>
      <c r="J7516" s="61"/>
      <c r="K7516" s="61"/>
    </row>
    <row r="7517" spans="1:11" ht="36" hidden="1">
      <c r="A7517" s="848"/>
      <c r="B7517" s="382"/>
      <c r="C7517" s="500" t="s">
        <v>2791</v>
      </c>
      <c r="D7517" s="61"/>
      <c r="E7517" s="499" t="s">
        <v>1697</v>
      </c>
      <c r="F7517" s="499" t="s">
        <v>6611</v>
      </c>
      <c r="G7517" s="61"/>
      <c r="H7517" s="61"/>
      <c r="I7517" s="61"/>
      <c r="J7517" s="61"/>
      <c r="K7517" s="61"/>
    </row>
    <row r="7518" spans="1:11" hidden="1">
      <c r="A7518" s="848"/>
      <c r="B7518" s="382"/>
      <c r="C7518" s="500" t="s">
        <v>1619</v>
      </c>
      <c r="D7518" s="61"/>
      <c r="E7518" s="499" t="s">
        <v>1697</v>
      </c>
      <c r="F7518" s="499" t="s">
        <v>6612</v>
      </c>
      <c r="G7518" s="61"/>
      <c r="H7518" s="61"/>
      <c r="I7518" s="61"/>
      <c r="J7518" s="61"/>
      <c r="K7518" s="61"/>
    </row>
    <row r="7519" spans="1:11" ht="36" hidden="1">
      <c r="A7519" s="848"/>
      <c r="B7519" s="382"/>
      <c r="C7519" s="500" t="s">
        <v>2138</v>
      </c>
      <c r="D7519" s="61"/>
      <c r="E7519" s="61"/>
      <c r="F7519" s="61"/>
      <c r="G7519" s="61"/>
      <c r="H7519" s="61"/>
      <c r="I7519" s="61"/>
      <c r="J7519" s="61"/>
      <c r="K7519" s="61"/>
    </row>
    <row r="7520" spans="1:11" ht="36" hidden="1">
      <c r="A7520" s="848"/>
      <c r="B7520" s="382"/>
      <c r="C7520" s="500" t="s">
        <v>6613</v>
      </c>
      <c r="D7520" s="61"/>
      <c r="E7520" s="499" t="s">
        <v>1697</v>
      </c>
      <c r="F7520" s="499" t="s">
        <v>6614</v>
      </c>
      <c r="G7520" s="61"/>
      <c r="H7520" s="61"/>
      <c r="I7520" s="61"/>
      <c r="J7520" s="61"/>
      <c r="K7520" s="61"/>
    </row>
    <row r="7521" spans="1:11" hidden="1">
      <c r="A7521" s="848"/>
      <c r="B7521" s="382"/>
      <c r="C7521" s="500" t="s">
        <v>6615</v>
      </c>
      <c r="D7521" s="61"/>
      <c r="E7521" s="499" t="s">
        <v>1697</v>
      </c>
      <c r="F7521" s="499" t="s">
        <v>6616</v>
      </c>
      <c r="G7521" s="61"/>
      <c r="H7521" s="61"/>
      <c r="I7521" s="61"/>
      <c r="J7521" s="61"/>
      <c r="K7521" s="61"/>
    </row>
    <row r="7522" spans="1:11" ht="36" hidden="1">
      <c r="A7522" s="848"/>
      <c r="B7522" s="382"/>
      <c r="C7522" s="500" t="s">
        <v>6065</v>
      </c>
      <c r="D7522" s="61"/>
      <c r="E7522" s="499" t="s">
        <v>1697</v>
      </c>
      <c r="F7522" s="499" t="s">
        <v>352</v>
      </c>
      <c r="G7522" s="61"/>
      <c r="H7522" s="61"/>
      <c r="I7522" s="61"/>
      <c r="J7522" s="61"/>
      <c r="K7522" s="61"/>
    </row>
    <row r="7523" spans="1:11" ht="36" hidden="1">
      <c r="A7523" s="848"/>
      <c r="B7523" s="382"/>
      <c r="C7523" s="500" t="s">
        <v>2921</v>
      </c>
      <c r="D7523" s="61"/>
      <c r="E7523" s="499" t="s">
        <v>1697</v>
      </c>
      <c r="F7523" s="499" t="s">
        <v>2922</v>
      </c>
      <c r="G7523" s="61"/>
      <c r="H7523" s="61"/>
      <c r="I7523" s="61"/>
      <c r="J7523" s="61"/>
      <c r="K7523" s="61"/>
    </row>
    <row r="7524" spans="1:11" ht="36" hidden="1">
      <c r="A7524" s="848"/>
      <c r="B7524" s="382"/>
      <c r="C7524" s="500" t="s">
        <v>2307</v>
      </c>
      <c r="D7524" s="61"/>
      <c r="E7524" s="499" t="s">
        <v>1697</v>
      </c>
      <c r="F7524" s="499" t="s">
        <v>2923</v>
      </c>
      <c r="G7524" s="61"/>
      <c r="H7524" s="61"/>
      <c r="I7524" s="61"/>
      <c r="J7524" s="61"/>
      <c r="K7524" s="61"/>
    </row>
    <row r="7525" spans="1:11" hidden="1">
      <c r="A7525" s="848"/>
      <c r="B7525" s="382"/>
      <c r="C7525" s="500" t="s">
        <v>6066</v>
      </c>
      <c r="D7525" s="61"/>
      <c r="E7525" s="499" t="s">
        <v>1697</v>
      </c>
      <c r="F7525" s="499" t="s">
        <v>2923</v>
      </c>
      <c r="G7525" s="61"/>
      <c r="H7525" s="61"/>
      <c r="I7525" s="61"/>
      <c r="J7525" s="61"/>
      <c r="K7525" s="61"/>
    </row>
    <row r="7526" spans="1:11">
      <c r="A7526" s="848"/>
      <c r="B7526" s="499" t="s">
        <v>5785</v>
      </c>
      <c r="C7526" s="49"/>
      <c r="D7526" s="61"/>
      <c r="E7526" s="61"/>
      <c r="F7526" s="61"/>
      <c r="G7526" s="61"/>
      <c r="H7526" s="61"/>
      <c r="I7526" s="61"/>
      <c r="J7526" s="61"/>
      <c r="K7526" s="61"/>
    </row>
    <row r="7527" spans="1:11">
      <c r="A7527" s="848" t="s">
        <v>3984</v>
      </c>
      <c r="B7527" s="382"/>
      <c r="C7527" s="424" t="s">
        <v>2367</v>
      </c>
      <c r="D7527" s="61"/>
      <c r="E7527" s="499" t="s">
        <v>1188</v>
      </c>
      <c r="F7527" s="501">
        <v>10</v>
      </c>
      <c r="G7527" s="61" t="s">
        <v>2113</v>
      </c>
      <c r="H7527" s="61"/>
      <c r="I7527" s="61"/>
      <c r="J7527" s="61"/>
      <c r="K7527" s="61"/>
    </row>
    <row r="7528" spans="1:11">
      <c r="A7528" s="848"/>
      <c r="B7528" s="499"/>
      <c r="C7528" s="49"/>
      <c r="D7528" s="61"/>
      <c r="E7528" s="61"/>
      <c r="F7528" s="61"/>
      <c r="G7528" s="61"/>
      <c r="H7528" s="61"/>
      <c r="I7528" s="61"/>
      <c r="J7528" s="61"/>
      <c r="K7528" s="61"/>
    </row>
    <row r="7529" spans="1:11" ht="54">
      <c r="A7529" s="848"/>
      <c r="B7529" s="499" t="s">
        <v>6633</v>
      </c>
      <c r="C7529" s="49"/>
      <c r="D7529" s="61"/>
      <c r="E7529" s="61"/>
      <c r="F7529" s="61"/>
      <c r="G7529" s="61"/>
      <c r="H7529" s="61"/>
      <c r="I7529" s="61"/>
      <c r="J7529" s="61"/>
      <c r="K7529" s="61"/>
    </row>
    <row r="7530" spans="1:11">
      <c r="A7530" s="848"/>
      <c r="B7530" s="499"/>
      <c r="C7530" s="49"/>
      <c r="D7530" s="61"/>
      <c r="E7530" s="61"/>
      <c r="F7530" s="61"/>
      <c r="G7530" s="61"/>
      <c r="H7530" s="61"/>
      <c r="I7530" s="61"/>
      <c r="J7530" s="61"/>
      <c r="K7530" s="61"/>
    </row>
    <row r="7531" spans="1:11">
      <c r="A7531" s="848"/>
      <c r="B7531" s="1234" t="s">
        <v>6634</v>
      </c>
      <c r="C7531" s="1236" t="s">
        <v>4443</v>
      </c>
      <c r="D7531" s="1236" t="s">
        <v>2370</v>
      </c>
      <c r="E7531" s="1236" t="s">
        <v>1166</v>
      </c>
      <c r="F7531" s="503" t="s">
        <v>2371</v>
      </c>
      <c r="G7531" s="1236" t="s">
        <v>6248</v>
      </c>
      <c r="H7531" s="61"/>
      <c r="I7531" s="61"/>
      <c r="J7531" s="61"/>
      <c r="K7531" s="61"/>
    </row>
    <row r="7532" spans="1:11">
      <c r="A7532" s="848"/>
      <c r="B7532" s="1235"/>
      <c r="C7532" s="1237"/>
      <c r="D7532" s="1237"/>
      <c r="E7532" s="1237"/>
      <c r="F7532" s="505" t="s">
        <v>3485</v>
      </c>
      <c r="G7532" s="1238"/>
      <c r="H7532" s="61"/>
      <c r="I7532" s="61"/>
      <c r="J7532" s="61"/>
      <c r="K7532" s="61"/>
    </row>
    <row r="7533" spans="1:11">
      <c r="A7533" s="848"/>
      <c r="B7533" s="599">
        <v>1</v>
      </c>
      <c r="C7533" s="506" t="s">
        <v>7327</v>
      </c>
      <c r="D7533" s="482" t="s">
        <v>1791</v>
      </c>
      <c r="E7533" s="507">
        <f>1/5*3.4*1440</f>
        <v>979.2</v>
      </c>
      <c r="F7533" s="223">
        <f>'BASIC DATA'!$D$32/1000</f>
        <v>5.35</v>
      </c>
      <c r="G7533" s="450">
        <f>E7533*F7533</f>
        <v>5238.72</v>
      </c>
      <c r="H7533" s="61"/>
      <c r="I7533" s="61"/>
      <c r="J7533" s="101"/>
      <c r="K7533" s="61"/>
    </row>
    <row r="7534" spans="1:11">
      <c r="A7534" s="848"/>
      <c r="B7534" s="599">
        <v>2</v>
      </c>
      <c r="C7534" s="506" t="s">
        <v>6827</v>
      </c>
      <c r="D7534" s="482" t="s">
        <v>2113</v>
      </c>
      <c r="E7534" s="507">
        <v>3.4</v>
      </c>
      <c r="F7534" s="266">
        <f>'BASIC DATA'!$D$57</f>
        <v>165</v>
      </c>
      <c r="G7534" s="450">
        <f>E7534*F7534</f>
        <v>561</v>
      </c>
      <c r="H7534" s="61"/>
      <c r="I7534" s="61"/>
      <c r="J7534" s="101"/>
      <c r="K7534" s="61"/>
    </row>
    <row r="7535" spans="1:11" ht="36">
      <c r="A7535" s="848"/>
      <c r="B7535" s="599">
        <v>3</v>
      </c>
      <c r="C7535" s="506" t="s">
        <v>4257</v>
      </c>
      <c r="D7535" s="482" t="s">
        <v>2113</v>
      </c>
      <c r="E7535" s="507">
        <v>11</v>
      </c>
      <c r="F7535" s="255">
        <f>'BASIC DATA'!$D$108</f>
        <v>318</v>
      </c>
      <c r="G7535" s="450">
        <f>E7535*F7535</f>
        <v>3498</v>
      </c>
      <c r="H7535" s="61"/>
      <c r="I7535" s="61"/>
      <c r="J7535" s="101"/>
      <c r="K7535" s="61"/>
    </row>
    <row r="7536" spans="1:11">
      <c r="A7536" s="848"/>
      <c r="B7536" s="606"/>
      <c r="C7536" s="1231" t="s">
        <v>6635</v>
      </c>
      <c r="D7536" s="1231"/>
      <c r="E7536" s="1231"/>
      <c r="F7536" s="1232"/>
      <c r="G7536" s="511">
        <f>SUM(G7533:G7535)</f>
        <v>9297.7200000000012</v>
      </c>
      <c r="H7536" s="61"/>
      <c r="I7536" s="61"/>
      <c r="J7536" s="61"/>
      <c r="K7536" s="61"/>
    </row>
    <row r="7537" spans="1:11">
      <c r="A7537" s="848"/>
      <c r="B7537" s="499"/>
      <c r="C7537" s="49"/>
      <c r="D7537" s="61"/>
      <c r="E7537" s="61"/>
      <c r="F7537" s="61"/>
      <c r="G7537" s="61"/>
      <c r="H7537" s="61"/>
      <c r="I7537" s="61"/>
      <c r="J7537" s="61"/>
      <c r="K7537" s="61"/>
    </row>
    <row r="7538" spans="1:11">
      <c r="A7538" s="848"/>
      <c r="B7538" s="382"/>
      <c r="C7538" s="500" t="s">
        <v>6636</v>
      </c>
      <c r="D7538" s="61"/>
      <c r="E7538" s="61"/>
      <c r="F7538" s="61"/>
      <c r="G7538" s="61"/>
      <c r="H7538" s="61"/>
      <c r="I7538" s="61"/>
      <c r="J7538" s="61"/>
      <c r="K7538" s="61"/>
    </row>
    <row r="7539" spans="1:11">
      <c r="A7539" s="848"/>
      <c r="B7539" s="499"/>
      <c r="C7539" s="49"/>
      <c r="D7539" s="61"/>
      <c r="E7539" s="61"/>
      <c r="F7539" s="61"/>
      <c r="G7539" s="61"/>
      <c r="H7539" s="61"/>
      <c r="I7539" s="61"/>
      <c r="J7539" s="61"/>
      <c r="K7539" s="61"/>
    </row>
    <row r="7540" spans="1:11">
      <c r="A7540" s="848"/>
      <c r="B7540" s="1234" t="s">
        <v>6634</v>
      </c>
      <c r="C7540" s="1236" t="s">
        <v>4443</v>
      </c>
      <c r="D7540" s="1236" t="s">
        <v>2370</v>
      </c>
      <c r="E7540" s="1236" t="s">
        <v>1166</v>
      </c>
      <c r="F7540" s="503" t="s">
        <v>2371</v>
      </c>
      <c r="G7540" s="1236" t="s">
        <v>6248</v>
      </c>
      <c r="H7540" s="61"/>
      <c r="I7540" s="61"/>
      <c r="J7540" s="61"/>
      <c r="K7540" s="61"/>
    </row>
    <row r="7541" spans="1:11">
      <c r="A7541" s="848"/>
      <c r="B7541" s="1235"/>
      <c r="C7541" s="1237"/>
      <c r="D7541" s="1237"/>
      <c r="E7541" s="1237"/>
      <c r="F7541" s="505" t="s">
        <v>3485</v>
      </c>
      <c r="G7541" s="1237"/>
      <c r="H7541" s="61"/>
      <c r="I7541" s="61"/>
      <c r="J7541" s="495"/>
      <c r="K7541" s="61"/>
    </row>
    <row r="7542" spans="1:11">
      <c r="A7542" s="848"/>
      <c r="B7542" s="599">
        <v>1</v>
      </c>
      <c r="C7542" s="512" t="s">
        <v>2139</v>
      </c>
      <c r="D7542" s="482" t="s">
        <v>2374</v>
      </c>
      <c r="E7542" s="507">
        <v>8</v>
      </c>
      <c r="F7542" s="450">
        <f>'HIRE CHARGES'!$D$506</f>
        <v>5.5</v>
      </c>
      <c r="G7542" s="450">
        <f>E7542*F7542</f>
        <v>44</v>
      </c>
      <c r="H7542" s="61"/>
      <c r="I7542" s="61"/>
      <c r="J7542" s="495"/>
      <c r="K7542" s="61"/>
    </row>
    <row r="7543" spans="1:11">
      <c r="A7543" s="848"/>
      <c r="B7543" s="1234">
        <v>2</v>
      </c>
      <c r="C7543" s="506" t="s">
        <v>2644</v>
      </c>
      <c r="D7543" s="482" t="s">
        <v>2374</v>
      </c>
      <c r="E7543" s="507">
        <v>4</v>
      </c>
      <c r="F7543" s="266">
        <f>'HIRE CHARGES'!$D$517</f>
        <v>10.199999999999999</v>
      </c>
      <c r="G7543" s="450">
        <f>E7543*F7543</f>
        <v>40.799999999999997</v>
      </c>
      <c r="H7543" s="61"/>
      <c r="I7543" s="61"/>
      <c r="J7543" s="496"/>
      <c r="K7543" s="61"/>
    </row>
    <row r="7544" spans="1:11">
      <c r="A7544" s="848"/>
      <c r="B7544" s="1235"/>
      <c r="C7544" s="508" t="s">
        <v>2379</v>
      </c>
      <c r="D7544" s="505" t="s">
        <v>2374</v>
      </c>
      <c r="E7544" s="509">
        <v>5</v>
      </c>
      <c r="F7544" s="266">
        <f>'HIRE CHARGES'!$E$517</f>
        <v>79.3</v>
      </c>
      <c r="G7544" s="450">
        <f>E7544*F7544</f>
        <v>396.5</v>
      </c>
      <c r="H7544" s="61"/>
      <c r="I7544" s="61"/>
      <c r="J7544" s="496"/>
      <c r="K7544" s="61"/>
    </row>
    <row r="7545" spans="1:11">
      <c r="A7545" s="848"/>
      <c r="B7545" s="606"/>
      <c r="C7545" s="1231" t="s">
        <v>3530</v>
      </c>
      <c r="D7545" s="1231"/>
      <c r="E7545" s="1231"/>
      <c r="F7545" s="1232"/>
      <c r="G7545" s="513">
        <f>SUM(G7542:G7544)</f>
        <v>481.3</v>
      </c>
      <c r="H7545" s="61"/>
      <c r="I7545" s="61"/>
      <c r="J7545" s="496"/>
      <c r="K7545" s="61"/>
    </row>
    <row r="7546" spans="1:11">
      <c r="A7546" s="848"/>
      <c r="B7546" s="499"/>
      <c r="C7546" s="49"/>
      <c r="D7546" s="61"/>
      <c r="E7546" s="61"/>
      <c r="F7546" s="61"/>
      <c r="G7546" s="61"/>
      <c r="H7546" s="61"/>
      <c r="I7546" s="61"/>
      <c r="J7546" s="497"/>
      <c r="K7546" s="61"/>
    </row>
    <row r="7547" spans="1:11">
      <c r="A7547" s="848"/>
      <c r="B7547" s="382"/>
      <c r="C7547" s="500" t="s">
        <v>670</v>
      </c>
      <c r="D7547" s="61"/>
      <c r="E7547" s="61"/>
      <c r="F7547" s="61"/>
      <c r="G7547" s="61"/>
      <c r="H7547" s="61"/>
      <c r="I7547" s="61"/>
      <c r="J7547" s="497"/>
      <c r="K7547" s="61"/>
    </row>
    <row r="7548" spans="1:11">
      <c r="A7548" s="848"/>
      <c r="B7548" s="499"/>
      <c r="C7548" s="49"/>
      <c r="D7548" s="61"/>
      <c r="E7548" s="61"/>
      <c r="F7548" s="61"/>
      <c r="G7548" s="61"/>
      <c r="H7548" s="61"/>
      <c r="I7548" s="61"/>
      <c r="J7548" s="60"/>
      <c r="K7548" s="61"/>
    </row>
    <row r="7549" spans="1:11">
      <c r="A7549" s="848"/>
      <c r="B7549" s="1234" t="s">
        <v>6634</v>
      </c>
      <c r="C7549" s="1236" t="s">
        <v>4443</v>
      </c>
      <c r="D7549" s="1236" t="s">
        <v>2370</v>
      </c>
      <c r="E7549" s="1236" t="s">
        <v>1166</v>
      </c>
      <c r="F7549" s="503" t="s">
        <v>2371</v>
      </c>
      <c r="G7549" s="1236" t="s">
        <v>6248</v>
      </c>
      <c r="H7549" s="61"/>
      <c r="I7549" s="61"/>
      <c r="J7549" s="60"/>
      <c r="K7549" s="61"/>
    </row>
    <row r="7550" spans="1:11">
      <c r="A7550" s="848"/>
      <c r="B7550" s="1235"/>
      <c r="C7550" s="1237"/>
      <c r="D7550" s="1237"/>
      <c r="E7550" s="1237"/>
      <c r="F7550" s="505" t="s">
        <v>3485</v>
      </c>
      <c r="G7550" s="1237"/>
      <c r="H7550" s="61"/>
      <c r="I7550" s="61"/>
      <c r="J7550" s="495"/>
      <c r="K7550" s="61"/>
    </row>
    <row r="7551" spans="1:11">
      <c r="A7551" s="848"/>
      <c r="B7551" s="599">
        <v>1</v>
      </c>
      <c r="C7551" s="506" t="s">
        <v>190</v>
      </c>
      <c r="D7551" s="482" t="s">
        <v>2374</v>
      </c>
      <c r="E7551" s="507">
        <v>4</v>
      </c>
      <c r="F7551" s="266">
        <f>'HIRE CHARGES'!$F$517</f>
        <v>111.1</v>
      </c>
      <c r="G7551" s="450">
        <f>E7551*F7551</f>
        <v>444.4</v>
      </c>
      <c r="H7551" s="61"/>
      <c r="I7551" s="61"/>
      <c r="J7551" s="495"/>
      <c r="K7551" s="61"/>
    </row>
    <row r="7552" spans="1:11">
      <c r="A7552" s="848"/>
      <c r="B7552" s="599">
        <v>2</v>
      </c>
      <c r="C7552" s="506" t="s">
        <v>5606</v>
      </c>
      <c r="D7552" s="482" t="s">
        <v>1172</v>
      </c>
      <c r="E7552" s="507">
        <v>13</v>
      </c>
      <c r="F7552" s="255">
        <f>'BASIC DATA'!$C$474</f>
        <v>445</v>
      </c>
      <c r="G7552" s="450">
        <f>E7552*F7552</f>
        <v>5785</v>
      </c>
      <c r="H7552" s="61"/>
      <c r="I7552" s="61"/>
      <c r="J7552" s="496"/>
      <c r="K7552" s="61"/>
    </row>
    <row r="7553" spans="1:11">
      <c r="A7553" s="848"/>
      <c r="B7553" s="599">
        <v>3</v>
      </c>
      <c r="C7553" s="506" t="s">
        <v>5607</v>
      </c>
      <c r="D7553" s="482" t="s">
        <v>1172</v>
      </c>
      <c r="E7553" s="507">
        <v>6</v>
      </c>
      <c r="F7553" s="255">
        <f>'BASIC DATA'!$C$541</f>
        <v>400</v>
      </c>
      <c r="G7553" s="450">
        <f>E7553*F7553</f>
        <v>2400</v>
      </c>
      <c r="H7553" s="61"/>
      <c r="I7553" s="61"/>
      <c r="J7553" s="496"/>
      <c r="K7553" s="61"/>
    </row>
    <row r="7554" spans="1:11">
      <c r="A7554" s="848"/>
      <c r="B7554" s="599">
        <v>4</v>
      </c>
      <c r="C7554" s="506" t="s">
        <v>4647</v>
      </c>
      <c r="D7554" s="482" t="s">
        <v>1172</v>
      </c>
      <c r="E7554" s="507">
        <v>29</v>
      </c>
      <c r="F7554" s="450">
        <f>'BASIC DATA'!$C$552</f>
        <v>350</v>
      </c>
      <c r="G7554" s="450">
        <f>E7554*F7554</f>
        <v>10150</v>
      </c>
      <c r="H7554" s="61"/>
      <c r="I7554" s="61"/>
      <c r="J7554" s="496"/>
      <c r="K7554" s="61"/>
    </row>
    <row r="7555" spans="1:11" ht="36">
      <c r="A7555" s="848"/>
      <c r="B7555" s="599">
        <v>5</v>
      </c>
      <c r="C7555" s="506" t="s">
        <v>7658</v>
      </c>
      <c r="D7555" s="482" t="s">
        <v>1172</v>
      </c>
      <c r="E7555" s="507">
        <v>1</v>
      </c>
      <c r="F7555" s="255">
        <f>'BASIC DATA'!$C$511</f>
        <v>465</v>
      </c>
      <c r="G7555" s="450">
        <f>E7555*F7555</f>
        <v>465</v>
      </c>
      <c r="H7555" s="61"/>
      <c r="I7555" s="61"/>
      <c r="J7555" s="497"/>
      <c r="K7555" s="61"/>
    </row>
    <row r="7556" spans="1:11">
      <c r="A7556" s="848"/>
      <c r="B7556" s="606"/>
      <c r="C7556" s="1231" t="s">
        <v>671</v>
      </c>
      <c r="D7556" s="1231"/>
      <c r="E7556" s="1231"/>
      <c r="F7556" s="1232"/>
      <c r="G7556" s="514">
        <f>SUM(G7551:G7555)</f>
        <v>19244.400000000001</v>
      </c>
      <c r="H7556" s="61"/>
      <c r="I7556" s="61"/>
      <c r="J7556" s="60"/>
      <c r="K7556" s="61"/>
    </row>
    <row r="7557" spans="1:11">
      <c r="A7557" s="848"/>
      <c r="B7557" s="359" t="s">
        <v>5948</v>
      </c>
      <c r="C7557" s="355"/>
      <c r="D7557" s="31"/>
      <c r="E7557" s="85">
        <f>ROUND(G7556/F7527,1)</f>
        <v>1924.4</v>
      </c>
      <c r="F7557" s="61"/>
      <c r="G7557" s="61"/>
      <c r="H7557" s="61"/>
      <c r="I7557" s="61"/>
      <c r="J7557" s="495"/>
      <c r="K7557" s="61"/>
    </row>
    <row r="7558" spans="1:11">
      <c r="A7558" s="848"/>
      <c r="B7558" s="359" t="s">
        <v>3163</v>
      </c>
      <c r="C7558" s="355"/>
      <c r="D7558" s="922">
        <f>'BASIC DATA'!$C$577</f>
        <v>0.13614999999999999</v>
      </c>
      <c r="E7558" s="85">
        <f>ROUND(E7557*D7558,1)</f>
        <v>262</v>
      </c>
      <c r="F7558" s="61"/>
      <c r="G7558" s="61"/>
      <c r="H7558" s="61"/>
      <c r="I7558" s="61"/>
      <c r="J7558" s="495"/>
      <c r="K7558" s="61"/>
    </row>
    <row r="7559" spans="1:11">
      <c r="A7559" s="848"/>
      <c r="B7559" s="359" t="s">
        <v>5949</v>
      </c>
      <c r="C7559" s="355"/>
      <c r="D7559" s="31"/>
      <c r="E7559" s="199">
        <f>ROUND(E7558+E7557,1)</f>
        <v>2186.4</v>
      </c>
      <c r="F7559" s="61"/>
      <c r="G7559" s="61"/>
      <c r="H7559" s="61"/>
      <c r="I7559" s="61"/>
      <c r="J7559" s="495"/>
      <c r="K7559" s="61"/>
    </row>
    <row r="7560" spans="1:11">
      <c r="A7560" s="848"/>
      <c r="B7560" s="382"/>
      <c r="C7560" s="49"/>
      <c r="D7560" s="61"/>
      <c r="E7560" s="61"/>
      <c r="F7560" s="61"/>
      <c r="G7560" s="61"/>
      <c r="H7560" s="61"/>
      <c r="I7560" s="61"/>
      <c r="J7560" s="495"/>
      <c r="K7560" s="61"/>
    </row>
    <row r="7561" spans="1:11" ht="36">
      <c r="A7561" s="848"/>
      <c r="B7561" s="499" t="s">
        <v>1139</v>
      </c>
      <c r="C7561" s="49"/>
      <c r="D7561" s="61"/>
      <c r="E7561" s="61"/>
      <c r="F7561" s="61"/>
      <c r="G7561" s="61"/>
      <c r="H7561" s="61"/>
      <c r="I7561" s="61"/>
      <c r="J7561" s="496"/>
      <c r="K7561" s="61"/>
    </row>
    <row r="7562" spans="1:11">
      <c r="A7562" s="848"/>
      <c r="B7562" s="1241" t="s">
        <v>1176</v>
      </c>
      <c r="C7562" s="1241"/>
      <c r="D7562" s="61"/>
      <c r="E7562" s="61"/>
      <c r="F7562" s="515" t="s">
        <v>4108</v>
      </c>
      <c r="G7562" s="515">
        <f>G7536</f>
        <v>9297.7200000000012</v>
      </c>
      <c r="H7562" s="61"/>
      <c r="I7562" s="61"/>
      <c r="J7562" s="496"/>
      <c r="K7562" s="61"/>
    </row>
    <row r="7563" spans="1:11">
      <c r="A7563" s="848"/>
      <c r="B7563" s="1241" t="s">
        <v>7003</v>
      </c>
      <c r="C7563" s="1241"/>
      <c r="D7563" s="61"/>
      <c r="E7563" s="61"/>
      <c r="F7563" s="515" t="s">
        <v>4108</v>
      </c>
      <c r="G7563" s="515">
        <f>G7545</f>
        <v>481.3</v>
      </c>
      <c r="H7563" s="61"/>
      <c r="I7563" s="61"/>
      <c r="J7563" s="496"/>
      <c r="K7563" s="61"/>
    </row>
    <row r="7564" spans="1:11">
      <c r="A7564" s="848"/>
      <c r="B7564" s="57" t="s">
        <v>2660</v>
      </c>
      <c r="C7564" s="516"/>
      <c r="D7564" s="61"/>
      <c r="E7564" s="61"/>
      <c r="F7564" s="515" t="s">
        <v>4108</v>
      </c>
      <c r="G7564" s="517">
        <f>G7556</f>
        <v>19244.400000000001</v>
      </c>
      <c r="H7564" s="61"/>
      <c r="I7564" s="61"/>
      <c r="J7564" s="497"/>
      <c r="K7564" s="61"/>
    </row>
    <row r="7565" spans="1:11">
      <c r="A7565" s="847"/>
      <c r="B7565" s="78"/>
      <c r="C7565" s="48"/>
      <c r="E7565" s="171" t="s">
        <v>4835</v>
      </c>
      <c r="F7565" s="171" t="s">
        <v>1173</v>
      </c>
      <c r="G7565" s="205">
        <f>SUM(G7562:G7564)</f>
        <v>29023.420000000002</v>
      </c>
    </row>
    <row r="7566" spans="1:11" ht="39" customHeight="1">
      <c r="A7566" s="847"/>
      <c r="B7566" s="1207" t="s">
        <v>1379</v>
      </c>
      <c r="C7566" s="1207"/>
      <c r="D7566" s="1207"/>
      <c r="E7566" s="922">
        <f>'BASIC DATA'!$C$577</f>
        <v>0.13614999999999999</v>
      </c>
      <c r="F7566" s="171" t="s">
        <v>1698</v>
      </c>
      <c r="G7566" s="31">
        <f>ROUND(G7565*E7566,2)</f>
        <v>3951.54</v>
      </c>
    </row>
    <row r="7567" spans="1:11">
      <c r="A7567" s="847"/>
      <c r="B7567" s="47" t="s">
        <v>1191</v>
      </c>
      <c r="C7567" s="48"/>
      <c r="D7567" s="68">
        <f>F7527</f>
        <v>10</v>
      </c>
      <c r="E7567" s="68" t="str">
        <f>G7527</f>
        <v>Cum</v>
      </c>
      <c r="F7567" s="171" t="s">
        <v>1698</v>
      </c>
      <c r="G7567" s="211">
        <f>G7566+G7565</f>
        <v>32974.959999999999</v>
      </c>
    </row>
    <row r="7568" spans="1:11">
      <c r="A7568" s="848"/>
      <c r="B7568" s="79" t="s">
        <v>1584</v>
      </c>
      <c r="C7568" s="404" t="str">
        <f>E7567</f>
        <v>Cum</v>
      </c>
      <c r="D7568" s="26" t="s">
        <v>5891</v>
      </c>
      <c r="F7568" s="171" t="s">
        <v>4108</v>
      </c>
      <c r="G7568" s="211">
        <f>ROUND(G7567/D7567,1)</f>
        <v>3297.5</v>
      </c>
      <c r="H7568" s="61"/>
      <c r="I7568" s="61"/>
      <c r="J7568" s="49"/>
      <c r="K7568" s="61"/>
    </row>
    <row r="7569" spans="1:10">
      <c r="A7569" s="847"/>
      <c r="B7569" s="78"/>
      <c r="C7569" s="48"/>
      <c r="F7569" s="171"/>
      <c r="G7569" s="68"/>
      <c r="J7569" s="49"/>
    </row>
    <row r="7570" spans="1:10">
      <c r="A7570" s="847"/>
      <c r="B7570" s="78"/>
      <c r="C7570" s="48"/>
      <c r="F7570" s="171"/>
      <c r="G7570" s="68"/>
      <c r="J7570" s="49"/>
    </row>
    <row r="7571" spans="1:10" ht="36">
      <c r="A7571" s="841" t="s">
        <v>7513</v>
      </c>
      <c r="B7571" s="47" t="s">
        <v>8864</v>
      </c>
      <c r="C7571" s="48"/>
      <c r="J7571" s="435"/>
    </row>
    <row r="7572" spans="1:10">
      <c r="A7572" s="889"/>
      <c r="B7572" s="47" t="s">
        <v>8865</v>
      </c>
      <c r="C7572" s="48"/>
      <c r="J7572" s="435"/>
    </row>
    <row r="7573" spans="1:10">
      <c r="A7573" s="895"/>
      <c r="B7573" s="47" t="s">
        <v>4285</v>
      </c>
      <c r="C7573" s="48"/>
      <c r="J7573" s="61"/>
    </row>
    <row r="7574" spans="1:10">
      <c r="A7574" s="889"/>
      <c r="B7574" s="162" t="s">
        <v>890</v>
      </c>
      <c r="C7574" s="48"/>
      <c r="F7574" s="78"/>
      <c r="J7574" s="61"/>
    </row>
    <row r="7575" spans="1:10">
      <c r="A7575" s="889"/>
      <c r="B7575" s="162" t="s">
        <v>5383</v>
      </c>
      <c r="C7575" s="48"/>
    </row>
    <row r="7576" spans="1:10">
      <c r="A7576" s="847"/>
      <c r="B7576" s="78"/>
      <c r="C7576" s="48"/>
      <c r="J7576" s="61"/>
    </row>
    <row r="7577" spans="1:10">
      <c r="A7577" s="847"/>
      <c r="B7577" s="325" t="s">
        <v>1940</v>
      </c>
      <c r="C7577" s="47" t="s">
        <v>4286</v>
      </c>
      <c r="J7577" s="61"/>
    </row>
    <row r="7578" spans="1:10">
      <c r="A7578" s="847"/>
      <c r="B7578" s="78"/>
      <c r="C7578" s="48"/>
      <c r="J7578" s="61"/>
    </row>
    <row r="7579" spans="1:10" hidden="1">
      <c r="A7579" s="889" t="s">
        <v>3984</v>
      </c>
      <c r="B7579" s="47" t="s">
        <v>1616</v>
      </c>
      <c r="J7579" s="61"/>
    </row>
    <row r="7580" spans="1:10" hidden="1">
      <c r="A7580" s="847"/>
      <c r="B7580" s="47" t="s">
        <v>4287</v>
      </c>
      <c r="F7580" s="78" t="s">
        <v>1697</v>
      </c>
      <c r="G7580" s="26">
        <v>30</v>
      </c>
      <c r="H7580" s="26" t="s">
        <v>4809</v>
      </c>
      <c r="J7580" s="61"/>
    </row>
    <row r="7581" spans="1:10" hidden="1">
      <c r="A7581" s="847"/>
      <c r="B7581" s="47" t="s">
        <v>1618</v>
      </c>
      <c r="F7581" s="78" t="s">
        <v>1697</v>
      </c>
      <c r="G7581" s="68">
        <v>4</v>
      </c>
      <c r="H7581" s="26" t="s">
        <v>6901</v>
      </c>
      <c r="J7581" s="61"/>
    </row>
    <row r="7582" spans="1:10" hidden="1">
      <c r="A7582" s="847"/>
      <c r="B7582" s="47" t="s">
        <v>6669</v>
      </c>
      <c r="F7582" s="78" t="s">
        <v>1697</v>
      </c>
      <c r="G7582" s="26">
        <v>1144</v>
      </c>
      <c r="H7582" s="26" t="s">
        <v>3033</v>
      </c>
      <c r="J7582" s="61"/>
    </row>
    <row r="7583" spans="1:10" hidden="1">
      <c r="A7583" s="847"/>
      <c r="B7583" s="47" t="s">
        <v>4547</v>
      </c>
      <c r="F7583" s="78" t="s">
        <v>1697</v>
      </c>
      <c r="G7583" s="68">
        <v>4</v>
      </c>
      <c r="H7583" s="26" t="s">
        <v>6901</v>
      </c>
      <c r="J7583" s="61"/>
    </row>
    <row r="7584" spans="1:10" hidden="1">
      <c r="A7584" s="847"/>
      <c r="B7584" s="47" t="s">
        <v>1619</v>
      </c>
      <c r="F7584" s="78" t="s">
        <v>1697</v>
      </c>
      <c r="G7584" s="26">
        <v>9.6</v>
      </c>
      <c r="H7584" s="26" t="s">
        <v>6901</v>
      </c>
      <c r="J7584" s="61"/>
    </row>
    <row r="7585" spans="1:10" hidden="1">
      <c r="A7585" s="847"/>
      <c r="B7585" s="47" t="s">
        <v>1620</v>
      </c>
      <c r="E7585" s="26">
        <f>9.6/0.3*1</f>
        <v>32</v>
      </c>
      <c r="F7585" s="78" t="s">
        <v>1697</v>
      </c>
      <c r="G7585" s="26">
        <f>E7585</f>
        <v>32</v>
      </c>
      <c r="H7585" s="26" t="s">
        <v>3436</v>
      </c>
      <c r="I7585" s="26" t="s">
        <v>1564</v>
      </c>
      <c r="J7585" s="61"/>
    </row>
    <row r="7586" spans="1:10" hidden="1">
      <c r="A7586" s="847"/>
      <c r="B7586" s="47" t="s">
        <v>4074</v>
      </c>
      <c r="F7586" s="78" t="s">
        <v>1697</v>
      </c>
      <c r="G7586" s="26">
        <v>1.5</v>
      </c>
      <c r="H7586" s="26" t="s">
        <v>6901</v>
      </c>
      <c r="J7586" s="61"/>
    </row>
    <row r="7587" spans="1:10" hidden="1">
      <c r="A7587" s="847"/>
      <c r="B7587" s="47" t="s">
        <v>4075</v>
      </c>
      <c r="F7587" s="78"/>
      <c r="J7587" s="61"/>
    </row>
    <row r="7588" spans="1:10" hidden="1">
      <c r="A7588" s="847"/>
      <c r="B7588" s="47" t="s">
        <v>4705</v>
      </c>
      <c r="F7588" s="78"/>
      <c r="J7588" s="61"/>
    </row>
    <row r="7589" spans="1:10" hidden="1">
      <c r="A7589" s="847"/>
      <c r="B7589" s="47" t="s">
        <v>4255</v>
      </c>
      <c r="F7589" s="78" t="s">
        <v>1697</v>
      </c>
      <c r="G7589" s="26">
        <v>2</v>
      </c>
      <c r="H7589" s="26" t="s">
        <v>3436</v>
      </c>
      <c r="J7589" s="61"/>
    </row>
    <row r="7590" spans="1:10" hidden="1">
      <c r="A7590" s="847"/>
      <c r="B7590" s="47" t="s">
        <v>4256</v>
      </c>
      <c r="F7590" s="78" t="s">
        <v>1697</v>
      </c>
      <c r="G7590" s="26">
        <v>2</v>
      </c>
      <c r="H7590" s="26" t="s">
        <v>3436</v>
      </c>
      <c r="J7590" s="61"/>
    </row>
    <row r="7591" spans="1:10" hidden="1">
      <c r="A7591" s="847"/>
      <c r="B7591" s="47" t="s">
        <v>4702</v>
      </c>
      <c r="F7591" s="78" t="s">
        <v>1697</v>
      </c>
      <c r="G7591" s="26">
        <v>2</v>
      </c>
      <c r="H7591" s="26" t="s">
        <v>3436</v>
      </c>
      <c r="J7591" s="61"/>
    </row>
    <row r="7592" spans="1:10" hidden="1">
      <c r="A7592" s="847"/>
      <c r="B7592" s="47" t="s">
        <v>1571</v>
      </c>
      <c r="F7592" s="78" t="s">
        <v>1697</v>
      </c>
      <c r="G7592" s="26">
        <v>1</v>
      </c>
      <c r="H7592" s="26" t="s">
        <v>3035</v>
      </c>
      <c r="J7592" s="61"/>
    </row>
    <row r="7593" spans="1:10" hidden="1">
      <c r="A7593" s="847"/>
      <c r="B7593" s="47" t="s">
        <v>4703</v>
      </c>
      <c r="F7593" s="78" t="s">
        <v>1697</v>
      </c>
      <c r="G7593" s="26">
        <v>1</v>
      </c>
      <c r="H7593" s="26" t="s">
        <v>3035</v>
      </c>
      <c r="J7593" s="61"/>
    </row>
    <row r="7594" spans="1:10" hidden="1">
      <c r="A7594" s="847"/>
      <c r="B7594" s="47" t="s">
        <v>3946</v>
      </c>
      <c r="F7594" s="78" t="s">
        <v>1697</v>
      </c>
      <c r="G7594" s="26">
        <v>2</v>
      </c>
      <c r="H7594" s="26" t="s">
        <v>3436</v>
      </c>
      <c r="J7594" s="61"/>
    </row>
    <row r="7595" spans="1:10" hidden="1">
      <c r="A7595" s="847"/>
      <c r="B7595" s="47" t="s">
        <v>4704</v>
      </c>
      <c r="F7595" s="78" t="s">
        <v>1697</v>
      </c>
      <c r="G7595" s="26">
        <v>1</v>
      </c>
      <c r="H7595" s="26" t="s">
        <v>3035</v>
      </c>
      <c r="J7595" s="61"/>
    </row>
    <row r="7596" spans="1:10" hidden="1">
      <c r="A7596" s="847"/>
      <c r="B7596" s="47" t="s">
        <v>2307</v>
      </c>
      <c r="F7596" s="78" t="s">
        <v>1697</v>
      </c>
      <c r="G7596" s="26">
        <v>1</v>
      </c>
      <c r="H7596" s="26" t="s">
        <v>3035</v>
      </c>
      <c r="J7596" s="61"/>
    </row>
    <row r="7597" spans="1:10" hidden="1">
      <c r="A7597" s="847"/>
      <c r="B7597" s="47" t="s">
        <v>3945</v>
      </c>
      <c r="F7597" s="78" t="s">
        <v>1697</v>
      </c>
      <c r="G7597" s="26">
        <v>1</v>
      </c>
      <c r="H7597" s="26" t="s">
        <v>3035</v>
      </c>
      <c r="J7597" s="61"/>
    </row>
    <row r="7598" spans="1:10">
      <c r="A7598" s="847"/>
      <c r="B7598" s="78"/>
      <c r="C7598" s="48"/>
      <c r="J7598" s="61"/>
    </row>
    <row r="7599" spans="1:10">
      <c r="A7599" s="848" t="s">
        <v>3984</v>
      </c>
      <c r="B7599" s="78"/>
      <c r="C7599" s="349" t="s">
        <v>2367</v>
      </c>
      <c r="E7599" s="171" t="s">
        <v>297</v>
      </c>
      <c r="F7599" s="246">
        <v>10</v>
      </c>
      <c r="G7599" s="26" t="s">
        <v>3477</v>
      </c>
      <c r="J7599" s="61"/>
    </row>
    <row r="7600" spans="1:10">
      <c r="A7600" s="847"/>
      <c r="B7600" s="79" t="s">
        <v>2368</v>
      </c>
      <c r="C7600" s="48"/>
      <c r="J7600" s="61"/>
    </row>
    <row r="7601" spans="1:11">
      <c r="A7601" s="847"/>
      <c r="B7601" s="95" t="s">
        <v>2369</v>
      </c>
      <c r="C7601" s="350" t="s">
        <v>6374</v>
      </c>
      <c r="D7601" s="95" t="s">
        <v>2370</v>
      </c>
      <c r="E7601" s="95" t="s">
        <v>1166</v>
      </c>
      <c r="F7601" s="95" t="s">
        <v>2371</v>
      </c>
      <c r="G7601" s="95" t="s">
        <v>2372</v>
      </c>
      <c r="J7601" s="61"/>
    </row>
    <row r="7602" spans="1:11">
      <c r="A7602" s="847"/>
      <c r="B7602" s="114"/>
      <c r="C7602" s="351"/>
      <c r="D7602" s="114"/>
      <c r="E7602" s="114"/>
      <c r="F7602" s="114" t="s">
        <v>3485</v>
      </c>
      <c r="G7602" s="114" t="s">
        <v>3485</v>
      </c>
      <c r="J7602" s="61"/>
    </row>
    <row r="7603" spans="1:11">
      <c r="A7603" s="847"/>
      <c r="B7603" s="95">
        <v>1</v>
      </c>
      <c r="C7603" s="86" t="s">
        <v>7327</v>
      </c>
      <c r="D7603" s="451" t="s">
        <v>3478</v>
      </c>
      <c r="E7603" s="220">
        <f>G7582</f>
        <v>1144</v>
      </c>
      <c r="F7603" s="68">
        <f>'BASIC DATA'!$D$32/1000</f>
        <v>5.35</v>
      </c>
      <c r="G7603" s="449">
        <f>E7603*F7603</f>
        <v>6120.4</v>
      </c>
      <c r="J7603" s="61"/>
    </row>
    <row r="7604" spans="1:11">
      <c r="A7604" s="848"/>
      <c r="B7604" s="240">
        <v>2</v>
      </c>
      <c r="C7604" s="392" t="s">
        <v>7937</v>
      </c>
      <c r="D7604" s="452" t="s">
        <v>3477</v>
      </c>
      <c r="E7604" s="256">
        <f>G7583</f>
        <v>4</v>
      </c>
      <c r="F7604" s="266">
        <f>'BASIC DATA'!$D$57</f>
        <v>165</v>
      </c>
      <c r="G7604" s="450">
        <f>E7604*F7604</f>
        <v>660</v>
      </c>
      <c r="H7604" s="61"/>
      <c r="I7604" s="61"/>
      <c r="J7604" s="61"/>
      <c r="K7604" s="61"/>
    </row>
    <row r="7605" spans="1:11">
      <c r="A7605" s="847"/>
      <c r="B7605" s="105">
        <v>3</v>
      </c>
      <c r="C7605" s="86" t="s">
        <v>4288</v>
      </c>
      <c r="D7605" s="319" t="s">
        <v>3477</v>
      </c>
      <c r="E7605" s="220">
        <v>9.6</v>
      </c>
      <c r="F7605" s="190">
        <f>'BASIC DATA'!$D$107</f>
        <v>155</v>
      </c>
      <c r="G7605" s="449">
        <f>E7605*F7605</f>
        <v>1488</v>
      </c>
      <c r="J7605" s="61"/>
    </row>
    <row r="7606" spans="1:11">
      <c r="A7606" s="847"/>
      <c r="B7606" s="105">
        <v>4</v>
      </c>
      <c r="C7606" s="86" t="s">
        <v>4258</v>
      </c>
      <c r="D7606" s="319" t="s">
        <v>2059</v>
      </c>
      <c r="E7606" s="220">
        <v>32</v>
      </c>
      <c r="F7606" s="214">
        <f>'BASIC DATA'!$D$104</f>
        <v>22</v>
      </c>
      <c r="G7606" s="449">
        <f>E7606*F7606</f>
        <v>704</v>
      </c>
      <c r="J7606" s="61"/>
    </row>
    <row r="7607" spans="1:11">
      <c r="A7607" s="847"/>
      <c r="B7607" s="114">
        <v>5</v>
      </c>
      <c r="C7607" s="86" t="s">
        <v>4289</v>
      </c>
      <c r="D7607" s="467" t="s">
        <v>3477</v>
      </c>
      <c r="E7607" s="220">
        <v>1.5</v>
      </c>
      <c r="F7607" s="190">
        <f>'BASIC DATA'!$D$95</f>
        <v>185</v>
      </c>
      <c r="G7607" s="449">
        <f>E7607*F7607</f>
        <v>277.5</v>
      </c>
      <c r="J7607" s="61"/>
    </row>
    <row r="7608" spans="1:11">
      <c r="A7608" s="847"/>
      <c r="B7608" s="92"/>
      <c r="C7608" s="353" t="s">
        <v>2376</v>
      </c>
      <c r="D7608" s="159"/>
      <c r="E7608" s="238"/>
      <c r="F7608" s="236" t="s">
        <v>1698</v>
      </c>
      <c r="G7608" s="318">
        <f>SUM(G7603:G7607)</f>
        <v>9249.9</v>
      </c>
      <c r="J7608" s="61"/>
    </row>
    <row r="7609" spans="1:11">
      <c r="A7609" s="847"/>
      <c r="B7609" s="78"/>
      <c r="C7609" s="48"/>
      <c r="J7609" s="61"/>
    </row>
    <row r="7610" spans="1:11">
      <c r="A7610" s="847"/>
      <c r="B7610" s="79" t="s">
        <v>2377</v>
      </c>
      <c r="C7610" s="48"/>
      <c r="J7610" s="61"/>
    </row>
    <row r="7611" spans="1:11">
      <c r="A7611" s="847"/>
      <c r="B7611" s="95" t="s">
        <v>2369</v>
      </c>
      <c r="C7611" s="350" t="s">
        <v>2378</v>
      </c>
      <c r="D7611" s="95" t="s">
        <v>2370</v>
      </c>
      <c r="E7611" s="95" t="s">
        <v>1166</v>
      </c>
      <c r="F7611" s="95" t="s">
        <v>2371</v>
      </c>
      <c r="G7611" s="95" t="s">
        <v>2372</v>
      </c>
      <c r="J7611" s="61"/>
    </row>
    <row r="7612" spans="1:11">
      <c r="A7612" s="847"/>
      <c r="B7612" s="114"/>
      <c r="C7612" s="351"/>
      <c r="D7612" s="114"/>
      <c r="E7612" s="114"/>
      <c r="F7612" s="114" t="s">
        <v>3485</v>
      </c>
      <c r="G7612" s="114" t="s">
        <v>3485</v>
      </c>
      <c r="J7612" s="61"/>
    </row>
    <row r="7613" spans="1:11">
      <c r="A7613" s="847"/>
      <c r="B7613" s="95">
        <v>1</v>
      </c>
      <c r="C7613" s="86" t="s">
        <v>189</v>
      </c>
      <c r="D7613" s="95" t="s">
        <v>2374</v>
      </c>
      <c r="E7613" s="220">
        <v>4</v>
      </c>
      <c r="F7613" s="214">
        <f>'HIRE CHARGES'!$D$517</f>
        <v>10.199999999999999</v>
      </c>
      <c r="G7613" s="449">
        <f>E7613*F7613</f>
        <v>40.799999999999997</v>
      </c>
      <c r="J7613" s="61"/>
    </row>
    <row r="7614" spans="1:11">
      <c r="A7614" s="847"/>
      <c r="B7614" s="116"/>
      <c r="C7614" s="86" t="s">
        <v>2379</v>
      </c>
      <c r="D7614" s="114" t="s">
        <v>2374</v>
      </c>
      <c r="E7614" s="220">
        <v>4</v>
      </c>
      <c r="F7614" s="214">
        <f>'HIRE CHARGES'!$E$517</f>
        <v>79.3</v>
      </c>
      <c r="G7614" s="449">
        <f>E7614*F7614</f>
        <v>317.2</v>
      </c>
      <c r="J7614" s="61"/>
    </row>
    <row r="7615" spans="1:11">
      <c r="A7615" s="847"/>
      <c r="B7615" s="176"/>
      <c r="C7615" s="357" t="s">
        <v>2380</v>
      </c>
      <c r="D7615" s="174"/>
      <c r="E7615" s="192"/>
      <c r="F7615" s="236" t="s">
        <v>1698</v>
      </c>
      <c r="G7615" s="318">
        <f>SUM(G7613:G7614)</f>
        <v>358</v>
      </c>
      <c r="J7615" s="61"/>
    </row>
    <row r="7616" spans="1:11">
      <c r="A7616" s="847"/>
      <c r="B7616" s="78"/>
      <c r="C7616" s="48"/>
      <c r="J7616" s="61"/>
    </row>
    <row r="7617" spans="1:10">
      <c r="A7617" s="847"/>
      <c r="B7617" s="79" t="s">
        <v>2381</v>
      </c>
      <c r="C7617" s="48"/>
      <c r="J7617" s="61"/>
    </row>
    <row r="7618" spans="1:10">
      <c r="A7618" s="847"/>
      <c r="B7618" s="95" t="s">
        <v>2369</v>
      </c>
      <c r="C7618" s="350" t="s">
        <v>2378</v>
      </c>
      <c r="D7618" s="95" t="s">
        <v>2370</v>
      </c>
      <c r="E7618" s="95" t="s">
        <v>1166</v>
      </c>
      <c r="F7618" s="95" t="s">
        <v>2371</v>
      </c>
      <c r="G7618" s="95" t="s">
        <v>2372</v>
      </c>
      <c r="J7618" s="61"/>
    </row>
    <row r="7619" spans="1:10">
      <c r="A7619" s="847"/>
      <c r="B7619" s="114"/>
      <c r="C7619" s="351"/>
      <c r="D7619" s="105"/>
      <c r="E7619" s="114"/>
      <c r="F7619" s="114" t="s">
        <v>3485</v>
      </c>
      <c r="G7619" s="114" t="s">
        <v>3485</v>
      </c>
      <c r="J7619" s="61"/>
    </row>
    <row r="7620" spans="1:10">
      <c r="A7620" s="847"/>
      <c r="B7620" s="105">
        <v>1</v>
      </c>
      <c r="C7620" s="86" t="s">
        <v>190</v>
      </c>
      <c r="D7620" s="95" t="s">
        <v>2374</v>
      </c>
      <c r="E7620" s="207">
        <v>4</v>
      </c>
      <c r="F7620" s="214">
        <f>'HIRE CHARGES'!$F$517</f>
        <v>111.1</v>
      </c>
      <c r="G7620" s="449">
        <f t="shared" ref="G7620:G7626" si="110">E7620*F7620</f>
        <v>444.4</v>
      </c>
      <c r="J7620" s="61"/>
    </row>
    <row r="7621" spans="1:10">
      <c r="A7621" s="847"/>
      <c r="B7621" s="240">
        <v>2</v>
      </c>
      <c r="C7621" s="392" t="s">
        <v>4206</v>
      </c>
      <c r="D7621" s="240" t="s">
        <v>1172</v>
      </c>
      <c r="E7621" s="393">
        <v>1</v>
      </c>
      <c r="F7621" s="190">
        <f>'BASIC DATA'!$C$473</f>
        <v>450</v>
      </c>
      <c r="G7621" s="449">
        <f t="shared" si="110"/>
        <v>450</v>
      </c>
      <c r="H7621" s="61"/>
      <c r="J7621" s="61"/>
    </row>
    <row r="7622" spans="1:10">
      <c r="A7622" s="847"/>
      <c r="B7622" s="240">
        <v>3</v>
      </c>
      <c r="C7622" s="392" t="s">
        <v>5606</v>
      </c>
      <c r="D7622" s="240" t="s">
        <v>1172</v>
      </c>
      <c r="E7622" s="393">
        <v>2</v>
      </c>
      <c r="F7622" s="190">
        <f>'BASIC DATA'!$C$474</f>
        <v>445</v>
      </c>
      <c r="G7622" s="449">
        <f t="shared" si="110"/>
        <v>890</v>
      </c>
      <c r="H7622" s="61"/>
      <c r="J7622" s="61"/>
    </row>
    <row r="7623" spans="1:10">
      <c r="A7623" s="847"/>
      <c r="B7623" s="240">
        <v>4</v>
      </c>
      <c r="C7623" s="392" t="s">
        <v>5607</v>
      </c>
      <c r="D7623" s="240" t="s">
        <v>1172</v>
      </c>
      <c r="E7623" s="393">
        <v>2</v>
      </c>
      <c r="F7623" s="190">
        <f>'BASIC DATA'!$C$541</f>
        <v>400</v>
      </c>
      <c r="G7623" s="449">
        <f t="shared" si="110"/>
        <v>800</v>
      </c>
      <c r="H7623" s="61"/>
      <c r="J7623" s="61"/>
    </row>
    <row r="7624" spans="1:10">
      <c r="A7624" s="847"/>
      <c r="B7624" s="240">
        <v>5</v>
      </c>
      <c r="C7624" s="392" t="s">
        <v>5603</v>
      </c>
      <c r="D7624" s="240" t="s">
        <v>1172</v>
      </c>
      <c r="E7624" s="393">
        <v>1</v>
      </c>
      <c r="F7624" s="190">
        <f>'BASIC DATA'!$C$514</f>
        <v>400</v>
      </c>
      <c r="G7624" s="449">
        <f t="shared" si="110"/>
        <v>400</v>
      </c>
      <c r="H7624" s="61"/>
      <c r="J7624" s="61"/>
    </row>
    <row r="7625" spans="1:10">
      <c r="A7625" s="847"/>
      <c r="B7625" s="240">
        <v>6</v>
      </c>
      <c r="C7625" s="392" t="s">
        <v>2697</v>
      </c>
      <c r="D7625" s="240" t="s">
        <v>1172</v>
      </c>
      <c r="E7625" s="393">
        <v>9</v>
      </c>
      <c r="F7625" s="190">
        <f>'BASIC DATA'!$C$552</f>
        <v>350</v>
      </c>
      <c r="G7625" s="449">
        <f t="shared" si="110"/>
        <v>3150</v>
      </c>
      <c r="H7625" s="61"/>
      <c r="J7625" s="61"/>
    </row>
    <row r="7626" spans="1:10" ht="36">
      <c r="A7626" s="847"/>
      <c r="B7626" s="240">
        <v>7</v>
      </c>
      <c r="C7626" s="392" t="s">
        <v>7658</v>
      </c>
      <c r="D7626" s="240" t="s">
        <v>1172</v>
      </c>
      <c r="E7626" s="393">
        <v>1</v>
      </c>
      <c r="F7626" s="190">
        <f>'BASIC DATA'!$C$511</f>
        <v>465</v>
      </c>
      <c r="G7626" s="449">
        <f t="shared" si="110"/>
        <v>465</v>
      </c>
      <c r="H7626" s="61"/>
      <c r="J7626" s="61"/>
    </row>
    <row r="7627" spans="1:10">
      <c r="A7627" s="847"/>
      <c r="B7627" s="311"/>
      <c r="C7627" s="387" t="s">
        <v>1174</v>
      </c>
      <c r="D7627" s="388"/>
      <c r="E7627" s="389"/>
      <c r="F7627" s="390" t="s">
        <v>1698</v>
      </c>
      <c r="G7627" s="391">
        <f>SUM(G7620:G7626)</f>
        <v>6599.4</v>
      </c>
      <c r="H7627" s="61"/>
    </row>
    <row r="7628" spans="1:10">
      <c r="A7628" s="847"/>
      <c r="B7628" s="359" t="s">
        <v>5948</v>
      </c>
      <c r="C7628" s="355"/>
      <c r="D7628" s="31"/>
      <c r="E7628" s="85">
        <f>ROUND(G7627/F7599,1)</f>
        <v>659.9</v>
      </c>
      <c r="H7628" s="61"/>
    </row>
    <row r="7629" spans="1:10">
      <c r="A7629" s="847"/>
      <c r="B7629" s="359" t="s">
        <v>3163</v>
      </c>
      <c r="C7629" s="355"/>
      <c r="D7629" s="922">
        <f>'BASIC DATA'!$C$577</f>
        <v>0.13614999999999999</v>
      </c>
      <c r="E7629" s="85">
        <f>ROUND(E7628*D7629,1)</f>
        <v>89.8</v>
      </c>
      <c r="H7629" s="61"/>
    </row>
    <row r="7630" spans="1:10">
      <c r="A7630" s="847"/>
      <c r="B7630" s="359" t="s">
        <v>5949</v>
      </c>
      <c r="C7630" s="355"/>
      <c r="D7630" s="31"/>
      <c r="E7630" s="199">
        <f>ROUND(E7629+E7628,1)</f>
        <v>749.7</v>
      </c>
      <c r="H7630" s="61"/>
    </row>
    <row r="7631" spans="1:10">
      <c r="A7631" s="847"/>
      <c r="B7631" s="62"/>
      <c r="C7631" s="49"/>
      <c r="D7631" s="61"/>
      <c r="E7631" s="61"/>
      <c r="F7631" s="61"/>
      <c r="G7631" s="61"/>
      <c r="H7631" s="61"/>
    </row>
    <row r="7632" spans="1:10">
      <c r="A7632" s="847"/>
      <c r="B7632" s="588" t="s">
        <v>1175</v>
      </c>
      <c r="C7632" s="48"/>
      <c r="D7632" s="61"/>
      <c r="E7632" s="61"/>
      <c r="F7632" s="61"/>
      <c r="G7632" s="61"/>
      <c r="H7632" s="61"/>
    </row>
    <row r="7633" spans="1:11">
      <c r="A7633" s="847"/>
      <c r="B7633" s="382" t="s">
        <v>1176</v>
      </c>
      <c r="C7633" s="48"/>
      <c r="D7633" s="61"/>
      <c r="E7633" s="61"/>
      <c r="F7633" s="222" t="s">
        <v>1698</v>
      </c>
      <c r="G7633" s="223">
        <f>G7608</f>
        <v>9249.9</v>
      </c>
      <c r="H7633" s="61"/>
    </row>
    <row r="7634" spans="1:11">
      <c r="A7634" s="847"/>
      <c r="B7634" s="382" t="s">
        <v>1186</v>
      </c>
      <c r="C7634" s="48"/>
      <c r="D7634" s="61"/>
      <c r="E7634" s="61"/>
      <c r="F7634" s="222" t="s">
        <v>1698</v>
      </c>
      <c r="G7634" s="223">
        <f>G7615</f>
        <v>358</v>
      </c>
      <c r="H7634" s="61"/>
    </row>
    <row r="7635" spans="1:11">
      <c r="A7635" s="847"/>
      <c r="B7635" s="382" t="s">
        <v>2660</v>
      </c>
      <c r="C7635" s="48"/>
      <c r="D7635" s="61"/>
      <c r="E7635" s="61"/>
      <c r="F7635" s="222" t="s">
        <v>1698</v>
      </c>
      <c r="G7635" s="321">
        <f>G7627</f>
        <v>6599.4</v>
      </c>
      <c r="H7635" s="61"/>
    </row>
    <row r="7636" spans="1:11">
      <c r="A7636" s="847"/>
      <c r="B7636" s="78"/>
      <c r="C7636" s="48"/>
      <c r="E7636" s="171" t="s">
        <v>4835</v>
      </c>
      <c r="F7636" s="171" t="s">
        <v>1173</v>
      </c>
      <c r="G7636" s="205">
        <f>SUM(G7633:G7635)</f>
        <v>16207.3</v>
      </c>
    </row>
    <row r="7637" spans="1:11" ht="36.75" customHeight="1">
      <c r="A7637" s="847"/>
      <c r="B7637" s="1207" t="s">
        <v>1379</v>
      </c>
      <c r="C7637" s="1207"/>
      <c r="D7637" s="1207"/>
      <c r="E7637" s="922">
        <f>'BASIC DATA'!$C$577</f>
        <v>0.13614999999999999</v>
      </c>
      <c r="F7637" s="171" t="s">
        <v>1698</v>
      </c>
      <c r="G7637" s="31">
        <f>ROUND(G7636*E7637,2)</f>
        <v>2206.62</v>
      </c>
    </row>
    <row r="7638" spans="1:11">
      <c r="A7638" s="847"/>
      <c r="B7638" s="47" t="s">
        <v>1191</v>
      </c>
      <c r="C7638" s="48"/>
      <c r="D7638" s="68">
        <f>F7599</f>
        <v>10</v>
      </c>
      <c r="E7638" s="68" t="str">
        <f>G7599</f>
        <v>cum</v>
      </c>
      <c r="F7638" s="171" t="s">
        <v>1698</v>
      </c>
      <c r="G7638" s="211">
        <f>G7637+G7636</f>
        <v>18413.919999999998</v>
      </c>
    </row>
    <row r="7639" spans="1:11">
      <c r="A7639" s="847"/>
      <c r="B7639" s="79" t="s">
        <v>1584</v>
      </c>
      <c r="C7639" s="404" t="str">
        <f>E7638</f>
        <v>cum</v>
      </c>
      <c r="D7639" s="26" t="s">
        <v>5891</v>
      </c>
      <c r="F7639" s="171" t="s">
        <v>4108</v>
      </c>
      <c r="G7639" s="211">
        <f>ROUND(G7638/D7638,1)</f>
        <v>1841.4</v>
      </c>
      <c r="H7639" s="61"/>
      <c r="J7639" s="61"/>
    </row>
    <row r="7640" spans="1:11">
      <c r="A7640" s="847"/>
      <c r="B7640" s="62"/>
      <c r="C7640" s="49"/>
      <c r="D7640" s="61"/>
      <c r="E7640" s="61"/>
      <c r="F7640" s="222"/>
      <c r="G7640" s="223"/>
      <c r="H7640" s="61"/>
      <c r="J7640" s="61"/>
    </row>
    <row r="7641" spans="1:11" ht="36">
      <c r="A7641" s="889" t="s">
        <v>1467</v>
      </c>
      <c r="B7641" s="125" t="s">
        <v>8894</v>
      </c>
      <c r="C7641" s="385"/>
      <c r="D7641" s="385"/>
      <c r="E7641" s="385"/>
      <c r="F7641" s="385"/>
      <c r="G7641" s="385"/>
      <c r="H7641" s="61"/>
      <c r="I7641" s="61"/>
      <c r="J7641" s="61"/>
      <c r="K7641" s="61"/>
    </row>
    <row r="7642" spans="1:11">
      <c r="A7642" s="899"/>
      <c r="B7642" s="125" t="s">
        <v>8895</v>
      </c>
      <c r="C7642" s="49"/>
      <c r="D7642" s="61"/>
      <c r="E7642" s="61"/>
      <c r="F7642" s="61"/>
      <c r="G7642" s="61"/>
      <c r="H7642" s="61"/>
      <c r="I7642" s="61"/>
      <c r="J7642" s="495"/>
      <c r="K7642" s="61"/>
    </row>
    <row r="7643" spans="1:11">
      <c r="A7643" s="899"/>
      <c r="B7643" s="125" t="s">
        <v>8866</v>
      </c>
      <c r="C7643" s="49"/>
      <c r="D7643" s="61"/>
      <c r="E7643" s="61"/>
      <c r="F7643" s="61"/>
      <c r="G7643" s="61"/>
      <c r="H7643" s="61"/>
      <c r="I7643" s="61"/>
      <c r="J7643" s="495"/>
      <c r="K7643" s="61"/>
    </row>
    <row r="7644" spans="1:11">
      <c r="A7644" s="889"/>
      <c r="B7644" s="162" t="s">
        <v>547</v>
      </c>
      <c r="C7644" s="48"/>
    </row>
    <row r="7645" spans="1:11">
      <c r="A7645" s="847"/>
      <c r="B7645" s="78"/>
      <c r="C7645" s="48"/>
    </row>
    <row r="7646" spans="1:11" hidden="1">
      <c r="A7646" s="899" t="s">
        <v>1907</v>
      </c>
      <c r="B7646" s="382" t="s">
        <v>7031</v>
      </c>
      <c r="C7646" s="382"/>
      <c r="D7646" s="382"/>
      <c r="E7646" s="382"/>
      <c r="F7646" s="61"/>
      <c r="G7646" s="61"/>
      <c r="H7646" s="61"/>
      <c r="I7646" s="61"/>
      <c r="J7646" s="495"/>
      <c r="K7646" s="61"/>
    </row>
    <row r="7647" spans="1:11" hidden="1">
      <c r="A7647" s="848"/>
      <c r="B7647" s="382"/>
      <c r="C7647" s="500"/>
      <c r="D7647" s="61"/>
      <c r="E7647" s="61"/>
      <c r="F7647" s="61"/>
      <c r="G7647" s="61"/>
      <c r="H7647" s="61"/>
      <c r="I7647" s="61"/>
      <c r="J7647" s="496"/>
      <c r="K7647" s="61"/>
    </row>
    <row r="7648" spans="1:11" hidden="1">
      <c r="A7648" s="848"/>
      <c r="B7648" s="382"/>
      <c r="C7648" s="500" t="s">
        <v>1617</v>
      </c>
      <c r="D7648" s="61"/>
      <c r="E7648" s="499" t="s">
        <v>1697</v>
      </c>
      <c r="F7648" s="499" t="s">
        <v>7032</v>
      </c>
      <c r="G7648" s="61"/>
      <c r="H7648" s="61"/>
      <c r="I7648" s="61"/>
      <c r="J7648" s="496"/>
      <c r="K7648" s="61"/>
    </row>
    <row r="7649" spans="1:11" ht="36" hidden="1">
      <c r="A7649" s="848"/>
      <c r="B7649" s="382"/>
      <c r="C7649" s="1242" t="s">
        <v>6609</v>
      </c>
      <c r="D7649" s="1242"/>
      <c r="E7649" s="499" t="s">
        <v>1697</v>
      </c>
      <c r="F7649" s="499" t="s">
        <v>6610</v>
      </c>
      <c r="G7649" s="61"/>
      <c r="H7649" s="61"/>
      <c r="I7649" s="61"/>
      <c r="J7649" s="497"/>
      <c r="K7649" s="61"/>
    </row>
    <row r="7650" spans="1:11" hidden="1">
      <c r="A7650" s="848"/>
      <c r="B7650" s="382"/>
      <c r="C7650" s="500" t="s">
        <v>6669</v>
      </c>
      <c r="D7650" s="61"/>
      <c r="E7650" s="499" t="s">
        <v>1697</v>
      </c>
      <c r="F7650" s="499" t="s">
        <v>6228</v>
      </c>
      <c r="G7650" s="61"/>
      <c r="H7650" s="61"/>
      <c r="I7650" s="61"/>
      <c r="J7650" s="497"/>
      <c r="K7650" s="61"/>
    </row>
    <row r="7651" spans="1:11" ht="36" hidden="1">
      <c r="A7651" s="848"/>
      <c r="B7651" s="382"/>
      <c r="C7651" s="500" t="s">
        <v>2791</v>
      </c>
      <c r="D7651" s="61"/>
      <c r="E7651" s="499" t="s">
        <v>1697</v>
      </c>
      <c r="F7651" s="499" t="s">
        <v>6611</v>
      </c>
      <c r="G7651" s="61"/>
      <c r="H7651" s="61"/>
      <c r="I7651" s="61"/>
      <c r="J7651" s="60"/>
      <c r="K7651" s="61"/>
    </row>
    <row r="7652" spans="1:11" hidden="1">
      <c r="A7652" s="848"/>
      <c r="B7652" s="382"/>
      <c r="C7652" s="500" t="s">
        <v>1619</v>
      </c>
      <c r="D7652" s="61"/>
      <c r="E7652" s="499" t="s">
        <v>1697</v>
      </c>
      <c r="F7652" s="499" t="s">
        <v>6612</v>
      </c>
      <c r="G7652" s="61"/>
      <c r="H7652" s="61"/>
      <c r="I7652" s="61"/>
      <c r="J7652" s="60"/>
      <c r="K7652" s="61"/>
    </row>
    <row r="7653" spans="1:11" ht="36" hidden="1">
      <c r="A7653" s="848"/>
      <c r="B7653" s="382"/>
      <c r="C7653" s="500" t="s">
        <v>6229</v>
      </c>
      <c r="D7653" s="61"/>
      <c r="E7653" s="61"/>
      <c r="F7653" s="61"/>
      <c r="G7653" s="61"/>
      <c r="H7653" s="61"/>
      <c r="I7653" s="61"/>
      <c r="J7653" s="495"/>
      <c r="K7653" s="61"/>
    </row>
    <row r="7654" spans="1:11" ht="36" hidden="1">
      <c r="A7654" s="848"/>
      <c r="B7654" s="382"/>
      <c r="C7654" s="500" t="s">
        <v>4706</v>
      </c>
      <c r="D7654" s="61"/>
      <c r="E7654" s="61"/>
      <c r="F7654" s="61"/>
      <c r="G7654" s="61"/>
      <c r="H7654" s="61"/>
      <c r="I7654" s="61"/>
      <c r="J7654" s="495"/>
      <c r="K7654" s="61"/>
    </row>
    <row r="7655" spans="1:11" hidden="1">
      <c r="A7655" s="848"/>
      <c r="B7655" s="382"/>
      <c r="C7655" s="500" t="s">
        <v>6230</v>
      </c>
      <c r="D7655" s="61"/>
      <c r="E7655" s="61"/>
      <c r="F7655" s="61"/>
      <c r="G7655" s="61"/>
      <c r="H7655" s="61"/>
      <c r="I7655" s="61"/>
      <c r="J7655" s="496"/>
      <c r="K7655" s="61"/>
    </row>
    <row r="7656" spans="1:11" ht="36" hidden="1">
      <c r="A7656" s="848"/>
      <c r="B7656" s="382"/>
      <c r="C7656" s="500" t="s">
        <v>6613</v>
      </c>
      <c r="D7656" s="61"/>
      <c r="E7656" s="499" t="s">
        <v>1697</v>
      </c>
      <c r="F7656" s="499" t="s">
        <v>6614</v>
      </c>
      <c r="G7656" s="61"/>
      <c r="H7656" s="61"/>
      <c r="I7656" s="61"/>
      <c r="J7656" s="496"/>
      <c r="K7656" s="61"/>
    </row>
    <row r="7657" spans="1:11" hidden="1">
      <c r="A7657" s="848"/>
      <c r="B7657" s="382"/>
      <c r="C7657" s="500" t="s">
        <v>6615</v>
      </c>
      <c r="D7657" s="61"/>
      <c r="E7657" s="499" t="s">
        <v>1697</v>
      </c>
      <c r="F7657" s="499" t="s">
        <v>6616</v>
      </c>
      <c r="G7657" s="61"/>
      <c r="H7657" s="61"/>
      <c r="I7657" s="61"/>
      <c r="J7657" s="496"/>
      <c r="K7657" s="61"/>
    </row>
    <row r="7658" spans="1:11" ht="36" hidden="1">
      <c r="A7658" s="848"/>
      <c r="B7658" s="382"/>
      <c r="C7658" s="500" t="s">
        <v>4293</v>
      </c>
      <c r="D7658" s="61"/>
      <c r="E7658" s="499" t="s">
        <v>1697</v>
      </c>
      <c r="F7658" s="499" t="s">
        <v>352</v>
      </c>
      <c r="G7658" s="61"/>
      <c r="H7658" s="61"/>
      <c r="I7658" s="61"/>
      <c r="J7658" s="497"/>
      <c r="K7658" s="61"/>
    </row>
    <row r="7659" spans="1:11" ht="36" hidden="1">
      <c r="A7659" s="848"/>
      <c r="B7659" s="382"/>
      <c r="C7659" s="500" t="s">
        <v>2921</v>
      </c>
      <c r="D7659" s="61"/>
      <c r="E7659" s="499" t="s">
        <v>1697</v>
      </c>
      <c r="F7659" s="499" t="s">
        <v>2922</v>
      </c>
      <c r="G7659" s="61"/>
      <c r="H7659" s="61"/>
      <c r="I7659" s="61"/>
      <c r="J7659" s="60"/>
      <c r="K7659" s="61"/>
    </row>
    <row r="7660" spans="1:11" ht="36" hidden="1">
      <c r="A7660" s="848"/>
      <c r="B7660" s="382"/>
      <c r="C7660" s="500" t="s">
        <v>2307</v>
      </c>
      <c r="D7660" s="61"/>
      <c r="E7660" s="499" t="s">
        <v>1697</v>
      </c>
      <c r="F7660" s="499" t="s">
        <v>2923</v>
      </c>
      <c r="G7660" s="61"/>
      <c r="H7660" s="61"/>
      <c r="I7660" s="61"/>
      <c r="J7660" s="495"/>
      <c r="K7660" s="61"/>
    </row>
    <row r="7661" spans="1:11" hidden="1">
      <c r="A7661" s="848"/>
      <c r="B7661" s="382"/>
      <c r="C7661" s="500" t="s">
        <v>3114</v>
      </c>
      <c r="D7661" s="61"/>
      <c r="E7661" s="499" t="s">
        <v>1697</v>
      </c>
      <c r="F7661" s="499" t="s">
        <v>2923</v>
      </c>
      <c r="G7661" s="61"/>
      <c r="H7661" s="61"/>
      <c r="I7661" s="61"/>
      <c r="J7661" s="495"/>
      <c r="K7661" s="61"/>
    </row>
    <row r="7662" spans="1:11">
      <c r="A7662" s="848"/>
      <c r="B7662" s="499" t="s">
        <v>5785</v>
      </c>
      <c r="C7662" s="49"/>
      <c r="D7662" s="61"/>
      <c r="E7662" s="61"/>
      <c r="F7662" s="61"/>
      <c r="G7662" s="61"/>
      <c r="H7662" s="61"/>
      <c r="I7662" s="61"/>
      <c r="J7662" s="496"/>
      <c r="K7662" s="61"/>
    </row>
    <row r="7663" spans="1:11">
      <c r="A7663" s="848" t="s">
        <v>3984</v>
      </c>
      <c r="B7663" s="382"/>
      <c r="C7663" s="424" t="s">
        <v>2367</v>
      </c>
      <c r="D7663" s="61"/>
      <c r="E7663" s="499" t="s">
        <v>1188</v>
      </c>
      <c r="F7663" s="501">
        <v>10</v>
      </c>
      <c r="G7663" s="61" t="s">
        <v>2113</v>
      </c>
      <c r="H7663" s="61"/>
      <c r="I7663" s="61"/>
      <c r="J7663" s="496"/>
      <c r="K7663" s="61"/>
    </row>
    <row r="7664" spans="1:11" ht="54">
      <c r="A7664" s="848"/>
      <c r="B7664" s="499" t="s">
        <v>6633</v>
      </c>
      <c r="C7664" s="49"/>
      <c r="D7664" s="61"/>
      <c r="E7664" s="61"/>
      <c r="F7664" s="61"/>
      <c r="G7664" s="61"/>
      <c r="H7664" s="61"/>
      <c r="I7664" s="61"/>
      <c r="J7664" s="496"/>
      <c r="K7664" s="61"/>
    </row>
    <row r="7665" spans="1:11">
      <c r="A7665" s="848"/>
      <c r="B7665" s="499"/>
      <c r="C7665" s="49"/>
      <c r="D7665" s="61"/>
      <c r="E7665" s="61"/>
      <c r="F7665" s="61"/>
      <c r="G7665" s="61"/>
      <c r="H7665" s="61"/>
      <c r="I7665" s="61"/>
      <c r="J7665" s="497"/>
      <c r="K7665" s="61"/>
    </row>
    <row r="7666" spans="1:11">
      <c r="A7666" s="848"/>
      <c r="B7666" s="1234" t="s">
        <v>6634</v>
      </c>
      <c r="C7666" s="1236" t="s">
        <v>4443</v>
      </c>
      <c r="D7666" s="1236" t="s">
        <v>2370</v>
      </c>
      <c r="E7666" s="1236" t="s">
        <v>1166</v>
      </c>
      <c r="F7666" s="503" t="s">
        <v>2371</v>
      </c>
      <c r="G7666" s="1236" t="s">
        <v>6248</v>
      </c>
      <c r="H7666" s="61"/>
      <c r="I7666" s="61"/>
      <c r="J7666" s="61"/>
      <c r="K7666" s="61"/>
    </row>
    <row r="7667" spans="1:11">
      <c r="A7667" s="848"/>
      <c r="B7667" s="1235"/>
      <c r="C7667" s="1237"/>
      <c r="D7667" s="1237"/>
      <c r="E7667" s="1237"/>
      <c r="F7667" s="505" t="s">
        <v>3485</v>
      </c>
      <c r="G7667" s="1237"/>
      <c r="H7667" s="61"/>
      <c r="I7667" s="61"/>
      <c r="J7667" s="61"/>
      <c r="K7667" s="61"/>
    </row>
    <row r="7668" spans="1:11">
      <c r="A7668" s="848"/>
      <c r="B7668" s="599">
        <v>1</v>
      </c>
      <c r="C7668" s="506" t="s">
        <v>7327</v>
      </c>
      <c r="D7668" s="482" t="s">
        <v>1791</v>
      </c>
      <c r="E7668" s="507">
        <v>980</v>
      </c>
      <c r="F7668" s="281">
        <f>'BASIC DATA'!$D$32/1000</f>
        <v>5.35</v>
      </c>
      <c r="G7668" s="450">
        <f>E7668*F7668</f>
        <v>5243</v>
      </c>
      <c r="H7668" s="61"/>
      <c r="I7668" s="61"/>
      <c r="J7668" s="49"/>
      <c r="K7668" s="61"/>
    </row>
    <row r="7669" spans="1:11">
      <c r="A7669" s="848"/>
      <c r="B7669" s="599">
        <v>2</v>
      </c>
      <c r="C7669" s="506" t="s">
        <v>6827</v>
      </c>
      <c r="D7669" s="482" t="s">
        <v>2113</v>
      </c>
      <c r="E7669" s="507">
        <v>3.4</v>
      </c>
      <c r="F7669" s="266">
        <f>'BASIC DATA'!$D$57</f>
        <v>165</v>
      </c>
      <c r="G7669" s="450">
        <f>E7669*F7669</f>
        <v>561</v>
      </c>
      <c r="H7669" s="61"/>
      <c r="I7669" s="61"/>
      <c r="J7669" s="49"/>
      <c r="K7669" s="61"/>
    </row>
    <row r="7670" spans="1:11">
      <c r="A7670" s="848"/>
      <c r="B7670" s="599">
        <v>3</v>
      </c>
      <c r="C7670" s="506" t="s">
        <v>4288</v>
      </c>
      <c r="D7670" s="482" t="s">
        <v>2113</v>
      </c>
      <c r="E7670" s="507">
        <v>11</v>
      </c>
      <c r="F7670" s="289">
        <f>'BASIC DATA'!$D$107</f>
        <v>155</v>
      </c>
      <c r="G7670" s="450">
        <f>E7670*F7670</f>
        <v>1705</v>
      </c>
      <c r="H7670" s="61"/>
      <c r="I7670" s="61"/>
      <c r="J7670" s="49"/>
      <c r="K7670" s="61"/>
    </row>
    <row r="7671" spans="1:11">
      <c r="A7671" s="848"/>
      <c r="B7671" s="606"/>
      <c r="C7671" s="1231" t="s">
        <v>6635</v>
      </c>
      <c r="D7671" s="1231"/>
      <c r="E7671" s="1231"/>
      <c r="F7671" s="1232"/>
      <c r="G7671" s="511">
        <f>SUM(G7668:G7670)</f>
        <v>7509</v>
      </c>
      <c r="H7671" s="61"/>
      <c r="I7671" s="61"/>
      <c r="J7671" s="49"/>
      <c r="K7671" s="61"/>
    </row>
    <row r="7672" spans="1:11">
      <c r="A7672" s="848"/>
      <c r="B7672" s="499"/>
      <c r="C7672" s="49"/>
      <c r="D7672" s="61"/>
      <c r="E7672" s="61"/>
      <c r="F7672" s="61"/>
      <c r="G7672" s="61"/>
      <c r="H7672" s="61"/>
      <c r="I7672" s="61"/>
      <c r="J7672" s="435"/>
      <c r="K7672" s="61"/>
    </row>
    <row r="7673" spans="1:11">
      <c r="A7673" s="848"/>
      <c r="B7673" s="382"/>
      <c r="C7673" s="500" t="s">
        <v>6636</v>
      </c>
      <c r="D7673" s="61"/>
      <c r="E7673" s="61"/>
      <c r="F7673" s="61"/>
      <c r="G7673" s="61"/>
      <c r="H7673" s="61"/>
      <c r="I7673" s="61"/>
      <c r="J7673" s="435"/>
      <c r="K7673" s="61"/>
    </row>
    <row r="7674" spans="1:11">
      <c r="A7674" s="848"/>
      <c r="B7674" s="499"/>
      <c r="C7674" s="49"/>
      <c r="D7674" s="61"/>
      <c r="E7674" s="61"/>
      <c r="F7674" s="61"/>
      <c r="G7674" s="61"/>
      <c r="H7674" s="61"/>
      <c r="I7674" s="61"/>
      <c r="J7674" s="61"/>
      <c r="K7674" s="61"/>
    </row>
    <row r="7675" spans="1:11">
      <c r="A7675" s="848"/>
      <c r="B7675" s="1234" t="s">
        <v>6634</v>
      </c>
      <c r="C7675" s="1236" t="s">
        <v>4443</v>
      </c>
      <c r="D7675" s="1236" t="s">
        <v>2370</v>
      </c>
      <c r="E7675" s="1236" t="s">
        <v>1166</v>
      </c>
      <c r="F7675" s="503" t="s">
        <v>2371</v>
      </c>
      <c r="G7675" s="1236" t="s">
        <v>6248</v>
      </c>
      <c r="H7675" s="61"/>
      <c r="I7675" s="61"/>
      <c r="J7675" s="61"/>
      <c r="K7675" s="61"/>
    </row>
    <row r="7676" spans="1:11">
      <c r="A7676" s="848"/>
      <c r="B7676" s="1235"/>
      <c r="C7676" s="1237"/>
      <c r="D7676" s="1237"/>
      <c r="E7676" s="1237"/>
      <c r="F7676" s="505" t="s">
        <v>3485</v>
      </c>
      <c r="G7676" s="1237"/>
      <c r="H7676" s="61"/>
      <c r="I7676" s="61"/>
      <c r="J7676" s="61"/>
      <c r="K7676" s="61"/>
    </row>
    <row r="7677" spans="1:11">
      <c r="A7677" s="848"/>
      <c r="B7677" s="599">
        <v>1</v>
      </c>
      <c r="C7677" s="512" t="s">
        <v>2139</v>
      </c>
      <c r="D7677" s="482" t="s">
        <v>2374</v>
      </c>
      <c r="E7677" s="507">
        <v>8</v>
      </c>
      <c r="F7677" s="450">
        <f>'HIRE CHARGES'!$D$506</f>
        <v>5.5</v>
      </c>
      <c r="G7677" s="450">
        <f>E7677*F7677</f>
        <v>44</v>
      </c>
      <c r="H7677" s="61"/>
      <c r="I7677" s="61"/>
      <c r="J7677" s="495"/>
      <c r="K7677" s="61"/>
    </row>
    <row r="7678" spans="1:11">
      <c r="A7678" s="848"/>
      <c r="B7678" s="1234">
        <v>2</v>
      </c>
      <c r="C7678" s="506" t="s">
        <v>2644</v>
      </c>
      <c r="D7678" s="482" t="s">
        <v>2374</v>
      </c>
      <c r="E7678" s="507">
        <v>4</v>
      </c>
      <c r="F7678" s="266">
        <f>'HIRE CHARGES'!$D$517</f>
        <v>10.199999999999999</v>
      </c>
      <c r="G7678" s="450">
        <f>E7678*F7678</f>
        <v>40.799999999999997</v>
      </c>
      <c r="H7678" s="61"/>
      <c r="I7678" s="61"/>
      <c r="J7678" s="61"/>
      <c r="K7678" s="61"/>
    </row>
    <row r="7679" spans="1:11">
      <c r="A7679" s="848"/>
      <c r="B7679" s="1235"/>
      <c r="C7679" s="508" t="s">
        <v>2379</v>
      </c>
      <c r="D7679" s="505" t="s">
        <v>2374</v>
      </c>
      <c r="E7679" s="509">
        <v>5</v>
      </c>
      <c r="F7679" s="266">
        <f>'HIRE CHARGES'!$E$517</f>
        <v>79.3</v>
      </c>
      <c r="G7679" s="450">
        <f>E7679*F7679</f>
        <v>396.5</v>
      </c>
      <c r="H7679" s="61"/>
      <c r="I7679" s="61"/>
      <c r="J7679" s="61"/>
      <c r="K7679" s="61"/>
    </row>
    <row r="7680" spans="1:11">
      <c r="A7680" s="848"/>
      <c r="B7680" s="606"/>
      <c r="C7680" s="1231" t="s">
        <v>3530</v>
      </c>
      <c r="D7680" s="1231"/>
      <c r="E7680" s="1231"/>
      <c r="F7680" s="1232"/>
      <c r="G7680" s="513">
        <f>SUM(G7677:G7679)</f>
        <v>481.3</v>
      </c>
      <c r="H7680" s="61"/>
      <c r="I7680" s="61"/>
      <c r="J7680" s="61"/>
      <c r="K7680" s="61"/>
    </row>
    <row r="7681" spans="1:11">
      <c r="A7681" s="848"/>
      <c r="B7681" s="499"/>
      <c r="C7681" s="49"/>
      <c r="D7681" s="61"/>
      <c r="E7681" s="61"/>
      <c r="F7681" s="61"/>
      <c r="G7681" s="61"/>
      <c r="H7681" s="61"/>
      <c r="I7681" s="61"/>
      <c r="J7681" s="61"/>
      <c r="K7681" s="61"/>
    </row>
    <row r="7682" spans="1:11">
      <c r="A7682" s="848"/>
      <c r="B7682" s="382"/>
      <c r="C7682" s="500" t="s">
        <v>670</v>
      </c>
      <c r="D7682" s="61"/>
      <c r="E7682" s="61"/>
      <c r="F7682" s="61"/>
      <c r="G7682" s="61"/>
      <c r="H7682" s="61"/>
      <c r="I7682" s="61"/>
      <c r="J7682" s="61"/>
      <c r="K7682" s="61"/>
    </row>
    <row r="7683" spans="1:11">
      <c r="A7683" s="848"/>
      <c r="B7683" s="499"/>
      <c r="C7683" s="49"/>
      <c r="D7683" s="61"/>
      <c r="E7683" s="61"/>
      <c r="F7683" s="61"/>
      <c r="G7683" s="61"/>
      <c r="H7683" s="61"/>
      <c r="I7683" s="61"/>
      <c r="J7683" s="61"/>
      <c r="K7683" s="61"/>
    </row>
    <row r="7684" spans="1:11">
      <c r="A7684" s="848"/>
      <c r="B7684" s="1234" t="s">
        <v>6634</v>
      </c>
      <c r="C7684" s="1236" t="s">
        <v>4443</v>
      </c>
      <c r="D7684" s="1236" t="s">
        <v>2370</v>
      </c>
      <c r="E7684" s="1236" t="s">
        <v>1166</v>
      </c>
      <c r="F7684" s="503" t="s">
        <v>2371</v>
      </c>
      <c r="G7684" s="1236" t="s">
        <v>6248</v>
      </c>
      <c r="H7684" s="61"/>
      <c r="I7684" s="61"/>
      <c r="J7684" s="61"/>
      <c r="K7684" s="61"/>
    </row>
    <row r="7685" spans="1:11">
      <c r="A7685" s="848"/>
      <c r="B7685" s="1235"/>
      <c r="C7685" s="1237"/>
      <c r="D7685" s="1237"/>
      <c r="E7685" s="1237"/>
      <c r="F7685" s="505" t="s">
        <v>3485</v>
      </c>
      <c r="G7685" s="1237"/>
      <c r="H7685" s="61"/>
      <c r="I7685" s="61"/>
      <c r="J7685" s="61"/>
      <c r="K7685" s="61"/>
    </row>
    <row r="7686" spans="1:11">
      <c r="A7686" s="848"/>
      <c r="B7686" s="599">
        <v>1</v>
      </c>
      <c r="C7686" s="506" t="s">
        <v>190</v>
      </c>
      <c r="D7686" s="482" t="s">
        <v>2374</v>
      </c>
      <c r="E7686" s="507">
        <v>4</v>
      </c>
      <c r="F7686" s="266">
        <f>'HIRE CHARGES'!$F$517</f>
        <v>111.1</v>
      </c>
      <c r="G7686" s="450">
        <f>E7686*F7686</f>
        <v>444.4</v>
      </c>
      <c r="H7686" s="61"/>
      <c r="I7686" s="61"/>
      <c r="J7686" s="61"/>
      <c r="K7686" s="61"/>
    </row>
    <row r="7687" spans="1:11">
      <c r="A7687" s="848"/>
      <c r="B7687" s="599">
        <v>2</v>
      </c>
      <c r="C7687" s="506" t="s">
        <v>5606</v>
      </c>
      <c r="D7687" s="482" t="s">
        <v>1172</v>
      </c>
      <c r="E7687" s="507">
        <v>13</v>
      </c>
      <c r="F7687" s="255">
        <f>'BASIC DATA'!$C$474</f>
        <v>445</v>
      </c>
      <c r="G7687" s="450">
        <f>E7687*F7687</f>
        <v>5785</v>
      </c>
      <c r="H7687" s="61"/>
      <c r="I7687" s="61"/>
      <c r="J7687" s="61"/>
      <c r="K7687" s="61"/>
    </row>
    <row r="7688" spans="1:11">
      <c r="A7688" s="848"/>
      <c r="B7688" s="599">
        <v>3</v>
      </c>
      <c r="C7688" s="506" t="s">
        <v>5607</v>
      </c>
      <c r="D7688" s="482" t="s">
        <v>1172</v>
      </c>
      <c r="E7688" s="507">
        <v>6</v>
      </c>
      <c r="F7688" s="255">
        <f>'BASIC DATA'!$C$541</f>
        <v>400</v>
      </c>
      <c r="G7688" s="450">
        <f>E7688*F7688</f>
        <v>2400</v>
      </c>
      <c r="H7688" s="61"/>
      <c r="I7688" s="61"/>
      <c r="J7688" s="61"/>
      <c r="K7688" s="61"/>
    </row>
    <row r="7689" spans="1:11">
      <c r="A7689" s="848"/>
      <c r="B7689" s="599">
        <v>4</v>
      </c>
      <c r="C7689" s="506" t="s">
        <v>4647</v>
      </c>
      <c r="D7689" s="482" t="s">
        <v>1172</v>
      </c>
      <c r="E7689" s="507">
        <v>29</v>
      </c>
      <c r="F7689" s="450">
        <f>'BASIC DATA'!$C$552</f>
        <v>350</v>
      </c>
      <c r="G7689" s="450">
        <f>E7689*F7689</f>
        <v>10150</v>
      </c>
      <c r="H7689" s="61"/>
      <c r="I7689" s="61"/>
      <c r="J7689" s="61"/>
      <c r="K7689" s="61"/>
    </row>
    <row r="7690" spans="1:11">
      <c r="A7690" s="848"/>
      <c r="B7690" s="599">
        <v>5</v>
      </c>
      <c r="C7690" s="506" t="s">
        <v>684</v>
      </c>
      <c r="D7690" s="482" t="s">
        <v>1172</v>
      </c>
      <c r="E7690" s="507">
        <v>1</v>
      </c>
      <c r="F7690" s="255">
        <f>'BASIC DATA'!$C$511</f>
        <v>465</v>
      </c>
      <c r="G7690" s="450">
        <f>E7690*F7690</f>
        <v>465</v>
      </c>
      <c r="H7690" s="61"/>
      <c r="I7690" s="61"/>
      <c r="J7690" s="61"/>
      <c r="K7690" s="61"/>
    </row>
    <row r="7691" spans="1:11">
      <c r="A7691" s="848"/>
      <c r="B7691" s="606"/>
      <c r="C7691" s="1231" t="s">
        <v>671</v>
      </c>
      <c r="D7691" s="1231"/>
      <c r="E7691" s="1231"/>
      <c r="F7691" s="1232"/>
      <c r="G7691" s="513">
        <f>SUM(G7686:G7690)</f>
        <v>19244.400000000001</v>
      </c>
      <c r="H7691" s="61"/>
      <c r="I7691" s="61"/>
      <c r="J7691" s="61"/>
      <c r="K7691" s="61"/>
    </row>
    <row r="7692" spans="1:11">
      <c r="A7692" s="848"/>
      <c r="B7692" s="359" t="s">
        <v>5948</v>
      </c>
      <c r="C7692" s="355"/>
      <c r="D7692" s="31"/>
      <c r="E7692" s="85">
        <f>ROUND(G7691/F7663,1)</f>
        <v>1924.4</v>
      </c>
      <c r="F7692" s="61"/>
      <c r="G7692" s="61"/>
      <c r="H7692" s="61"/>
      <c r="I7692" s="61"/>
      <c r="J7692" s="61"/>
      <c r="K7692" s="61"/>
    </row>
    <row r="7693" spans="1:11">
      <c r="A7693" s="848"/>
      <c r="B7693" s="359" t="s">
        <v>3163</v>
      </c>
      <c r="C7693" s="355"/>
      <c r="D7693" s="922">
        <f>'BASIC DATA'!$C$577</f>
        <v>0.13614999999999999</v>
      </c>
      <c r="E7693" s="85">
        <f>ROUND(E7692*D7693,1)</f>
        <v>262</v>
      </c>
      <c r="F7693" s="61"/>
      <c r="G7693" s="61"/>
      <c r="H7693" s="61"/>
      <c r="I7693" s="61"/>
      <c r="J7693" s="61"/>
      <c r="K7693" s="61"/>
    </row>
    <row r="7694" spans="1:11">
      <c r="A7694" s="848"/>
      <c r="B7694" s="359" t="s">
        <v>5949</v>
      </c>
      <c r="C7694" s="355"/>
      <c r="D7694" s="31"/>
      <c r="E7694" s="199">
        <f>ROUND(E7693+E7692,1)</f>
        <v>2186.4</v>
      </c>
      <c r="F7694" s="61"/>
      <c r="G7694" s="61"/>
      <c r="H7694" s="61"/>
      <c r="I7694" s="61"/>
      <c r="J7694" s="61"/>
      <c r="K7694" s="61"/>
    </row>
    <row r="7695" spans="1:11">
      <c r="A7695" s="848"/>
      <c r="B7695" s="382"/>
      <c r="C7695" s="49"/>
      <c r="D7695" s="61"/>
      <c r="E7695" s="61"/>
      <c r="F7695" s="61"/>
      <c r="G7695" s="61"/>
      <c r="H7695" s="61"/>
      <c r="I7695" s="61"/>
      <c r="J7695" s="61"/>
      <c r="K7695" s="61"/>
    </row>
    <row r="7696" spans="1:11" ht="36">
      <c r="A7696" s="848"/>
      <c r="B7696" s="499" t="s">
        <v>1139</v>
      </c>
      <c r="C7696" s="49"/>
      <c r="D7696" s="61"/>
      <c r="E7696" s="61"/>
      <c r="F7696" s="61"/>
      <c r="G7696" s="61"/>
      <c r="H7696" s="61"/>
      <c r="I7696" s="61"/>
      <c r="J7696" s="61"/>
      <c r="K7696" s="61"/>
    </row>
    <row r="7697" spans="1:11">
      <c r="A7697" s="848"/>
      <c r="B7697" s="382" t="s">
        <v>1176</v>
      </c>
      <c r="C7697" s="498"/>
      <c r="D7697" s="61"/>
      <c r="E7697" s="61"/>
      <c r="F7697" s="515" t="s">
        <v>4108</v>
      </c>
      <c r="G7697" s="515">
        <f>G7671</f>
        <v>7509</v>
      </c>
      <c r="H7697" s="61"/>
      <c r="I7697" s="61"/>
      <c r="J7697" s="61"/>
      <c r="K7697" s="61"/>
    </row>
    <row r="7698" spans="1:11">
      <c r="A7698" s="848"/>
      <c r="B7698" s="1241" t="s">
        <v>7003</v>
      </c>
      <c r="C7698" s="1241"/>
      <c r="D7698" s="61"/>
      <c r="E7698" s="61"/>
      <c r="F7698" s="515" t="s">
        <v>4108</v>
      </c>
      <c r="G7698" s="515">
        <f>G7680</f>
        <v>481.3</v>
      </c>
      <c r="H7698" s="61"/>
      <c r="I7698" s="61"/>
      <c r="J7698" s="61"/>
      <c r="K7698" s="61"/>
    </row>
    <row r="7699" spans="1:11">
      <c r="A7699" s="848"/>
      <c r="B7699" s="57" t="s">
        <v>2660</v>
      </c>
      <c r="C7699" s="516"/>
      <c r="D7699" s="61"/>
      <c r="E7699" s="61"/>
      <c r="F7699" s="515" t="s">
        <v>4108</v>
      </c>
      <c r="G7699" s="517">
        <f>G7691</f>
        <v>19244.400000000001</v>
      </c>
      <c r="H7699" s="61"/>
      <c r="I7699" s="61"/>
      <c r="J7699" s="61"/>
      <c r="K7699" s="61"/>
    </row>
    <row r="7700" spans="1:11">
      <c r="A7700" s="847"/>
      <c r="B7700" s="78"/>
      <c r="C7700" s="48"/>
      <c r="E7700" s="171" t="s">
        <v>4835</v>
      </c>
      <c r="F7700" s="171" t="s">
        <v>1173</v>
      </c>
      <c r="G7700" s="205">
        <f>SUM(G7697:G7699)</f>
        <v>27234.7</v>
      </c>
    </row>
    <row r="7701" spans="1:11" ht="36.75" customHeight="1">
      <c r="A7701" s="847"/>
      <c r="B7701" s="1207" t="s">
        <v>1379</v>
      </c>
      <c r="C7701" s="1207"/>
      <c r="D7701" s="1207"/>
      <c r="E7701" s="922">
        <f>'BASIC DATA'!$C$577</f>
        <v>0.13614999999999999</v>
      </c>
      <c r="F7701" s="171" t="s">
        <v>1698</v>
      </c>
      <c r="G7701" s="31">
        <f>ROUND(G7700*E7701,2)</f>
        <v>3708</v>
      </c>
    </row>
    <row r="7702" spans="1:11">
      <c r="A7702" s="847"/>
      <c r="B7702" s="47" t="s">
        <v>1191</v>
      </c>
      <c r="C7702" s="48"/>
      <c r="D7702" s="68">
        <f>F7663</f>
        <v>10</v>
      </c>
      <c r="E7702" s="68" t="str">
        <f>G7663</f>
        <v>Cum</v>
      </c>
      <c r="F7702" s="171" t="s">
        <v>1698</v>
      </c>
      <c r="G7702" s="211">
        <f>G7701+G7700</f>
        <v>30942.7</v>
      </c>
    </row>
    <row r="7703" spans="1:11">
      <c r="A7703" s="848"/>
      <c r="B7703" s="79" t="s">
        <v>1584</v>
      </c>
      <c r="C7703" s="404" t="str">
        <f>E7702</f>
        <v>Cum</v>
      </c>
      <c r="D7703" s="26" t="s">
        <v>5891</v>
      </c>
      <c r="F7703" s="171" t="s">
        <v>4108</v>
      </c>
      <c r="G7703" s="211">
        <f>ROUND(G7702/D7702,1)</f>
        <v>3094.3</v>
      </c>
      <c r="H7703" s="61"/>
      <c r="I7703" s="61"/>
      <c r="J7703" s="61"/>
      <c r="K7703" s="61"/>
    </row>
    <row r="7704" spans="1:11">
      <c r="A7704" s="847"/>
      <c r="B7704" s="62"/>
      <c r="C7704" s="49"/>
      <c r="D7704" s="61"/>
      <c r="E7704" s="61"/>
      <c r="F7704" s="222"/>
      <c r="G7704" s="223"/>
      <c r="H7704" s="61"/>
    </row>
    <row r="7705" spans="1:11">
      <c r="A7705" s="847"/>
      <c r="B7705" s="62"/>
      <c r="C7705" s="49"/>
      <c r="D7705" s="61"/>
      <c r="E7705" s="61"/>
      <c r="F7705" s="222"/>
      <c r="G7705" s="223"/>
      <c r="H7705" s="61"/>
    </row>
    <row r="7706" spans="1:11">
      <c r="A7706" s="841" t="s">
        <v>7514</v>
      </c>
      <c r="B7706" s="162" t="s">
        <v>38</v>
      </c>
      <c r="C7706" s="48"/>
      <c r="D7706" s="61"/>
      <c r="E7706" s="61"/>
      <c r="F7706" s="222"/>
      <c r="G7706" s="223"/>
      <c r="H7706" s="61"/>
    </row>
    <row r="7707" spans="1:11">
      <c r="A7707" s="847"/>
      <c r="B7707" s="62"/>
      <c r="C7707" s="49"/>
      <c r="D7707" s="61"/>
      <c r="E7707" s="61"/>
      <c r="F7707" s="222"/>
      <c r="G7707" s="223"/>
      <c r="H7707" s="61"/>
    </row>
    <row r="7708" spans="1:11">
      <c r="A7708" s="841" t="s">
        <v>7515</v>
      </c>
      <c r="B7708" s="382" t="s">
        <v>8867</v>
      </c>
      <c r="C7708" s="48"/>
      <c r="D7708" s="61"/>
      <c r="E7708" s="61"/>
      <c r="F7708" s="61"/>
      <c r="G7708" s="61"/>
      <c r="H7708" s="61"/>
    </row>
    <row r="7709" spans="1:11">
      <c r="A7709" s="891"/>
      <c r="B7709" s="382" t="s">
        <v>8868</v>
      </c>
      <c r="C7709" s="48"/>
      <c r="D7709" s="61"/>
      <c r="E7709" s="61"/>
      <c r="F7709" s="61"/>
      <c r="G7709" s="61"/>
      <c r="H7709" s="61"/>
    </row>
    <row r="7710" spans="1:11">
      <c r="A7710" s="900"/>
      <c r="B7710" s="588" t="s">
        <v>992</v>
      </c>
      <c r="C7710" s="48"/>
      <c r="D7710" s="61"/>
      <c r="E7710" s="61"/>
      <c r="F7710" s="61"/>
      <c r="G7710" s="61"/>
      <c r="H7710" s="61"/>
      <c r="K7710" s="61"/>
    </row>
    <row r="7711" spans="1:11">
      <c r="A7711" s="889"/>
      <c r="B7711" s="162" t="s">
        <v>5384</v>
      </c>
      <c r="C7711" s="48"/>
    </row>
    <row r="7712" spans="1:11">
      <c r="A7712" s="891"/>
      <c r="B7712" s="78"/>
      <c r="C7712" s="49"/>
      <c r="D7712" s="61"/>
      <c r="E7712" s="61"/>
      <c r="F7712" s="62"/>
      <c r="G7712" s="61"/>
      <c r="H7712" s="61"/>
      <c r="K7712" s="61"/>
    </row>
    <row r="7713" spans="1:11" hidden="1">
      <c r="A7713" s="891" t="s">
        <v>3984</v>
      </c>
      <c r="B7713" s="382" t="s">
        <v>2285</v>
      </c>
      <c r="D7713" s="61"/>
      <c r="E7713" s="61"/>
      <c r="F7713" s="61"/>
      <c r="G7713" s="61"/>
      <c r="H7713" s="61"/>
      <c r="K7713" s="61"/>
    </row>
    <row r="7714" spans="1:11" hidden="1">
      <c r="A7714" s="847"/>
      <c r="B7714" s="62"/>
      <c r="C7714" s="49" t="s">
        <v>1619</v>
      </c>
      <c r="D7714" s="61"/>
      <c r="E7714" s="61"/>
      <c r="F7714" s="62" t="s">
        <v>1697</v>
      </c>
      <c r="G7714" s="223">
        <v>23</v>
      </c>
      <c r="H7714" s="61" t="s">
        <v>6901</v>
      </c>
      <c r="K7714" s="61"/>
    </row>
    <row r="7715" spans="1:11" hidden="1">
      <c r="A7715" s="847"/>
      <c r="B7715" s="62"/>
      <c r="C7715" s="49" t="s">
        <v>2286</v>
      </c>
      <c r="D7715" s="61"/>
      <c r="E7715" s="61"/>
      <c r="F7715" s="62" t="s">
        <v>1697</v>
      </c>
      <c r="G7715" s="61">
        <v>200</v>
      </c>
      <c r="H7715" s="61" t="s">
        <v>3436</v>
      </c>
      <c r="K7715" s="61"/>
    </row>
    <row r="7716" spans="1:11" hidden="1">
      <c r="A7716" s="847"/>
      <c r="B7716" s="62"/>
      <c r="C7716" s="49" t="s">
        <v>4074</v>
      </c>
      <c r="D7716" s="61"/>
      <c r="E7716" s="61"/>
      <c r="F7716" s="62" t="s">
        <v>1697</v>
      </c>
      <c r="G7716" s="61">
        <v>3.75</v>
      </c>
      <c r="H7716" s="61" t="s">
        <v>6901</v>
      </c>
    </row>
    <row r="7717" spans="1:11" ht="36" hidden="1">
      <c r="A7717" s="847"/>
      <c r="B7717" s="62"/>
      <c r="C7717" s="49" t="s">
        <v>2287</v>
      </c>
      <c r="D7717" s="61"/>
      <c r="E7717" s="61"/>
      <c r="F7717" s="62"/>
      <c r="G7717" s="61"/>
      <c r="H7717" s="61"/>
    </row>
    <row r="7718" spans="1:11" ht="36" hidden="1">
      <c r="A7718" s="847"/>
      <c r="B7718" s="62"/>
      <c r="C7718" s="49" t="s">
        <v>4625</v>
      </c>
      <c r="D7718" s="61"/>
      <c r="E7718" s="61"/>
      <c r="F7718" s="62" t="s">
        <v>1697</v>
      </c>
      <c r="G7718" s="61">
        <v>5</v>
      </c>
      <c r="H7718" s="61" t="s">
        <v>3436</v>
      </c>
    </row>
    <row r="7719" spans="1:11" ht="36" hidden="1">
      <c r="A7719" s="847"/>
      <c r="B7719" s="62"/>
      <c r="C7719" s="49" t="s">
        <v>882</v>
      </c>
      <c r="D7719" s="61"/>
      <c r="E7719" s="61"/>
      <c r="F7719" s="62" t="s">
        <v>1697</v>
      </c>
      <c r="G7719" s="61">
        <v>5</v>
      </c>
      <c r="H7719" s="61" t="s">
        <v>3436</v>
      </c>
    </row>
    <row r="7720" spans="1:11" ht="36" hidden="1">
      <c r="A7720" s="847"/>
      <c r="B7720" s="62"/>
      <c r="C7720" s="49" t="s">
        <v>881</v>
      </c>
      <c r="D7720" s="61"/>
      <c r="E7720" s="61"/>
      <c r="F7720" s="62" t="s">
        <v>1697</v>
      </c>
      <c r="G7720" s="61">
        <v>1</v>
      </c>
      <c r="H7720" s="61" t="s">
        <v>1553</v>
      </c>
      <c r="K7720" s="61"/>
    </row>
    <row r="7721" spans="1:11" hidden="1">
      <c r="A7721" s="847"/>
      <c r="B7721" s="62"/>
      <c r="C7721" s="49"/>
      <c r="D7721" s="61"/>
      <c r="E7721" s="61"/>
      <c r="F7721" s="61"/>
      <c r="G7721" s="61"/>
      <c r="H7721" s="61"/>
      <c r="K7721" s="61"/>
    </row>
    <row r="7722" spans="1:11">
      <c r="A7722" s="847"/>
      <c r="B7722" s="62"/>
      <c r="C7722" s="49"/>
      <c r="D7722" s="61"/>
      <c r="E7722" s="61"/>
      <c r="F7722" s="61"/>
      <c r="G7722" s="61"/>
      <c r="H7722" s="61"/>
      <c r="K7722" s="61"/>
    </row>
    <row r="7723" spans="1:11">
      <c r="A7723" s="848" t="s">
        <v>3984</v>
      </c>
      <c r="B7723" s="62"/>
      <c r="C7723" s="518" t="s">
        <v>2367</v>
      </c>
      <c r="D7723" s="61"/>
      <c r="E7723" s="222" t="s">
        <v>297</v>
      </c>
      <c r="F7723" s="519">
        <v>100</v>
      </c>
      <c r="G7723" s="61" t="s">
        <v>3479</v>
      </c>
      <c r="H7723" s="61"/>
      <c r="K7723" s="61"/>
    </row>
    <row r="7724" spans="1:11">
      <c r="A7724" s="847"/>
      <c r="B7724" s="410" t="s">
        <v>2368</v>
      </c>
      <c r="C7724" s="49"/>
      <c r="D7724" s="61"/>
      <c r="E7724" s="61"/>
      <c r="F7724" s="61"/>
      <c r="G7724" s="61"/>
      <c r="H7724" s="61"/>
      <c r="K7724" s="61"/>
    </row>
    <row r="7725" spans="1:11">
      <c r="A7725" s="847"/>
      <c r="B7725" s="295" t="s">
        <v>2369</v>
      </c>
      <c r="C7725" s="411" t="s">
        <v>6374</v>
      </c>
      <c r="D7725" s="295" t="s">
        <v>2370</v>
      </c>
      <c r="E7725" s="295" t="s">
        <v>1166</v>
      </c>
      <c r="F7725" s="295" t="s">
        <v>2371</v>
      </c>
      <c r="G7725" s="295" t="s">
        <v>2372</v>
      </c>
      <c r="H7725" s="61"/>
      <c r="K7725" s="61"/>
    </row>
    <row r="7726" spans="1:11">
      <c r="A7726" s="847"/>
      <c r="B7726" s="237"/>
      <c r="C7726" s="412"/>
      <c r="D7726" s="237"/>
      <c r="E7726" s="237"/>
      <c r="F7726" s="237" t="s">
        <v>3485</v>
      </c>
      <c r="G7726" s="237" t="s">
        <v>3485</v>
      </c>
      <c r="H7726" s="61"/>
      <c r="K7726" s="61"/>
    </row>
    <row r="7727" spans="1:11" ht="36">
      <c r="A7727" s="847"/>
      <c r="B7727" s="295">
        <v>1</v>
      </c>
      <c r="C7727" s="392" t="s">
        <v>4257</v>
      </c>
      <c r="D7727" s="520" t="s">
        <v>3477</v>
      </c>
      <c r="E7727" s="256">
        <v>23</v>
      </c>
      <c r="F7727" s="214">
        <f>'BASIC DATA'!$D$108</f>
        <v>318</v>
      </c>
      <c r="G7727" s="449">
        <f>E7727*F7727</f>
        <v>7314</v>
      </c>
      <c r="H7727" s="61"/>
    </row>
    <row r="7728" spans="1:11" ht="36">
      <c r="A7728" s="847"/>
      <c r="B7728" s="240">
        <v>2</v>
      </c>
      <c r="C7728" s="392" t="s">
        <v>4626</v>
      </c>
      <c r="D7728" s="452" t="s">
        <v>2059</v>
      </c>
      <c r="E7728" s="256">
        <v>200</v>
      </c>
      <c r="F7728" s="266">
        <f>'BASIC DATA'!$D$104</f>
        <v>22</v>
      </c>
      <c r="G7728" s="449">
        <f>E7728*F7728</f>
        <v>4400</v>
      </c>
      <c r="H7728" s="61"/>
    </row>
    <row r="7729" spans="1:9">
      <c r="A7729" s="847"/>
      <c r="B7729" s="237">
        <v>3</v>
      </c>
      <c r="C7729" s="392" t="s">
        <v>4080</v>
      </c>
      <c r="D7729" s="521" t="s">
        <v>3477</v>
      </c>
      <c r="E7729" s="256">
        <v>3.75</v>
      </c>
      <c r="F7729" s="214">
        <f>'BASIC DATA'!$D$96</f>
        <v>350</v>
      </c>
      <c r="G7729" s="449">
        <f>E7729*F7729</f>
        <v>1312.5</v>
      </c>
      <c r="H7729" s="61"/>
    </row>
    <row r="7730" spans="1:9">
      <c r="A7730" s="847"/>
      <c r="B7730" s="311"/>
      <c r="C7730" s="387" t="s">
        <v>2376</v>
      </c>
      <c r="D7730" s="388"/>
      <c r="E7730" s="389"/>
      <c r="F7730" s="390" t="s">
        <v>1698</v>
      </c>
      <c r="G7730" s="391">
        <f>SUM(G7727:G7729)</f>
        <v>13026.5</v>
      </c>
      <c r="H7730" s="61"/>
    </row>
    <row r="7731" spans="1:9">
      <c r="A7731" s="847"/>
      <c r="B7731" s="62"/>
      <c r="C7731" s="49"/>
      <c r="D7731" s="61"/>
      <c r="E7731" s="61"/>
      <c r="F7731" s="61"/>
      <c r="G7731" s="61"/>
      <c r="H7731" s="61"/>
      <c r="I7731" s="61"/>
    </row>
    <row r="7732" spans="1:9">
      <c r="A7732" s="847"/>
      <c r="B7732" s="410" t="s">
        <v>2377</v>
      </c>
      <c r="C7732" s="49"/>
      <c r="D7732" s="61"/>
      <c r="E7732" s="61"/>
      <c r="F7732" s="61"/>
      <c r="G7732" s="61"/>
      <c r="H7732" s="61"/>
      <c r="I7732" s="61"/>
    </row>
    <row r="7733" spans="1:9">
      <c r="A7733" s="847"/>
      <c r="B7733" s="295" t="s">
        <v>2369</v>
      </c>
      <c r="C7733" s="411" t="s">
        <v>2378</v>
      </c>
      <c r="D7733" s="295" t="s">
        <v>2370</v>
      </c>
      <c r="E7733" s="295" t="s">
        <v>1166</v>
      </c>
      <c r="F7733" s="295" t="s">
        <v>2371</v>
      </c>
      <c r="G7733" s="295" t="s">
        <v>2372</v>
      </c>
      <c r="H7733" s="61"/>
      <c r="I7733" s="61"/>
    </row>
    <row r="7734" spans="1:9">
      <c r="A7734" s="847"/>
      <c r="B7734" s="237"/>
      <c r="C7734" s="412"/>
      <c r="D7734" s="237"/>
      <c r="E7734" s="237"/>
      <c r="F7734" s="237" t="s">
        <v>3485</v>
      </c>
      <c r="G7734" s="237" t="s">
        <v>3485</v>
      </c>
      <c r="H7734" s="61"/>
      <c r="I7734" s="61"/>
    </row>
    <row r="7735" spans="1:9">
      <c r="A7735" s="847"/>
      <c r="B7735" s="295">
        <v>1</v>
      </c>
      <c r="C7735" s="524" t="s">
        <v>1130</v>
      </c>
      <c r="D7735" s="295"/>
      <c r="E7735" s="256">
        <v>0</v>
      </c>
      <c r="F7735" s="266">
        <v>0</v>
      </c>
      <c r="G7735" s="449">
        <f>E7735*F7735</f>
        <v>0</v>
      </c>
      <c r="H7735" s="61"/>
      <c r="I7735" s="61"/>
    </row>
    <row r="7736" spans="1:9">
      <c r="A7736" s="847"/>
      <c r="B7736" s="589"/>
      <c r="C7736" s="524"/>
      <c r="D7736" s="237"/>
      <c r="E7736" s="256">
        <v>0</v>
      </c>
      <c r="F7736" s="266">
        <v>0</v>
      </c>
      <c r="G7736" s="449">
        <f>E7736*F7736</f>
        <v>0</v>
      </c>
      <c r="H7736" s="61"/>
      <c r="I7736" s="61"/>
    </row>
    <row r="7737" spans="1:9">
      <c r="A7737" s="847"/>
      <c r="B7737" s="263"/>
      <c r="C7737" s="525" t="s">
        <v>2380</v>
      </c>
      <c r="D7737" s="241"/>
      <c r="E7737" s="242"/>
      <c r="F7737" s="390" t="s">
        <v>1698</v>
      </c>
      <c r="G7737" s="391">
        <f>SUM(G7735:G7736)</f>
        <v>0</v>
      </c>
      <c r="H7737" s="61"/>
      <c r="I7737" s="61"/>
    </row>
    <row r="7738" spans="1:9">
      <c r="A7738" s="847"/>
      <c r="B7738" s="62"/>
      <c r="C7738" s="49"/>
      <c r="D7738" s="61"/>
      <c r="E7738" s="61"/>
      <c r="F7738" s="61"/>
      <c r="G7738" s="61"/>
      <c r="H7738" s="61"/>
      <c r="I7738" s="61"/>
    </row>
    <row r="7739" spans="1:9">
      <c r="A7739" s="847"/>
      <c r="B7739" s="410" t="s">
        <v>2381</v>
      </c>
      <c r="C7739" s="49"/>
      <c r="D7739" s="61"/>
      <c r="E7739" s="61"/>
      <c r="F7739" s="61"/>
      <c r="G7739" s="61"/>
      <c r="H7739" s="61"/>
      <c r="I7739" s="61"/>
    </row>
    <row r="7740" spans="1:9">
      <c r="A7740" s="847"/>
      <c r="B7740" s="295" t="s">
        <v>2369</v>
      </c>
      <c r="C7740" s="411" t="s">
        <v>2378</v>
      </c>
      <c r="D7740" s="295" t="s">
        <v>2370</v>
      </c>
      <c r="E7740" s="295" t="s">
        <v>1166</v>
      </c>
      <c r="F7740" s="295" t="s">
        <v>2371</v>
      </c>
      <c r="G7740" s="295" t="s">
        <v>2372</v>
      </c>
      <c r="H7740" s="61"/>
      <c r="I7740" s="61"/>
    </row>
    <row r="7741" spans="1:9">
      <c r="A7741" s="847"/>
      <c r="B7741" s="237"/>
      <c r="C7741" s="412"/>
      <c r="D7741" s="240"/>
      <c r="E7741" s="237"/>
      <c r="F7741" s="237" t="s">
        <v>3485</v>
      </c>
      <c r="G7741" s="237" t="s">
        <v>3485</v>
      </c>
      <c r="H7741" s="61"/>
      <c r="I7741" s="61"/>
    </row>
    <row r="7742" spans="1:9">
      <c r="A7742" s="847"/>
      <c r="B7742" s="240">
        <v>1</v>
      </c>
      <c r="C7742" s="392" t="s">
        <v>4206</v>
      </c>
      <c r="D7742" s="295" t="s">
        <v>1172</v>
      </c>
      <c r="E7742" s="393">
        <v>1</v>
      </c>
      <c r="F7742" s="190">
        <f>'BASIC DATA'!$C$473</f>
        <v>450</v>
      </c>
      <c r="G7742" s="449">
        <f>E7742*F7742</f>
        <v>450</v>
      </c>
      <c r="H7742" s="61"/>
      <c r="I7742" s="61"/>
    </row>
    <row r="7743" spans="1:9">
      <c r="A7743" s="847"/>
      <c r="B7743" s="240">
        <v>2</v>
      </c>
      <c r="C7743" s="392" t="s">
        <v>5607</v>
      </c>
      <c r="D7743" s="240" t="s">
        <v>1172</v>
      </c>
      <c r="E7743" s="393">
        <v>5</v>
      </c>
      <c r="F7743" s="190">
        <f>'BASIC DATA'!$C$541</f>
        <v>400</v>
      </c>
      <c r="G7743" s="449">
        <f>E7743*F7743</f>
        <v>2000</v>
      </c>
      <c r="H7743" s="61"/>
      <c r="I7743" s="61"/>
    </row>
    <row r="7744" spans="1:9">
      <c r="A7744" s="847"/>
      <c r="B7744" s="240">
        <v>3</v>
      </c>
      <c r="C7744" s="392" t="s">
        <v>2697</v>
      </c>
      <c r="D7744" s="240" t="s">
        <v>1172</v>
      </c>
      <c r="E7744" s="393">
        <v>6</v>
      </c>
      <c r="F7744" s="190">
        <f>'BASIC DATA'!$C$552</f>
        <v>350</v>
      </c>
      <c r="G7744" s="449">
        <f>E7744*F7744</f>
        <v>2100</v>
      </c>
      <c r="H7744" s="61"/>
      <c r="I7744" s="61"/>
    </row>
    <row r="7745" spans="1:10">
      <c r="A7745" s="847"/>
      <c r="B7745" s="311"/>
      <c r="C7745" s="387" t="s">
        <v>1174</v>
      </c>
      <c r="D7745" s="388"/>
      <c r="E7745" s="389"/>
      <c r="F7745" s="390" t="s">
        <v>1698</v>
      </c>
      <c r="G7745" s="391">
        <f>SUM(G7742:G7744)</f>
        <v>4550</v>
      </c>
      <c r="H7745" s="61"/>
      <c r="I7745" s="61"/>
    </row>
    <row r="7746" spans="1:10">
      <c r="A7746" s="847"/>
      <c r="B7746" s="359" t="s">
        <v>5948</v>
      </c>
      <c r="C7746" s="48"/>
      <c r="D7746" s="31"/>
      <c r="E7746" s="85">
        <f>ROUND(G7745/F7723,1)</f>
        <v>45.5</v>
      </c>
      <c r="H7746" s="61"/>
      <c r="I7746" s="61"/>
    </row>
    <row r="7747" spans="1:10">
      <c r="A7747" s="847"/>
      <c r="B7747" s="359" t="s">
        <v>3163</v>
      </c>
      <c r="C7747" s="48"/>
      <c r="D7747" s="922">
        <f>'BASIC DATA'!$C$577</f>
        <v>0.13614999999999999</v>
      </c>
      <c r="E7747" s="85">
        <f>ROUND(E7746*D7747,1)</f>
        <v>6.2</v>
      </c>
      <c r="H7747" s="61"/>
      <c r="I7747" s="61"/>
    </row>
    <row r="7748" spans="1:10">
      <c r="A7748" s="847"/>
      <c r="B7748" s="359" t="s">
        <v>5949</v>
      </c>
      <c r="C7748" s="48"/>
      <c r="D7748" s="31"/>
      <c r="E7748" s="199">
        <f>ROUND(E7747+E7746,1)</f>
        <v>51.7</v>
      </c>
      <c r="H7748" s="61"/>
      <c r="I7748" s="61"/>
    </row>
    <row r="7749" spans="1:10">
      <c r="A7749" s="847"/>
      <c r="B7749" s="382"/>
      <c r="C7749" s="48"/>
      <c r="D7749" s="61"/>
      <c r="E7749" s="61"/>
      <c r="F7749" s="61"/>
      <c r="G7749" s="61"/>
      <c r="H7749" s="61"/>
      <c r="I7749" s="61"/>
    </row>
    <row r="7750" spans="1:10">
      <c r="A7750" s="847"/>
      <c r="B7750" s="588" t="s">
        <v>1175</v>
      </c>
      <c r="C7750" s="48"/>
      <c r="D7750" s="61"/>
      <c r="E7750" s="61"/>
      <c r="F7750" s="61"/>
      <c r="G7750" s="61"/>
      <c r="H7750" s="61"/>
      <c r="I7750" s="61"/>
    </row>
    <row r="7751" spans="1:10">
      <c r="A7751" s="847"/>
      <c r="B7751" s="382" t="s">
        <v>1176</v>
      </c>
      <c r="C7751" s="48"/>
      <c r="D7751" s="61"/>
      <c r="E7751" s="61"/>
      <c r="F7751" s="222" t="s">
        <v>1698</v>
      </c>
      <c r="G7751" s="223">
        <f>G7730</f>
        <v>13026.5</v>
      </c>
      <c r="H7751" s="61"/>
      <c r="I7751" s="61"/>
    </row>
    <row r="7752" spans="1:10">
      <c r="A7752" s="847"/>
      <c r="B7752" s="382" t="s">
        <v>1186</v>
      </c>
      <c r="C7752" s="48"/>
      <c r="D7752" s="61"/>
      <c r="E7752" s="61"/>
      <c r="F7752" s="222" t="s">
        <v>1698</v>
      </c>
      <c r="G7752" s="223">
        <f>G7737</f>
        <v>0</v>
      </c>
      <c r="H7752" s="61"/>
      <c r="I7752" s="61"/>
    </row>
    <row r="7753" spans="1:10">
      <c r="A7753" s="847"/>
      <c r="B7753" s="382" t="s">
        <v>2660</v>
      </c>
      <c r="C7753" s="48"/>
      <c r="D7753" s="61"/>
      <c r="E7753" s="61"/>
      <c r="F7753" s="222" t="s">
        <v>1698</v>
      </c>
      <c r="G7753" s="321">
        <f>G7745</f>
        <v>4550</v>
      </c>
      <c r="H7753" s="61"/>
      <c r="I7753" s="61"/>
    </row>
    <row r="7754" spans="1:10">
      <c r="A7754" s="847"/>
      <c r="B7754" s="78"/>
      <c r="C7754" s="48"/>
      <c r="E7754" s="171" t="s">
        <v>4835</v>
      </c>
      <c r="F7754" s="171" t="s">
        <v>1173</v>
      </c>
      <c r="G7754" s="205">
        <f>SUM(G7751:G7753)</f>
        <v>17576.5</v>
      </c>
    </row>
    <row r="7755" spans="1:10" ht="39.75" customHeight="1">
      <c r="A7755" s="847"/>
      <c r="B7755" s="1207" t="s">
        <v>1379</v>
      </c>
      <c r="C7755" s="1207"/>
      <c r="D7755" s="1207"/>
      <c r="E7755" s="922">
        <f>'BASIC DATA'!$C$577</f>
        <v>0.13614999999999999</v>
      </c>
      <c r="F7755" s="171" t="s">
        <v>1698</v>
      </c>
      <c r="G7755" s="31">
        <f>ROUND(G7754*E7755,2)</f>
        <v>2393.04</v>
      </c>
    </row>
    <row r="7756" spans="1:10">
      <c r="A7756" s="847"/>
      <c r="B7756" s="47" t="s">
        <v>1191</v>
      </c>
      <c r="C7756" s="48"/>
      <c r="D7756" s="68">
        <f>F7723</f>
        <v>100</v>
      </c>
      <c r="E7756" s="68" t="str">
        <f>G7723</f>
        <v>sqm</v>
      </c>
      <c r="F7756" s="171" t="s">
        <v>1698</v>
      </c>
      <c r="G7756" s="211">
        <f>G7755+G7754</f>
        <v>19969.54</v>
      </c>
    </row>
    <row r="7757" spans="1:10">
      <c r="A7757" s="847"/>
      <c r="B7757" s="79" t="s">
        <v>1584</v>
      </c>
      <c r="C7757" s="404" t="str">
        <f>E7756</f>
        <v>sqm</v>
      </c>
      <c r="D7757" s="26" t="s">
        <v>5882</v>
      </c>
      <c r="F7757" s="171" t="s">
        <v>4108</v>
      </c>
      <c r="G7757" s="211">
        <f>ROUND(G7756/D7756,1)</f>
        <v>199.7</v>
      </c>
      <c r="H7757" s="61"/>
      <c r="I7757" s="61"/>
    </row>
    <row r="7758" spans="1:10">
      <c r="A7758" s="847"/>
      <c r="B7758" s="62"/>
      <c r="C7758" s="49"/>
      <c r="D7758" s="61"/>
      <c r="E7758" s="61"/>
      <c r="F7758" s="61"/>
      <c r="G7758" s="61"/>
      <c r="H7758" s="61"/>
      <c r="I7758" s="61"/>
    </row>
    <row r="7759" spans="1:10">
      <c r="A7759" s="847"/>
      <c r="B7759" s="62" t="s">
        <v>1940</v>
      </c>
      <c r="C7759" s="382" t="s">
        <v>4627</v>
      </c>
      <c r="D7759" s="61"/>
      <c r="E7759" s="61"/>
      <c r="F7759" s="61"/>
      <c r="G7759" s="61"/>
      <c r="H7759" s="61"/>
      <c r="I7759" s="61"/>
      <c r="J7759" s="61"/>
    </row>
    <row r="7760" spans="1:10">
      <c r="A7760" s="847"/>
      <c r="B7760" s="62"/>
      <c r="C7760" s="49" t="s">
        <v>9292</v>
      </c>
      <c r="D7760" s="61"/>
      <c r="E7760" s="61"/>
      <c r="F7760" s="61"/>
      <c r="G7760" s="61"/>
      <c r="H7760" s="61"/>
    </row>
    <row r="7761" spans="1:11" ht="36" hidden="1">
      <c r="A7761" s="891" t="s">
        <v>3984</v>
      </c>
      <c r="B7761" s="78"/>
      <c r="C7761" s="49" t="s">
        <v>4628</v>
      </c>
      <c r="D7761" s="61"/>
      <c r="E7761" s="61"/>
      <c r="F7761" s="61"/>
      <c r="G7761" s="61"/>
      <c r="H7761" s="61"/>
    </row>
    <row r="7762" spans="1:11" ht="36" hidden="1">
      <c r="A7762" s="847"/>
      <c r="B7762" s="62"/>
      <c r="C7762" s="49" t="s">
        <v>2519</v>
      </c>
      <c r="D7762" s="61"/>
      <c r="E7762" s="61"/>
      <c r="F7762" s="61">
        <v>18</v>
      </c>
      <c r="G7762" s="61" t="s">
        <v>6901</v>
      </c>
      <c r="J7762" s="74"/>
    </row>
    <row r="7763" spans="1:11" ht="36" hidden="1">
      <c r="A7763" s="847"/>
      <c r="B7763" s="62"/>
      <c r="C7763" s="49" t="s">
        <v>2244</v>
      </c>
      <c r="D7763" s="61"/>
      <c r="E7763" s="61"/>
      <c r="F7763" s="61"/>
      <c r="G7763" s="61"/>
      <c r="H7763" s="61"/>
      <c r="J7763" s="74"/>
    </row>
    <row r="7764" spans="1:11" hidden="1">
      <c r="A7764" s="847"/>
      <c r="B7764" s="62"/>
      <c r="C7764" s="49" t="s">
        <v>883</v>
      </c>
      <c r="D7764" s="61"/>
      <c r="E7764" s="61"/>
      <c r="F7764" s="61"/>
      <c r="G7764" s="61"/>
      <c r="H7764" s="61"/>
      <c r="J7764" s="526"/>
    </row>
    <row r="7765" spans="1:11">
      <c r="A7765" s="847"/>
      <c r="B7765" s="62"/>
      <c r="C7765" s="49"/>
      <c r="D7765" s="61"/>
      <c r="E7765" s="61"/>
      <c r="F7765" s="61"/>
      <c r="G7765" s="61"/>
      <c r="H7765" s="61"/>
      <c r="J7765" s="526"/>
    </row>
    <row r="7766" spans="1:11">
      <c r="A7766" s="891" t="s">
        <v>3984</v>
      </c>
      <c r="B7766" s="62"/>
      <c r="C7766" s="518" t="s">
        <v>2367</v>
      </c>
      <c r="D7766" s="61"/>
      <c r="E7766" s="222" t="s">
        <v>297</v>
      </c>
      <c r="F7766" s="519">
        <v>100</v>
      </c>
      <c r="G7766" s="61" t="s">
        <v>3479</v>
      </c>
      <c r="H7766" s="61"/>
      <c r="I7766" s="61"/>
      <c r="J7766" s="526"/>
    </row>
    <row r="7767" spans="1:11">
      <c r="A7767" s="847"/>
      <c r="B7767" s="410" t="s">
        <v>2368</v>
      </c>
      <c r="C7767" s="49"/>
      <c r="D7767" s="61"/>
      <c r="E7767" s="61"/>
      <c r="F7767" s="61"/>
      <c r="G7767" s="61"/>
      <c r="H7767" s="61"/>
      <c r="I7767" s="61"/>
      <c r="J7767" s="526"/>
    </row>
    <row r="7768" spans="1:11">
      <c r="A7768" s="847"/>
      <c r="B7768" s="295" t="s">
        <v>2369</v>
      </c>
      <c r="C7768" s="411" t="s">
        <v>6374</v>
      </c>
      <c r="D7768" s="295" t="s">
        <v>2370</v>
      </c>
      <c r="E7768" s="295" t="s">
        <v>1166</v>
      </c>
      <c r="F7768" s="295" t="s">
        <v>2371</v>
      </c>
      <c r="G7768" s="295" t="s">
        <v>2372</v>
      </c>
      <c r="H7768" s="61"/>
      <c r="I7768" s="61"/>
      <c r="J7768" s="526"/>
    </row>
    <row r="7769" spans="1:11">
      <c r="A7769" s="847"/>
      <c r="B7769" s="237"/>
      <c r="C7769" s="412"/>
      <c r="D7769" s="237"/>
      <c r="E7769" s="237"/>
      <c r="F7769" s="237" t="s">
        <v>3485</v>
      </c>
      <c r="G7769" s="237" t="s">
        <v>3485</v>
      </c>
      <c r="H7769" s="61"/>
      <c r="I7769" s="61"/>
      <c r="J7769" s="526"/>
    </row>
    <row r="7770" spans="1:11">
      <c r="A7770" s="847"/>
      <c r="B7770" s="295">
        <v>1</v>
      </c>
      <c r="C7770" s="392" t="s">
        <v>956</v>
      </c>
      <c r="D7770" s="520" t="s">
        <v>3477</v>
      </c>
      <c r="E7770" s="256">
        <v>18</v>
      </c>
      <c r="F7770" s="214">
        <f>'BASIC DATA'!$D$85</f>
        <v>165</v>
      </c>
      <c r="G7770" s="449">
        <f>E7770*F7770</f>
        <v>2970</v>
      </c>
      <c r="H7770" s="61"/>
      <c r="I7770" s="61"/>
      <c r="J7770" s="526"/>
      <c r="K7770" s="61"/>
    </row>
    <row r="7771" spans="1:11">
      <c r="A7771" s="847"/>
      <c r="B7771" s="589"/>
      <c r="C7771" s="392"/>
      <c r="D7771" s="521"/>
      <c r="E7771" s="256">
        <v>0</v>
      </c>
      <c r="F7771" s="266">
        <v>0</v>
      </c>
      <c r="G7771" s="449">
        <f>E7771*F7771</f>
        <v>0</v>
      </c>
      <c r="H7771" s="61"/>
      <c r="I7771" s="61"/>
      <c r="J7771" s="527"/>
      <c r="K7771" s="61"/>
    </row>
    <row r="7772" spans="1:11">
      <c r="A7772" s="847"/>
      <c r="B7772" s="311"/>
      <c r="C7772" s="387" t="s">
        <v>2376</v>
      </c>
      <c r="D7772" s="388"/>
      <c r="E7772" s="389"/>
      <c r="F7772" s="390" t="s">
        <v>1698</v>
      </c>
      <c r="G7772" s="391">
        <f>SUM(G7770:G7771)</f>
        <v>2970</v>
      </c>
      <c r="H7772" s="61"/>
      <c r="J7772" s="31"/>
    </row>
    <row r="7773" spans="1:11">
      <c r="A7773" s="847"/>
      <c r="B7773" s="62"/>
      <c r="C7773" s="49"/>
      <c r="D7773" s="61"/>
      <c r="E7773" s="61"/>
      <c r="F7773" s="61"/>
      <c r="G7773" s="61"/>
      <c r="H7773" s="61"/>
      <c r="J7773" s="74"/>
    </row>
    <row r="7774" spans="1:11">
      <c r="A7774" s="847"/>
      <c r="B7774" s="410" t="s">
        <v>2377</v>
      </c>
      <c r="C7774" s="49"/>
      <c r="D7774" s="61"/>
      <c r="E7774" s="61"/>
      <c r="F7774" s="61"/>
      <c r="G7774" s="61"/>
      <c r="H7774" s="61"/>
      <c r="I7774" s="60"/>
      <c r="J7774" s="74"/>
    </row>
    <row r="7775" spans="1:11">
      <c r="A7775" s="847"/>
      <c r="B7775" s="295" t="s">
        <v>2369</v>
      </c>
      <c r="C7775" s="411" t="s">
        <v>2378</v>
      </c>
      <c r="D7775" s="295" t="s">
        <v>2370</v>
      </c>
      <c r="E7775" s="295" t="s">
        <v>1166</v>
      </c>
      <c r="F7775" s="295" t="s">
        <v>2371</v>
      </c>
      <c r="G7775" s="295" t="s">
        <v>2372</v>
      </c>
      <c r="H7775" s="61"/>
      <c r="I7775" s="60"/>
      <c r="J7775" s="526"/>
    </row>
    <row r="7776" spans="1:11">
      <c r="A7776" s="847"/>
      <c r="B7776" s="237"/>
      <c r="C7776" s="412"/>
      <c r="D7776" s="237"/>
      <c r="E7776" s="237"/>
      <c r="F7776" s="237" t="s">
        <v>3485</v>
      </c>
      <c r="G7776" s="237" t="s">
        <v>3485</v>
      </c>
      <c r="H7776" s="61"/>
      <c r="I7776" s="60"/>
      <c r="J7776" s="526"/>
    </row>
    <row r="7777" spans="1:11">
      <c r="A7777" s="847"/>
      <c r="B7777" s="295">
        <v>1</v>
      </c>
      <c r="C7777" s="524" t="s">
        <v>1130</v>
      </c>
      <c r="D7777" s="295"/>
      <c r="E7777" s="256">
        <v>0</v>
      </c>
      <c r="F7777" s="266">
        <v>0</v>
      </c>
      <c r="G7777" s="449">
        <f>E7777*F7777</f>
        <v>0</v>
      </c>
      <c r="H7777" s="61"/>
      <c r="I7777" s="60"/>
      <c r="J7777" s="527"/>
    </row>
    <row r="7778" spans="1:11">
      <c r="A7778" s="847"/>
      <c r="B7778" s="589"/>
      <c r="C7778" s="524"/>
      <c r="D7778" s="237"/>
      <c r="E7778" s="256">
        <v>0</v>
      </c>
      <c r="F7778" s="266">
        <v>0</v>
      </c>
      <c r="G7778" s="449">
        <f>E7778*F7778</f>
        <v>0</v>
      </c>
      <c r="H7778" s="61"/>
      <c r="I7778" s="60"/>
      <c r="J7778" s="31"/>
    </row>
    <row r="7779" spans="1:11">
      <c r="A7779" s="847"/>
      <c r="B7779" s="263"/>
      <c r="C7779" s="525" t="s">
        <v>2380</v>
      </c>
      <c r="D7779" s="241"/>
      <c r="E7779" s="242"/>
      <c r="F7779" s="390" t="s">
        <v>1698</v>
      </c>
      <c r="G7779" s="391">
        <f>SUM(G7777:G7778)</f>
        <v>0</v>
      </c>
      <c r="H7779" s="61"/>
      <c r="I7779" s="60"/>
      <c r="J7779" s="31"/>
      <c r="K7779" s="61"/>
    </row>
    <row r="7780" spans="1:11">
      <c r="A7780" s="847"/>
      <c r="B7780" s="62"/>
      <c r="C7780" s="49"/>
      <c r="D7780" s="61"/>
      <c r="E7780" s="61"/>
      <c r="F7780" s="61"/>
      <c r="G7780" s="61"/>
      <c r="H7780" s="61"/>
      <c r="I7780" s="60"/>
      <c r="J7780" s="74"/>
      <c r="K7780" s="61"/>
    </row>
    <row r="7781" spans="1:11">
      <c r="A7781" s="847"/>
      <c r="B7781" s="410" t="s">
        <v>2381</v>
      </c>
      <c r="C7781" s="49"/>
      <c r="D7781" s="61"/>
      <c r="E7781" s="61"/>
      <c r="F7781" s="61"/>
      <c r="G7781" s="61"/>
      <c r="H7781" s="61"/>
      <c r="I7781" s="60"/>
      <c r="J7781" s="74"/>
      <c r="K7781" s="61"/>
    </row>
    <row r="7782" spans="1:11">
      <c r="A7782" s="847"/>
      <c r="B7782" s="295" t="s">
        <v>2369</v>
      </c>
      <c r="C7782" s="411" t="s">
        <v>2378</v>
      </c>
      <c r="D7782" s="295" t="s">
        <v>2370</v>
      </c>
      <c r="E7782" s="295" t="s">
        <v>1166</v>
      </c>
      <c r="F7782" s="295" t="s">
        <v>2371</v>
      </c>
      <c r="G7782" s="295" t="s">
        <v>2372</v>
      </c>
      <c r="H7782" s="61"/>
      <c r="I7782" s="60"/>
      <c r="J7782" s="526"/>
      <c r="K7782" s="61"/>
    </row>
    <row r="7783" spans="1:11">
      <c r="A7783" s="847"/>
      <c r="B7783" s="237"/>
      <c r="C7783" s="412"/>
      <c r="D7783" s="240"/>
      <c r="E7783" s="237"/>
      <c r="F7783" s="237" t="s">
        <v>3485</v>
      </c>
      <c r="G7783" s="237" t="s">
        <v>3485</v>
      </c>
      <c r="H7783" s="61"/>
      <c r="I7783" s="60"/>
      <c r="J7783" s="526"/>
      <c r="K7783" s="61"/>
    </row>
    <row r="7784" spans="1:11">
      <c r="A7784" s="847"/>
      <c r="B7784" s="240">
        <v>1</v>
      </c>
      <c r="C7784" s="392" t="s">
        <v>2697</v>
      </c>
      <c r="D7784" s="295" t="s">
        <v>1172</v>
      </c>
      <c r="E7784" s="393">
        <v>4</v>
      </c>
      <c r="F7784" s="190">
        <f>'BASIC DATA'!$C$552</f>
        <v>350</v>
      </c>
      <c r="G7784" s="449">
        <f>E7784*F7784</f>
        <v>1400</v>
      </c>
      <c r="H7784" s="61"/>
      <c r="I7784" s="60"/>
      <c r="J7784" s="526"/>
      <c r="K7784" s="61"/>
    </row>
    <row r="7785" spans="1:11">
      <c r="A7785" s="847"/>
      <c r="B7785" s="311"/>
      <c r="C7785" s="387" t="s">
        <v>1174</v>
      </c>
      <c r="D7785" s="388"/>
      <c r="E7785" s="389"/>
      <c r="F7785" s="390" t="s">
        <v>1698</v>
      </c>
      <c r="G7785" s="391">
        <f>SUM(G7784:G7784)</f>
        <v>1400</v>
      </c>
      <c r="H7785" s="61"/>
      <c r="I7785" s="60"/>
      <c r="J7785" s="527"/>
      <c r="K7785" s="61"/>
    </row>
    <row r="7786" spans="1:11">
      <c r="A7786" s="847"/>
      <c r="B7786" s="359" t="s">
        <v>5948</v>
      </c>
      <c r="C7786" s="48"/>
      <c r="D7786" s="31"/>
      <c r="E7786" s="85">
        <f>ROUND(G7785/F7766,1)</f>
        <v>14</v>
      </c>
      <c r="H7786" s="61"/>
      <c r="I7786" s="60"/>
      <c r="J7786" s="527"/>
      <c r="K7786" s="61"/>
    </row>
    <row r="7787" spans="1:11">
      <c r="A7787" s="847"/>
      <c r="B7787" s="359" t="s">
        <v>3163</v>
      </c>
      <c r="C7787" s="48"/>
      <c r="D7787" s="922">
        <f>'BASIC DATA'!$C$577</f>
        <v>0.13614999999999999</v>
      </c>
      <c r="E7787" s="85">
        <f>ROUND(E7786*D7787,1)</f>
        <v>1.9</v>
      </c>
      <c r="H7787" s="61"/>
      <c r="I7787" s="60"/>
      <c r="J7787" s="527"/>
      <c r="K7787" s="61"/>
    </row>
    <row r="7788" spans="1:11">
      <c r="A7788" s="847"/>
      <c r="B7788" s="359" t="s">
        <v>5949</v>
      </c>
      <c r="C7788" s="48"/>
      <c r="D7788" s="31"/>
      <c r="E7788" s="199">
        <f>ROUND(E7787+E7786,1)</f>
        <v>15.9</v>
      </c>
      <c r="H7788" s="61"/>
      <c r="I7788" s="60"/>
      <c r="J7788" s="527"/>
      <c r="K7788" s="61"/>
    </row>
    <row r="7789" spans="1:11">
      <c r="A7789" s="847"/>
      <c r="B7789" s="382"/>
      <c r="C7789" s="48"/>
      <c r="D7789" s="61"/>
      <c r="E7789" s="61"/>
      <c r="F7789" s="61"/>
      <c r="G7789" s="61"/>
      <c r="H7789" s="61"/>
      <c r="I7789" s="60"/>
    </row>
    <row r="7790" spans="1:11">
      <c r="A7790" s="847"/>
      <c r="B7790" s="588" t="s">
        <v>1175</v>
      </c>
      <c r="C7790" s="48"/>
      <c r="D7790" s="61"/>
      <c r="E7790" s="61"/>
      <c r="F7790" s="61"/>
      <c r="G7790" s="61"/>
      <c r="H7790" s="61"/>
      <c r="I7790" s="60"/>
    </row>
    <row r="7791" spans="1:11">
      <c r="A7791" s="847"/>
      <c r="B7791" s="382" t="s">
        <v>1176</v>
      </c>
      <c r="C7791" s="48"/>
      <c r="D7791" s="61"/>
      <c r="E7791" s="61"/>
      <c r="F7791" s="222" t="s">
        <v>1698</v>
      </c>
      <c r="G7791" s="223">
        <f>G7772</f>
        <v>2970</v>
      </c>
      <c r="H7791" s="61"/>
      <c r="I7791" s="60"/>
      <c r="J7791" s="48"/>
    </row>
    <row r="7792" spans="1:11">
      <c r="A7792" s="847"/>
      <c r="B7792" s="382" t="s">
        <v>1186</v>
      </c>
      <c r="C7792" s="48"/>
      <c r="D7792" s="61"/>
      <c r="E7792" s="61"/>
      <c r="F7792" s="222" t="s">
        <v>1698</v>
      </c>
      <c r="G7792" s="223">
        <f>G7779</f>
        <v>0</v>
      </c>
      <c r="H7792" s="61"/>
      <c r="I7792" s="60"/>
      <c r="J7792" s="48"/>
    </row>
    <row r="7793" spans="1:10">
      <c r="A7793" s="847"/>
      <c r="B7793" s="382" t="s">
        <v>2660</v>
      </c>
      <c r="C7793" s="48"/>
      <c r="D7793" s="61"/>
      <c r="E7793" s="61"/>
      <c r="F7793" s="222" t="s">
        <v>1698</v>
      </c>
      <c r="G7793" s="321">
        <f>G7785</f>
        <v>1400</v>
      </c>
      <c r="H7793" s="61"/>
      <c r="I7793" s="60"/>
      <c r="J7793" s="48"/>
    </row>
    <row r="7794" spans="1:10">
      <c r="A7794" s="847"/>
      <c r="B7794" s="78"/>
      <c r="C7794" s="48"/>
      <c r="E7794" s="171" t="s">
        <v>4835</v>
      </c>
      <c r="F7794" s="171" t="s">
        <v>1173</v>
      </c>
      <c r="G7794" s="205">
        <f>SUM(G7791:G7793)</f>
        <v>4370</v>
      </c>
    </row>
    <row r="7795" spans="1:10" ht="39" customHeight="1">
      <c r="A7795" s="847"/>
      <c r="B7795" s="1207" t="s">
        <v>1379</v>
      </c>
      <c r="C7795" s="1207"/>
      <c r="D7795" s="1207"/>
      <c r="E7795" s="922">
        <f>'BASIC DATA'!$C$577</f>
        <v>0.13614999999999999</v>
      </c>
      <c r="F7795" s="171" t="s">
        <v>1698</v>
      </c>
      <c r="G7795" s="31">
        <f>ROUND(G7794*E7795,2)</f>
        <v>594.98</v>
      </c>
    </row>
    <row r="7796" spans="1:10">
      <c r="A7796" s="847"/>
      <c r="B7796" s="47" t="s">
        <v>1191</v>
      </c>
      <c r="C7796" s="48"/>
      <c r="D7796" s="68">
        <f>F7766</f>
        <v>100</v>
      </c>
      <c r="E7796" s="68" t="str">
        <f>G7766</f>
        <v>sqm</v>
      </c>
      <c r="F7796" s="171" t="s">
        <v>1698</v>
      </c>
      <c r="G7796" s="211">
        <f>G7795+G7794</f>
        <v>4964.9799999999996</v>
      </c>
    </row>
    <row r="7797" spans="1:10">
      <c r="A7797" s="847"/>
      <c r="B7797" s="79" t="s">
        <v>1584</v>
      </c>
      <c r="C7797" s="404" t="str">
        <f>E7796</f>
        <v>sqm</v>
      </c>
      <c r="D7797" s="26" t="s">
        <v>5882</v>
      </c>
      <c r="F7797" s="171" t="s">
        <v>4108</v>
      </c>
      <c r="G7797" s="211">
        <f>ROUND(G7796/D7796,1)</f>
        <v>49.6</v>
      </c>
      <c r="H7797" s="61"/>
      <c r="I7797" s="60"/>
      <c r="J7797" s="362"/>
    </row>
    <row r="7798" spans="1:10">
      <c r="A7798" s="847"/>
      <c r="B7798" s="62"/>
      <c r="C7798" s="49"/>
      <c r="D7798" s="61"/>
      <c r="E7798" s="61"/>
      <c r="F7798" s="222"/>
      <c r="G7798" s="223"/>
      <c r="H7798" s="61"/>
      <c r="J7798" s="362"/>
    </row>
    <row r="7799" spans="1:10" ht="36">
      <c r="A7799" s="841" t="s">
        <v>492</v>
      </c>
      <c r="B7799" s="382" t="s">
        <v>8869</v>
      </c>
      <c r="C7799" s="48"/>
      <c r="D7799" s="61"/>
      <c r="E7799" s="61"/>
      <c r="F7799" s="61"/>
      <c r="G7799" s="61"/>
      <c r="H7799" s="61"/>
    </row>
    <row r="7800" spans="1:10" ht="30.75">
      <c r="A7800" s="901" t="s">
        <v>508</v>
      </c>
      <c r="B7800" s="382" t="s">
        <v>8868</v>
      </c>
      <c r="C7800" s="48"/>
      <c r="D7800" s="61"/>
      <c r="E7800" s="61"/>
      <c r="F7800" s="61"/>
      <c r="G7800" s="61"/>
      <c r="H7800" s="61"/>
    </row>
    <row r="7801" spans="1:10">
      <c r="A7801" s="900"/>
      <c r="B7801" s="588" t="s">
        <v>992</v>
      </c>
      <c r="C7801" s="48"/>
      <c r="D7801" s="61"/>
      <c r="E7801" s="61"/>
      <c r="F7801" s="61"/>
      <c r="G7801" s="61"/>
      <c r="H7801" s="61"/>
    </row>
    <row r="7802" spans="1:10">
      <c r="A7802" s="889"/>
      <c r="B7802" s="162" t="s">
        <v>494</v>
      </c>
      <c r="C7802" s="48"/>
      <c r="H7802" s="61"/>
    </row>
    <row r="7803" spans="1:10">
      <c r="A7803" s="891"/>
      <c r="B7803" s="79" t="s">
        <v>493</v>
      </c>
      <c r="C7803" s="49"/>
      <c r="D7803" s="61"/>
      <c r="E7803" s="61"/>
      <c r="F7803" s="62"/>
      <c r="G7803" s="61"/>
      <c r="H7803" s="61"/>
    </row>
    <row r="7804" spans="1:10" hidden="1">
      <c r="A7804" s="891" t="s">
        <v>3984</v>
      </c>
      <c r="B7804" s="382" t="s">
        <v>2285</v>
      </c>
      <c r="D7804" s="61"/>
      <c r="E7804" s="61"/>
      <c r="F7804" s="61"/>
      <c r="G7804" s="61"/>
      <c r="H7804" s="61"/>
    </row>
    <row r="7805" spans="1:10" hidden="1">
      <c r="A7805" s="847"/>
      <c r="B7805" s="62"/>
      <c r="C7805" s="49" t="s">
        <v>1619</v>
      </c>
      <c r="D7805" s="61"/>
      <c r="E7805" s="61"/>
      <c r="F7805" s="62" t="s">
        <v>1697</v>
      </c>
      <c r="G7805" s="528">
        <v>0.20699999999999999</v>
      </c>
      <c r="H7805" s="61"/>
    </row>
    <row r="7806" spans="1:10" hidden="1">
      <c r="A7806" s="847"/>
      <c r="B7806" s="62"/>
      <c r="C7806" s="49" t="s">
        <v>2286</v>
      </c>
      <c r="D7806" s="61"/>
      <c r="E7806" s="61"/>
      <c r="F7806" s="62" t="s">
        <v>1697</v>
      </c>
      <c r="G7806" s="61">
        <v>200</v>
      </c>
      <c r="H7806" s="61"/>
    </row>
    <row r="7807" spans="1:10" hidden="1">
      <c r="A7807" s="847"/>
      <c r="B7807" s="62"/>
      <c r="C7807" s="49" t="s">
        <v>4074</v>
      </c>
      <c r="D7807" s="61"/>
      <c r="E7807" s="61"/>
      <c r="F7807" s="62" t="s">
        <v>1697</v>
      </c>
      <c r="G7807" s="61">
        <f>0.225*100*15/100</f>
        <v>3.375</v>
      </c>
      <c r="H7807" s="61"/>
    </row>
    <row r="7808" spans="1:10" ht="36" hidden="1">
      <c r="A7808" s="847"/>
      <c r="B7808" s="62"/>
      <c r="C7808" s="49" t="s">
        <v>2287</v>
      </c>
      <c r="D7808" s="61"/>
      <c r="E7808" s="61"/>
      <c r="F7808" s="62"/>
      <c r="G7808" s="61"/>
      <c r="H7808" s="61"/>
    </row>
    <row r="7809" spans="1:8" ht="36" hidden="1">
      <c r="A7809" s="847"/>
      <c r="B7809" s="62"/>
      <c r="C7809" s="49" t="s">
        <v>4625</v>
      </c>
      <c r="D7809" s="61"/>
      <c r="E7809" s="61"/>
      <c r="F7809" s="62" t="s">
        <v>1697</v>
      </c>
      <c r="G7809" s="61">
        <v>5</v>
      </c>
      <c r="H7809" s="61"/>
    </row>
    <row r="7810" spans="1:8" ht="36" hidden="1">
      <c r="A7810" s="847"/>
      <c r="B7810" s="62"/>
      <c r="C7810" s="49" t="s">
        <v>882</v>
      </c>
      <c r="D7810" s="61"/>
      <c r="E7810" s="61"/>
      <c r="F7810" s="62" t="s">
        <v>1697</v>
      </c>
      <c r="G7810" s="61">
        <v>5</v>
      </c>
      <c r="H7810" s="61"/>
    </row>
    <row r="7811" spans="1:8" ht="36" hidden="1">
      <c r="A7811" s="847"/>
      <c r="B7811" s="62"/>
      <c r="C7811" s="49" t="s">
        <v>881</v>
      </c>
      <c r="D7811" s="61"/>
      <c r="E7811" s="61"/>
      <c r="F7811" s="62" t="s">
        <v>1697</v>
      </c>
      <c r="G7811" s="61">
        <v>1</v>
      </c>
      <c r="H7811" s="61"/>
    </row>
    <row r="7812" spans="1:8">
      <c r="A7812" s="847"/>
      <c r="B7812" s="62"/>
      <c r="C7812" s="49"/>
      <c r="D7812" s="61"/>
      <c r="E7812" s="61"/>
      <c r="F7812" s="61"/>
      <c r="G7812" s="61"/>
      <c r="H7812" s="61"/>
    </row>
    <row r="7813" spans="1:8">
      <c r="A7813" s="847"/>
      <c r="B7813" s="62"/>
      <c r="C7813" s="49"/>
      <c r="D7813" s="61"/>
      <c r="E7813" s="61"/>
      <c r="F7813" s="61"/>
      <c r="G7813" s="61"/>
      <c r="H7813" s="61"/>
    </row>
    <row r="7814" spans="1:8">
      <c r="A7814" s="848" t="s">
        <v>3984</v>
      </c>
      <c r="B7814" s="62"/>
      <c r="C7814" s="518" t="s">
        <v>2367</v>
      </c>
      <c r="D7814" s="61"/>
      <c r="E7814" s="222" t="s">
        <v>297</v>
      </c>
      <c r="F7814" s="519">
        <v>100</v>
      </c>
      <c r="G7814" s="61" t="s">
        <v>3479</v>
      </c>
      <c r="H7814" s="61"/>
    </row>
    <row r="7815" spans="1:8">
      <c r="A7815" s="847"/>
      <c r="B7815" s="410" t="s">
        <v>2368</v>
      </c>
      <c r="C7815" s="49"/>
      <c r="D7815" s="61"/>
      <c r="E7815" s="61"/>
      <c r="F7815" s="61"/>
      <c r="G7815" s="61"/>
      <c r="H7815" s="61"/>
    </row>
    <row r="7816" spans="1:8">
      <c r="A7816" s="847"/>
      <c r="B7816" s="295" t="s">
        <v>2369</v>
      </c>
      <c r="C7816" s="411" t="s">
        <v>6374</v>
      </c>
      <c r="D7816" s="295" t="s">
        <v>2370</v>
      </c>
      <c r="E7816" s="295" t="s">
        <v>1166</v>
      </c>
      <c r="F7816" s="295" t="s">
        <v>2371</v>
      </c>
      <c r="G7816" s="295" t="s">
        <v>2372</v>
      </c>
      <c r="H7816" s="61"/>
    </row>
    <row r="7817" spans="1:8">
      <c r="A7817" s="847"/>
      <c r="B7817" s="237"/>
      <c r="C7817" s="412"/>
      <c r="D7817" s="237"/>
      <c r="E7817" s="237"/>
      <c r="F7817" s="237" t="s">
        <v>3485</v>
      </c>
      <c r="G7817" s="237" t="s">
        <v>3485</v>
      </c>
      <c r="H7817" s="61"/>
    </row>
    <row r="7818" spans="1:8" ht="36">
      <c r="A7818" s="847"/>
      <c r="B7818" s="295">
        <v>1</v>
      </c>
      <c r="C7818" s="392" t="s">
        <v>4257</v>
      </c>
      <c r="D7818" s="520" t="s">
        <v>3477</v>
      </c>
      <c r="E7818" s="256">
        <f>G7805*100</f>
        <v>20.7</v>
      </c>
      <c r="F7818" s="235">
        <f>'BASIC DATA'!$D$108</f>
        <v>318</v>
      </c>
      <c r="G7818" s="529">
        <f>E7818*F7818</f>
        <v>6582.5999999999995</v>
      </c>
      <c r="H7818" s="61"/>
    </row>
    <row r="7819" spans="1:8" ht="36">
      <c r="A7819" s="847"/>
      <c r="B7819" s="69">
        <v>2</v>
      </c>
      <c r="C7819" s="530" t="s">
        <v>4626</v>
      </c>
      <c r="D7819" s="531" t="s">
        <v>2059</v>
      </c>
      <c r="E7819" s="243">
        <f>G7806</f>
        <v>200</v>
      </c>
      <c r="F7819" s="243">
        <f>'BASIC DATA'!$D$104</f>
        <v>22</v>
      </c>
      <c r="G7819" s="529">
        <f>E7819*F7819</f>
        <v>4400</v>
      </c>
      <c r="H7819" s="61"/>
    </row>
    <row r="7820" spans="1:8">
      <c r="A7820" s="847"/>
      <c r="B7820" s="69">
        <v>3</v>
      </c>
      <c r="C7820" s="530" t="s">
        <v>4080</v>
      </c>
      <c r="D7820" s="531" t="s">
        <v>3477</v>
      </c>
      <c r="E7820" s="532">
        <f>G7807</f>
        <v>3.375</v>
      </c>
      <c r="F7820" s="235">
        <f>'BASIC DATA'!$D$96</f>
        <v>350</v>
      </c>
      <c r="G7820" s="529">
        <f>E7820*F7820</f>
        <v>1181.25</v>
      </c>
      <c r="H7820" s="61"/>
    </row>
    <row r="7821" spans="1:8">
      <c r="A7821" s="847"/>
      <c r="B7821" s="311"/>
      <c r="C7821" s="387" t="s">
        <v>2376</v>
      </c>
      <c r="D7821" s="388"/>
      <c r="E7821" s="389"/>
      <c r="F7821" s="390" t="s">
        <v>1698</v>
      </c>
      <c r="G7821" s="391">
        <f>SUM(G7818:G7820)</f>
        <v>12163.849999999999</v>
      </c>
      <c r="H7821" s="61"/>
    </row>
    <row r="7822" spans="1:8">
      <c r="A7822" s="847"/>
      <c r="B7822" s="62"/>
      <c r="C7822" s="49"/>
      <c r="D7822" s="61"/>
      <c r="E7822" s="61"/>
      <c r="F7822" s="61"/>
      <c r="G7822" s="61"/>
      <c r="H7822" s="61"/>
    </row>
    <row r="7823" spans="1:8">
      <c r="A7823" s="847"/>
      <c r="B7823" s="410" t="s">
        <v>2377</v>
      </c>
      <c r="C7823" s="49"/>
      <c r="D7823" s="61"/>
      <c r="E7823" s="61"/>
      <c r="F7823" s="61"/>
      <c r="G7823" s="61"/>
      <c r="H7823" s="61"/>
    </row>
    <row r="7824" spans="1:8">
      <c r="A7824" s="847"/>
      <c r="B7824" s="295" t="s">
        <v>2369</v>
      </c>
      <c r="C7824" s="411" t="s">
        <v>2378</v>
      </c>
      <c r="D7824" s="295" t="s">
        <v>2370</v>
      </c>
      <c r="E7824" s="295" t="s">
        <v>1166</v>
      </c>
      <c r="F7824" s="295" t="s">
        <v>2371</v>
      </c>
      <c r="G7824" s="295" t="s">
        <v>2372</v>
      </c>
      <c r="H7824" s="61"/>
    </row>
    <row r="7825" spans="1:8">
      <c r="A7825" s="847"/>
      <c r="B7825" s="237"/>
      <c r="C7825" s="412"/>
      <c r="D7825" s="237"/>
      <c r="E7825" s="237"/>
      <c r="F7825" s="237" t="s">
        <v>3485</v>
      </c>
      <c r="G7825" s="237" t="s">
        <v>3485</v>
      </c>
      <c r="H7825" s="61"/>
    </row>
    <row r="7826" spans="1:8">
      <c r="A7826" s="847"/>
      <c r="B7826" s="69">
        <v>1</v>
      </c>
      <c r="C7826" s="436" t="s">
        <v>1130</v>
      </c>
      <c r="D7826" s="69"/>
      <c r="E7826" s="243">
        <v>0</v>
      </c>
      <c r="F7826" s="266">
        <v>0</v>
      </c>
      <c r="G7826" s="449">
        <f>E7826*F7826</f>
        <v>0</v>
      </c>
      <c r="H7826" s="61"/>
    </row>
    <row r="7827" spans="1:8">
      <c r="A7827" s="847"/>
      <c r="B7827" s="127"/>
      <c r="C7827" s="436"/>
      <c r="D7827" s="69"/>
      <c r="E7827" s="243">
        <v>0</v>
      </c>
      <c r="F7827" s="266">
        <v>0</v>
      </c>
      <c r="G7827" s="449">
        <f>E7827*F7827</f>
        <v>0</v>
      </c>
      <c r="H7827" s="61"/>
    </row>
    <row r="7828" spans="1:8">
      <c r="A7828" s="847"/>
      <c r="B7828" s="263"/>
      <c r="C7828" s="525" t="s">
        <v>2380</v>
      </c>
      <c r="D7828" s="241"/>
      <c r="E7828" s="242"/>
      <c r="F7828" s="390" t="s">
        <v>1698</v>
      </c>
      <c r="G7828" s="391">
        <f>SUM(G7826:G7827)</f>
        <v>0</v>
      </c>
      <c r="H7828" s="61"/>
    </row>
    <row r="7829" spans="1:8">
      <c r="A7829" s="847"/>
      <c r="B7829" s="62"/>
      <c r="C7829" s="49"/>
      <c r="D7829" s="61"/>
      <c r="E7829" s="61"/>
      <c r="F7829" s="61"/>
      <c r="G7829" s="61"/>
      <c r="H7829" s="61"/>
    </row>
    <row r="7830" spans="1:8">
      <c r="A7830" s="847"/>
      <c r="B7830" s="410" t="s">
        <v>2381</v>
      </c>
      <c r="C7830" s="49"/>
      <c r="D7830" s="61"/>
      <c r="E7830" s="61"/>
      <c r="F7830" s="61"/>
      <c r="G7830" s="61"/>
      <c r="H7830" s="61"/>
    </row>
    <row r="7831" spans="1:8">
      <c r="A7831" s="847"/>
      <c r="B7831" s="295" t="s">
        <v>2369</v>
      </c>
      <c r="C7831" s="411" t="s">
        <v>2378</v>
      </c>
      <c r="D7831" s="295" t="s">
        <v>2370</v>
      </c>
      <c r="E7831" s="295" t="s">
        <v>1166</v>
      </c>
      <c r="F7831" s="295" t="s">
        <v>2371</v>
      </c>
      <c r="G7831" s="295" t="s">
        <v>2372</v>
      </c>
      <c r="H7831" s="61"/>
    </row>
    <row r="7832" spans="1:8">
      <c r="A7832" s="847"/>
      <c r="B7832" s="237"/>
      <c r="C7832" s="412"/>
      <c r="D7832" s="240"/>
      <c r="E7832" s="237"/>
      <c r="F7832" s="237" t="s">
        <v>3485</v>
      </c>
      <c r="G7832" s="237" t="s">
        <v>3485</v>
      </c>
      <c r="H7832" s="61"/>
    </row>
    <row r="7833" spans="1:8">
      <c r="A7833" s="847"/>
      <c r="B7833" s="240">
        <v>1</v>
      </c>
      <c r="C7833" s="392" t="s">
        <v>4206</v>
      </c>
      <c r="D7833" s="295" t="s">
        <v>1172</v>
      </c>
      <c r="E7833" s="393">
        <v>1</v>
      </c>
      <c r="F7833" s="190">
        <f>'BASIC DATA'!$C$473</f>
        <v>450</v>
      </c>
      <c r="G7833" s="449">
        <f>E7833*F7833</f>
        <v>450</v>
      </c>
      <c r="H7833" s="61"/>
    </row>
    <row r="7834" spans="1:8">
      <c r="A7834" s="847"/>
      <c r="B7834" s="240">
        <v>2</v>
      </c>
      <c r="C7834" s="392" t="s">
        <v>5607</v>
      </c>
      <c r="D7834" s="240" t="s">
        <v>1172</v>
      </c>
      <c r="E7834" s="393">
        <v>5</v>
      </c>
      <c r="F7834" s="190">
        <f>'BASIC DATA'!$C$541</f>
        <v>400</v>
      </c>
      <c r="G7834" s="449">
        <f>E7834*F7834</f>
        <v>2000</v>
      </c>
      <c r="H7834" s="61"/>
    </row>
    <row r="7835" spans="1:8">
      <c r="A7835" s="847"/>
      <c r="B7835" s="240">
        <v>3</v>
      </c>
      <c r="C7835" s="392" t="s">
        <v>2697</v>
      </c>
      <c r="D7835" s="240" t="s">
        <v>1172</v>
      </c>
      <c r="E7835" s="393">
        <v>6</v>
      </c>
      <c r="F7835" s="190">
        <f>'BASIC DATA'!$C$552</f>
        <v>350</v>
      </c>
      <c r="G7835" s="449">
        <f>E7835*F7835</f>
        <v>2100</v>
      </c>
      <c r="H7835" s="61"/>
    </row>
    <row r="7836" spans="1:8">
      <c r="A7836" s="847"/>
      <c r="B7836" s="311"/>
      <c r="C7836" s="387" t="s">
        <v>1174</v>
      </c>
      <c r="D7836" s="388"/>
      <c r="E7836" s="389"/>
      <c r="F7836" s="390" t="s">
        <v>1698</v>
      </c>
      <c r="G7836" s="391">
        <f>SUM(G7833:G7835)</f>
        <v>4550</v>
      </c>
      <c r="H7836" s="61"/>
    </row>
    <row r="7837" spans="1:8">
      <c r="A7837" s="847"/>
      <c r="B7837" s="359" t="s">
        <v>5948</v>
      </c>
      <c r="C7837" s="48"/>
      <c r="D7837" s="31"/>
      <c r="E7837" s="85">
        <f>ROUND(G7836/F7814,1)</f>
        <v>45.5</v>
      </c>
      <c r="H7837" s="61"/>
    </row>
    <row r="7838" spans="1:8">
      <c r="A7838" s="847"/>
      <c r="B7838" s="359" t="s">
        <v>3163</v>
      </c>
      <c r="C7838" s="48"/>
      <c r="D7838" s="922">
        <f>'BASIC DATA'!$C$577</f>
        <v>0.13614999999999999</v>
      </c>
      <c r="E7838" s="85">
        <f>ROUND(E7837*D7838,1)</f>
        <v>6.2</v>
      </c>
      <c r="H7838" s="61"/>
    </row>
    <row r="7839" spans="1:8">
      <c r="A7839" s="847"/>
      <c r="B7839" s="359" t="s">
        <v>5949</v>
      </c>
      <c r="C7839" s="48"/>
      <c r="D7839" s="31"/>
      <c r="E7839" s="199">
        <f>ROUND(E7838+E7837,1)</f>
        <v>51.7</v>
      </c>
      <c r="H7839" s="61"/>
    </row>
    <row r="7840" spans="1:8">
      <c r="A7840" s="847"/>
      <c r="B7840" s="382"/>
      <c r="C7840" s="48"/>
      <c r="D7840" s="61"/>
      <c r="E7840" s="61"/>
      <c r="F7840" s="61"/>
      <c r="G7840" s="61"/>
      <c r="H7840" s="61"/>
    </row>
    <row r="7841" spans="1:11">
      <c r="A7841" s="847"/>
      <c r="B7841" s="588" t="s">
        <v>1175</v>
      </c>
      <c r="C7841" s="48"/>
      <c r="D7841" s="61"/>
      <c r="E7841" s="61"/>
      <c r="F7841" s="61"/>
      <c r="G7841" s="61"/>
      <c r="H7841" s="61"/>
    </row>
    <row r="7842" spans="1:11">
      <c r="A7842" s="847"/>
      <c r="B7842" s="382" t="s">
        <v>1176</v>
      </c>
      <c r="C7842" s="48"/>
      <c r="D7842" s="61"/>
      <c r="E7842" s="61"/>
      <c r="F7842" s="222" t="s">
        <v>1698</v>
      </c>
      <c r="G7842" s="223">
        <f>G7821</f>
        <v>12163.849999999999</v>
      </c>
      <c r="H7842" s="61"/>
    </row>
    <row r="7843" spans="1:11">
      <c r="A7843" s="847"/>
      <c r="B7843" s="382" t="s">
        <v>1186</v>
      </c>
      <c r="C7843" s="48"/>
      <c r="D7843" s="61"/>
      <c r="E7843" s="61"/>
      <c r="F7843" s="222" t="s">
        <v>1698</v>
      </c>
      <c r="G7843" s="223">
        <f>G7828</f>
        <v>0</v>
      </c>
      <c r="H7843" s="61"/>
    </row>
    <row r="7844" spans="1:11">
      <c r="A7844" s="847"/>
      <c r="B7844" s="382" t="s">
        <v>2660</v>
      </c>
      <c r="C7844" s="48"/>
      <c r="D7844" s="61"/>
      <c r="E7844" s="61"/>
      <c r="F7844" s="222" t="s">
        <v>1698</v>
      </c>
      <c r="G7844" s="321">
        <f>G7836</f>
        <v>4550</v>
      </c>
      <c r="H7844" s="61"/>
    </row>
    <row r="7845" spans="1:11">
      <c r="A7845" s="847"/>
      <c r="B7845" s="78"/>
      <c r="C7845" s="48"/>
      <c r="E7845" s="171" t="s">
        <v>4835</v>
      </c>
      <c r="F7845" s="171" t="s">
        <v>1173</v>
      </c>
      <c r="G7845" s="205">
        <f>SUM(G7842:G7844)</f>
        <v>16713.849999999999</v>
      </c>
      <c r="H7845" s="61"/>
    </row>
    <row r="7846" spans="1:11" ht="39" customHeight="1">
      <c r="A7846" s="847"/>
      <c r="B7846" s="1207" t="s">
        <v>1379</v>
      </c>
      <c r="C7846" s="1207"/>
      <c r="D7846" s="1207"/>
      <c r="E7846" s="922">
        <f>'BASIC DATA'!$C$577</f>
        <v>0.13614999999999999</v>
      </c>
      <c r="F7846" s="171" t="s">
        <v>1698</v>
      </c>
      <c r="G7846" s="31">
        <f>ROUND(G7845*E7846,2)</f>
        <v>2275.59</v>
      </c>
      <c r="H7846" s="61"/>
    </row>
    <row r="7847" spans="1:11">
      <c r="A7847" s="847"/>
      <c r="B7847" s="47" t="s">
        <v>1191</v>
      </c>
      <c r="C7847" s="48"/>
      <c r="D7847" s="68">
        <f>F7814</f>
        <v>100</v>
      </c>
      <c r="E7847" s="68" t="str">
        <f>G7814</f>
        <v>sqm</v>
      </c>
      <c r="F7847" s="171" t="s">
        <v>1698</v>
      </c>
      <c r="G7847" s="211">
        <f>G7846+G7845</f>
        <v>18989.439999999999</v>
      </c>
      <c r="H7847" s="61"/>
    </row>
    <row r="7848" spans="1:11">
      <c r="A7848" s="847"/>
      <c r="B7848" s="79" t="s">
        <v>1584</v>
      </c>
      <c r="C7848" s="404" t="str">
        <f>E7847</f>
        <v>sqm</v>
      </c>
      <c r="D7848" s="26" t="s">
        <v>5882</v>
      </c>
      <c r="F7848" s="171" t="s">
        <v>4108</v>
      </c>
      <c r="G7848" s="211">
        <f>ROUND(G7847/D7847,1)</f>
        <v>189.9</v>
      </c>
      <c r="H7848" s="61"/>
    </row>
    <row r="7849" spans="1:11">
      <c r="A7849" s="847"/>
      <c r="B7849" s="62"/>
      <c r="C7849" s="49"/>
      <c r="D7849" s="61"/>
      <c r="E7849" s="61"/>
      <c r="F7849" s="61"/>
      <c r="G7849" s="61"/>
      <c r="H7849" s="61"/>
    </row>
    <row r="7850" spans="1:11">
      <c r="A7850" s="841" t="s">
        <v>7516</v>
      </c>
      <c r="B7850" s="125" t="s">
        <v>8870</v>
      </c>
      <c r="C7850" s="385"/>
      <c r="D7850" s="385"/>
      <c r="E7850" s="385"/>
      <c r="F7850" s="385"/>
      <c r="G7850" s="61"/>
      <c r="H7850" s="61"/>
      <c r="I7850" s="61"/>
      <c r="J7850" s="61"/>
      <c r="K7850" s="61"/>
    </row>
    <row r="7851" spans="1:11">
      <c r="A7851" s="898"/>
      <c r="B7851" s="125" t="s">
        <v>5385</v>
      </c>
      <c r="C7851" s="385"/>
      <c r="D7851" s="385"/>
      <c r="E7851" s="385"/>
      <c r="F7851" s="385"/>
      <c r="G7851" s="61"/>
      <c r="H7851" s="61"/>
      <c r="I7851" s="61"/>
      <c r="J7851" s="61"/>
      <c r="K7851" s="61"/>
    </row>
    <row r="7852" spans="1:11">
      <c r="A7852" s="889"/>
      <c r="B7852" s="162" t="s">
        <v>7654</v>
      </c>
      <c r="C7852" s="48"/>
    </row>
    <row r="7853" spans="1:11">
      <c r="A7853" s="848"/>
      <c r="B7853" s="499"/>
      <c r="C7853" s="49"/>
      <c r="D7853" s="61"/>
      <c r="E7853" s="61"/>
      <c r="F7853" s="61"/>
      <c r="G7853" s="61"/>
      <c r="H7853" s="61"/>
      <c r="I7853" s="61"/>
      <c r="J7853" s="61"/>
      <c r="K7853" s="61"/>
    </row>
    <row r="7854" spans="1:11" hidden="1">
      <c r="A7854" s="899" t="s">
        <v>1907</v>
      </c>
      <c r="B7854" s="382"/>
      <c r="C7854" s="1233" t="s">
        <v>6231</v>
      </c>
      <c r="D7854" s="1233"/>
      <c r="E7854" s="1233"/>
      <c r="F7854" s="1233"/>
      <c r="G7854" s="61"/>
      <c r="H7854" s="61"/>
      <c r="I7854" s="61"/>
      <c r="J7854" s="61"/>
      <c r="K7854" s="61"/>
    </row>
    <row r="7855" spans="1:11" hidden="1">
      <c r="A7855" s="848"/>
      <c r="B7855" s="382"/>
      <c r="C7855" s="49" t="s">
        <v>1619</v>
      </c>
      <c r="D7855" s="61"/>
      <c r="E7855" s="61"/>
      <c r="F7855" s="222" t="s">
        <v>6734</v>
      </c>
      <c r="G7855" s="126">
        <v>27.5</v>
      </c>
      <c r="H7855" s="61" t="s">
        <v>3477</v>
      </c>
      <c r="I7855" s="61"/>
      <c r="J7855" s="61"/>
      <c r="K7855" s="61"/>
    </row>
    <row r="7856" spans="1:11" ht="36" hidden="1">
      <c r="A7856" s="848"/>
      <c r="B7856" s="382"/>
      <c r="C7856" s="49" t="s">
        <v>2287</v>
      </c>
      <c r="D7856" s="61"/>
      <c r="E7856" s="61"/>
      <c r="F7856" s="61"/>
      <c r="G7856" s="61"/>
      <c r="H7856" s="61"/>
      <c r="I7856" s="61"/>
      <c r="J7856" s="61"/>
      <c r="K7856" s="61"/>
    </row>
    <row r="7857" spans="1:11" hidden="1">
      <c r="A7857" s="848"/>
      <c r="B7857" s="382"/>
      <c r="C7857" s="49" t="s">
        <v>6232</v>
      </c>
      <c r="D7857" s="61"/>
      <c r="E7857" s="61"/>
      <c r="F7857" s="222" t="s">
        <v>6734</v>
      </c>
      <c r="G7857" s="126">
        <v>0.2</v>
      </c>
      <c r="H7857" s="61" t="s">
        <v>7659</v>
      </c>
      <c r="I7857" s="61"/>
      <c r="J7857" s="61"/>
      <c r="K7857" s="61"/>
    </row>
    <row r="7858" spans="1:11" hidden="1">
      <c r="A7858" s="848"/>
      <c r="B7858" s="382"/>
      <c r="C7858" s="49" t="s">
        <v>1676</v>
      </c>
      <c r="D7858" s="61"/>
      <c r="E7858" s="61"/>
      <c r="F7858" s="222" t="s">
        <v>1697</v>
      </c>
      <c r="G7858" s="126">
        <v>0.9</v>
      </c>
      <c r="H7858" s="61" t="s">
        <v>7659</v>
      </c>
      <c r="I7858" s="61"/>
      <c r="J7858" s="61"/>
      <c r="K7858" s="61"/>
    </row>
    <row r="7859" spans="1:11">
      <c r="A7859" s="848"/>
      <c r="B7859" s="382"/>
      <c r="C7859" s="49"/>
      <c r="D7859" s="499" t="s">
        <v>5785</v>
      </c>
      <c r="E7859" s="61"/>
      <c r="F7859" s="61"/>
      <c r="G7859" s="61"/>
      <c r="H7859" s="61"/>
      <c r="I7859" s="61"/>
      <c r="J7859" s="61"/>
      <c r="K7859" s="61"/>
    </row>
    <row r="7860" spans="1:11">
      <c r="A7860" s="891" t="s">
        <v>3984</v>
      </c>
      <c r="B7860" s="382"/>
      <c r="C7860" s="424" t="s">
        <v>2367</v>
      </c>
      <c r="D7860" s="61"/>
      <c r="E7860" s="499" t="s">
        <v>1188</v>
      </c>
      <c r="F7860" s="501">
        <v>100</v>
      </c>
      <c r="G7860" s="61" t="s">
        <v>3420</v>
      </c>
      <c r="H7860" s="61"/>
      <c r="I7860" s="61"/>
      <c r="J7860" s="61"/>
      <c r="K7860" s="61"/>
    </row>
    <row r="7861" spans="1:11">
      <c r="A7861" s="848"/>
      <c r="B7861" s="382" t="s">
        <v>6633</v>
      </c>
      <c r="C7861" s="49"/>
      <c r="D7861" s="61"/>
      <c r="E7861" s="61"/>
      <c r="F7861" s="61"/>
      <c r="G7861" s="61"/>
      <c r="H7861" s="61"/>
      <c r="I7861" s="61"/>
      <c r="J7861" s="61"/>
      <c r="K7861" s="61"/>
    </row>
    <row r="7862" spans="1:11">
      <c r="A7862" s="848"/>
      <c r="B7862" s="499"/>
      <c r="C7862" s="49"/>
      <c r="D7862" s="61"/>
      <c r="E7862" s="61"/>
      <c r="F7862" s="61"/>
      <c r="G7862" s="61"/>
      <c r="H7862" s="61"/>
      <c r="I7862" s="61"/>
      <c r="J7862" s="61"/>
      <c r="K7862" s="61"/>
    </row>
    <row r="7863" spans="1:11">
      <c r="A7863" s="848"/>
      <c r="B7863" s="1234" t="s">
        <v>6634</v>
      </c>
      <c r="C7863" s="1236" t="s">
        <v>4443</v>
      </c>
      <c r="D7863" s="1236" t="s">
        <v>2370</v>
      </c>
      <c r="E7863" s="1236" t="s">
        <v>1166</v>
      </c>
      <c r="F7863" s="503" t="s">
        <v>2371</v>
      </c>
      <c r="G7863" s="1236" t="s">
        <v>6248</v>
      </c>
      <c r="H7863" s="61"/>
      <c r="I7863" s="61"/>
      <c r="J7863" s="61"/>
      <c r="K7863" s="61"/>
    </row>
    <row r="7864" spans="1:11">
      <c r="A7864" s="848"/>
      <c r="B7864" s="1235"/>
      <c r="C7864" s="1237"/>
      <c r="D7864" s="1237"/>
      <c r="E7864" s="1237"/>
      <c r="F7864" s="505" t="s">
        <v>3485</v>
      </c>
      <c r="G7864" s="1237"/>
      <c r="H7864" s="61"/>
      <c r="I7864" s="61"/>
      <c r="J7864" s="61"/>
      <c r="K7864" s="61"/>
    </row>
    <row r="7865" spans="1:11" ht="36">
      <c r="A7865" s="848"/>
      <c r="B7865" s="599">
        <v>1</v>
      </c>
      <c r="C7865" s="506" t="s">
        <v>4257</v>
      </c>
      <c r="D7865" s="482" t="s">
        <v>2113</v>
      </c>
      <c r="E7865" s="450">
        <f>G7855</f>
        <v>27.5</v>
      </c>
      <c r="F7865" s="266">
        <f>'BASIC DATA'!$D$108</f>
        <v>318</v>
      </c>
      <c r="G7865" s="450">
        <f>E7865*F7865</f>
        <v>8745</v>
      </c>
      <c r="H7865" s="61"/>
      <c r="I7865" s="61"/>
      <c r="J7865" s="61"/>
      <c r="K7865" s="61"/>
    </row>
    <row r="7866" spans="1:11">
      <c r="A7866" s="848"/>
      <c r="B7866" s="606"/>
      <c r="C7866" s="1231" t="s">
        <v>6635</v>
      </c>
      <c r="D7866" s="1231"/>
      <c r="E7866" s="1231"/>
      <c r="F7866" s="1232"/>
      <c r="G7866" s="511">
        <f>SUM(G7865:G7865)</f>
        <v>8745</v>
      </c>
      <c r="H7866" s="60"/>
      <c r="I7866" s="61"/>
      <c r="J7866" s="61"/>
      <c r="K7866" s="61"/>
    </row>
    <row r="7867" spans="1:11">
      <c r="A7867" s="848"/>
      <c r="B7867" s="499"/>
      <c r="C7867" s="49"/>
      <c r="D7867" s="61"/>
      <c r="E7867" s="61"/>
      <c r="F7867" s="61"/>
      <c r="G7867" s="61"/>
      <c r="H7867" s="60"/>
      <c r="I7867" s="61"/>
      <c r="J7867" s="61"/>
      <c r="K7867" s="61"/>
    </row>
    <row r="7868" spans="1:11">
      <c r="A7868" s="848"/>
      <c r="B7868" s="382"/>
      <c r="C7868" s="500" t="s">
        <v>6636</v>
      </c>
      <c r="D7868" s="61"/>
      <c r="E7868" s="61"/>
      <c r="F7868" s="61"/>
      <c r="G7868" s="61"/>
      <c r="H7868" s="61"/>
      <c r="I7868" s="61"/>
      <c r="J7868" s="61"/>
      <c r="K7868" s="61"/>
    </row>
    <row r="7869" spans="1:11">
      <c r="A7869" s="848"/>
      <c r="B7869" s="499"/>
      <c r="C7869" s="49"/>
      <c r="D7869" s="61"/>
      <c r="E7869" s="61"/>
      <c r="F7869" s="61"/>
      <c r="G7869" s="61"/>
      <c r="H7869" s="61"/>
      <c r="I7869" s="61"/>
      <c r="J7869" s="61"/>
      <c r="K7869" s="61"/>
    </row>
    <row r="7870" spans="1:11">
      <c r="A7870" s="848"/>
      <c r="B7870" s="1234" t="s">
        <v>6634</v>
      </c>
      <c r="C7870" s="1236" t="s">
        <v>4443</v>
      </c>
      <c r="D7870" s="1236" t="s">
        <v>2370</v>
      </c>
      <c r="E7870" s="1236" t="s">
        <v>1166</v>
      </c>
      <c r="F7870" s="503" t="s">
        <v>2371</v>
      </c>
      <c r="G7870" s="1236" t="s">
        <v>6248</v>
      </c>
      <c r="H7870" s="61"/>
      <c r="I7870" s="61"/>
      <c r="J7870" s="61"/>
      <c r="K7870" s="61"/>
    </row>
    <row r="7871" spans="1:11">
      <c r="A7871" s="848"/>
      <c r="B7871" s="1235"/>
      <c r="C7871" s="1237"/>
      <c r="D7871" s="1237"/>
      <c r="E7871" s="1237"/>
      <c r="F7871" s="505" t="s">
        <v>3485</v>
      </c>
      <c r="G7871" s="1237"/>
      <c r="H7871" s="61"/>
      <c r="I7871" s="61"/>
      <c r="J7871" s="61"/>
      <c r="K7871" s="61"/>
    </row>
    <row r="7872" spans="1:11">
      <c r="A7872" s="848"/>
      <c r="B7872" s="1234">
        <v>1</v>
      </c>
      <c r="C7872" s="1236" t="s">
        <v>4168</v>
      </c>
      <c r="D7872" s="1236"/>
      <c r="E7872" s="507">
        <v>0</v>
      </c>
      <c r="F7872" s="507">
        <v>0</v>
      </c>
      <c r="G7872" s="450"/>
      <c r="H7872" s="61"/>
      <c r="I7872" s="61"/>
      <c r="J7872" s="61"/>
      <c r="K7872" s="61"/>
    </row>
    <row r="7873" spans="1:11">
      <c r="A7873" s="848"/>
      <c r="B7873" s="1235"/>
      <c r="C7873" s="1237"/>
      <c r="D7873" s="1237"/>
      <c r="E7873" s="509">
        <v>0</v>
      </c>
      <c r="F7873" s="509">
        <v>0</v>
      </c>
      <c r="G7873" s="450"/>
      <c r="H7873" s="61"/>
      <c r="I7873" s="61"/>
      <c r="J7873" s="61"/>
      <c r="K7873" s="61"/>
    </row>
    <row r="7874" spans="1:11">
      <c r="A7874" s="848"/>
      <c r="B7874" s="606"/>
      <c r="C7874" s="1231" t="s">
        <v>3530</v>
      </c>
      <c r="D7874" s="1231"/>
      <c r="E7874" s="1231"/>
      <c r="F7874" s="1232"/>
      <c r="G7874" s="511">
        <f>SUM(G7872:G7873)</f>
        <v>0</v>
      </c>
      <c r="H7874" s="61"/>
      <c r="I7874" s="61"/>
      <c r="J7874" s="61"/>
      <c r="K7874" s="61"/>
    </row>
    <row r="7875" spans="1:11">
      <c r="A7875" s="848"/>
      <c r="B7875" s="499"/>
      <c r="C7875" s="49"/>
      <c r="D7875" s="61"/>
      <c r="E7875" s="61"/>
      <c r="F7875" s="61"/>
      <c r="G7875" s="61"/>
      <c r="H7875" s="61"/>
      <c r="I7875" s="61"/>
      <c r="J7875" s="61"/>
      <c r="K7875" s="61"/>
    </row>
    <row r="7876" spans="1:11" ht="36">
      <c r="A7876" s="848"/>
      <c r="B7876" s="499" t="s">
        <v>670</v>
      </c>
      <c r="C7876" s="49"/>
      <c r="D7876" s="61"/>
      <c r="E7876" s="61"/>
      <c r="F7876" s="61"/>
      <c r="G7876" s="61"/>
      <c r="H7876" s="61"/>
      <c r="I7876" s="61"/>
      <c r="J7876" s="61"/>
      <c r="K7876" s="61"/>
    </row>
    <row r="7877" spans="1:11">
      <c r="A7877" s="848"/>
      <c r="B7877" s="499"/>
      <c r="C7877" s="49"/>
      <c r="D7877" s="61"/>
      <c r="E7877" s="61"/>
      <c r="F7877" s="61"/>
      <c r="G7877" s="61"/>
      <c r="H7877" s="61"/>
      <c r="I7877" s="61"/>
      <c r="J7877" s="61"/>
      <c r="K7877" s="61"/>
    </row>
    <row r="7878" spans="1:11">
      <c r="A7878" s="848"/>
      <c r="B7878" s="1234" t="s">
        <v>6634</v>
      </c>
      <c r="C7878" s="1236" t="s">
        <v>4443</v>
      </c>
      <c r="D7878" s="1236" t="s">
        <v>2370</v>
      </c>
      <c r="E7878" s="1236" t="s">
        <v>1166</v>
      </c>
      <c r="F7878" s="503" t="s">
        <v>2371</v>
      </c>
      <c r="G7878" s="1236" t="s">
        <v>6248</v>
      </c>
      <c r="H7878" s="61"/>
      <c r="I7878" s="61"/>
      <c r="J7878" s="61"/>
      <c r="K7878" s="61"/>
    </row>
    <row r="7879" spans="1:11">
      <c r="A7879" s="848"/>
      <c r="B7879" s="1235"/>
      <c r="C7879" s="1237"/>
      <c r="D7879" s="1237"/>
      <c r="E7879" s="1237"/>
      <c r="F7879" s="505" t="s">
        <v>3485</v>
      </c>
      <c r="G7879" s="1238"/>
      <c r="H7879" s="61"/>
      <c r="I7879" s="61"/>
      <c r="J7879" s="61"/>
      <c r="K7879" s="61"/>
    </row>
    <row r="7880" spans="1:11">
      <c r="A7880" s="848"/>
      <c r="B7880" s="604">
        <v>1</v>
      </c>
      <c r="C7880" s="506" t="s">
        <v>5607</v>
      </c>
      <c r="D7880" s="482" t="s">
        <v>1172</v>
      </c>
      <c r="E7880" s="450">
        <f>G7857*G7855</f>
        <v>5.5</v>
      </c>
      <c r="F7880" s="255">
        <f>'BASIC DATA'!$C$541</f>
        <v>400</v>
      </c>
      <c r="G7880" s="450">
        <f>E7880*F7880</f>
        <v>2200</v>
      </c>
      <c r="H7880" s="61"/>
      <c r="I7880" s="61"/>
      <c r="J7880" s="61"/>
      <c r="K7880" s="61"/>
    </row>
    <row r="7881" spans="1:11">
      <c r="A7881" s="848"/>
      <c r="B7881" s="605">
        <v>2</v>
      </c>
      <c r="C7881" s="49" t="s">
        <v>4647</v>
      </c>
      <c r="D7881" s="482" t="s">
        <v>1172</v>
      </c>
      <c r="E7881" s="450">
        <f>G7858*G7855</f>
        <v>24.75</v>
      </c>
      <c r="F7881" s="517">
        <f>'BASIC DATA'!$C$552</f>
        <v>350</v>
      </c>
      <c r="G7881" s="450">
        <f>E7881*F7881</f>
        <v>8662.5</v>
      </c>
      <c r="H7881" s="61"/>
      <c r="I7881" s="61"/>
      <c r="J7881" s="61"/>
      <c r="K7881" s="61"/>
    </row>
    <row r="7882" spans="1:11">
      <c r="A7882" s="848"/>
      <c r="B7882" s="606"/>
      <c r="C7882" s="1231" t="s">
        <v>671</v>
      </c>
      <c r="D7882" s="1231"/>
      <c r="E7882" s="1231"/>
      <c r="F7882" s="1232"/>
      <c r="G7882" s="513">
        <f>SUM(G7880:G7881)</f>
        <v>10862.5</v>
      </c>
      <c r="H7882" s="61"/>
      <c r="I7882" s="61"/>
      <c r="J7882" s="61"/>
      <c r="K7882" s="61"/>
    </row>
    <row r="7883" spans="1:11">
      <c r="A7883" s="848"/>
      <c r="B7883" s="359" t="s">
        <v>5948</v>
      </c>
      <c r="C7883" s="355"/>
      <c r="D7883" s="31"/>
      <c r="E7883" s="85">
        <f>ROUND(G7882/F7860,1)</f>
        <v>108.6</v>
      </c>
      <c r="F7883" s="61"/>
      <c r="G7883" s="61"/>
      <c r="H7883" s="61"/>
      <c r="I7883" s="61"/>
      <c r="J7883" s="61"/>
      <c r="K7883" s="61"/>
    </row>
    <row r="7884" spans="1:11">
      <c r="A7884" s="848"/>
      <c r="B7884" s="359" t="s">
        <v>3163</v>
      </c>
      <c r="C7884" s="355"/>
      <c r="D7884" s="922">
        <f>'BASIC DATA'!$C$577</f>
        <v>0.13614999999999999</v>
      </c>
      <c r="E7884" s="85">
        <f>ROUND(E7883*D7884,1)</f>
        <v>14.8</v>
      </c>
      <c r="F7884" s="61"/>
      <c r="G7884" s="61"/>
      <c r="H7884" s="61"/>
      <c r="I7884" s="61"/>
      <c r="J7884" s="61"/>
      <c r="K7884" s="61"/>
    </row>
    <row r="7885" spans="1:11">
      <c r="A7885" s="848"/>
      <c r="B7885" s="359" t="s">
        <v>5949</v>
      </c>
      <c r="C7885" s="355"/>
      <c r="D7885" s="31"/>
      <c r="E7885" s="199">
        <f>ROUND(E7884+E7883,1)</f>
        <v>123.4</v>
      </c>
      <c r="F7885" s="61"/>
      <c r="G7885" s="61"/>
      <c r="H7885" s="61"/>
      <c r="I7885" s="61"/>
      <c r="J7885" s="61"/>
      <c r="K7885" s="61"/>
    </row>
    <row r="7886" spans="1:11">
      <c r="A7886" s="848"/>
      <c r="B7886" s="382"/>
      <c r="C7886" s="49"/>
      <c r="D7886" s="61"/>
      <c r="E7886" s="61"/>
      <c r="F7886" s="61"/>
      <c r="G7886" s="61"/>
      <c r="H7886" s="61"/>
      <c r="I7886" s="61"/>
      <c r="J7886" s="61"/>
      <c r="K7886" s="61"/>
    </row>
    <row r="7887" spans="1:11" ht="36">
      <c r="A7887" s="848"/>
      <c r="B7887" s="499" t="s">
        <v>1139</v>
      </c>
      <c r="C7887" s="49"/>
      <c r="D7887" s="61"/>
      <c r="E7887" s="61"/>
      <c r="F7887" s="61"/>
      <c r="G7887" s="61"/>
      <c r="H7887" s="61"/>
      <c r="I7887" s="61"/>
      <c r="J7887" s="61"/>
      <c r="K7887" s="61"/>
    </row>
    <row r="7888" spans="1:11">
      <c r="A7888" s="848"/>
      <c r="B7888" s="1239" t="s">
        <v>1176</v>
      </c>
      <c r="C7888" s="1239"/>
      <c r="D7888" s="61"/>
      <c r="E7888" s="61"/>
      <c r="F7888" s="515" t="s">
        <v>4108</v>
      </c>
      <c r="G7888" s="515">
        <f>G7866</f>
        <v>8745</v>
      </c>
      <c r="H7888" s="61"/>
      <c r="I7888" s="61"/>
      <c r="J7888" s="61"/>
      <c r="K7888" s="61"/>
    </row>
    <row r="7889" spans="1:11">
      <c r="A7889" s="848"/>
      <c r="B7889" s="1240" t="s">
        <v>7003</v>
      </c>
      <c r="C7889" s="1240"/>
      <c r="D7889" s="61"/>
      <c r="E7889" s="61"/>
      <c r="F7889" s="515" t="s">
        <v>4108</v>
      </c>
      <c r="G7889" s="515">
        <f>G7874</f>
        <v>0</v>
      </c>
      <c r="H7889" s="61"/>
      <c r="I7889" s="61"/>
      <c r="J7889" s="61"/>
      <c r="K7889" s="61"/>
    </row>
    <row r="7890" spans="1:11">
      <c r="A7890" s="848"/>
      <c r="B7890" s="1241" t="s">
        <v>2660</v>
      </c>
      <c r="C7890" s="1241"/>
      <c r="D7890" s="61"/>
      <c r="E7890" s="61"/>
      <c r="F7890" s="515" t="s">
        <v>4108</v>
      </c>
      <c r="G7890" s="517">
        <f>G7882</f>
        <v>10862.5</v>
      </c>
      <c r="H7890" s="61"/>
      <c r="I7890" s="61"/>
      <c r="J7890" s="61"/>
      <c r="K7890" s="61"/>
    </row>
    <row r="7891" spans="1:11">
      <c r="A7891" s="848"/>
      <c r="B7891" s="62"/>
      <c r="C7891" s="49"/>
      <c r="D7891" s="61"/>
      <c r="E7891" s="222" t="s">
        <v>4835</v>
      </c>
      <c r="F7891" s="222" t="s">
        <v>1173</v>
      </c>
      <c r="G7891" s="381">
        <f>SUM(G7888:G7890)</f>
        <v>19607.5</v>
      </c>
      <c r="H7891" s="61"/>
      <c r="I7891" s="61"/>
      <c r="J7891" s="61"/>
      <c r="K7891" s="61"/>
    </row>
    <row r="7892" spans="1:11" ht="38.25" customHeight="1">
      <c r="A7892" s="848"/>
      <c r="B7892" s="1207" t="s">
        <v>1379</v>
      </c>
      <c r="C7892" s="1207"/>
      <c r="D7892" s="1207"/>
      <c r="E7892" s="922">
        <f>'BASIC DATA'!$C$577</f>
        <v>0.13614999999999999</v>
      </c>
      <c r="F7892" s="171" t="s">
        <v>1698</v>
      </c>
      <c r="G7892" s="31">
        <f>ROUND(G7891*E7892,2)</f>
        <v>2669.56</v>
      </c>
      <c r="H7892" s="61"/>
      <c r="I7892" s="61"/>
      <c r="J7892" s="61"/>
      <c r="K7892" s="61"/>
    </row>
    <row r="7893" spans="1:11">
      <c r="A7893" s="848"/>
      <c r="B7893" s="47" t="s">
        <v>1191</v>
      </c>
      <c r="C7893" s="48"/>
      <c r="D7893" s="68">
        <f>F7860</f>
        <v>100</v>
      </c>
      <c r="E7893" s="68" t="str">
        <f>G7860</f>
        <v xml:space="preserve"> Sqm.</v>
      </c>
      <c r="F7893" s="171" t="s">
        <v>1698</v>
      </c>
      <c r="G7893" s="211">
        <f>G7892+G7891</f>
        <v>22277.06</v>
      </c>
      <c r="H7893" s="61"/>
      <c r="I7893" s="61"/>
      <c r="J7893" s="61"/>
      <c r="K7893" s="61"/>
    </row>
    <row r="7894" spans="1:11">
      <c r="A7894" s="848"/>
      <c r="B7894" s="79" t="s">
        <v>1584</v>
      </c>
      <c r="C7894" s="404" t="str">
        <f>E7893</f>
        <v xml:space="preserve"> Sqm.</v>
      </c>
      <c r="D7894" s="26" t="s">
        <v>5882</v>
      </c>
      <c r="F7894" s="171" t="s">
        <v>4108</v>
      </c>
      <c r="G7894" s="211">
        <f>ROUND(G7893/D7893,1)</f>
        <v>222.8</v>
      </c>
      <c r="H7894" s="61"/>
      <c r="I7894" s="61"/>
      <c r="J7894" s="61"/>
      <c r="K7894" s="61"/>
    </row>
    <row r="7895" spans="1:11" ht="36">
      <c r="A7895" s="847"/>
      <c r="B7895" s="62" t="s">
        <v>1237</v>
      </c>
      <c r="C7895" s="49" t="s">
        <v>1238</v>
      </c>
      <c r="D7895" s="61"/>
      <c r="E7895" s="61"/>
      <c r="F7895" s="223" t="str">
        <f>G7741</f>
        <v>in Rs.</v>
      </c>
      <c r="G7895" s="68">
        <f>G7797</f>
        <v>49.6</v>
      </c>
      <c r="H7895" s="61"/>
      <c r="J7895" s="61"/>
    </row>
    <row r="7896" spans="1:11">
      <c r="A7896" s="847"/>
      <c r="B7896" s="62"/>
      <c r="C7896" s="382" t="s">
        <v>7867</v>
      </c>
      <c r="D7896" s="61"/>
      <c r="E7896" s="61"/>
      <c r="F7896" s="61"/>
      <c r="G7896" s="61"/>
      <c r="H7896" s="61"/>
      <c r="J7896" s="61"/>
    </row>
    <row r="7897" spans="1:11">
      <c r="A7897" s="847"/>
      <c r="B7897" s="382"/>
      <c r="C7897" s="49"/>
      <c r="D7897" s="61"/>
      <c r="E7897" s="61"/>
      <c r="F7897" s="61"/>
      <c r="G7897" s="61"/>
      <c r="H7897" s="435"/>
    </row>
    <row r="7898" spans="1:11" ht="36">
      <c r="A7898" s="841" t="s">
        <v>496</v>
      </c>
      <c r="B7898" s="125" t="s">
        <v>8871</v>
      </c>
      <c r="C7898" s="385"/>
      <c r="D7898" s="385"/>
      <c r="E7898" s="385"/>
      <c r="F7898" s="385"/>
      <c r="G7898" s="61"/>
      <c r="H7898" s="61"/>
    </row>
    <row r="7899" spans="1:11" ht="30">
      <c r="A7899" s="902" t="s">
        <v>509</v>
      </c>
      <c r="B7899" s="125" t="s">
        <v>5385</v>
      </c>
      <c r="C7899" s="385"/>
      <c r="D7899" s="385"/>
      <c r="E7899" s="385"/>
      <c r="F7899" s="385"/>
      <c r="G7899" s="61"/>
      <c r="H7899" s="61"/>
    </row>
    <row r="7900" spans="1:11">
      <c r="A7900" s="889"/>
      <c r="B7900" s="162" t="s">
        <v>495</v>
      </c>
      <c r="C7900" s="48"/>
    </row>
    <row r="7901" spans="1:11">
      <c r="A7901" s="848"/>
      <c r="B7901" s="499"/>
      <c r="C7901" s="49"/>
      <c r="D7901" s="61"/>
      <c r="E7901" s="61"/>
      <c r="F7901" s="61"/>
      <c r="G7901" s="61"/>
      <c r="H7901" s="61"/>
    </row>
    <row r="7902" spans="1:11" hidden="1">
      <c r="A7902" s="899" t="s">
        <v>1907</v>
      </c>
      <c r="B7902" s="382"/>
      <c r="C7902" s="1233" t="s">
        <v>6231</v>
      </c>
      <c r="D7902" s="1233"/>
      <c r="E7902" s="1233"/>
      <c r="F7902" s="1233"/>
      <c r="G7902" s="61"/>
      <c r="H7902" s="61"/>
    </row>
    <row r="7903" spans="1:11" hidden="1">
      <c r="A7903" s="848"/>
      <c r="B7903" s="382"/>
      <c r="C7903" s="49" t="s">
        <v>1619</v>
      </c>
      <c r="D7903" s="61"/>
      <c r="E7903" s="61"/>
      <c r="F7903" s="222" t="s">
        <v>6734</v>
      </c>
      <c r="G7903" s="126">
        <f>24.75</f>
        <v>24.75</v>
      </c>
      <c r="H7903" s="61" t="s">
        <v>3477</v>
      </c>
    </row>
    <row r="7904" spans="1:11" ht="36" hidden="1">
      <c r="A7904" s="848"/>
      <c r="B7904" s="382"/>
      <c r="C7904" s="49" t="s">
        <v>2287</v>
      </c>
      <c r="D7904" s="61"/>
      <c r="E7904" s="61"/>
      <c r="F7904" s="61"/>
      <c r="G7904" s="61"/>
      <c r="H7904" s="61"/>
    </row>
    <row r="7905" spans="1:8" hidden="1">
      <c r="A7905" s="848"/>
      <c r="B7905" s="382"/>
      <c r="C7905" s="49" t="s">
        <v>6232</v>
      </c>
      <c r="D7905" s="61"/>
      <c r="E7905" s="61"/>
      <c r="F7905" s="222" t="s">
        <v>6734</v>
      </c>
      <c r="G7905" s="126">
        <v>0.2</v>
      </c>
      <c r="H7905" s="61" t="s">
        <v>7659</v>
      </c>
    </row>
    <row r="7906" spans="1:8" hidden="1">
      <c r="A7906" s="848"/>
      <c r="B7906" s="382"/>
      <c r="C7906" s="49" t="s">
        <v>1676</v>
      </c>
      <c r="D7906" s="61"/>
      <c r="E7906" s="61"/>
      <c r="F7906" s="222" t="s">
        <v>1697</v>
      </c>
      <c r="G7906" s="126">
        <v>0.9</v>
      </c>
      <c r="H7906" s="61" t="s">
        <v>7659</v>
      </c>
    </row>
    <row r="7907" spans="1:8">
      <c r="A7907" s="848"/>
      <c r="B7907" s="382"/>
      <c r="C7907" s="49"/>
      <c r="D7907" s="499" t="s">
        <v>5785</v>
      </c>
      <c r="E7907" s="61"/>
      <c r="F7907" s="61"/>
      <c r="G7907" s="61"/>
      <c r="H7907" s="61"/>
    </row>
    <row r="7908" spans="1:8">
      <c r="A7908" s="891" t="s">
        <v>3984</v>
      </c>
      <c r="B7908" s="382"/>
      <c r="C7908" s="424" t="s">
        <v>2367</v>
      </c>
      <c r="D7908" s="61"/>
      <c r="E7908" s="499" t="s">
        <v>1188</v>
      </c>
      <c r="F7908" s="501">
        <v>100</v>
      </c>
      <c r="G7908" s="61" t="s">
        <v>3420</v>
      </c>
      <c r="H7908" s="61"/>
    </row>
    <row r="7909" spans="1:8">
      <c r="A7909" s="848"/>
      <c r="B7909" s="382" t="s">
        <v>6633</v>
      </c>
      <c r="C7909" s="49"/>
      <c r="D7909" s="61"/>
      <c r="E7909" s="61"/>
      <c r="F7909" s="61"/>
      <c r="G7909" s="61"/>
      <c r="H7909" s="61"/>
    </row>
    <row r="7910" spans="1:8">
      <c r="A7910" s="848"/>
      <c r="B7910" s="499"/>
      <c r="C7910" s="49"/>
      <c r="D7910" s="61"/>
      <c r="E7910" s="61"/>
      <c r="F7910" s="61"/>
      <c r="G7910" s="61"/>
      <c r="H7910" s="61"/>
    </row>
    <row r="7911" spans="1:8">
      <c r="A7911" s="848"/>
      <c r="B7911" s="1234" t="s">
        <v>6634</v>
      </c>
      <c r="C7911" s="1236" t="s">
        <v>4443</v>
      </c>
      <c r="D7911" s="1236" t="s">
        <v>2370</v>
      </c>
      <c r="E7911" s="1236" t="s">
        <v>1166</v>
      </c>
      <c r="F7911" s="503" t="s">
        <v>2371</v>
      </c>
      <c r="G7911" s="1236" t="s">
        <v>6248</v>
      </c>
      <c r="H7911" s="61"/>
    </row>
    <row r="7912" spans="1:8">
      <c r="A7912" s="848"/>
      <c r="B7912" s="1235"/>
      <c r="C7912" s="1237"/>
      <c r="D7912" s="1237"/>
      <c r="E7912" s="1237"/>
      <c r="F7912" s="505" t="s">
        <v>3485</v>
      </c>
      <c r="G7912" s="1237"/>
      <c r="H7912" s="61"/>
    </row>
    <row r="7913" spans="1:8">
      <c r="A7913" s="848"/>
      <c r="B7913" s="599">
        <v>1</v>
      </c>
      <c r="C7913" s="506" t="s">
        <v>7943</v>
      </c>
      <c r="D7913" s="482" t="s">
        <v>2113</v>
      </c>
      <c r="E7913" s="450">
        <f>G7903</f>
        <v>24.75</v>
      </c>
      <c r="F7913" s="266">
        <f>'BASIC DATA'!$D$816</f>
        <v>145</v>
      </c>
      <c r="G7913" s="450">
        <f>E7913*F7913</f>
        <v>3588.75</v>
      </c>
      <c r="H7913" s="61"/>
    </row>
    <row r="7914" spans="1:8">
      <c r="A7914" s="848"/>
      <c r="B7914" s="607">
        <v>2</v>
      </c>
      <c r="C7914" s="51" t="s">
        <v>498</v>
      </c>
      <c r="D7914" s="58" t="s">
        <v>2113</v>
      </c>
      <c r="E7914" s="534">
        <v>3.4</v>
      </c>
      <c r="F7914" s="243">
        <f>'BASIC DATA'!$D$96</f>
        <v>350</v>
      </c>
      <c r="G7914" s="450">
        <f>E7914*F7914</f>
        <v>1190</v>
      </c>
      <c r="H7914" s="61"/>
    </row>
    <row r="7915" spans="1:8">
      <c r="A7915" s="848"/>
      <c r="B7915" s="606"/>
      <c r="C7915" s="1231" t="s">
        <v>6635</v>
      </c>
      <c r="D7915" s="1231"/>
      <c r="E7915" s="1231"/>
      <c r="F7915" s="1232"/>
      <c r="G7915" s="511">
        <f>SUM(G7913:G7914)</f>
        <v>4778.75</v>
      </c>
      <c r="H7915" s="60"/>
    </row>
    <row r="7916" spans="1:8">
      <c r="A7916" s="848"/>
      <c r="B7916" s="499"/>
      <c r="C7916" s="49"/>
      <c r="D7916" s="61"/>
      <c r="E7916" s="61"/>
      <c r="F7916" s="61"/>
      <c r="G7916" s="61"/>
      <c r="H7916" s="60"/>
    </row>
    <row r="7917" spans="1:8">
      <c r="A7917" s="848"/>
      <c r="B7917" s="382"/>
      <c r="C7917" s="500" t="s">
        <v>6636</v>
      </c>
      <c r="D7917" s="61"/>
      <c r="E7917" s="61"/>
      <c r="F7917" s="61"/>
      <c r="G7917" s="61"/>
      <c r="H7917" s="61"/>
    </row>
    <row r="7918" spans="1:8">
      <c r="A7918" s="848"/>
      <c r="B7918" s="499"/>
      <c r="C7918" s="49"/>
      <c r="D7918" s="61"/>
      <c r="E7918" s="61"/>
      <c r="F7918" s="61"/>
      <c r="G7918" s="61"/>
      <c r="H7918" s="61"/>
    </row>
    <row r="7919" spans="1:8">
      <c r="A7919" s="848"/>
      <c r="B7919" s="1234" t="s">
        <v>6634</v>
      </c>
      <c r="C7919" s="1236" t="s">
        <v>4443</v>
      </c>
      <c r="D7919" s="1236" t="s">
        <v>2370</v>
      </c>
      <c r="E7919" s="1236" t="s">
        <v>1166</v>
      </c>
      <c r="F7919" s="503" t="s">
        <v>2371</v>
      </c>
      <c r="G7919" s="1236" t="s">
        <v>6248</v>
      </c>
      <c r="H7919" s="61"/>
    </row>
    <row r="7920" spans="1:8">
      <c r="A7920" s="848"/>
      <c r="B7920" s="1235"/>
      <c r="C7920" s="1237"/>
      <c r="D7920" s="1237"/>
      <c r="E7920" s="1237"/>
      <c r="F7920" s="505" t="s">
        <v>3485</v>
      </c>
      <c r="G7920" s="1237"/>
      <c r="H7920" s="61"/>
    </row>
    <row r="7921" spans="1:8">
      <c r="A7921" s="848"/>
      <c r="B7921" s="1234">
        <v>1</v>
      </c>
      <c r="C7921" s="1236" t="s">
        <v>4168</v>
      </c>
      <c r="D7921" s="1236"/>
      <c r="E7921" s="507">
        <v>0</v>
      </c>
      <c r="F7921" s="507">
        <v>0</v>
      </c>
      <c r="G7921" s="450"/>
      <c r="H7921" s="61"/>
    </row>
    <row r="7922" spans="1:8">
      <c r="A7922" s="848"/>
      <c r="B7922" s="1235"/>
      <c r="C7922" s="1237"/>
      <c r="D7922" s="1237"/>
      <c r="E7922" s="509">
        <v>0</v>
      </c>
      <c r="F7922" s="509">
        <v>0</v>
      </c>
      <c r="G7922" s="450"/>
      <c r="H7922" s="61"/>
    </row>
    <row r="7923" spans="1:8">
      <c r="A7923" s="848"/>
      <c r="B7923" s="606"/>
      <c r="C7923" s="1231" t="s">
        <v>3530</v>
      </c>
      <c r="D7923" s="1231"/>
      <c r="E7923" s="1231"/>
      <c r="F7923" s="1232"/>
      <c r="G7923" s="511">
        <f>SUM(G7921:G7922)</f>
        <v>0</v>
      </c>
      <c r="H7923" s="61"/>
    </row>
    <row r="7924" spans="1:8">
      <c r="A7924" s="848"/>
      <c r="B7924" s="499"/>
      <c r="C7924" s="49"/>
      <c r="D7924" s="61"/>
      <c r="E7924" s="61"/>
      <c r="F7924" s="61"/>
      <c r="G7924" s="61"/>
      <c r="H7924" s="61"/>
    </row>
    <row r="7925" spans="1:8" ht="36">
      <c r="A7925" s="848"/>
      <c r="B7925" s="499" t="s">
        <v>670</v>
      </c>
      <c r="C7925" s="49"/>
      <c r="D7925" s="61"/>
      <c r="E7925" s="61"/>
      <c r="F7925" s="61"/>
      <c r="G7925" s="61"/>
      <c r="H7925" s="61"/>
    </row>
    <row r="7926" spans="1:8">
      <c r="A7926" s="848"/>
      <c r="B7926" s="499"/>
      <c r="C7926" s="49"/>
      <c r="D7926" s="61"/>
      <c r="E7926" s="61"/>
      <c r="F7926" s="61"/>
      <c r="G7926" s="61"/>
      <c r="H7926" s="61"/>
    </row>
    <row r="7927" spans="1:8">
      <c r="A7927" s="848"/>
      <c r="B7927" s="1234" t="s">
        <v>6634</v>
      </c>
      <c r="C7927" s="1236" t="s">
        <v>4443</v>
      </c>
      <c r="D7927" s="1236" t="s">
        <v>2370</v>
      </c>
      <c r="E7927" s="1236" t="s">
        <v>1166</v>
      </c>
      <c r="F7927" s="503" t="s">
        <v>2371</v>
      </c>
      <c r="G7927" s="1236" t="s">
        <v>6248</v>
      </c>
      <c r="H7927" s="61"/>
    </row>
    <row r="7928" spans="1:8">
      <c r="A7928" s="848"/>
      <c r="B7928" s="1235"/>
      <c r="C7928" s="1237"/>
      <c r="D7928" s="1237"/>
      <c r="E7928" s="1237"/>
      <c r="F7928" s="505" t="s">
        <v>3485</v>
      </c>
      <c r="G7928" s="1238"/>
      <c r="H7928" s="61"/>
    </row>
    <row r="7929" spans="1:8">
      <c r="A7929" s="848"/>
      <c r="B7929" s="604">
        <v>1</v>
      </c>
      <c r="C7929" s="506" t="s">
        <v>5607</v>
      </c>
      <c r="D7929" s="482" t="s">
        <v>1172</v>
      </c>
      <c r="E7929" s="450">
        <f>G7905*G7903</f>
        <v>4.95</v>
      </c>
      <c r="F7929" s="255">
        <f>'BASIC DATA'!$C$541</f>
        <v>400</v>
      </c>
      <c r="G7929" s="450">
        <f>E7929*F7929</f>
        <v>1980</v>
      </c>
      <c r="H7929" s="61"/>
    </row>
    <row r="7930" spans="1:8">
      <c r="A7930" s="848"/>
      <c r="B7930" s="605">
        <v>2</v>
      </c>
      <c r="C7930" s="49" t="s">
        <v>4647</v>
      </c>
      <c r="D7930" s="482" t="s">
        <v>1172</v>
      </c>
      <c r="E7930" s="450">
        <f>G7906*G7903</f>
        <v>22.275000000000002</v>
      </c>
      <c r="F7930" s="517">
        <f>'BASIC DATA'!$C$552</f>
        <v>350</v>
      </c>
      <c r="G7930" s="450">
        <f>E7930*F7930</f>
        <v>7796.2500000000009</v>
      </c>
      <c r="H7930" s="61"/>
    </row>
    <row r="7931" spans="1:8">
      <c r="A7931" s="848"/>
      <c r="B7931" s="606"/>
      <c r="C7931" s="1231" t="s">
        <v>671</v>
      </c>
      <c r="D7931" s="1231"/>
      <c r="E7931" s="1231"/>
      <c r="F7931" s="1232"/>
      <c r="G7931" s="513">
        <f>SUM(G7929:G7930)</f>
        <v>9776.25</v>
      </c>
      <c r="H7931" s="61"/>
    </row>
    <row r="7932" spans="1:8">
      <c r="A7932" s="848"/>
      <c r="B7932" s="359" t="s">
        <v>5948</v>
      </c>
      <c r="C7932" s="355"/>
      <c r="D7932" s="31"/>
      <c r="E7932" s="85">
        <f>ROUND(G7931/F7908,1)</f>
        <v>97.8</v>
      </c>
      <c r="F7932" s="61"/>
      <c r="G7932" s="61"/>
      <c r="H7932" s="61"/>
    </row>
    <row r="7933" spans="1:8">
      <c r="A7933" s="848"/>
      <c r="B7933" s="359" t="s">
        <v>3163</v>
      </c>
      <c r="C7933" s="355"/>
      <c r="D7933" s="922">
        <f>'BASIC DATA'!$C$577</f>
        <v>0.13614999999999999</v>
      </c>
      <c r="E7933" s="85">
        <f>ROUND(E7932*D7933,1)</f>
        <v>13.3</v>
      </c>
      <c r="F7933" s="61"/>
      <c r="G7933" s="61"/>
      <c r="H7933" s="61"/>
    </row>
    <row r="7934" spans="1:8">
      <c r="A7934" s="848"/>
      <c r="B7934" s="359" t="s">
        <v>5949</v>
      </c>
      <c r="C7934" s="355"/>
      <c r="D7934" s="31"/>
      <c r="E7934" s="199">
        <f>ROUND(E7933+E7932,1)</f>
        <v>111.1</v>
      </c>
      <c r="F7934" s="61"/>
      <c r="G7934" s="61"/>
      <c r="H7934" s="61"/>
    </row>
    <row r="7935" spans="1:8">
      <c r="A7935" s="848"/>
      <c r="B7935" s="382"/>
      <c r="C7935" s="49"/>
      <c r="D7935" s="61"/>
      <c r="E7935" s="61"/>
      <c r="F7935" s="61"/>
      <c r="G7935" s="61"/>
      <c r="H7935" s="61"/>
    </row>
    <row r="7936" spans="1:8" ht="36">
      <c r="A7936" s="848"/>
      <c r="B7936" s="499" t="s">
        <v>1139</v>
      </c>
      <c r="C7936" s="49"/>
      <c r="D7936" s="61"/>
      <c r="E7936" s="61"/>
      <c r="F7936" s="61"/>
      <c r="G7936" s="61"/>
      <c r="H7936" s="61"/>
    </row>
    <row r="7937" spans="1:10">
      <c r="A7937" s="848"/>
      <c r="B7937" s="1239" t="s">
        <v>1176</v>
      </c>
      <c r="C7937" s="1239"/>
      <c r="D7937" s="61"/>
      <c r="E7937" s="61"/>
      <c r="F7937" s="515" t="s">
        <v>4108</v>
      </c>
      <c r="G7937" s="515">
        <f>G7915</f>
        <v>4778.75</v>
      </c>
      <c r="H7937" s="61"/>
    </row>
    <row r="7938" spans="1:10">
      <c r="A7938" s="848"/>
      <c r="B7938" s="1240" t="s">
        <v>7003</v>
      </c>
      <c r="C7938" s="1240"/>
      <c r="D7938" s="61"/>
      <c r="E7938" s="61"/>
      <c r="F7938" s="515" t="s">
        <v>4108</v>
      </c>
      <c r="G7938" s="515">
        <f>G7923</f>
        <v>0</v>
      </c>
      <c r="H7938" s="61"/>
    </row>
    <row r="7939" spans="1:10">
      <c r="A7939" s="848"/>
      <c r="B7939" s="1241" t="s">
        <v>2660</v>
      </c>
      <c r="C7939" s="1241"/>
      <c r="D7939" s="61"/>
      <c r="E7939" s="61"/>
      <c r="F7939" s="515" t="s">
        <v>4108</v>
      </c>
      <c r="G7939" s="517">
        <f>G7931</f>
        <v>9776.25</v>
      </c>
      <c r="H7939" s="61"/>
    </row>
    <row r="7940" spans="1:10">
      <c r="A7940" s="848"/>
      <c r="B7940" s="62"/>
      <c r="C7940" s="49"/>
      <c r="D7940" s="61"/>
      <c r="E7940" s="222" t="s">
        <v>4835</v>
      </c>
      <c r="F7940" s="222" t="s">
        <v>1173</v>
      </c>
      <c r="G7940" s="381">
        <f>SUM(G7937:G7939)</f>
        <v>14555</v>
      </c>
      <c r="H7940" s="61"/>
    </row>
    <row r="7941" spans="1:10" ht="36.75" customHeight="1">
      <c r="A7941" s="848"/>
      <c r="B7941" s="1207" t="s">
        <v>1379</v>
      </c>
      <c r="C7941" s="1207"/>
      <c r="D7941" s="1207"/>
      <c r="E7941" s="922">
        <f>'BASIC DATA'!$C$577</f>
        <v>0.13614999999999999</v>
      </c>
      <c r="F7941" s="171" t="s">
        <v>1698</v>
      </c>
      <c r="G7941" s="31">
        <f>ROUND(G7940*E7941,2)</f>
        <v>1981.66</v>
      </c>
      <c r="H7941" s="61"/>
    </row>
    <row r="7942" spans="1:10">
      <c r="A7942" s="848"/>
      <c r="B7942" s="47" t="s">
        <v>1191</v>
      </c>
      <c r="C7942" s="48"/>
      <c r="D7942" s="68">
        <f>F7908</f>
        <v>100</v>
      </c>
      <c r="E7942" s="68" t="str">
        <f>G7908</f>
        <v xml:space="preserve"> Sqm.</v>
      </c>
      <c r="F7942" s="171" t="s">
        <v>1698</v>
      </c>
      <c r="G7942" s="211">
        <f>G7941+G7940</f>
        <v>16536.66</v>
      </c>
      <c r="H7942" s="61"/>
    </row>
    <row r="7943" spans="1:10">
      <c r="A7943" s="848"/>
      <c r="B7943" s="79" t="s">
        <v>1584</v>
      </c>
      <c r="C7943" s="404" t="str">
        <f>E7942</f>
        <v xml:space="preserve"> Sqm.</v>
      </c>
      <c r="D7943" s="26" t="s">
        <v>5882</v>
      </c>
      <c r="F7943" s="171" t="s">
        <v>4108</v>
      </c>
      <c r="G7943" s="211">
        <f>ROUND(G7942/D7942,1)</f>
        <v>165.4</v>
      </c>
      <c r="H7943" s="61"/>
    </row>
    <row r="7944" spans="1:10">
      <c r="A7944" s="847"/>
      <c r="B7944" s="62"/>
      <c r="C7944" s="49"/>
      <c r="D7944" s="61"/>
      <c r="E7944" s="61"/>
      <c r="F7944" s="222"/>
      <c r="G7944" s="223"/>
      <c r="H7944" s="61"/>
    </row>
    <row r="7945" spans="1:10">
      <c r="A7945" s="841" t="s">
        <v>7517</v>
      </c>
      <c r="B7945" s="382" t="s">
        <v>8872</v>
      </c>
      <c r="C7945" s="48"/>
      <c r="D7945" s="61"/>
      <c r="E7945" s="61"/>
      <c r="F7945" s="61"/>
      <c r="G7945" s="61"/>
      <c r="H7945" s="61"/>
    </row>
    <row r="7946" spans="1:10">
      <c r="A7946" s="891"/>
      <c r="B7946" s="382" t="s">
        <v>8868</v>
      </c>
      <c r="C7946" s="48"/>
      <c r="D7946" s="61"/>
      <c r="E7946" s="61"/>
      <c r="F7946" s="61"/>
      <c r="G7946" s="61"/>
      <c r="H7946" s="61"/>
      <c r="I7946" s="61"/>
    </row>
    <row r="7947" spans="1:10">
      <c r="A7947" s="900"/>
      <c r="B7947" s="588" t="s">
        <v>992</v>
      </c>
      <c r="C7947" s="48"/>
      <c r="D7947" s="61"/>
      <c r="E7947" s="61"/>
      <c r="F7947" s="61"/>
      <c r="G7947" s="61"/>
      <c r="H7947" s="61"/>
    </row>
    <row r="7948" spans="1:10">
      <c r="A7948" s="889"/>
      <c r="B7948" s="162" t="s">
        <v>5387</v>
      </c>
      <c r="C7948" s="48"/>
    </row>
    <row r="7949" spans="1:10">
      <c r="A7949" s="847"/>
      <c r="B7949" s="62"/>
      <c r="C7949" s="49"/>
      <c r="D7949" s="61"/>
      <c r="E7949" s="61"/>
      <c r="F7949" s="62"/>
      <c r="G7949" s="61"/>
      <c r="H7949" s="61"/>
    </row>
    <row r="7950" spans="1:10" ht="36" hidden="1">
      <c r="A7950" s="891" t="s">
        <v>3984</v>
      </c>
      <c r="B7950" s="78"/>
      <c r="C7950" s="49" t="s">
        <v>2285</v>
      </c>
      <c r="D7950" s="61"/>
      <c r="E7950" s="61"/>
      <c r="F7950" s="61"/>
      <c r="G7950" s="61"/>
      <c r="H7950" s="61"/>
    </row>
    <row r="7951" spans="1:10" hidden="1">
      <c r="A7951" s="847"/>
      <c r="B7951" s="62"/>
      <c r="C7951" s="49" t="s">
        <v>1619</v>
      </c>
      <c r="D7951" s="61"/>
      <c r="E7951" s="61"/>
      <c r="F7951" s="62" t="s">
        <v>1697</v>
      </c>
      <c r="G7951" s="223">
        <v>27.5</v>
      </c>
      <c r="H7951" s="61"/>
      <c r="J7951" s="61"/>
    </row>
    <row r="7952" spans="1:10" hidden="1">
      <c r="A7952" s="847"/>
      <c r="B7952" s="62"/>
      <c r="C7952" s="49" t="s">
        <v>2286</v>
      </c>
      <c r="D7952" s="61"/>
      <c r="E7952" s="61"/>
      <c r="F7952" s="62" t="s">
        <v>1697</v>
      </c>
      <c r="G7952" s="61">
        <v>200</v>
      </c>
      <c r="H7952" s="61"/>
      <c r="J7952" s="61"/>
    </row>
    <row r="7953" spans="1:10" hidden="1">
      <c r="A7953" s="847"/>
      <c r="B7953" s="62"/>
      <c r="C7953" s="49" t="s">
        <v>4074</v>
      </c>
      <c r="D7953" s="61"/>
      <c r="E7953" s="61"/>
      <c r="F7953" s="62" t="s">
        <v>1697</v>
      </c>
      <c r="G7953" s="223">
        <v>4.5</v>
      </c>
      <c r="H7953" s="61"/>
    </row>
    <row r="7954" spans="1:10" ht="36" hidden="1">
      <c r="A7954" s="847"/>
      <c r="B7954" s="62"/>
      <c r="C7954" s="49" t="s">
        <v>2287</v>
      </c>
      <c r="D7954" s="61"/>
      <c r="E7954" s="61"/>
      <c r="F7954" s="62" t="s">
        <v>1697</v>
      </c>
      <c r="G7954" s="61">
        <v>5</v>
      </c>
      <c r="H7954" s="61"/>
    </row>
    <row r="7955" spans="1:10" ht="36" hidden="1">
      <c r="A7955" s="847"/>
      <c r="B7955" s="62"/>
      <c r="C7955" s="49" t="s">
        <v>4625</v>
      </c>
      <c r="D7955" s="61"/>
      <c r="E7955" s="61"/>
      <c r="F7955" s="62" t="s">
        <v>1697</v>
      </c>
      <c r="G7955" s="61">
        <v>5</v>
      </c>
      <c r="H7955" s="61"/>
    </row>
    <row r="7956" spans="1:10" hidden="1">
      <c r="A7956" s="847"/>
      <c r="B7956" s="62"/>
      <c r="C7956" s="49" t="s">
        <v>4707</v>
      </c>
      <c r="D7956" s="61"/>
      <c r="E7956" s="61"/>
      <c r="F7956" s="62" t="s">
        <v>1697</v>
      </c>
      <c r="G7956" s="61">
        <v>1</v>
      </c>
      <c r="H7956" s="61"/>
    </row>
    <row r="7957" spans="1:10" ht="36" hidden="1">
      <c r="A7957" s="847"/>
      <c r="B7957" s="62"/>
      <c r="C7957" s="49" t="s">
        <v>881</v>
      </c>
      <c r="D7957" s="61"/>
      <c r="E7957" s="61"/>
      <c r="F7957" s="61"/>
      <c r="G7957" s="61"/>
      <c r="H7957" s="61"/>
    </row>
    <row r="7958" spans="1:10">
      <c r="A7958" s="847"/>
      <c r="B7958" s="62"/>
      <c r="C7958" s="49"/>
      <c r="D7958" s="61"/>
      <c r="E7958" s="61"/>
      <c r="F7958" s="61"/>
      <c r="G7958" s="61"/>
      <c r="H7958" s="61"/>
    </row>
    <row r="7959" spans="1:10">
      <c r="A7959" s="891" t="s">
        <v>3984</v>
      </c>
      <c r="B7959" s="62"/>
      <c r="C7959" s="518" t="s">
        <v>2367</v>
      </c>
      <c r="D7959" s="61"/>
      <c r="E7959" s="222" t="s">
        <v>297</v>
      </c>
      <c r="F7959" s="519">
        <v>100</v>
      </c>
      <c r="G7959" s="61" t="s">
        <v>3479</v>
      </c>
      <c r="H7959" s="61"/>
    </row>
    <row r="7960" spans="1:10">
      <c r="A7960" s="847"/>
      <c r="B7960" s="410" t="s">
        <v>2368</v>
      </c>
      <c r="C7960" s="49"/>
      <c r="D7960" s="61"/>
      <c r="E7960" s="61"/>
      <c r="F7960" s="61"/>
      <c r="G7960" s="61"/>
      <c r="H7960" s="61"/>
    </row>
    <row r="7961" spans="1:10">
      <c r="A7961" s="847"/>
      <c r="B7961" s="295" t="s">
        <v>2369</v>
      </c>
      <c r="C7961" s="411" t="s">
        <v>6374</v>
      </c>
      <c r="D7961" s="295" t="s">
        <v>2370</v>
      </c>
      <c r="E7961" s="295" t="s">
        <v>1166</v>
      </c>
      <c r="F7961" s="295" t="s">
        <v>2371</v>
      </c>
      <c r="G7961" s="295" t="s">
        <v>2372</v>
      </c>
      <c r="H7961" s="61"/>
      <c r="J7961" s="61"/>
    </row>
    <row r="7962" spans="1:10">
      <c r="A7962" s="847"/>
      <c r="B7962" s="237"/>
      <c r="C7962" s="412"/>
      <c r="D7962" s="237"/>
      <c r="E7962" s="237"/>
      <c r="F7962" s="237" t="s">
        <v>3485</v>
      </c>
      <c r="G7962" s="237" t="s">
        <v>3485</v>
      </c>
      <c r="H7962" s="61"/>
      <c r="J7962" s="61"/>
    </row>
    <row r="7963" spans="1:10" ht="36">
      <c r="A7963" s="847"/>
      <c r="B7963" s="295">
        <v>1</v>
      </c>
      <c r="C7963" s="392" t="s">
        <v>4257</v>
      </c>
      <c r="D7963" s="520" t="s">
        <v>3477</v>
      </c>
      <c r="E7963" s="256">
        <v>27.5</v>
      </c>
      <c r="F7963" s="190">
        <f>'BASIC DATA'!$D$108</f>
        <v>318</v>
      </c>
      <c r="G7963" s="449">
        <f>E7963*F7963</f>
        <v>8745</v>
      </c>
      <c r="H7963" s="61"/>
      <c r="J7963" s="61"/>
    </row>
    <row r="7964" spans="1:10" ht="36">
      <c r="A7964" s="847"/>
      <c r="B7964" s="240">
        <v>2</v>
      </c>
      <c r="C7964" s="392" t="s">
        <v>4626</v>
      </c>
      <c r="D7964" s="452" t="s">
        <v>2059</v>
      </c>
      <c r="E7964" s="256">
        <v>200</v>
      </c>
      <c r="F7964" s="266">
        <f>'BASIC DATA'!$D$104</f>
        <v>22</v>
      </c>
      <c r="G7964" s="449">
        <f>E7964*F7964</f>
        <v>4400</v>
      </c>
      <c r="H7964" s="61"/>
      <c r="J7964" s="61"/>
    </row>
    <row r="7965" spans="1:10">
      <c r="A7965" s="847"/>
      <c r="B7965" s="237">
        <v>3</v>
      </c>
      <c r="C7965" s="392" t="s">
        <v>4080</v>
      </c>
      <c r="D7965" s="521" t="s">
        <v>3477</v>
      </c>
      <c r="E7965" s="256">
        <v>4.5</v>
      </c>
      <c r="F7965" s="190">
        <f>'BASIC DATA'!$D$96</f>
        <v>350</v>
      </c>
      <c r="G7965" s="449">
        <f>E7965*F7965</f>
        <v>1575</v>
      </c>
      <c r="H7965" s="61"/>
      <c r="J7965" s="61"/>
    </row>
    <row r="7966" spans="1:10">
      <c r="A7966" s="847"/>
      <c r="B7966" s="311"/>
      <c r="C7966" s="387" t="s">
        <v>2376</v>
      </c>
      <c r="D7966" s="388"/>
      <c r="E7966" s="389"/>
      <c r="F7966" s="390" t="s">
        <v>1698</v>
      </c>
      <c r="G7966" s="391">
        <f>SUM(G7963:G7965)</f>
        <v>14720</v>
      </c>
      <c r="H7966" s="61"/>
      <c r="J7966" s="61"/>
    </row>
    <row r="7967" spans="1:10">
      <c r="A7967" s="847"/>
      <c r="B7967" s="62"/>
      <c r="C7967" s="49"/>
      <c r="D7967" s="61"/>
      <c r="E7967" s="61"/>
      <c r="F7967" s="61"/>
      <c r="G7967" s="61"/>
      <c r="H7967" s="61"/>
      <c r="J7967" s="61"/>
    </row>
    <row r="7968" spans="1:10">
      <c r="A7968" s="847"/>
      <c r="B7968" s="410" t="s">
        <v>2377</v>
      </c>
      <c r="C7968" s="49"/>
      <c r="D7968" s="61"/>
      <c r="E7968" s="61"/>
      <c r="F7968" s="61"/>
      <c r="G7968" s="61"/>
      <c r="H7968" s="61"/>
    </row>
    <row r="7969" spans="1:8">
      <c r="A7969" s="847"/>
      <c r="B7969" s="295" t="s">
        <v>2369</v>
      </c>
      <c r="C7969" s="411" t="s">
        <v>2378</v>
      </c>
      <c r="D7969" s="295" t="s">
        <v>2370</v>
      </c>
      <c r="E7969" s="295" t="s">
        <v>1166</v>
      </c>
      <c r="F7969" s="295" t="s">
        <v>2371</v>
      </c>
      <c r="G7969" s="295" t="s">
        <v>2372</v>
      </c>
      <c r="H7969" s="61"/>
    </row>
    <row r="7970" spans="1:8">
      <c r="A7970" s="847"/>
      <c r="B7970" s="237"/>
      <c r="C7970" s="412"/>
      <c r="D7970" s="237"/>
      <c r="E7970" s="237"/>
      <c r="F7970" s="237" t="s">
        <v>3485</v>
      </c>
      <c r="G7970" s="237" t="s">
        <v>3485</v>
      </c>
      <c r="H7970" s="61"/>
    </row>
    <row r="7971" spans="1:8">
      <c r="A7971" s="847"/>
      <c r="B7971" s="295">
        <v>1</v>
      </c>
      <c r="C7971" s="524" t="s">
        <v>1130</v>
      </c>
      <c r="D7971" s="295"/>
      <c r="E7971" s="256">
        <v>0</v>
      </c>
      <c r="F7971" s="266">
        <v>0</v>
      </c>
      <c r="G7971" s="449"/>
      <c r="H7971" s="61"/>
    </row>
    <row r="7972" spans="1:8">
      <c r="A7972" s="847"/>
      <c r="B7972" s="589"/>
      <c r="C7972" s="524"/>
      <c r="D7972" s="237"/>
      <c r="E7972" s="256">
        <v>0</v>
      </c>
      <c r="F7972" s="266">
        <v>0</v>
      </c>
      <c r="G7972" s="449"/>
      <c r="H7972" s="61"/>
    </row>
    <row r="7973" spans="1:8">
      <c r="A7973" s="847"/>
      <c r="B7973" s="263"/>
      <c r="C7973" s="525" t="s">
        <v>2380</v>
      </c>
      <c r="D7973" s="241"/>
      <c r="E7973" s="242"/>
      <c r="F7973" s="390" t="s">
        <v>1698</v>
      </c>
      <c r="G7973" s="391">
        <f>SUM(G7971:G7972)</f>
        <v>0</v>
      </c>
      <c r="H7973" s="61"/>
    </row>
    <row r="7974" spans="1:8">
      <c r="A7974" s="847"/>
      <c r="B7974" s="62"/>
      <c r="C7974" s="49"/>
      <c r="D7974" s="61"/>
      <c r="E7974" s="61"/>
      <c r="F7974" s="61"/>
      <c r="G7974" s="61"/>
      <c r="H7974" s="61"/>
    </row>
    <row r="7975" spans="1:8">
      <c r="A7975" s="847"/>
      <c r="B7975" s="410" t="s">
        <v>2381</v>
      </c>
      <c r="C7975" s="49"/>
      <c r="D7975" s="61"/>
      <c r="E7975" s="61"/>
      <c r="F7975" s="61"/>
      <c r="G7975" s="61"/>
      <c r="H7975" s="61"/>
    </row>
    <row r="7976" spans="1:8">
      <c r="A7976" s="847"/>
      <c r="B7976" s="295" t="s">
        <v>2369</v>
      </c>
      <c r="C7976" s="411" t="s">
        <v>2378</v>
      </c>
      <c r="D7976" s="295" t="s">
        <v>2370</v>
      </c>
      <c r="E7976" s="295" t="s">
        <v>1166</v>
      </c>
      <c r="F7976" s="295" t="s">
        <v>2371</v>
      </c>
      <c r="G7976" s="295" t="s">
        <v>2372</v>
      </c>
      <c r="H7976" s="61"/>
    </row>
    <row r="7977" spans="1:8">
      <c r="A7977" s="847"/>
      <c r="B7977" s="237"/>
      <c r="C7977" s="412"/>
      <c r="D7977" s="240"/>
      <c r="E7977" s="237"/>
      <c r="F7977" s="237" t="s">
        <v>3485</v>
      </c>
      <c r="G7977" s="237" t="s">
        <v>3485</v>
      </c>
      <c r="H7977" s="61"/>
    </row>
    <row r="7978" spans="1:8">
      <c r="A7978" s="847"/>
      <c r="B7978" s="240">
        <v>1</v>
      </c>
      <c r="C7978" s="392" t="s">
        <v>4206</v>
      </c>
      <c r="D7978" s="295" t="s">
        <v>1172</v>
      </c>
      <c r="E7978" s="393">
        <v>1</v>
      </c>
      <c r="F7978" s="190">
        <f>'BASIC DATA'!$C$473</f>
        <v>450</v>
      </c>
      <c r="G7978" s="449">
        <f>E7978*F7978</f>
        <v>450</v>
      </c>
      <c r="H7978" s="61"/>
    </row>
    <row r="7979" spans="1:8">
      <c r="A7979" s="847"/>
      <c r="B7979" s="240">
        <v>2</v>
      </c>
      <c r="C7979" s="392" t="s">
        <v>5607</v>
      </c>
      <c r="D7979" s="240" t="s">
        <v>1172</v>
      </c>
      <c r="E7979" s="393">
        <v>5</v>
      </c>
      <c r="F7979" s="190">
        <f>'BASIC DATA'!$C$541</f>
        <v>400</v>
      </c>
      <c r="G7979" s="449">
        <f>E7979*F7979</f>
        <v>2000</v>
      </c>
      <c r="H7979" s="61"/>
    </row>
    <row r="7980" spans="1:8">
      <c r="A7980" s="847"/>
      <c r="B7980" s="240">
        <v>3</v>
      </c>
      <c r="C7980" s="392" t="s">
        <v>2697</v>
      </c>
      <c r="D7980" s="240" t="s">
        <v>1172</v>
      </c>
      <c r="E7980" s="393">
        <v>6</v>
      </c>
      <c r="F7980" s="190">
        <f>'BASIC DATA'!$C$552</f>
        <v>350</v>
      </c>
      <c r="G7980" s="449">
        <f>E7980*F7980</f>
        <v>2100</v>
      </c>
      <c r="H7980" s="61"/>
    </row>
    <row r="7981" spans="1:8">
      <c r="A7981" s="847"/>
      <c r="B7981" s="311"/>
      <c r="C7981" s="387" t="s">
        <v>1174</v>
      </c>
      <c r="D7981" s="388"/>
      <c r="E7981" s="389"/>
      <c r="F7981" s="390" t="s">
        <v>1698</v>
      </c>
      <c r="G7981" s="391">
        <f>SUM(G7978:G7980)</f>
        <v>4550</v>
      </c>
      <c r="H7981" s="61"/>
    </row>
    <row r="7982" spans="1:8">
      <c r="A7982" s="847"/>
      <c r="B7982" s="359" t="s">
        <v>5948</v>
      </c>
      <c r="C7982" s="48"/>
      <c r="D7982" s="31"/>
      <c r="E7982" s="85">
        <f>ROUND(G7981/F7959,1)</f>
        <v>45.5</v>
      </c>
      <c r="H7982" s="61"/>
    </row>
    <row r="7983" spans="1:8">
      <c r="A7983" s="847"/>
      <c r="B7983" s="359" t="s">
        <v>3163</v>
      </c>
      <c r="C7983" s="48"/>
      <c r="D7983" s="922">
        <f>'BASIC DATA'!$C$577</f>
        <v>0.13614999999999999</v>
      </c>
      <c r="E7983" s="85">
        <f>ROUND(E7982*D7983,1)</f>
        <v>6.2</v>
      </c>
      <c r="H7983" s="61"/>
    </row>
    <row r="7984" spans="1:8">
      <c r="A7984" s="847"/>
      <c r="B7984" s="359" t="s">
        <v>5949</v>
      </c>
      <c r="C7984" s="48"/>
      <c r="D7984" s="31"/>
      <c r="E7984" s="199">
        <f>ROUND(E7983+E7982,1)</f>
        <v>51.7</v>
      </c>
      <c r="H7984" s="61"/>
    </row>
    <row r="7985" spans="1:11">
      <c r="A7985" s="847"/>
      <c r="B7985" s="382"/>
      <c r="C7985" s="48"/>
      <c r="D7985" s="61"/>
      <c r="E7985" s="61"/>
      <c r="F7985" s="61"/>
      <c r="G7985" s="61"/>
      <c r="H7985" s="61"/>
    </row>
    <row r="7986" spans="1:11">
      <c r="A7986" s="847"/>
      <c r="B7986" s="588" t="s">
        <v>1175</v>
      </c>
      <c r="C7986" s="48"/>
      <c r="D7986" s="61"/>
      <c r="E7986" s="61"/>
      <c r="F7986" s="61"/>
      <c r="G7986" s="61"/>
      <c r="H7986" s="61"/>
    </row>
    <row r="7987" spans="1:11">
      <c r="A7987" s="847"/>
      <c r="B7987" s="382" t="s">
        <v>1176</v>
      </c>
      <c r="C7987" s="48"/>
      <c r="D7987" s="61"/>
      <c r="E7987" s="61"/>
      <c r="F7987" s="222" t="s">
        <v>1698</v>
      </c>
      <c r="G7987" s="223">
        <f>G7966</f>
        <v>14720</v>
      </c>
      <c r="H7987" s="61"/>
    </row>
    <row r="7988" spans="1:11">
      <c r="A7988" s="847"/>
      <c r="B7988" s="382" t="s">
        <v>1186</v>
      </c>
      <c r="C7988" s="48"/>
      <c r="D7988" s="61"/>
      <c r="E7988" s="61"/>
      <c r="F7988" s="222" t="s">
        <v>1698</v>
      </c>
      <c r="G7988" s="223">
        <f>G7973</f>
        <v>0</v>
      </c>
      <c r="H7988" s="61"/>
      <c r="J7988" s="61"/>
    </row>
    <row r="7989" spans="1:11">
      <c r="A7989" s="847"/>
      <c r="B7989" s="382" t="s">
        <v>2660</v>
      </c>
      <c r="C7989" s="48"/>
      <c r="D7989" s="61"/>
      <c r="E7989" s="61"/>
      <c r="F7989" s="222" t="s">
        <v>1698</v>
      </c>
      <c r="G7989" s="321">
        <f>G7981</f>
        <v>4550</v>
      </c>
      <c r="H7989" s="61"/>
      <c r="J7989" s="61"/>
    </row>
    <row r="7990" spans="1:11">
      <c r="A7990" s="847"/>
      <c r="B7990" s="78"/>
      <c r="C7990" s="48"/>
      <c r="E7990" s="171" t="s">
        <v>4835</v>
      </c>
      <c r="F7990" s="171" t="s">
        <v>1173</v>
      </c>
      <c r="G7990" s="205">
        <f>SUM(G7987:G7989)</f>
        <v>19270</v>
      </c>
    </row>
    <row r="7991" spans="1:11" ht="36.75" customHeight="1">
      <c r="A7991" s="847"/>
      <c r="B7991" s="1207" t="s">
        <v>1379</v>
      </c>
      <c r="C7991" s="1207"/>
      <c r="D7991" s="1207"/>
      <c r="E7991" s="922">
        <f>'BASIC DATA'!$C$577</f>
        <v>0.13614999999999999</v>
      </c>
      <c r="F7991" s="171" t="s">
        <v>1698</v>
      </c>
      <c r="G7991" s="31">
        <f>ROUND(G7990*E7991,2)</f>
        <v>2623.61</v>
      </c>
    </row>
    <row r="7992" spans="1:11">
      <c r="A7992" s="847"/>
      <c r="B7992" s="47" t="s">
        <v>1191</v>
      </c>
      <c r="C7992" s="48"/>
      <c r="D7992" s="68">
        <f>F7959</f>
        <v>100</v>
      </c>
      <c r="E7992" s="68" t="str">
        <f>G7959</f>
        <v>sqm</v>
      </c>
      <c r="F7992" s="171" t="s">
        <v>1698</v>
      </c>
      <c r="G7992" s="211">
        <f>G7991+G7990</f>
        <v>21893.61</v>
      </c>
    </row>
    <row r="7993" spans="1:11">
      <c r="A7993" s="847"/>
      <c r="B7993" s="79" t="s">
        <v>1584</v>
      </c>
      <c r="C7993" s="404" t="str">
        <f>E7992</f>
        <v>sqm</v>
      </c>
      <c r="D7993" s="26" t="s">
        <v>5882</v>
      </c>
      <c r="F7993" s="171" t="s">
        <v>4108</v>
      </c>
      <c r="G7993" s="211">
        <f>ROUND(G7992/D7992,1)</f>
        <v>218.9</v>
      </c>
      <c r="H7993" s="61"/>
      <c r="J7993" s="61"/>
    </row>
    <row r="7994" spans="1:11" ht="36">
      <c r="A7994" s="847"/>
      <c r="B7994" s="62" t="s">
        <v>1237</v>
      </c>
      <c r="C7994" s="49" t="s">
        <v>1238</v>
      </c>
      <c r="D7994" s="61"/>
      <c r="E7994" s="61"/>
      <c r="F7994" s="61"/>
      <c r="G7994" s="223">
        <f>G7797</f>
        <v>49.6</v>
      </c>
      <c r="H7994" s="61"/>
      <c r="J7994" s="61"/>
    </row>
    <row r="7995" spans="1:11" ht="36">
      <c r="A7995" s="847"/>
      <c r="B7995" s="62"/>
      <c r="C7995" s="49" t="s">
        <v>7867</v>
      </c>
      <c r="D7995" s="61"/>
      <c r="E7995" s="61"/>
      <c r="F7995" s="61"/>
      <c r="G7995" s="61"/>
      <c r="H7995" s="61"/>
      <c r="J7995" s="61"/>
    </row>
    <row r="7996" spans="1:11">
      <c r="A7996" s="847"/>
      <c r="B7996" s="62"/>
      <c r="C7996" s="49"/>
      <c r="D7996" s="61"/>
      <c r="E7996" s="61"/>
      <c r="F7996" s="61"/>
      <c r="G7996" s="61"/>
      <c r="H7996" s="61"/>
      <c r="J7996" s="61"/>
    </row>
    <row r="7997" spans="1:11">
      <c r="A7997" s="847"/>
      <c r="B7997" s="62"/>
      <c r="C7997" s="49"/>
      <c r="D7997" s="61"/>
      <c r="E7997" s="61"/>
      <c r="F7997" s="61"/>
      <c r="G7997" s="61"/>
      <c r="H7997" s="61"/>
      <c r="J7997" s="61"/>
    </row>
    <row r="7998" spans="1:11" ht="18.75">
      <c r="A7998" s="841" t="s">
        <v>7518</v>
      </c>
      <c r="B7998" s="382" t="s">
        <v>8873</v>
      </c>
      <c r="C7998" s="49"/>
      <c r="D7998" s="61"/>
      <c r="E7998" s="61"/>
      <c r="F7998" s="61"/>
      <c r="G7998" s="61"/>
      <c r="H7998" s="61"/>
      <c r="I7998" s="61"/>
      <c r="J7998" s="61"/>
      <c r="K7998" s="61"/>
    </row>
    <row r="7999" spans="1:11">
      <c r="A7999" s="848"/>
      <c r="B7999" s="382" t="s">
        <v>4976</v>
      </c>
      <c r="C7999" s="49"/>
      <c r="D7999" s="61"/>
      <c r="E7999" s="61"/>
      <c r="F7999" s="61"/>
      <c r="G7999" s="61"/>
      <c r="H7999" s="61"/>
      <c r="I7999" s="61"/>
      <c r="J7999" s="61"/>
      <c r="K7999" s="61"/>
    </row>
    <row r="8000" spans="1:11">
      <c r="A8000" s="889"/>
      <c r="B8000" s="162" t="s">
        <v>5386</v>
      </c>
      <c r="C8000" s="48"/>
    </row>
    <row r="8001" spans="1:11">
      <c r="A8001" s="848"/>
      <c r="B8001" s="382"/>
      <c r="C8001" s="49"/>
      <c r="D8001" s="61"/>
      <c r="E8001" s="61"/>
      <c r="F8001" s="61"/>
      <c r="G8001" s="61"/>
      <c r="H8001" s="61"/>
      <c r="I8001" s="61"/>
      <c r="J8001" s="61"/>
      <c r="K8001" s="61"/>
    </row>
    <row r="8002" spans="1:11" ht="36" hidden="1">
      <c r="A8002" s="848" t="s">
        <v>6233</v>
      </c>
      <c r="B8002" s="382"/>
      <c r="C8002" s="49" t="s">
        <v>2285</v>
      </c>
      <c r="D8002" s="61"/>
      <c r="E8002" s="61"/>
      <c r="F8002" s="61"/>
      <c r="G8002" s="61"/>
      <c r="H8002" s="61"/>
      <c r="I8002" s="61"/>
      <c r="J8002" s="61"/>
      <c r="K8002" s="61"/>
    </row>
    <row r="8003" spans="1:11" hidden="1">
      <c r="A8003" s="848"/>
      <c r="B8003" s="382"/>
      <c r="C8003" s="49" t="s">
        <v>1619</v>
      </c>
      <c r="D8003" s="222" t="s">
        <v>6734</v>
      </c>
      <c r="E8003" s="126">
        <v>33</v>
      </c>
      <c r="F8003" s="61" t="s">
        <v>2113</v>
      </c>
      <c r="G8003" s="61"/>
      <c r="H8003" s="61"/>
      <c r="I8003" s="61"/>
      <c r="J8003" s="61"/>
      <c r="K8003" s="61"/>
    </row>
    <row r="8004" spans="1:11" ht="36" hidden="1">
      <c r="A8004" s="848"/>
      <c r="B8004" s="382"/>
      <c r="C8004" s="49" t="s">
        <v>2287</v>
      </c>
      <c r="D8004" s="61"/>
      <c r="E8004" s="61"/>
      <c r="F8004" s="61"/>
      <c r="G8004" s="61"/>
      <c r="H8004" s="61"/>
      <c r="I8004" s="61"/>
      <c r="J8004" s="61"/>
      <c r="K8004" s="61"/>
    </row>
    <row r="8005" spans="1:11" hidden="1">
      <c r="A8005" s="848"/>
      <c r="B8005" s="382"/>
      <c r="C8005" s="49" t="s">
        <v>6232</v>
      </c>
      <c r="D8005" s="222" t="s">
        <v>6734</v>
      </c>
      <c r="E8005" s="126">
        <v>0.2</v>
      </c>
      <c r="F8005" s="61" t="s">
        <v>7659</v>
      </c>
      <c r="G8005" s="61"/>
      <c r="H8005" s="61"/>
      <c r="I8005" s="61"/>
      <c r="J8005" s="61"/>
      <c r="K8005" s="61"/>
    </row>
    <row r="8006" spans="1:11" hidden="1">
      <c r="A8006" s="848"/>
      <c r="B8006" s="382"/>
      <c r="C8006" s="49" t="s">
        <v>2386</v>
      </c>
      <c r="D8006" s="222" t="s">
        <v>1697</v>
      </c>
      <c r="E8006" s="126">
        <v>0.9</v>
      </c>
      <c r="F8006" s="61" t="s">
        <v>7659</v>
      </c>
      <c r="G8006" s="61"/>
      <c r="H8006" s="61"/>
      <c r="I8006" s="61"/>
      <c r="J8006" s="61"/>
      <c r="K8006" s="61"/>
    </row>
    <row r="8007" spans="1:11">
      <c r="A8007" s="848"/>
      <c r="B8007" s="382"/>
      <c r="C8007" s="49"/>
      <c r="D8007" s="61"/>
      <c r="E8007" s="61"/>
      <c r="F8007" s="61"/>
      <c r="G8007" s="61"/>
      <c r="H8007" s="61"/>
      <c r="I8007" s="61"/>
      <c r="J8007" s="61"/>
      <c r="K8007" s="61"/>
    </row>
    <row r="8008" spans="1:11">
      <c r="A8008" s="891" t="s">
        <v>3984</v>
      </c>
      <c r="B8008" s="382"/>
      <c r="C8008" s="535" t="s">
        <v>2367</v>
      </c>
      <c r="D8008" s="61"/>
      <c r="E8008" s="222" t="s">
        <v>297</v>
      </c>
      <c r="F8008" s="536">
        <v>100</v>
      </c>
      <c r="G8008" s="61" t="s">
        <v>3479</v>
      </c>
      <c r="H8008" s="223"/>
      <c r="I8008" s="61"/>
      <c r="J8008" s="61"/>
      <c r="K8008" s="61"/>
    </row>
    <row r="8009" spans="1:11">
      <c r="A8009" s="848"/>
      <c r="B8009" s="382" t="s">
        <v>6633</v>
      </c>
      <c r="C8009" s="49"/>
      <c r="D8009" s="61"/>
      <c r="E8009" s="61"/>
      <c r="F8009" s="61"/>
      <c r="G8009" s="61"/>
      <c r="H8009" s="61"/>
      <c r="I8009" s="61"/>
      <c r="J8009" s="61"/>
      <c r="K8009" s="61"/>
    </row>
    <row r="8010" spans="1:11" ht="36">
      <c r="A8010" s="848"/>
      <c r="B8010" s="66" t="s">
        <v>2369</v>
      </c>
      <c r="C8010" s="537" t="s">
        <v>4443</v>
      </c>
      <c r="D8010" s="53" t="s">
        <v>2370</v>
      </c>
      <c r="E8010" s="53" t="s">
        <v>1166</v>
      </c>
      <c r="F8010" s="53" t="s">
        <v>6234</v>
      </c>
      <c r="G8010" s="53" t="s">
        <v>3141</v>
      </c>
      <c r="H8010" s="61"/>
      <c r="I8010" s="61"/>
      <c r="J8010" s="61"/>
      <c r="K8010" s="61"/>
    </row>
    <row r="8011" spans="1:11">
      <c r="A8011" s="848"/>
      <c r="B8011" s="66"/>
      <c r="C8011" s="538"/>
      <c r="D8011" s="53"/>
      <c r="E8011" s="53"/>
      <c r="F8011" s="53"/>
      <c r="G8011" s="53"/>
      <c r="H8011" s="61"/>
      <c r="I8011" s="61"/>
      <c r="J8011" s="61"/>
      <c r="K8011" s="61"/>
    </row>
    <row r="8012" spans="1:11" ht="36">
      <c r="A8012" s="848"/>
      <c r="B8012" s="608">
        <v>1</v>
      </c>
      <c r="C8012" s="540" t="s">
        <v>4977</v>
      </c>
      <c r="D8012" s="539" t="s">
        <v>2113</v>
      </c>
      <c r="E8012" s="541">
        <f>E8003</f>
        <v>33</v>
      </c>
      <c r="F8012" s="255">
        <f>'BASIC DATA'!$D$108</f>
        <v>318</v>
      </c>
      <c r="G8012" s="450">
        <f>E8012*F8012</f>
        <v>10494</v>
      </c>
      <c r="H8012" s="61"/>
      <c r="I8012" s="61"/>
      <c r="J8012" s="61"/>
      <c r="K8012" s="61"/>
    </row>
    <row r="8013" spans="1:11">
      <c r="A8013" s="848"/>
      <c r="B8013" s="609"/>
      <c r="C8013" s="542"/>
      <c r="D8013" s="543"/>
      <c r="E8013" s="544"/>
      <c r="F8013" s="544"/>
      <c r="G8013" s="544"/>
      <c r="H8013" s="61"/>
      <c r="I8013" s="61"/>
      <c r="J8013" s="61"/>
      <c r="K8013" s="61"/>
    </row>
    <row r="8014" spans="1:11">
      <c r="A8014" s="848"/>
      <c r="B8014" s="595"/>
      <c r="C8014" s="448" t="s">
        <v>3142</v>
      </c>
      <c r="D8014" s="241"/>
      <c r="E8014" s="241"/>
      <c r="F8014" s="242"/>
      <c r="G8014" s="547"/>
      <c r="H8014" s="61"/>
      <c r="I8014" s="61"/>
      <c r="J8014" s="61"/>
      <c r="K8014" s="61"/>
    </row>
    <row r="8015" spans="1:11">
      <c r="A8015" s="848"/>
      <c r="B8015" s="595"/>
      <c r="C8015" s="448" t="s">
        <v>3143</v>
      </c>
      <c r="D8015" s="388"/>
      <c r="E8015" s="448"/>
      <c r="F8015" s="448"/>
      <c r="G8015" s="548">
        <f>SUM(G8012:G8014)</f>
        <v>10494</v>
      </c>
      <c r="H8015" s="61"/>
      <c r="I8015" s="61"/>
      <c r="J8015" s="61"/>
      <c r="K8015" s="61"/>
    </row>
    <row r="8016" spans="1:11">
      <c r="A8016" s="848"/>
      <c r="B8016" s="382"/>
      <c r="C8016" s="49"/>
      <c r="D8016" s="61"/>
      <c r="E8016" s="61"/>
      <c r="F8016" s="61"/>
      <c r="G8016" s="253"/>
      <c r="H8016" s="61"/>
      <c r="I8016" s="61"/>
      <c r="J8016" s="61"/>
      <c r="K8016" s="61"/>
    </row>
    <row r="8017" spans="1:11">
      <c r="A8017" s="848"/>
      <c r="B8017" s="382" t="s">
        <v>3144</v>
      </c>
      <c r="C8017" s="49"/>
      <c r="D8017" s="61"/>
      <c r="E8017" s="61"/>
      <c r="F8017" s="61"/>
      <c r="G8017" s="253"/>
      <c r="H8017" s="61"/>
      <c r="I8017" s="61"/>
      <c r="J8017" s="61"/>
      <c r="K8017" s="61"/>
    </row>
    <row r="8018" spans="1:11" ht="36">
      <c r="A8018" s="848"/>
      <c r="B8018" s="66" t="s">
        <v>2369</v>
      </c>
      <c r="C8018" s="537" t="s">
        <v>2378</v>
      </c>
      <c r="D8018" s="53" t="s">
        <v>2370</v>
      </c>
      <c r="E8018" s="53" t="s">
        <v>1166</v>
      </c>
      <c r="F8018" s="53" t="s">
        <v>6234</v>
      </c>
      <c r="G8018" s="53" t="s">
        <v>3141</v>
      </c>
      <c r="H8018" s="61"/>
      <c r="I8018" s="61"/>
      <c r="J8018" s="61"/>
      <c r="K8018" s="61"/>
    </row>
    <row r="8019" spans="1:11">
      <c r="A8019" s="848"/>
      <c r="B8019" s="66"/>
      <c r="C8019" s="538"/>
      <c r="D8019" s="53"/>
      <c r="E8019" s="53"/>
      <c r="F8019" s="53"/>
      <c r="G8019" s="53"/>
      <c r="H8019" s="61"/>
      <c r="I8019" s="61"/>
      <c r="J8019" s="61"/>
      <c r="K8019" s="61"/>
    </row>
    <row r="8020" spans="1:11">
      <c r="A8020" s="848"/>
      <c r="B8020" s="608">
        <v>1</v>
      </c>
      <c r="C8020" s="537" t="s">
        <v>1130</v>
      </c>
      <c r="D8020" s="539"/>
      <c r="E8020" s="541">
        <v>0</v>
      </c>
      <c r="F8020" s="541">
        <v>0</v>
      </c>
      <c r="G8020" s="450"/>
      <c r="H8020" s="61"/>
      <c r="I8020" s="61"/>
      <c r="J8020" s="61"/>
      <c r="K8020" s="61"/>
    </row>
    <row r="8021" spans="1:11">
      <c r="A8021" s="848"/>
      <c r="B8021" s="610"/>
      <c r="C8021" s="549"/>
      <c r="D8021" s="550"/>
      <c r="E8021" s="546">
        <v>0</v>
      </c>
      <c r="F8021" s="546">
        <v>0</v>
      </c>
      <c r="G8021" s="450"/>
      <c r="H8021" s="61"/>
      <c r="I8021" s="61"/>
      <c r="J8021" s="61"/>
      <c r="K8021" s="61"/>
    </row>
    <row r="8022" spans="1:11">
      <c r="A8022" s="848"/>
      <c r="B8022" s="609"/>
      <c r="C8022" s="542"/>
      <c r="D8022" s="543"/>
      <c r="E8022" s="544"/>
      <c r="F8022" s="544"/>
      <c r="G8022" s="544"/>
      <c r="H8022" s="61"/>
      <c r="I8022" s="61"/>
      <c r="J8022" s="61"/>
      <c r="K8022" s="61"/>
    </row>
    <row r="8023" spans="1:11" ht="36">
      <c r="A8023" s="848"/>
      <c r="B8023" s="596"/>
      <c r="C8023" s="445" t="s">
        <v>3145</v>
      </c>
      <c r="D8023" s="445"/>
      <c r="E8023" s="445"/>
      <c r="F8023" s="551"/>
      <c r="G8023" s="548">
        <f>SUM(G8020:G8022)</f>
        <v>0</v>
      </c>
      <c r="H8023" s="61"/>
      <c r="I8023" s="61"/>
      <c r="J8023" s="61"/>
      <c r="K8023" s="61"/>
    </row>
    <row r="8024" spans="1:11">
      <c r="A8024" s="848"/>
      <c r="B8024" s="382"/>
      <c r="C8024" s="49"/>
      <c r="D8024" s="61"/>
      <c r="E8024" s="61"/>
      <c r="F8024" s="61"/>
      <c r="G8024" s="253"/>
      <c r="H8024" s="61"/>
      <c r="I8024" s="61"/>
      <c r="J8024" s="61"/>
      <c r="K8024" s="61"/>
    </row>
    <row r="8025" spans="1:11">
      <c r="A8025" s="848"/>
      <c r="B8025" s="382" t="s">
        <v>3146</v>
      </c>
      <c r="C8025" s="49"/>
      <c r="D8025" s="61"/>
      <c r="E8025" s="61"/>
      <c r="F8025" s="61"/>
      <c r="G8025" s="253"/>
      <c r="H8025" s="61"/>
      <c r="I8025" s="61"/>
      <c r="J8025" s="61"/>
      <c r="K8025" s="61"/>
    </row>
    <row r="8026" spans="1:11" ht="36">
      <c r="A8026" s="848"/>
      <c r="B8026" s="66" t="s">
        <v>2369</v>
      </c>
      <c r="C8026" s="537" t="s">
        <v>2378</v>
      </c>
      <c r="D8026" s="53" t="s">
        <v>2370</v>
      </c>
      <c r="E8026" s="53" t="s">
        <v>1166</v>
      </c>
      <c r="F8026" s="53" t="s">
        <v>6234</v>
      </c>
      <c r="G8026" s="53" t="s">
        <v>3141</v>
      </c>
      <c r="H8026" s="61"/>
      <c r="I8026" s="61"/>
      <c r="J8026" s="61"/>
      <c r="K8026" s="61"/>
    </row>
    <row r="8027" spans="1:11">
      <c r="A8027" s="848"/>
      <c r="B8027" s="66"/>
      <c r="C8027" s="538"/>
      <c r="D8027" s="53"/>
      <c r="E8027" s="53"/>
      <c r="F8027" s="53"/>
      <c r="G8027" s="53"/>
      <c r="H8027" s="61"/>
      <c r="I8027" s="61"/>
      <c r="J8027" s="61"/>
      <c r="K8027" s="61"/>
    </row>
    <row r="8028" spans="1:11">
      <c r="A8028" s="848"/>
      <c r="B8028" s="611">
        <v>1</v>
      </c>
      <c r="C8028" s="540" t="s">
        <v>5607</v>
      </c>
      <c r="D8028" s="550" t="s">
        <v>1172</v>
      </c>
      <c r="E8028" s="552">
        <f>E8005*E8003</f>
        <v>6.6000000000000005</v>
      </c>
      <c r="F8028" s="255">
        <f>'BASIC DATA'!$C$541</f>
        <v>400</v>
      </c>
      <c r="G8028" s="450">
        <f>E8028*F8028</f>
        <v>2640</v>
      </c>
      <c r="H8028" s="61"/>
      <c r="I8028" s="61"/>
      <c r="J8028" s="61"/>
      <c r="K8028" s="61"/>
    </row>
    <row r="8029" spans="1:11">
      <c r="A8029" s="848"/>
      <c r="B8029" s="611">
        <v>2</v>
      </c>
      <c r="C8029" s="549" t="s">
        <v>1676</v>
      </c>
      <c r="D8029" s="550" t="s">
        <v>1172</v>
      </c>
      <c r="E8029" s="552">
        <f>E8006*E8003</f>
        <v>29.7</v>
      </c>
      <c r="F8029" s="546">
        <f>'BASIC DATA'!$C$552</f>
        <v>350</v>
      </c>
      <c r="G8029" s="450">
        <f>E8029*F8029</f>
        <v>10395</v>
      </c>
      <c r="H8029" s="61"/>
      <c r="I8029" s="61"/>
      <c r="J8029" s="61"/>
      <c r="K8029" s="61"/>
    </row>
    <row r="8030" spans="1:11" ht="36">
      <c r="A8030" s="848"/>
      <c r="B8030" s="596"/>
      <c r="C8030" s="445" t="s">
        <v>3147</v>
      </c>
      <c r="D8030" s="445"/>
      <c r="E8030" s="445"/>
      <c r="F8030" s="551"/>
      <c r="G8030" s="548">
        <f>SUM(G8028:G8029)</f>
        <v>13035</v>
      </c>
      <c r="H8030" s="61"/>
      <c r="I8030" s="61"/>
      <c r="J8030" s="61"/>
      <c r="K8030" s="61"/>
    </row>
    <row r="8031" spans="1:11">
      <c r="A8031" s="848"/>
      <c r="B8031" s="359" t="s">
        <v>5948</v>
      </c>
      <c r="C8031" s="49"/>
      <c r="D8031" s="31"/>
      <c r="E8031" s="85">
        <f>ROUND(G8030/F8008,1)</f>
        <v>130.4</v>
      </c>
      <c r="F8031" s="61"/>
      <c r="G8031" s="61"/>
      <c r="H8031" s="61"/>
      <c r="I8031" s="61"/>
      <c r="J8031" s="61"/>
      <c r="K8031" s="61"/>
    </row>
    <row r="8032" spans="1:11">
      <c r="A8032" s="848"/>
      <c r="B8032" s="359" t="s">
        <v>3163</v>
      </c>
      <c r="C8032" s="49"/>
      <c r="D8032" s="922">
        <f>'BASIC DATA'!$C$577</f>
        <v>0.13614999999999999</v>
      </c>
      <c r="E8032" s="85">
        <f>ROUND(E8031*D8032,1)</f>
        <v>17.8</v>
      </c>
      <c r="F8032" s="61"/>
      <c r="G8032" s="61"/>
      <c r="H8032" s="61"/>
      <c r="I8032" s="61"/>
      <c r="J8032" s="61"/>
      <c r="K8032" s="61"/>
    </row>
    <row r="8033" spans="1:11">
      <c r="A8033" s="848"/>
      <c r="B8033" s="359" t="s">
        <v>5949</v>
      </c>
      <c r="C8033" s="49"/>
      <c r="D8033" s="31"/>
      <c r="E8033" s="199">
        <f>ROUND(E8032+E8031,1)</f>
        <v>148.19999999999999</v>
      </c>
      <c r="F8033" s="61"/>
      <c r="G8033" s="61"/>
      <c r="H8033" s="61"/>
      <c r="I8033" s="61"/>
      <c r="J8033" s="61"/>
      <c r="K8033" s="61"/>
    </row>
    <row r="8034" spans="1:11">
      <c r="A8034" s="848"/>
      <c r="B8034" s="382"/>
      <c r="C8034" s="49"/>
      <c r="D8034" s="61"/>
      <c r="E8034" s="61"/>
      <c r="F8034" s="61"/>
      <c r="G8034" s="61"/>
      <c r="H8034" s="61"/>
      <c r="I8034" s="61"/>
      <c r="J8034" s="61"/>
      <c r="K8034" s="61"/>
    </row>
    <row r="8035" spans="1:11">
      <c r="A8035" s="848"/>
      <c r="B8035" s="382" t="s">
        <v>6765</v>
      </c>
      <c r="C8035" s="49"/>
      <c r="D8035" s="61"/>
      <c r="E8035" s="61"/>
      <c r="F8035" s="61"/>
      <c r="G8035" s="61"/>
      <c r="H8035" s="61"/>
      <c r="I8035" s="61"/>
      <c r="J8035" s="61"/>
      <c r="K8035" s="61"/>
    </row>
    <row r="8036" spans="1:11">
      <c r="A8036" s="848"/>
      <c r="B8036" s="382" t="s">
        <v>3148</v>
      </c>
      <c r="C8036" s="49"/>
      <c r="D8036" s="61"/>
      <c r="E8036" s="61"/>
      <c r="F8036" s="222" t="s">
        <v>1173</v>
      </c>
      <c r="G8036" s="435">
        <f>G8015</f>
        <v>10494</v>
      </c>
      <c r="H8036" s="61"/>
      <c r="I8036" s="61"/>
      <c r="J8036" s="61"/>
      <c r="K8036" s="61"/>
    </row>
    <row r="8037" spans="1:11">
      <c r="A8037" s="848"/>
      <c r="B8037" s="382" t="s">
        <v>1186</v>
      </c>
      <c r="C8037" s="49"/>
      <c r="D8037" s="61"/>
      <c r="E8037" s="61"/>
      <c r="F8037" s="222" t="s">
        <v>1173</v>
      </c>
      <c r="G8037" s="435">
        <f>G8023</f>
        <v>0</v>
      </c>
      <c r="H8037" s="61"/>
      <c r="I8037" s="61"/>
      <c r="J8037" s="61"/>
      <c r="K8037" s="61"/>
    </row>
    <row r="8038" spans="1:11">
      <c r="A8038" s="848"/>
      <c r="B8038" s="382" t="s">
        <v>3149</v>
      </c>
      <c r="C8038" s="49"/>
      <c r="D8038" s="61"/>
      <c r="E8038" s="61"/>
      <c r="F8038" s="222" t="s">
        <v>1173</v>
      </c>
      <c r="G8038" s="435">
        <f>G8030</f>
        <v>13035</v>
      </c>
      <c r="H8038" s="61"/>
      <c r="I8038" s="61"/>
      <c r="J8038" s="61"/>
      <c r="K8038" s="61"/>
    </row>
    <row r="8039" spans="1:11">
      <c r="A8039" s="848"/>
      <c r="B8039" s="62"/>
      <c r="C8039" s="49"/>
      <c r="D8039" s="61"/>
      <c r="E8039" s="222" t="s">
        <v>4835</v>
      </c>
      <c r="F8039" s="222" t="s">
        <v>1173</v>
      </c>
      <c r="G8039" s="381">
        <f>SUM(G8036:G8038)</f>
        <v>23529</v>
      </c>
      <c r="H8039" s="61"/>
      <c r="I8039" s="61"/>
      <c r="J8039" s="61"/>
      <c r="K8039" s="61"/>
    </row>
    <row r="8040" spans="1:11" ht="40.5" customHeight="1">
      <c r="A8040" s="848"/>
      <c r="B8040" s="1207" t="s">
        <v>1379</v>
      </c>
      <c r="C8040" s="1207"/>
      <c r="D8040" s="1207"/>
      <c r="E8040" s="922">
        <f>'BASIC DATA'!$C$577</f>
        <v>0.13614999999999999</v>
      </c>
      <c r="F8040" s="171" t="s">
        <v>1698</v>
      </c>
      <c r="G8040" s="31">
        <f>ROUND(G8039*E8040,2)</f>
        <v>3203.47</v>
      </c>
      <c r="H8040" s="61"/>
      <c r="I8040" s="61"/>
      <c r="J8040" s="61"/>
      <c r="K8040" s="61"/>
    </row>
    <row r="8041" spans="1:11">
      <c r="A8041" s="848"/>
      <c r="B8041" s="47" t="s">
        <v>1191</v>
      </c>
      <c r="C8041" s="48"/>
      <c r="D8041" s="68">
        <f>F8008</f>
        <v>100</v>
      </c>
      <c r="E8041" s="68" t="str">
        <f>G8008</f>
        <v>sqm</v>
      </c>
      <c r="F8041" s="171" t="s">
        <v>1698</v>
      </c>
      <c r="G8041" s="211">
        <f>G8040+G8039</f>
        <v>26732.47</v>
      </c>
      <c r="H8041" s="61"/>
      <c r="I8041" s="61"/>
      <c r="J8041" s="61"/>
      <c r="K8041" s="61"/>
    </row>
    <row r="8042" spans="1:11">
      <c r="A8042" s="848"/>
      <c r="B8042" s="79" t="s">
        <v>1584</v>
      </c>
      <c r="C8042" s="404" t="str">
        <f>E8041</f>
        <v>sqm</v>
      </c>
      <c r="D8042" s="26" t="s">
        <v>5882</v>
      </c>
      <c r="F8042" s="171" t="s">
        <v>4108</v>
      </c>
      <c r="G8042" s="211">
        <f>ROUND(G8041/D8041,1)</f>
        <v>267.3</v>
      </c>
      <c r="H8042" s="61"/>
      <c r="I8042" s="61"/>
      <c r="J8042" s="61"/>
      <c r="K8042" s="61"/>
    </row>
    <row r="8043" spans="1:11" ht="36">
      <c r="A8043" s="848"/>
      <c r="B8043" s="382" t="s">
        <v>1237</v>
      </c>
      <c r="C8043" s="49" t="s">
        <v>7991</v>
      </c>
      <c r="D8043" s="61"/>
      <c r="E8043" s="61"/>
      <c r="F8043" s="61" t="s">
        <v>3272</v>
      </c>
      <c r="G8043" s="435">
        <f>G7797</f>
        <v>49.6</v>
      </c>
      <c r="H8043" s="61"/>
      <c r="I8043" s="61"/>
      <c r="J8043" s="61"/>
      <c r="K8043" s="61"/>
    </row>
    <row r="8044" spans="1:11" ht="36">
      <c r="A8044" s="848"/>
      <c r="B8044" s="382"/>
      <c r="C8044" s="49" t="s">
        <v>7992</v>
      </c>
      <c r="D8044" s="61"/>
      <c r="E8044" s="61"/>
      <c r="F8044" s="61"/>
      <c r="G8044" s="61"/>
      <c r="H8044" s="61"/>
      <c r="I8044" s="61"/>
      <c r="J8044" s="61"/>
      <c r="K8044" s="61"/>
    </row>
    <row r="8045" spans="1:11">
      <c r="A8045" s="847"/>
      <c r="B8045" s="62"/>
      <c r="C8045" s="49"/>
      <c r="D8045" s="61"/>
      <c r="E8045" s="61"/>
      <c r="F8045" s="61"/>
      <c r="G8045" s="61"/>
      <c r="H8045" s="61"/>
    </row>
    <row r="8046" spans="1:11">
      <c r="A8046" s="847"/>
      <c r="B8046" s="62"/>
      <c r="C8046" s="49"/>
      <c r="D8046" s="61"/>
      <c r="E8046" s="61"/>
      <c r="F8046" s="61"/>
      <c r="G8046" s="61"/>
      <c r="H8046" s="61"/>
    </row>
    <row r="8047" spans="1:11">
      <c r="A8047" s="841" t="s">
        <v>7519</v>
      </c>
      <c r="B8047" s="382" t="s">
        <v>8874</v>
      </c>
      <c r="C8047" s="48"/>
      <c r="D8047" s="61"/>
      <c r="E8047" s="61"/>
      <c r="F8047" s="61"/>
      <c r="G8047" s="61"/>
      <c r="H8047" s="61"/>
    </row>
    <row r="8048" spans="1:11">
      <c r="A8048" s="891"/>
      <c r="B8048" s="382" t="s">
        <v>8868</v>
      </c>
      <c r="C8048" s="48"/>
      <c r="D8048" s="61"/>
      <c r="E8048" s="61"/>
      <c r="F8048" s="61"/>
      <c r="G8048" s="61"/>
      <c r="H8048" s="61"/>
    </row>
    <row r="8049" spans="1:8">
      <c r="A8049" s="900"/>
      <c r="B8049" s="588" t="s">
        <v>992</v>
      </c>
      <c r="C8049" s="48"/>
      <c r="D8049" s="61"/>
      <c r="E8049" s="61"/>
      <c r="F8049" s="61"/>
      <c r="G8049" s="61"/>
      <c r="H8049" s="61"/>
    </row>
    <row r="8050" spans="1:8">
      <c r="A8050" s="889"/>
      <c r="B8050" s="162" t="s">
        <v>5388</v>
      </c>
      <c r="C8050" s="48"/>
    </row>
    <row r="8051" spans="1:8">
      <c r="A8051" s="847"/>
      <c r="B8051" s="62"/>
      <c r="C8051" s="49"/>
      <c r="D8051" s="61"/>
      <c r="E8051" s="61"/>
      <c r="F8051" s="62"/>
      <c r="G8051" s="61"/>
      <c r="H8051" s="61"/>
    </row>
    <row r="8052" spans="1:8" ht="36" hidden="1" customHeight="1">
      <c r="A8052" s="891" t="s">
        <v>3984</v>
      </c>
      <c r="B8052" s="78"/>
      <c r="C8052" s="49" t="s">
        <v>2285</v>
      </c>
      <c r="D8052" s="61"/>
      <c r="E8052" s="61"/>
      <c r="F8052" s="61"/>
      <c r="G8052" s="61"/>
      <c r="H8052" s="61"/>
    </row>
    <row r="8053" spans="1:8" ht="18" hidden="1" customHeight="1">
      <c r="A8053" s="847"/>
      <c r="B8053" s="62"/>
      <c r="C8053" s="49" t="s">
        <v>1619</v>
      </c>
      <c r="D8053" s="61"/>
      <c r="E8053" s="61"/>
      <c r="F8053" s="62" t="s">
        <v>1697</v>
      </c>
      <c r="G8053" s="223">
        <v>40</v>
      </c>
      <c r="H8053" s="61" t="s">
        <v>6901</v>
      </c>
    </row>
    <row r="8054" spans="1:8" ht="18" hidden="1" customHeight="1">
      <c r="A8054" s="847"/>
      <c r="B8054" s="62"/>
      <c r="C8054" s="49" t="s">
        <v>2286</v>
      </c>
      <c r="D8054" s="61"/>
      <c r="E8054" s="61"/>
      <c r="F8054" s="62" t="s">
        <v>1697</v>
      </c>
      <c r="G8054" s="61">
        <v>200</v>
      </c>
      <c r="H8054" s="61" t="s">
        <v>3436</v>
      </c>
    </row>
    <row r="8055" spans="1:8" ht="18" hidden="1" customHeight="1">
      <c r="A8055" s="847"/>
      <c r="B8055" s="62"/>
      <c r="C8055" s="49" t="s">
        <v>4074</v>
      </c>
      <c r="D8055" s="61"/>
      <c r="E8055" s="61"/>
      <c r="F8055" s="62" t="s">
        <v>1697</v>
      </c>
      <c r="G8055" s="61">
        <v>6.75</v>
      </c>
      <c r="H8055" s="61" t="s">
        <v>6901</v>
      </c>
    </row>
    <row r="8056" spans="1:8" ht="36" hidden="1" customHeight="1">
      <c r="A8056" s="847"/>
      <c r="B8056" s="62"/>
      <c r="C8056" s="49" t="s">
        <v>2287</v>
      </c>
      <c r="D8056" s="61"/>
      <c r="E8056" s="61"/>
      <c r="F8056" s="62"/>
      <c r="G8056" s="61"/>
      <c r="H8056" s="61"/>
    </row>
    <row r="8057" spans="1:8" ht="36" hidden="1" customHeight="1">
      <c r="A8057" s="847"/>
      <c r="B8057" s="62"/>
      <c r="C8057" s="49" t="s">
        <v>1239</v>
      </c>
      <c r="D8057" s="61"/>
      <c r="E8057" s="61"/>
      <c r="F8057" s="62" t="s">
        <v>1697</v>
      </c>
      <c r="G8057" s="61">
        <v>7</v>
      </c>
      <c r="H8057" s="61" t="s">
        <v>3436</v>
      </c>
    </row>
    <row r="8058" spans="1:8" ht="18" hidden="1" customHeight="1">
      <c r="A8058" s="847"/>
      <c r="B8058" s="62"/>
      <c r="C8058" s="49" t="s">
        <v>884</v>
      </c>
      <c r="D8058" s="61"/>
      <c r="E8058" s="61"/>
      <c r="F8058" s="62" t="s">
        <v>1697</v>
      </c>
      <c r="G8058" s="61">
        <v>7</v>
      </c>
      <c r="H8058" s="61" t="s">
        <v>3436</v>
      </c>
    </row>
    <row r="8059" spans="1:8" ht="36" hidden="1" customHeight="1">
      <c r="A8059" s="847"/>
      <c r="B8059" s="62"/>
      <c r="C8059" s="49" t="s">
        <v>881</v>
      </c>
      <c r="D8059" s="61"/>
      <c r="E8059" s="61"/>
      <c r="F8059" s="62" t="s">
        <v>1697</v>
      </c>
      <c r="G8059" s="61">
        <v>2</v>
      </c>
      <c r="H8059" s="61" t="s">
        <v>3436</v>
      </c>
    </row>
    <row r="8060" spans="1:8">
      <c r="A8060" s="847"/>
      <c r="B8060" s="62"/>
      <c r="C8060" s="49"/>
      <c r="D8060" s="61"/>
      <c r="E8060" s="61"/>
      <c r="F8060" s="61"/>
      <c r="G8060" s="61"/>
      <c r="H8060" s="61"/>
    </row>
    <row r="8061" spans="1:8">
      <c r="A8061" s="891" t="s">
        <v>3984</v>
      </c>
      <c r="B8061" s="62"/>
      <c r="C8061" s="518" t="s">
        <v>2367</v>
      </c>
      <c r="D8061" s="61"/>
      <c r="E8061" s="222" t="s">
        <v>297</v>
      </c>
      <c r="F8061" s="519">
        <v>100</v>
      </c>
      <c r="G8061" s="61" t="s">
        <v>3479</v>
      </c>
      <c r="H8061" s="61"/>
    </row>
    <row r="8062" spans="1:8">
      <c r="A8062" s="847"/>
      <c r="B8062" s="410" t="s">
        <v>2368</v>
      </c>
      <c r="C8062" s="49"/>
      <c r="D8062" s="61"/>
      <c r="E8062" s="61"/>
      <c r="F8062" s="61"/>
      <c r="G8062" s="61"/>
      <c r="H8062" s="61"/>
    </row>
    <row r="8063" spans="1:8">
      <c r="A8063" s="847"/>
      <c r="B8063" s="295" t="s">
        <v>2369</v>
      </c>
      <c r="C8063" s="411" t="s">
        <v>6374</v>
      </c>
      <c r="D8063" s="295" t="s">
        <v>2370</v>
      </c>
      <c r="E8063" s="295" t="s">
        <v>1166</v>
      </c>
      <c r="F8063" s="295" t="s">
        <v>2371</v>
      </c>
      <c r="G8063" s="295" t="s">
        <v>2372</v>
      </c>
      <c r="H8063" s="61"/>
    </row>
    <row r="8064" spans="1:8">
      <c r="A8064" s="847"/>
      <c r="B8064" s="237"/>
      <c r="C8064" s="412"/>
      <c r="D8064" s="237"/>
      <c r="E8064" s="237"/>
      <c r="F8064" s="237" t="s">
        <v>3485</v>
      </c>
      <c r="G8064" s="237" t="s">
        <v>3485</v>
      </c>
      <c r="H8064" s="61"/>
    </row>
    <row r="8065" spans="1:9" ht="36">
      <c r="A8065" s="847"/>
      <c r="B8065" s="295">
        <v>1</v>
      </c>
      <c r="C8065" s="392" t="s">
        <v>4257</v>
      </c>
      <c r="D8065" s="520" t="s">
        <v>3477</v>
      </c>
      <c r="E8065" s="256">
        <v>40</v>
      </c>
      <c r="F8065" s="190">
        <f>'BASIC DATA'!$D$108</f>
        <v>318</v>
      </c>
      <c r="G8065" s="449">
        <f>E8065*F8065</f>
        <v>12720</v>
      </c>
      <c r="H8065" s="61"/>
    </row>
    <row r="8066" spans="1:9" ht="36">
      <c r="A8066" s="847"/>
      <c r="B8066" s="240">
        <v>2</v>
      </c>
      <c r="C8066" s="392" t="s">
        <v>1240</v>
      </c>
      <c r="D8066" s="452" t="s">
        <v>2059</v>
      </c>
      <c r="E8066" s="256">
        <v>200</v>
      </c>
      <c r="F8066" s="266">
        <f>'BASIC DATA'!$D$105</f>
        <v>39</v>
      </c>
      <c r="G8066" s="449">
        <f>E8066*F8066</f>
        <v>7800</v>
      </c>
      <c r="H8066" s="61"/>
    </row>
    <row r="8067" spans="1:9">
      <c r="A8067" s="847"/>
      <c r="B8067" s="237">
        <v>3</v>
      </c>
      <c r="C8067" s="392" t="s">
        <v>4080</v>
      </c>
      <c r="D8067" s="521" t="s">
        <v>3477</v>
      </c>
      <c r="E8067" s="256">
        <v>6.75</v>
      </c>
      <c r="F8067" s="190">
        <f>'BASIC DATA'!$D$96</f>
        <v>350</v>
      </c>
      <c r="G8067" s="449">
        <f>E8067*F8067</f>
        <v>2362.5</v>
      </c>
      <c r="H8067" s="61"/>
    </row>
    <row r="8068" spans="1:9">
      <c r="A8068" s="847"/>
      <c r="B8068" s="311"/>
      <c r="C8068" s="387" t="s">
        <v>2376</v>
      </c>
      <c r="D8068" s="388"/>
      <c r="E8068" s="389"/>
      <c r="F8068" s="390" t="s">
        <v>1698</v>
      </c>
      <c r="G8068" s="391">
        <f>SUM(G8065:G8067)</f>
        <v>22882.5</v>
      </c>
      <c r="H8068" s="61"/>
    </row>
    <row r="8069" spans="1:9">
      <c r="A8069" s="847"/>
      <c r="B8069" s="62"/>
      <c r="C8069" s="49"/>
      <c r="D8069" s="61"/>
      <c r="E8069" s="61"/>
      <c r="F8069" s="61"/>
      <c r="G8069" s="61"/>
      <c r="H8069" s="61"/>
    </row>
    <row r="8070" spans="1:9">
      <c r="A8070" s="847"/>
      <c r="B8070" s="410" t="s">
        <v>2377</v>
      </c>
      <c r="C8070" s="49"/>
      <c r="D8070" s="61"/>
      <c r="E8070" s="61"/>
      <c r="F8070" s="61"/>
      <c r="G8070" s="61"/>
      <c r="H8070" s="61"/>
    </row>
    <row r="8071" spans="1:9">
      <c r="A8071" s="847"/>
      <c r="B8071" s="295" t="s">
        <v>2369</v>
      </c>
      <c r="C8071" s="411" t="s">
        <v>2378</v>
      </c>
      <c r="D8071" s="295" t="s">
        <v>2370</v>
      </c>
      <c r="E8071" s="295" t="s">
        <v>1166</v>
      </c>
      <c r="F8071" s="295" t="s">
        <v>2371</v>
      </c>
      <c r="G8071" s="295" t="s">
        <v>2372</v>
      </c>
      <c r="H8071" s="61"/>
    </row>
    <row r="8072" spans="1:9">
      <c r="A8072" s="847"/>
      <c r="B8072" s="237"/>
      <c r="C8072" s="412"/>
      <c r="D8072" s="237"/>
      <c r="E8072" s="237"/>
      <c r="F8072" s="237" t="s">
        <v>3485</v>
      </c>
      <c r="G8072" s="237" t="s">
        <v>3485</v>
      </c>
      <c r="H8072" s="61"/>
    </row>
    <row r="8073" spans="1:9">
      <c r="A8073" s="847"/>
      <c r="B8073" s="295">
        <v>1</v>
      </c>
      <c r="C8073" s="524" t="s">
        <v>1130</v>
      </c>
      <c r="D8073" s="295"/>
      <c r="E8073" s="256">
        <v>0</v>
      </c>
      <c r="F8073" s="266">
        <v>0</v>
      </c>
      <c r="G8073" s="449"/>
      <c r="H8073" s="61"/>
    </row>
    <row r="8074" spans="1:9">
      <c r="A8074" s="847"/>
      <c r="B8074" s="589"/>
      <c r="C8074" s="553"/>
      <c r="D8074" s="237"/>
      <c r="E8074" s="256">
        <v>0</v>
      </c>
      <c r="F8074" s="266">
        <v>0</v>
      </c>
      <c r="G8074" s="449"/>
      <c r="H8074" s="61"/>
    </row>
    <row r="8075" spans="1:9">
      <c r="A8075" s="847"/>
      <c r="B8075" s="263"/>
      <c r="C8075" s="525" t="s">
        <v>2380</v>
      </c>
      <c r="D8075" s="241"/>
      <c r="E8075" s="242"/>
      <c r="F8075" s="390" t="s">
        <v>1698</v>
      </c>
      <c r="G8075" s="391">
        <f>SUM(G8073:G8074)</f>
        <v>0</v>
      </c>
      <c r="H8075" s="61"/>
    </row>
    <row r="8076" spans="1:9">
      <c r="A8076" s="847"/>
      <c r="B8076" s="62"/>
      <c r="C8076" s="49"/>
      <c r="D8076" s="61"/>
      <c r="E8076" s="61"/>
      <c r="F8076" s="61"/>
      <c r="G8076" s="61"/>
      <c r="H8076" s="61"/>
    </row>
    <row r="8077" spans="1:9">
      <c r="A8077" s="847"/>
      <c r="B8077" s="410" t="s">
        <v>2381</v>
      </c>
      <c r="C8077" s="49"/>
      <c r="D8077" s="61"/>
      <c r="E8077" s="61"/>
      <c r="F8077" s="61"/>
      <c r="G8077" s="61"/>
      <c r="H8077" s="61"/>
    </row>
    <row r="8078" spans="1:9">
      <c r="A8078" s="847"/>
      <c r="B8078" s="295" t="s">
        <v>2369</v>
      </c>
      <c r="C8078" s="411" t="s">
        <v>2378</v>
      </c>
      <c r="D8078" s="295" t="s">
        <v>2370</v>
      </c>
      <c r="E8078" s="295" t="s">
        <v>1166</v>
      </c>
      <c r="F8078" s="295" t="s">
        <v>2371</v>
      </c>
      <c r="G8078" s="295" t="s">
        <v>2372</v>
      </c>
      <c r="H8078" s="61"/>
    </row>
    <row r="8079" spans="1:9">
      <c r="A8079" s="847"/>
      <c r="B8079" s="237"/>
      <c r="C8079" s="412"/>
      <c r="D8079" s="240"/>
      <c r="E8079" s="237"/>
      <c r="F8079" s="237" t="s">
        <v>3485</v>
      </c>
      <c r="G8079" s="237" t="s">
        <v>3485</v>
      </c>
      <c r="H8079" s="61"/>
      <c r="I8079" s="61"/>
    </row>
    <row r="8080" spans="1:9">
      <c r="A8080" s="847"/>
      <c r="B8080" s="240">
        <v>1</v>
      </c>
      <c r="C8080" s="392" t="s">
        <v>4206</v>
      </c>
      <c r="D8080" s="295" t="s">
        <v>1172</v>
      </c>
      <c r="E8080" s="393">
        <v>1</v>
      </c>
      <c r="F8080" s="190">
        <f>'BASIC DATA'!$C$473</f>
        <v>450</v>
      </c>
      <c r="G8080" s="449">
        <f>E8080*F8080</f>
        <v>450</v>
      </c>
      <c r="H8080" s="61"/>
      <c r="I8080" s="61"/>
    </row>
    <row r="8081" spans="1:9">
      <c r="A8081" s="847"/>
      <c r="B8081" s="240">
        <v>2</v>
      </c>
      <c r="C8081" s="392" t="s">
        <v>5607</v>
      </c>
      <c r="D8081" s="240" t="s">
        <v>1172</v>
      </c>
      <c r="E8081" s="393">
        <v>7</v>
      </c>
      <c r="F8081" s="190">
        <f>'BASIC DATA'!$C$541</f>
        <v>400</v>
      </c>
      <c r="G8081" s="449">
        <f>E8081*F8081</f>
        <v>2800</v>
      </c>
      <c r="H8081" s="61"/>
    </row>
    <row r="8082" spans="1:9">
      <c r="A8082" s="847"/>
      <c r="B8082" s="240">
        <v>3</v>
      </c>
      <c r="C8082" s="392" t="s">
        <v>2697</v>
      </c>
      <c r="D8082" s="240" t="s">
        <v>1172</v>
      </c>
      <c r="E8082" s="393">
        <v>9</v>
      </c>
      <c r="F8082" s="190">
        <f>'BASIC DATA'!$C$552</f>
        <v>350</v>
      </c>
      <c r="G8082" s="449">
        <f>E8082*F8082</f>
        <v>3150</v>
      </c>
      <c r="H8082" s="61"/>
    </row>
    <row r="8083" spans="1:9">
      <c r="A8083" s="847"/>
      <c r="B8083" s="311"/>
      <c r="C8083" s="387" t="s">
        <v>1174</v>
      </c>
      <c r="D8083" s="388"/>
      <c r="E8083" s="389"/>
      <c r="F8083" s="390" t="s">
        <v>1698</v>
      </c>
      <c r="G8083" s="391">
        <f>SUM(G8080:G8082)</f>
        <v>6400</v>
      </c>
      <c r="H8083" s="61"/>
    </row>
    <row r="8084" spans="1:9">
      <c r="A8084" s="847"/>
      <c r="B8084" s="359" t="s">
        <v>5948</v>
      </c>
      <c r="C8084" s="48"/>
      <c r="D8084" s="31"/>
      <c r="E8084" s="85">
        <f>ROUND(G8083/F8061,1)</f>
        <v>64</v>
      </c>
      <c r="H8084" s="61"/>
    </row>
    <row r="8085" spans="1:9">
      <c r="A8085" s="847"/>
      <c r="B8085" s="359" t="s">
        <v>3163</v>
      </c>
      <c r="C8085" s="48"/>
      <c r="D8085" s="922">
        <f>'BASIC DATA'!$C$577</f>
        <v>0.13614999999999999</v>
      </c>
      <c r="E8085" s="85">
        <f>ROUND(E8084*D8085,1)</f>
        <v>8.6999999999999993</v>
      </c>
      <c r="H8085" s="61"/>
    </row>
    <row r="8086" spans="1:9">
      <c r="A8086" s="847"/>
      <c r="B8086" s="359" t="s">
        <v>5949</v>
      </c>
      <c r="C8086" s="48"/>
      <c r="D8086" s="31"/>
      <c r="E8086" s="199">
        <f>ROUND(E8085+E8084,1)</f>
        <v>72.7</v>
      </c>
      <c r="H8086" s="61"/>
    </row>
    <row r="8087" spans="1:9">
      <c r="A8087" s="847"/>
      <c r="B8087" s="382"/>
      <c r="C8087" s="48"/>
      <c r="D8087" s="61"/>
      <c r="E8087" s="61"/>
      <c r="F8087" s="61"/>
      <c r="G8087" s="61"/>
      <c r="H8087" s="61"/>
    </row>
    <row r="8088" spans="1:9">
      <c r="A8088" s="847"/>
      <c r="B8088" s="588" t="s">
        <v>1175</v>
      </c>
      <c r="C8088" s="48"/>
      <c r="D8088" s="61"/>
      <c r="E8088" s="61"/>
      <c r="F8088" s="61"/>
      <c r="G8088" s="61"/>
      <c r="H8088" s="61"/>
    </row>
    <row r="8089" spans="1:9">
      <c r="A8089" s="847"/>
      <c r="B8089" s="382" t="s">
        <v>1176</v>
      </c>
      <c r="C8089" s="48"/>
      <c r="D8089" s="61"/>
      <c r="E8089" s="61"/>
      <c r="F8089" s="222" t="s">
        <v>1698</v>
      </c>
      <c r="G8089" s="223">
        <f>G8068</f>
        <v>22882.5</v>
      </c>
      <c r="H8089" s="61"/>
    </row>
    <row r="8090" spans="1:9">
      <c r="A8090" s="847"/>
      <c r="B8090" s="382" t="s">
        <v>1186</v>
      </c>
      <c r="C8090" s="48"/>
      <c r="D8090" s="61"/>
      <c r="E8090" s="61"/>
      <c r="F8090" s="222" t="s">
        <v>1698</v>
      </c>
      <c r="G8090" s="223">
        <f>G8075</f>
        <v>0</v>
      </c>
      <c r="H8090" s="61"/>
    </row>
    <row r="8091" spans="1:9">
      <c r="A8091" s="847"/>
      <c r="B8091" s="382" t="s">
        <v>2660</v>
      </c>
      <c r="C8091" s="48"/>
      <c r="D8091" s="61"/>
      <c r="E8091" s="61"/>
      <c r="F8091" s="222" t="s">
        <v>1698</v>
      </c>
      <c r="G8091" s="321">
        <f>G8083</f>
        <v>6400</v>
      </c>
      <c r="H8091" s="61"/>
      <c r="I8091" s="61"/>
    </row>
    <row r="8092" spans="1:9">
      <c r="A8092" s="847"/>
      <c r="B8092" s="78"/>
      <c r="C8092" s="48"/>
      <c r="E8092" s="171" t="s">
        <v>4835</v>
      </c>
      <c r="F8092" s="171" t="s">
        <v>1173</v>
      </c>
      <c r="G8092" s="205">
        <f>SUM(G8089:G8091)</f>
        <v>29282.5</v>
      </c>
    </row>
    <row r="8093" spans="1:9" ht="36.75" customHeight="1">
      <c r="A8093" s="847"/>
      <c r="B8093" s="1207" t="s">
        <v>1379</v>
      </c>
      <c r="C8093" s="1207"/>
      <c r="D8093" s="1207"/>
      <c r="E8093" s="922">
        <f>'BASIC DATA'!$C$577</f>
        <v>0.13614999999999999</v>
      </c>
      <c r="F8093" s="171" t="s">
        <v>1698</v>
      </c>
      <c r="G8093" s="31">
        <f>ROUND(G8092*E8093,2)</f>
        <v>3986.81</v>
      </c>
    </row>
    <row r="8094" spans="1:9">
      <c r="A8094" s="847"/>
      <c r="B8094" s="47" t="s">
        <v>1191</v>
      </c>
      <c r="C8094" s="48"/>
      <c r="D8094" s="68">
        <f>F8061</f>
        <v>100</v>
      </c>
      <c r="E8094" s="68" t="str">
        <f>G8061</f>
        <v>sqm</v>
      </c>
      <c r="F8094" s="171" t="s">
        <v>1698</v>
      </c>
      <c r="G8094" s="211">
        <f>G8093+G8092</f>
        <v>33269.31</v>
      </c>
    </row>
    <row r="8095" spans="1:9">
      <c r="A8095" s="847"/>
      <c r="B8095" s="79" t="s">
        <v>1584</v>
      </c>
      <c r="C8095" s="404" t="str">
        <f>E8094</f>
        <v>sqm</v>
      </c>
      <c r="D8095" s="26" t="s">
        <v>5882</v>
      </c>
      <c r="F8095" s="171" t="s">
        <v>4108</v>
      </c>
      <c r="G8095" s="211">
        <f>ROUND(G8094/D8094,1)</f>
        <v>332.7</v>
      </c>
      <c r="H8095" s="61"/>
      <c r="I8095" s="61"/>
    </row>
    <row r="8096" spans="1:9" ht="36">
      <c r="A8096" s="847"/>
      <c r="B8096" s="62" t="s">
        <v>1237</v>
      </c>
      <c r="C8096" s="49" t="s">
        <v>1238</v>
      </c>
      <c r="D8096" s="61"/>
      <c r="E8096" s="61"/>
      <c r="F8096" s="61"/>
      <c r="G8096" s="223">
        <f>G7797</f>
        <v>49.6</v>
      </c>
      <c r="H8096" s="61"/>
      <c r="I8096" s="61"/>
    </row>
    <row r="8097" spans="1:11" ht="36">
      <c r="A8097" s="847"/>
      <c r="B8097" s="62"/>
      <c r="C8097" s="49" t="s">
        <v>7868</v>
      </c>
      <c r="D8097" s="61"/>
      <c r="E8097" s="61"/>
      <c r="F8097" s="61"/>
      <c r="G8097" s="61"/>
      <c r="H8097" s="61"/>
      <c r="I8097" s="61"/>
    </row>
    <row r="8098" spans="1:11">
      <c r="A8098" s="847"/>
      <c r="B8098" s="62"/>
      <c r="C8098" s="49"/>
      <c r="D8098" s="61"/>
      <c r="E8098" s="61"/>
      <c r="F8098" s="61"/>
      <c r="G8098" s="61"/>
      <c r="H8098" s="61"/>
      <c r="I8098" s="61"/>
    </row>
    <row r="8099" spans="1:11">
      <c r="A8099" s="847"/>
      <c r="B8099" s="62"/>
      <c r="C8099" s="49"/>
      <c r="D8099" s="61"/>
      <c r="E8099" s="61"/>
      <c r="F8099" s="61"/>
      <c r="G8099" s="61"/>
      <c r="H8099" s="61"/>
    </row>
    <row r="8100" spans="1:11" ht="18.75">
      <c r="A8100" s="841" t="s">
        <v>7520</v>
      </c>
      <c r="B8100" s="382" t="s">
        <v>8875</v>
      </c>
      <c r="C8100" s="49"/>
      <c r="D8100" s="61"/>
      <c r="E8100" s="61"/>
      <c r="F8100" s="61"/>
      <c r="G8100" s="61"/>
      <c r="H8100" s="61"/>
      <c r="I8100" s="61"/>
      <c r="J8100" s="61"/>
      <c r="K8100" s="61"/>
    </row>
    <row r="8101" spans="1:11">
      <c r="A8101" s="848"/>
      <c r="B8101" s="382" t="s">
        <v>4355</v>
      </c>
      <c r="C8101" s="49"/>
      <c r="D8101" s="61"/>
      <c r="E8101" s="61"/>
      <c r="F8101" s="61"/>
      <c r="G8101" s="61"/>
      <c r="H8101" s="61"/>
      <c r="I8101" s="61"/>
      <c r="J8101" s="61"/>
      <c r="K8101" s="61"/>
    </row>
    <row r="8102" spans="1:11">
      <c r="A8102" s="889"/>
      <c r="B8102" s="162" t="s">
        <v>5389</v>
      </c>
      <c r="C8102" s="48"/>
    </row>
    <row r="8103" spans="1:11">
      <c r="A8103" s="848"/>
      <c r="B8103" s="382"/>
      <c r="C8103" s="49"/>
      <c r="D8103" s="61"/>
      <c r="E8103" s="61"/>
      <c r="F8103" s="61"/>
      <c r="G8103" s="61"/>
      <c r="H8103" s="61"/>
      <c r="I8103" s="61"/>
      <c r="J8103" s="61"/>
      <c r="K8103" s="61"/>
    </row>
    <row r="8104" spans="1:11" ht="36" hidden="1">
      <c r="A8104" s="848" t="s">
        <v>6233</v>
      </c>
      <c r="B8104" s="382"/>
      <c r="C8104" s="49" t="s">
        <v>2285</v>
      </c>
      <c r="D8104" s="61"/>
      <c r="E8104" s="61"/>
      <c r="F8104" s="61"/>
      <c r="G8104" s="61"/>
      <c r="H8104" s="61"/>
      <c r="I8104" s="61"/>
      <c r="J8104" s="61"/>
      <c r="K8104" s="61"/>
    </row>
    <row r="8105" spans="1:11" hidden="1">
      <c r="A8105" s="848"/>
      <c r="B8105" s="382"/>
      <c r="C8105" s="49" t="s">
        <v>1619</v>
      </c>
      <c r="D8105" s="222" t="s">
        <v>6734</v>
      </c>
      <c r="E8105" s="126">
        <v>49.5</v>
      </c>
      <c r="F8105" s="61" t="s">
        <v>2113</v>
      </c>
      <c r="G8105" s="61"/>
      <c r="H8105" s="61"/>
      <c r="I8105" s="61"/>
      <c r="J8105" s="61"/>
      <c r="K8105" s="61"/>
    </row>
    <row r="8106" spans="1:11" hidden="1">
      <c r="A8106" s="848"/>
      <c r="B8106" s="382"/>
      <c r="C8106" s="49"/>
      <c r="D8106" s="61"/>
      <c r="E8106" s="61"/>
      <c r="F8106" s="61"/>
      <c r="G8106" s="61"/>
      <c r="H8106" s="61"/>
      <c r="I8106" s="61"/>
      <c r="J8106" s="61"/>
      <c r="K8106" s="61"/>
    </row>
    <row r="8107" spans="1:11" ht="36" hidden="1">
      <c r="A8107" s="848"/>
      <c r="B8107" s="382"/>
      <c r="C8107" s="49" t="s">
        <v>2287</v>
      </c>
      <c r="D8107" s="61"/>
      <c r="E8107" s="61"/>
      <c r="F8107" s="61"/>
      <c r="G8107" s="61"/>
      <c r="H8107" s="61"/>
      <c r="I8107" s="61"/>
      <c r="J8107" s="61"/>
      <c r="K8107" s="61"/>
    </row>
    <row r="8108" spans="1:11" hidden="1">
      <c r="A8108" s="848"/>
      <c r="B8108" s="382"/>
      <c r="C8108" s="49" t="s">
        <v>6232</v>
      </c>
      <c r="D8108" s="222" t="s">
        <v>6734</v>
      </c>
      <c r="E8108" s="126">
        <v>0.2</v>
      </c>
      <c r="F8108" s="61" t="s">
        <v>7659</v>
      </c>
      <c r="G8108" s="61"/>
      <c r="H8108" s="61"/>
      <c r="I8108" s="61"/>
      <c r="J8108" s="61"/>
      <c r="K8108" s="61"/>
    </row>
    <row r="8109" spans="1:11" hidden="1">
      <c r="A8109" s="848"/>
      <c r="B8109" s="382"/>
      <c r="C8109" s="49" t="s">
        <v>2386</v>
      </c>
      <c r="D8109" s="222" t="s">
        <v>1697</v>
      </c>
      <c r="E8109" s="126">
        <v>0.9</v>
      </c>
      <c r="F8109" s="61" t="s">
        <v>7659</v>
      </c>
      <c r="G8109" s="61"/>
      <c r="H8109" s="61"/>
      <c r="I8109" s="61"/>
      <c r="J8109" s="61"/>
      <c r="K8109" s="61"/>
    </row>
    <row r="8110" spans="1:11">
      <c r="A8110" s="848"/>
      <c r="B8110" s="382"/>
      <c r="C8110" s="49"/>
      <c r="D8110" s="61"/>
      <c r="E8110" s="61"/>
      <c r="F8110" s="61"/>
      <c r="G8110" s="61"/>
      <c r="H8110" s="61"/>
      <c r="I8110" s="61"/>
      <c r="J8110" s="61"/>
      <c r="K8110" s="61"/>
    </row>
    <row r="8111" spans="1:11">
      <c r="A8111" s="891" t="s">
        <v>3984</v>
      </c>
      <c r="B8111" s="382"/>
      <c r="C8111" s="535" t="s">
        <v>2367</v>
      </c>
      <c r="D8111" s="61"/>
      <c r="E8111" s="222" t="s">
        <v>297</v>
      </c>
      <c r="F8111" s="536">
        <v>100</v>
      </c>
      <c r="G8111" s="61" t="s">
        <v>3479</v>
      </c>
      <c r="H8111" s="61"/>
      <c r="I8111" s="61"/>
      <c r="J8111" s="61"/>
      <c r="K8111" s="61"/>
    </row>
    <row r="8112" spans="1:11">
      <c r="A8112" s="848"/>
      <c r="B8112" s="382" t="s">
        <v>6633</v>
      </c>
      <c r="C8112" s="49"/>
      <c r="D8112" s="61"/>
      <c r="E8112" s="61"/>
      <c r="F8112" s="61"/>
      <c r="G8112" s="61"/>
      <c r="H8112" s="61"/>
      <c r="I8112" s="61"/>
      <c r="J8112" s="61"/>
      <c r="K8112" s="61"/>
    </row>
    <row r="8113" spans="1:11" ht="36">
      <c r="A8113" s="848"/>
      <c r="B8113" s="66" t="s">
        <v>2369</v>
      </c>
      <c r="C8113" s="537" t="s">
        <v>4443</v>
      </c>
      <c r="D8113" s="53" t="s">
        <v>2370</v>
      </c>
      <c r="E8113" s="53" t="s">
        <v>1166</v>
      </c>
      <c r="F8113" s="53" t="s">
        <v>6234</v>
      </c>
      <c r="G8113" s="53" t="s">
        <v>3141</v>
      </c>
      <c r="H8113" s="61"/>
      <c r="I8113" s="61"/>
      <c r="J8113" s="61"/>
      <c r="K8113" s="61"/>
    </row>
    <row r="8114" spans="1:11">
      <c r="A8114" s="848"/>
      <c r="B8114" s="66"/>
      <c r="C8114" s="538"/>
      <c r="D8114" s="53"/>
      <c r="E8114" s="53"/>
      <c r="F8114" s="53"/>
      <c r="G8114" s="53"/>
      <c r="H8114" s="61"/>
      <c r="I8114" s="61"/>
      <c r="J8114" s="61"/>
      <c r="K8114" s="61"/>
    </row>
    <row r="8115" spans="1:11" ht="36">
      <c r="A8115" s="848"/>
      <c r="B8115" s="608">
        <v>1</v>
      </c>
      <c r="C8115" s="554" t="s">
        <v>4977</v>
      </c>
      <c r="D8115" s="539" t="s">
        <v>2113</v>
      </c>
      <c r="E8115" s="541">
        <f>E8105</f>
        <v>49.5</v>
      </c>
      <c r="F8115" s="255">
        <f>'BASIC DATA'!$D$108</f>
        <v>318</v>
      </c>
      <c r="G8115" s="450">
        <f>E8115*F8115</f>
        <v>15741</v>
      </c>
      <c r="H8115" s="61"/>
      <c r="I8115" s="61"/>
      <c r="J8115" s="61"/>
      <c r="K8115" s="61"/>
    </row>
    <row r="8116" spans="1:11">
      <c r="A8116" s="848"/>
      <c r="B8116" s="594"/>
      <c r="C8116" s="413" t="s">
        <v>3142</v>
      </c>
      <c r="D8116" s="60"/>
      <c r="E8116" s="60"/>
      <c r="F8116" s="60"/>
      <c r="G8116" s="547"/>
      <c r="H8116" s="61"/>
      <c r="I8116" s="61"/>
      <c r="J8116" s="61"/>
      <c r="K8116" s="61"/>
    </row>
    <row r="8117" spans="1:11">
      <c r="A8117" s="848"/>
      <c r="B8117" s="596"/>
      <c r="C8117" s="445" t="s">
        <v>3143</v>
      </c>
      <c r="D8117" s="60"/>
      <c r="E8117" s="445"/>
      <c r="F8117" s="445"/>
      <c r="G8117" s="548">
        <f>SUM(G8115:G8116)</f>
        <v>15741</v>
      </c>
      <c r="H8117" s="61"/>
      <c r="I8117" s="61"/>
      <c r="J8117" s="61"/>
      <c r="K8117" s="61"/>
    </row>
    <row r="8118" spans="1:11">
      <c r="A8118" s="848"/>
      <c r="B8118" s="382"/>
      <c r="C8118" s="49"/>
      <c r="D8118" s="60"/>
      <c r="E8118" s="60"/>
      <c r="F8118" s="60"/>
      <c r="G8118" s="253"/>
      <c r="H8118" s="61"/>
      <c r="I8118" s="61"/>
      <c r="J8118" s="61"/>
      <c r="K8118" s="61"/>
    </row>
    <row r="8119" spans="1:11">
      <c r="A8119" s="848"/>
      <c r="B8119" s="382" t="s">
        <v>3144</v>
      </c>
      <c r="C8119" s="49"/>
      <c r="D8119" s="60"/>
      <c r="E8119" s="60"/>
      <c r="F8119" s="60"/>
      <c r="G8119" s="253"/>
      <c r="H8119" s="61"/>
      <c r="I8119" s="61"/>
      <c r="J8119" s="61"/>
      <c r="K8119" s="61"/>
    </row>
    <row r="8120" spans="1:11" ht="36">
      <c r="A8120" s="848"/>
      <c r="B8120" s="66" t="s">
        <v>2369</v>
      </c>
      <c r="C8120" s="537" t="s">
        <v>2378</v>
      </c>
      <c r="D8120" s="53" t="s">
        <v>2370</v>
      </c>
      <c r="E8120" s="53" t="s">
        <v>1166</v>
      </c>
      <c r="F8120" s="53" t="s">
        <v>6234</v>
      </c>
      <c r="G8120" s="53" t="s">
        <v>3141</v>
      </c>
      <c r="H8120" s="61"/>
      <c r="I8120" s="61"/>
      <c r="J8120" s="61"/>
      <c r="K8120" s="61"/>
    </row>
    <row r="8121" spans="1:11">
      <c r="A8121" s="848"/>
      <c r="B8121" s="66"/>
      <c r="C8121" s="538"/>
      <c r="D8121" s="53"/>
      <c r="E8121" s="53"/>
      <c r="F8121" s="53"/>
      <c r="G8121" s="53"/>
      <c r="H8121" s="61"/>
      <c r="I8121" s="61"/>
      <c r="J8121" s="61"/>
      <c r="K8121" s="61"/>
    </row>
    <row r="8122" spans="1:11">
      <c r="A8122" s="848"/>
      <c r="B8122" s="608">
        <v>1</v>
      </c>
      <c r="C8122" s="537" t="s">
        <v>1130</v>
      </c>
      <c r="D8122" s="539"/>
      <c r="E8122" s="541">
        <v>0</v>
      </c>
      <c r="F8122" s="541">
        <v>0</v>
      </c>
      <c r="G8122" s="450">
        <f>E8122*F8122</f>
        <v>0</v>
      </c>
      <c r="H8122" s="61"/>
      <c r="I8122" s="61"/>
      <c r="J8122" s="61"/>
      <c r="K8122" s="61"/>
    </row>
    <row r="8123" spans="1:11">
      <c r="A8123" s="848"/>
      <c r="B8123" s="610"/>
      <c r="C8123" s="549"/>
      <c r="D8123" s="550"/>
      <c r="E8123" s="546">
        <v>0</v>
      </c>
      <c r="F8123" s="546">
        <v>0</v>
      </c>
      <c r="G8123" s="450">
        <f>E8123*F8123</f>
        <v>0</v>
      </c>
      <c r="H8123" s="61"/>
      <c r="I8123" s="61"/>
      <c r="J8123" s="61"/>
      <c r="K8123" s="61"/>
    </row>
    <row r="8124" spans="1:11">
      <c r="A8124" s="848"/>
      <c r="B8124" s="609"/>
      <c r="C8124" s="542"/>
      <c r="D8124" s="543"/>
      <c r="E8124" s="544"/>
      <c r="F8124" s="544"/>
      <c r="G8124" s="544"/>
      <c r="H8124" s="61"/>
      <c r="I8124" s="61"/>
      <c r="J8124" s="61"/>
      <c r="K8124" s="61"/>
    </row>
    <row r="8125" spans="1:11" ht="36">
      <c r="A8125" s="848"/>
      <c r="B8125" s="596"/>
      <c r="C8125" s="445" t="s">
        <v>3145</v>
      </c>
      <c r="D8125" s="445"/>
      <c r="E8125" s="445"/>
      <c r="F8125" s="551"/>
      <c r="G8125" s="548">
        <f>SUM(G8122:G8124)</f>
        <v>0</v>
      </c>
      <c r="H8125" s="61"/>
      <c r="I8125" s="61"/>
      <c r="J8125" s="61"/>
      <c r="K8125" s="61"/>
    </row>
    <row r="8126" spans="1:11">
      <c r="A8126" s="848"/>
      <c r="B8126" s="382"/>
      <c r="C8126" s="49"/>
      <c r="D8126" s="60"/>
      <c r="E8126" s="60"/>
      <c r="F8126" s="60"/>
      <c r="G8126" s="253"/>
      <c r="H8126" s="61"/>
      <c r="I8126" s="61"/>
      <c r="J8126" s="61"/>
      <c r="K8126" s="61"/>
    </row>
    <row r="8127" spans="1:11">
      <c r="A8127" s="848"/>
      <c r="B8127" s="382" t="s">
        <v>3146</v>
      </c>
      <c r="C8127" s="49"/>
      <c r="D8127" s="60"/>
      <c r="E8127" s="60"/>
      <c r="F8127" s="60"/>
      <c r="G8127" s="253"/>
      <c r="H8127" s="61"/>
      <c r="I8127" s="61"/>
      <c r="J8127" s="61"/>
      <c r="K8127" s="61"/>
    </row>
    <row r="8128" spans="1:11" ht="36">
      <c r="A8128" s="848"/>
      <c r="B8128" s="66" t="s">
        <v>2369</v>
      </c>
      <c r="C8128" s="537" t="s">
        <v>2378</v>
      </c>
      <c r="D8128" s="53" t="s">
        <v>2370</v>
      </c>
      <c r="E8128" s="53" t="s">
        <v>1166</v>
      </c>
      <c r="F8128" s="53" t="s">
        <v>6234</v>
      </c>
      <c r="G8128" s="53" t="s">
        <v>3141</v>
      </c>
      <c r="H8128" s="61"/>
      <c r="I8128" s="61"/>
      <c r="J8128" s="61"/>
      <c r="K8128" s="61"/>
    </row>
    <row r="8129" spans="1:11">
      <c r="A8129" s="848"/>
      <c r="B8129" s="66"/>
      <c r="C8129" s="538"/>
      <c r="D8129" s="53"/>
      <c r="E8129" s="53"/>
      <c r="F8129" s="53"/>
      <c r="G8129" s="53"/>
      <c r="H8129" s="61"/>
      <c r="I8129" s="61"/>
      <c r="J8129" s="61"/>
      <c r="K8129" s="61"/>
    </row>
    <row r="8130" spans="1:11">
      <c r="A8130" s="848"/>
      <c r="B8130" s="611">
        <v>1</v>
      </c>
      <c r="C8130" s="540" t="s">
        <v>5607</v>
      </c>
      <c r="D8130" s="550" t="s">
        <v>1172</v>
      </c>
      <c r="E8130" s="552">
        <f>E8108*E8105</f>
        <v>9.9</v>
      </c>
      <c r="F8130" s="255">
        <f>'BASIC DATA'!$C$541</f>
        <v>400</v>
      </c>
      <c r="G8130" s="450">
        <f>E8130*F8130</f>
        <v>3960</v>
      </c>
      <c r="H8130" s="61"/>
      <c r="I8130" s="61"/>
      <c r="J8130" s="61"/>
      <c r="K8130" s="61"/>
    </row>
    <row r="8131" spans="1:11">
      <c r="A8131" s="848"/>
      <c r="B8131" s="611">
        <v>2</v>
      </c>
      <c r="C8131" s="549" t="s">
        <v>1676</v>
      </c>
      <c r="D8131" s="550" t="s">
        <v>1172</v>
      </c>
      <c r="E8131" s="552">
        <f>E8109*E8105</f>
        <v>44.550000000000004</v>
      </c>
      <c r="F8131" s="546">
        <f>'BASIC DATA'!$C$552</f>
        <v>350</v>
      </c>
      <c r="G8131" s="450">
        <f>E8131*F8131</f>
        <v>15592.500000000002</v>
      </c>
      <c r="H8131" s="61"/>
      <c r="I8131" s="61"/>
      <c r="J8131" s="61"/>
      <c r="K8131" s="61"/>
    </row>
    <row r="8132" spans="1:11" ht="36">
      <c r="A8132" s="848"/>
      <c r="B8132" s="596"/>
      <c r="C8132" s="445" t="s">
        <v>3147</v>
      </c>
      <c r="D8132" s="445"/>
      <c r="E8132" s="445"/>
      <c r="F8132" s="551"/>
      <c r="G8132" s="548">
        <f>SUM(G8130:G8131)</f>
        <v>19552.5</v>
      </c>
      <c r="H8132" s="61"/>
      <c r="I8132" s="61"/>
      <c r="J8132" s="61"/>
      <c r="K8132" s="61"/>
    </row>
    <row r="8133" spans="1:11">
      <c r="A8133" s="848"/>
      <c r="B8133" s="359" t="s">
        <v>5948</v>
      </c>
      <c r="C8133" s="49"/>
      <c r="D8133" s="31"/>
      <c r="E8133" s="85">
        <f>ROUND(G8132/F8111,1)</f>
        <v>195.5</v>
      </c>
      <c r="F8133" s="61"/>
      <c r="G8133" s="61"/>
      <c r="H8133" s="61"/>
      <c r="I8133" s="61"/>
      <c r="J8133" s="61"/>
      <c r="K8133" s="61"/>
    </row>
    <row r="8134" spans="1:11">
      <c r="A8134" s="848"/>
      <c r="B8134" s="359" t="s">
        <v>3163</v>
      </c>
      <c r="C8134" s="49"/>
      <c r="D8134" s="922">
        <f>'BASIC DATA'!$C$577</f>
        <v>0.13614999999999999</v>
      </c>
      <c r="E8134" s="85">
        <f>ROUND(E8133*D8134,1)</f>
        <v>26.6</v>
      </c>
      <c r="F8134" s="61"/>
      <c r="G8134" s="61"/>
      <c r="H8134" s="61"/>
      <c r="I8134" s="61"/>
      <c r="J8134" s="61"/>
      <c r="K8134" s="61"/>
    </row>
    <row r="8135" spans="1:11">
      <c r="A8135" s="848"/>
      <c r="B8135" s="359" t="s">
        <v>5949</v>
      </c>
      <c r="C8135" s="49"/>
      <c r="D8135" s="31"/>
      <c r="E8135" s="199">
        <f>ROUND(E8134+E8133,1)</f>
        <v>222.1</v>
      </c>
      <c r="F8135" s="61"/>
      <c r="G8135" s="61"/>
      <c r="H8135" s="61"/>
      <c r="I8135" s="61"/>
      <c r="J8135" s="61"/>
      <c r="K8135" s="61"/>
    </row>
    <row r="8136" spans="1:11">
      <c r="A8136" s="848"/>
      <c r="B8136" s="382"/>
      <c r="C8136" s="49"/>
      <c r="D8136" s="61"/>
      <c r="E8136" s="61"/>
      <c r="F8136" s="61"/>
      <c r="G8136" s="61"/>
      <c r="H8136" s="61"/>
      <c r="I8136" s="61"/>
      <c r="J8136" s="61"/>
      <c r="K8136" s="61"/>
    </row>
    <row r="8137" spans="1:11">
      <c r="A8137" s="848"/>
      <c r="B8137" s="382" t="s">
        <v>6765</v>
      </c>
      <c r="C8137" s="49"/>
      <c r="D8137" s="61"/>
      <c r="E8137" s="61"/>
      <c r="F8137" s="61"/>
      <c r="G8137" s="61"/>
      <c r="H8137" s="61"/>
      <c r="I8137" s="61"/>
      <c r="J8137" s="61"/>
      <c r="K8137" s="61"/>
    </row>
    <row r="8138" spans="1:11">
      <c r="A8138" s="848"/>
      <c r="B8138" s="382" t="s">
        <v>3148</v>
      </c>
      <c r="C8138" s="49"/>
      <c r="D8138" s="61"/>
      <c r="E8138" s="61"/>
      <c r="F8138" s="222" t="s">
        <v>1173</v>
      </c>
      <c r="G8138" s="435">
        <f>G8117</f>
        <v>15741</v>
      </c>
      <c r="H8138" s="61"/>
      <c r="I8138" s="61"/>
      <c r="J8138" s="61"/>
      <c r="K8138" s="61"/>
    </row>
    <row r="8139" spans="1:11">
      <c r="A8139" s="848"/>
      <c r="B8139" s="382" t="s">
        <v>1186</v>
      </c>
      <c r="C8139" s="49"/>
      <c r="D8139" s="61"/>
      <c r="E8139" s="61"/>
      <c r="F8139" s="222" t="s">
        <v>1173</v>
      </c>
      <c r="G8139" s="435">
        <f>G8125</f>
        <v>0</v>
      </c>
      <c r="H8139" s="61"/>
      <c r="I8139" s="61"/>
      <c r="J8139" s="61"/>
      <c r="K8139" s="61"/>
    </row>
    <row r="8140" spans="1:11">
      <c r="A8140" s="848"/>
      <c r="B8140" s="382" t="s">
        <v>3149</v>
      </c>
      <c r="C8140" s="49"/>
      <c r="D8140" s="61"/>
      <c r="E8140" s="61"/>
      <c r="F8140" s="222" t="s">
        <v>1173</v>
      </c>
      <c r="G8140" s="435">
        <f>G8132</f>
        <v>19552.5</v>
      </c>
      <c r="H8140" s="61"/>
      <c r="I8140" s="61"/>
      <c r="J8140" s="61"/>
      <c r="K8140" s="61"/>
    </row>
    <row r="8141" spans="1:11">
      <c r="A8141" s="848"/>
      <c r="B8141" s="62"/>
      <c r="C8141" s="49"/>
      <c r="D8141" s="61"/>
      <c r="E8141" s="222" t="s">
        <v>4835</v>
      </c>
      <c r="F8141" s="222" t="s">
        <v>1173</v>
      </c>
      <c r="G8141" s="381">
        <f>SUM(G8138:G8140)</f>
        <v>35293.5</v>
      </c>
      <c r="H8141" s="61"/>
      <c r="I8141" s="61"/>
      <c r="J8141" s="61"/>
      <c r="K8141" s="61"/>
    </row>
    <row r="8142" spans="1:11" ht="34.5" customHeight="1">
      <c r="A8142" s="848"/>
      <c r="B8142" s="1207" t="s">
        <v>1379</v>
      </c>
      <c r="C8142" s="1207"/>
      <c r="D8142" s="1207"/>
      <c r="E8142" s="922">
        <f>'BASIC DATA'!$C$577</f>
        <v>0.13614999999999999</v>
      </c>
      <c r="F8142" s="171" t="s">
        <v>1698</v>
      </c>
      <c r="G8142" s="31">
        <f>ROUND(G8141*E8142,2)</f>
        <v>4805.21</v>
      </c>
      <c r="H8142" s="61"/>
      <c r="I8142" s="61"/>
      <c r="J8142" s="61"/>
      <c r="K8142" s="61"/>
    </row>
    <row r="8143" spans="1:11">
      <c r="A8143" s="848"/>
      <c r="B8143" s="47" t="s">
        <v>1191</v>
      </c>
      <c r="C8143" s="48"/>
      <c r="D8143" s="68">
        <f>F8111</f>
        <v>100</v>
      </c>
      <c r="E8143" s="68" t="str">
        <f>G8111</f>
        <v>sqm</v>
      </c>
      <c r="F8143" s="171" t="s">
        <v>1698</v>
      </c>
      <c r="G8143" s="211">
        <f>G8142+G8141</f>
        <v>40098.71</v>
      </c>
      <c r="H8143" s="61"/>
      <c r="I8143" s="61"/>
      <c r="J8143" s="61"/>
      <c r="K8143" s="61"/>
    </row>
    <row r="8144" spans="1:11">
      <c r="A8144" s="848"/>
      <c r="B8144" s="79" t="s">
        <v>1584</v>
      </c>
      <c r="C8144" s="404" t="str">
        <f>E8143</f>
        <v>sqm</v>
      </c>
      <c r="D8144" s="26" t="s">
        <v>5882</v>
      </c>
      <c r="F8144" s="171" t="s">
        <v>4108</v>
      </c>
      <c r="G8144" s="211">
        <f>ROUND(G8143/D8143,1)</f>
        <v>401</v>
      </c>
      <c r="H8144" s="61"/>
      <c r="I8144" s="61"/>
      <c r="J8144" s="61"/>
      <c r="K8144" s="61"/>
    </row>
    <row r="8145" spans="1:11" ht="36">
      <c r="A8145" s="848"/>
      <c r="B8145" s="382" t="s">
        <v>1237</v>
      </c>
      <c r="C8145" s="49" t="s">
        <v>7991</v>
      </c>
      <c r="D8145" s="61"/>
      <c r="E8145" s="61"/>
      <c r="F8145" s="61" t="s">
        <v>3272</v>
      </c>
      <c r="G8145" s="435">
        <f>G7797</f>
        <v>49.6</v>
      </c>
      <c r="H8145" s="61"/>
      <c r="I8145" s="61"/>
      <c r="J8145" s="61"/>
      <c r="K8145" s="61"/>
    </row>
    <row r="8146" spans="1:11" ht="36">
      <c r="A8146" s="848"/>
      <c r="B8146" s="382"/>
      <c r="C8146" s="49" t="s">
        <v>7993</v>
      </c>
      <c r="D8146" s="61"/>
      <c r="E8146" s="61"/>
      <c r="F8146" s="61"/>
      <c r="G8146" s="61"/>
      <c r="H8146" s="61"/>
      <c r="I8146" s="61"/>
      <c r="J8146" s="61"/>
      <c r="K8146" s="61"/>
    </row>
    <row r="8147" spans="1:11">
      <c r="A8147" s="847"/>
      <c r="B8147" s="62"/>
      <c r="C8147" s="49"/>
      <c r="D8147" s="61"/>
      <c r="E8147" s="61"/>
      <c r="F8147" s="61"/>
      <c r="G8147" s="61"/>
      <c r="H8147" s="61"/>
      <c r="I8147" s="61"/>
    </row>
    <row r="8148" spans="1:11">
      <c r="A8148" s="847"/>
      <c r="B8148" s="62"/>
      <c r="C8148" s="49"/>
      <c r="D8148" s="61"/>
      <c r="E8148" s="61"/>
      <c r="F8148" s="61"/>
      <c r="G8148" s="61"/>
      <c r="H8148" s="61"/>
    </row>
    <row r="8149" spans="1:11">
      <c r="A8149" s="841" t="s">
        <v>7521</v>
      </c>
      <c r="B8149" s="382" t="s">
        <v>8876</v>
      </c>
      <c r="C8149" s="48"/>
      <c r="D8149" s="61"/>
      <c r="E8149" s="61"/>
      <c r="F8149" s="61"/>
      <c r="G8149" s="61"/>
      <c r="H8149" s="61"/>
    </row>
    <row r="8150" spans="1:11">
      <c r="A8150" s="891"/>
      <c r="B8150" s="382" t="s">
        <v>8877</v>
      </c>
      <c r="C8150" s="48"/>
      <c r="D8150" s="61"/>
      <c r="E8150" s="61"/>
      <c r="F8150" s="61"/>
      <c r="G8150" s="61"/>
      <c r="H8150" s="61"/>
    </row>
    <row r="8151" spans="1:11" ht="18.75">
      <c r="A8151" s="895"/>
      <c r="B8151" s="47" t="s">
        <v>8878</v>
      </c>
      <c r="C8151" s="48"/>
    </row>
    <row r="8152" spans="1:11">
      <c r="A8152" s="889"/>
      <c r="B8152" s="162" t="s">
        <v>5387</v>
      </c>
      <c r="C8152" s="48"/>
    </row>
    <row r="8153" spans="1:11">
      <c r="A8153" s="847"/>
      <c r="B8153" s="78"/>
      <c r="C8153" s="48"/>
      <c r="F8153" s="78"/>
    </row>
    <row r="8154" spans="1:11" ht="36" hidden="1">
      <c r="A8154" s="889" t="s">
        <v>3984</v>
      </c>
      <c r="B8154" s="78"/>
      <c r="C8154" s="48" t="s">
        <v>2285</v>
      </c>
    </row>
    <row r="8155" spans="1:11" hidden="1">
      <c r="A8155" s="847"/>
      <c r="B8155" s="78"/>
      <c r="C8155" s="48" t="s">
        <v>1619</v>
      </c>
      <c r="F8155" s="78" t="s">
        <v>1697</v>
      </c>
      <c r="G8155" s="68">
        <v>27.5</v>
      </c>
      <c r="H8155" s="26" t="s">
        <v>6901</v>
      </c>
    </row>
    <row r="8156" spans="1:11" hidden="1">
      <c r="A8156" s="847"/>
      <c r="B8156" s="78"/>
      <c r="C8156" s="48" t="s">
        <v>2286</v>
      </c>
      <c r="F8156" s="78" t="s">
        <v>1697</v>
      </c>
      <c r="G8156" s="26">
        <v>200</v>
      </c>
      <c r="H8156" s="26" t="s">
        <v>3436</v>
      </c>
    </row>
    <row r="8157" spans="1:11" hidden="1">
      <c r="A8157" s="847"/>
      <c r="B8157" s="78"/>
      <c r="C8157" s="48" t="s">
        <v>4074</v>
      </c>
      <c r="F8157" s="78" t="s">
        <v>1697</v>
      </c>
      <c r="G8157" s="68">
        <v>4.5</v>
      </c>
      <c r="H8157" s="26" t="s">
        <v>6901</v>
      </c>
    </row>
    <row r="8158" spans="1:11" hidden="1">
      <c r="A8158" s="847"/>
      <c r="B8158" s="78"/>
      <c r="C8158" s="48" t="s">
        <v>4356</v>
      </c>
      <c r="F8158" s="78" t="s">
        <v>1697</v>
      </c>
      <c r="G8158" s="26">
        <v>3000</v>
      </c>
      <c r="H8158" s="26" t="s">
        <v>3033</v>
      </c>
    </row>
    <row r="8159" spans="1:11" hidden="1">
      <c r="A8159" s="847"/>
      <c r="B8159" s="78"/>
      <c r="C8159" s="48" t="s">
        <v>4357</v>
      </c>
      <c r="F8159" s="78" t="s">
        <v>1697</v>
      </c>
      <c r="G8159" s="68">
        <v>10.5</v>
      </c>
      <c r="H8159" s="26" t="s">
        <v>6901</v>
      </c>
    </row>
    <row r="8160" spans="1:11" ht="36" hidden="1">
      <c r="A8160" s="847"/>
      <c r="B8160" s="78"/>
      <c r="C8160" s="48" t="s">
        <v>2287</v>
      </c>
      <c r="F8160" s="78"/>
    </row>
    <row r="8161" spans="1:10" ht="36" hidden="1">
      <c r="A8161" s="847"/>
      <c r="B8161" s="78"/>
      <c r="C8161" s="48" t="s">
        <v>4625</v>
      </c>
      <c r="F8161" s="78" t="s">
        <v>1697</v>
      </c>
      <c r="G8161" s="26">
        <v>5</v>
      </c>
      <c r="H8161" s="26" t="s">
        <v>3436</v>
      </c>
    </row>
    <row r="8162" spans="1:10" hidden="1">
      <c r="A8162" s="847"/>
      <c r="B8162" s="78"/>
      <c r="C8162" s="48" t="s">
        <v>4707</v>
      </c>
      <c r="F8162" s="78" t="s">
        <v>1697</v>
      </c>
      <c r="G8162" s="26">
        <v>5</v>
      </c>
      <c r="H8162" s="26" t="s">
        <v>3436</v>
      </c>
    </row>
    <row r="8163" spans="1:10" ht="36" hidden="1">
      <c r="A8163" s="847"/>
      <c r="B8163" s="78"/>
      <c r="C8163" s="48" t="s">
        <v>4708</v>
      </c>
      <c r="F8163" s="78" t="s">
        <v>1697</v>
      </c>
      <c r="G8163" s="26">
        <v>2</v>
      </c>
      <c r="H8163" s="26" t="s">
        <v>3436</v>
      </c>
      <c r="J8163" s="61"/>
    </row>
    <row r="8164" spans="1:10" hidden="1">
      <c r="A8164" s="847"/>
      <c r="B8164" s="78"/>
      <c r="C8164" s="48" t="s">
        <v>4877</v>
      </c>
      <c r="F8164" s="78" t="s">
        <v>1697</v>
      </c>
      <c r="G8164" s="26">
        <v>1</v>
      </c>
      <c r="H8164" s="26" t="s">
        <v>3035</v>
      </c>
      <c r="J8164" s="61"/>
    </row>
    <row r="8165" spans="1:10" ht="36" hidden="1">
      <c r="A8165" s="847"/>
      <c r="B8165" s="78"/>
      <c r="C8165" s="48" t="s">
        <v>881</v>
      </c>
      <c r="F8165" s="78" t="s">
        <v>1697</v>
      </c>
      <c r="G8165" s="26">
        <v>1</v>
      </c>
      <c r="H8165" s="26" t="s">
        <v>3035</v>
      </c>
    </row>
    <row r="8166" spans="1:10" hidden="1">
      <c r="A8166" s="847"/>
      <c r="B8166" s="78"/>
      <c r="C8166" s="48" t="s">
        <v>985</v>
      </c>
      <c r="F8166" s="78" t="s">
        <v>1697</v>
      </c>
      <c r="G8166" s="26">
        <v>2</v>
      </c>
      <c r="H8166" s="26" t="s">
        <v>3436</v>
      </c>
    </row>
    <row r="8167" spans="1:10" ht="36" hidden="1">
      <c r="A8167" s="847"/>
      <c r="B8167" s="78"/>
      <c r="C8167" s="48" t="s">
        <v>986</v>
      </c>
      <c r="F8167" s="78" t="s">
        <v>1697</v>
      </c>
      <c r="G8167" s="26">
        <v>1</v>
      </c>
      <c r="H8167" s="26" t="s">
        <v>3035</v>
      </c>
    </row>
    <row r="8168" spans="1:10" hidden="1">
      <c r="A8168" s="847"/>
      <c r="B8168" s="78"/>
      <c r="C8168" s="48" t="s">
        <v>684</v>
      </c>
      <c r="F8168" s="78" t="s">
        <v>1697</v>
      </c>
      <c r="G8168" s="26">
        <v>2</v>
      </c>
      <c r="H8168" s="26" t="s">
        <v>3436</v>
      </c>
    </row>
    <row r="8169" spans="1:10">
      <c r="A8169" s="847"/>
      <c r="B8169" s="78"/>
      <c r="C8169" s="48"/>
    </row>
    <row r="8170" spans="1:10">
      <c r="A8170" s="891" t="s">
        <v>3984</v>
      </c>
      <c r="B8170" s="78"/>
      <c r="C8170" s="349" t="s">
        <v>2367</v>
      </c>
      <c r="E8170" s="171" t="s">
        <v>297</v>
      </c>
      <c r="F8170" s="246">
        <v>100</v>
      </c>
      <c r="G8170" s="26" t="s">
        <v>3479</v>
      </c>
    </row>
    <row r="8171" spans="1:10">
      <c r="A8171" s="847"/>
      <c r="B8171" s="79" t="s">
        <v>2368</v>
      </c>
      <c r="C8171" s="48"/>
    </row>
    <row r="8172" spans="1:10">
      <c r="A8172" s="847"/>
      <c r="B8172" s="95" t="s">
        <v>2369</v>
      </c>
      <c r="C8172" s="350" t="s">
        <v>6374</v>
      </c>
      <c r="D8172" s="95" t="s">
        <v>2370</v>
      </c>
      <c r="E8172" s="95" t="s">
        <v>1166</v>
      </c>
      <c r="F8172" s="95" t="s">
        <v>2371</v>
      </c>
      <c r="G8172" s="95" t="s">
        <v>2372</v>
      </c>
    </row>
    <row r="8173" spans="1:10">
      <c r="A8173" s="847"/>
      <c r="B8173" s="114"/>
      <c r="C8173" s="351"/>
      <c r="D8173" s="114"/>
      <c r="E8173" s="114"/>
      <c r="F8173" s="114" t="s">
        <v>3485</v>
      </c>
      <c r="G8173" s="114" t="s">
        <v>3485</v>
      </c>
    </row>
    <row r="8174" spans="1:10" ht="36">
      <c r="A8174" s="847"/>
      <c r="B8174" s="95">
        <v>1</v>
      </c>
      <c r="C8174" s="86" t="s">
        <v>4257</v>
      </c>
      <c r="D8174" s="451" t="s">
        <v>3477</v>
      </c>
      <c r="E8174" s="220">
        <v>27.5</v>
      </c>
      <c r="F8174" s="190">
        <f>'BASIC DATA'!$D$108</f>
        <v>318</v>
      </c>
      <c r="G8174" s="449">
        <f>E8174*F8174</f>
        <v>8745</v>
      </c>
    </row>
    <row r="8175" spans="1:10" ht="36">
      <c r="A8175" s="847"/>
      <c r="B8175" s="105">
        <v>2</v>
      </c>
      <c r="C8175" s="86" t="s">
        <v>4626</v>
      </c>
      <c r="D8175" s="319" t="s">
        <v>2059</v>
      </c>
      <c r="E8175" s="220">
        <v>200</v>
      </c>
      <c r="F8175" s="266">
        <f>'BASIC DATA'!$D$104</f>
        <v>22</v>
      </c>
      <c r="G8175" s="449">
        <f>E8175*F8175</f>
        <v>4400</v>
      </c>
    </row>
    <row r="8176" spans="1:10">
      <c r="A8176" s="847"/>
      <c r="B8176" s="105">
        <v>3</v>
      </c>
      <c r="C8176" s="86" t="s">
        <v>155</v>
      </c>
      <c r="D8176" s="319" t="s">
        <v>3477</v>
      </c>
      <c r="E8176" s="220">
        <v>4.5</v>
      </c>
      <c r="F8176" s="190">
        <f>'BASIC DATA'!$D$96</f>
        <v>350</v>
      </c>
      <c r="G8176" s="449">
        <f>E8176*F8176</f>
        <v>1575</v>
      </c>
    </row>
    <row r="8177" spans="1:11">
      <c r="A8177" s="847"/>
      <c r="B8177" s="105">
        <v>4</v>
      </c>
      <c r="C8177" s="86" t="s">
        <v>5853</v>
      </c>
      <c r="D8177" s="319" t="s">
        <v>3478</v>
      </c>
      <c r="E8177" s="220">
        <v>3000</v>
      </c>
      <c r="F8177" s="68">
        <f>'BASIC DATA'!$D$32/1000</f>
        <v>5.35</v>
      </c>
      <c r="G8177" s="449">
        <f>E8177*F8177</f>
        <v>16049.999999999998</v>
      </c>
    </row>
    <row r="8178" spans="1:11">
      <c r="A8178" s="848"/>
      <c r="B8178" s="237">
        <v>5</v>
      </c>
      <c r="C8178" s="555" t="s">
        <v>7937</v>
      </c>
      <c r="D8178" s="521" t="s">
        <v>3477</v>
      </c>
      <c r="E8178" s="256">
        <v>10.5</v>
      </c>
      <c r="F8178" s="266">
        <f>'BASIC DATA'!$D$57</f>
        <v>165</v>
      </c>
      <c r="G8178" s="450">
        <f>E8178*F8178</f>
        <v>1732.5</v>
      </c>
      <c r="H8178" s="61"/>
      <c r="I8178" s="61"/>
      <c r="J8178" s="61"/>
      <c r="K8178" s="61"/>
    </row>
    <row r="8179" spans="1:11">
      <c r="A8179" s="847"/>
      <c r="B8179" s="92"/>
      <c r="C8179" s="353" t="s">
        <v>2376</v>
      </c>
      <c r="D8179" s="159"/>
      <c r="E8179" s="238"/>
      <c r="F8179" s="236" t="s">
        <v>1698</v>
      </c>
      <c r="G8179" s="318">
        <f>SUM(G8174:G8178)</f>
        <v>32502.5</v>
      </c>
      <c r="J8179" s="74"/>
    </row>
    <row r="8180" spans="1:11">
      <c r="A8180" s="847"/>
      <c r="B8180" s="78"/>
      <c r="C8180" s="48"/>
      <c r="J8180" s="526"/>
    </row>
    <row r="8181" spans="1:11">
      <c r="A8181" s="847"/>
      <c r="B8181" s="79" t="s">
        <v>2377</v>
      </c>
      <c r="C8181" s="48"/>
      <c r="J8181" s="527"/>
    </row>
    <row r="8182" spans="1:11">
      <c r="A8182" s="847"/>
      <c r="B8182" s="95" t="s">
        <v>2369</v>
      </c>
      <c r="C8182" s="350" t="s">
        <v>2378</v>
      </c>
      <c r="D8182" s="95" t="s">
        <v>2370</v>
      </c>
      <c r="E8182" s="95" t="s">
        <v>1166</v>
      </c>
      <c r="F8182" s="95" t="s">
        <v>2371</v>
      </c>
      <c r="G8182" s="95" t="s">
        <v>2372</v>
      </c>
      <c r="J8182" s="31"/>
    </row>
    <row r="8183" spans="1:11">
      <c r="A8183" s="847"/>
      <c r="B8183" s="114"/>
      <c r="C8183" s="351"/>
      <c r="D8183" s="114"/>
      <c r="E8183" s="114"/>
      <c r="F8183" s="114" t="s">
        <v>3485</v>
      </c>
      <c r="G8183" s="114" t="s">
        <v>3485</v>
      </c>
      <c r="J8183" s="31"/>
    </row>
    <row r="8184" spans="1:11">
      <c r="A8184" s="847"/>
      <c r="B8184" s="95">
        <v>1</v>
      </c>
      <c r="C8184" s="86" t="s">
        <v>189</v>
      </c>
      <c r="D8184" s="95"/>
      <c r="E8184" s="220">
        <v>2</v>
      </c>
      <c r="F8184" s="214">
        <f>'HIRE CHARGES'!$D$517</f>
        <v>10.199999999999999</v>
      </c>
      <c r="G8184" s="449">
        <f>E8184*F8184</f>
        <v>20.399999999999999</v>
      </c>
      <c r="J8184" s="74"/>
    </row>
    <row r="8185" spans="1:11">
      <c r="A8185" s="847"/>
      <c r="B8185" s="116"/>
      <c r="C8185" s="113" t="s">
        <v>2379</v>
      </c>
      <c r="D8185" s="114"/>
      <c r="E8185" s="220">
        <v>2</v>
      </c>
      <c r="F8185" s="214">
        <f>'HIRE CHARGES'!$E$517</f>
        <v>79.3</v>
      </c>
      <c r="G8185" s="449">
        <f>E8185*F8185</f>
        <v>158.6</v>
      </c>
      <c r="J8185" s="74"/>
    </row>
    <row r="8186" spans="1:11">
      <c r="A8186" s="847"/>
      <c r="B8186" s="176"/>
      <c r="C8186" s="357" t="s">
        <v>2380</v>
      </c>
      <c r="D8186" s="174"/>
      <c r="E8186" s="192"/>
      <c r="F8186" s="236" t="s">
        <v>1698</v>
      </c>
      <c r="G8186" s="318">
        <f>SUM(G8184:G8185)</f>
        <v>179</v>
      </c>
      <c r="J8186" s="526"/>
    </row>
    <row r="8187" spans="1:11">
      <c r="A8187" s="847"/>
      <c r="B8187" s="78"/>
      <c r="C8187" s="48"/>
      <c r="J8187" s="526"/>
    </row>
    <row r="8188" spans="1:11">
      <c r="A8188" s="847"/>
      <c r="B8188" s="79" t="s">
        <v>2381</v>
      </c>
      <c r="C8188" s="48"/>
      <c r="J8188" s="527"/>
    </row>
    <row r="8189" spans="1:11">
      <c r="A8189" s="847"/>
      <c r="B8189" s="95" t="s">
        <v>2369</v>
      </c>
      <c r="C8189" s="350" t="s">
        <v>2378</v>
      </c>
      <c r="D8189" s="95" t="s">
        <v>2370</v>
      </c>
      <c r="E8189" s="95" t="s">
        <v>1166</v>
      </c>
      <c r="F8189" s="95" t="s">
        <v>2371</v>
      </c>
      <c r="G8189" s="95" t="s">
        <v>2372</v>
      </c>
      <c r="J8189" s="31"/>
    </row>
    <row r="8190" spans="1:11">
      <c r="A8190" s="847"/>
      <c r="B8190" s="114"/>
      <c r="C8190" s="351"/>
      <c r="D8190" s="105"/>
      <c r="E8190" s="114"/>
      <c r="F8190" s="114" t="s">
        <v>3485</v>
      </c>
      <c r="G8190" s="114" t="s">
        <v>3485</v>
      </c>
      <c r="J8190" s="31"/>
    </row>
    <row r="8191" spans="1:11">
      <c r="A8191" s="847"/>
      <c r="B8191" s="105">
        <v>1</v>
      </c>
      <c r="C8191" s="86" t="s">
        <v>999</v>
      </c>
      <c r="D8191" s="95" t="s">
        <v>2374</v>
      </c>
      <c r="E8191" s="207">
        <v>2</v>
      </c>
      <c r="F8191" s="214">
        <f>'HIRE CHARGES'!$F$517</f>
        <v>111.1</v>
      </c>
      <c r="G8191" s="449">
        <f>E8191*F8191</f>
        <v>222.2</v>
      </c>
      <c r="J8191" s="74"/>
    </row>
    <row r="8192" spans="1:11">
      <c r="A8192" s="847"/>
      <c r="B8192" s="105">
        <v>2</v>
      </c>
      <c r="C8192" s="86" t="s">
        <v>4206</v>
      </c>
      <c r="D8192" s="105" t="s">
        <v>1172</v>
      </c>
      <c r="E8192" s="207">
        <v>1</v>
      </c>
      <c r="F8192" s="190">
        <f>'BASIC DATA'!$C$473</f>
        <v>450</v>
      </c>
      <c r="G8192" s="449">
        <f>E8192*F8192</f>
        <v>450</v>
      </c>
      <c r="J8192" s="74"/>
    </row>
    <row r="8193" spans="1:10">
      <c r="A8193" s="847"/>
      <c r="B8193" s="105">
        <v>3</v>
      </c>
      <c r="C8193" s="86" t="s">
        <v>5607</v>
      </c>
      <c r="D8193" s="105" t="s">
        <v>1172</v>
      </c>
      <c r="E8193" s="207">
        <v>5</v>
      </c>
      <c r="F8193" s="190">
        <f>'BASIC DATA'!$C$541</f>
        <v>400</v>
      </c>
      <c r="G8193" s="449">
        <f>E8193*F8193</f>
        <v>2000</v>
      </c>
      <c r="J8193" s="526"/>
    </row>
    <row r="8194" spans="1:10">
      <c r="A8194" s="847"/>
      <c r="B8194" s="105">
        <v>4</v>
      </c>
      <c r="C8194" s="86" t="s">
        <v>2697</v>
      </c>
      <c r="D8194" s="105" t="s">
        <v>1172</v>
      </c>
      <c r="E8194" s="207">
        <v>12</v>
      </c>
      <c r="F8194" s="190">
        <f>'BASIC DATA'!$C$552</f>
        <v>350</v>
      </c>
      <c r="G8194" s="449">
        <f>E8194*F8194</f>
        <v>4200</v>
      </c>
      <c r="J8194" s="526"/>
    </row>
    <row r="8195" spans="1:10">
      <c r="A8195" s="847"/>
      <c r="B8195" s="105">
        <v>5</v>
      </c>
      <c r="C8195" s="86" t="s">
        <v>259</v>
      </c>
      <c r="D8195" s="105" t="s">
        <v>1172</v>
      </c>
      <c r="E8195" s="207">
        <v>2</v>
      </c>
      <c r="F8195" s="190">
        <f>'BASIC DATA'!$C$511</f>
        <v>465</v>
      </c>
      <c r="G8195" s="449">
        <f>E8195*F8195</f>
        <v>930</v>
      </c>
      <c r="J8195" s="527"/>
    </row>
    <row r="8196" spans="1:10">
      <c r="A8196" s="847"/>
      <c r="B8196" s="92"/>
      <c r="C8196" s="353" t="s">
        <v>1174</v>
      </c>
      <c r="D8196" s="159"/>
      <c r="E8196" s="238"/>
      <c r="F8196" s="236" t="s">
        <v>1698</v>
      </c>
      <c r="G8196" s="318">
        <f>SUM(G8191:G8195)</f>
        <v>7802.2</v>
      </c>
    </row>
    <row r="8197" spans="1:10">
      <c r="A8197" s="847"/>
      <c r="B8197" s="359" t="s">
        <v>5948</v>
      </c>
      <c r="C8197" s="48"/>
      <c r="D8197" s="31"/>
      <c r="E8197" s="85">
        <f>ROUND(G8196/F8170,1)</f>
        <v>78</v>
      </c>
    </row>
    <row r="8198" spans="1:10">
      <c r="A8198" s="847"/>
      <c r="B8198" s="359" t="s">
        <v>3163</v>
      </c>
      <c r="C8198" s="48"/>
      <c r="D8198" s="922">
        <f>'BASIC DATA'!$C$577</f>
        <v>0.13614999999999999</v>
      </c>
      <c r="E8198" s="85">
        <f>ROUND(E8197*D8198,1)</f>
        <v>10.6</v>
      </c>
    </row>
    <row r="8199" spans="1:10">
      <c r="A8199" s="847"/>
      <c r="B8199" s="359" t="s">
        <v>5949</v>
      </c>
      <c r="C8199" s="48"/>
      <c r="D8199" s="31"/>
      <c r="E8199" s="199">
        <f>ROUND(E8198+E8197,1)</f>
        <v>88.6</v>
      </c>
    </row>
    <row r="8200" spans="1:10">
      <c r="A8200" s="847"/>
      <c r="C8200" s="48"/>
    </row>
    <row r="8201" spans="1:10">
      <c r="A8201" s="847"/>
      <c r="B8201" s="162" t="s">
        <v>1175</v>
      </c>
      <c r="C8201" s="48"/>
      <c r="J8201" s="48"/>
    </row>
    <row r="8202" spans="1:10">
      <c r="A8202" s="847"/>
      <c r="B8202" s="47" t="s">
        <v>1176</v>
      </c>
      <c r="C8202" s="48"/>
      <c r="F8202" s="171" t="s">
        <v>1698</v>
      </c>
      <c r="G8202" s="68">
        <f>G8179</f>
        <v>32502.5</v>
      </c>
      <c r="J8202" s="48"/>
    </row>
    <row r="8203" spans="1:10">
      <c r="A8203" s="847"/>
      <c r="B8203" s="47" t="s">
        <v>1186</v>
      </c>
      <c r="C8203" s="48"/>
      <c r="F8203" s="171" t="s">
        <v>1698</v>
      </c>
      <c r="G8203" s="68">
        <f>G8186</f>
        <v>179</v>
      </c>
      <c r="J8203" s="48"/>
    </row>
    <row r="8204" spans="1:10">
      <c r="A8204" s="847"/>
      <c r="B8204" s="47" t="s">
        <v>2660</v>
      </c>
      <c r="C8204" s="48"/>
      <c r="F8204" s="171" t="s">
        <v>1698</v>
      </c>
      <c r="G8204" s="75">
        <f>G8196</f>
        <v>7802.2</v>
      </c>
      <c r="J8204" s="48"/>
    </row>
    <row r="8205" spans="1:10">
      <c r="A8205" s="847"/>
      <c r="B8205" s="78"/>
      <c r="C8205" s="48"/>
      <c r="E8205" s="171" t="s">
        <v>4835</v>
      </c>
      <c r="F8205" s="171" t="s">
        <v>1173</v>
      </c>
      <c r="G8205" s="205">
        <f>SUM(G8202:G8204)</f>
        <v>40483.699999999997</v>
      </c>
    </row>
    <row r="8206" spans="1:10" ht="39" customHeight="1">
      <c r="A8206" s="847"/>
      <c r="B8206" s="1207" t="s">
        <v>1379</v>
      </c>
      <c r="C8206" s="1207"/>
      <c r="D8206" s="1207"/>
      <c r="E8206" s="922">
        <f>'BASIC DATA'!$C$577</f>
        <v>0.13614999999999999</v>
      </c>
      <c r="F8206" s="171" t="s">
        <v>1698</v>
      </c>
      <c r="G8206" s="31">
        <f>ROUND(G8205*E8206,2)</f>
        <v>5511.86</v>
      </c>
    </row>
    <row r="8207" spans="1:10">
      <c r="A8207" s="847"/>
      <c r="B8207" s="47" t="s">
        <v>1191</v>
      </c>
      <c r="C8207" s="48"/>
      <c r="D8207" s="68">
        <f>F8170</f>
        <v>100</v>
      </c>
      <c r="E8207" s="68" t="str">
        <f>G8170</f>
        <v>sqm</v>
      </c>
      <c r="F8207" s="171" t="s">
        <v>1698</v>
      </c>
      <c r="G8207" s="211">
        <f>G8206+G8205</f>
        <v>45995.56</v>
      </c>
    </row>
    <row r="8208" spans="1:10">
      <c r="A8208" s="847"/>
      <c r="B8208" s="79" t="s">
        <v>1584</v>
      </c>
      <c r="C8208" s="404" t="str">
        <f>E8207</f>
        <v>sqm</v>
      </c>
      <c r="D8208" s="26" t="s">
        <v>5882</v>
      </c>
      <c r="F8208" s="171" t="s">
        <v>4108</v>
      </c>
      <c r="G8208" s="211">
        <f>ROUND(G8207/D8207,1)</f>
        <v>460</v>
      </c>
    </row>
    <row r="8209" spans="1:11" ht="36">
      <c r="A8209" s="847"/>
      <c r="B8209" s="78" t="s">
        <v>1237</v>
      </c>
      <c r="C8209" s="48" t="s">
        <v>1238</v>
      </c>
      <c r="G8209" s="68">
        <f>G7797</f>
        <v>49.6</v>
      </c>
    </row>
    <row r="8210" spans="1:11" ht="36">
      <c r="A8210" s="847"/>
      <c r="B8210" s="78"/>
      <c r="C8210" s="48" t="s">
        <v>7868</v>
      </c>
    </row>
    <row r="8211" spans="1:11">
      <c r="A8211" s="847"/>
      <c r="B8211" s="78"/>
      <c r="C8211" s="48"/>
    </row>
    <row r="8212" spans="1:11">
      <c r="A8212" s="847"/>
      <c r="B8212" s="78"/>
      <c r="C8212" s="48"/>
    </row>
    <row r="8213" spans="1:11" ht="18.75">
      <c r="A8213" s="841" t="s">
        <v>7522</v>
      </c>
      <c r="B8213" s="382" t="s">
        <v>8879</v>
      </c>
      <c r="C8213" s="49"/>
      <c r="D8213" s="61"/>
      <c r="E8213" s="61"/>
      <c r="F8213" s="61"/>
      <c r="G8213" s="61"/>
      <c r="H8213" s="61"/>
      <c r="I8213" s="61"/>
      <c r="J8213" s="61"/>
      <c r="K8213" s="61"/>
    </row>
    <row r="8214" spans="1:11">
      <c r="A8214" s="848"/>
      <c r="B8214" s="382" t="s">
        <v>4358</v>
      </c>
      <c r="C8214" s="49"/>
      <c r="D8214" s="61"/>
      <c r="E8214" s="61"/>
      <c r="F8214" s="61"/>
      <c r="G8214" s="61"/>
      <c r="H8214" s="61"/>
      <c r="I8214" s="61"/>
      <c r="J8214" s="61"/>
      <c r="K8214" s="61"/>
    </row>
    <row r="8215" spans="1:11">
      <c r="A8215" s="889"/>
      <c r="B8215" s="162" t="s">
        <v>5390</v>
      </c>
      <c r="C8215" s="48"/>
    </row>
    <row r="8216" spans="1:11">
      <c r="A8216" s="848"/>
      <c r="B8216" s="382"/>
      <c r="C8216" s="49"/>
      <c r="D8216" s="61"/>
      <c r="E8216" s="61"/>
      <c r="F8216" s="61"/>
      <c r="G8216" s="61"/>
      <c r="H8216" s="61"/>
      <c r="I8216" s="61"/>
      <c r="J8216" s="61"/>
      <c r="K8216" s="61"/>
    </row>
    <row r="8217" spans="1:11" ht="36" hidden="1">
      <c r="A8217" s="848" t="s">
        <v>6233</v>
      </c>
      <c r="B8217" s="382"/>
      <c r="C8217" s="49" t="s">
        <v>2285</v>
      </c>
      <c r="D8217" s="61"/>
      <c r="E8217" s="61"/>
      <c r="F8217" s="61"/>
      <c r="G8217" s="61"/>
      <c r="H8217" s="61"/>
      <c r="I8217" s="61"/>
      <c r="J8217" s="61"/>
      <c r="K8217" s="61"/>
    </row>
    <row r="8218" spans="1:11" hidden="1">
      <c r="A8218" s="848"/>
      <c r="B8218" s="382"/>
      <c r="C8218" s="49" t="s">
        <v>1619</v>
      </c>
      <c r="D8218" s="61"/>
      <c r="E8218" s="222" t="s">
        <v>6734</v>
      </c>
      <c r="F8218" s="126">
        <v>33</v>
      </c>
      <c r="G8218" s="61" t="s">
        <v>2113</v>
      </c>
      <c r="H8218" s="61"/>
      <c r="I8218" s="61"/>
      <c r="J8218" s="61"/>
      <c r="K8218" s="61"/>
    </row>
    <row r="8219" spans="1:11" hidden="1">
      <c r="A8219" s="848"/>
      <c r="B8219" s="382"/>
      <c r="C8219" s="49" t="s">
        <v>3277</v>
      </c>
      <c r="D8219" s="61"/>
      <c r="E8219" s="556" t="s">
        <v>1697</v>
      </c>
      <c r="F8219" s="557">
        <v>3232</v>
      </c>
      <c r="G8219" s="61" t="s">
        <v>4291</v>
      </c>
      <c r="H8219" s="61"/>
      <c r="I8219" s="61"/>
      <c r="J8219" s="61"/>
      <c r="K8219" s="61"/>
    </row>
    <row r="8220" spans="1:11" hidden="1">
      <c r="A8220" s="848"/>
      <c r="B8220" s="382"/>
      <c r="C8220" s="49" t="s">
        <v>3278</v>
      </c>
      <c r="D8220" s="61"/>
      <c r="E8220" s="222" t="s">
        <v>1697</v>
      </c>
      <c r="F8220" s="126">
        <v>11.22</v>
      </c>
      <c r="G8220" s="61" t="s">
        <v>2113</v>
      </c>
      <c r="H8220" s="61"/>
      <c r="I8220" s="61"/>
      <c r="J8220" s="61"/>
      <c r="K8220" s="61"/>
    </row>
    <row r="8221" spans="1:11" ht="36" hidden="1">
      <c r="A8221" s="848"/>
      <c r="B8221" s="382"/>
      <c r="C8221" s="49" t="s">
        <v>2287</v>
      </c>
      <c r="D8221" s="61"/>
      <c r="E8221" s="61"/>
      <c r="F8221" s="61"/>
      <c r="G8221" s="61"/>
      <c r="H8221" s="61"/>
      <c r="I8221" s="61"/>
      <c r="J8221" s="61"/>
      <c r="K8221" s="61"/>
    </row>
    <row r="8222" spans="1:11" hidden="1">
      <c r="A8222" s="848"/>
      <c r="B8222" s="382"/>
      <c r="C8222" s="49" t="s">
        <v>4981</v>
      </c>
      <c r="D8222" s="61"/>
      <c r="E8222" s="222" t="s">
        <v>6734</v>
      </c>
      <c r="F8222" s="126">
        <v>0.54</v>
      </c>
      <c r="G8222" s="61" t="s">
        <v>2059</v>
      </c>
      <c r="H8222" s="61"/>
      <c r="I8222" s="61"/>
      <c r="J8222" s="61"/>
      <c r="K8222" s="61"/>
    </row>
    <row r="8223" spans="1:11" hidden="1">
      <c r="A8223" s="848"/>
      <c r="B8223" s="382"/>
      <c r="C8223" s="49" t="s">
        <v>6232</v>
      </c>
      <c r="D8223" s="61"/>
      <c r="E8223" s="222" t="s">
        <v>6734</v>
      </c>
      <c r="F8223" s="126">
        <v>1.26</v>
      </c>
      <c r="G8223" s="61" t="s">
        <v>2059</v>
      </c>
      <c r="H8223" s="61"/>
      <c r="I8223" s="61"/>
      <c r="J8223" s="61"/>
      <c r="K8223" s="61"/>
    </row>
    <row r="8224" spans="1:11" hidden="1">
      <c r="A8224" s="848"/>
      <c r="B8224" s="382"/>
      <c r="C8224" s="49" t="s">
        <v>4293</v>
      </c>
      <c r="D8224" s="61"/>
      <c r="E8224" s="222" t="s">
        <v>1697</v>
      </c>
      <c r="F8224" s="126">
        <v>2.8</v>
      </c>
      <c r="G8224" s="61" t="s">
        <v>2059</v>
      </c>
      <c r="H8224" s="61"/>
      <c r="I8224" s="61"/>
      <c r="J8224" s="61"/>
      <c r="K8224" s="61"/>
    </row>
    <row r="8225" spans="1:11">
      <c r="A8225" s="848"/>
      <c r="B8225" s="382"/>
      <c r="C8225" s="49"/>
      <c r="D8225" s="61"/>
      <c r="E8225" s="61"/>
      <c r="F8225" s="61"/>
      <c r="G8225" s="61"/>
      <c r="H8225" s="61"/>
      <c r="I8225" s="61"/>
      <c r="J8225" s="61"/>
      <c r="K8225" s="61"/>
    </row>
    <row r="8226" spans="1:11">
      <c r="A8226" s="891" t="s">
        <v>3984</v>
      </c>
      <c r="B8226" s="382"/>
      <c r="C8226" s="424" t="s">
        <v>2367</v>
      </c>
      <c r="D8226" s="61"/>
      <c r="E8226" s="222" t="s">
        <v>297</v>
      </c>
      <c r="F8226" s="536">
        <v>100</v>
      </c>
      <c r="G8226" s="61" t="s">
        <v>5860</v>
      </c>
      <c r="H8226" s="61"/>
      <c r="I8226" s="61"/>
      <c r="J8226" s="61"/>
      <c r="K8226" s="61"/>
    </row>
    <row r="8227" spans="1:11">
      <c r="A8227" s="848"/>
      <c r="B8227" s="382" t="s">
        <v>6633</v>
      </c>
      <c r="C8227" s="49"/>
      <c r="D8227" s="61"/>
      <c r="E8227" s="61"/>
      <c r="F8227" s="61"/>
      <c r="G8227" s="61"/>
      <c r="H8227" s="61"/>
      <c r="I8227" s="61"/>
      <c r="J8227" s="61"/>
      <c r="K8227" s="61"/>
    </row>
    <row r="8228" spans="1:11" ht="36">
      <c r="A8228" s="848"/>
      <c r="B8228" s="66" t="s">
        <v>2369</v>
      </c>
      <c r="C8228" s="537" t="s">
        <v>4443</v>
      </c>
      <c r="D8228" s="53" t="s">
        <v>2370</v>
      </c>
      <c r="E8228" s="53" t="s">
        <v>1166</v>
      </c>
      <c r="F8228" s="53" t="s">
        <v>6234</v>
      </c>
      <c r="G8228" s="53" t="s">
        <v>3141</v>
      </c>
      <c r="H8228" s="61"/>
      <c r="I8228" s="61"/>
      <c r="J8228" s="61"/>
      <c r="K8228" s="61"/>
    </row>
    <row r="8229" spans="1:11">
      <c r="A8229" s="848"/>
      <c r="B8229" s="66"/>
      <c r="C8229" s="538"/>
      <c r="D8229" s="53"/>
      <c r="E8229" s="53"/>
      <c r="F8229" s="53"/>
      <c r="G8229" s="53"/>
      <c r="H8229" s="61"/>
      <c r="I8229" s="61"/>
      <c r="K8229" s="223">
        <f>E8230</f>
        <v>33</v>
      </c>
    </row>
    <row r="8230" spans="1:11" ht="36">
      <c r="A8230" s="848"/>
      <c r="B8230" s="612">
        <v>1</v>
      </c>
      <c r="C8230" s="540" t="s">
        <v>4977</v>
      </c>
      <c r="D8230" s="537" t="s">
        <v>2113</v>
      </c>
      <c r="E8230" s="541">
        <f>F8218</f>
        <v>33</v>
      </c>
      <c r="F8230" s="281">
        <f>'BASIC DATA'!$D$108</f>
        <v>318</v>
      </c>
      <c r="G8230" s="558">
        <f>E8230*F8230</f>
        <v>10494</v>
      </c>
      <c r="H8230" s="61"/>
      <c r="I8230" s="61"/>
      <c r="J8230" s="61"/>
      <c r="K8230" s="61"/>
    </row>
    <row r="8231" spans="1:11">
      <c r="A8231" s="848"/>
      <c r="B8231" s="613">
        <v>2</v>
      </c>
      <c r="C8231" s="549" t="s">
        <v>5853</v>
      </c>
      <c r="D8231" s="550" t="s">
        <v>1791</v>
      </c>
      <c r="E8231" s="546">
        <f>F8219</f>
        <v>3232</v>
      </c>
      <c r="F8231" s="255">
        <f>'BASIC DATA'!$D$32/1000</f>
        <v>5.35</v>
      </c>
      <c r="G8231" s="559">
        <f>E8231*F8231</f>
        <v>17291.199999999997</v>
      </c>
      <c r="H8231" s="61"/>
      <c r="I8231" s="61"/>
      <c r="J8231" s="61"/>
      <c r="K8231" s="61"/>
    </row>
    <row r="8232" spans="1:11">
      <c r="A8232" s="848"/>
      <c r="B8232" s="614">
        <v>3</v>
      </c>
      <c r="C8232" s="542" t="s">
        <v>6827</v>
      </c>
      <c r="D8232" s="543" t="s">
        <v>2113</v>
      </c>
      <c r="E8232" s="544">
        <f>F8220</f>
        <v>11.22</v>
      </c>
      <c r="F8232" s="284">
        <f>'BASIC DATA'!$D$57</f>
        <v>165</v>
      </c>
      <c r="G8232" s="560">
        <f>E8232*F8232</f>
        <v>1851.3000000000002</v>
      </c>
      <c r="H8232" s="61"/>
      <c r="I8232" s="61"/>
      <c r="J8232" s="61"/>
      <c r="K8232" s="61"/>
    </row>
    <row r="8233" spans="1:11">
      <c r="A8233" s="848"/>
      <c r="B8233" s="596"/>
      <c r="C8233" s="445" t="s">
        <v>3143</v>
      </c>
      <c r="D8233" s="50"/>
      <c r="E8233" s="445"/>
      <c r="F8233" s="445"/>
      <c r="G8233" s="548">
        <f>SUM(G8230:G8232)</f>
        <v>29636.499999999996</v>
      </c>
      <c r="H8233" s="61"/>
      <c r="I8233" s="61"/>
      <c r="J8233" s="61"/>
      <c r="K8233" s="61"/>
    </row>
    <row r="8234" spans="1:11">
      <c r="A8234" s="848"/>
      <c r="B8234" s="382"/>
      <c r="C8234" s="49"/>
      <c r="D8234" s="61"/>
      <c r="E8234" s="61"/>
      <c r="F8234" s="61"/>
      <c r="G8234" s="61"/>
      <c r="H8234" s="61"/>
      <c r="I8234" s="61"/>
      <c r="J8234" s="61"/>
      <c r="K8234" s="61"/>
    </row>
    <row r="8235" spans="1:11" ht="18.75" thickBot="1">
      <c r="A8235" s="848"/>
      <c r="B8235" s="382" t="s">
        <v>3144</v>
      </c>
      <c r="C8235" s="49"/>
      <c r="D8235" s="61"/>
      <c r="E8235" s="61"/>
      <c r="F8235" s="61"/>
      <c r="G8235" s="61"/>
      <c r="H8235" s="61"/>
      <c r="I8235" s="61"/>
      <c r="J8235" s="61"/>
      <c r="K8235" s="61"/>
    </row>
    <row r="8236" spans="1:11" ht="36.75" thickBot="1">
      <c r="A8236" s="848"/>
      <c r="B8236" s="615" t="s">
        <v>2369</v>
      </c>
      <c r="C8236" s="562" t="s">
        <v>2378</v>
      </c>
      <c r="D8236" s="563" t="s">
        <v>2370</v>
      </c>
      <c r="E8236" s="53" t="s">
        <v>1166</v>
      </c>
      <c r="F8236" s="53" t="s">
        <v>6234</v>
      </c>
      <c r="G8236" s="53" t="s">
        <v>3141</v>
      </c>
      <c r="H8236" s="61"/>
      <c r="I8236" s="61"/>
      <c r="J8236" s="61"/>
      <c r="K8236" s="61"/>
    </row>
    <row r="8237" spans="1:11">
      <c r="A8237" s="848"/>
      <c r="B8237" s="616"/>
      <c r="C8237" s="538"/>
      <c r="D8237" s="53"/>
      <c r="E8237" s="53"/>
      <c r="F8237" s="539"/>
      <c r="G8237" s="539"/>
      <c r="H8237" s="61"/>
      <c r="I8237" s="61"/>
      <c r="J8237" s="61"/>
      <c r="K8237" s="61"/>
    </row>
    <row r="8238" spans="1:11">
      <c r="A8238" s="848"/>
      <c r="B8238" s="608">
        <v>1</v>
      </c>
      <c r="C8238" s="537" t="s">
        <v>1130</v>
      </c>
      <c r="D8238" s="539"/>
      <c r="E8238" s="564">
        <v>0</v>
      </c>
      <c r="F8238" s="564">
        <v>0</v>
      </c>
      <c r="G8238" s="558">
        <f>E8238*F8238</f>
        <v>0</v>
      </c>
      <c r="H8238" s="61"/>
      <c r="I8238" s="61"/>
      <c r="J8238" s="61"/>
      <c r="K8238" s="61"/>
    </row>
    <row r="8239" spans="1:11">
      <c r="A8239" s="848"/>
      <c r="B8239" s="611"/>
      <c r="C8239" s="542"/>
      <c r="D8239" s="550"/>
      <c r="E8239" s="565"/>
      <c r="F8239" s="566"/>
      <c r="G8239" s="544"/>
      <c r="H8239" s="61"/>
      <c r="I8239" s="61"/>
      <c r="J8239" s="61"/>
      <c r="K8239" s="61"/>
    </row>
    <row r="8240" spans="1:11" ht="36">
      <c r="A8240" s="848"/>
      <c r="B8240" s="596"/>
      <c r="C8240" s="445" t="s">
        <v>3145</v>
      </c>
      <c r="D8240" s="445"/>
      <c r="E8240" s="445"/>
      <c r="F8240" s="431"/>
      <c r="G8240" s="567">
        <f>SUM(G8238:G8239)</f>
        <v>0</v>
      </c>
      <c r="H8240" s="61"/>
      <c r="I8240" s="61"/>
      <c r="J8240" s="61"/>
      <c r="K8240" s="61"/>
    </row>
    <row r="8241" spans="1:11">
      <c r="A8241" s="848"/>
      <c r="B8241" s="382"/>
      <c r="C8241" s="49"/>
      <c r="D8241" s="61"/>
      <c r="E8241" s="61"/>
      <c r="F8241" s="61"/>
      <c r="G8241" s="61"/>
      <c r="H8241" s="61"/>
      <c r="I8241" s="61"/>
      <c r="J8241" s="61"/>
      <c r="K8241" s="61"/>
    </row>
    <row r="8242" spans="1:11" ht="18.75" thickBot="1">
      <c r="A8242" s="848"/>
      <c r="B8242" s="382" t="s">
        <v>3146</v>
      </c>
      <c r="C8242" s="49"/>
      <c r="D8242" s="61"/>
      <c r="E8242" s="61"/>
      <c r="F8242" s="61"/>
      <c r="G8242" s="61"/>
      <c r="H8242" s="61"/>
      <c r="I8242" s="61"/>
      <c r="J8242" s="61"/>
      <c r="K8242" s="61"/>
    </row>
    <row r="8243" spans="1:11" ht="36.75" thickBot="1">
      <c r="A8243" s="848"/>
      <c r="B8243" s="615" t="s">
        <v>2369</v>
      </c>
      <c r="C8243" s="562" t="s">
        <v>2378</v>
      </c>
      <c r="D8243" s="563" t="s">
        <v>2370</v>
      </c>
      <c r="E8243" s="539" t="s">
        <v>1166</v>
      </c>
      <c r="F8243" s="539" t="s">
        <v>6234</v>
      </c>
      <c r="G8243" s="539" t="s">
        <v>3141</v>
      </c>
      <c r="H8243" s="61"/>
      <c r="I8243" s="61"/>
      <c r="J8243" s="61"/>
      <c r="K8243" s="61"/>
    </row>
    <row r="8244" spans="1:11" ht="18.75" thickBot="1">
      <c r="A8244" s="848"/>
      <c r="B8244" s="615"/>
      <c r="C8244" s="562"/>
      <c r="D8244" s="568"/>
      <c r="E8244" s="561"/>
      <c r="F8244" s="569"/>
      <c r="G8244" s="562"/>
      <c r="H8244" s="61"/>
      <c r="I8244" s="61"/>
      <c r="J8244" s="61"/>
      <c r="K8244" s="61"/>
    </row>
    <row r="8245" spans="1:11">
      <c r="A8245" s="848"/>
      <c r="B8245" s="611">
        <v>1</v>
      </c>
      <c r="C8245" s="549" t="s">
        <v>5606</v>
      </c>
      <c r="D8245" s="539" t="s">
        <v>1172</v>
      </c>
      <c r="E8245" s="546">
        <v>0.54</v>
      </c>
      <c r="F8245" s="255">
        <f>'BASIC DATA'!$C$474</f>
        <v>445</v>
      </c>
      <c r="G8245" s="450">
        <f>E8245*F8245</f>
        <v>240.3</v>
      </c>
      <c r="H8245" s="61"/>
      <c r="I8245" s="61"/>
      <c r="J8245" s="61"/>
      <c r="K8245" s="61"/>
    </row>
    <row r="8246" spans="1:11">
      <c r="A8246" s="848"/>
      <c r="B8246" s="611">
        <v>2</v>
      </c>
      <c r="C8246" s="549" t="s">
        <v>5607</v>
      </c>
      <c r="D8246" s="550" t="s">
        <v>1172</v>
      </c>
      <c r="E8246" s="546">
        <v>1.26</v>
      </c>
      <c r="F8246" s="255">
        <f>'BASIC DATA'!$C$541</f>
        <v>400</v>
      </c>
      <c r="G8246" s="450">
        <f>E8246*F8246</f>
        <v>504</v>
      </c>
      <c r="H8246" s="61"/>
      <c r="I8246" s="61"/>
      <c r="J8246" s="61"/>
      <c r="K8246" s="61"/>
    </row>
    <row r="8247" spans="1:11" ht="18.75" thickBot="1">
      <c r="A8247" s="848"/>
      <c r="B8247" s="611">
        <v>3</v>
      </c>
      <c r="C8247" s="549" t="s">
        <v>4647</v>
      </c>
      <c r="D8247" s="550" t="s">
        <v>1172</v>
      </c>
      <c r="E8247" s="546">
        <v>2.8</v>
      </c>
      <c r="F8247" s="546">
        <f>'BASIC DATA'!$C$552</f>
        <v>350</v>
      </c>
      <c r="G8247" s="450">
        <f>E8247*F8247</f>
        <v>979.99999999999989</v>
      </c>
      <c r="H8247" s="61"/>
      <c r="I8247" s="61"/>
      <c r="J8247" s="61"/>
      <c r="K8247" s="61"/>
    </row>
    <row r="8248" spans="1:11" ht="36.75" thickBot="1">
      <c r="A8248" s="848"/>
      <c r="B8248" s="596"/>
      <c r="C8248" s="445" t="s">
        <v>3147</v>
      </c>
      <c r="D8248" s="445"/>
      <c r="E8248" s="445"/>
      <c r="F8248" s="445"/>
      <c r="G8248" s="570">
        <f>SUM(G8245:G8247)</f>
        <v>1724.2999999999997</v>
      </c>
      <c r="H8248" s="61"/>
      <c r="I8248" s="61"/>
      <c r="J8248" s="61"/>
      <c r="K8248" s="61"/>
    </row>
    <row r="8249" spans="1:11">
      <c r="A8249" s="848"/>
      <c r="B8249" s="359" t="s">
        <v>5948</v>
      </c>
      <c r="C8249" s="49"/>
      <c r="D8249" s="31"/>
      <c r="E8249" s="85">
        <f>ROUND(G8248/F8226,1)</f>
        <v>17.2</v>
      </c>
      <c r="F8249" s="61"/>
      <c r="G8249" s="61"/>
      <c r="H8249" s="61"/>
      <c r="I8249" s="61"/>
      <c r="J8249" s="61"/>
      <c r="K8249" s="61"/>
    </row>
    <row r="8250" spans="1:11">
      <c r="A8250" s="848"/>
      <c r="B8250" s="359" t="s">
        <v>3163</v>
      </c>
      <c r="C8250" s="49"/>
      <c r="D8250" s="922">
        <f>'BASIC DATA'!$C$577</f>
        <v>0.13614999999999999</v>
      </c>
      <c r="E8250" s="85">
        <f>ROUND(E8249*D8250,1)</f>
        <v>2.2999999999999998</v>
      </c>
      <c r="F8250" s="61"/>
      <c r="G8250" s="61"/>
      <c r="H8250" s="61"/>
      <c r="I8250" s="61"/>
      <c r="J8250" s="61"/>
      <c r="K8250" s="61"/>
    </row>
    <row r="8251" spans="1:11">
      <c r="A8251" s="848"/>
      <c r="B8251" s="359" t="s">
        <v>5949</v>
      </c>
      <c r="C8251" s="49"/>
      <c r="D8251" s="31"/>
      <c r="E8251" s="199">
        <f>ROUND(E8250+E8249,1)</f>
        <v>19.5</v>
      </c>
      <c r="F8251" s="61"/>
      <c r="G8251" s="61"/>
      <c r="H8251" s="61"/>
      <c r="I8251" s="61"/>
      <c r="J8251" s="61"/>
      <c r="K8251" s="61"/>
    </row>
    <row r="8252" spans="1:11">
      <c r="A8252" s="848"/>
      <c r="B8252" s="382"/>
      <c r="C8252" s="49"/>
      <c r="D8252" s="61"/>
      <c r="E8252" s="61"/>
      <c r="F8252" s="61"/>
      <c r="G8252" s="61"/>
      <c r="H8252" s="61"/>
      <c r="I8252" s="61"/>
      <c r="J8252" s="61"/>
      <c r="K8252" s="61"/>
    </row>
    <row r="8253" spans="1:11">
      <c r="A8253" s="848"/>
      <c r="B8253" s="382" t="s">
        <v>6765</v>
      </c>
      <c r="C8253" s="49"/>
      <c r="D8253" s="61"/>
      <c r="E8253" s="61"/>
      <c r="F8253" s="61"/>
      <c r="G8253" s="61"/>
      <c r="H8253" s="61"/>
      <c r="I8253" s="61"/>
      <c r="J8253" s="61"/>
      <c r="K8253" s="61"/>
    </row>
    <row r="8254" spans="1:11">
      <c r="A8254" s="848"/>
      <c r="B8254" s="382" t="s">
        <v>9614</v>
      </c>
      <c r="C8254" s="49"/>
      <c r="D8254" s="61"/>
      <c r="E8254" s="61"/>
      <c r="F8254" s="222" t="s">
        <v>1173</v>
      </c>
      <c r="G8254" s="435">
        <f>G8233</f>
        <v>29636.499999999996</v>
      </c>
      <c r="H8254" s="61"/>
      <c r="I8254" s="61"/>
      <c r="J8254" s="61"/>
      <c r="K8254" s="61"/>
    </row>
    <row r="8255" spans="1:11">
      <c r="A8255" s="848"/>
      <c r="B8255" s="382" t="s">
        <v>1186</v>
      </c>
      <c r="C8255" s="49"/>
      <c r="D8255" s="61"/>
      <c r="E8255" s="61"/>
      <c r="F8255" s="222" t="s">
        <v>1173</v>
      </c>
      <c r="G8255" s="435">
        <f>G8240</f>
        <v>0</v>
      </c>
      <c r="H8255" s="61"/>
      <c r="I8255" s="61"/>
      <c r="J8255" s="61"/>
      <c r="K8255" s="61"/>
    </row>
    <row r="8256" spans="1:11">
      <c r="A8256" s="848"/>
      <c r="B8256" s="382" t="s">
        <v>3149</v>
      </c>
      <c r="C8256" s="49"/>
      <c r="D8256" s="61"/>
      <c r="E8256" s="61"/>
      <c r="F8256" s="222" t="s">
        <v>1173</v>
      </c>
      <c r="G8256" s="435">
        <f>G8248</f>
        <v>1724.2999999999997</v>
      </c>
      <c r="H8256" s="61"/>
      <c r="I8256" s="61"/>
      <c r="J8256" s="61"/>
      <c r="K8256" s="61"/>
    </row>
    <row r="8257" spans="1:11">
      <c r="A8257" s="848"/>
      <c r="B8257" s="62"/>
      <c r="C8257" s="49"/>
      <c r="D8257" s="61"/>
      <c r="E8257" s="222" t="s">
        <v>4835</v>
      </c>
      <c r="F8257" s="222" t="s">
        <v>1173</v>
      </c>
      <c r="G8257" s="381">
        <f>SUM(G8254:G8256)</f>
        <v>31360.799999999996</v>
      </c>
      <c r="H8257" s="61"/>
      <c r="I8257" s="61"/>
      <c r="J8257" s="61"/>
      <c r="K8257" s="61"/>
    </row>
    <row r="8258" spans="1:11" ht="37.5" customHeight="1">
      <c r="A8258" s="848"/>
      <c r="B8258" s="1207" t="s">
        <v>1379</v>
      </c>
      <c r="C8258" s="1207"/>
      <c r="D8258" s="1207"/>
      <c r="E8258" s="922">
        <f>'BASIC DATA'!$C$577</f>
        <v>0.13614999999999999</v>
      </c>
      <c r="F8258" s="171" t="s">
        <v>1698</v>
      </c>
      <c r="G8258" s="31">
        <f>ROUND(G8257*E8258,2)</f>
        <v>4269.7700000000004</v>
      </c>
      <c r="H8258" s="61"/>
      <c r="I8258" s="61"/>
      <c r="J8258" s="61"/>
      <c r="K8258" s="61"/>
    </row>
    <row r="8259" spans="1:11">
      <c r="A8259" s="848"/>
      <c r="B8259" s="47" t="s">
        <v>1191</v>
      </c>
      <c r="C8259" s="48"/>
      <c r="D8259" s="68">
        <f>F8226</f>
        <v>100</v>
      </c>
      <c r="E8259" s="68" t="str">
        <f>G8226</f>
        <v>Sqm</v>
      </c>
      <c r="F8259" s="171" t="s">
        <v>1698</v>
      </c>
      <c r="G8259" s="211">
        <f>G8258+G8257</f>
        <v>35630.569999999992</v>
      </c>
      <c r="H8259" s="61"/>
      <c r="I8259" s="61"/>
      <c r="J8259" s="61"/>
      <c r="K8259" s="61"/>
    </row>
    <row r="8260" spans="1:11">
      <c r="A8260" s="848"/>
      <c r="B8260" s="79" t="s">
        <v>1584</v>
      </c>
      <c r="C8260" s="404" t="str">
        <f>E8259</f>
        <v>Sqm</v>
      </c>
      <c r="D8260" s="26" t="s">
        <v>5882</v>
      </c>
      <c r="F8260" s="171" t="s">
        <v>4108</v>
      </c>
      <c r="G8260" s="211">
        <f>ROUND(G8259/D8259,1)</f>
        <v>356.3</v>
      </c>
      <c r="H8260" s="61"/>
      <c r="I8260" s="61"/>
      <c r="J8260" s="61"/>
      <c r="K8260" s="61"/>
    </row>
    <row r="8261" spans="1:11" ht="36">
      <c r="A8261" s="848"/>
      <c r="B8261" s="382" t="s">
        <v>1237</v>
      </c>
      <c r="C8261" s="49" t="s">
        <v>7991</v>
      </c>
      <c r="D8261" s="61"/>
      <c r="E8261" s="61"/>
      <c r="F8261" s="61" t="s">
        <v>3272</v>
      </c>
      <c r="G8261" s="435">
        <f>G7797</f>
        <v>49.6</v>
      </c>
      <c r="H8261" s="61"/>
      <c r="I8261" s="61"/>
      <c r="J8261" s="61"/>
      <c r="K8261" s="61"/>
    </row>
    <row r="8262" spans="1:11" ht="36">
      <c r="A8262" s="848"/>
      <c r="B8262" s="382"/>
      <c r="C8262" s="49" t="s">
        <v>7992</v>
      </c>
      <c r="D8262" s="61"/>
      <c r="E8262" s="61"/>
      <c r="F8262" s="61"/>
      <c r="G8262" s="61"/>
      <c r="H8262" s="61"/>
      <c r="I8262" s="61"/>
      <c r="J8262" s="61"/>
      <c r="K8262" s="61"/>
    </row>
    <row r="8263" spans="1:11">
      <c r="A8263" s="847"/>
      <c r="B8263" s="78"/>
      <c r="C8263" s="48"/>
    </row>
    <row r="8264" spans="1:11">
      <c r="A8264" s="847"/>
      <c r="B8264" s="78"/>
      <c r="C8264" s="48"/>
    </row>
    <row r="8265" spans="1:11">
      <c r="A8265" s="841" t="s">
        <v>7523</v>
      </c>
      <c r="B8265" s="47" t="s">
        <v>8880</v>
      </c>
      <c r="C8265" s="48"/>
    </row>
    <row r="8266" spans="1:11">
      <c r="A8266" s="889"/>
      <c r="B8266" s="47" t="s">
        <v>8881</v>
      </c>
      <c r="C8266" s="48"/>
    </row>
    <row r="8267" spans="1:11">
      <c r="A8267" s="895"/>
      <c r="B8267" s="47" t="s">
        <v>8882</v>
      </c>
      <c r="C8267" s="48"/>
    </row>
    <row r="8268" spans="1:11">
      <c r="A8268" s="889"/>
      <c r="B8268" s="162" t="s">
        <v>5391</v>
      </c>
      <c r="C8268" s="48"/>
    </row>
    <row r="8269" spans="1:11">
      <c r="A8269" s="889"/>
      <c r="B8269" s="162" t="s">
        <v>5392</v>
      </c>
      <c r="C8269" s="48"/>
      <c r="F8269" s="78"/>
    </row>
    <row r="8270" spans="1:11" ht="36" hidden="1">
      <c r="A8270" s="889" t="s">
        <v>3984</v>
      </c>
      <c r="B8270" s="78"/>
      <c r="C8270" s="48" t="s">
        <v>2285</v>
      </c>
    </row>
    <row r="8271" spans="1:11" hidden="1">
      <c r="A8271" s="847"/>
      <c r="B8271" s="78"/>
      <c r="C8271" s="48" t="s">
        <v>2282</v>
      </c>
      <c r="F8271" s="78" t="s">
        <v>1697</v>
      </c>
      <c r="G8271" s="26">
        <v>1200</v>
      </c>
      <c r="H8271" s="26" t="s">
        <v>3032</v>
      </c>
    </row>
    <row r="8272" spans="1:11" hidden="1">
      <c r="A8272" s="847"/>
      <c r="B8272" s="78"/>
      <c r="C8272" s="48" t="s">
        <v>2286</v>
      </c>
      <c r="F8272" s="78" t="s">
        <v>1697</v>
      </c>
      <c r="G8272" s="26">
        <v>200</v>
      </c>
      <c r="H8272" s="26" t="s">
        <v>3032</v>
      </c>
    </row>
    <row r="8273" spans="1:9" hidden="1">
      <c r="A8273" s="847"/>
      <c r="B8273" s="78"/>
      <c r="C8273" s="48" t="s">
        <v>4074</v>
      </c>
      <c r="F8273" s="78" t="s">
        <v>1697</v>
      </c>
      <c r="G8273" s="68">
        <v>4.5</v>
      </c>
      <c r="H8273" s="26" t="s">
        <v>6901</v>
      </c>
    </row>
    <row r="8274" spans="1:9" ht="36" hidden="1">
      <c r="A8274" s="847"/>
      <c r="B8274" s="78"/>
      <c r="C8274" s="48" t="s">
        <v>2287</v>
      </c>
      <c r="F8274" s="78"/>
    </row>
    <row r="8275" spans="1:9" ht="36" hidden="1">
      <c r="A8275" s="847"/>
      <c r="B8275" s="78"/>
      <c r="C8275" s="48" t="s">
        <v>4625</v>
      </c>
      <c r="F8275" s="78" t="s">
        <v>1697</v>
      </c>
      <c r="G8275" s="26">
        <v>5</v>
      </c>
      <c r="H8275" s="26" t="s">
        <v>3436</v>
      </c>
    </row>
    <row r="8276" spans="1:9" hidden="1">
      <c r="A8276" s="847"/>
      <c r="B8276" s="78"/>
      <c r="C8276" s="48" t="s">
        <v>884</v>
      </c>
      <c r="F8276" s="78" t="s">
        <v>1697</v>
      </c>
      <c r="G8276" s="26">
        <v>5</v>
      </c>
      <c r="H8276" s="26" t="s">
        <v>3436</v>
      </c>
    </row>
    <row r="8277" spans="1:9" ht="36" hidden="1">
      <c r="A8277" s="847"/>
      <c r="B8277" s="78"/>
      <c r="C8277" s="48" t="s">
        <v>881</v>
      </c>
      <c r="F8277" s="78" t="s">
        <v>1697</v>
      </c>
      <c r="G8277" s="26">
        <v>1</v>
      </c>
      <c r="H8277" s="26" t="s">
        <v>1553</v>
      </c>
    </row>
    <row r="8278" spans="1:9">
      <c r="A8278" s="847"/>
      <c r="B8278" s="78"/>
      <c r="C8278" s="48"/>
    </row>
    <row r="8279" spans="1:9">
      <c r="A8279" s="891" t="s">
        <v>3984</v>
      </c>
      <c r="B8279" s="78"/>
      <c r="C8279" s="349" t="s">
        <v>2367</v>
      </c>
      <c r="E8279" s="171" t="s">
        <v>297</v>
      </c>
      <c r="F8279" s="246">
        <v>100</v>
      </c>
      <c r="G8279" s="26" t="s">
        <v>3479</v>
      </c>
    </row>
    <row r="8280" spans="1:9">
      <c r="A8280" s="847"/>
      <c r="B8280" s="79" t="s">
        <v>2368</v>
      </c>
      <c r="C8280" s="48"/>
    </row>
    <row r="8281" spans="1:9">
      <c r="A8281" s="847"/>
      <c r="B8281" s="95" t="s">
        <v>2369</v>
      </c>
      <c r="C8281" s="350" t="s">
        <v>6374</v>
      </c>
      <c r="D8281" s="95" t="s">
        <v>2370</v>
      </c>
      <c r="E8281" s="95" t="s">
        <v>1166</v>
      </c>
      <c r="F8281" s="95" t="s">
        <v>2371</v>
      </c>
      <c r="G8281" s="95" t="s">
        <v>2372</v>
      </c>
    </row>
    <row r="8282" spans="1:9">
      <c r="A8282" s="847"/>
      <c r="B8282" s="114"/>
      <c r="C8282" s="351"/>
      <c r="D8282" s="114"/>
      <c r="E8282" s="114"/>
      <c r="F8282" s="114" t="s">
        <v>3485</v>
      </c>
      <c r="G8282" s="114" t="s">
        <v>3485</v>
      </c>
    </row>
    <row r="8283" spans="1:9" ht="18.75" thickBot="1">
      <c r="A8283" s="847"/>
      <c r="B8283" s="95">
        <v>1</v>
      </c>
      <c r="C8283" s="86" t="s">
        <v>2282</v>
      </c>
      <c r="D8283" s="451" t="s">
        <v>2059</v>
      </c>
      <c r="E8283" s="220">
        <v>1200</v>
      </c>
      <c r="F8283" s="214">
        <f>'BASIC DATA'!$D$78</f>
        <v>15</v>
      </c>
      <c r="G8283" s="449">
        <f>E8283*F8283</f>
        <v>18000</v>
      </c>
    </row>
    <row r="8284" spans="1:9" ht="36">
      <c r="A8284" s="847"/>
      <c r="B8284" s="453">
        <v>2</v>
      </c>
      <c r="C8284" s="571" t="s">
        <v>4626</v>
      </c>
      <c r="D8284" s="572" t="s">
        <v>2059</v>
      </c>
      <c r="E8284" s="456">
        <v>200</v>
      </c>
      <c r="F8284" s="457">
        <f>'BASIC DATA'!$D$104</f>
        <v>22</v>
      </c>
      <c r="G8284" s="458">
        <f>E8284*F8284</f>
        <v>4400</v>
      </c>
    </row>
    <row r="8285" spans="1:9" ht="18.75" thickBot="1">
      <c r="A8285" s="847"/>
      <c r="B8285" s="459">
        <v>3</v>
      </c>
      <c r="C8285" s="573" t="s">
        <v>1358</v>
      </c>
      <c r="D8285" s="574" t="s">
        <v>3477</v>
      </c>
      <c r="E8285" s="462">
        <v>4.5</v>
      </c>
      <c r="F8285" s="575">
        <f>'BASIC DATA'!$D$96</f>
        <v>350</v>
      </c>
      <c r="G8285" s="464">
        <f>E8285*F8285</f>
        <v>1575</v>
      </c>
    </row>
    <row r="8286" spans="1:9">
      <c r="A8286" s="847"/>
      <c r="B8286" s="92"/>
      <c r="C8286" s="353" t="s">
        <v>2376</v>
      </c>
      <c r="D8286" s="159"/>
      <c r="E8286" s="238"/>
      <c r="F8286" s="236" t="s">
        <v>1698</v>
      </c>
      <c r="G8286" s="318">
        <f>SUM(G8283:G8285)</f>
        <v>23975</v>
      </c>
    </row>
    <row r="8287" spans="1:9">
      <c r="A8287" s="847"/>
      <c r="B8287" s="78"/>
      <c r="C8287" s="48"/>
      <c r="I8287" s="61"/>
    </row>
    <row r="8288" spans="1:9">
      <c r="A8288" s="847"/>
      <c r="B8288" s="79" t="s">
        <v>2377</v>
      </c>
      <c r="C8288" s="48"/>
      <c r="I8288" s="61"/>
    </row>
    <row r="8289" spans="1:8">
      <c r="A8289" s="847"/>
      <c r="B8289" s="95" t="s">
        <v>2369</v>
      </c>
      <c r="C8289" s="350" t="s">
        <v>2378</v>
      </c>
      <c r="D8289" s="95" t="s">
        <v>2370</v>
      </c>
      <c r="E8289" s="95" t="s">
        <v>1166</v>
      </c>
      <c r="F8289" s="95" t="s">
        <v>2371</v>
      </c>
      <c r="G8289" s="95" t="s">
        <v>2372</v>
      </c>
    </row>
    <row r="8290" spans="1:8">
      <c r="A8290" s="847"/>
      <c r="B8290" s="114"/>
      <c r="C8290" s="351"/>
      <c r="D8290" s="114"/>
      <c r="E8290" s="114"/>
      <c r="F8290" s="114" t="s">
        <v>3485</v>
      </c>
      <c r="G8290" s="114" t="s">
        <v>3485</v>
      </c>
    </row>
    <row r="8291" spans="1:8">
      <c r="A8291" s="847"/>
      <c r="B8291" s="95">
        <v>1</v>
      </c>
      <c r="C8291" s="103" t="s">
        <v>4168</v>
      </c>
      <c r="D8291" s="95"/>
      <c r="E8291" s="220">
        <v>0</v>
      </c>
      <c r="F8291" s="214">
        <v>0</v>
      </c>
      <c r="G8291" s="449">
        <f>E8291*F8291</f>
        <v>0</v>
      </c>
    </row>
    <row r="8292" spans="1:8">
      <c r="A8292" s="847"/>
      <c r="B8292" s="116"/>
      <c r="C8292" s="113"/>
      <c r="D8292" s="114"/>
      <c r="E8292" s="220">
        <v>0</v>
      </c>
      <c r="F8292" s="214">
        <v>0</v>
      </c>
      <c r="G8292" s="449">
        <f>E8292*F8292</f>
        <v>0</v>
      </c>
    </row>
    <row r="8293" spans="1:8">
      <c r="A8293" s="847"/>
      <c r="B8293" s="176"/>
      <c r="C8293" s="357" t="s">
        <v>2380</v>
      </c>
      <c r="D8293" s="174"/>
      <c r="E8293" s="192"/>
      <c r="F8293" s="236" t="s">
        <v>1698</v>
      </c>
      <c r="G8293" s="318">
        <f>SUM(G8291:G8292)</f>
        <v>0</v>
      </c>
    </row>
    <row r="8294" spans="1:8">
      <c r="A8294" s="847"/>
      <c r="B8294" s="78"/>
      <c r="C8294" s="48"/>
    </row>
    <row r="8295" spans="1:8">
      <c r="A8295" s="847"/>
      <c r="B8295" s="79" t="s">
        <v>2381</v>
      </c>
      <c r="C8295" s="48"/>
    </row>
    <row r="8296" spans="1:8">
      <c r="A8296" s="847"/>
      <c r="B8296" s="95" t="s">
        <v>2369</v>
      </c>
      <c r="C8296" s="350" t="s">
        <v>2378</v>
      </c>
      <c r="D8296" s="95" t="s">
        <v>2370</v>
      </c>
      <c r="E8296" s="95" t="s">
        <v>1166</v>
      </c>
      <c r="F8296" s="95" t="s">
        <v>2371</v>
      </c>
      <c r="G8296" s="95" t="s">
        <v>2372</v>
      </c>
    </row>
    <row r="8297" spans="1:8">
      <c r="A8297" s="847"/>
      <c r="B8297" s="237"/>
      <c r="C8297" s="412"/>
      <c r="D8297" s="240"/>
      <c r="E8297" s="237"/>
      <c r="F8297" s="237" t="s">
        <v>3485</v>
      </c>
      <c r="G8297" s="237" t="s">
        <v>3485</v>
      </c>
      <c r="H8297" s="61"/>
    </row>
    <row r="8298" spans="1:8">
      <c r="A8298" s="847"/>
      <c r="B8298" s="240">
        <v>1</v>
      </c>
      <c r="C8298" s="392" t="s">
        <v>4206</v>
      </c>
      <c r="D8298" s="295" t="s">
        <v>1172</v>
      </c>
      <c r="E8298" s="393">
        <v>1</v>
      </c>
      <c r="F8298" s="190">
        <f>'BASIC DATA'!$C$473</f>
        <v>450</v>
      </c>
      <c r="G8298" s="449">
        <f>E8298*F8298</f>
        <v>450</v>
      </c>
      <c r="H8298" s="61"/>
    </row>
    <row r="8299" spans="1:8">
      <c r="A8299" s="847"/>
      <c r="B8299" s="240">
        <v>2</v>
      </c>
      <c r="C8299" s="392" t="s">
        <v>5607</v>
      </c>
      <c r="D8299" s="240" t="s">
        <v>1172</v>
      </c>
      <c r="E8299" s="393">
        <v>5</v>
      </c>
      <c r="F8299" s="190">
        <f>'BASIC DATA'!$C$541</f>
        <v>400</v>
      </c>
      <c r="G8299" s="449">
        <f>E8299*F8299</f>
        <v>2000</v>
      </c>
      <c r="H8299" s="61"/>
    </row>
    <row r="8300" spans="1:8">
      <c r="A8300" s="847"/>
      <c r="B8300" s="240">
        <v>3</v>
      </c>
      <c r="C8300" s="392" t="s">
        <v>2697</v>
      </c>
      <c r="D8300" s="240" t="s">
        <v>1172</v>
      </c>
      <c r="E8300" s="393">
        <v>6</v>
      </c>
      <c r="F8300" s="190">
        <f>'BASIC DATA'!$C$552</f>
        <v>350</v>
      </c>
      <c r="G8300" s="449">
        <f>E8300*F8300</f>
        <v>2100</v>
      </c>
      <c r="H8300" s="61"/>
    </row>
    <row r="8301" spans="1:8">
      <c r="A8301" s="847"/>
      <c r="B8301" s="92"/>
      <c r="C8301" s="353" t="s">
        <v>1174</v>
      </c>
      <c r="D8301" s="159"/>
      <c r="E8301" s="238"/>
      <c r="F8301" s="236" t="s">
        <v>1698</v>
      </c>
      <c r="G8301" s="318">
        <f>SUM(G8298:G8300)</f>
        <v>4550</v>
      </c>
    </row>
    <row r="8302" spans="1:8">
      <c r="A8302" s="847"/>
      <c r="B8302" s="359" t="s">
        <v>5948</v>
      </c>
      <c r="C8302" s="48"/>
      <c r="D8302" s="31"/>
      <c r="E8302" s="85">
        <f>ROUND(G8301/F8279,1)</f>
        <v>45.5</v>
      </c>
    </row>
    <row r="8303" spans="1:8">
      <c r="A8303" s="847"/>
      <c r="B8303" s="359" t="s">
        <v>3163</v>
      </c>
      <c r="C8303" s="48"/>
      <c r="D8303" s="922">
        <f>'BASIC DATA'!$C$577</f>
        <v>0.13614999999999999</v>
      </c>
      <c r="E8303" s="85">
        <f>ROUND(E8302*D8303,1)</f>
        <v>6.2</v>
      </c>
    </row>
    <row r="8304" spans="1:8">
      <c r="A8304" s="847"/>
      <c r="B8304" s="359" t="s">
        <v>5949</v>
      </c>
      <c r="C8304" s="48"/>
      <c r="D8304" s="31"/>
      <c r="E8304" s="199">
        <f>ROUND(E8303+E8302,1)</f>
        <v>51.7</v>
      </c>
    </row>
    <row r="8305" spans="1:8">
      <c r="A8305" s="847"/>
      <c r="C8305" s="48"/>
    </row>
    <row r="8306" spans="1:8">
      <c r="A8306" s="847"/>
      <c r="B8306" s="162" t="s">
        <v>1175</v>
      </c>
      <c r="C8306" s="48"/>
    </row>
    <row r="8307" spans="1:8">
      <c r="A8307" s="847"/>
      <c r="B8307" s="47" t="s">
        <v>1176</v>
      </c>
      <c r="C8307" s="48"/>
      <c r="F8307" s="171" t="s">
        <v>1698</v>
      </c>
      <c r="G8307" s="68">
        <f>G8286</f>
        <v>23975</v>
      </c>
    </row>
    <row r="8308" spans="1:8">
      <c r="A8308" s="847"/>
      <c r="B8308" s="382" t="s">
        <v>1186</v>
      </c>
      <c r="C8308" s="48"/>
      <c r="D8308" s="61"/>
      <c r="E8308" s="61"/>
      <c r="F8308" s="222" t="s">
        <v>1698</v>
      </c>
      <c r="G8308" s="223">
        <f>G8293</f>
        <v>0</v>
      </c>
      <c r="H8308" s="61"/>
    </row>
    <row r="8309" spans="1:8">
      <c r="A8309" s="847"/>
      <c r="B8309" s="382" t="s">
        <v>2660</v>
      </c>
      <c r="C8309" s="48"/>
      <c r="D8309" s="61"/>
      <c r="E8309" s="61"/>
      <c r="F8309" s="222" t="s">
        <v>1698</v>
      </c>
      <c r="G8309" s="321">
        <f>G8301</f>
        <v>4550</v>
      </c>
      <c r="H8309" s="61"/>
    </row>
    <row r="8310" spans="1:8">
      <c r="A8310" s="847"/>
      <c r="B8310" s="78"/>
      <c r="C8310" s="48"/>
      <c r="E8310" s="171" t="s">
        <v>4835</v>
      </c>
      <c r="F8310" s="171" t="s">
        <v>1173</v>
      </c>
      <c r="G8310" s="205">
        <f>SUM(G8307:G8309)</f>
        <v>28525</v>
      </c>
    </row>
    <row r="8311" spans="1:8" ht="38.25" customHeight="1">
      <c r="A8311" s="847"/>
      <c r="B8311" s="1207" t="s">
        <v>1379</v>
      </c>
      <c r="C8311" s="1207"/>
      <c r="D8311" s="1207"/>
      <c r="E8311" s="922">
        <f>'BASIC DATA'!$C$577</f>
        <v>0.13614999999999999</v>
      </c>
      <c r="F8311" s="171" t="s">
        <v>1698</v>
      </c>
      <c r="G8311" s="31">
        <f>ROUND(G8310*E8311,2)</f>
        <v>3883.68</v>
      </c>
    </row>
    <row r="8312" spans="1:8">
      <c r="A8312" s="847"/>
      <c r="B8312" s="47" t="s">
        <v>1191</v>
      </c>
      <c r="C8312" s="48"/>
      <c r="D8312" s="68">
        <f>F8279</f>
        <v>100</v>
      </c>
      <c r="E8312" s="68" t="str">
        <f>G8279</f>
        <v>sqm</v>
      </c>
      <c r="F8312" s="171" t="s">
        <v>1698</v>
      </c>
      <c r="G8312" s="211">
        <f>G8311+G8310</f>
        <v>32408.68</v>
      </c>
    </row>
    <row r="8313" spans="1:8">
      <c r="A8313" s="847"/>
      <c r="B8313" s="79" t="s">
        <v>1584</v>
      </c>
      <c r="C8313" s="404" t="str">
        <f>E8312</f>
        <v>sqm</v>
      </c>
      <c r="D8313" s="26" t="s">
        <v>5882</v>
      </c>
      <c r="F8313" s="171" t="s">
        <v>4108</v>
      </c>
      <c r="G8313" s="211">
        <f>ROUND(G8312/D8312,1)</f>
        <v>324.10000000000002</v>
      </c>
      <c r="H8313" s="61"/>
    </row>
    <row r="8314" spans="1:8" ht="36">
      <c r="A8314" s="847"/>
      <c r="B8314" s="62" t="s">
        <v>1237</v>
      </c>
      <c r="C8314" s="49" t="s">
        <v>1238</v>
      </c>
      <c r="D8314" s="61"/>
      <c r="E8314" s="61"/>
      <c r="F8314" s="61"/>
      <c r="G8314" s="223">
        <f>G7797</f>
        <v>49.6</v>
      </c>
      <c r="H8314" s="61"/>
    </row>
    <row r="8315" spans="1:8" ht="36">
      <c r="A8315" s="847"/>
      <c r="B8315" s="78"/>
      <c r="C8315" s="48" t="s">
        <v>7868</v>
      </c>
    </row>
    <row r="8316" spans="1:8">
      <c r="A8316" s="847"/>
      <c r="B8316" s="78"/>
      <c r="C8316" s="48"/>
    </row>
    <row r="8317" spans="1:8">
      <c r="A8317" s="847"/>
      <c r="B8317" s="78"/>
      <c r="C8317" s="48"/>
    </row>
    <row r="8318" spans="1:8" ht="36">
      <c r="A8318" s="841" t="s">
        <v>7524</v>
      </c>
      <c r="B8318" s="47" t="s">
        <v>8883</v>
      </c>
      <c r="C8318" s="48"/>
    </row>
    <row r="8319" spans="1:8">
      <c r="A8319" s="889"/>
      <c r="B8319" s="47" t="s">
        <v>8881</v>
      </c>
      <c r="C8319" s="48"/>
    </row>
    <row r="8320" spans="1:8">
      <c r="A8320" s="895"/>
      <c r="B8320" s="47" t="s">
        <v>8882</v>
      </c>
      <c r="C8320" s="48"/>
    </row>
    <row r="8321" spans="1:8">
      <c r="A8321" s="889"/>
      <c r="B8321" s="162" t="s">
        <v>4216</v>
      </c>
      <c r="C8321" s="48"/>
    </row>
    <row r="8322" spans="1:8">
      <c r="A8322" s="889"/>
      <c r="B8322" s="162" t="s">
        <v>4217</v>
      </c>
      <c r="C8322" s="48"/>
      <c r="F8322" s="78"/>
    </row>
    <row r="8323" spans="1:8">
      <c r="A8323" s="847"/>
      <c r="B8323" s="78"/>
      <c r="C8323" s="48"/>
      <c r="F8323" s="78"/>
    </row>
    <row r="8324" spans="1:8" ht="36" hidden="1">
      <c r="A8324" s="889" t="s">
        <v>3984</v>
      </c>
      <c r="B8324" s="78"/>
      <c r="C8324" s="48" t="s">
        <v>2285</v>
      </c>
    </row>
    <row r="8325" spans="1:8" hidden="1">
      <c r="A8325" s="847"/>
      <c r="B8325" s="78"/>
      <c r="C8325" s="48" t="s">
        <v>2283</v>
      </c>
      <c r="F8325" s="78" t="s">
        <v>1697</v>
      </c>
      <c r="G8325" s="26">
        <v>730</v>
      </c>
      <c r="H8325" s="26" t="s">
        <v>3032</v>
      </c>
    </row>
    <row r="8326" spans="1:8" hidden="1">
      <c r="A8326" s="847"/>
      <c r="B8326" s="78"/>
      <c r="C8326" s="48" t="s">
        <v>2286</v>
      </c>
      <c r="F8326" s="78" t="s">
        <v>1697</v>
      </c>
      <c r="G8326" s="26">
        <v>200</v>
      </c>
      <c r="H8326" s="26" t="s">
        <v>3032</v>
      </c>
    </row>
    <row r="8327" spans="1:8" hidden="1">
      <c r="A8327" s="847"/>
      <c r="B8327" s="78"/>
      <c r="C8327" s="48" t="s">
        <v>878</v>
      </c>
      <c r="F8327" s="78" t="s">
        <v>1697</v>
      </c>
      <c r="G8327" s="26">
        <v>6.75</v>
      </c>
      <c r="H8327" s="26" t="s">
        <v>6901</v>
      </c>
    </row>
    <row r="8328" spans="1:8" ht="36" hidden="1">
      <c r="A8328" s="847"/>
      <c r="B8328" s="78"/>
      <c r="C8328" s="48" t="s">
        <v>2287</v>
      </c>
      <c r="F8328" s="78"/>
    </row>
    <row r="8329" spans="1:8" ht="36" hidden="1">
      <c r="A8329" s="847"/>
      <c r="B8329" s="78"/>
      <c r="C8329" s="48" t="s">
        <v>4625</v>
      </c>
      <c r="F8329" s="78" t="s">
        <v>1697</v>
      </c>
      <c r="G8329" s="26">
        <v>5</v>
      </c>
      <c r="H8329" s="26" t="s">
        <v>3436</v>
      </c>
    </row>
    <row r="8330" spans="1:8" ht="36" hidden="1">
      <c r="A8330" s="847"/>
      <c r="B8330" s="78"/>
      <c r="C8330" s="48" t="s">
        <v>821</v>
      </c>
      <c r="F8330" s="78" t="s">
        <v>1697</v>
      </c>
      <c r="G8330" s="26">
        <v>2</v>
      </c>
      <c r="H8330" s="26" t="s">
        <v>3436</v>
      </c>
    </row>
    <row r="8331" spans="1:8" hidden="1">
      <c r="A8331" s="847"/>
      <c r="B8331" s="78"/>
      <c r="C8331" s="48" t="s">
        <v>3116</v>
      </c>
      <c r="F8331" s="78" t="s">
        <v>1697</v>
      </c>
      <c r="G8331" s="26">
        <v>7</v>
      </c>
      <c r="H8331" s="26" t="s">
        <v>3436</v>
      </c>
    </row>
    <row r="8332" spans="1:8" ht="36" hidden="1">
      <c r="A8332" s="847"/>
      <c r="B8332" s="78"/>
      <c r="C8332" s="48" t="s">
        <v>881</v>
      </c>
      <c r="F8332" s="78" t="s">
        <v>1697</v>
      </c>
      <c r="G8332" s="26">
        <v>2</v>
      </c>
      <c r="H8332" s="26" t="s">
        <v>3436</v>
      </c>
    </row>
    <row r="8333" spans="1:8">
      <c r="A8333" s="847"/>
      <c r="B8333" s="78"/>
      <c r="C8333" s="48"/>
    </row>
    <row r="8334" spans="1:8">
      <c r="A8334" s="891" t="s">
        <v>3984</v>
      </c>
      <c r="B8334" s="78"/>
      <c r="C8334" s="349" t="s">
        <v>2367</v>
      </c>
      <c r="E8334" s="171" t="s">
        <v>297</v>
      </c>
      <c r="F8334" s="246">
        <v>100</v>
      </c>
      <c r="G8334" s="26" t="s">
        <v>3479</v>
      </c>
    </row>
    <row r="8335" spans="1:8">
      <c r="A8335" s="847"/>
      <c r="B8335" s="79" t="s">
        <v>2368</v>
      </c>
      <c r="C8335" s="48"/>
    </row>
    <row r="8336" spans="1:8">
      <c r="A8336" s="847"/>
      <c r="B8336" s="95" t="s">
        <v>2369</v>
      </c>
      <c r="C8336" s="350" t="s">
        <v>6374</v>
      </c>
      <c r="D8336" s="95" t="s">
        <v>2370</v>
      </c>
      <c r="E8336" s="95" t="s">
        <v>1166</v>
      </c>
      <c r="F8336" s="95" t="s">
        <v>2371</v>
      </c>
      <c r="G8336" s="95" t="s">
        <v>2372</v>
      </c>
    </row>
    <row r="8337" spans="1:7">
      <c r="A8337" s="847"/>
      <c r="B8337" s="114"/>
      <c r="C8337" s="351"/>
      <c r="D8337" s="114"/>
      <c r="E8337" s="114"/>
      <c r="F8337" s="114" t="s">
        <v>3485</v>
      </c>
      <c r="G8337" s="114" t="s">
        <v>3485</v>
      </c>
    </row>
    <row r="8338" spans="1:7" ht="18" customHeight="1">
      <c r="A8338" s="847"/>
      <c r="B8338" s="95">
        <v>1</v>
      </c>
      <c r="C8338" s="86" t="s">
        <v>2283</v>
      </c>
      <c r="D8338" s="451" t="s">
        <v>2059</v>
      </c>
      <c r="E8338" s="220">
        <v>730</v>
      </c>
      <c r="F8338" s="214">
        <f>'BASIC DATA'!$D$79</f>
        <v>17</v>
      </c>
      <c r="G8338" s="449">
        <f>E8338*F8338</f>
        <v>12410</v>
      </c>
    </row>
    <row r="8339" spans="1:7">
      <c r="A8339" s="847"/>
      <c r="B8339" s="105">
        <v>2</v>
      </c>
      <c r="C8339" s="86" t="s">
        <v>822</v>
      </c>
      <c r="D8339" s="319" t="s">
        <v>2059</v>
      </c>
      <c r="E8339" s="220">
        <v>200</v>
      </c>
      <c r="F8339" s="266">
        <f>'BASIC DATA'!$D$105</f>
        <v>39</v>
      </c>
      <c r="G8339" s="449">
        <f>E8339*F8339</f>
        <v>7800</v>
      </c>
    </row>
    <row r="8340" spans="1:7">
      <c r="A8340" s="847"/>
      <c r="B8340" s="114">
        <v>3</v>
      </c>
      <c r="C8340" s="86" t="s">
        <v>1358</v>
      </c>
      <c r="D8340" s="467" t="s">
        <v>3477</v>
      </c>
      <c r="E8340" s="220">
        <v>6.75</v>
      </c>
      <c r="F8340" s="190">
        <f>'BASIC DATA'!$D$96</f>
        <v>350</v>
      </c>
      <c r="G8340" s="449">
        <f>E8340*F8340</f>
        <v>2362.5</v>
      </c>
    </row>
    <row r="8341" spans="1:7">
      <c r="A8341" s="847"/>
      <c r="B8341" s="92"/>
      <c r="C8341" s="353" t="s">
        <v>2376</v>
      </c>
      <c r="D8341" s="159"/>
      <c r="E8341" s="238"/>
      <c r="F8341" s="236" t="s">
        <v>1698</v>
      </c>
      <c r="G8341" s="318">
        <f>SUM(G8338:G8340)</f>
        <v>22572.5</v>
      </c>
    </row>
    <row r="8342" spans="1:7">
      <c r="A8342" s="847"/>
      <c r="B8342" s="78"/>
      <c r="C8342" s="48"/>
    </row>
    <row r="8343" spans="1:7">
      <c r="A8343" s="847"/>
      <c r="B8343" s="79" t="s">
        <v>2377</v>
      </c>
      <c r="C8343" s="48"/>
    </row>
    <row r="8344" spans="1:7">
      <c r="A8344" s="847"/>
      <c r="B8344" s="95" t="s">
        <v>2369</v>
      </c>
      <c r="C8344" s="350" t="s">
        <v>2378</v>
      </c>
      <c r="D8344" s="95" t="s">
        <v>2370</v>
      </c>
      <c r="E8344" s="95" t="s">
        <v>1166</v>
      </c>
      <c r="F8344" s="95" t="s">
        <v>2371</v>
      </c>
      <c r="G8344" s="95" t="s">
        <v>2372</v>
      </c>
    </row>
    <row r="8345" spans="1:7">
      <c r="A8345" s="847"/>
      <c r="B8345" s="114"/>
      <c r="C8345" s="351"/>
      <c r="D8345" s="114"/>
      <c r="E8345" s="114"/>
      <c r="F8345" s="114" t="s">
        <v>3485</v>
      </c>
      <c r="G8345" s="114" t="s">
        <v>3485</v>
      </c>
    </row>
    <row r="8346" spans="1:7">
      <c r="A8346" s="847"/>
      <c r="B8346" s="95">
        <v>1</v>
      </c>
      <c r="C8346" s="103" t="s">
        <v>4168</v>
      </c>
      <c r="D8346" s="95"/>
      <c r="E8346" s="220">
        <v>0</v>
      </c>
      <c r="F8346" s="214">
        <v>0</v>
      </c>
      <c r="G8346" s="449">
        <f>E8346*F8346</f>
        <v>0</v>
      </c>
    </row>
    <row r="8347" spans="1:7">
      <c r="A8347" s="847"/>
      <c r="B8347" s="116"/>
      <c r="C8347" s="86"/>
      <c r="D8347" s="114"/>
      <c r="E8347" s="220">
        <v>0</v>
      </c>
      <c r="F8347" s="214">
        <v>0</v>
      </c>
      <c r="G8347" s="449">
        <f>E8347*F8347</f>
        <v>0</v>
      </c>
    </row>
    <row r="8348" spans="1:7">
      <c r="A8348" s="847"/>
      <c r="B8348" s="176"/>
      <c r="C8348" s="357" t="s">
        <v>2380</v>
      </c>
      <c r="D8348" s="174"/>
      <c r="E8348" s="192"/>
      <c r="F8348" s="236" t="s">
        <v>1698</v>
      </c>
      <c r="G8348" s="318">
        <f>SUM(G8346:G8347)</f>
        <v>0</v>
      </c>
    </row>
    <row r="8349" spans="1:7">
      <c r="A8349" s="847"/>
      <c r="B8349" s="78"/>
      <c r="C8349" s="48"/>
    </row>
    <row r="8350" spans="1:7">
      <c r="A8350" s="847"/>
      <c r="B8350" s="79" t="s">
        <v>2381</v>
      </c>
      <c r="C8350" s="48"/>
    </row>
    <row r="8351" spans="1:7">
      <c r="A8351" s="847"/>
      <c r="B8351" s="95" t="s">
        <v>2369</v>
      </c>
      <c r="C8351" s="350" t="s">
        <v>2378</v>
      </c>
      <c r="D8351" s="95" t="s">
        <v>2370</v>
      </c>
      <c r="E8351" s="95" t="s">
        <v>1166</v>
      </c>
      <c r="F8351" s="95" t="s">
        <v>2371</v>
      </c>
      <c r="G8351" s="95" t="s">
        <v>2372</v>
      </c>
    </row>
    <row r="8352" spans="1:7">
      <c r="A8352" s="847"/>
      <c r="B8352" s="114"/>
      <c r="C8352" s="351"/>
      <c r="D8352" s="105"/>
      <c r="E8352" s="114"/>
      <c r="F8352" s="114" t="s">
        <v>3485</v>
      </c>
      <c r="G8352" s="114" t="s">
        <v>3485</v>
      </c>
    </row>
    <row r="8353" spans="1:8">
      <c r="A8353" s="847"/>
      <c r="B8353" s="105">
        <v>1</v>
      </c>
      <c r="C8353" s="86" t="s">
        <v>4206</v>
      </c>
      <c r="D8353" s="95" t="s">
        <v>1172</v>
      </c>
      <c r="E8353" s="207">
        <v>1</v>
      </c>
      <c r="F8353" s="190">
        <f>'BASIC DATA'!$C$473</f>
        <v>450</v>
      </c>
      <c r="G8353" s="449">
        <f>E8353*F8353</f>
        <v>450</v>
      </c>
    </row>
    <row r="8354" spans="1:8">
      <c r="A8354" s="847"/>
      <c r="B8354" s="105">
        <v>2</v>
      </c>
      <c r="C8354" s="86" t="s">
        <v>5607</v>
      </c>
      <c r="D8354" s="105" t="s">
        <v>1172</v>
      </c>
      <c r="E8354" s="207">
        <v>7</v>
      </c>
      <c r="F8354" s="190">
        <f>'BASIC DATA'!$C$541</f>
        <v>400</v>
      </c>
      <c r="G8354" s="449">
        <f>E8354*F8354</f>
        <v>2800</v>
      </c>
    </row>
    <row r="8355" spans="1:8">
      <c r="A8355" s="847"/>
      <c r="B8355" s="240">
        <v>3</v>
      </c>
      <c r="C8355" s="392" t="s">
        <v>2697</v>
      </c>
      <c r="D8355" s="240" t="s">
        <v>1172</v>
      </c>
      <c r="E8355" s="393">
        <v>9</v>
      </c>
      <c r="F8355" s="190">
        <f>'BASIC DATA'!$C$552</f>
        <v>350</v>
      </c>
      <c r="G8355" s="449">
        <f>E8355*F8355</f>
        <v>3150</v>
      </c>
      <c r="H8355" s="61"/>
    </row>
    <row r="8356" spans="1:8">
      <c r="A8356" s="847"/>
      <c r="B8356" s="92"/>
      <c r="C8356" s="353" t="s">
        <v>1174</v>
      </c>
      <c r="D8356" s="159"/>
      <c r="E8356" s="238"/>
      <c r="F8356" s="236" t="s">
        <v>1698</v>
      </c>
      <c r="G8356" s="318">
        <f>SUM(G8353:G8355)</f>
        <v>6400</v>
      </c>
    </row>
    <row r="8357" spans="1:8">
      <c r="A8357" s="847"/>
      <c r="B8357" s="359" t="s">
        <v>5948</v>
      </c>
      <c r="C8357" s="48"/>
      <c r="D8357" s="31"/>
      <c r="E8357" s="85">
        <f>ROUND(G8356/F8334,1)</f>
        <v>64</v>
      </c>
    </row>
    <row r="8358" spans="1:8">
      <c r="A8358" s="847"/>
      <c r="B8358" s="359" t="s">
        <v>3163</v>
      </c>
      <c r="C8358" s="48"/>
      <c r="D8358" s="922">
        <f>'BASIC DATA'!$C$577</f>
        <v>0.13614999999999999</v>
      </c>
      <c r="E8358" s="85">
        <f>ROUND(E8357*D8358,1)</f>
        <v>8.6999999999999993</v>
      </c>
    </row>
    <row r="8359" spans="1:8">
      <c r="A8359" s="847"/>
      <c r="B8359" s="359" t="s">
        <v>5949</v>
      </c>
      <c r="C8359" s="48"/>
      <c r="D8359" s="31"/>
      <c r="E8359" s="199">
        <f>ROUND(E8358+E8357,1)</f>
        <v>72.7</v>
      </c>
    </row>
    <row r="8360" spans="1:8">
      <c r="A8360" s="847"/>
      <c r="C8360" s="48"/>
    </row>
    <row r="8361" spans="1:8">
      <c r="A8361" s="847"/>
      <c r="B8361" s="162" t="s">
        <v>1175</v>
      </c>
      <c r="C8361" s="48"/>
    </row>
    <row r="8362" spans="1:8">
      <c r="A8362" s="847"/>
      <c r="B8362" s="47" t="s">
        <v>1176</v>
      </c>
      <c r="C8362" s="48"/>
      <c r="F8362" s="171" t="s">
        <v>1698</v>
      </c>
      <c r="G8362" s="68">
        <f>G8341</f>
        <v>22572.5</v>
      </c>
    </row>
    <row r="8363" spans="1:8">
      <c r="A8363" s="847"/>
      <c r="B8363" s="47" t="s">
        <v>1186</v>
      </c>
      <c r="C8363" s="48"/>
      <c r="F8363" s="171" t="s">
        <v>1698</v>
      </c>
      <c r="G8363" s="68">
        <f>G8348</f>
        <v>0</v>
      </c>
    </row>
    <row r="8364" spans="1:8">
      <c r="A8364" s="847"/>
      <c r="B8364" s="47" t="s">
        <v>2660</v>
      </c>
      <c r="C8364" s="48"/>
      <c r="F8364" s="171" t="s">
        <v>1698</v>
      </c>
      <c r="G8364" s="75">
        <f>G8356</f>
        <v>6400</v>
      </c>
    </row>
    <row r="8365" spans="1:8">
      <c r="A8365" s="847"/>
      <c r="B8365" s="78"/>
      <c r="C8365" s="48"/>
      <c r="E8365" s="171" t="s">
        <v>4835</v>
      </c>
      <c r="F8365" s="171" t="s">
        <v>1173</v>
      </c>
      <c r="G8365" s="205">
        <f>SUM(G8362:G8364)</f>
        <v>28972.5</v>
      </c>
    </row>
    <row r="8366" spans="1:8" ht="39" customHeight="1">
      <c r="A8366" s="847"/>
      <c r="B8366" s="1207" t="s">
        <v>1379</v>
      </c>
      <c r="C8366" s="1207"/>
      <c r="D8366" s="1207"/>
      <c r="E8366" s="922">
        <f>'BASIC DATA'!$C$577</f>
        <v>0.13614999999999999</v>
      </c>
      <c r="F8366" s="171" t="s">
        <v>1698</v>
      </c>
      <c r="G8366" s="31">
        <f>ROUND(G8365*E8366,2)</f>
        <v>3944.61</v>
      </c>
    </row>
    <row r="8367" spans="1:8">
      <c r="A8367" s="847"/>
      <c r="B8367" s="47" t="s">
        <v>1191</v>
      </c>
      <c r="C8367" s="48"/>
      <c r="D8367" s="68">
        <f>F8334</f>
        <v>100</v>
      </c>
      <c r="E8367" s="68" t="str">
        <f>G8334</f>
        <v>sqm</v>
      </c>
      <c r="F8367" s="171" t="s">
        <v>1698</v>
      </c>
      <c r="G8367" s="211">
        <f>G8366+G8365</f>
        <v>32917.11</v>
      </c>
    </row>
    <row r="8368" spans="1:8">
      <c r="A8368" s="847"/>
      <c r="B8368" s="79" t="s">
        <v>1584</v>
      </c>
      <c r="C8368" s="404" t="str">
        <f>E8367</f>
        <v>sqm</v>
      </c>
      <c r="D8368" s="26" t="s">
        <v>5882</v>
      </c>
      <c r="F8368" s="171" t="s">
        <v>4108</v>
      </c>
      <c r="G8368" s="211">
        <f>ROUND(G8367/D8367,1)</f>
        <v>329.2</v>
      </c>
      <c r="H8368" s="61"/>
    </row>
    <row r="8369" spans="1:8" ht="36">
      <c r="A8369" s="847"/>
      <c r="B8369" s="62" t="s">
        <v>1237</v>
      </c>
      <c r="C8369" s="49" t="s">
        <v>1238</v>
      </c>
      <c r="D8369" s="61"/>
      <c r="E8369" s="61"/>
      <c r="F8369" s="61"/>
      <c r="G8369" s="223">
        <f>G7797</f>
        <v>49.6</v>
      </c>
      <c r="H8369" s="61"/>
    </row>
    <row r="8370" spans="1:8" ht="36">
      <c r="A8370" s="847"/>
      <c r="B8370" s="62"/>
      <c r="C8370" s="49" t="s">
        <v>7868</v>
      </c>
      <c r="D8370" s="61"/>
      <c r="E8370" s="61"/>
      <c r="F8370" s="61"/>
      <c r="G8370" s="61"/>
      <c r="H8370" s="61"/>
    </row>
    <row r="8371" spans="1:8">
      <c r="A8371" s="847"/>
      <c r="B8371" s="62"/>
      <c r="C8371" s="49"/>
      <c r="D8371" s="61"/>
      <c r="E8371" s="61"/>
      <c r="F8371" s="61"/>
      <c r="G8371" s="61"/>
      <c r="H8371" s="61"/>
    </row>
    <row r="8372" spans="1:8">
      <c r="A8372" s="847"/>
      <c r="B8372" s="62"/>
      <c r="C8372" s="49"/>
      <c r="D8372" s="61"/>
      <c r="E8372" s="61"/>
      <c r="F8372" s="61"/>
      <c r="G8372" s="61"/>
      <c r="H8372" s="61"/>
    </row>
    <row r="8373" spans="1:8" ht="36">
      <c r="A8373" s="841" t="s">
        <v>7525</v>
      </c>
      <c r="B8373" s="47" t="s">
        <v>8884</v>
      </c>
      <c r="C8373" s="48"/>
    </row>
    <row r="8374" spans="1:8">
      <c r="A8374" s="889"/>
      <c r="B8374" s="47" t="s">
        <v>8885</v>
      </c>
      <c r="C8374" s="48"/>
    </row>
    <row r="8375" spans="1:8">
      <c r="A8375" s="895"/>
      <c r="B8375" s="47" t="s">
        <v>823</v>
      </c>
      <c r="C8375" s="48"/>
    </row>
    <row r="8376" spans="1:8">
      <c r="A8376" s="889"/>
      <c r="B8376" s="47" t="s">
        <v>8886</v>
      </c>
      <c r="C8376" s="48"/>
      <c r="F8376" s="78"/>
    </row>
    <row r="8377" spans="1:8">
      <c r="A8377" s="889"/>
      <c r="B8377" s="162" t="s">
        <v>5391</v>
      </c>
      <c r="C8377" s="48"/>
    </row>
    <row r="8378" spans="1:8">
      <c r="A8378" s="889"/>
      <c r="B8378" s="162" t="s">
        <v>5392</v>
      </c>
      <c r="C8378" s="48"/>
      <c r="F8378" s="78"/>
    </row>
    <row r="8379" spans="1:8">
      <c r="A8379" s="847"/>
      <c r="B8379" s="78"/>
      <c r="C8379" s="48"/>
      <c r="F8379" s="78"/>
    </row>
    <row r="8380" spans="1:8" ht="36" hidden="1">
      <c r="A8380" s="889" t="s">
        <v>3984</v>
      </c>
      <c r="B8380" s="78"/>
      <c r="C8380" s="48" t="s">
        <v>2285</v>
      </c>
    </row>
    <row r="8381" spans="1:8" hidden="1">
      <c r="A8381" s="847"/>
      <c r="B8381" s="78"/>
      <c r="C8381" s="48" t="s">
        <v>2282</v>
      </c>
      <c r="F8381" s="78" t="s">
        <v>1697</v>
      </c>
      <c r="G8381" s="26">
        <v>1200</v>
      </c>
      <c r="H8381" s="26" t="s">
        <v>3032</v>
      </c>
    </row>
    <row r="8382" spans="1:8" ht="36" hidden="1">
      <c r="A8382" s="847"/>
      <c r="B8382" s="78"/>
      <c r="C8382" s="48" t="s">
        <v>7089</v>
      </c>
      <c r="F8382" s="78" t="s">
        <v>1697</v>
      </c>
      <c r="G8382" s="26">
        <v>200</v>
      </c>
      <c r="H8382" s="26" t="s">
        <v>3032</v>
      </c>
    </row>
    <row r="8383" spans="1:8" ht="36" hidden="1">
      <c r="A8383" s="847"/>
      <c r="B8383" s="78"/>
      <c r="C8383" s="48" t="s">
        <v>279</v>
      </c>
      <c r="F8383" s="78" t="s">
        <v>1697</v>
      </c>
      <c r="G8383" s="68">
        <v>4.5</v>
      </c>
      <c r="H8383" s="26" t="s">
        <v>6901</v>
      </c>
    </row>
    <row r="8384" spans="1:8" ht="36" hidden="1">
      <c r="A8384" s="847"/>
      <c r="B8384" s="78"/>
      <c r="C8384" s="48" t="s">
        <v>280</v>
      </c>
      <c r="F8384" s="78" t="s">
        <v>1697</v>
      </c>
      <c r="G8384" s="68">
        <v>9</v>
      </c>
      <c r="H8384" s="26" t="s">
        <v>6901</v>
      </c>
    </row>
    <row r="8385" spans="1:8" hidden="1">
      <c r="A8385" s="847"/>
      <c r="B8385" s="78"/>
      <c r="C8385" s="48" t="s">
        <v>6669</v>
      </c>
      <c r="F8385" s="78" t="s">
        <v>1697</v>
      </c>
      <c r="G8385" s="26">
        <v>2565</v>
      </c>
      <c r="H8385" s="26" t="s">
        <v>3033</v>
      </c>
    </row>
    <row r="8386" spans="1:8" hidden="1">
      <c r="A8386" s="847"/>
      <c r="B8386" s="78"/>
      <c r="C8386" s="48" t="s">
        <v>2791</v>
      </c>
      <c r="F8386" s="78" t="s">
        <v>1697</v>
      </c>
      <c r="G8386" s="68">
        <v>9</v>
      </c>
      <c r="H8386" s="26" t="s">
        <v>6901</v>
      </c>
    </row>
    <row r="8387" spans="1:8" ht="36" hidden="1">
      <c r="A8387" s="847"/>
      <c r="B8387" s="78"/>
      <c r="C8387" s="48" t="s">
        <v>3412</v>
      </c>
      <c r="F8387" s="78" t="s">
        <v>1697</v>
      </c>
      <c r="G8387" s="68">
        <v>0.7</v>
      </c>
      <c r="H8387" s="26" t="s">
        <v>6901</v>
      </c>
    </row>
    <row r="8388" spans="1:8" hidden="1">
      <c r="A8388" s="847"/>
      <c r="B8388" s="78"/>
      <c r="C8388" s="48" t="s">
        <v>6669</v>
      </c>
      <c r="F8388" s="78" t="s">
        <v>1697</v>
      </c>
      <c r="G8388" s="26">
        <v>337</v>
      </c>
      <c r="H8388" s="26" t="s">
        <v>3033</v>
      </c>
    </row>
    <row r="8389" spans="1:8" hidden="1">
      <c r="A8389" s="847"/>
      <c r="B8389" s="78"/>
      <c r="C8389" s="48" t="s">
        <v>2791</v>
      </c>
      <c r="F8389" s="78" t="s">
        <v>1697</v>
      </c>
      <c r="G8389" s="68">
        <v>0.67</v>
      </c>
      <c r="H8389" s="26" t="s">
        <v>6901</v>
      </c>
    </row>
    <row r="8390" spans="1:8" ht="36" hidden="1">
      <c r="A8390" s="847"/>
      <c r="B8390" s="78"/>
      <c r="C8390" s="48" t="s">
        <v>2287</v>
      </c>
      <c r="F8390" s="78"/>
    </row>
    <row r="8391" spans="1:8" ht="36" hidden="1">
      <c r="A8391" s="847"/>
      <c r="B8391" s="62"/>
      <c r="C8391" s="49" t="s">
        <v>3413</v>
      </c>
      <c r="D8391" s="61"/>
      <c r="E8391" s="61"/>
      <c r="F8391" s="62" t="s">
        <v>1697</v>
      </c>
      <c r="G8391" s="61">
        <v>5</v>
      </c>
      <c r="H8391" s="61" t="s">
        <v>3436</v>
      </c>
    </row>
    <row r="8392" spans="1:8" hidden="1">
      <c r="A8392" s="847"/>
      <c r="B8392" s="62"/>
      <c r="C8392" s="49" t="s">
        <v>5862</v>
      </c>
      <c r="D8392" s="61"/>
      <c r="E8392" s="61"/>
      <c r="F8392" s="62" t="s">
        <v>1697</v>
      </c>
      <c r="G8392" s="61">
        <v>5</v>
      </c>
      <c r="H8392" s="61" t="s">
        <v>3436</v>
      </c>
    </row>
    <row r="8393" spans="1:8" hidden="1">
      <c r="A8393" s="847"/>
      <c r="B8393" s="62"/>
      <c r="C8393" s="49" t="s">
        <v>5863</v>
      </c>
      <c r="D8393" s="61"/>
      <c r="E8393" s="61"/>
      <c r="F8393" s="62" t="s">
        <v>1697</v>
      </c>
      <c r="G8393" s="61">
        <v>2</v>
      </c>
      <c r="H8393" s="61" t="s">
        <v>3436</v>
      </c>
    </row>
    <row r="8394" spans="1:8" hidden="1">
      <c r="A8394" s="847"/>
      <c r="B8394" s="62"/>
      <c r="C8394" s="49" t="s">
        <v>1571</v>
      </c>
      <c r="D8394" s="61"/>
      <c r="E8394" s="61"/>
      <c r="F8394" s="62" t="s">
        <v>1697</v>
      </c>
      <c r="G8394" s="61">
        <v>1</v>
      </c>
      <c r="H8394" s="61" t="s">
        <v>3035</v>
      </c>
    </row>
    <row r="8395" spans="1:8" hidden="1">
      <c r="A8395" s="847"/>
      <c r="B8395" s="62"/>
      <c r="C8395" s="49" t="s">
        <v>3117</v>
      </c>
      <c r="D8395" s="61"/>
      <c r="E8395" s="61"/>
      <c r="F8395" s="62" t="s">
        <v>1697</v>
      </c>
      <c r="G8395" s="61">
        <v>2</v>
      </c>
      <c r="H8395" s="61" t="s">
        <v>3436</v>
      </c>
    </row>
    <row r="8396" spans="1:8" hidden="1">
      <c r="A8396" s="847"/>
      <c r="B8396" s="62"/>
      <c r="C8396" s="49" t="s">
        <v>3945</v>
      </c>
      <c r="D8396" s="61"/>
      <c r="E8396" s="61"/>
      <c r="F8396" s="62" t="s">
        <v>1697</v>
      </c>
      <c r="G8396" s="61">
        <v>1</v>
      </c>
      <c r="H8396" s="61" t="s">
        <v>3035</v>
      </c>
    </row>
    <row r="8397" spans="1:8" hidden="1">
      <c r="A8397" s="847"/>
      <c r="B8397" s="62"/>
      <c r="C8397" s="49" t="s">
        <v>684</v>
      </c>
      <c r="D8397" s="61"/>
      <c r="E8397" s="61"/>
      <c r="F8397" s="62" t="s">
        <v>1697</v>
      </c>
      <c r="G8397" s="61">
        <v>4</v>
      </c>
      <c r="H8397" s="61" t="s">
        <v>3436</v>
      </c>
    </row>
    <row r="8398" spans="1:8">
      <c r="A8398" s="847"/>
      <c r="B8398" s="62"/>
      <c r="C8398" s="49"/>
      <c r="D8398" s="61"/>
      <c r="E8398" s="61"/>
      <c r="F8398" s="61"/>
      <c r="G8398" s="61"/>
      <c r="H8398" s="61"/>
    </row>
    <row r="8399" spans="1:8">
      <c r="A8399" s="891" t="s">
        <v>3984</v>
      </c>
      <c r="B8399" s="62"/>
      <c r="C8399" s="518" t="s">
        <v>2367</v>
      </c>
      <c r="D8399" s="61"/>
      <c r="E8399" s="222" t="s">
        <v>297</v>
      </c>
      <c r="F8399" s="519">
        <v>100</v>
      </c>
      <c r="G8399" s="61" t="s">
        <v>3479</v>
      </c>
      <c r="H8399" s="61"/>
    </row>
    <row r="8400" spans="1:8">
      <c r="A8400" s="847"/>
      <c r="B8400" s="410" t="s">
        <v>2368</v>
      </c>
      <c r="C8400" s="49"/>
      <c r="D8400" s="61"/>
      <c r="E8400" s="61"/>
      <c r="F8400" s="61"/>
      <c r="G8400" s="61"/>
      <c r="H8400" s="61"/>
    </row>
    <row r="8401" spans="1:11">
      <c r="A8401" s="847"/>
      <c r="B8401" s="295" t="s">
        <v>2369</v>
      </c>
      <c r="C8401" s="411" t="s">
        <v>6374</v>
      </c>
      <c r="D8401" s="295" t="s">
        <v>2370</v>
      </c>
      <c r="E8401" s="295" t="s">
        <v>1166</v>
      </c>
      <c r="F8401" s="295" t="s">
        <v>2371</v>
      </c>
      <c r="G8401" s="295" t="s">
        <v>2372</v>
      </c>
      <c r="H8401" s="61"/>
    </row>
    <row r="8402" spans="1:11">
      <c r="A8402" s="847"/>
      <c r="B8402" s="237"/>
      <c r="C8402" s="412"/>
      <c r="D8402" s="237"/>
      <c r="E8402" s="237"/>
      <c r="F8402" s="237" t="s">
        <v>3485</v>
      </c>
      <c r="G8402" s="237" t="s">
        <v>3485</v>
      </c>
      <c r="H8402" s="61"/>
    </row>
    <row r="8403" spans="1:11" ht="21" customHeight="1">
      <c r="A8403" s="847"/>
      <c r="B8403" s="295">
        <v>1</v>
      </c>
      <c r="C8403" s="392" t="s">
        <v>2282</v>
      </c>
      <c r="D8403" s="520" t="s">
        <v>2059</v>
      </c>
      <c r="E8403" s="256">
        <v>1200</v>
      </c>
      <c r="F8403" s="214">
        <f>'BASIC DATA'!$D$78</f>
        <v>15</v>
      </c>
      <c r="G8403" s="449">
        <f>E8403*F8403</f>
        <v>18000</v>
      </c>
    </row>
    <row r="8404" spans="1:11">
      <c r="A8404" s="847"/>
      <c r="B8404" s="240">
        <v>2</v>
      </c>
      <c r="C8404" s="392" t="s">
        <v>5584</v>
      </c>
      <c r="D8404" s="452" t="s">
        <v>2059</v>
      </c>
      <c r="E8404" s="256">
        <v>200</v>
      </c>
      <c r="F8404" s="266">
        <f>'BASIC DATA'!$D$104</f>
        <v>22</v>
      </c>
      <c r="G8404" s="449">
        <f>E8404*F8404</f>
        <v>4400</v>
      </c>
    </row>
    <row r="8405" spans="1:11">
      <c r="A8405" s="847"/>
      <c r="B8405" s="240">
        <v>3</v>
      </c>
      <c r="C8405" s="392" t="s">
        <v>155</v>
      </c>
      <c r="D8405" s="452" t="s">
        <v>3477</v>
      </c>
      <c r="E8405" s="256">
        <v>4.5</v>
      </c>
      <c r="F8405" s="190">
        <f>'BASIC DATA'!$D$96</f>
        <v>350</v>
      </c>
      <c r="G8405" s="449">
        <f>E8405*F8405</f>
        <v>1575</v>
      </c>
    </row>
    <row r="8406" spans="1:11">
      <c r="A8406" s="847"/>
      <c r="B8406" s="240">
        <v>4</v>
      </c>
      <c r="C8406" s="392" t="s">
        <v>6669</v>
      </c>
      <c r="D8406" s="452" t="s">
        <v>3478</v>
      </c>
      <c r="E8406" s="256">
        <f>G8385+G8388</f>
        <v>2902</v>
      </c>
      <c r="F8406" s="68">
        <f>'BASIC DATA'!$D$32/1000</f>
        <v>5.35</v>
      </c>
      <c r="G8406" s="449">
        <f>E8406*F8406</f>
        <v>15525.699999999999</v>
      </c>
    </row>
    <row r="8407" spans="1:11">
      <c r="A8407" s="848"/>
      <c r="B8407" s="237">
        <v>5</v>
      </c>
      <c r="C8407" s="392" t="s">
        <v>7937</v>
      </c>
      <c r="D8407" s="521" t="s">
        <v>3477</v>
      </c>
      <c r="E8407" s="256">
        <f>G8386+G8389</f>
        <v>9.67</v>
      </c>
      <c r="F8407" s="266">
        <f>'BASIC DATA'!$D$57</f>
        <v>165</v>
      </c>
      <c r="G8407" s="450">
        <f>E8407*F8407</f>
        <v>1595.55</v>
      </c>
      <c r="H8407" s="61"/>
      <c r="I8407" s="61"/>
      <c r="J8407" s="61"/>
      <c r="K8407" s="61"/>
    </row>
    <row r="8408" spans="1:11">
      <c r="A8408" s="847"/>
      <c r="B8408" s="311"/>
      <c r="C8408" s="387" t="s">
        <v>2376</v>
      </c>
      <c r="D8408" s="388"/>
      <c r="E8408" s="389"/>
      <c r="F8408" s="390" t="s">
        <v>1698</v>
      </c>
      <c r="G8408" s="391">
        <f>SUM(G8403:G8407)</f>
        <v>41096.25</v>
      </c>
      <c r="H8408" s="61"/>
    </row>
    <row r="8409" spans="1:11">
      <c r="A8409" s="847"/>
      <c r="B8409" s="62"/>
      <c r="C8409" s="49"/>
      <c r="D8409" s="61"/>
      <c r="E8409" s="61"/>
      <c r="F8409" s="61"/>
      <c r="G8409" s="61"/>
      <c r="H8409" s="61"/>
    </row>
    <row r="8410" spans="1:11">
      <c r="A8410" s="847"/>
      <c r="B8410" s="79" t="s">
        <v>2377</v>
      </c>
      <c r="C8410" s="48"/>
    </row>
    <row r="8411" spans="1:11">
      <c r="A8411" s="847"/>
      <c r="B8411" s="95" t="s">
        <v>2369</v>
      </c>
      <c r="C8411" s="350" t="s">
        <v>2378</v>
      </c>
      <c r="D8411" s="95" t="s">
        <v>2370</v>
      </c>
      <c r="E8411" s="95" t="s">
        <v>1166</v>
      </c>
      <c r="F8411" s="95" t="s">
        <v>2371</v>
      </c>
      <c r="G8411" s="95" t="s">
        <v>2372</v>
      </c>
    </row>
    <row r="8412" spans="1:11">
      <c r="A8412" s="847"/>
      <c r="B8412" s="114"/>
      <c r="C8412" s="351"/>
      <c r="D8412" s="114"/>
      <c r="E8412" s="114"/>
      <c r="F8412" s="114" t="s">
        <v>3485</v>
      </c>
      <c r="G8412" s="114" t="s">
        <v>3485</v>
      </c>
    </row>
    <row r="8413" spans="1:11">
      <c r="A8413" s="847"/>
      <c r="B8413" s="95">
        <v>1</v>
      </c>
      <c r="C8413" s="86" t="s">
        <v>5585</v>
      </c>
      <c r="D8413" s="95" t="s">
        <v>2374</v>
      </c>
      <c r="E8413" s="220">
        <v>2</v>
      </c>
      <c r="F8413" s="214">
        <f>'HIRE CHARGES'!$D$517</f>
        <v>10.199999999999999</v>
      </c>
      <c r="G8413" s="449">
        <f>E8413*F8413</f>
        <v>20.399999999999999</v>
      </c>
    </row>
    <row r="8414" spans="1:11">
      <c r="A8414" s="847"/>
      <c r="B8414" s="116"/>
      <c r="C8414" s="113" t="s">
        <v>2379</v>
      </c>
      <c r="D8414" s="114" t="s">
        <v>2374</v>
      </c>
      <c r="E8414" s="220">
        <v>2</v>
      </c>
      <c r="F8414" s="214">
        <f>'HIRE CHARGES'!$E$517</f>
        <v>79.3</v>
      </c>
      <c r="G8414" s="449">
        <f>E8414*F8414</f>
        <v>158.6</v>
      </c>
    </row>
    <row r="8415" spans="1:11">
      <c r="A8415" s="847"/>
      <c r="B8415" s="263"/>
      <c r="C8415" s="525" t="s">
        <v>2380</v>
      </c>
      <c r="D8415" s="241"/>
      <c r="E8415" s="242"/>
      <c r="F8415" s="390" t="s">
        <v>1698</v>
      </c>
      <c r="G8415" s="391">
        <f>SUM(G8413:G8414)</f>
        <v>179</v>
      </c>
      <c r="H8415" s="61"/>
    </row>
    <row r="8416" spans="1:11">
      <c r="A8416" s="847"/>
      <c r="B8416" s="62"/>
      <c r="C8416" s="49"/>
      <c r="D8416" s="61"/>
      <c r="E8416" s="61"/>
      <c r="F8416" s="61"/>
      <c r="G8416" s="61"/>
      <c r="H8416" s="61"/>
    </row>
    <row r="8417" spans="1:8">
      <c r="A8417" s="847"/>
      <c r="B8417" s="410" t="s">
        <v>2381</v>
      </c>
      <c r="C8417" s="49"/>
      <c r="D8417" s="61"/>
      <c r="E8417" s="61"/>
      <c r="F8417" s="61"/>
      <c r="G8417" s="61"/>
      <c r="H8417" s="61"/>
    </row>
    <row r="8418" spans="1:8">
      <c r="A8418" s="847"/>
      <c r="B8418" s="295" t="s">
        <v>2369</v>
      </c>
      <c r="C8418" s="411" t="s">
        <v>2378</v>
      </c>
      <c r="D8418" s="295" t="s">
        <v>2370</v>
      </c>
      <c r="E8418" s="295" t="s">
        <v>1166</v>
      </c>
      <c r="F8418" s="295" t="s">
        <v>2371</v>
      </c>
      <c r="G8418" s="295" t="s">
        <v>2372</v>
      </c>
      <c r="H8418" s="61"/>
    </row>
    <row r="8419" spans="1:8">
      <c r="A8419" s="847"/>
      <c r="B8419" s="237"/>
      <c r="C8419" s="412"/>
      <c r="D8419" s="240"/>
      <c r="E8419" s="237"/>
      <c r="F8419" s="237" t="s">
        <v>3485</v>
      </c>
      <c r="G8419" s="237" t="s">
        <v>3485</v>
      </c>
      <c r="H8419" s="61"/>
    </row>
    <row r="8420" spans="1:8">
      <c r="A8420" s="847"/>
      <c r="B8420" s="240">
        <v>1</v>
      </c>
      <c r="C8420" s="392" t="s">
        <v>999</v>
      </c>
      <c r="D8420" s="295" t="s">
        <v>2374</v>
      </c>
      <c r="E8420" s="393">
        <v>2</v>
      </c>
      <c r="F8420" s="214">
        <f>'HIRE CHARGES'!$F$517</f>
        <v>111.1</v>
      </c>
      <c r="G8420" s="449">
        <f>E8420*F8420</f>
        <v>222.2</v>
      </c>
      <c r="H8420" s="61"/>
    </row>
    <row r="8421" spans="1:8">
      <c r="A8421" s="847"/>
      <c r="B8421" s="240">
        <v>2</v>
      </c>
      <c r="C8421" s="392" t="s">
        <v>4206</v>
      </c>
      <c r="D8421" s="240" t="s">
        <v>1172</v>
      </c>
      <c r="E8421" s="393">
        <v>1</v>
      </c>
      <c r="F8421" s="190">
        <f>'BASIC DATA'!$C$473</f>
        <v>450</v>
      </c>
      <c r="G8421" s="449">
        <f>E8421*F8421</f>
        <v>450</v>
      </c>
      <c r="H8421" s="61"/>
    </row>
    <row r="8422" spans="1:8">
      <c r="A8422" s="847"/>
      <c r="B8422" s="105">
        <v>3</v>
      </c>
      <c r="C8422" s="86" t="s">
        <v>684</v>
      </c>
      <c r="D8422" s="105" t="s">
        <v>1172</v>
      </c>
      <c r="E8422" s="207">
        <v>2</v>
      </c>
      <c r="F8422" s="190">
        <f>'BASIC DATA'!$C$511</f>
        <v>465</v>
      </c>
      <c r="G8422" s="449">
        <f>E8422*F8422</f>
        <v>930</v>
      </c>
    </row>
    <row r="8423" spans="1:8">
      <c r="A8423" s="847"/>
      <c r="B8423" s="105">
        <v>4</v>
      </c>
      <c r="C8423" s="86" t="s">
        <v>5607</v>
      </c>
      <c r="D8423" s="105" t="s">
        <v>1172</v>
      </c>
      <c r="E8423" s="207">
        <v>5</v>
      </c>
      <c r="F8423" s="190">
        <f>'BASIC DATA'!$C$541</f>
        <v>400</v>
      </c>
      <c r="G8423" s="449">
        <f>E8423*F8423</f>
        <v>2000</v>
      </c>
    </row>
    <row r="8424" spans="1:8">
      <c r="A8424" s="847"/>
      <c r="B8424" s="105">
        <v>5</v>
      </c>
      <c r="C8424" s="86" t="s">
        <v>2697</v>
      </c>
      <c r="D8424" s="105" t="s">
        <v>1172</v>
      </c>
      <c r="E8424" s="207">
        <v>11</v>
      </c>
      <c r="F8424" s="190">
        <f>'BASIC DATA'!$C$552</f>
        <v>350</v>
      </c>
      <c r="G8424" s="449">
        <f>E8424*F8424</f>
        <v>3850</v>
      </c>
    </row>
    <row r="8425" spans="1:8">
      <c r="A8425" s="847"/>
      <c r="B8425" s="92"/>
      <c r="C8425" s="353" t="s">
        <v>1174</v>
      </c>
      <c r="D8425" s="159"/>
      <c r="E8425" s="238"/>
      <c r="F8425" s="236" t="s">
        <v>1698</v>
      </c>
      <c r="G8425" s="318">
        <f>SUM(G8420:G8424)</f>
        <v>7452.2</v>
      </c>
    </row>
    <row r="8426" spans="1:8">
      <c r="A8426" s="847"/>
      <c r="B8426" s="359" t="s">
        <v>5948</v>
      </c>
      <c r="C8426" s="48"/>
      <c r="D8426" s="31"/>
      <c r="E8426" s="85">
        <f>ROUND(G8425/F8399,1)</f>
        <v>74.5</v>
      </c>
    </row>
    <row r="8427" spans="1:8">
      <c r="A8427" s="847"/>
      <c r="B8427" s="359" t="s">
        <v>3163</v>
      </c>
      <c r="C8427" s="48"/>
      <c r="D8427" s="922">
        <f>'BASIC DATA'!$C$577</f>
        <v>0.13614999999999999</v>
      </c>
      <c r="E8427" s="85">
        <f>ROUND(E8426*D8427,1)</f>
        <v>10.1</v>
      </c>
    </row>
    <row r="8428" spans="1:8">
      <c r="A8428" s="847"/>
      <c r="B8428" s="359" t="s">
        <v>5949</v>
      </c>
      <c r="C8428" s="48"/>
      <c r="D8428" s="31"/>
      <c r="E8428" s="199">
        <f>ROUND(E8427+E8426,1)</f>
        <v>84.6</v>
      </c>
    </row>
    <row r="8429" spans="1:8">
      <c r="A8429" s="847"/>
      <c r="C8429" s="48"/>
    </row>
    <row r="8430" spans="1:8">
      <c r="A8430" s="847"/>
      <c r="B8430" s="162" t="s">
        <v>1175</v>
      </c>
      <c r="C8430" s="48"/>
    </row>
    <row r="8431" spans="1:8">
      <c r="A8431" s="847"/>
      <c r="B8431" s="47" t="s">
        <v>1176</v>
      </c>
      <c r="C8431" s="48"/>
      <c r="F8431" s="171" t="s">
        <v>1698</v>
      </c>
      <c r="G8431" s="68">
        <f>G8408</f>
        <v>41096.25</v>
      </c>
    </row>
    <row r="8432" spans="1:8">
      <c r="A8432" s="847"/>
      <c r="B8432" s="47" t="s">
        <v>1186</v>
      </c>
      <c r="C8432" s="48"/>
      <c r="F8432" s="171" t="s">
        <v>1698</v>
      </c>
      <c r="G8432" s="68">
        <f>G8415</f>
        <v>179</v>
      </c>
    </row>
    <row r="8433" spans="1:7">
      <c r="A8433" s="847"/>
      <c r="B8433" s="47" t="s">
        <v>2660</v>
      </c>
      <c r="C8433" s="48"/>
      <c r="F8433" s="171" t="s">
        <v>1698</v>
      </c>
      <c r="G8433" s="75">
        <f>G8425</f>
        <v>7452.2</v>
      </c>
    </row>
    <row r="8434" spans="1:7">
      <c r="A8434" s="847"/>
      <c r="B8434" s="78"/>
      <c r="C8434" s="48"/>
      <c r="E8434" s="171" t="s">
        <v>4835</v>
      </c>
      <c r="F8434" s="171" t="s">
        <v>1173</v>
      </c>
      <c r="G8434" s="205">
        <f>SUM(G8431:G8433)</f>
        <v>48727.45</v>
      </c>
    </row>
    <row r="8435" spans="1:7" ht="34.5" customHeight="1">
      <c r="A8435" s="847"/>
      <c r="B8435" s="1207" t="s">
        <v>1379</v>
      </c>
      <c r="C8435" s="1207"/>
      <c r="D8435" s="1207"/>
      <c r="E8435" s="922">
        <f>'BASIC DATA'!$C$577</f>
        <v>0.13614999999999999</v>
      </c>
      <c r="F8435" s="171" t="s">
        <v>1698</v>
      </c>
      <c r="G8435" s="31">
        <f>ROUND(G8434*E8435,2)</f>
        <v>6634.24</v>
      </c>
    </row>
    <row r="8436" spans="1:7">
      <c r="A8436" s="847"/>
      <c r="B8436" s="47" t="s">
        <v>1191</v>
      </c>
      <c r="C8436" s="48"/>
      <c r="D8436" s="68">
        <f>F8399</f>
        <v>100</v>
      </c>
      <c r="E8436" s="68" t="str">
        <f>G8399</f>
        <v>sqm</v>
      </c>
      <c r="F8436" s="171" t="s">
        <v>1698</v>
      </c>
      <c r="G8436" s="211">
        <f>G8435+G8434</f>
        <v>55361.689999999995</v>
      </c>
    </row>
    <row r="8437" spans="1:7">
      <c r="A8437" s="847"/>
      <c r="B8437" s="79" t="s">
        <v>1584</v>
      </c>
      <c r="C8437" s="404" t="str">
        <f>E8436</f>
        <v>sqm</v>
      </c>
      <c r="D8437" s="26" t="s">
        <v>5882</v>
      </c>
      <c r="F8437" s="171" t="s">
        <v>4108</v>
      </c>
      <c r="G8437" s="211">
        <f>ROUND(G8436/D8436,1)</f>
        <v>553.6</v>
      </c>
    </row>
    <row r="8438" spans="1:7" ht="36">
      <c r="A8438" s="847"/>
      <c r="B8438" s="78" t="s">
        <v>1237</v>
      </c>
      <c r="C8438" s="48" t="s">
        <v>1238</v>
      </c>
      <c r="G8438" s="68">
        <f>G7797</f>
        <v>49.6</v>
      </c>
    </row>
    <row r="8439" spans="1:7" ht="36">
      <c r="A8439" s="847"/>
      <c r="B8439" s="78"/>
      <c r="C8439" s="48" t="s">
        <v>7868</v>
      </c>
    </row>
    <row r="8440" spans="1:7">
      <c r="A8440" s="847"/>
      <c r="B8440" s="78"/>
      <c r="C8440" s="48"/>
    </row>
    <row r="8441" spans="1:7">
      <c r="A8441" s="847"/>
      <c r="B8441" s="78"/>
      <c r="C8441" s="48"/>
    </row>
    <row r="8442" spans="1:7" ht="36">
      <c r="A8442" s="841" t="s">
        <v>7526</v>
      </c>
      <c r="B8442" s="47" t="s">
        <v>8887</v>
      </c>
      <c r="C8442" s="48"/>
    </row>
    <row r="8443" spans="1:7">
      <c r="A8443" s="889"/>
      <c r="B8443" s="47" t="s">
        <v>8888</v>
      </c>
      <c r="C8443" s="48"/>
    </row>
    <row r="8444" spans="1:7">
      <c r="A8444" s="895"/>
      <c r="B8444" s="47" t="s">
        <v>5586</v>
      </c>
      <c r="C8444" s="48"/>
    </row>
    <row r="8445" spans="1:7">
      <c r="A8445" s="889"/>
      <c r="B8445" s="47" t="s">
        <v>8889</v>
      </c>
      <c r="C8445" s="48"/>
      <c r="F8445" s="78"/>
    </row>
    <row r="8446" spans="1:7">
      <c r="A8446" s="889"/>
      <c r="B8446" s="162" t="s">
        <v>4218</v>
      </c>
      <c r="C8446" s="48"/>
    </row>
    <row r="8447" spans="1:7">
      <c r="A8447" s="889"/>
      <c r="B8447" s="162" t="s">
        <v>4217</v>
      </c>
      <c r="C8447" s="48"/>
      <c r="F8447" s="78"/>
    </row>
    <row r="8448" spans="1:7">
      <c r="A8448" s="847"/>
      <c r="B8448" s="78"/>
      <c r="C8448" s="48"/>
      <c r="F8448" s="78"/>
    </row>
    <row r="8449" spans="1:8" ht="36" hidden="1">
      <c r="A8449" s="889" t="s">
        <v>3984</v>
      </c>
      <c r="B8449" s="78"/>
      <c r="C8449" s="48" t="s">
        <v>2285</v>
      </c>
    </row>
    <row r="8450" spans="1:8" hidden="1">
      <c r="A8450" s="847"/>
      <c r="B8450" s="78"/>
      <c r="C8450" s="48" t="s">
        <v>2283</v>
      </c>
      <c r="F8450" s="78" t="s">
        <v>1697</v>
      </c>
      <c r="G8450" s="26">
        <v>730</v>
      </c>
      <c r="H8450" s="26" t="s">
        <v>3032</v>
      </c>
    </row>
    <row r="8451" spans="1:8" ht="36" hidden="1">
      <c r="A8451" s="847"/>
      <c r="B8451" s="78"/>
      <c r="C8451" s="48" t="s">
        <v>5587</v>
      </c>
      <c r="F8451" s="78" t="s">
        <v>1697</v>
      </c>
      <c r="G8451" s="26">
        <v>200</v>
      </c>
      <c r="H8451" s="26" t="s">
        <v>3032</v>
      </c>
    </row>
    <row r="8452" spans="1:8" hidden="1">
      <c r="A8452" s="847"/>
      <c r="B8452" s="78"/>
      <c r="C8452" s="48" t="s">
        <v>4074</v>
      </c>
      <c r="F8452" s="78" t="s">
        <v>1697</v>
      </c>
      <c r="G8452" s="26">
        <v>6.75</v>
      </c>
      <c r="H8452" s="26" t="s">
        <v>6901</v>
      </c>
    </row>
    <row r="8453" spans="1:8" ht="36" hidden="1">
      <c r="A8453" s="847"/>
      <c r="B8453" s="78"/>
      <c r="C8453" s="48" t="s">
        <v>280</v>
      </c>
      <c r="F8453" s="78" t="s">
        <v>1697</v>
      </c>
      <c r="G8453" s="68">
        <v>13.5</v>
      </c>
      <c r="H8453" s="26" t="s">
        <v>6901</v>
      </c>
    </row>
    <row r="8454" spans="1:8" hidden="1">
      <c r="A8454" s="847"/>
      <c r="B8454" s="78"/>
      <c r="C8454" s="48" t="s">
        <v>6669</v>
      </c>
      <c r="F8454" s="78" t="s">
        <v>1697</v>
      </c>
      <c r="G8454" s="26">
        <v>3857</v>
      </c>
      <c r="H8454" s="26" t="s">
        <v>3033</v>
      </c>
    </row>
    <row r="8455" spans="1:8" hidden="1">
      <c r="A8455" s="847"/>
      <c r="B8455" s="78"/>
      <c r="C8455" s="48" t="s">
        <v>4547</v>
      </c>
      <c r="F8455" s="78" t="s">
        <v>1697</v>
      </c>
      <c r="G8455" s="68">
        <v>13.6</v>
      </c>
      <c r="H8455" s="26" t="s">
        <v>6901</v>
      </c>
    </row>
    <row r="8456" spans="1:8" ht="36" hidden="1">
      <c r="A8456" s="847"/>
      <c r="B8456" s="78"/>
      <c r="C8456" s="48" t="s">
        <v>3412</v>
      </c>
      <c r="F8456" s="78" t="s">
        <v>1697</v>
      </c>
      <c r="G8456" s="68">
        <v>0.4</v>
      </c>
      <c r="H8456" s="26" t="s">
        <v>6901</v>
      </c>
    </row>
    <row r="8457" spans="1:8" hidden="1">
      <c r="A8457" s="847"/>
      <c r="B8457" s="78"/>
      <c r="C8457" s="48" t="s">
        <v>6669</v>
      </c>
      <c r="F8457" s="78" t="s">
        <v>1697</v>
      </c>
      <c r="G8457" s="26">
        <v>193</v>
      </c>
      <c r="H8457" s="26" t="s">
        <v>3033</v>
      </c>
    </row>
    <row r="8458" spans="1:8" hidden="1">
      <c r="A8458" s="847"/>
      <c r="B8458" s="78"/>
      <c r="C8458" s="48" t="s">
        <v>4547</v>
      </c>
      <c r="F8458" s="78" t="s">
        <v>1697</v>
      </c>
      <c r="G8458" s="68">
        <v>0.39</v>
      </c>
      <c r="H8458" s="26" t="s">
        <v>6901</v>
      </c>
    </row>
    <row r="8459" spans="1:8" ht="36" hidden="1">
      <c r="A8459" s="847"/>
      <c r="B8459" s="78"/>
      <c r="C8459" s="48" t="s">
        <v>2287</v>
      </c>
      <c r="F8459" s="78"/>
    </row>
    <row r="8460" spans="1:8" ht="36" hidden="1">
      <c r="A8460" s="847"/>
      <c r="B8460" s="78"/>
      <c r="C8460" s="48" t="s">
        <v>5588</v>
      </c>
      <c r="F8460" s="78" t="s">
        <v>1697</v>
      </c>
      <c r="G8460" s="26">
        <v>7</v>
      </c>
      <c r="H8460" s="26" t="s">
        <v>3436</v>
      </c>
    </row>
    <row r="8461" spans="1:8" hidden="1">
      <c r="A8461" s="847"/>
      <c r="B8461" s="78"/>
      <c r="C8461" s="48" t="s">
        <v>5862</v>
      </c>
      <c r="F8461" s="78" t="s">
        <v>1697</v>
      </c>
      <c r="G8461" s="26">
        <v>7</v>
      </c>
      <c r="H8461" s="26" t="s">
        <v>3436</v>
      </c>
    </row>
    <row r="8462" spans="1:8" hidden="1">
      <c r="A8462" s="847"/>
      <c r="B8462" s="78"/>
      <c r="C8462" s="48" t="s">
        <v>5863</v>
      </c>
      <c r="F8462" s="78" t="s">
        <v>1697</v>
      </c>
      <c r="G8462" s="26">
        <v>2</v>
      </c>
      <c r="H8462" s="26" t="s">
        <v>3436</v>
      </c>
    </row>
    <row r="8463" spans="1:8" hidden="1">
      <c r="A8463" s="847"/>
      <c r="B8463" s="78"/>
      <c r="C8463" s="48" t="s">
        <v>3120</v>
      </c>
      <c r="F8463" s="78" t="s">
        <v>1697</v>
      </c>
      <c r="G8463" s="26">
        <v>2</v>
      </c>
      <c r="H8463" s="26" t="s">
        <v>3035</v>
      </c>
    </row>
    <row r="8464" spans="1:8" hidden="1">
      <c r="A8464" s="847"/>
      <c r="B8464" s="78"/>
      <c r="C8464" s="48" t="s">
        <v>3119</v>
      </c>
      <c r="F8464" s="78" t="s">
        <v>1697</v>
      </c>
      <c r="G8464" s="26">
        <v>4</v>
      </c>
      <c r="H8464" s="26" t="s">
        <v>3436</v>
      </c>
    </row>
    <row r="8465" spans="1:11" hidden="1">
      <c r="A8465" s="847"/>
      <c r="B8465" s="78"/>
      <c r="C8465" s="48" t="s">
        <v>3118</v>
      </c>
      <c r="F8465" s="78" t="s">
        <v>1697</v>
      </c>
      <c r="G8465" s="26">
        <v>1</v>
      </c>
      <c r="H8465" s="26" t="s">
        <v>3035</v>
      </c>
    </row>
    <row r="8466" spans="1:11" hidden="1">
      <c r="A8466" s="847"/>
      <c r="B8466" s="78"/>
      <c r="C8466" s="48" t="s">
        <v>684</v>
      </c>
      <c r="F8466" s="78" t="s">
        <v>1697</v>
      </c>
      <c r="G8466" s="26">
        <v>2</v>
      </c>
      <c r="H8466" s="26" t="s">
        <v>3436</v>
      </c>
    </row>
    <row r="8467" spans="1:11" hidden="1">
      <c r="A8467" s="847"/>
      <c r="B8467" s="78"/>
      <c r="C8467" s="48"/>
    </row>
    <row r="8468" spans="1:11">
      <c r="A8468" s="847"/>
      <c r="B8468" s="78"/>
      <c r="C8468" s="48"/>
    </row>
    <row r="8469" spans="1:11">
      <c r="A8469" s="891" t="s">
        <v>3984</v>
      </c>
      <c r="B8469" s="78"/>
      <c r="C8469" s="349" t="s">
        <v>2367</v>
      </c>
      <c r="E8469" s="171" t="s">
        <v>297</v>
      </c>
      <c r="F8469" s="246">
        <v>100</v>
      </c>
      <c r="G8469" s="26" t="s">
        <v>3479</v>
      </c>
    </row>
    <row r="8470" spans="1:11">
      <c r="A8470" s="847"/>
      <c r="B8470" s="79" t="s">
        <v>2368</v>
      </c>
      <c r="C8470" s="48"/>
    </row>
    <row r="8471" spans="1:11">
      <c r="A8471" s="847"/>
      <c r="B8471" s="95" t="s">
        <v>2369</v>
      </c>
      <c r="C8471" s="350" t="s">
        <v>6374</v>
      </c>
      <c r="D8471" s="95" t="s">
        <v>2370</v>
      </c>
      <c r="E8471" s="95" t="s">
        <v>1166</v>
      </c>
      <c r="F8471" s="95" t="s">
        <v>2371</v>
      </c>
      <c r="G8471" s="95" t="s">
        <v>2372</v>
      </c>
    </row>
    <row r="8472" spans="1:11">
      <c r="A8472" s="847"/>
      <c r="B8472" s="114"/>
      <c r="C8472" s="351"/>
      <c r="D8472" s="114"/>
      <c r="E8472" s="114"/>
      <c r="F8472" s="114" t="s">
        <v>3485</v>
      </c>
      <c r="G8472" s="114" t="s">
        <v>3485</v>
      </c>
    </row>
    <row r="8473" spans="1:11" ht="19.5" customHeight="1">
      <c r="A8473" s="847"/>
      <c r="B8473" s="95">
        <v>1</v>
      </c>
      <c r="C8473" s="86" t="s">
        <v>2283</v>
      </c>
      <c r="D8473" s="451" t="s">
        <v>2059</v>
      </c>
      <c r="E8473" s="220">
        <v>730</v>
      </c>
      <c r="F8473" s="214">
        <f>'BASIC DATA'!$D$79</f>
        <v>17</v>
      </c>
      <c r="G8473" s="449">
        <f>E8473*F8473</f>
        <v>12410</v>
      </c>
    </row>
    <row r="8474" spans="1:11">
      <c r="A8474" s="847"/>
      <c r="B8474" s="105">
        <v>2</v>
      </c>
      <c r="C8474" s="86" t="s">
        <v>822</v>
      </c>
      <c r="D8474" s="319" t="s">
        <v>2059</v>
      </c>
      <c r="E8474" s="220">
        <v>200</v>
      </c>
      <c r="F8474" s="266">
        <f>'BASIC DATA'!$D$105</f>
        <v>39</v>
      </c>
      <c r="G8474" s="449">
        <f>E8474*F8474</f>
        <v>7800</v>
      </c>
    </row>
    <row r="8475" spans="1:11">
      <c r="A8475" s="847"/>
      <c r="B8475" s="105">
        <v>3</v>
      </c>
      <c r="C8475" s="86" t="s">
        <v>155</v>
      </c>
      <c r="D8475" s="319" t="s">
        <v>3477</v>
      </c>
      <c r="E8475" s="220">
        <v>6.75</v>
      </c>
      <c r="F8475" s="190">
        <f>'BASIC DATA'!$D$96</f>
        <v>350</v>
      </c>
      <c r="G8475" s="449">
        <f>E8475*F8475</f>
        <v>2362.5</v>
      </c>
    </row>
    <row r="8476" spans="1:11">
      <c r="A8476" s="847"/>
      <c r="B8476" s="105">
        <v>4</v>
      </c>
      <c r="C8476" s="86" t="s">
        <v>5853</v>
      </c>
      <c r="D8476" s="319" t="s">
        <v>3478</v>
      </c>
      <c r="E8476" s="220">
        <f>G8454+G8457</f>
        <v>4050</v>
      </c>
      <c r="F8476" s="68">
        <f>'BASIC DATA'!$D$32/1000</f>
        <v>5.35</v>
      </c>
      <c r="G8476" s="449">
        <f>E8476*F8476</f>
        <v>21667.5</v>
      </c>
    </row>
    <row r="8477" spans="1:11">
      <c r="A8477" s="848"/>
      <c r="B8477" s="237">
        <v>5</v>
      </c>
      <c r="C8477" s="555" t="s">
        <v>7944</v>
      </c>
      <c r="D8477" s="521" t="s">
        <v>3477</v>
      </c>
      <c r="E8477" s="256">
        <f>G8455+G8458</f>
        <v>13.99</v>
      </c>
      <c r="F8477" s="266">
        <f>'BASIC DATA'!$D$57</f>
        <v>165</v>
      </c>
      <c r="G8477" s="450">
        <f>E8477*F8477</f>
        <v>2308.35</v>
      </c>
      <c r="H8477" s="61"/>
      <c r="I8477" s="61"/>
      <c r="J8477" s="61"/>
      <c r="K8477" s="61"/>
    </row>
    <row r="8478" spans="1:11">
      <c r="A8478" s="847"/>
      <c r="B8478" s="92"/>
      <c r="C8478" s="353" t="s">
        <v>2376</v>
      </c>
      <c r="D8478" s="159"/>
      <c r="E8478" s="238"/>
      <c r="F8478" s="236" t="s">
        <v>1698</v>
      </c>
      <c r="G8478" s="318">
        <f>SUM(G8473:G8477)</f>
        <v>46548.35</v>
      </c>
    </row>
    <row r="8479" spans="1:11">
      <c r="A8479" s="847"/>
      <c r="B8479" s="78"/>
      <c r="C8479" s="48"/>
    </row>
    <row r="8480" spans="1:11">
      <c r="A8480" s="847"/>
      <c r="B8480" s="79" t="s">
        <v>2377</v>
      </c>
      <c r="C8480" s="48"/>
    </row>
    <row r="8481" spans="1:7">
      <c r="A8481" s="847"/>
      <c r="B8481" s="95" t="s">
        <v>2369</v>
      </c>
      <c r="C8481" s="350" t="s">
        <v>2378</v>
      </c>
      <c r="D8481" s="95" t="s">
        <v>2370</v>
      </c>
      <c r="E8481" s="95" t="s">
        <v>1166</v>
      </c>
      <c r="F8481" s="95" t="s">
        <v>2371</v>
      </c>
      <c r="G8481" s="95" t="s">
        <v>2372</v>
      </c>
    </row>
    <row r="8482" spans="1:7">
      <c r="A8482" s="847"/>
      <c r="B8482" s="114"/>
      <c r="C8482" s="351"/>
      <c r="D8482" s="114"/>
      <c r="E8482" s="114"/>
      <c r="F8482" s="114" t="s">
        <v>3485</v>
      </c>
      <c r="G8482" s="114" t="s">
        <v>3485</v>
      </c>
    </row>
    <row r="8483" spans="1:7">
      <c r="A8483" s="847"/>
      <c r="B8483" s="95">
        <v>1</v>
      </c>
      <c r="C8483" s="86" t="s">
        <v>5585</v>
      </c>
      <c r="D8483" s="95" t="s">
        <v>2374</v>
      </c>
      <c r="E8483" s="220">
        <v>4</v>
      </c>
      <c r="F8483" s="214">
        <f>'HIRE CHARGES'!$D$517</f>
        <v>10.199999999999999</v>
      </c>
      <c r="G8483" s="449">
        <f>E8483*F8483</f>
        <v>40.799999999999997</v>
      </c>
    </row>
    <row r="8484" spans="1:7">
      <c r="A8484" s="847"/>
      <c r="B8484" s="116"/>
      <c r="C8484" s="86" t="s">
        <v>2379</v>
      </c>
      <c r="D8484" s="114" t="s">
        <v>2374</v>
      </c>
      <c r="E8484" s="220">
        <v>4</v>
      </c>
      <c r="F8484" s="214">
        <f>'HIRE CHARGES'!$E$517</f>
        <v>79.3</v>
      </c>
      <c r="G8484" s="449">
        <f>E8484*F8484</f>
        <v>317.2</v>
      </c>
    </row>
    <row r="8485" spans="1:7">
      <c r="A8485" s="847"/>
      <c r="B8485" s="176"/>
      <c r="C8485" s="357" t="s">
        <v>2380</v>
      </c>
      <c r="D8485" s="174"/>
      <c r="E8485" s="192"/>
      <c r="F8485" s="236" t="s">
        <v>1698</v>
      </c>
      <c r="G8485" s="318">
        <f>SUM(G8483:G8484)</f>
        <v>358</v>
      </c>
    </row>
    <row r="8486" spans="1:7">
      <c r="A8486" s="847"/>
      <c r="B8486" s="78"/>
      <c r="C8486" s="48"/>
    </row>
    <row r="8487" spans="1:7">
      <c r="A8487" s="847"/>
      <c r="B8487" s="79" t="s">
        <v>2381</v>
      </c>
      <c r="C8487" s="48"/>
    </row>
    <row r="8488" spans="1:7">
      <c r="A8488" s="847"/>
      <c r="B8488" s="95" t="s">
        <v>2369</v>
      </c>
      <c r="C8488" s="350" t="s">
        <v>2378</v>
      </c>
      <c r="D8488" s="95" t="s">
        <v>2370</v>
      </c>
      <c r="E8488" s="95" t="s">
        <v>1166</v>
      </c>
      <c r="F8488" s="95" t="s">
        <v>2371</v>
      </c>
      <c r="G8488" s="95" t="s">
        <v>2372</v>
      </c>
    </row>
    <row r="8489" spans="1:7">
      <c r="A8489" s="847"/>
      <c r="B8489" s="114"/>
      <c r="C8489" s="351"/>
      <c r="D8489" s="105"/>
      <c r="E8489" s="114"/>
      <c r="F8489" s="114" t="s">
        <v>3485</v>
      </c>
      <c r="G8489" s="114" t="s">
        <v>3485</v>
      </c>
    </row>
    <row r="8490" spans="1:7">
      <c r="A8490" s="847"/>
      <c r="B8490" s="105">
        <v>1</v>
      </c>
      <c r="C8490" s="86" t="s">
        <v>999</v>
      </c>
      <c r="D8490" s="95" t="s">
        <v>2374</v>
      </c>
      <c r="E8490" s="207">
        <v>4</v>
      </c>
      <c r="F8490" s="214">
        <f>'HIRE CHARGES'!$F$517</f>
        <v>111.1</v>
      </c>
      <c r="G8490" s="449">
        <f>E8490*F8490</f>
        <v>444.4</v>
      </c>
    </row>
    <row r="8491" spans="1:7">
      <c r="A8491" s="847"/>
      <c r="B8491" s="105">
        <v>2</v>
      </c>
      <c r="C8491" s="86" t="s">
        <v>4206</v>
      </c>
      <c r="D8491" s="105" t="s">
        <v>1172</v>
      </c>
      <c r="E8491" s="207">
        <v>1</v>
      </c>
      <c r="F8491" s="190">
        <f>'BASIC DATA'!$C$473</f>
        <v>450</v>
      </c>
      <c r="G8491" s="449">
        <f>E8491*F8491</f>
        <v>450</v>
      </c>
    </row>
    <row r="8492" spans="1:7">
      <c r="A8492" s="847"/>
      <c r="B8492" s="105">
        <v>3</v>
      </c>
      <c r="C8492" s="86" t="s">
        <v>684</v>
      </c>
      <c r="D8492" s="105" t="s">
        <v>1172</v>
      </c>
      <c r="E8492" s="207">
        <v>2</v>
      </c>
      <c r="F8492" s="190">
        <f>'BASIC DATA'!$C$511</f>
        <v>465</v>
      </c>
      <c r="G8492" s="449">
        <f>E8492*F8492</f>
        <v>930</v>
      </c>
    </row>
    <row r="8493" spans="1:7">
      <c r="A8493" s="847"/>
      <c r="B8493" s="105">
        <v>4</v>
      </c>
      <c r="C8493" s="86" t="s">
        <v>5607</v>
      </c>
      <c r="D8493" s="105" t="s">
        <v>1172</v>
      </c>
      <c r="E8493" s="207">
        <v>7</v>
      </c>
      <c r="F8493" s="190">
        <f>'BASIC DATA'!$C$541</f>
        <v>400</v>
      </c>
      <c r="G8493" s="449">
        <f>E8493*F8493</f>
        <v>2800</v>
      </c>
    </row>
    <row r="8494" spans="1:7">
      <c r="A8494" s="847"/>
      <c r="B8494" s="105">
        <v>5</v>
      </c>
      <c r="C8494" s="86" t="s">
        <v>2697</v>
      </c>
      <c r="D8494" s="105" t="s">
        <v>1172</v>
      </c>
      <c r="E8494" s="207">
        <v>16</v>
      </c>
      <c r="F8494" s="190">
        <f>'BASIC DATA'!$C$552</f>
        <v>350</v>
      </c>
      <c r="G8494" s="449">
        <f>E8494*F8494</f>
        <v>5600</v>
      </c>
    </row>
    <row r="8495" spans="1:7">
      <c r="A8495" s="847"/>
      <c r="B8495" s="92"/>
      <c r="C8495" s="353" t="s">
        <v>1174</v>
      </c>
      <c r="D8495" s="159"/>
      <c r="E8495" s="238"/>
      <c r="F8495" s="236" t="s">
        <v>1698</v>
      </c>
      <c r="G8495" s="318">
        <f>SUM(G8490:G8494)</f>
        <v>10224.4</v>
      </c>
    </row>
    <row r="8496" spans="1:7">
      <c r="A8496" s="847"/>
      <c r="B8496" s="359" t="s">
        <v>5948</v>
      </c>
      <c r="C8496" s="48"/>
      <c r="D8496" s="31"/>
      <c r="E8496" s="85">
        <f>ROUND(G8495/F8469,1)</f>
        <v>102.2</v>
      </c>
    </row>
    <row r="8497" spans="1:7">
      <c r="A8497" s="847"/>
      <c r="B8497" s="359" t="s">
        <v>3163</v>
      </c>
      <c r="C8497" s="48"/>
      <c r="D8497" s="922">
        <f>'BASIC DATA'!$C$577</f>
        <v>0.13614999999999999</v>
      </c>
      <c r="E8497" s="85">
        <f>ROUND(E8496*D8497,1)</f>
        <v>13.9</v>
      </c>
    </row>
    <row r="8498" spans="1:7">
      <c r="A8498" s="847"/>
      <c r="B8498" s="359" t="s">
        <v>5949</v>
      </c>
      <c r="C8498" s="48"/>
      <c r="D8498" s="31"/>
      <c r="E8498" s="199">
        <f>ROUND(E8497+E8496,1)</f>
        <v>116.1</v>
      </c>
    </row>
    <row r="8499" spans="1:7">
      <c r="A8499" s="847"/>
      <c r="C8499" s="48"/>
    </row>
    <row r="8500" spans="1:7">
      <c r="A8500" s="847"/>
      <c r="B8500" s="162" t="s">
        <v>1175</v>
      </c>
      <c r="C8500" s="48"/>
    </row>
    <row r="8501" spans="1:7">
      <c r="A8501" s="847"/>
      <c r="B8501" s="47" t="s">
        <v>1176</v>
      </c>
      <c r="C8501" s="48"/>
      <c r="F8501" s="171" t="s">
        <v>1698</v>
      </c>
      <c r="G8501" s="68">
        <f>G8478</f>
        <v>46548.35</v>
      </c>
    </row>
    <row r="8502" spans="1:7">
      <c r="A8502" s="847"/>
      <c r="B8502" s="47" t="s">
        <v>1186</v>
      </c>
      <c r="C8502" s="48"/>
      <c r="F8502" s="171" t="s">
        <v>1698</v>
      </c>
      <c r="G8502" s="68">
        <f>G8485</f>
        <v>358</v>
      </c>
    </row>
    <row r="8503" spans="1:7">
      <c r="A8503" s="847"/>
      <c r="B8503" s="47" t="s">
        <v>2660</v>
      </c>
      <c r="C8503" s="48"/>
      <c r="F8503" s="171" t="s">
        <v>1698</v>
      </c>
      <c r="G8503" s="75">
        <f>G8495</f>
        <v>10224.4</v>
      </c>
    </row>
    <row r="8504" spans="1:7">
      <c r="A8504" s="847"/>
      <c r="B8504" s="78"/>
      <c r="C8504" s="48"/>
      <c r="E8504" s="171" t="s">
        <v>4835</v>
      </c>
      <c r="F8504" s="171" t="s">
        <v>1173</v>
      </c>
      <c r="G8504" s="205">
        <f>SUM(G8501:G8503)</f>
        <v>57130.75</v>
      </c>
    </row>
    <row r="8505" spans="1:7" ht="40.5" customHeight="1">
      <c r="A8505" s="847"/>
      <c r="B8505" s="1207" t="s">
        <v>1379</v>
      </c>
      <c r="C8505" s="1207"/>
      <c r="D8505" s="1207"/>
      <c r="E8505" s="922">
        <f>'BASIC DATA'!$C$577</f>
        <v>0.13614999999999999</v>
      </c>
      <c r="F8505" s="171" t="s">
        <v>1698</v>
      </c>
      <c r="G8505" s="31">
        <f>ROUND(G8504*E8505,2)</f>
        <v>7778.35</v>
      </c>
    </row>
    <row r="8506" spans="1:7">
      <c r="A8506" s="847"/>
      <c r="B8506" s="47" t="s">
        <v>1191</v>
      </c>
      <c r="C8506" s="48"/>
      <c r="D8506" s="68">
        <f>F8469</f>
        <v>100</v>
      </c>
      <c r="E8506" s="68" t="str">
        <f>G8469</f>
        <v>sqm</v>
      </c>
      <c r="F8506" s="171" t="s">
        <v>1698</v>
      </c>
      <c r="G8506" s="211">
        <f>G8505+G8504</f>
        <v>64909.1</v>
      </c>
    </row>
    <row r="8507" spans="1:7">
      <c r="A8507" s="847"/>
      <c r="B8507" s="79" t="s">
        <v>1584</v>
      </c>
      <c r="C8507" s="404" t="str">
        <f>E8506</f>
        <v>sqm</v>
      </c>
      <c r="D8507" s="26" t="s">
        <v>5882</v>
      </c>
      <c r="F8507" s="171" t="s">
        <v>4108</v>
      </c>
      <c r="G8507" s="211">
        <f>ROUND(G8506/D8506,1)</f>
        <v>649.1</v>
      </c>
    </row>
    <row r="8508" spans="1:7" ht="36">
      <c r="A8508" s="847"/>
      <c r="B8508" s="78" t="s">
        <v>1237</v>
      </c>
      <c r="C8508" s="48" t="s">
        <v>1238</v>
      </c>
      <c r="G8508" s="68">
        <f>G7797</f>
        <v>49.6</v>
      </c>
    </row>
    <row r="8509" spans="1:7" ht="36">
      <c r="A8509" s="847"/>
      <c r="B8509" s="78"/>
      <c r="C8509" s="48" t="s">
        <v>7868</v>
      </c>
    </row>
    <row r="8510" spans="1:7">
      <c r="A8510" s="847"/>
      <c r="B8510" s="78"/>
      <c r="C8510" s="48"/>
    </row>
    <row r="8511" spans="1:7">
      <c r="A8511" s="847"/>
      <c r="B8511" s="78"/>
      <c r="C8511" s="48"/>
    </row>
    <row r="8512" spans="1:7" ht="36">
      <c r="A8512" s="841" t="s">
        <v>7527</v>
      </c>
      <c r="B8512" s="47" t="s">
        <v>8890</v>
      </c>
      <c r="C8512" s="48"/>
    </row>
    <row r="8513" spans="1:8">
      <c r="A8513" s="889"/>
      <c r="B8513" s="47" t="s">
        <v>8891</v>
      </c>
      <c r="C8513" s="48"/>
    </row>
    <row r="8514" spans="1:8">
      <c r="A8514" s="889"/>
      <c r="B8514" s="162" t="s">
        <v>4219</v>
      </c>
      <c r="C8514" s="48"/>
    </row>
    <row r="8515" spans="1:8">
      <c r="A8515" s="847"/>
      <c r="B8515" s="171"/>
      <c r="C8515" s="48"/>
    </row>
    <row r="8516" spans="1:8" ht="36" hidden="1">
      <c r="A8516" s="889" t="s">
        <v>3984</v>
      </c>
      <c r="B8516" s="78"/>
      <c r="C8516" s="48" t="s">
        <v>2174</v>
      </c>
    </row>
    <row r="8517" spans="1:8" hidden="1">
      <c r="A8517" s="847"/>
      <c r="B8517" s="78"/>
      <c r="C8517" s="48" t="s">
        <v>2175</v>
      </c>
      <c r="F8517" s="78" t="s">
        <v>1697</v>
      </c>
      <c r="G8517" s="26">
        <v>100</v>
      </c>
      <c r="H8517" s="26" t="s">
        <v>3883</v>
      </c>
    </row>
    <row r="8518" spans="1:8" hidden="1">
      <c r="A8518" s="847"/>
      <c r="B8518" s="78"/>
      <c r="C8518" s="48" t="s">
        <v>3411</v>
      </c>
      <c r="F8518" s="78" t="s">
        <v>1697</v>
      </c>
      <c r="G8518" s="26">
        <v>2</v>
      </c>
      <c r="H8518" s="26" t="s">
        <v>6901</v>
      </c>
    </row>
    <row r="8519" spans="1:8" ht="36" hidden="1">
      <c r="A8519" s="847"/>
      <c r="B8519" s="78"/>
      <c r="C8519" s="48" t="s">
        <v>816</v>
      </c>
      <c r="F8519" s="78"/>
    </row>
    <row r="8520" spans="1:8" ht="36" hidden="1">
      <c r="A8520" s="847"/>
      <c r="B8520" s="78"/>
      <c r="C8520" s="48" t="s">
        <v>3644</v>
      </c>
      <c r="F8520" s="78"/>
    </row>
    <row r="8521" spans="1:8" hidden="1">
      <c r="A8521" s="847"/>
      <c r="B8521" s="78"/>
      <c r="C8521" s="48" t="s">
        <v>5430</v>
      </c>
      <c r="F8521" s="78" t="s">
        <v>1697</v>
      </c>
      <c r="G8521" s="26">
        <v>1</v>
      </c>
      <c r="H8521" s="26" t="s">
        <v>1553</v>
      </c>
    </row>
    <row r="8522" spans="1:8" hidden="1">
      <c r="A8522" s="847"/>
      <c r="B8522" s="78"/>
      <c r="C8522" s="48" t="s">
        <v>3645</v>
      </c>
      <c r="F8522" s="78"/>
    </row>
    <row r="8523" spans="1:8" hidden="1">
      <c r="A8523" s="847"/>
      <c r="B8523" s="78"/>
      <c r="C8523" s="48" t="s">
        <v>684</v>
      </c>
      <c r="F8523" s="78" t="s">
        <v>1697</v>
      </c>
      <c r="G8523" s="26">
        <v>2</v>
      </c>
      <c r="H8523" s="26" t="s">
        <v>3436</v>
      </c>
    </row>
    <row r="8524" spans="1:8" hidden="1">
      <c r="A8524" s="847"/>
      <c r="B8524" s="78"/>
      <c r="C8524" s="48" t="s">
        <v>5430</v>
      </c>
      <c r="F8524" s="78" t="s">
        <v>1697</v>
      </c>
      <c r="G8524" s="26">
        <v>8</v>
      </c>
      <c r="H8524" s="26" t="s">
        <v>3436</v>
      </c>
    </row>
    <row r="8525" spans="1:8" hidden="1">
      <c r="A8525" s="847"/>
      <c r="B8525" s="78"/>
      <c r="C8525" s="48" t="s">
        <v>4682</v>
      </c>
      <c r="F8525" s="78"/>
    </row>
    <row r="8526" spans="1:8" hidden="1">
      <c r="A8526" s="847"/>
      <c r="B8526" s="78"/>
      <c r="C8526" s="48" t="s">
        <v>5430</v>
      </c>
      <c r="F8526" s="78" t="s">
        <v>1697</v>
      </c>
      <c r="G8526" s="26">
        <v>4</v>
      </c>
      <c r="H8526" s="26" t="s">
        <v>3436</v>
      </c>
    </row>
    <row r="8527" spans="1:8" hidden="1">
      <c r="A8527" s="847"/>
      <c r="B8527" s="78"/>
      <c r="C8527" s="48" t="s">
        <v>3025</v>
      </c>
      <c r="F8527" s="78"/>
    </row>
    <row r="8528" spans="1:8" hidden="1">
      <c r="A8528" s="847"/>
      <c r="B8528" s="78"/>
      <c r="C8528" s="48" t="s">
        <v>3121</v>
      </c>
      <c r="F8528" s="78" t="s">
        <v>1697</v>
      </c>
      <c r="G8528" s="26">
        <v>2</v>
      </c>
      <c r="H8528" s="26" t="s">
        <v>3436</v>
      </c>
    </row>
    <row r="8529" spans="1:11">
      <c r="A8529" s="847"/>
      <c r="B8529" s="78"/>
      <c r="C8529" s="48"/>
    </row>
    <row r="8530" spans="1:11">
      <c r="A8530" s="891" t="s">
        <v>3984</v>
      </c>
      <c r="B8530" s="78"/>
      <c r="C8530" s="349" t="s">
        <v>2367</v>
      </c>
      <c r="E8530" s="171" t="s">
        <v>297</v>
      </c>
      <c r="F8530" s="246">
        <v>100</v>
      </c>
      <c r="G8530" s="26" t="s">
        <v>3479</v>
      </c>
    </row>
    <row r="8531" spans="1:11">
      <c r="A8531" s="847"/>
      <c r="B8531" s="79" t="s">
        <v>2368</v>
      </c>
      <c r="C8531" s="48"/>
    </row>
    <row r="8532" spans="1:11">
      <c r="A8532" s="847"/>
      <c r="B8532" s="95" t="s">
        <v>2369</v>
      </c>
      <c r="C8532" s="350" t="s">
        <v>6374</v>
      </c>
      <c r="D8532" s="95" t="s">
        <v>2370</v>
      </c>
      <c r="E8532" s="95" t="s">
        <v>1166</v>
      </c>
      <c r="F8532" s="95" t="s">
        <v>2371</v>
      </c>
      <c r="G8532" s="95" t="s">
        <v>2372</v>
      </c>
    </row>
    <row r="8533" spans="1:11">
      <c r="A8533" s="847"/>
      <c r="B8533" s="114"/>
      <c r="C8533" s="351"/>
      <c r="D8533" s="114"/>
      <c r="E8533" s="114"/>
      <c r="F8533" s="114" t="s">
        <v>3485</v>
      </c>
      <c r="G8533" s="114" t="s">
        <v>3485</v>
      </c>
    </row>
    <row r="8534" spans="1:11">
      <c r="A8534" s="847"/>
      <c r="B8534" s="95">
        <v>1</v>
      </c>
      <c r="C8534" s="86" t="s">
        <v>2175</v>
      </c>
      <c r="D8534" s="451" t="s">
        <v>3479</v>
      </c>
      <c r="E8534" s="220">
        <v>100</v>
      </c>
      <c r="F8534" s="214">
        <f>'BASIC DATA'!$D$69</f>
        <v>28</v>
      </c>
      <c r="G8534" s="449">
        <f>E8534*F8534</f>
        <v>2800</v>
      </c>
    </row>
    <row r="8535" spans="1:11">
      <c r="A8535" s="848"/>
      <c r="B8535" s="237">
        <v>2</v>
      </c>
      <c r="C8535" s="392" t="s">
        <v>7871</v>
      </c>
      <c r="D8535" s="521" t="s">
        <v>3477</v>
      </c>
      <c r="E8535" s="256">
        <v>2</v>
      </c>
      <c r="F8535" s="266">
        <f>'BASIC DATA'!$D$56</f>
        <v>95</v>
      </c>
      <c r="G8535" s="450">
        <f>E8535*F8535</f>
        <v>190</v>
      </c>
      <c r="H8535" s="61"/>
      <c r="I8535" s="61"/>
      <c r="J8535" s="61"/>
      <c r="K8535" s="61"/>
    </row>
    <row r="8536" spans="1:11">
      <c r="A8536" s="847"/>
      <c r="B8536" s="92"/>
      <c r="C8536" s="353" t="s">
        <v>2376</v>
      </c>
      <c r="D8536" s="159"/>
      <c r="E8536" s="238"/>
      <c r="F8536" s="236" t="s">
        <v>1698</v>
      </c>
      <c r="G8536" s="318">
        <f>SUM(G8534:G8535)</f>
        <v>2990</v>
      </c>
    </row>
    <row r="8537" spans="1:11">
      <c r="A8537" s="847"/>
      <c r="B8537" s="78"/>
      <c r="C8537" s="48"/>
    </row>
    <row r="8538" spans="1:11">
      <c r="A8538" s="847"/>
      <c r="B8538" s="79" t="s">
        <v>2377</v>
      </c>
      <c r="C8538" s="48"/>
    </row>
    <row r="8539" spans="1:11">
      <c r="A8539" s="847"/>
      <c r="B8539" s="95" t="s">
        <v>2369</v>
      </c>
      <c r="C8539" s="350" t="s">
        <v>2378</v>
      </c>
      <c r="D8539" s="95" t="s">
        <v>2370</v>
      </c>
      <c r="E8539" s="95" t="s">
        <v>1166</v>
      </c>
      <c r="F8539" s="95" t="s">
        <v>2371</v>
      </c>
      <c r="G8539" s="95" t="s">
        <v>2372</v>
      </c>
    </row>
    <row r="8540" spans="1:11">
      <c r="A8540" s="847"/>
      <c r="B8540" s="114"/>
      <c r="C8540" s="351"/>
      <c r="D8540" s="114"/>
      <c r="E8540" s="114"/>
      <c r="F8540" s="114" t="s">
        <v>3485</v>
      </c>
      <c r="G8540" s="114" t="s">
        <v>3485</v>
      </c>
    </row>
    <row r="8541" spans="1:11">
      <c r="A8541" s="847"/>
      <c r="B8541" s="95">
        <v>1</v>
      </c>
      <c r="C8541" s="103" t="s">
        <v>1130</v>
      </c>
      <c r="D8541" s="95"/>
      <c r="E8541" s="220">
        <v>0</v>
      </c>
      <c r="F8541" s="214">
        <v>0</v>
      </c>
      <c r="G8541" s="449">
        <f>E8541*F8541</f>
        <v>0</v>
      </c>
    </row>
    <row r="8542" spans="1:11">
      <c r="A8542" s="847"/>
      <c r="B8542" s="116"/>
      <c r="C8542" s="86"/>
      <c r="D8542" s="114"/>
      <c r="E8542" s="220">
        <v>0</v>
      </c>
      <c r="F8542" s="214">
        <v>0</v>
      </c>
      <c r="G8542" s="449">
        <f>E8542*F8542</f>
        <v>0</v>
      </c>
    </row>
    <row r="8543" spans="1:11">
      <c r="A8543" s="847"/>
      <c r="B8543" s="176"/>
      <c r="C8543" s="357" t="s">
        <v>2380</v>
      </c>
      <c r="D8543" s="174"/>
      <c r="E8543" s="192"/>
      <c r="F8543" s="236" t="s">
        <v>1698</v>
      </c>
      <c r="G8543" s="318">
        <f>SUM(G8541:G8542)</f>
        <v>0</v>
      </c>
    </row>
    <row r="8544" spans="1:11">
      <c r="A8544" s="847"/>
      <c r="B8544" s="78"/>
      <c r="C8544" s="48"/>
    </row>
    <row r="8545" spans="1:7">
      <c r="A8545" s="847"/>
      <c r="B8545" s="79" t="s">
        <v>2381</v>
      </c>
      <c r="C8545" s="48"/>
    </row>
    <row r="8546" spans="1:7">
      <c r="A8546" s="847"/>
      <c r="B8546" s="95" t="s">
        <v>2369</v>
      </c>
      <c r="C8546" s="350" t="s">
        <v>2378</v>
      </c>
      <c r="D8546" s="95" t="s">
        <v>2370</v>
      </c>
      <c r="E8546" s="95" t="s">
        <v>1166</v>
      </c>
      <c r="F8546" s="95" t="s">
        <v>2371</v>
      </c>
      <c r="G8546" s="95" t="s">
        <v>2372</v>
      </c>
    </row>
    <row r="8547" spans="1:7">
      <c r="A8547" s="847"/>
      <c r="B8547" s="114"/>
      <c r="C8547" s="351"/>
      <c r="D8547" s="105"/>
      <c r="E8547" s="114"/>
      <c r="F8547" s="114" t="s">
        <v>3485</v>
      </c>
      <c r="G8547" s="114" t="s">
        <v>3485</v>
      </c>
    </row>
    <row r="8548" spans="1:7">
      <c r="A8548" s="847"/>
      <c r="B8548" s="105">
        <v>1</v>
      </c>
      <c r="C8548" s="86" t="s">
        <v>4206</v>
      </c>
      <c r="D8548" s="95" t="s">
        <v>1172</v>
      </c>
      <c r="E8548" s="207">
        <v>0.1</v>
      </c>
      <c r="F8548" s="190">
        <f>'BASIC DATA'!$C$473</f>
        <v>450</v>
      </c>
      <c r="G8548" s="449">
        <f>E8548*F8548</f>
        <v>45</v>
      </c>
    </row>
    <row r="8549" spans="1:7">
      <c r="A8549" s="847"/>
      <c r="B8549" s="105">
        <v>2</v>
      </c>
      <c r="C8549" s="86" t="s">
        <v>684</v>
      </c>
      <c r="D8549" s="105" t="s">
        <v>1172</v>
      </c>
      <c r="E8549" s="207">
        <v>2</v>
      </c>
      <c r="F8549" s="190">
        <f>'BASIC DATA'!$C$511</f>
        <v>465</v>
      </c>
      <c r="G8549" s="449">
        <f>E8549*F8549</f>
        <v>930</v>
      </c>
    </row>
    <row r="8550" spans="1:7">
      <c r="A8550" s="847"/>
      <c r="B8550" s="105">
        <v>3</v>
      </c>
      <c r="C8550" s="86" t="s">
        <v>2697</v>
      </c>
      <c r="D8550" s="105" t="s">
        <v>1172</v>
      </c>
      <c r="E8550" s="207">
        <v>14</v>
      </c>
      <c r="F8550" s="190">
        <f>'BASIC DATA'!$C$552</f>
        <v>350</v>
      </c>
      <c r="G8550" s="449">
        <f>E8550*F8550</f>
        <v>4900</v>
      </c>
    </row>
    <row r="8551" spans="1:7">
      <c r="A8551" s="847"/>
      <c r="B8551" s="92"/>
      <c r="C8551" s="353" t="s">
        <v>1174</v>
      </c>
      <c r="D8551" s="159"/>
      <c r="E8551" s="238"/>
      <c r="F8551" s="236" t="s">
        <v>1698</v>
      </c>
      <c r="G8551" s="318">
        <f>SUM(G8548:G8550)</f>
        <v>5875</v>
      </c>
    </row>
    <row r="8552" spans="1:7">
      <c r="A8552" s="847"/>
      <c r="B8552" s="359" t="s">
        <v>5948</v>
      </c>
      <c r="C8552" s="48"/>
      <c r="D8552" s="31"/>
      <c r="E8552" s="85">
        <f>ROUND(G8551/F8530,1)</f>
        <v>58.8</v>
      </c>
    </row>
    <row r="8553" spans="1:7">
      <c r="A8553" s="847"/>
      <c r="B8553" s="359" t="s">
        <v>3163</v>
      </c>
      <c r="C8553" s="48"/>
      <c r="D8553" s="922">
        <f>'BASIC DATA'!$C$577</f>
        <v>0.13614999999999999</v>
      </c>
      <c r="E8553" s="85">
        <f>ROUND(E8552*D8553,1)</f>
        <v>8</v>
      </c>
    </row>
    <row r="8554" spans="1:7">
      <c r="A8554" s="847"/>
      <c r="B8554" s="359" t="s">
        <v>5949</v>
      </c>
      <c r="C8554" s="48"/>
      <c r="D8554" s="31"/>
      <c r="E8554" s="199">
        <f>ROUND(E8553+E8552,1)</f>
        <v>66.8</v>
      </c>
    </row>
    <row r="8555" spans="1:7">
      <c r="A8555" s="847"/>
      <c r="C8555" s="48"/>
    </row>
    <row r="8556" spans="1:7">
      <c r="A8556" s="847"/>
      <c r="B8556" s="162" t="s">
        <v>1175</v>
      </c>
      <c r="C8556" s="48"/>
    </row>
    <row r="8557" spans="1:7">
      <c r="A8557" s="847"/>
      <c r="B8557" s="47" t="s">
        <v>1176</v>
      </c>
      <c r="C8557" s="48"/>
      <c r="F8557" s="171" t="s">
        <v>1698</v>
      </c>
      <c r="G8557" s="68">
        <f>G8536</f>
        <v>2990</v>
      </c>
    </row>
    <row r="8558" spans="1:7">
      <c r="A8558" s="847"/>
      <c r="B8558" s="47" t="s">
        <v>1186</v>
      </c>
      <c r="C8558" s="48"/>
      <c r="F8558" s="171" t="s">
        <v>1698</v>
      </c>
      <c r="G8558" s="68">
        <f>G8543</f>
        <v>0</v>
      </c>
    </row>
    <row r="8559" spans="1:7">
      <c r="A8559" s="847"/>
      <c r="B8559" s="47" t="s">
        <v>2660</v>
      </c>
      <c r="C8559" s="48"/>
      <c r="F8559" s="171" t="s">
        <v>1698</v>
      </c>
      <c r="G8559" s="75">
        <f>G8551</f>
        <v>5875</v>
      </c>
    </row>
    <row r="8560" spans="1:7">
      <c r="A8560" s="847"/>
      <c r="B8560" s="78"/>
      <c r="C8560" s="48"/>
      <c r="E8560" s="171" t="s">
        <v>4835</v>
      </c>
      <c r="F8560" s="171" t="s">
        <v>1173</v>
      </c>
      <c r="G8560" s="205">
        <f>SUM(G8557:G8559)</f>
        <v>8865</v>
      </c>
    </row>
    <row r="8561" spans="1:7" ht="44.25" customHeight="1">
      <c r="A8561" s="847"/>
      <c r="B8561" s="1207" t="s">
        <v>1379</v>
      </c>
      <c r="C8561" s="1207"/>
      <c r="D8561" s="1207"/>
      <c r="E8561" s="922">
        <f>'BASIC DATA'!$C$577</f>
        <v>0.13614999999999999</v>
      </c>
      <c r="F8561" s="171" t="s">
        <v>1698</v>
      </c>
      <c r="G8561" s="31">
        <f>ROUND(G8560*E8561,2)</f>
        <v>1206.97</v>
      </c>
    </row>
    <row r="8562" spans="1:7">
      <c r="A8562" s="847"/>
      <c r="B8562" s="47" t="s">
        <v>1191</v>
      </c>
      <c r="C8562" s="48"/>
      <c r="D8562" s="68">
        <f>F8530</f>
        <v>100</v>
      </c>
      <c r="E8562" s="68" t="str">
        <f>G8530</f>
        <v>sqm</v>
      </c>
      <c r="F8562" s="171" t="s">
        <v>1698</v>
      </c>
      <c r="G8562" s="211">
        <f>G8561+G8560</f>
        <v>10071.969999999999</v>
      </c>
    </row>
    <row r="8563" spans="1:7">
      <c r="A8563" s="847"/>
      <c r="B8563" s="79" t="s">
        <v>1584</v>
      </c>
      <c r="C8563" s="404" t="str">
        <f>E8562</f>
        <v>sqm</v>
      </c>
      <c r="D8563" s="26" t="s">
        <v>5882</v>
      </c>
      <c r="F8563" s="171" t="s">
        <v>4108</v>
      </c>
      <c r="G8563" s="211">
        <f>ROUND(G8562/D8562,1)</f>
        <v>100.7</v>
      </c>
    </row>
    <row r="8564" spans="1:7">
      <c r="A8564" s="847"/>
      <c r="B8564" s="78"/>
      <c r="C8564" s="48"/>
    </row>
    <row r="8565" spans="1:7">
      <c r="A8565" s="847"/>
      <c r="B8565" s="78"/>
      <c r="C8565" s="48"/>
    </row>
    <row r="8566" spans="1:7" ht="36">
      <c r="A8566" s="841" t="s">
        <v>7528</v>
      </c>
      <c r="B8566" s="47" t="s">
        <v>8892</v>
      </c>
      <c r="C8566" s="48"/>
    </row>
    <row r="8567" spans="1:7">
      <c r="A8567" s="847"/>
      <c r="B8567" s="47" t="s">
        <v>5140</v>
      </c>
      <c r="C8567" s="48"/>
    </row>
    <row r="8568" spans="1:7">
      <c r="A8568" s="847"/>
      <c r="B8568" s="47" t="s">
        <v>8893</v>
      </c>
      <c r="C8568" s="48"/>
    </row>
    <row r="8569" spans="1:7">
      <c r="A8569" s="847"/>
      <c r="C8569" s="48"/>
    </row>
    <row r="8570" spans="1:7" hidden="1">
      <c r="A8570" s="847" t="s">
        <v>3984</v>
      </c>
      <c r="C8570" s="48" t="s">
        <v>79</v>
      </c>
      <c r="E8570" s="171" t="s">
        <v>1697</v>
      </c>
      <c r="F8570" s="576">
        <v>2</v>
      </c>
      <c r="G8570" s="26" t="s">
        <v>2059</v>
      </c>
    </row>
    <row r="8571" spans="1:7" hidden="1">
      <c r="A8571" s="847"/>
      <c r="C8571" s="48" t="s">
        <v>5430</v>
      </c>
      <c r="E8571" s="171" t="s">
        <v>1697</v>
      </c>
      <c r="F8571" s="576">
        <v>8</v>
      </c>
      <c r="G8571" s="26" t="s">
        <v>2059</v>
      </c>
    </row>
    <row r="8572" spans="1:7" hidden="1">
      <c r="A8572" s="847"/>
      <c r="C8572" s="48" t="s">
        <v>80</v>
      </c>
      <c r="E8572" s="171"/>
      <c r="F8572" s="576"/>
    </row>
    <row r="8573" spans="1:7" hidden="1">
      <c r="A8573" s="847"/>
      <c r="C8573" s="48" t="s">
        <v>5430</v>
      </c>
      <c r="E8573" s="171" t="s">
        <v>1697</v>
      </c>
      <c r="F8573" s="576">
        <v>4</v>
      </c>
      <c r="G8573" s="26" t="s">
        <v>2059</v>
      </c>
    </row>
    <row r="8574" spans="1:7" hidden="1">
      <c r="A8574" s="847"/>
      <c r="C8574" s="48" t="s">
        <v>3025</v>
      </c>
      <c r="E8574" s="171"/>
      <c r="F8574" s="576"/>
    </row>
    <row r="8575" spans="1:7" hidden="1">
      <c r="A8575" s="847"/>
      <c r="C8575" s="48" t="s">
        <v>3121</v>
      </c>
      <c r="E8575" s="171" t="s">
        <v>1697</v>
      </c>
      <c r="F8575" s="576">
        <v>1</v>
      </c>
      <c r="G8575" s="26" t="s">
        <v>2059</v>
      </c>
    </row>
    <row r="8576" spans="1:7">
      <c r="A8576" s="847"/>
      <c r="C8576" s="48"/>
    </row>
    <row r="8577" spans="1:7">
      <c r="A8577" s="891" t="s">
        <v>3984</v>
      </c>
      <c r="C8577" s="370" t="s">
        <v>2367</v>
      </c>
      <c r="E8577" s="171" t="s">
        <v>297</v>
      </c>
      <c r="F8577" s="211">
        <v>100</v>
      </c>
      <c r="G8577" s="26" t="s">
        <v>5860</v>
      </c>
    </row>
    <row r="8578" spans="1:7">
      <c r="A8578" s="847"/>
      <c r="B8578" s="47" t="s">
        <v>6633</v>
      </c>
      <c r="C8578" s="48"/>
    </row>
    <row r="8579" spans="1:7" ht="36">
      <c r="A8579" s="847"/>
      <c r="B8579" s="35" t="s">
        <v>2369</v>
      </c>
      <c r="C8579" s="577" t="s">
        <v>4443</v>
      </c>
      <c r="D8579" s="34" t="s">
        <v>2370</v>
      </c>
      <c r="E8579" s="34" t="s">
        <v>1166</v>
      </c>
      <c r="F8579" s="34" t="s">
        <v>6234</v>
      </c>
      <c r="G8579" s="34" t="s">
        <v>3141</v>
      </c>
    </row>
    <row r="8580" spans="1:7">
      <c r="A8580" s="847"/>
      <c r="B8580" s="35"/>
      <c r="C8580" s="90"/>
      <c r="D8580" s="34"/>
      <c r="E8580" s="34"/>
      <c r="F8580" s="34"/>
      <c r="G8580" s="34"/>
    </row>
    <row r="8581" spans="1:7">
      <c r="A8581" s="847"/>
      <c r="B8581" s="617">
        <v>1</v>
      </c>
      <c r="C8581" s="71" t="s">
        <v>81</v>
      </c>
      <c r="D8581" s="578" t="s">
        <v>5860</v>
      </c>
      <c r="E8581" s="579">
        <v>100</v>
      </c>
      <c r="F8581" s="214">
        <f>'BASIC DATA'!$D$69</f>
        <v>28</v>
      </c>
      <c r="G8581" s="449">
        <f>E8581*F8581</f>
        <v>2800</v>
      </c>
    </row>
    <row r="8582" spans="1:7">
      <c r="A8582" s="847"/>
      <c r="B8582" s="231"/>
      <c r="C8582" s="406" t="s">
        <v>3143</v>
      </c>
      <c r="E8582" s="406"/>
      <c r="F8582" s="406"/>
      <c r="G8582" s="580">
        <f>SUM(G8581)</f>
        <v>2800</v>
      </c>
    </row>
    <row r="8583" spans="1:7">
      <c r="A8583" s="847"/>
      <c r="C8583" s="48"/>
    </row>
    <row r="8584" spans="1:7">
      <c r="A8584" s="847"/>
      <c r="B8584" s="47" t="s">
        <v>3144</v>
      </c>
      <c r="C8584" s="48"/>
    </row>
    <row r="8585" spans="1:7" ht="36">
      <c r="A8585" s="847"/>
      <c r="B8585" s="35" t="s">
        <v>2369</v>
      </c>
      <c r="C8585" s="577" t="s">
        <v>2378</v>
      </c>
      <c r="D8585" s="34" t="s">
        <v>2370</v>
      </c>
      <c r="E8585" s="34" t="s">
        <v>1166</v>
      </c>
      <c r="F8585" s="34" t="s">
        <v>6234</v>
      </c>
      <c r="G8585" s="34" t="s">
        <v>3141</v>
      </c>
    </row>
    <row r="8586" spans="1:7">
      <c r="A8586" s="847"/>
      <c r="B8586" s="35"/>
      <c r="C8586" s="90"/>
      <c r="D8586" s="34"/>
      <c r="E8586" s="34"/>
      <c r="F8586" s="34"/>
      <c r="G8586" s="34"/>
    </row>
    <row r="8587" spans="1:7">
      <c r="A8587" s="847"/>
      <c r="B8587" s="304">
        <v>1</v>
      </c>
      <c r="C8587" s="577" t="s">
        <v>1130</v>
      </c>
      <c r="D8587" s="302"/>
      <c r="E8587" s="581">
        <v>0</v>
      </c>
      <c r="F8587" s="581">
        <v>0</v>
      </c>
      <c r="G8587" s="449">
        <f>E8587*F8587</f>
        <v>0</v>
      </c>
    </row>
    <row r="8588" spans="1:7">
      <c r="A8588" s="847"/>
      <c r="B8588" s="618"/>
      <c r="C8588" s="582"/>
      <c r="D8588" s="303"/>
      <c r="E8588" s="583">
        <v>0</v>
      </c>
      <c r="F8588" s="583">
        <v>0</v>
      </c>
      <c r="G8588" s="449">
        <f>E8588*F8588</f>
        <v>0</v>
      </c>
    </row>
    <row r="8589" spans="1:7" ht="36">
      <c r="A8589" s="847"/>
      <c r="B8589" s="231"/>
      <c r="C8589" s="406" t="s">
        <v>3145</v>
      </c>
      <c r="D8589" s="406"/>
      <c r="E8589" s="406"/>
      <c r="F8589" s="438"/>
      <c r="G8589" s="584">
        <f>SUM(G8587:G8588)</f>
        <v>0</v>
      </c>
    </row>
    <row r="8590" spans="1:7">
      <c r="A8590" s="847"/>
      <c r="C8590" s="48"/>
    </row>
    <row r="8591" spans="1:7">
      <c r="A8591" s="847"/>
      <c r="B8591" s="47" t="s">
        <v>3146</v>
      </c>
      <c r="C8591" s="48"/>
    </row>
    <row r="8592" spans="1:7" ht="36">
      <c r="A8592" s="847"/>
      <c r="B8592" s="35" t="s">
        <v>2369</v>
      </c>
      <c r="C8592" s="577" t="s">
        <v>2378</v>
      </c>
      <c r="D8592" s="34" t="s">
        <v>2370</v>
      </c>
      <c r="E8592" s="34" t="s">
        <v>1166</v>
      </c>
      <c r="F8592" s="34" t="s">
        <v>6234</v>
      </c>
      <c r="G8592" s="34" t="s">
        <v>3141</v>
      </c>
    </row>
    <row r="8593" spans="1:7">
      <c r="A8593" s="847"/>
      <c r="B8593" s="304"/>
      <c r="C8593" s="90"/>
      <c r="D8593" s="302"/>
      <c r="E8593" s="302"/>
      <c r="F8593" s="302"/>
      <c r="G8593" s="302"/>
    </row>
    <row r="8594" spans="1:7">
      <c r="A8594" s="847"/>
      <c r="B8594" s="304">
        <v>1</v>
      </c>
      <c r="C8594" s="585" t="s">
        <v>4647</v>
      </c>
      <c r="D8594" s="586" t="s">
        <v>1172</v>
      </c>
      <c r="E8594" s="583">
        <v>7</v>
      </c>
      <c r="F8594" s="583">
        <f>'BASIC DATA'!$C$552</f>
        <v>350</v>
      </c>
      <c r="G8594" s="449">
        <f>E8594*F8594</f>
        <v>2450</v>
      </c>
    </row>
    <row r="8595" spans="1:7">
      <c r="A8595" s="847"/>
      <c r="B8595" s="305">
        <v>2</v>
      </c>
      <c r="C8595" s="72" t="s">
        <v>82</v>
      </c>
      <c r="D8595" s="586" t="s">
        <v>1172</v>
      </c>
      <c r="E8595" s="583">
        <v>2</v>
      </c>
      <c r="F8595" s="190">
        <f>'BASIC DATA'!$C$511</f>
        <v>465</v>
      </c>
      <c r="G8595" s="449">
        <f>E8595*F8595</f>
        <v>930</v>
      </c>
    </row>
    <row r="8596" spans="1:7" ht="36">
      <c r="A8596" s="847"/>
      <c r="B8596" s="231"/>
      <c r="C8596" s="406" t="s">
        <v>3147</v>
      </c>
      <c r="D8596" s="406"/>
      <c r="E8596" s="406"/>
      <c r="F8596" s="438"/>
      <c r="G8596" s="584">
        <f>SUM(G8594:G8595)</f>
        <v>3380</v>
      </c>
    </row>
    <row r="8597" spans="1:7">
      <c r="A8597" s="847"/>
      <c r="B8597" s="359" t="s">
        <v>5948</v>
      </c>
      <c r="C8597" s="48"/>
      <c r="D8597" s="31"/>
      <c r="E8597" s="85">
        <f>ROUND(G8596/F8577,1)</f>
        <v>33.799999999999997</v>
      </c>
    </row>
    <row r="8598" spans="1:7">
      <c r="A8598" s="847"/>
      <c r="B8598" s="359" t="s">
        <v>3163</v>
      </c>
      <c r="C8598" s="48"/>
      <c r="D8598" s="922">
        <f>'BASIC DATA'!$C$577</f>
        <v>0.13614999999999999</v>
      </c>
      <c r="E8598" s="85">
        <f>ROUND(E8597*D8598,1)</f>
        <v>4.5999999999999996</v>
      </c>
    </row>
    <row r="8599" spans="1:7">
      <c r="A8599" s="847"/>
      <c r="B8599" s="359" t="s">
        <v>5949</v>
      </c>
      <c r="C8599" s="48"/>
      <c r="D8599" s="31"/>
      <c r="E8599" s="199">
        <f>ROUND(E8598+E8597,1)</f>
        <v>38.4</v>
      </c>
    </row>
    <row r="8600" spans="1:7">
      <c r="A8600" s="847"/>
      <c r="C8600" s="48"/>
    </row>
    <row r="8601" spans="1:7">
      <c r="A8601" s="847"/>
      <c r="B8601" s="47" t="s">
        <v>6765</v>
      </c>
      <c r="C8601" s="48"/>
    </row>
    <row r="8602" spans="1:7">
      <c r="A8602" s="847"/>
      <c r="B8602" s="47" t="s">
        <v>3148</v>
      </c>
      <c r="C8602" s="48"/>
      <c r="F8602" s="171" t="s">
        <v>1173</v>
      </c>
      <c r="G8602" s="362">
        <f>G8582</f>
        <v>2800</v>
      </c>
    </row>
    <row r="8603" spans="1:7">
      <c r="A8603" s="847"/>
      <c r="B8603" s="47" t="s">
        <v>1186</v>
      </c>
      <c r="C8603" s="48"/>
      <c r="F8603" s="171" t="s">
        <v>1173</v>
      </c>
      <c r="G8603" s="362">
        <f>G8589</f>
        <v>0</v>
      </c>
    </row>
    <row r="8604" spans="1:7">
      <c r="A8604" s="847"/>
      <c r="B8604" s="47" t="s">
        <v>3149</v>
      </c>
      <c r="C8604" s="48"/>
      <c r="F8604" s="171" t="s">
        <v>1173</v>
      </c>
      <c r="G8604" s="362">
        <f>G8596</f>
        <v>3380</v>
      </c>
    </row>
    <row r="8605" spans="1:7">
      <c r="A8605" s="847"/>
      <c r="B8605" s="78"/>
      <c r="C8605" s="48"/>
      <c r="E8605" s="171" t="s">
        <v>4835</v>
      </c>
      <c r="F8605" s="171" t="s">
        <v>1173</v>
      </c>
      <c r="G8605" s="205">
        <f>SUM(G8602:G8604)</f>
        <v>6180</v>
      </c>
    </row>
    <row r="8606" spans="1:7" ht="40.5" customHeight="1">
      <c r="A8606" s="847"/>
      <c r="B8606" s="1207" t="s">
        <v>1379</v>
      </c>
      <c r="C8606" s="1207"/>
      <c r="D8606" s="1207"/>
      <c r="E8606" s="922">
        <f>'BASIC DATA'!$C$577</f>
        <v>0.13614999999999999</v>
      </c>
      <c r="F8606" s="171" t="s">
        <v>1698</v>
      </c>
      <c r="G8606" s="31">
        <f>ROUND(G8605*E8606,2)</f>
        <v>841.41</v>
      </c>
    </row>
    <row r="8607" spans="1:7">
      <c r="A8607" s="847"/>
      <c r="B8607" s="47" t="s">
        <v>1191</v>
      </c>
      <c r="C8607" s="48"/>
      <c r="D8607" s="68">
        <f>F8577</f>
        <v>100</v>
      </c>
      <c r="E8607" s="68" t="str">
        <f>G8577</f>
        <v>Sqm</v>
      </c>
      <c r="F8607" s="171" t="s">
        <v>1698</v>
      </c>
      <c r="G8607" s="211">
        <f>G8606+G8605</f>
        <v>7021.41</v>
      </c>
    </row>
    <row r="8608" spans="1:7">
      <c r="A8608" s="847"/>
      <c r="B8608" s="79" t="s">
        <v>1584</v>
      </c>
      <c r="C8608" s="404" t="str">
        <f>E8607</f>
        <v>Sqm</v>
      </c>
      <c r="D8608" s="26" t="s">
        <v>5882</v>
      </c>
      <c r="F8608" s="171" t="s">
        <v>4108</v>
      </c>
      <c r="G8608" s="211">
        <f>ROUND(G8607/D8607,1)</f>
        <v>70.2</v>
      </c>
    </row>
    <row r="8609"/>
    <row r="8610"/>
    <row r="8611"/>
    <row r="8612"/>
    <row r="8613"/>
    <row r="8614"/>
    <row r="8615"/>
    <row r="8616"/>
    <row r="8617"/>
    <row r="8618"/>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sheetData>
  <mergeCells count="248">
    <mergeCell ref="B3:E3"/>
    <mergeCell ref="C7:F7"/>
    <mergeCell ref="C9:F9"/>
    <mergeCell ref="J59:L59"/>
    <mergeCell ref="J87:N87"/>
    <mergeCell ref="B136:D136"/>
    <mergeCell ref="J274:N274"/>
    <mergeCell ref="J280:N280"/>
    <mergeCell ref="B324:D324"/>
    <mergeCell ref="I377:Q377"/>
    <mergeCell ref="J407:N407"/>
    <mergeCell ref="J408:N408"/>
    <mergeCell ref="J159:N159"/>
    <mergeCell ref="J185:N185"/>
    <mergeCell ref="J187:N187"/>
    <mergeCell ref="B189:D189"/>
    <mergeCell ref="J259:N259"/>
    <mergeCell ref="B269:D269"/>
    <mergeCell ref="B1022:D1022"/>
    <mergeCell ref="B1240:D1240"/>
    <mergeCell ref="I1272:J1272"/>
    <mergeCell ref="B1499:D1499"/>
    <mergeCell ref="B1672:D1672"/>
    <mergeCell ref="B1791:D1791"/>
    <mergeCell ref="J411:N411"/>
    <mergeCell ref="J415:N415"/>
    <mergeCell ref="J425:N425"/>
    <mergeCell ref="B448:D448"/>
    <mergeCell ref="B646:D646"/>
    <mergeCell ref="B886:D886"/>
    <mergeCell ref="B2461:D2461"/>
    <mergeCell ref="B2582:D2582"/>
    <mergeCell ref="B2667:D2667"/>
    <mergeCell ref="B2789:D2789"/>
    <mergeCell ref="B2875:D2875"/>
    <mergeCell ref="B2971:D2971"/>
    <mergeCell ref="B1877:D1877"/>
    <mergeCell ref="B1996:D1996"/>
    <mergeCell ref="B2081:D2081"/>
    <mergeCell ref="B2181:D2181"/>
    <mergeCell ref="B2299:D2299"/>
    <mergeCell ref="B2384:D2384"/>
    <mergeCell ref="B3465:D3465"/>
    <mergeCell ref="B3507:D3507"/>
    <mergeCell ref="B3550:D3550"/>
    <mergeCell ref="B3592:D3592"/>
    <mergeCell ref="B3654:D3654"/>
    <mergeCell ref="B3717:D3717"/>
    <mergeCell ref="B3056:D3056"/>
    <mergeCell ref="B3134:D3134"/>
    <mergeCell ref="B3218:D3218"/>
    <mergeCell ref="B3296:D3296"/>
    <mergeCell ref="B3367:D3367"/>
    <mergeCell ref="B3422:D3422"/>
    <mergeCell ref="B4103:D4103"/>
    <mergeCell ref="B4155:D4155"/>
    <mergeCell ref="B4279:D4279"/>
    <mergeCell ref="B4367:D4367"/>
    <mergeCell ref="B4461:D4461"/>
    <mergeCell ref="B4505:D4505"/>
    <mergeCell ref="B3757:D3757"/>
    <mergeCell ref="B3813:D3813"/>
    <mergeCell ref="B3873:D3873"/>
    <mergeCell ref="B3944:D3944"/>
    <mergeCell ref="B4006:D4006"/>
    <mergeCell ref="B4054:D4054"/>
    <mergeCell ref="B4554:D4554"/>
    <mergeCell ref="B4684:D4684"/>
    <mergeCell ref="B4818:D4818"/>
    <mergeCell ref="B4946:D4946"/>
    <mergeCell ref="B5004:D5004"/>
    <mergeCell ref="B5162:D5162"/>
    <mergeCell ref="B4687:C4687"/>
    <mergeCell ref="B4821:C4821"/>
    <mergeCell ref="B4949:C4949"/>
    <mergeCell ref="B5879:D5879"/>
    <mergeCell ref="B5926:D5926"/>
    <mergeCell ref="B5968:D5968"/>
    <mergeCell ref="B6010:D6010"/>
    <mergeCell ref="B6052:D6052"/>
    <mergeCell ref="B6094:D6094"/>
    <mergeCell ref="B5883:C5883"/>
    <mergeCell ref="B5247:D5247"/>
    <mergeCell ref="B5373:D5373"/>
    <mergeCell ref="B5465:D5465"/>
    <mergeCell ref="B5555:D5555"/>
    <mergeCell ref="B5644:D5644"/>
    <mergeCell ref="B5770:D5770"/>
    <mergeCell ref="B5376:C5376"/>
    <mergeCell ref="B5773:C5773"/>
    <mergeCell ref="B5882:C5882"/>
    <mergeCell ref="B6444:D6444"/>
    <mergeCell ref="B6508:D6508"/>
    <mergeCell ref="B6549:D6549"/>
    <mergeCell ref="B6593:D6593"/>
    <mergeCell ref="B6641:D6641"/>
    <mergeCell ref="B6687:D6687"/>
    <mergeCell ref="B6131:D6131"/>
    <mergeCell ref="B6186:D6186"/>
    <mergeCell ref="B6230:D6230"/>
    <mergeCell ref="B6289:D6289"/>
    <mergeCell ref="B6343:D6343"/>
    <mergeCell ref="B6402:D6402"/>
    <mergeCell ref="B7166:D7166"/>
    <mergeCell ref="D7190:E7190"/>
    <mergeCell ref="F7196:F7197"/>
    <mergeCell ref="E7207:F7207"/>
    <mergeCell ref="B6729:D6729"/>
    <mergeCell ref="B6771:D6771"/>
    <mergeCell ref="B6814:D6814"/>
    <mergeCell ref="B6903:D6903"/>
    <mergeCell ref="B6992:D6992"/>
    <mergeCell ref="B7079:D7079"/>
    <mergeCell ref="G7238:G7239"/>
    <mergeCell ref="C7222:F7222"/>
    <mergeCell ref="B7226:B7227"/>
    <mergeCell ref="C7226:C7227"/>
    <mergeCell ref="D7226:D7227"/>
    <mergeCell ref="E7226:E7227"/>
    <mergeCell ref="G7226:G7227"/>
    <mergeCell ref="B7213:B7214"/>
    <mergeCell ref="C7213:C7214"/>
    <mergeCell ref="D7213:D7214"/>
    <mergeCell ref="E7213:E7214"/>
    <mergeCell ref="G7213:G7214"/>
    <mergeCell ref="C7250:F7250"/>
    <mergeCell ref="B7258:C7258"/>
    <mergeCell ref="B7261:D7261"/>
    <mergeCell ref="B7347:D7347"/>
    <mergeCell ref="C7234:F7234"/>
    <mergeCell ref="B7238:B7239"/>
    <mergeCell ref="C7238:C7239"/>
    <mergeCell ref="D7238:D7239"/>
    <mergeCell ref="E7238:E7239"/>
    <mergeCell ref="C7536:F7536"/>
    <mergeCell ref="B7540:B7541"/>
    <mergeCell ref="C7540:C7541"/>
    <mergeCell ref="D7540:D7541"/>
    <mergeCell ref="E7540:E7541"/>
    <mergeCell ref="G7540:G7541"/>
    <mergeCell ref="E7531:E7532"/>
    <mergeCell ref="G7531:G7532"/>
    <mergeCell ref="B7434:D7434"/>
    <mergeCell ref="B7502:D7502"/>
    <mergeCell ref="B7531:B7532"/>
    <mergeCell ref="C7531:C7532"/>
    <mergeCell ref="D7531:D7532"/>
    <mergeCell ref="G7549:G7550"/>
    <mergeCell ref="C7556:F7556"/>
    <mergeCell ref="B7562:C7562"/>
    <mergeCell ref="B7563:C7563"/>
    <mergeCell ref="B7566:D7566"/>
    <mergeCell ref="B7637:D7637"/>
    <mergeCell ref="B7543:B7544"/>
    <mergeCell ref="C7545:F7545"/>
    <mergeCell ref="B7549:B7550"/>
    <mergeCell ref="C7549:C7550"/>
    <mergeCell ref="D7549:D7550"/>
    <mergeCell ref="E7549:E7550"/>
    <mergeCell ref="G7675:G7676"/>
    <mergeCell ref="B7678:B7679"/>
    <mergeCell ref="C7671:F7671"/>
    <mergeCell ref="C7649:D7649"/>
    <mergeCell ref="B7666:B7667"/>
    <mergeCell ref="C7666:C7667"/>
    <mergeCell ref="D7666:D7667"/>
    <mergeCell ref="E7666:E7667"/>
    <mergeCell ref="G7666:G7667"/>
    <mergeCell ref="G7863:G7864"/>
    <mergeCell ref="C7691:F7691"/>
    <mergeCell ref="B7698:C7698"/>
    <mergeCell ref="B7701:D7701"/>
    <mergeCell ref="B7755:D7755"/>
    <mergeCell ref="B7795:D7795"/>
    <mergeCell ref="B7846:D7846"/>
    <mergeCell ref="C7680:F7680"/>
    <mergeCell ref="B7684:B7685"/>
    <mergeCell ref="C7684:C7685"/>
    <mergeCell ref="D7684:D7685"/>
    <mergeCell ref="E7684:E7685"/>
    <mergeCell ref="G7684:G7685"/>
    <mergeCell ref="G7870:G7871"/>
    <mergeCell ref="B7872:B7873"/>
    <mergeCell ref="C7872:C7873"/>
    <mergeCell ref="D7872:D7873"/>
    <mergeCell ref="C7874:F7874"/>
    <mergeCell ref="B7878:B7879"/>
    <mergeCell ref="C7878:C7879"/>
    <mergeCell ref="D7878:D7879"/>
    <mergeCell ref="E7878:E7879"/>
    <mergeCell ref="G7878:G7879"/>
    <mergeCell ref="B7870:B7871"/>
    <mergeCell ref="C7870:C7871"/>
    <mergeCell ref="D7870:D7871"/>
    <mergeCell ref="E7870:E7871"/>
    <mergeCell ref="G7919:G7920"/>
    <mergeCell ref="B7911:B7912"/>
    <mergeCell ref="C7911:C7912"/>
    <mergeCell ref="D7911:D7912"/>
    <mergeCell ref="E7911:E7912"/>
    <mergeCell ref="G7911:G7912"/>
    <mergeCell ref="C7882:F7882"/>
    <mergeCell ref="B7888:C7888"/>
    <mergeCell ref="B7889:C7889"/>
    <mergeCell ref="B7890:C7890"/>
    <mergeCell ref="B7892:D7892"/>
    <mergeCell ref="C7902:F7902"/>
    <mergeCell ref="B8561:D8561"/>
    <mergeCell ref="B8606:D8606"/>
    <mergeCell ref="B7991:D7991"/>
    <mergeCell ref="B8040:D8040"/>
    <mergeCell ref="B8093:D8093"/>
    <mergeCell ref="B8142:D8142"/>
    <mergeCell ref="B8206:D8206"/>
    <mergeCell ref="B8258:D8258"/>
    <mergeCell ref="G7927:G7928"/>
    <mergeCell ref="C7931:F7931"/>
    <mergeCell ref="B7937:C7937"/>
    <mergeCell ref="B7938:C7938"/>
    <mergeCell ref="B7939:C7939"/>
    <mergeCell ref="B7941:D7941"/>
    <mergeCell ref="B7927:B7928"/>
    <mergeCell ref="C7927:C7928"/>
    <mergeCell ref="D7927:D7928"/>
    <mergeCell ref="E7927:E7928"/>
    <mergeCell ref="B8311:D8311"/>
    <mergeCell ref="B8366:D8366"/>
    <mergeCell ref="B8435:D8435"/>
    <mergeCell ref="B8505:D8505"/>
    <mergeCell ref="B7921:B7922"/>
    <mergeCell ref="C7921:C7922"/>
    <mergeCell ref="D7921:D7922"/>
    <mergeCell ref="C7923:F7923"/>
    <mergeCell ref="C7915:F7915"/>
    <mergeCell ref="B7919:B7920"/>
    <mergeCell ref="C7919:C7920"/>
    <mergeCell ref="D7919:D7920"/>
    <mergeCell ref="E7919:E7920"/>
    <mergeCell ref="C7866:F7866"/>
    <mergeCell ref="C7854:F7854"/>
    <mergeCell ref="B7863:B7864"/>
    <mergeCell ref="C7863:C7864"/>
    <mergeCell ref="D7863:D7864"/>
    <mergeCell ref="E7863:E7864"/>
    <mergeCell ref="B7675:B7676"/>
    <mergeCell ref="C7675:C7676"/>
    <mergeCell ref="D7675:D7676"/>
    <mergeCell ref="E7675:E7676"/>
  </mergeCells>
  <printOptions horizontalCentered="1"/>
  <pageMargins left="0.70866141732283505" right="0.70866141732283505" top="0.74803149606299202" bottom="0.74803149606299202" header="0.31496062992126" footer="0.31496062992126"/>
  <pageSetup scale="58" firstPageNumber="125" orientation="portrait" useFirstPageNumber="1" r:id="rId1"/>
  <headerFooter>
    <oddHeader>&amp;RCanal and Allied Works - Item Unit Rates 2016-17</oddHeader>
    <oddFooter>&amp;R&amp;18&amp;P</oddFooter>
  </headerFooter>
  <drawing r:id="rId2"/>
</worksheet>
</file>

<file path=xl/worksheets/sheet9.xml><?xml version="1.0" encoding="utf-8"?>
<worksheet xmlns="http://schemas.openxmlformats.org/spreadsheetml/2006/main" xmlns:r="http://schemas.openxmlformats.org/officeDocument/2006/relationships">
  <sheetPr codeName="Sheet15"/>
  <dimension ref="A1:I4457"/>
  <sheetViews>
    <sheetView showGridLines="0" zoomScale="60" workbookViewId="0">
      <selection activeCell="G53" sqref="G53"/>
    </sheetView>
  </sheetViews>
  <sheetFormatPr defaultColWidth="0" defaultRowHeight="18" zeroHeight="1"/>
  <cols>
    <col min="1" max="1" width="21.140625" style="822" bestFit="1" customWidth="1"/>
    <col min="2" max="2" width="12.28515625" style="27" customWidth="1"/>
    <col min="3" max="3" width="54.5703125" style="27" customWidth="1"/>
    <col min="4" max="4" width="12.140625" style="26" customWidth="1"/>
    <col min="5" max="5" width="18.28515625" style="26" customWidth="1"/>
    <col min="6" max="6" width="12.7109375" style="26" customWidth="1"/>
    <col min="7" max="7" width="14.5703125" style="26" customWidth="1"/>
    <col min="8" max="8" width="14.85546875" style="26" customWidth="1"/>
    <col min="9" max="9" width="9.140625" style="26" hidden="1" customWidth="1"/>
    <col min="10" max="16384" width="0" style="26" hidden="1"/>
  </cols>
  <sheetData>
    <row r="1" spans="1:9">
      <c r="A1" s="922"/>
      <c r="B1" s="77"/>
      <c r="C1" s="109" t="s">
        <v>3661</v>
      </c>
      <c r="D1" s="109"/>
      <c r="E1" s="109"/>
      <c r="F1" s="109"/>
      <c r="G1" s="165"/>
    </row>
    <row r="2" spans="1:9">
      <c r="A2" s="903"/>
      <c r="B2" s="77"/>
      <c r="C2" s="77"/>
      <c r="D2" s="109"/>
      <c r="E2" s="109"/>
      <c r="F2" s="109"/>
      <c r="G2" s="165"/>
    </row>
    <row r="3" spans="1:9">
      <c r="A3" s="903"/>
      <c r="B3" s="77"/>
      <c r="C3" s="1253" t="s">
        <v>8004</v>
      </c>
      <c r="D3" s="1253"/>
      <c r="E3" s="1253"/>
      <c r="F3" s="1253"/>
      <c r="G3" s="165"/>
    </row>
    <row r="4" spans="1:9">
      <c r="A4" s="903"/>
      <c r="B4" s="77"/>
      <c r="C4" s="77"/>
      <c r="D4" s="109"/>
      <c r="E4" s="109"/>
      <c r="F4" s="109"/>
      <c r="G4" s="165"/>
    </row>
    <row r="5" spans="1:9">
      <c r="A5" s="864"/>
      <c r="B5" s="125"/>
      <c r="C5" s="125"/>
      <c r="D5" s="61"/>
      <c r="E5" s="61"/>
      <c r="F5" s="61"/>
      <c r="G5" s="61"/>
      <c r="H5" s="61"/>
      <c r="I5" s="61"/>
    </row>
    <row r="6" spans="1:9">
      <c r="A6" s="864"/>
      <c r="B6" s="125"/>
      <c r="C6" s="27" t="s">
        <v>1959</v>
      </c>
      <c r="D6" s="61"/>
      <c r="E6" s="61"/>
      <c r="F6" s="61"/>
      <c r="G6" s="61"/>
      <c r="H6" s="61"/>
      <c r="I6" s="61"/>
    </row>
    <row r="7" spans="1:9">
      <c r="A7" s="864"/>
      <c r="B7" s="125"/>
      <c r="C7" s="125"/>
      <c r="D7" s="61"/>
      <c r="E7" s="61"/>
      <c r="F7" s="61"/>
      <c r="G7" s="61"/>
      <c r="H7" s="61"/>
      <c r="I7" s="61"/>
    </row>
    <row r="8" spans="1:9" ht="18.75" thickBot="1">
      <c r="A8" s="864"/>
      <c r="B8" s="125"/>
      <c r="C8" s="619" t="s">
        <v>9895</v>
      </c>
      <c r="D8" s="61"/>
      <c r="E8" s="61"/>
      <c r="F8" s="61"/>
      <c r="G8" s="61"/>
      <c r="H8" s="61"/>
      <c r="I8" s="61"/>
    </row>
    <row r="9" spans="1:9" ht="18.75" thickBot="1">
      <c r="A9" s="904" t="s">
        <v>7038</v>
      </c>
      <c r="B9" s="125"/>
      <c r="C9" s="619"/>
      <c r="D9" s="61"/>
      <c r="E9" s="61"/>
      <c r="F9" s="61"/>
      <c r="G9" s="61"/>
      <c r="H9" s="61"/>
      <c r="I9" s="61"/>
    </row>
    <row r="10" spans="1:9">
      <c r="A10" s="823" t="s">
        <v>7529</v>
      </c>
      <c r="C10" s="1161" t="s">
        <v>1249</v>
      </c>
      <c r="D10" s="1161"/>
      <c r="E10" s="1161"/>
      <c r="F10" s="47"/>
    </row>
    <row r="11" spans="1:9">
      <c r="A11" s="823"/>
    </row>
    <row r="12" spans="1:9">
      <c r="A12" s="823"/>
    </row>
    <row r="13" spans="1:9" ht="23.25">
      <c r="A13" s="868" t="s">
        <v>9633</v>
      </c>
      <c r="B13" s="26"/>
      <c r="C13" s="78"/>
      <c r="F13" s="47"/>
    </row>
    <row r="14" spans="1:9">
      <c r="A14" s="869" t="s">
        <v>9603</v>
      </c>
      <c r="B14" s="26"/>
    </row>
    <row r="15" spans="1:9">
      <c r="A15" s="822" t="s">
        <v>9604</v>
      </c>
      <c r="B15" s="26"/>
    </row>
    <row r="16" spans="1:9">
      <c r="A16" s="822" t="s">
        <v>9651</v>
      </c>
      <c r="B16" s="26"/>
    </row>
    <row r="17" spans="1:8">
      <c r="A17" s="822" t="s">
        <v>9652</v>
      </c>
      <c r="B17" s="26"/>
    </row>
    <row r="18" spans="1:8">
      <c r="A18" s="822" t="s">
        <v>9636</v>
      </c>
      <c r="B18" s="26"/>
    </row>
    <row r="19" spans="1:8">
      <c r="A19" s="822" t="s">
        <v>9637</v>
      </c>
      <c r="B19" s="26"/>
    </row>
    <row r="20" spans="1:8">
      <c r="A20" s="869" t="s">
        <v>9608</v>
      </c>
      <c r="B20" s="26"/>
    </row>
    <row r="21" spans="1:8">
      <c r="A21" s="822" t="s">
        <v>9609</v>
      </c>
      <c r="B21" s="26"/>
    </row>
    <row r="22" spans="1:8">
      <c r="A22" s="846" t="s">
        <v>9661</v>
      </c>
      <c r="B22" s="26"/>
    </row>
    <row r="23" spans="1:8">
      <c r="A23" s="846" t="s">
        <v>9660</v>
      </c>
      <c r="B23" s="26"/>
    </row>
    <row r="24" spans="1:8">
      <c r="A24" s="846" t="s">
        <v>9876</v>
      </c>
      <c r="B24" s="26"/>
    </row>
    <row r="25" spans="1:8">
      <c r="A25" s="846" t="s">
        <v>9645</v>
      </c>
      <c r="B25" s="26"/>
    </row>
    <row r="26" spans="1:8">
      <c r="A26" s="822" t="s">
        <v>9646</v>
      </c>
      <c r="B26" s="26"/>
    </row>
    <row r="27" spans="1:8">
      <c r="A27" s="822" t="s">
        <v>9647</v>
      </c>
      <c r="B27" s="26"/>
    </row>
    <row r="28" spans="1:8">
      <c r="A28" s="822" t="s">
        <v>9648</v>
      </c>
      <c r="B28" s="26"/>
    </row>
    <row r="29" spans="1:8">
      <c r="A29" s="822" t="s">
        <v>9618</v>
      </c>
      <c r="B29" s="26"/>
    </row>
    <row r="30" spans="1:8">
      <c r="B30" s="26" t="s">
        <v>9619</v>
      </c>
      <c r="G30" s="26">
        <v>15</v>
      </c>
      <c r="H30" s="26" t="s">
        <v>9620</v>
      </c>
    </row>
    <row r="31" spans="1:8">
      <c r="B31" s="26" t="s">
        <v>9621</v>
      </c>
      <c r="G31" s="26">
        <v>1</v>
      </c>
      <c r="H31" s="26" t="s">
        <v>9620</v>
      </c>
    </row>
    <row r="32" spans="1:8">
      <c r="B32" s="26" t="s">
        <v>9622</v>
      </c>
      <c r="E32" s="26" t="s">
        <v>9623</v>
      </c>
      <c r="F32" s="26" t="s">
        <v>4108</v>
      </c>
      <c r="G32" s="68">
        <f>leadcharges!$D$69</f>
        <v>84</v>
      </c>
    </row>
    <row r="33" spans="1:8">
      <c r="B33" s="26"/>
      <c r="D33" s="26" t="s">
        <v>9624</v>
      </c>
      <c r="F33" s="26" t="s">
        <v>4108</v>
      </c>
      <c r="G33" s="26">
        <f>(15-5)*leadcharges!$D$70</f>
        <v>126</v>
      </c>
    </row>
    <row r="34" spans="1:8">
      <c r="B34" s="26"/>
      <c r="D34" s="26" t="s">
        <v>9625</v>
      </c>
      <c r="F34" s="26" t="s">
        <v>4108</v>
      </c>
      <c r="G34" s="68">
        <f>SUM(G32:G33)</f>
        <v>210</v>
      </c>
    </row>
    <row r="35" spans="1:8">
      <c r="B35" s="26"/>
      <c r="D35" s="26" t="s">
        <v>9626</v>
      </c>
      <c r="F35" s="26" t="s">
        <v>4108</v>
      </c>
      <c r="G35" s="68">
        <f>leadcharges!$D$65</f>
        <v>31.5</v>
      </c>
      <c r="H35" s="26" t="s">
        <v>9628</v>
      </c>
    </row>
    <row r="36" spans="1:8">
      <c r="B36" s="26"/>
      <c r="D36" s="26" t="s">
        <v>9627</v>
      </c>
      <c r="F36" s="26" t="s">
        <v>4108</v>
      </c>
      <c r="G36" s="68">
        <f>G34-G35</f>
        <v>178.5</v>
      </c>
    </row>
    <row r="37" spans="1:8">
      <c r="B37" s="26"/>
    </row>
    <row r="38" spans="1:8">
      <c r="B38" s="26"/>
    </row>
    <row r="39" spans="1:8">
      <c r="A39" s="822" t="s">
        <v>9874</v>
      </c>
      <c r="B39" s="26"/>
    </row>
    <row r="40" spans="1:8">
      <c r="B40" s="26"/>
    </row>
    <row r="41" spans="1:8">
      <c r="A41" s="846" t="s">
        <v>9670</v>
      </c>
      <c r="B41" s="26"/>
    </row>
    <row r="42" spans="1:8">
      <c r="A42" s="846" t="s">
        <v>9665</v>
      </c>
      <c r="B42" s="26"/>
    </row>
    <row r="43" spans="1:8">
      <c r="A43" s="846" t="s">
        <v>9644</v>
      </c>
      <c r="B43" s="26"/>
    </row>
    <row r="44" spans="1:8">
      <c r="A44" s="846" t="s">
        <v>9649</v>
      </c>
      <c r="B44" s="26"/>
    </row>
    <row r="45" spans="1:8">
      <c r="A45" s="846" t="s">
        <v>9650</v>
      </c>
      <c r="B45" s="26"/>
    </row>
    <row r="46" spans="1:8">
      <c r="A46" s="822" t="s">
        <v>9618</v>
      </c>
      <c r="B46" s="26"/>
    </row>
    <row r="47" spans="1:8">
      <c r="B47" s="26" t="s">
        <v>9631</v>
      </c>
      <c r="G47" s="26">
        <v>15</v>
      </c>
      <c r="H47" s="26" t="s">
        <v>9620</v>
      </c>
    </row>
    <row r="48" spans="1:8">
      <c r="B48" s="26" t="s">
        <v>9621</v>
      </c>
      <c r="G48" s="26">
        <v>1</v>
      </c>
      <c r="H48" s="26" t="s">
        <v>9620</v>
      </c>
    </row>
    <row r="49" spans="1:8">
      <c r="B49" s="26" t="s">
        <v>9622</v>
      </c>
      <c r="E49" s="26" t="s">
        <v>9623</v>
      </c>
      <c r="F49" s="26" t="s">
        <v>4108</v>
      </c>
      <c r="G49" s="68">
        <f>leadcharges!$D$69</f>
        <v>84</v>
      </c>
    </row>
    <row r="50" spans="1:8">
      <c r="B50" s="26"/>
      <c r="D50" s="26" t="s">
        <v>9624</v>
      </c>
      <c r="F50" s="26" t="s">
        <v>4108</v>
      </c>
      <c r="G50" s="26">
        <f>(15-5)*leadcharges!$D$70</f>
        <v>126</v>
      </c>
    </row>
    <row r="51" spans="1:8">
      <c r="B51" s="26"/>
      <c r="D51" s="26" t="s">
        <v>9625</v>
      </c>
      <c r="F51" s="26" t="s">
        <v>4108</v>
      </c>
      <c r="G51" s="68">
        <f>SUM(G49:G50)</f>
        <v>210</v>
      </c>
    </row>
    <row r="52" spans="1:8">
      <c r="B52" s="26"/>
      <c r="D52" s="26" t="s">
        <v>9626</v>
      </c>
      <c r="F52" s="26" t="s">
        <v>4108</v>
      </c>
      <c r="G52" s="68">
        <f>leadcharges!$D$65</f>
        <v>31.5</v>
      </c>
      <c r="H52" s="26" t="s">
        <v>9628</v>
      </c>
    </row>
    <row r="53" spans="1:8">
      <c r="B53" s="26"/>
      <c r="D53" s="26" t="s">
        <v>9627</v>
      </c>
      <c r="F53" s="26" t="s">
        <v>4108</v>
      </c>
      <c r="G53" s="68">
        <f>G51-G52</f>
        <v>178.5</v>
      </c>
    </row>
    <row r="54" spans="1:8">
      <c r="A54" s="823"/>
    </row>
    <row r="55" spans="1:8">
      <c r="A55" s="822" t="s">
        <v>9684</v>
      </c>
    </row>
    <row r="56" spans="1:8">
      <c r="A56" s="822" t="s">
        <v>9685</v>
      </c>
    </row>
    <row r="57" spans="1:8">
      <c r="A57" s="822" t="s">
        <v>9686</v>
      </c>
    </row>
    <row r="58" spans="1:8"/>
    <row r="59" spans="1:8">
      <c r="A59" s="823"/>
      <c r="C59" s="26"/>
      <c r="D59" s="325" t="s">
        <v>9654</v>
      </c>
    </row>
    <row r="60" spans="1:8">
      <c r="A60" s="823"/>
    </row>
    <row r="61" spans="1:8">
      <c r="A61" s="823" t="s">
        <v>7530</v>
      </c>
      <c r="B61" s="79" t="s">
        <v>1421</v>
      </c>
    </row>
    <row r="62" spans="1:8">
      <c r="A62" s="823"/>
    </row>
    <row r="63" spans="1:8" ht="18.75">
      <c r="A63" s="823" t="s">
        <v>7531</v>
      </c>
      <c r="B63" s="27" t="s">
        <v>8896</v>
      </c>
    </row>
    <row r="64" spans="1:8">
      <c r="A64" s="823"/>
      <c r="B64" s="27" t="s">
        <v>7994</v>
      </c>
    </row>
    <row r="65" spans="1:7" ht="18.75">
      <c r="A65" s="823"/>
      <c r="B65" s="27" t="s">
        <v>8897</v>
      </c>
    </row>
    <row r="66" spans="1:7">
      <c r="A66" s="823"/>
      <c r="B66" s="79" t="s">
        <v>3199</v>
      </c>
    </row>
    <row r="67" spans="1:7">
      <c r="A67" s="823"/>
    </row>
    <row r="68" spans="1:7" hidden="1">
      <c r="A68" s="823"/>
      <c r="B68" s="27" t="s">
        <v>3984</v>
      </c>
      <c r="C68" s="27" t="s">
        <v>1731</v>
      </c>
    </row>
    <row r="69" spans="1:7" hidden="1">
      <c r="A69" s="823"/>
    </row>
    <row r="70" spans="1:7">
      <c r="A70" s="823"/>
    </row>
    <row r="71" spans="1:7">
      <c r="A71" s="823" t="s">
        <v>3984</v>
      </c>
      <c r="C71" s="79" t="s">
        <v>2367</v>
      </c>
      <c r="E71" s="171" t="s">
        <v>297</v>
      </c>
      <c r="F71" s="246">
        <v>10</v>
      </c>
      <c r="G71" s="26" t="s">
        <v>3477</v>
      </c>
    </row>
    <row r="72" spans="1:7">
      <c r="A72" s="823"/>
      <c r="B72" s="79" t="s">
        <v>2368</v>
      </c>
    </row>
    <row r="73" spans="1:7">
      <c r="A73" s="823"/>
      <c r="B73" s="153" t="s">
        <v>2369</v>
      </c>
      <c r="C73" s="131" t="s">
        <v>4443</v>
      </c>
      <c r="D73" s="95" t="s">
        <v>2370</v>
      </c>
      <c r="E73" s="95" t="s">
        <v>1166</v>
      </c>
      <c r="F73" s="95" t="s">
        <v>2371</v>
      </c>
      <c r="G73" s="95" t="s">
        <v>2372</v>
      </c>
    </row>
    <row r="74" spans="1:7">
      <c r="A74" s="823"/>
      <c r="B74" s="116"/>
      <c r="C74" s="139"/>
      <c r="D74" s="114"/>
      <c r="E74" s="114"/>
      <c r="F74" s="114" t="s">
        <v>3485</v>
      </c>
      <c r="G74" s="114" t="s">
        <v>3485</v>
      </c>
    </row>
    <row r="75" spans="1:7">
      <c r="A75" s="823"/>
      <c r="B75" s="153">
        <v>1</v>
      </c>
      <c r="C75" s="135" t="s">
        <v>6976</v>
      </c>
      <c r="D75" s="95"/>
      <c r="E75" s="190">
        <v>0</v>
      </c>
      <c r="F75" s="190">
        <v>0</v>
      </c>
      <c r="G75" s="190">
        <f>E75*F75</f>
        <v>0</v>
      </c>
    </row>
    <row r="76" spans="1:7">
      <c r="A76" s="823"/>
      <c r="B76" s="116"/>
      <c r="C76" s="135"/>
      <c r="D76" s="105"/>
      <c r="E76" s="190">
        <v>0</v>
      </c>
      <c r="F76" s="190">
        <v>0</v>
      </c>
      <c r="G76" s="190">
        <f>E76*F76</f>
        <v>0</v>
      </c>
    </row>
    <row r="77" spans="1:7">
      <c r="A77" s="823"/>
      <c r="B77" s="129"/>
      <c r="C77" s="151" t="s">
        <v>2376</v>
      </c>
      <c r="D77" s="159"/>
      <c r="E77" s="238"/>
      <c r="F77" s="236" t="s">
        <v>1698</v>
      </c>
      <c r="G77" s="318">
        <f>SUM(G75:G76)</f>
        <v>0</v>
      </c>
    </row>
    <row r="78" spans="1:7">
      <c r="A78" s="823"/>
    </row>
    <row r="79" spans="1:7">
      <c r="A79" s="823"/>
      <c r="B79" s="27" t="s">
        <v>2377</v>
      </c>
    </row>
    <row r="80" spans="1:7">
      <c r="A80" s="823"/>
      <c r="B80" s="153" t="s">
        <v>2369</v>
      </c>
      <c r="C80" s="131" t="s">
        <v>2378</v>
      </c>
      <c r="D80" s="95" t="s">
        <v>2370</v>
      </c>
      <c r="E80" s="95" t="s">
        <v>1166</v>
      </c>
      <c r="F80" s="95" t="s">
        <v>2371</v>
      </c>
      <c r="G80" s="95" t="s">
        <v>2372</v>
      </c>
    </row>
    <row r="81" spans="1:7">
      <c r="A81" s="823"/>
      <c r="B81" s="116"/>
      <c r="C81" s="139"/>
      <c r="D81" s="114"/>
      <c r="E81" s="114"/>
      <c r="F81" s="114" t="s">
        <v>3485</v>
      </c>
      <c r="G81" s="114" t="s">
        <v>3485</v>
      </c>
    </row>
    <row r="82" spans="1:7">
      <c r="A82" s="823"/>
      <c r="B82" s="153">
        <v>1</v>
      </c>
      <c r="C82" s="135" t="s">
        <v>6976</v>
      </c>
      <c r="D82" s="95"/>
      <c r="E82" s="190">
        <v>0</v>
      </c>
      <c r="F82" s="190">
        <v>0</v>
      </c>
      <c r="G82" s="190">
        <f>E82*F82</f>
        <v>0</v>
      </c>
    </row>
    <row r="83" spans="1:7">
      <c r="A83" s="823"/>
      <c r="B83" s="152"/>
      <c r="C83" s="135"/>
      <c r="D83" s="105"/>
      <c r="E83" s="190">
        <v>0</v>
      </c>
      <c r="F83" s="190">
        <v>0</v>
      </c>
      <c r="G83" s="190">
        <f>E83*F83</f>
        <v>0</v>
      </c>
    </row>
    <row r="84" spans="1:7">
      <c r="A84" s="823"/>
      <c r="B84" s="129"/>
      <c r="C84" s="151" t="s">
        <v>2380</v>
      </c>
      <c r="D84" s="159"/>
      <c r="E84" s="238"/>
      <c r="F84" s="236" t="s">
        <v>1698</v>
      </c>
      <c r="G84" s="318">
        <f>SUM(G82:G83)</f>
        <v>0</v>
      </c>
    </row>
    <row r="85" spans="1:7">
      <c r="A85" s="823"/>
    </row>
    <row r="86" spans="1:7">
      <c r="A86" s="823"/>
      <c r="B86" s="79" t="s">
        <v>2381</v>
      </c>
    </row>
    <row r="87" spans="1:7">
      <c r="A87" s="823"/>
      <c r="B87" s="153" t="s">
        <v>2369</v>
      </c>
      <c r="C87" s="131" t="s">
        <v>2378</v>
      </c>
      <c r="D87" s="95" t="s">
        <v>2370</v>
      </c>
      <c r="E87" s="95" t="s">
        <v>1166</v>
      </c>
      <c r="F87" s="95" t="s">
        <v>2371</v>
      </c>
      <c r="G87" s="95" t="s">
        <v>2372</v>
      </c>
    </row>
    <row r="88" spans="1:7">
      <c r="A88" s="823"/>
      <c r="B88" s="116"/>
      <c r="C88" s="139"/>
      <c r="D88" s="114"/>
      <c r="E88" s="114"/>
      <c r="F88" s="114" t="s">
        <v>3485</v>
      </c>
      <c r="G88" s="114" t="s">
        <v>3485</v>
      </c>
    </row>
    <row r="89" spans="1:7">
      <c r="A89" s="823"/>
      <c r="B89" s="152">
        <v>1</v>
      </c>
      <c r="C89" s="76" t="s">
        <v>4206</v>
      </c>
      <c r="D89" s="105" t="s">
        <v>1172</v>
      </c>
      <c r="E89" s="207">
        <v>0.25</v>
      </c>
      <c r="F89" s="190">
        <f>'BASIC DATA'!$C$473</f>
        <v>450</v>
      </c>
      <c r="G89" s="190">
        <f>E89*F89</f>
        <v>112.5</v>
      </c>
    </row>
    <row r="90" spans="1:7">
      <c r="A90" s="823"/>
      <c r="B90" s="152">
        <v>2</v>
      </c>
      <c r="C90" s="76" t="s">
        <v>2697</v>
      </c>
      <c r="D90" s="105" t="s">
        <v>1172</v>
      </c>
      <c r="E90" s="207">
        <v>6</v>
      </c>
      <c r="F90" s="190">
        <f>'BASIC DATA'!$C$552</f>
        <v>350</v>
      </c>
      <c r="G90" s="190">
        <f>E90*F90</f>
        <v>2100</v>
      </c>
    </row>
    <row r="91" spans="1:7">
      <c r="A91" s="823"/>
      <c r="B91" s="129"/>
      <c r="C91" s="151" t="s">
        <v>1174</v>
      </c>
      <c r="D91" s="159"/>
      <c r="E91" s="238"/>
      <c r="F91" s="236" t="s">
        <v>1698</v>
      </c>
      <c r="G91" s="318">
        <f>SUM(G89:G90)</f>
        <v>2212.5</v>
      </c>
    </row>
    <row r="92" spans="1:7">
      <c r="A92" s="823"/>
      <c r="B92" s="101" t="s">
        <v>5948</v>
      </c>
      <c r="D92" s="31"/>
      <c r="E92" s="85">
        <f>ROUND(G91/F71,1)</f>
        <v>221.3</v>
      </c>
    </row>
    <row r="93" spans="1:7">
      <c r="A93" s="823"/>
      <c r="B93" s="101" t="s">
        <v>3163</v>
      </c>
      <c r="D93" s="922">
        <f>'BASIC DATA'!$C$577</f>
        <v>0.13614999999999999</v>
      </c>
      <c r="E93" s="85">
        <f>ROUND(E92*D93,1)</f>
        <v>30.1</v>
      </c>
    </row>
    <row r="94" spans="1:7">
      <c r="A94" s="823"/>
      <c r="B94" s="101" t="s">
        <v>5949</v>
      </c>
      <c r="D94" s="31"/>
      <c r="E94" s="199">
        <f>ROUND(E93+E92,1)</f>
        <v>251.4</v>
      </c>
    </row>
    <row r="95" spans="1:7">
      <c r="A95" s="823"/>
    </row>
    <row r="96" spans="1:7">
      <c r="A96" s="823"/>
      <c r="B96" s="79" t="s">
        <v>1175</v>
      </c>
    </row>
    <row r="97" spans="1:9">
      <c r="A97" s="823"/>
      <c r="B97" s="27" t="s">
        <v>1176</v>
      </c>
      <c r="F97" s="171" t="s">
        <v>1698</v>
      </c>
      <c r="G97" s="68">
        <f>G77</f>
        <v>0</v>
      </c>
    </row>
    <row r="98" spans="1:9">
      <c r="A98" s="823"/>
      <c r="B98" s="27" t="s">
        <v>1186</v>
      </c>
      <c r="F98" s="171" t="s">
        <v>1698</v>
      </c>
      <c r="G98" s="68">
        <f>G84</f>
        <v>0</v>
      </c>
    </row>
    <row r="99" spans="1:9">
      <c r="A99" s="823"/>
      <c r="B99" s="27" t="s">
        <v>2660</v>
      </c>
      <c r="F99" s="171" t="s">
        <v>1698</v>
      </c>
      <c r="G99" s="75">
        <f>G91</f>
        <v>2212.5</v>
      </c>
    </row>
    <row r="100" spans="1:9">
      <c r="A100" s="823"/>
      <c r="E100" s="171"/>
      <c r="F100" s="171" t="s">
        <v>302</v>
      </c>
      <c r="G100" s="205">
        <f>SUM(G97:G99)</f>
        <v>2212.5</v>
      </c>
    </row>
    <row r="101" spans="1:9">
      <c r="A101" s="823"/>
      <c r="B101" s="27" t="s">
        <v>1379</v>
      </c>
      <c r="E101" s="922">
        <f>'BASIC DATA'!$C$577</f>
        <v>0.13614999999999999</v>
      </c>
      <c r="F101" s="26" t="s">
        <v>1698</v>
      </c>
      <c r="G101" s="26">
        <f>ROUND(G100*E101,2)</f>
        <v>301.23</v>
      </c>
    </row>
    <row r="102" spans="1:9">
      <c r="A102" s="823"/>
      <c r="B102" s="27" t="s">
        <v>1191</v>
      </c>
      <c r="D102" s="68">
        <f>F71</f>
        <v>10</v>
      </c>
      <c r="E102" s="68" t="str">
        <f>G71</f>
        <v>cum</v>
      </c>
      <c r="F102" s="26" t="s">
        <v>1698</v>
      </c>
      <c r="G102" s="170">
        <f>G101+G100</f>
        <v>2513.73</v>
      </c>
    </row>
    <row r="103" spans="1:9">
      <c r="A103" s="823"/>
      <c r="B103" s="79" t="s">
        <v>1584</v>
      </c>
      <c r="C103" s="204" t="str">
        <f>E102</f>
        <v>cum</v>
      </c>
      <c r="D103" s="26" t="s">
        <v>5891</v>
      </c>
      <c r="F103" s="26" t="s">
        <v>4108</v>
      </c>
      <c r="G103" s="211">
        <f>ROUND(G102/D102,1)</f>
        <v>251.4</v>
      </c>
      <c r="I103" s="621"/>
    </row>
    <row r="104" spans="1:9">
      <c r="A104" s="823"/>
    </row>
    <row r="105" spans="1:9">
      <c r="A105" s="823"/>
    </row>
    <row r="106" spans="1:9">
      <c r="A106" s="823" t="s">
        <v>7532</v>
      </c>
      <c r="B106" s="1256" t="s">
        <v>1210</v>
      </c>
      <c r="C106" s="1256"/>
      <c r="D106" s="623" t="s">
        <v>4172</v>
      </c>
      <c r="E106" s="56"/>
      <c r="F106" s="624"/>
      <c r="G106" s="54"/>
      <c r="H106" s="54"/>
      <c r="I106" s="54"/>
    </row>
    <row r="107" spans="1:9">
      <c r="A107" s="905"/>
      <c r="B107" s="656" t="s">
        <v>9022</v>
      </c>
      <c r="C107" s="533"/>
      <c r="D107" s="56"/>
      <c r="E107" s="56"/>
      <c r="F107" s="624"/>
      <c r="G107" s="54"/>
      <c r="H107" s="54"/>
      <c r="I107" s="54"/>
    </row>
    <row r="108" spans="1:9">
      <c r="A108" s="905"/>
      <c r="B108" s="656" t="s">
        <v>9023</v>
      </c>
      <c r="C108" s="533"/>
      <c r="D108" s="56"/>
      <c r="E108" s="56"/>
      <c r="F108" s="624"/>
      <c r="G108" s="54"/>
      <c r="H108" s="54"/>
      <c r="I108" s="54"/>
    </row>
    <row r="109" spans="1:9">
      <c r="A109" s="905"/>
      <c r="B109" s="656" t="s">
        <v>9024</v>
      </c>
      <c r="C109" s="656"/>
      <c r="D109" s="626"/>
      <c r="E109" s="54"/>
      <c r="F109" s="54"/>
      <c r="G109" s="54"/>
      <c r="H109" s="55"/>
      <c r="I109" s="57"/>
    </row>
    <row r="110" spans="1:9">
      <c r="A110" s="905"/>
      <c r="B110" s="622" t="s">
        <v>6748</v>
      </c>
      <c r="C110" s="533"/>
      <c r="D110" s="626"/>
      <c r="E110" s="54"/>
      <c r="F110" s="54"/>
      <c r="G110" s="54"/>
      <c r="H110" s="55"/>
      <c r="I110" s="57"/>
    </row>
    <row r="111" spans="1:9">
      <c r="A111" s="905"/>
      <c r="B111" s="656" t="s">
        <v>359</v>
      </c>
      <c r="C111" s="533"/>
      <c r="D111" s="626"/>
      <c r="E111" s="54"/>
      <c r="F111" s="54"/>
      <c r="G111" s="54"/>
      <c r="H111" s="55"/>
      <c r="I111" s="57"/>
    </row>
    <row r="112" spans="1:9">
      <c r="A112" s="823" t="s">
        <v>3984</v>
      </c>
      <c r="B112" s="1257" t="s">
        <v>6749</v>
      </c>
      <c r="C112" s="1257"/>
      <c r="D112" s="628" t="s">
        <v>2370</v>
      </c>
      <c r="E112" s="629">
        <v>240</v>
      </c>
      <c r="F112" s="54" t="s">
        <v>3477</v>
      </c>
      <c r="G112" s="54"/>
      <c r="H112" s="55"/>
      <c r="I112" s="57"/>
    </row>
    <row r="113" spans="1:9">
      <c r="A113" s="905"/>
      <c r="B113" s="788" t="s">
        <v>8037</v>
      </c>
      <c r="C113" s="631"/>
      <c r="D113" s="626"/>
      <c r="E113" s="54"/>
      <c r="F113" s="54"/>
      <c r="G113" s="54"/>
      <c r="H113" s="55"/>
      <c r="I113" s="57"/>
    </row>
    <row r="114" spans="1:9">
      <c r="A114" s="905"/>
      <c r="B114" s="153" t="s">
        <v>2369</v>
      </c>
      <c r="C114" s="149" t="s">
        <v>2378</v>
      </c>
      <c r="D114" s="97" t="s">
        <v>2370</v>
      </c>
      <c r="E114" s="97" t="s">
        <v>1166</v>
      </c>
      <c r="F114" s="175" t="s">
        <v>2371</v>
      </c>
      <c r="G114" s="95" t="s">
        <v>2372</v>
      </c>
      <c r="H114" s="55"/>
      <c r="I114" s="57"/>
    </row>
    <row r="115" spans="1:9">
      <c r="A115" s="905"/>
      <c r="B115" s="116"/>
      <c r="C115" s="150"/>
      <c r="D115" s="115"/>
      <c r="E115" s="115"/>
      <c r="F115" s="188" t="s">
        <v>3485</v>
      </c>
      <c r="G115" s="114" t="s">
        <v>3485</v>
      </c>
      <c r="H115" s="55"/>
      <c r="I115" s="57"/>
    </row>
    <row r="116" spans="1:9">
      <c r="A116" s="905"/>
      <c r="B116" s="789"/>
      <c r="C116" s="633" t="s">
        <v>6976</v>
      </c>
      <c r="D116" s="504"/>
      <c r="E116" s="634">
        <v>0</v>
      </c>
      <c r="F116" s="634">
        <v>0</v>
      </c>
      <c r="G116" s="635">
        <v>0</v>
      </c>
      <c r="H116" s="55"/>
      <c r="I116" s="57"/>
    </row>
    <row r="117" spans="1:9">
      <c r="A117" s="905"/>
      <c r="B117" s="790"/>
      <c r="C117" s="631"/>
      <c r="D117" s="626"/>
      <c r="E117" s="54"/>
      <c r="F117" s="54"/>
      <c r="G117" s="54"/>
      <c r="H117" s="55"/>
      <c r="I117" s="57"/>
    </row>
    <row r="118" spans="1:9">
      <c r="A118" s="905"/>
      <c r="B118" s="637" t="s">
        <v>8038</v>
      </c>
      <c r="C118" s="786"/>
      <c r="D118" s="639"/>
      <c r="E118" s="640"/>
      <c r="F118" s="640"/>
      <c r="G118" s="640"/>
      <c r="H118" s="55"/>
      <c r="I118" s="57"/>
    </row>
    <row r="119" spans="1:9">
      <c r="A119" s="823"/>
      <c r="B119" s="152" t="s">
        <v>2369</v>
      </c>
      <c r="C119" s="135" t="s">
        <v>2378</v>
      </c>
      <c r="D119" s="105" t="s">
        <v>2370</v>
      </c>
      <c r="E119" s="105" t="s">
        <v>1166</v>
      </c>
      <c r="F119" s="105" t="s">
        <v>2371</v>
      </c>
      <c r="G119" s="93" t="s">
        <v>2372</v>
      </c>
      <c r="H119" s="147"/>
    </row>
    <row r="120" spans="1:9">
      <c r="A120" s="823"/>
      <c r="B120" s="116"/>
      <c r="C120" s="139"/>
      <c r="D120" s="114"/>
      <c r="E120" s="114"/>
      <c r="F120" s="114" t="s">
        <v>3485</v>
      </c>
      <c r="G120" s="176" t="s">
        <v>3485</v>
      </c>
      <c r="H120" s="147"/>
    </row>
    <row r="121" spans="1:9" ht="36">
      <c r="A121" s="905"/>
      <c r="B121" s="791">
        <v>1</v>
      </c>
      <c r="C121" s="642" t="s">
        <v>6751</v>
      </c>
      <c r="D121" s="58" t="s">
        <v>1189</v>
      </c>
      <c r="E121" s="59">
        <v>6</v>
      </c>
      <c r="F121" s="59">
        <f>'HIRE CHARGES'!$D$543</f>
        <v>1706.6</v>
      </c>
      <c r="G121" s="643">
        <f>F121*E121</f>
        <v>10239.599999999999</v>
      </c>
      <c r="H121" s="644"/>
      <c r="I121" s="57"/>
    </row>
    <row r="122" spans="1:9">
      <c r="A122" s="905"/>
      <c r="B122" s="668"/>
      <c r="C122" s="642" t="s">
        <v>4173</v>
      </c>
      <c r="D122" s="58" t="s">
        <v>1189</v>
      </c>
      <c r="E122" s="59">
        <v>6</v>
      </c>
      <c r="F122" s="59">
        <f>'HIRE CHARGES'!$E$543</f>
        <v>872.7</v>
      </c>
      <c r="G122" s="643">
        <f>F122*E122</f>
        <v>5236.2000000000007</v>
      </c>
      <c r="H122" s="644"/>
      <c r="I122" s="57"/>
    </row>
    <row r="123" spans="1:9">
      <c r="A123" s="905"/>
      <c r="B123" s="668"/>
      <c r="C123" s="646" t="s">
        <v>360</v>
      </c>
      <c r="D123" s="510"/>
      <c r="E123" s="647"/>
      <c r="F123" s="648"/>
      <c r="G123" s="649">
        <f>SUM(G121:G122)</f>
        <v>15475.8</v>
      </c>
      <c r="H123" s="644"/>
      <c r="I123" s="57"/>
    </row>
    <row r="124" spans="1:9">
      <c r="A124" s="905"/>
      <c r="B124" s="669"/>
      <c r="C124" s="631"/>
      <c r="D124" s="626"/>
      <c r="E124" s="54"/>
      <c r="F124" s="54"/>
      <c r="G124" s="629"/>
      <c r="H124" s="55"/>
      <c r="I124" s="57"/>
    </row>
    <row r="125" spans="1:9">
      <c r="A125" s="905"/>
      <c r="B125" s="651" t="s">
        <v>8039</v>
      </c>
      <c r="C125" s="786"/>
      <c r="D125" s="639"/>
      <c r="E125" s="640"/>
      <c r="F125" s="640"/>
      <c r="G125" s="640"/>
      <c r="H125" s="55"/>
      <c r="I125" s="57"/>
    </row>
    <row r="126" spans="1:9">
      <c r="A126" s="823"/>
      <c r="B126" s="152" t="s">
        <v>2369</v>
      </c>
      <c r="C126" s="135" t="s">
        <v>2378</v>
      </c>
      <c r="D126" s="105" t="s">
        <v>2370</v>
      </c>
      <c r="E126" s="105" t="s">
        <v>1166</v>
      </c>
      <c r="F126" s="105" t="s">
        <v>2371</v>
      </c>
      <c r="G126" s="105" t="s">
        <v>2372</v>
      </c>
    </row>
    <row r="127" spans="1:9">
      <c r="A127" s="823"/>
      <c r="B127" s="116"/>
      <c r="C127" s="139"/>
      <c r="D127" s="114"/>
      <c r="E127" s="114"/>
      <c r="F127" s="114" t="s">
        <v>3485</v>
      </c>
      <c r="G127" s="114" t="s">
        <v>3485</v>
      </c>
    </row>
    <row r="128" spans="1:9">
      <c r="A128" s="905"/>
      <c r="B128" s="791">
        <v>1</v>
      </c>
      <c r="C128" s="642" t="s">
        <v>4206</v>
      </c>
      <c r="D128" s="58" t="s">
        <v>1581</v>
      </c>
      <c r="E128" s="59">
        <v>0.32</v>
      </c>
      <c r="F128" s="59">
        <f>'BASIC DATA'!$C$473</f>
        <v>450</v>
      </c>
      <c r="G128" s="643">
        <f>F128*E128</f>
        <v>144</v>
      </c>
      <c r="H128" s="644"/>
      <c r="I128" s="57"/>
    </row>
    <row r="129" spans="1:9">
      <c r="A129" s="905"/>
      <c r="B129" s="791">
        <v>2</v>
      </c>
      <c r="C129" s="642" t="s">
        <v>4647</v>
      </c>
      <c r="D129" s="58" t="s">
        <v>1581</v>
      </c>
      <c r="E129" s="59">
        <v>8</v>
      </c>
      <c r="F129" s="59">
        <f>'BASIC DATA'!$C$552</f>
        <v>350</v>
      </c>
      <c r="G129" s="643">
        <f>F129*E129</f>
        <v>2800</v>
      </c>
      <c r="H129" s="644"/>
      <c r="I129" s="57"/>
    </row>
    <row r="130" spans="1:9">
      <c r="A130" s="905"/>
      <c r="B130" s="791">
        <v>3</v>
      </c>
      <c r="C130" s="642" t="s">
        <v>4174</v>
      </c>
      <c r="D130" s="58" t="s">
        <v>1189</v>
      </c>
      <c r="E130" s="59">
        <v>6</v>
      </c>
      <c r="F130" s="59">
        <f>'HIRE CHARGES'!$F$543</f>
        <v>236.6</v>
      </c>
      <c r="G130" s="643">
        <f>F130*E130</f>
        <v>1419.6</v>
      </c>
      <c r="H130" s="644"/>
      <c r="I130" s="57"/>
    </row>
    <row r="131" spans="1:9">
      <c r="A131" s="905"/>
      <c r="B131" s="791"/>
      <c r="C131" s="642" t="s">
        <v>360</v>
      </c>
      <c r="D131" s="58"/>
      <c r="E131" s="59"/>
      <c r="F131" s="59"/>
      <c r="G131" s="652">
        <f>SUM(G128:G130)</f>
        <v>4363.6000000000004</v>
      </c>
      <c r="H131" s="644"/>
      <c r="I131" s="57"/>
    </row>
    <row r="132" spans="1:9">
      <c r="A132" s="905"/>
      <c r="B132" s="101" t="s">
        <v>5948</v>
      </c>
      <c r="C132" s="533"/>
      <c r="D132" s="31"/>
      <c r="E132" s="85">
        <f>ROUND(G131/E112,1)</f>
        <v>18.2</v>
      </c>
      <c r="F132" s="57"/>
      <c r="G132" s="57"/>
      <c r="H132" s="55"/>
      <c r="I132" s="57"/>
    </row>
    <row r="133" spans="1:9">
      <c r="A133" s="905"/>
      <c r="B133" s="101" t="s">
        <v>3163</v>
      </c>
      <c r="C133" s="533"/>
      <c r="D133" s="922">
        <f>'BASIC DATA'!$C$577</f>
        <v>0.13614999999999999</v>
      </c>
      <c r="E133" s="85">
        <f>ROUND(E132*D133,1)</f>
        <v>2.5</v>
      </c>
      <c r="F133" s="57"/>
      <c r="G133" s="57"/>
      <c r="H133" s="55"/>
      <c r="I133" s="57"/>
    </row>
    <row r="134" spans="1:9">
      <c r="A134" s="905"/>
      <c r="B134" s="101" t="s">
        <v>5949</v>
      </c>
      <c r="C134" s="533"/>
      <c r="D134" s="31"/>
      <c r="E134" s="199">
        <f>ROUND(E133+E132,1)</f>
        <v>20.7</v>
      </c>
      <c r="F134" s="57"/>
      <c r="G134" s="57"/>
      <c r="H134" s="55"/>
      <c r="I134" s="57"/>
    </row>
    <row r="135" spans="1:9">
      <c r="A135" s="905"/>
      <c r="B135" s="669"/>
      <c r="C135" s="631"/>
      <c r="D135" s="626"/>
      <c r="E135" s="54"/>
      <c r="F135" s="54"/>
      <c r="G135" s="54"/>
      <c r="H135" s="55"/>
      <c r="I135" s="57"/>
    </row>
    <row r="136" spans="1:9">
      <c r="A136" s="905"/>
      <c r="B136" s="622" t="s">
        <v>2987</v>
      </c>
      <c r="C136" s="533"/>
      <c r="D136" s="626"/>
      <c r="E136" s="54"/>
      <c r="F136" s="54"/>
      <c r="G136" s="54"/>
      <c r="H136" s="55"/>
      <c r="I136" s="57"/>
    </row>
    <row r="137" spans="1:9">
      <c r="A137" s="905"/>
      <c r="B137" s="656" t="s">
        <v>8040</v>
      </c>
      <c r="C137" s="533"/>
      <c r="D137" s="626"/>
      <c r="E137" s="54"/>
      <c r="F137" s="54" t="s">
        <v>4391</v>
      </c>
      <c r="G137" s="54">
        <f>G116</f>
        <v>0</v>
      </c>
      <c r="H137" s="55"/>
      <c r="I137" s="57"/>
    </row>
    <row r="138" spans="1:9">
      <c r="A138" s="905"/>
      <c r="B138" s="656" t="s">
        <v>6966</v>
      </c>
      <c r="C138" s="533"/>
      <c r="D138" s="626"/>
      <c r="E138" s="54"/>
      <c r="F138" s="54" t="s">
        <v>4391</v>
      </c>
      <c r="G138" s="54">
        <f>G123</f>
        <v>15475.8</v>
      </c>
      <c r="H138" s="55"/>
      <c r="I138" s="57"/>
    </row>
    <row r="139" spans="1:9">
      <c r="A139" s="905"/>
      <c r="B139" s="656" t="s">
        <v>8041</v>
      </c>
      <c r="C139" s="533"/>
      <c r="D139" s="626"/>
      <c r="E139" s="54"/>
      <c r="F139" s="54" t="s">
        <v>4391</v>
      </c>
      <c r="G139" s="54">
        <f>G131</f>
        <v>4363.6000000000004</v>
      </c>
      <c r="H139" s="55"/>
      <c r="I139" s="57"/>
    </row>
    <row r="140" spans="1:9">
      <c r="A140" s="905"/>
      <c r="B140" s="656" t="s">
        <v>2392</v>
      </c>
      <c r="C140" s="533"/>
      <c r="D140" s="626"/>
      <c r="E140" s="54"/>
      <c r="F140" s="54" t="s">
        <v>4391</v>
      </c>
      <c r="G140" s="647">
        <f>SUM(G137:G139)</f>
        <v>19839.400000000001</v>
      </c>
      <c r="H140" s="55"/>
      <c r="I140" s="57"/>
    </row>
    <row r="141" spans="1:9">
      <c r="A141" s="905"/>
      <c r="B141" s="27" t="s">
        <v>1379</v>
      </c>
      <c r="E141" s="922">
        <f>'BASIC DATA'!$C$577</f>
        <v>0.13614999999999999</v>
      </c>
      <c r="F141" s="26" t="s">
        <v>1698</v>
      </c>
      <c r="G141" s="26">
        <f>ROUND(G140*E141,2)</f>
        <v>2701.13</v>
      </c>
      <c r="H141" s="55"/>
      <c r="I141" s="57"/>
    </row>
    <row r="142" spans="1:9">
      <c r="A142" s="905"/>
      <c r="B142" s="27" t="s">
        <v>1191</v>
      </c>
      <c r="D142" s="68">
        <f>E112</f>
        <v>240</v>
      </c>
      <c r="E142" s="68" t="str">
        <f>F112</f>
        <v>cum</v>
      </c>
      <c r="F142" s="26" t="s">
        <v>1698</v>
      </c>
      <c r="G142" s="170">
        <f>G141+G140</f>
        <v>22540.530000000002</v>
      </c>
      <c r="H142" s="55"/>
      <c r="I142" s="57"/>
    </row>
    <row r="143" spans="1:9">
      <c r="A143" s="905"/>
      <c r="B143" s="79" t="s">
        <v>1584</v>
      </c>
      <c r="C143" s="204" t="str">
        <f>E142</f>
        <v>cum</v>
      </c>
      <c r="D143" s="26" t="s">
        <v>5897</v>
      </c>
      <c r="F143" s="26" t="s">
        <v>4108</v>
      </c>
      <c r="G143" s="211">
        <f>ROUND(G142/D142,1)</f>
        <v>93.9</v>
      </c>
      <c r="I143" s="57"/>
    </row>
    <row r="144" spans="1:9">
      <c r="A144" s="905"/>
      <c r="B144" s="669"/>
      <c r="C144" s="631"/>
      <c r="D144" s="655"/>
      <c r="E144" s="54"/>
      <c r="F144" s="54"/>
      <c r="G144" s="54"/>
      <c r="H144" s="55"/>
      <c r="I144" s="57"/>
    </row>
    <row r="145" spans="1:9">
      <c r="A145" s="905"/>
      <c r="B145" s="656"/>
      <c r="C145" s="625"/>
      <c r="D145" s="57"/>
      <c r="E145" s="57"/>
      <c r="F145" s="624"/>
      <c r="G145" s="54"/>
      <c r="H145" s="54"/>
      <c r="I145" s="54"/>
    </row>
    <row r="146" spans="1:9" ht="18.75">
      <c r="A146" s="823" t="s">
        <v>7533</v>
      </c>
      <c r="B146" s="1206" t="s">
        <v>8898</v>
      </c>
      <c r="C146" s="1206"/>
      <c r="D146" s="1206"/>
      <c r="E146" s="1206"/>
      <c r="F146" s="1206"/>
      <c r="G146" s="1206"/>
    </row>
    <row r="147" spans="1:9">
      <c r="A147" s="823"/>
      <c r="B147" s="1206" t="s">
        <v>7995</v>
      </c>
      <c r="C147" s="1206"/>
      <c r="D147" s="1206"/>
      <c r="E147" s="1206"/>
      <c r="F147" s="1206"/>
      <c r="G147" s="27"/>
    </row>
    <row r="148" spans="1:9">
      <c r="A148" s="823"/>
      <c r="B148" s="27" t="s">
        <v>743</v>
      </c>
    </row>
    <row r="149" spans="1:9" ht="18.75">
      <c r="A149" s="823"/>
      <c r="B149" s="79" t="s">
        <v>8899</v>
      </c>
    </row>
    <row r="150" spans="1:9">
      <c r="A150" s="823"/>
    </row>
    <row r="151" spans="1:9" hidden="1">
      <c r="A151" s="823" t="s">
        <v>3984</v>
      </c>
      <c r="B151" s="27" t="s">
        <v>1732</v>
      </c>
    </row>
    <row r="152" spans="1:9">
      <c r="A152" s="823" t="s">
        <v>3984</v>
      </c>
      <c r="C152" s="79" t="s">
        <v>2367</v>
      </c>
      <c r="E152" s="171" t="s">
        <v>297</v>
      </c>
      <c r="F152" s="246">
        <v>10</v>
      </c>
      <c r="G152" s="26" t="s">
        <v>3477</v>
      </c>
    </row>
    <row r="153" spans="1:9">
      <c r="A153" s="823"/>
      <c r="B153" s="79" t="s">
        <v>2368</v>
      </c>
    </row>
    <row r="154" spans="1:9">
      <c r="A154" s="823"/>
      <c r="B154" s="153" t="s">
        <v>2369</v>
      </c>
      <c r="C154" s="131" t="s">
        <v>4443</v>
      </c>
      <c r="D154" s="95" t="s">
        <v>2370</v>
      </c>
      <c r="E154" s="95" t="s">
        <v>1166</v>
      </c>
      <c r="F154" s="95" t="s">
        <v>2371</v>
      </c>
      <c r="G154" s="95" t="s">
        <v>2372</v>
      </c>
    </row>
    <row r="155" spans="1:9">
      <c r="A155" s="823"/>
      <c r="B155" s="116"/>
      <c r="C155" s="139"/>
      <c r="D155" s="114"/>
      <c r="E155" s="114"/>
      <c r="F155" s="114" t="s">
        <v>3485</v>
      </c>
      <c r="G155" s="114" t="s">
        <v>3485</v>
      </c>
    </row>
    <row r="156" spans="1:9">
      <c r="A156" s="823"/>
      <c r="B156" s="153">
        <v>1</v>
      </c>
      <c r="C156" s="135" t="s">
        <v>6976</v>
      </c>
      <c r="D156" s="95"/>
      <c r="E156" s="190">
        <v>0</v>
      </c>
      <c r="F156" s="190">
        <v>0</v>
      </c>
      <c r="G156" s="190">
        <f>E156*F156</f>
        <v>0</v>
      </c>
    </row>
    <row r="157" spans="1:9">
      <c r="A157" s="823"/>
      <c r="B157" s="116"/>
      <c r="C157" s="135"/>
      <c r="D157" s="105"/>
      <c r="E157" s="190">
        <v>0</v>
      </c>
      <c r="F157" s="190">
        <v>0</v>
      </c>
      <c r="G157" s="190">
        <f>E157*F157</f>
        <v>0</v>
      </c>
    </row>
    <row r="158" spans="1:9">
      <c r="A158" s="823"/>
      <c r="B158" s="129"/>
      <c r="C158" s="151" t="s">
        <v>2376</v>
      </c>
      <c r="D158" s="159"/>
      <c r="E158" s="238"/>
      <c r="F158" s="236" t="s">
        <v>1698</v>
      </c>
      <c r="G158" s="318">
        <f>SUM(G156:G157)</f>
        <v>0</v>
      </c>
    </row>
    <row r="159" spans="1:9">
      <c r="A159" s="823"/>
    </row>
    <row r="160" spans="1:9">
      <c r="A160" s="823"/>
      <c r="B160" s="79" t="s">
        <v>2377</v>
      </c>
    </row>
    <row r="161" spans="1:7">
      <c r="A161" s="823"/>
      <c r="B161" s="153" t="s">
        <v>2369</v>
      </c>
      <c r="C161" s="131" t="s">
        <v>2378</v>
      </c>
      <c r="D161" s="95" t="s">
        <v>2370</v>
      </c>
      <c r="E161" s="95" t="s">
        <v>1166</v>
      </c>
      <c r="F161" s="95" t="s">
        <v>2371</v>
      </c>
      <c r="G161" s="95" t="s">
        <v>2372</v>
      </c>
    </row>
    <row r="162" spans="1:7">
      <c r="A162" s="823"/>
      <c r="B162" s="116"/>
      <c r="C162" s="139"/>
      <c r="D162" s="114"/>
      <c r="E162" s="114"/>
      <c r="F162" s="114" t="s">
        <v>3485</v>
      </c>
      <c r="G162" s="114" t="s">
        <v>3485</v>
      </c>
    </row>
    <row r="163" spans="1:7">
      <c r="A163" s="823"/>
      <c r="B163" s="153">
        <v>1</v>
      </c>
      <c r="C163" s="135" t="s">
        <v>6976</v>
      </c>
      <c r="D163" s="95"/>
      <c r="E163" s="190">
        <v>0</v>
      </c>
      <c r="F163" s="190">
        <v>0</v>
      </c>
      <c r="G163" s="190">
        <f>E163*F163</f>
        <v>0</v>
      </c>
    </row>
    <row r="164" spans="1:7">
      <c r="A164" s="823"/>
      <c r="B164" s="152"/>
      <c r="C164" s="135"/>
      <c r="D164" s="105"/>
      <c r="E164" s="190">
        <v>0</v>
      </c>
      <c r="F164" s="190">
        <v>0</v>
      </c>
      <c r="G164" s="190">
        <f>E164*F164</f>
        <v>0</v>
      </c>
    </row>
    <row r="165" spans="1:7">
      <c r="A165" s="823"/>
      <c r="B165" s="139"/>
      <c r="C165" s="89" t="s">
        <v>2380</v>
      </c>
      <c r="D165" s="174"/>
      <c r="E165" s="192"/>
      <c r="F165" s="236" t="s">
        <v>1698</v>
      </c>
      <c r="G165" s="318">
        <f>SUM(G163:G164)</f>
        <v>0</v>
      </c>
    </row>
    <row r="166" spans="1:7">
      <c r="A166" s="823"/>
    </row>
    <row r="167" spans="1:7">
      <c r="A167" s="823"/>
      <c r="B167" s="79" t="s">
        <v>2381</v>
      </c>
    </row>
    <row r="168" spans="1:7">
      <c r="A168" s="823"/>
      <c r="B168" s="153" t="s">
        <v>2369</v>
      </c>
      <c r="C168" s="131" t="s">
        <v>2378</v>
      </c>
      <c r="D168" s="95" t="s">
        <v>2370</v>
      </c>
      <c r="E168" s="95" t="s">
        <v>1166</v>
      </c>
      <c r="F168" s="95" t="s">
        <v>2371</v>
      </c>
      <c r="G168" s="95" t="s">
        <v>2372</v>
      </c>
    </row>
    <row r="169" spans="1:7">
      <c r="A169" s="823"/>
      <c r="B169" s="116"/>
      <c r="C169" s="139"/>
      <c r="D169" s="114"/>
      <c r="E169" s="114"/>
      <c r="F169" s="114" t="s">
        <v>3485</v>
      </c>
      <c r="G169" s="114" t="s">
        <v>3485</v>
      </c>
    </row>
    <row r="170" spans="1:7">
      <c r="A170" s="823"/>
      <c r="B170" s="152">
        <v>1</v>
      </c>
      <c r="C170" s="76" t="s">
        <v>5603</v>
      </c>
      <c r="D170" s="105" t="s">
        <v>1172</v>
      </c>
      <c r="E170" s="207">
        <v>1.25</v>
      </c>
      <c r="F170" s="190">
        <f>'BASIC DATA'!$C$514</f>
        <v>400</v>
      </c>
      <c r="G170" s="190">
        <f>E170*F170</f>
        <v>500</v>
      </c>
    </row>
    <row r="171" spans="1:7">
      <c r="A171" s="823"/>
      <c r="B171" s="152">
        <v>2</v>
      </c>
      <c r="C171" s="76" t="s">
        <v>1190</v>
      </c>
      <c r="D171" s="105" t="s">
        <v>1172</v>
      </c>
      <c r="E171" s="207">
        <v>1.25</v>
      </c>
      <c r="F171" s="190">
        <f>'BASIC DATA'!$C$546</f>
        <v>400</v>
      </c>
      <c r="G171" s="190">
        <f>E171*F171</f>
        <v>500</v>
      </c>
    </row>
    <row r="172" spans="1:7">
      <c r="A172" s="823"/>
      <c r="B172" s="152">
        <v>3</v>
      </c>
      <c r="C172" s="76" t="s">
        <v>4206</v>
      </c>
      <c r="D172" s="105" t="s">
        <v>1172</v>
      </c>
      <c r="E172" s="207">
        <v>0.25</v>
      </c>
      <c r="F172" s="190">
        <f>'BASIC DATA'!$C$473</f>
        <v>450</v>
      </c>
      <c r="G172" s="190">
        <f>E172*F172</f>
        <v>112.5</v>
      </c>
    </row>
    <row r="173" spans="1:7">
      <c r="A173" s="823"/>
      <c r="B173" s="152">
        <v>4</v>
      </c>
      <c r="C173" s="76" t="s">
        <v>2697</v>
      </c>
      <c r="D173" s="105" t="s">
        <v>1172</v>
      </c>
      <c r="E173" s="207">
        <v>6</v>
      </c>
      <c r="F173" s="190">
        <f>'BASIC DATA'!$C$552</f>
        <v>350</v>
      </c>
      <c r="G173" s="190">
        <f>E173*F173</f>
        <v>2100</v>
      </c>
    </row>
    <row r="174" spans="1:7">
      <c r="A174" s="823"/>
      <c r="B174" s="129"/>
      <c r="C174" s="151" t="s">
        <v>1174</v>
      </c>
      <c r="D174" s="159"/>
      <c r="E174" s="238"/>
      <c r="F174" s="236" t="s">
        <v>1698</v>
      </c>
      <c r="G174" s="318">
        <f>SUM(G170:G173)</f>
        <v>3212.5</v>
      </c>
    </row>
    <row r="175" spans="1:7">
      <c r="A175" s="823"/>
      <c r="B175" s="101" t="s">
        <v>5948</v>
      </c>
      <c r="D175" s="31"/>
      <c r="E175" s="85">
        <f>ROUND(G174/F152,1)</f>
        <v>321.3</v>
      </c>
    </row>
    <row r="176" spans="1:7">
      <c r="A176" s="823"/>
      <c r="B176" s="101" t="s">
        <v>3163</v>
      </c>
      <c r="D176" s="922">
        <f>'BASIC DATA'!$C$577</f>
        <v>0.13614999999999999</v>
      </c>
      <c r="E176" s="85">
        <f>ROUND(E175*D176,1)</f>
        <v>43.7</v>
      </c>
    </row>
    <row r="177" spans="1:9">
      <c r="A177" s="823"/>
      <c r="B177" s="101" t="s">
        <v>5949</v>
      </c>
      <c r="D177" s="31"/>
      <c r="E177" s="199">
        <f>ROUND(E176+E175,1)</f>
        <v>365</v>
      </c>
    </row>
    <row r="178" spans="1:9">
      <c r="A178" s="823"/>
    </row>
    <row r="179" spans="1:9">
      <c r="A179" s="823"/>
      <c r="B179" s="79" t="s">
        <v>1175</v>
      </c>
    </row>
    <row r="180" spans="1:9">
      <c r="A180" s="823"/>
      <c r="B180" s="27" t="s">
        <v>1176</v>
      </c>
      <c r="F180" s="171" t="s">
        <v>1698</v>
      </c>
      <c r="G180" s="68">
        <f>G158</f>
        <v>0</v>
      </c>
    </row>
    <row r="181" spans="1:9">
      <c r="A181" s="823"/>
      <c r="B181" s="27" t="s">
        <v>1186</v>
      </c>
      <c r="F181" s="171" t="s">
        <v>1698</v>
      </c>
      <c r="G181" s="68">
        <f>G165</f>
        <v>0</v>
      </c>
    </row>
    <row r="182" spans="1:9">
      <c r="A182" s="823"/>
      <c r="B182" s="27" t="s">
        <v>2660</v>
      </c>
      <c r="F182" s="171" t="s">
        <v>1698</v>
      </c>
      <c r="G182" s="75">
        <f>G174</f>
        <v>3212.5</v>
      </c>
    </row>
    <row r="183" spans="1:9">
      <c r="A183" s="823"/>
      <c r="E183" s="171"/>
      <c r="F183" s="171" t="s">
        <v>302</v>
      </c>
      <c r="G183" s="205">
        <f>SUM(G180:G182)</f>
        <v>3212.5</v>
      </c>
    </row>
    <row r="184" spans="1:9">
      <c r="A184" s="823"/>
      <c r="B184" s="27" t="s">
        <v>1379</v>
      </c>
      <c r="E184" s="922">
        <f>'BASIC DATA'!$C$577</f>
        <v>0.13614999999999999</v>
      </c>
      <c r="F184" s="26" t="s">
        <v>1698</v>
      </c>
      <c r="G184" s="26">
        <f>ROUND(G183*E184,2)</f>
        <v>437.38</v>
      </c>
    </row>
    <row r="185" spans="1:9">
      <c r="A185" s="823"/>
      <c r="B185" s="27" t="s">
        <v>1191</v>
      </c>
      <c r="D185" s="68">
        <f>F152</f>
        <v>10</v>
      </c>
      <c r="E185" s="68" t="str">
        <f>G152</f>
        <v>cum</v>
      </c>
      <c r="F185" s="26" t="s">
        <v>1698</v>
      </c>
      <c r="G185" s="170">
        <f>G184+G183</f>
        <v>3649.88</v>
      </c>
    </row>
    <row r="186" spans="1:9">
      <c r="A186" s="823"/>
      <c r="B186" s="79" t="s">
        <v>1584</v>
      </c>
      <c r="C186" s="204" t="str">
        <f>E185</f>
        <v>cum</v>
      </c>
      <c r="D186" s="26" t="s">
        <v>5891</v>
      </c>
      <c r="F186" s="26" t="s">
        <v>4108</v>
      </c>
      <c r="G186" s="211">
        <f>ROUND(G185/D185,1)</f>
        <v>365</v>
      </c>
    </row>
    <row r="187" spans="1:9">
      <c r="A187" s="823"/>
    </row>
    <row r="188" spans="1:9">
      <c r="A188" s="823"/>
    </row>
    <row r="189" spans="1:9" ht="18.75">
      <c r="A189" s="823" t="s">
        <v>7534</v>
      </c>
      <c r="B189" s="76" t="s">
        <v>8900</v>
      </c>
      <c r="D189" s="31"/>
      <c r="E189" s="31"/>
      <c r="F189" s="31"/>
      <c r="G189" s="31"/>
      <c r="H189" s="31"/>
      <c r="I189" s="31"/>
    </row>
    <row r="190" spans="1:9">
      <c r="A190" s="859"/>
      <c r="B190" s="76" t="s">
        <v>2988</v>
      </c>
      <c r="D190" s="31"/>
      <c r="E190" s="31"/>
      <c r="F190" s="31"/>
      <c r="G190" s="31"/>
      <c r="H190" s="31"/>
      <c r="I190" s="31"/>
    </row>
    <row r="191" spans="1:9">
      <c r="A191" s="859"/>
      <c r="B191" s="76" t="s">
        <v>1643</v>
      </c>
      <c r="D191" s="31"/>
      <c r="E191" s="31"/>
      <c r="F191" s="31"/>
      <c r="G191" s="31"/>
      <c r="H191" s="31"/>
      <c r="I191" s="31"/>
    </row>
    <row r="192" spans="1:9" ht="18.75">
      <c r="A192" s="859"/>
      <c r="B192" s="87" t="s">
        <v>8901</v>
      </c>
      <c r="D192" s="31"/>
      <c r="E192" s="31"/>
      <c r="F192" s="31"/>
      <c r="G192" s="31"/>
      <c r="H192" s="31"/>
      <c r="I192" s="31"/>
    </row>
    <row r="193" spans="1:9">
      <c r="A193" s="906"/>
      <c r="B193" s="656"/>
      <c r="C193" s="622" t="s">
        <v>4172</v>
      </c>
      <c r="D193" s="57"/>
      <c r="E193" s="56"/>
      <c r="F193" s="626"/>
      <c r="G193" s="54"/>
      <c r="H193" s="54"/>
      <c r="I193" s="54"/>
    </row>
    <row r="194" spans="1:9">
      <c r="A194" s="907"/>
      <c r="B194" s="1257" t="s">
        <v>6747</v>
      </c>
      <c r="C194" s="1257"/>
      <c r="D194" s="626"/>
      <c r="E194" s="54"/>
      <c r="F194" s="54"/>
      <c r="G194" s="54"/>
      <c r="H194" s="55"/>
      <c r="I194" s="56"/>
    </row>
    <row r="195" spans="1:9">
      <c r="A195" s="908"/>
      <c r="B195" s="656" t="s">
        <v>359</v>
      </c>
      <c r="C195" s="533"/>
      <c r="D195" s="626"/>
      <c r="E195" s="54"/>
      <c r="F195" s="54"/>
      <c r="G195" s="54"/>
      <c r="H195" s="55"/>
      <c r="I195" s="56"/>
    </row>
    <row r="196" spans="1:9">
      <c r="A196" s="823" t="s">
        <v>3984</v>
      </c>
      <c r="B196" s="1257" t="s">
        <v>6752</v>
      </c>
      <c r="C196" s="1257"/>
      <c r="D196" s="626"/>
      <c r="E196" s="54" t="s">
        <v>1434</v>
      </c>
      <c r="F196" s="629">
        <v>180</v>
      </c>
      <c r="G196" s="54" t="s">
        <v>3477</v>
      </c>
      <c r="H196" s="55"/>
      <c r="I196" s="56"/>
    </row>
    <row r="197" spans="1:9">
      <c r="A197" s="823"/>
      <c r="B197" s="622" t="s">
        <v>8037</v>
      </c>
      <c r="C197" s="625"/>
      <c r="D197" s="626"/>
      <c r="E197" s="54"/>
      <c r="F197" s="629"/>
      <c r="G197" s="54"/>
      <c r="H197" s="55"/>
      <c r="I197" s="56"/>
    </row>
    <row r="198" spans="1:9">
      <c r="A198" s="823"/>
      <c r="B198" s="131" t="s">
        <v>2369</v>
      </c>
      <c r="C198" s="131" t="s">
        <v>2378</v>
      </c>
      <c r="D198" s="157" t="s">
        <v>2370</v>
      </c>
      <c r="E198" s="157" t="s">
        <v>1166</v>
      </c>
      <c r="F198" s="157" t="s">
        <v>2371</v>
      </c>
      <c r="G198" s="95" t="s">
        <v>2372</v>
      </c>
      <c r="H198" s="55"/>
      <c r="I198" s="56"/>
    </row>
    <row r="199" spans="1:9">
      <c r="A199" s="823"/>
      <c r="B199" s="139"/>
      <c r="C199" s="139"/>
      <c r="D199" s="176"/>
      <c r="E199" s="176"/>
      <c r="F199" s="176" t="s">
        <v>3485</v>
      </c>
      <c r="G199" s="114" t="s">
        <v>3485</v>
      </c>
      <c r="H199" s="55"/>
      <c r="I199" s="56"/>
    </row>
    <row r="200" spans="1:9">
      <c r="A200" s="823"/>
      <c r="B200" s="792"/>
      <c r="C200" s="787" t="s">
        <v>6976</v>
      </c>
      <c r="D200" s="504"/>
      <c r="E200" s="634">
        <v>0</v>
      </c>
      <c r="F200" s="634">
        <v>0</v>
      </c>
      <c r="G200" s="662">
        <f>F200*E200</f>
        <v>0</v>
      </c>
      <c r="H200" s="55"/>
      <c r="I200" s="56"/>
    </row>
    <row r="201" spans="1:9">
      <c r="A201" s="823"/>
      <c r="B201" s="656"/>
      <c r="C201" s="625"/>
      <c r="D201" s="626"/>
      <c r="E201" s="54"/>
      <c r="F201" s="629"/>
      <c r="G201" s="54"/>
      <c r="H201" s="55"/>
      <c r="I201" s="56"/>
    </row>
    <row r="202" spans="1:9">
      <c r="A202" s="905"/>
      <c r="B202" s="622" t="s">
        <v>8038</v>
      </c>
      <c r="C202" s="533"/>
      <c r="D202" s="626"/>
      <c r="E202" s="54"/>
      <c r="F202" s="54"/>
      <c r="G202" s="54"/>
      <c r="H202" s="55"/>
      <c r="I202" s="57"/>
    </row>
    <row r="203" spans="1:9">
      <c r="A203" s="823"/>
      <c r="B203" s="131" t="s">
        <v>2369</v>
      </c>
      <c r="C203" s="131" t="s">
        <v>2378</v>
      </c>
      <c r="D203" s="157" t="s">
        <v>2370</v>
      </c>
      <c r="E203" s="157" t="s">
        <v>1166</v>
      </c>
      <c r="F203" s="157" t="s">
        <v>2371</v>
      </c>
      <c r="G203" s="95" t="s">
        <v>2372</v>
      </c>
      <c r="H203" s="31"/>
    </row>
    <row r="204" spans="1:9">
      <c r="A204" s="823"/>
      <c r="B204" s="139"/>
      <c r="C204" s="139"/>
      <c r="D204" s="176"/>
      <c r="E204" s="176"/>
      <c r="F204" s="176" t="s">
        <v>3485</v>
      </c>
      <c r="G204" s="114" t="s">
        <v>3485</v>
      </c>
      <c r="H204" s="31"/>
    </row>
    <row r="205" spans="1:9" ht="36">
      <c r="A205" s="905"/>
      <c r="B205" s="792">
        <v>1</v>
      </c>
      <c r="C205" s="787" t="s">
        <v>6751</v>
      </c>
      <c r="D205" s="504" t="s">
        <v>1189</v>
      </c>
      <c r="E205" s="634">
        <v>6</v>
      </c>
      <c r="F205" s="634">
        <f>'HIRE CHARGES'!$D$543</f>
        <v>1706.6</v>
      </c>
      <c r="G205" s="634">
        <f>F205*E205</f>
        <v>10239.599999999999</v>
      </c>
      <c r="H205" s="55"/>
      <c r="I205" s="57"/>
    </row>
    <row r="206" spans="1:9">
      <c r="A206" s="905"/>
      <c r="B206" s="668"/>
      <c r="C206" s="665" t="s">
        <v>4173</v>
      </c>
      <c r="D206" s="58" t="s">
        <v>1189</v>
      </c>
      <c r="E206" s="59">
        <v>6</v>
      </c>
      <c r="F206" s="59">
        <f>'HIRE CHARGES'!$E$543</f>
        <v>872.7</v>
      </c>
      <c r="G206" s="59">
        <f>F206*E206</f>
        <v>5236.2000000000007</v>
      </c>
      <c r="H206" s="55"/>
      <c r="I206" s="57"/>
    </row>
    <row r="207" spans="1:9">
      <c r="A207" s="905"/>
      <c r="B207" s="668"/>
      <c r="C207" s="665" t="s">
        <v>360</v>
      </c>
      <c r="D207" s="58"/>
      <c r="E207" s="59"/>
      <c r="F207" s="59"/>
      <c r="G207" s="652">
        <f>SUM(G205:G206)</f>
        <v>15475.8</v>
      </c>
      <c r="H207" s="55"/>
      <c r="I207" s="57"/>
    </row>
    <row r="208" spans="1:9">
      <c r="A208" s="905"/>
      <c r="B208" s="669"/>
      <c r="C208" s="625"/>
      <c r="D208" s="626"/>
      <c r="E208" s="54"/>
      <c r="F208" s="54"/>
      <c r="G208" s="629"/>
      <c r="H208" s="55"/>
      <c r="I208" s="57"/>
    </row>
    <row r="209" spans="1:9">
      <c r="A209" s="905"/>
      <c r="B209" s="664" t="s">
        <v>8039</v>
      </c>
      <c r="C209" s="533"/>
      <c r="D209" s="626"/>
      <c r="E209" s="54"/>
      <c r="F209" s="54"/>
      <c r="G209" s="54"/>
      <c r="H209" s="55"/>
      <c r="I209" s="57"/>
    </row>
    <row r="210" spans="1:9">
      <c r="A210" s="823"/>
      <c r="B210" s="131" t="s">
        <v>2369</v>
      </c>
      <c r="C210" s="131" t="s">
        <v>2378</v>
      </c>
      <c r="D210" s="157" t="s">
        <v>2370</v>
      </c>
      <c r="E210" s="157" t="s">
        <v>1166</v>
      </c>
      <c r="F210" s="157" t="s">
        <v>2371</v>
      </c>
      <c r="G210" s="95" t="s">
        <v>2372</v>
      </c>
      <c r="H210" s="31"/>
    </row>
    <row r="211" spans="1:9">
      <c r="A211" s="823"/>
      <c r="B211" s="139"/>
      <c r="C211" s="139"/>
      <c r="D211" s="176"/>
      <c r="E211" s="176"/>
      <c r="F211" s="176" t="s">
        <v>3485</v>
      </c>
      <c r="G211" s="114" t="s">
        <v>3485</v>
      </c>
      <c r="H211" s="31"/>
    </row>
    <row r="212" spans="1:9">
      <c r="A212" s="905"/>
      <c r="B212" s="789">
        <v>1</v>
      </c>
      <c r="C212" s="787" t="s">
        <v>4206</v>
      </c>
      <c r="D212" s="504" t="s">
        <v>1581</v>
      </c>
      <c r="E212" s="634">
        <v>0.24</v>
      </c>
      <c r="F212" s="634">
        <f>'BASIC DATA'!$C$473</f>
        <v>450</v>
      </c>
      <c r="G212" s="634">
        <f>F212*E212</f>
        <v>108</v>
      </c>
      <c r="H212" s="55"/>
      <c r="I212" s="57"/>
    </row>
    <row r="213" spans="1:9">
      <c r="A213" s="905"/>
      <c r="B213" s="791">
        <v>2</v>
      </c>
      <c r="C213" s="665" t="s">
        <v>4647</v>
      </c>
      <c r="D213" s="58" t="s">
        <v>1581</v>
      </c>
      <c r="E213" s="59">
        <v>6</v>
      </c>
      <c r="F213" s="59">
        <f>'BASIC DATA'!$C$552</f>
        <v>350</v>
      </c>
      <c r="G213" s="59">
        <f>F213*E213</f>
        <v>2100</v>
      </c>
      <c r="H213" s="55"/>
      <c r="I213" s="57"/>
    </row>
    <row r="214" spans="1:9">
      <c r="A214" s="905"/>
      <c r="B214" s="791">
        <v>3</v>
      </c>
      <c r="C214" s="665" t="s">
        <v>4174</v>
      </c>
      <c r="D214" s="58" t="s">
        <v>1189</v>
      </c>
      <c r="E214" s="59">
        <v>6</v>
      </c>
      <c r="F214" s="59">
        <f>'HIRE CHARGES'!$F$543</f>
        <v>236.6</v>
      </c>
      <c r="G214" s="59">
        <f>F214*E214</f>
        <v>1419.6</v>
      </c>
      <c r="H214" s="55"/>
      <c r="I214" s="57"/>
    </row>
    <row r="215" spans="1:9">
      <c r="A215" s="905"/>
      <c r="B215" s="791"/>
      <c r="C215" s="642" t="s">
        <v>360</v>
      </c>
      <c r="D215" s="58"/>
      <c r="E215" s="59"/>
      <c r="F215" s="59"/>
      <c r="G215" s="652">
        <f>SUM(G212:G214)</f>
        <v>3627.6</v>
      </c>
      <c r="H215" s="55"/>
      <c r="I215" s="57"/>
    </row>
    <row r="216" spans="1:9">
      <c r="A216" s="905"/>
      <c r="B216" s="791"/>
      <c r="C216" s="642"/>
      <c r="D216" s="58"/>
      <c r="E216" s="59"/>
      <c r="F216" s="59"/>
      <c r="G216" s="59"/>
      <c r="H216" s="55"/>
      <c r="I216" s="57"/>
    </row>
    <row r="217" spans="1:9">
      <c r="A217" s="905"/>
      <c r="B217" s="101" t="s">
        <v>5948</v>
      </c>
      <c r="C217" s="533"/>
      <c r="D217" s="31"/>
      <c r="E217" s="85">
        <f>ROUND(G215/F196,1)</f>
        <v>20.2</v>
      </c>
      <c r="F217" s="57"/>
      <c r="G217" s="57"/>
      <c r="H217" s="55"/>
      <c r="I217" s="57"/>
    </row>
    <row r="218" spans="1:9">
      <c r="A218" s="905"/>
      <c r="B218" s="101" t="s">
        <v>3163</v>
      </c>
      <c r="C218" s="533"/>
      <c r="D218" s="922">
        <f>'BASIC DATA'!$C$577</f>
        <v>0.13614999999999999</v>
      </c>
      <c r="E218" s="85">
        <f>ROUND(E217*D218,1)</f>
        <v>2.8</v>
      </c>
      <c r="F218" s="57"/>
      <c r="G218" s="57"/>
      <c r="H218" s="55"/>
      <c r="I218" s="57"/>
    </row>
    <row r="219" spans="1:9">
      <c r="A219" s="905"/>
      <c r="B219" s="101" t="s">
        <v>5949</v>
      </c>
      <c r="C219" s="533"/>
      <c r="D219" s="31"/>
      <c r="E219" s="199">
        <f>ROUND(E218+E217,1)</f>
        <v>23</v>
      </c>
      <c r="F219" s="57"/>
      <c r="G219" s="57"/>
      <c r="H219" s="55"/>
      <c r="I219" s="57"/>
    </row>
    <row r="220" spans="1:9">
      <c r="A220" s="905"/>
      <c r="B220" s="793"/>
      <c r="C220" s="533"/>
      <c r="D220" s="626"/>
      <c r="E220" s="54"/>
      <c r="F220" s="54"/>
      <c r="G220" s="54"/>
      <c r="H220" s="55"/>
      <c r="I220" s="57"/>
    </row>
    <row r="221" spans="1:9">
      <c r="A221" s="905"/>
      <c r="B221" s="794" t="s">
        <v>2987</v>
      </c>
      <c r="C221" s="533"/>
      <c r="D221" s="626"/>
      <c r="E221" s="54"/>
      <c r="F221" s="54"/>
      <c r="G221" s="54"/>
      <c r="H221" s="55"/>
      <c r="I221" s="57"/>
    </row>
    <row r="222" spans="1:9">
      <c r="A222" s="905"/>
      <c r="B222" s="1257" t="s">
        <v>8045</v>
      </c>
      <c r="C222" s="1257"/>
      <c r="D222" s="626"/>
      <c r="E222" s="54"/>
      <c r="F222" s="54" t="s">
        <v>4391</v>
      </c>
      <c r="G222" s="54">
        <f>G200</f>
        <v>0</v>
      </c>
      <c r="H222" s="55"/>
      <c r="I222" s="57"/>
    </row>
    <row r="223" spans="1:9">
      <c r="A223" s="905"/>
      <c r="B223" s="1257" t="s">
        <v>7859</v>
      </c>
      <c r="C223" s="1257"/>
      <c r="D223" s="626"/>
      <c r="E223" s="54"/>
      <c r="F223" s="54" t="s">
        <v>4391</v>
      </c>
      <c r="G223" s="54">
        <f>G207</f>
        <v>15475.8</v>
      </c>
      <c r="H223" s="55"/>
      <c r="I223" s="57"/>
    </row>
    <row r="224" spans="1:9">
      <c r="A224" s="905"/>
      <c r="B224" s="1257" t="s">
        <v>8042</v>
      </c>
      <c r="C224" s="1257"/>
      <c r="D224" s="626"/>
      <c r="E224" s="54"/>
      <c r="F224" s="54" t="s">
        <v>4391</v>
      </c>
      <c r="G224" s="54">
        <f>G215</f>
        <v>3627.6</v>
      </c>
      <c r="H224" s="55"/>
      <c r="I224" s="57"/>
    </row>
    <row r="225" spans="1:9">
      <c r="A225" s="905"/>
      <c r="B225" s="793" t="s">
        <v>2392</v>
      </c>
      <c r="C225" s="533"/>
      <c r="D225" s="626"/>
      <c r="E225" s="54"/>
      <c r="F225" s="54" t="s">
        <v>4391</v>
      </c>
      <c r="G225" s="647">
        <f>SUM(G222:G224)</f>
        <v>19103.399999999998</v>
      </c>
      <c r="H225" s="55"/>
      <c r="I225" s="57"/>
    </row>
    <row r="226" spans="1:9">
      <c r="A226" s="905"/>
      <c r="B226" s="27" t="s">
        <v>1379</v>
      </c>
      <c r="E226" s="922">
        <f>'BASIC DATA'!$C$577</f>
        <v>0.13614999999999999</v>
      </c>
      <c r="F226" s="26" t="s">
        <v>1698</v>
      </c>
      <c r="G226" s="26">
        <f>ROUND(G225*E226,2)</f>
        <v>2600.9299999999998</v>
      </c>
      <c r="H226" s="55"/>
      <c r="I226" s="57"/>
    </row>
    <row r="227" spans="1:9">
      <c r="A227" s="905"/>
      <c r="B227" s="27" t="s">
        <v>1191</v>
      </c>
      <c r="D227" s="68">
        <f>F196</f>
        <v>180</v>
      </c>
      <c r="E227" s="68" t="str">
        <f>G196</f>
        <v>cum</v>
      </c>
      <c r="F227" s="26" t="s">
        <v>1698</v>
      </c>
      <c r="G227" s="170">
        <f>G226+G225</f>
        <v>21704.329999999998</v>
      </c>
      <c r="H227" s="55"/>
      <c r="I227" s="57"/>
    </row>
    <row r="228" spans="1:9">
      <c r="A228" s="905"/>
      <c r="B228" s="79" t="s">
        <v>1584</v>
      </c>
      <c r="C228" s="204" t="str">
        <f>E227</f>
        <v>cum</v>
      </c>
      <c r="D228" s="26" t="s">
        <v>5898</v>
      </c>
      <c r="F228" s="26" t="s">
        <v>4108</v>
      </c>
      <c r="G228" s="211">
        <f>ROUND(G227/D227,1)</f>
        <v>120.6</v>
      </c>
      <c r="I228" s="57"/>
    </row>
    <row r="229" spans="1:9">
      <c r="A229" s="905"/>
      <c r="B229" s="669"/>
      <c r="C229" s="631"/>
      <c r="D229" s="626"/>
      <c r="E229" s="54"/>
      <c r="F229" s="54"/>
      <c r="G229" s="54"/>
      <c r="H229" s="55"/>
      <c r="I229" s="57"/>
    </row>
    <row r="230" spans="1:9">
      <c r="A230" s="905"/>
      <c r="B230" s="669"/>
      <c r="C230" s="631"/>
      <c r="D230" s="626"/>
      <c r="E230" s="54"/>
      <c r="F230" s="54"/>
      <c r="G230" s="54"/>
      <c r="H230" s="55"/>
      <c r="I230" s="57"/>
    </row>
    <row r="231" spans="1:9" ht="18.75">
      <c r="A231" s="823" t="s">
        <v>7535</v>
      </c>
      <c r="B231" s="27" t="s">
        <v>8902</v>
      </c>
    </row>
    <row r="232" spans="1:9">
      <c r="A232" s="823"/>
      <c r="B232" s="27" t="s">
        <v>7996</v>
      </c>
    </row>
    <row r="233" spans="1:9">
      <c r="A233" s="823"/>
      <c r="B233" s="27" t="s">
        <v>743</v>
      </c>
    </row>
    <row r="234" spans="1:9" ht="18.75">
      <c r="A234" s="823"/>
      <c r="B234" s="27" t="s">
        <v>8903</v>
      </c>
    </row>
    <row r="235" spans="1:9">
      <c r="A235" s="823"/>
    </row>
    <row r="236" spans="1:9" hidden="1">
      <c r="A236" s="823" t="s">
        <v>3984</v>
      </c>
      <c r="B236" s="27" t="s">
        <v>3740</v>
      </c>
    </row>
    <row r="237" spans="1:9" hidden="1">
      <c r="A237" s="823"/>
      <c r="B237" s="27" t="s">
        <v>3741</v>
      </c>
      <c r="E237" s="78" t="s">
        <v>1697</v>
      </c>
      <c r="F237" s="68">
        <v>1.5</v>
      </c>
      <c r="G237" s="26" t="s">
        <v>2602</v>
      </c>
    </row>
    <row r="238" spans="1:9" hidden="1">
      <c r="A238" s="823"/>
      <c r="B238" s="27" t="s">
        <v>3742</v>
      </c>
      <c r="E238" s="78" t="s">
        <v>1697</v>
      </c>
      <c r="F238" s="68">
        <v>1.3</v>
      </c>
      <c r="G238" s="26" t="s">
        <v>2602</v>
      </c>
    </row>
    <row r="239" spans="1:9" hidden="1">
      <c r="A239" s="823"/>
      <c r="B239" s="27" t="s">
        <v>835</v>
      </c>
      <c r="E239" s="78" t="s">
        <v>1697</v>
      </c>
      <c r="F239" s="26">
        <f>1.5*1.8</f>
        <v>2.7</v>
      </c>
      <c r="G239" s="26" t="s">
        <v>2602</v>
      </c>
    </row>
    <row r="240" spans="1:9" hidden="1">
      <c r="A240" s="823"/>
      <c r="B240" s="27" t="s">
        <v>2360</v>
      </c>
      <c r="E240" s="78" t="s">
        <v>1697</v>
      </c>
      <c r="F240" s="68">
        <v>2.7</v>
      </c>
      <c r="G240" s="26" t="s">
        <v>3479</v>
      </c>
    </row>
    <row r="241" spans="1:7" hidden="1">
      <c r="A241" s="823"/>
      <c r="B241" s="27" t="s">
        <v>2361</v>
      </c>
      <c r="E241" s="78"/>
    </row>
    <row r="242" spans="1:7" hidden="1">
      <c r="A242" s="823"/>
      <c r="B242" s="27" t="s">
        <v>2362</v>
      </c>
      <c r="E242" s="78" t="s">
        <v>1697</v>
      </c>
      <c r="F242" s="26">
        <v>77</v>
      </c>
      <c r="G242" s="26" t="s">
        <v>3479</v>
      </c>
    </row>
    <row r="243" spans="1:7" hidden="1">
      <c r="A243" s="823"/>
      <c r="B243" s="27" t="s">
        <v>2363</v>
      </c>
      <c r="D243" s="26" t="s">
        <v>2364</v>
      </c>
      <c r="E243" s="78" t="s">
        <v>1697</v>
      </c>
      <c r="F243" s="26">
        <v>29</v>
      </c>
      <c r="G243" s="26" t="s">
        <v>4041</v>
      </c>
    </row>
    <row r="244" spans="1:7" hidden="1">
      <c r="A244" s="823"/>
      <c r="B244" s="27" t="s">
        <v>4382</v>
      </c>
      <c r="E244" s="78" t="s">
        <v>1697</v>
      </c>
      <c r="F244" s="26">
        <v>43.5</v>
      </c>
      <c r="G244" s="26" t="s">
        <v>2602</v>
      </c>
    </row>
    <row r="245" spans="1:7" hidden="1">
      <c r="A245" s="823"/>
      <c r="B245" s="27" t="s">
        <v>3902</v>
      </c>
      <c r="E245" s="78" t="s">
        <v>1697</v>
      </c>
      <c r="F245" s="26">
        <v>10</v>
      </c>
      <c r="G245" s="26" t="s">
        <v>2602</v>
      </c>
    </row>
    <row r="246" spans="1:7" hidden="1">
      <c r="A246" s="823"/>
      <c r="B246" s="27" t="s">
        <v>3903</v>
      </c>
      <c r="E246" s="27" t="s">
        <v>1123</v>
      </c>
      <c r="F246" s="26">
        <v>2.2000000000000002</v>
      </c>
      <c r="G246" s="26" t="s">
        <v>4665</v>
      </c>
    </row>
    <row r="247" spans="1:7" hidden="1">
      <c r="A247" s="823"/>
      <c r="B247" s="27" t="s">
        <v>6120</v>
      </c>
    </row>
    <row r="248" spans="1:7" hidden="1">
      <c r="A248" s="823"/>
      <c r="B248" s="27" t="s">
        <v>6337</v>
      </c>
      <c r="E248" s="78" t="s">
        <v>1697</v>
      </c>
      <c r="F248" s="68">
        <v>20</v>
      </c>
      <c r="G248" s="26" t="s">
        <v>3478</v>
      </c>
    </row>
    <row r="249" spans="1:7" hidden="1">
      <c r="A249" s="823"/>
      <c r="B249" s="27" t="s">
        <v>3849</v>
      </c>
      <c r="E249" s="78" t="s">
        <v>1697</v>
      </c>
      <c r="F249" s="26">
        <v>29</v>
      </c>
      <c r="G249" s="26" t="s">
        <v>4041</v>
      </c>
    </row>
    <row r="250" spans="1:7" hidden="1">
      <c r="A250" s="823"/>
      <c r="B250" s="27" t="s">
        <v>5703</v>
      </c>
      <c r="E250" s="78" t="s">
        <v>1697</v>
      </c>
      <c r="F250" s="26">
        <v>70</v>
      </c>
      <c r="G250" s="26" t="s">
        <v>3483</v>
      </c>
    </row>
    <row r="251" spans="1:7" hidden="1">
      <c r="A251" s="823"/>
      <c r="B251" s="27" t="s">
        <v>3850</v>
      </c>
      <c r="C251" s="117">
        <f>'BASIC DATA'!$D$307</f>
        <v>4028</v>
      </c>
      <c r="D251" s="26" t="s">
        <v>2290</v>
      </c>
      <c r="E251" s="78" t="s">
        <v>1698</v>
      </c>
      <c r="F251" s="68">
        <f>C251</f>
        <v>4028</v>
      </c>
    </row>
    <row r="252" spans="1:7" hidden="1">
      <c r="A252" s="823"/>
      <c r="B252" s="27" t="s">
        <v>1881</v>
      </c>
      <c r="E252" s="78" t="s">
        <v>1697</v>
      </c>
      <c r="F252" s="68">
        <v>200</v>
      </c>
      <c r="G252" s="26" t="s">
        <v>2602</v>
      </c>
    </row>
    <row r="253" spans="1:7" hidden="1">
      <c r="A253" s="823"/>
      <c r="B253" s="27" t="s">
        <v>1882</v>
      </c>
      <c r="D253" s="26" t="s">
        <v>7593</v>
      </c>
      <c r="E253" s="78" t="s">
        <v>1698</v>
      </c>
      <c r="F253" s="68">
        <f>F251/F252</f>
        <v>20.14</v>
      </c>
    </row>
    <row r="254" spans="1:7" hidden="1">
      <c r="A254" s="823"/>
      <c r="B254" s="27" t="s">
        <v>3686</v>
      </c>
      <c r="E254" s="78" t="s">
        <v>1697</v>
      </c>
      <c r="F254" s="68">
        <v>50</v>
      </c>
      <c r="G254" s="26" t="s">
        <v>2602</v>
      </c>
    </row>
    <row r="255" spans="1:7" hidden="1">
      <c r="A255" s="823"/>
      <c r="B255" s="27" t="s">
        <v>5348</v>
      </c>
      <c r="C255" s="117">
        <f>'BASIC DATA'!$D$344</f>
        <v>185</v>
      </c>
      <c r="D255" s="26" t="s">
        <v>2618</v>
      </c>
      <c r="E255" s="78" t="s">
        <v>1698</v>
      </c>
      <c r="F255" s="68">
        <f>C255</f>
        <v>185</v>
      </c>
    </row>
    <row r="256" spans="1:7" hidden="1">
      <c r="A256" s="823"/>
      <c r="B256" s="27" t="s">
        <v>5152</v>
      </c>
      <c r="D256" s="78" t="s">
        <v>1697</v>
      </c>
      <c r="E256" s="316">
        <v>800</v>
      </c>
      <c r="F256" s="26" t="s">
        <v>4665</v>
      </c>
    </row>
    <row r="257" spans="1:7" hidden="1">
      <c r="A257" s="823"/>
      <c r="B257" s="27" t="s">
        <v>6262</v>
      </c>
      <c r="D257" s="26" t="s">
        <v>7593</v>
      </c>
      <c r="E257" s="78" t="s">
        <v>1698</v>
      </c>
      <c r="F257" s="68">
        <f>F255/E256</f>
        <v>0.23125000000000001</v>
      </c>
    </row>
    <row r="258" spans="1:7" hidden="1">
      <c r="A258" s="823"/>
      <c r="B258" s="27" t="s">
        <v>3687</v>
      </c>
    </row>
    <row r="259" spans="1:7" hidden="1">
      <c r="A259" s="823"/>
      <c r="B259" s="27" t="s">
        <v>3688</v>
      </c>
    </row>
    <row r="260" spans="1:7" hidden="1">
      <c r="A260" s="823"/>
      <c r="B260" s="27" t="s">
        <v>2712</v>
      </c>
    </row>
    <row r="261" spans="1:7" hidden="1">
      <c r="A261" s="823"/>
    </row>
    <row r="262" spans="1:7">
      <c r="A262" s="823"/>
    </row>
    <row r="263" spans="1:7">
      <c r="A263" s="823" t="s">
        <v>3984</v>
      </c>
      <c r="C263" s="79" t="s">
        <v>2367</v>
      </c>
      <c r="E263" s="171" t="s">
        <v>297</v>
      </c>
      <c r="F263" s="409">
        <v>100</v>
      </c>
      <c r="G263" s="26" t="s">
        <v>3477</v>
      </c>
    </row>
    <row r="264" spans="1:7">
      <c r="A264" s="823"/>
      <c r="B264" s="79" t="s">
        <v>2368</v>
      </c>
    </row>
    <row r="265" spans="1:7">
      <c r="A265" s="823"/>
      <c r="B265" s="153" t="s">
        <v>2369</v>
      </c>
      <c r="C265" s="131" t="s">
        <v>4443</v>
      </c>
      <c r="D265" s="95" t="s">
        <v>2370</v>
      </c>
      <c r="E265" s="95" t="s">
        <v>1166</v>
      </c>
      <c r="F265" s="95" t="s">
        <v>2371</v>
      </c>
      <c r="G265" s="95" t="s">
        <v>2372</v>
      </c>
    </row>
    <row r="266" spans="1:7">
      <c r="A266" s="823"/>
      <c r="B266" s="116"/>
      <c r="C266" s="139"/>
      <c r="D266" s="114"/>
      <c r="E266" s="114"/>
      <c r="F266" s="114" t="s">
        <v>3485</v>
      </c>
      <c r="G266" s="114" t="s">
        <v>3485</v>
      </c>
    </row>
    <row r="267" spans="1:7">
      <c r="A267" s="823"/>
      <c r="B267" s="153">
        <v>1</v>
      </c>
      <c r="C267" s="135" t="s">
        <v>3689</v>
      </c>
      <c r="D267" s="95" t="s">
        <v>3483</v>
      </c>
      <c r="E267" s="190">
        <v>43.5</v>
      </c>
      <c r="F267" s="214">
        <f>F253</f>
        <v>20.14</v>
      </c>
      <c r="G267" s="190">
        <f>E267*F267</f>
        <v>876.09</v>
      </c>
    </row>
    <row r="268" spans="1:7">
      <c r="A268" s="823"/>
      <c r="B268" s="152"/>
      <c r="C268" s="135" t="s">
        <v>5125</v>
      </c>
      <c r="D268" s="224">
        <v>0.1</v>
      </c>
      <c r="E268" s="190"/>
      <c r="F268" s="214"/>
      <c r="G268" s="190">
        <f>G267*D268</f>
        <v>87.609000000000009</v>
      </c>
    </row>
    <row r="269" spans="1:7">
      <c r="A269" s="823"/>
      <c r="B269" s="152">
        <v>2</v>
      </c>
      <c r="C269" s="135" t="s">
        <v>3098</v>
      </c>
      <c r="D269" s="105" t="s">
        <v>2374</v>
      </c>
      <c r="E269" s="190">
        <v>6</v>
      </c>
      <c r="F269" s="214">
        <f>F257</f>
        <v>0.23125000000000001</v>
      </c>
      <c r="G269" s="190">
        <f>E269*F269</f>
        <v>1.3875000000000002</v>
      </c>
    </row>
    <row r="270" spans="1:7">
      <c r="A270" s="823"/>
      <c r="B270" s="152">
        <v>3</v>
      </c>
      <c r="C270" s="135" t="s">
        <v>135</v>
      </c>
      <c r="D270" s="105" t="s">
        <v>3478</v>
      </c>
      <c r="E270" s="190">
        <v>20</v>
      </c>
      <c r="F270" s="214">
        <f>'BASIC DATA'!$D$54</f>
        <v>70</v>
      </c>
      <c r="G270" s="190">
        <f>E270*F270</f>
        <v>1400</v>
      </c>
    </row>
    <row r="271" spans="1:7">
      <c r="A271" s="823"/>
      <c r="B271" s="152">
        <v>4</v>
      </c>
      <c r="C271" s="135" t="s">
        <v>2060</v>
      </c>
      <c r="D271" s="105" t="s">
        <v>2059</v>
      </c>
      <c r="E271" s="190">
        <v>29</v>
      </c>
      <c r="F271" s="214">
        <f>'BASIC DATA'!$D$49</f>
        <v>11</v>
      </c>
      <c r="G271" s="190">
        <f>E271*F271</f>
        <v>319</v>
      </c>
    </row>
    <row r="272" spans="1:7">
      <c r="A272" s="823"/>
      <c r="B272" s="152">
        <v>5</v>
      </c>
      <c r="C272" s="135" t="s">
        <v>5703</v>
      </c>
      <c r="D272" s="105" t="s">
        <v>3483</v>
      </c>
      <c r="E272" s="190">
        <v>70</v>
      </c>
      <c r="F272" s="214">
        <f>'BASIC DATA'!$D$46</f>
        <v>9</v>
      </c>
      <c r="G272" s="190">
        <f>E272*F272</f>
        <v>630</v>
      </c>
    </row>
    <row r="273" spans="1:7">
      <c r="A273" s="823"/>
      <c r="B273" s="116">
        <v>6</v>
      </c>
      <c r="C273" s="135" t="s">
        <v>2373</v>
      </c>
      <c r="D273" s="105" t="s">
        <v>2173</v>
      </c>
      <c r="E273" s="190">
        <v>0.5</v>
      </c>
      <c r="F273" s="214">
        <f>'BASIC DATA'!$D$359</f>
        <v>30</v>
      </c>
      <c r="G273" s="190">
        <f>E273*F273</f>
        <v>15</v>
      </c>
    </row>
    <row r="274" spans="1:7">
      <c r="A274" s="823"/>
      <c r="B274" s="129"/>
      <c r="C274" s="151" t="s">
        <v>2376</v>
      </c>
      <c r="D274" s="159"/>
      <c r="E274" s="238"/>
      <c r="F274" s="236" t="s">
        <v>1698</v>
      </c>
      <c r="G274" s="318">
        <f>SUM(G267:G273)</f>
        <v>3329.0865000000003</v>
      </c>
    </row>
    <row r="275" spans="1:7">
      <c r="A275" s="823"/>
    </row>
    <row r="276" spans="1:7">
      <c r="A276" s="823"/>
      <c r="B276" s="79" t="s">
        <v>2377</v>
      </c>
    </row>
    <row r="277" spans="1:7">
      <c r="A277" s="823"/>
      <c r="B277" s="153" t="s">
        <v>2369</v>
      </c>
      <c r="C277" s="131" t="s">
        <v>2378</v>
      </c>
      <c r="D277" s="95" t="s">
        <v>2370</v>
      </c>
      <c r="E277" s="95" t="s">
        <v>1166</v>
      </c>
      <c r="F277" s="95" t="s">
        <v>2371</v>
      </c>
      <c r="G277" s="95" t="s">
        <v>2372</v>
      </c>
    </row>
    <row r="278" spans="1:7">
      <c r="A278" s="823"/>
      <c r="B278" s="116"/>
      <c r="C278" s="139"/>
      <c r="D278" s="114"/>
      <c r="E278" s="114"/>
      <c r="F278" s="114" t="s">
        <v>3485</v>
      </c>
      <c r="G278" s="114" t="s">
        <v>3485</v>
      </c>
    </row>
    <row r="279" spans="1:7">
      <c r="A279" s="823"/>
      <c r="B279" s="153">
        <v>1</v>
      </c>
      <c r="C279" s="135" t="s">
        <v>2062</v>
      </c>
      <c r="D279" s="95" t="s">
        <v>2374</v>
      </c>
      <c r="E279" s="190">
        <v>3</v>
      </c>
      <c r="F279" s="190">
        <f>'HIRE CHARGES'!$D$496</f>
        <v>275.60000000000002</v>
      </c>
      <c r="G279" s="190">
        <f>E279*F279</f>
        <v>826.80000000000007</v>
      </c>
    </row>
    <row r="280" spans="1:7">
      <c r="A280" s="823"/>
      <c r="B280" s="317"/>
      <c r="C280" s="135" t="s">
        <v>2379</v>
      </c>
      <c r="D280" s="105" t="s">
        <v>2374</v>
      </c>
      <c r="E280" s="190">
        <v>3</v>
      </c>
      <c r="F280" s="190">
        <f>'HIRE CHARGES'!$E$496</f>
        <v>892.5</v>
      </c>
      <c r="G280" s="190">
        <f>E280*F280</f>
        <v>2677.5</v>
      </c>
    </row>
    <row r="281" spans="1:7">
      <c r="A281" s="823"/>
      <c r="B281" s="152">
        <v>2</v>
      </c>
      <c r="C281" s="135" t="s">
        <v>2063</v>
      </c>
      <c r="D281" s="105" t="s">
        <v>2374</v>
      </c>
      <c r="E281" s="190">
        <v>6</v>
      </c>
      <c r="F281" s="190">
        <f>'HIRE CHARGES'!$D$530</f>
        <v>19.8</v>
      </c>
      <c r="G281" s="190">
        <f>E281*F281</f>
        <v>118.80000000000001</v>
      </c>
    </row>
    <row r="282" spans="1:7">
      <c r="A282" s="823"/>
      <c r="B282" s="152"/>
      <c r="C282" s="135" t="s">
        <v>2379</v>
      </c>
      <c r="D282" s="105" t="s">
        <v>2374</v>
      </c>
      <c r="E282" s="190">
        <v>6</v>
      </c>
      <c r="F282" s="190">
        <f>'HIRE CHARGES'!$E$530</f>
        <v>0</v>
      </c>
      <c r="G282" s="190">
        <f>E282*F282</f>
        <v>0</v>
      </c>
    </row>
    <row r="283" spans="1:7">
      <c r="A283" s="823"/>
      <c r="B283" s="139"/>
      <c r="C283" s="89" t="s">
        <v>2380</v>
      </c>
      <c r="D283" s="174"/>
      <c r="E283" s="192"/>
      <c r="F283" s="236" t="s">
        <v>1698</v>
      </c>
      <c r="G283" s="318">
        <f>SUM(G279:G282)</f>
        <v>3623.1000000000004</v>
      </c>
    </row>
    <row r="284" spans="1:7">
      <c r="A284" s="823"/>
    </row>
    <row r="285" spans="1:7">
      <c r="A285" s="823"/>
      <c r="B285" s="79" t="s">
        <v>2381</v>
      </c>
    </row>
    <row r="286" spans="1:7">
      <c r="A286" s="823"/>
      <c r="B286" s="153" t="s">
        <v>2369</v>
      </c>
      <c r="C286" s="131" t="s">
        <v>2378</v>
      </c>
      <c r="D286" s="95" t="s">
        <v>2370</v>
      </c>
      <c r="E286" s="95" t="s">
        <v>1166</v>
      </c>
      <c r="F286" s="95" t="s">
        <v>2371</v>
      </c>
      <c r="G286" s="95" t="s">
        <v>2372</v>
      </c>
    </row>
    <row r="287" spans="1:7">
      <c r="A287" s="823"/>
      <c r="B287" s="116"/>
      <c r="C287" s="139"/>
      <c r="D287" s="114"/>
      <c r="E287" s="114"/>
      <c r="F287" s="114" t="s">
        <v>3485</v>
      </c>
      <c r="G287" s="114" t="s">
        <v>3485</v>
      </c>
    </row>
    <row r="288" spans="1:7">
      <c r="A288" s="823"/>
      <c r="B288" s="152">
        <v>1</v>
      </c>
      <c r="C288" s="76" t="s">
        <v>4606</v>
      </c>
      <c r="D288" s="105" t="s">
        <v>2374</v>
      </c>
      <c r="E288" s="207">
        <v>3</v>
      </c>
      <c r="F288" s="190">
        <f>'HIRE CHARGES'!$F$496</f>
        <v>210.9</v>
      </c>
      <c r="G288" s="190">
        <f>E288*F288</f>
        <v>632.70000000000005</v>
      </c>
    </row>
    <row r="289" spans="1:7">
      <c r="A289" s="823"/>
      <c r="B289" s="152">
        <v>2</v>
      </c>
      <c r="C289" s="76" t="s">
        <v>4607</v>
      </c>
      <c r="D289" s="105" t="s">
        <v>2374</v>
      </c>
      <c r="E289" s="207">
        <v>6</v>
      </c>
      <c r="F289" s="190">
        <f>'HIRE CHARGES'!$F$530</f>
        <v>329.6</v>
      </c>
      <c r="G289" s="190">
        <f t="shared" ref="G289:G295" si="0">E289*F289</f>
        <v>1977.6000000000001</v>
      </c>
    </row>
    <row r="290" spans="1:7">
      <c r="A290" s="823"/>
      <c r="B290" s="152">
        <v>3</v>
      </c>
      <c r="C290" s="76" t="s">
        <v>4206</v>
      </c>
      <c r="D290" s="105" t="s">
        <v>1172</v>
      </c>
      <c r="E290" s="207">
        <v>1</v>
      </c>
      <c r="F290" s="190">
        <f>'BASIC DATA'!$C$473</f>
        <v>450</v>
      </c>
      <c r="G290" s="190">
        <f t="shared" si="0"/>
        <v>450</v>
      </c>
    </row>
    <row r="291" spans="1:7">
      <c r="A291" s="823"/>
      <c r="B291" s="152">
        <v>4</v>
      </c>
      <c r="C291" s="76" t="s">
        <v>4608</v>
      </c>
      <c r="D291" s="105" t="s">
        <v>1172</v>
      </c>
      <c r="E291" s="207">
        <v>0.5</v>
      </c>
      <c r="F291" s="190">
        <f>'BASIC DATA'!$C$466</f>
        <v>510</v>
      </c>
      <c r="G291" s="190">
        <f t="shared" si="0"/>
        <v>255</v>
      </c>
    </row>
    <row r="292" spans="1:7">
      <c r="A292" s="823"/>
      <c r="B292" s="152">
        <v>5</v>
      </c>
      <c r="C292" s="76" t="s">
        <v>4609</v>
      </c>
      <c r="D292" s="105" t="s">
        <v>1172</v>
      </c>
      <c r="E292" s="207">
        <v>0.5</v>
      </c>
      <c r="F292" s="190">
        <f>'BASIC DATA'!$C$520</f>
        <v>400</v>
      </c>
      <c r="G292" s="190">
        <f t="shared" si="0"/>
        <v>200</v>
      </c>
    </row>
    <row r="293" spans="1:7">
      <c r="A293" s="823"/>
      <c r="B293" s="152">
        <v>6</v>
      </c>
      <c r="C293" s="76" t="s">
        <v>5603</v>
      </c>
      <c r="D293" s="105" t="s">
        <v>1172</v>
      </c>
      <c r="E293" s="207">
        <v>6</v>
      </c>
      <c r="F293" s="190">
        <f>'BASIC DATA'!$C$514</f>
        <v>400</v>
      </c>
      <c r="G293" s="190">
        <f t="shared" si="0"/>
        <v>2400</v>
      </c>
    </row>
    <row r="294" spans="1:7">
      <c r="A294" s="823"/>
      <c r="B294" s="152">
        <v>7</v>
      </c>
      <c r="C294" s="76" t="s">
        <v>1190</v>
      </c>
      <c r="D294" s="105" t="s">
        <v>1172</v>
      </c>
      <c r="E294" s="207">
        <v>3</v>
      </c>
      <c r="F294" s="190">
        <f>'BASIC DATA'!$C$546</f>
        <v>400</v>
      </c>
      <c r="G294" s="190">
        <f t="shared" si="0"/>
        <v>1200</v>
      </c>
    </row>
    <row r="295" spans="1:7">
      <c r="A295" s="823"/>
      <c r="B295" s="152">
        <v>8</v>
      </c>
      <c r="C295" s="76" t="s">
        <v>2697</v>
      </c>
      <c r="D295" s="105" t="s">
        <v>1172</v>
      </c>
      <c r="E295" s="207">
        <v>51</v>
      </c>
      <c r="F295" s="190">
        <f>'BASIC DATA'!$C$552</f>
        <v>350</v>
      </c>
      <c r="G295" s="190">
        <f t="shared" si="0"/>
        <v>17850</v>
      </c>
    </row>
    <row r="296" spans="1:7">
      <c r="A296" s="823"/>
      <c r="B296" s="129"/>
      <c r="C296" s="151" t="s">
        <v>1174</v>
      </c>
      <c r="D296" s="159"/>
      <c r="E296" s="238"/>
      <c r="F296" s="236" t="s">
        <v>1698</v>
      </c>
      <c r="G296" s="318">
        <f>SUM(G288:G295)</f>
        <v>24965.3</v>
      </c>
    </row>
    <row r="297" spans="1:7">
      <c r="A297" s="823"/>
      <c r="B297" s="101" t="s">
        <v>5948</v>
      </c>
      <c r="C297" s="76"/>
      <c r="D297" s="31"/>
      <c r="E297" s="85">
        <f>ROUND(G296/F263,1)</f>
        <v>249.7</v>
      </c>
    </row>
    <row r="298" spans="1:7">
      <c r="A298" s="823"/>
      <c r="B298" s="101" t="s">
        <v>3163</v>
      </c>
      <c r="C298" s="76"/>
      <c r="D298" s="922">
        <f>'BASIC DATA'!$C$577</f>
        <v>0.13614999999999999</v>
      </c>
      <c r="E298" s="85">
        <f>ROUND(E297*D298,1)</f>
        <v>34</v>
      </c>
    </row>
    <row r="299" spans="1:7">
      <c r="A299" s="823"/>
      <c r="B299" s="101" t="s">
        <v>5949</v>
      </c>
      <c r="C299" s="76"/>
      <c r="D299" s="31"/>
      <c r="E299" s="199">
        <f>ROUND(E298+E297,1)</f>
        <v>283.7</v>
      </c>
    </row>
    <row r="300" spans="1:7">
      <c r="A300" s="823"/>
    </row>
    <row r="301" spans="1:7">
      <c r="A301" s="823"/>
      <c r="B301" s="79" t="s">
        <v>1175</v>
      </c>
    </row>
    <row r="302" spans="1:7">
      <c r="A302" s="823"/>
      <c r="B302" s="27" t="s">
        <v>1176</v>
      </c>
      <c r="F302" s="171" t="s">
        <v>1698</v>
      </c>
      <c r="G302" s="68">
        <f>G274</f>
        <v>3329.0865000000003</v>
      </c>
    </row>
    <row r="303" spans="1:7">
      <c r="A303" s="823"/>
      <c r="B303" s="27" t="s">
        <v>1186</v>
      </c>
      <c r="F303" s="171" t="s">
        <v>1698</v>
      </c>
      <c r="G303" s="68">
        <f>G283</f>
        <v>3623.1000000000004</v>
      </c>
    </row>
    <row r="304" spans="1:7">
      <c r="A304" s="823"/>
      <c r="B304" s="27" t="s">
        <v>2660</v>
      </c>
      <c r="F304" s="171" t="s">
        <v>1698</v>
      </c>
      <c r="G304" s="75">
        <f>G296</f>
        <v>24965.3</v>
      </c>
    </row>
    <row r="305" spans="1:7">
      <c r="A305" s="823"/>
      <c r="E305" s="171"/>
      <c r="F305" s="171" t="s">
        <v>302</v>
      </c>
      <c r="G305" s="205">
        <f>SUM(G302:G304)</f>
        <v>31917.486499999999</v>
      </c>
    </row>
    <row r="306" spans="1:7">
      <c r="A306" s="823"/>
      <c r="B306" s="27" t="s">
        <v>1379</v>
      </c>
      <c r="E306" s="922">
        <f>'BASIC DATA'!$C$577</f>
        <v>0.13614999999999999</v>
      </c>
      <c r="F306" s="26" t="s">
        <v>1698</v>
      </c>
      <c r="G306" s="26">
        <f>ROUND(G305*E306,2)</f>
        <v>4345.57</v>
      </c>
    </row>
    <row r="307" spans="1:7">
      <c r="A307" s="823"/>
      <c r="B307" s="27" t="s">
        <v>1191</v>
      </c>
      <c r="D307" s="68">
        <f>F263</f>
        <v>100</v>
      </c>
      <c r="E307" s="68" t="str">
        <f>G263</f>
        <v>cum</v>
      </c>
      <c r="F307" s="26" t="s">
        <v>1698</v>
      </c>
      <c r="G307" s="170">
        <f>G306+G305</f>
        <v>36263.056499999999</v>
      </c>
    </row>
    <row r="308" spans="1:7">
      <c r="A308" s="823"/>
      <c r="B308" s="79" t="s">
        <v>1584</v>
      </c>
      <c r="C308" s="204" t="str">
        <f>E307</f>
        <v>cum</v>
      </c>
      <c r="D308" s="26" t="s">
        <v>5882</v>
      </c>
      <c r="F308" s="26" t="s">
        <v>4108</v>
      </c>
      <c r="G308" s="211">
        <f>ROUND(G307/D307,1)</f>
        <v>362.6</v>
      </c>
    </row>
    <row r="309" spans="1:7">
      <c r="A309" s="823"/>
    </row>
    <row r="310" spans="1:7">
      <c r="A310" s="823"/>
    </row>
    <row r="311" spans="1:7" ht="18.75">
      <c r="A311" s="823" t="s">
        <v>7536</v>
      </c>
      <c r="B311" s="27" t="s">
        <v>8904</v>
      </c>
    </row>
    <row r="312" spans="1:7">
      <c r="A312" s="823"/>
      <c r="B312" s="27" t="s">
        <v>7996</v>
      </c>
    </row>
    <row r="313" spans="1:7">
      <c r="A313" s="823"/>
      <c r="B313" s="27" t="s">
        <v>4998</v>
      </c>
    </row>
    <row r="314" spans="1:7" ht="18.75">
      <c r="A314" s="823"/>
      <c r="B314" s="79" t="s">
        <v>8905</v>
      </c>
    </row>
    <row r="315" spans="1:7">
      <c r="A315" s="823"/>
    </row>
    <row r="316" spans="1:7" hidden="1">
      <c r="A316" s="823" t="s">
        <v>3984</v>
      </c>
      <c r="B316" s="27" t="s">
        <v>3740</v>
      </c>
    </row>
    <row r="317" spans="1:7" hidden="1">
      <c r="A317" s="823"/>
      <c r="B317" s="27" t="s">
        <v>979</v>
      </c>
    </row>
    <row r="318" spans="1:7" hidden="1">
      <c r="A318" s="823"/>
      <c r="B318" s="27" t="s">
        <v>4999</v>
      </c>
    </row>
    <row r="319" spans="1:7" hidden="1">
      <c r="A319" s="823"/>
      <c r="B319" s="27" t="s">
        <v>3062</v>
      </c>
    </row>
    <row r="320" spans="1:7" hidden="1">
      <c r="A320" s="823"/>
      <c r="B320" s="27" t="s">
        <v>987</v>
      </c>
    </row>
    <row r="321" spans="1:7" hidden="1">
      <c r="A321" s="823"/>
      <c r="B321" s="27" t="s">
        <v>2361</v>
      </c>
    </row>
    <row r="322" spans="1:7" hidden="1">
      <c r="A322" s="823"/>
      <c r="B322" s="27" t="s">
        <v>988</v>
      </c>
      <c r="E322" s="78" t="s">
        <v>1697</v>
      </c>
      <c r="F322" s="68">
        <v>0.8</v>
      </c>
      <c r="G322" s="26" t="s">
        <v>2602</v>
      </c>
    </row>
    <row r="323" spans="1:7" hidden="1">
      <c r="A323" s="823"/>
      <c r="B323" s="27" t="s">
        <v>835</v>
      </c>
      <c r="E323" s="27" t="s">
        <v>989</v>
      </c>
      <c r="F323" s="26" t="s">
        <v>3758</v>
      </c>
      <c r="G323" s="26" t="s">
        <v>2602</v>
      </c>
    </row>
    <row r="324" spans="1:7" hidden="1">
      <c r="A324" s="823"/>
      <c r="B324" s="27" t="s">
        <v>4890</v>
      </c>
      <c r="E324" s="78" t="s">
        <v>1697</v>
      </c>
      <c r="F324" s="26">
        <v>1.2</v>
      </c>
      <c r="G324" s="26" t="s">
        <v>3479</v>
      </c>
    </row>
    <row r="325" spans="1:7" hidden="1">
      <c r="A325" s="823"/>
      <c r="B325" s="27" t="s">
        <v>4891</v>
      </c>
      <c r="E325" s="78" t="s">
        <v>1697</v>
      </c>
      <c r="F325" s="26">
        <v>125</v>
      </c>
      <c r="G325" s="26" t="s">
        <v>3479</v>
      </c>
    </row>
    <row r="326" spans="1:7" hidden="1">
      <c r="A326" s="823"/>
      <c r="B326" s="27" t="s">
        <v>4892</v>
      </c>
      <c r="E326" s="78" t="s">
        <v>1697</v>
      </c>
      <c r="F326" s="26">
        <v>104</v>
      </c>
      <c r="G326" s="26" t="s">
        <v>4041</v>
      </c>
    </row>
    <row r="327" spans="1:7" hidden="1">
      <c r="A327" s="823"/>
      <c r="B327" s="27" t="s">
        <v>4893</v>
      </c>
      <c r="E327" s="78" t="s">
        <v>1697</v>
      </c>
      <c r="F327" s="26">
        <v>93.6</v>
      </c>
      <c r="G327" s="26" t="s">
        <v>2602</v>
      </c>
    </row>
    <row r="328" spans="1:7" hidden="1">
      <c r="A328" s="823"/>
      <c r="B328" s="27" t="s">
        <v>4894</v>
      </c>
      <c r="E328" s="78" t="s">
        <v>1697</v>
      </c>
      <c r="F328" s="26">
        <v>4.7</v>
      </c>
      <c r="G328" s="26" t="s">
        <v>2602</v>
      </c>
    </row>
    <row r="329" spans="1:7" hidden="1">
      <c r="A329" s="823"/>
      <c r="D329" s="171" t="s">
        <v>1518</v>
      </c>
      <c r="E329" s="78" t="s">
        <v>1697</v>
      </c>
      <c r="F329" s="26">
        <v>98.3</v>
      </c>
      <c r="G329" s="26" t="s">
        <v>2602</v>
      </c>
    </row>
    <row r="330" spans="1:7" hidden="1">
      <c r="A330" s="823"/>
      <c r="B330" s="27" t="s">
        <v>4418</v>
      </c>
      <c r="E330" s="78" t="s">
        <v>1697</v>
      </c>
      <c r="F330" s="68">
        <v>8</v>
      </c>
      <c r="G330" s="26" t="s">
        <v>2602</v>
      </c>
    </row>
    <row r="331" spans="1:7" hidden="1">
      <c r="A331" s="823"/>
      <c r="B331" s="27" t="s">
        <v>3903</v>
      </c>
      <c r="E331" s="78" t="s">
        <v>1697</v>
      </c>
      <c r="F331" s="26">
        <v>6.15</v>
      </c>
      <c r="G331" s="26" t="s">
        <v>4665</v>
      </c>
    </row>
    <row r="332" spans="1:7" hidden="1">
      <c r="A332" s="823"/>
      <c r="B332" s="27" t="s">
        <v>4230</v>
      </c>
    </row>
    <row r="333" spans="1:7" hidden="1">
      <c r="A333" s="823"/>
      <c r="B333" s="27" t="s">
        <v>6310</v>
      </c>
    </row>
    <row r="334" spans="1:7" hidden="1">
      <c r="A334" s="823"/>
      <c r="B334" s="27" t="s">
        <v>3608</v>
      </c>
      <c r="E334" s="78" t="s">
        <v>1697</v>
      </c>
      <c r="F334" s="26">
        <v>30</v>
      </c>
      <c r="G334" s="26" t="s">
        <v>3478</v>
      </c>
    </row>
    <row r="335" spans="1:7" hidden="1">
      <c r="A335" s="823"/>
      <c r="B335" s="27" t="s">
        <v>3609</v>
      </c>
      <c r="E335" s="78" t="s">
        <v>1697</v>
      </c>
      <c r="F335" s="26">
        <v>2</v>
      </c>
      <c r="G335" s="26" t="s">
        <v>3478</v>
      </c>
    </row>
    <row r="336" spans="1:7" hidden="1">
      <c r="A336" s="823"/>
      <c r="D336" s="171" t="s">
        <v>1518</v>
      </c>
      <c r="E336" s="78" t="s">
        <v>1697</v>
      </c>
      <c r="F336" s="26">
        <v>32</v>
      </c>
      <c r="G336" s="26" t="s">
        <v>3478</v>
      </c>
    </row>
    <row r="337" spans="1:7" hidden="1">
      <c r="A337" s="823"/>
      <c r="B337" s="27" t="s">
        <v>6093</v>
      </c>
      <c r="E337" s="78" t="s">
        <v>1697</v>
      </c>
      <c r="F337" s="26">
        <v>104</v>
      </c>
      <c r="G337" s="26" t="s">
        <v>4041</v>
      </c>
    </row>
    <row r="338" spans="1:7" hidden="1">
      <c r="A338" s="823"/>
      <c r="B338" s="27" t="s">
        <v>6147</v>
      </c>
      <c r="E338" s="78" t="s">
        <v>1697</v>
      </c>
      <c r="F338" s="26">
        <v>8</v>
      </c>
      <c r="G338" s="26" t="s">
        <v>4041</v>
      </c>
    </row>
    <row r="339" spans="1:7" hidden="1">
      <c r="A339" s="823"/>
      <c r="B339" s="27" t="s">
        <v>5703</v>
      </c>
      <c r="E339" s="78" t="s">
        <v>1697</v>
      </c>
      <c r="F339" s="26">
        <v>150</v>
      </c>
      <c r="G339" s="26" t="s">
        <v>3483</v>
      </c>
    </row>
    <row r="340" spans="1:7" hidden="1">
      <c r="A340" s="823"/>
      <c r="B340" s="27" t="s">
        <v>3850</v>
      </c>
      <c r="C340" s="117">
        <f>'BASIC DATA'!$D$307</f>
        <v>4028</v>
      </c>
      <c r="D340" s="26" t="s">
        <v>2290</v>
      </c>
      <c r="E340" s="78" t="s">
        <v>1698</v>
      </c>
      <c r="F340" s="68">
        <f>C340</f>
        <v>4028</v>
      </c>
    </row>
    <row r="341" spans="1:7" hidden="1">
      <c r="A341" s="823"/>
      <c r="B341" s="27" t="s">
        <v>99</v>
      </c>
      <c r="E341" s="78" t="s">
        <v>1697</v>
      </c>
      <c r="F341" s="68">
        <v>150</v>
      </c>
      <c r="G341" s="26" t="s">
        <v>2602</v>
      </c>
    </row>
    <row r="342" spans="1:7" hidden="1">
      <c r="A342" s="823"/>
      <c r="B342" s="27" t="s">
        <v>1882</v>
      </c>
      <c r="C342" s="27" t="s">
        <v>7593</v>
      </c>
      <c r="E342" s="78" t="s">
        <v>1698</v>
      </c>
      <c r="F342" s="68">
        <f>F340/F341</f>
        <v>26.853333333333332</v>
      </c>
    </row>
    <row r="343" spans="1:7" hidden="1">
      <c r="A343" s="823"/>
      <c r="B343" s="27" t="s">
        <v>3686</v>
      </c>
      <c r="E343" s="78" t="s">
        <v>1697</v>
      </c>
      <c r="F343" s="68">
        <v>50</v>
      </c>
      <c r="G343" s="26" t="s">
        <v>2602</v>
      </c>
    </row>
    <row r="344" spans="1:7" hidden="1">
      <c r="A344" s="823"/>
      <c r="B344" s="27" t="s">
        <v>5348</v>
      </c>
      <c r="C344" s="117">
        <f>'BASIC DATA'!$D$344</f>
        <v>185</v>
      </c>
      <c r="D344" s="26" t="s">
        <v>4540</v>
      </c>
      <c r="E344" s="78" t="s">
        <v>1698</v>
      </c>
      <c r="F344" s="68">
        <f>C344*50</f>
        <v>9250</v>
      </c>
    </row>
    <row r="345" spans="1:7" hidden="1">
      <c r="A345" s="823"/>
      <c r="B345" s="27" t="s">
        <v>5152</v>
      </c>
      <c r="E345" s="78" t="s">
        <v>1697</v>
      </c>
      <c r="F345" s="316">
        <v>800</v>
      </c>
      <c r="G345" s="26" t="s">
        <v>4665</v>
      </c>
    </row>
    <row r="346" spans="1:7" hidden="1">
      <c r="A346" s="823"/>
      <c r="B346" s="27" t="s">
        <v>6262</v>
      </c>
      <c r="C346" s="27" t="s">
        <v>7593</v>
      </c>
      <c r="E346" s="78" t="s">
        <v>1698</v>
      </c>
      <c r="F346" s="68">
        <f>F344/F345</f>
        <v>11.5625</v>
      </c>
    </row>
    <row r="347" spans="1:7" hidden="1">
      <c r="A347" s="823"/>
      <c r="B347" s="27" t="s">
        <v>5959</v>
      </c>
    </row>
    <row r="348" spans="1:7" hidden="1">
      <c r="A348" s="823"/>
      <c r="B348" s="27" t="s">
        <v>4209</v>
      </c>
    </row>
    <row r="349" spans="1:7" hidden="1">
      <c r="A349" s="823"/>
      <c r="B349" s="27" t="s">
        <v>2713</v>
      </c>
    </row>
    <row r="350" spans="1:7">
      <c r="A350" s="823"/>
    </row>
    <row r="351" spans="1:7">
      <c r="A351" s="823" t="s">
        <v>3984</v>
      </c>
      <c r="C351" s="79" t="s">
        <v>2367</v>
      </c>
      <c r="E351" s="171" t="s">
        <v>297</v>
      </c>
      <c r="F351" s="246">
        <v>100</v>
      </c>
      <c r="G351" s="26" t="s">
        <v>3477</v>
      </c>
    </row>
    <row r="352" spans="1:7">
      <c r="A352" s="823"/>
      <c r="B352" s="79" t="s">
        <v>2368</v>
      </c>
    </row>
    <row r="353" spans="1:7">
      <c r="A353" s="823"/>
      <c r="B353" s="153" t="s">
        <v>2369</v>
      </c>
      <c r="C353" s="131" t="s">
        <v>4443</v>
      </c>
      <c r="D353" s="95" t="s">
        <v>2370</v>
      </c>
      <c r="E353" s="95" t="s">
        <v>1166</v>
      </c>
      <c r="F353" s="95" t="s">
        <v>2371</v>
      </c>
      <c r="G353" s="95" t="s">
        <v>2372</v>
      </c>
    </row>
    <row r="354" spans="1:7">
      <c r="A354" s="823"/>
      <c r="B354" s="116"/>
      <c r="C354" s="139"/>
      <c r="D354" s="114"/>
      <c r="E354" s="114"/>
      <c r="F354" s="114" t="s">
        <v>3485</v>
      </c>
      <c r="G354" s="114" t="s">
        <v>3485</v>
      </c>
    </row>
    <row r="355" spans="1:7">
      <c r="A355" s="823"/>
      <c r="B355" s="153">
        <v>1</v>
      </c>
      <c r="C355" s="135" t="s">
        <v>135</v>
      </c>
      <c r="D355" s="95" t="s">
        <v>3478</v>
      </c>
      <c r="E355" s="190">
        <v>32</v>
      </c>
      <c r="F355" s="214">
        <f>'BASIC DATA'!$D$54</f>
        <v>70</v>
      </c>
      <c r="G355" s="190">
        <f t="shared" ref="G355:G360" si="1">E355*F355</f>
        <v>2240</v>
      </c>
    </row>
    <row r="356" spans="1:7">
      <c r="A356" s="823"/>
      <c r="B356" s="152">
        <v>2</v>
      </c>
      <c r="C356" s="135" t="s">
        <v>4210</v>
      </c>
      <c r="D356" s="105" t="s">
        <v>4089</v>
      </c>
      <c r="E356" s="190">
        <v>8</v>
      </c>
      <c r="F356" s="214">
        <f>'BASIC DATA'!$D$50</f>
        <v>7</v>
      </c>
      <c r="G356" s="190">
        <f t="shared" si="1"/>
        <v>56</v>
      </c>
    </row>
    <row r="357" spans="1:7">
      <c r="A357" s="823"/>
      <c r="B357" s="152">
        <v>3</v>
      </c>
      <c r="C357" s="135" t="s">
        <v>4211</v>
      </c>
      <c r="D357" s="105" t="s">
        <v>4089</v>
      </c>
      <c r="E357" s="190">
        <v>104</v>
      </c>
      <c r="F357" s="214">
        <f>'BASIC DATA'!$D$49</f>
        <v>11</v>
      </c>
      <c r="G357" s="190">
        <f t="shared" si="1"/>
        <v>1144</v>
      </c>
    </row>
    <row r="358" spans="1:7">
      <c r="A358" s="823"/>
      <c r="B358" s="152">
        <v>4</v>
      </c>
      <c r="C358" s="135" t="s">
        <v>5703</v>
      </c>
      <c r="D358" s="105" t="s">
        <v>3483</v>
      </c>
      <c r="E358" s="190">
        <v>150</v>
      </c>
      <c r="F358" s="214">
        <f>'BASIC DATA'!$D$46</f>
        <v>9</v>
      </c>
      <c r="G358" s="190">
        <f t="shared" si="1"/>
        <v>1350</v>
      </c>
    </row>
    <row r="359" spans="1:7">
      <c r="A359" s="823"/>
      <c r="B359" s="152">
        <v>5</v>
      </c>
      <c r="C359" s="135" t="s">
        <v>3098</v>
      </c>
      <c r="D359" s="105" t="s">
        <v>2374</v>
      </c>
      <c r="E359" s="190">
        <v>16</v>
      </c>
      <c r="F359" s="214">
        <f>F346</f>
        <v>11.5625</v>
      </c>
      <c r="G359" s="190">
        <f t="shared" si="1"/>
        <v>185</v>
      </c>
    </row>
    <row r="360" spans="1:7">
      <c r="A360" s="823"/>
      <c r="B360" s="152">
        <v>6</v>
      </c>
      <c r="C360" s="135" t="s">
        <v>4212</v>
      </c>
      <c r="D360" s="105" t="s">
        <v>3483</v>
      </c>
      <c r="E360" s="190">
        <v>98.3</v>
      </c>
      <c r="F360" s="214">
        <f>F342</f>
        <v>26.853333333333332</v>
      </c>
      <c r="G360" s="190">
        <f t="shared" si="1"/>
        <v>2639.6826666666666</v>
      </c>
    </row>
    <row r="361" spans="1:7">
      <c r="A361" s="823"/>
      <c r="B361" s="365"/>
      <c r="C361" s="135" t="s">
        <v>5125</v>
      </c>
      <c r="D361" s="224">
        <v>0.1</v>
      </c>
      <c r="E361" s="190"/>
      <c r="F361" s="214"/>
      <c r="G361" s="190">
        <f>G360*D361</f>
        <v>263.96826666666669</v>
      </c>
    </row>
    <row r="362" spans="1:7">
      <c r="A362" s="823"/>
      <c r="B362" s="129"/>
      <c r="C362" s="151" t="s">
        <v>2376</v>
      </c>
      <c r="D362" s="159"/>
      <c r="E362" s="238"/>
      <c r="F362" s="236" t="s">
        <v>1698</v>
      </c>
      <c r="G362" s="318">
        <f>SUM(G355:G361)</f>
        <v>7878.6509333333333</v>
      </c>
    </row>
    <row r="363" spans="1:7">
      <c r="A363" s="823"/>
    </row>
    <row r="364" spans="1:7">
      <c r="A364" s="823"/>
      <c r="B364" s="79" t="s">
        <v>2377</v>
      </c>
    </row>
    <row r="365" spans="1:7">
      <c r="A365" s="823"/>
      <c r="B365" s="153" t="s">
        <v>2369</v>
      </c>
      <c r="C365" s="131" t="s">
        <v>2378</v>
      </c>
      <c r="D365" s="95" t="s">
        <v>2370</v>
      </c>
      <c r="E365" s="95" t="s">
        <v>1166</v>
      </c>
      <c r="F365" s="95" t="s">
        <v>2371</v>
      </c>
      <c r="G365" s="95" t="s">
        <v>2372</v>
      </c>
    </row>
    <row r="366" spans="1:7">
      <c r="A366" s="823"/>
      <c r="B366" s="116"/>
      <c r="C366" s="139"/>
      <c r="D366" s="114"/>
      <c r="E366" s="114"/>
      <c r="F366" s="114" t="s">
        <v>3485</v>
      </c>
      <c r="G366" s="114" t="s">
        <v>3485</v>
      </c>
    </row>
    <row r="367" spans="1:7">
      <c r="A367" s="823"/>
      <c r="B367" s="153">
        <v>1</v>
      </c>
      <c r="C367" s="135" t="s">
        <v>2062</v>
      </c>
      <c r="D367" s="95" t="s">
        <v>2374</v>
      </c>
      <c r="E367" s="190">
        <v>8</v>
      </c>
      <c r="F367" s="190">
        <f>'HIRE CHARGES'!$D$496</f>
        <v>275.60000000000002</v>
      </c>
      <c r="G367" s="190">
        <f>E367*F367</f>
        <v>2204.8000000000002</v>
      </c>
    </row>
    <row r="368" spans="1:7">
      <c r="A368" s="823"/>
      <c r="B368" s="317"/>
      <c r="C368" s="135" t="s">
        <v>2379</v>
      </c>
      <c r="D368" s="105" t="s">
        <v>2374</v>
      </c>
      <c r="E368" s="190">
        <v>8</v>
      </c>
      <c r="F368" s="190">
        <f>'HIRE CHARGES'!$E$496</f>
        <v>892.5</v>
      </c>
      <c r="G368" s="190">
        <f>E368*F368</f>
        <v>7140</v>
      </c>
    </row>
    <row r="369" spans="1:7">
      <c r="A369" s="823"/>
      <c r="B369" s="152">
        <v>2</v>
      </c>
      <c r="C369" s="135" t="s">
        <v>4213</v>
      </c>
      <c r="D369" s="105" t="s">
        <v>2374</v>
      </c>
      <c r="E369" s="190">
        <v>16</v>
      </c>
      <c r="F369" s="190">
        <f>'HIRE CHARGES'!$D$530</f>
        <v>19.8</v>
      </c>
      <c r="G369" s="190">
        <f>E369*F369</f>
        <v>316.8</v>
      </c>
    </row>
    <row r="370" spans="1:7">
      <c r="A370" s="823"/>
      <c r="B370" s="152"/>
      <c r="C370" s="135" t="s">
        <v>2379</v>
      </c>
      <c r="D370" s="105" t="s">
        <v>2374</v>
      </c>
      <c r="E370" s="190">
        <v>16</v>
      </c>
      <c r="F370" s="190">
        <f>'HIRE CHARGES'!$E$530</f>
        <v>0</v>
      </c>
      <c r="G370" s="190">
        <f>E370*F370</f>
        <v>0</v>
      </c>
    </row>
    <row r="371" spans="1:7">
      <c r="A371" s="823"/>
      <c r="B371" s="139"/>
      <c r="C371" s="89" t="s">
        <v>2380</v>
      </c>
      <c r="D371" s="174"/>
      <c r="E371" s="192"/>
      <c r="F371" s="236" t="s">
        <v>1698</v>
      </c>
      <c r="G371" s="318">
        <f>SUM(G367:G370)</f>
        <v>9661.5999999999985</v>
      </c>
    </row>
    <row r="372" spans="1:7">
      <c r="A372" s="823"/>
    </row>
    <row r="373" spans="1:7">
      <c r="A373" s="823"/>
      <c r="B373" s="79" t="s">
        <v>2381</v>
      </c>
    </row>
    <row r="374" spans="1:7">
      <c r="A374" s="823"/>
      <c r="B374" s="153" t="s">
        <v>2369</v>
      </c>
      <c r="C374" s="131" t="s">
        <v>2378</v>
      </c>
      <c r="D374" s="95" t="s">
        <v>2370</v>
      </c>
      <c r="E374" s="95" t="s">
        <v>1166</v>
      </c>
      <c r="F374" s="95" t="s">
        <v>2371</v>
      </c>
      <c r="G374" s="95" t="s">
        <v>2372</v>
      </c>
    </row>
    <row r="375" spans="1:7">
      <c r="A375" s="823"/>
      <c r="B375" s="116"/>
      <c r="C375" s="139"/>
      <c r="D375" s="114"/>
      <c r="E375" s="114"/>
      <c r="F375" s="114" t="s">
        <v>3485</v>
      </c>
      <c r="G375" s="114" t="s">
        <v>3485</v>
      </c>
    </row>
    <row r="376" spans="1:7">
      <c r="A376" s="823"/>
      <c r="B376" s="152">
        <v>1</v>
      </c>
      <c r="C376" s="76" t="s">
        <v>4606</v>
      </c>
      <c r="D376" s="105" t="s">
        <v>2374</v>
      </c>
      <c r="E376" s="207">
        <v>8</v>
      </c>
      <c r="F376" s="190">
        <f>'HIRE CHARGES'!$F$496</f>
        <v>210.9</v>
      </c>
      <c r="G376" s="190">
        <f>E376*F376</f>
        <v>1687.2</v>
      </c>
    </row>
    <row r="377" spans="1:7">
      <c r="A377" s="823"/>
      <c r="B377" s="152">
        <v>2</v>
      </c>
      <c r="C377" s="76" t="s">
        <v>4607</v>
      </c>
      <c r="D377" s="105" t="s">
        <v>2374</v>
      </c>
      <c r="E377" s="207">
        <v>16</v>
      </c>
      <c r="F377" s="190">
        <f>'HIRE CHARGES'!$F$530</f>
        <v>329.6</v>
      </c>
      <c r="G377" s="190">
        <f t="shared" ref="G377:G383" si="2">E377*F377</f>
        <v>5273.6</v>
      </c>
    </row>
    <row r="378" spans="1:7">
      <c r="A378" s="823"/>
      <c r="B378" s="152">
        <v>3</v>
      </c>
      <c r="C378" s="76" t="s">
        <v>4214</v>
      </c>
      <c r="D378" s="105" t="s">
        <v>1172</v>
      </c>
      <c r="E378" s="207">
        <v>1</v>
      </c>
      <c r="F378" s="190">
        <f>'BASIC DATA'!$C$466</f>
        <v>510</v>
      </c>
      <c r="G378" s="190">
        <f t="shared" si="2"/>
        <v>510</v>
      </c>
    </row>
    <row r="379" spans="1:7">
      <c r="A379" s="823"/>
      <c r="B379" s="152">
        <v>4</v>
      </c>
      <c r="C379" s="76" t="s">
        <v>5605</v>
      </c>
      <c r="D379" s="105" t="s">
        <v>1172</v>
      </c>
      <c r="E379" s="207">
        <v>1</v>
      </c>
      <c r="F379" s="190">
        <f>'BASIC DATA'!$C$520</f>
        <v>400</v>
      </c>
      <c r="G379" s="190">
        <f t="shared" si="2"/>
        <v>400</v>
      </c>
    </row>
    <row r="380" spans="1:7">
      <c r="A380" s="823"/>
      <c r="B380" s="152">
        <v>5</v>
      </c>
      <c r="C380" s="76" t="s">
        <v>4206</v>
      </c>
      <c r="D380" s="105" t="s">
        <v>1172</v>
      </c>
      <c r="E380" s="207">
        <v>1</v>
      </c>
      <c r="F380" s="190">
        <f>'BASIC DATA'!$C$473</f>
        <v>450</v>
      </c>
      <c r="G380" s="190">
        <f t="shared" si="2"/>
        <v>450</v>
      </c>
    </row>
    <row r="381" spans="1:7">
      <c r="A381" s="823"/>
      <c r="B381" s="152">
        <v>6</v>
      </c>
      <c r="C381" s="76" t="s">
        <v>5603</v>
      </c>
      <c r="D381" s="105" t="s">
        <v>1172</v>
      </c>
      <c r="E381" s="207">
        <v>6</v>
      </c>
      <c r="F381" s="190">
        <f>'BASIC DATA'!$C$514</f>
        <v>400</v>
      </c>
      <c r="G381" s="190">
        <f t="shared" si="2"/>
        <v>2400</v>
      </c>
    </row>
    <row r="382" spans="1:7">
      <c r="A382" s="823"/>
      <c r="B382" s="152">
        <v>7</v>
      </c>
      <c r="C382" s="76" t="s">
        <v>1190</v>
      </c>
      <c r="D382" s="105" t="s">
        <v>1172</v>
      </c>
      <c r="E382" s="207">
        <v>6</v>
      </c>
      <c r="F382" s="190">
        <f>'BASIC DATA'!$C$546</f>
        <v>400</v>
      </c>
      <c r="G382" s="190">
        <f t="shared" si="2"/>
        <v>2400</v>
      </c>
    </row>
    <row r="383" spans="1:7">
      <c r="A383" s="823"/>
      <c r="B383" s="152">
        <v>8</v>
      </c>
      <c r="C383" s="76" t="s">
        <v>2697</v>
      </c>
      <c r="D383" s="105" t="s">
        <v>1172</v>
      </c>
      <c r="E383" s="207">
        <v>51</v>
      </c>
      <c r="F383" s="190">
        <f>'BASIC DATA'!$C$552</f>
        <v>350</v>
      </c>
      <c r="G383" s="190">
        <f t="shared" si="2"/>
        <v>17850</v>
      </c>
    </row>
    <row r="384" spans="1:7">
      <c r="A384" s="823"/>
      <c r="B384" s="129"/>
      <c r="C384" s="151" t="s">
        <v>1174</v>
      </c>
      <c r="D384" s="159"/>
      <c r="E384" s="238"/>
      <c r="F384" s="236" t="s">
        <v>1698</v>
      </c>
      <c r="G384" s="318">
        <f>SUM(G376:G383)</f>
        <v>30970.799999999999</v>
      </c>
    </row>
    <row r="385" spans="1:9">
      <c r="A385" s="823"/>
      <c r="B385" s="101" t="s">
        <v>5948</v>
      </c>
      <c r="C385" s="76"/>
      <c r="D385" s="31"/>
      <c r="E385" s="85">
        <f>ROUND(G384/F351,1)</f>
        <v>309.7</v>
      </c>
    </row>
    <row r="386" spans="1:9">
      <c r="A386" s="823"/>
      <c r="B386" s="101" t="s">
        <v>3163</v>
      </c>
      <c r="C386" s="76"/>
      <c r="D386" s="922">
        <f>'BASIC DATA'!$C$577</f>
        <v>0.13614999999999999</v>
      </c>
      <c r="E386" s="85">
        <f>ROUND(E385*D386,1)</f>
        <v>42.2</v>
      </c>
    </row>
    <row r="387" spans="1:9">
      <c r="A387" s="823"/>
      <c r="B387" s="101" t="s">
        <v>5949</v>
      </c>
      <c r="C387" s="76"/>
      <c r="D387" s="31"/>
      <c r="E387" s="199">
        <f>ROUND(E386+E385,1)</f>
        <v>351.9</v>
      </c>
      <c r="F387" s="57"/>
    </row>
    <row r="388" spans="1:9">
      <c r="A388" s="823"/>
    </row>
    <row r="389" spans="1:9">
      <c r="A389" s="823"/>
      <c r="B389" s="79" t="s">
        <v>1175</v>
      </c>
    </row>
    <row r="390" spans="1:9">
      <c r="A390" s="823"/>
      <c r="B390" s="27" t="s">
        <v>1176</v>
      </c>
      <c r="F390" s="171" t="s">
        <v>1698</v>
      </c>
      <c r="G390" s="68">
        <f>G362</f>
        <v>7878.6509333333333</v>
      </c>
    </row>
    <row r="391" spans="1:9">
      <c r="A391" s="823"/>
      <c r="B391" s="27" t="s">
        <v>1186</v>
      </c>
      <c r="F391" s="171" t="s">
        <v>1698</v>
      </c>
      <c r="G391" s="68">
        <f>G371</f>
        <v>9661.5999999999985</v>
      </c>
    </row>
    <row r="392" spans="1:9">
      <c r="A392" s="823"/>
      <c r="B392" s="27" t="s">
        <v>2660</v>
      </c>
      <c r="F392" s="171" t="s">
        <v>1698</v>
      </c>
      <c r="G392" s="75">
        <f>G384</f>
        <v>30970.799999999999</v>
      </c>
    </row>
    <row r="393" spans="1:9">
      <c r="A393" s="823"/>
      <c r="E393" s="171"/>
      <c r="F393" s="171" t="s">
        <v>302</v>
      </c>
      <c r="G393" s="205">
        <f>SUM(G390:G392)</f>
        <v>48511.050933333332</v>
      </c>
    </row>
    <row r="394" spans="1:9">
      <c r="A394" s="823"/>
      <c r="B394" s="27" t="s">
        <v>1379</v>
      </c>
      <c r="E394" s="922">
        <f>'BASIC DATA'!$C$577</f>
        <v>0.13614999999999999</v>
      </c>
      <c r="F394" s="26" t="s">
        <v>1698</v>
      </c>
      <c r="G394" s="26">
        <f>ROUND(G393*E394,2)</f>
        <v>6604.78</v>
      </c>
    </row>
    <row r="395" spans="1:9">
      <c r="A395" s="823"/>
      <c r="B395" s="27" t="s">
        <v>1191</v>
      </c>
      <c r="D395" s="68">
        <f>F351</f>
        <v>100</v>
      </c>
      <c r="E395" s="68" t="str">
        <f>G351</f>
        <v>cum</v>
      </c>
      <c r="F395" s="26" t="s">
        <v>1698</v>
      </c>
      <c r="G395" s="211">
        <f>G394+G393</f>
        <v>55115.830933333331</v>
      </c>
    </row>
    <row r="396" spans="1:9">
      <c r="A396" s="823"/>
      <c r="B396" s="79" t="s">
        <v>1584</v>
      </c>
      <c r="C396" s="204" t="str">
        <f>E395</f>
        <v>cum</v>
      </c>
      <c r="D396" s="26" t="s">
        <v>5882</v>
      </c>
      <c r="F396" s="26" t="s">
        <v>4108</v>
      </c>
      <c r="G396" s="211">
        <f>ROUND(G395/D395,1)</f>
        <v>551.20000000000005</v>
      </c>
    </row>
    <row r="397" spans="1:9">
      <c r="A397" s="823"/>
    </row>
    <row r="398" spans="1:9">
      <c r="A398" s="823"/>
    </row>
    <row r="399" spans="1:9" ht="18.75">
      <c r="A399" s="823" t="s">
        <v>7537</v>
      </c>
      <c r="B399" s="76" t="s">
        <v>8906</v>
      </c>
      <c r="C399" s="76"/>
      <c r="E399" s="31"/>
      <c r="F399" s="31"/>
      <c r="G399" s="31"/>
      <c r="H399" s="31"/>
      <c r="I399" s="31"/>
    </row>
    <row r="400" spans="1:9">
      <c r="A400" s="859"/>
      <c r="B400" s="76" t="s">
        <v>1410</v>
      </c>
      <c r="C400" s="76"/>
      <c r="E400" s="31"/>
      <c r="F400" s="31"/>
      <c r="G400" s="31"/>
      <c r="H400" s="31"/>
      <c r="I400" s="31"/>
    </row>
    <row r="401" spans="1:9" ht="18.75">
      <c r="A401" s="859"/>
      <c r="B401" s="76" t="s">
        <v>8907</v>
      </c>
      <c r="C401" s="76"/>
      <c r="E401" s="31"/>
      <c r="F401" s="31"/>
      <c r="G401" s="31"/>
      <c r="H401" s="31"/>
      <c r="I401" s="31"/>
    </row>
    <row r="402" spans="1:9">
      <c r="A402" s="859"/>
      <c r="B402" s="87" t="s">
        <v>5945</v>
      </c>
      <c r="C402" s="76"/>
      <c r="E402" s="31"/>
      <c r="F402" s="31"/>
      <c r="G402" s="31"/>
      <c r="H402" s="31"/>
      <c r="I402" s="31"/>
    </row>
    <row r="403" spans="1:9">
      <c r="A403" s="908"/>
      <c r="B403" s="1258" t="s">
        <v>6753</v>
      </c>
      <c r="C403" s="1258"/>
      <c r="D403" s="622" t="s">
        <v>4172</v>
      </c>
      <c r="E403" s="54"/>
      <c r="F403" s="54"/>
      <c r="G403" s="54"/>
      <c r="H403" s="55"/>
      <c r="I403" s="56"/>
    </row>
    <row r="404" spans="1:9">
      <c r="A404" s="908"/>
      <c r="B404" s="656" t="s">
        <v>359</v>
      </c>
      <c r="C404" s="625"/>
      <c r="D404" s="57"/>
      <c r="E404" s="54"/>
      <c r="F404" s="54"/>
      <c r="G404" s="54"/>
      <c r="H404" s="55"/>
      <c r="I404" s="56"/>
    </row>
    <row r="405" spans="1:9">
      <c r="A405" s="823" t="s">
        <v>3984</v>
      </c>
      <c r="B405" s="1257" t="s">
        <v>6754</v>
      </c>
      <c r="C405" s="1257"/>
      <c r="D405" s="57"/>
      <c r="E405" s="54"/>
      <c r="F405" s="54"/>
      <c r="G405" s="54"/>
      <c r="H405" s="55"/>
      <c r="I405" s="56"/>
    </row>
    <row r="406" spans="1:9">
      <c r="A406" s="905"/>
      <c r="B406" s="656" t="s">
        <v>6747</v>
      </c>
      <c r="C406" s="533"/>
      <c r="D406" s="626"/>
      <c r="E406" s="54"/>
      <c r="F406" s="629">
        <v>10</v>
      </c>
      <c r="G406" s="54" t="s">
        <v>3477</v>
      </c>
      <c r="H406" s="55"/>
      <c r="I406" s="56"/>
    </row>
    <row r="407" spans="1:9">
      <c r="A407" s="905"/>
      <c r="B407" s="656"/>
      <c r="C407" s="533"/>
      <c r="D407" s="626"/>
      <c r="E407" s="54"/>
      <c r="F407" s="54"/>
      <c r="G407" s="54"/>
      <c r="H407" s="55"/>
      <c r="I407" s="56"/>
    </row>
    <row r="408" spans="1:9">
      <c r="A408" s="905"/>
      <c r="B408" s="622" t="s">
        <v>8043</v>
      </c>
      <c r="C408" s="533"/>
      <c r="D408" s="626"/>
      <c r="E408" s="54"/>
      <c r="F408" s="54"/>
      <c r="G408" s="54"/>
      <c r="H408" s="55"/>
      <c r="I408" s="56"/>
    </row>
    <row r="409" spans="1:9">
      <c r="A409" s="905"/>
      <c r="B409" s="39" t="s">
        <v>2369</v>
      </c>
      <c r="C409" s="39" t="s">
        <v>2378</v>
      </c>
      <c r="D409" s="36" t="s">
        <v>2370</v>
      </c>
      <c r="E409" s="36" t="s">
        <v>1166</v>
      </c>
      <c r="F409" s="36" t="s">
        <v>2371</v>
      </c>
      <c r="G409" s="36" t="s">
        <v>2372</v>
      </c>
      <c r="H409" s="55"/>
      <c r="I409" s="56"/>
    </row>
    <row r="410" spans="1:9">
      <c r="A410" s="905"/>
      <c r="B410" s="39"/>
      <c r="C410" s="39"/>
      <c r="D410" s="36"/>
      <c r="E410" s="36"/>
      <c r="F410" s="36" t="s">
        <v>3485</v>
      </c>
      <c r="G410" s="36" t="s">
        <v>3485</v>
      </c>
      <c r="H410" s="55"/>
      <c r="I410" s="56"/>
    </row>
    <row r="411" spans="1:9">
      <c r="A411" s="905"/>
      <c r="B411" s="668"/>
      <c r="C411" s="665" t="s">
        <v>6976</v>
      </c>
      <c r="D411" s="607"/>
      <c r="E411" s="59">
        <v>0</v>
      </c>
      <c r="F411" s="59">
        <v>0</v>
      </c>
      <c r="G411" s="652">
        <f>F411*E411</f>
        <v>0</v>
      </c>
      <c r="H411" s="55"/>
      <c r="I411" s="56"/>
    </row>
    <row r="412" spans="1:9">
      <c r="A412" s="905"/>
      <c r="B412" s="669"/>
      <c r="C412" s="625"/>
      <c r="D412" s="670"/>
      <c r="E412" s="54"/>
      <c r="F412" s="54"/>
      <c r="G412" s="54"/>
      <c r="H412" s="55"/>
      <c r="I412" s="56"/>
    </row>
    <row r="413" spans="1:9">
      <c r="A413" s="905"/>
      <c r="B413" s="622" t="s">
        <v>6750</v>
      </c>
      <c r="C413" s="533"/>
      <c r="D413" s="626"/>
      <c r="E413" s="54"/>
      <c r="F413" s="54"/>
      <c r="G413" s="54"/>
      <c r="H413" s="55"/>
      <c r="I413" s="56"/>
    </row>
    <row r="414" spans="1:9">
      <c r="A414" s="823"/>
      <c r="B414" s="39" t="s">
        <v>2369</v>
      </c>
      <c r="C414" s="39" t="s">
        <v>2378</v>
      </c>
      <c r="D414" s="36" t="s">
        <v>2370</v>
      </c>
      <c r="E414" s="36" t="s">
        <v>1166</v>
      </c>
      <c r="F414" s="36" t="s">
        <v>2371</v>
      </c>
      <c r="G414" s="36" t="s">
        <v>2372</v>
      </c>
      <c r="H414" s="31"/>
      <c r="I414" s="31"/>
    </row>
    <row r="415" spans="1:9">
      <c r="A415" s="823"/>
      <c r="B415" s="39"/>
      <c r="C415" s="39"/>
      <c r="D415" s="36"/>
      <c r="E415" s="36"/>
      <c r="F415" s="36" t="s">
        <v>3485</v>
      </c>
      <c r="G415" s="36" t="s">
        <v>3485</v>
      </c>
      <c r="H415" s="31"/>
      <c r="I415" s="31"/>
    </row>
    <row r="416" spans="1:9" ht="36">
      <c r="A416" s="905"/>
      <c r="B416" s="668">
        <v>1</v>
      </c>
      <c r="C416" s="665" t="s">
        <v>1461</v>
      </c>
      <c r="D416" s="607" t="s">
        <v>1189</v>
      </c>
      <c r="E416" s="59">
        <v>6</v>
      </c>
      <c r="F416" s="59">
        <f>'HIRE CHARGES'!$D$494</f>
        <v>241.3</v>
      </c>
      <c r="G416" s="59">
        <f>F416*E416</f>
        <v>1447.8000000000002</v>
      </c>
      <c r="H416" s="671"/>
      <c r="I416" s="56"/>
    </row>
    <row r="417" spans="1:9">
      <c r="A417" s="905"/>
      <c r="B417" s="668"/>
      <c r="C417" s="665" t="s">
        <v>4173</v>
      </c>
      <c r="D417" s="58" t="s">
        <v>1189</v>
      </c>
      <c r="E417" s="59">
        <v>6</v>
      </c>
      <c r="F417" s="59">
        <f>'HIRE CHARGES'!$E$494</f>
        <v>714</v>
      </c>
      <c r="G417" s="59">
        <f>F417*E417</f>
        <v>4284</v>
      </c>
      <c r="H417" s="55"/>
      <c r="I417" s="56"/>
    </row>
    <row r="418" spans="1:9">
      <c r="A418" s="905"/>
      <c r="B418" s="668"/>
      <c r="C418" s="665" t="s">
        <v>360</v>
      </c>
      <c r="D418" s="502"/>
      <c r="E418" s="672"/>
      <c r="F418" s="672"/>
      <c r="G418" s="673">
        <f>SUM(G416:G417)</f>
        <v>5731.8</v>
      </c>
      <c r="H418" s="55"/>
      <c r="I418" s="56"/>
    </row>
    <row r="419" spans="1:9">
      <c r="A419" s="905"/>
      <c r="B419" s="669"/>
      <c r="C419" s="625"/>
      <c r="D419" s="674"/>
      <c r="E419" s="675"/>
      <c r="F419" s="675"/>
      <c r="G419" s="676"/>
      <c r="H419" s="55"/>
      <c r="I419" s="56"/>
    </row>
    <row r="420" spans="1:9">
      <c r="A420" s="905"/>
      <c r="B420" s="651" t="s">
        <v>8044</v>
      </c>
      <c r="C420" s="533"/>
      <c r="D420" s="639"/>
      <c r="E420" s="640"/>
      <c r="F420" s="640"/>
      <c r="G420" s="640"/>
      <c r="H420" s="55"/>
      <c r="I420" s="56"/>
    </row>
    <row r="421" spans="1:9">
      <c r="A421" s="823"/>
      <c r="B421" s="116" t="s">
        <v>2369</v>
      </c>
      <c r="C421" s="39" t="s">
        <v>2378</v>
      </c>
      <c r="D421" s="114" t="s">
        <v>2370</v>
      </c>
      <c r="E421" s="114" t="s">
        <v>1166</v>
      </c>
      <c r="F421" s="114" t="s">
        <v>2371</v>
      </c>
      <c r="G421" s="114" t="s">
        <v>2372</v>
      </c>
      <c r="H421" s="31"/>
      <c r="I421" s="31"/>
    </row>
    <row r="422" spans="1:9">
      <c r="A422" s="823"/>
      <c r="B422" s="39"/>
      <c r="C422" s="39"/>
      <c r="D422" s="36"/>
      <c r="E422" s="36"/>
      <c r="F422" s="36" t="s">
        <v>3485</v>
      </c>
      <c r="G422" s="36" t="s">
        <v>3485</v>
      </c>
      <c r="H422" s="31"/>
      <c r="I422" s="31"/>
    </row>
    <row r="423" spans="1:9">
      <c r="A423" s="905"/>
      <c r="B423" s="791">
        <v>1</v>
      </c>
      <c r="C423" s="663" t="s">
        <v>4206</v>
      </c>
      <c r="D423" s="58" t="s">
        <v>1581</v>
      </c>
      <c r="E423" s="59">
        <v>0.2</v>
      </c>
      <c r="F423" s="59">
        <f>'BASIC DATA'!$C$473</f>
        <v>450</v>
      </c>
      <c r="G423" s="59">
        <f>F423*E423</f>
        <v>90</v>
      </c>
      <c r="H423" s="55"/>
      <c r="I423" s="56"/>
    </row>
    <row r="424" spans="1:9">
      <c r="A424" s="905"/>
      <c r="B424" s="791">
        <v>2</v>
      </c>
      <c r="C424" s="663" t="s">
        <v>4647</v>
      </c>
      <c r="D424" s="58" t="s">
        <v>1581</v>
      </c>
      <c r="E424" s="59">
        <v>5</v>
      </c>
      <c r="F424" s="59">
        <f>'BASIC DATA'!$C$552</f>
        <v>350</v>
      </c>
      <c r="G424" s="59">
        <f>F424*E424</f>
        <v>1750</v>
      </c>
      <c r="H424" s="55"/>
      <c r="I424" s="56"/>
    </row>
    <row r="425" spans="1:9">
      <c r="A425" s="905"/>
      <c r="B425" s="791">
        <v>3</v>
      </c>
      <c r="C425" s="663" t="s">
        <v>2580</v>
      </c>
      <c r="D425" s="58" t="s">
        <v>1189</v>
      </c>
      <c r="E425" s="59">
        <v>6</v>
      </c>
      <c r="F425" s="59">
        <f>'HIRE CHARGES'!$F$494</f>
        <v>210.9</v>
      </c>
      <c r="G425" s="59">
        <f>F425*E425</f>
        <v>1265.4000000000001</v>
      </c>
      <c r="H425" s="55"/>
      <c r="I425" s="56"/>
    </row>
    <row r="426" spans="1:9">
      <c r="A426" s="905"/>
      <c r="B426" s="791"/>
      <c r="C426" s="663" t="s">
        <v>360</v>
      </c>
      <c r="D426" s="58"/>
      <c r="E426" s="59"/>
      <c r="F426" s="59"/>
      <c r="G426" s="652">
        <f>SUM(G423:G425)</f>
        <v>3105.4</v>
      </c>
      <c r="H426" s="55"/>
      <c r="I426" s="56"/>
    </row>
    <row r="427" spans="1:9">
      <c r="A427" s="905"/>
      <c r="B427" s="101" t="s">
        <v>5948</v>
      </c>
      <c r="C427" s="533"/>
      <c r="D427" s="31"/>
      <c r="E427" s="85">
        <f>ROUND(G426/F406,1)</f>
        <v>310.5</v>
      </c>
      <c r="F427" s="57"/>
      <c r="G427" s="57"/>
      <c r="H427" s="55"/>
      <c r="I427" s="56"/>
    </row>
    <row r="428" spans="1:9">
      <c r="A428" s="905"/>
      <c r="B428" s="101" t="s">
        <v>3163</v>
      </c>
      <c r="C428" s="533"/>
      <c r="D428" s="922">
        <f>'BASIC DATA'!$C$577</f>
        <v>0.13614999999999999</v>
      </c>
      <c r="E428" s="85">
        <f>ROUND(E427*D428,1)</f>
        <v>42.3</v>
      </c>
      <c r="F428" s="57"/>
      <c r="G428" s="57"/>
      <c r="H428" s="55"/>
      <c r="I428" s="56"/>
    </row>
    <row r="429" spans="1:9">
      <c r="A429" s="905"/>
      <c r="B429" s="101" t="s">
        <v>5949</v>
      </c>
      <c r="C429" s="533"/>
      <c r="D429" s="31"/>
      <c r="E429" s="199">
        <f>ROUND(E428+E427,1)</f>
        <v>352.8</v>
      </c>
      <c r="F429" s="57"/>
      <c r="G429" s="57"/>
      <c r="H429" s="55"/>
      <c r="I429" s="56"/>
    </row>
    <row r="430" spans="1:9">
      <c r="A430" s="905"/>
      <c r="B430" s="793"/>
      <c r="C430" s="533"/>
      <c r="D430" s="626"/>
      <c r="E430" s="54"/>
      <c r="F430" s="54"/>
      <c r="G430" s="54"/>
      <c r="H430" s="55"/>
      <c r="I430" s="56"/>
    </row>
    <row r="431" spans="1:9">
      <c r="A431" s="905"/>
      <c r="B431" s="794" t="s">
        <v>2987</v>
      </c>
      <c r="C431" s="533"/>
      <c r="D431" s="626"/>
      <c r="E431" s="54"/>
      <c r="F431" s="54"/>
      <c r="G431" s="54"/>
      <c r="H431" s="55"/>
      <c r="I431" s="57"/>
    </row>
    <row r="432" spans="1:9">
      <c r="A432" s="905"/>
      <c r="B432" s="1257" t="s">
        <v>8040</v>
      </c>
      <c r="C432" s="1257"/>
      <c r="D432" s="626"/>
      <c r="E432" s="54"/>
      <c r="F432" s="54" t="s">
        <v>4391</v>
      </c>
      <c r="G432" s="54">
        <f>G411</f>
        <v>0</v>
      </c>
      <c r="H432" s="55"/>
      <c r="I432" s="57"/>
    </row>
    <row r="433" spans="1:9">
      <c r="A433" s="905"/>
      <c r="B433" s="656" t="s">
        <v>6966</v>
      </c>
      <c r="C433" s="625"/>
      <c r="D433" s="626"/>
      <c r="E433" s="54"/>
      <c r="F433" s="54" t="s">
        <v>4391</v>
      </c>
      <c r="G433" s="54">
        <f>G418</f>
        <v>5731.8</v>
      </c>
      <c r="H433" s="55"/>
      <c r="I433" s="57"/>
    </row>
    <row r="434" spans="1:9">
      <c r="A434" s="905"/>
      <c r="B434" s="1257" t="s">
        <v>8041</v>
      </c>
      <c r="C434" s="1257"/>
      <c r="D434" s="626"/>
      <c r="E434" s="54"/>
      <c r="F434" s="54" t="s">
        <v>4391</v>
      </c>
      <c r="G434" s="54">
        <f>G426</f>
        <v>3105.4</v>
      </c>
      <c r="H434" s="55"/>
      <c r="I434" s="57"/>
    </row>
    <row r="435" spans="1:9">
      <c r="A435" s="905"/>
      <c r="B435" s="656" t="s">
        <v>2392</v>
      </c>
      <c r="C435" s="533"/>
      <c r="D435" s="626"/>
      <c r="E435" s="54"/>
      <c r="F435" s="54" t="s">
        <v>4391</v>
      </c>
      <c r="G435" s="647">
        <f>SUM(G432:G434)</f>
        <v>8837.2000000000007</v>
      </c>
      <c r="H435" s="55"/>
      <c r="I435" s="57"/>
    </row>
    <row r="436" spans="1:9">
      <c r="A436" s="905"/>
      <c r="B436" s="27" t="s">
        <v>1379</v>
      </c>
      <c r="E436" s="922">
        <f>'BASIC DATA'!$C$577</f>
        <v>0.13614999999999999</v>
      </c>
      <c r="F436" s="26" t="s">
        <v>1698</v>
      </c>
      <c r="G436" s="26">
        <f>ROUND(G435*E436,2)</f>
        <v>1203.18</v>
      </c>
      <c r="H436" s="55"/>
      <c r="I436" s="57"/>
    </row>
    <row r="437" spans="1:9">
      <c r="A437" s="905"/>
      <c r="B437" s="27" t="s">
        <v>1191</v>
      </c>
      <c r="D437" s="68">
        <f>F406</f>
        <v>10</v>
      </c>
      <c r="E437" s="68" t="str">
        <f>G406</f>
        <v>cum</v>
      </c>
      <c r="F437" s="26" t="s">
        <v>1698</v>
      </c>
      <c r="G437" s="170">
        <f>G436+G435</f>
        <v>10040.380000000001</v>
      </c>
      <c r="H437" s="55"/>
      <c r="I437" s="57"/>
    </row>
    <row r="438" spans="1:9">
      <c r="A438" s="905"/>
      <c r="B438" s="79" t="s">
        <v>1584</v>
      </c>
      <c r="C438" s="204" t="str">
        <f>E437</f>
        <v>cum</v>
      </c>
      <c r="D438" s="26" t="s">
        <v>5891</v>
      </c>
      <c r="F438" s="26" t="s">
        <v>4108</v>
      </c>
      <c r="G438" s="211">
        <f>ROUND(G437/D437,1)</f>
        <v>1004</v>
      </c>
      <c r="I438" s="57"/>
    </row>
    <row r="439" spans="1:9">
      <c r="A439" s="905"/>
      <c r="B439" s="669"/>
      <c r="C439" s="631"/>
      <c r="D439" s="626"/>
      <c r="E439" s="54"/>
      <c r="F439" s="54"/>
      <c r="G439" s="677"/>
      <c r="H439" s="55"/>
      <c r="I439" s="57"/>
    </row>
    <row r="440" spans="1:9">
      <c r="A440" s="905"/>
      <c r="B440" s="669"/>
      <c r="C440" s="631"/>
      <c r="D440" s="626"/>
      <c r="E440" s="54"/>
      <c r="F440" s="54"/>
      <c r="G440" s="54"/>
      <c r="H440" s="55"/>
      <c r="I440" s="57"/>
    </row>
    <row r="441" spans="1:9" ht="18.75">
      <c r="A441" s="823" t="s">
        <v>7538</v>
      </c>
      <c r="B441" s="27" t="s">
        <v>8908</v>
      </c>
    </row>
    <row r="442" spans="1:9">
      <c r="A442" s="823"/>
      <c r="B442" s="27" t="s">
        <v>6014</v>
      </c>
    </row>
    <row r="443" spans="1:9">
      <c r="A443" s="823"/>
      <c r="B443" s="27" t="s">
        <v>5983</v>
      </c>
    </row>
    <row r="444" spans="1:9" ht="18.75">
      <c r="A444" s="823"/>
      <c r="B444" s="27" t="s">
        <v>8909</v>
      </c>
    </row>
    <row r="445" spans="1:9">
      <c r="A445" s="823"/>
      <c r="B445" s="79" t="s">
        <v>4735</v>
      </c>
    </row>
    <row r="446" spans="1:9">
      <c r="A446" s="823"/>
    </row>
    <row r="447" spans="1:9" hidden="1">
      <c r="A447" s="823" t="s">
        <v>3984</v>
      </c>
      <c r="B447" s="27" t="s">
        <v>4873</v>
      </c>
    </row>
    <row r="448" spans="1:9" hidden="1">
      <c r="A448" s="823"/>
      <c r="B448" s="27" t="s">
        <v>4874</v>
      </c>
      <c r="E448" s="78" t="s">
        <v>1697</v>
      </c>
      <c r="F448" s="68">
        <v>12.5</v>
      </c>
      <c r="G448" s="26" t="s">
        <v>2602</v>
      </c>
    </row>
    <row r="449" spans="1:7" hidden="1">
      <c r="A449" s="823"/>
      <c r="B449" s="27" t="s">
        <v>303</v>
      </c>
      <c r="E449" s="78" t="s">
        <v>1697</v>
      </c>
      <c r="F449" s="68">
        <v>101</v>
      </c>
      <c r="G449" s="26" t="s">
        <v>3478</v>
      </c>
    </row>
    <row r="450" spans="1:7" hidden="1">
      <c r="A450" s="823"/>
      <c r="B450" s="27" t="s">
        <v>4875</v>
      </c>
      <c r="E450" s="78" t="s">
        <v>1697</v>
      </c>
      <c r="F450" s="68">
        <v>5</v>
      </c>
      <c r="G450" s="26" t="s">
        <v>3478</v>
      </c>
    </row>
    <row r="451" spans="1:7" hidden="1">
      <c r="A451" s="823"/>
      <c r="B451" s="27" t="s">
        <v>4876</v>
      </c>
      <c r="E451" s="78" t="s">
        <v>1697</v>
      </c>
      <c r="F451" s="26">
        <v>8</v>
      </c>
      <c r="G451" s="26" t="s">
        <v>2602</v>
      </c>
    </row>
    <row r="452" spans="1:7" hidden="1">
      <c r="A452" s="823"/>
      <c r="B452" s="27" t="s">
        <v>5102</v>
      </c>
      <c r="E452" s="78" t="s">
        <v>1697</v>
      </c>
      <c r="F452" s="68">
        <v>1</v>
      </c>
      <c r="G452" s="26" t="s">
        <v>4665</v>
      </c>
    </row>
    <row r="453" spans="1:7" hidden="1">
      <c r="A453" s="823"/>
      <c r="B453" s="27" t="s">
        <v>5103</v>
      </c>
      <c r="E453" s="78" t="s">
        <v>1697</v>
      </c>
      <c r="F453" s="68">
        <v>1</v>
      </c>
      <c r="G453" s="26" t="s">
        <v>4665</v>
      </c>
    </row>
    <row r="454" spans="1:7" hidden="1">
      <c r="A454" s="823"/>
      <c r="B454" s="27" t="s">
        <v>5104</v>
      </c>
      <c r="D454" s="68">
        <f>'BASIC DATA'!$D$307</f>
        <v>4028</v>
      </c>
      <c r="E454" s="26" t="s">
        <v>2290</v>
      </c>
      <c r="F454" s="78" t="s">
        <v>1698</v>
      </c>
      <c r="G454" s="68">
        <f>D454</f>
        <v>4028</v>
      </c>
    </row>
    <row r="455" spans="1:7" hidden="1">
      <c r="A455" s="823"/>
      <c r="B455" s="27" t="s">
        <v>5105</v>
      </c>
      <c r="E455" s="78" t="s">
        <v>1697</v>
      </c>
      <c r="F455" s="316">
        <v>150</v>
      </c>
      <c r="G455" s="26" t="s">
        <v>2602</v>
      </c>
    </row>
    <row r="456" spans="1:7" hidden="1">
      <c r="A456" s="823"/>
      <c r="B456" s="27" t="s">
        <v>2943</v>
      </c>
      <c r="D456" s="26" t="s">
        <v>7593</v>
      </c>
      <c r="F456" s="78" t="s">
        <v>1698</v>
      </c>
      <c r="G456" s="68">
        <f>G454/F455</f>
        <v>26.853333333333332</v>
      </c>
    </row>
    <row r="457" spans="1:7" hidden="1">
      <c r="A457" s="823"/>
      <c r="B457" s="27" t="s">
        <v>2944</v>
      </c>
      <c r="D457" s="68">
        <f>'BASIC DATA'!$D$344</f>
        <v>185</v>
      </c>
      <c r="E457" s="26" t="s">
        <v>2618</v>
      </c>
      <c r="F457" s="78" t="s">
        <v>1698</v>
      </c>
      <c r="G457" s="68">
        <f>D457*50</f>
        <v>9250</v>
      </c>
    </row>
    <row r="458" spans="1:7" hidden="1">
      <c r="A458" s="823"/>
      <c r="B458" s="27" t="s">
        <v>5152</v>
      </c>
      <c r="E458" s="78" t="s">
        <v>1697</v>
      </c>
      <c r="F458" s="316">
        <v>800</v>
      </c>
      <c r="G458" s="26" t="s">
        <v>4665</v>
      </c>
    </row>
    <row r="459" spans="1:7" hidden="1">
      <c r="A459" s="823"/>
      <c r="B459" s="27" t="s">
        <v>1866</v>
      </c>
      <c r="D459" s="26" t="s">
        <v>7593</v>
      </c>
      <c r="F459" s="78" t="s">
        <v>1698</v>
      </c>
      <c r="G459" s="68">
        <f>G457/F458</f>
        <v>11.5625</v>
      </c>
    </row>
    <row r="460" spans="1:7" hidden="1">
      <c r="A460" s="823"/>
    </row>
    <row r="461" spans="1:7">
      <c r="A461" s="823"/>
    </row>
    <row r="462" spans="1:7">
      <c r="A462" s="823" t="s">
        <v>3984</v>
      </c>
      <c r="C462" s="79" t="s">
        <v>2367</v>
      </c>
      <c r="E462" s="171" t="s">
        <v>297</v>
      </c>
      <c r="F462" s="246">
        <v>10</v>
      </c>
      <c r="G462" s="26" t="s">
        <v>4041</v>
      </c>
    </row>
    <row r="463" spans="1:7">
      <c r="A463" s="823"/>
      <c r="B463" s="79" t="s">
        <v>2368</v>
      </c>
    </row>
    <row r="464" spans="1:7">
      <c r="A464" s="823"/>
      <c r="B464" s="153" t="s">
        <v>2369</v>
      </c>
      <c r="C464" s="131" t="s">
        <v>4443</v>
      </c>
      <c r="D464" s="95" t="s">
        <v>2370</v>
      </c>
      <c r="E464" s="95" t="s">
        <v>1166</v>
      </c>
      <c r="F464" s="95" t="s">
        <v>2371</v>
      </c>
      <c r="G464" s="95" t="s">
        <v>2372</v>
      </c>
    </row>
    <row r="465" spans="1:7">
      <c r="A465" s="823"/>
      <c r="B465" s="116"/>
      <c r="C465" s="139"/>
      <c r="D465" s="114"/>
      <c r="E465" s="114"/>
      <c r="F465" s="114" t="s">
        <v>3485</v>
      </c>
      <c r="G465" s="114" t="s">
        <v>3485</v>
      </c>
    </row>
    <row r="466" spans="1:7">
      <c r="A466" s="823"/>
      <c r="B466" s="153">
        <v>1</v>
      </c>
      <c r="C466" s="135" t="s">
        <v>1867</v>
      </c>
      <c r="D466" s="95" t="s">
        <v>3478</v>
      </c>
      <c r="E466" s="190">
        <v>5</v>
      </c>
      <c r="F466" s="190">
        <f>'BASIC DATA'!$D$32/1000</f>
        <v>5.35</v>
      </c>
      <c r="G466" s="190">
        <f>E466*F466</f>
        <v>26.75</v>
      </c>
    </row>
    <row r="467" spans="1:7">
      <c r="A467" s="823"/>
      <c r="B467" s="152">
        <v>2</v>
      </c>
      <c r="C467" s="135" t="s">
        <v>1868</v>
      </c>
      <c r="D467" s="105" t="s">
        <v>3478</v>
      </c>
      <c r="E467" s="190">
        <v>101</v>
      </c>
      <c r="F467" s="190">
        <f>'BASIC DATA'!$D$91/1000</f>
        <v>34</v>
      </c>
      <c r="G467" s="190">
        <f>E467*F467</f>
        <v>3434</v>
      </c>
    </row>
    <row r="468" spans="1:7">
      <c r="A468" s="823"/>
      <c r="B468" s="152">
        <v>3</v>
      </c>
      <c r="C468" s="135" t="s">
        <v>1869</v>
      </c>
      <c r="D468" s="105" t="s">
        <v>3483</v>
      </c>
      <c r="E468" s="190">
        <v>12.5</v>
      </c>
      <c r="F468" s="190">
        <f>G456</f>
        <v>26.853333333333332</v>
      </c>
      <c r="G468" s="190">
        <f>E468*F468</f>
        <v>335.66666666666663</v>
      </c>
    </row>
    <row r="469" spans="1:7">
      <c r="A469" s="823"/>
      <c r="B469" s="317"/>
      <c r="C469" s="135" t="s">
        <v>5125</v>
      </c>
      <c r="D469" s="224">
        <v>0.1</v>
      </c>
      <c r="E469" s="190"/>
      <c r="F469" s="190"/>
      <c r="G469" s="190">
        <f>G468*D469</f>
        <v>33.566666666666663</v>
      </c>
    </row>
    <row r="470" spans="1:7">
      <c r="A470" s="823"/>
      <c r="B470" s="116">
        <v>4</v>
      </c>
      <c r="C470" s="135" t="s">
        <v>1404</v>
      </c>
      <c r="D470" s="105" t="s">
        <v>2374</v>
      </c>
      <c r="E470" s="190">
        <v>2</v>
      </c>
      <c r="F470" s="190">
        <f>G459</f>
        <v>11.5625</v>
      </c>
      <c r="G470" s="190">
        <f>E470*F470</f>
        <v>23.125</v>
      </c>
    </row>
    <row r="471" spans="1:7">
      <c r="A471" s="823"/>
      <c r="B471" s="129"/>
      <c r="C471" s="151" t="s">
        <v>2376</v>
      </c>
      <c r="D471" s="159"/>
      <c r="E471" s="238"/>
      <c r="F471" s="236" t="s">
        <v>1698</v>
      </c>
      <c r="G471" s="318">
        <f>SUM(G466:G470)</f>
        <v>3853.1083333333331</v>
      </c>
    </row>
    <row r="472" spans="1:7">
      <c r="A472" s="823"/>
    </row>
    <row r="473" spans="1:7">
      <c r="A473" s="823"/>
      <c r="B473" s="79" t="s">
        <v>2377</v>
      </c>
    </row>
    <row r="474" spans="1:7">
      <c r="A474" s="823"/>
      <c r="B474" s="153" t="s">
        <v>2369</v>
      </c>
      <c r="C474" s="131" t="s">
        <v>2378</v>
      </c>
      <c r="D474" s="95" t="s">
        <v>2370</v>
      </c>
      <c r="E474" s="95" t="s">
        <v>1166</v>
      </c>
      <c r="F474" s="95" t="s">
        <v>2371</v>
      </c>
      <c r="G474" s="95" t="s">
        <v>2372</v>
      </c>
    </row>
    <row r="475" spans="1:7">
      <c r="A475" s="823"/>
      <c r="B475" s="116"/>
      <c r="C475" s="139"/>
      <c r="D475" s="114"/>
      <c r="E475" s="114"/>
      <c r="F475" s="114" t="s">
        <v>3485</v>
      </c>
      <c r="G475" s="114" t="s">
        <v>3485</v>
      </c>
    </row>
    <row r="476" spans="1:7">
      <c r="A476" s="823"/>
      <c r="B476" s="153">
        <v>1</v>
      </c>
      <c r="C476" s="135" t="s">
        <v>2062</v>
      </c>
      <c r="D476" s="95" t="s">
        <v>2374</v>
      </c>
      <c r="E476" s="190">
        <v>1</v>
      </c>
      <c r="F476" s="190">
        <f>'HIRE CHARGES'!$D$496</f>
        <v>275.60000000000002</v>
      </c>
      <c r="G476" s="190">
        <f>E476*F476</f>
        <v>275.60000000000002</v>
      </c>
    </row>
    <row r="477" spans="1:7">
      <c r="A477" s="823"/>
      <c r="B477" s="317"/>
      <c r="C477" s="135" t="s">
        <v>2379</v>
      </c>
      <c r="D477" s="105" t="s">
        <v>2374</v>
      </c>
      <c r="E477" s="190">
        <v>1</v>
      </c>
      <c r="F477" s="190">
        <f>'HIRE CHARGES'!$E$496</f>
        <v>892.5</v>
      </c>
      <c r="G477" s="190">
        <f>E477*F477</f>
        <v>892.5</v>
      </c>
    </row>
    <row r="478" spans="1:7">
      <c r="A478" s="823"/>
      <c r="B478" s="152">
        <v>2</v>
      </c>
      <c r="C478" s="135" t="s">
        <v>4213</v>
      </c>
      <c r="D478" s="105" t="s">
        <v>2374</v>
      </c>
      <c r="E478" s="190">
        <v>2</v>
      </c>
      <c r="F478" s="190">
        <f>'HIRE CHARGES'!$D$530</f>
        <v>19.8</v>
      </c>
      <c r="G478" s="190">
        <f>E478*F478</f>
        <v>39.6</v>
      </c>
    </row>
    <row r="479" spans="1:7">
      <c r="A479" s="823"/>
      <c r="B479" s="152"/>
      <c r="C479" s="135" t="s">
        <v>2379</v>
      </c>
      <c r="D479" s="105" t="s">
        <v>2374</v>
      </c>
      <c r="E479" s="190">
        <v>2</v>
      </c>
      <c r="F479" s="190">
        <f>'HIRE CHARGES'!$E$530</f>
        <v>0</v>
      </c>
      <c r="G479" s="190">
        <f>E479*F479</f>
        <v>0</v>
      </c>
    </row>
    <row r="480" spans="1:7">
      <c r="A480" s="823"/>
      <c r="B480" s="139"/>
      <c r="C480" s="89" t="s">
        <v>2380</v>
      </c>
      <c r="D480" s="174"/>
      <c r="E480" s="192"/>
      <c r="F480" s="236" t="s">
        <v>1698</v>
      </c>
      <c r="G480" s="318">
        <f>SUM(G476:G479)</f>
        <v>1207.6999999999998</v>
      </c>
    </row>
    <row r="481" spans="1:7">
      <c r="A481" s="823"/>
    </row>
    <row r="482" spans="1:7">
      <c r="A482" s="823"/>
      <c r="B482" s="79" t="s">
        <v>2381</v>
      </c>
    </row>
    <row r="483" spans="1:7">
      <c r="A483" s="823"/>
      <c r="B483" s="153" t="s">
        <v>2369</v>
      </c>
      <c r="C483" s="131" t="s">
        <v>2378</v>
      </c>
      <c r="D483" s="95" t="s">
        <v>2370</v>
      </c>
      <c r="E483" s="95" t="s">
        <v>1166</v>
      </c>
      <c r="F483" s="95" t="s">
        <v>2371</v>
      </c>
      <c r="G483" s="95" t="s">
        <v>2372</v>
      </c>
    </row>
    <row r="484" spans="1:7">
      <c r="A484" s="823"/>
      <c r="B484" s="116"/>
      <c r="C484" s="139"/>
      <c r="D484" s="114"/>
      <c r="E484" s="114"/>
      <c r="F484" s="114" t="s">
        <v>3485</v>
      </c>
      <c r="G484" s="114" t="s">
        <v>3485</v>
      </c>
    </row>
    <row r="485" spans="1:7">
      <c r="A485" s="823"/>
      <c r="B485" s="152">
        <v>1</v>
      </c>
      <c r="C485" s="76" t="s">
        <v>4606</v>
      </c>
      <c r="D485" s="105" t="s">
        <v>2374</v>
      </c>
      <c r="E485" s="207">
        <v>1</v>
      </c>
      <c r="F485" s="190">
        <f>'HIRE CHARGES'!$F$496</f>
        <v>210.9</v>
      </c>
      <c r="G485" s="190">
        <f t="shared" ref="G485:G490" si="3">E485*F485</f>
        <v>210.9</v>
      </c>
    </row>
    <row r="486" spans="1:7">
      <c r="A486" s="823"/>
      <c r="B486" s="152">
        <v>2</v>
      </c>
      <c r="C486" s="76" t="s">
        <v>4607</v>
      </c>
      <c r="D486" s="105" t="s">
        <v>2374</v>
      </c>
      <c r="E486" s="207">
        <v>2</v>
      </c>
      <c r="F486" s="190">
        <f>'HIRE CHARGES'!$F$530</f>
        <v>329.6</v>
      </c>
      <c r="G486" s="190">
        <f t="shared" si="3"/>
        <v>659.2</v>
      </c>
    </row>
    <row r="487" spans="1:7">
      <c r="A487" s="823"/>
      <c r="B487" s="152">
        <v>3</v>
      </c>
      <c r="C487" s="76" t="s">
        <v>1356</v>
      </c>
      <c r="D487" s="105" t="s">
        <v>1172</v>
      </c>
      <c r="E487" s="207">
        <v>0.5</v>
      </c>
      <c r="F487" s="190">
        <f>'BASIC DATA'!$C$541</f>
        <v>400</v>
      </c>
      <c r="G487" s="190">
        <f t="shared" si="3"/>
        <v>200</v>
      </c>
    </row>
    <row r="488" spans="1:7">
      <c r="A488" s="823"/>
      <c r="B488" s="152">
        <v>4</v>
      </c>
      <c r="C488" s="76" t="s">
        <v>3836</v>
      </c>
      <c r="D488" s="105" t="s">
        <v>1172</v>
      </c>
      <c r="E488" s="207">
        <v>0.5</v>
      </c>
      <c r="F488" s="190">
        <f>'BASIC DATA'!$C$464</f>
        <v>555</v>
      </c>
      <c r="G488" s="190">
        <f t="shared" si="3"/>
        <v>277.5</v>
      </c>
    </row>
    <row r="489" spans="1:7">
      <c r="A489" s="823"/>
      <c r="B489" s="152">
        <v>5</v>
      </c>
      <c r="C489" s="76" t="s">
        <v>4206</v>
      </c>
      <c r="D489" s="105" t="s">
        <v>1172</v>
      </c>
      <c r="E489" s="207">
        <v>0.5</v>
      </c>
      <c r="F489" s="190">
        <f>'BASIC DATA'!$C$473</f>
        <v>450</v>
      </c>
      <c r="G489" s="190">
        <f t="shared" si="3"/>
        <v>225</v>
      </c>
    </row>
    <row r="490" spans="1:7">
      <c r="A490" s="823"/>
      <c r="B490" s="152">
        <v>6</v>
      </c>
      <c r="C490" s="76" t="s">
        <v>2697</v>
      </c>
      <c r="D490" s="105" t="s">
        <v>1172</v>
      </c>
      <c r="E490" s="207">
        <v>1</v>
      </c>
      <c r="F490" s="190">
        <f>'BASIC DATA'!$C$552</f>
        <v>350</v>
      </c>
      <c r="G490" s="190">
        <f t="shared" si="3"/>
        <v>350</v>
      </c>
    </row>
    <row r="491" spans="1:7">
      <c r="A491" s="823"/>
      <c r="B491" s="129"/>
      <c r="C491" s="151" t="s">
        <v>1174</v>
      </c>
      <c r="D491" s="159"/>
      <c r="E491" s="238"/>
      <c r="F491" s="236" t="s">
        <v>1698</v>
      </c>
      <c r="G491" s="318">
        <f>SUM(G485:G490)</f>
        <v>1922.6</v>
      </c>
    </row>
    <row r="492" spans="1:7">
      <c r="A492" s="823"/>
      <c r="B492" s="101" t="s">
        <v>5948</v>
      </c>
      <c r="C492" s="76"/>
      <c r="D492" s="31"/>
      <c r="E492" s="85">
        <f>ROUND(G491/F462,1)</f>
        <v>192.3</v>
      </c>
    </row>
    <row r="493" spans="1:7">
      <c r="A493" s="823"/>
      <c r="B493" s="101" t="s">
        <v>3163</v>
      </c>
      <c r="C493" s="76"/>
      <c r="D493" s="922">
        <f>'BASIC DATA'!$C$577</f>
        <v>0.13614999999999999</v>
      </c>
      <c r="E493" s="85">
        <f>ROUND(E492*D493,1)</f>
        <v>26.2</v>
      </c>
    </row>
    <row r="494" spans="1:7">
      <c r="A494" s="823"/>
      <c r="B494" s="101" t="s">
        <v>5949</v>
      </c>
      <c r="C494" s="76"/>
      <c r="D494" s="31"/>
      <c r="E494" s="199">
        <f>ROUND(E493+E492,1)</f>
        <v>218.5</v>
      </c>
      <c r="F494" s="57"/>
    </row>
    <row r="495" spans="1:7">
      <c r="A495" s="823"/>
    </row>
    <row r="496" spans="1:7">
      <c r="A496" s="823"/>
      <c r="B496" s="79" t="s">
        <v>1175</v>
      </c>
    </row>
    <row r="497" spans="1:7">
      <c r="A497" s="823"/>
      <c r="B497" s="27" t="s">
        <v>1176</v>
      </c>
      <c r="F497" s="171" t="s">
        <v>1698</v>
      </c>
      <c r="G497" s="68">
        <f>G471</f>
        <v>3853.1083333333331</v>
      </c>
    </row>
    <row r="498" spans="1:7">
      <c r="A498" s="823"/>
      <c r="B498" s="27" t="s">
        <v>1186</v>
      </c>
      <c r="F498" s="171" t="s">
        <v>1698</v>
      </c>
      <c r="G498" s="68">
        <f>G480</f>
        <v>1207.6999999999998</v>
      </c>
    </row>
    <row r="499" spans="1:7">
      <c r="A499" s="823"/>
      <c r="B499" s="27" t="s">
        <v>2660</v>
      </c>
      <c r="F499" s="171" t="s">
        <v>1698</v>
      </c>
      <c r="G499" s="75">
        <f>G491</f>
        <v>1922.6</v>
      </c>
    </row>
    <row r="500" spans="1:7">
      <c r="A500" s="823"/>
      <c r="E500" s="171"/>
      <c r="F500" s="171" t="s">
        <v>302</v>
      </c>
      <c r="G500" s="205">
        <f>SUM(G497:G499)</f>
        <v>6983.4083333333328</v>
      </c>
    </row>
    <row r="501" spans="1:7">
      <c r="A501" s="823"/>
      <c r="B501" s="27" t="s">
        <v>1379</v>
      </c>
      <c r="E501" s="922">
        <f>'BASIC DATA'!$C$577</f>
        <v>0.13614999999999999</v>
      </c>
      <c r="F501" s="26" t="s">
        <v>1698</v>
      </c>
      <c r="G501" s="26">
        <f>ROUND(G500*E501,2)</f>
        <v>950.79</v>
      </c>
    </row>
    <row r="502" spans="1:7">
      <c r="A502" s="823"/>
      <c r="B502" s="27" t="s">
        <v>1191</v>
      </c>
      <c r="D502" s="68">
        <f>F462</f>
        <v>10</v>
      </c>
      <c r="E502" s="68" t="str">
        <f>G462</f>
        <v>Nos.</v>
      </c>
      <c r="F502" s="26" t="s">
        <v>1698</v>
      </c>
      <c r="G502" s="211">
        <f>G501+G500</f>
        <v>7934.1983333333328</v>
      </c>
    </row>
    <row r="503" spans="1:7">
      <c r="A503" s="823"/>
      <c r="B503" s="79" t="s">
        <v>1584</v>
      </c>
      <c r="C503" s="204" t="s">
        <v>4935</v>
      </c>
      <c r="D503" s="26" t="s">
        <v>5891</v>
      </c>
      <c r="F503" s="26" t="s">
        <v>4108</v>
      </c>
      <c r="G503" s="211">
        <f>ROUND(G502/D502,1)</f>
        <v>793.4</v>
      </c>
    </row>
    <row r="504" spans="1:7">
      <c r="A504" s="823"/>
    </row>
    <row r="505" spans="1:7">
      <c r="A505" s="823" t="s">
        <v>7539</v>
      </c>
      <c r="B505" s="79" t="s">
        <v>464</v>
      </c>
    </row>
    <row r="506" spans="1:7">
      <c r="A506" s="823"/>
    </row>
    <row r="507" spans="1:7" ht="18.75">
      <c r="A507" s="823" t="s">
        <v>7540</v>
      </c>
      <c r="B507" s="27" t="s">
        <v>8910</v>
      </c>
    </row>
    <row r="508" spans="1:7">
      <c r="A508" s="823"/>
      <c r="B508" s="27" t="s">
        <v>4836</v>
      </c>
    </row>
    <row r="509" spans="1:7">
      <c r="A509" s="823"/>
      <c r="B509" s="27" t="s">
        <v>1667</v>
      </c>
    </row>
    <row r="510" spans="1:7" ht="18.75">
      <c r="A510" s="823"/>
      <c r="B510" s="79" t="s">
        <v>8911</v>
      </c>
    </row>
    <row r="511" spans="1:7">
      <c r="A511" s="823"/>
    </row>
    <row r="512" spans="1:7" hidden="1">
      <c r="A512" s="823" t="s">
        <v>3984</v>
      </c>
      <c r="B512" s="27" t="s">
        <v>2500</v>
      </c>
    </row>
    <row r="513" spans="1:7" hidden="1">
      <c r="A513" s="823"/>
      <c r="B513" s="27" t="s">
        <v>4046</v>
      </c>
      <c r="E513" s="78" t="s">
        <v>1697</v>
      </c>
      <c r="F513" s="26">
        <v>8</v>
      </c>
      <c r="G513" s="26" t="s">
        <v>3033</v>
      </c>
    </row>
    <row r="514" spans="1:7" hidden="1">
      <c r="A514" s="823"/>
      <c r="B514" s="27" t="s">
        <v>4047</v>
      </c>
      <c r="E514" s="78" t="s">
        <v>1697</v>
      </c>
      <c r="F514" s="26">
        <v>5</v>
      </c>
      <c r="G514" s="26" t="s">
        <v>515</v>
      </c>
    </row>
    <row r="515" spans="1:7" hidden="1">
      <c r="A515" s="823"/>
      <c r="B515" s="27" t="s">
        <v>1668</v>
      </c>
      <c r="D515" s="322" t="s">
        <v>1697</v>
      </c>
      <c r="E515" s="26" t="s">
        <v>4308</v>
      </c>
    </row>
    <row r="516" spans="1:7" hidden="1">
      <c r="A516" s="823"/>
      <c r="B516" s="27" t="s">
        <v>4049</v>
      </c>
      <c r="D516" s="322" t="s">
        <v>1697</v>
      </c>
      <c r="E516" s="26" t="s">
        <v>6746</v>
      </c>
    </row>
    <row r="517" spans="1:7" hidden="1">
      <c r="A517" s="823"/>
      <c r="B517" s="27" t="s">
        <v>2514</v>
      </c>
      <c r="D517" s="322" t="s">
        <v>1697</v>
      </c>
      <c r="E517" s="26" t="s">
        <v>6746</v>
      </c>
    </row>
    <row r="518" spans="1:7" hidden="1">
      <c r="A518" s="823"/>
      <c r="B518" s="27" t="s">
        <v>2515</v>
      </c>
      <c r="D518" s="322" t="s">
        <v>1697</v>
      </c>
      <c r="E518" s="26" t="s">
        <v>4309</v>
      </c>
    </row>
    <row r="519" spans="1:7" hidden="1">
      <c r="A519" s="823"/>
    </row>
    <row r="520" spans="1:7">
      <c r="A520" s="823"/>
    </row>
    <row r="521" spans="1:7">
      <c r="A521" s="823" t="s">
        <v>3984</v>
      </c>
      <c r="C521" s="79" t="s">
        <v>2367</v>
      </c>
      <c r="E521" s="171" t="s">
        <v>297</v>
      </c>
      <c r="F521" s="246">
        <v>1000</v>
      </c>
      <c r="G521" s="26" t="s">
        <v>3478</v>
      </c>
    </row>
    <row r="522" spans="1:7">
      <c r="A522" s="823"/>
      <c r="B522" s="79" t="s">
        <v>2368</v>
      </c>
    </row>
    <row r="523" spans="1:7">
      <c r="A523" s="823"/>
      <c r="B523" s="153" t="s">
        <v>2369</v>
      </c>
      <c r="C523" s="131" t="s">
        <v>4443</v>
      </c>
      <c r="D523" s="95" t="s">
        <v>2370</v>
      </c>
      <c r="E523" s="95" t="s">
        <v>1166</v>
      </c>
      <c r="F523" s="95" t="s">
        <v>2371</v>
      </c>
      <c r="G523" s="95" t="s">
        <v>2372</v>
      </c>
    </row>
    <row r="524" spans="1:7">
      <c r="A524" s="823"/>
      <c r="B524" s="116"/>
      <c r="C524" s="139"/>
      <c r="D524" s="114"/>
      <c r="E524" s="114"/>
      <c r="F524" s="114" t="s">
        <v>3485</v>
      </c>
      <c r="G524" s="114" t="s">
        <v>3485</v>
      </c>
    </row>
    <row r="525" spans="1:7">
      <c r="A525" s="823"/>
      <c r="B525" s="153">
        <v>1</v>
      </c>
      <c r="C525" s="135" t="s">
        <v>6235</v>
      </c>
      <c r="D525" s="95" t="s">
        <v>3478</v>
      </c>
      <c r="E525" s="190">
        <v>1050</v>
      </c>
      <c r="F525" s="214">
        <f>'BASIC DATA'!$D$91/1000</f>
        <v>34</v>
      </c>
      <c r="G525" s="190">
        <f>E525*F525</f>
        <v>35700</v>
      </c>
    </row>
    <row r="526" spans="1:7">
      <c r="A526" s="823"/>
      <c r="B526" s="152">
        <v>2</v>
      </c>
      <c r="C526" s="135" t="s">
        <v>2637</v>
      </c>
      <c r="D526" s="105" t="s">
        <v>3478</v>
      </c>
      <c r="E526" s="190">
        <v>8</v>
      </c>
      <c r="F526" s="214">
        <f>'BASIC DATA'!$D$30</f>
        <v>60</v>
      </c>
      <c r="G526" s="190">
        <f>E526*F526</f>
        <v>480</v>
      </c>
    </row>
    <row r="527" spans="1:7">
      <c r="A527" s="823"/>
      <c r="B527" s="116">
        <v>3</v>
      </c>
      <c r="C527" s="135" t="s">
        <v>2638</v>
      </c>
      <c r="D527" s="105" t="s">
        <v>2173</v>
      </c>
      <c r="E527" s="190">
        <v>3</v>
      </c>
      <c r="F527" s="214">
        <f>'BASIC DATA'!$D$359</f>
        <v>30</v>
      </c>
      <c r="G527" s="190">
        <f>E527*F527</f>
        <v>90</v>
      </c>
    </row>
    <row r="528" spans="1:7">
      <c r="A528" s="823"/>
      <c r="B528" s="129"/>
      <c r="C528" s="151" t="s">
        <v>2376</v>
      </c>
      <c r="D528" s="159"/>
      <c r="E528" s="238"/>
      <c r="F528" s="236" t="s">
        <v>1698</v>
      </c>
      <c r="G528" s="318">
        <f>SUM(G525:G527)</f>
        <v>36270</v>
      </c>
    </row>
    <row r="529" spans="1:7">
      <c r="A529" s="823"/>
    </row>
    <row r="530" spans="1:7">
      <c r="A530" s="823"/>
      <c r="B530" s="79" t="s">
        <v>2377</v>
      </c>
    </row>
    <row r="531" spans="1:7">
      <c r="A531" s="823"/>
      <c r="B531" s="153" t="s">
        <v>2369</v>
      </c>
      <c r="C531" s="131" t="s">
        <v>2378</v>
      </c>
      <c r="D531" s="95" t="s">
        <v>2370</v>
      </c>
      <c r="E531" s="95" t="s">
        <v>1166</v>
      </c>
      <c r="F531" s="95" t="s">
        <v>2371</v>
      </c>
      <c r="G531" s="95" t="s">
        <v>2372</v>
      </c>
    </row>
    <row r="532" spans="1:7">
      <c r="A532" s="823"/>
      <c r="B532" s="116"/>
      <c r="C532" s="139"/>
      <c r="D532" s="114"/>
      <c r="E532" s="114"/>
      <c r="F532" s="114" t="s">
        <v>3485</v>
      </c>
      <c r="G532" s="114" t="s">
        <v>3485</v>
      </c>
    </row>
    <row r="533" spans="1:7">
      <c r="A533" s="823"/>
      <c r="B533" s="153">
        <v>1</v>
      </c>
      <c r="C533" s="135" t="s">
        <v>4168</v>
      </c>
      <c r="D533" s="95"/>
      <c r="E533" s="190">
        <v>0</v>
      </c>
      <c r="F533" s="190">
        <v>0</v>
      </c>
      <c r="G533" s="190">
        <f>E533*F533</f>
        <v>0</v>
      </c>
    </row>
    <row r="534" spans="1:7">
      <c r="A534" s="823"/>
      <c r="B534" s="152"/>
      <c r="C534" s="135"/>
      <c r="D534" s="105"/>
      <c r="E534" s="190">
        <v>0</v>
      </c>
      <c r="F534" s="190">
        <v>0</v>
      </c>
      <c r="G534" s="190">
        <f>E534*F534</f>
        <v>0</v>
      </c>
    </row>
    <row r="535" spans="1:7">
      <c r="A535" s="823"/>
      <c r="B535" s="139"/>
      <c r="C535" s="89" t="s">
        <v>2380</v>
      </c>
      <c r="D535" s="174"/>
      <c r="E535" s="192"/>
      <c r="F535" s="236" t="s">
        <v>1698</v>
      </c>
      <c r="G535" s="318">
        <f>SUM(G533:G534)</f>
        <v>0</v>
      </c>
    </row>
    <row r="536" spans="1:7">
      <c r="A536" s="823"/>
    </row>
    <row r="537" spans="1:7">
      <c r="A537" s="823"/>
      <c r="B537" s="79" t="s">
        <v>2381</v>
      </c>
    </row>
    <row r="538" spans="1:7">
      <c r="A538" s="823"/>
      <c r="B538" s="153" t="s">
        <v>2369</v>
      </c>
      <c r="C538" s="131" t="s">
        <v>2378</v>
      </c>
      <c r="D538" s="95" t="s">
        <v>2370</v>
      </c>
      <c r="E538" s="95" t="s">
        <v>1166</v>
      </c>
      <c r="F538" s="95" t="s">
        <v>2371</v>
      </c>
      <c r="G538" s="95" t="s">
        <v>2372</v>
      </c>
    </row>
    <row r="539" spans="1:7">
      <c r="A539" s="823"/>
      <c r="B539" s="116"/>
      <c r="C539" s="139"/>
      <c r="D539" s="114"/>
      <c r="E539" s="114"/>
      <c r="F539" s="114" t="s">
        <v>3485</v>
      </c>
      <c r="G539" s="114" t="s">
        <v>3485</v>
      </c>
    </row>
    <row r="540" spans="1:7">
      <c r="A540" s="823"/>
      <c r="B540" s="152">
        <v>1</v>
      </c>
      <c r="C540" s="76" t="s">
        <v>4206</v>
      </c>
      <c r="D540" s="105" t="s">
        <v>1172</v>
      </c>
      <c r="E540" s="207">
        <v>1</v>
      </c>
      <c r="F540" s="190">
        <f>'BASIC DATA'!$C$473</f>
        <v>450</v>
      </c>
      <c r="G540" s="190">
        <f>E540*F540</f>
        <v>450</v>
      </c>
    </row>
    <row r="541" spans="1:7">
      <c r="A541" s="823"/>
      <c r="B541" s="152">
        <v>2</v>
      </c>
      <c r="C541" s="76" t="s">
        <v>3836</v>
      </c>
      <c r="D541" s="105" t="s">
        <v>1172</v>
      </c>
      <c r="E541" s="207">
        <v>6</v>
      </c>
      <c r="F541" s="190">
        <f>'BASIC DATA'!$C$464</f>
        <v>555</v>
      </c>
      <c r="G541" s="190">
        <f>E541*F541</f>
        <v>3330</v>
      </c>
    </row>
    <row r="542" spans="1:7">
      <c r="A542" s="823"/>
      <c r="B542" s="152">
        <v>3</v>
      </c>
      <c r="C542" s="76" t="s">
        <v>2697</v>
      </c>
      <c r="D542" s="105" t="s">
        <v>1172</v>
      </c>
      <c r="E542" s="207">
        <v>11</v>
      </c>
      <c r="F542" s="190">
        <f>'BASIC DATA'!$C$552</f>
        <v>350</v>
      </c>
      <c r="G542" s="190">
        <f>E542*F542</f>
        <v>3850</v>
      </c>
    </row>
    <row r="543" spans="1:7">
      <c r="A543" s="823"/>
      <c r="B543" s="129"/>
      <c r="C543" s="151" t="s">
        <v>1174</v>
      </c>
      <c r="D543" s="159"/>
      <c r="E543" s="238"/>
      <c r="F543" s="236" t="s">
        <v>1698</v>
      </c>
      <c r="G543" s="318">
        <f>SUM(G540:G542)</f>
        <v>7630</v>
      </c>
    </row>
    <row r="544" spans="1:7">
      <c r="A544" s="823"/>
      <c r="B544" s="101" t="s">
        <v>5948</v>
      </c>
      <c r="C544" s="76"/>
      <c r="D544" s="31"/>
      <c r="E544" s="85">
        <f>ROUND(G543/F521,1)</f>
        <v>7.6</v>
      </c>
    </row>
    <row r="545" spans="1:7">
      <c r="A545" s="823"/>
      <c r="B545" s="101" t="s">
        <v>3163</v>
      </c>
      <c r="C545" s="76"/>
      <c r="D545" s="922">
        <f>'BASIC DATA'!$C$577</f>
        <v>0.13614999999999999</v>
      </c>
      <c r="E545" s="85">
        <f>ROUND(E544*D545,1)</f>
        <v>1</v>
      </c>
    </row>
    <row r="546" spans="1:7">
      <c r="A546" s="823"/>
      <c r="B546" s="101" t="s">
        <v>5949</v>
      </c>
      <c r="C546" s="76"/>
      <c r="D546" s="31"/>
      <c r="E546" s="199">
        <f>ROUND(E545+E544,1)</f>
        <v>8.6</v>
      </c>
      <c r="F546" s="57"/>
    </row>
    <row r="547" spans="1:7">
      <c r="A547" s="823"/>
    </row>
    <row r="548" spans="1:7">
      <c r="A548" s="823"/>
      <c r="B548" s="79" t="s">
        <v>1175</v>
      </c>
    </row>
    <row r="549" spans="1:7">
      <c r="A549" s="823"/>
      <c r="B549" s="27" t="s">
        <v>1176</v>
      </c>
      <c r="F549" s="171" t="s">
        <v>1698</v>
      </c>
      <c r="G549" s="68">
        <f>G528</f>
        <v>36270</v>
      </c>
    </row>
    <row r="550" spans="1:7">
      <c r="A550" s="823"/>
      <c r="B550" s="27" t="s">
        <v>1186</v>
      </c>
      <c r="F550" s="171" t="s">
        <v>1698</v>
      </c>
      <c r="G550" s="68">
        <f>G535</f>
        <v>0</v>
      </c>
    </row>
    <row r="551" spans="1:7">
      <c r="A551" s="823"/>
      <c r="B551" s="27" t="s">
        <v>2660</v>
      </c>
      <c r="F551" s="171" t="s">
        <v>1698</v>
      </c>
      <c r="G551" s="75">
        <f>G543</f>
        <v>7630</v>
      </c>
    </row>
    <row r="552" spans="1:7">
      <c r="A552" s="823"/>
      <c r="E552" s="171"/>
      <c r="F552" s="171" t="s">
        <v>302</v>
      </c>
      <c r="G552" s="205">
        <f>SUM(G549:G551)</f>
        <v>43900</v>
      </c>
    </row>
    <row r="553" spans="1:7">
      <c r="A553" s="823"/>
      <c r="B553" s="1206" t="s">
        <v>1379</v>
      </c>
      <c r="C553" s="1206"/>
      <c r="E553" s="922">
        <f>'BASIC DATA'!$C$577</f>
        <v>0.13614999999999999</v>
      </c>
      <c r="F553" s="26" t="s">
        <v>1698</v>
      </c>
      <c r="G553" s="26">
        <f>ROUND(G552*E553,2)</f>
        <v>5976.99</v>
      </c>
    </row>
    <row r="554" spans="1:7">
      <c r="A554" s="823"/>
      <c r="B554" s="27" t="s">
        <v>1191</v>
      </c>
      <c r="D554" s="68">
        <f>F521</f>
        <v>1000</v>
      </c>
      <c r="E554" s="68" t="str">
        <f>G521</f>
        <v>kg</v>
      </c>
      <c r="F554" s="26" t="s">
        <v>1698</v>
      </c>
      <c r="G554" s="170">
        <f>G553+G552</f>
        <v>49876.99</v>
      </c>
    </row>
    <row r="555" spans="1:7">
      <c r="A555" s="823"/>
      <c r="B555" s="79" t="s">
        <v>1584</v>
      </c>
      <c r="C555" s="204" t="str">
        <f>E554</f>
        <v>kg</v>
      </c>
      <c r="D555" s="26" t="s">
        <v>5886</v>
      </c>
      <c r="F555" s="26" t="s">
        <v>4108</v>
      </c>
      <c r="G555" s="211">
        <f>ROUND(G554/D554,1)</f>
        <v>49.9</v>
      </c>
    </row>
    <row r="556" spans="1:7"/>
    <row r="557" spans="1:7"/>
    <row r="558" spans="1:7" ht="18.75">
      <c r="A558" s="823" t="s">
        <v>7541</v>
      </c>
      <c r="B558" s="26" t="s">
        <v>8912</v>
      </c>
      <c r="C558" s="26"/>
    </row>
    <row r="559" spans="1:7">
      <c r="A559" s="823"/>
      <c r="B559" s="26" t="s">
        <v>6353</v>
      </c>
      <c r="C559" s="26"/>
    </row>
    <row r="560" spans="1:7">
      <c r="A560" s="823"/>
      <c r="B560" s="26" t="s">
        <v>6354</v>
      </c>
      <c r="C560" s="26"/>
    </row>
    <row r="561" spans="1:6">
      <c r="A561" s="823"/>
      <c r="B561" s="26" t="s">
        <v>8913</v>
      </c>
      <c r="C561" s="26"/>
    </row>
    <row r="562" spans="1:6">
      <c r="A562" s="823"/>
      <c r="B562" s="26"/>
      <c r="C562" s="26"/>
    </row>
    <row r="563" spans="1:6" hidden="1">
      <c r="A563" s="823" t="s">
        <v>3984</v>
      </c>
      <c r="B563" s="26" t="s">
        <v>1669</v>
      </c>
      <c r="C563" s="26"/>
    </row>
    <row r="564" spans="1:6"/>
    <row r="565" spans="1:6"/>
    <row r="566" spans="1:6"/>
    <row r="567" spans="1:6"/>
    <row r="568" spans="1:6"/>
    <row r="569" spans="1:6"/>
    <row r="570" spans="1:6"/>
    <row r="571" spans="1:6"/>
    <row r="572" spans="1:6">
      <c r="A572" s="823"/>
      <c r="B572" s="78"/>
      <c r="C572" s="26" t="s">
        <v>1670</v>
      </c>
    </row>
    <row r="573" spans="1:6">
      <c r="A573" s="823"/>
      <c r="B573" s="78"/>
      <c r="C573" s="26"/>
    </row>
    <row r="574" spans="1:6">
      <c r="A574" s="823"/>
      <c r="B574" s="78"/>
      <c r="C574" s="26"/>
    </row>
    <row r="575" spans="1:6">
      <c r="A575" s="823"/>
      <c r="B575" s="78"/>
      <c r="C575" s="26"/>
    </row>
    <row r="576" spans="1:6" hidden="1">
      <c r="A576" s="823"/>
      <c r="B576" s="26" t="s">
        <v>5781</v>
      </c>
      <c r="C576" s="26"/>
      <c r="D576" s="78" t="s">
        <v>1697</v>
      </c>
      <c r="E576" s="171" t="s">
        <v>3759</v>
      </c>
      <c r="F576" s="26" t="s">
        <v>2602</v>
      </c>
    </row>
    <row r="577" spans="1:7" hidden="1">
      <c r="A577" s="823"/>
      <c r="B577" s="26" t="s">
        <v>5782</v>
      </c>
      <c r="C577" s="26"/>
      <c r="D577" s="78" t="s">
        <v>1697</v>
      </c>
      <c r="E577" s="171" t="s">
        <v>3759</v>
      </c>
      <c r="F577" s="26" t="s">
        <v>2602</v>
      </c>
    </row>
    <row r="578" spans="1:7" hidden="1">
      <c r="A578" s="823"/>
      <c r="B578" s="26" t="s">
        <v>5783</v>
      </c>
      <c r="C578" s="26"/>
      <c r="D578" s="78" t="s">
        <v>1697</v>
      </c>
      <c r="E578" s="217">
        <v>216.1</v>
      </c>
      <c r="F578" s="26" t="s">
        <v>3478</v>
      </c>
    </row>
    <row r="579" spans="1:7" hidden="1">
      <c r="A579" s="823"/>
      <c r="B579" s="26" t="s">
        <v>7608</v>
      </c>
      <c r="C579" s="26"/>
      <c r="D579" s="78" t="s">
        <v>1697</v>
      </c>
      <c r="E579" s="217">
        <v>342.3</v>
      </c>
      <c r="F579" s="26" t="s">
        <v>3478</v>
      </c>
    </row>
    <row r="580" spans="1:7" hidden="1">
      <c r="A580" s="823"/>
      <c r="B580" s="26" t="s">
        <v>7609</v>
      </c>
      <c r="C580" s="26"/>
      <c r="D580" s="78" t="s">
        <v>1123</v>
      </c>
      <c r="E580" s="217">
        <v>56.6</v>
      </c>
      <c r="F580" s="26" t="s">
        <v>3478</v>
      </c>
    </row>
    <row r="581" spans="1:7" hidden="1">
      <c r="A581" s="823"/>
      <c r="B581" s="26" t="s">
        <v>5349</v>
      </c>
      <c r="C581" s="171" t="s">
        <v>1518</v>
      </c>
      <c r="D581" s="78" t="s">
        <v>1697</v>
      </c>
      <c r="E581" s="217">
        <f>SUM(E578:E580)</f>
        <v>615</v>
      </c>
      <c r="F581" s="26" t="s">
        <v>3478</v>
      </c>
    </row>
    <row r="582" spans="1:7" hidden="1">
      <c r="A582" s="823"/>
      <c r="B582" s="26" t="s">
        <v>5350</v>
      </c>
      <c r="C582" s="26"/>
      <c r="D582" s="78" t="s">
        <v>1697</v>
      </c>
      <c r="E582" s="171">
        <v>30</v>
      </c>
      <c r="F582" s="26" t="s">
        <v>2602</v>
      </c>
    </row>
    <row r="583" spans="1:7" hidden="1">
      <c r="A583" s="823"/>
      <c r="B583" s="26"/>
      <c r="C583" s="26"/>
      <c r="D583" s="78" t="s">
        <v>1697</v>
      </c>
      <c r="E583" s="171">
        <v>300</v>
      </c>
      <c r="F583" s="26" t="s">
        <v>4041</v>
      </c>
    </row>
    <row r="584" spans="1:7">
      <c r="A584" s="823"/>
      <c r="B584" s="78"/>
      <c r="C584" s="26"/>
    </row>
    <row r="585" spans="1:7">
      <c r="A585" s="823" t="s">
        <v>3984</v>
      </c>
      <c r="B585" s="78"/>
      <c r="C585" s="203" t="s">
        <v>2367</v>
      </c>
      <c r="E585" s="171" t="s">
        <v>297</v>
      </c>
      <c r="F585" s="246">
        <v>615</v>
      </c>
      <c r="G585" s="26" t="s">
        <v>3478</v>
      </c>
    </row>
    <row r="586" spans="1:7">
      <c r="A586" s="823"/>
      <c r="B586" s="79" t="s">
        <v>2368</v>
      </c>
      <c r="C586" s="26"/>
    </row>
    <row r="587" spans="1:7">
      <c r="A587" s="823"/>
      <c r="B587" s="95" t="s">
        <v>2369</v>
      </c>
      <c r="C587" s="157" t="s">
        <v>4443</v>
      </c>
      <c r="D587" s="95" t="s">
        <v>2370</v>
      </c>
      <c r="E587" s="95" t="s">
        <v>1166</v>
      </c>
      <c r="F587" s="95" t="s">
        <v>2371</v>
      </c>
      <c r="G587" s="95" t="s">
        <v>2372</v>
      </c>
    </row>
    <row r="588" spans="1:7">
      <c r="A588" s="823"/>
      <c r="B588" s="114"/>
      <c r="C588" s="154"/>
      <c r="D588" s="114"/>
      <c r="E588" s="114"/>
      <c r="F588" s="114" t="s">
        <v>3485</v>
      </c>
      <c r="G588" s="114" t="s">
        <v>3485</v>
      </c>
    </row>
    <row r="589" spans="1:7">
      <c r="A589" s="823"/>
      <c r="B589" s="95">
        <v>1</v>
      </c>
      <c r="C589" s="135" t="s">
        <v>6812</v>
      </c>
      <c r="D589" s="95" t="s">
        <v>3478</v>
      </c>
      <c r="E589" s="190">
        <v>216.1</v>
      </c>
      <c r="F589" s="214">
        <f>'BASIC DATA'!$D$97/1000</f>
        <v>37.5</v>
      </c>
      <c r="G589" s="190">
        <f>E589*F589</f>
        <v>8103.75</v>
      </c>
    </row>
    <row r="590" spans="1:7">
      <c r="A590" s="823"/>
      <c r="B590" s="105">
        <v>2</v>
      </c>
      <c r="C590" s="135" t="s">
        <v>6813</v>
      </c>
      <c r="D590" s="105" t="s">
        <v>3478</v>
      </c>
      <c r="E590" s="190">
        <v>342.3</v>
      </c>
      <c r="F590" s="214">
        <f>'BASIC DATA'!$D$98/1000</f>
        <v>37.4</v>
      </c>
      <c r="G590" s="190">
        <f t="shared" ref="G590:G595" si="4">E590*F590</f>
        <v>12802.02</v>
      </c>
    </row>
    <row r="591" spans="1:7">
      <c r="A591" s="823"/>
      <c r="B591" s="105">
        <v>3</v>
      </c>
      <c r="C591" s="135" t="s">
        <v>6814</v>
      </c>
      <c r="D591" s="105" t="s">
        <v>3478</v>
      </c>
      <c r="E591" s="190">
        <v>56.6</v>
      </c>
      <c r="F591" s="214">
        <f>'BASIC DATA'!$D$91/1000</f>
        <v>34</v>
      </c>
      <c r="G591" s="190">
        <f t="shared" si="4"/>
        <v>1924.4</v>
      </c>
    </row>
    <row r="592" spans="1:7">
      <c r="A592" s="823"/>
      <c r="B592" s="105">
        <v>4</v>
      </c>
      <c r="C592" s="135" t="s">
        <v>6815</v>
      </c>
      <c r="D592" s="105" t="s">
        <v>3477</v>
      </c>
      <c r="E592" s="190">
        <v>0.5</v>
      </c>
      <c r="F592" s="214">
        <f>'BASIC DATA'!$D$28</f>
        <v>335</v>
      </c>
      <c r="G592" s="190">
        <f t="shared" si="4"/>
        <v>167.5</v>
      </c>
    </row>
    <row r="593" spans="1:7">
      <c r="A593" s="823"/>
      <c r="B593" s="105">
        <v>5</v>
      </c>
      <c r="C593" s="135" t="s">
        <v>958</v>
      </c>
      <c r="D593" s="105" t="s">
        <v>3477</v>
      </c>
      <c r="E593" s="190">
        <v>1.5</v>
      </c>
      <c r="F593" s="214">
        <f>'BASIC DATA'!$D$87</f>
        <v>42</v>
      </c>
      <c r="G593" s="190">
        <f t="shared" si="4"/>
        <v>63</v>
      </c>
    </row>
    <row r="594" spans="1:7">
      <c r="A594" s="823"/>
      <c r="B594" s="105">
        <v>6</v>
      </c>
      <c r="C594" s="135" t="s">
        <v>6816</v>
      </c>
      <c r="D594" s="105" t="s">
        <v>2059</v>
      </c>
      <c r="E594" s="190">
        <v>300</v>
      </c>
      <c r="F594" s="214">
        <f>'BASIC DATA'!$D$110</f>
        <v>13</v>
      </c>
      <c r="G594" s="190">
        <f t="shared" si="4"/>
        <v>3900</v>
      </c>
    </row>
    <row r="595" spans="1:7">
      <c r="A595" s="823"/>
      <c r="B595" s="114">
        <v>7</v>
      </c>
      <c r="C595" s="135" t="s">
        <v>2373</v>
      </c>
      <c r="D595" s="105" t="s">
        <v>2173</v>
      </c>
      <c r="E595" s="190">
        <v>5</v>
      </c>
      <c r="F595" s="214">
        <f>'BASIC DATA'!$D$359</f>
        <v>30</v>
      </c>
      <c r="G595" s="190">
        <f t="shared" si="4"/>
        <v>150</v>
      </c>
    </row>
    <row r="596" spans="1:7">
      <c r="A596" s="823"/>
      <c r="B596" s="92"/>
      <c r="C596" s="193" t="s">
        <v>2376</v>
      </c>
      <c r="D596" s="159"/>
      <c r="E596" s="238"/>
      <c r="F596" s="236" t="s">
        <v>1698</v>
      </c>
      <c r="G596" s="318">
        <f>SUM(G589:G595)</f>
        <v>27110.670000000002</v>
      </c>
    </row>
    <row r="597" spans="1:7">
      <c r="A597" s="823"/>
      <c r="B597" s="78"/>
      <c r="C597" s="26"/>
    </row>
    <row r="598" spans="1:7">
      <c r="A598" s="823"/>
      <c r="B598" s="79" t="s">
        <v>2377</v>
      </c>
      <c r="C598" s="26"/>
    </row>
    <row r="599" spans="1:7">
      <c r="A599" s="823"/>
      <c r="B599" s="95" t="s">
        <v>2369</v>
      </c>
      <c r="C599" s="157" t="s">
        <v>2378</v>
      </c>
      <c r="D599" s="95" t="s">
        <v>2370</v>
      </c>
      <c r="E599" s="95" t="s">
        <v>1166</v>
      </c>
      <c r="F599" s="95" t="s">
        <v>2371</v>
      </c>
      <c r="G599" s="95" t="s">
        <v>2372</v>
      </c>
    </row>
    <row r="600" spans="1:7">
      <c r="A600" s="823"/>
      <c r="B600" s="114"/>
      <c r="C600" s="154"/>
      <c r="D600" s="114"/>
      <c r="E600" s="114"/>
      <c r="F600" s="114" t="s">
        <v>3485</v>
      </c>
      <c r="G600" s="114" t="s">
        <v>3485</v>
      </c>
    </row>
    <row r="601" spans="1:7">
      <c r="A601" s="823"/>
      <c r="B601" s="95">
        <v>1</v>
      </c>
      <c r="C601" s="135" t="s">
        <v>6911</v>
      </c>
      <c r="D601" s="95" t="s">
        <v>2374</v>
      </c>
      <c r="E601" s="190">
        <v>8</v>
      </c>
      <c r="F601" s="190">
        <f>'HIRE CHARGES'!$D$503</f>
        <v>42.6</v>
      </c>
      <c r="G601" s="190">
        <f>E601*F601</f>
        <v>340.8</v>
      </c>
    </row>
    <row r="602" spans="1:7">
      <c r="A602" s="823"/>
      <c r="B602" s="317"/>
      <c r="C602" s="135" t="s">
        <v>2379</v>
      </c>
      <c r="D602" s="105" t="s">
        <v>2374</v>
      </c>
      <c r="E602" s="190">
        <v>8</v>
      </c>
      <c r="F602" s="190">
        <f>'HIRE CHARGES'!$E$503</f>
        <v>84.1</v>
      </c>
      <c r="G602" s="190">
        <f>E602*F602</f>
        <v>672.8</v>
      </c>
    </row>
    <row r="603" spans="1:7">
      <c r="A603" s="823"/>
      <c r="B603" s="105">
        <v>2</v>
      </c>
      <c r="C603" s="135" t="s">
        <v>1338</v>
      </c>
      <c r="D603" s="105" t="s">
        <v>2374</v>
      </c>
      <c r="E603" s="190">
        <v>30</v>
      </c>
      <c r="F603" s="190">
        <f>'HIRE CHARGES'!$D$556</f>
        <v>16</v>
      </c>
      <c r="G603" s="190">
        <f>E603*F603</f>
        <v>480</v>
      </c>
    </row>
    <row r="604" spans="1:7">
      <c r="A604" s="823"/>
      <c r="B604" s="317"/>
      <c r="C604" s="135" t="s">
        <v>2379</v>
      </c>
      <c r="D604" s="105" t="s">
        <v>2374</v>
      </c>
      <c r="E604" s="190">
        <v>30</v>
      </c>
      <c r="F604" s="190">
        <f>'HIRE CHARGES'!$E$556</f>
        <v>67.2</v>
      </c>
      <c r="G604" s="190">
        <f>E604*F604</f>
        <v>2016</v>
      </c>
    </row>
    <row r="605" spans="1:7">
      <c r="A605" s="823"/>
      <c r="B605" s="105">
        <v>3</v>
      </c>
      <c r="C605" s="135" t="s">
        <v>2373</v>
      </c>
      <c r="D605" s="105" t="s">
        <v>2173</v>
      </c>
      <c r="E605" s="190">
        <v>10</v>
      </c>
      <c r="F605" s="214">
        <f>'BASIC DATA'!$D$359</f>
        <v>30</v>
      </c>
      <c r="G605" s="190">
        <f>E605*F605</f>
        <v>300</v>
      </c>
    </row>
    <row r="606" spans="1:7">
      <c r="A606" s="823"/>
      <c r="B606" s="176"/>
      <c r="C606" s="172" t="s">
        <v>2380</v>
      </c>
      <c r="D606" s="174"/>
      <c r="E606" s="192"/>
      <c r="F606" s="236" t="s">
        <v>1698</v>
      </c>
      <c r="G606" s="318">
        <f>SUM(G601:G605)</f>
        <v>3809.6</v>
      </c>
    </row>
    <row r="607" spans="1:7">
      <c r="A607" s="823"/>
      <c r="B607" s="78"/>
      <c r="C607" s="26"/>
    </row>
    <row r="608" spans="1:7">
      <c r="A608" s="823"/>
      <c r="B608" s="79" t="s">
        <v>2381</v>
      </c>
      <c r="C608" s="26"/>
    </row>
    <row r="609" spans="1:7">
      <c r="A609" s="823"/>
      <c r="B609" s="95" t="s">
        <v>2369</v>
      </c>
      <c r="C609" s="157" t="s">
        <v>2378</v>
      </c>
      <c r="D609" s="95" t="s">
        <v>2370</v>
      </c>
      <c r="E609" s="95" t="s">
        <v>1166</v>
      </c>
      <c r="F609" s="95" t="s">
        <v>2371</v>
      </c>
      <c r="G609" s="95" t="s">
        <v>2372</v>
      </c>
    </row>
    <row r="610" spans="1:7">
      <c r="A610" s="823"/>
      <c r="B610" s="114"/>
      <c r="C610" s="154"/>
      <c r="D610" s="114"/>
      <c r="E610" s="114"/>
      <c r="F610" s="114" t="s">
        <v>3485</v>
      </c>
      <c r="G610" s="114" t="s">
        <v>3485</v>
      </c>
    </row>
    <row r="611" spans="1:7">
      <c r="A611" s="823"/>
      <c r="B611" s="105">
        <v>1</v>
      </c>
      <c r="C611" s="76" t="s">
        <v>6817</v>
      </c>
      <c r="D611" s="105" t="s">
        <v>1172</v>
      </c>
      <c r="E611" s="207">
        <v>2</v>
      </c>
      <c r="F611" s="190">
        <f>'BASIC DATA'!$C$503</f>
        <v>550</v>
      </c>
      <c r="G611" s="190">
        <f>E611*F611</f>
        <v>1100</v>
      </c>
    </row>
    <row r="612" spans="1:7">
      <c r="A612" s="823"/>
      <c r="B612" s="105">
        <v>2</v>
      </c>
      <c r="C612" s="76" t="s">
        <v>5129</v>
      </c>
      <c r="D612" s="105" t="s">
        <v>1172</v>
      </c>
      <c r="E612" s="207">
        <v>5</v>
      </c>
      <c r="F612" s="190">
        <f>'BASIC DATA'!$C$504</f>
        <v>445</v>
      </c>
      <c r="G612" s="190">
        <f>E612*F612</f>
        <v>2225</v>
      </c>
    </row>
    <row r="613" spans="1:7">
      <c r="A613" s="823"/>
      <c r="B613" s="105">
        <v>3</v>
      </c>
      <c r="C613" s="76" t="s">
        <v>4206</v>
      </c>
      <c r="D613" s="105" t="s">
        <v>1172</v>
      </c>
      <c r="E613" s="207">
        <v>1</v>
      </c>
      <c r="F613" s="190">
        <f>'BASIC DATA'!$C$473</f>
        <v>450</v>
      </c>
      <c r="G613" s="190">
        <f>E613*F613</f>
        <v>450</v>
      </c>
    </row>
    <row r="614" spans="1:7">
      <c r="A614" s="823"/>
      <c r="B614" s="105">
        <v>4</v>
      </c>
      <c r="C614" s="76" t="s">
        <v>2697</v>
      </c>
      <c r="D614" s="105" t="s">
        <v>1172</v>
      </c>
      <c r="E614" s="207">
        <v>5</v>
      </c>
      <c r="F614" s="190">
        <f>'BASIC DATA'!$C$552</f>
        <v>350</v>
      </c>
      <c r="G614" s="190">
        <f>E614*F614</f>
        <v>1750</v>
      </c>
    </row>
    <row r="615" spans="1:7">
      <c r="A615" s="823"/>
      <c r="B615" s="92"/>
      <c r="C615" s="193" t="s">
        <v>1174</v>
      </c>
      <c r="D615" s="159"/>
      <c r="E615" s="238"/>
      <c r="F615" s="236" t="s">
        <v>1698</v>
      </c>
      <c r="G615" s="318">
        <f>SUM(G611:G614)</f>
        <v>5525</v>
      </c>
    </row>
    <row r="616" spans="1:7">
      <c r="A616" s="823"/>
      <c r="B616" s="60" t="s">
        <v>5948</v>
      </c>
      <c r="C616" s="31"/>
      <c r="D616" s="31"/>
      <c r="E616" s="85">
        <f>ROUND(G615/F585,1)</f>
        <v>9</v>
      </c>
    </row>
    <row r="617" spans="1:7">
      <c r="A617" s="823"/>
      <c r="B617" s="60" t="s">
        <v>3163</v>
      </c>
      <c r="C617" s="31"/>
      <c r="D617" s="922">
        <f>'BASIC DATA'!$C$577</f>
        <v>0.13614999999999999</v>
      </c>
      <c r="E617" s="85">
        <f>ROUND(E616*D617,1)</f>
        <v>1.2</v>
      </c>
    </row>
    <row r="618" spans="1:7">
      <c r="A618" s="823"/>
      <c r="B618" s="60" t="s">
        <v>5949</v>
      </c>
      <c r="C618" s="31"/>
      <c r="D618" s="31"/>
      <c r="E618" s="199">
        <f>ROUND(E617+E616,1)</f>
        <v>10.199999999999999</v>
      </c>
      <c r="F618" s="57"/>
    </row>
    <row r="619" spans="1:7">
      <c r="A619" s="823"/>
      <c r="B619" s="78"/>
      <c r="C619" s="26"/>
    </row>
    <row r="620" spans="1:7">
      <c r="A620" s="823"/>
      <c r="B620" s="170" t="s">
        <v>1175</v>
      </c>
      <c r="C620" s="26"/>
    </row>
    <row r="621" spans="1:7">
      <c r="A621" s="823"/>
      <c r="B621" s="26" t="s">
        <v>1176</v>
      </c>
      <c r="C621" s="26"/>
      <c r="F621" s="171" t="s">
        <v>1698</v>
      </c>
      <c r="G621" s="68">
        <f>G596</f>
        <v>27110.670000000002</v>
      </c>
    </row>
    <row r="622" spans="1:7">
      <c r="A622" s="823"/>
      <c r="B622" s="26" t="s">
        <v>1186</v>
      </c>
      <c r="C622" s="26"/>
      <c r="F622" s="171" t="s">
        <v>1698</v>
      </c>
      <c r="G622" s="68">
        <f>G606</f>
        <v>3809.6</v>
      </c>
    </row>
    <row r="623" spans="1:7">
      <c r="A623" s="823"/>
      <c r="B623" s="26" t="s">
        <v>2660</v>
      </c>
      <c r="C623" s="26"/>
      <c r="F623" s="171" t="s">
        <v>1698</v>
      </c>
      <c r="G623" s="75">
        <f>G615</f>
        <v>5525</v>
      </c>
    </row>
    <row r="624" spans="1:7">
      <c r="A624" s="823"/>
      <c r="B624" s="78"/>
      <c r="C624" s="26"/>
      <c r="E624" s="171"/>
      <c r="F624" s="171" t="s">
        <v>302</v>
      </c>
      <c r="G624" s="205">
        <f>SUM(G621:G623)</f>
        <v>36445.270000000004</v>
      </c>
    </row>
    <row r="625" spans="1:7">
      <c r="A625" s="823"/>
      <c r="B625" s="1206" t="s">
        <v>1379</v>
      </c>
      <c r="C625" s="1206"/>
      <c r="E625" s="922">
        <f>'BASIC DATA'!$C$577</f>
        <v>0.13614999999999999</v>
      </c>
      <c r="F625" s="26" t="s">
        <v>1698</v>
      </c>
      <c r="G625" s="26">
        <f>ROUND(G624*E625,2)</f>
        <v>4962.0200000000004</v>
      </c>
    </row>
    <row r="626" spans="1:7">
      <c r="A626" s="823"/>
      <c r="B626" s="26" t="s">
        <v>1191</v>
      </c>
      <c r="C626" s="26"/>
      <c r="D626" s="68">
        <f>F585</f>
        <v>615</v>
      </c>
      <c r="E626" s="68" t="str">
        <f>G585</f>
        <v>kg</v>
      </c>
      <c r="F626" s="26" t="s">
        <v>1698</v>
      </c>
      <c r="G626" s="170">
        <f>G625+G624</f>
        <v>41407.290000000008</v>
      </c>
    </row>
    <row r="627" spans="1:7">
      <c r="A627" s="823"/>
      <c r="B627" s="170" t="s">
        <v>1584</v>
      </c>
      <c r="C627" s="211" t="str">
        <f>E626</f>
        <v>kg</v>
      </c>
      <c r="D627" s="26" t="s">
        <v>5899</v>
      </c>
      <c r="F627" s="26" t="s">
        <v>4108</v>
      </c>
      <c r="G627" s="211">
        <f>ROUND(G626/D626,1)</f>
        <v>67.3</v>
      </c>
    </row>
    <row r="628" spans="1:7">
      <c r="A628" s="823"/>
      <c r="B628" s="26"/>
      <c r="C628" s="26"/>
    </row>
    <row r="629" spans="1:7">
      <c r="A629" s="823"/>
      <c r="B629" s="26"/>
      <c r="C629" s="26"/>
    </row>
    <row r="630" spans="1:7" ht="18.75">
      <c r="A630" s="865" t="s">
        <v>7542</v>
      </c>
      <c r="B630" s="26" t="s">
        <v>8793</v>
      </c>
      <c r="C630" s="26"/>
    </row>
    <row r="631" spans="1:7" ht="18.75">
      <c r="A631" s="865"/>
      <c r="B631" s="26" t="s">
        <v>8914</v>
      </c>
      <c r="C631" s="26"/>
    </row>
    <row r="632" spans="1:7">
      <c r="A632" s="865"/>
      <c r="B632" s="26" t="s">
        <v>7997</v>
      </c>
      <c r="C632" s="26"/>
    </row>
    <row r="633" spans="1:7">
      <c r="A633" s="865"/>
      <c r="B633" s="26" t="s">
        <v>6</v>
      </c>
      <c r="C633" s="26"/>
    </row>
    <row r="634" spans="1:7" ht="18.75">
      <c r="A634" s="865"/>
      <c r="B634" s="170" t="s">
        <v>8915</v>
      </c>
      <c r="C634" s="26"/>
    </row>
    <row r="635" spans="1:7">
      <c r="A635" s="865"/>
      <c r="B635" s="170" t="s">
        <v>7798</v>
      </c>
      <c r="C635" s="26"/>
    </row>
    <row r="636" spans="1:7">
      <c r="A636" s="855"/>
      <c r="B636" s="248" t="s">
        <v>4521</v>
      </c>
      <c r="C636" s="61"/>
      <c r="D636" s="61"/>
      <c r="E636" s="61"/>
      <c r="F636" s="61"/>
      <c r="G636" s="61"/>
    </row>
    <row r="637" spans="1:7">
      <c r="A637" s="865"/>
      <c r="B637" s="26"/>
      <c r="C637" s="26"/>
    </row>
    <row r="638" spans="1:7" hidden="1">
      <c r="A638" s="865"/>
      <c r="B638" s="26" t="s">
        <v>5004</v>
      </c>
      <c r="C638" s="26"/>
      <c r="G638" s="26" t="s">
        <v>5005</v>
      </c>
    </row>
    <row r="639" spans="1:7" hidden="1">
      <c r="A639" s="865"/>
      <c r="B639" s="26" t="s">
        <v>5841</v>
      </c>
      <c r="C639" s="26"/>
    </row>
    <row r="640" spans="1:7" hidden="1">
      <c r="A640" s="865"/>
      <c r="B640" s="26" t="s">
        <v>5009</v>
      </c>
      <c r="C640" s="26"/>
      <c r="E640" s="78" t="s">
        <v>6647</v>
      </c>
      <c r="F640" s="68">
        <v>1.2</v>
      </c>
      <c r="G640" s="26" t="s">
        <v>3479</v>
      </c>
    </row>
    <row r="641" spans="1:7" hidden="1">
      <c r="A641" s="865"/>
      <c r="B641" s="26" t="s">
        <v>5867</v>
      </c>
      <c r="C641" s="26"/>
      <c r="E641" s="78" t="s">
        <v>1697</v>
      </c>
      <c r="F641" s="26">
        <v>33.909999999999997</v>
      </c>
      <c r="G641" s="26" t="s">
        <v>3478</v>
      </c>
    </row>
    <row r="642" spans="1:7" hidden="1">
      <c r="A642" s="865"/>
      <c r="B642" s="26" t="s">
        <v>4104</v>
      </c>
      <c r="C642" s="26"/>
      <c r="E642" s="78" t="s">
        <v>1697</v>
      </c>
      <c r="F642" s="26">
        <v>25.08</v>
      </c>
      <c r="G642" s="26" t="s">
        <v>3478</v>
      </c>
    </row>
    <row r="643" spans="1:7" hidden="1">
      <c r="A643" s="865"/>
      <c r="B643" s="26" t="s">
        <v>4105</v>
      </c>
      <c r="C643" s="26"/>
      <c r="E643" s="78" t="s">
        <v>1697</v>
      </c>
      <c r="F643" s="26">
        <v>4.2300000000000004</v>
      </c>
      <c r="G643" s="26" t="s">
        <v>3478</v>
      </c>
    </row>
    <row r="644" spans="1:7" hidden="1">
      <c r="A644" s="865"/>
      <c r="B644" s="26" t="s">
        <v>2065</v>
      </c>
      <c r="C644" s="26"/>
      <c r="E644" s="78" t="s">
        <v>1697</v>
      </c>
      <c r="F644" s="26">
        <v>18.170000000000002</v>
      </c>
      <c r="G644" s="26" t="s">
        <v>3478</v>
      </c>
    </row>
    <row r="645" spans="1:7" hidden="1">
      <c r="A645" s="865"/>
      <c r="B645" s="26" t="s">
        <v>2066</v>
      </c>
      <c r="C645" s="26"/>
      <c r="E645" s="78" t="s">
        <v>1697</v>
      </c>
      <c r="F645" s="26">
        <v>1.41</v>
      </c>
      <c r="G645" s="26" t="s">
        <v>3478</v>
      </c>
    </row>
    <row r="646" spans="1:7" hidden="1">
      <c r="A646" s="865"/>
      <c r="B646" s="26"/>
      <c r="C646" s="26"/>
    </row>
    <row r="647" spans="1:7" hidden="1">
      <c r="A647" s="865"/>
      <c r="B647" s="26" t="s">
        <v>2345</v>
      </c>
      <c r="C647" s="26"/>
      <c r="D647" s="117">
        <f>'BASIC DATA'!$D$98/1000</f>
        <v>37.4</v>
      </c>
      <c r="E647" s="26" t="s">
        <v>1513</v>
      </c>
      <c r="F647" s="171" t="s">
        <v>1698</v>
      </c>
      <c r="G647" s="68">
        <f>D647*33.91</f>
        <v>1268.2339999999999</v>
      </c>
    </row>
    <row r="648" spans="1:7" hidden="1">
      <c r="A648" s="865"/>
      <c r="B648" s="26" t="s">
        <v>3229</v>
      </c>
      <c r="C648" s="26"/>
      <c r="D648" s="117">
        <f>'BASIC DATA'!$D$97/1000</f>
        <v>37.5</v>
      </c>
      <c r="E648" s="26" t="s">
        <v>1513</v>
      </c>
      <c r="F648" s="171" t="s">
        <v>1698</v>
      </c>
      <c r="G648" s="68">
        <f>D648*25.08</f>
        <v>940.49999999999989</v>
      </c>
    </row>
    <row r="649" spans="1:7" hidden="1">
      <c r="A649" s="865"/>
      <c r="B649" s="26" t="s">
        <v>4070</v>
      </c>
      <c r="C649" s="26"/>
      <c r="D649" s="117">
        <f>'BASIC DATA'!$D$97/1000</f>
        <v>37.5</v>
      </c>
      <c r="E649" s="26" t="s">
        <v>1513</v>
      </c>
      <c r="F649" s="171" t="s">
        <v>1698</v>
      </c>
      <c r="G649" s="68">
        <f>D649*4.23</f>
        <v>158.62500000000003</v>
      </c>
    </row>
    <row r="650" spans="1:7" hidden="1">
      <c r="A650" s="865"/>
      <c r="B650" s="26" t="s">
        <v>1524</v>
      </c>
      <c r="C650" s="26"/>
      <c r="D650" s="117">
        <f>'BASIC DATA'!$D$97/1000</f>
        <v>37.5</v>
      </c>
      <c r="E650" s="26" t="s">
        <v>1513</v>
      </c>
      <c r="F650" s="171" t="s">
        <v>1698</v>
      </c>
      <c r="G650" s="68">
        <f>D650*18.17</f>
        <v>681.37500000000011</v>
      </c>
    </row>
    <row r="651" spans="1:7" hidden="1">
      <c r="A651" s="865"/>
      <c r="B651" s="26" t="s">
        <v>1525</v>
      </c>
      <c r="C651" s="26"/>
      <c r="D651" s="117">
        <f>'BASIC DATA'!$D$98/1000</f>
        <v>37.4</v>
      </c>
      <c r="E651" s="26" t="s">
        <v>1513</v>
      </c>
      <c r="F651" s="171" t="s">
        <v>1698</v>
      </c>
      <c r="G651" s="173">
        <f>D651*1.41</f>
        <v>52.733999999999995</v>
      </c>
    </row>
    <row r="652" spans="1:7" hidden="1">
      <c r="A652" s="865"/>
      <c r="B652" s="26"/>
      <c r="C652" s="26"/>
      <c r="E652" s="171" t="s">
        <v>1518</v>
      </c>
      <c r="F652" s="171" t="s">
        <v>1698</v>
      </c>
      <c r="G652" s="68">
        <f>SUM(G647:G651)</f>
        <v>3101.4679999999998</v>
      </c>
    </row>
    <row r="653" spans="1:7" hidden="1">
      <c r="A653" s="865"/>
      <c r="B653" s="26" t="s">
        <v>5156</v>
      </c>
      <c r="C653" s="26"/>
      <c r="D653" s="249">
        <v>2.5000000000000001E-2</v>
      </c>
      <c r="E653" s="171"/>
      <c r="F653" s="171" t="s">
        <v>1698</v>
      </c>
      <c r="G653" s="68">
        <f>G652*D653</f>
        <v>77.536699999999996</v>
      </c>
    </row>
    <row r="654" spans="1:7" hidden="1">
      <c r="A654" s="865"/>
      <c r="B654" s="26" t="s">
        <v>1526</v>
      </c>
      <c r="C654" s="26"/>
      <c r="D654" s="117">
        <f>'BASIC DATA'!$D$84</f>
        <v>80</v>
      </c>
      <c r="E654" s="27" t="s">
        <v>1513</v>
      </c>
      <c r="F654" s="171" t="s">
        <v>1698</v>
      </c>
      <c r="G654" s="68">
        <f>D654*0.5</f>
        <v>40</v>
      </c>
    </row>
    <row r="655" spans="1:7" hidden="1">
      <c r="A655" s="865"/>
      <c r="B655" s="26" t="s">
        <v>4595</v>
      </c>
      <c r="C655" s="26"/>
      <c r="D655" s="117">
        <f>'BASIC DATA'!$D$358</f>
        <v>24</v>
      </c>
      <c r="E655" s="27" t="s">
        <v>1513</v>
      </c>
      <c r="F655" s="171" t="s">
        <v>1698</v>
      </c>
      <c r="G655" s="173">
        <f>D655*82.8</f>
        <v>1987.1999999999998</v>
      </c>
    </row>
    <row r="656" spans="1:7" hidden="1">
      <c r="A656" s="865"/>
      <c r="B656" s="26"/>
      <c r="C656" s="26"/>
      <c r="E656" s="171" t="s">
        <v>1518</v>
      </c>
      <c r="F656" s="171" t="s">
        <v>1698</v>
      </c>
      <c r="G656" s="68">
        <f>SUM(G652:G655)</f>
        <v>5206.2047000000002</v>
      </c>
    </row>
    <row r="657" spans="1:7" hidden="1">
      <c r="A657" s="865"/>
      <c r="B657" s="26" t="s">
        <v>2711</v>
      </c>
      <c r="C657" s="26"/>
      <c r="D657" s="201">
        <f>'BASIC DATA'!$C$592</f>
        <v>0.1</v>
      </c>
      <c r="E657" s="171"/>
      <c r="F657" s="171" t="s">
        <v>1698</v>
      </c>
      <c r="G657" s="173">
        <f>G656*D657</f>
        <v>520.62047000000007</v>
      </c>
    </row>
    <row r="658" spans="1:7" hidden="1">
      <c r="A658" s="865"/>
      <c r="B658" s="26"/>
      <c r="C658" s="26"/>
      <c r="E658" s="171" t="s">
        <v>1518</v>
      </c>
      <c r="F658" s="171" t="s">
        <v>1698</v>
      </c>
      <c r="G658" s="68">
        <f>G656-G657</f>
        <v>4685.5842300000004</v>
      </c>
    </row>
    <row r="659" spans="1:7" hidden="1">
      <c r="A659" s="865"/>
      <c r="B659" s="26" t="s">
        <v>1527</v>
      </c>
      <c r="C659" s="26"/>
      <c r="E659" s="171"/>
      <c r="F659" s="171"/>
      <c r="G659" s="68"/>
    </row>
    <row r="660" spans="1:7" hidden="1">
      <c r="A660" s="865"/>
      <c r="B660" s="26" t="s">
        <v>5157</v>
      </c>
      <c r="C660" s="26"/>
      <c r="D660" s="26">
        <v>40</v>
      </c>
      <c r="E660" s="171" t="s">
        <v>4614</v>
      </c>
      <c r="F660" s="171" t="s">
        <v>1698</v>
      </c>
      <c r="G660" s="68">
        <f>G658/D660</f>
        <v>117.13960575000002</v>
      </c>
    </row>
    <row r="661" spans="1:7" hidden="1">
      <c r="A661" s="865"/>
      <c r="B661" s="26" t="s">
        <v>2709</v>
      </c>
      <c r="C661" s="26"/>
      <c r="D661" s="201">
        <f>'BASIC DATA'!$C$587</f>
        <v>0.15</v>
      </c>
      <c r="E661" s="171"/>
      <c r="F661" s="171" t="s">
        <v>1698</v>
      </c>
      <c r="G661" s="68">
        <f>G660*D661</f>
        <v>17.570940862500002</v>
      </c>
    </row>
    <row r="662" spans="1:7" hidden="1">
      <c r="A662" s="865"/>
      <c r="B662" s="26" t="s">
        <v>5143</v>
      </c>
      <c r="C662" s="26"/>
      <c r="D662" s="201">
        <f>'BASIC DATA'!$C$588</f>
        <v>0.05</v>
      </c>
      <c r="E662" s="171"/>
      <c r="F662" s="171" t="s">
        <v>1698</v>
      </c>
      <c r="G662" s="68">
        <f>G660*D662</f>
        <v>5.8569802875000008</v>
      </c>
    </row>
    <row r="663" spans="1:7" hidden="1">
      <c r="A663" s="865"/>
      <c r="B663" s="26" t="s">
        <v>1528</v>
      </c>
      <c r="C663" s="26"/>
      <c r="D663" s="117">
        <f>'BASIC DATA'!$D$75</f>
        <v>37</v>
      </c>
      <c r="E663" s="171"/>
      <c r="F663" s="171" t="s">
        <v>1698</v>
      </c>
      <c r="G663" s="68">
        <f>D663*2</f>
        <v>74</v>
      </c>
    </row>
    <row r="664" spans="1:7" hidden="1">
      <c r="A664" s="865"/>
      <c r="B664" s="26" t="s">
        <v>740</v>
      </c>
      <c r="C664" s="26"/>
      <c r="D664" s="117">
        <f>'BASIC DATA'!$D$357</f>
        <v>50</v>
      </c>
      <c r="E664" s="171"/>
      <c r="F664" s="171" t="s">
        <v>1698</v>
      </c>
      <c r="G664" s="173">
        <f>D664*0.2</f>
        <v>10</v>
      </c>
    </row>
    <row r="665" spans="1:7" hidden="1">
      <c r="A665" s="865"/>
      <c r="B665" s="26"/>
      <c r="C665" s="26"/>
      <c r="E665" s="171" t="s">
        <v>1518</v>
      </c>
      <c r="F665" s="171" t="s">
        <v>1698</v>
      </c>
      <c r="G665" s="68">
        <f>SUM(G660:G664)</f>
        <v>224.56752690000002</v>
      </c>
    </row>
    <row r="666" spans="1:7" hidden="1">
      <c r="A666" s="865"/>
      <c r="B666" s="26" t="s">
        <v>741</v>
      </c>
      <c r="C666" s="26"/>
      <c r="E666" s="171" t="s">
        <v>1697</v>
      </c>
      <c r="F666" s="68">
        <v>1</v>
      </c>
      <c r="G666" s="26" t="s">
        <v>3479</v>
      </c>
    </row>
    <row r="667" spans="1:7" hidden="1">
      <c r="A667" s="865"/>
      <c r="B667" s="26" t="s">
        <v>3669</v>
      </c>
      <c r="C667" s="26"/>
      <c r="F667" s="171" t="s">
        <v>1698</v>
      </c>
      <c r="G667" s="68">
        <f>G665</f>
        <v>224.56752690000002</v>
      </c>
    </row>
    <row r="668" spans="1:7" hidden="1">
      <c r="A668" s="865"/>
      <c r="B668" s="26" t="s">
        <v>3670</v>
      </c>
      <c r="C668" s="26"/>
      <c r="F668" s="171"/>
    </row>
    <row r="669" spans="1:7" hidden="1">
      <c r="A669" s="865"/>
      <c r="B669" s="26"/>
      <c r="C669" s="26"/>
      <c r="F669" s="171"/>
    </row>
    <row r="670" spans="1:7" hidden="1">
      <c r="A670" s="865"/>
      <c r="B670" s="26" t="s">
        <v>5157</v>
      </c>
      <c r="C670" s="26"/>
      <c r="D670" s="26">
        <v>30</v>
      </c>
      <c r="E670" s="171" t="s">
        <v>4614</v>
      </c>
      <c r="F670" s="171" t="s">
        <v>1698</v>
      </c>
      <c r="G670" s="68">
        <f>G658/D670</f>
        <v>156.18614100000002</v>
      </c>
    </row>
    <row r="671" spans="1:7" hidden="1">
      <c r="A671" s="865"/>
      <c r="B671" s="26" t="s">
        <v>4596</v>
      </c>
      <c r="C671" s="26"/>
      <c r="D671" s="201">
        <f>'BASIC DATA'!$C$587</f>
        <v>0.15</v>
      </c>
      <c r="E671" s="171"/>
      <c r="F671" s="171" t="s">
        <v>1698</v>
      </c>
      <c r="G671" s="68">
        <f>$G$670*D671</f>
        <v>23.427921150000003</v>
      </c>
    </row>
    <row r="672" spans="1:7" hidden="1">
      <c r="A672" s="865"/>
      <c r="B672" s="26" t="s">
        <v>4597</v>
      </c>
      <c r="C672" s="26"/>
      <c r="D672" s="201">
        <f>'BASIC DATA'!$C$588</f>
        <v>0.05</v>
      </c>
      <c r="E672" s="171"/>
      <c r="F672" s="171" t="s">
        <v>1698</v>
      </c>
      <c r="G672" s="68">
        <f>$G$670*D672</f>
        <v>7.809307050000001</v>
      </c>
    </row>
    <row r="673" spans="1:7" hidden="1">
      <c r="A673" s="865"/>
      <c r="B673" s="26" t="s">
        <v>1528</v>
      </c>
      <c r="C673" s="26"/>
      <c r="D673" s="117">
        <f>'BASIC DATA'!$D$75</f>
        <v>37</v>
      </c>
      <c r="F673" s="171" t="s">
        <v>1698</v>
      </c>
      <c r="G673" s="68">
        <f>D673*2</f>
        <v>74</v>
      </c>
    </row>
    <row r="674" spans="1:7" hidden="1">
      <c r="A674" s="865"/>
      <c r="B674" s="26" t="s">
        <v>742</v>
      </c>
      <c r="C674" s="26"/>
      <c r="D674" s="117">
        <f>'BASIC DATA'!$D$357</f>
        <v>50</v>
      </c>
      <c r="F674" s="171" t="s">
        <v>1698</v>
      </c>
      <c r="G674" s="173">
        <f>D674*0.2</f>
        <v>10</v>
      </c>
    </row>
    <row r="675" spans="1:7" hidden="1">
      <c r="A675" s="865"/>
      <c r="B675" s="26"/>
      <c r="C675" s="26"/>
      <c r="E675" s="171" t="s">
        <v>1518</v>
      </c>
      <c r="F675" s="171" t="s">
        <v>1698</v>
      </c>
      <c r="G675" s="68">
        <f>SUM(G670:G674)</f>
        <v>271.42336920000002</v>
      </c>
    </row>
    <row r="676" spans="1:7" hidden="1">
      <c r="A676" s="865"/>
      <c r="B676" s="26" t="s">
        <v>741</v>
      </c>
      <c r="C676" s="26"/>
      <c r="E676" s="171" t="s">
        <v>1697</v>
      </c>
      <c r="F676" s="68">
        <v>1</v>
      </c>
      <c r="G676" s="26" t="s">
        <v>3479</v>
      </c>
    </row>
    <row r="677" spans="1:7" hidden="1">
      <c r="A677" s="865"/>
      <c r="B677" s="26" t="s">
        <v>3669</v>
      </c>
      <c r="C677" s="26"/>
      <c r="F677" s="171" t="s">
        <v>1698</v>
      </c>
      <c r="G677" s="68">
        <f>G675</f>
        <v>271.42336920000002</v>
      </c>
    </row>
    <row r="678" spans="1:7" hidden="1">
      <c r="A678" s="865"/>
      <c r="B678" s="26" t="s">
        <v>3670</v>
      </c>
      <c r="C678" s="26"/>
      <c r="F678" s="171"/>
    </row>
    <row r="679" spans="1:7" hidden="1">
      <c r="A679" s="865"/>
      <c r="B679" s="26"/>
      <c r="C679" s="26"/>
      <c r="F679" s="171"/>
    </row>
    <row r="680" spans="1:7" hidden="1">
      <c r="A680" s="865"/>
      <c r="B680" s="26" t="s">
        <v>3671</v>
      </c>
      <c r="C680" s="26"/>
      <c r="F680" s="171"/>
    </row>
    <row r="681" spans="1:7" hidden="1">
      <c r="A681" s="865"/>
      <c r="B681" s="26" t="s">
        <v>2849</v>
      </c>
      <c r="C681" s="26"/>
      <c r="F681" s="171"/>
    </row>
    <row r="682" spans="1:7" hidden="1">
      <c r="A682" s="865"/>
      <c r="B682" s="26" t="s">
        <v>229</v>
      </c>
      <c r="C682" s="26"/>
      <c r="F682" s="171"/>
    </row>
    <row r="683" spans="1:7" hidden="1">
      <c r="A683" s="865"/>
      <c r="B683" s="26" t="s">
        <v>230</v>
      </c>
      <c r="C683" s="26"/>
      <c r="E683" s="171" t="s">
        <v>1697</v>
      </c>
      <c r="F683" s="26">
        <v>100</v>
      </c>
      <c r="G683" s="26" t="s">
        <v>3479</v>
      </c>
    </row>
    <row r="684" spans="1:7" hidden="1">
      <c r="A684" s="865"/>
      <c r="B684" s="26" t="s">
        <v>2671</v>
      </c>
      <c r="C684" s="26"/>
      <c r="F684" s="171"/>
    </row>
    <row r="685" spans="1:7" hidden="1">
      <c r="A685" s="865"/>
      <c r="B685" s="26" t="s">
        <v>1895</v>
      </c>
      <c r="C685" s="26"/>
      <c r="D685" s="117">
        <f>'BASIC DATA'!$C$515</f>
        <v>400</v>
      </c>
      <c r="E685" s="26" t="s">
        <v>2950</v>
      </c>
      <c r="F685" s="171" t="s">
        <v>1698</v>
      </c>
      <c r="G685" s="26">
        <f>D685*4</f>
        <v>1600</v>
      </c>
    </row>
    <row r="686" spans="1:7" hidden="1">
      <c r="A686" s="865"/>
      <c r="B686" s="26" t="s">
        <v>4755</v>
      </c>
      <c r="C686" s="26"/>
      <c r="D686" s="117">
        <f>'BASIC DATA'!$C$510</f>
        <v>400</v>
      </c>
      <c r="E686" s="26" t="s">
        <v>2950</v>
      </c>
      <c r="F686" s="171" t="s">
        <v>1698</v>
      </c>
      <c r="G686" s="26">
        <f>D686*2</f>
        <v>800</v>
      </c>
    </row>
    <row r="687" spans="1:7" hidden="1">
      <c r="A687" s="865"/>
      <c r="B687" s="26" t="s">
        <v>6648</v>
      </c>
      <c r="C687" s="26"/>
      <c r="D687" s="117">
        <f>'BASIC DATA'!$C$552</f>
        <v>350</v>
      </c>
      <c r="E687" s="26" t="s">
        <v>2950</v>
      </c>
      <c r="F687" s="171" t="s">
        <v>1698</v>
      </c>
      <c r="G687" s="26">
        <f>D687*10</f>
        <v>3500</v>
      </c>
    </row>
    <row r="688" spans="1:7" hidden="1">
      <c r="A688" s="865"/>
      <c r="B688" s="26" t="s">
        <v>4756</v>
      </c>
      <c r="C688" s="26"/>
      <c r="D688" s="117"/>
      <c r="F688" s="171"/>
    </row>
    <row r="689" spans="1:7" hidden="1">
      <c r="A689" s="865"/>
      <c r="B689" s="26" t="s">
        <v>1896</v>
      </c>
      <c r="C689" s="26"/>
      <c r="D689" s="117">
        <f>'BASIC DATA'!$C$515</f>
        <v>400</v>
      </c>
      <c r="E689" s="26" t="s">
        <v>2950</v>
      </c>
      <c r="F689" s="171" t="s">
        <v>1698</v>
      </c>
      <c r="G689" s="26">
        <f>D689*2</f>
        <v>800</v>
      </c>
    </row>
    <row r="690" spans="1:7" hidden="1">
      <c r="A690" s="865"/>
      <c r="B690" s="26" t="s">
        <v>1897</v>
      </c>
      <c r="C690" s="26"/>
      <c r="D690" s="117">
        <f>'BASIC DATA'!$C$510</f>
        <v>400</v>
      </c>
      <c r="E690" s="26" t="s">
        <v>2950</v>
      </c>
      <c r="F690" s="171" t="s">
        <v>1698</v>
      </c>
      <c r="G690" s="26">
        <f>D690*1</f>
        <v>400</v>
      </c>
    </row>
    <row r="691" spans="1:7" hidden="1">
      <c r="A691" s="865"/>
      <c r="B691" s="26" t="s">
        <v>3719</v>
      </c>
      <c r="C691" s="26"/>
      <c r="D691" s="117">
        <f>'BASIC DATA'!$C$552</f>
        <v>350</v>
      </c>
      <c r="E691" s="26" t="s">
        <v>2950</v>
      </c>
      <c r="F691" s="171" t="s">
        <v>1698</v>
      </c>
      <c r="G691" s="174">
        <f>D691*5</f>
        <v>1750</v>
      </c>
    </row>
    <row r="692" spans="1:7" hidden="1">
      <c r="A692" s="865"/>
      <c r="B692" s="26"/>
      <c r="C692" s="26"/>
      <c r="E692" s="171" t="s">
        <v>1518</v>
      </c>
      <c r="F692" s="171" t="s">
        <v>1698</v>
      </c>
      <c r="G692" s="26">
        <f>SUM(G685:G691)</f>
        <v>8850</v>
      </c>
    </row>
    <row r="693" spans="1:7" hidden="1">
      <c r="A693" s="865"/>
      <c r="B693" s="26" t="s">
        <v>2840</v>
      </c>
      <c r="C693" s="26"/>
      <c r="F693" s="171" t="s">
        <v>1698</v>
      </c>
      <c r="G693" s="68">
        <f>G692/F683</f>
        <v>88.5</v>
      </c>
    </row>
    <row r="694" spans="1:7" hidden="1">
      <c r="A694" s="865"/>
      <c r="B694" s="26" t="s">
        <v>2841</v>
      </c>
      <c r="C694" s="26"/>
    </row>
    <row r="695" spans="1:7" hidden="1">
      <c r="A695" s="865"/>
      <c r="B695" s="26"/>
      <c r="C695" s="26"/>
    </row>
    <row r="696" spans="1:7" hidden="1">
      <c r="A696" s="865" t="s">
        <v>1907</v>
      </c>
      <c r="B696" s="26" t="s">
        <v>5780</v>
      </c>
      <c r="C696" s="26"/>
    </row>
    <row r="697" spans="1:7" hidden="1">
      <c r="A697" s="865"/>
      <c r="B697" s="26" t="s">
        <v>2842</v>
      </c>
      <c r="C697" s="26"/>
    </row>
    <row r="698" spans="1:7" hidden="1">
      <c r="A698" s="865"/>
      <c r="B698" s="26" t="s">
        <v>7799</v>
      </c>
      <c r="C698" s="26"/>
    </row>
    <row r="699" spans="1:7" hidden="1">
      <c r="A699" s="865"/>
      <c r="B699" s="26" t="s">
        <v>7800</v>
      </c>
      <c r="C699" s="26"/>
      <c r="D699" s="26">
        <f>ROUND(50*10*8/260,2)</f>
        <v>15.38</v>
      </c>
      <c r="E699" s="26" t="s">
        <v>3760</v>
      </c>
    </row>
    <row r="700" spans="1:7" hidden="1">
      <c r="A700" s="865"/>
      <c r="B700" s="26" t="s">
        <v>2843</v>
      </c>
      <c r="C700" s="26"/>
    </row>
    <row r="701" spans="1:7" hidden="1">
      <c r="A701" s="865"/>
      <c r="B701" s="26" t="s">
        <v>628</v>
      </c>
      <c r="C701" s="26"/>
    </row>
    <row r="702" spans="1:7" hidden="1">
      <c r="A702" s="865"/>
      <c r="B702" s="26" t="s">
        <v>629</v>
      </c>
      <c r="C702" s="26"/>
      <c r="E702" s="171" t="s">
        <v>2844</v>
      </c>
      <c r="F702" s="68">
        <f>G667</f>
        <v>224.56752690000002</v>
      </c>
      <c r="G702" s="26" t="s">
        <v>1168</v>
      </c>
    </row>
    <row r="703" spans="1:7" hidden="1">
      <c r="A703" s="865"/>
      <c r="B703" s="26" t="s">
        <v>630</v>
      </c>
      <c r="C703" s="26"/>
      <c r="F703" s="26" t="s">
        <v>631</v>
      </c>
    </row>
    <row r="704" spans="1:7" hidden="1">
      <c r="A704" s="865"/>
      <c r="B704" s="26" t="s">
        <v>632</v>
      </c>
      <c r="C704" s="26"/>
      <c r="E704" s="171" t="s">
        <v>2844</v>
      </c>
      <c r="F704" s="68">
        <f>G693</f>
        <v>88.5</v>
      </c>
      <c r="G704" s="26" t="s">
        <v>1168</v>
      </c>
    </row>
    <row r="705" spans="1:7" hidden="1">
      <c r="A705" s="865"/>
      <c r="B705" s="26" t="s">
        <v>7616</v>
      </c>
      <c r="C705" s="26"/>
      <c r="E705" s="26" t="s">
        <v>7209</v>
      </c>
      <c r="F705" s="27"/>
    </row>
    <row r="706" spans="1:7" hidden="1">
      <c r="A706" s="865"/>
      <c r="B706" s="26" t="s">
        <v>7210</v>
      </c>
      <c r="C706" s="26"/>
    </row>
    <row r="707" spans="1:7" hidden="1">
      <c r="A707" s="865"/>
      <c r="B707" s="26" t="s">
        <v>2389</v>
      </c>
      <c r="C707" s="26"/>
      <c r="E707" s="78" t="s">
        <v>1697</v>
      </c>
      <c r="F707" s="26">
        <v>1</v>
      </c>
      <c r="G707" s="26" t="s">
        <v>4041</v>
      </c>
    </row>
    <row r="708" spans="1:7" hidden="1">
      <c r="A708" s="865"/>
      <c r="B708" s="26" t="s">
        <v>637</v>
      </c>
      <c r="C708" s="26"/>
      <c r="E708" s="78"/>
    </row>
    <row r="709" spans="1:7" hidden="1">
      <c r="A709" s="865"/>
      <c r="B709" s="26" t="s">
        <v>2826</v>
      </c>
      <c r="C709" s="26"/>
      <c r="E709" s="78" t="s">
        <v>1697</v>
      </c>
      <c r="F709" s="26">
        <v>2</v>
      </c>
      <c r="G709" s="26" t="s">
        <v>4041</v>
      </c>
    </row>
    <row r="710" spans="1:7" hidden="1">
      <c r="A710" s="865"/>
      <c r="B710" s="26" t="s">
        <v>891</v>
      </c>
      <c r="C710" s="26"/>
      <c r="E710" s="78" t="s">
        <v>1697</v>
      </c>
      <c r="F710" s="26">
        <v>3</v>
      </c>
      <c r="G710" s="26" t="s">
        <v>4041</v>
      </c>
    </row>
    <row r="711" spans="1:7" hidden="1">
      <c r="A711" s="865"/>
      <c r="B711" s="26" t="s">
        <v>1593</v>
      </c>
      <c r="C711" s="26"/>
      <c r="E711" s="78" t="s">
        <v>1697</v>
      </c>
      <c r="F711" s="26">
        <v>3</v>
      </c>
      <c r="G711" s="26" t="s">
        <v>4041</v>
      </c>
    </row>
    <row r="712" spans="1:7" hidden="1">
      <c r="A712" s="865"/>
      <c r="B712" s="26" t="s">
        <v>1594</v>
      </c>
      <c r="C712" s="26"/>
      <c r="E712" s="78" t="s">
        <v>1697</v>
      </c>
      <c r="F712" s="26">
        <v>3</v>
      </c>
      <c r="G712" s="26" t="s">
        <v>4041</v>
      </c>
    </row>
    <row r="713" spans="1:7" hidden="1">
      <c r="A713" s="865"/>
      <c r="B713" s="26" t="s">
        <v>1595</v>
      </c>
      <c r="C713" s="26"/>
      <c r="E713" s="78" t="s">
        <v>1697</v>
      </c>
      <c r="F713" s="26">
        <v>2</v>
      </c>
      <c r="G713" s="26" t="s">
        <v>4041</v>
      </c>
    </row>
    <row r="714" spans="1:7" hidden="1">
      <c r="A714" s="865"/>
      <c r="B714" s="26" t="s">
        <v>2093</v>
      </c>
      <c r="C714" s="26"/>
      <c r="E714" s="78" t="s">
        <v>1697</v>
      </c>
      <c r="F714" s="26">
        <v>2</v>
      </c>
      <c r="G714" s="26" t="s">
        <v>4041</v>
      </c>
    </row>
    <row r="715" spans="1:7" hidden="1">
      <c r="A715" s="865"/>
      <c r="B715" s="26" t="s">
        <v>7211</v>
      </c>
      <c r="C715" s="26"/>
      <c r="E715" s="78" t="s">
        <v>1697</v>
      </c>
      <c r="F715" s="26">
        <v>2</v>
      </c>
      <c r="G715" s="26" t="s">
        <v>4041</v>
      </c>
    </row>
    <row r="716" spans="1:7" hidden="1">
      <c r="A716" s="865"/>
      <c r="B716" s="26" t="s">
        <v>2095</v>
      </c>
      <c r="C716" s="26"/>
      <c r="E716" s="78" t="s">
        <v>1697</v>
      </c>
      <c r="F716" s="26">
        <v>1</v>
      </c>
      <c r="G716" s="26" t="s">
        <v>4089</v>
      </c>
    </row>
    <row r="717" spans="1:7" hidden="1">
      <c r="A717" s="865"/>
      <c r="B717" s="26" t="s">
        <v>1046</v>
      </c>
      <c r="C717" s="26"/>
      <c r="E717" s="78" t="s">
        <v>1697</v>
      </c>
      <c r="F717" s="26">
        <f>F720*1</f>
        <v>15.38</v>
      </c>
      <c r="G717" s="26" t="s">
        <v>4041</v>
      </c>
    </row>
    <row r="718" spans="1:7" hidden="1">
      <c r="A718" s="865"/>
      <c r="B718" s="26" t="s">
        <v>1047</v>
      </c>
      <c r="C718" s="26"/>
      <c r="E718" s="78" t="s">
        <v>1697</v>
      </c>
      <c r="F718" s="26">
        <v>1</v>
      </c>
      <c r="G718" s="26" t="s">
        <v>4089</v>
      </c>
    </row>
    <row r="719" spans="1:7">
      <c r="B719" s="78"/>
      <c r="C719" s="26"/>
    </row>
    <row r="720" spans="1:7">
      <c r="A720" s="822" t="s">
        <v>2039</v>
      </c>
      <c r="B720" s="78"/>
      <c r="C720" s="203" t="s">
        <v>2367</v>
      </c>
      <c r="E720" s="171" t="s">
        <v>297</v>
      </c>
      <c r="F720" s="246">
        <f>D699</f>
        <v>15.38</v>
      </c>
      <c r="G720" s="26" t="s">
        <v>3477</v>
      </c>
    </row>
    <row r="721" spans="1:7">
      <c r="B721" s="79" t="s">
        <v>2368</v>
      </c>
      <c r="C721" s="26"/>
    </row>
    <row r="722" spans="1:7">
      <c r="B722" s="95" t="s">
        <v>2369</v>
      </c>
      <c r="C722" s="157" t="s">
        <v>4443</v>
      </c>
      <c r="D722" s="95" t="s">
        <v>2370</v>
      </c>
      <c r="E722" s="95" t="s">
        <v>1166</v>
      </c>
      <c r="F722" s="95" t="s">
        <v>2371</v>
      </c>
      <c r="G722" s="95" t="s">
        <v>2372</v>
      </c>
    </row>
    <row r="723" spans="1:7">
      <c r="B723" s="114"/>
      <c r="C723" s="154"/>
      <c r="D723" s="114"/>
      <c r="E723" s="114"/>
      <c r="F723" s="114" t="s">
        <v>3485</v>
      </c>
      <c r="G723" s="114" t="s">
        <v>3485</v>
      </c>
    </row>
    <row r="724" spans="1:7">
      <c r="B724" s="95">
        <v>1</v>
      </c>
      <c r="C724" s="135" t="s">
        <v>1048</v>
      </c>
      <c r="D724" s="95" t="s">
        <v>3478</v>
      </c>
      <c r="E724" s="190">
        <f>260*F720</f>
        <v>3998.8</v>
      </c>
      <c r="F724" s="214">
        <f>'BASIC DATA'!$D$32/1000</f>
        <v>5.35</v>
      </c>
      <c r="G724" s="190">
        <f>E724*F724</f>
        <v>21393.579999999998</v>
      </c>
    </row>
    <row r="725" spans="1:7">
      <c r="B725" s="317"/>
      <c r="C725" s="135" t="s">
        <v>7212</v>
      </c>
      <c r="D725" s="105" t="s">
        <v>3478</v>
      </c>
      <c r="E725" s="190">
        <f>F720*3</f>
        <v>46.14</v>
      </c>
      <c r="F725" s="214">
        <f>'BASIC DATA'!$D$32/1000</f>
        <v>5.35</v>
      </c>
      <c r="G725" s="190">
        <f t="shared" ref="G725:G733" si="5">E725*F725</f>
        <v>246.84899999999999</v>
      </c>
    </row>
    <row r="726" spans="1:7">
      <c r="B726" s="105">
        <v>2</v>
      </c>
      <c r="C726" s="135" t="s">
        <v>6996</v>
      </c>
      <c r="D726" s="105" t="s">
        <v>3477</v>
      </c>
      <c r="E726" s="190">
        <f>0.9*F720*0.5</f>
        <v>6.9210000000000003</v>
      </c>
      <c r="F726" s="214">
        <f>'BASIC DATA'!$D$36</f>
        <v>1175</v>
      </c>
      <c r="G726" s="190">
        <f t="shared" si="5"/>
        <v>8132.1750000000002</v>
      </c>
    </row>
    <row r="727" spans="1:7">
      <c r="B727" s="317"/>
      <c r="C727" s="135" t="s">
        <v>6995</v>
      </c>
      <c r="D727" s="105" t="s">
        <v>3477</v>
      </c>
      <c r="E727" s="190">
        <f>0.9*F720*0.3</f>
        <v>4.1525999999999996</v>
      </c>
      <c r="F727" s="214">
        <f>'BASIC DATA'!$D$35</f>
        <v>1225</v>
      </c>
      <c r="G727" s="190">
        <f t="shared" si="5"/>
        <v>5086.9349999999995</v>
      </c>
    </row>
    <row r="728" spans="1:7">
      <c r="B728" s="317"/>
      <c r="C728" s="135" t="s">
        <v>1050</v>
      </c>
      <c r="D728" s="105" t="s">
        <v>3477</v>
      </c>
      <c r="E728" s="190">
        <f>0.9*F720*0.2</f>
        <v>2.7684000000000002</v>
      </c>
      <c r="F728" s="214">
        <f>'BASIC DATA'!$D$34</f>
        <v>900</v>
      </c>
      <c r="G728" s="190">
        <f t="shared" si="5"/>
        <v>2491.5600000000004</v>
      </c>
    </row>
    <row r="729" spans="1:7">
      <c r="A729" s="853"/>
      <c r="B729" s="240">
        <v>3</v>
      </c>
      <c r="C729" s="326" t="s">
        <v>7941</v>
      </c>
      <c r="D729" s="240" t="s">
        <v>3477</v>
      </c>
      <c r="E729" s="255">
        <f>0.4*F720</f>
        <v>6.152000000000001</v>
      </c>
      <c r="F729" s="266">
        <f>'BASIC DATA'!$D$55</f>
        <v>95</v>
      </c>
      <c r="G729" s="255">
        <f t="shared" si="5"/>
        <v>584.44000000000005</v>
      </c>
    </row>
    <row r="730" spans="1:7">
      <c r="B730" s="105">
        <v>4</v>
      </c>
      <c r="C730" s="135" t="s">
        <v>523</v>
      </c>
      <c r="D730" s="105" t="s">
        <v>3478</v>
      </c>
      <c r="E730" s="190">
        <f>E724*0.4%</f>
        <v>15.995200000000001</v>
      </c>
      <c r="F730" s="214">
        <f>'BASIC DATA'!$D$99</f>
        <v>55</v>
      </c>
      <c r="G730" s="190">
        <f t="shared" si="5"/>
        <v>879.73599999999999</v>
      </c>
    </row>
    <row r="731" spans="1:7">
      <c r="B731" s="105">
        <v>5</v>
      </c>
      <c r="C731" s="135" t="s">
        <v>7213</v>
      </c>
      <c r="D731" s="105" t="s">
        <v>3479</v>
      </c>
      <c r="E731" s="190">
        <f>F720*1</f>
        <v>15.38</v>
      </c>
      <c r="F731" s="214">
        <f>F702</f>
        <v>224.56752690000002</v>
      </c>
      <c r="G731" s="190">
        <f t="shared" si="5"/>
        <v>3453.8485637220006</v>
      </c>
    </row>
    <row r="732" spans="1:7">
      <c r="B732" s="317"/>
      <c r="C732" s="135" t="s">
        <v>5408</v>
      </c>
      <c r="D732" s="224">
        <v>0.1</v>
      </c>
      <c r="E732" s="190"/>
      <c r="F732" s="214"/>
      <c r="G732" s="190">
        <f>G731*D732</f>
        <v>345.38485637220009</v>
      </c>
    </row>
    <row r="733" spans="1:7">
      <c r="B733" s="114">
        <v>6</v>
      </c>
      <c r="C733" s="116" t="s">
        <v>2373</v>
      </c>
      <c r="D733" s="105" t="s">
        <v>2173</v>
      </c>
      <c r="E733" s="190">
        <v>0.5</v>
      </c>
      <c r="F733" s="214">
        <f>'BASIC DATA'!$D$359</f>
        <v>30</v>
      </c>
      <c r="G733" s="190">
        <f t="shared" si="5"/>
        <v>15</v>
      </c>
    </row>
    <row r="734" spans="1:7">
      <c r="B734" s="92"/>
      <c r="C734" s="193" t="s">
        <v>2376</v>
      </c>
      <c r="D734" s="159"/>
      <c r="E734" s="238"/>
      <c r="F734" s="236" t="s">
        <v>1698</v>
      </c>
      <c r="G734" s="318">
        <f>SUM(G724:G733)</f>
        <v>42629.508420094193</v>
      </c>
    </row>
    <row r="735" spans="1:7">
      <c r="B735" s="78"/>
      <c r="C735" s="26"/>
    </row>
    <row r="736" spans="1:7">
      <c r="B736" s="79" t="s">
        <v>2377</v>
      </c>
      <c r="C736" s="26"/>
    </row>
    <row r="737" spans="2:7">
      <c r="B737" s="95" t="s">
        <v>2369</v>
      </c>
      <c r="C737" s="157" t="s">
        <v>2378</v>
      </c>
      <c r="D737" s="95" t="s">
        <v>2370</v>
      </c>
      <c r="E737" s="95" t="s">
        <v>1166</v>
      </c>
      <c r="F737" s="95" t="s">
        <v>2371</v>
      </c>
      <c r="G737" s="95" t="s">
        <v>2372</v>
      </c>
    </row>
    <row r="738" spans="2:7">
      <c r="B738" s="114"/>
      <c r="C738" s="154"/>
      <c r="D738" s="114"/>
      <c r="E738" s="114"/>
      <c r="F738" s="114" t="s">
        <v>3485</v>
      </c>
      <c r="G738" s="114" t="s">
        <v>3485</v>
      </c>
    </row>
    <row r="739" spans="2:7">
      <c r="B739" s="95">
        <v>1</v>
      </c>
      <c r="C739" s="135" t="s">
        <v>7214</v>
      </c>
      <c r="D739" s="95" t="s">
        <v>2374</v>
      </c>
      <c r="E739" s="190">
        <v>8</v>
      </c>
      <c r="F739" s="190">
        <f>'HIRE CHARGES'!$D$507</f>
        <v>53.5</v>
      </c>
      <c r="G739" s="190">
        <f>E739*F739</f>
        <v>428</v>
      </c>
    </row>
    <row r="740" spans="2:7">
      <c r="B740" s="317"/>
      <c r="C740" s="135" t="s">
        <v>2379</v>
      </c>
      <c r="D740" s="105" t="s">
        <v>2374</v>
      </c>
      <c r="E740" s="190">
        <v>8</v>
      </c>
      <c r="F740" s="190">
        <f>'HIRE CHARGES'!$E$507</f>
        <v>79.3</v>
      </c>
      <c r="G740" s="190">
        <f t="shared" ref="G740:G746" si="6">E740*F740</f>
        <v>634.4</v>
      </c>
    </row>
    <row r="741" spans="2:7">
      <c r="B741" s="105">
        <v>2</v>
      </c>
      <c r="C741" s="135" t="s">
        <v>189</v>
      </c>
      <c r="D741" s="105" t="s">
        <v>2374</v>
      </c>
      <c r="E741" s="190">
        <v>0.5</v>
      </c>
      <c r="F741" s="190">
        <f>'HIRE CHARGES'!$D$517</f>
        <v>10.199999999999999</v>
      </c>
      <c r="G741" s="190">
        <f t="shared" si="6"/>
        <v>5.0999999999999996</v>
      </c>
    </row>
    <row r="742" spans="2:7">
      <c r="B742" s="317"/>
      <c r="C742" s="135" t="s">
        <v>2379</v>
      </c>
      <c r="D742" s="105" t="s">
        <v>2374</v>
      </c>
      <c r="E742" s="190">
        <v>0.5</v>
      </c>
      <c r="F742" s="190">
        <f>'HIRE CHARGES'!$E$517</f>
        <v>79.3</v>
      </c>
      <c r="G742" s="190">
        <f t="shared" si="6"/>
        <v>39.65</v>
      </c>
    </row>
    <row r="743" spans="2:7">
      <c r="B743" s="105">
        <v>3</v>
      </c>
      <c r="C743" s="135" t="s">
        <v>6286</v>
      </c>
      <c r="D743" s="105" t="s">
        <v>2374</v>
      </c>
      <c r="E743" s="190">
        <v>1</v>
      </c>
      <c r="F743" s="190">
        <f>'HIRE CHARGES'!$D$555</f>
        <v>402.5</v>
      </c>
      <c r="G743" s="190">
        <f t="shared" si="6"/>
        <v>402.5</v>
      </c>
    </row>
    <row r="744" spans="2:7">
      <c r="B744" s="317"/>
      <c r="C744" s="135" t="s">
        <v>2379</v>
      </c>
      <c r="D744" s="105" t="s">
        <v>2374</v>
      </c>
      <c r="E744" s="190">
        <v>1</v>
      </c>
      <c r="F744" s="190">
        <f>'HIRE CHARGES'!$E$555</f>
        <v>299.89999999999998</v>
      </c>
      <c r="G744" s="190">
        <f t="shared" si="6"/>
        <v>299.89999999999998</v>
      </c>
    </row>
    <row r="745" spans="2:7">
      <c r="B745" s="105">
        <v>4</v>
      </c>
      <c r="C745" s="135" t="s">
        <v>526</v>
      </c>
      <c r="D745" s="105" t="s">
        <v>2374</v>
      </c>
      <c r="E745" s="190">
        <v>8</v>
      </c>
      <c r="F745" s="190">
        <f>'HIRE CHARGES'!$D$531</f>
        <v>7.6</v>
      </c>
      <c r="G745" s="190">
        <f t="shared" si="6"/>
        <v>60.8</v>
      </c>
    </row>
    <row r="746" spans="2:7">
      <c r="B746" s="275"/>
      <c r="C746" s="139" t="s">
        <v>2379</v>
      </c>
      <c r="D746" s="114" t="s">
        <v>2374</v>
      </c>
      <c r="E746" s="182">
        <v>8</v>
      </c>
      <c r="F746" s="182">
        <f>'HIRE CHARGES'!$E$531</f>
        <v>18.8</v>
      </c>
      <c r="G746" s="190">
        <f t="shared" si="6"/>
        <v>150.4</v>
      </c>
    </row>
    <row r="747" spans="2:7">
      <c r="B747" s="176"/>
      <c r="C747" s="172" t="s">
        <v>2380</v>
      </c>
      <c r="D747" s="174"/>
      <c r="E747" s="192"/>
      <c r="F747" s="275" t="s">
        <v>1698</v>
      </c>
      <c r="G747" s="318">
        <f>SUM(G739:G746)</f>
        <v>2020.7500000000002</v>
      </c>
    </row>
    <row r="748" spans="2:7">
      <c r="B748" s="78"/>
      <c r="C748" s="26"/>
    </row>
    <row r="749" spans="2:7">
      <c r="B749" s="79" t="s">
        <v>2381</v>
      </c>
      <c r="C749" s="26"/>
    </row>
    <row r="750" spans="2:7">
      <c r="B750" s="95" t="s">
        <v>2369</v>
      </c>
      <c r="C750" s="157" t="s">
        <v>2378</v>
      </c>
      <c r="D750" s="95" t="s">
        <v>2370</v>
      </c>
      <c r="E750" s="95" t="s">
        <v>1166</v>
      </c>
      <c r="F750" s="95" t="s">
        <v>2371</v>
      </c>
      <c r="G750" s="95" t="s">
        <v>2372</v>
      </c>
    </row>
    <row r="751" spans="2:7">
      <c r="B751" s="114"/>
      <c r="C751" s="154"/>
      <c r="D751" s="114"/>
      <c r="E751" s="114"/>
      <c r="F751" s="114" t="s">
        <v>3485</v>
      </c>
      <c r="G751" s="114" t="s">
        <v>3485</v>
      </c>
    </row>
    <row r="752" spans="2:7">
      <c r="B752" s="105">
        <v>1</v>
      </c>
      <c r="C752" s="76" t="s">
        <v>527</v>
      </c>
      <c r="D752" s="105" t="s">
        <v>2374</v>
      </c>
      <c r="E752" s="207">
        <v>8</v>
      </c>
      <c r="F752" s="190">
        <f>'HIRE CHARGES'!$F$507</f>
        <v>219.7</v>
      </c>
      <c r="G752" s="190">
        <f>E752*F752</f>
        <v>1757.6</v>
      </c>
    </row>
    <row r="753" spans="2:7">
      <c r="B753" s="105">
        <v>2</v>
      </c>
      <c r="C753" s="76" t="s">
        <v>999</v>
      </c>
      <c r="D753" s="105" t="s">
        <v>2374</v>
      </c>
      <c r="E753" s="207">
        <v>0.5</v>
      </c>
      <c r="F753" s="190">
        <f>'HIRE CHARGES'!$F$517</f>
        <v>111.1</v>
      </c>
      <c r="G753" s="190">
        <f t="shared" ref="G753:G764" si="7">E753*F753</f>
        <v>55.55</v>
      </c>
    </row>
    <row r="754" spans="2:7">
      <c r="B754" s="105">
        <v>3</v>
      </c>
      <c r="C754" s="76" t="s">
        <v>1000</v>
      </c>
      <c r="D754" s="105" t="s">
        <v>2374</v>
      </c>
      <c r="E754" s="207">
        <v>1</v>
      </c>
      <c r="F754" s="190">
        <f>'HIRE CHARGES'!$F$555</f>
        <v>177.5</v>
      </c>
      <c r="G754" s="190">
        <f t="shared" si="7"/>
        <v>177.5</v>
      </c>
    </row>
    <row r="755" spans="2:7">
      <c r="B755" s="105">
        <v>4</v>
      </c>
      <c r="C755" s="76" t="s">
        <v>439</v>
      </c>
      <c r="D755" s="105" t="s">
        <v>2374</v>
      </c>
      <c r="E755" s="207">
        <v>8</v>
      </c>
      <c r="F755" s="190">
        <f>'HIRE CHARGES'!$F$531</f>
        <v>158.19999999999999</v>
      </c>
      <c r="G755" s="190">
        <f t="shared" si="7"/>
        <v>1265.5999999999999</v>
      </c>
    </row>
    <row r="756" spans="2:7">
      <c r="B756" s="105">
        <v>5</v>
      </c>
      <c r="C756" s="76" t="s">
        <v>4206</v>
      </c>
      <c r="D756" s="105" t="s">
        <v>1172</v>
      </c>
      <c r="E756" s="207">
        <v>1</v>
      </c>
      <c r="F756" s="190">
        <f>'BASIC DATA'!$C$473</f>
        <v>450</v>
      </c>
      <c r="G756" s="190">
        <f t="shared" si="7"/>
        <v>450</v>
      </c>
    </row>
    <row r="757" spans="2:7">
      <c r="B757" s="105">
        <v>6</v>
      </c>
      <c r="C757" s="76" t="s">
        <v>440</v>
      </c>
      <c r="D757" s="105" t="s">
        <v>1172</v>
      </c>
      <c r="E757" s="207">
        <v>1</v>
      </c>
      <c r="F757" s="190">
        <f>'BASIC DATA'!$C$474</f>
        <v>445</v>
      </c>
      <c r="G757" s="190">
        <f t="shared" si="7"/>
        <v>445</v>
      </c>
    </row>
    <row r="758" spans="2:7">
      <c r="B758" s="105">
        <v>7</v>
      </c>
      <c r="C758" s="76" t="s">
        <v>2697</v>
      </c>
      <c r="D758" s="105"/>
      <c r="E758" s="207"/>
      <c r="F758" s="190"/>
      <c r="G758" s="190"/>
    </row>
    <row r="759" spans="2:7">
      <c r="B759" s="317"/>
      <c r="C759" s="76" t="s">
        <v>441</v>
      </c>
      <c r="D759" s="105" t="s">
        <v>1172</v>
      </c>
      <c r="E759" s="207">
        <v>11</v>
      </c>
      <c r="F759" s="190">
        <f>'BASIC DATA'!$C$552</f>
        <v>350</v>
      </c>
      <c r="G759" s="190">
        <f t="shared" si="7"/>
        <v>3850</v>
      </c>
    </row>
    <row r="760" spans="2:7">
      <c r="B760" s="317"/>
      <c r="C760" s="76" t="s">
        <v>442</v>
      </c>
      <c r="D760" s="105" t="s">
        <v>1172</v>
      </c>
      <c r="E760" s="207">
        <v>4</v>
      </c>
      <c r="F760" s="190">
        <f>'BASIC DATA'!$C$552</f>
        <v>350</v>
      </c>
      <c r="G760" s="190">
        <f t="shared" si="7"/>
        <v>1400</v>
      </c>
    </row>
    <row r="761" spans="2:7">
      <c r="B761" s="317"/>
      <c r="C761" s="76" t="s">
        <v>5151</v>
      </c>
      <c r="D761" s="105" t="s">
        <v>1172</v>
      </c>
      <c r="E761" s="207">
        <v>3</v>
      </c>
      <c r="F761" s="190">
        <f>'BASIC DATA'!$C$552</f>
        <v>350</v>
      </c>
      <c r="G761" s="190">
        <f t="shared" si="7"/>
        <v>1050</v>
      </c>
    </row>
    <row r="762" spans="2:7">
      <c r="B762" s="317"/>
      <c r="C762" s="76" t="s">
        <v>444</v>
      </c>
      <c r="D762" s="105" t="s">
        <v>1172</v>
      </c>
      <c r="E762" s="207">
        <f>F717</f>
        <v>15.38</v>
      </c>
      <c r="F762" s="190">
        <f>'BASIC DATA'!$C$552</f>
        <v>350</v>
      </c>
      <c r="G762" s="190">
        <f t="shared" si="7"/>
        <v>5383</v>
      </c>
    </row>
    <row r="763" spans="2:7">
      <c r="B763" s="317"/>
      <c r="C763" s="76" t="s">
        <v>445</v>
      </c>
      <c r="D763" s="105" t="s">
        <v>1172</v>
      </c>
      <c r="E763" s="207">
        <v>1</v>
      </c>
      <c r="F763" s="190">
        <f>'BASIC DATA'!$C$552</f>
        <v>350</v>
      </c>
      <c r="G763" s="190">
        <f t="shared" si="7"/>
        <v>350</v>
      </c>
    </row>
    <row r="764" spans="2:7">
      <c r="B764" s="105">
        <v>8</v>
      </c>
      <c r="C764" s="76" t="s">
        <v>7215</v>
      </c>
      <c r="D764" s="105" t="s">
        <v>3479</v>
      </c>
      <c r="E764" s="207">
        <f>F717</f>
        <v>15.38</v>
      </c>
      <c r="F764" s="190">
        <f>F704</f>
        <v>88.5</v>
      </c>
      <c r="G764" s="190">
        <f t="shared" si="7"/>
        <v>1361.13</v>
      </c>
    </row>
    <row r="765" spans="2:7">
      <c r="B765" s="317"/>
      <c r="C765" s="76" t="s">
        <v>6402</v>
      </c>
      <c r="D765" s="224">
        <v>0.1</v>
      </c>
      <c r="E765" s="207"/>
      <c r="F765" s="190"/>
      <c r="G765" s="190">
        <f>G764*D765</f>
        <v>136.11300000000003</v>
      </c>
    </row>
    <row r="766" spans="2:7">
      <c r="B766" s="92"/>
      <c r="C766" s="193" t="s">
        <v>1174</v>
      </c>
      <c r="D766" s="159"/>
      <c r="E766" s="238"/>
      <c r="F766" s="236" t="s">
        <v>1698</v>
      </c>
      <c r="G766" s="318">
        <f>SUM(G752:G765)</f>
        <v>17681.493000000002</v>
      </c>
    </row>
    <row r="767" spans="2:7">
      <c r="B767" s="60" t="s">
        <v>5948</v>
      </c>
      <c r="C767" s="31"/>
      <c r="D767" s="31"/>
      <c r="E767" s="85">
        <f>ROUND(G766/F720,1)</f>
        <v>1149.5999999999999</v>
      </c>
    </row>
    <row r="768" spans="2:7">
      <c r="B768" s="60" t="s">
        <v>3163</v>
      </c>
      <c r="C768" s="31"/>
      <c r="D768" s="922">
        <f>'BASIC DATA'!$C$577</f>
        <v>0.13614999999999999</v>
      </c>
      <c r="E768" s="85">
        <f>ROUND(E767*D768,1)</f>
        <v>156.5</v>
      </c>
    </row>
    <row r="769" spans="1:7">
      <c r="B769" s="60" t="s">
        <v>5949</v>
      </c>
      <c r="C769" s="31"/>
      <c r="D769" s="31"/>
      <c r="E769" s="199">
        <f>ROUND(E768+E767,1)</f>
        <v>1306.0999999999999</v>
      </c>
      <c r="F769" s="57"/>
    </row>
    <row r="770" spans="1:7">
      <c r="B770" s="26"/>
      <c r="C770" s="26"/>
    </row>
    <row r="771" spans="1:7">
      <c r="B771" s="170" t="s">
        <v>1175</v>
      </c>
      <c r="C771" s="26"/>
    </row>
    <row r="772" spans="1:7">
      <c r="B772" s="26" t="s">
        <v>1176</v>
      </c>
      <c r="C772" s="26"/>
      <c r="F772" s="171" t="s">
        <v>1698</v>
      </c>
      <c r="G772" s="68">
        <f>G734</f>
        <v>42629.508420094193</v>
      </c>
    </row>
    <row r="773" spans="1:7">
      <c r="B773" s="26" t="s">
        <v>1186</v>
      </c>
      <c r="C773" s="26"/>
      <c r="F773" s="171" t="s">
        <v>1698</v>
      </c>
      <c r="G773" s="68">
        <f>G747</f>
        <v>2020.7500000000002</v>
      </c>
    </row>
    <row r="774" spans="1:7">
      <c r="B774" s="26" t="s">
        <v>2660</v>
      </c>
      <c r="C774" s="26"/>
      <c r="F774" s="171" t="s">
        <v>1698</v>
      </c>
      <c r="G774" s="75">
        <f>G766</f>
        <v>17681.493000000002</v>
      </c>
    </row>
    <row r="775" spans="1:7">
      <c r="B775" s="78"/>
      <c r="C775" s="26"/>
      <c r="E775" s="171"/>
      <c r="F775" s="171" t="s">
        <v>302</v>
      </c>
      <c r="G775" s="205">
        <f>SUM(G772:G774)</f>
        <v>62331.751420094195</v>
      </c>
    </row>
    <row r="776" spans="1:7">
      <c r="B776" s="1206" t="s">
        <v>1379</v>
      </c>
      <c r="C776" s="1206"/>
      <c r="E776" s="922">
        <f>'BASIC DATA'!$C$577</f>
        <v>0.13614999999999999</v>
      </c>
      <c r="F776" s="26" t="s">
        <v>1698</v>
      </c>
      <c r="G776" s="26">
        <f>ROUND(G775*E776,2)</f>
        <v>8486.4699999999993</v>
      </c>
    </row>
    <row r="777" spans="1:7">
      <c r="B777" s="26" t="s">
        <v>1191</v>
      </c>
      <c r="C777" s="26"/>
      <c r="D777" s="68">
        <f>F720</f>
        <v>15.38</v>
      </c>
      <c r="E777" s="68" t="str">
        <f>G720</f>
        <v>cum</v>
      </c>
      <c r="F777" s="26" t="s">
        <v>1698</v>
      </c>
      <c r="G777" s="211">
        <f>G776+G775</f>
        <v>70818.221420094196</v>
      </c>
    </row>
    <row r="778" spans="1:7">
      <c r="B778" s="170" t="s">
        <v>1584</v>
      </c>
      <c r="C778" s="211" t="str">
        <f>E777</f>
        <v>cum</v>
      </c>
      <c r="D778" s="26" t="s">
        <v>7801</v>
      </c>
      <c r="F778" s="26" t="s">
        <v>4108</v>
      </c>
      <c r="G778" s="211">
        <f>ROUND(G777/D777,1)</f>
        <v>4604.6000000000004</v>
      </c>
    </row>
    <row r="779" spans="1:7">
      <c r="B779" s="78"/>
      <c r="C779" s="26"/>
    </row>
    <row r="780" spans="1:7">
      <c r="B780" s="78"/>
      <c r="C780" s="26"/>
    </row>
    <row r="781" spans="1:7" ht="18.75">
      <c r="A781" s="865" t="s">
        <v>7543</v>
      </c>
      <c r="B781" s="26" t="s">
        <v>8793</v>
      </c>
      <c r="C781" s="26"/>
    </row>
    <row r="782" spans="1:7" ht="18.75">
      <c r="A782" s="865"/>
      <c r="B782" s="26" t="s">
        <v>8916</v>
      </c>
      <c r="C782" s="26"/>
    </row>
    <row r="783" spans="1:7">
      <c r="A783" s="865"/>
      <c r="B783" s="26" t="s">
        <v>7997</v>
      </c>
      <c r="C783" s="26"/>
    </row>
    <row r="784" spans="1:7">
      <c r="A784" s="865"/>
      <c r="B784" s="26" t="s">
        <v>6</v>
      </c>
      <c r="C784" s="26"/>
    </row>
    <row r="785" spans="1:7" ht="18.75">
      <c r="A785" s="865"/>
      <c r="B785" s="170" t="s">
        <v>8915</v>
      </c>
      <c r="C785" s="26"/>
    </row>
    <row r="786" spans="1:7">
      <c r="A786" s="865"/>
      <c r="B786" s="170" t="s">
        <v>7820</v>
      </c>
      <c r="C786" s="26"/>
    </row>
    <row r="787" spans="1:7">
      <c r="A787" s="855"/>
      <c r="B787" s="248" t="s">
        <v>4220</v>
      </c>
      <c r="C787" s="61"/>
      <c r="D787" s="61"/>
      <c r="E787" s="61"/>
      <c r="F787" s="61"/>
      <c r="G787" s="61"/>
    </row>
    <row r="788" spans="1:7">
      <c r="A788" s="823"/>
      <c r="B788" s="26"/>
      <c r="C788" s="26"/>
    </row>
    <row r="789" spans="1:7" hidden="1">
      <c r="A789" s="865" t="s">
        <v>3984</v>
      </c>
      <c r="B789" s="26" t="s">
        <v>5780</v>
      </c>
      <c r="C789" s="26"/>
    </row>
    <row r="790" spans="1:7" hidden="1">
      <c r="A790" s="865"/>
      <c r="B790" s="26" t="s">
        <v>3503</v>
      </c>
      <c r="C790" s="26"/>
    </row>
    <row r="791" spans="1:7" hidden="1">
      <c r="A791" s="865"/>
      <c r="B791" s="26" t="s">
        <v>7821</v>
      </c>
      <c r="C791" s="26"/>
    </row>
    <row r="792" spans="1:7" hidden="1">
      <c r="A792" s="865"/>
      <c r="B792" s="26"/>
      <c r="C792" s="26"/>
    </row>
    <row r="793" spans="1:7" hidden="1">
      <c r="A793" s="855"/>
      <c r="B793" s="61" t="s">
        <v>7822</v>
      </c>
      <c r="C793" s="61"/>
      <c r="D793" s="62">
        <f>ROUND(100*4.5*8/250,2)</f>
        <v>14.4</v>
      </c>
      <c r="E793" s="61" t="s">
        <v>3760</v>
      </c>
      <c r="F793" s="61"/>
      <c r="G793" s="61"/>
    </row>
    <row r="794" spans="1:7" hidden="1">
      <c r="A794" s="865"/>
      <c r="B794" s="26" t="s">
        <v>2843</v>
      </c>
      <c r="C794" s="26"/>
    </row>
    <row r="795" spans="1:7" hidden="1">
      <c r="A795" s="865"/>
      <c r="B795" s="26" t="s">
        <v>994</v>
      </c>
      <c r="C795" s="26"/>
    </row>
    <row r="796" spans="1:7" hidden="1">
      <c r="A796" s="865"/>
      <c r="B796" s="26" t="s">
        <v>933</v>
      </c>
      <c r="C796" s="26"/>
      <c r="E796" s="78" t="s">
        <v>1698</v>
      </c>
      <c r="F796" s="217">
        <f>G667</f>
        <v>224.56752690000002</v>
      </c>
      <c r="G796" s="26" t="s">
        <v>1168</v>
      </c>
    </row>
    <row r="797" spans="1:7" hidden="1">
      <c r="A797" s="865"/>
      <c r="B797" s="26" t="s">
        <v>995</v>
      </c>
      <c r="C797" s="26"/>
      <c r="E797" s="78" t="s">
        <v>1697</v>
      </c>
      <c r="F797" s="26" t="s">
        <v>996</v>
      </c>
    </row>
    <row r="798" spans="1:7" hidden="1">
      <c r="A798" s="865"/>
      <c r="B798" s="26" t="s">
        <v>934</v>
      </c>
      <c r="C798" s="26"/>
      <c r="E798" s="78" t="s">
        <v>1698</v>
      </c>
      <c r="F798" s="217">
        <f>G693</f>
        <v>88.5</v>
      </c>
      <c r="G798" s="26" t="s">
        <v>1168</v>
      </c>
    </row>
    <row r="799" spans="1:7" hidden="1">
      <c r="A799" s="865"/>
      <c r="B799" s="26" t="s">
        <v>7616</v>
      </c>
      <c r="C799" s="26"/>
      <c r="E799" s="27" t="s">
        <v>2075</v>
      </c>
    </row>
    <row r="800" spans="1:7" hidden="1">
      <c r="A800" s="865"/>
      <c r="B800" s="26" t="s">
        <v>451</v>
      </c>
      <c r="C800" s="26"/>
    </row>
    <row r="801" spans="1:7" hidden="1">
      <c r="A801" s="865"/>
      <c r="B801" s="26" t="s">
        <v>935</v>
      </c>
      <c r="C801" s="26"/>
    </row>
    <row r="802" spans="1:7">
      <c r="B802" s="78"/>
      <c r="C802" s="26"/>
    </row>
    <row r="803" spans="1:7">
      <c r="A803" s="865" t="s">
        <v>3984</v>
      </c>
      <c r="B803" s="78"/>
      <c r="C803" s="203" t="s">
        <v>2367</v>
      </c>
      <c r="E803" s="171" t="s">
        <v>297</v>
      </c>
      <c r="F803" s="246">
        <f>D793</f>
        <v>14.4</v>
      </c>
      <c r="G803" s="26" t="s">
        <v>3477</v>
      </c>
    </row>
    <row r="804" spans="1:7">
      <c r="B804" s="79" t="s">
        <v>2368</v>
      </c>
      <c r="C804" s="26"/>
    </row>
    <row r="805" spans="1:7">
      <c r="B805" s="95" t="s">
        <v>2369</v>
      </c>
      <c r="C805" s="157" t="s">
        <v>4443</v>
      </c>
      <c r="D805" s="95" t="s">
        <v>2370</v>
      </c>
      <c r="E805" s="95" t="s">
        <v>1166</v>
      </c>
      <c r="F805" s="95" t="s">
        <v>2371</v>
      </c>
      <c r="G805" s="95" t="s">
        <v>2372</v>
      </c>
    </row>
    <row r="806" spans="1:7">
      <c r="B806" s="114"/>
      <c r="C806" s="154"/>
      <c r="D806" s="114"/>
      <c r="E806" s="114"/>
      <c r="F806" s="114" t="s">
        <v>3485</v>
      </c>
      <c r="G806" s="114" t="s">
        <v>3485</v>
      </c>
    </row>
    <row r="807" spans="1:7">
      <c r="B807" s="95">
        <v>1</v>
      </c>
      <c r="C807" s="135" t="s">
        <v>1048</v>
      </c>
      <c r="D807" s="95" t="s">
        <v>3478</v>
      </c>
      <c r="E807" s="190">
        <f>250*F803</f>
        <v>3600</v>
      </c>
      <c r="F807" s="214">
        <f>'BASIC DATA'!$D$32/1000</f>
        <v>5.35</v>
      </c>
      <c r="G807" s="190">
        <f>E807*F807</f>
        <v>19260</v>
      </c>
    </row>
    <row r="808" spans="1:7">
      <c r="B808" s="317"/>
      <c r="C808" s="135" t="s">
        <v>7212</v>
      </c>
      <c r="D808" s="105" t="s">
        <v>3478</v>
      </c>
      <c r="E808" s="190">
        <f>F803*3</f>
        <v>43.2</v>
      </c>
      <c r="F808" s="214">
        <f>'BASIC DATA'!$D$32/1000</f>
        <v>5.35</v>
      </c>
      <c r="G808" s="190">
        <f t="shared" ref="G808:G817" si="8">E808*F808</f>
        <v>231.12</v>
      </c>
    </row>
    <row r="809" spans="1:7">
      <c r="B809" s="105">
        <v>2</v>
      </c>
      <c r="C809" s="135" t="s">
        <v>6997</v>
      </c>
      <c r="D809" s="105" t="s">
        <v>3477</v>
      </c>
      <c r="E809" s="190">
        <f>0.98*F803*0.35</f>
        <v>4.9391999999999996</v>
      </c>
      <c r="F809" s="214">
        <f>'BASIC DATA'!$D$37</f>
        <v>650</v>
      </c>
      <c r="G809" s="190">
        <f t="shared" si="8"/>
        <v>3210.4799999999996</v>
      </c>
    </row>
    <row r="810" spans="1:7">
      <c r="B810" s="317"/>
      <c r="C810" s="135" t="s">
        <v>6996</v>
      </c>
      <c r="D810" s="105" t="s">
        <v>3477</v>
      </c>
      <c r="E810" s="190">
        <f>0.98*F803*0.3</f>
        <v>4.2336</v>
      </c>
      <c r="F810" s="214">
        <f>'BASIC DATA'!$D$36</f>
        <v>1175</v>
      </c>
      <c r="G810" s="190">
        <f t="shared" si="8"/>
        <v>4974.4800000000005</v>
      </c>
    </row>
    <row r="811" spans="1:7">
      <c r="B811" s="317"/>
      <c r="C811" s="135" t="s">
        <v>6995</v>
      </c>
      <c r="D811" s="105" t="s">
        <v>3477</v>
      </c>
      <c r="E811" s="190">
        <f>0.98*F803*0.2</f>
        <v>2.8224</v>
      </c>
      <c r="F811" s="214">
        <f>'BASIC DATA'!$D$35</f>
        <v>1225</v>
      </c>
      <c r="G811" s="190">
        <f t="shared" si="8"/>
        <v>3457.44</v>
      </c>
    </row>
    <row r="812" spans="1:7">
      <c r="B812" s="317"/>
      <c r="C812" s="135" t="s">
        <v>1050</v>
      </c>
      <c r="D812" s="105" t="s">
        <v>3477</v>
      </c>
      <c r="E812" s="190">
        <f>0.98*F803*0.15</f>
        <v>2.1168</v>
      </c>
      <c r="F812" s="214">
        <f>'BASIC DATA'!$D$34</f>
        <v>900</v>
      </c>
      <c r="G812" s="190">
        <f t="shared" si="8"/>
        <v>1905.1200000000001</v>
      </c>
    </row>
    <row r="813" spans="1:7">
      <c r="A813" s="853"/>
      <c r="B813" s="240">
        <v>3</v>
      </c>
      <c r="C813" s="326" t="s">
        <v>7941</v>
      </c>
      <c r="D813" s="240" t="s">
        <v>3477</v>
      </c>
      <c r="E813" s="255">
        <f>0.35*F803</f>
        <v>5.04</v>
      </c>
      <c r="F813" s="266">
        <f>'BASIC DATA'!$D$55</f>
        <v>95</v>
      </c>
      <c r="G813" s="255">
        <f t="shared" si="8"/>
        <v>478.8</v>
      </c>
    </row>
    <row r="814" spans="1:7">
      <c r="B814" s="105">
        <v>4</v>
      </c>
      <c r="C814" s="135" t="s">
        <v>523</v>
      </c>
      <c r="D814" s="105" t="s">
        <v>3478</v>
      </c>
      <c r="E814" s="190">
        <f>E807*0.4%</f>
        <v>14.4</v>
      </c>
      <c r="F814" s="214">
        <f>'BASIC DATA'!$D$99</f>
        <v>55</v>
      </c>
      <c r="G814" s="190">
        <f t="shared" si="8"/>
        <v>792</v>
      </c>
    </row>
    <row r="815" spans="1:7">
      <c r="B815" s="105">
        <v>5</v>
      </c>
      <c r="C815" s="135" t="s">
        <v>7213</v>
      </c>
      <c r="D815" s="105" t="s">
        <v>3479</v>
      </c>
      <c r="E815" s="190">
        <f>F803</f>
        <v>14.4</v>
      </c>
      <c r="F815" s="214">
        <f>F796</f>
        <v>224.56752690000002</v>
      </c>
      <c r="G815" s="190">
        <f t="shared" si="8"/>
        <v>3233.7723873600003</v>
      </c>
    </row>
    <row r="816" spans="1:7">
      <c r="B816" s="317"/>
      <c r="C816" s="135" t="s">
        <v>5408</v>
      </c>
      <c r="D816" s="224">
        <v>0.1</v>
      </c>
      <c r="E816" s="190"/>
      <c r="F816" s="214"/>
      <c r="G816" s="190">
        <f>G815*D816</f>
        <v>323.37723873600004</v>
      </c>
    </row>
    <row r="817" spans="2:7">
      <c r="B817" s="114">
        <v>6</v>
      </c>
      <c r="C817" s="135" t="s">
        <v>2373</v>
      </c>
      <c r="D817" s="105" t="s">
        <v>2173</v>
      </c>
      <c r="E817" s="190">
        <v>0.5</v>
      </c>
      <c r="F817" s="214">
        <f>'BASIC DATA'!$D$359</f>
        <v>30</v>
      </c>
      <c r="G817" s="190">
        <f t="shared" si="8"/>
        <v>15</v>
      </c>
    </row>
    <row r="818" spans="2:7">
      <c r="B818" s="92"/>
      <c r="C818" s="193" t="s">
        <v>2376</v>
      </c>
      <c r="D818" s="159"/>
      <c r="E818" s="238"/>
      <c r="F818" s="236" t="s">
        <v>1698</v>
      </c>
      <c r="G818" s="318">
        <f>SUM(G807:G817)</f>
        <v>37881.589626096</v>
      </c>
    </row>
    <row r="819" spans="2:7">
      <c r="B819" s="78"/>
      <c r="C819" s="26"/>
    </row>
    <row r="820" spans="2:7">
      <c r="B820" s="79" t="s">
        <v>2377</v>
      </c>
      <c r="C820" s="26"/>
    </row>
    <row r="821" spans="2:7">
      <c r="B821" s="95" t="s">
        <v>2369</v>
      </c>
      <c r="C821" s="157" t="s">
        <v>2378</v>
      </c>
      <c r="D821" s="95" t="s">
        <v>2370</v>
      </c>
      <c r="E821" s="95" t="s">
        <v>1166</v>
      </c>
      <c r="F821" s="95" t="s">
        <v>2371</v>
      </c>
      <c r="G821" s="95" t="s">
        <v>2372</v>
      </c>
    </row>
    <row r="822" spans="2:7">
      <c r="B822" s="114"/>
      <c r="C822" s="154"/>
      <c r="D822" s="114"/>
      <c r="E822" s="114"/>
      <c r="F822" s="114" t="s">
        <v>3485</v>
      </c>
      <c r="G822" s="114" t="s">
        <v>3485</v>
      </c>
    </row>
    <row r="823" spans="2:7">
      <c r="B823" s="95">
        <v>1</v>
      </c>
      <c r="C823" s="135" t="s">
        <v>2076</v>
      </c>
      <c r="D823" s="95" t="s">
        <v>2374</v>
      </c>
      <c r="E823" s="190">
        <v>8</v>
      </c>
      <c r="F823" s="190">
        <f>'HIRE CHARGES'!$D$509</f>
        <v>92.7</v>
      </c>
      <c r="G823" s="190">
        <f>E823*F823</f>
        <v>741.6</v>
      </c>
    </row>
    <row r="824" spans="2:7">
      <c r="B824" s="317"/>
      <c r="C824" s="135" t="s">
        <v>2379</v>
      </c>
      <c r="D824" s="105" t="s">
        <v>2374</v>
      </c>
      <c r="E824" s="190">
        <v>8</v>
      </c>
      <c r="F824" s="190">
        <f>'HIRE CHARGES'!$E$509</f>
        <v>158.69999999999999</v>
      </c>
      <c r="G824" s="190">
        <f t="shared" ref="G824:G830" si="9">E824*F824</f>
        <v>1269.5999999999999</v>
      </c>
    </row>
    <row r="825" spans="2:7">
      <c r="B825" s="105">
        <v>2</v>
      </c>
      <c r="C825" s="135" t="s">
        <v>189</v>
      </c>
      <c r="D825" s="105" t="s">
        <v>2374</v>
      </c>
      <c r="E825" s="190">
        <v>0.5</v>
      </c>
      <c r="F825" s="190">
        <f>'HIRE CHARGES'!$D$517</f>
        <v>10.199999999999999</v>
      </c>
      <c r="G825" s="190">
        <f t="shared" si="9"/>
        <v>5.0999999999999996</v>
      </c>
    </row>
    <row r="826" spans="2:7">
      <c r="B826" s="317"/>
      <c r="C826" s="135" t="s">
        <v>2379</v>
      </c>
      <c r="D826" s="105" t="s">
        <v>2374</v>
      </c>
      <c r="E826" s="190">
        <v>0.5</v>
      </c>
      <c r="F826" s="190">
        <f>'HIRE CHARGES'!$E$517</f>
        <v>79.3</v>
      </c>
      <c r="G826" s="190">
        <f t="shared" si="9"/>
        <v>39.65</v>
      </c>
    </row>
    <row r="827" spans="2:7">
      <c r="B827" s="105">
        <v>3</v>
      </c>
      <c r="C827" s="135" t="s">
        <v>6286</v>
      </c>
      <c r="D827" s="105" t="s">
        <v>2374</v>
      </c>
      <c r="E827" s="190">
        <v>1</v>
      </c>
      <c r="F827" s="190">
        <f>'HIRE CHARGES'!$D$555</f>
        <v>402.5</v>
      </c>
      <c r="G827" s="190">
        <f t="shared" si="9"/>
        <v>402.5</v>
      </c>
    </row>
    <row r="828" spans="2:7">
      <c r="B828" s="317"/>
      <c r="C828" s="135" t="s">
        <v>2379</v>
      </c>
      <c r="D828" s="105" t="s">
        <v>2374</v>
      </c>
      <c r="E828" s="190">
        <v>1</v>
      </c>
      <c r="F828" s="190">
        <f>'HIRE CHARGES'!$E$555</f>
        <v>299.89999999999998</v>
      </c>
      <c r="G828" s="190">
        <f t="shared" si="9"/>
        <v>299.89999999999998</v>
      </c>
    </row>
    <row r="829" spans="2:7">
      <c r="B829" s="105">
        <v>4</v>
      </c>
      <c r="C829" s="135" t="s">
        <v>5559</v>
      </c>
      <c r="D829" s="105" t="s">
        <v>2374</v>
      </c>
      <c r="E829" s="190">
        <v>8</v>
      </c>
      <c r="F829" s="190">
        <f>'HIRE CHARGES'!$D$533</f>
        <v>8.1999999999999993</v>
      </c>
      <c r="G829" s="190">
        <f t="shared" si="9"/>
        <v>65.599999999999994</v>
      </c>
    </row>
    <row r="830" spans="2:7">
      <c r="B830" s="280"/>
      <c r="C830" s="135" t="s">
        <v>2379</v>
      </c>
      <c r="D830" s="105" t="s">
        <v>2374</v>
      </c>
      <c r="E830" s="190">
        <v>8</v>
      </c>
      <c r="F830" s="190">
        <f>'HIRE CHARGES'!$E$533</f>
        <v>28.2</v>
      </c>
      <c r="G830" s="190">
        <f t="shared" si="9"/>
        <v>225.6</v>
      </c>
    </row>
    <row r="831" spans="2:7">
      <c r="B831" s="176"/>
      <c r="C831" s="172" t="s">
        <v>2380</v>
      </c>
      <c r="D831" s="174"/>
      <c r="E831" s="192"/>
      <c r="F831" s="236" t="s">
        <v>1698</v>
      </c>
      <c r="G831" s="318">
        <f>SUM(G823:G830)</f>
        <v>3049.5499999999997</v>
      </c>
    </row>
    <row r="832" spans="2:7">
      <c r="B832" s="78"/>
      <c r="C832" s="26"/>
    </row>
    <row r="833" spans="2:7">
      <c r="B833" s="79" t="s">
        <v>2381</v>
      </c>
      <c r="C833" s="26"/>
    </row>
    <row r="834" spans="2:7">
      <c r="B834" s="95" t="s">
        <v>2369</v>
      </c>
      <c r="C834" s="157" t="s">
        <v>2378</v>
      </c>
      <c r="D834" s="95" t="s">
        <v>2370</v>
      </c>
      <c r="E834" s="95" t="s">
        <v>1166</v>
      </c>
      <c r="F834" s="95" t="s">
        <v>2371</v>
      </c>
      <c r="G834" s="95" t="s">
        <v>2372</v>
      </c>
    </row>
    <row r="835" spans="2:7">
      <c r="B835" s="114"/>
      <c r="C835" s="154"/>
      <c r="D835" s="114"/>
      <c r="E835" s="114"/>
      <c r="F835" s="114" t="s">
        <v>3485</v>
      </c>
      <c r="G835" s="114" t="s">
        <v>3485</v>
      </c>
    </row>
    <row r="836" spans="2:7">
      <c r="B836" s="105">
        <v>1</v>
      </c>
      <c r="C836" s="76" t="s">
        <v>527</v>
      </c>
      <c r="D836" s="105" t="s">
        <v>2374</v>
      </c>
      <c r="E836" s="207">
        <v>8</v>
      </c>
      <c r="F836" s="190">
        <f>'HIRE CHARGES'!$F$509</f>
        <v>219.7</v>
      </c>
      <c r="G836" s="190">
        <f>E836*F836</f>
        <v>1757.6</v>
      </c>
    </row>
    <row r="837" spans="2:7">
      <c r="B837" s="105">
        <v>2</v>
      </c>
      <c r="C837" s="76" t="s">
        <v>999</v>
      </c>
      <c r="D837" s="105" t="s">
        <v>2374</v>
      </c>
      <c r="E837" s="207">
        <v>0.5</v>
      </c>
      <c r="F837" s="190">
        <f>'HIRE CHARGES'!$F$517</f>
        <v>111.1</v>
      </c>
      <c r="G837" s="190">
        <f t="shared" ref="G837:G848" si="10">E837*F837</f>
        <v>55.55</v>
      </c>
    </row>
    <row r="838" spans="2:7">
      <c r="B838" s="105">
        <v>3</v>
      </c>
      <c r="C838" s="76" t="s">
        <v>1000</v>
      </c>
      <c r="D838" s="105" t="s">
        <v>2374</v>
      </c>
      <c r="E838" s="207">
        <v>1</v>
      </c>
      <c r="F838" s="190">
        <f>'HIRE CHARGES'!$F$555</f>
        <v>177.5</v>
      </c>
      <c r="G838" s="190">
        <f t="shared" si="10"/>
        <v>177.5</v>
      </c>
    </row>
    <row r="839" spans="2:7">
      <c r="B839" s="105">
        <v>4</v>
      </c>
      <c r="C839" s="76" t="s">
        <v>439</v>
      </c>
      <c r="D839" s="105" t="s">
        <v>2374</v>
      </c>
      <c r="E839" s="207">
        <v>8</v>
      </c>
      <c r="F839" s="190">
        <f>'HIRE CHARGES'!$F$533</f>
        <v>158.19999999999999</v>
      </c>
      <c r="G839" s="190">
        <f t="shared" si="10"/>
        <v>1265.5999999999999</v>
      </c>
    </row>
    <row r="840" spans="2:7">
      <c r="B840" s="105">
        <v>5</v>
      </c>
      <c r="C840" s="76" t="s">
        <v>440</v>
      </c>
      <c r="D840" s="105" t="s">
        <v>1172</v>
      </c>
      <c r="E840" s="207">
        <v>1</v>
      </c>
      <c r="F840" s="190">
        <f>'BASIC DATA'!$C$474</f>
        <v>445</v>
      </c>
      <c r="G840" s="190">
        <f t="shared" si="10"/>
        <v>445</v>
      </c>
    </row>
    <row r="841" spans="2:7">
      <c r="B841" s="105">
        <v>6</v>
      </c>
      <c r="C841" s="76" t="s">
        <v>4206</v>
      </c>
      <c r="D841" s="105" t="s">
        <v>1172</v>
      </c>
      <c r="E841" s="207">
        <v>1</v>
      </c>
      <c r="F841" s="190">
        <f>'BASIC DATA'!$C$473</f>
        <v>450</v>
      </c>
      <c r="G841" s="190">
        <f t="shared" si="10"/>
        <v>450</v>
      </c>
    </row>
    <row r="842" spans="2:7">
      <c r="B842" s="105">
        <v>7</v>
      </c>
      <c r="C842" s="76" t="s">
        <v>2697</v>
      </c>
      <c r="D842" s="105"/>
      <c r="E842" s="207"/>
      <c r="F842" s="190"/>
      <c r="G842" s="190"/>
    </row>
    <row r="843" spans="2:7">
      <c r="B843" s="317"/>
      <c r="C843" s="76" t="s">
        <v>441</v>
      </c>
      <c r="D843" s="105" t="s">
        <v>1172</v>
      </c>
      <c r="E843" s="207">
        <v>11</v>
      </c>
      <c r="F843" s="190">
        <f>'BASIC DATA'!$C$552</f>
        <v>350</v>
      </c>
      <c r="G843" s="190">
        <f t="shared" si="10"/>
        <v>3850</v>
      </c>
    </row>
    <row r="844" spans="2:7">
      <c r="B844" s="317"/>
      <c r="C844" s="76" t="s">
        <v>442</v>
      </c>
      <c r="D844" s="105" t="s">
        <v>1172</v>
      </c>
      <c r="E844" s="207">
        <v>4</v>
      </c>
      <c r="F844" s="190">
        <f>'BASIC DATA'!$C$552</f>
        <v>350</v>
      </c>
      <c r="G844" s="190">
        <f t="shared" si="10"/>
        <v>1400</v>
      </c>
    </row>
    <row r="845" spans="2:7">
      <c r="B845" s="317"/>
      <c r="C845" s="76" t="s">
        <v>5151</v>
      </c>
      <c r="D845" s="105" t="s">
        <v>1172</v>
      </c>
      <c r="E845" s="207">
        <v>3</v>
      </c>
      <c r="F845" s="190">
        <f>'BASIC DATA'!$C$552</f>
        <v>350</v>
      </c>
      <c r="G845" s="190">
        <f t="shared" si="10"/>
        <v>1050</v>
      </c>
    </row>
    <row r="846" spans="2:7">
      <c r="B846" s="317"/>
      <c r="C846" s="76" t="s">
        <v>444</v>
      </c>
      <c r="D846" s="105" t="s">
        <v>1172</v>
      </c>
      <c r="E846" s="207">
        <f>F803</f>
        <v>14.4</v>
      </c>
      <c r="F846" s="190">
        <f>'BASIC DATA'!$C$552</f>
        <v>350</v>
      </c>
      <c r="G846" s="190">
        <f t="shared" si="10"/>
        <v>5040</v>
      </c>
    </row>
    <row r="847" spans="2:7">
      <c r="B847" s="317"/>
      <c r="C847" s="76" t="s">
        <v>445</v>
      </c>
      <c r="D847" s="105" t="s">
        <v>1172</v>
      </c>
      <c r="E847" s="207">
        <v>1</v>
      </c>
      <c r="F847" s="190">
        <f>'BASIC DATA'!$C$552</f>
        <v>350</v>
      </c>
      <c r="G847" s="190">
        <f t="shared" si="10"/>
        <v>350</v>
      </c>
    </row>
    <row r="848" spans="2:7">
      <c r="B848" s="105">
        <v>8</v>
      </c>
      <c r="C848" s="76" t="s">
        <v>7215</v>
      </c>
      <c r="D848" s="105" t="s">
        <v>3479</v>
      </c>
      <c r="E848" s="207">
        <f>F803</f>
        <v>14.4</v>
      </c>
      <c r="F848" s="190">
        <f>F798</f>
        <v>88.5</v>
      </c>
      <c r="G848" s="190">
        <f t="shared" si="10"/>
        <v>1274.4000000000001</v>
      </c>
    </row>
    <row r="849" spans="2:7">
      <c r="B849" s="317"/>
      <c r="C849" s="76" t="s">
        <v>6402</v>
      </c>
      <c r="D849" s="224">
        <v>0.1</v>
      </c>
      <c r="E849" s="207"/>
      <c r="F849" s="190"/>
      <c r="G849" s="190">
        <f>G848*D849</f>
        <v>127.44000000000001</v>
      </c>
    </row>
    <row r="850" spans="2:7">
      <c r="B850" s="92"/>
      <c r="C850" s="193" t="s">
        <v>1174</v>
      </c>
      <c r="D850" s="159"/>
      <c r="E850" s="238"/>
      <c r="F850" s="236" t="s">
        <v>1698</v>
      </c>
      <c r="G850" s="318">
        <f>SUM(G836:G849)</f>
        <v>17243.09</v>
      </c>
    </row>
    <row r="851" spans="2:7">
      <c r="B851" s="60" t="s">
        <v>5948</v>
      </c>
      <c r="C851" s="26"/>
      <c r="D851" s="31"/>
      <c r="E851" s="85">
        <f>ROUND(G850/F803,1)</f>
        <v>1197.4000000000001</v>
      </c>
    </row>
    <row r="852" spans="2:7">
      <c r="B852" s="60" t="s">
        <v>3163</v>
      </c>
      <c r="C852" s="26"/>
      <c r="D852" s="922">
        <f>'BASIC DATA'!$C$577</f>
        <v>0.13614999999999999</v>
      </c>
      <c r="E852" s="85">
        <f>ROUND(E851*D852,1)</f>
        <v>163</v>
      </c>
    </row>
    <row r="853" spans="2:7">
      <c r="B853" s="60" t="s">
        <v>5949</v>
      </c>
      <c r="C853" s="26"/>
      <c r="D853" s="31"/>
      <c r="E853" s="199">
        <f>ROUND(E852+E851,1)</f>
        <v>1360.4</v>
      </c>
      <c r="F853" s="57"/>
    </row>
    <row r="854" spans="2:7">
      <c r="B854" s="26"/>
      <c r="C854" s="26"/>
    </row>
    <row r="855" spans="2:7">
      <c r="B855" s="170" t="s">
        <v>1175</v>
      </c>
      <c r="C855" s="26"/>
    </row>
    <row r="856" spans="2:7">
      <c r="B856" s="26" t="s">
        <v>1176</v>
      </c>
      <c r="C856" s="26"/>
      <c r="F856" s="171" t="s">
        <v>1698</v>
      </c>
      <c r="G856" s="68">
        <f>G818</f>
        <v>37881.589626096</v>
      </c>
    </row>
    <row r="857" spans="2:7">
      <c r="B857" s="26" t="s">
        <v>1186</v>
      </c>
      <c r="C857" s="26"/>
      <c r="F857" s="171" t="s">
        <v>1698</v>
      </c>
      <c r="G857" s="68">
        <f>G831</f>
        <v>3049.5499999999997</v>
      </c>
    </row>
    <row r="858" spans="2:7">
      <c r="B858" s="26" t="s">
        <v>2660</v>
      </c>
      <c r="C858" s="26"/>
      <c r="F858" s="171" t="s">
        <v>1698</v>
      </c>
      <c r="G858" s="75">
        <f>G850</f>
        <v>17243.09</v>
      </c>
    </row>
    <row r="859" spans="2:7">
      <c r="B859" s="78"/>
      <c r="C859" s="26"/>
      <c r="E859" s="171"/>
      <c r="F859" s="171" t="s">
        <v>302</v>
      </c>
      <c r="G859" s="205">
        <f>SUM(G856:G858)</f>
        <v>58174.229626095999</v>
      </c>
    </row>
    <row r="860" spans="2:7">
      <c r="B860" s="1206" t="s">
        <v>1379</v>
      </c>
      <c r="C860" s="1206"/>
      <c r="E860" s="922">
        <f>'BASIC DATA'!$C$577</f>
        <v>0.13614999999999999</v>
      </c>
      <c r="F860" s="26" t="s">
        <v>1698</v>
      </c>
      <c r="G860" s="26">
        <f>ROUND(G859*E860,2)</f>
        <v>7920.42</v>
      </c>
    </row>
    <row r="861" spans="2:7">
      <c r="B861" s="26" t="s">
        <v>1191</v>
      </c>
      <c r="C861" s="26"/>
      <c r="D861" s="68">
        <f>F803</f>
        <v>14.4</v>
      </c>
      <c r="E861" s="68" t="str">
        <f>G803</f>
        <v>cum</v>
      </c>
      <c r="F861" s="26" t="s">
        <v>1698</v>
      </c>
      <c r="G861" s="211">
        <f>G860+G859</f>
        <v>66094.649626095998</v>
      </c>
    </row>
    <row r="862" spans="2:7">
      <c r="B862" s="170" t="s">
        <v>1584</v>
      </c>
      <c r="C862" s="211" t="str">
        <f>E861</f>
        <v>cum</v>
      </c>
      <c r="D862" s="26" t="s">
        <v>7823</v>
      </c>
      <c r="F862" s="26" t="s">
        <v>4108</v>
      </c>
      <c r="G862" s="211">
        <f>ROUND(G861/D861,1)</f>
        <v>4589.8999999999996</v>
      </c>
    </row>
    <row r="863" spans="2:7">
      <c r="B863" s="78"/>
      <c r="C863" s="26"/>
    </row>
    <row r="864" spans="2:7">
      <c r="B864" s="78"/>
      <c r="C864" s="26"/>
    </row>
    <row r="865" spans="1:7" ht="18.75">
      <c r="A865" s="865" t="s">
        <v>7544</v>
      </c>
      <c r="B865" s="26" t="s">
        <v>8774</v>
      </c>
      <c r="C865" s="26"/>
    </row>
    <row r="866" spans="1:7" ht="18.75">
      <c r="A866" s="865"/>
      <c r="B866" s="26" t="s">
        <v>8917</v>
      </c>
      <c r="C866" s="26"/>
    </row>
    <row r="867" spans="1:7">
      <c r="A867" s="865"/>
      <c r="B867" s="26" t="s">
        <v>7997</v>
      </c>
      <c r="C867" s="26"/>
    </row>
    <row r="868" spans="1:7">
      <c r="A868" s="865"/>
      <c r="B868" s="26" t="s">
        <v>6</v>
      </c>
      <c r="C868" s="26"/>
    </row>
    <row r="869" spans="1:7" ht="18.75">
      <c r="A869" s="865"/>
      <c r="B869" s="170" t="s">
        <v>8918</v>
      </c>
      <c r="C869" s="26"/>
    </row>
    <row r="870" spans="1:7">
      <c r="A870" s="865"/>
      <c r="B870" s="170" t="s">
        <v>6563</v>
      </c>
      <c r="C870" s="26"/>
    </row>
    <row r="871" spans="1:7">
      <c r="A871" s="855"/>
      <c r="B871" s="248" t="s">
        <v>4521</v>
      </c>
      <c r="C871" s="61"/>
      <c r="D871" s="61"/>
      <c r="E871" s="61"/>
      <c r="F871" s="61"/>
      <c r="G871" s="61"/>
    </row>
    <row r="872" spans="1:7">
      <c r="A872" s="865"/>
      <c r="B872" s="26"/>
      <c r="C872" s="26"/>
    </row>
    <row r="873" spans="1:7" hidden="1">
      <c r="A873" s="865" t="s">
        <v>3984</v>
      </c>
      <c r="B873" s="26" t="s">
        <v>5780</v>
      </c>
      <c r="C873" s="26"/>
    </row>
    <row r="874" spans="1:7" hidden="1">
      <c r="A874" s="865"/>
      <c r="B874" s="26" t="s">
        <v>3791</v>
      </c>
      <c r="C874" s="26"/>
    </row>
    <row r="875" spans="1:7" hidden="1">
      <c r="A875" s="865"/>
      <c r="B875" s="26" t="s">
        <v>7802</v>
      </c>
      <c r="C875" s="26"/>
    </row>
    <row r="876" spans="1:7" hidden="1">
      <c r="A876" s="865"/>
      <c r="B876" s="26" t="s">
        <v>7803</v>
      </c>
      <c r="C876" s="26"/>
      <c r="D876" s="26">
        <f>ROUND(50*9*8/220,2)</f>
        <v>16.36</v>
      </c>
      <c r="E876" s="26" t="s">
        <v>3760</v>
      </c>
    </row>
    <row r="877" spans="1:7" hidden="1">
      <c r="A877" s="865"/>
      <c r="B877" s="26" t="s">
        <v>2843</v>
      </c>
      <c r="C877" s="26"/>
    </row>
    <row r="878" spans="1:7" hidden="1">
      <c r="A878" s="865"/>
      <c r="B878" s="26" t="s">
        <v>994</v>
      </c>
      <c r="C878" s="26"/>
    </row>
    <row r="879" spans="1:7" hidden="1">
      <c r="A879" s="865"/>
      <c r="B879" s="26" t="s">
        <v>936</v>
      </c>
      <c r="C879" s="26"/>
      <c r="E879" s="68">
        <f>G667</f>
        <v>224.56752690000002</v>
      </c>
      <c r="F879" s="26" t="s">
        <v>1168</v>
      </c>
    </row>
    <row r="880" spans="1:7" hidden="1">
      <c r="A880" s="865"/>
      <c r="B880" s="26" t="s">
        <v>3792</v>
      </c>
      <c r="C880" s="26"/>
    </row>
    <row r="881" spans="1:7" hidden="1">
      <c r="A881" s="865"/>
      <c r="B881" s="26" t="s">
        <v>937</v>
      </c>
      <c r="C881" s="26"/>
      <c r="E881" s="68">
        <f>G693</f>
        <v>88.5</v>
      </c>
      <c r="F881" s="26" t="s">
        <v>1168</v>
      </c>
    </row>
    <row r="882" spans="1:7" hidden="1">
      <c r="A882" s="865"/>
      <c r="B882" s="26" t="s">
        <v>4666</v>
      </c>
      <c r="C882" s="26"/>
    </row>
    <row r="883" spans="1:7" hidden="1">
      <c r="A883" s="865"/>
      <c r="B883" s="26" t="s">
        <v>451</v>
      </c>
      <c r="C883" s="26"/>
    </row>
    <row r="884" spans="1:7" hidden="1">
      <c r="A884" s="865"/>
      <c r="B884" s="26" t="s">
        <v>938</v>
      </c>
      <c r="C884" s="26"/>
    </row>
    <row r="885" spans="1:7">
      <c r="B885" s="78"/>
      <c r="C885" s="26"/>
    </row>
    <row r="886" spans="1:7">
      <c r="A886" s="865" t="s">
        <v>3984</v>
      </c>
      <c r="B886" s="78"/>
      <c r="C886" s="203" t="s">
        <v>2367</v>
      </c>
      <c r="E886" s="171" t="s">
        <v>297</v>
      </c>
      <c r="F886" s="246">
        <f>D876</f>
        <v>16.36</v>
      </c>
      <c r="G886" s="26" t="s">
        <v>3477</v>
      </c>
    </row>
    <row r="887" spans="1:7">
      <c r="B887" s="79" t="s">
        <v>2368</v>
      </c>
      <c r="C887" s="26"/>
    </row>
    <row r="888" spans="1:7">
      <c r="B888" s="95" t="s">
        <v>2369</v>
      </c>
      <c r="C888" s="157" t="s">
        <v>4443</v>
      </c>
      <c r="D888" s="95" t="s">
        <v>2370</v>
      </c>
      <c r="E888" s="95" t="s">
        <v>1166</v>
      </c>
      <c r="F888" s="95" t="s">
        <v>2371</v>
      </c>
      <c r="G888" s="95" t="s">
        <v>2372</v>
      </c>
    </row>
    <row r="889" spans="1:7">
      <c r="B889" s="114"/>
      <c r="C889" s="154"/>
      <c r="D889" s="114"/>
      <c r="E889" s="114"/>
      <c r="F889" s="114" t="s">
        <v>3485</v>
      </c>
      <c r="G889" s="114" t="s">
        <v>3485</v>
      </c>
    </row>
    <row r="890" spans="1:7">
      <c r="B890" s="95">
        <v>1</v>
      </c>
      <c r="C890" s="135" t="s">
        <v>1048</v>
      </c>
      <c r="D890" s="95" t="s">
        <v>3478</v>
      </c>
      <c r="E890" s="190">
        <f>220*F886</f>
        <v>3599.2</v>
      </c>
      <c r="F890" s="214">
        <f>'BASIC DATA'!$D$32/1000</f>
        <v>5.35</v>
      </c>
      <c r="G890" s="190">
        <f>E890*F890</f>
        <v>19255.719999999998</v>
      </c>
    </row>
    <row r="891" spans="1:7">
      <c r="B891" s="317"/>
      <c r="C891" s="135" t="s">
        <v>7212</v>
      </c>
      <c r="D891" s="105" t="s">
        <v>3478</v>
      </c>
      <c r="E891" s="190">
        <f>F886*3</f>
        <v>49.08</v>
      </c>
      <c r="F891" s="214">
        <f>'BASIC DATA'!$D$32/1000</f>
        <v>5.35</v>
      </c>
      <c r="G891" s="190">
        <f t="shared" ref="G891:G899" si="11">E891*F891</f>
        <v>262.57799999999997</v>
      </c>
    </row>
    <row r="892" spans="1:7">
      <c r="B892" s="105">
        <v>2</v>
      </c>
      <c r="C892" s="135" t="s">
        <v>6996</v>
      </c>
      <c r="D892" s="105" t="s">
        <v>3477</v>
      </c>
      <c r="E892" s="190">
        <f>0.9*F886*0.5</f>
        <v>7.3620000000000001</v>
      </c>
      <c r="F892" s="214">
        <f>'BASIC DATA'!$D$36</f>
        <v>1175</v>
      </c>
      <c r="G892" s="190">
        <f t="shared" si="11"/>
        <v>8650.35</v>
      </c>
    </row>
    <row r="893" spans="1:7">
      <c r="B893" s="317"/>
      <c r="C893" s="135" t="s">
        <v>6995</v>
      </c>
      <c r="D893" s="105" t="s">
        <v>3477</v>
      </c>
      <c r="E893" s="190">
        <f>0.9*F886*0.3</f>
        <v>4.4172000000000002</v>
      </c>
      <c r="F893" s="214">
        <f>'BASIC DATA'!$D$35</f>
        <v>1225</v>
      </c>
      <c r="G893" s="190">
        <f t="shared" si="11"/>
        <v>5411.0700000000006</v>
      </c>
    </row>
    <row r="894" spans="1:7">
      <c r="B894" s="317"/>
      <c r="C894" s="135" t="s">
        <v>1050</v>
      </c>
      <c r="D894" s="105" t="s">
        <v>3477</v>
      </c>
      <c r="E894" s="190">
        <f>0.9*F886*0.2</f>
        <v>2.9448000000000003</v>
      </c>
      <c r="F894" s="214">
        <f>'BASIC DATA'!$D$34</f>
        <v>900</v>
      </c>
      <c r="G894" s="190">
        <f t="shared" si="11"/>
        <v>2650.32</v>
      </c>
    </row>
    <row r="895" spans="1:7">
      <c r="A895" s="853"/>
      <c r="B895" s="240">
        <v>3</v>
      </c>
      <c r="C895" s="326" t="s">
        <v>7941</v>
      </c>
      <c r="D895" s="240" t="s">
        <v>3477</v>
      </c>
      <c r="E895" s="255">
        <f>0.4*F886</f>
        <v>6.5440000000000005</v>
      </c>
      <c r="F895" s="266">
        <f>'BASIC DATA'!$D$55</f>
        <v>95</v>
      </c>
      <c r="G895" s="255">
        <f t="shared" si="11"/>
        <v>621.68000000000006</v>
      </c>
    </row>
    <row r="896" spans="1:7">
      <c r="A896" s="853"/>
      <c r="B896" s="240">
        <v>4</v>
      </c>
      <c r="C896" s="326" t="s">
        <v>523</v>
      </c>
      <c r="D896" s="240" t="s">
        <v>3478</v>
      </c>
      <c r="E896" s="255">
        <f>E890*0.4%</f>
        <v>14.396799999999999</v>
      </c>
      <c r="F896" s="266">
        <f>'BASIC DATA'!$D$99</f>
        <v>55</v>
      </c>
      <c r="G896" s="255">
        <f t="shared" si="11"/>
        <v>791.82399999999996</v>
      </c>
    </row>
    <row r="897" spans="2:7">
      <c r="B897" s="105">
        <v>5</v>
      </c>
      <c r="C897" s="135" t="s">
        <v>7213</v>
      </c>
      <c r="D897" s="105" t="s">
        <v>3479</v>
      </c>
      <c r="E897" s="190">
        <f>F886</f>
        <v>16.36</v>
      </c>
      <c r="F897" s="214">
        <f>E879</f>
        <v>224.56752690000002</v>
      </c>
      <c r="G897" s="190">
        <f t="shared" si="11"/>
        <v>3673.924740084</v>
      </c>
    </row>
    <row r="898" spans="2:7">
      <c r="B898" s="317"/>
      <c r="C898" s="135" t="s">
        <v>5408</v>
      </c>
      <c r="D898" s="224">
        <v>0.1</v>
      </c>
      <c r="E898" s="190"/>
      <c r="F898" s="214"/>
      <c r="G898" s="190">
        <f>G897*D898</f>
        <v>367.39247400840003</v>
      </c>
    </row>
    <row r="899" spans="2:7">
      <c r="B899" s="114">
        <v>6</v>
      </c>
      <c r="C899" s="139" t="s">
        <v>2373</v>
      </c>
      <c r="D899" s="114" t="s">
        <v>2173</v>
      </c>
      <c r="E899" s="182">
        <v>0.5</v>
      </c>
      <c r="F899" s="215">
        <f>'BASIC DATA'!$D$359</f>
        <v>30</v>
      </c>
      <c r="G899" s="182">
        <f t="shared" si="11"/>
        <v>15</v>
      </c>
    </row>
    <row r="900" spans="2:7">
      <c r="B900" s="92"/>
      <c r="C900" s="193" t="s">
        <v>2376</v>
      </c>
      <c r="D900" s="159"/>
      <c r="E900" s="238"/>
      <c r="F900" s="236" t="s">
        <v>1698</v>
      </c>
      <c r="G900" s="318">
        <f>SUM(G890:G899)</f>
        <v>41699.859214092401</v>
      </c>
    </row>
    <row r="901" spans="2:7">
      <c r="B901" s="78"/>
      <c r="C901" s="26"/>
    </row>
    <row r="902" spans="2:7">
      <c r="B902" s="79" t="s">
        <v>2377</v>
      </c>
      <c r="C902" s="26"/>
    </row>
    <row r="903" spans="2:7">
      <c r="B903" s="95" t="s">
        <v>2369</v>
      </c>
      <c r="C903" s="157" t="s">
        <v>2378</v>
      </c>
      <c r="D903" s="95" t="s">
        <v>2370</v>
      </c>
      <c r="E903" s="95" t="s">
        <v>1166</v>
      </c>
      <c r="F903" s="95" t="s">
        <v>2371</v>
      </c>
      <c r="G903" s="95" t="s">
        <v>2372</v>
      </c>
    </row>
    <row r="904" spans="2:7">
      <c r="B904" s="114"/>
      <c r="C904" s="154"/>
      <c r="D904" s="114"/>
      <c r="E904" s="114"/>
      <c r="F904" s="114" t="s">
        <v>3485</v>
      </c>
      <c r="G904" s="114" t="s">
        <v>3485</v>
      </c>
    </row>
    <row r="905" spans="2:7">
      <c r="B905" s="95">
        <v>1</v>
      </c>
      <c r="C905" s="135" t="s">
        <v>7214</v>
      </c>
      <c r="D905" s="95" t="s">
        <v>2374</v>
      </c>
      <c r="E905" s="190">
        <v>8</v>
      </c>
      <c r="F905" s="190">
        <f>'HIRE CHARGES'!$D$507</f>
        <v>53.5</v>
      </c>
      <c r="G905" s="190">
        <f>E905*F905</f>
        <v>428</v>
      </c>
    </row>
    <row r="906" spans="2:7">
      <c r="B906" s="317"/>
      <c r="C906" s="135" t="s">
        <v>2379</v>
      </c>
      <c r="D906" s="105" t="s">
        <v>2374</v>
      </c>
      <c r="E906" s="190">
        <v>8</v>
      </c>
      <c r="F906" s="190">
        <f>'HIRE CHARGES'!$E$507</f>
        <v>79.3</v>
      </c>
      <c r="G906" s="190">
        <f t="shared" ref="G906:G912" si="12">E906*F906</f>
        <v>634.4</v>
      </c>
    </row>
    <row r="907" spans="2:7">
      <c r="B907" s="105">
        <v>2</v>
      </c>
      <c r="C907" s="135" t="s">
        <v>189</v>
      </c>
      <c r="D907" s="105" t="s">
        <v>2374</v>
      </c>
      <c r="E907" s="190">
        <v>0.5</v>
      </c>
      <c r="F907" s="190">
        <f>'HIRE CHARGES'!$D$517</f>
        <v>10.199999999999999</v>
      </c>
      <c r="G907" s="190">
        <f t="shared" si="12"/>
        <v>5.0999999999999996</v>
      </c>
    </row>
    <row r="908" spans="2:7">
      <c r="B908" s="317"/>
      <c r="C908" s="135" t="s">
        <v>2379</v>
      </c>
      <c r="D908" s="105" t="s">
        <v>2374</v>
      </c>
      <c r="E908" s="190">
        <v>0.5</v>
      </c>
      <c r="F908" s="190">
        <f>'HIRE CHARGES'!$E$517</f>
        <v>79.3</v>
      </c>
      <c r="G908" s="190">
        <f t="shared" si="12"/>
        <v>39.65</v>
      </c>
    </row>
    <row r="909" spans="2:7">
      <c r="B909" s="105">
        <v>3</v>
      </c>
      <c r="C909" s="135" t="s">
        <v>6286</v>
      </c>
      <c r="D909" s="105" t="s">
        <v>2374</v>
      </c>
      <c r="E909" s="190">
        <v>1</v>
      </c>
      <c r="F909" s="190">
        <f>'HIRE CHARGES'!$D$555</f>
        <v>402.5</v>
      </c>
      <c r="G909" s="190">
        <f t="shared" si="12"/>
        <v>402.5</v>
      </c>
    </row>
    <row r="910" spans="2:7">
      <c r="B910" s="317"/>
      <c r="C910" s="135" t="s">
        <v>2379</v>
      </c>
      <c r="D910" s="105" t="s">
        <v>2374</v>
      </c>
      <c r="E910" s="190">
        <v>1</v>
      </c>
      <c r="F910" s="190">
        <f>'HIRE CHARGES'!$E$555</f>
        <v>299.89999999999998</v>
      </c>
      <c r="G910" s="190">
        <f t="shared" si="12"/>
        <v>299.89999999999998</v>
      </c>
    </row>
    <row r="911" spans="2:7">
      <c r="B911" s="105">
        <v>4</v>
      </c>
      <c r="C911" s="135" t="s">
        <v>526</v>
      </c>
      <c r="D911" s="105" t="s">
        <v>2374</v>
      </c>
      <c r="E911" s="190">
        <v>8</v>
      </c>
      <c r="F911" s="190">
        <f>'HIRE CHARGES'!$D$531</f>
        <v>7.6</v>
      </c>
      <c r="G911" s="190">
        <f t="shared" si="12"/>
        <v>60.8</v>
      </c>
    </row>
    <row r="912" spans="2:7">
      <c r="B912" s="275"/>
      <c r="C912" s="139" t="s">
        <v>2379</v>
      </c>
      <c r="D912" s="114" t="s">
        <v>2374</v>
      </c>
      <c r="E912" s="182">
        <v>8</v>
      </c>
      <c r="F912" s="182">
        <f>'HIRE CHARGES'!$E$531</f>
        <v>18.8</v>
      </c>
      <c r="G912" s="190">
        <f t="shared" si="12"/>
        <v>150.4</v>
      </c>
    </row>
    <row r="913" spans="2:7">
      <c r="B913" s="176"/>
      <c r="C913" s="172" t="s">
        <v>2380</v>
      </c>
      <c r="D913" s="174"/>
      <c r="E913" s="192"/>
      <c r="F913" s="275" t="s">
        <v>1698</v>
      </c>
      <c r="G913" s="318">
        <f>SUM(G905:G912)</f>
        <v>2020.7500000000002</v>
      </c>
    </row>
    <row r="914" spans="2:7">
      <c r="B914" s="78"/>
      <c r="C914" s="26"/>
    </row>
    <row r="915" spans="2:7">
      <c r="B915" s="79" t="s">
        <v>2381</v>
      </c>
      <c r="C915" s="26"/>
    </row>
    <row r="916" spans="2:7">
      <c r="B916" s="95" t="s">
        <v>2369</v>
      </c>
      <c r="C916" s="157" t="s">
        <v>2378</v>
      </c>
      <c r="D916" s="95" t="s">
        <v>2370</v>
      </c>
      <c r="E916" s="95" t="s">
        <v>1166</v>
      </c>
      <c r="F916" s="95" t="s">
        <v>2371</v>
      </c>
      <c r="G916" s="95" t="s">
        <v>2372</v>
      </c>
    </row>
    <row r="917" spans="2:7">
      <c r="B917" s="114"/>
      <c r="C917" s="154"/>
      <c r="D917" s="114"/>
      <c r="E917" s="114"/>
      <c r="F917" s="114" t="s">
        <v>3485</v>
      </c>
      <c r="G917" s="114" t="s">
        <v>3485</v>
      </c>
    </row>
    <row r="918" spans="2:7">
      <c r="B918" s="105">
        <v>1</v>
      </c>
      <c r="C918" s="76" t="s">
        <v>527</v>
      </c>
      <c r="D918" s="105" t="s">
        <v>2374</v>
      </c>
      <c r="E918" s="207">
        <v>8</v>
      </c>
      <c r="F918" s="190">
        <f>'HIRE CHARGES'!$F$507</f>
        <v>219.7</v>
      </c>
      <c r="G918" s="190">
        <f>E918*F918</f>
        <v>1757.6</v>
      </c>
    </row>
    <row r="919" spans="2:7">
      <c r="B919" s="105">
        <v>2</v>
      </c>
      <c r="C919" s="76" t="s">
        <v>999</v>
      </c>
      <c r="D919" s="105" t="s">
        <v>2374</v>
      </c>
      <c r="E919" s="207">
        <v>0.5</v>
      </c>
      <c r="F919" s="190">
        <f>'HIRE CHARGES'!$F$517</f>
        <v>111.1</v>
      </c>
      <c r="G919" s="190">
        <f t="shared" ref="G919:G930" si="13">E919*F919</f>
        <v>55.55</v>
      </c>
    </row>
    <row r="920" spans="2:7">
      <c r="B920" s="105">
        <v>3</v>
      </c>
      <c r="C920" s="76" t="s">
        <v>1000</v>
      </c>
      <c r="D920" s="105" t="s">
        <v>2374</v>
      </c>
      <c r="E920" s="207">
        <v>1</v>
      </c>
      <c r="F920" s="190">
        <f>'HIRE CHARGES'!$F$555</f>
        <v>177.5</v>
      </c>
      <c r="G920" s="190">
        <f t="shared" si="13"/>
        <v>177.5</v>
      </c>
    </row>
    <row r="921" spans="2:7">
      <c r="B921" s="105">
        <v>4</v>
      </c>
      <c r="C921" s="76" t="s">
        <v>5148</v>
      </c>
      <c r="D921" s="105" t="s">
        <v>2374</v>
      </c>
      <c r="E921" s="207">
        <v>8</v>
      </c>
      <c r="F921" s="190">
        <f>'HIRE CHARGES'!$F$531</f>
        <v>158.19999999999999</v>
      </c>
      <c r="G921" s="190">
        <f t="shared" si="13"/>
        <v>1265.5999999999999</v>
      </c>
    </row>
    <row r="922" spans="2:7">
      <c r="B922" s="105">
        <v>5</v>
      </c>
      <c r="C922" s="76" t="s">
        <v>440</v>
      </c>
      <c r="D922" s="105" t="s">
        <v>1172</v>
      </c>
      <c r="E922" s="207">
        <v>1</v>
      </c>
      <c r="F922" s="190">
        <f>'BASIC DATA'!$C$474</f>
        <v>445</v>
      </c>
      <c r="G922" s="190">
        <f t="shared" si="13"/>
        <v>445</v>
      </c>
    </row>
    <row r="923" spans="2:7">
      <c r="B923" s="105">
        <v>6</v>
      </c>
      <c r="C923" s="76" t="s">
        <v>4206</v>
      </c>
      <c r="D923" s="105" t="s">
        <v>1172</v>
      </c>
      <c r="E923" s="207">
        <v>1</v>
      </c>
      <c r="F923" s="190">
        <f>'BASIC DATA'!$C$473</f>
        <v>450</v>
      </c>
      <c r="G923" s="190">
        <f t="shared" si="13"/>
        <v>450</v>
      </c>
    </row>
    <row r="924" spans="2:7">
      <c r="B924" s="105">
        <v>7</v>
      </c>
      <c r="C924" s="76" t="s">
        <v>2697</v>
      </c>
      <c r="D924" s="105"/>
      <c r="E924" s="207"/>
      <c r="F924" s="190"/>
      <c r="G924" s="190"/>
    </row>
    <row r="925" spans="2:7">
      <c r="B925" s="317"/>
      <c r="C925" s="76" t="s">
        <v>441</v>
      </c>
      <c r="D925" s="105" t="s">
        <v>1172</v>
      </c>
      <c r="E925" s="207">
        <v>11</v>
      </c>
      <c r="F925" s="190">
        <f>'BASIC DATA'!$C$552</f>
        <v>350</v>
      </c>
      <c r="G925" s="190">
        <f t="shared" si="13"/>
        <v>3850</v>
      </c>
    </row>
    <row r="926" spans="2:7">
      <c r="B926" s="317"/>
      <c r="C926" s="76" t="s">
        <v>442</v>
      </c>
      <c r="D926" s="105" t="s">
        <v>1172</v>
      </c>
      <c r="E926" s="207">
        <v>4</v>
      </c>
      <c r="F926" s="190">
        <f>'BASIC DATA'!$C$552</f>
        <v>350</v>
      </c>
      <c r="G926" s="190">
        <f t="shared" si="13"/>
        <v>1400</v>
      </c>
    </row>
    <row r="927" spans="2:7">
      <c r="B927" s="317"/>
      <c r="C927" s="76" t="s">
        <v>5151</v>
      </c>
      <c r="D927" s="105" t="s">
        <v>1172</v>
      </c>
      <c r="E927" s="207">
        <v>3</v>
      </c>
      <c r="F927" s="190">
        <f>'BASIC DATA'!$C$552</f>
        <v>350</v>
      </c>
      <c r="G927" s="190">
        <f t="shared" si="13"/>
        <v>1050</v>
      </c>
    </row>
    <row r="928" spans="2:7">
      <c r="B928" s="317"/>
      <c r="C928" s="76" t="s">
        <v>444</v>
      </c>
      <c r="D928" s="105" t="s">
        <v>1172</v>
      </c>
      <c r="E928" s="207">
        <f>F886</f>
        <v>16.36</v>
      </c>
      <c r="F928" s="190">
        <f>'BASIC DATA'!$C$552</f>
        <v>350</v>
      </c>
      <c r="G928" s="190">
        <f t="shared" si="13"/>
        <v>5726</v>
      </c>
    </row>
    <row r="929" spans="2:7">
      <c r="B929" s="105">
        <v>8</v>
      </c>
      <c r="C929" s="76" t="s">
        <v>445</v>
      </c>
      <c r="D929" s="105" t="s">
        <v>1172</v>
      </c>
      <c r="E929" s="207">
        <v>1</v>
      </c>
      <c r="F929" s="190">
        <f>'BASIC DATA'!$C$552</f>
        <v>350</v>
      </c>
      <c r="G929" s="190">
        <f t="shared" si="13"/>
        <v>350</v>
      </c>
    </row>
    <row r="930" spans="2:7">
      <c r="B930" s="105">
        <v>9</v>
      </c>
      <c r="C930" s="76" t="s">
        <v>7215</v>
      </c>
      <c r="D930" s="105" t="s">
        <v>3479</v>
      </c>
      <c r="E930" s="207">
        <f>F886</f>
        <v>16.36</v>
      </c>
      <c r="F930" s="190">
        <f>E881</f>
        <v>88.5</v>
      </c>
      <c r="G930" s="190">
        <f t="shared" si="13"/>
        <v>1447.86</v>
      </c>
    </row>
    <row r="931" spans="2:7">
      <c r="B931" s="92"/>
      <c r="C931" s="193" t="s">
        <v>1174</v>
      </c>
      <c r="D931" s="159"/>
      <c r="E931" s="238"/>
      <c r="F931" s="236" t="s">
        <v>1698</v>
      </c>
      <c r="G931" s="318">
        <f>SUM(G918:G930)</f>
        <v>17975.11</v>
      </c>
    </row>
    <row r="932" spans="2:7">
      <c r="B932" s="60" t="s">
        <v>5948</v>
      </c>
      <c r="C932" s="31"/>
      <c r="D932" s="31"/>
      <c r="E932" s="85">
        <f>ROUND(G931/F886,1)</f>
        <v>1098.7</v>
      </c>
    </row>
    <row r="933" spans="2:7">
      <c r="B933" s="60" t="s">
        <v>3163</v>
      </c>
      <c r="C933" s="31"/>
      <c r="D933" s="922">
        <f>'BASIC DATA'!$C$577</f>
        <v>0.13614999999999999</v>
      </c>
      <c r="E933" s="85">
        <f>ROUND(E932*D933,1)</f>
        <v>149.6</v>
      </c>
    </row>
    <row r="934" spans="2:7">
      <c r="B934" s="60" t="s">
        <v>5949</v>
      </c>
      <c r="C934" s="31"/>
      <c r="D934" s="31"/>
      <c r="E934" s="199">
        <f>ROUND(E933+E932,1)</f>
        <v>1248.3</v>
      </c>
      <c r="F934" s="57"/>
    </row>
    <row r="935" spans="2:7">
      <c r="B935" s="78"/>
      <c r="C935" s="26"/>
    </row>
    <row r="936" spans="2:7">
      <c r="B936" s="170" t="s">
        <v>1175</v>
      </c>
      <c r="C936" s="26"/>
    </row>
    <row r="937" spans="2:7">
      <c r="B937" s="26" t="s">
        <v>1176</v>
      </c>
      <c r="C937" s="26"/>
      <c r="F937" s="171" t="s">
        <v>1698</v>
      </c>
      <c r="G937" s="68">
        <f>G900</f>
        <v>41699.859214092401</v>
      </c>
    </row>
    <row r="938" spans="2:7">
      <c r="B938" s="26" t="s">
        <v>1186</v>
      </c>
      <c r="C938" s="26"/>
      <c r="F938" s="171" t="s">
        <v>1698</v>
      </c>
      <c r="G938" s="68">
        <f>G913</f>
        <v>2020.7500000000002</v>
      </c>
    </row>
    <row r="939" spans="2:7">
      <c r="B939" s="26" t="s">
        <v>2660</v>
      </c>
      <c r="C939" s="26"/>
      <c r="F939" s="171" t="s">
        <v>1698</v>
      </c>
      <c r="G939" s="75">
        <f>G931</f>
        <v>17975.11</v>
      </c>
    </row>
    <row r="940" spans="2:7">
      <c r="B940" s="78"/>
      <c r="C940" s="26"/>
      <c r="E940" s="171"/>
      <c r="F940" s="171" t="s">
        <v>302</v>
      </c>
      <c r="G940" s="205">
        <f>SUM(G937:G939)</f>
        <v>61695.719214092402</v>
      </c>
    </row>
    <row r="941" spans="2:7">
      <c r="B941" s="1206" t="s">
        <v>1379</v>
      </c>
      <c r="C941" s="1206"/>
      <c r="E941" s="922">
        <f>'BASIC DATA'!$C$577</f>
        <v>0.13614999999999999</v>
      </c>
      <c r="F941" s="26" t="s">
        <v>1698</v>
      </c>
      <c r="G941" s="26">
        <f>ROUND(G940*E941,2)</f>
        <v>8399.8700000000008</v>
      </c>
    </row>
    <row r="942" spans="2:7">
      <c r="B942" s="26" t="s">
        <v>1191</v>
      </c>
      <c r="C942" s="26"/>
      <c r="D942" s="68">
        <f>F886</f>
        <v>16.36</v>
      </c>
      <c r="E942" s="68" t="str">
        <f>G886</f>
        <v>cum</v>
      </c>
      <c r="F942" s="26" t="s">
        <v>1698</v>
      </c>
      <c r="G942" s="211">
        <f>G941+G940</f>
        <v>70095.589214092397</v>
      </c>
    </row>
    <row r="943" spans="2:7">
      <c r="B943" s="170" t="s">
        <v>1584</v>
      </c>
      <c r="C943" s="211" t="str">
        <f>E942</f>
        <v>cum</v>
      </c>
      <c r="D943" s="26" t="s">
        <v>7676</v>
      </c>
      <c r="F943" s="26" t="s">
        <v>4108</v>
      </c>
      <c r="G943" s="211">
        <f>ROUND(G942/D942,1)</f>
        <v>4284.6000000000004</v>
      </c>
    </row>
    <row r="944" spans="2:7">
      <c r="B944" s="78"/>
      <c r="C944" s="26"/>
    </row>
    <row r="945" spans="1:7">
      <c r="B945" s="78"/>
      <c r="C945" s="26"/>
    </row>
    <row r="946" spans="1:7" ht="18.75">
      <c r="A946" s="865" t="s">
        <v>7545</v>
      </c>
      <c r="B946" s="26" t="s">
        <v>8919</v>
      </c>
      <c r="C946" s="26"/>
    </row>
    <row r="947" spans="1:7" ht="18.75">
      <c r="A947" s="865"/>
      <c r="B947" s="26" t="s">
        <v>8920</v>
      </c>
      <c r="C947" s="26"/>
    </row>
    <row r="948" spans="1:7">
      <c r="A948" s="865"/>
      <c r="B948" s="26" t="s">
        <v>7997</v>
      </c>
      <c r="C948" s="26"/>
    </row>
    <row r="949" spans="1:7">
      <c r="A949" s="865"/>
      <c r="B949" s="26" t="s">
        <v>6</v>
      </c>
      <c r="C949" s="26"/>
    </row>
    <row r="950" spans="1:7" ht="18.75">
      <c r="A950" s="865"/>
      <c r="B950" s="170" t="s">
        <v>8918</v>
      </c>
      <c r="C950" s="26"/>
    </row>
    <row r="951" spans="1:7">
      <c r="A951" s="865"/>
      <c r="B951" s="170" t="s">
        <v>6563</v>
      </c>
      <c r="C951" s="26"/>
    </row>
    <row r="952" spans="1:7">
      <c r="A952" s="855"/>
      <c r="B952" s="248" t="s">
        <v>4220</v>
      </c>
      <c r="C952" s="61"/>
      <c r="D952" s="61"/>
      <c r="E952" s="61"/>
      <c r="F952" s="61"/>
      <c r="G952" s="61"/>
    </row>
    <row r="953" spans="1:7">
      <c r="A953" s="865"/>
      <c r="B953" s="26"/>
      <c r="C953" s="26"/>
    </row>
    <row r="954" spans="1:7" hidden="1">
      <c r="A954" s="865" t="s">
        <v>3984</v>
      </c>
      <c r="B954" s="26" t="s">
        <v>5780</v>
      </c>
      <c r="C954" s="26"/>
    </row>
    <row r="955" spans="1:7" hidden="1">
      <c r="A955" s="865"/>
      <c r="B955" s="26" t="s">
        <v>2071</v>
      </c>
      <c r="C955" s="26"/>
    </row>
    <row r="956" spans="1:7" hidden="1">
      <c r="A956" s="865"/>
      <c r="B956" s="26" t="s">
        <v>7824</v>
      </c>
      <c r="C956" s="26"/>
    </row>
    <row r="957" spans="1:7" hidden="1">
      <c r="A957" s="865"/>
      <c r="B957" s="26" t="s">
        <v>7825</v>
      </c>
      <c r="C957" s="26"/>
      <c r="D957" s="26">
        <f>ROUND(100*4*8/220,2)</f>
        <v>14.55</v>
      </c>
      <c r="E957" s="26" t="s">
        <v>3760</v>
      </c>
    </row>
    <row r="958" spans="1:7" hidden="1">
      <c r="A958" s="865"/>
      <c r="B958" s="26" t="s">
        <v>2843</v>
      </c>
      <c r="C958" s="26"/>
    </row>
    <row r="959" spans="1:7" hidden="1">
      <c r="A959" s="865"/>
      <c r="B959" s="26" t="s">
        <v>994</v>
      </c>
      <c r="C959" s="26"/>
    </row>
    <row r="960" spans="1:7" hidden="1">
      <c r="A960" s="865"/>
      <c r="B960" s="26" t="s">
        <v>936</v>
      </c>
      <c r="C960" s="26"/>
      <c r="E960" s="68">
        <f>G667</f>
        <v>224.56752690000002</v>
      </c>
      <c r="F960" s="26" t="s">
        <v>1168</v>
      </c>
    </row>
    <row r="961" spans="1:7" hidden="1">
      <c r="A961" s="865"/>
      <c r="B961" s="26" t="s">
        <v>2839</v>
      </c>
      <c r="C961" s="26"/>
    </row>
    <row r="962" spans="1:7" hidden="1">
      <c r="A962" s="865"/>
      <c r="B962" s="26" t="s">
        <v>939</v>
      </c>
      <c r="C962" s="26"/>
      <c r="E962" s="68">
        <f>G693</f>
        <v>88.5</v>
      </c>
      <c r="F962" s="26" t="s">
        <v>1168</v>
      </c>
    </row>
    <row r="963" spans="1:7" hidden="1">
      <c r="A963" s="865"/>
      <c r="B963" s="26" t="s">
        <v>4666</v>
      </c>
      <c r="C963" s="26"/>
    </row>
    <row r="964" spans="1:7" hidden="1">
      <c r="A964" s="865"/>
      <c r="B964" s="26" t="s">
        <v>451</v>
      </c>
      <c r="C964" s="26"/>
    </row>
    <row r="965" spans="1:7" hidden="1">
      <c r="A965" s="865"/>
      <c r="B965" s="26" t="s">
        <v>940</v>
      </c>
      <c r="C965" s="26"/>
    </row>
    <row r="966" spans="1:7">
      <c r="B966" s="78"/>
      <c r="C966" s="26"/>
    </row>
    <row r="967" spans="1:7">
      <c r="A967" s="865" t="s">
        <v>3984</v>
      </c>
      <c r="B967" s="78"/>
      <c r="C967" s="203" t="s">
        <v>2367</v>
      </c>
      <c r="E967" s="171" t="s">
        <v>297</v>
      </c>
      <c r="F967" s="246">
        <f>D957</f>
        <v>14.55</v>
      </c>
      <c r="G967" s="26" t="s">
        <v>3477</v>
      </c>
    </row>
    <row r="968" spans="1:7">
      <c r="B968" s="79" t="s">
        <v>2368</v>
      </c>
      <c r="C968" s="26"/>
    </row>
    <row r="969" spans="1:7">
      <c r="B969" s="95" t="s">
        <v>2369</v>
      </c>
      <c r="C969" s="157" t="s">
        <v>4443</v>
      </c>
      <c r="D969" s="95" t="s">
        <v>2370</v>
      </c>
      <c r="E969" s="95" t="s">
        <v>1166</v>
      </c>
      <c r="F969" s="95" t="s">
        <v>2371</v>
      </c>
      <c r="G969" s="95" t="s">
        <v>2372</v>
      </c>
    </row>
    <row r="970" spans="1:7">
      <c r="B970" s="114"/>
      <c r="C970" s="154"/>
      <c r="D970" s="114"/>
      <c r="E970" s="114"/>
      <c r="F970" s="114" t="s">
        <v>3485</v>
      </c>
      <c r="G970" s="114" t="s">
        <v>3485</v>
      </c>
    </row>
    <row r="971" spans="1:7">
      <c r="B971" s="95">
        <v>1</v>
      </c>
      <c r="C971" s="135" t="s">
        <v>1048</v>
      </c>
      <c r="D971" s="95" t="s">
        <v>3478</v>
      </c>
      <c r="E971" s="190">
        <f>220*F967</f>
        <v>3201</v>
      </c>
      <c r="F971" s="214">
        <f>'BASIC DATA'!$D$32/1000</f>
        <v>5.35</v>
      </c>
      <c r="G971" s="190">
        <f>E971*F971</f>
        <v>17125.349999999999</v>
      </c>
    </row>
    <row r="972" spans="1:7">
      <c r="B972" s="317"/>
      <c r="C972" s="135" t="s">
        <v>7212</v>
      </c>
      <c r="D972" s="105" t="s">
        <v>3478</v>
      </c>
      <c r="E972" s="190">
        <f>F967*3</f>
        <v>43.650000000000006</v>
      </c>
      <c r="F972" s="214">
        <f>'BASIC DATA'!$D$32/1000</f>
        <v>5.35</v>
      </c>
      <c r="G972" s="190">
        <f t="shared" ref="G972:G981" si="14">E972*F972</f>
        <v>233.5275</v>
      </c>
    </row>
    <row r="973" spans="1:7">
      <c r="B973" s="105">
        <v>2</v>
      </c>
      <c r="C973" s="135" t="s">
        <v>6997</v>
      </c>
      <c r="D973" s="105" t="s">
        <v>3477</v>
      </c>
      <c r="E973" s="190">
        <f>0.98*F967*0.35</f>
        <v>4.9906499999999996</v>
      </c>
      <c r="F973" s="214">
        <f>'BASIC DATA'!$D$37</f>
        <v>650</v>
      </c>
      <c r="G973" s="190">
        <f t="shared" si="14"/>
        <v>3243.9224999999997</v>
      </c>
    </row>
    <row r="974" spans="1:7">
      <c r="B974" s="317"/>
      <c r="C974" s="135" t="s">
        <v>6996</v>
      </c>
      <c r="D974" s="105" t="s">
        <v>3477</v>
      </c>
      <c r="E974" s="190">
        <f>0.98*F967*0.3</f>
        <v>4.2777000000000003</v>
      </c>
      <c r="F974" s="214">
        <f>'BASIC DATA'!$D$36</f>
        <v>1175</v>
      </c>
      <c r="G974" s="190">
        <f t="shared" si="14"/>
        <v>5026.2975000000006</v>
      </c>
    </row>
    <row r="975" spans="1:7">
      <c r="B975" s="317"/>
      <c r="C975" s="135" t="s">
        <v>6995</v>
      </c>
      <c r="D975" s="105" t="s">
        <v>3477</v>
      </c>
      <c r="E975" s="190">
        <f>0.98*F967*0.2</f>
        <v>2.8518000000000003</v>
      </c>
      <c r="F975" s="214">
        <f>'BASIC DATA'!$D$35</f>
        <v>1225</v>
      </c>
      <c r="G975" s="190">
        <f t="shared" si="14"/>
        <v>3493.4550000000004</v>
      </c>
    </row>
    <row r="976" spans="1:7">
      <c r="B976" s="317"/>
      <c r="C976" s="135" t="s">
        <v>1050</v>
      </c>
      <c r="D976" s="105" t="s">
        <v>3477</v>
      </c>
      <c r="E976" s="190">
        <f>0.98*F967*0.15</f>
        <v>2.1388500000000001</v>
      </c>
      <c r="F976" s="214">
        <f>'BASIC DATA'!$D$34</f>
        <v>900</v>
      </c>
      <c r="G976" s="190">
        <f t="shared" si="14"/>
        <v>1924.9650000000001</v>
      </c>
    </row>
    <row r="977" spans="1:7">
      <c r="A977" s="853"/>
      <c r="B977" s="240">
        <v>3</v>
      </c>
      <c r="C977" s="326" t="s">
        <v>7941</v>
      </c>
      <c r="D977" s="240" t="s">
        <v>3477</v>
      </c>
      <c r="E977" s="255">
        <f>0.35*F967</f>
        <v>5.0925000000000002</v>
      </c>
      <c r="F977" s="266">
        <f>'BASIC DATA'!$D$55</f>
        <v>95</v>
      </c>
      <c r="G977" s="255">
        <f t="shared" si="14"/>
        <v>483.78750000000002</v>
      </c>
    </row>
    <row r="978" spans="1:7">
      <c r="B978" s="105">
        <v>4</v>
      </c>
      <c r="C978" s="135" t="s">
        <v>523</v>
      </c>
      <c r="D978" s="105" t="s">
        <v>3478</v>
      </c>
      <c r="E978" s="190">
        <f>E971*0.4%</f>
        <v>12.804</v>
      </c>
      <c r="F978" s="214">
        <f>'BASIC DATA'!$D$99</f>
        <v>55</v>
      </c>
      <c r="G978" s="190">
        <f t="shared" si="14"/>
        <v>704.22</v>
      </c>
    </row>
    <row r="979" spans="1:7">
      <c r="B979" s="105">
        <v>5</v>
      </c>
      <c r="C979" s="135" t="s">
        <v>7213</v>
      </c>
      <c r="D979" s="105" t="s">
        <v>3479</v>
      </c>
      <c r="E979" s="190">
        <f>F967</f>
        <v>14.55</v>
      </c>
      <c r="F979" s="214">
        <f>E960</f>
        <v>224.56752690000002</v>
      </c>
      <c r="G979" s="190">
        <f t="shared" si="14"/>
        <v>3267.4575163950003</v>
      </c>
    </row>
    <row r="980" spans="1:7">
      <c r="B980" s="317"/>
      <c r="C980" s="135" t="s">
        <v>5408</v>
      </c>
      <c r="D980" s="224">
        <v>0.1</v>
      </c>
      <c r="E980" s="190"/>
      <c r="F980" s="214"/>
      <c r="G980" s="190">
        <f>G979*D980</f>
        <v>326.74575163950004</v>
      </c>
    </row>
    <row r="981" spans="1:7">
      <c r="B981" s="114">
        <v>6</v>
      </c>
      <c r="C981" s="139" t="s">
        <v>2373</v>
      </c>
      <c r="D981" s="114" t="s">
        <v>2173</v>
      </c>
      <c r="E981" s="182">
        <v>0.5</v>
      </c>
      <c r="F981" s="215">
        <f>'BASIC DATA'!$D$359</f>
        <v>30</v>
      </c>
      <c r="G981" s="182">
        <f t="shared" si="14"/>
        <v>15</v>
      </c>
    </row>
    <row r="982" spans="1:7">
      <c r="B982" s="92"/>
      <c r="C982" s="193" t="s">
        <v>2376</v>
      </c>
      <c r="D982" s="159"/>
      <c r="E982" s="238"/>
      <c r="F982" s="236" t="s">
        <v>1698</v>
      </c>
      <c r="G982" s="318">
        <f>SUM(G971:G981)</f>
        <v>35844.728268034502</v>
      </c>
    </row>
    <row r="983" spans="1:7">
      <c r="B983" s="78"/>
      <c r="C983" s="26"/>
    </row>
    <row r="984" spans="1:7">
      <c r="B984" s="79" t="s">
        <v>2377</v>
      </c>
      <c r="C984" s="26"/>
    </row>
    <row r="985" spans="1:7">
      <c r="B985" s="95" t="s">
        <v>2369</v>
      </c>
      <c r="C985" s="157" t="s">
        <v>2378</v>
      </c>
      <c r="D985" s="95" t="s">
        <v>2370</v>
      </c>
      <c r="E985" s="95" t="s">
        <v>1166</v>
      </c>
      <c r="F985" s="95" t="s">
        <v>2371</v>
      </c>
      <c r="G985" s="95" t="s">
        <v>2372</v>
      </c>
    </row>
    <row r="986" spans="1:7">
      <c r="B986" s="114"/>
      <c r="C986" s="154"/>
      <c r="D986" s="114"/>
      <c r="E986" s="114"/>
      <c r="F986" s="114" t="s">
        <v>3485</v>
      </c>
      <c r="G986" s="114" t="s">
        <v>3485</v>
      </c>
    </row>
    <row r="987" spans="1:7">
      <c r="B987" s="95">
        <v>1</v>
      </c>
      <c r="C987" s="135" t="s">
        <v>525</v>
      </c>
      <c r="D987" s="95" t="s">
        <v>2374</v>
      </c>
      <c r="E987" s="190">
        <v>8</v>
      </c>
      <c r="F987" s="190">
        <f>'HIRE CHARGES'!$D$509</f>
        <v>92.7</v>
      </c>
      <c r="G987" s="190">
        <f>E987*F987</f>
        <v>741.6</v>
      </c>
    </row>
    <row r="988" spans="1:7">
      <c r="B988" s="317"/>
      <c r="C988" s="135" t="s">
        <v>2379</v>
      </c>
      <c r="D988" s="105" t="s">
        <v>2374</v>
      </c>
      <c r="E988" s="190">
        <v>8</v>
      </c>
      <c r="F988" s="190">
        <f>'HIRE CHARGES'!$E$509</f>
        <v>158.69999999999999</v>
      </c>
      <c r="G988" s="190">
        <f t="shared" ref="G988:G994" si="15">E988*F988</f>
        <v>1269.5999999999999</v>
      </c>
    </row>
    <row r="989" spans="1:7">
      <c r="B989" s="105">
        <v>2</v>
      </c>
      <c r="C989" s="135" t="s">
        <v>189</v>
      </c>
      <c r="D989" s="105" t="s">
        <v>2374</v>
      </c>
      <c r="E989" s="190">
        <v>0.5</v>
      </c>
      <c r="F989" s="190">
        <f>'HIRE CHARGES'!$D$517</f>
        <v>10.199999999999999</v>
      </c>
      <c r="G989" s="190">
        <f t="shared" si="15"/>
        <v>5.0999999999999996</v>
      </c>
    </row>
    <row r="990" spans="1:7">
      <c r="B990" s="317"/>
      <c r="C990" s="135" t="s">
        <v>2379</v>
      </c>
      <c r="D990" s="105" t="s">
        <v>2374</v>
      </c>
      <c r="E990" s="190">
        <v>0.5</v>
      </c>
      <c r="F990" s="190">
        <f>'HIRE CHARGES'!$E$517</f>
        <v>79.3</v>
      </c>
      <c r="G990" s="190">
        <f t="shared" si="15"/>
        <v>39.65</v>
      </c>
    </row>
    <row r="991" spans="1:7">
      <c r="B991" s="105">
        <v>3</v>
      </c>
      <c r="C991" s="135" t="s">
        <v>6286</v>
      </c>
      <c r="D991" s="105" t="s">
        <v>2374</v>
      </c>
      <c r="E991" s="190">
        <v>1</v>
      </c>
      <c r="F991" s="190">
        <f>'HIRE CHARGES'!$D$555</f>
        <v>402.5</v>
      </c>
      <c r="G991" s="190">
        <f t="shared" si="15"/>
        <v>402.5</v>
      </c>
    </row>
    <row r="992" spans="1:7">
      <c r="B992" s="317"/>
      <c r="C992" s="135" t="s">
        <v>2379</v>
      </c>
      <c r="D992" s="105" t="s">
        <v>2374</v>
      </c>
      <c r="E992" s="190">
        <v>1</v>
      </c>
      <c r="F992" s="190">
        <f>'HIRE CHARGES'!$E$555</f>
        <v>299.89999999999998</v>
      </c>
      <c r="G992" s="190">
        <f t="shared" si="15"/>
        <v>299.89999999999998</v>
      </c>
    </row>
    <row r="993" spans="2:7">
      <c r="B993" s="105">
        <v>4</v>
      </c>
      <c r="C993" s="135" t="s">
        <v>703</v>
      </c>
      <c r="D993" s="105" t="s">
        <v>2374</v>
      </c>
      <c r="E993" s="190">
        <v>8</v>
      </c>
      <c r="F993" s="190">
        <f>'HIRE CHARGES'!$D$533</f>
        <v>8.1999999999999993</v>
      </c>
      <c r="G993" s="190">
        <f t="shared" si="15"/>
        <v>65.599999999999994</v>
      </c>
    </row>
    <row r="994" spans="2:7">
      <c r="B994" s="275"/>
      <c r="C994" s="139" t="s">
        <v>2379</v>
      </c>
      <c r="D994" s="114" t="s">
        <v>2374</v>
      </c>
      <c r="E994" s="182">
        <v>8</v>
      </c>
      <c r="F994" s="182">
        <f>'HIRE CHARGES'!$E$533</f>
        <v>28.2</v>
      </c>
      <c r="G994" s="190">
        <f t="shared" si="15"/>
        <v>225.6</v>
      </c>
    </row>
    <row r="995" spans="2:7">
      <c r="B995" s="176"/>
      <c r="C995" s="172" t="s">
        <v>2380</v>
      </c>
      <c r="D995" s="174"/>
      <c r="E995" s="192"/>
      <c r="F995" s="275" t="s">
        <v>1698</v>
      </c>
      <c r="G995" s="318">
        <f>SUM(G987:G994)</f>
        <v>3049.5499999999997</v>
      </c>
    </row>
    <row r="996" spans="2:7">
      <c r="B996" s="78"/>
      <c r="C996" s="26"/>
    </row>
    <row r="997" spans="2:7">
      <c r="B997" s="79" t="s">
        <v>2381</v>
      </c>
      <c r="C997" s="26"/>
    </row>
    <row r="998" spans="2:7">
      <c r="B998" s="95" t="s">
        <v>2369</v>
      </c>
      <c r="C998" s="157" t="s">
        <v>2378</v>
      </c>
      <c r="D998" s="95" t="s">
        <v>2370</v>
      </c>
      <c r="E998" s="95" t="s">
        <v>1166</v>
      </c>
      <c r="F998" s="95" t="s">
        <v>2371</v>
      </c>
      <c r="G998" s="95" t="s">
        <v>2372</v>
      </c>
    </row>
    <row r="999" spans="2:7">
      <c r="B999" s="114"/>
      <c r="C999" s="154"/>
      <c r="D999" s="114"/>
      <c r="E999" s="114"/>
      <c r="F999" s="114" t="s">
        <v>3485</v>
      </c>
      <c r="G999" s="114" t="s">
        <v>3485</v>
      </c>
    </row>
    <row r="1000" spans="2:7">
      <c r="B1000" s="105">
        <v>1</v>
      </c>
      <c r="C1000" s="76" t="s">
        <v>527</v>
      </c>
      <c r="D1000" s="105" t="s">
        <v>2374</v>
      </c>
      <c r="E1000" s="207">
        <v>8</v>
      </c>
      <c r="F1000" s="190">
        <f>'HIRE CHARGES'!$F$509</f>
        <v>219.7</v>
      </c>
      <c r="G1000" s="190">
        <f>E1000*F1000</f>
        <v>1757.6</v>
      </c>
    </row>
    <row r="1001" spans="2:7">
      <c r="B1001" s="105">
        <v>2</v>
      </c>
      <c r="C1001" s="76" t="s">
        <v>999</v>
      </c>
      <c r="D1001" s="105" t="s">
        <v>2374</v>
      </c>
      <c r="E1001" s="207">
        <v>0.5</v>
      </c>
      <c r="F1001" s="190">
        <f>'HIRE CHARGES'!$F$517</f>
        <v>111.1</v>
      </c>
      <c r="G1001" s="190">
        <f t="shared" ref="G1001:G1012" si="16">E1001*F1001</f>
        <v>55.55</v>
      </c>
    </row>
    <row r="1002" spans="2:7">
      <c r="B1002" s="105">
        <v>3</v>
      </c>
      <c r="C1002" s="76" t="s">
        <v>1000</v>
      </c>
      <c r="D1002" s="105" t="s">
        <v>2374</v>
      </c>
      <c r="E1002" s="207">
        <v>1</v>
      </c>
      <c r="F1002" s="190">
        <f>'HIRE CHARGES'!$F$555</f>
        <v>177.5</v>
      </c>
      <c r="G1002" s="190">
        <f t="shared" si="16"/>
        <v>177.5</v>
      </c>
    </row>
    <row r="1003" spans="2:7">
      <c r="B1003" s="105">
        <v>4</v>
      </c>
      <c r="C1003" s="76" t="s">
        <v>5148</v>
      </c>
      <c r="D1003" s="105" t="s">
        <v>2374</v>
      </c>
      <c r="E1003" s="207">
        <v>8</v>
      </c>
      <c r="F1003" s="190">
        <f>'HIRE CHARGES'!$F$533</f>
        <v>158.19999999999999</v>
      </c>
      <c r="G1003" s="190">
        <f t="shared" si="16"/>
        <v>1265.5999999999999</v>
      </c>
    </row>
    <row r="1004" spans="2:7">
      <c r="B1004" s="105">
        <v>5</v>
      </c>
      <c r="C1004" s="76" t="s">
        <v>440</v>
      </c>
      <c r="D1004" s="105" t="s">
        <v>1172</v>
      </c>
      <c r="E1004" s="207">
        <v>1</v>
      </c>
      <c r="F1004" s="190">
        <f>'BASIC DATA'!$C$474</f>
        <v>445</v>
      </c>
      <c r="G1004" s="190">
        <f t="shared" si="16"/>
        <v>445</v>
      </c>
    </row>
    <row r="1005" spans="2:7">
      <c r="B1005" s="105">
        <v>6</v>
      </c>
      <c r="C1005" s="76" t="s">
        <v>4206</v>
      </c>
      <c r="D1005" s="105" t="s">
        <v>1172</v>
      </c>
      <c r="E1005" s="207">
        <v>1</v>
      </c>
      <c r="F1005" s="190">
        <f>'BASIC DATA'!$C$473</f>
        <v>450</v>
      </c>
      <c r="G1005" s="190">
        <f t="shared" si="16"/>
        <v>450</v>
      </c>
    </row>
    <row r="1006" spans="2:7">
      <c r="B1006" s="105">
        <v>7</v>
      </c>
      <c r="C1006" s="76" t="s">
        <v>2697</v>
      </c>
      <c r="D1006" s="105"/>
      <c r="E1006" s="207"/>
      <c r="F1006" s="190"/>
      <c r="G1006" s="190"/>
    </row>
    <row r="1007" spans="2:7">
      <c r="B1007" s="317"/>
      <c r="C1007" s="76" t="s">
        <v>441</v>
      </c>
      <c r="D1007" s="105" t="s">
        <v>1172</v>
      </c>
      <c r="E1007" s="207">
        <v>11</v>
      </c>
      <c r="F1007" s="190">
        <f>'BASIC DATA'!$C$552</f>
        <v>350</v>
      </c>
      <c r="G1007" s="190">
        <f t="shared" si="16"/>
        <v>3850</v>
      </c>
    </row>
    <row r="1008" spans="2:7">
      <c r="B1008" s="317"/>
      <c r="C1008" s="76" t="s">
        <v>442</v>
      </c>
      <c r="D1008" s="105" t="s">
        <v>1172</v>
      </c>
      <c r="E1008" s="207">
        <v>4</v>
      </c>
      <c r="F1008" s="190">
        <f>'BASIC DATA'!$C$552</f>
        <v>350</v>
      </c>
      <c r="G1008" s="190">
        <f t="shared" si="16"/>
        <v>1400</v>
      </c>
    </row>
    <row r="1009" spans="2:7">
      <c r="B1009" s="317"/>
      <c r="C1009" s="76" t="s">
        <v>5151</v>
      </c>
      <c r="D1009" s="105" t="s">
        <v>1172</v>
      </c>
      <c r="E1009" s="207">
        <v>3</v>
      </c>
      <c r="F1009" s="190">
        <f>'BASIC DATA'!$C$552</f>
        <v>350</v>
      </c>
      <c r="G1009" s="190">
        <f t="shared" si="16"/>
        <v>1050</v>
      </c>
    </row>
    <row r="1010" spans="2:7">
      <c r="B1010" s="317"/>
      <c r="C1010" s="76" t="s">
        <v>444</v>
      </c>
      <c r="D1010" s="105" t="s">
        <v>1172</v>
      </c>
      <c r="E1010" s="207">
        <f>F967</f>
        <v>14.55</v>
      </c>
      <c r="F1010" s="190">
        <f>'BASIC DATA'!$C$552</f>
        <v>350</v>
      </c>
      <c r="G1010" s="190">
        <f t="shared" si="16"/>
        <v>5092.5</v>
      </c>
    </row>
    <row r="1011" spans="2:7">
      <c r="B1011" s="317"/>
      <c r="C1011" s="76" t="s">
        <v>445</v>
      </c>
      <c r="D1011" s="105" t="s">
        <v>1172</v>
      </c>
      <c r="E1011" s="207">
        <v>1</v>
      </c>
      <c r="F1011" s="190">
        <f>'BASIC DATA'!$C$552</f>
        <v>350</v>
      </c>
      <c r="G1011" s="190">
        <f t="shared" si="16"/>
        <v>350</v>
      </c>
    </row>
    <row r="1012" spans="2:7">
      <c r="B1012" s="105">
        <v>8</v>
      </c>
      <c r="C1012" s="76" t="s">
        <v>7215</v>
      </c>
      <c r="D1012" s="105" t="s">
        <v>3479</v>
      </c>
      <c r="E1012" s="207">
        <f>F967</f>
        <v>14.55</v>
      </c>
      <c r="F1012" s="190">
        <f>E962</f>
        <v>88.5</v>
      </c>
      <c r="G1012" s="190">
        <f t="shared" si="16"/>
        <v>1287.675</v>
      </c>
    </row>
    <row r="1013" spans="2:7">
      <c r="B1013" s="317"/>
      <c r="C1013" s="76" t="s">
        <v>6402</v>
      </c>
      <c r="D1013" s="224">
        <v>0.1</v>
      </c>
      <c r="E1013" s="207"/>
      <c r="F1013" s="190"/>
      <c r="G1013" s="190">
        <f>G1012*D1013</f>
        <v>128.76750000000001</v>
      </c>
    </row>
    <row r="1014" spans="2:7">
      <c r="B1014" s="92"/>
      <c r="C1014" s="193" t="s">
        <v>1174</v>
      </c>
      <c r="D1014" s="159"/>
      <c r="E1014" s="238"/>
      <c r="F1014" s="236" t="s">
        <v>1698</v>
      </c>
      <c r="G1014" s="318">
        <f>SUM(G1000:G1013)</f>
        <v>17310.192500000001</v>
      </c>
    </row>
    <row r="1015" spans="2:7">
      <c r="B1015" s="60" t="s">
        <v>5948</v>
      </c>
      <c r="C1015" s="26"/>
      <c r="D1015" s="31"/>
      <c r="E1015" s="85">
        <f>ROUND(G1014/F967,1)</f>
        <v>1189.7</v>
      </c>
    </row>
    <row r="1016" spans="2:7">
      <c r="B1016" s="60" t="s">
        <v>3163</v>
      </c>
      <c r="C1016" s="26"/>
      <c r="D1016" s="922">
        <f>'BASIC DATA'!$C$577</f>
        <v>0.13614999999999999</v>
      </c>
      <c r="E1016" s="85">
        <f>ROUND(E1015*D1016,1)</f>
        <v>162</v>
      </c>
    </row>
    <row r="1017" spans="2:7">
      <c r="B1017" s="60" t="s">
        <v>5949</v>
      </c>
      <c r="C1017" s="26"/>
      <c r="D1017" s="31"/>
      <c r="E1017" s="199">
        <f>ROUND(E1016+E1015,1)</f>
        <v>1351.7</v>
      </c>
      <c r="F1017" s="57"/>
    </row>
    <row r="1018" spans="2:7">
      <c r="B1018" s="26"/>
      <c r="C1018" s="26"/>
    </row>
    <row r="1019" spans="2:7">
      <c r="B1019" s="170" t="s">
        <v>1175</v>
      </c>
      <c r="C1019" s="26"/>
    </row>
    <row r="1020" spans="2:7">
      <c r="B1020" s="26" t="s">
        <v>1176</v>
      </c>
      <c r="C1020" s="26"/>
      <c r="F1020" s="171" t="s">
        <v>1698</v>
      </c>
      <c r="G1020" s="68">
        <f>G982</f>
        <v>35844.728268034502</v>
      </c>
    </row>
    <row r="1021" spans="2:7">
      <c r="B1021" s="26" t="s">
        <v>1186</v>
      </c>
      <c r="C1021" s="26"/>
      <c r="F1021" s="171" t="s">
        <v>1698</v>
      </c>
      <c r="G1021" s="68">
        <f>G995</f>
        <v>3049.5499999999997</v>
      </c>
    </row>
    <row r="1022" spans="2:7">
      <c r="B1022" s="26" t="s">
        <v>2660</v>
      </c>
      <c r="C1022" s="26"/>
      <c r="F1022" s="171" t="s">
        <v>1698</v>
      </c>
      <c r="G1022" s="75">
        <f>G1014</f>
        <v>17310.192500000001</v>
      </c>
    </row>
    <row r="1023" spans="2:7">
      <c r="B1023" s="78"/>
      <c r="C1023" s="26"/>
      <c r="E1023" s="171"/>
      <c r="F1023" s="171" t="s">
        <v>302</v>
      </c>
      <c r="G1023" s="205">
        <f>SUM(G1020:G1022)</f>
        <v>56204.470768034502</v>
      </c>
    </row>
    <row r="1024" spans="2:7">
      <c r="B1024" s="1206" t="s">
        <v>1379</v>
      </c>
      <c r="C1024" s="1206"/>
      <c r="E1024" s="922">
        <f>'BASIC DATA'!$C$577</f>
        <v>0.13614999999999999</v>
      </c>
      <c r="F1024" s="26" t="s">
        <v>1698</v>
      </c>
      <c r="G1024" s="26">
        <f>ROUND(G1023*E1024,2)</f>
        <v>7652.24</v>
      </c>
    </row>
    <row r="1025" spans="1:7">
      <c r="B1025" s="26" t="s">
        <v>1191</v>
      </c>
      <c r="C1025" s="26"/>
      <c r="D1025" s="68">
        <f>F967</f>
        <v>14.55</v>
      </c>
      <c r="E1025" s="68" t="str">
        <f>G967</f>
        <v>cum</v>
      </c>
      <c r="F1025" s="26" t="s">
        <v>1698</v>
      </c>
      <c r="G1025" s="211">
        <f>G1024+G1023</f>
        <v>63856.7107680345</v>
      </c>
    </row>
    <row r="1026" spans="1:7">
      <c r="B1026" s="170" t="s">
        <v>1584</v>
      </c>
      <c r="C1026" s="211" t="str">
        <f>E1025</f>
        <v>cum</v>
      </c>
      <c r="D1026" s="26" t="s">
        <v>7826</v>
      </c>
      <c r="F1026" s="26" t="s">
        <v>4108</v>
      </c>
      <c r="G1026" s="211">
        <f>ROUND(G1025/D1025,1)</f>
        <v>4388.8</v>
      </c>
    </row>
    <row r="1027" spans="1:7">
      <c r="B1027" s="78"/>
      <c r="C1027" s="26"/>
    </row>
    <row r="1028" spans="1:7">
      <c r="B1028" s="78"/>
      <c r="C1028" s="26"/>
    </row>
    <row r="1029" spans="1:7" ht="18.75">
      <c r="A1029" s="865" t="s">
        <v>7546</v>
      </c>
      <c r="B1029" s="26" t="s">
        <v>8618</v>
      </c>
      <c r="C1029" s="26"/>
    </row>
    <row r="1030" spans="1:7" ht="18.75">
      <c r="A1030" s="865"/>
      <c r="B1030" s="26" t="s">
        <v>8921</v>
      </c>
      <c r="C1030" s="26"/>
    </row>
    <row r="1031" spans="1:7">
      <c r="A1031" s="865"/>
      <c r="B1031" s="26" t="s">
        <v>7997</v>
      </c>
      <c r="C1031" s="26"/>
    </row>
    <row r="1032" spans="1:7">
      <c r="A1032" s="865"/>
      <c r="B1032" s="26" t="s">
        <v>6</v>
      </c>
      <c r="C1032" s="26"/>
    </row>
    <row r="1033" spans="1:7" ht="18.75">
      <c r="A1033" s="865"/>
      <c r="B1033" s="26" t="s">
        <v>8922</v>
      </c>
      <c r="C1033" s="26"/>
    </row>
    <row r="1034" spans="1:7">
      <c r="A1034" s="865"/>
      <c r="B1034" s="170" t="s">
        <v>7804</v>
      </c>
      <c r="C1034" s="26"/>
    </row>
    <row r="1035" spans="1:7">
      <c r="A1035" s="855"/>
      <c r="B1035" s="248" t="s">
        <v>4521</v>
      </c>
      <c r="C1035" s="61"/>
      <c r="D1035" s="61"/>
      <c r="E1035" s="61"/>
      <c r="F1035" s="61"/>
      <c r="G1035" s="61"/>
    </row>
    <row r="1036" spans="1:7">
      <c r="A1036" s="865"/>
      <c r="B1036" s="26"/>
      <c r="C1036" s="26"/>
    </row>
    <row r="1037" spans="1:7" hidden="1">
      <c r="A1037" s="865" t="s">
        <v>3984</v>
      </c>
      <c r="B1037" s="26" t="s">
        <v>5780</v>
      </c>
      <c r="C1037" s="26"/>
    </row>
    <row r="1038" spans="1:7" hidden="1">
      <c r="A1038" s="865"/>
      <c r="B1038" s="26" t="s">
        <v>4664</v>
      </c>
      <c r="C1038" s="26"/>
    </row>
    <row r="1039" spans="1:7" hidden="1">
      <c r="A1039" s="865"/>
      <c r="B1039" s="26" t="s">
        <v>7805</v>
      </c>
      <c r="C1039" s="26"/>
    </row>
    <row r="1040" spans="1:7" hidden="1">
      <c r="A1040" s="865"/>
      <c r="B1040" s="26" t="s">
        <v>7806</v>
      </c>
      <c r="C1040" s="26"/>
      <c r="D1040" s="26">
        <f>ROUND(50*11*8/310,2)</f>
        <v>14.19</v>
      </c>
      <c r="E1040" s="26" t="s">
        <v>3760</v>
      </c>
    </row>
    <row r="1041" spans="1:7" hidden="1">
      <c r="A1041" s="865"/>
      <c r="B1041" s="26" t="s">
        <v>2843</v>
      </c>
      <c r="C1041" s="26"/>
    </row>
    <row r="1042" spans="1:7" hidden="1">
      <c r="A1042" s="865"/>
      <c r="B1042" s="26" t="s">
        <v>3534</v>
      </c>
      <c r="C1042" s="26"/>
    </row>
    <row r="1043" spans="1:7" hidden="1">
      <c r="A1043" s="865"/>
      <c r="B1043" s="26" t="s">
        <v>941</v>
      </c>
      <c r="C1043" s="26"/>
      <c r="F1043" s="68">
        <f>G667</f>
        <v>224.56752690000002</v>
      </c>
      <c r="G1043" s="26" t="s">
        <v>1168</v>
      </c>
    </row>
    <row r="1044" spans="1:7" hidden="1">
      <c r="A1044" s="865"/>
      <c r="B1044" s="26" t="s">
        <v>3792</v>
      </c>
      <c r="C1044" s="26"/>
    </row>
    <row r="1045" spans="1:7" hidden="1">
      <c r="A1045" s="865"/>
      <c r="B1045" s="26" t="s">
        <v>942</v>
      </c>
      <c r="C1045" s="26"/>
      <c r="F1045" s="68">
        <f>G693</f>
        <v>88.5</v>
      </c>
      <c r="G1045" s="26" t="s">
        <v>1168</v>
      </c>
    </row>
    <row r="1046" spans="1:7" hidden="1">
      <c r="A1046" s="865"/>
      <c r="B1046" s="26" t="s">
        <v>6257</v>
      </c>
      <c r="C1046" s="26"/>
    </row>
    <row r="1047" spans="1:7" hidden="1">
      <c r="A1047" s="865"/>
      <c r="B1047" s="26" t="s">
        <v>451</v>
      </c>
      <c r="C1047" s="26"/>
    </row>
    <row r="1048" spans="1:7" hidden="1">
      <c r="A1048" s="865"/>
      <c r="B1048" s="26" t="s">
        <v>943</v>
      </c>
      <c r="C1048" s="26"/>
    </row>
    <row r="1049" spans="1:7">
      <c r="B1049" s="78"/>
      <c r="C1049" s="26"/>
    </row>
    <row r="1050" spans="1:7">
      <c r="A1050" s="865" t="s">
        <v>3984</v>
      </c>
      <c r="B1050" s="78"/>
      <c r="C1050" s="203" t="s">
        <v>2367</v>
      </c>
      <c r="E1050" s="171" t="s">
        <v>297</v>
      </c>
      <c r="F1050" s="246">
        <f>D1040</f>
        <v>14.19</v>
      </c>
      <c r="G1050" s="26" t="s">
        <v>3477</v>
      </c>
    </row>
    <row r="1051" spans="1:7">
      <c r="B1051" s="79" t="s">
        <v>2368</v>
      </c>
      <c r="C1051" s="26"/>
    </row>
    <row r="1052" spans="1:7">
      <c r="B1052" s="95" t="s">
        <v>2369</v>
      </c>
      <c r="C1052" s="157" t="s">
        <v>4443</v>
      </c>
      <c r="D1052" s="95" t="s">
        <v>2370</v>
      </c>
      <c r="E1052" s="95" t="s">
        <v>1166</v>
      </c>
      <c r="F1052" s="95" t="s">
        <v>2371</v>
      </c>
      <c r="G1052" s="95" t="s">
        <v>2372</v>
      </c>
    </row>
    <row r="1053" spans="1:7">
      <c r="B1053" s="114"/>
      <c r="C1053" s="154"/>
      <c r="D1053" s="114"/>
      <c r="E1053" s="114"/>
      <c r="F1053" s="114" t="s">
        <v>3485</v>
      </c>
      <c r="G1053" s="114" t="s">
        <v>3485</v>
      </c>
    </row>
    <row r="1054" spans="1:7">
      <c r="B1054" s="95">
        <v>1</v>
      </c>
      <c r="C1054" s="135" t="s">
        <v>1048</v>
      </c>
      <c r="D1054" s="95" t="s">
        <v>3478</v>
      </c>
      <c r="E1054" s="190">
        <f>310*F1050</f>
        <v>4398.8999999999996</v>
      </c>
      <c r="F1054" s="214">
        <f>'BASIC DATA'!$D$32/1000</f>
        <v>5.35</v>
      </c>
      <c r="G1054" s="190">
        <f>E1054*F1054</f>
        <v>23534.114999999998</v>
      </c>
    </row>
    <row r="1055" spans="1:7">
      <c r="B1055" s="317"/>
      <c r="C1055" s="135" t="s">
        <v>7212</v>
      </c>
      <c r="D1055" s="105" t="s">
        <v>3478</v>
      </c>
      <c r="E1055" s="190">
        <f>F1050*3</f>
        <v>42.57</v>
      </c>
      <c r="F1055" s="214">
        <f>'BASIC DATA'!$D$32/1000</f>
        <v>5.35</v>
      </c>
      <c r="G1055" s="190">
        <f t="shared" ref="G1055:G1063" si="17">E1055*F1055</f>
        <v>227.74949999999998</v>
      </c>
    </row>
    <row r="1056" spans="1:7">
      <c r="B1056" s="105">
        <v>2</v>
      </c>
      <c r="C1056" s="135" t="s">
        <v>6996</v>
      </c>
      <c r="D1056" s="105" t="s">
        <v>3477</v>
      </c>
      <c r="E1056" s="190">
        <f>0.9*F1050*0.5</f>
        <v>6.3854999999999995</v>
      </c>
      <c r="F1056" s="214">
        <f>'BASIC DATA'!$D$36</f>
        <v>1175</v>
      </c>
      <c r="G1056" s="190">
        <f t="shared" si="17"/>
        <v>7502.9624999999996</v>
      </c>
    </row>
    <row r="1057" spans="1:7">
      <c r="B1057" s="317"/>
      <c r="C1057" s="135" t="s">
        <v>6995</v>
      </c>
      <c r="D1057" s="105" t="s">
        <v>3477</v>
      </c>
      <c r="E1057" s="190">
        <f>0.9*F1050*0.3</f>
        <v>3.8312999999999997</v>
      </c>
      <c r="F1057" s="214">
        <f>'BASIC DATA'!$D$35</f>
        <v>1225</v>
      </c>
      <c r="G1057" s="190">
        <f t="shared" si="17"/>
        <v>4693.3424999999997</v>
      </c>
    </row>
    <row r="1058" spans="1:7">
      <c r="B1058" s="317"/>
      <c r="C1058" s="135" t="s">
        <v>1050</v>
      </c>
      <c r="D1058" s="105" t="s">
        <v>3477</v>
      </c>
      <c r="E1058" s="190">
        <f>0.9*F1050*0.2</f>
        <v>2.5541999999999998</v>
      </c>
      <c r="F1058" s="214">
        <f>'BASIC DATA'!$D$34</f>
        <v>900</v>
      </c>
      <c r="G1058" s="190">
        <f t="shared" si="17"/>
        <v>2298.7799999999997</v>
      </c>
    </row>
    <row r="1059" spans="1:7">
      <c r="A1059" s="853"/>
      <c r="B1059" s="240">
        <v>3</v>
      </c>
      <c r="C1059" s="326" t="s">
        <v>7941</v>
      </c>
      <c r="D1059" s="240" t="s">
        <v>3477</v>
      </c>
      <c r="E1059" s="255">
        <f>0.4*F1050</f>
        <v>5.6760000000000002</v>
      </c>
      <c r="F1059" s="266">
        <f>'BASIC DATA'!$D$55</f>
        <v>95</v>
      </c>
      <c r="G1059" s="255">
        <f t="shared" si="17"/>
        <v>539.22</v>
      </c>
    </row>
    <row r="1060" spans="1:7">
      <c r="B1060" s="105">
        <v>4</v>
      </c>
      <c r="C1060" s="135" t="s">
        <v>523</v>
      </c>
      <c r="D1060" s="105" t="s">
        <v>3478</v>
      </c>
      <c r="E1060" s="190">
        <f>E1054*0.4%</f>
        <v>17.595599999999997</v>
      </c>
      <c r="F1060" s="214">
        <f>'BASIC DATA'!$D$99</f>
        <v>55</v>
      </c>
      <c r="G1060" s="190">
        <f t="shared" si="17"/>
        <v>967.75799999999981</v>
      </c>
    </row>
    <row r="1061" spans="1:7">
      <c r="B1061" s="105">
        <v>5</v>
      </c>
      <c r="C1061" s="135" t="s">
        <v>7213</v>
      </c>
      <c r="D1061" s="105" t="s">
        <v>3479</v>
      </c>
      <c r="E1061" s="190">
        <f>F1050</f>
        <v>14.19</v>
      </c>
      <c r="F1061" s="214">
        <f>F1043</f>
        <v>224.56752690000002</v>
      </c>
      <c r="G1061" s="190">
        <f t="shared" si="17"/>
        <v>3186.6132067110002</v>
      </c>
    </row>
    <row r="1062" spans="1:7">
      <c r="B1062" s="317"/>
      <c r="C1062" s="135" t="s">
        <v>5408</v>
      </c>
      <c r="D1062" s="224">
        <v>0.1</v>
      </c>
      <c r="E1062" s="190"/>
      <c r="F1062" s="214"/>
      <c r="G1062" s="190">
        <f>G1061*D1062</f>
        <v>318.66132067110004</v>
      </c>
    </row>
    <row r="1063" spans="1:7">
      <c r="B1063" s="114">
        <v>6</v>
      </c>
      <c r="C1063" s="139" t="s">
        <v>2373</v>
      </c>
      <c r="D1063" s="114" t="s">
        <v>2173</v>
      </c>
      <c r="E1063" s="182">
        <v>0.5</v>
      </c>
      <c r="F1063" s="215">
        <f>'BASIC DATA'!$D$359</f>
        <v>30</v>
      </c>
      <c r="G1063" s="182">
        <f t="shared" si="17"/>
        <v>15</v>
      </c>
    </row>
    <row r="1064" spans="1:7">
      <c r="B1064" s="92"/>
      <c r="C1064" s="193" t="s">
        <v>2376</v>
      </c>
      <c r="D1064" s="159"/>
      <c r="E1064" s="238"/>
      <c r="F1064" s="236" t="s">
        <v>1698</v>
      </c>
      <c r="G1064" s="318">
        <f>SUM(G1054:G1063)</f>
        <v>43284.202027382096</v>
      </c>
    </row>
    <row r="1065" spans="1:7">
      <c r="B1065" s="78"/>
      <c r="C1065" s="26"/>
    </row>
    <row r="1066" spans="1:7">
      <c r="B1066" s="79" t="s">
        <v>2377</v>
      </c>
      <c r="C1066" s="26"/>
    </row>
    <row r="1067" spans="1:7">
      <c r="B1067" s="95" t="s">
        <v>2369</v>
      </c>
      <c r="C1067" s="157" t="s">
        <v>2378</v>
      </c>
      <c r="D1067" s="95" t="s">
        <v>2370</v>
      </c>
      <c r="E1067" s="95" t="s">
        <v>1166</v>
      </c>
      <c r="F1067" s="95" t="s">
        <v>2371</v>
      </c>
      <c r="G1067" s="95" t="s">
        <v>2372</v>
      </c>
    </row>
    <row r="1068" spans="1:7">
      <c r="B1068" s="114"/>
      <c r="C1068" s="154"/>
      <c r="D1068" s="114"/>
      <c r="E1068" s="114"/>
      <c r="F1068" s="114" t="s">
        <v>3485</v>
      </c>
      <c r="G1068" s="114" t="s">
        <v>3485</v>
      </c>
    </row>
    <row r="1069" spans="1:7">
      <c r="B1069" s="95">
        <v>1</v>
      </c>
      <c r="C1069" s="135" t="s">
        <v>7214</v>
      </c>
      <c r="D1069" s="95" t="s">
        <v>2374</v>
      </c>
      <c r="E1069" s="190">
        <v>8</v>
      </c>
      <c r="F1069" s="190">
        <f>'HIRE CHARGES'!$D$507</f>
        <v>53.5</v>
      </c>
      <c r="G1069" s="190">
        <f>F1069*E1069</f>
        <v>428</v>
      </c>
    </row>
    <row r="1070" spans="1:7">
      <c r="B1070" s="317"/>
      <c r="C1070" s="135" t="s">
        <v>2379</v>
      </c>
      <c r="D1070" s="105" t="s">
        <v>2374</v>
      </c>
      <c r="E1070" s="190">
        <v>8</v>
      </c>
      <c r="F1070" s="190">
        <f>'HIRE CHARGES'!$E$507</f>
        <v>79.3</v>
      </c>
      <c r="G1070" s="190">
        <f t="shared" ref="G1070:G1076" si="18">F1070*E1070</f>
        <v>634.4</v>
      </c>
    </row>
    <row r="1071" spans="1:7">
      <c r="B1071" s="105">
        <v>2</v>
      </c>
      <c r="C1071" s="135" t="s">
        <v>189</v>
      </c>
      <c r="D1071" s="105" t="s">
        <v>2374</v>
      </c>
      <c r="E1071" s="190">
        <v>0.5</v>
      </c>
      <c r="F1071" s="190">
        <f>'HIRE CHARGES'!$D$517</f>
        <v>10.199999999999999</v>
      </c>
      <c r="G1071" s="190">
        <f t="shared" si="18"/>
        <v>5.0999999999999996</v>
      </c>
    </row>
    <row r="1072" spans="1:7">
      <c r="B1072" s="317"/>
      <c r="C1072" s="135" t="s">
        <v>2379</v>
      </c>
      <c r="D1072" s="105" t="s">
        <v>2374</v>
      </c>
      <c r="E1072" s="190">
        <v>0.5</v>
      </c>
      <c r="F1072" s="190">
        <f>'HIRE CHARGES'!$E$517</f>
        <v>79.3</v>
      </c>
      <c r="G1072" s="190">
        <f t="shared" si="18"/>
        <v>39.65</v>
      </c>
    </row>
    <row r="1073" spans="2:7">
      <c r="B1073" s="105">
        <v>3</v>
      </c>
      <c r="C1073" s="135" t="s">
        <v>6286</v>
      </c>
      <c r="D1073" s="105" t="s">
        <v>2374</v>
      </c>
      <c r="E1073" s="190">
        <v>1</v>
      </c>
      <c r="F1073" s="190">
        <f>'HIRE CHARGES'!$D$555</f>
        <v>402.5</v>
      </c>
      <c r="G1073" s="190">
        <f t="shared" si="18"/>
        <v>402.5</v>
      </c>
    </row>
    <row r="1074" spans="2:7">
      <c r="B1074" s="317"/>
      <c r="C1074" s="135" t="s">
        <v>2379</v>
      </c>
      <c r="D1074" s="105" t="s">
        <v>2374</v>
      </c>
      <c r="E1074" s="190">
        <v>1</v>
      </c>
      <c r="F1074" s="190">
        <f>'HIRE CHARGES'!$E$555</f>
        <v>299.89999999999998</v>
      </c>
      <c r="G1074" s="190">
        <f t="shared" si="18"/>
        <v>299.89999999999998</v>
      </c>
    </row>
    <row r="1075" spans="2:7">
      <c r="B1075" s="105">
        <v>4</v>
      </c>
      <c r="C1075" s="135" t="s">
        <v>526</v>
      </c>
      <c r="D1075" s="105" t="s">
        <v>2374</v>
      </c>
      <c r="E1075" s="190">
        <v>8</v>
      </c>
      <c r="F1075" s="190">
        <f>'HIRE CHARGES'!$D$531</f>
        <v>7.6</v>
      </c>
      <c r="G1075" s="190">
        <f t="shared" si="18"/>
        <v>60.8</v>
      </c>
    </row>
    <row r="1076" spans="2:7">
      <c r="B1076" s="275"/>
      <c r="C1076" s="139" t="s">
        <v>2379</v>
      </c>
      <c r="D1076" s="114" t="s">
        <v>2374</v>
      </c>
      <c r="E1076" s="182">
        <v>8</v>
      </c>
      <c r="F1076" s="182">
        <f>'HIRE CHARGES'!$E$531</f>
        <v>18.8</v>
      </c>
      <c r="G1076" s="190">
        <f t="shared" si="18"/>
        <v>150.4</v>
      </c>
    </row>
    <row r="1077" spans="2:7">
      <c r="B1077" s="176"/>
      <c r="C1077" s="172" t="s">
        <v>2380</v>
      </c>
      <c r="D1077" s="174"/>
      <c r="E1077" s="192"/>
      <c r="F1077" s="275" t="s">
        <v>1698</v>
      </c>
      <c r="G1077" s="318">
        <f>SUM(G1069:G1076)</f>
        <v>2020.7500000000002</v>
      </c>
    </row>
    <row r="1078" spans="2:7">
      <c r="B1078" s="78"/>
      <c r="C1078" s="26"/>
    </row>
    <row r="1079" spans="2:7">
      <c r="B1079" s="79" t="s">
        <v>2381</v>
      </c>
      <c r="C1079" s="26"/>
    </row>
    <row r="1080" spans="2:7">
      <c r="B1080" s="95" t="s">
        <v>2369</v>
      </c>
      <c r="C1080" s="157" t="s">
        <v>2378</v>
      </c>
      <c r="D1080" s="95" t="s">
        <v>2370</v>
      </c>
      <c r="E1080" s="95" t="s">
        <v>1166</v>
      </c>
      <c r="F1080" s="95" t="s">
        <v>2371</v>
      </c>
      <c r="G1080" s="95" t="s">
        <v>2372</v>
      </c>
    </row>
    <row r="1081" spans="2:7">
      <c r="B1081" s="114"/>
      <c r="C1081" s="154"/>
      <c r="D1081" s="114"/>
      <c r="E1081" s="114"/>
      <c r="F1081" s="114" t="s">
        <v>3485</v>
      </c>
      <c r="G1081" s="114" t="s">
        <v>3485</v>
      </c>
    </row>
    <row r="1082" spans="2:7">
      <c r="B1082" s="105">
        <v>1</v>
      </c>
      <c r="C1082" s="76" t="s">
        <v>527</v>
      </c>
      <c r="D1082" s="105" t="s">
        <v>2374</v>
      </c>
      <c r="E1082" s="207">
        <v>8</v>
      </c>
      <c r="F1082" s="190">
        <f>'HIRE CHARGES'!$F$507</f>
        <v>219.7</v>
      </c>
      <c r="G1082" s="190">
        <f>E1082*F1082</f>
        <v>1757.6</v>
      </c>
    </row>
    <row r="1083" spans="2:7">
      <c r="B1083" s="105">
        <v>2</v>
      </c>
      <c r="C1083" s="76" t="s">
        <v>999</v>
      </c>
      <c r="D1083" s="105" t="s">
        <v>2374</v>
      </c>
      <c r="E1083" s="207">
        <v>0.5</v>
      </c>
      <c r="F1083" s="190">
        <f>'HIRE CHARGES'!$F$517</f>
        <v>111.1</v>
      </c>
      <c r="G1083" s="190">
        <f t="shared" ref="G1083:G1094" si="19">E1083*F1083</f>
        <v>55.55</v>
      </c>
    </row>
    <row r="1084" spans="2:7">
      <c r="B1084" s="105">
        <v>3</v>
      </c>
      <c r="C1084" s="76" t="s">
        <v>1000</v>
      </c>
      <c r="D1084" s="105" t="s">
        <v>2374</v>
      </c>
      <c r="E1084" s="207">
        <v>1</v>
      </c>
      <c r="F1084" s="190">
        <f>'HIRE CHARGES'!$F$555</f>
        <v>177.5</v>
      </c>
      <c r="G1084" s="190">
        <f t="shared" si="19"/>
        <v>177.5</v>
      </c>
    </row>
    <row r="1085" spans="2:7">
      <c r="B1085" s="105">
        <v>4</v>
      </c>
      <c r="C1085" s="76" t="s">
        <v>5148</v>
      </c>
      <c r="D1085" s="105" t="s">
        <v>2374</v>
      </c>
      <c r="E1085" s="207">
        <v>8</v>
      </c>
      <c r="F1085" s="190">
        <f>'HIRE CHARGES'!$F$531</f>
        <v>158.19999999999999</v>
      </c>
      <c r="G1085" s="190">
        <f t="shared" si="19"/>
        <v>1265.5999999999999</v>
      </c>
    </row>
    <row r="1086" spans="2:7">
      <c r="B1086" s="105">
        <v>5</v>
      </c>
      <c r="C1086" s="76" t="s">
        <v>440</v>
      </c>
      <c r="D1086" s="105" t="s">
        <v>1172</v>
      </c>
      <c r="E1086" s="207">
        <v>1</v>
      </c>
      <c r="F1086" s="190">
        <f>'BASIC DATA'!$C$474</f>
        <v>445</v>
      </c>
      <c r="G1086" s="190">
        <f t="shared" si="19"/>
        <v>445</v>
      </c>
    </row>
    <row r="1087" spans="2:7">
      <c r="B1087" s="105">
        <v>6</v>
      </c>
      <c r="C1087" s="76" t="s">
        <v>4206</v>
      </c>
      <c r="D1087" s="105" t="s">
        <v>1172</v>
      </c>
      <c r="E1087" s="207">
        <v>1</v>
      </c>
      <c r="F1087" s="190">
        <f>'BASIC DATA'!$C$473</f>
        <v>450</v>
      </c>
      <c r="G1087" s="190">
        <f t="shared" si="19"/>
        <v>450</v>
      </c>
    </row>
    <row r="1088" spans="2:7">
      <c r="B1088" s="105">
        <v>7</v>
      </c>
      <c r="C1088" s="76" t="s">
        <v>2697</v>
      </c>
      <c r="D1088" s="105"/>
      <c r="E1088" s="207"/>
      <c r="F1088" s="190"/>
      <c r="G1088" s="190"/>
    </row>
    <row r="1089" spans="2:7">
      <c r="B1089" s="317"/>
      <c r="C1089" s="76" t="s">
        <v>441</v>
      </c>
      <c r="D1089" s="105" t="s">
        <v>1172</v>
      </c>
      <c r="E1089" s="207">
        <v>11</v>
      </c>
      <c r="F1089" s="190">
        <f>'BASIC DATA'!$C$552</f>
        <v>350</v>
      </c>
      <c r="G1089" s="190">
        <f t="shared" si="19"/>
        <v>3850</v>
      </c>
    </row>
    <row r="1090" spans="2:7">
      <c r="B1090" s="317"/>
      <c r="C1090" s="76" t="s">
        <v>442</v>
      </c>
      <c r="D1090" s="105" t="s">
        <v>1172</v>
      </c>
      <c r="E1090" s="207">
        <v>4</v>
      </c>
      <c r="F1090" s="190">
        <f>'BASIC DATA'!$C$552</f>
        <v>350</v>
      </c>
      <c r="G1090" s="190">
        <f t="shared" si="19"/>
        <v>1400</v>
      </c>
    </row>
    <row r="1091" spans="2:7">
      <c r="B1091" s="317"/>
      <c r="C1091" s="76" t="s">
        <v>5151</v>
      </c>
      <c r="D1091" s="105" t="s">
        <v>1172</v>
      </c>
      <c r="E1091" s="207">
        <v>3</v>
      </c>
      <c r="F1091" s="190">
        <f>'BASIC DATA'!$C$552</f>
        <v>350</v>
      </c>
      <c r="G1091" s="190">
        <f t="shared" si="19"/>
        <v>1050</v>
      </c>
    </row>
    <row r="1092" spans="2:7">
      <c r="B1092" s="317"/>
      <c r="C1092" s="76" t="s">
        <v>444</v>
      </c>
      <c r="D1092" s="105" t="s">
        <v>1172</v>
      </c>
      <c r="E1092" s="207">
        <f>F1050</f>
        <v>14.19</v>
      </c>
      <c r="F1092" s="190">
        <f>'BASIC DATA'!$C$552</f>
        <v>350</v>
      </c>
      <c r="G1092" s="190">
        <f t="shared" si="19"/>
        <v>4966.5</v>
      </c>
    </row>
    <row r="1093" spans="2:7">
      <c r="B1093" s="317"/>
      <c r="C1093" s="76" t="s">
        <v>445</v>
      </c>
      <c r="D1093" s="105" t="s">
        <v>1172</v>
      </c>
      <c r="E1093" s="207">
        <v>1</v>
      </c>
      <c r="F1093" s="190">
        <f>'BASIC DATA'!$C$552</f>
        <v>350</v>
      </c>
      <c r="G1093" s="190">
        <f t="shared" si="19"/>
        <v>350</v>
      </c>
    </row>
    <row r="1094" spans="2:7">
      <c r="B1094" s="105">
        <v>8</v>
      </c>
      <c r="C1094" s="76" t="s">
        <v>7215</v>
      </c>
      <c r="D1094" s="105" t="s">
        <v>3479</v>
      </c>
      <c r="E1094" s="207">
        <f>F1050</f>
        <v>14.19</v>
      </c>
      <c r="F1094" s="190">
        <f>F1045</f>
        <v>88.5</v>
      </c>
      <c r="G1094" s="190">
        <f t="shared" si="19"/>
        <v>1255.8150000000001</v>
      </c>
    </row>
    <row r="1095" spans="2:7">
      <c r="B1095" s="317"/>
      <c r="C1095" s="76" t="s">
        <v>6402</v>
      </c>
      <c r="D1095" s="224">
        <v>0.1</v>
      </c>
      <c r="E1095" s="207"/>
      <c r="F1095" s="190"/>
      <c r="G1095" s="190">
        <f>G1094*D1095</f>
        <v>125.58150000000001</v>
      </c>
    </row>
    <row r="1096" spans="2:7">
      <c r="B1096" s="92"/>
      <c r="C1096" s="193" t="s">
        <v>1174</v>
      </c>
      <c r="D1096" s="159"/>
      <c r="E1096" s="238"/>
      <c r="F1096" s="236" t="s">
        <v>1698</v>
      </c>
      <c r="G1096" s="318">
        <f>SUM(G1082:G1095)</f>
        <v>17149.146499999999</v>
      </c>
    </row>
    <row r="1097" spans="2:7">
      <c r="B1097" s="60" t="s">
        <v>5948</v>
      </c>
      <c r="C1097" s="26"/>
      <c r="D1097" s="31"/>
      <c r="E1097" s="85">
        <f>ROUND(G1096/F1050,1)</f>
        <v>1208.5</v>
      </c>
    </row>
    <row r="1098" spans="2:7">
      <c r="B1098" s="60" t="s">
        <v>3163</v>
      </c>
      <c r="C1098" s="26"/>
      <c r="D1098" s="922">
        <f>'BASIC DATA'!$C$577</f>
        <v>0.13614999999999999</v>
      </c>
      <c r="E1098" s="85">
        <f>ROUND(E1097*D1098,1)</f>
        <v>164.5</v>
      </c>
    </row>
    <row r="1099" spans="2:7">
      <c r="B1099" s="60" t="s">
        <v>5949</v>
      </c>
      <c r="C1099" s="26"/>
      <c r="D1099" s="31"/>
      <c r="E1099" s="199">
        <f>ROUND(E1098+E1097,1)</f>
        <v>1373</v>
      </c>
      <c r="F1099" s="57"/>
    </row>
    <row r="1100" spans="2:7">
      <c r="B1100" s="26"/>
      <c r="C1100" s="26"/>
    </row>
    <row r="1101" spans="2:7">
      <c r="B1101" s="170" t="s">
        <v>1175</v>
      </c>
      <c r="C1101" s="26"/>
    </row>
    <row r="1102" spans="2:7">
      <c r="B1102" s="26" t="s">
        <v>1176</v>
      </c>
      <c r="C1102" s="26"/>
      <c r="F1102" s="171" t="s">
        <v>1698</v>
      </c>
      <c r="G1102" s="68">
        <f>G1064</f>
        <v>43284.202027382096</v>
      </c>
    </row>
    <row r="1103" spans="2:7">
      <c r="B1103" s="26" t="s">
        <v>1186</v>
      </c>
      <c r="C1103" s="26"/>
      <c r="F1103" s="171" t="s">
        <v>1698</v>
      </c>
      <c r="G1103" s="68">
        <f>G1077</f>
        <v>2020.7500000000002</v>
      </c>
    </row>
    <row r="1104" spans="2:7">
      <c r="B1104" s="26" t="s">
        <v>2660</v>
      </c>
      <c r="C1104" s="26"/>
      <c r="F1104" s="171" t="s">
        <v>1698</v>
      </c>
      <c r="G1104" s="75">
        <f>G1096</f>
        <v>17149.146499999999</v>
      </c>
    </row>
    <row r="1105" spans="1:7">
      <c r="B1105" s="78"/>
      <c r="C1105" s="26"/>
      <c r="E1105" s="171"/>
      <c r="F1105" s="171" t="s">
        <v>302</v>
      </c>
      <c r="G1105" s="205">
        <f>SUM(G1102:G1104)</f>
        <v>62454.098527382099</v>
      </c>
    </row>
    <row r="1106" spans="1:7">
      <c r="B1106" s="1206" t="s">
        <v>1379</v>
      </c>
      <c r="C1106" s="1206"/>
      <c r="E1106" s="922">
        <f>'BASIC DATA'!$C$577</f>
        <v>0.13614999999999999</v>
      </c>
      <c r="F1106" s="26" t="s">
        <v>1698</v>
      </c>
      <c r="G1106" s="26">
        <f>ROUND(G1105*E1106,2)</f>
        <v>8503.1299999999992</v>
      </c>
    </row>
    <row r="1107" spans="1:7">
      <c r="B1107" s="26" t="s">
        <v>1191</v>
      </c>
      <c r="C1107" s="26"/>
      <c r="D1107" s="68">
        <f>F1050</f>
        <v>14.19</v>
      </c>
      <c r="E1107" s="68" t="str">
        <f>G1050</f>
        <v>cum</v>
      </c>
      <c r="F1107" s="26" t="s">
        <v>1698</v>
      </c>
      <c r="G1107" s="211">
        <f>G1106+G1105</f>
        <v>70957.228527382103</v>
      </c>
    </row>
    <row r="1108" spans="1:7">
      <c r="B1108" s="170" t="s">
        <v>1584</v>
      </c>
      <c r="C1108" s="211" t="str">
        <f>E1107</f>
        <v>cum</v>
      </c>
      <c r="D1108" s="26" t="s">
        <v>7807</v>
      </c>
      <c r="F1108" s="26" t="s">
        <v>4108</v>
      </c>
      <c r="G1108" s="211">
        <f>ROUND(G1107/D1107,1)</f>
        <v>5000.5</v>
      </c>
    </row>
    <row r="1109" spans="1:7">
      <c r="B1109" s="78"/>
      <c r="C1109" s="26"/>
    </row>
    <row r="1110" spans="1:7">
      <c r="B1110" s="78"/>
      <c r="C1110" s="26"/>
    </row>
    <row r="1111" spans="1:7" ht="18.75">
      <c r="A1111" s="865" t="s">
        <v>7547</v>
      </c>
      <c r="B1111" s="26" t="s">
        <v>8618</v>
      </c>
      <c r="C1111" s="26"/>
    </row>
    <row r="1112" spans="1:7" ht="18.75">
      <c r="A1112" s="865"/>
      <c r="B1112" s="26" t="s">
        <v>8921</v>
      </c>
      <c r="C1112" s="26"/>
    </row>
    <row r="1113" spans="1:7">
      <c r="A1113" s="865"/>
      <c r="B1113" s="26" t="s">
        <v>8923</v>
      </c>
      <c r="C1113" s="26"/>
    </row>
    <row r="1114" spans="1:7">
      <c r="A1114" s="865"/>
      <c r="B1114" s="26" t="s">
        <v>6528</v>
      </c>
      <c r="C1114" s="26"/>
    </row>
    <row r="1115" spans="1:7" ht="18.75">
      <c r="A1115" s="865"/>
      <c r="B1115" s="26" t="s">
        <v>8924</v>
      </c>
      <c r="C1115" s="26"/>
    </row>
    <row r="1116" spans="1:7">
      <c r="A1116" s="865"/>
      <c r="B1116" s="170" t="s">
        <v>7783</v>
      </c>
      <c r="C1116" s="26"/>
    </row>
    <row r="1117" spans="1:7">
      <c r="A1117" s="855"/>
      <c r="B1117" s="248" t="s">
        <v>4521</v>
      </c>
      <c r="C1117" s="61"/>
      <c r="D1117" s="61"/>
      <c r="E1117" s="61"/>
      <c r="F1117" s="61"/>
      <c r="G1117" s="61"/>
    </row>
    <row r="1118" spans="1:7">
      <c r="A1118" s="865"/>
      <c r="B1118" s="26"/>
      <c r="C1118" s="26"/>
    </row>
    <row r="1119" spans="1:7" hidden="1">
      <c r="A1119" s="865" t="s">
        <v>3984</v>
      </c>
      <c r="B1119" s="26" t="s">
        <v>5780</v>
      </c>
      <c r="C1119" s="26"/>
    </row>
    <row r="1120" spans="1:7" hidden="1">
      <c r="A1120" s="865"/>
      <c r="B1120" s="26" t="s">
        <v>5311</v>
      </c>
      <c r="C1120" s="26"/>
    </row>
    <row r="1121" spans="1:7" hidden="1">
      <c r="A1121" s="865"/>
      <c r="B1121" s="26" t="s">
        <v>7808</v>
      </c>
      <c r="C1121" s="26"/>
    </row>
    <row r="1122" spans="1:7" hidden="1">
      <c r="A1122" s="865"/>
      <c r="B1122" s="26" t="s">
        <v>7809</v>
      </c>
      <c r="C1122" s="26"/>
      <c r="D1122" s="26">
        <f>ROUND(50*12*8/320,2)</f>
        <v>15</v>
      </c>
      <c r="E1122" s="26" t="s">
        <v>3760</v>
      </c>
    </row>
    <row r="1123" spans="1:7" hidden="1">
      <c r="A1123" s="865"/>
      <c r="B1123" s="26" t="s">
        <v>2843</v>
      </c>
      <c r="C1123" s="26"/>
    </row>
    <row r="1124" spans="1:7" hidden="1">
      <c r="A1124" s="865"/>
      <c r="B1124" s="26" t="s">
        <v>5312</v>
      </c>
      <c r="C1124" s="26"/>
    </row>
    <row r="1125" spans="1:7" hidden="1">
      <c r="A1125" s="865"/>
      <c r="B1125" s="26" t="s">
        <v>944</v>
      </c>
      <c r="C1125" s="26"/>
      <c r="F1125" s="68">
        <f>G667</f>
        <v>224.56752690000002</v>
      </c>
      <c r="G1125" s="26" t="s">
        <v>1168</v>
      </c>
    </row>
    <row r="1126" spans="1:7" hidden="1">
      <c r="A1126" s="865"/>
      <c r="B1126" s="26" t="s">
        <v>5313</v>
      </c>
      <c r="C1126" s="26"/>
    </row>
    <row r="1127" spans="1:7" hidden="1">
      <c r="A1127" s="865"/>
      <c r="B1127" s="26" t="s">
        <v>942</v>
      </c>
      <c r="C1127" s="26"/>
      <c r="F1127" s="68">
        <f>G693</f>
        <v>88.5</v>
      </c>
      <c r="G1127" s="26" t="s">
        <v>1168</v>
      </c>
    </row>
    <row r="1128" spans="1:7" hidden="1">
      <c r="A1128" s="865"/>
      <c r="B1128" s="26" t="s">
        <v>5314</v>
      </c>
      <c r="C1128" s="26"/>
    </row>
    <row r="1129" spans="1:7" hidden="1">
      <c r="A1129" s="865"/>
      <c r="B1129" s="26" t="s">
        <v>451</v>
      </c>
      <c r="C1129" s="26"/>
    </row>
    <row r="1130" spans="1:7" hidden="1">
      <c r="A1130" s="865"/>
      <c r="B1130" s="26" t="s">
        <v>945</v>
      </c>
      <c r="C1130" s="26"/>
    </row>
    <row r="1131" spans="1:7" hidden="1">
      <c r="A1131" s="865"/>
      <c r="B1131" s="26" t="s">
        <v>6922</v>
      </c>
      <c r="C1131" s="26"/>
    </row>
    <row r="1132" spans="1:7">
      <c r="B1132" s="78"/>
      <c r="C1132" s="26"/>
    </row>
    <row r="1133" spans="1:7">
      <c r="A1133" s="865" t="s">
        <v>3984</v>
      </c>
      <c r="B1133" s="78"/>
      <c r="C1133" s="203" t="s">
        <v>2367</v>
      </c>
      <c r="E1133" s="171" t="s">
        <v>297</v>
      </c>
      <c r="F1133" s="246">
        <f>D1122</f>
        <v>15</v>
      </c>
      <c r="G1133" s="26" t="s">
        <v>3477</v>
      </c>
    </row>
    <row r="1134" spans="1:7">
      <c r="B1134" s="79" t="s">
        <v>2368</v>
      </c>
      <c r="C1134" s="26"/>
    </row>
    <row r="1135" spans="1:7">
      <c r="B1135" s="95" t="s">
        <v>2369</v>
      </c>
      <c r="C1135" s="157" t="s">
        <v>4443</v>
      </c>
      <c r="D1135" s="95" t="s">
        <v>2370</v>
      </c>
      <c r="E1135" s="95" t="s">
        <v>1166</v>
      </c>
      <c r="F1135" s="95" t="s">
        <v>2371</v>
      </c>
      <c r="G1135" s="95" t="s">
        <v>2372</v>
      </c>
    </row>
    <row r="1136" spans="1:7">
      <c r="B1136" s="114"/>
      <c r="C1136" s="154"/>
      <c r="D1136" s="114"/>
      <c r="E1136" s="114"/>
      <c r="F1136" s="114" t="s">
        <v>3485</v>
      </c>
      <c r="G1136" s="114" t="s">
        <v>3485</v>
      </c>
    </row>
    <row r="1137" spans="1:7">
      <c r="B1137" s="95">
        <v>1</v>
      </c>
      <c r="C1137" s="135" t="s">
        <v>1048</v>
      </c>
      <c r="D1137" s="95" t="s">
        <v>3478</v>
      </c>
      <c r="E1137" s="190">
        <f>320*F1133</f>
        <v>4800</v>
      </c>
      <c r="F1137" s="214">
        <f>'BASIC DATA'!$D$32/1000</f>
        <v>5.35</v>
      </c>
      <c r="G1137" s="190">
        <f>E1137*F1137</f>
        <v>25680</v>
      </c>
    </row>
    <row r="1138" spans="1:7">
      <c r="B1138" s="317"/>
      <c r="C1138" s="135" t="s">
        <v>1049</v>
      </c>
      <c r="D1138" s="105" t="s">
        <v>3478</v>
      </c>
      <c r="E1138" s="190">
        <f>F1133*5</f>
        <v>75</v>
      </c>
      <c r="F1138" s="214">
        <f>'BASIC DATA'!$D$32/1000</f>
        <v>5.35</v>
      </c>
      <c r="G1138" s="190">
        <f t="shared" ref="G1138:G1146" si="20">E1138*F1138</f>
        <v>401.25</v>
      </c>
    </row>
    <row r="1139" spans="1:7">
      <c r="B1139" s="105">
        <v>2</v>
      </c>
      <c r="C1139" s="135" t="s">
        <v>6996</v>
      </c>
      <c r="D1139" s="105" t="s">
        <v>3477</v>
      </c>
      <c r="E1139" s="190">
        <f>0.9*F1133*0.5</f>
        <v>6.75</v>
      </c>
      <c r="F1139" s="214">
        <f>'BASIC DATA'!$D$36</f>
        <v>1175</v>
      </c>
      <c r="G1139" s="190">
        <f t="shared" si="20"/>
        <v>7931.25</v>
      </c>
    </row>
    <row r="1140" spans="1:7">
      <c r="B1140" s="317"/>
      <c r="C1140" s="135" t="s">
        <v>6995</v>
      </c>
      <c r="D1140" s="105" t="s">
        <v>3477</v>
      </c>
      <c r="E1140" s="190">
        <f>0.9*F1133*0.3</f>
        <v>4.05</v>
      </c>
      <c r="F1140" s="214">
        <f>'BASIC DATA'!$D$35</f>
        <v>1225</v>
      </c>
      <c r="G1140" s="190">
        <f t="shared" si="20"/>
        <v>4961.25</v>
      </c>
    </row>
    <row r="1141" spans="1:7">
      <c r="B1141" s="317"/>
      <c r="C1141" s="135" t="s">
        <v>1050</v>
      </c>
      <c r="D1141" s="105" t="s">
        <v>3477</v>
      </c>
      <c r="E1141" s="190">
        <f>0.9*F1133*0.2</f>
        <v>2.7</v>
      </c>
      <c r="F1141" s="214">
        <f>'BASIC DATA'!$D$34</f>
        <v>900</v>
      </c>
      <c r="G1141" s="190">
        <f t="shared" si="20"/>
        <v>2430</v>
      </c>
    </row>
    <row r="1142" spans="1:7">
      <c r="A1142" s="853"/>
      <c r="B1142" s="240">
        <v>3</v>
      </c>
      <c r="C1142" s="326" t="s">
        <v>7941</v>
      </c>
      <c r="D1142" s="240" t="s">
        <v>3477</v>
      </c>
      <c r="E1142" s="255">
        <f>0.4*F1133</f>
        <v>6</v>
      </c>
      <c r="F1142" s="266">
        <f>'BASIC DATA'!$D$55</f>
        <v>95</v>
      </c>
      <c r="G1142" s="255">
        <f t="shared" si="20"/>
        <v>570</v>
      </c>
    </row>
    <row r="1143" spans="1:7">
      <c r="B1143" s="105">
        <v>4</v>
      </c>
      <c r="C1143" s="135" t="s">
        <v>523</v>
      </c>
      <c r="D1143" s="105" t="s">
        <v>3478</v>
      </c>
      <c r="E1143" s="190">
        <f>E1137*0.4%</f>
        <v>19.2</v>
      </c>
      <c r="F1143" s="214">
        <f>'BASIC DATA'!$D$99</f>
        <v>55</v>
      </c>
      <c r="G1143" s="190">
        <f t="shared" si="20"/>
        <v>1056</v>
      </c>
    </row>
    <row r="1144" spans="1:7">
      <c r="B1144" s="105">
        <v>5</v>
      </c>
      <c r="C1144" s="135" t="s">
        <v>5315</v>
      </c>
      <c r="D1144" s="105" t="s">
        <v>3479</v>
      </c>
      <c r="E1144" s="190">
        <f>F1133*2</f>
        <v>30</v>
      </c>
      <c r="F1144" s="214">
        <f>F1125</f>
        <v>224.56752690000002</v>
      </c>
      <c r="G1144" s="190">
        <f t="shared" si="20"/>
        <v>6737.0258070000009</v>
      </c>
    </row>
    <row r="1145" spans="1:7">
      <c r="B1145" s="317"/>
      <c r="C1145" s="135" t="s">
        <v>5408</v>
      </c>
      <c r="D1145" s="224">
        <v>0.25</v>
      </c>
      <c r="E1145" s="190"/>
      <c r="F1145" s="214"/>
      <c r="G1145" s="190">
        <f>G1144*D1145</f>
        <v>1684.2564517500002</v>
      </c>
    </row>
    <row r="1146" spans="1:7">
      <c r="B1146" s="114">
        <v>6</v>
      </c>
      <c r="C1146" s="139" t="s">
        <v>2373</v>
      </c>
      <c r="D1146" s="114" t="s">
        <v>2173</v>
      </c>
      <c r="E1146" s="182">
        <v>0.5</v>
      </c>
      <c r="F1146" s="215">
        <f>'BASIC DATA'!$D$359</f>
        <v>30</v>
      </c>
      <c r="G1146" s="182">
        <f t="shared" si="20"/>
        <v>15</v>
      </c>
    </row>
    <row r="1147" spans="1:7">
      <c r="B1147" s="92"/>
      <c r="C1147" s="193" t="s">
        <v>2376</v>
      </c>
      <c r="D1147" s="159"/>
      <c r="E1147" s="238"/>
      <c r="F1147" s="236" t="s">
        <v>1698</v>
      </c>
      <c r="G1147" s="318">
        <f>SUM(G1137:G1146)</f>
        <v>51466.032258749998</v>
      </c>
    </row>
    <row r="1148" spans="1:7">
      <c r="B1148" s="78"/>
      <c r="C1148" s="26"/>
    </row>
    <row r="1149" spans="1:7">
      <c r="B1149" s="79" t="s">
        <v>2377</v>
      </c>
      <c r="C1149" s="26"/>
    </row>
    <row r="1150" spans="1:7">
      <c r="B1150" s="95" t="s">
        <v>2369</v>
      </c>
      <c r="C1150" s="157" t="s">
        <v>2378</v>
      </c>
      <c r="D1150" s="95" t="s">
        <v>2370</v>
      </c>
      <c r="E1150" s="95" t="s">
        <v>1166</v>
      </c>
      <c r="F1150" s="95" t="s">
        <v>2371</v>
      </c>
      <c r="G1150" s="95" t="s">
        <v>2372</v>
      </c>
    </row>
    <row r="1151" spans="1:7">
      <c r="B1151" s="114"/>
      <c r="C1151" s="154"/>
      <c r="D1151" s="114"/>
      <c r="E1151" s="114"/>
      <c r="F1151" s="114" t="s">
        <v>3485</v>
      </c>
      <c r="G1151" s="114" t="s">
        <v>3485</v>
      </c>
    </row>
    <row r="1152" spans="1:7">
      <c r="B1152" s="95">
        <v>1</v>
      </c>
      <c r="C1152" s="135" t="s">
        <v>7214</v>
      </c>
      <c r="D1152" s="95" t="s">
        <v>2374</v>
      </c>
      <c r="E1152" s="190">
        <v>8</v>
      </c>
      <c r="F1152" s="190">
        <f>'HIRE CHARGES'!$D$507</f>
        <v>53.5</v>
      </c>
      <c r="G1152" s="190">
        <f>E1152*F1152</f>
        <v>428</v>
      </c>
    </row>
    <row r="1153" spans="2:7">
      <c r="B1153" s="317"/>
      <c r="C1153" s="135" t="s">
        <v>2379</v>
      </c>
      <c r="D1153" s="105" t="s">
        <v>2374</v>
      </c>
      <c r="E1153" s="190">
        <v>8</v>
      </c>
      <c r="F1153" s="190">
        <f>'HIRE CHARGES'!$E$507</f>
        <v>79.3</v>
      </c>
      <c r="G1153" s="190">
        <f t="shared" ref="G1153:G1159" si="21">E1153*F1153</f>
        <v>634.4</v>
      </c>
    </row>
    <row r="1154" spans="2:7">
      <c r="B1154" s="105">
        <v>2</v>
      </c>
      <c r="C1154" s="135" t="s">
        <v>189</v>
      </c>
      <c r="D1154" s="105" t="s">
        <v>2374</v>
      </c>
      <c r="E1154" s="190">
        <v>0.5</v>
      </c>
      <c r="F1154" s="190">
        <f>'HIRE CHARGES'!$D$517</f>
        <v>10.199999999999999</v>
      </c>
      <c r="G1154" s="190">
        <f t="shared" si="21"/>
        <v>5.0999999999999996</v>
      </c>
    </row>
    <row r="1155" spans="2:7">
      <c r="B1155" s="317"/>
      <c r="C1155" s="135" t="s">
        <v>2379</v>
      </c>
      <c r="D1155" s="105" t="s">
        <v>2374</v>
      </c>
      <c r="E1155" s="190">
        <v>0.5</v>
      </c>
      <c r="F1155" s="190">
        <f>'HIRE CHARGES'!$E$517</f>
        <v>79.3</v>
      </c>
      <c r="G1155" s="190">
        <f t="shared" si="21"/>
        <v>39.65</v>
      </c>
    </row>
    <row r="1156" spans="2:7">
      <c r="B1156" s="105">
        <v>3</v>
      </c>
      <c r="C1156" s="135" t="s">
        <v>6286</v>
      </c>
      <c r="D1156" s="105" t="s">
        <v>2374</v>
      </c>
      <c r="E1156" s="190">
        <v>1</v>
      </c>
      <c r="F1156" s="190">
        <f>'HIRE CHARGES'!$D$555</f>
        <v>402.5</v>
      </c>
      <c r="G1156" s="190">
        <f t="shared" si="21"/>
        <v>402.5</v>
      </c>
    </row>
    <row r="1157" spans="2:7">
      <c r="B1157" s="317"/>
      <c r="C1157" s="135" t="s">
        <v>2379</v>
      </c>
      <c r="D1157" s="105" t="s">
        <v>2374</v>
      </c>
      <c r="E1157" s="190">
        <v>1</v>
      </c>
      <c r="F1157" s="190">
        <f>'HIRE CHARGES'!$E$555</f>
        <v>299.89999999999998</v>
      </c>
      <c r="G1157" s="190">
        <f t="shared" si="21"/>
        <v>299.89999999999998</v>
      </c>
    </row>
    <row r="1158" spans="2:7">
      <c r="B1158" s="105">
        <v>4</v>
      </c>
      <c r="C1158" s="135" t="s">
        <v>526</v>
      </c>
      <c r="D1158" s="105" t="s">
        <v>2374</v>
      </c>
      <c r="E1158" s="190">
        <v>8</v>
      </c>
      <c r="F1158" s="190">
        <f>'HIRE CHARGES'!$D$531</f>
        <v>7.6</v>
      </c>
      <c r="G1158" s="190">
        <f t="shared" si="21"/>
        <v>60.8</v>
      </c>
    </row>
    <row r="1159" spans="2:7">
      <c r="B1159" s="275"/>
      <c r="C1159" s="139" t="s">
        <v>2379</v>
      </c>
      <c r="D1159" s="114" t="s">
        <v>2374</v>
      </c>
      <c r="E1159" s="182">
        <v>8</v>
      </c>
      <c r="F1159" s="182">
        <f>'HIRE CHARGES'!$E$531</f>
        <v>18.8</v>
      </c>
      <c r="G1159" s="190">
        <f t="shared" si="21"/>
        <v>150.4</v>
      </c>
    </row>
    <row r="1160" spans="2:7">
      <c r="B1160" s="176"/>
      <c r="C1160" s="172" t="s">
        <v>2380</v>
      </c>
      <c r="D1160" s="174"/>
      <c r="E1160" s="192"/>
      <c r="F1160" s="275" t="s">
        <v>1698</v>
      </c>
      <c r="G1160" s="318">
        <f>SUM(G1152:G1159)</f>
        <v>2020.7500000000002</v>
      </c>
    </row>
    <row r="1161" spans="2:7">
      <c r="B1161" s="78"/>
      <c r="C1161" s="26"/>
    </row>
    <row r="1162" spans="2:7">
      <c r="B1162" s="79" t="s">
        <v>2381</v>
      </c>
      <c r="C1162" s="26"/>
    </row>
    <row r="1163" spans="2:7">
      <c r="B1163" s="95" t="s">
        <v>2369</v>
      </c>
      <c r="C1163" s="157" t="s">
        <v>2378</v>
      </c>
      <c r="D1163" s="95" t="s">
        <v>2370</v>
      </c>
      <c r="E1163" s="95" t="s">
        <v>1166</v>
      </c>
      <c r="F1163" s="95" t="s">
        <v>2371</v>
      </c>
      <c r="G1163" s="95" t="s">
        <v>2372</v>
      </c>
    </row>
    <row r="1164" spans="2:7">
      <c r="B1164" s="114"/>
      <c r="C1164" s="154"/>
      <c r="D1164" s="114"/>
      <c r="E1164" s="114"/>
      <c r="F1164" s="114" t="s">
        <v>3485</v>
      </c>
      <c r="G1164" s="114" t="s">
        <v>3485</v>
      </c>
    </row>
    <row r="1165" spans="2:7">
      <c r="B1165" s="105">
        <v>1</v>
      </c>
      <c r="C1165" s="76" t="s">
        <v>527</v>
      </c>
      <c r="D1165" s="105" t="s">
        <v>2374</v>
      </c>
      <c r="E1165" s="207">
        <v>8</v>
      </c>
      <c r="F1165" s="190">
        <f>'HIRE CHARGES'!$F$507</f>
        <v>219.7</v>
      </c>
      <c r="G1165" s="190">
        <f>E1165*F1165</f>
        <v>1757.6</v>
      </c>
    </row>
    <row r="1166" spans="2:7">
      <c r="B1166" s="105">
        <v>2</v>
      </c>
      <c r="C1166" s="76" t="s">
        <v>999</v>
      </c>
      <c r="D1166" s="105" t="s">
        <v>2374</v>
      </c>
      <c r="E1166" s="207">
        <v>0.5</v>
      </c>
      <c r="F1166" s="190">
        <f>'HIRE CHARGES'!$F$517</f>
        <v>111.1</v>
      </c>
      <c r="G1166" s="190">
        <f t="shared" ref="G1166:G1177" si="22">E1166*F1166</f>
        <v>55.55</v>
      </c>
    </row>
    <row r="1167" spans="2:7">
      <c r="B1167" s="105">
        <v>3</v>
      </c>
      <c r="C1167" s="76" t="s">
        <v>1000</v>
      </c>
      <c r="D1167" s="105" t="s">
        <v>2374</v>
      </c>
      <c r="E1167" s="207">
        <v>1</v>
      </c>
      <c r="F1167" s="190">
        <f>'HIRE CHARGES'!$F$555</f>
        <v>177.5</v>
      </c>
      <c r="G1167" s="190">
        <f t="shared" si="22"/>
        <v>177.5</v>
      </c>
    </row>
    <row r="1168" spans="2:7">
      <c r="B1168" s="105">
        <v>4</v>
      </c>
      <c r="C1168" s="76" t="s">
        <v>5148</v>
      </c>
      <c r="D1168" s="105" t="s">
        <v>2374</v>
      </c>
      <c r="E1168" s="207">
        <v>8</v>
      </c>
      <c r="F1168" s="190">
        <f>'HIRE CHARGES'!$F$531</f>
        <v>158.19999999999999</v>
      </c>
      <c r="G1168" s="190">
        <f t="shared" si="22"/>
        <v>1265.5999999999999</v>
      </c>
    </row>
    <row r="1169" spans="2:7">
      <c r="B1169" s="105">
        <v>5</v>
      </c>
      <c r="C1169" s="76" t="s">
        <v>440</v>
      </c>
      <c r="D1169" s="105" t="s">
        <v>1172</v>
      </c>
      <c r="E1169" s="207">
        <v>1</v>
      </c>
      <c r="F1169" s="190">
        <f>'BASIC DATA'!$C$474</f>
        <v>445</v>
      </c>
      <c r="G1169" s="190">
        <f t="shared" si="22"/>
        <v>445</v>
      </c>
    </row>
    <row r="1170" spans="2:7">
      <c r="B1170" s="105">
        <v>6</v>
      </c>
      <c r="C1170" s="76" t="s">
        <v>4206</v>
      </c>
      <c r="D1170" s="105" t="s">
        <v>1172</v>
      </c>
      <c r="E1170" s="207">
        <v>1</v>
      </c>
      <c r="F1170" s="190">
        <f>'BASIC DATA'!$C$473</f>
        <v>450</v>
      </c>
      <c r="G1170" s="190">
        <f t="shared" si="22"/>
        <v>450</v>
      </c>
    </row>
    <row r="1171" spans="2:7">
      <c r="B1171" s="105">
        <v>7</v>
      </c>
      <c r="C1171" s="76" t="s">
        <v>2697</v>
      </c>
      <c r="D1171" s="105"/>
      <c r="E1171" s="207"/>
      <c r="F1171" s="190"/>
      <c r="G1171" s="190"/>
    </row>
    <row r="1172" spans="2:7">
      <c r="B1172" s="317"/>
      <c r="C1172" s="76" t="s">
        <v>441</v>
      </c>
      <c r="D1172" s="105" t="s">
        <v>1172</v>
      </c>
      <c r="E1172" s="207">
        <v>11</v>
      </c>
      <c r="F1172" s="190">
        <f>'BASIC DATA'!$C$552</f>
        <v>350</v>
      </c>
      <c r="G1172" s="190">
        <f t="shared" si="22"/>
        <v>3850</v>
      </c>
    </row>
    <row r="1173" spans="2:7">
      <c r="B1173" s="317"/>
      <c r="C1173" s="76" t="s">
        <v>442</v>
      </c>
      <c r="D1173" s="105" t="s">
        <v>1172</v>
      </c>
      <c r="E1173" s="207">
        <v>4</v>
      </c>
      <c r="F1173" s="190">
        <f>'BASIC DATA'!$C$552</f>
        <v>350</v>
      </c>
      <c r="G1173" s="190">
        <f t="shared" si="22"/>
        <v>1400</v>
      </c>
    </row>
    <row r="1174" spans="2:7">
      <c r="B1174" s="317"/>
      <c r="C1174" s="76" t="s">
        <v>1751</v>
      </c>
      <c r="D1174" s="105" t="s">
        <v>1172</v>
      </c>
      <c r="E1174" s="207">
        <v>4</v>
      </c>
      <c r="F1174" s="190">
        <f>'BASIC DATA'!$C$552</f>
        <v>350</v>
      </c>
      <c r="G1174" s="190">
        <f t="shared" si="22"/>
        <v>1400</v>
      </c>
    </row>
    <row r="1175" spans="2:7">
      <c r="B1175" s="317"/>
      <c r="C1175" s="76" t="s">
        <v>444</v>
      </c>
      <c r="D1175" s="105" t="s">
        <v>1172</v>
      </c>
      <c r="E1175" s="207">
        <f>F1133</f>
        <v>15</v>
      </c>
      <c r="F1175" s="190">
        <f>'BASIC DATA'!$C$552</f>
        <v>350</v>
      </c>
      <c r="G1175" s="190">
        <f t="shared" si="22"/>
        <v>5250</v>
      </c>
    </row>
    <row r="1176" spans="2:7">
      <c r="B1176" s="317"/>
      <c r="C1176" s="76" t="s">
        <v>445</v>
      </c>
      <c r="D1176" s="105" t="s">
        <v>1172</v>
      </c>
      <c r="E1176" s="207">
        <v>1</v>
      </c>
      <c r="F1176" s="190">
        <f>'BASIC DATA'!$C$552</f>
        <v>350</v>
      </c>
      <c r="G1176" s="190">
        <f t="shared" si="22"/>
        <v>350</v>
      </c>
    </row>
    <row r="1177" spans="2:7">
      <c r="B1177" s="105">
        <v>8</v>
      </c>
      <c r="C1177" s="76" t="s">
        <v>7215</v>
      </c>
      <c r="D1177" s="105" t="s">
        <v>3479</v>
      </c>
      <c r="E1177" s="207">
        <f>F1133</f>
        <v>15</v>
      </c>
      <c r="F1177" s="190">
        <f>F1127</f>
        <v>88.5</v>
      </c>
      <c r="G1177" s="190">
        <f t="shared" si="22"/>
        <v>1327.5</v>
      </c>
    </row>
    <row r="1178" spans="2:7">
      <c r="B1178" s="317"/>
      <c r="C1178" s="76" t="s">
        <v>6402</v>
      </c>
      <c r="D1178" s="224">
        <v>0.25</v>
      </c>
      <c r="E1178" s="207"/>
      <c r="F1178" s="190"/>
      <c r="G1178" s="190">
        <f>G1177*D1178</f>
        <v>331.875</v>
      </c>
    </row>
    <row r="1179" spans="2:7">
      <c r="B1179" s="92"/>
      <c r="C1179" s="193" t="s">
        <v>1174</v>
      </c>
      <c r="D1179" s="159"/>
      <c r="E1179" s="238"/>
      <c r="F1179" s="236" t="s">
        <v>1698</v>
      </c>
      <c r="G1179" s="318">
        <f>SUM(G1165:G1178)</f>
        <v>18060.625</v>
      </c>
    </row>
    <row r="1180" spans="2:7">
      <c r="B1180" s="60" t="s">
        <v>5948</v>
      </c>
      <c r="C1180" s="26"/>
      <c r="D1180" s="31"/>
      <c r="E1180" s="85">
        <f>ROUND(G1179/F1133,1)</f>
        <v>1204</v>
      </c>
    </row>
    <row r="1181" spans="2:7">
      <c r="B1181" s="60" t="s">
        <v>3163</v>
      </c>
      <c r="C1181" s="26"/>
      <c r="D1181" s="922">
        <f>'BASIC DATA'!$C$577</f>
        <v>0.13614999999999999</v>
      </c>
      <c r="E1181" s="85">
        <f>ROUND(E1180*D1181,1)</f>
        <v>163.9</v>
      </c>
    </row>
    <row r="1182" spans="2:7">
      <c r="B1182" s="60" t="s">
        <v>5949</v>
      </c>
      <c r="C1182" s="26"/>
      <c r="D1182" s="31"/>
      <c r="E1182" s="199">
        <f>ROUND(E1181+E1180,1)</f>
        <v>1367.9</v>
      </c>
      <c r="F1182" s="57"/>
    </row>
    <row r="1183" spans="2:7">
      <c r="B1183" s="26"/>
      <c r="C1183" s="26"/>
    </row>
    <row r="1184" spans="2:7">
      <c r="B1184" s="170" t="s">
        <v>1175</v>
      </c>
      <c r="C1184" s="26"/>
    </row>
    <row r="1185" spans="1:7">
      <c r="B1185" s="26" t="s">
        <v>1176</v>
      </c>
      <c r="C1185" s="26"/>
      <c r="F1185" s="171" t="s">
        <v>1698</v>
      </c>
      <c r="G1185" s="68">
        <f>G1147</f>
        <v>51466.032258749998</v>
      </c>
    </row>
    <row r="1186" spans="1:7">
      <c r="B1186" s="26" t="s">
        <v>1186</v>
      </c>
      <c r="C1186" s="26"/>
      <c r="F1186" s="171" t="s">
        <v>1698</v>
      </c>
      <c r="G1186" s="68">
        <f>G1160</f>
        <v>2020.7500000000002</v>
      </c>
    </row>
    <row r="1187" spans="1:7">
      <c r="B1187" s="26" t="s">
        <v>2660</v>
      </c>
      <c r="C1187" s="26"/>
      <c r="F1187" s="171" t="s">
        <v>1698</v>
      </c>
      <c r="G1187" s="75">
        <f>G1179</f>
        <v>18060.625</v>
      </c>
    </row>
    <row r="1188" spans="1:7">
      <c r="B1188" s="78"/>
      <c r="C1188" s="26"/>
      <c r="E1188" s="171"/>
      <c r="F1188" s="171" t="s">
        <v>302</v>
      </c>
      <c r="G1188" s="205">
        <f>SUM(G1185:G1187)</f>
        <v>71547.407258749998</v>
      </c>
    </row>
    <row r="1189" spans="1:7">
      <c r="B1189" s="1206" t="s">
        <v>1379</v>
      </c>
      <c r="C1189" s="1206"/>
      <c r="E1189" s="922">
        <f>'BASIC DATA'!$C$577</f>
        <v>0.13614999999999999</v>
      </c>
      <c r="F1189" s="26" t="s">
        <v>1698</v>
      </c>
      <c r="G1189" s="26">
        <f>ROUND(G1188*E1189,2)</f>
        <v>9741.18</v>
      </c>
    </row>
    <row r="1190" spans="1:7">
      <c r="B1190" s="26" t="s">
        <v>1191</v>
      </c>
      <c r="C1190" s="26"/>
      <c r="D1190" s="68">
        <f>F1133</f>
        <v>15</v>
      </c>
      <c r="E1190" s="68" t="str">
        <f>G1133</f>
        <v>cum</v>
      </c>
      <c r="F1190" s="26" t="s">
        <v>1698</v>
      </c>
      <c r="G1190" s="211">
        <f>G1189+G1188</f>
        <v>81288.587258749991</v>
      </c>
    </row>
    <row r="1191" spans="1:7">
      <c r="B1191" s="170" t="s">
        <v>1584</v>
      </c>
      <c r="C1191" s="211" t="str">
        <f>E1190</f>
        <v>cum</v>
      </c>
      <c r="D1191" s="26" t="s">
        <v>4709</v>
      </c>
      <c r="F1191" s="26" t="s">
        <v>4108</v>
      </c>
      <c r="G1191" s="211">
        <f>ROUND(G1190/D1190,1)</f>
        <v>5419.2</v>
      </c>
    </row>
    <row r="1192" spans="1:7">
      <c r="B1192" s="78"/>
      <c r="C1192" s="26"/>
    </row>
    <row r="1193" spans="1:7">
      <c r="B1193" s="78"/>
      <c r="C1193" s="26"/>
    </row>
    <row r="1194" spans="1:7" ht="18.75">
      <c r="A1194" s="865" t="s">
        <v>7548</v>
      </c>
      <c r="B1194" s="26" t="s">
        <v>8622</v>
      </c>
      <c r="C1194" s="26"/>
    </row>
    <row r="1195" spans="1:7" ht="18.75">
      <c r="A1195" s="865"/>
      <c r="B1195" s="26" t="s">
        <v>8925</v>
      </c>
      <c r="C1195" s="26"/>
    </row>
    <row r="1196" spans="1:7">
      <c r="A1196" s="865"/>
      <c r="B1196" s="26" t="s">
        <v>8923</v>
      </c>
      <c r="C1196" s="26"/>
    </row>
    <row r="1197" spans="1:7">
      <c r="A1197" s="865"/>
      <c r="B1197" s="26" t="s">
        <v>6528</v>
      </c>
      <c r="C1197" s="26"/>
    </row>
    <row r="1198" spans="1:7" ht="18.75">
      <c r="A1198" s="865"/>
      <c r="B1198" s="26" t="s">
        <v>8924</v>
      </c>
      <c r="C1198" s="26"/>
    </row>
    <row r="1199" spans="1:7">
      <c r="A1199" s="865"/>
      <c r="B1199" s="170" t="s">
        <v>7775</v>
      </c>
      <c r="C1199" s="26"/>
    </row>
    <row r="1200" spans="1:7">
      <c r="A1200" s="855"/>
      <c r="B1200" s="248" t="s">
        <v>4522</v>
      </c>
      <c r="C1200" s="61"/>
      <c r="D1200" s="61"/>
      <c r="E1200" s="61"/>
      <c r="F1200" s="61"/>
      <c r="G1200" s="61"/>
    </row>
    <row r="1201" spans="1:7">
      <c r="A1201" s="865"/>
      <c r="B1201" s="26"/>
      <c r="C1201" s="26"/>
    </row>
    <row r="1202" spans="1:7" hidden="1">
      <c r="A1202" s="865" t="s">
        <v>3984</v>
      </c>
      <c r="B1202" s="26" t="s">
        <v>5780</v>
      </c>
      <c r="C1202" s="26"/>
    </row>
    <row r="1203" spans="1:7" hidden="1">
      <c r="A1203" s="865"/>
      <c r="B1203" s="26" t="s">
        <v>6964</v>
      </c>
      <c r="C1203" s="26"/>
    </row>
    <row r="1204" spans="1:7" hidden="1">
      <c r="A1204" s="865"/>
      <c r="B1204" s="26" t="s">
        <v>7776</v>
      </c>
      <c r="C1204" s="26"/>
    </row>
    <row r="1205" spans="1:7" hidden="1">
      <c r="A1205" s="865"/>
      <c r="B1205" s="26" t="s">
        <v>7777</v>
      </c>
      <c r="C1205" s="26"/>
      <c r="D1205" s="26">
        <f>ROUND(50*13*8/330,2)</f>
        <v>15.76</v>
      </c>
      <c r="E1205" s="26" t="s">
        <v>3760</v>
      </c>
    </row>
    <row r="1206" spans="1:7" hidden="1">
      <c r="A1206" s="865"/>
      <c r="B1206" s="26" t="s">
        <v>2843</v>
      </c>
      <c r="C1206" s="26"/>
    </row>
    <row r="1207" spans="1:7" hidden="1">
      <c r="A1207" s="865"/>
      <c r="B1207" s="26" t="s">
        <v>5312</v>
      </c>
      <c r="C1207" s="26"/>
    </row>
    <row r="1208" spans="1:7" hidden="1">
      <c r="A1208" s="865"/>
      <c r="B1208" s="26" t="s">
        <v>946</v>
      </c>
      <c r="C1208" s="26"/>
      <c r="F1208" s="68">
        <f>G667</f>
        <v>224.56752690000002</v>
      </c>
      <c r="G1208" s="26" t="s">
        <v>1168</v>
      </c>
    </row>
    <row r="1209" spans="1:7" hidden="1">
      <c r="A1209" s="865"/>
      <c r="B1209" s="26" t="s">
        <v>6965</v>
      </c>
      <c r="C1209" s="26"/>
    </row>
    <row r="1210" spans="1:7" hidden="1">
      <c r="A1210" s="865"/>
      <c r="B1210" s="26" t="s">
        <v>942</v>
      </c>
      <c r="C1210" s="26"/>
      <c r="F1210" s="68">
        <f>G693</f>
        <v>88.5</v>
      </c>
      <c r="G1210" s="26" t="s">
        <v>1168</v>
      </c>
    </row>
    <row r="1211" spans="1:7" hidden="1">
      <c r="A1211" s="865"/>
      <c r="B1211" s="26" t="s">
        <v>5739</v>
      </c>
      <c r="C1211" s="26"/>
    </row>
    <row r="1212" spans="1:7" hidden="1">
      <c r="A1212" s="865"/>
      <c r="B1212" s="26" t="s">
        <v>451</v>
      </c>
      <c r="C1212" s="26"/>
    </row>
    <row r="1213" spans="1:7" hidden="1">
      <c r="A1213" s="865"/>
      <c r="B1213" s="26" t="s">
        <v>947</v>
      </c>
      <c r="C1213" s="26"/>
    </row>
    <row r="1214" spans="1:7" hidden="1">
      <c r="B1214" s="78"/>
      <c r="C1214" s="26"/>
    </row>
    <row r="1215" spans="1:7">
      <c r="B1215" s="78"/>
      <c r="C1215" s="26"/>
    </row>
    <row r="1216" spans="1:7">
      <c r="A1216" s="865" t="s">
        <v>3984</v>
      </c>
      <c r="B1216" s="78"/>
      <c r="C1216" s="203" t="s">
        <v>2367</v>
      </c>
      <c r="E1216" s="171" t="s">
        <v>297</v>
      </c>
      <c r="F1216" s="246">
        <f>D1205</f>
        <v>15.76</v>
      </c>
      <c r="G1216" s="26" t="s">
        <v>3477</v>
      </c>
    </row>
    <row r="1217" spans="1:7">
      <c r="B1217" s="79" t="s">
        <v>2368</v>
      </c>
      <c r="C1217" s="26"/>
    </row>
    <row r="1218" spans="1:7">
      <c r="B1218" s="95" t="s">
        <v>2369</v>
      </c>
      <c r="C1218" s="157" t="s">
        <v>4443</v>
      </c>
      <c r="D1218" s="95" t="s">
        <v>2370</v>
      </c>
      <c r="E1218" s="95" t="s">
        <v>1166</v>
      </c>
      <c r="F1218" s="95" t="s">
        <v>2371</v>
      </c>
      <c r="G1218" s="95" t="s">
        <v>2372</v>
      </c>
    </row>
    <row r="1219" spans="1:7">
      <c r="B1219" s="114"/>
      <c r="C1219" s="154"/>
      <c r="D1219" s="114"/>
      <c r="E1219" s="114"/>
      <c r="F1219" s="114" t="s">
        <v>3485</v>
      </c>
      <c r="G1219" s="114" t="s">
        <v>3485</v>
      </c>
    </row>
    <row r="1220" spans="1:7">
      <c r="B1220" s="95">
        <v>1</v>
      </c>
      <c r="C1220" s="135" t="s">
        <v>1048</v>
      </c>
      <c r="D1220" s="95" t="s">
        <v>3478</v>
      </c>
      <c r="E1220" s="190">
        <f>330*F1216</f>
        <v>5200.8</v>
      </c>
      <c r="F1220" s="214">
        <f>'BASIC DATA'!$D$32/1000</f>
        <v>5.35</v>
      </c>
      <c r="G1220" s="190">
        <f>E1220*F1220</f>
        <v>27824.28</v>
      </c>
    </row>
    <row r="1221" spans="1:7">
      <c r="B1221" s="317"/>
      <c r="C1221" s="135" t="s">
        <v>1049</v>
      </c>
      <c r="D1221" s="105" t="s">
        <v>3478</v>
      </c>
      <c r="E1221" s="190">
        <f>F1216*5</f>
        <v>78.8</v>
      </c>
      <c r="F1221" s="214">
        <f>'BASIC DATA'!$D$32/1000</f>
        <v>5.35</v>
      </c>
      <c r="G1221" s="190">
        <f t="shared" ref="G1221:G1228" si="23">E1221*F1221</f>
        <v>421.58</v>
      </c>
    </row>
    <row r="1222" spans="1:7">
      <c r="B1222" s="105">
        <v>2</v>
      </c>
      <c r="C1222" s="135" t="s">
        <v>6995</v>
      </c>
      <c r="D1222" s="105" t="s">
        <v>3477</v>
      </c>
      <c r="E1222" s="190">
        <f>0.8*F1216*0.65</f>
        <v>8.1951999999999998</v>
      </c>
      <c r="F1222" s="214">
        <f>'BASIC DATA'!$D$35</f>
        <v>1225</v>
      </c>
      <c r="G1222" s="190">
        <f t="shared" si="23"/>
        <v>10039.119999999999</v>
      </c>
    </row>
    <row r="1223" spans="1:7">
      <c r="B1223" s="317"/>
      <c r="C1223" s="135" t="s">
        <v>1050</v>
      </c>
      <c r="D1223" s="105" t="s">
        <v>3477</v>
      </c>
      <c r="E1223" s="190">
        <f>0.8*F1216*0.35</f>
        <v>4.4127999999999998</v>
      </c>
      <c r="F1223" s="214">
        <f>'BASIC DATA'!$D$34</f>
        <v>900</v>
      </c>
      <c r="G1223" s="190">
        <f t="shared" si="23"/>
        <v>3971.52</v>
      </c>
    </row>
    <row r="1224" spans="1:7">
      <c r="A1224" s="853"/>
      <c r="B1224" s="240">
        <v>3</v>
      </c>
      <c r="C1224" s="326" t="s">
        <v>7941</v>
      </c>
      <c r="D1224" s="240" t="s">
        <v>3477</v>
      </c>
      <c r="E1224" s="255">
        <f>0.45*F1216</f>
        <v>7.0919999999999996</v>
      </c>
      <c r="F1224" s="266">
        <f>'BASIC DATA'!$D$55</f>
        <v>95</v>
      </c>
      <c r="G1224" s="255">
        <f t="shared" si="23"/>
        <v>673.74</v>
      </c>
    </row>
    <row r="1225" spans="1:7">
      <c r="B1225" s="105">
        <v>4</v>
      </c>
      <c r="C1225" s="135" t="s">
        <v>523</v>
      </c>
      <c r="D1225" s="105" t="s">
        <v>3478</v>
      </c>
      <c r="E1225" s="190">
        <f>E1220*0.4%</f>
        <v>20.8032</v>
      </c>
      <c r="F1225" s="214">
        <f>'BASIC DATA'!$D$99</f>
        <v>55</v>
      </c>
      <c r="G1225" s="190">
        <f t="shared" si="23"/>
        <v>1144.1759999999999</v>
      </c>
    </row>
    <row r="1226" spans="1:7">
      <c r="B1226" s="105">
        <v>5</v>
      </c>
      <c r="C1226" s="135" t="s">
        <v>5315</v>
      </c>
      <c r="D1226" s="105" t="s">
        <v>3479</v>
      </c>
      <c r="E1226" s="190">
        <f>F1216*2</f>
        <v>31.52</v>
      </c>
      <c r="F1226" s="214">
        <f>F1208</f>
        <v>224.56752690000002</v>
      </c>
      <c r="G1226" s="190">
        <f t="shared" si="23"/>
        <v>7078.3684478880004</v>
      </c>
    </row>
    <row r="1227" spans="1:7">
      <c r="B1227" s="317"/>
      <c r="C1227" s="135" t="s">
        <v>6403</v>
      </c>
      <c r="D1227" s="224">
        <v>0.25</v>
      </c>
      <c r="E1227" s="190"/>
      <c r="F1227" s="214"/>
      <c r="G1227" s="190">
        <f>G1226*D1227</f>
        <v>1769.5921119720001</v>
      </c>
    </row>
    <row r="1228" spans="1:7">
      <c r="B1228" s="114">
        <v>6</v>
      </c>
      <c r="C1228" s="139" t="s">
        <v>2373</v>
      </c>
      <c r="D1228" s="114" t="s">
        <v>2173</v>
      </c>
      <c r="E1228" s="182">
        <v>0.5</v>
      </c>
      <c r="F1228" s="215">
        <f>'BASIC DATA'!$D$359</f>
        <v>30</v>
      </c>
      <c r="G1228" s="182">
        <f t="shared" si="23"/>
        <v>15</v>
      </c>
    </row>
    <row r="1229" spans="1:7">
      <c r="B1229" s="92"/>
      <c r="C1229" s="193" t="s">
        <v>2376</v>
      </c>
      <c r="D1229" s="159"/>
      <c r="E1229" s="238"/>
      <c r="F1229" s="236" t="s">
        <v>1698</v>
      </c>
      <c r="G1229" s="318">
        <f>SUM(G1220:G1228)</f>
        <v>52937.376559859993</v>
      </c>
    </row>
    <row r="1230" spans="1:7">
      <c r="B1230" s="78"/>
      <c r="C1230" s="26"/>
    </row>
    <row r="1231" spans="1:7">
      <c r="B1231" s="79" t="s">
        <v>2377</v>
      </c>
      <c r="C1231" s="26"/>
    </row>
    <row r="1232" spans="1:7">
      <c r="B1232" s="95" t="s">
        <v>2369</v>
      </c>
      <c r="C1232" s="157" t="s">
        <v>2378</v>
      </c>
      <c r="D1232" s="95" t="s">
        <v>2370</v>
      </c>
      <c r="E1232" s="95" t="s">
        <v>1166</v>
      </c>
      <c r="F1232" s="95" t="s">
        <v>2371</v>
      </c>
      <c r="G1232" s="95" t="s">
        <v>2372</v>
      </c>
    </row>
    <row r="1233" spans="2:7">
      <c r="B1233" s="114"/>
      <c r="C1233" s="154"/>
      <c r="D1233" s="114"/>
      <c r="E1233" s="114"/>
      <c r="F1233" s="114" t="s">
        <v>3485</v>
      </c>
      <c r="G1233" s="114" t="s">
        <v>3485</v>
      </c>
    </row>
    <row r="1234" spans="2:7">
      <c r="B1234" s="95">
        <v>1</v>
      </c>
      <c r="C1234" s="135" t="s">
        <v>7214</v>
      </c>
      <c r="D1234" s="95" t="s">
        <v>2374</v>
      </c>
      <c r="E1234" s="190">
        <v>8</v>
      </c>
      <c r="F1234" s="190">
        <f>'HIRE CHARGES'!$D$507</f>
        <v>53.5</v>
      </c>
      <c r="G1234" s="190">
        <f>E1234*F1234</f>
        <v>428</v>
      </c>
    </row>
    <row r="1235" spans="2:7">
      <c r="B1235" s="317"/>
      <c r="C1235" s="135" t="s">
        <v>2379</v>
      </c>
      <c r="D1235" s="105" t="s">
        <v>2374</v>
      </c>
      <c r="E1235" s="190">
        <v>8</v>
      </c>
      <c r="F1235" s="190">
        <f>'HIRE CHARGES'!$E$507</f>
        <v>79.3</v>
      </c>
      <c r="G1235" s="190">
        <f t="shared" ref="G1235:G1241" si="24">E1235*F1235</f>
        <v>634.4</v>
      </c>
    </row>
    <row r="1236" spans="2:7">
      <c r="B1236" s="105">
        <v>2</v>
      </c>
      <c r="C1236" s="135" t="s">
        <v>189</v>
      </c>
      <c r="D1236" s="105" t="s">
        <v>2374</v>
      </c>
      <c r="E1236" s="190">
        <v>0.5</v>
      </c>
      <c r="F1236" s="190">
        <f>'HIRE CHARGES'!$D$517</f>
        <v>10.199999999999999</v>
      </c>
      <c r="G1236" s="190">
        <f t="shared" si="24"/>
        <v>5.0999999999999996</v>
      </c>
    </row>
    <row r="1237" spans="2:7">
      <c r="B1237" s="317"/>
      <c r="C1237" s="135" t="s">
        <v>2379</v>
      </c>
      <c r="D1237" s="105" t="s">
        <v>2374</v>
      </c>
      <c r="E1237" s="190">
        <v>0.5</v>
      </c>
      <c r="F1237" s="190">
        <f>'HIRE CHARGES'!$E$517</f>
        <v>79.3</v>
      </c>
      <c r="G1237" s="190">
        <f t="shared" si="24"/>
        <v>39.65</v>
      </c>
    </row>
    <row r="1238" spans="2:7">
      <c r="B1238" s="105">
        <v>3</v>
      </c>
      <c r="C1238" s="135" t="s">
        <v>6286</v>
      </c>
      <c r="D1238" s="105" t="s">
        <v>2374</v>
      </c>
      <c r="E1238" s="190">
        <v>1</v>
      </c>
      <c r="F1238" s="190">
        <f>'HIRE CHARGES'!$D$555</f>
        <v>402.5</v>
      </c>
      <c r="G1238" s="190">
        <f t="shared" si="24"/>
        <v>402.5</v>
      </c>
    </row>
    <row r="1239" spans="2:7">
      <c r="B1239" s="317"/>
      <c r="C1239" s="135" t="s">
        <v>2379</v>
      </c>
      <c r="D1239" s="105" t="s">
        <v>2374</v>
      </c>
      <c r="E1239" s="190">
        <v>1</v>
      </c>
      <c r="F1239" s="190">
        <f>'HIRE CHARGES'!$E$555</f>
        <v>299.89999999999998</v>
      </c>
      <c r="G1239" s="190">
        <f t="shared" si="24"/>
        <v>299.89999999999998</v>
      </c>
    </row>
    <row r="1240" spans="2:7">
      <c r="B1240" s="105">
        <v>4</v>
      </c>
      <c r="C1240" s="135" t="s">
        <v>526</v>
      </c>
      <c r="D1240" s="105" t="s">
        <v>2374</v>
      </c>
      <c r="E1240" s="190">
        <v>8</v>
      </c>
      <c r="F1240" s="190">
        <f>'HIRE CHARGES'!$D$531</f>
        <v>7.6</v>
      </c>
      <c r="G1240" s="190">
        <f t="shared" si="24"/>
        <v>60.8</v>
      </c>
    </row>
    <row r="1241" spans="2:7">
      <c r="B1241" s="275"/>
      <c r="C1241" s="139" t="s">
        <v>2379</v>
      </c>
      <c r="D1241" s="114" t="s">
        <v>2374</v>
      </c>
      <c r="E1241" s="182">
        <v>8</v>
      </c>
      <c r="F1241" s="182">
        <f>'HIRE CHARGES'!$E$531</f>
        <v>18.8</v>
      </c>
      <c r="G1241" s="182">
        <f t="shared" si="24"/>
        <v>150.4</v>
      </c>
    </row>
    <row r="1242" spans="2:7">
      <c r="B1242" s="176"/>
      <c r="C1242" s="172" t="s">
        <v>2380</v>
      </c>
      <c r="D1242" s="174"/>
      <c r="E1242" s="192"/>
      <c r="F1242" s="275" t="s">
        <v>1698</v>
      </c>
      <c r="G1242" s="434">
        <f>SUM(G1234:G1241)</f>
        <v>2020.7500000000002</v>
      </c>
    </row>
    <row r="1243" spans="2:7">
      <c r="B1243" s="78"/>
      <c r="C1243" s="26"/>
    </row>
    <row r="1244" spans="2:7">
      <c r="B1244" s="79" t="s">
        <v>2381</v>
      </c>
      <c r="C1244" s="26"/>
    </row>
    <row r="1245" spans="2:7">
      <c r="B1245" s="95" t="s">
        <v>2369</v>
      </c>
      <c r="C1245" s="157" t="s">
        <v>2378</v>
      </c>
      <c r="D1245" s="95" t="s">
        <v>2370</v>
      </c>
      <c r="E1245" s="95" t="s">
        <v>1166</v>
      </c>
      <c r="F1245" s="95" t="s">
        <v>2371</v>
      </c>
      <c r="G1245" s="95" t="s">
        <v>2372</v>
      </c>
    </row>
    <row r="1246" spans="2:7">
      <c r="B1246" s="114"/>
      <c r="C1246" s="154"/>
      <c r="D1246" s="114"/>
      <c r="E1246" s="114"/>
      <c r="F1246" s="114" t="s">
        <v>3485</v>
      </c>
      <c r="G1246" s="114" t="s">
        <v>3485</v>
      </c>
    </row>
    <row r="1247" spans="2:7">
      <c r="B1247" s="105">
        <v>1</v>
      </c>
      <c r="C1247" s="76" t="s">
        <v>527</v>
      </c>
      <c r="D1247" s="105" t="s">
        <v>2374</v>
      </c>
      <c r="E1247" s="207">
        <v>8</v>
      </c>
      <c r="F1247" s="190">
        <f>'HIRE CHARGES'!$F$507</f>
        <v>219.7</v>
      </c>
      <c r="G1247" s="190">
        <f>E1247*F1247</f>
        <v>1757.6</v>
      </c>
    </row>
    <row r="1248" spans="2:7">
      <c r="B1248" s="105">
        <v>2</v>
      </c>
      <c r="C1248" s="76" t="s">
        <v>999</v>
      </c>
      <c r="D1248" s="105" t="s">
        <v>2374</v>
      </c>
      <c r="E1248" s="207">
        <v>0.5</v>
      </c>
      <c r="F1248" s="190">
        <f>'HIRE CHARGES'!$F$517</f>
        <v>111.1</v>
      </c>
      <c r="G1248" s="190">
        <f t="shared" ref="G1248:G1259" si="25">E1248*F1248</f>
        <v>55.55</v>
      </c>
    </row>
    <row r="1249" spans="2:7">
      <c r="B1249" s="105">
        <v>3</v>
      </c>
      <c r="C1249" s="76" t="s">
        <v>1000</v>
      </c>
      <c r="D1249" s="105" t="s">
        <v>2374</v>
      </c>
      <c r="E1249" s="207">
        <v>1</v>
      </c>
      <c r="F1249" s="190">
        <f>'HIRE CHARGES'!$F$555</f>
        <v>177.5</v>
      </c>
      <c r="G1249" s="190">
        <f t="shared" si="25"/>
        <v>177.5</v>
      </c>
    </row>
    <row r="1250" spans="2:7">
      <c r="B1250" s="105">
        <v>4</v>
      </c>
      <c r="C1250" s="76" t="s">
        <v>5148</v>
      </c>
      <c r="D1250" s="105" t="s">
        <v>2374</v>
      </c>
      <c r="E1250" s="207">
        <v>8</v>
      </c>
      <c r="F1250" s="190">
        <f>'HIRE CHARGES'!$F$531</f>
        <v>158.19999999999999</v>
      </c>
      <c r="G1250" s="190">
        <f t="shared" si="25"/>
        <v>1265.5999999999999</v>
      </c>
    </row>
    <row r="1251" spans="2:7">
      <c r="B1251" s="105">
        <v>5</v>
      </c>
      <c r="C1251" s="76" t="s">
        <v>440</v>
      </c>
      <c r="D1251" s="105" t="s">
        <v>1172</v>
      </c>
      <c r="E1251" s="207">
        <v>1</v>
      </c>
      <c r="F1251" s="190">
        <f>'BASIC DATA'!$C$474</f>
        <v>445</v>
      </c>
      <c r="G1251" s="190">
        <f t="shared" si="25"/>
        <v>445</v>
      </c>
    </row>
    <row r="1252" spans="2:7">
      <c r="B1252" s="105">
        <v>6</v>
      </c>
      <c r="C1252" s="76" t="s">
        <v>4206</v>
      </c>
      <c r="D1252" s="105" t="s">
        <v>1172</v>
      </c>
      <c r="E1252" s="207">
        <v>1</v>
      </c>
      <c r="F1252" s="190">
        <f>'BASIC DATA'!$C$473</f>
        <v>450</v>
      </c>
      <c r="G1252" s="190">
        <f t="shared" si="25"/>
        <v>450</v>
      </c>
    </row>
    <row r="1253" spans="2:7">
      <c r="B1253" s="105">
        <v>7</v>
      </c>
      <c r="C1253" s="76" t="s">
        <v>2697</v>
      </c>
      <c r="D1253" s="105"/>
      <c r="E1253" s="207"/>
      <c r="F1253" s="190"/>
      <c r="G1253" s="190"/>
    </row>
    <row r="1254" spans="2:7">
      <c r="B1254" s="317"/>
      <c r="C1254" s="76" t="s">
        <v>441</v>
      </c>
      <c r="D1254" s="105" t="s">
        <v>1172</v>
      </c>
      <c r="E1254" s="207">
        <v>11</v>
      </c>
      <c r="F1254" s="190">
        <f>'BASIC DATA'!$C$552</f>
        <v>350</v>
      </c>
      <c r="G1254" s="190">
        <f t="shared" si="25"/>
        <v>3850</v>
      </c>
    </row>
    <row r="1255" spans="2:7">
      <c r="B1255" s="317"/>
      <c r="C1255" s="76" t="s">
        <v>442</v>
      </c>
      <c r="D1255" s="105" t="s">
        <v>1172</v>
      </c>
      <c r="E1255" s="207">
        <v>4</v>
      </c>
      <c r="F1255" s="190">
        <f>'BASIC DATA'!$C$552</f>
        <v>350</v>
      </c>
      <c r="G1255" s="190">
        <f t="shared" si="25"/>
        <v>1400</v>
      </c>
    </row>
    <row r="1256" spans="2:7">
      <c r="B1256" s="317"/>
      <c r="C1256" s="76" t="s">
        <v>5151</v>
      </c>
      <c r="D1256" s="105" t="s">
        <v>1172</v>
      </c>
      <c r="E1256" s="207">
        <v>4</v>
      </c>
      <c r="F1256" s="190">
        <f>'BASIC DATA'!$C$552</f>
        <v>350</v>
      </c>
      <c r="G1256" s="190">
        <f t="shared" si="25"/>
        <v>1400</v>
      </c>
    </row>
    <row r="1257" spans="2:7">
      <c r="B1257" s="317"/>
      <c r="C1257" s="76" t="s">
        <v>444</v>
      </c>
      <c r="D1257" s="105" t="s">
        <v>1172</v>
      </c>
      <c r="E1257" s="207">
        <f>F1216</f>
        <v>15.76</v>
      </c>
      <c r="F1257" s="190">
        <f>'BASIC DATA'!$C$552</f>
        <v>350</v>
      </c>
      <c r="G1257" s="190">
        <f t="shared" si="25"/>
        <v>5516</v>
      </c>
    </row>
    <row r="1258" spans="2:7">
      <c r="B1258" s="317"/>
      <c r="C1258" s="76" t="s">
        <v>445</v>
      </c>
      <c r="D1258" s="105" t="s">
        <v>1172</v>
      </c>
      <c r="E1258" s="207">
        <v>1</v>
      </c>
      <c r="F1258" s="190">
        <f>'BASIC DATA'!$C$552</f>
        <v>350</v>
      </c>
      <c r="G1258" s="190">
        <f t="shared" si="25"/>
        <v>350</v>
      </c>
    </row>
    <row r="1259" spans="2:7">
      <c r="B1259" s="105">
        <v>8</v>
      </c>
      <c r="C1259" s="76" t="s">
        <v>7215</v>
      </c>
      <c r="D1259" s="105" t="s">
        <v>3479</v>
      </c>
      <c r="E1259" s="207">
        <f>F1216*2</f>
        <v>31.52</v>
      </c>
      <c r="F1259" s="190">
        <f>F1210</f>
        <v>88.5</v>
      </c>
      <c r="G1259" s="190">
        <f t="shared" si="25"/>
        <v>2789.52</v>
      </c>
    </row>
    <row r="1260" spans="2:7">
      <c r="B1260" s="317"/>
      <c r="C1260" s="76" t="s">
        <v>6402</v>
      </c>
      <c r="D1260" s="224">
        <v>0.25</v>
      </c>
      <c r="E1260" s="207"/>
      <c r="F1260" s="190"/>
      <c r="G1260" s="190">
        <f>G1259*D1260</f>
        <v>697.38</v>
      </c>
    </row>
    <row r="1261" spans="2:7">
      <c r="B1261" s="92"/>
      <c r="C1261" s="193" t="s">
        <v>1174</v>
      </c>
      <c r="D1261" s="159"/>
      <c r="E1261" s="238"/>
      <c r="F1261" s="236" t="s">
        <v>1698</v>
      </c>
      <c r="G1261" s="318">
        <f>SUM(G1247:G1260)</f>
        <v>20154.150000000001</v>
      </c>
    </row>
    <row r="1262" spans="2:7">
      <c r="B1262" s="60" t="s">
        <v>5948</v>
      </c>
      <c r="C1262" s="31"/>
      <c r="D1262" s="31"/>
      <c r="E1262" s="85">
        <f>ROUND(G1261/F1216,1)</f>
        <v>1278.8</v>
      </c>
    </row>
    <row r="1263" spans="2:7">
      <c r="B1263" s="60" t="s">
        <v>3163</v>
      </c>
      <c r="C1263" s="31"/>
      <c r="D1263" s="922">
        <f>'BASIC DATA'!$C$577</f>
        <v>0.13614999999999999</v>
      </c>
      <c r="E1263" s="85">
        <f>ROUND(E1262*D1263,1)</f>
        <v>174.1</v>
      </c>
    </row>
    <row r="1264" spans="2:7">
      <c r="B1264" s="60" t="s">
        <v>5949</v>
      </c>
      <c r="C1264" s="31"/>
      <c r="D1264" s="31"/>
      <c r="E1264" s="199">
        <f>ROUND(E1263+E1262,1)</f>
        <v>1452.9</v>
      </c>
      <c r="F1264" s="57"/>
    </row>
    <row r="1265" spans="1:7">
      <c r="B1265" s="78"/>
      <c r="C1265" s="26"/>
    </row>
    <row r="1266" spans="1:7">
      <c r="B1266" s="170" t="s">
        <v>1175</v>
      </c>
      <c r="C1266" s="26"/>
    </row>
    <row r="1267" spans="1:7">
      <c r="B1267" s="26" t="s">
        <v>1176</v>
      </c>
      <c r="C1267" s="26"/>
      <c r="F1267" s="171" t="s">
        <v>1698</v>
      </c>
      <c r="G1267" s="68">
        <f>G1229</f>
        <v>52937.376559859993</v>
      </c>
    </row>
    <row r="1268" spans="1:7">
      <c r="B1268" s="26" t="s">
        <v>1186</v>
      </c>
      <c r="C1268" s="26"/>
      <c r="F1268" s="171" t="s">
        <v>1698</v>
      </c>
      <c r="G1268" s="68">
        <f>G1242</f>
        <v>2020.7500000000002</v>
      </c>
    </row>
    <row r="1269" spans="1:7">
      <c r="B1269" s="26" t="s">
        <v>2660</v>
      </c>
      <c r="C1269" s="26"/>
      <c r="F1269" s="171" t="s">
        <v>1698</v>
      </c>
      <c r="G1269" s="75">
        <f>G1261</f>
        <v>20154.150000000001</v>
      </c>
    </row>
    <row r="1270" spans="1:7">
      <c r="B1270" s="78"/>
      <c r="C1270" s="26"/>
      <c r="E1270" s="171"/>
      <c r="F1270" s="171" t="s">
        <v>302</v>
      </c>
      <c r="G1270" s="205">
        <f>SUM(G1267:G1269)</f>
        <v>75112.276559859994</v>
      </c>
    </row>
    <row r="1271" spans="1:7">
      <c r="B1271" s="1206" t="s">
        <v>1379</v>
      </c>
      <c r="C1271" s="1206"/>
      <c r="E1271" s="922">
        <f>'BASIC DATA'!$C$577</f>
        <v>0.13614999999999999</v>
      </c>
      <c r="F1271" s="26" t="s">
        <v>1698</v>
      </c>
      <c r="G1271" s="26">
        <f>ROUND(G1270*E1271,2)</f>
        <v>10226.540000000001</v>
      </c>
    </row>
    <row r="1272" spans="1:7">
      <c r="B1272" s="26" t="s">
        <v>1191</v>
      </c>
      <c r="C1272" s="26"/>
      <c r="D1272" s="68">
        <f>F1216</f>
        <v>15.76</v>
      </c>
      <c r="E1272" s="68" t="str">
        <f>G1216</f>
        <v>cum</v>
      </c>
      <c r="F1272" s="26" t="s">
        <v>1698</v>
      </c>
      <c r="G1272" s="170">
        <f>G1271+G1270</f>
        <v>85338.816559859988</v>
      </c>
    </row>
    <row r="1273" spans="1:7">
      <c r="B1273" s="170" t="s">
        <v>1584</v>
      </c>
      <c r="C1273" s="211" t="str">
        <f>E1272</f>
        <v>cum</v>
      </c>
      <c r="D1273" s="26" t="s">
        <v>7778</v>
      </c>
      <c r="F1273" s="26" t="s">
        <v>4108</v>
      </c>
      <c r="G1273" s="211">
        <f>ROUND(G1272/D1272,1)</f>
        <v>5414.9</v>
      </c>
    </row>
    <row r="1274" spans="1:7">
      <c r="B1274" s="78"/>
      <c r="C1274" s="26"/>
    </row>
    <row r="1275" spans="1:7">
      <c r="B1275" s="78"/>
      <c r="C1275" s="26"/>
    </row>
    <row r="1276" spans="1:7" ht="18.75">
      <c r="A1276" s="865" t="s">
        <v>7549</v>
      </c>
      <c r="B1276" s="26" t="s">
        <v>8793</v>
      </c>
      <c r="C1276" s="26"/>
    </row>
    <row r="1277" spans="1:7" ht="18.75">
      <c r="A1277" s="865"/>
      <c r="B1277" s="26" t="s">
        <v>8926</v>
      </c>
      <c r="C1277" s="26"/>
    </row>
    <row r="1278" spans="1:7">
      <c r="A1278" s="865"/>
      <c r="B1278" s="26" t="s">
        <v>8923</v>
      </c>
      <c r="C1278" s="26"/>
    </row>
    <row r="1279" spans="1:7">
      <c r="A1279" s="865"/>
      <c r="B1279" s="26" t="s">
        <v>6528</v>
      </c>
      <c r="C1279" s="26"/>
    </row>
    <row r="1280" spans="1:7" ht="18.75">
      <c r="A1280" s="865"/>
      <c r="B1280" s="26" t="s">
        <v>8924</v>
      </c>
      <c r="C1280" s="26"/>
    </row>
    <row r="1281" spans="1:7">
      <c r="A1281" s="865"/>
      <c r="B1281" s="170" t="s">
        <v>7779</v>
      </c>
      <c r="C1281" s="26"/>
    </row>
    <row r="1282" spans="1:7">
      <c r="A1282" s="855"/>
      <c r="B1282" s="248" t="s">
        <v>4522</v>
      </c>
      <c r="C1282" s="61"/>
      <c r="D1282" s="61"/>
      <c r="E1282" s="61"/>
      <c r="F1282" s="61"/>
      <c r="G1282" s="61"/>
    </row>
    <row r="1283" spans="1:7">
      <c r="A1283" s="865"/>
      <c r="B1283" s="26"/>
      <c r="C1283" s="26"/>
    </row>
    <row r="1284" spans="1:7" hidden="1">
      <c r="A1284" s="865" t="s">
        <v>3984</v>
      </c>
      <c r="B1284" s="26" t="s">
        <v>5780</v>
      </c>
      <c r="C1284" s="26"/>
    </row>
    <row r="1285" spans="1:7" hidden="1">
      <c r="A1285" s="865"/>
      <c r="B1285" s="26" t="s">
        <v>3113</v>
      </c>
      <c r="C1285" s="26"/>
    </row>
    <row r="1286" spans="1:7" hidden="1">
      <c r="A1286" s="865"/>
      <c r="B1286" s="26" t="s">
        <v>7780</v>
      </c>
      <c r="C1286" s="26"/>
    </row>
    <row r="1287" spans="1:7" hidden="1">
      <c r="A1287" s="865"/>
      <c r="B1287" s="26" t="s">
        <v>7781</v>
      </c>
      <c r="C1287" s="26"/>
      <c r="D1287" s="26">
        <f>ROUND(50*11*8/280,2)</f>
        <v>15.71</v>
      </c>
      <c r="E1287" s="26" t="s">
        <v>3760</v>
      </c>
    </row>
    <row r="1288" spans="1:7" hidden="1">
      <c r="A1288" s="865"/>
      <c r="B1288" s="26" t="s">
        <v>2843</v>
      </c>
      <c r="C1288" s="26"/>
    </row>
    <row r="1289" spans="1:7" hidden="1">
      <c r="A1289" s="865"/>
      <c r="B1289" s="26" t="s">
        <v>1816</v>
      </c>
      <c r="C1289" s="26"/>
    </row>
    <row r="1290" spans="1:7" hidden="1">
      <c r="A1290" s="865"/>
      <c r="B1290" s="26" t="s">
        <v>948</v>
      </c>
      <c r="C1290" s="26"/>
      <c r="D1290" s="68">
        <f>G667</f>
        <v>224.56752690000002</v>
      </c>
      <c r="E1290" s="26" t="s">
        <v>1168</v>
      </c>
    </row>
    <row r="1291" spans="1:7" hidden="1">
      <c r="A1291" s="865"/>
      <c r="B1291" s="26" t="s">
        <v>2908</v>
      </c>
      <c r="C1291" s="26"/>
    </row>
    <row r="1292" spans="1:7" hidden="1">
      <c r="A1292" s="865"/>
      <c r="B1292" s="26" t="s">
        <v>949</v>
      </c>
      <c r="C1292" s="26"/>
      <c r="D1292" s="68">
        <f>G693</f>
        <v>88.5</v>
      </c>
      <c r="E1292" s="26" t="s">
        <v>1168</v>
      </c>
    </row>
    <row r="1293" spans="1:7" hidden="1">
      <c r="A1293" s="865"/>
      <c r="B1293" s="26" t="s">
        <v>2909</v>
      </c>
      <c r="C1293" s="26"/>
    </row>
    <row r="1294" spans="1:7" hidden="1">
      <c r="A1294" s="865"/>
      <c r="B1294" s="26" t="s">
        <v>451</v>
      </c>
      <c r="C1294" s="26"/>
    </row>
    <row r="1295" spans="1:7" hidden="1">
      <c r="A1295" s="865"/>
      <c r="B1295" s="26" t="s">
        <v>950</v>
      </c>
      <c r="C1295" s="26"/>
    </row>
    <row r="1296" spans="1:7" hidden="1">
      <c r="A1296" s="865"/>
      <c r="B1296" s="26" t="s">
        <v>6408</v>
      </c>
      <c r="C1296" s="26"/>
    </row>
    <row r="1297" spans="1:7">
      <c r="B1297" s="78"/>
      <c r="C1297" s="26"/>
    </row>
    <row r="1298" spans="1:7">
      <c r="A1298" s="865" t="s">
        <v>3984</v>
      </c>
      <c r="B1298" s="78"/>
      <c r="C1298" s="203" t="s">
        <v>2367</v>
      </c>
      <c r="E1298" s="171" t="s">
        <v>297</v>
      </c>
      <c r="F1298" s="246">
        <f>D1287</f>
        <v>15.71</v>
      </c>
      <c r="G1298" s="26" t="s">
        <v>3477</v>
      </c>
    </row>
    <row r="1299" spans="1:7">
      <c r="B1299" s="79" t="s">
        <v>2368</v>
      </c>
      <c r="C1299" s="26"/>
    </row>
    <row r="1300" spans="1:7">
      <c r="B1300" s="95" t="s">
        <v>2369</v>
      </c>
      <c r="C1300" s="157" t="s">
        <v>4443</v>
      </c>
      <c r="D1300" s="95" t="s">
        <v>2370</v>
      </c>
      <c r="E1300" s="95" t="s">
        <v>1166</v>
      </c>
      <c r="F1300" s="95" t="s">
        <v>2371</v>
      </c>
      <c r="G1300" s="95" t="s">
        <v>2372</v>
      </c>
    </row>
    <row r="1301" spans="1:7">
      <c r="B1301" s="114"/>
      <c r="C1301" s="154"/>
      <c r="D1301" s="114"/>
      <c r="E1301" s="114"/>
      <c r="F1301" s="114" t="s">
        <v>3485</v>
      </c>
      <c r="G1301" s="114" t="s">
        <v>3485</v>
      </c>
    </row>
    <row r="1302" spans="1:7">
      <c r="B1302" s="95">
        <v>1</v>
      </c>
      <c r="C1302" s="135" t="s">
        <v>1048</v>
      </c>
      <c r="D1302" s="95" t="s">
        <v>3478</v>
      </c>
      <c r="E1302" s="190">
        <f>280*F1298</f>
        <v>4398.8</v>
      </c>
      <c r="F1302" s="214">
        <f>'BASIC DATA'!$D$32/1000</f>
        <v>5.35</v>
      </c>
      <c r="G1302" s="190">
        <f>E1302*F1302</f>
        <v>23533.579999999998</v>
      </c>
    </row>
    <row r="1303" spans="1:7">
      <c r="B1303" s="317"/>
      <c r="C1303" s="135" t="s">
        <v>1049</v>
      </c>
      <c r="D1303" s="105" t="s">
        <v>3478</v>
      </c>
      <c r="E1303" s="190">
        <f>F1298*5</f>
        <v>78.550000000000011</v>
      </c>
      <c r="F1303" s="214">
        <f>'BASIC DATA'!$D$32/1000</f>
        <v>5.35</v>
      </c>
      <c r="G1303" s="190">
        <f t="shared" ref="G1303:G1310" si="26">E1303*F1303</f>
        <v>420.24250000000001</v>
      </c>
    </row>
    <row r="1304" spans="1:7">
      <c r="B1304" s="105">
        <v>2</v>
      </c>
      <c r="C1304" s="135" t="s">
        <v>6995</v>
      </c>
      <c r="D1304" s="105" t="s">
        <v>3477</v>
      </c>
      <c r="E1304" s="190">
        <f>0.8*F1298*0.65</f>
        <v>8.1692000000000018</v>
      </c>
      <c r="F1304" s="214">
        <f>'BASIC DATA'!$D$35</f>
        <v>1225</v>
      </c>
      <c r="G1304" s="190">
        <f t="shared" si="26"/>
        <v>10007.270000000002</v>
      </c>
    </row>
    <row r="1305" spans="1:7">
      <c r="B1305" s="317"/>
      <c r="C1305" s="135" t="s">
        <v>1050</v>
      </c>
      <c r="D1305" s="105" t="s">
        <v>3477</v>
      </c>
      <c r="E1305" s="190">
        <f>0.8*0.35*F1298</f>
        <v>4.3987999999999996</v>
      </c>
      <c r="F1305" s="214">
        <f>'BASIC DATA'!$D$34</f>
        <v>900</v>
      </c>
      <c r="G1305" s="190">
        <f t="shared" si="26"/>
        <v>3958.9199999999996</v>
      </c>
    </row>
    <row r="1306" spans="1:7">
      <c r="A1306" s="853"/>
      <c r="B1306" s="240">
        <v>3</v>
      </c>
      <c r="C1306" s="326" t="s">
        <v>7941</v>
      </c>
      <c r="D1306" s="240" t="s">
        <v>3477</v>
      </c>
      <c r="E1306" s="255">
        <f>0.45*F1298</f>
        <v>7.0695000000000006</v>
      </c>
      <c r="F1306" s="266">
        <f>'BASIC DATA'!$D$55</f>
        <v>95</v>
      </c>
      <c r="G1306" s="255">
        <f t="shared" si="26"/>
        <v>671.60250000000008</v>
      </c>
    </row>
    <row r="1307" spans="1:7">
      <c r="B1307" s="105">
        <v>4</v>
      </c>
      <c r="C1307" s="135" t="s">
        <v>523</v>
      </c>
      <c r="D1307" s="105" t="s">
        <v>3478</v>
      </c>
      <c r="E1307" s="190">
        <f>E1302*0.4%</f>
        <v>17.595200000000002</v>
      </c>
      <c r="F1307" s="214">
        <f>'BASIC DATA'!$D$99</f>
        <v>55</v>
      </c>
      <c r="G1307" s="190">
        <f t="shared" si="26"/>
        <v>967.7360000000001</v>
      </c>
    </row>
    <row r="1308" spans="1:7">
      <c r="B1308" s="105">
        <v>5</v>
      </c>
      <c r="C1308" s="135" t="s">
        <v>7213</v>
      </c>
      <c r="D1308" s="105" t="s">
        <v>3479</v>
      </c>
      <c r="E1308" s="190">
        <f>F1298*2</f>
        <v>31.42</v>
      </c>
      <c r="F1308" s="214">
        <f>D1290</f>
        <v>224.56752690000002</v>
      </c>
      <c r="G1308" s="190">
        <f t="shared" si="26"/>
        <v>7055.9116951980013</v>
      </c>
    </row>
    <row r="1309" spans="1:7">
      <c r="B1309" s="317"/>
      <c r="C1309" s="135" t="s">
        <v>5408</v>
      </c>
      <c r="D1309" s="224">
        <v>0.25</v>
      </c>
      <c r="E1309" s="190"/>
      <c r="F1309" s="214"/>
      <c r="G1309" s="190">
        <f>G1308*D1309</f>
        <v>1763.9779237995003</v>
      </c>
    </row>
    <row r="1310" spans="1:7">
      <c r="B1310" s="114">
        <v>6</v>
      </c>
      <c r="C1310" s="139" t="s">
        <v>2373</v>
      </c>
      <c r="D1310" s="114" t="s">
        <v>2173</v>
      </c>
      <c r="E1310" s="182">
        <v>0.5</v>
      </c>
      <c r="F1310" s="215">
        <f>'BASIC DATA'!$D$359</f>
        <v>30</v>
      </c>
      <c r="G1310" s="182">
        <f t="shared" si="26"/>
        <v>15</v>
      </c>
    </row>
    <row r="1311" spans="1:7">
      <c r="B1311" s="92"/>
      <c r="C1311" s="193" t="s">
        <v>2376</v>
      </c>
      <c r="D1311" s="159"/>
      <c r="E1311" s="238"/>
      <c r="F1311" s="236" t="s">
        <v>1698</v>
      </c>
      <c r="G1311" s="318">
        <f>SUM(G1302:G1310)</f>
        <v>48394.240618997501</v>
      </c>
    </row>
    <row r="1312" spans="1:7">
      <c r="B1312" s="78"/>
      <c r="C1312" s="26"/>
    </row>
    <row r="1313" spans="2:7">
      <c r="B1313" s="79" t="s">
        <v>2377</v>
      </c>
      <c r="C1313" s="26"/>
    </row>
    <row r="1314" spans="2:7">
      <c r="B1314" s="95" t="s">
        <v>2369</v>
      </c>
      <c r="C1314" s="157" t="s">
        <v>2378</v>
      </c>
      <c r="D1314" s="95" t="s">
        <v>2370</v>
      </c>
      <c r="E1314" s="95" t="s">
        <v>1166</v>
      </c>
      <c r="F1314" s="95" t="s">
        <v>2371</v>
      </c>
      <c r="G1314" s="95" t="s">
        <v>2372</v>
      </c>
    </row>
    <row r="1315" spans="2:7">
      <c r="B1315" s="114"/>
      <c r="C1315" s="154"/>
      <c r="D1315" s="114"/>
      <c r="E1315" s="114"/>
      <c r="F1315" s="114" t="s">
        <v>3485</v>
      </c>
      <c r="G1315" s="114" t="s">
        <v>3485</v>
      </c>
    </row>
    <row r="1316" spans="2:7">
      <c r="B1316" s="95">
        <v>1</v>
      </c>
      <c r="C1316" s="135" t="s">
        <v>7214</v>
      </c>
      <c r="D1316" s="95" t="s">
        <v>2374</v>
      </c>
      <c r="E1316" s="190">
        <v>8</v>
      </c>
      <c r="F1316" s="190">
        <f>'HIRE CHARGES'!$D$507</f>
        <v>53.5</v>
      </c>
      <c r="G1316" s="190">
        <f>E1316*F1316</f>
        <v>428</v>
      </c>
    </row>
    <row r="1317" spans="2:7">
      <c r="B1317" s="317"/>
      <c r="C1317" s="135" t="s">
        <v>2379</v>
      </c>
      <c r="D1317" s="105" t="s">
        <v>2374</v>
      </c>
      <c r="E1317" s="190">
        <v>8</v>
      </c>
      <c r="F1317" s="190">
        <f>'HIRE CHARGES'!$E$507</f>
        <v>79.3</v>
      </c>
      <c r="G1317" s="190">
        <f t="shared" ref="G1317:G1323" si="27">E1317*F1317</f>
        <v>634.4</v>
      </c>
    </row>
    <row r="1318" spans="2:7">
      <c r="B1318" s="105">
        <v>2</v>
      </c>
      <c r="C1318" s="135" t="s">
        <v>189</v>
      </c>
      <c r="D1318" s="105" t="s">
        <v>2374</v>
      </c>
      <c r="E1318" s="190">
        <v>0.5</v>
      </c>
      <c r="F1318" s="190">
        <f>'HIRE CHARGES'!$D$517</f>
        <v>10.199999999999999</v>
      </c>
      <c r="G1318" s="190">
        <f t="shared" si="27"/>
        <v>5.0999999999999996</v>
      </c>
    </row>
    <row r="1319" spans="2:7">
      <c r="B1319" s="317"/>
      <c r="C1319" s="135" t="s">
        <v>2379</v>
      </c>
      <c r="D1319" s="105" t="s">
        <v>2374</v>
      </c>
      <c r="E1319" s="190">
        <v>0.5</v>
      </c>
      <c r="F1319" s="190">
        <f>'HIRE CHARGES'!$E$517</f>
        <v>79.3</v>
      </c>
      <c r="G1319" s="190">
        <f t="shared" si="27"/>
        <v>39.65</v>
      </c>
    </row>
    <row r="1320" spans="2:7">
      <c r="B1320" s="105">
        <v>3</v>
      </c>
      <c r="C1320" s="135" t="s">
        <v>6286</v>
      </c>
      <c r="D1320" s="105" t="s">
        <v>2374</v>
      </c>
      <c r="E1320" s="190">
        <v>1</v>
      </c>
      <c r="F1320" s="190">
        <f>'HIRE CHARGES'!$D$555</f>
        <v>402.5</v>
      </c>
      <c r="G1320" s="190">
        <f t="shared" si="27"/>
        <v>402.5</v>
      </c>
    </row>
    <row r="1321" spans="2:7">
      <c r="B1321" s="317"/>
      <c r="C1321" s="135" t="s">
        <v>2379</v>
      </c>
      <c r="D1321" s="105" t="s">
        <v>2374</v>
      </c>
      <c r="E1321" s="190">
        <v>1</v>
      </c>
      <c r="F1321" s="190">
        <f>'HIRE CHARGES'!$E$555</f>
        <v>299.89999999999998</v>
      </c>
      <c r="G1321" s="190">
        <f t="shared" si="27"/>
        <v>299.89999999999998</v>
      </c>
    </row>
    <row r="1322" spans="2:7">
      <c r="B1322" s="105">
        <v>4</v>
      </c>
      <c r="C1322" s="135" t="s">
        <v>526</v>
      </c>
      <c r="D1322" s="105" t="s">
        <v>2374</v>
      </c>
      <c r="E1322" s="190">
        <v>8</v>
      </c>
      <c r="F1322" s="190">
        <f>'HIRE CHARGES'!$D$531</f>
        <v>7.6</v>
      </c>
      <c r="G1322" s="190">
        <f t="shared" si="27"/>
        <v>60.8</v>
      </c>
    </row>
    <row r="1323" spans="2:7">
      <c r="B1323" s="275"/>
      <c r="C1323" s="139" t="s">
        <v>2379</v>
      </c>
      <c r="D1323" s="114" t="s">
        <v>2374</v>
      </c>
      <c r="E1323" s="182">
        <v>8</v>
      </c>
      <c r="F1323" s="182">
        <f>'HIRE CHARGES'!$E$531</f>
        <v>18.8</v>
      </c>
      <c r="G1323" s="190">
        <f t="shared" si="27"/>
        <v>150.4</v>
      </c>
    </row>
    <row r="1324" spans="2:7">
      <c r="B1324" s="176"/>
      <c r="C1324" s="172" t="s">
        <v>2380</v>
      </c>
      <c r="D1324" s="174"/>
      <c r="E1324" s="192"/>
      <c r="F1324" s="275" t="s">
        <v>1698</v>
      </c>
      <c r="G1324" s="318">
        <f>SUM(G1316:G1323)</f>
        <v>2020.7500000000002</v>
      </c>
    </row>
    <row r="1325" spans="2:7">
      <c r="B1325" s="78"/>
      <c r="C1325" s="26"/>
    </row>
    <row r="1326" spans="2:7">
      <c r="B1326" s="79" t="s">
        <v>2381</v>
      </c>
      <c r="C1326" s="26"/>
    </row>
    <row r="1327" spans="2:7">
      <c r="B1327" s="95" t="s">
        <v>2369</v>
      </c>
      <c r="C1327" s="157" t="s">
        <v>2378</v>
      </c>
      <c r="D1327" s="95" t="s">
        <v>2370</v>
      </c>
      <c r="E1327" s="95" t="s">
        <v>1166</v>
      </c>
      <c r="F1327" s="95" t="s">
        <v>2371</v>
      </c>
      <c r="G1327" s="95" t="s">
        <v>2372</v>
      </c>
    </row>
    <row r="1328" spans="2:7">
      <c r="B1328" s="114"/>
      <c r="C1328" s="154"/>
      <c r="D1328" s="114"/>
      <c r="E1328" s="114"/>
      <c r="F1328" s="114" t="s">
        <v>3485</v>
      </c>
      <c r="G1328" s="114" t="s">
        <v>3485</v>
      </c>
    </row>
    <row r="1329" spans="2:7">
      <c r="B1329" s="105">
        <v>1</v>
      </c>
      <c r="C1329" s="76" t="s">
        <v>527</v>
      </c>
      <c r="D1329" s="105" t="s">
        <v>2374</v>
      </c>
      <c r="E1329" s="207">
        <v>8</v>
      </c>
      <c r="F1329" s="190">
        <f>'HIRE CHARGES'!$F$507</f>
        <v>219.7</v>
      </c>
      <c r="G1329" s="190">
        <f>E1329*F1329</f>
        <v>1757.6</v>
      </c>
    </row>
    <row r="1330" spans="2:7">
      <c r="B1330" s="105">
        <v>2</v>
      </c>
      <c r="C1330" s="76" t="s">
        <v>999</v>
      </c>
      <c r="D1330" s="105" t="s">
        <v>2374</v>
      </c>
      <c r="E1330" s="207">
        <v>0.5</v>
      </c>
      <c r="F1330" s="190">
        <f>'HIRE CHARGES'!$F$517</f>
        <v>111.1</v>
      </c>
      <c r="G1330" s="190">
        <f t="shared" ref="G1330:G1341" si="28">E1330*F1330</f>
        <v>55.55</v>
      </c>
    </row>
    <row r="1331" spans="2:7">
      <c r="B1331" s="105">
        <v>3</v>
      </c>
      <c r="C1331" s="76" t="s">
        <v>1000</v>
      </c>
      <c r="D1331" s="105" t="s">
        <v>2374</v>
      </c>
      <c r="E1331" s="207">
        <v>1</v>
      </c>
      <c r="F1331" s="190">
        <f>'HIRE CHARGES'!$F$555</f>
        <v>177.5</v>
      </c>
      <c r="G1331" s="190">
        <f t="shared" si="28"/>
        <v>177.5</v>
      </c>
    </row>
    <row r="1332" spans="2:7">
      <c r="B1332" s="105">
        <v>4</v>
      </c>
      <c r="C1332" s="76" t="s">
        <v>5148</v>
      </c>
      <c r="D1332" s="105" t="s">
        <v>2374</v>
      </c>
      <c r="E1332" s="207">
        <v>8</v>
      </c>
      <c r="F1332" s="190">
        <f>'HIRE CHARGES'!$F$531</f>
        <v>158.19999999999999</v>
      </c>
      <c r="G1332" s="190">
        <f t="shared" si="28"/>
        <v>1265.5999999999999</v>
      </c>
    </row>
    <row r="1333" spans="2:7">
      <c r="B1333" s="105">
        <v>5</v>
      </c>
      <c r="C1333" s="76" t="s">
        <v>440</v>
      </c>
      <c r="D1333" s="105" t="s">
        <v>1172</v>
      </c>
      <c r="E1333" s="207">
        <v>1</v>
      </c>
      <c r="F1333" s="190">
        <f>'BASIC DATA'!$C$474</f>
        <v>445</v>
      </c>
      <c r="G1333" s="190">
        <f t="shared" si="28"/>
        <v>445</v>
      </c>
    </row>
    <row r="1334" spans="2:7">
      <c r="B1334" s="105">
        <v>6</v>
      </c>
      <c r="C1334" s="76" t="s">
        <v>4206</v>
      </c>
      <c r="D1334" s="105" t="s">
        <v>1172</v>
      </c>
      <c r="E1334" s="207">
        <v>1</v>
      </c>
      <c r="F1334" s="190">
        <f>'BASIC DATA'!$C$473</f>
        <v>450</v>
      </c>
      <c r="G1334" s="190">
        <f t="shared" si="28"/>
        <v>450</v>
      </c>
    </row>
    <row r="1335" spans="2:7">
      <c r="B1335" s="105">
        <v>7</v>
      </c>
      <c r="C1335" s="76" t="s">
        <v>2697</v>
      </c>
      <c r="D1335" s="105"/>
      <c r="E1335" s="207"/>
      <c r="F1335" s="190"/>
      <c r="G1335" s="190"/>
    </row>
    <row r="1336" spans="2:7">
      <c r="B1336" s="317"/>
      <c r="C1336" s="76" t="s">
        <v>441</v>
      </c>
      <c r="D1336" s="105" t="s">
        <v>1172</v>
      </c>
      <c r="E1336" s="207">
        <v>11</v>
      </c>
      <c r="F1336" s="190">
        <f>'BASIC DATA'!$C$552</f>
        <v>350</v>
      </c>
      <c r="G1336" s="190">
        <f t="shared" si="28"/>
        <v>3850</v>
      </c>
    </row>
    <row r="1337" spans="2:7">
      <c r="B1337" s="317"/>
      <c r="C1337" s="76" t="s">
        <v>442</v>
      </c>
      <c r="D1337" s="105" t="s">
        <v>1172</v>
      </c>
      <c r="E1337" s="207">
        <v>4</v>
      </c>
      <c r="F1337" s="190">
        <f>'BASIC DATA'!$C$552</f>
        <v>350</v>
      </c>
      <c r="G1337" s="190">
        <f t="shared" si="28"/>
        <v>1400</v>
      </c>
    </row>
    <row r="1338" spans="2:7">
      <c r="B1338" s="317"/>
      <c r="C1338" s="76" t="s">
        <v>5151</v>
      </c>
      <c r="D1338" s="105" t="s">
        <v>1172</v>
      </c>
      <c r="E1338" s="207">
        <v>4</v>
      </c>
      <c r="F1338" s="190">
        <f>'BASIC DATA'!$C$552</f>
        <v>350</v>
      </c>
      <c r="G1338" s="190">
        <f t="shared" si="28"/>
        <v>1400</v>
      </c>
    </row>
    <row r="1339" spans="2:7">
      <c r="B1339" s="317"/>
      <c r="C1339" s="76" t="s">
        <v>444</v>
      </c>
      <c r="D1339" s="105" t="s">
        <v>1172</v>
      </c>
      <c r="E1339" s="207">
        <f>F1298</f>
        <v>15.71</v>
      </c>
      <c r="F1339" s="190">
        <f>'BASIC DATA'!$C$552</f>
        <v>350</v>
      </c>
      <c r="G1339" s="190">
        <f t="shared" si="28"/>
        <v>5498.5</v>
      </c>
    </row>
    <row r="1340" spans="2:7">
      <c r="B1340" s="317"/>
      <c r="C1340" s="76" t="s">
        <v>445</v>
      </c>
      <c r="D1340" s="105" t="s">
        <v>1172</v>
      </c>
      <c r="E1340" s="207">
        <v>1</v>
      </c>
      <c r="F1340" s="190">
        <f>'BASIC DATA'!$C$552</f>
        <v>350</v>
      </c>
      <c r="G1340" s="190">
        <f t="shared" si="28"/>
        <v>350</v>
      </c>
    </row>
    <row r="1341" spans="2:7">
      <c r="B1341" s="105">
        <v>8</v>
      </c>
      <c r="C1341" s="76" t="s">
        <v>7215</v>
      </c>
      <c r="D1341" s="105" t="s">
        <v>3479</v>
      </c>
      <c r="E1341" s="207">
        <f>F1298*2</f>
        <v>31.42</v>
      </c>
      <c r="F1341" s="190">
        <f>D1292</f>
        <v>88.5</v>
      </c>
      <c r="G1341" s="190">
        <f t="shared" si="28"/>
        <v>2780.67</v>
      </c>
    </row>
    <row r="1342" spans="2:7">
      <c r="B1342" s="317"/>
      <c r="C1342" s="76" t="s">
        <v>6402</v>
      </c>
      <c r="D1342" s="224">
        <v>0.25</v>
      </c>
      <c r="E1342" s="207"/>
      <c r="F1342" s="190"/>
      <c r="G1342" s="190">
        <f>G1341*D1342</f>
        <v>695.16750000000002</v>
      </c>
    </row>
    <row r="1343" spans="2:7">
      <c r="B1343" s="92"/>
      <c r="C1343" s="193" t="s">
        <v>1174</v>
      </c>
      <c r="D1343" s="159"/>
      <c r="E1343" s="238"/>
      <c r="F1343" s="236" t="s">
        <v>1698</v>
      </c>
      <c r="G1343" s="318">
        <f>SUM(G1329:G1342)</f>
        <v>20125.587499999998</v>
      </c>
    </row>
    <row r="1344" spans="2:7">
      <c r="B1344" s="60" t="s">
        <v>5948</v>
      </c>
      <c r="C1344" s="26"/>
      <c r="D1344" s="31"/>
      <c r="E1344" s="85">
        <f>ROUND(G1343/F1298,1)</f>
        <v>1281.0999999999999</v>
      </c>
    </row>
    <row r="1345" spans="1:7">
      <c r="B1345" s="60" t="s">
        <v>3163</v>
      </c>
      <c r="C1345" s="26"/>
      <c r="D1345" s="922">
        <f>'BASIC DATA'!$C$577</f>
        <v>0.13614999999999999</v>
      </c>
      <c r="E1345" s="85">
        <f>ROUND(E1344*D1345,1)</f>
        <v>174.4</v>
      </c>
    </row>
    <row r="1346" spans="1:7">
      <c r="B1346" s="60" t="s">
        <v>5949</v>
      </c>
      <c r="C1346" s="26"/>
      <c r="D1346" s="31"/>
      <c r="E1346" s="199">
        <f>ROUND(E1345+E1344,1)</f>
        <v>1455.5</v>
      </c>
      <c r="F1346" s="57"/>
    </row>
    <row r="1347" spans="1:7">
      <c r="B1347" s="26"/>
      <c r="C1347" s="26"/>
    </row>
    <row r="1348" spans="1:7">
      <c r="B1348" s="170" t="s">
        <v>1175</v>
      </c>
      <c r="C1348" s="26"/>
    </row>
    <row r="1349" spans="1:7">
      <c r="B1349" s="26" t="s">
        <v>1176</v>
      </c>
      <c r="C1349" s="26"/>
      <c r="F1349" s="171" t="s">
        <v>1698</v>
      </c>
      <c r="G1349" s="68">
        <f>G1311</f>
        <v>48394.240618997501</v>
      </c>
    </row>
    <row r="1350" spans="1:7">
      <c r="B1350" s="26" t="s">
        <v>1186</v>
      </c>
      <c r="C1350" s="26"/>
      <c r="F1350" s="171" t="s">
        <v>1698</v>
      </c>
      <c r="G1350" s="68">
        <f>G1324</f>
        <v>2020.7500000000002</v>
      </c>
    </row>
    <row r="1351" spans="1:7">
      <c r="B1351" s="26" t="s">
        <v>2660</v>
      </c>
      <c r="C1351" s="26"/>
      <c r="F1351" s="171" t="s">
        <v>1698</v>
      </c>
      <c r="G1351" s="75">
        <f>G1343</f>
        <v>20125.587499999998</v>
      </c>
    </row>
    <row r="1352" spans="1:7">
      <c r="B1352" s="78"/>
      <c r="C1352" s="26"/>
      <c r="E1352" s="171"/>
      <c r="F1352" s="171" t="s">
        <v>302</v>
      </c>
      <c r="G1352" s="205">
        <f>SUM(G1349:G1351)</f>
        <v>70540.578118997495</v>
      </c>
    </row>
    <row r="1353" spans="1:7">
      <c r="B1353" s="1206" t="s">
        <v>1379</v>
      </c>
      <c r="C1353" s="1206"/>
      <c r="E1353" s="922">
        <f>'BASIC DATA'!$C$577</f>
        <v>0.13614999999999999</v>
      </c>
      <c r="F1353" s="26" t="s">
        <v>1698</v>
      </c>
      <c r="G1353" s="26">
        <f>ROUND(G1352*E1353,2)</f>
        <v>9604.1</v>
      </c>
    </row>
    <row r="1354" spans="1:7">
      <c r="B1354" s="26" t="s">
        <v>1191</v>
      </c>
      <c r="C1354" s="26"/>
      <c r="D1354" s="68">
        <f>F1298</f>
        <v>15.71</v>
      </c>
      <c r="E1354" s="68" t="str">
        <f>G1298</f>
        <v>cum</v>
      </c>
      <c r="F1354" s="26" t="s">
        <v>1698</v>
      </c>
      <c r="G1354" s="170">
        <f>G1353+G1352</f>
        <v>80144.678118997501</v>
      </c>
    </row>
    <row r="1355" spans="1:7">
      <c r="B1355" s="170" t="s">
        <v>1584</v>
      </c>
      <c r="C1355" s="211" t="str">
        <f>E1354</f>
        <v>cum</v>
      </c>
      <c r="D1355" s="26" t="s">
        <v>7782</v>
      </c>
      <c r="F1355" s="26" t="s">
        <v>4108</v>
      </c>
      <c r="G1355" s="211">
        <f>ROUND(G1354/D1354,1)</f>
        <v>5101.5</v>
      </c>
    </row>
    <row r="1356" spans="1:7">
      <c r="B1356" s="78"/>
      <c r="C1356" s="26"/>
    </row>
    <row r="1357" spans="1:7">
      <c r="B1357" s="78"/>
      <c r="C1357" s="26"/>
    </row>
    <row r="1358" spans="1:7" ht="18.75">
      <c r="A1358" s="865" t="s">
        <v>7550</v>
      </c>
      <c r="B1358" s="26" t="s">
        <v>8774</v>
      </c>
      <c r="C1358" s="26"/>
    </row>
    <row r="1359" spans="1:7" ht="18.75">
      <c r="A1359" s="865"/>
      <c r="B1359" s="26" t="s">
        <v>8927</v>
      </c>
      <c r="C1359" s="26"/>
    </row>
    <row r="1360" spans="1:7">
      <c r="A1360" s="865"/>
      <c r="B1360" s="26" t="s">
        <v>8923</v>
      </c>
      <c r="C1360" s="26"/>
    </row>
    <row r="1361" spans="1:7">
      <c r="A1361" s="865"/>
      <c r="B1361" s="26" t="s">
        <v>6528</v>
      </c>
      <c r="C1361" s="26"/>
    </row>
    <row r="1362" spans="1:7" ht="18.75">
      <c r="A1362" s="865"/>
      <c r="B1362" s="26" t="s">
        <v>8928</v>
      </c>
      <c r="C1362" s="26"/>
    </row>
    <row r="1363" spans="1:7">
      <c r="A1363" s="865"/>
      <c r="B1363" s="170" t="s">
        <v>6563</v>
      </c>
      <c r="C1363" s="26"/>
    </row>
    <row r="1364" spans="1:7">
      <c r="A1364" s="855"/>
      <c r="B1364" s="248" t="s">
        <v>4522</v>
      </c>
      <c r="C1364" s="61"/>
      <c r="D1364" s="61"/>
      <c r="E1364" s="61"/>
      <c r="F1364" s="61"/>
      <c r="G1364" s="61"/>
    </row>
    <row r="1365" spans="1:7">
      <c r="A1365" s="865"/>
      <c r="B1365" s="26"/>
      <c r="C1365" s="26"/>
    </row>
    <row r="1366" spans="1:7" hidden="1">
      <c r="A1366" s="865" t="s">
        <v>3984</v>
      </c>
      <c r="B1366" s="26" t="s">
        <v>5780</v>
      </c>
      <c r="C1366" s="26"/>
    </row>
    <row r="1367" spans="1:7" hidden="1">
      <c r="A1367" s="865"/>
      <c r="B1367" s="26" t="s">
        <v>6964</v>
      </c>
      <c r="C1367" s="26"/>
    </row>
    <row r="1368" spans="1:7" hidden="1">
      <c r="A1368" s="865"/>
      <c r="B1368" s="26" t="s">
        <v>16</v>
      </c>
      <c r="C1368" s="26"/>
    </row>
    <row r="1369" spans="1:7" hidden="1">
      <c r="A1369" s="865"/>
      <c r="B1369" s="26" t="s">
        <v>1418</v>
      </c>
      <c r="C1369" s="26"/>
      <c r="E1369" s="26">
        <f>50*10*8/220</f>
        <v>18.181818181818183</v>
      </c>
      <c r="F1369" s="26" t="s">
        <v>1416</v>
      </c>
    </row>
    <row r="1370" spans="1:7" hidden="1">
      <c r="A1370" s="865"/>
      <c r="B1370" s="26" t="s">
        <v>2843</v>
      </c>
      <c r="C1370" s="26"/>
    </row>
    <row r="1371" spans="1:7" hidden="1">
      <c r="A1371" s="865"/>
      <c r="B1371" s="26" t="s">
        <v>1816</v>
      </c>
      <c r="C1371" s="26"/>
    </row>
    <row r="1372" spans="1:7" hidden="1">
      <c r="A1372" s="865"/>
      <c r="B1372" s="26" t="s">
        <v>946</v>
      </c>
      <c r="C1372" s="26"/>
      <c r="F1372" s="68">
        <f>G667</f>
        <v>224.56752690000002</v>
      </c>
      <c r="G1372" s="26" t="s">
        <v>1168</v>
      </c>
    </row>
    <row r="1373" spans="1:7" hidden="1">
      <c r="A1373" s="865"/>
      <c r="B1373" s="26" t="s">
        <v>2137</v>
      </c>
      <c r="C1373" s="26"/>
    </row>
    <row r="1374" spans="1:7" hidden="1">
      <c r="A1374" s="865"/>
      <c r="B1374" s="26" t="s">
        <v>951</v>
      </c>
      <c r="C1374" s="26"/>
      <c r="F1374" s="68">
        <f>G693</f>
        <v>88.5</v>
      </c>
      <c r="G1374" s="26" t="s">
        <v>1168</v>
      </c>
    </row>
    <row r="1375" spans="1:7" hidden="1">
      <c r="A1375" s="865"/>
      <c r="B1375" s="26" t="s">
        <v>5790</v>
      </c>
      <c r="C1375" s="26"/>
    </row>
    <row r="1376" spans="1:7" hidden="1">
      <c r="A1376" s="865"/>
      <c r="B1376" s="26" t="s">
        <v>451</v>
      </c>
      <c r="C1376" s="26"/>
    </row>
    <row r="1377" spans="1:7" hidden="1">
      <c r="A1377" s="865"/>
      <c r="B1377" s="26" t="s">
        <v>947</v>
      </c>
      <c r="C1377" s="26"/>
    </row>
    <row r="1378" spans="1:7" hidden="1">
      <c r="B1378" s="78"/>
      <c r="C1378" s="26"/>
    </row>
    <row r="1379" spans="1:7">
      <c r="B1379" s="78"/>
      <c r="C1379" s="26"/>
    </row>
    <row r="1380" spans="1:7">
      <c r="A1380" s="865" t="s">
        <v>3984</v>
      </c>
      <c r="B1380" s="78"/>
      <c r="C1380" s="203" t="s">
        <v>2367</v>
      </c>
      <c r="E1380" s="171" t="s">
        <v>297</v>
      </c>
      <c r="F1380" s="246">
        <v>18</v>
      </c>
      <c r="G1380" s="26" t="s">
        <v>3477</v>
      </c>
    </row>
    <row r="1381" spans="1:7">
      <c r="B1381" s="79" t="s">
        <v>2368</v>
      </c>
      <c r="C1381" s="26"/>
    </row>
    <row r="1382" spans="1:7">
      <c r="B1382" s="95" t="s">
        <v>2369</v>
      </c>
      <c r="C1382" s="157" t="s">
        <v>4443</v>
      </c>
      <c r="D1382" s="95" t="s">
        <v>2370</v>
      </c>
      <c r="E1382" s="95" t="s">
        <v>1166</v>
      </c>
      <c r="F1382" s="95" t="s">
        <v>2371</v>
      </c>
      <c r="G1382" s="95" t="s">
        <v>2372</v>
      </c>
    </row>
    <row r="1383" spans="1:7">
      <c r="B1383" s="114"/>
      <c r="C1383" s="154"/>
      <c r="D1383" s="114"/>
      <c r="E1383" s="114"/>
      <c r="F1383" s="114" t="s">
        <v>3485</v>
      </c>
      <c r="G1383" s="114" t="s">
        <v>3485</v>
      </c>
    </row>
    <row r="1384" spans="1:7">
      <c r="B1384" s="95">
        <v>1</v>
      </c>
      <c r="C1384" s="135" t="s">
        <v>1048</v>
      </c>
      <c r="D1384" s="95" t="s">
        <v>3478</v>
      </c>
      <c r="E1384" s="190">
        <f>220*F1380</f>
        <v>3960</v>
      </c>
      <c r="F1384" s="214">
        <f>'BASIC DATA'!$D$32/1000</f>
        <v>5.35</v>
      </c>
      <c r="G1384" s="190">
        <f>E1384*F1384</f>
        <v>21186</v>
      </c>
    </row>
    <row r="1385" spans="1:7">
      <c r="B1385" s="317"/>
      <c r="C1385" s="135" t="s">
        <v>1049</v>
      </c>
      <c r="D1385" s="105" t="s">
        <v>3478</v>
      </c>
      <c r="E1385" s="190">
        <f>F1380*5</f>
        <v>90</v>
      </c>
      <c r="F1385" s="214">
        <f>'BASIC DATA'!$D$32/1000</f>
        <v>5.35</v>
      </c>
      <c r="G1385" s="190">
        <f t="shared" ref="G1385:G1392" si="29">E1385*F1385</f>
        <v>481.49999999999994</v>
      </c>
    </row>
    <row r="1386" spans="1:7">
      <c r="B1386" s="105">
        <v>2</v>
      </c>
      <c r="C1386" s="135" t="s">
        <v>6995</v>
      </c>
      <c r="D1386" s="105" t="s">
        <v>3477</v>
      </c>
      <c r="E1386" s="190">
        <f>0.8*F1380*0.65</f>
        <v>9.3600000000000012</v>
      </c>
      <c r="F1386" s="214">
        <f>'BASIC DATA'!$D$35</f>
        <v>1225</v>
      </c>
      <c r="G1386" s="190">
        <f t="shared" si="29"/>
        <v>11466.000000000002</v>
      </c>
    </row>
    <row r="1387" spans="1:7">
      <c r="B1387" s="317"/>
      <c r="C1387" s="135" t="s">
        <v>1050</v>
      </c>
      <c r="D1387" s="105" t="s">
        <v>3477</v>
      </c>
      <c r="E1387" s="190">
        <f>0.8*F1380*0.35</f>
        <v>5.04</v>
      </c>
      <c r="F1387" s="214">
        <f>'BASIC DATA'!$D$34</f>
        <v>900</v>
      </c>
      <c r="G1387" s="190">
        <f t="shared" si="29"/>
        <v>4536</v>
      </c>
    </row>
    <row r="1388" spans="1:7">
      <c r="A1388" s="853"/>
      <c r="B1388" s="240">
        <v>3</v>
      </c>
      <c r="C1388" s="326" t="s">
        <v>7941</v>
      </c>
      <c r="D1388" s="240" t="s">
        <v>3477</v>
      </c>
      <c r="E1388" s="255">
        <f>0.45*F1380</f>
        <v>8.1</v>
      </c>
      <c r="F1388" s="266">
        <f>'BASIC DATA'!$D$55</f>
        <v>95</v>
      </c>
      <c r="G1388" s="255">
        <f t="shared" si="29"/>
        <v>769.5</v>
      </c>
    </row>
    <row r="1389" spans="1:7">
      <c r="B1389" s="105">
        <v>4</v>
      </c>
      <c r="C1389" s="135" t="s">
        <v>523</v>
      </c>
      <c r="D1389" s="105" t="s">
        <v>3478</v>
      </c>
      <c r="E1389" s="190">
        <f>E1384*0.4%</f>
        <v>15.84</v>
      </c>
      <c r="F1389" s="214">
        <f>'BASIC DATA'!$D$99</f>
        <v>55</v>
      </c>
      <c r="G1389" s="190">
        <f t="shared" si="29"/>
        <v>871.2</v>
      </c>
    </row>
    <row r="1390" spans="1:7">
      <c r="B1390" s="105">
        <v>5</v>
      </c>
      <c r="C1390" s="135" t="s">
        <v>7213</v>
      </c>
      <c r="D1390" s="105" t="s">
        <v>3479</v>
      </c>
      <c r="E1390" s="190">
        <f>F1380*2</f>
        <v>36</v>
      </c>
      <c r="F1390" s="214">
        <f>F1372</f>
        <v>224.56752690000002</v>
      </c>
      <c r="G1390" s="190">
        <f t="shared" si="29"/>
        <v>8084.4309684000009</v>
      </c>
    </row>
    <row r="1391" spans="1:7">
      <c r="B1391" s="317"/>
      <c r="C1391" s="135" t="s">
        <v>5408</v>
      </c>
      <c r="D1391" s="224">
        <v>0.25</v>
      </c>
      <c r="E1391" s="190"/>
      <c r="F1391" s="214"/>
      <c r="G1391" s="190">
        <f>G1390*D1391</f>
        <v>2021.1077421000002</v>
      </c>
    </row>
    <row r="1392" spans="1:7">
      <c r="B1392" s="114">
        <v>6</v>
      </c>
      <c r="C1392" s="139" t="s">
        <v>2373</v>
      </c>
      <c r="D1392" s="114" t="s">
        <v>2173</v>
      </c>
      <c r="E1392" s="182">
        <v>0.5</v>
      </c>
      <c r="F1392" s="215">
        <f>'BASIC DATA'!$D$359</f>
        <v>30</v>
      </c>
      <c r="G1392" s="182">
        <f t="shared" si="29"/>
        <v>15</v>
      </c>
    </row>
    <row r="1393" spans="2:7">
      <c r="B1393" s="92"/>
      <c r="C1393" s="193" t="s">
        <v>2376</v>
      </c>
      <c r="D1393" s="159"/>
      <c r="E1393" s="238"/>
      <c r="F1393" s="236" t="s">
        <v>1698</v>
      </c>
      <c r="G1393" s="318">
        <f>SUM(G1384:G1392)</f>
        <v>49430.738710500002</v>
      </c>
    </row>
    <row r="1394" spans="2:7">
      <c r="B1394" s="78"/>
      <c r="C1394" s="26"/>
    </row>
    <row r="1395" spans="2:7">
      <c r="B1395" s="79" t="s">
        <v>2377</v>
      </c>
      <c r="C1395" s="26"/>
    </row>
    <row r="1396" spans="2:7">
      <c r="B1396" s="95" t="s">
        <v>2369</v>
      </c>
      <c r="C1396" s="157" t="s">
        <v>2378</v>
      </c>
      <c r="D1396" s="95" t="s">
        <v>2370</v>
      </c>
      <c r="E1396" s="95" t="s">
        <v>1166</v>
      </c>
      <c r="F1396" s="95" t="s">
        <v>2371</v>
      </c>
      <c r="G1396" s="95" t="s">
        <v>2372</v>
      </c>
    </row>
    <row r="1397" spans="2:7">
      <c r="B1397" s="114"/>
      <c r="C1397" s="154"/>
      <c r="D1397" s="114"/>
      <c r="E1397" s="114"/>
      <c r="F1397" s="114" t="s">
        <v>3485</v>
      </c>
      <c r="G1397" s="114" t="s">
        <v>3485</v>
      </c>
    </row>
    <row r="1398" spans="2:7">
      <c r="B1398" s="95">
        <v>1</v>
      </c>
      <c r="C1398" s="135" t="s">
        <v>7214</v>
      </c>
      <c r="D1398" s="95" t="s">
        <v>2374</v>
      </c>
      <c r="E1398" s="190">
        <v>8</v>
      </c>
      <c r="F1398" s="190">
        <f>'HIRE CHARGES'!$D$507</f>
        <v>53.5</v>
      </c>
      <c r="G1398" s="190">
        <f>E1398*F1398</f>
        <v>428</v>
      </c>
    </row>
    <row r="1399" spans="2:7">
      <c r="B1399" s="317"/>
      <c r="C1399" s="135" t="s">
        <v>2379</v>
      </c>
      <c r="D1399" s="105" t="s">
        <v>2374</v>
      </c>
      <c r="E1399" s="190">
        <v>8</v>
      </c>
      <c r="F1399" s="190">
        <f>'HIRE CHARGES'!$E$507</f>
        <v>79.3</v>
      </c>
      <c r="G1399" s="190">
        <f t="shared" ref="G1399:G1405" si="30">E1399*F1399</f>
        <v>634.4</v>
      </c>
    </row>
    <row r="1400" spans="2:7">
      <c r="B1400" s="105">
        <v>2</v>
      </c>
      <c r="C1400" s="135" t="s">
        <v>189</v>
      </c>
      <c r="D1400" s="105" t="s">
        <v>2374</v>
      </c>
      <c r="E1400" s="190">
        <v>0.5</v>
      </c>
      <c r="F1400" s="190">
        <f>'HIRE CHARGES'!$D$517</f>
        <v>10.199999999999999</v>
      </c>
      <c r="G1400" s="190">
        <f t="shared" si="30"/>
        <v>5.0999999999999996</v>
      </c>
    </row>
    <row r="1401" spans="2:7">
      <c r="B1401" s="317"/>
      <c r="C1401" s="135" t="s">
        <v>2379</v>
      </c>
      <c r="D1401" s="105" t="s">
        <v>2374</v>
      </c>
      <c r="E1401" s="190">
        <v>0.5</v>
      </c>
      <c r="F1401" s="190">
        <f>'HIRE CHARGES'!$E$517</f>
        <v>79.3</v>
      </c>
      <c r="G1401" s="190">
        <f t="shared" si="30"/>
        <v>39.65</v>
      </c>
    </row>
    <row r="1402" spans="2:7">
      <c r="B1402" s="105">
        <v>3</v>
      </c>
      <c r="C1402" s="135" t="s">
        <v>6286</v>
      </c>
      <c r="D1402" s="105" t="s">
        <v>2374</v>
      </c>
      <c r="E1402" s="190">
        <v>1</v>
      </c>
      <c r="F1402" s="190">
        <f>'HIRE CHARGES'!$D$555</f>
        <v>402.5</v>
      </c>
      <c r="G1402" s="190">
        <f t="shared" si="30"/>
        <v>402.5</v>
      </c>
    </row>
    <row r="1403" spans="2:7">
      <c r="B1403" s="317"/>
      <c r="C1403" s="135" t="s">
        <v>2379</v>
      </c>
      <c r="D1403" s="105" t="s">
        <v>2374</v>
      </c>
      <c r="E1403" s="190">
        <v>1</v>
      </c>
      <c r="F1403" s="190">
        <f>'HIRE CHARGES'!$E$555</f>
        <v>299.89999999999998</v>
      </c>
      <c r="G1403" s="190">
        <f t="shared" si="30"/>
        <v>299.89999999999998</v>
      </c>
    </row>
    <row r="1404" spans="2:7">
      <c r="B1404" s="105">
        <v>4</v>
      </c>
      <c r="C1404" s="135" t="s">
        <v>526</v>
      </c>
      <c r="D1404" s="105" t="s">
        <v>2374</v>
      </c>
      <c r="E1404" s="190">
        <v>8</v>
      </c>
      <c r="F1404" s="190">
        <f>'HIRE CHARGES'!$D$531</f>
        <v>7.6</v>
      </c>
      <c r="G1404" s="190">
        <f t="shared" si="30"/>
        <v>60.8</v>
      </c>
    </row>
    <row r="1405" spans="2:7">
      <c r="B1405" s="275"/>
      <c r="C1405" s="139" t="s">
        <v>2379</v>
      </c>
      <c r="D1405" s="114" t="s">
        <v>2374</v>
      </c>
      <c r="E1405" s="182">
        <v>8</v>
      </c>
      <c r="F1405" s="182">
        <f>'HIRE CHARGES'!$E$531</f>
        <v>18.8</v>
      </c>
      <c r="G1405" s="182">
        <f t="shared" si="30"/>
        <v>150.4</v>
      </c>
    </row>
    <row r="1406" spans="2:7">
      <c r="B1406" s="176"/>
      <c r="C1406" s="172" t="s">
        <v>2380</v>
      </c>
      <c r="D1406" s="174"/>
      <c r="E1406" s="192"/>
      <c r="F1406" s="275" t="s">
        <v>1698</v>
      </c>
      <c r="G1406" s="434">
        <f>SUM(G1398:G1405)</f>
        <v>2020.7500000000002</v>
      </c>
    </row>
    <row r="1407" spans="2:7">
      <c r="B1407" s="78"/>
      <c r="C1407" s="26"/>
    </row>
    <row r="1408" spans="2:7">
      <c r="B1408" s="79" t="s">
        <v>2381</v>
      </c>
      <c r="C1408" s="26"/>
    </row>
    <row r="1409" spans="2:7">
      <c r="B1409" s="95" t="s">
        <v>2369</v>
      </c>
      <c r="C1409" s="157" t="s">
        <v>2378</v>
      </c>
      <c r="D1409" s="95" t="s">
        <v>2370</v>
      </c>
      <c r="E1409" s="95" t="s">
        <v>1166</v>
      </c>
      <c r="F1409" s="95" t="s">
        <v>2371</v>
      </c>
      <c r="G1409" s="95" t="s">
        <v>2372</v>
      </c>
    </row>
    <row r="1410" spans="2:7">
      <c r="B1410" s="114"/>
      <c r="C1410" s="154"/>
      <c r="D1410" s="114"/>
      <c r="E1410" s="114"/>
      <c r="F1410" s="114" t="s">
        <v>3485</v>
      </c>
      <c r="G1410" s="114" t="s">
        <v>3485</v>
      </c>
    </row>
    <row r="1411" spans="2:7">
      <c r="B1411" s="105">
        <v>1</v>
      </c>
      <c r="C1411" s="76" t="s">
        <v>527</v>
      </c>
      <c r="D1411" s="105" t="s">
        <v>2374</v>
      </c>
      <c r="E1411" s="207">
        <v>8</v>
      </c>
      <c r="F1411" s="190">
        <f>'HIRE CHARGES'!$F$507</f>
        <v>219.7</v>
      </c>
      <c r="G1411" s="190">
        <f>E1411*F1411</f>
        <v>1757.6</v>
      </c>
    </row>
    <row r="1412" spans="2:7">
      <c r="B1412" s="105">
        <v>2</v>
      </c>
      <c r="C1412" s="76" t="s">
        <v>999</v>
      </c>
      <c r="D1412" s="105" t="s">
        <v>2374</v>
      </c>
      <c r="E1412" s="207">
        <v>0.5</v>
      </c>
      <c r="F1412" s="190">
        <f>'HIRE CHARGES'!$F$517</f>
        <v>111.1</v>
      </c>
      <c r="G1412" s="190">
        <f t="shared" ref="G1412:G1423" si="31">E1412*F1412</f>
        <v>55.55</v>
      </c>
    </row>
    <row r="1413" spans="2:7">
      <c r="B1413" s="105">
        <v>3</v>
      </c>
      <c r="C1413" s="76" t="s">
        <v>1000</v>
      </c>
      <c r="D1413" s="105" t="s">
        <v>2374</v>
      </c>
      <c r="E1413" s="207">
        <v>1</v>
      </c>
      <c r="F1413" s="190">
        <f>'HIRE CHARGES'!$F$555</f>
        <v>177.5</v>
      </c>
      <c r="G1413" s="190">
        <f t="shared" si="31"/>
        <v>177.5</v>
      </c>
    </row>
    <row r="1414" spans="2:7">
      <c r="B1414" s="105">
        <v>4</v>
      </c>
      <c r="C1414" s="76" t="s">
        <v>5148</v>
      </c>
      <c r="D1414" s="105" t="s">
        <v>2374</v>
      </c>
      <c r="E1414" s="207">
        <v>8</v>
      </c>
      <c r="F1414" s="190">
        <f>'HIRE CHARGES'!$F$531</f>
        <v>158.19999999999999</v>
      </c>
      <c r="G1414" s="190">
        <f t="shared" si="31"/>
        <v>1265.5999999999999</v>
      </c>
    </row>
    <row r="1415" spans="2:7">
      <c r="B1415" s="105">
        <v>5</v>
      </c>
      <c r="C1415" s="76" t="s">
        <v>440</v>
      </c>
      <c r="D1415" s="105" t="s">
        <v>1172</v>
      </c>
      <c r="E1415" s="207">
        <v>1</v>
      </c>
      <c r="F1415" s="190">
        <f>'BASIC DATA'!$C$474</f>
        <v>445</v>
      </c>
      <c r="G1415" s="190">
        <f t="shared" si="31"/>
        <v>445</v>
      </c>
    </row>
    <row r="1416" spans="2:7">
      <c r="B1416" s="105">
        <v>6</v>
      </c>
      <c r="C1416" s="76" t="s">
        <v>4206</v>
      </c>
      <c r="D1416" s="105" t="s">
        <v>1172</v>
      </c>
      <c r="E1416" s="207">
        <v>1</v>
      </c>
      <c r="F1416" s="190">
        <f>'BASIC DATA'!$C$473</f>
        <v>450</v>
      </c>
      <c r="G1416" s="190">
        <f t="shared" si="31"/>
        <v>450</v>
      </c>
    </row>
    <row r="1417" spans="2:7">
      <c r="B1417" s="105">
        <v>7</v>
      </c>
      <c r="C1417" s="76" t="s">
        <v>2697</v>
      </c>
      <c r="D1417" s="105"/>
      <c r="E1417" s="207"/>
      <c r="F1417" s="190"/>
      <c r="G1417" s="190"/>
    </row>
    <row r="1418" spans="2:7">
      <c r="B1418" s="317"/>
      <c r="C1418" s="76" t="s">
        <v>441</v>
      </c>
      <c r="D1418" s="105" t="s">
        <v>1172</v>
      </c>
      <c r="E1418" s="207">
        <v>11</v>
      </c>
      <c r="F1418" s="190">
        <f>'BASIC DATA'!$C$552</f>
        <v>350</v>
      </c>
      <c r="G1418" s="190">
        <f t="shared" si="31"/>
        <v>3850</v>
      </c>
    </row>
    <row r="1419" spans="2:7">
      <c r="B1419" s="317"/>
      <c r="C1419" s="76" t="s">
        <v>442</v>
      </c>
      <c r="D1419" s="105" t="s">
        <v>1172</v>
      </c>
      <c r="E1419" s="207">
        <v>4</v>
      </c>
      <c r="F1419" s="190">
        <f>'BASIC DATA'!$C$552</f>
        <v>350</v>
      </c>
      <c r="G1419" s="190">
        <f t="shared" si="31"/>
        <v>1400</v>
      </c>
    </row>
    <row r="1420" spans="2:7">
      <c r="B1420" s="317"/>
      <c r="C1420" s="76" t="s">
        <v>5151</v>
      </c>
      <c r="D1420" s="105" t="s">
        <v>1172</v>
      </c>
      <c r="E1420" s="207">
        <v>4</v>
      </c>
      <c r="F1420" s="190">
        <f>'BASIC DATA'!$C$552</f>
        <v>350</v>
      </c>
      <c r="G1420" s="190">
        <f t="shared" si="31"/>
        <v>1400</v>
      </c>
    </row>
    <row r="1421" spans="2:7">
      <c r="B1421" s="317"/>
      <c r="C1421" s="76" t="s">
        <v>444</v>
      </c>
      <c r="D1421" s="105" t="s">
        <v>1172</v>
      </c>
      <c r="E1421" s="207">
        <f>F1380</f>
        <v>18</v>
      </c>
      <c r="F1421" s="190">
        <f>'BASIC DATA'!$C$552</f>
        <v>350</v>
      </c>
      <c r="G1421" s="190">
        <f t="shared" si="31"/>
        <v>6300</v>
      </c>
    </row>
    <row r="1422" spans="2:7">
      <c r="B1422" s="317"/>
      <c r="C1422" s="76" t="s">
        <v>445</v>
      </c>
      <c r="D1422" s="105" t="s">
        <v>1172</v>
      </c>
      <c r="E1422" s="207">
        <v>1</v>
      </c>
      <c r="F1422" s="190">
        <f>'BASIC DATA'!$C$552</f>
        <v>350</v>
      </c>
      <c r="G1422" s="190">
        <f t="shared" si="31"/>
        <v>350</v>
      </c>
    </row>
    <row r="1423" spans="2:7">
      <c r="B1423" s="105">
        <v>8</v>
      </c>
      <c r="C1423" s="76" t="s">
        <v>7215</v>
      </c>
      <c r="D1423" s="105" t="s">
        <v>3479</v>
      </c>
      <c r="E1423" s="207">
        <f>F1380*2</f>
        <v>36</v>
      </c>
      <c r="F1423" s="190">
        <f>F1374</f>
        <v>88.5</v>
      </c>
      <c r="G1423" s="190">
        <f t="shared" si="31"/>
        <v>3186</v>
      </c>
    </row>
    <row r="1424" spans="2:7">
      <c r="B1424" s="317"/>
      <c r="C1424" s="76" t="s">
        <v>6402</v>
      </c>
      <c r="D1424" s="224">
        <v>0.25</v>
      </c>
      <c r="E1424" s="207"/>
      <c r="F1424" s="190"/>
      <c r="G1424" s="190">
        <f>G1423*D1424</f>
        <v>796.5</v>
      </c>
    </row>
    <row r="1425" spans="1:7">
      <c r="B1425" s="92"/>
      <c r="C1425" s="193" t="s">
        <v>1174</v>
      </c>
      <c r="D1425" s="159"/>
      <c r="E1425" s="238"/>
      <c r="F1425" s="236" t="s">
        <v>1698</v>
      </c>
      <c r="G1425" s="318">
        <f>SUM(G1411:G1424)</f>
        <v>21433.75</v>
      </c>
    </row>
    <row r="1426" spans="1:7">
      <c r="B1426" s="60" t="s">
        <v>5948</v>
      </c>
      <c r="C1426" s="26"/>
      <c r="D1426" s="31"/>
      <c r="E1426" s="85">
        <f>ROUND(G1425/F1380,1)</f>
        <v>1190.8</v>
      </c>
    </row>
    <row r="1427" spans="1:7">
      <c r="B1427" s="60" t="s">
        <v>3163</v>
      </c>
      <c r="C1427" s="26"/>
      <c r="D1427" s="922">
        <f>'BASIC DATA'!$C$577</f>
        <v>0.13614999999999999</v>
      </c>
      <c r="E1427" s="85">
        <f>ROUND(E1426*D1427,1)</f>
        <v>162.1</v>
      </c>
    </row>
    <row r="1428" spans="1:7">
      <c r="B1428" s="60" t="s">
        <v>5949</v>
      </c>
      <c r="C1428" s="26"/>
      <c r="D1428" s="31"/>
      <c r="E1428" s="199">
        <f>ROUND(E1427+E1426,1)</f>
        <v>1352.9</v>
      </c>
      <c r="F1428" s="57"/>
    </row>
    <row r="1429" spans="1:7">
      <c r="B1429" s="26"/>
      <c r="C1429" s="26"/>
    </row>
    <row r="1430" spans="1:7">
      <c r="B1430" s="170" t="s">
        <v>1175</v>
      </c>
      <c r="C1430" s="26"/>
    </row>
    <row r="1431" spans="1:7">
      <c r="B1431" s="26" t="s">
        <v>1176</v>
      </c>
      <c r="C1431" s="26"/>
      <c r="F1431" s="171" t="s">
        <v>1698</v>
      </c>
      <c r="G1431" s="68">
        <f>G1393</f>
        <v>49430.738710500002</v>
      </c>
    </row>
    <row r="1432" spans="1:7">
      <c r="B1432" s="26" t="s">
        <v>1186</v>
      </c>
      <c r="C1432" s="26"/>
      <c r="F1432" s="171" t="s">
        <v>1698</v>
      </c>
      <c r="G1432" s="68">
        <f>G1406</f>
        <v>2020.7500000000002</v>
      </c>
    </row>
    <row r="1433" spans="1:7">
      <c r="B1433" s="26" t="s">
        <v>2660</v>
      </c>
      <c r="C1433" s="26"/>
      <c r="F1433" s="171" t="s">
        <v>1698</v>
      </c>
      <c r="G1433" s="75">
        <f>G1425</f>
        <v>21433.75</v>
      </c>
    </row>
    <row r="1434" spans="1:7">
      <c r="B1434" s="78"/>
      <c r="C1434" s="26"/>
      <c r="E1434" s="171"/>
      <c r="F1434" s="171" t="s">
        <v>302</v>
      </c>
      <c r="G1434" s="205">
        <f>SUM(G1431:G1433)</f>
        <v>72885.238710500009</v>
      </c>
    </row>
    <row r="1435" spans="1:7">
      <c r="B1435" s="1206" t="s">
        <v>1379</v>
      </c>
      <c r="C1435" s="1206"/>
      <c r="E1435" s="922">
        <f>'BASIC DATA'!$C$577</f>
        <v>0.13614999999999999</v>
      </c>
      <c r="F1435" s="26" t="s">
        <v>1698</v>
      </c>
      <c r="G1435" s="26">
        <f>ROUND(G1434*E1435,2)</f>
        <v>9923.33</v>
      </c>
    </row>
    <row r="1436" spans="1:7">
      <c r="B1436" s="26" t="s">
        <v>1191</v>
      </c>
      <c r="C1436" s="26"/>
      <c r="D1436" s="68">
        <f>F1380</f>
        <v>18</v>
      </c>
      <c r="E1436" s="68" t="str">
        <f>G1380</f>
        <v>cum</v>
      </c>
      <c r="F1436" s="26" t="s">
        <v>1698</v>
      </c>
      <c r="G1436" s="170">
        <f>G1435+G1434</f>
        <v>82808.568710500011</v>
      </c>
    </row>
    <row r="1437" spans="1:7">
      <c r="B1437" s="170" t="s">
        <v>1584</v>
      </c>
      <c r="C1437" s="211" t="str">
        <f>E1436</f>
        <v>cum</v>
      </c>
      <c r="D1437" s="26" t="s">
        <v>6785</v>
      </c>
      <c r="F1437" s="26" t="s">
        <v>4108</v>
      </c>
      <c r="G1437" s="211">
        <f>ROUND(G1436/D1436,1)</f>
        <v>4600.5</v>
      </c>
    </row>
    <row r="1438" spans="1:7">
      <c r="B1438" s="78"/>
      <c r="C1438" s="26"/>
    </row>
    <row r="1439" spans="1:7">
      <c r="B1439" s="78"/>
      <c r="C1439" s="26"/>
    </row>
    <row r="1440" spans="1:7" ht="18.75">
      <c r="A1440" s="865" t="s">
        <v>7551</v>
      </c>
      <c r="B1440" s="26" t="s">
        <v>8618</v>
      </c>
      <c r="C1440" s="26"/>
    </row>
    <row r="1441" spans="1:7" ht="18.75">
      <c r="A1441" s="865"/>
      <c r="B1441" s="26" t="s">
        <v>8925</v>
      </c>
      <c r="C1441" s="26"/>
    </row>
    <row r="1442" spans="1:7">
      <c r="A1442" s="865"/>
      <c r="B1442" s="26" t="s">
        <v>8929</v>
      </c>
      <c r="C1442" s="26"/>
    </row>
    <row r="1443" spans="1:7">
      <c r="A1443" s="865"/>
      <c r="B1443" s="26" t="s">
        <v>3535</v>
      </c>
      <c r="C1443" s="26"/>
    </row>
    <row r="1444" spans="1:7" ht="18.75">
      <c r="A1444" s="865"/>
      <c r="B1444" s="170" t="s">
        <v>8930</v>
      </c>
      <c r="C1444" s="26"/>
    </row>
    <row r="1445" spans="1:7">
      <c r="A1445" s="909" t="s">
        <v>1940</v>
      </c>
      <c r="B1445" s="170" t="s">
        <v>1351</v>
      </c>
      <c r="C1445" s="26"/>
    </row>
    <row r="1446" spans="1:7">
      <c r="A1446" s="865"/>
      <c r="B1446" s="170" t="s">
        <v>3578</v>
      </c>
      <c r="C1446" s="26"/>
    </row>
    <row r="1447" spans="1:7">
      <c r="A1447" s="855"/>
      <c r="B1447" s="248" t="s">
        <v>4522</v>
      </c>
      <c r="C1447" s="61"/>
      <c r="D1447" s="61"/>
      <c r="E1447" s="61"/>
      <c r="F1447" s="61"/>
      <c r="G1447" s="61"/>
    </row>
    <row r="1448" spans="1:7">
      <c r="A1448" s="865"/>
      <c r="B1448" s="26"/>
      <c r="C1448" s="26"/>
    </row>
    <row r="1449" spans="1:7" hidden="1">
      <c r="A1449" s="865" t="s">
        <v>3984</v>
      </c>
      <c r="B1449" s="26" t="s">
        <v>5780</v>
      </c>
      <c r="C1449" s="26"/>
    </row>
    <row r="1450" spans="1:7" hidden="1">
      <c r="A1450" s="865"/>
      <c r="B1450" s="26" t="s">
        <v>3536</v>
      </c>
      <c r="C1450" s="26"/>
    </row>
    <row r="1451" spans="1:7" hidden="1">
      <c r="A1451" s="865"/>
      <c r="B1451" s="26" t="s">
        <v>235</v>
      </c>
      <c r="C1451" s="26"/>
    </row>
    <row r="1452" spans="1:7" hidden="1">
      <c r="A1452" s="865"/>
      <c r="B1452" s="26" t="s">
        <v>1419</v>
      </c>
      <c r="C1452" s="26"/>
      <c r="E1452" s="26">
        <f>50*13*8/350</f>
        <v>14.857142857142858</v>
      </c>
      <c r="F1452" s="26" t="s">
        <v>1417</v>
      </c>
    </row>
    <row r="1453" spans="1:7" hidden="1">
      <c r="A1453" s="865"/>
      <c r="B1453" s="26" t="s">
        <v>2843</v>
      </c>
      <c r="C1453" s="26"/>
    </row>
    <row r="1454" spans="1:7" ht="18.75" hidden="1">
      <c r="A1454" s="865"/>
      <c r="B1454" s="26" t="s">
        <v>8931</v>
      </c>
      <c r="C1454" s="26"/>
    </row>
    <row r="1455" spans="1:7" hidden="1">
      <c r="A1455" s="865"/>
      <c r="B1455" s="26" t="s">
        <v>952</v>
      </c>
      <c r="C1455" s="26"/>
      <c r="F1455" s="68">
        <f>G667</f>
        <v>224.56752690000002</v>
      </c>
      <c r="G1455" s="26" t="s">
        <v>3761</v>
      </c>
    </row>
    <row r="1456" spans="1:7" hidden="1">
      <c r="A1456" s="865"/>
      <c r="B1456" s="26" t="s">
        <v>7998</v>
      </c>
      <c r="C1456" s="26"/>
      <c r="F1456" s="68">
        <f>F1455*10%</f>
        <v>22.456752690000002</v>
      </c>
      <c r="G1456" s="26" t="s">
        <v>3761</v>
      </c>
    </row>
    <row r="1457" spans="1:7" hidden="1">
      <c r="A1457" s="865"/>
      <c r="B1457" s="26" t="s">
        <v>3624</v>
      </c>
      <c r="C1457" s="26"/>
      <c r="F1457" s="68">
        <f>SUM(F1455:F1456)</f>
        <v>247.02427959000002</v>
      </c>
      <c r="G1457" s="26" t="s">
        <v>3761</v>
      </c>
    </row>
    <row r="1458" spans="1:7" hidden="1">
      <c r="A1458" s="865"/>
      <c r="B1458" s="26" t="s">
        <v>953</v>
      </c>
      <c r="C1458" s="26"/>
      <c r="F1458" s="68">
        <f>G693</f>
        <v>88.5</v>
      </c>
      <c r="G1458" s="26" t="s">
        <v>3761</v>
      </c>
    </row>
    <row r="1459" spans="1:7" hidden="1">
      <c r="A1459" s="865"/>
      <c r="B1459" s="26" t="s">
        <v>4774</v>
      </c>
      <c r="C1459" s="26"/>
    </row>
    <row r="1460" spans="1:7" hidden="1">
      <c r="A1460" s="865"/>
      <c r="B1460" s="26" t="s">
        <v>451</v>
      </c>
      <c r="C1460" s="26"/>
    </row>
    <row r="1461" spans="1:7" hidden="1">
      <c r="A1461" s="865"/>
      <c r="B1461" s="26" t="s">
        <v>1975</v>
      </c>
      <c r="C1461" s="26"/>
    </row>
    <row r="1462" spans="1:7" hidden="1">
      <c r="B1462" s="78"/>
      <c r="C1462" s="26"/>
    </row>
    <row r="1463" spans="1:7">
      <c r="B1463" s="78"/>
      <c r="C1463" s="26"/>
    </row>
    <row r="1464" spans="1:7">
      <c r="A1464" s="865" t="s">
        <v>3984</v>
      </c>
      <c r="B1464" s="78"/>
      <c r="C1464" s="203" t="s">
        <v>2367</v>
      </c>
      <c r="E1464" s="171" t="s">
        <v>297</v>
      </c>
      <c r="F1464" s="246">
        <v>15</v>
      </c>
      <c r="G1464" s="26" t="s">
        <v>3477</v>
      </c>
    </row>
    <row r="1465" spans="1:7">
      <c r="B1465" s="79" t="s">
        <v>2368</v>
      </c>
      <c r="C1465" s="26"/>
    </row>
    <row r="1466" spans="1:7">
      <c r="B1466" s="95" t="s">
        <v>2369</v>
      </c>
      <c r="C1466" s="157" t="s">
        <v>4443</v>
      </c>
      <c r="D1466" s="95" t="s">
        <v>2370</v>
      </c>
      <c r="E1466" s="95" t="s">
        <v>1166</v>
      </c>
      <c r="F1466" s="95" t="s">
        <v>2371</v>
      </c>
      <c r="G1466" s="95" t="s">
        <v>2372</v>
      </c>
    </row>
    <row r="1467" spans="1:7">
      <c r="B1467" s="114"/>
      <c r="C1467" s="154"/>
      <c r="D1467" s="114"/>
      <c r="E1467" s="114"/>
      <c r="F1467" s="114" t="s">
        <v>3485</v>
      </c>
      <c r="G1467" s="114" t="s">
        <v>3485</v>
      </c>
    </row>
    <row r="1468" spans="1:7">
      <c r="B1468" s="95">
        <v>1</v>
      </c>
      <c r="C1468" s="135" t="s">
        <v>1048</v>
      </c>
      <c r="D1468" s="95" t="s">
        <v>3478</v>
      </c>
      <c r="E1468" s="190">
        <f>350*F1464</f>
        <v>5250</v>
      </c>
      <c r="F1468" s="214">
        <f>'BASIC DATA'!$D$32/1000</f>
        <v>5.35</v>
      </c>
      <c r="G1468" s="190">
        <f>E1468*F1468</f>
        <v>28087.499999999996</v>
      </c>
    </row>
    <row r="1469" spans="1:7">
      <c r="B1469" s="105">
        <v>2</v>
      </c>
      <c r="C1469" s="135" t="s">
        <v>6995</v>
      </c>
      <c r="D1469" s="105" t="s">
        <v>3477</v>
      </c>
      <c r="E1469" s="190">
        <f>0.8*F1464*0.65</f>
        <v>7.8000000000000007</v>
      </c>
      <c r="F1469" s="214">
        <f>'BASIC DATA'!$D$35</f>
        <v>1225</v>
      </c>
      <c r="G1469" s="190">
        <f t="shared" ref="G1469:G1474" si="32">E1469*F1469</f>
        <v>9555</v>
      </c>
    </row>
    <row r="1470" spans="1:7">
      <c r="B1470" s="317"/>
      <c r="C1470" s="135" t="s">
        <v>1050</v>
      </c>
      <c r="D1470" s="105" t="s">
        <v>3477</v>
      </c>
      <c r="E1470" s="190">
        <f>0.8*F1464*0.35</f>
        <v>4.1999999999999993</v>
      </c>
      <c r="F1470" s="214">
        <f>'BASIC DATA'!$D$34</f>
        <v>900</v>
      </c>
      <c r="G1470" s="190">
        <f t="shared" si="32"/>
        <v>3779.9999999999995</v>
      </c>
    </row>
    <row r="1471" spans="1:7">
      <c r="A1471" s="853"/>
      <c r="B1471" s="240">
        <v>3</v>
      </c>
      <c r="C1471" s="326" t="s">
        <v>7941</v>
      </c>
      <c r="D1471" s="240" t="s">
        <v>3477</v>
      </c>
      <c r="E1471" s="255">
        <f>0.45*F1464</f>
        <v>6.75</v>
      </c>
      <c r="F1471" s="266">
        <f>'BASIC DATA'!$D$55</f>
        <v>95</v>
      </c>
      <c r="G1471" s="255">
        <f t="shared" si="32"/>
        <v>641.25</v>
      </c>
    </row>
    <row r="1472" spans="1:7">
      <c r="B1472" s="105">
        <v>4</v>
      </c>
      <c r="C1472" s="135" t="s">
        <v>523</v>
      </c>
      <c r="D1472" s="105" t="s">
        <v>3478</v>
      </c>
      <c r="E1472" s="190">
        <f>E1468*0.4%</f>
        <v>21</v>
      </c>
      <c r="F1472" s="214">
        <f>'BASIC DATA'!$D$99</f>
        <v>55</v>
      </c>
      <c r="G1472" s="190">
        <f t="shared" si="32"/>
        <v>1155</v>
      </c>
    </row>
    <row r="1473" spans="2:7">
      <c r="B1473" s="105">
        <v>5</v>
      </c>
      <c r="C1473" s="135" t="s">
        <v>6219</v>
      </c>
      <c r="D1473" s="105" t="s">
        <v>3479</v>
      </c>
      <c r="E1473" s="190">
        <f>5.5*F1464</f>
        <v>82.5</v>
      </c>
      <c r="F1473" s="214">
        <f>F1457</f>
        <v>247.02427959000002</v>
      </c>
      <c r="G1473" s="190">
        <f t="shared" si="32"/>
        <v>20379.503066175002</v>
      </c>
    </row>
    <row r="1474" spans="2:7">
      <c r="B1474" s="114">
        <v>6</v>
      </c>
      <c r="C1474" s="139" t="s">
        <v>2373</v>
      </c>
      <c r="D1474" s="114" t="s">
        <v>2173</v>
      </c>
      <c r="E1474" s="182">
        <v>0.5</v>
      </c>
      <c r="F1474" s="215">
        <f>'BASIC DATA'!$D$359</f>
        <v>30</v>
      </c>
      <c r="G1474" s="182">
        <f t="shared" si="32"/>
        <v>15</v>
      </c>
    </row>
    <row r="1475" spans="2:7">
      <c r="B1475" s="92"/>
      <c r="C1475" s="193" t="s">
        <v>2376</v>
      </c>
      <c r="D1475" s="159"/>
      <c r="E1475" s="238"/>
      <c r="F1475" s="236" t="s">
        <v>1698</v>
      </c>
      <c r="G1475" s="318">
        <f>SUM(G1468:G1474)</f>
        <v>63613.253066175006</v>
      </c>
    </row>
    <row r="1476" spans="2:7">
      <c r="B1476" s="78"/>
      <c r="C1476" s="26"/>
    </row>
    <row r="1477" spans="2:7">
      <c r="B1477" s="79" t="s">
        <v>2377</v>
      </c>
      <c r="C1477" s="26"/>
    </row>
    <row r="1478" spans="2:7">
      <c r="B1478" s="95" t="s">
        <v>2369</v>
      </c>
      <c r="C1478" s="157" t="s">
        <v>2378</v>
      </c>
      <c r="D1478" s="95" t="s">
        <v>2370</v>
      </c>
      <c r="E1478" s="95" t="s">
        <v>1166</v>
      </c>
      <c r="F1478" s="95" t="s">
        <v>2371</v>
      </c>
      <c r="G1478" s="95" t="s">
        <v>2372</v>
      </c>
    </row>
    <row r="1479" spans="2:7">
      <c r="B1479" s="114"/>
      <c r="C1479" s="154"/>
      <c r="D1479" s="114"/>
      <c r="E1479" s="114"/>
      <c r="F1479" s="114" t="s">
        <v>3485</v>
      </c>
      <c r="G1479" s="114" t="s">
        <v>3485</v>
      </c>
    </row>
    <row r="1480" spans="2:7">
      <c r="B1480" s="95">
        <v>1</v>
      </c>
      <c r="C1480" s="135" t="s">
        <v>7214</v>
      </c>
      <c r="D1480" s="95" t="s">
        <v>2374</v>
      </c>
      <c r="E1480" s="190">
        <v>8</v>
      </c>
      <c r="F1480" s="190">
        <f>'HIRE CHARGES'!$D$507</f>
        <v>53.5</v>
      </c>
      <c r="G1480" s="190">
        <f t="shared" ref="G1480:G1485" si="33">E1480*F1480</f>
        <v>428</v>
      </c>
    </row>
    <row r="1481" spans="2:7">
      <c r="B1481" s="317"/>
      <c r="C1481" s="135" t="s">
        <v>2379</v>
      </c>
      <c r="D1481" s="105" t="s">
        <v>2374</v>
      </c>
      <c r="E1481" s="190">
        <v>8</v>
      </c>
      <c r="F1481" s="190">
        <f>'HIRE CHARGES'!$E$507</f>
        <v>79.3</v>
      </c>
      <c r="G1481" s="190">
        <f t="shared" si="33"/>
        <v>634.4</v>
      </c>
    </row>
    <row r="1482" spans="2:7">
      <c r="B1482" s="105">
        <v>2</v>
      </c>
      <c r="C1482" s="135" t="s">
        <v>189</v>
      </c>
      <c r="D1482" s="105" t="s">
        <v>2374</v>
      </c>
      <c r="E1482" s="190">
        <v>0.5</v>
      </c>
      <c r="F1482" s="190">
        <f>'HIRE CHARGES'!$D$517</f>
        <v>10.199999999999999</v>
      </c>
      <c r="G1482" s="190">
        <f t="shared" si="33"/>
        <v>5.0999999999999996</v>
      </c>
    </row>
    <row r="1483" spans="2:7">
      <c r="B1483" s="317"/>
      <c r="C1483" s="135" t="s">
        <v>2379</v>
      </c>
      <c r="D1483" s="105" t="s">
        <v>2374</v>
      </c>
      <c r="E1483" s="190">
        <v>0.5</v>
      </c>
      <c r="F1483" s="190">
        <f>'HIRE CHARGES'!$E$517</f>
        <v>79.3</v>
      </c>
      <c r="G1483" s="190">
        <f t="shared" si="33"/>
        <v>39.65</v>
      </c>
    </row>
    <row r="1484" spans="2:7">
      <c r="B1484" s="105">
        <v>3</v>
      </c>
      <c r="C1484" s="135" t="s">
        <v>526</v>
      </c>
      <c r="D1484" s="105" t="s">
        <v>2374</v>
      </c>
      <c r="E1484" s="190">
        <v>8</v>
      </c>
      <c r="F1484" s="190">
        <f>'HIRE CHARGES'!$D$531</f>
        <v>7.6</v>
      </c>
      <c r="G1484" s="190">
        <f t="shared" si="33"/>
        <v>60.8</v>
      </c>
    </row>
    <row r="1485" spans="2:7">
      <c r="B1485" s="365"/>
      <c r="C1485" s="139" t="s">
        <v>2379</v>
      </c>
      <c r="D1485" s="114" t="s">
        <v>2374</v>
      </c>
      <c r="E1485" s="182">
        <v>8</v>
      </c>
      <c r="F1485" s="182">
        <f>'HIRE CHARGES'!$E$531</f>
        <v>18.8</v>
      </c>
      <c r="G1485" s="190">
        <f t="shared" si="33"/>
        <v>150.4</v>
      </c>
    </row>
    <row r="1486" spans="2:7">
      <c r="B1486" s="176"/>
      <c r="C1486" s="172" t="s">
        <v>2380</v>
      </c>
      <c r="D1486" s="174"/>
      <c r="E1486" s="192"/>
      <c r="F1486" s="275" t="s">
        <v>1698</v>
      </c>
      <c r="G1486" s="318">
        <f>SUM(G1480:G1485)</f>
        <v>1318.3500000000001</v>
      </c>
    </row>
    <row r="1487" spans="2:7">
      <c r="B1487" s="78"/>
      <c r="C1487" s="26"/>
    </row>
    <row r="1488" spans="2:7">
      <c r="B1488" s="79" t="s">
        <v>2381</v>
      </c>
      <c r="C1488" s="26"/>
    </row>
    <row r="1489" spans="2:7">
      <c r="B1489" s="95" t="s">
        <v>2369</v>
      </c>
      <c r="C1489" s="157" t="s">
        <v>2378</v>
      </c>
      <c r="D1489" s="95" t="s">
        <v>2370</v>
      </c>
      <c r="E1489" s="95" t="s">
        <v>1166</v>
      </c>
      <c r="F1489" s="95" t="s">
        <v>2371</v>
      </c>
      <c r="G1489" s="95" t="s">
        <v>2372</v>
      </c>
    </row>
    <row r="1490" spans="2:7">
      <c r="B1490" s="114"/>
      <c r="C1490" s="154"/>
      <c r="D1490" s="114"/>
      <c r="E1490" s="114"/>
      <c r="F1490" s="114" t="s">
        <v>3485</v>
      </c>
      <c r="G1490" s="114" t="s">
        <v>3485</v>
      </c>
    </row>
    <row r="1491" spans="2:7">
      <c r="B1491" s="105">
        <v>1</v>
      </c>
      <c r="C1491" s="76" t="s">
        <v>527</v>
      </c>
      <c r="D1491" s="105" t="s">
        <v>2374</v>
      </c>
      <c r="E1491" s="207">
        <v>8</v>
      </c>
      <c r="F1491" s="190">
        <f>'HIRE CHARGES'!$F$507</f>
        <v>219.7</v>
      </c>
      <c r="G1491" s="190">
        <f>E1491*F1491</f>
        <v>1757.6</v>
      </c>
    </row>
    <row r="1492" spans="2:7">
      <c r="B1492" s="105">
        <v>2</v>
      </c>
      <c r="C1492" s="76" t="s">
        <v>999</v>
      </c>
      <c r="D1492" s="105" t="s">
        <v>2374</v>
      </c>
      <c r="E1492" s="207">
        <v>0.5</v>
      </c>
      <c r="F1492" s="190">
        <f>'HIRE CHARGES'!$F$517</f>
        <v>111.1</v>
      </c>
      <c r="G1492" s="190">
        <f t="shared" ref="G1492:G1502" si="34">E1492*F1492</f>
        <v>55.55</v>
      </c>
    </row>
    <row r="1493" spans="2:7">
      <c r="B1493" s="105">
        <v>3</v>
      </c>
      <c r="C1493" s="76" t="s">
        <v>5148</v>
      </c>
      <c r="D1493" s="105" t="s">
        <v>2374</v>
      </c>
      <c r="E1493" s="207">
        <v>8</v>
      </c>
      <c r="F1493" s="190">
        <f>'HIRE CHARGES'!$F$531</f>
        <v>158.19999999999999</v>
      </c>
      <c r="G1493" s="190">
        <f t="shared" si="34"/>
        <v>1265.5999999999999</v>
      </c>
    </row>
    <row r="1494" spans="2:7">
      <c r="B1494" s="105">
        <v>4</v>
      </c>
      <c r="C1494" s="76" t="s">
        <v>440</v>
      </c>
      <c r="D1494" s="105" t="s">
        <v>1172</v>
      </c>
      <c r="E1494" s="207">
        <v>1</v>
      </c>
      <c r="F1494" s="190">
        <f>'BASIC DATA'!$C$474</f>
        <v>445</v>
      </c>
      <c r="G1494" s="190">
        <f t="shared" si="34"/>
        <v>445</v>
      </c>
    </row>
    <row r="1495" spans="2:7">
      <c r="B1495" s="105">
        <v>5</v>
      </c>
      <c r="C1495" s="76" t="s">
        <v>4206</v>
      </c>
      <c r="D1495" s="105" t="s">
        <v>1172</v>
      </c>
      <c r="E1495" s="207">
        <v>1</v>
      </c>
      <c r="F1495" s="190">
        <f>'BASIC DATA'!$C$473</f>
        <v>450</v>
      </c>
      <c r="G1495" s="190">
        <f t="shared" si="34"/>
        <v>450</v>
      </c>
    </row>
    <row r="1496" spans="2:7">
      <c r="B1496" s="105">
        <v>6</v>
      </c>
      <c r="C1496" s="76" t="s">
        <v>2697</v>
      </c>
      <c r="D1496" s="105"/>
      <c r="E1496" s="207"/>
      <c r="F1496" s="190"/>
      <c r="G1496" s="190"/>
    </row>
    <row r="1497" spans="2:7">
      <c r="B1497" s="317"/>
      <c r="C1497" s="76" t="s">
        <v>441</v>
      </c>
      <c r="D1497" s="105" t="s">
        <v>1172</v>
      </c>
      <c r="E1497" s="207">
        <v>11</v>
      </c>
      <c r="F1497" s="190">
        <f>'BASIC DATA'!$C$552</f>
        <v>350</v>
      </c>
      <c r="G1497" s="190">
        <f t="shared" si="34"/>
        <v>3850</v>
      </c>
    </row>
    <row r="1498" spans="2:7">
      <c r="B1498" s="317"/>
      <c r="C1498" s="76" t="s">
        <v>442</v>
      </c>
      <c r="D1498" s="105" t="s">
        <v>1172</v>
      </c>
      <c r="E1498" s="207">
        <v>4</v>
      </c>
      <c r="F1498" s="190">
        <f>'BASIC DATA'!$C$552</f>
        <v>350</v>
      </c>
      <c r="G1498" s="190">
        <f t="shared" si="34"/>
        <v>1400</v>
      </c>
    </row>
    <row r="1499" spans="2:7">
      <c r="B1499" s="317"/>
      <c r="C1499" s="76" t="s">
        <v>5151</v>
      </c>
      <c r="D1499" s="105" t="s">
        <v>1172</v>
      </c>
      <c r="E1499" s="207">
        <v>3</v>
      </c>
      <c r="F1499" s="190">
        <f>'BASIC DATA'!$C$552</f>
        <v>350</v>
      </c>
      <c r="G1499" s="190">
        <f t="shared" si="34"/>
        <v>1050</v>
      </c>
    </row>
    <row r="1500" spans="2:7">
      <c r="B1500" s="317"/>
      <c r="C1500" s="76" t="s">
        <v>444</v>
      </c>
      <c r="D1500" s="105" t="s">
        <v>1172</v>
      </c>
      <c r="E1500" s="207">
        <f>F1464</f>
        <v>15</v>
      </c>
      <c r="F1500" s="190">
        <f>'BASIC DATA'!$C$552</f>
        <v>350</v>
      </c>
      <c r="G1500" s="190">
        <f t="shared" si="34"/>
        <v>5250</v>
      </c>
    </row>
    <row r="1501" spans="2:7">
      <c r="B1501" s="317"/>
      <c r="C1501" s="76" t="s">
        <v>445</v>
      </c>
      <c r="D1501" s="105" t="s">
        <v>1172</v>
      </c>
      <c r="E1501" s="207">
        <v>1</v>
      </c>
      <c r="F1501" s="190">
        <f>'BASIC DATA'!$C$552</f>
        <v>350</v>
      </c>
      <c r="G1501" s="190">
        <f t="shared" si="34"/>
        <v>350</v>
      </c>
    </row>
    <row r="1502" spans="2:7">
      <c r="B1502" s="105">
        <v>7</v>
      </c>
      <c r="C1502" s="76" t="s">
        <v>7215</v>
      </c>
      <c r="D1502" s="105" t="s">
        <v>3479</v>
      </c>
      <c r="E1502" s="207">
        <f>5.5*F1464</f>
        <v>82.5</v>
      </c>
      <c r="F1502" s="190">
        <f>F1458</f>
        <v>88.5</v>
      </c>
      <c r="G1502" s="190">
        <f t="shared" si="34"/>
        <v>7301.25</v>
      </c>
    </row>
    <row r="1503" spans="2:7">
      <c r="B1503" s="92"/>
      <c r="C1503" s="193" t="s">
        <v>1174</v>
      </c>
      <c r="D1503" s="159"/>
      <c r="E1503" s="238"/>
      <c r="F1503" s="236" t="s">
        <v>1698</v>
      </c>
      <c r="G1503" s="318">
        <f>SUM(G1491:G1502)</f>
        <v>23175</v>
      </c>
    </row>
    <row r="1504" spans="2:7">
      <c r="B1504" s="60" t="s">
        <v>5948</v>
      </c>
      <c r="C1504" s="26"/>
      <c r="D1504" s="31"/>
      <c r="E1504" s="85">
        <f>ROUND(G1503/F1464,1)</f>
        <v>1545</v>
      </c>
    </row>
    <row r="1505" spans="1:7">
      <c r="B1505" s="60" t="s">
        <v>3163</v>
      </c>
      <c r="C1505" s="26"/>
      <c r="D1505" s="922">
        <f>'BASIC DATA'!$C$577</f>
        <v>0.13614999999999999</v>
      </c>
      <c r="E1505" s="85">
        <f>ROUND(E1504*D1505,1)</f>
        <v>210.4</v>
      </c>
    </row>
    <row r="1506" spans="1:7">
      <c r="B1506" s="60" t="s">
        <v>5949</v>
      </c>
      <c r="C1506" s="26"/>
      <c r="D1506" s="31"/>
      <c r="E1506" s="199">
        <f>ROUND(E1505+E1504,1)</f>
        <v>1755.4</v>
      </c>
      <c r="F1506" s="57"/>
    </row>
    <row r="1507" spans="1:7">
      <c r="B1507" s="26"/>
      <c r="C1507" s="26"/>
    </row>
    <row r="1508" spans="1:7">
      <c r="B1508" s="170" t="s">
        <v>1175</v>
      </c>
      <c r="C1508" s="26"/>
    </row>
    <row r="1509" spans="1:7">
      <c r="B1509" s="26" t="s">
        <v>1176</v>
      </c>
      <c r="C1509" s="26"/>
      <c r="F1509" s="171" t="s">
        <v>1698</v>
      </c>
      <c r="G1509" s="68">
        <f>G1475</f>
        <v>63613.253066175006</v>
      </c>
    </row>
    <row r="1510" spans="1:7">
      <c r="B1510" s="26" t="s">
        <v>1186</v>
      </c>
      <c r="C1510" s="26"/>
      <c r="F1510" s="171" t="s">
        <v>1698</v>
      </c>
      <c r="G1510" s="68">
        <f>G1486</f>
        <v>1318.3500000000001</v>
      </c>
    </row>
    <row r="1511" spans="1:7">
      <c r="B1511" s="26" t="s">
        <v>2660</v>
      </c>
      <c r="C1511" s="26"/>
      <c r="F1511" s="171" t="s">
        <v>1698</v>
      </c>
      <c r="G1511" s="75">
        <f>G1503</f>
        <v>23175</v>
      </c>
    </row>
    <row r="1512" spans="1:7">
      <c r="B1512" s="78"/>
      <c r="C1512" s="26"/>
      <c r="E1512" s="171"/>
      <c r="F1512" s="171" t="s">
        <v>302</v>
      </c>
      <c r="G1512" s="205">
        <f>SUM(G1509:G1511)</f>
        <v>88106.603066175012</v>
      </c>
    </row>
    <row r="1513" spans="1:7">
      <c r="B1513" s="1206" t="s">
        <v>1379</v>
      </c>
      <c r="C1513" s="1206"/>
      <c r="E1513" s="922">
        <f>'BASIC DATA'!$C$577</f>
        <v>0.13614999999999999</v>
      </c>
      <c r="F1513" s="26" t="s">
        <v>1698</v>
      </c>
      <c r="G1513" s="26">
        <f>ROUND(G1512*E1513,2)</f>
        <v>11995.71</v>
      </c>
    </row>
    <row r="1514" spans="1:7">
      <c r="B1514" s="26" t="s">
        <v>1191</v>
      </c>
      <c r="C1514" s="26"/>
      <c r="D1514" s="68">
        <f>F1464</f>
        <v>15</v>
      </c>
      <c r="E1514" s="68" t="str">
        <f>G1464</f>
        <v>cum</v>
      </c>
      <c r="F1514" s="26" t="s">
        <v>1698</v>
      </c>
      <c r="G1514" s="170">
        <f>G1513+G1512</f>
        <v>100102.313066175</v>
      </c>
    </row>
    <row r="1515" spans="1:7">
      <c r="B1515" s="170" t="s">
        <v>1584</v>
      </c>
      <c r="C1515" s="211" t="str">
        <f>E1514</f>
        <v>cum</v>
      </c>
      <c r="D1515" s="26" t="s">
        <v>4709</v>
      </c>
      <c r="F1515" s="26" t="s">
        <v>4108</v>
      </c>
      <c r="G1515" s="211">
        <f>ROUND(G1514/D1514,1)</f>
        <v>6673.5</v>
      </c>
    </row>
    <row r="1516" spans="1:7">
      <c r="B1516" s="78"/>
      <c r="C1516" s="26"/>
    </row>
    <row r="1517" spans="1:7">
      <c r="B1517" s="78"/>
      <c r="C1517" s="26"/>
    </row>
    <row r="1518" spans="1:7" ht="18.75">
      <c r="A1518" s="865" t="s">
        <v>7552</v>
      </c>
      <c r="B1518" s="26" t="s">
        <v>8618</v>
      </c>
      <c r="C1518" s="26"/>
    </row>
    <row r="1519" spans="1:7" ht="18.75">
      <c r="A1519" s="865"/>
      <c r="B1519" s="26" t="s">
        <v>8921</v>
      </c>
      <c r="C1519" s="26"/>
    </row>
    <row r="1520" spans="1:7">
      <c r="A1520" s="865"/>
      <c r="B1520" s="26" t="s">
        <v>8932</v>
      </c>
      <c r="C1520" s="26"/>
    </row>
    <row r="1521" spans="1:7">
      <c r="A1521" s="865"/>
      <c r="B1521" s="26" t="s">
        <v>3535</v>
      </c>
      <c r="C1521" s="26"/>
    </row>
    <row r="1522" spans="1:7" ht="18.75">
      <c r="A1522" s="865"/>
      <c r="B1522" s="170" t="s">
        <v>8933</v>
      </c>
      <c r="C1522" s="26"/>
    </row>
    <row r="1523" spans="1:7">
      <c r="A1523" s="865" t="s">
        <v>1940</v>
      </c>
      <c r="B1523" s="170" t="s">
        <v>1351</v>
      </c>
      <c r="C1523" s="26"/>
    </row>
    <row r="1524" spans="1:7">
      <c r="A1524" s="865"/>
      <c r="B1524" s="170" t="s">
        <v>7783</v>
      </c>
      <c r="C1524" s="26"/>
    </row>
    <row r="1525" spans="1:7">
      <c r="A1525" s="855"/>
      <c r="B1525" s="248" t="s">
        <v>4521</v>
      </c>
      <c r="C1525" s="61"/>
      <c r="D1525" s="61"/>
      <c r="E1525" s="61"/>
      <c r="F1525" s="61"/>
      <c r="G1525" s="61"/>
    </row>
    <row r="1526" spans="1:7">
      <c r="A1526" s="865"/>
      <c r="B1526" s="26"/>
      <c r="C1526" s="26"/>
    </row>
    <row r="1527" spans="1:7" hidden="1">
      <c r="A1527" s="865" t="s">
        <v>3984</v>
      </c>
      <c r="B1527" s="26" t="s">
        <v>5780</v>
      </c>
      <c r="C1527" s="26"/>
    </row>
    <row r="1528" spans="1:7" hidden="1">
      <c r="A1528" s="865"/>
      <c r="B1528" s="26" t="s">
        <v>387</v>
      </c>
      <c r="C1528" s="26"/>
    </row>
    <row r="1529" spans="1:7" hidden="1">
      <c r="A1529" s="865"/>
      <c r="B1529" s="26" t="s">
        <v>7784</v>
      </c>
      <c r="C1529" s="26"/>
    </row>
    <row r="1530" spans="1:7" hidden="1">
      <c r="A1530" s="865"/>
      <c r="B1530" s="26" t="s">
        <v>7785</v>
      </c>
      <c r="C1530" s="26"/>
      <c r="D1530" s="26">
        <f>ROUND(50*12*8/320,2)</f>
        <v>15</v>
      </c>
      <c r="E1530" s="26" t="s">
        <v>3760</v>
      </c>
    </row>
    <row r="1531" spans="1:7" hidden="1">
      <c r="A1531" s="865"/>
      <c r="B1531" s="26" t="s">
        <v>2843</v>
      </c>
      <c r="C1531" s="26"/>
    </row>
    <row r="1532" spans="1:7" ht="18.75" hidden="1">
      <c r="A1532" s="865"/>
      <c r="B1532" s="26" t="s">
        <v>8934</v>
      </c>
      <c r="C1532" s="26"/>
    </row>
    <row r="1533" spans="1:7" hidden="1">
      <c r="A1533" s="865"/>
      <c r="B1533" s="26" t="s">
        <v>1976</v>
      </c>
      <c r="C1533" s="26"/>
      <c r="F1533" s="68">
        <f>G667</f>
        <v>224.56752690000002</v>
      </c>
      <c r="G1533" s="26" t="s">
        <v>1168</v>
      </c>
    </row>
    <row r="1534" spans="1:7" hidden="1">
      <c r="A1534" s="865"/>
      <c r="B1534" s="26" t="s">
        <v>7999</v>
      </c>
      <c r="C1534" s="26"/>
      <c r="F1534" s="68">
        <f>F1533*10%</f>
        <v>22.456752690000002</v>
      </c>
      <c r="G1534" s="26" t="s">
        <v>1168</v>
      </c>
    </row>
    <row r="1535" spans="1:7" hidden="1">
      <c r="A1535" s="865"/>
      <c r="B1535" s="26" t="s">
        <v>4452</v>
      </c>
      <c r="C1535" s="26"/>
      <c r="F1535" s="68">
        <f>SUM(F1533:F1534)</f>
        <v>247.02427959000002</v>
      </c>
      <c r="G1535" s="26" t="s">
        <v>1168</v>
      </c>
    </row>
    <row r="1536" spans="1:7" hidden="1">
      <c r="A1536" s="865"/>
      <c r="B1536" s="26" t="s">
        <v>1977</v>
      </c>
      <c r="C1536" s="26"/>
      <c r="F1536" s="68">
        <f>G693</f>
        <v>88.5</v>
      </c>
      <c r="G1536" s="26" t="s">
        <v>1168</v>
      </c>
    </row>
    <row r="1537" spans="1:7" hidden="1">
      <c r="A1537" s="865"/>
      <c r="B1537" s="26" t="s">
        <v>1150</v>
      </c>
      <c r="C1537" s="26"/>
    </row>
    <row r="1538" spans="1:7" hidden="1">
      <c r="A1538" s="865"/>
      <c r="B1538" s="26" t="s">
        <v>451</v>
      </c>
      <c r="C1538" s="26"/>
    </row>
    <row r="1539" spans="1:7" hidden="1">
      <c r="A1539" s="865"/>
      <c r="B1539" s="26" t="s">
        <v>947</v>
      </c>
      <c r="C1539" s="26"/>
    </row>
    <row r="1540" spans="1:7">
      <c r="B1540" s="78"/>
      <c r="C1540" s="26"/>
    </row>
    <row r="1541" spans="1:7">
      <c r="A1541" s="865" t="s">
        <v>3984</v>
      </c>
      <c r="B1541" s="78"/>
      <c r="C1541" s="203" t="s">
        <v>2367</v>
      </c>
      <c r="E1541" s="171" t="s">
        <v>297</v>
      </c>
      <c r="F1541" s="246">
        <f>D1530</f>
        <v>15</v>
      </c>
      <c r="G1541" s="26" t="s">
        <v>3477</v>
      </c>
    </row>
    <row r="1542" spans="1:7">
      <c r="B1542" s="79" t="s">
        <v>2368</v>
      </c>
      <c r="C1542" s="26"/>
    </row>
    <row r="1543" spans="1:7">
      <c r="B1543" s="95" t="s">
        <v>2369</v>
      </c>
      <c r="C1543" s="157" t="s">
        <v>4443</v>
      </c>
      <c r="D1543" s="95" t="s">
        <v>2370</v>
      </c>
      <c r="E1543" s="95" t="s">
        <v>1166</v>
      </c>
      <c r="F1543" s="95" t="s">
        <v>2371</v>
      </c>
      <c r="G1543" s="95" t="s">
        <v>2372</v>
      </c>
    </row>
    <row r="1544" spans="1:7">
      <c r="B1544" s="114"/>
      <c r="C1544" s="154"/>
      <c r="D1544" s="114"/>
      <c r="E1544" s="114"/>
      <c r="F1544" s="114" t="s">
        <v>3485</v>
      </c>
      <c r="G1544" s="114" t="s">
        <v>3485</v>
      </c>
    </row>
    <row r="1545" spans="1:7">
      <c r="B1545" s="95">
        <v>1</v>
      </c>
      <c r="C1545" s="135" t="s">
        <v>1048</v>
      </c>
      <c r="D1545" s="95" t="s">
        <v>3478</v>
      </c>
      <c r="E1545" s="190">
        <f>320*F1541</f>
        <v>4800</v>
      </c>
      <c r="F1545" s="214">
        <f>'BASIC DATA'!$D$32/1000</f>
        <v>5.35</v>
      </c>
      <c r="G1545" s="190">
        <f>E1545*F1545</f>
        <v>25680</v>
      </c>
    </row>
    <row r="1546" spans="1:7">
      <c r="B1546" s="317"/>
      <c r="C1546" s="135" t="s">
        <v>1151</v>
      </c>
      <c r="D1546" s="105" t="s">
        <v>3478</v>
      </c>
      <c r="E1546" s="190">
        <f>F1541*2</f>
        <v>30</v>
      </c>
      <c r="F1546" s="214">
        <f>'BASIC DATA'!$D$32/1000</f>
        <v>5.35</v>
      </c>
      <c r="G1546" s="190">
        <f t="shared" ref="G1546:G1553" si="35">E1546*F1546</f>
        <v>160.5</v>
      </c>
    </row>
    <row r="1547" spans="1:7">
      <c r="B1547" s="105">
        <v>2</v>
      </c>
      <c r="C1547" s="135" t="s">
        <v>6996</v>
      </c>
      <c r="D1547" s="105" t="s">
        <v>3477</v>
      </c>
      <c r="E1547" s="190">
        <f>0.9*F1541*0.5</f>
        <v>6.75</v>
      </c>
      <c r="F1547" s="214">
        <f>'BASIC DATA'!$D$36</f>
        <v>1175</v>
      </c>
      <c r="G1547" s="190">
        <f t="shared" si="35"/>
        <v>7931.25</v>
      </c>
    </row>
    <row r="1548" spans="1:7">
      <c r="B1548" s="317"/>
      <c r="C1548" s="135" t="s">
        <v>6995</v>
      </c>
      <c r="D1548" s="105" t="s">
        <v>3477</v>
      </c>
      <c r="E1548" s="190">
        <f>0.9*F1541*0.3</f>
        <v>4.05</v>
      </c>
      <c r="F1548" s="214">
        <f>'BASIC DATA'!$D$35</f>
        <v>1225</v>
      </c>
      <c r="G1548" s="190">
        <f t="shared" si="35"/>
        <v>4961.25</v>
      </c>
    </row>
    <row r="1549" spans="1:7">
      <c r="B1549" s="317"/>
      <c r="C1549" s="135" t="s">
        <v>1050</v>
      </c>
      <c r="D1549" s="105" t="s">
        <v>3477</v>
      </c>
      <c r="E1549" s="190">
        <f>0.9*F1541*0.2</f>
        <v>2.7</v>
      </c>
      <c r="F1549" s="214">
        <f>'BASIC DATA'!$D$34</f>
        <v>900</v>
      </c>
      <c r="G1549" s="190">
        <f t="shared" si="35"/>
        <v>2430</v>
      </c>
    </row>
    <row r="1550" spans="1:7">
      <c r="A1550" s="853"/>
      <c r="B1550" s="240">
        <v>3</v>
      </c>
      <c r="C1550" s="326" t="s">
        <v>7941</v>
      </c>
      <c r="D1550" s="240" t="s">
        <v>3477</v>
      </c>
      <c r="E1550" s="255">
        <f>0.4*F1541</f>
        <v>6</v>
      </c>
      <c r="F1550" s="266">
        <f>'BASIC DATA'!$D$55</f>
        <v>95</v>
      </c>
      <c r="G1550" s="255">
        <f t="shared" si="35"/>
        <v>570</v>
      </c>
    </row>
    <row r="1551" spans="1:7">
      <c r="B1551" s="105">
        <v>4</v>
      </c>
      <c r="C1551" s="135" t="s">
        <v>523</v>
      </c>
      <c r="D1551" s="105" t="s">
        <v>3478</v>
      </c>
      <c r="E1551" s="190">
        <f>E1545*0.4%</f>
        <v>19.2</v>
      </c>
      <c r="F1551" s="214">
        <f>'BASIC DATA'!$D$99</f>
        <v>55</v>
      </c>
      <c r="G1551" s="190">
        <f t="shared" si="35"/>
        <v>1056</v>
      </c>
    </row>
    <row r="1552" spans="1:7">
      <c r="B1552" s="105">
        <v>5</v>
      </c>
      <c r="C1552" s="135" t="s">
        <v>6219</v>
      </c>
      <c r="D1552" s="105" t="s">
        <v>3479</v>
      </c>
      <c r="E1552" s="190">
        <f>4*F1541</f>
        <v>60</v>
      </c>
      <c r="F1552" s="214">
        <f>F1535</f>
        <v>247.02427959000002</v>
      </c>
      <c r="G1552" s="190">
        <f t="shared" si="35"/>
        <v>14821.456775400002</v>
      </c>
    </row>
    <row r="1553" spans="2:7">
      <c r="B1553" s="114">
        <v>6</v>
      </c>
      <c r="C1553" s="139" t="s">
        <v>2373</v>
      </c>
      <c r="D1553" s="114" t="s">
        <v>2173</v>
      </c>
      <c r="E1553" s="182">
        <v>0.5</v>
      </c>
      <c r="F1553" s="215">
        <f>'BASIC DATA'!$D$359</f>
        <v>30</v>
      </c>
      <c r="G1553" s="182">
        <f t="shared" si="35"/>
        <v>15</v>
      </c>
    </row>
    <row r="1554" spans="2:7">
      <c r="B1554" s="92"/>
      <c r="C1554" s="193" t="s">
        <v>2376</v>
      </c>
      <c r="D1554" s="159"/>
      <c r="E1554" s="238"/>
      <c r="F1554" s="236" t="s">
        <v>1698</v>
      </c>
      <c r="G1554" s="318">
        <f>SUM(G1545:G1553)</f>
        <v>57625.456775400002</v>
      </c>
    </row>
    <row r="1555" spans="2:7">
      <c r="B1555" s="78"/>
      <c r="C1555" s="26"/>
    </row>
    <row r="1556" spans="2:7">
      <c r="B1556" s="79" t="s">
        <v>2377</v>
      </c>
      <c r="C1556" s="26"/>
    </row>
    <row r="1557" spans="2:7">
      <c r="B1557" s="95" t="s">
        <v>2369</v>
      </c>
      <c r="C1557" s="157" t="s">
        <v>2378</v>
      </c>
      <c r="D1557" s="95" t="s">
        <v>2370</v>
      </c>
      <c r="E1557" s="95" t="s">
        <v>1166</v>
      </c>
      <c r="F1557" s="95" t="s">
        <v>2371</v>
      </c>
      <c r="G1557" s="95" t="s">
        <v>2372</v>
      </c>
    </row>
    <row r="1558" spans="2:7">
      <c r="B1558" s="114"/>
      <c r="C1558" s="154"/>
      <c r="D1558" s="114"/>
      <c r="E1558" s="114"/>
      <c r="F1558" s="114" t="s">
        <v>3485</v>
      </c>
      <c r="G1558" s="114" t="s">
        <v>3485</v>
      </c>
    </row>
    <row r="1559" spans="2:7">
      <c r="B1559" s="95">
        <v>1</v>
      </c>
      <c r="C1559" s="135" t="s">
        <v>7214</v>
      </c>
      <c r="D1559" s="95" t="s">
        <v>2374</v>
      </c>
      <c r="E1559" s="190">
        <v>8</v>
      </c>
      <c r="F1559" s="190">
        <f>'HIRE CHARGES'!$D$507</f>
        <v>53.5</v>
      </c>
      <c r="G1559" s="190">
        <f t="shared" ref="G1559:G1564" si="36">E1559*F1559</f>
        <v>428</v>
      </c>
    </row>
    <row r="1560" spans="2:7">
      <c r="B1560" s="317"/>
      <c r="C1560" s="135" t="s">
        <v>2379</v>
      </c>
      <c r="D1560" s="105" t="s">
        <v>2374</v>
      </c>
      <c r="E1560" s="190">
        <v>8</v>
      </c>
      <c r="F1560" s="190">
        <f>'HIRE CHARGES'!$E$507</f>
        <v>79.3</v>
      </c>
      <c r="G1560" s="190">
        <f t="shared" si="36"/>
        <v>634.4</v>
      </c>
    </row>
    <row r="1561" spans="2:7">
      <c r="B1561" s="105">
        <v>2</v>
      </c>
      <c r="C1561" s="135" t="s">
        <v>189</v>
      </c>
      <c r="D1561" s="105" t="s">
        <v>2374</v>
      </c>
      <c r="E1561" s="190">
        <v>0.5</v>
      </c>
      <c r="F1561" s="190">
        <f>'HIRE CHARGES'!$D$517</f>
        <v>10.199999999999999</v>
      </c>
      <c r="G1561" s="190">
        <f t="shared" si="36"/>
        <v>5.0999999999999996</v>
      </c>
    </row>
    <row r="1562" spans="2:7">
      <c r="B1562" s="317"/>
      <c r="C1562" s="135" t="s">
        <v>2379</v>
      </c>
      <c r="D1562" s="105" t="s">
        <v>2374</v>
      </c>
      <c r="E1562" s="190">
        <v>0.5</v>
      </c>
      <c r="F1562" s="190">
        <f>'HIRE CHARGES'!$E$517</f>
        <v>79.3</v>
      </c>
      <c r="G1562" s="190">
        <f t="shared" si="36"/>
        <v>39.65</v>
      </c>
    </row>
    <row r="1563" spans="2:7">
      <c r="B1563" s="105">
        <v>3</v>
      </c>
      <c r="C1563" s="135" t="s">
        <v>526</v>
      </c>
      <c r="D1563" s="105" t="s">
        <v>2374</v>
      </c>
      <c r="E1563" s="190">
        <v>8</v>
      </c>
      <c r="F1563" s="190">
        <f>'HIRE CHARGES'!$D$531</f>
        <v>7.6</v>
      </c>
      <c r="G1563" s="190">
        <f t="shared" si="36"/>
        <v>60.8</v>
      </c>
    </row>
    <row r="1564" spans="2:7">
      <c r="B1564" s="365"/>
      <c r="C1564" s="139" t="s">
        <v>2379</v>
      </c>
      <c r="D1564" s="114" t="s">
        <v>2374</v>
      </c>
      <c r="E1564" s="182">
        <v>8</v>
      </c>
      <c r="F1564" s="182">
        <f>'HIRE CHARGES'!$E$531</f>
        <v>18.8</v>
      </c>
      <c r="G1564" s="190">
        <f t="shared" si="36"/>
        <v>150.4</v>
      </c>
    </row>
    <row r="1565" spans="2:7">
      <c r="B1565" s="176"/>
      <c r="C1565" s="172" t="s">
        <v>2380</v>
      </c>
      <c r="D1565" s="174"/>
      <c r="E1565" s="192"/>
      <c r="F1565" s="275" t="s">
        <v>1698</v>
      </c>
      <c r="G1565" s="318">
        <f>SUM(G1559:G1564)</f>
        <v>1318.3500000000001</v>
      </c>
    </row>
    <row r="1566" spans="2:7">
      <c r="B1566" s="78"/>
      <c r="C1566" s="26"/>
    </row>
    <row r="1567" spans="2:7">
      <c r="B1567" s="79" t="s">
        <v>2381</v>
      </c>
      <c r="C1567" s="26"/>
    </row>
    <row r="1568" spans="2:7">
      <c r="B1568" s="95" t="s">
        <v>2369</v>
      </c>
      <c r="C1568" s="157" t="s">
        <v>2378</v>
      </c>
      <c r="D1568" s="95" t="s">
        <v>2370</v>
      </c>
      <c r="E1568" s="95" t="s">
        <v>1166</v>
      </c>
      <c r="F1568" s="95" t="s">
        <v>2371</v>
      </c>
      <c r="G1568" s="95" t="s">
        <v>2372</v>
      </c>
    </row>
    <row r="1569" spans="2:7">
      <c r="B1569" s="114"/>
      <c r="C1569" s="154"/>
      <c r="D1569" s="114"/>
      <c r="E1569" s="114"/>
      <c r="F1569" s="114" t="s">
        <v>3485</v>
      </c>
      <c r="G1569" s="114" t="s">
        <v>3485</v>
      </c>
    </row>
    <row r="1570" spans="2:7">
      <c r="B1570" s="105">
        <v>1</v>
      </c>
      <c r="C1570" s="76" t="s">
        <v>527</v>
      </c>
      <c r="D1570" s="105" t="s">
        <v>2374</v>
      </c>
      <c r="E1570" s="207">
        <v>8</v>
      </c>
      <c r="F1570" s="190">
        <f>'HIRE CHARGES'!$F$507</f>
        <v>219.7</v>
      </c>
      <c r="G1570" s="190">
        <f>E1570*F1570</f>
        <v>1757.6</v>
      </c>
    </row>
    <row r="1571" spans="2:7">
      <c r="B1571" s="105">
        <v>2</v>
      </c>
      <c r="C1571" s="76" t="s">
        <v>999</v>
      </c>
      <c r="D1571" s="105" t="s">
        <v>2374</v>
      </c>
      <c r="E1571" s="207">
        <v>0.5</v>
      </c>
      <c r="F1571" s="190">
        <f>'HIRE CHARGES'!$F$517</f>
        <v>111.1</v>
      </c>
      <c r="G1571" s="190">
        <f t="shared" ref="G1571:G1581" si="37">E1571*F1571</f>
        <v>55.55</v>
      </c>
    </row>
    <row r="1572" spans="2:7">
      <c r="B1572" s="105">
        <v>3</v>
      </c>
      <c r="C1572" s="76" t="s">
        <v>5148</v>
      </c>
      <c r="D1572" s="105" t="s">
        <v>2374</v>
      </c>
      <c r="E1572" s="207">
        <v>8</v>
      </c>
      <c r="F1572" s="190">
        <f>'HIRE CHARGES'!$F$531</f>
        <v>158.19999999999999</v>
      </c>
      <c r="G1572" s="190">
        <f t="shared" si="37"/>
        <v>1265.5999999999999</v>
      </c>
    </row>
    <row r="1573" spans="2:7">
      <c r="B1573" s="105">
        <v>4</v>
      </c>
      <c r="C1573" s="76" t="s">
        <v>440</v>
      </c>
      <c r="D1573" s="105" t="s">
        <v>1172</v>
      </c>
      <c r="E1573" s="207">
        <v>1</v>
      </c>
      <c r="F1573" s="190">
        <f>'BASIC DATA'!$C$474</f>
        <v>445</v>
      </c>
      <c r="G1573" s="190">
        <f t="shared" si="37"/>
        <v>445</v>
      </c>
    </row>
    <row r="1574" spans="2:7">
      <c r="B1574" s="105">
        <v>5</v>
      </c>
      <c r="C1574" s="76" t="s">
        <v>4206</v>
      </c>
      <c r="D1574" s="105" t="s">
        <v>1172</v>
      </c>
      <c r="E1574" s="207">
        <v>1</v>
      </c>
      <c r="F1574" s="190">
        <f>'BASIC DATA'!$C$473</f>
        <v>450</v>
      </c>
      <c r="G1574" s="190">
        <f t="shared" si="37"/>
        <v>450</v>
      </c>
    </row>
    <row r="1575" spans="2:7">
      <c r="B1575" s="105">
        <v>6</v>
      </c>
      <c r="C1575" s="76" t="s">
        <v>2697</v>
      </c>
      <c r="D1575" s="105"/>
      <c r="E1575" s="207"/>
      <c r="F1575" s="190"/>
      <c r="G1575" s="190"/>
    </row>
    <row r="1576" spans="2:7">
      <c r="B1576" s="317"/>
      <c r="C1576" s="76" t="s">
        <v>441</v>
      </c>
      <c r="D1576" s="105" t="s">
        <v>1172</v>
      </c>
      <c r="E1576" s="207">
        <v>11</v>
      </c>
      <c r="F1576" s="190">
        <f>'BASIC DATA'!$C$552</f>
        <v>350</v>
      </c>
      <c r="G1576" s="190">
        <f t="shared" si="37"/>
        <v>3850</v>
      </c>
    </row>
    <row r="1577" spans="2:7">
      <c r="B1577" s="317"/>
      <c r="C1577" s="76" t="s">
        <v>442</v>
      </c>
      <c r="D1577" s="105" t="s">
        <v>1172</v>
      </c>
      <c r="E1577" s="207">
        <v>4</v>
      </c>
      <c r="F1577" s="190">
        <f>'BASIC DATA'!$C$552</f>
        <v>350</v>
      </c>
      <c r="G1577" s="190">
        <f t="shared" si="37"/>
        <v>1400</v>
      </c>
    </row>
    <row r="1578" spans="2:7">
      <c r="B1578" s="317"/>
      <c r="C1578" s="76" t="s">
        <v>5151</v>
      </c>
      <c r="D1578" s="105" t="s">
        <v>1172</v>
      </c>
      <c r="E1578" s="207">
        <v>3</v>
      </c>
      <c r="F1578" s="190">
        <f>'BASIC DATA'!$C$552</f>
        <v>350</v>
      </c>
      <c r="G1578" s="190">
        <f t="shared" si="37"/>
        <v>1050</v>
      </c>
    </row>
    <row r="1579" spans="2:7">
      <c r="B1579" s="317"/>
      <c r="C1579" s="76" t="s">
        <v>444</v>
      </c>
      <c r="D1579" s="105" t="s">
        <v>1172</v>
      </c>
      <c r="E1579" s="207">
        <f>F1541</f>
        <v>15</v>
      </c>
      <c r="F1579" s="190">
        <f>'BASIC DATA'!$C$552</f>
        <v>350</v>
      </c>
      <c r="G1579" s="190">
        <f t="shared" si="37"/>
        <v>5250</v>
      </c>
    </row>
    <row r="1580" spans="2:7">
      <c r="B1580" s="317"/>
      <c r="C1580" s="76" t="s">
        <v>445</v>
      </c>
      <c r="D1580" s="105" t="s">
        <v>1172</v>
      </c>
      <c r="E1580" s="207">
        <v>1</v>
      </c>
      <c r="F1580" s="190">
        <f>'BASIC DATA'!$C$552</f>
        <v>350</v>
      </c>
      <c r="G1580" s="190">
        <f t="shared" si="37"/>
        <v>350</v>
      </c>
    </row>
    <row r="1581" spans="2:7">
      <c r="B1581" s="105">
        <v>7</v>
      </c>
      <c r="C1581" s="76" t="s">
        <v>7215</v>
      </c>
      <c r="D1581" s="105" t="s">
        <v>3479</v>
      </c>
      <c r="E1581" s="207">
        <f>4*F1541</f>
        <v>60</v>
      </c>
      <c r="F1581" s="190">
        <f>F1536</f>
        <v>88.5</v>
      </c>
      <c r="G1581" s="190">
        <f t="shared" si="37"/>
        <v>5310</v>
      </c>
    </row>
    <row r="1582" spans="2:7">
      <c r="B1582" s="92"/>
      <c r="C1582" s="193" t="s">
        <v>1174</v>
      </c>
      <c r="D1582" s="159"/>
      <c r="E1582" s="238"/>
      <c r="F1582" s="236" t="s">
        <v>1698</v>
      </c>
      <c r="G1582" s="318">
        <f>SUM(G1570:G1581)</f>
        <v>21183.75</v>
      </c>
    </row>
    <row r="1583" spans="2:7">
      <c r="B1583" s="60" t="s">
        <v>5948</v>
      </c>
      <c r="C1583" s="26"/>
      <c r="D1583" s="31"/>
      <c r="E1583" s="85">
        <f>ROUND(G1582/F1541,1)</f>
        <v>1412.3</v>
      </c>
    </row>
    <row r="1584" spans="2:7">
      <c r="B1584" s="60" t="s">
        <v>3163</v>
      </c>
      <c r="C1584" s="26"/>
      <c r="D1584" s="922">
        <f>'BASIC DATA'!$C$577</f>
        <v>0.13614999999999999</v>
      </c>
      <c r="E1584" s="85">
        <f>ROUND(E1583*D1584,1)</f>
        <v>192.3</v>
      </c>
    </row>
    <row r="1585" spans="1:7">
      <c r="B1585" s="60" t="s">
        <v>5949</v>
      </c>
      <c r="C1585" s="26"/>
      <c r="D1585" s="31"/>
      <c r="E1585" s="199">
        <f>ROUND(E1584+E1583,1)</f>
        <v>1604.6</v>
      </c>
      <c r="F1585" s="57"/>
    </row>
    <row r="1586" spans="1:7">
      <c r="B1586" s="26"/>
      <c r="C1586" s="26"/>
    </row>
    <row r="1587" spans="1:7">
      <c r="B1587" s="170" t="s">
        <v>1175</v>
      </c>
      <c r="C1587" s="26"/>
    </row>
    <row r="1588" spans="1:7">
      <c r="B1588" s="26" t="s">
        <v>1176</v>
      </c>
      <c r="C1588" s="26"/>
      <c r="F1588" s="171" t="s">
        <v>1698</v>
      </c>
      <c r="G1588" s="68">
        <f>G1554</f>
        <v>57625.456775400002</v>
      </c>
    </row>
    <row r="1589" spans="1:7">
      <c r="B1589" s="26" t="s">
        <v>1186</v>
      </c>
      <c r="C1589" s="26"/>
      <c r="F1589" s="171" t="s">
        <v>1698</v>
      </c>
      <c r="G1589" s="68">
        <f>G1565</f>
        <v>1318.3500000000001</v>
      </c>
    </row>
    <row r="1590" spans="1:7">
      <c r="B1590" s="26" t="s">
        <v>2660</v>
      </c>
      <c r="C1590" s="26"/>
      <c r="F1590" s="171" t="s">
        <v>1698</v>
      </c>
      <c r="G1590" s="75">
        <f>G1582</f>
        <v>21183.75</v>
      </c>
    </row>
    <row r="1591" spans="1:7">
      <c r="B1591" s="78"/>
      <c r="C1591" s="26"/>
      <c r="E1591" s="171"/>
      <c r="F1591" s="171" t="s">
        <v>302</v>
      </c>
      <c r="G1591" s="205">
        <f>SUM(G1588:G1590)</f>
        <v>80127.556775400008</v>
      </c>
    </row>
    <row r="1592" spans="1:7">
      <c r="B1592" s="1206" t="s">
        <v>1379</v>
      </c>
      <c r="C1592" s="1206"/>
      <c r="E1592" s="922">
        <f>'BASIC DATA'!$C$577</f>
        <v>0.13614999999999999</v>
      </c>
      <c r="F1592" s="26" t="s">
        <v>1698</v>
      </c>
      <c r="G1592" s="26">
        <f>ROUND(G1591*E1592,2)</f>
        <v>10909.37</v>
      </c>
    </row>
    <row r="1593" spans="1:7">
      <c r="B1593" s="26" t="s">
        <v>1191</v>
      </c>
      <c r="C1593" s="26"/>
      <c r="D1593" s="68">
        <f>F1541</f>
        <v>15</v>
      </c>
      <c r="E1593" s="68" t="str">
        <f>G1541</f>
        <v>cum</v>
      </c>
      <c r="F1593" s="26" t="s">
        <v>1698</v>
      </c>
      <c r="G1593" s="211">
        <f>G1592+G1591</f>
        <v>91036.926775400003</v>
      </c>
    </row>
    <row r="1594" spans="1:7">
      <c r="B1594" s="170" t="s">
        <v>1584</v>
      </c>
      <c r="C1594" s="211" t="str">
        <f>E1593</f>
        <v>cum</v>
      </c>
      <c r="D1594" s="26" t="s">
        <v>4709</v>
      </c>
      <c r="F1594" s="26" t="s">
        <v>4108</v>
      </c>
      <c r="G1594" s="211">
        <f>ROUND(G1593/D1593,1)</f>
        <v>6069.1</v>
      </c>
    </row>
    <row r="1595" spans="1:7">
      <c r="B1595" s="78"/>
      <c r="C1595" s="26"/>
    </row>
    <row r="1596" spans="1:7">
      <c r="B1596" s="78"/>
      <c r="C1596" s="26"/>
    </row>
    <row r="1597" spans="1:7" ht="18.75">
      <c r="A1597" s="865" t="s">
        <v>7553</v>
      </c>
      <c r="B1597" s="26" t="s">
        <v>8935</v>
      </c>
      <c r="C1597" s="26"/>
    </row>
    <row r="1598" spans="1:7" ht="18.75">
      <c r="A1598" s="865"/>
      <c r="B1598" s="26" t="s">
        <v>8936</v>
      </c>
      <c r="C1598" s="26"/>
    </row>
    <row r="1599" spans="1:7">
      <c r="A1599" s="865"/>
      <c r="B1599" s="26" t="s">
        <v>8937</v>
      </c>
      <c r="C1599" s="26"/>
    </row>
    <row r="1600" spans="1:7">
      <c r="A1600" s="865"/>
      <c r="B1600" s="26" t="s">
        <v>4138</v>
      </c>
      <c r="C1600" s="26"/>
    </row>
    <row r="1601" spans="1:7" ht="18.75">
      <c r="A1601" s="865"/>
      <c r="B1601" s="170" t="s">
        <v>8938</v>
      </c>
      <c r="C1601" s="26"/>
    </row>
    <row r="1602" spans="1:7">
      <c r="A1602" s="865"/>
      <c r="B1602" s="170" t="s">
        <v>3578</v>
      </c>
      <c r="C1602" s="26"/>
    </row>
    <row r="1603" spans="1:7">
      <c r="A1603" s="855"/>
      <c r="B1603" s="248" t="s">
        <v>4522</v>
      </c>
      <c r="C1603" s="61"/>
      <c r="D1603" s="61"/>
      <c r="E1603" s="61"/>
      <c r="F1603" s="61"/>
      <c r="G1603" s="61"/>
    </row>
    <row r="1604" spans="1:7">
      <c r="A1604" s="865"/>
      <c r="B1604" s="26"/>
      <c r="C1604" s="26"/>
    </row>
    <row r="1605" spans="1:7" hidden="1">
      <c r="A1605" s="865" t="s">
        <v>3984</v>
      </c>
      <c r="B1605" s="26" t="s">
        <v>5780</v>
      </c>
      <c r="C1605" s="26"/>
    </row>
    <row r="1606" spans="1:7" hidden="1">
      <c r="A1606" s="865"/>
      <c r="B1606" s="26" t="s">
        <v>4139</v>
      </c>
      <c r="C1606" s="26"/>
    </row>
    <row r="1607" spans="1:7" hidden="1">
      <c r="A1607" s="865"/>
      <c r="B1607" s="26" t="s">
        <v>4140</v>
      </c>
      <c r="C1607" s="26"/>
    </row>
    <row r="1608" spans="1:7" hidden="1">
      <c r="A1608" s="865"/>
      <c r="B1608" s="26" t="s">
        <v>3690</v>
      </c>
      <c r="C1608" s="26"/>
    </row>
    <row r="1609" spans="1:7" hidden="1">
      <c r="A1609" s="865"/>
      <c r="B1609" s="26" t="s">
        <v>3022</v>
      </c>
      <c r="C1609" s="26"/>
    </row>
    <row r="1610" spans="1:7" hidden="1">
      <c r="A1610" s="865"/>
      <c r="B1610" s="26" t="s">
        <v>3601</v>
      </c>
      <c r="C1610" s="26"/>
      <c r="E1610" s="26">
        <f>50*12*8/350</f>
        <v>13.714285714285714</v>
      </c>
      <c r="F1610" s="26" t="s">
        <v>3602</v>
      </c>
      <c r="G1610" s="26" t="s">
        <v>3760</v>
      </c>
    </row>
    <row r="1611" spans="1:7" hidden="1">
      <c r="A1611" s="865"/>
      <c r="B1611" s="26" t="s">
        <v>6037</v>
      </c>
      <c r="C1611" s="26"/>
    </row>
    <row r="1612" spans="1:7" hidden="1">
      <c r="A1612" s="865"/>
      <c r="B1612" s="26" t="s">
        <v>2843</v>
      </c>
      <c r="C1612" s="26"/>
    </row>
    <row r="1613" spans="1:7" hidden="1">
      <c r="A1613" s="865"/>
      <c r="B1613" s="26" t="s">
        <v>6038</v>
      </c>
      <c r="C1613" s="26"/>
    </row>
    <row r="1614" spans="1:7" hidden="1">
      <c r="A1614" s="865"/>
      <c r="B1614" s="26" t="s">
        <v>451</v>
      </c>
      <c r="C1614" s="26"/>
    </row>
    <row r="1615" spans="1:7" hidden="1">
      <c r="A1615" s="865"/>
      <c r="B1615" s="26" t="s">
        <v>1978</v>
      </c>
      <c r="C1615" s="26"/>
    </row>
    <row r="1616" spans="1:7">
      <c r="B1616" s="78"/>
      <c r="C1616" s="26"/>
    </row>
    <row r="1617" spans="1:7">
      <c r="A1617" s="865" t="s">
        <v>3984</v>
      </c>
      <c r="B1617" s="78"/>
      <c r="C1617" s="203" t="s">
        <v>2367</v>
      </c>
      <c r="E1617" s="171" t="s">
        <v>297</v>
      </c>
      <c r="F1617" s="246">
        <v>14</v>
      </c>
      <c r="G1617" s="26" t="s">
        <v>3477</v>
      </c>
    </row>
    <row r="1618" spans="1:7">
      <c r="B1618" s="79" t="s">
        <v>2368</v>
      </c>
      <c r="C1618" s="26"/>
    </row>
    <row r="1619" spans="1:7">
      <c r="B1619" s="95" t="s">
        <v>2369</v>
      </c>
      <c r="C1619" s="157" t="s">
        <v>4443</v>
      </c>
      <c r="D1619" s="95" t="s">
        <v>2370</v>
      </c>
      <c r="E1619" s="95" t="s">
        <v>1166</v>
      </c>
      <c r="F1619" s="95" t="s">
        <v>2371</v>
      </c>
      <c r="G1619" s="95" t="s">
        <v>2372</v>
      </c>
    </row>
    <row r="1620" spans="1:7">
      <c r="B1620" s="114"/>
      <c r="C1620" s="154"/>
      <c r="D1620" s="114"/>
      <c r="E1620" s="114"/>
      <c r="F1620" s="114" t="s">
        <v>3485</v>
      </c>
      <c r="G1620" s="114" t="s">
        <v>3485</v>
      </c>
    </row>
    <row r="1621" spans="1:7">
      <c r="B1621" s="95">
        <v>1</v>
      </c>
      <c r="C1621" s="135" t="s">
        <v>1048</v>
      </c>
      <c r="D1621" s="95" t="s">
        <v>3478</v>
      </c>
      <c r="E1621" s="190">
        <f>350*F1617</f>
        <v>4900</v>
      </c>
      <c r="F1621" s="214">
        <f>'BASIC DATA'!$D$32/1000</f>
        <v>5.35</v>
      </c>
      <c r="G1621" s="190">
        <f>E1621*F1621</f>
        <v>26215</v>
      </c>
    </row>
    <row r="1622" spans="1:7">
      <c r="B1622" s="105">
        <v>2</v>
      </c>
      <c r="C1622" s="135" t="s">
        <v>6995</v>
      </c>
      <c r="D1622" s="105" t="s">
        <v>3477</v>
      </c>
      <c r="E1622" s="190">
        <f>0.8*0.65*F1617</f>
        <v>7.28</v>
      </c>
      <c r="F1622" s="214">
        <f>'BASIC DATA'!$D$35</f>
        <v>1225</v>
      </c>
      <c r="G1622" s="190">
        <f>E1622*F1622</f>
        <v>8918</v>
      </c>
    </row>
    <row r="1623" spans="1:7">
      <c r="B1623" s="317"/>
      <c r="C1623" s="135" t="s">
        <v>1050</v>
      </c>
      <c r="D1623" s="105" t="s">
        <v>3477</v>
      </c>
      <c r="E1623" s="190">
        <f>0.8*0.35*F1617</f>
        <v>3.9199999999999995</v>
      </c>
      <c r="F1623" s="214">
        <f>'BASIC DATA'!$D$34</f>
        <v>900</v>
      </c>
      <c r="G1623" s="190">
        <f>E1623*F1623</f>
        <v>3527.9999999999995</v>
      </c>
    </row>
    <row r="1624" spans="1:7">
      <c r="A1624" s="853"/>
      <c r="B1624" s="240">
        <v>3</v>
      </c>
      <c r="C1624" s="326" t="s">
        <v>7941</v>
      </c>
      <c r="D1624" s="240" t="s">
        <v>3477</v>
      </c>
      <c r="E1624" s="255">
        <f>0.45*F1617</f>
        <v>6.3</v>
      </c>
      <c r="F1624" s="266">
        <f>'BASIC DATA'!$D$55</f>
        <v>95</v>
      </c>
      <c r="G1624" s="255">
        <f>E1624*F1624</f>
        <v>598.5</v>
      </c>
    </row>
    <row r="1625" spans="1:7">
      <c r="B1625" s="114">
        <v>4</v>
      </c>
      <c r="C1625" s="135" t="s">
        <v>523</v>
      </c>
      <c r="D1625" s="105" t="s">
        <v>3478</v>
      </c>
      <c r="E1625" s="190">
        <f>E1621*0.4%</f>
        <v>19.600000000000001</v>
      </c>
      <c r="F1625" s="214">
        <f>'BASIC DATA'!$D$99</f>
        <v>55</v>
      </c>
      <c r="G1625" s="190">
        <f>E1625*F1625</f>
        <v>1078</v>
      </c>
    </row>
    <row r="1626" spans="1:7">
      <c r="B1626" s="93"/>
      <c r="C1626" s="187"/>
      <c r="D1626" s="187"/>
      <c r="E1626" s="331" t="s">
        <v>2375</v>
      </c>
      <c r="F1626" s="332" t="s">
        <v>1698</v>
      </c>
      <c r="G1626" s="179">
        <f>SUM(G1621:G1625)</f>
        <v>40337.5</v>
      </c>
    </row>
    <row r="1627" spans="1:7">
      <c r="A1627" s="853"/>
      <c r="B1627" s="444"/>
      <c r="C1627" s="60" t="s">
        <v>6039</v>
      </c>
      <c r="D1627" s="60"/>
      <c r="E1627" s="522">
        <v>0.01</v>
      </c>
      <c r="F1627" s="678" t="s">
        <v>1698</v>
      </c>
      <c r="G1627" s="255">
        <f>E1627*$G$1626</f>
        <v>403.375</v>
      </c>
    </row>
    <row r="1628" spans="1:7">
      <c r="B1628" s="92"/>
      <c r="C1628" s="193" t="s">
        <v>2376</v>
      </c>
      <c r="D1628" s="159"/>
      <c r="E1628" s="238"/>
      <c r="F1628" s="236" t="s">
        <v>1698</v>
      </c>
      <c r="G1628" s="318">
        <f>SUM(G1626:G1627)</f>
        <v>40740.875</v>
      </c>
    </row>
    <row r="1629" spans="1:7">
      <c r="B1629" s="78"/>
      <c r="C1629" s="26"/>
    </row>
    <row r="1630" spans="1:7">
      <c r="B1630" s="79" t="s">
        <v>2377</v>
      </c>
      <c r="C1630" s="26"/>
    </row>
    <row r="1631" spans="1:7">
      <c r="B1631" s="95" t="s">
        <v>2369</v>
      </c>
      <c r="C1631" s="157" t="s">
        <v>2378</v>
      </c>
      <c r="D1631" s="95" t="s">
        <v>2370</v>
      </c>
      <c r="E1631" s="95" t="s">
        <v>1166</v>
      </c>
      <c r="F1631" s="95" t="s">
        <v>2371</v>
      </c>
      <c r="G1631" s="95" t="s">
        <v>2372</v>
      </c>
    </row>
    <row r="1632" spans="1:7">
      <c r="B1632" s="114"/>
      <c r="C1632" s="154"/>
      <c r="D1632" s="114"/>
      <c r="E1632" s="114"/>
      <c r="F1632" s="114" t="s">
        <v>3485</v>
      </c>
      <c r="G1632" s="114" t="s">
        <v>3485</v>
      </c>
    </row>
    <row r="1633" spans="2:7">
      <c r="B1633" s="95">
        <v>1</v>
      </c>
      <c r="C1633" s="135" t="s">
        <v>7214</v>
      </c>
      <c r="D1633" s="95" t="s">
        <v>2374</v>
      </c>
      <c r="E1633" s="190">
        <v>8</v>
      </c>
      <c r="F1633" s="190">
        <f>'HIRE CHARGES'!$D$507</f>
        <v>53.5</v>
      </c>
      <c r="G1633" s="190">
        <f>E1633*F1633</f>
        <v>428</v>
      </c>
    </row>
    <row r="1634" spans="2:7">
      <c r="B1634" s="317"/>
      <c r="C1634" s="135" t="s">
        <v>2379</v>
      </c>
      <c r="D1634" s="105" t="s">
        <v>2374</v>
      </c>
      <c r="E1634" s="190">
        <v>8</v>
      </c>
      <c r="F1634" s="190">
        <f>'HIRE CHARGES'!$E$507</f>
        <v>79.3</v>
      </c>
      <c r="G1634" s="190">
        <f>E1634*F1634</f>
        <v>634.4</v>
      </c>
    </row>
    <row r="1635" spans="2:7">
      <c r="B1635" s="105">
        <v>2</v>
      </c>
      <c r="C1635" s="135" t="s">
        <v>189</v>
      </c>
      <c r="D1635" s="105" t="s">
        <v>2374</v>
      </c>
      <c r="E1635" s="190">
        <v>0.5</v>
      </c>
      <c r="F1635" s="190">
        <f>'HIRE CHARGES'!$D$517</f>
        <v>10.199999999999999</v>
      </c>
      <c r="G1635" s="190">
        <f>E1635*F1635</f>
        <v>5.0999999999999996</v>
      </c>
    </row>
    <row r="1636" spans="2:7">
      <c r="B1636" s="317"/>
      <c r="C1636" s="135" t="s">
        <v>2379</v>
      </c>
      <c r="D1636" s="105" t="s">
        <v>2374</v>
      </c>
      <c r="E1636" s="190">
        <v>0.5</v>
      </c>
      <c r="F1636" s="190">
        <f>'HIRE CHARGES'!$E$517</f>
        <v>79.3</v>
      </c>
      <c r="G1636" s="190">
        <f>E1636*F1636</f>
        <v>39.65</v>
      </c>
    </row>
    <row r="1637" spans="2:7">
      <c r="B1637" s="114">
        <v>3</v>
      </c>
      <c r="C1637" s="139" t="s">
        <v>5732</v>
      </c>
      <c r="D1637" s="114" t="s">
        <v>2173</v>
      </c>
      <c r="E1637" s="182">
        <v>5</v>
      </c>
      <c r="F1637" s="215">
        <f>'BASIC DATA'!$D$359</f>
        <v>30</v>
      </c>
      <c r="G1637" s="190">
        <f>E1637*F1637</f>
        <v>150</v>
      </c>
    </row>
    <row r="1638" spans="2:7">
      <c r="B1638" s="176"/>
      <c r="C1638" s="172" t="s">
        <v>2380</v>
      </c>
      <c r="D1638" s="174"/>
      <c r="E1638" s="192"/>
      <c r="F1638" s="275" t="s">
        <v>1698</v>
      </c>
      <c r="G1638" s="318">
        <f>SUM(G1633:G1637)</f>
        <v>1257.1500000000001</v>
      </c>
    </row>
    <row r="1639" spans="2:7">
      <c r="B1639" s="78"/>
      <c r="C1639" s="26"/>
    </row>
    <row r="1640" spans="2:7">
      <c r="B1640" s="79" t="s">
        <v>2381</v>
      </c>
      <c r="C1640" s="26"/>
    </row>
    <row r="1641" spans="2:7">
      <c r="B1641" s="95" t="s">
        <v>2369</v>
      </c>
      <c r="C1641" s="157" t="s">
        <v>2378</v>
      </c>
      <c r="D1641" s="95" t="s">
        <v>2370</v>
      </c>
      <c r="E1641" s="95" t="s">
        <v>1166</v>
      </c>
      <c r="F1641" s="95" t="s">
        <v>2371</v>
      </c>
      <c r="G1641" s="95" t="s">
        <v>2372</v>
      </c>
    </row>
    <row r="1642" spans="2:7">
      <c r="B1642" s="114"/>
      <c r="C1642" s="154"/>
      <c r="D1642" s="114"/>
      <c r="E1642" s="114"/>
      <c r="F1642" s="114" t="s">
        <v>3485</v>
      </c>
      <c r="G1642" s="114" t="s">
        <v>3485</v>
      </c>
    </row>
    <row r="1643" spans="2:7">
      <c r="B1643" s="105">
        <v>1</v>
      </c>
      <c r="C1643" s="76" t="s">
        <v>527</v>
      </c>
      <c r="D1643" s="105" t="s">
        <v>2374</v>
      </c>
      <c r="E1643" s="207">
        <v>8</v>
      </c>
      <c r="F1643" s="190">
        <f>'HIRE CHARGES'!$F$507</f>
        <v>219.7</v>
      </c>
      <c r="G1643" s="190">
        <f>E1643*F1643</f>
        <v>1757.6</v>
      </c>
    </row>
    <row r="1644" spans="2:7">
      <c r="B1644" s="105">
        <v>2</v>
      </c>
      <c r="C1644" s="76" t="s">
        <v>999</v>
      </c>
      <c r="D1644" s="105" t="s">
        <v>2374</v>
      </c>
      <c r="E1644" s="207">
        <v>0.5</v>
      </c>
      <c r="F1644" s="190">
        <f>'HIRE CHARGES'!$F$517</f>
        <v>111.1</v>
      </c>
      <c r="G1644" s="190">
        <f t="shared" ref="G1644:G1652" si="38">E1644*F1644</f>
        <v>55.55</v>
      </c>
    </row>
    <row r="1645" spans="2:7">
      <c r="B1645" s="105">
        <v>3</v>
      </c>
      <c r="C1645" s="76" t="s">
        <v>5733</v>
      </c>
      <c r="D1645" s="105" t="s">
        <v>1172</v>
      </c>
      <c r="E1645" s="207">
        <v>1</v>
      </c>
      <c r="F1645" s="190">
        <f>'BASIC DATA'!$C$515</f>
        <v>400</v>
      </c>
      <c r="G1645" s="190">
        <f t="shared" si="38"/>
        <v>400</v>
      </c>
    </row>
    <row r="1646" spans="2:7">
      <c r="B1646" s="105">
        <v>4</v>
      </c>
      <c r="C1646" s="76" t="s">
        <v>4206</v>
      </c>
      <c r="D1646" s="105" t="s">
        <v>1172</v>
      </c>
      <c r="E1646" s="207">
        <v>1</v>
      </c>
      <c r="F1646" s="190">
        <f>'BASIC DATA'!$C$473</f>
        <v>450</v>
      </c>
      <c r="G1646" s="190">
        <f t="shared" si="38"/>
        <v>450</v>
      </c>
    </row>
    <row r="1647" spans="2:7">
      <c r="B1647" s="105">
        <v>5</v>
      </c>
      <c r="C1647" s="76" t="s">
        <v>2697</v>
      </c>
      <c r="D1647" s="105"/>
      <c r="E1647" s="207"/>
      <c r="F1647" s="190"/>
      <c r="G1647" s="190"/>
    </row>
    <row r="1648" spans="2:7">
      <c r="B1648" s="317"/>
      <c r="C1648" s="76" t="s">
        <v>5734</v>
      </c>
      <c r="D1648" s="105" t="s">
        <v>1172</v>
      </c>
      <c r="E1648" s="207">
        <v>4</v>
      </c>
      <c r="F1648" s="190">
        <f>'BASIC DATA'!$C$552</f>
        <v>350</v>
      </c>
      <c r="G1648" s="190">
        <f t="shared" si="38"/>
        <v>1400</v>
      </c>
    </row>
    <row r="1649" spans="2:7">
      <c r="B1649" s="317"/>
      <c r="C1649" s="76" t="s">
        <v>441</v>
      </c>
      <c r="D1649" s="105" t="s">
        <v>1172</v>
      </c>
      <c r="E1649" s="207">
        <v>11</v>
      </c>
      <c r="F1649" s="190">
        <f>'BASIC DATA'!$C$552</f>
        <v>350</v>
      </c>
      <c r="G1649" s="190">
        <f t="shared" si="38"/>
        <v>3850</v>
      </c>
    </row>
    <row r="1650" spans="2:7">
      <c r="B1650" s="317"/>
      <c r="C1650" s="76" t="s">
        <v>442</v>
      </c>
      <c r="D1650" s="105" t="s">
        <v>1172</v>
      </c>
      <c r="E1650" s="207">
        <v>4</v>
      </c>
      <c r="F1650" s="190">
        <f>'BASIC DATA'!$C$552</f>
        <v>350</v>
      </c>
      <c r="G1650" s="190">
        <f t="shared" si="38"/>
        <v>1400</v>
      </c>
    </row>
    <row r="1651" spans="2:7">
      <c r="B1651" s="317"/>
      <c r="C1651" s="76" t="s">
        <v>5735</v>
      </c>
      <c r="D1651" s="105" t="s">
        <v>1172</v>
      </c>
      <c r="E1651" s="207">
        <v>2</v>
      </c>
      <c r="F1651" s="190">
        <f>'BASIC DATA'!$C$552</f>
        <v>350</v>
      </c>
      <c r="G1651" s="190">
        <f t="shared" si="38"/>
        <v>700</v>
      </c>
    </row>
    <row r="1652" spans="2:7">
      <c r="B1652" s="317"/>
      <c r="C1652" s="76" t="s">
        <v>444</v>
      </c>
      <c r="D1652" s="105" t="s">
        <v>1172</v>
      </c>
      <c r="E1652" s="207">
        <v>16</v>
      </c>
      <c r="F1652" s="190">
        <f>'BASIC DATA'!$C$552</f>
        <v>350</v>
      </c>
      <c r="G1652" s="190">
        <f t="shared" si="38"/>
        <v>5600</v>
      </c>
    </row>
    <row r="1653" spans="2:7">
      <c r="B1653" s="92"/>
      <c r="C1653" s="193" t="s">
        <v>1174</v>
      </c>
      <c r="D1653" s="159"/>
      <c r="E1653" s="238"/>
      <c r="F1653" s="236" t="s">
        <v>1698</v>
      </c>
      <c r="G1653" s="318">
        <f>SUM(G1643:G1652)</f>
        <v>15613.15</v>
      </c>
    </row>
    <row r="1654" spans="2:7">
      <c r="B1654" s="60" t="s">
        <v>5948</v>
      </c>
      <c r="C1654" s="26"/>
      <c r="D1654" s="31"/>
      <c r="E1654" s="85">
        <f>ROUND(G1653/F1617,1)</f>
        <v>1115.2</v>
      </c>
    </row>
    <row r="1655" spans="2:7">
      <c r="B1655" s="60" t="s">
        <v>3163</v>
      </c>
      <c r="C1655" s="26"/>
      <c r="D1655" s="922">
        <f>'BASIC DATA'!$C$577</f>
        <v>0.13614999999999999</v>
      </c>
      <c r="E1655" s="85">
        <f>ROUND(E1654*D1655,1)</f>
        <v>151.80000000000001</v>
      </c>
    </row>
    <row r="1656" spans="2:7">
      <c r="B1656" s="60" t="s">
        <v>5949</v>
      </c>
      <c r="C1656" s="26"/>
      <c r="D1656" s="31"/>
      <c r="E1656" s="199">
        <f>ROUND(E1655+E1654,1)</f>
        <v>1267</v>
      </c>
      <c r="F1656" s="57"/>
    </row>
    <row r="1657" spans="2:7">
      <c r="B1657" s="26"/>
      <c r="C1657" s="26"/>
    </row>
    <row r="1658" spans="2:7">
      <c r="B1658" s="170" t="s">
        <v>1175</v>
      </c>
      <c r="C1658" s="26"/>
    </row>
    <row r="1659" spans="2:7">
      <c r="B1659" s="26" t="s">
        <v>1176</v>
      </c>
      <c r="C1659" s="26"/>
      <c r="F1659" s="171" t="s">
        <v>1698</v>
      </c>
      <c r="G1659" s="68">
        <f>G1628</f>
        <v>40740.875</v>
      </c>
    </row>
    <row r="1660" spans="2:7">
      <c r="B1660" s="26" t="s">
        <v>1186</v>
      </c>
      <c r="C1660" s="26"/>
      <c r="F1660" s="171" t="s">
        <v>1698</v>
      </c>
      <c r="G1660" s="68">
        <f>G1638</f>
        <v>1257.1500000000001</v>
      </c>
    </row>
    <row r="1661" spans="2:7">
      <c r="B1661" s="26" t="s">
        <v>2660</v>
      </c>
      <c r="C1661" s="26"/>
      <c r="F1661" s="171" t="s">
        <v>1698</v>
      </c>
      <c r="G1661" s="75">
        <f>G1653</f>
        <v>15613.15</v>
      </c>
    </row>
    <row r="1662" spans="2:7">
      <c r="B1662" s="78"/>
      <c r="C1662" s="26"/>
      <c r="E1662" s="171"/>
      <c r="F1662" s="171" t="s">
        <v>302</v>
      </c>
      <c r="G1662" s="205">
        <f>SUM(G1659:G1661)</f>
        <v>57611.175000000003</v>
      </c>
    </row>
    <row r="1663" spans="2:7">
      <c r="B1663" s="1206" t="s">
        <v>1379</v>
      </c>
      <c r="C1663" s="1206"/>
      <c r="E1663" s="922">
        <f>'BASIC DATA'!$C$577</f>
        <v>0.13614999999999999</v>
      </c>
      <c r="F1663" s="26" t="s">
        <v>1698</v>
      </c>
      <c r="G1663" s="26">
        <f>ROUND(G1662*E1663,2)</f>
        <v>7843.76</v>
      </c>
    </row>
    <row r="1664" spans="2:7">
      <c r="B1664" s="26" t="s">
        <v>1191</v>
      </c>
      <c r="C1664" s="26"/>
      <c r="D1664" s="68">
        <f>F1617</f>
        <v>14</v>
      </c>
      <c r="E1664" s="68" t="str">
        <f>G1617</f>
        <v>cum</v>
      </c>
      <c r="F1664" s="26" t="s">
        <v>1698</v>
      </c>
      <c r="G1664" s="211">
        <f>G1663+G1662</f>
        <v>65454.935000000005</v>
      </c>
    </row>
    <row r="1665" spans="1:7">
      <c r="B1665" s="170" t="s">
        <v>1584</v>
      </c>
      <c r="C1665" s="211" t="str">
        <f>E1664</f>
        <v>cum</v>
      </c>
      <c r="D1665" s="26" t="s">
        <v>4710</v>
      </c>
      <c r="F1665" s="26" t="s">
        <v>4108</v>
      </c>
      <c r="G1665" s="211">
        <f>ROUND(G1664/D1664,1)</f>
        <v>4675.3999999999996</v>
      </c>
    </row>
    <row r="1666" spans="1:7">
      <c r="B1666" s="78"/>
      <c r="C1666" s="26"/>
    </row>
    <row r="1667" spans="1:7">
      <c r="B1667" s="78"/>
      <c r="C1667" s="26"/>
    </row>
    <row r="1668" spans="1:7" ht="18.75">
      <c r="A1668" s="865" t="s">
        <v>7554</v>
      </c>
      <c r="B1668" s="26" t="s">
        <v>8793</v>
      </c>
      <c r="C1668" s="26"/>
    </row>
    <row r="1669" spans="1:7" ht="18.75">
      <c r="A1669" s="865"/>
      <c r="B1669" s="26" t="s">
        <v>8939</v>
      </c>
      <c r="C1669" s="26"/>
    </row>
    <row r="1670" spans="1:7">
      <c r="A1670" s="865"/>
      <c r="B1670" s="26" t="s">
        <v>8940</v>
      </c>
      <c r="C1670" s="26"/>
    </row>
    <row r="1671" spans="1:7">
      <c r="A1671" s="865"/>
      <c r="B1671" s="26" t="s">
        <v>2565</v>
      </c>
      <c r="C1671" s="26"/>
    </row>
    <row r="1672" spans="1:7" ht="18.75">
      <c r="A1672" s="865"/>
      <c r="B1672" s="170" t="s">
        <v>8941</v>
      </c>
      <c r="C1672" s="26"/>
    </row>
    <row r="1673" spans="1:7">
      <c r="A1673" s="865" t="s">
        <v>1940</v>
      </c>
      <c r="B1673" s="170" t="s">
        <v>1351</v>
      </c>
      <c r="C1673" s="26"/>
    </row>
    <row r="1674" spans="1:7">
      <c r="A1674" s="865"/>
      <c r="B1674" s="170" t="s">
        <v>7779</v>
      </c>
      <c r="C1674" s="26"/>
    </row>
    <row r="1675" spans="1:7">
      <c r="A1675" s="855"/>
      <c r="B1675" s="248" t="s">
        <v>4521</v>
      </c>
      <c r="C1675" s="61"/>
      <c r="D1675" s="61"/>
      <c r="E1675" s="61"/>
      <c r="F1675" s="61"/>
      <c r="G1675" s="61"/>
    </row>
    <row r="1676" spans="1:7">
      <c r="A1676" s="865"/>
      <c r="B1676" s="26"/>
      <c r="C1676" s="26"/>
    </row>
    <row r="1677" spans="1:7" hidden="1">
      <c r="A1677" s="865" t="s">
        <v>3984</v>
      </c>
      <c r="B1677" s="26" t="s">
        <v>5780</v>
      </c>
      <c r="C1677" s="26"/>
    </row>
    <row r="1678" spans="1:7" hidden="1">
      <c r="A1678" s="865"/>
      <c r="B1678" s="26" t="s">
        <v>2571</v>
      </c>
      <c r="C1678" s="26"/>
    </row>
    <row r="1679" spans="1:7" hidden="1">
      <c r="A1679" s="865"/>
      <c r="B1679" s="26" t="s">
        <v>7786</v>
      </c>
      <c r="C1679" s="26"/>
    </row>
    <row r="1680" spans="1:7" hidden="1">
      <c r="A1680" s="865"/>
      <c r="B1680" s="26" t="s">
        <v>7787</v>
      </c>
      <c r="C1680" s="26"/>
      <c r="E1680" s="26">
        <f>ROUND(50*10*8/280,2)</f>
        <v>14.29</v>
      </c>
      <c r="F1680" s="26" t="s">
        <v>3760</v>
      </c>
    </row>
    <row r="1681" spans="1:7" hidden="1">
      <c r="A1681" s="865"/>
      <c r="B1681" s="26" t="s">
        <v>2843</v>
      </c>
      <c r="C1681" s="26"/>
    </row>
    <row r="1682" spans="1:7" hidden="1">
      <c r="A1682" s="865"/>
      <c r="B1682" s="26" t="s">
        <v>6739</v>
      </c>
      <c r="C1682" s="26"/>
    </row>
    <row r="1683" spans="1:7" hidden="1">
      <c r="A1683" s="865"/>
      <c r="B1683" s="26" t="s">
        <v>451</v>
      </c>
      <c r="C1683" s="26"/>
    </row>
    <row r="1684" spans="1:7" hidden="1">
      <c r="A1684" s="865"/>
      <c r="B1684" s="26" t="s">
        <v>1979</v>
      </c>
      <c r="C1684" s="26"/>
    </row>
    <row r="1685" spans="1:7" hidden="1">
      <c r="B1685" s="78"/>
      <c r="C1685" s="26"/>
    </row>
    <row r="1686" spans="1:7">
      <c r="B1686" s="78"/>
      <c r="C1686" s="26"/>
    </row>
    <row r="1687" spans="1:7">
      <c r="A1687" s="865" t="s">
        <v>3984</v>
      </c>
      <c r="B1687" s="78"/>
      <c r="C1687" s="203" t="s">
        <v>2367</v>
      </c>
      <c r="E1687" s="171" t="s">
        <v>297</v>
      </c>
      <c r="F1687" s="246">
        <f>E1680</f>
        <v>14.29</v>
      </c>
      <c r="G1687" s="26" t="s">
        <v>3477</v>
      </c>
    </row>
    <row r="1688" spans="1:7">
      <c r="B1688" s="79" t="s">
        <v>2368</v>
      </c>
      <c r="C1688" s="26"/>
    </row>
    <row r="1689" spans="1:7">
      <c r="B1689" s="95" t="s">
        <v>2369</v>
      </c>
      <c r="C1689" s="157" t="s">
        <v>4443</v>
      </c>
      <c r="D1689" s="95" t="s">
        <v>2370</v>
      </c>
      <c r="E1689" s="95" t="s">
        <v>1166</v>
      </c>
      <c r="F1689" s="95" t="s">
        <v>2371</v>
      </c>
      <c r="G1689" s="95" t="s">
        <v>2372</v>
      </c>
    </row>
    <row r="1690" spans="1:7">
      <c r="B1690" s="114"/>
      <c r="C1690" s="154"/>
      <c r="D1690" s="114"/>
      <c r="E1690" s="114"/>
      <c r="F1690" s="114" t="s">
        <v>3485</v>
      </c>
      <c r="G1690" s="114" t="s">
        <v>3485</v>
      </c>
    </row>
    <row r="1691" spans="1:7">
      <c r="B1691" s="95">
        <v>1</v>
      </c>
      <c r="C1691" s="135" t="s">
        <v>1048</v>
      </c>
      <c r="D1691" s="95" t="s">
        <v>3478</v>
      </c>
      <c r="E1691" s="190">
        <f>280*F1687</f>
        <v>4001.2</v>
      </c>
      <c r="F1691" s="214">
        <f>'BASIC DATA'!$D$32/1000</f>
        <v>5.35</v>
      </c>
      <c r="G1691" s="190">
        <f t="shared" ref="G1691:G1696" si="39">E1691*F1691</f>
        <v>21406.42</v>
      </c>
    </row>
    <row r="1692" spans="1:7">
      <c r="B1692" s="105">
        <v>2</v>
      </c>
      <c r="C1692" s="135" t="s">
        <v>6996</v>
      </c>
      <c r="D1692" s="105" t="s">
        <v>3477</v>
      </c>
      <c r="E1692" s="190">
        <f>0.9*F1687*0.5</f>
        <v>6.4304999999999994</v>
      </c>
      <c r="F1692" s="214">
        <f>'BASIC DATA'!$D$36</f>
        <v>1175</v>
      </c>
      <c r="G1692" s="190">
        <f t="shared" si="39"/>
        <v>7555.8374999999996</v>
      </c>
    </row>
    <row r="1693" spans="1:7">
      <c r="B1693" s="317"/>
      <c r="C1693" s="135" t="s">
        <v>6995</v>
      </c>
      <c r="D1693" s="105" t="s">
        <v>3477</v>
      </c>
      <c r="E1693" s="190">
        <f>0.9*F1687*0.3</f>
        <v>3.8582999999999994</v>
      </c>
      <c r="F1693" s="214">
        <f>'BASIC DATA'!$D$35</f>
        <v>1225</v>
      </c>
      <c r="G1693" s="190">
        <f t="shared" si="39"/>
        <v>4726.4174999999996</v>
      </c>
    </row>
    <row r="1694" spans="1:7">
      <c r="B1694" s="317"/>
      <c r="C1694" s="135" t="s">
        <v>1050</v>
      </c>
      <c r="D1694" s="105" t="s">
        <v>3477</v>
      </c>
      <c r="E1694" s="190">
        <f>0.9*F1687*0.2</f>
        <v>2.5722</v>
      </c>
      <c r="F1694" s="214">
        <f>'BASIC DATA'!$D$34</f>
        <v>900</v>
      </c>
      <c r="G1694" s="190">
        <f t="shared" si="39"/>
        <v>2314.98</v>
      </c>
    </row>
    <row r="1695" spans="1:7">
      <c r="A1695" s="853"/>
      <c r="B1695" s="240">
        <v>3</v>
      </c>
      <c r="C1695" s="326" t="s">
        <v>7941</v>
      </c>
      <c r="D1695" s="240" t="s">
        <v>3477</v>
      </c>
      <c r="E1695" s="255">
        <f>0.4*F1687</f>
        <v>5.7160000000000002</v>
      </c>
      <c r="F1695" s="266">
        <f>'BASIC DATA'!$D$55</f>
        <v>95</v>
      </c>
      <c r="G1695" s="255">
        <f t="shared" si="39"/>
        <v>543.02</v>
      </c>
    </row>
    <row r="1696" spans="1:7">
      <c r="B1696" s="114">
        <v>4</v>
      </c>
      <c r="C1696" s="135" t="s">
        <v>523</v>
      </c>
      <c r="D1696" s="105" t="s">
        <v>3478</v>
      </c>
      <c r="E1696" s="190">
        <f>E1691*0.4%</f>
        <v>16.004799999999999</v>
      </c>
      <c r="F1696" s="214">
        <f>'BASIC DATA'!$D$99</f>
        <v>55</v>
      </c>
      <c r="G1696" s="190">
        <f t="shared" si="39"/>
        <v>880.26400000000001</v>
      </c>
    </row>
    <row r="1697" spans="2:7">
      <c r="B1697" s="92"/>
      <c r="C1697" s="193" t="s">
        <v>2376</v>
      </c>
      <c r="D1697" s="159"/>
      <c r="E1697" s="238"/>
      <c r="F1697" s="236" t="s">
        <v>1698</v>
      </c>
      <c r="G1697" s="318">
        <f>SUM(G1691:G1696)</f>
        <v>37426.939000000006</v>
      </c>
    </row>
    <row r="1698" spans="2:7">
      <c r="B1698" s="78"/>
      <c r="C1698" s="26"/>
    </row>
    <row r="1699" spans="2:7">
      <c r="B1699" s="79" t="s">
        <v>2377</v>
      </c>
      <c r="C1699" s="26"/>
    </row>
    <row r="1700" spans="2:7">
      <c r="B1700" s="95" t="s">
        <v>2369</v>
      </c>
      <c r="C1700" s="157" t="s">
        <v>2378</v>
      </c>
      <c r="D1700" s="95" t="s">
        <v>2370</v>
      </c>
      <c r="E1700" s="95" t="s">
        <v>1166</v>
      </c>
      <c r="F1700" s="95" t="s">
        <v>2371</v>
      </c>
      <c r="G1700" s="95" t="s">
        <v>2372</v>
      </c>
    </row>
    <row r="1701" spans="2:7">
      <c r="B1701" s="114"/>
      <c r="C1701" s="154"/>
      <c r="D1701" s="114"/>
      <c r="E1701" s="114"/>
      <c r="F1701" s="114" t="s">
        <v>3485</v>
      </c>
      <c r="G1701" s="114" t="s">
        <v>3485</v>
      </c>
    </row>
    <row r="1702" spans="2:7">
      <c r="B1702" s="95">
        <v>1</v>
      </c>
      <c r="C1702" s="153" t="s">
        <v>7214</v>
      </c>
      <c r="D1702" s="175" t="s">
        <v>2374</v>
      </c>
      <c r="E1702" s="179">
        <v>8</v>
      </c>
      <c r="F1702" s="190">
        <f>'HIRE CHARGES'!$D$507</f>
        <v>53.5</v>
      </c>
      <c r="G1702" s="190">
        <f t="shared" ref="G1702:G1707" si="40">E1702*F1702</f>
        <v>428</v>
      </c>
    </row>
    <row r="1703" spans="2:7">
      <c r="B1703" s="317"/>
      <c r="C1703" s="152" t="s">
        <v>2379</v>
      </c>
      <c r="D1703" s="33" t="s">
        <v>2374</v>
      </c>
      <c r="E1703" s="190">
        <v>8</v>
      </c>
      <c r="F1703" s="190">
        <f>'HIRE CHARGES'!$E$507</f>
        <v>79.3</v>
      </c>
      <c r="G1703" s="190">
        <f t="shared" si="40"/>
        <v>634.4</v>
      </c>
    </row>
    <row r="1704" spans="2:7">
      <c r="B1704" s="105">
        <v>2</v>
      </c>
      <c r="C1704" s="152" t="s">
        <v>189</v>
      </c>
      <c r="D1704" s="33" t="s">
        <v>2374</v>
      </c>
      <c r="E1704" s="190">
        <v>0.5</v>
      </c>
      <c r="F1704" s="190">
        <f>'HIRE CHARGES'!$D$517</f>
        <v>10.199999999999999</v>
      </c>
      <c r="G1704" s="190">
        <f t="shared" si="40"/>
        <v>5.0999999999999996</v>
      </c>
    </row>
    <row r="1705" spans="2:7">
      <c r="B1705" s="317"/>
      <c r="C1705" s="152" t="s">
        <v>2379</v>
      </c>
      <c r="D1705" s="33" t="s">
        <v>2374</v>
      </c>
      <c r="E1705" s="190">
        <v>0.5</v>
      </c>
      <c r="F1705" s="190">
        <f>'HIRE CHARGES'!$E$517</f>
        <v>79.3</v>
      </c>
      <c r="G1705" s="190">
        <f t="shared" si="40"/>
        <v>39.65</v>
      </c>
    </row>
    <row r="1706" spans="2:7">
      <c r="B1706" s="105">
        <v>3</v>
      </c>
      <c r="C1706" s="152" t="s">
        <v>526</v>
      </c>
      <c r="D1706" s="33" t="s">
        <v>2374</v>
      </c>
      <c r="E1706" s="190">
        <v>8</v>
      </c>
      <c r="F1706" s="190">
        <f>'HIRE CHARGES'!$D$531</f>
        <v>7.6</v>
      </c>
      <c r="G1706" s="190">
        <f t="shared" si="40"/>
        <v>60.8</v>
      </c>
    </row>
    <row r="1707" spans="2:7">
      <c r="B1707" s="365"/>
      <c r="C1707" s="116" t="s">
        <v>2379</v>
      </c>
      <c r="D1707" s="33" t="s">
        <v>2374</v>
      </c>
      <c r="E1707" s="182">
        <v>8</v>
      </c>
      <c r="F1707" s="207">
        <f>'HIRE CHARGES'!$E$531</f>
        <v>18.8</v>
      </c>
      <c r="G1707" s="190">
        <f t="shared" si="40"/>
        <v>150.4</v>
      </c>
    </row>
    <row r="1708" spans="2:7">
      <c r="B1708" s="176"/>
      <c r="C1708" s="172" t="s">
        <v>2380</v>
      </c>
      <c r="D1708" s="174"/>
      <c r="E1708" s="192"/>
      <c r="F1708" s="236" t="s">
        <v>1698</v>
      </c>
      <c r="G1708" s="318">
        <f>SUM(G1702:G1707)</f>
        <v>1318.3500000000001</v>
      </c>
    </row>
    <row r="1709" spans="2:7">
      <c r="B1709" s="78"/>
      <c r="C1709" s="26"/>
    </row>
    <row r="1710" spans="2:7">
      <c r="B1710" s="79" t="s">
        <v>2381</v>
      </c>
      <c r="C1710" s="26"/>
    </row>
    <row r="1711" spans="2:7">
      <c r="B1711" s="95" t="s">
        <v>2369</v>
      </c>
      <c r="C1711" s="157" t="s">
        <v>2378</v>
      </c>
      <c r="D1711" s="95" t="s">
        <v>2370</v>
      </c>
      <c r="E1711" s="95" t="s">
        <v>1166</v>
      </c>
      <c r="F1711" s="95" t="s">
        <v>2371</v>
      </c>
      <c r="G1711" s="95" t="s">
        <v>2372</v>
      </c>
    </row>
    <row r="1712" spans="2:7">
      <c r="B1712" s="114"/>
      <c r="C1712" s="154"/>
      <c r="D1712" s="114"/>
      <c r="E1712" s="114"/>
      <c r="F1712" s="114" t="s">
        <v>3485</v>
      </c>
      <c r="G1712" s="114" t="s">
        <v>3485</v>
      </c>
    </row>
    <row r="1713" spans="2:7">
      <c r="B1713" s="105">
        <v>1</v>
      </c>
      <c r="C1713" s="76" t="s">
        <v>527</v>
      </c>
      <c r="D1713" s="105" t="s">
        <v>2374</v>
      </c>
      <c r="E1713" s="207">
        <v>8</v>
      </c>
      <c r="F1713" s="190">
        <f>'HIRE CHARGES'!$F$507</f>
        <v>219.7</v>
      </c>
      <c r="G1713" s="190">
        <f>E1713*F1713</f>
        <v>1757.6</v>
      </c>
    </row>
    <row r="1714" spans="2:7">
      <c r="B1714" s="105">
        <v>2</v>
      </c>
      <c r="C1714" s="76" t="s">
        <v>999</v>
      </c>
      <c r="D1714" s="105" t="s">
        <v>2374</v>
      </c>
      <c r="E1714" s="207">
        <v>0.5</v>
      </c>
      <c r="F1714" s="190">
        <f>'HIRE CHARGES'!$F$517</f>
        <v>111.1</v>
      </c>
      <c r="G1714" s="190">
        <f t="shared" ref="G1714:G1723" si="41">E1714*F1714</f>
        <v>55.55</v>
      </c>
    </row>
    <row r="1715" spans="2:7">
      <c r="B1715" s="105">
        <v>3</v>
      </c>
      <c r="C1715" s="76" t="s">
        <v>439</v>
      </c>
      <c r="D1715" s="105" t="s">
        <v>2374</v>
      </c>
      <c r="E1715" s="207">
        <v>8</v>
      </c>
      <c r="F1715" s="190">
        <f>'HIRE CHARGES'!$F$531</f>
        <v>158.19999999999999</v>
      </c>
      <c r="G1715" s="190">
        <f t="shared" si="41"/>
        <v>1265.5999999999999</v>
      </c>
    </row>
    <row r="1716" spans="2:7">
      <c r="B1716" s="105">
        <v>4</v>
      </c>
      <c r="C1716" s="76" t="s">
        <v>440</v>
      </c>
      <c r="D1716" s="105" t="s">
        <v>1172</v>
      </c>
      <c r="E1716" s="207">
        <v>1</v>
      </c>
      <c r="F1716" s="190">
        <f>'BASIC DATA'!$C$474</f>
        <v>445</v>
      </c>
      <c r="G1716" s="190">
        <f t="shared" si="41"/>
        <v>445</v>
      </c>
    </row>
    <row r="1717" spans="2:7">
      <c r="B1717" s="105">
        <v>5</v>
      </c>
      <c r="C1717" s="76" t="s">
        <v>4206</v>
      </c>
      <c r="D1717" s="105" t="s">
        <v>1172</v>
      </c>
      <c r="E1717" s="207">
        <v>1</v>
      </c>
      <c r="F1717" s="190">
        <f>'BASIC DATA'!$C$473</f>
        <v>450</v>
      </c>
      <c r="G1717" s="190">
        <f t="shared" si="41"/>
        <v>450</v>
      </c>
    </row>
    <row r="1718" spans="2:7">
      <c r="B1718" s="105">
        <v>6</v>
      </c>
      <c r="C1718" s="76" t="s">
        <v>2697</v>
      </c>
      <c r="D1718" s="105"/>
      <c r="E1718" s="207"/>
      <c r="F1718" s="190"/>
      <c r="G1718" s="190"/>
    </row>
    <row r="1719" spans="2:7">
      <c r="B1719" s="317"/>
      <c r="C1719" s="76" t="s">
        <v>441</v>
      </c>
      <c r="D1719" s="105" t="s">
        <v>1172</v>
      </c>
      <c r="E1719" s="207">
        <v>11</v>
      </c>
      <c r="F1719" s="190">
        <f>'BASIC DATA'!$C$552</f>
        <v>350</v>
      </c>
      <c r="G1719" s="190">
        <f t="shared" si="41"/>
        <v>3850</v>
      </c>
    </row>
    <row r="1720" spans="2:7">
      <c r="B1720" s="317"/>
      <c r="C1720" s="76" t="s">
        <v>442</v>
      </c>
      <c r="D1720" s="105" t="s">
        <v>1172</v>
      </c>
      <c r="E1720" s="207">
        <v>4</v>
      </c>
      <c r="F1720" s="190">
        <f>'BASIC DATA'!$C$552</f>
        <v>350</v>
      </c>
      <c r="G1720" s="190">
        <f t="shared" si="41"/>
        <v>1400</v>
      </c>
    </row>
    <row r="1721" spans="2:7">
      <c r="B1721" s="317"/>
      <c r="C1721" s="76" t="s">
        <v>5151</v>
      </c>
      <c r="D1721" s="105" t="s">
        <v>1172</v>
      </c>
      <c r="E1721" s="207">
        <v>3</v>
      </c>
      <c r="F1721" s="190">
        <f>'BASIC DATA'!$C$552</f>
        <v>350</v>
      </c>
      <c r="G1721" s="190">
        <f t="shared" si="41"/>
        <v>1050</v>
      </c>
    </row>
    <row r="1722" spans="2:7">
      <c r="B1722" s="317"/>
      <c r="C1722" s="76" t="s">
        <v>444</v>
      </c>
      <c r="D1722" s="105" t="s">
        <v>1172</v>
      </c>
      <c r="E1722" s="207">
        <f>F1687</f>
        <v>14.29</v>
      </c>
      <c r="F1722" s="190">
        <f>'BASIC DATA'!$C$552</f>
        <v>350</v>
      </c>
      <c r="G1722" s="190">
        <f t="shared" si="41"/>
        <v>5001.5</v>
      </c>
    </row>
    <row r="1723" spans="2:7">
      <c r="B1723" s="317"/>
      <c r="C1723" s="76" t="s">
        <v>445</v>
      </c>
      <c r="D1723" s="105" t="s">
        <v>1172</v>
      </c>
      <c r="E1723" s="207">
        <v>1</v>
      </c>
      <c r="F1723" s="190">
        <f>'BASIC DATA'!$C$552</f>
        <v>350</v>
      </c>
      <c r="G1723" s="190">
        <f t="shared" si="41"/>
        <v>350</v>
      </c>
    </row>
    <row r="1724" spans="2:7">
      <c r="B1724" s="92"/>
      <c r="C1724" s="193" t="s">
        <v>1174</v>
      </c>
      <c r="D1724" s="159"/>
      <c r="E1724" s="238"/>
      <c r="F1724" s="236" t="s">
        <v>1698</v>
      </c>
      <c r="G1724" s="318">
        <f>SUM(G1713:G1723)</f>
        <v>15625.25</v>
      </c>
    </row>
    <row r="1725" spans="2:7">
      <c r="B1725" s="60" t="s">
        <v>5948</v>
      </c>
      <c r="C1725" s="26"/>
      <c r="D1725" s="31"/>
      <c r="E1725" s="85">
        <f>ROUND(G1724/F1687,1)</f>
        <v>1093.4000000000001</v>
      </c>
    </row>
    <row r="1726" spans="2:7">
      <c r="B1726" s="60" t="s">
        <v>3163</v>
      </c>
      <c r="C1726" s="26"/>
      <c r="D1726" s="922">
        <f>'BASIC DATA'!$C$577</f>
        <v>0.13614999999999999</v>
      </c>
      <c r="E1726" s="85">
        <f>ROUND(E1725*D1726,1)</f>
        <v>148.9</v>
      </c>
    </row>
    <row r="1727" spans="2:7">
      <c r="B1727" s="60" t="s">
        <v>5949</v>
      </c>
      <c r="C1727" s="26"/>
      <c r="D1727" s="31"/>
      <c r="E1727" s="199">
        <f>ROUND(E1726+E1725,1)</f>
        <v>1242.3</v>
      </c>
      <c r="F1727" s="57"/>
    </row>
    <row r="1728" spans="2:7">
      <c r="B1728" s="26"/>
      <c r="C1728" s="26"/>
    </row>
    <row r="1729" spans="1:7">
      <c r="B1729" s="170" t="s">
        <v>1175</v>
      </c>
      <c r="C1729" s="26"/>
    </row>
    <row r="1730" spans="1:7">
      <c r="B1730" s="26" t="s">
        <v>1176</v>
      </c>
      <c r="C1730" s="26"/>
      <c r="F1730" s="171" t="s">
        <v>1698</v>
      </c>
      <c r="G1730" s="68">
        <f>G1697</f>
        <v>37426.939000000006</v>
      </c>
    </row>
    <row r="1731" spans="1:7">
      <c r="B1731" s="26" t="s">
        <v>1186</v>
      </c>
      <c r="C1731" s="26"/>
      <c r="F1731" s="171" t="s">
        <v>1698</v>
      </c>
      <c r="G1731" s="68">
        <f>G1708</f>
        <v>1318.3500000000001</v>
      </c>
    </row>
    <row r="1732" spans="1:7">
      <c r="B1732" s="26" t="s">
        <v>2660</v>
      </c>
      <c r="C1732" s="26"/>
      <c r="F1732" s="171" t="s">
        <v>1698</v>
      </c>
      <c r="G1732" s="173">
        <f>G1724</f>
        <v>15625.25</v>
      </c>
    </row>
    <row r="1733" spans="1:7">
      <c r="B1733" s="78"/>
      <c r="C1733" s="26"/>
      <c r="E1733" s="171"/>
      <c r="F1733" s="171" t="s">
        <v>302</v>
      </c>
      <c r="G1733" s="205">
        <f>SUM(G1730:G1732)</f>
        <v>54370.539000000004</v>
      </c>
    </row>
    <row r="1734" spans="1:7">
      <c r="B1734" s="1206" t="s">
        <v>1379</v>
      </c>
      <c r="C1734" s="1206"/>
      <c r="E1734" s="922">
        <f>'BASIC DATA'!$C$577</f>
        <v>0.13614999999999999</v>
      </c>
      <c r="F1734" s="26" t="s">
        <v>1698</v>
      </c>
      <c r="G1734" s="26">
        <f>ROUND(G1733*E1734,2)</f>
        <v>7402.55</v>
      </c>
    </row>
    <row r="1735" spans="1:7">
      <c r="B1735" s="26" t="s">
        <v>1191</v>
      </c>
      <c r="C1735" s="26"/>
      <c r="D1735" s="68">
        <f>F1687</f>
        <v>14.29</v>
      </c>
      <c r="E1735" s="68" t="str">
        <f>G1687</f>
        <v>cum</v>
      </c>
      <c r="F1735" s="26" t="s">
        <v>1698</v>
      </c>
      <c r="G1735" s="211">
        <f>G1734+G1733</f>
        <v>61773.089000000007</v>
      </c>
    </row>
    <row r="1736" spans="1:7">
      <c r="B1736" s="170" t="s">
        <v>1584</v>
      </c>
      <c r="C1736" s="211" t="str">
        <f>E1735</f>
        <v>cum</v>
      </c>
      <c r="D1736" s="26" t="s">
        <v>7788</v>
      </c>
      <c r="F1736" s="26" t="s">
        <v>4108</v>
      </c>
      <c r="G1736" s="211">
        <f>ROUND(G1735/D1735,1)</f>
        <v>4322.8</v>
      </c>
    </row>
    <row r="1737" spans="1:7">
      <c r="B1737" s="78"/>
      <c r="C1737" s="26"/>
    </row>
    <row r="1738" spans="1:7">
      <c r="B1738" s="78"/>
      <c r="C1738" s="26"/>
    </row>
    <row r="1739" spans="1:7" ht="18.75">
      <c r="A1739" s="865" t="s">
        <v>7555</v>
      </c>
      <c r="B1739" s="26" t="s">
        <v>8942</v>
      </c>
      <c r="C1739" s="26"/>
    </row>
    <row r="1740" spans="1:7" ht="18.75">
      <c r="A1740" s="865"/>
      <c r="B1740" s="26" t="s">
        <v>8943</v>
      </c>
      <c r="C1740" s="26"/>
    </row>
    <row r="1741" spans="1:7">
      <c r="A1741" s="865"/>
      <c r="B1741" s="26" t="s">
        <v>8944</v>
      </c>
      <c r="C1741" s="26"/>
    </row>
    <row r="1742" spans="1:7">
      <c r="A1742" s="865"/>
      <c r="B1742" s="26" t="s">
        <v>3535</v>
      </c>
      <c r="C1742" s="26"/>
    </row>
    <row r="1743" spans="1:7" ht="18.75">
      <c r="A1743" s="865"/>
      <c r="B1743" s="170" t="s">
        <v>8933</v>
      </c>
      <c r="C1743" s="26"/>
    </row>
    <row r="1744" spans="1:7">
      <c r="A1744" s="865" t="s">
        <v>1940</v>
      </c>
      <c r="B1744" s="170" t="s">
        <v>1351</v>
      </c>
      <c r="C1744" s="26"/>
    </row>
    <row r="1745" spans="1:7">
      <c r="A1745" s="865"/>
      <c r="B1745" s="170" t="s">
        <v>7775</v>
      </c>
      <c r="C1745" s="26"/>
    </row>
    <row r="1746" spans="1:7">
      <c r="A1746" s="855"/>
      <c r="B1746" s="248" t="s">
        <v>4522</v>
      </c>
      <c r="C1746" s="61"/>
      <c r="D1746" s="61"/>
      <c r="E1746" s="61"/>
      <c r="F1746" s="61"/>
      <c r="G1746" s="61"/>
    </row>
    <row r="1747" spans="1:7">
      <c r="A1747" s="865"/>
      <c r="B1747" s="26"/>
      <c r="C1747" s="26"/>
    </row>
    <row r="1748" spans="1:7" hidden="1">
      <c r="A1748" s="865" t="s">
        <v>3984</v>
      </c>
      <c r="B1748" s="26" t="s">
        <v>5780</v>
      </c>
      <c r="C1748" s="26"/>
    </row>
    <row r="1749" spans="1:7" hidden="1">
      <c r="A1749" s="865"/>
      <c r="B1749" s="26" t="s">
        <v>6964</v>
      </c>
      <c r="C1749" s="26"/>
    </row>
    <row r="1750" spans="1:7" hidden="1">
      <c r="A1750" s="865"/>
      <c r="B1750" s="26" t="s">
        <v>7789</v>
      </c>
      <c r="C1750" s="26"/>
    </row>
    <row r="1751" spans="1:7" hidden="1">
      <c r="A1751" s="865"/>
      <c r="B1751" s="26" t="s">
        <v>7777</v>
      </c>
      <c r="C1751" s="26"/>
      <c r="E1751" s="68">
        <f>ROUND(50*13*8/330,2)</f>
        <v>15.76</v>
      </c>
      <c r="F1751" s="26" t="s">
        <v>3760</v>
      </c>
    </row>
    <row r="1752" spans="1:7" hidden="1">
      <c r="A1752" s="865"/>
      <c r="B1752" s="26" t="s">
        <v>2843</v>
      </c>
      <c r="C1752" s="26"/>
    </row>
    <row r="1753" spans="1:7" hidden="1">
      <c r="A1753" s="865"/>
      <c r="B1753" s="26" t="s">
        <v>3658</v>
      </c>
      <c r="C1753" s="26"/>
    </row>
    <row r="1754" spans="1:7" hidden="1">
      <c r="A1754" s="865"/>
      <c r="B1754" s="26" t="s">
        <v>1980</v>
      </c>
      <c r="C1754" s="26"/>
      <c r="F1754" s="68">
        <f>G667</f>
        <v>224.56752690000002</v>
      </c>
      <c r="G1754" s="26" t="s">
        <v>1168</v>
      </c>
    </row>
    <row r="1755" spans="1:7" hidden="1">
      <c r="A1755" s="865"/>
      <c r="B1755" s="26" t="s">
        <v>8000</v>
      </c>
      <c r="C1755" s="26"/>
      <c r="F1755" s="68">
        <f>F1754*10%</f>
        <v>22.456752690000002</v>
      </c>
      <c r="G1755" s="26" t="s">
        <v>1168</v>
      </c>
    </row>
    <row r="1756" spans="1:7" hidden="1">
      <c r="A1756" s="865"/>
      <c r="B1756" s="26" t="s">
        <v>2394</v>
      </c>
      <c r="C1756" s="26"/>
      <c r="F1756" s="68">
        <f>SUM(F1754:F1755)</f>
        <v>247.02427959000002</v>
      </c>
      <c r="G1756" s="26" t="s">
        <v>1168</v>
      </c>
    </row>
    <row r="1757" spans="1:7" hidden="1">
      <c r="A1757" s="865"/>
      <c r="B1757" s="26" t="s">
        <v>1981</v>
      </c>
      <c r="C1757" s="26"/>
      <c r="F1757" s="68">
        <f>G693</f>
        <v>88.5</v>
      </c>
      <c r="G1757" s="26" t="s">
        <v>1168</v>
      </c>
    </row>
    <row r="1758" spans="1:7" hidden="1">
      <c r="A1758" s="865"/>
      <c r="B1758" s="26" t="s">
        <v>451</v>
      </c>
      <c r="C1758" s="26"/>
    </row>
    <row r="1759" spans="1:7" hidden="1">
      <c r="A1759" s="865"/>
      <c r="B1759" s="26" t="s">
        <v>1982</v>
      </c>
      <c r="C1759" s="26"/>
    </row>
    <row r="1760" spans="1:7">
      <c r="B1760" s="78"/>
      <c r="C1760" s="26"/>
    </row>
    <row r="1761" spans="1:7">
      <c r="A1761" s="865" t="s">
        <v>3984</v>
      </c>
      <c r="B1761" s="78"/>
      <c r="C1761" s="203" t="s">
        <v>2367</v>
      </c>
      <c r="E1761" s="171" t="s">
        <v>297</v>
      </c>
      <c r="F1761" s="246">
        <f>E1751</f>
        <v>15.76</v>
      </c>
      <c r="G1761" s="26" t="s">
        <v>3477</v>
      </c>
    </row>
    <row r="1762" spans="1:7">
      <c r="B1762" s="79" t="s">
        <v>2368</v>
      </c>
      <c r="C1762" s="26"/>
    </row>
    <row r="1763" spans="1:7">
      <c r="B1763" s="95" t="s">
        <v>2369</v>
      </c>
      <c r="C1763" s="157" t="s">
        <v>4443</v>
      </c>
      <c r="D1763" s="95" t="s">
        <v>2370</v>
      </c>
      <c r="E1763" s="95" t="s">
        <v>1166</v>
      </c>
      <c r="F1763" s="95" t="s">
        <v>2371</v>
      </c>
      <c r="G1763" s="95" t="s">
        <v>2372</v>
      </c>
    </row>
    <row r="1764" spans="1:7">
      <c r="B1764" s="114"/>
      <c r="C1764" s="154"/>
      <c r="D1764" s="114"/>
      <c r="E1764" s="114"/>
      <c r="F1764" s="114" t="s">
        <v>3485</v>
      </c>
      <c r="G1764" s="114" t="s">
        <v>3485</v>
      </c>
    </row>
    <row r="1765" spans="1:7">
      <c r="B1765" s="95">
        <v>1</v>
      </c>
      <c r="C1765" s="135" t="s">
        <v>1048</v>
      </c>
      <c r="D1765" s="95" t="s">
        <v>3478</v>
      </c>
      <c r="E1765" s="190">
        <f>330*F1761</f>
        <v>5200.8</v>
      </c>
      <c r="F1765" s="214">
        <f>'BASIC DATA'!$D$32/1000</f>
        <v>5.35</v>
      </c>
      <c r="G1765" s="190">
        <f>E1765*F1765</f>
        <v>27824.28</v>
      </c>
    </row>
    <row r="1766" spans="1:7">
      <c r="B1766" s="317"/>
      <c r="C1766" s="135" t="s">
        <v>1049</v>
      </c>
      <c r="D1766" s="105" t="s">
        <v>3478</v>
      </c>
      <c r="E1766" s="190">
        <f>5*F1761</f>
        <v>78.8</v>
      </c>
      <c r="F1766" s="214">
        <f>'BASIC DATA'!$D$32/1000</f>
        <v>5.35</v>
      </c>
      <c r="G1766" s="190">
        <f t="shared" ref="G1766:G1772" si="42">E1766*F1766</f>
        <v>421.58</v>
      </c>
    </row>
    <row r="1767" spans="1:7">
      <c r="B1767" s="105">
        <v>2</v>
      </c>
      <c r="C1767" s="135" t="s">
        <v>6995</v>
      </c>
      <c r="D1767" s="105" t="s">
        <v>3477</v>
      </c>
      <c r="E1767" s="190">
        <f>0.8*F1761*0.65</f>
        <v>8.1951999999999998</v>
      </c>
      <c r="F1767" s="214">
        <f>'BASIC DATA'!$D$35</f>
        <v>1225</v>
      </c>
      <c r="G1767" s="190">
        <f t="shared" si="42"/>
        <v>10039.119999999999</v>
      </c>
    </row>
    <row r="1768" spans="1:7">
      <c r="B1768" s="317"/>
      <c r="C1768" s="135" t="s">
        <v>1050</v>
      </c>
      <c r="D1768" s="105" t="s">
        <v>3477</v>
      </c>
      <c r="E1768" s="190">
        <f>0.8*F1761*0.35</f>
        <v>4.4127999999999998</v>
      </c>
      <c r="F1768" s="214">
        <f>'BASIC DATA'!$D$34</f>
        <v>900</v>
      </c>
      <c r="G1768" s="190">
        <f t="shared" si="42"/>
        <v>3971.52</v>
      </c>
    </row>
    <row r="1769" spans="1:7">
      <c r="A1769" s="853"/>
      <c r="B1769" s="240">
        <v>3</v>
      </c>
      <c r="C1769" s="326" t="s">
        <v>7941</v>
      </c>
      <c r="D1769" s="240" t="s">
        <v>3477</v>
      </c>
      <c r="E1769" s="255">
        <f>0.45*F1761</f>
        <v>7.0919999999999996</v>
      </c>
      <c r="F1769" s="266">
        <f>'BASIC DATA'!$D$55</f>
        <v>95</v>
      </c>
      <c r="G1769" s="255">
        <f t="shared" si="42"/>
        <v>673.74</v>
      </c>
    </row>
    <row r="1770" spans="1:7">
      <c r="B1770" s="105">
        <v>4</v>
      </c>
      <c r="C1770" s="135" t="s">
        <v>523</v>
      </c>
      <c r="D1770" s="105" t="s">
        <v>3478</v>
      </c>
      <c r="E1770" s="190">
        <f>E1765*0.4%</f>
        <v>20.8032</v>
      </c>
      <c r="F1770" s="214">
        <f>'BASIC DATA'!$D$99</f>
        <v>55</v>
      </c>
      <c r="G1770" s="190">
        <f t="shared" si="42"/>
        <v>1144.1759999999999</v>
      </c>
    </row>
    <row r="1771" spans="1:7">
      <c r="B1771" s="105">
        <v>5</v>
      </c>
      <c r="C1771" s="135" t="s">
        <v>6219</v>
      </c>
      <c r="D1771" s="105" t="s">
        <v>3479</v>
      </c>
      <c r="E1771" s="190">
        <f>F1761</f>
        <v>15.76</v>
      </c>
      <c r="F1771" s="214">
        <f>F1754</f>
        <v>224.56752690000002</v>
      </c>
      <c r="G1771" s="190">
        <f t="shared" si="42"/>
        <v>3539.1842239440002</v>
      </c>
    </row>
    <row r="1772" spans="1:7">
      <c r="B1772" s="114">
        <v>6</v>
      </c>
      <c r="C1772" s="139" t="s">
        <v>2373</v>
      </c>
      <c r="D1772" s="114" t="s">
        <v>2173</v>
      </c>
      <c r="E1772" s="182">
        <v>0.5</v>
      </c>
      <c r="F1772" s="215">
        <f>'BASIC DATA'!$D$359</f>
        <v>30</v>
      </c>
      <c r="G1772" s="182">
        <f t="shared" si="42"/>
        <v>15</v>
      </c>
    </row>
    <row r="1773" spans="1:7">
      <c r="B1773" s="92"/>
      <c r="C1773" s="193" t="s">
        <v>2376</v>
      </c>
      <c r="D1773" s="159"/>
      <c r="E1773" s="238"/>
      <c r="F1773" s="236" t="s">
        <v>1698</v>
      </c>
      <c r="G1773" s="318">
        <f>SUM(G1765:G1772)</f>
        <v>47628.600223943991</v>
      </c>
    </row>
    <row r="1774" spans="1:7">
      <c r="B1774" s="78"/>
      <c r="C1774" s="26"/>
    </row>
    <row r="1775" spans="1:7">
      <c r="B1775" s="79" t="s">
        <v>2377</v>
      </c>
      <c r="C1775" s="26"/>
    </row>
    <row r="1776" spans="1:7">
      <c r="B1776" s="95" t="s">
        <v>2369</v>
      </c>
      <c r="C1776" s="157" t="s">
        <v>2378</v>
      </c>
      <c r="D1776" s="95" t="s">
        <v>2370</v>
      </c>
      <c r="E1776" s="95" t="s">
        <v>1166</v>
      </c>
      <c r="F1776" s="95" t="s">
        <v>2371</v>
      </c>
      <c r="G1776" s="95" t="s">
        <v>2372</v>
      </c>
    </row>
    <row r="1777" spans="2:7">
      <c r="B1777" s="114"/>
      <c r="C1777" s="154"/>
      <c r="D1777" s="114"/>
      <c r="E1777" s="114"/>
      <c r="F1777" s="114" t="s">
        <v>3485</v>
      </c>
      <c r="G1777" s="114" t="s">
        <v>3485</v>
      </c>
    </row>
    <row r="1778" spans="2:7">
      <c r="B1778" s="95">
        <v>1</v>
      </c>
      <c r="C1778" s="153" t="s">
        <v>7214</v>
      </c>
      <c r="D1778" s="175" t="s">
        <v>2374</v>
      </c>
      <c r="E1778" s="179">
        <v>8</v>
      </c>
      <c r="F1778" s="190">
        <f>'HIRE CHARGES'!$D$507</f>
        <v>53.5</v>
      </c>
      <c r="G1778" s="190">
        <f t="shared" ref="G1778:G1783" si="43">E1778*F1778</f>
        <v>428</v>
      </c>
    </row>
    <row r="1779" spans="2:7">
      <c r="B1779" s="317"/>
      <c r="C1779" s="152" t="s">
        <v>2379</v>
      </c>
      <c r="D1779" s="33" t="s">
        <v>2374</v>
      </c>
      <c r="E1779" s="190">
        <v>8</v>
      </c>
      <c r="F1779" s="190">
        <f>'HIRE CHARGES'!$E$507</f>
        <v>79.3</v>
      </c>
      <c r="G1779" s="190">
        <f t="shared" si="43"/>
        <v>634.4</v>
      </c>
    </row>
    <row r="1780" spans="2:7">
      <c r="B1780" s="105">
        <v>2</v>
      </c>
      <c r="C1780" s="135" t="s">
        <v>189</v>
      </c>
      <c r="D1780" s="105" t="s">
        <v>2374</v>
      </c>
      <c r="E1780" s="207">
        <v>0.5</v>
      </c>
      <c r="F1780" s="190">
        <f>'HIRE CHARGES'!$D$517</f>
        <v>10.199999999999999</v>
      </c>
      <c r="G1780" s="190">
        <f t="shared" si="43"/>
        <v>5.0999999999999996</v>
      </c>
    </row>
    <row r="1781" spans="2:7">
      <c r="B1781" s="317"/>
      <c r="C1781" s="135" t="s">
        <v>2379</v>
      </c>
      <c r="D1781" s="105" t="s">
        <v>2374</v>
      </c>
      <c r="E1781" s="207">
        <v>0.5</v>
      </c>
      <c r="F1781" s="190">
        <f>'HIRE CHARGES'!$E$517</f>
        <v>79.3</v>
      </c>
      <c r="G1781" s="190">
        <f t="shared" si="43"/>
        <v>39.65</v>
      </c>
    </row>
    <row r="1782" spans="2:7">
      <c r="B1782" s="105">
        <v>3</v>
      </c>
      <c r="C1782" s="135" t="s">
        <v>526</v>
      </c>
      <c r="D1782" s="105" t="s">
        <v>2374</v>
      </c>
      <c r="E1782" s="207">
        <v>8</v>
      </c>
      <c r="F1782" s="190">
        <f>'HIRE CHARGES'!$D$531</f>
        <v>7.6</v>
      </c>
      <c r="G1782" s="190">
        <f t="shared" si="43"/>
        <v>60.8</v>
      </c>
    </row>
    <row r="1783" spans="2:7">
      <c r="B1783" s="365"/>
      <c r="C1783" s="139" t="s">
        <v>2379</v>
      </c>
      <c r="D1783" s="114" t="s">
        <v>2374</v>
      </c>
      <c r="E1783" s="181">
        <v>8</v>
      </c>
      <c r="F1783" s="207">
        <f>'HIRE CHARGES'!$E$531</f>
        <v>18.8</v>
      </c>
      <c r="G1783" s="190">
        <f t="shared" si="43"/>
        <v>150.4</v>
      </c>
    </row>
    <row r="1784" spans="2:7">
      <c r="B1784" s="176"/>
      <c r="C1784" s="172" t="s">
        <v>2380</v>
      </c>
      <c r="D1784" s="174"/>
      <c r="E1784" s="192"/>
      <c r="F1784" s="236" t="s">
        <v>1698</v>
      </c>
      <c r="G1784" s="318">
        <f>SUM(G1778:G1783)</f>
        <v>1318.3500000000001</v>
      </c>
    </row>
    <row r="1785" spans="2:7">
      <c r="B1785" s="78"/>
      <c r="C1785" s="26"/>
    </row>
    <row r="1786" spans="2:7">
      <c r="B1786" s="79" t="s">
        <v>2381</v>
      </c>
      <c r="C1786" s="26"/>
    </row>
    <row r="1787" spans="2:7">
      <c r="B1787" s="95" t="s">
        <v>2369</v>
      </c>
      <c r="C1787" s="157" t="s">
        <v>2378</v>
      </c>
      <c r="D1787" s="95" t="s">
        <v>2370</v>
      </c>
      <c r="E1787" s="95" t="s">
        <v>1166</v>
      </c>
      <c r="F1787" s="95" t="s">
        <v>2371</v>
      </c>
      <c r="G1787" s="95" t="s">
        <v>2372</v>
      </c>
    </row>
    <row r="1788" spans="2:7">
      <c r="B1788" s="114"/>
      <c r="C1788" s="154"/>
      <c r="D1788" s="114"/>
      <c r="E1788" s="114"/>
      <c r="F1788" s="114" t="s">
        <v>3485</v>
      </c>
      <c r="G1788" s="114" t="s">
        <v>3485</v>
      </c>
    </row>
    <row r="1789" spans="2:7">
      <c r="B1789" s="105">
        <v>1</v>
      </c>
      <c r="C1789" s="76" t="s">
        <v>527</v>
      </c>
      <c r="D1789" s="95" t="s">
        <v>2374</v>
      </c>
      <c r="E1789" s="179">
        <v>8</v>
      </c>
      <c r="F1789" s="179">
        <f>'HIRE CHARGES'!$F$507</f>
        <v>219.7</v>
      </c>
      <c r="G1789" s="190">
        <f>E1789*F1789</f>
        <v>1757.6</v>
      </c>
    </row>
    <row r="1790" spans="2:7">
      <c r="B1790" s="105">
        <v>2</v>
      </c>
      <c r="C1790" s="76" t="s">
        <v>999</v>
      </c>
      <c r="D1790" s="105" t="s">
        <v>2374</v>
      </c>
      <c r="E1790" s="190">
        <v>0.5</v>
      </c>
      <c r="F1790" s="190">
        <f>'HIRE CHARGES'!$F$517</f>
        <v>111.1</v>
      </c>
      <c r="G1790" s="190">
        <f t="shared" ref="G1790:G1800" si="44">E1790*F1790</f>
        <v>55.55</v>
      </c>
    </row>
    <row r="1791" spans="2:7">
      <c r="B1791" s="105">
        <v>3</v>
      </c>
      <c r="C1791" s="76" t="s">
        <v>439</v>
      </c>
      <c r="D1791" s="105" t="s">
        <v>2374</v>
      </c>
      <c r="E1791" s="190">
        <v>8</v>
      </c>
      <c r="F1791" s="190">
        <f>'HIRE CHARGES'!$F$531</f>
        <v>158.19999999999999</v>
      </c>
      <c r="G1791" s="190">
        <f t="shared" si="44"/>
        <v>1265.5999999999999</v>
      </c>
    </row>
    <row r="1792" spans="2:7">
      <c r="B1792" s="105">
        <v>4</v>
      </c>
      <c r="C1792" s="76" t="s">
        <v>440</v>
      </c>
      <c r="D1792" s="105" t="s">
        <v>1172</v>
      </c>
      <c r="E1792" s="190">
        <v>1</v>
      </c>
      <c r="F1792" s="190">
        <f>'BASIC DATA'!$C$474</f>
        <v>445</v>
      </c>
      <c r="G1792" s="190">
        <f t="shared" si="44"/>
        <v>445</v>
      </c>
    </row>
    <row r="1793" spans="2:7">
      <c r="B1793" s="105">
        <v>5</v>
      </c>
      <c r="C1793" s="76" t="s">
        <v>4206</v>
      </c>
      <c r="D1793" s="105" t="s">
        <v>1172</v>
      </c>
      <c r="E1793" s="190">
        <v>1</v>
      </c>
      <c r="F1793" s="190">
        <f>'BASIC DATA'!$C$473</f>
        <v>450</v>
      </c>
      <c r="G1793" s="190">
        <f t="shared" si="44"/>
        <v>450</v>
      </c>
    </row>
    <row r="1794" spans="2:7">
      <c r="B1794" s="105">
        <v>6</v>
      </c>
      <c r="C1794" s="76" t="s">
        <v>2697</v>
      </c>
      <c r="D1794" s="105"/>
      <c r="E1794" s="190"/>
      <c r="F1794" s="190"/>
      <c r="G1794" s="190"/>
    </row>
    <row r="1795" spans="2:7">
      <c r="B1795" s="317"/>
      <c r="C1795" s="76" t="s">
        <v>441</v>
      </c>
      <c r="D1795" s="105" t="s">
        <v>1172</v>
      </c>
      <c r="E1795" s="190">
        <v>11</v>
      </c>
      <c r="F1795" s="190">
        <f>'BASIC DATA'!$C$552</f>
        <v>350</v>
      </c>
      <c r="G1795" s="190">
        <f t="shared" si="44"/>
        <v>3850</v>
      </c>
    </row>
    <row r="1796" spans="2:7">
      <c r="B1796" s="317"/>
      <c r="C1796" s="76" t="s">
        <v>442</v>
      </c>
      <c r="D1796" s="105" t="s">
        <v>1172</v>
      </c>
      <c r="E1796" s="190">
        <v>4</v>
      </c>
      <c r="F1796" s="190">
        <f>'BASIC DATA'!$C$552</f>
        <v>350</v>
      </c>
      <c r="G1796" s="190">
        <f t="shared" si="44"/>
        <v>1400</v>
      </c>
    </row>
    <row r="1797" spans="2:7">
      <c r="B1797" s="317"/>
      <c r="C1797" s="76" t="s">
        <v>5151</v>
      </c>
      <c r="D1797" s="105" t="s">
        <v>1172</v>
      </c>
      <c r="E1797" s="190">
        <v>3</v>
      </c>
      <c r="F1797" s="190">
        <f>'BASIC DATA'!$C$552</f>
        <v>350</v>
      </c>
      <c r="G1797" s="190">
        <f t="shared" si="44"/>
        <v>1050</v>
      </c>
    </row>
    <row r="1798" spans="2:7">
      <c r="B1798" s="317"/>
      <c r="C1798" s="76" t="s">
        <v>444</v>
      </c>
      <c r="D1798" s="105" t="s">
        <v>1172</v>
      </c>
      <c r="E1798" s="190">
        <f>F1761</f>
        <v>15.76</v>
      </c>
      <c r="F1798" s="190">
        <f>'BASIC DATA'!$C$552</f>
        <v>350</v>
      </c>
      <c r="G1798" s="190">
        <f t="shared" si="44"/>
        <v>5516</v>
      </c>
    </row>
    <row r="1799" spans="2:7">
      <c r="B1799" s="317"/>
      <c r="C1799" s="76" t="s">
        <v>445</v>
      </c>
      <c r="D1799" s="105" t="s">
        <v>1172</v>
      </c>
      <c r="E1799" s="190">
        <v>1</v>
      </c>
      <c r="F1799" s="190">
        <f>'BASIC DATA'!$C$552</f>
        <v>350</v>
      </c>
      <c r="G1799" s="190">
        <f t="shared" si="44"/>
        <v>350</v>
      </c>
    </row>
    <row r="1800" spans="2:7">
      <c r="B1800" s="93">
        <v>7</v>
      </c>
      <c r="C1800" s="76" t="s">
        <v>7215</v>
      </c>
      <c r="D1800" s="114" t="s">
        <v>3479</v>
      </c>
      <c r="E1800" s="182">
        <f>F1761</f>
        <v>15.76</v>
      </c>
      <c r="F1800" s="182">
        <f>F1757</f>
        <v>88.5</v>
      </c>
      <c r="G1800" s="190">
        <f t="shared" si="44"/>
        <v>1394.76</v>
      </c>
    </row>
    <row r="1801" spans="2:7">
      <c r="B1801" s="92"/>
      <c r="C1801" s="193" t="s">
        <v>1174</v>
      </c>
      <c r="D1801" s="159"/>
      <c r="E1801" s="238"/>
      <c r="F1801" s="236" t="s">
        <v>1698</v>
      </c>
      <c r="G1801" s="318">
        <f>SUM(G1789:G1800)</f>
        <v>17534.509999999998</v>
      </c>
    </row>
    <row r="1802" spans="2:7">
      <c r="B1802" s="60" t="s">
        <v>5948</v>
      </c>
      <c r="C1802" s="31"/>
      <c r="D1802" s="31"/>
      <c r="E1802" s="85">
        <f>ROUND(G1801/F1761,1)</f>
        <v>1112.5999999999999</v>
      </c>
    </row>
    <row r="1803" spans="2:7">
      <c r="B1803" s="60" t="s">
        <v>3163</v>
      </c>
      <c r="C1803" s="31"/>
      <c r="D1803" s="922">
        <f>'BASIC DATA'!$C$577</f>
        <v>0.13614999999999999</v>
      </c>
      <c r="E1803" s="85">
        <f>ROUND(E1802*D1803,1)</f>
        <v>151.5</v>
      </c>
    </row>
    <row r="1804" spans="2:7">
      <c r="B1804" s="60" t="s">
        <v>5949</v>
      </c>
      <c r="C1804" s="31"/>
      <c r="D1804" s="31"/>
      <c r="E1804" s="199">
        <f>ROUND(E1803+E1802,1)</f>
        <v>1264.0999999999999</v>
      </c>
      <c r="F1804" s="57"/>
    </row>
    <row r="1805" spans="2:7">
      <c r="B1805" s="78"/>
      <c r="C1805" s="26"/>
    </row>
    <row r="1806" spans="2:7">
      <c r="B1806" s="170" t="s">
        <v>1175</v>
      </c>
      <c r="C1806" s="26"/>
    </row>
    <row r="1807" spans="2:7">
      <c r="B1807" s="26" t="s">
        <v>1176</v>
      </c>
      <c r="C1807" s="26"/>
      <c r="F1807" s="171" t="s">
        <v>1698</v>
      </c>
      <c r="G1807" s="68">
        <f>G1773</f>
        <v>47628.600223943991</v>
      </c>
    </row>
    <row r="1808" spans="2:7">
      <c r="B1808" s="26" t="s">
        <v>1186</v>
      </c>
      <c r="C1808" s="26"/>
      <c r="F1808" s="171" t="s">
        <v>1698</v>
      </c>
      <c r="G1808" s="68">
        <f>G1784</f>
        <v>1318.3500000000001</v>
      </c>
    </row>
    <row r="1809" spans="1:7">
      <c r="B1809" s="26" t="s">
        <v>2660</v>
      </c>
      <c r="C1809" s="26"/>
      <c r="F1809" s="171" t="s">
        <v>1698</v>
      </c>
      <c r="G1809" s="75">
        <f>G1801</f>
        <v>17534.509999999998</v>
      </c>
    </row>
    <row r="1810" spans="1:7">
      <c r="B1810" s="78"/>
      <c r="C1810" s="26"/>
      <c r="E1810" s="171"/>
      <c r="F1810" s="171" t="s">
        <v>302</v>
      </c>
      <c r="G1810" s="205">
        <f>SUM(G1807:G1809)</f>
        <v>66481.460223943985</v>
      </c>
    </row>
    <row r="1811" spans="1:7">
      <c r="B1811" s="1206" t="s">
        <v>1379</v>
      </c>
      <c r="C1811" s="1206"/>
      <c r="E1811" s="922">
        <f>'BASIC DATA'!$C$577</f>
        <v>0.13614999999999999</v>
      </c>
      <c r="F1811" s="26" t="s">
        <v>1698</v>
      </c>
      <c r="G1811" s="26">
        <f>ROUND(G1810*E1811,2)</f>
        <v>9051.4500000000007</v>
      </c>
    </row>
    <row r="1812" spans="1:7">
      <c r="B1812" s="26" t="s">
        <v>1191</v>
      </c>
      <c r="C1812" s="26"/>
      <c r="D1812" s="68">
        <f>F1761</f>
        <v>15.76</v>
      </c>
      <c r="E1812" s="68" t="str">
        <f>G1761</f>
        <v>cum</v>
      </c>
      <c r="F1812" s="26" t="s">
        <v>1698</v>
      </c>
      <c r="G1812" s="211">
        <f>G1811+G1810</f>
        <v>75532.910223943982</v>
      </c>
    </row>
    <row r="1813" spans="1:7">
      <c r="B1813" s="170" t="s">
        <v>1584</v>
      </c>
      <c r="C1813" s="211" t="str">
        <f>E1812</f>
        <v>cum</v>
      </c>
      <c r="D1813" s="26" t="s">
        <v>7778</v>
      </c>
      <c r="F1813" s="26" t="s">
        <v>4108</v>
      </c>
      <c r="G1813" s="211">
        <f>ROUND(G1812/D1812,1)</f>
        <v>4792.7</v>
      </c>
    </row>
    <row r="1814" spans="1:7">
      <c r="B1814" s="78"/>
      <c r="C1814" s="26"/>
    </row>
    <row r="1815" spans="1:7">
      <c r="B1815" s="78"/>
      <c r="C1815" s="26"/>
    </row>
    <row r="1816" spans="1:7" ht="18.75">
      <c r="A1816" s="865" t="s">
        <v>7556</v>
      </c>
      <c r="B1816" s="26" t="s">
        <v>8793</v>
      </c>
      <c r="C1816" s="26"/>
    </row>
    <row r="1817" spans="1:7" ht="18.75">
      <c r="A1817" s="865"/>
      <c r="B1817" s="26" t="s">
        <v>8916</v>
      </c>
      <c r="C1817" s="26"/>
    </row>
    <row r="1818" spans="1:7">
      <c r="A1818" s="865"/>
      <c r="B1818" s="26" t="s">
        <v>8945</v>
      </c>
      <c r="C1818" s="26"/>
    </row>
    <row r="1819" spans="1:7">
      <c r="A1819" s="865"/>
      <c r="B1819" s="26" t="s">
        <v>355</v>
      </c>
      <c r="C1819" s="26"/>
    </row>
    <row r="1820" spans="1:7">
      <c r="A1820" s="865"/>
      <c r="B1820" s="26" t="s">
        <v>8946</v>
      </c>
      <c r="C1820" s="26"/>
    </row>
    <row r="1821" spans="1:7">
      <c r="A1821" s="865" t="s">
        <v>1940</v>
      </c>
      <c r="B1821" s="170" t="s">
        <v>1351</v>
      </c>
      <c r="C1821" s="26"/>
    </row>
    <row r="1822" spans="1:7">
      <c r="A1822" s="865"/>
      <c r="B1822" s="170" t="s">
        <v>7820</v>
      </c>
      <c r="C1822" s="26"/>
    </row>
    <row r="1823" spans="1:7">
      <c r="A1823" s="855"/>
      <c r="B1823" s="248" t="s">
        <v>4220</v>
      </c>
      <c r="C1823" s="61"/>
      <c r="D1823" s="61"/>
      <c r="E1823" s="61"/>
      <c r="F1823" s="61"/>
      <c r="G1823" s="61"/>
    </row>
    <row r="1824" spans="1:7">
      <c r="A1824" s="865"/>
      <c r="B1824" s="26"/>
      <c r="C1824" s="26"/>
    </row>
    <row r="1825" spans="1:7" hidden="1">
      <c r="A1825" s="865" t="s">
        <v>3984</v>
      </c>
      <c r="B1825" s="26" t="s">
        <v>5780</v>
      </c>
      <c r="C1825" s="26"/>
    </row>
    <row r="1826" spans="1:7" hidden="1">
      <c r="A1826" s="865"/>
      <c r="B1826" s="26" t="s">
        <v>356</v>
      </c>
      <c r="C1826" s="26"/>
    </row>
    <row r="1827" spans="1:7" hidden="1">
      <c r="A1827" s="865"/>
      <c r="B1827" s="26" t="s">
        <v>7827</v>
      </c>
      <c r="C1827" s="26"/>
    </row>
    <row r="1828" spans="1:7" hidden="1">
      <c r="A1828" s="865"/>
      <c r="B1828" s="26" t="s">
        <v>7828</v>
      </c>
      <c r="C1828" s="26"/>
      <c r="D1828" s="26">
        <f>ROUND(100*4.5*8/250,2)</f>
        <v>14.4</v>
      </c>
      <c r="E1828" s="26" t="s">
        <v>3760</v>
      </c>
    </row>
    <row r="1829" spans="1:7" hidden="1">
      <c r="A1829" s="865"/>
      <c r="B1829" s="26" t="s">
        <v>2843</v>
      </c>
      <c r="C1829" s="26"/>
    </row>
    <row r="1830" spans="1:7" hidden="1">
      <c r="A1830" s="865"/>
      <c r="B1830" s="26" t="s">
        <v>357</v>
      </c>
      <c r="C1830" s="26"/>
    </row>
    <row r="1831" spans="1:7" hidden="1">
      <c r="A1831" s="865"/>
      <c r="B1831" s="26" t="s">
        <v>1983</v>
      </c>
      <c r="C1831" s="26"/>
      <c r="F1831" s="68">
        <f>G667</f>
        <v>224.56752690000002</v>
      </c>
      <c r="G1831" s="26" t="s">
        <v>1168</v>
      </c>
    </row>
    <row r="1832" spans="1:7" hidden="1">
      <c r="A1832" s="865"/>
      <c r="B1832" s="26" t="s">
        <v>8001</v>
      </c>
      <c r="C1832" s="26"/>
      <c r="F1832" s="68">
        <f>F1831*5%</f>
        <v>11.228376345000001</v>
      </c>
      <c r="G1832" s="26" t="s">
        <v>1168</v>
      </c>
    </row>
    <row r="1833" spans="1:7" hidden="1">
      <c r="A1833" s="865"/>
      <c r="B1833" s="26" t="s">
        <v>1871</v>
      </c>
      <c r="C1833" s="26"/>
      <c r="F1833" s="68">
        <f>SUM(F1831:F1832)</f>
        <v>235.79590324500003</v>
      </c>
      <c r="G1833" s="26" t="s">
        <v>1168</v>
      </c>
    </row>
    <row r="1834" spans="1:7" hidden="1">
      <c r="A1834" s="865"/>
      <c r="B1834" s="26" t="s">
        <v>358</v>
      </c>
      <c r="C1834" s="26"/>
    </row>
    <row r="1835" spans="1:7" hidden="1">
      <c r="A1835" s="865"/>
      <c r="B1835" s="26" t="s">
        <v>953</v>
      </c>
      <c r="C1835" s="26"/>
      <c r="F1835" s="68">
        <f>G693</f>
        <v>88.5</v>
      </c>
      <c r="G1835" s="26" t="s">
        <v>1168</v>
      </c>
    </row>
    <row r="1836" spans="1:7" hidden="1">
      <c r="A1836" s="865"/>
      <c r="B1836" s="26" t="s">
        <v>2920</v>
      </c>
      <c r="C1836" s="26"/>
    </row>
    <row r="1837" spans="1:7" hidden="1">
      <c r="A1837" s="865"/>
      <c r="B1837" s="26" t="s">
        <v>451</v>
      </c>
      <c r="C1837" s="26"/>
    </row>
    <row r="1838" spans="1:7" hidden="1">
      <c r="A1838" s="855"/>
      <c r="B1838" s="61" t="s">
        <v>1984</v>
      </c>
      <c r="C1838" s="61"/>
      <c r="D1838" s="61"/>
      <c r="E1838" s="61"/>
      <c r="F1838" s="61"/>
      <c r="G1838" s="61"/>
    </row>
    <row r="1839" spans="1:7" hidden="1">
      <c r="A1839" s="855"/>
      <c r="B1839" s="61" t="s">
        <v>3079</v>
      </c>
      <c r="C1839" s="61"/>
      <c r="D1839" s="61"/>
      <c r="E1839" s="61"/>
      <c r="F1839" s="61"/>
      <c r="G1839" s="61"/>
    </row>
    <row r="1840" spans="1:7" hidden="1">
      <c r="B1840" s="78"/>
      <c r="C1840" s="26"/>
    </row>
    <row r="1841" spans="1:7">
      <c r="B1841" s="78"/>
      <c r="C1841" s="26"/>
    </row>
    <row r="1842" spans="1:7">
      <c r="A1842" s="865" t="s">
        <v>3984</v>
      </c>
      <c r="B1842" s="78"/>
      <c r="C1842" s="203" t="s">
        <v>2367</v>
      </c>
      <c r="E1842" s="171" t="s">
        <v>297</v>
      </c>
      <c r="F1842" s="246">
        <f>D1828</f>
        <v>14.4</v>
      </c>
      <c r="G1842" s="26" t="s">
        <v>3477</v>
      </c>
    </row>
    <row r="1843" spans="1:7">
      <c r="B1843" s="79" t="s">
        <v>2368</v>
      </c>
      <c r="C1843" s="26"/>
    </row>
    <row r="1844" spans="1:7">
      <c r="B1844" s="95" t="s">
        <v>2369</v>
      </c>
      <c r="C1844" s="157" t="s">
        <v>4443</v>
      </c>
      <c r="D1844" s="95" t="s">
        <v>2370</v>
      </c>
      <c r="E1844" s="95" t="s">
        <v>1166</v>
      </c>
      <c r="F1844" s="95" t="s">
        <v>2371</v>
      </c>
      <c r="G1844" s="95" t="s">
        <v>2372</v>
      </c>
    </row>
    <row r="1845" spans="1:7">
      <c r="B1845" s="114"/>
      <c r="C1845" s="154"/>
      <c r="D1845" s="114"/>
      <c r="E1845" s="114"/>
      <c r="F1845" s="114" t="s">
        <v>3485</v>
      </c>
      <c r="G1845" s="114" t="s">
        <v>3485</v>
      </c>
    </row>
    <row r="1846" spans="1:7">
      <c r="B1846" s="95">
        <v>1</v>
      </c>
      <c r="C1846" s="135" t="s">
        <v>1048</v>
      </c>
      <c r="D1846" s="95" t="s">
        <v>3478</v>
      </c>
      <c r="E1846" s="190">
        <f>250*F1842</f>
        <v>3600</v>
      </c>
      <c r="F1846" s="214">
        <f>'BASIC DATA'!$D$32/1000</f>
        <v>5.35</v>
      </c>
      <c r="G1846" s="190">
        <f>E1846*F1846</f>
        <v>19260</v>
      </c>
    </row>
    <row r="1847" spans="1:7">
      <c r="B1847" s="317"/>
      <c r="C1847" s="135" t="s">
        <v>1049</v>
      </c>
      <c r="D1847" s="105" t="s">
        <v>3478</v>
      </c>
      <c r="E1847" s="190">
        <f>F1842*5</f>
        <v>72</v>
      </c>
      <c r="F1847" s="214">
        <f>'BASIC DATA'!$D$32/1000</f>
        <v>5.35</v>
      </c>
      <c r="G1847" s="190">
        <f t="shared" ref="G1847:G1854" si="45">E1847*F1847</f>
        <v>385.2</v>
      </c>
    </row>
    <row r="1848" spans="1:7">
      <c r="B1848" s="105">
        <v>2</v>
      </c>
      <c r="C1848" s="135" t="s">
        <v>6997</v>
      </c>
      <c r="D1848" s="105" t="s">
        <v>3477</v>
      </c>
      <c r="E1848" s="190">
        <f>0.98*F1842*0.35</f>
        <v>4.9391999999999996</v>
      </c>
      <c r="F1848" s="214">
        <f>'BASIC DATA'!$D$37</f>
        <v>650</v>
      </c>
      <c r="G1848" s="190">
        <f t="shared" si="45"/>
        <v>3210.4799999999996</v>
      </c>
    </row>
    <row r="1849" spans="1:7">
      <c r="B1849" s="317"/>
      <c r="C1849" s="135" t="s">
        <v>6996</v>
      </c>
      <c r="D1849" s="105" t="s">
        <v>3477</v>
      </c>
      <c r="E1849" s="190">
        <f>0.98*F1842*0.3</f>
        <v>4.2336</v>
      </c>
      <c r="F1849" s="214">
        <f>'BASIC DATA'!$D$36</f>
        <v>1175</v>
      </c>
      <c r="G1849" s="190">
        <f t="shared" si="45"/>
        <v>4974.4800000000005</v>
      </c>
    </row>
    <row r="1850" spans="1:7">
      <c r="B1850" s="317"/>
      <c r="C1850" s="135" t="s">
        <v>6995</v>
      </c>
      <c r="D1850" s="105" t="s">
        <v>3477</v>
      </c>
      <c r="E1850" s="190">
        <f>0.98*F1842*0.2</f>
        <v>2.8224</v>
      </c>
      <c r="F1850" s="214">
        <f>'BASIC DATA'!$D$35</f>
        <v>1225</v>
      </c>
      <c r="G1850" s="190">
        <f t="shared" si="45"/>
        <v>3457.44</v>
      </c>
    </row>
    <row r="1851" spans="1:7">
      <c r="B1851" s="317"/>
      <c r="C1851" s="135" t="s">
        <v>1050</v>
      </c>
      <c r="D1851" s="105" t="s">
        <v>3477</v>
      </c>
      <c r="E1851" s="190">
        <f>0.98*F1842*0.15</f>
        <v>2.1168</v>
      </c>
      <c r="F1851" s="214">
        <f>'BASIC DATA'!$D$34</f>
        <v>900</v>
      </c>
      <c r="G1851" s="190">
        <f t="shared" si="45"/>
        <v>1905.1200000000001</v>
      </c>
    </row>
    <row r="1852" spans="1:7">
      <c r="A1852" s="853"/>
      <c r="B1852" s="240">
        <v>3</v>
      </c>
      <c r="C1852" s="326" t="s">
        <v>7941</v>
      </c>
      <c r="D1852" s="240" t="s">
        <v>3477</v>
      </c>
      <c r="E1852" s="255">
        <f>0.35*F1842</f>
        <v>5.04</v>
      </c>
      <c r="F1852" s="266">
        <f>'BASIC DATA'!$D$55</f>
        <v>95</v>
      </c>
      <c r="G1852" s="255">
        <f t="shared" si="45"/>
        <v>478.8</v>
      </c>
    </row>
    <row r="1853" spans="1:7">
      <c r="B1853" s="105">
        <v>4</v>
      </c>
      <c r="C1853" s="135" t="s">
        <v>523</v>
      </c>
      <c r="D1853" s="105" t="s">
        <v>3478</v>
      </c>
      <c r="E1853" s="190">
        <f>E1846*0.4%</f>
        <v>14.4</v>
      </c>
      <c r="F1853" s="214">
        <f>'BASIC DATA'!$D$99</f>
        <v>55</v>
      </c>
      <c r="G1853" s="190">
        <f t="shared" si="45"/>
        <v>792</v>
      </c>
    </row>
    <row r="1854" spans="1:7">
      <c r="B1854" s="105">
        <v>5</v>
      </c>
      <c r="C1854" s="135" t="s">
        <v>7213</v>
      </c>
      <c r="D1854" s="105" t="s">
        <v>3479</v>
      </c>
      <c r="E1854" s="190">
        <f>2.75*F1842</f>
        <v>39.6</v>
      </c>
      <c r="F1854" s="214">
        <f>F1833</f>
        <v>235.79590324500003</v>
      </c>
      <c r="G1854" s="190">
        <f t="shared" si="45"/>
        <v>9337.5177685020008</v>
      </c>
    </row>
    <row r="1855" spans="1:7">
      <c r="B1855" s="114">
        <v>6</v>
      </c>
      <c r="C1855" s="139" t="s">
        <v>6403</v>
      </c>
      <c r="D1855" s="681">
        <v>0.3</v>
      </c>
      <c r="E1855" s="182"/>
      <c r="F1855" s="215"/>
      <c r="G1855" s="182">
        <f>G1854*D1855</f>
        <v>2801.2553305506003</v>
      </c>
    </row>
    <row r="1856" spans="1:7">
      <c r="B1856" s="92"/>
      <c r="C1856" s="193" t="s">
        <v>2376</v>
      </c>
      <c r="D1856" s="159"/>
      <c r="E1856" s="238"/>
      <c r="F1856" s="236" t="s">
        <v>1698</v>
      </c>
      <c r="G1856" s="318">
        <f>SUM(G1846:G1855)</f>
        <v>46602.293099052607</v>
      </c>
    </row>
    <row r="1857" spans="2:7">
      <c r="B1857" s="78"/>
      <c r="C1857" s="26"/>
    </row>
    <row r="1858" spans="2:7">
      <c r="B1858" s="79" t="s">
        <v>2377</v>
      </c>
      <c r="C1858" s="26"/>
    </row>
    <row r="1859" spans="2:7">
      <c r="B1859" s="95" t="s">
        <v>2369</v>
      </c>
      <c r="C1859" s="157" t="s">
        <v>2378</v>
      </c>
      <c r="D1859" s="95" t="s">
        <v>2370</v>
      </c>
      <c r="E1859" s="95" t="s">
        <v>1166</v>
      </c>
      <c r="F1859" s="95" t="s">
        <v>2371</v>
      </c>
      <c r="G1859" s="95" t="s">
        <v>2372</v>
      </c>
    </row>
    <row r="1860" spans="2:7">
      <c r="B1860" s="114"/>
      <c r="C1860" s="154"/>
      <c r="D1860" s="114"/>
      <c r="E1860" s="114"/>
      <c r="F1860" s="114" t="s">
        <v>3485</v>
      </c>
      <c r="G1860" s="114" t="s">
        <v>3485</v>
      </c>
    </row>
    <row r="1861" spans="2:7">
      <c r="B1861" s="95">
        <v>1</v>
      </c>
      <c r="C1861" s="153" t="s">
        <v>525</v>
      </c>
      <c r="D1861" s="175" t="s">
        <v>2374</v>
      </c>
      <c r="E1861" s="179">
        <v>8</v>
      </c>
      <c r="F1861" s="190">
        <f>'HIRE CHARGES'!$D$509</f>
        <v>92.7</v>
      </c>
      <c r="G1861" s="190">
        <f t="shared" ref="G1861:G1866" si="46">F1861*E1861</f>
        <v>741.6</v>
      </c>
    </row>
    <row r="1862" spans="2:7">
      <c r="B1862" s="317"/>
      <c r="C1862" s="152" t="s">
        <v>2379</v>
      </c>
      <c r="D1862" s="33" t="s">
        <v>2374</v>
      </c>
      <c r="E1862" s="190">
        <v>8</v>
      </c>
      <c r="F1862" s="190">
        <f>'HIRE CHARGES'!$E$509</f>
        <v>158.69999999999999</v>
      </c>
      <c r="G1862" s="190">
        <f t="shared" si="46"/>
        <v>1269.5999999999999</v>
      </c>
    </row>
    <row r="1863" spans="2:7">
      <c r="B1863" s="105">
        <v>2</v>
      </c>
      <c r="C1863" s="152" t="s">
        <v>189</v>
      </c>
      <c r="D1863" s="33" t="s">
        <v>2374</v>
      </c>
      <c r="E1863" s="190">
        <v>0.5</v>
      </c>
      <c r="F1863" s="190">
        <f>'HIRE CHARGES'!$D$517</f>
        <v>10.199999999999999</v>
      </c>
      <c r="G1863" s="190">
        <f t="shared" si="46"/>
        <v>5.0999999999999996</v>
      </c>
    </row>
    <row r="1864" spans="2:7">
      <c r="B1864" s="317"/>
      <c r="C1864" s="152" t="s">
        <v>2379</v>
      </c>
      <c r="D1864" s="33" t="s">
        <v>2374</v>
      </c>
      <c r="E1864" s="190">
        <v>0.5</v>
      </c>
      <c r="F1864" s="190">
        <f>'HIRE CHARGES'!$E$517</f>
        <v>79.3</v>
      </c>
      <c r="G1864" s="190">
        <f t="shared" si="46"/>
        <v>39.65</v>
      </c>
    </row>
    <row r="1865" spans="2:7">
      <c r="B1865" s="105">
        <v>3</v>
      </c>
      <c r="C1865" s="152" t="s">
        <v>703</v>
      </c>
      <c r="D1865" s="33" t="s">
        <v>2374</v>
      </c>
      <c r="E1865" s="190">
        <v>8</v>
      </c>
      <c r="F1865" s="190">
        <f>'HIRE CHARGES'!$D$533</f>
        <v>8.1999999999999993</v>
      </c>
      <c r="G1865" s="190">
        <f t="shared" si="46"/>
        <v>65.599999999999994</v>
      </c>
    </row>
    <row r="1866" spans="2:7">
      <c r="B1866" s="365"/>
      <c r="C1866" s="116" t="s">
        <v>2379</v>
      </c>
      <c r="D1866" s="33" t="s">
        <v>2374</v>
      </c>
      <c r="E1866" s="182">
        <v>8</v>
      </c>
      <c r="F1866" s="207">
        <f>'HIRE CHARGES'!$E$533</f>
        <v>28.2</v>
      </c>
      <c r="G1866" s="190">
        <f t="shared" si="46"/>
        <v>225.6</v>
      </c>
    </row>
    <row r="1867" spans="2:7">
      <c r="B1867" s="176"/>
      <c r="C1867" s="172" t="s">
        <v>2380</v>
      </c>
      <c r="D1867" s="174"/>
      <c r="E1867" s="192"/>
      <c r="F1867" s="236" t="s">
        <v>1698</v>
      </c>
      <c r="G1867" s="318">
        <f>SUM(G1861:G1866)</f>
        <v>2347.1499999999996</v>
      </c>
    </row>
    <row r="1868" spans="2:7">
      <c r="B1868" s="78"/>
      <c r="C1868" s="26"/>
    </row>
    <row r="1869" spans="2:7">
      <c r="B1869" s="79" t="s">
        <v>2381</v>
      </c>
      <c r="C1869" s="26"/>
    </row>
    <row r="1870" spans="2:7">
      <c r="B1870" s="95" t="s">
        <v>2369</v>
      </c>
      <c r="C1870" s="157" t="s">
        <v>2378</v>
      </c>
      <c r="D1870" s="95" t="s">
        <v>2370</v>
      </c>
      <c r="E1870" s="95" t="s">
        <v>1166</v>
      </c>
      <c r="F1870" s="95" t="s">
        <v>2371</v>
      </c>
      <c r="G1870" s="95" t="s">
        <v>2372</v>
      </c>
    </row>
    <row r="1871" spans="2:7">
      <c r="B1871" s="114"/>
      <c r="C1871" s="154"/>
      <c r="D1871" s="105"/>
      <c r="E1871" s="105"/>
      <c r="F1871" s="105" t="s">
        <v>3485</v>
      </c>
      <c r="G1871" s="114" t="s">
        <v>3485</v>
      </c>
    </row>
    <row r="1872" spans="2:7">
      <c r="B1872" s="105">
        <v>1</v>
      </c>
      <c r="C1872" s="76" t="s">
        <v>527</v>
      </c>
      <c r="D1872" s="95" t="s">
        <v>2374</v>
      </c>
      <c r="E1872" s="179">
        <v>8</v>
      </c>
      <c r="F1872" s="179">
        <f>'HIRE CHARGES'!$F$509</f>
        <v>219.7</v>
      </c>
      <c r="G1872" s="207">
        <f>E1872*F1872</f>
        <v>1757.6</v>
      </c>
    </row>
    <row r="1873" spans="2:7">
      <c r="B1873" s="105">
        <v>2</v>
      </c>
      <c r="C1873" s="76" t="s">
        <v>999</v>
      </c>
      <c r="D1873" s="105" t="s">
        <v>2374</v>
      </c>
      <c r="E1873" s="190">
        <v>0.5</v>
      </c>
      <c r="F1873" s="190">
        <f>'HIRE CHARGES'!$F$517</f>
        <v>111.1</v>
      </c>
      <c r="G1873" s="207">
        <f t="shared" ref="G1873:G1883" si="47">E1873*F1873</f>
        <v>55.55</v>
      </c>
    </row>
    <row r="1874" spans="2:7">
      <c r="B1874" s="105">
        <v>3</v>
      </c>
      <c r="C1874" s="76" t="s">
        <v>439</v>
      </c>
      <c r="D1874" s="105" t="s">
        <v>2374</v>
      </c>
      <c r="E1874" s="190">
        <v>8</v>
      </c>
      <c r="F1874" s="190">
        <f>'HIRE CHARGES'!$F$533</f>
        <v>158.19999999999999</v>
      </c>
      <c r="G1874" s="207">
        <f t="shared" si="47"/>
        <v>1265.5999999999999</v>
      </c>
    </row>
    <row r="1875" spans="2:7">
      <c r="B1875" s="105">
        <v>4</v>
      </c>
      <c r="C1875" s="76" t="s">
        <v>440</v>
      </c>
      <c r="D1875" s="105" t="s">
        <v>1172</v>
      </c>
      <c r="E1875" s="190">
        <v>1</v>
      </c>
      <c r="F1875" s="190">
        <f>'BASIC DATA'!$C$474</f>
        <v>445</v>
      </c>
      <c r="G1875" s="207">
        <f t="shared" si="47"/>
        <v>445</v>
      </c>
    </row>
    <row r="1876" spans="2:7">
      <c r="B1876" s="105">
        <v>5</v>
      </c>
      <c r="C1876" s="76" t="s">
        <v>4206</v>
      </c>
      <c r="D1876" s="105" t="s">
        <v>1172</v>
      </c>
      <c r="E1876" s="190">
        <v>1</v>
      </c>
      <c r="F1876" s="190">
        <f>'BASIC DATA'!$C$473</f>
        <v>450</v>
      </c>
      <c r="G1876" s="207">
        <f t="shared" si="47"/>
        <v>450</v>
      </c>
    </row>
    <row r="1877" spans="2:7">
      <c r="B1877" s="105">
        <v>6</v>
      </c>
      <c r="C1877" s="76" t="s">
        <v>2697</v>
      </c>
      <c r="D1877" s="105"/>
      <c r="E1877" s="190"/>
      <c r="F1877" s="190"/>
      <c r="G1877" s="207"/>
    </row>
    <row r="1878" spans="2:7">
      <c r="B1878" s="317"/>
      <c r="C1878" s="76" t="s">
        <v>441</v>
      </c>
      <c r="D1878" s="105" t="s">
        <v>1172</v>
      </c>
      <c r="E1878" s="190">
        <v>11</v>
      </c>
      <c r="F1878" s="190">
        <f>'BASIC DATA'!$C$552</f>
        <v>350</v>
      </c>
      <c r="G1878" s="207">
        <f t="shared" si="47"/>
        <v>3850</v>
      </c>
    </row>
    <row r="1879" spans="2:7">
      <c r="B1879" s="317"/>
      <c r="C1879" s="76" t="s">
        <v>442</v>
      </c>
      <c r="D1879" s="105" t="s">
        <v>1172</v>
      </c>
      <c r="E1879" s="190">
        <v>4</v>
      </c>
      <c r="F1879" s="190">
        <f>'BASIC DATA'!$C$552</f>
        <v>350</v>
      </c>
      <c r="G1879" s="207">
        <f t="shared" si="47"/>
        <v>1400</v>
      </c>
    </row>
    <row r="1880" spans="2:7">
      <c r="B1880" s="317"/>
      <c r="C1880" s="76" t="s">
        <v>5151</v>
      </c>
      <c r="D1880" s="105" t="s">
        <v>1172</v>
      </c>
      <c r="E1880" s="190">
        <v>6</v>
      </c>
      <c r="F1880" s="190">
        <f>'BASIC DATA'!$C$552</f>
        <v>350</v>
      </c>
      <c r="G1880" s="207">
        <f t="shared" si="47"/>
        <v>2100</v>
      </c>
    </row>
    <row r="1881" spans="2:7">
      <c r="B1881" s="317"/>
      <c r="C1881" s="76" t="s">
        <v>444</v>
      </c>
      <c r="D1881" s="105" t="s">
        <v>1172</v>
      </c>
      <c r="E1881" s="190">
        <f>F1842</f>
        <v>14.4</v>
      </c>
      <c r="F1881" s="190">
        <f>'BASIC DATA'!$C$552</f>
        <v>350</v>
      </c>
      <c r="G1881" s="207">
        <f t="shared" si="47"/>
        <v>5040</v>
      </c>
    </row>
    <row r="1882" spans="2:7">
      <c r="B1882" s="317"/>
      <c r="C1882" s="76" t="s">
        <v>445</v>
      </c>
      <c r="D1882" s="105" t="s">
        <v>1172</v>
      </c>
      <c r="E1882" s="190">
        <v>1</v>
      </c>
      <c r="F1882" s="190">
        <f>'BASIC DATA'!$C$552</f>
        <v>350</v>
      </c>
      <c r="G1882" s="207">
        <f t="shared" si="47"/>
        <v>350</v>
      </c>
    </row>
    <row r="1883" spans="2:7">
      <c r="B1883" s="105">
        <v>7</v>
      </c>
      <c r="C1883" s="76" t="s">
        <v>7215</v>
      </c>
      <c r="D1883" s="105" t="s">
        <v>3479</v>
      </c>
      <c r="E1883" s="190">
        <f>2.75*F1842</f>
        <v>39.6</v>
      </c>
      <c r="F1883" s="190">
        <f>F1835</f>
        <v>88.5</v>
      </c>
      <c r="G1883" s="207">
        <f t="shared" si="47"/>
        <v>3504.6</v>
      </c>
    </row>
    <row r="1884" spans="2:7">
      <c r="B1884" s="365"/>
      <c r="C1884" s="76" t="s">
        <v>6402</v>
      </c>
      <c r="D1884" s="681">
        <v>0.3</v>
      </c>
      <c r="E1884" s="182"/>
      <c r="F1884" s="182"/>
      <c r="G1884" s="207">
        <f>G1883*D1884</f>
        <v>1051.3799999999999</v>
      </c>
    </row>
    <row r="1885" spans="2:7">
      <c r="B1885" s="92"/>
      <c r="C1885" s="193" t="s">
        <v>1174</v>
      </c>
      <c r="D1885" s="159"/>
      <c r="E1885" s="238"/>
      <c r="F1885" s="236" t="s">
        <v>1698</v>
      </c>
      <c r="G1885" s="318">
        <f>SUM(G1872:G1884)</f>
        <v>21269.73</v>
      </c>
    </row>
    <row r="1886" spans="2:7">
      <c r="B1886" s="60" t="s">
        <v>5948</v>
      </c>
      <c r="C1886" s="31"/>
      <c r="D1886" s="31"/>
      <c r="E1886" s="85">
        <f>ROUND(G1885/F1842,1)</f>
        <v>1477.1</v>
      </c>
    </row>
    <row r="1887" spans="2:7">
      <c r="B1887" s="60" t="s">
        <v>3163</v>
      </c>
      <c r="C1887" s="31"/>
      <c r="D1887" s="922">
        <f>'BASIC DATA'!$C$577</f>
        <v>0.13614999999999999</v>
      </c>
      <c r="E1887" s="85">
        <f>ROUND(E1886*D1887,1)</f>
        <v>201.1</v>
      </c>
    </row>
    <row r="1888" spans="2:7">
      <c r="B1888" s="60" t="s">
        <v>5949</v>
      </c>
      <c r="C1888" s="31"/>
      <c r="D1888" s="31"/>
      <c r="E1888" s="199">
        <f>ROUND(E1887+E1886,1)</f>
        <v>1678.2</v>
      </c>
      <c r="F1888" s="57"/>
    </row>
    <row r="1889" spans="1:7">
      <c r="B1889" s="78"/>
      <c r="C1889" s="26"/>
    </row>
    <row r="1890" spans="1:7">
      <c r="B1890" s="170" t="s">
        <v>1175</v>
      </c>
      <c r="C1890" s="26"/>
    </row>
    <row r="1891" spans="1:7">
      <c r="B1891" s="26" t="s">
        <v>1176</v>
      </c>
      <c r="C1891" s="26"/>
      <c r="F1891" s="171" t="s">
        <v>1698</v>
      </c>
      <c r="G1891" s="68">
        <f>G1856</f>
        <v>46602.293099052607</v>
      </c>
    </row>
    <row r="1892" spans="1:7">
      <c r="B1892" s="26" t="s">
        <v>1186</v>
      </c>
      <c r="C1892" s="26"/>
      <c r="F1892" s="171" t="s">
        <v>1698</v>
      </c>
      <c r="G1892" s="68">
        <f>G1867</f>
        <v>2347.1499999999996</v>
      </c>
    </row>
    <row r="1893" spans="1:7">
      <c r="B1893" s="26" t="s">
        <v>2660</v>
      </c>
      <c r="C1893" s="26"/>
      <c r="F1893" s="171" t="s">
        <v>1698</v>
      </c>
      <c r="G1893" s="75">
        <f>G1885</f>
        <v>21269.73</v>
      </c>
    </row>
    <row r="1894" spans="1:7">
      <c r="B1894" s="78"/>
      <c r="C1894" s="26"/>
      <c r="E1894" s="171"/>
      <c r="F1894" s="171" t="s">
        <v>302</v>
      </c>
      <c r="G1894" s="205">
        <f>SUM(G1891:G1893)</f>
        <v>70219.173099052612</v>
      </c>
    </row>
    <row r="1895" spans="1:7">
      <c r="B1895" s="1206" t="s">
        <v>1379</v>
      </c>
      <c r="C1895" s="1206"/>
      <c r="E1895" s="922">
        <f>'BASIC DATA'!$C$577</f>
        <v>0.13614999999999999</v>
      </c>
      <c r="F1895" s="26" t="s">
        <v>1698</v>
      </c>
      <c r="G1895" s="26">
        <f>ROUND(G1894*E1895,2)</f>
        <v>9560.34</v>
      </c>
    </row>
    <row r="1896" spans="1:7">
      <c r="B1896" s="26" t="s">
        <v>1191</v>
      </c>
      <c r="C1896" s="26"/>
      <c r="D1896" s="68">
        <f>F1842</f>
        <v>14.4</v>
      </c>
      <c r="E1896" s="68" t="str">
        <f>G1842</f>
        <v>cum</v>
      </c>
      <c r="F1896" s="26" t="s">
        <v>1698</v>
      </c>
      <c r="G1896" s="170">
        <f>G1895+G1894</f>
        <v>79779.513099052609</v>
      </c>
    </row>
    <row r="1897" spans="1:7">
      <c r="B1897" s="170" t="s">
        <v>1584</v>
      </c>
      <c r="C1897" s="211" t="str">
        <f>E1896</f>
        <v>cum</v>
      </c>
      <c r="D1897" s="26" t="s">
        <v>7823</v>
      </c>
      <c r="F1897" s="26" t="s">
        <v>4108</v>
      </c>
      <c r="G1897" s="211">
        <f>ROUND(G1896/D1896,1)</f>
        <v>5540.2</v>
      </c>
    </row>
    <row r="1898" spans="1:7">
      <c r="B1898" s="78"/>
      <c r="C1898" s="26"/>
    </row>
    <row r="1899" spans="1:7">
      <c r="B1899" s="78"/>
      <c r="C1899" s="26"/>
    </row>
    <row r="1900" spans="1:7" ht="18.75">
      <c r="A1900" s="865" t="s">
        <v>7557</v>
      </c>
      <c r="B1900" s="26" t="s">
        <v>8774</v>
      </c>
      <c r="C1900" s="26"/>
    </row>
    <row r="1901" spans="1:7" ht="18.75">
      <c r="A1901" s="865"/>
      <c r="B1901" s="26" t="s">
        <v>8947</v>
      </c>
      <c r="C1901" s="26"/>
    </row>
    <row r="1902" spans="1:7">
      <c r="A1902" s="865"/>
      <c r="B1902" s="26" t="s">
        <v>8945</v>
      </c>
      <c r="C1902" s="26"/>
    </row>
    <row r="1903" spans="1:7">
      <c r="A1903" s="865"/>
      <c r="B1903" s="26" t="s">
        <v>355</v>
      </c>
      <c r="C1903" s="26"/>
    </row>
    <row r="1904" spans="1:7" ht="18.75">
      <c r="A1904" s="865"/>
      <c r="B1904" s="170" t="s">
        <v>8948</v>
      </c>
      <c r="C1904" s="26"/>
    </row>
    <row r="1905" spans="1:7">
      <c r="A1905" s="865" t="s">
        <v>1940</v>
      </c>
      <c r="B1905" s="170" t="s">
        <v>1351</v>
      </c>
      <c r="C1905" s="26"/>
    </row>
    <row r="1906" spans="1:7">
      <c r="A1906" s="865"/>
      <c r="B1906" s="170" t="s">
        <v>6563</v>
      </c>
      <c r="C1906" s="26"/>
    </row>
    <row r="1907" spans="1:7">
      <c r="A1907" s="855"/>
      <c r="B1907" s="248" t="s">
        <v>4220</v>
      </c>
      <c r="C1907" s="61"/>
      <c r="D1907" s="61"/>
      <c r="E1907" s="61"/>
      <c r="F1907" s="61"/>
      <c r="G1907" s="61"/>
    </row>
    <row r="1908" spans="1:7">
      <c r="A1908" s="865"/>
      <c r="B1908" s="26"/>
      <c r="C1908" s="26"/>
    </row>
    <row r="1909" spans="1:7" hidden="1">
      <c r="A1909" s="865" t="s">
        <v>3984</v>
      </c>
      <c r="B1909" s="26" t="s">
        <v>5780</v>
      </c>
      <c r="C1909" s="26"/>
    </row>
    <row r="1910" spans="1:7" hidden="1">
      <c r="A1910" s="865"/>
      <c r="B1910" s="26" t="s">
        <v>1521</v>
      </c>
      <c r="C1910" s="26"/>
    </row>
    <row r="1911" spans="1:7" hidden="1">
      <c r="A1911" s="865"/>
      <c r="B1911" s="26" t="s">
        <v>7829</v>
      </c>
      <c r="C1911" s="26"/>
    </row>
    <row r="1912" spans="1:7" hidden="1">
      <c r="A1912" s="865"/>
      <c r="B1912" s="26" t="s">
        <v>7830</v>
      </c>
      <c r="C1912" s="26"/>
      <c r="D1912" s="26">
        <f>ROUND(100*4*8/220,2)</f>
        <v>14.55</v>
      </c>
      <c r="E1912" s="26" t="s">
        <v>3760</v>
      </c>
    </row>
    <row r="1913" spans="1:7" hidden="1">
      <c r="A1913" s="865"/>
      <c r="B1913" s="26" t="s">
        <v>2843</v>
      </c>
      <c r="C1913" s="26"/>
    </row>
    <row r="1914" spans="1:7" hidden="1">
      <c r="A1914" s="865"/>
      <c r="B1914" s="26" t="s">
        <v>357</v>
      </c>
      <c r="C1914" s="26"/>
    </row>
    <row r="1915" spans="1:7" hidden="1">
      <c r="A1915" s="865"/>
      <c r="B1915" s="26" t="s">
        <v>1985</v>
      </c>
      <c r="C1915" s="26"/>
      <c r="F1915" s="68">
        <f>G667</f>
        <v>224.56752690000002</v>
      </c>
      <c r="G1915" s="26" t="s">
        <v>1168</v>
      </c>
    </row>
    <row r="1916" spans="1:7" hidden="1">
      <c r="A1916" s="865"/>
      <c r="B1916" s="26" t="s">
        <v>6089</v>
      </c>
      <c r="C1916" s="26"/>
      <c r="F1916" s="68">
        <f>F1915*5%</f>
        <v>11.228376345000001</v>
      </c>
      <c r="G1916" s="26" t="s">
        <v>1168</v>
      </c>
    </row>
    <row r="1917" spans="1:7" hidden="1">
      <c r="A1917" s="865"/>
      <c r="B1917" s="26" t="s">
        <v>6088</v>
      </c>
      <c r="C1917" s="26"/>
      <c r="F1917" s="68">
        <f>SUM(F1915:F1916)</f>
        <v>235.79590324500003</v>
      </c>
      <c r="G1917" s="26" t="s">
        <v>1168</v>
      </c>
    </row>
    <row r="1918" spans="1:7" hidden="1">
      <c r="A1918" s="865"/>
      <c r="B1918" s="26" t="s">
        <v>1522</v>
      </c>
      <c r="C1918" s="26"/>
    </row>
    <row r="1919" spans="1:7" hidden="1">
      <c r="A1919" s="865"/>
      <c r="B1919" s="26" t="s">
        <v>1986</v>
      </c>
      <c r="C1919" s="26"/>
      <c r="F1919" s="68">
        <f>G693</f>
        <v>88.5</v>
      </c>
      <c r="G1919" s="26" t="s">
        <v>1168</v>
      </c>
    </row>
    <row r="1920" spans="1:7" hidden="1">
      <c r="A1920" s="865"/>
      <c r="B1920" s="26" t="s">
        <v>1523</v>
      </c>
      <c r="C1920" s="26"/>
    </row>
    <row r="1921" spans="1:7" hidden="1">
      <c r="A1921" s="865"/>
      <c r="B1921" s="26" t="s">
        <v>451</v>
      </c>
      <c r="C1921" s="26"/>
    </row>
    <row r="1922" spans="1:7" hidden="1">
      <c r="A1922" s="855"/>
      <c r="B1922" s="61" t="s">
        <v>1984</v>
      </c>
      <c r="C1922" s="61"/>
      <c r="D1922" s="61"/>
      <c r="E1922" s="61"/>
      <c r="F1922" s="61"/>
      <c r="G1922" s="61"/>
    </row>
    <row r="1923" spans="1:7" hidden="1">
      <c r="A1923" s="855"/>
      <c r="B1923" s="61" t="s">
        <v>3079</v>
      </c>
      <c r="C1923" s="61"/>
      <c r="D1923" s="61"/>
      <c r="E1923" s="61"/>
      <c r="F1923" s="61"/>
      <c r="G1923" s="61"/>
    </row>
    <row r="1924" spans="1:7">
      <c r="B1924" s="78"/>
      <c r="C1924" s="26"/>
    </row>
    <row r="1925" spans="1:7">
      <c r="A1925" s="865" t="s">
        <v>3984</v>
      </c>
      <c r="B1925" s="78"/>
      <c r="C1925" s="203" t="s">
        <v>2367</v>
      </c>
      <c r="E1925" s="171" t="s">
        <v>297</v>
      </c>
      <c r="F1925" s="246">
        <f>D1912</f>
        <v>14.55</v>
      </c>
      <c r="G1925" s="26" t="s">
        <v>3477</v>
      </c>
    </row>
    <row r="1926" spans="1:7">
      <c r="B1926" s="79" t="s">
        <v>2368</v>
      </c>
      <c r="C1926" s="26"/>
    </row>
    <row r="1927" spans="1:7">
      <c r="B1927" s="95" t="s">
        <v>2369</v>
      </c>
      <c r="C1927" s="157" t="s">
        <v>4443</v>
      </c>
      <c r="D1927" s="95" t="s">
        <v>2370</v>
      </c>
      <c r="E1927" s="95" t="s">
        <v>1166</v>
      </c>
      <c r="F1927" s="95" t="s">
        <v>2371</v>
      </c>
      <c r="G1927" s="95" t="s">
        <v>2372</v>
      </c>
    </row>
    <row r="1928" spans="1:7">
      <c r="B1928" s="114"/>
      <c r="C1928" s="154"/>
      <c r="D1928" s="114"/>
      <c r="E1928" s="114"/>
      <c r="F1928" s="114" t="s">
        <v>3485</v>
      </c>
      <c r="G1928" s="114" t="s">
        <v>3485</v>
      </c>
    </row>
    <row r="1929" spans="1:7">
      <c r="B1929" s="95">
        <v>1</v>
      </c>
      <c r="C1929" s="135" t="s">
        <v>1048</v>
      </c>
      <c r="D1929" s="95" t="s">
        <v>3478</v>
      </c>
      <c r="E1929" s="190">
        <f>220*F1925</f>
        <v>3201</v>
      </c>
      <c r="F1929" s="214">
        <f>'BASIC DATA'!$D$32/1000</f>
        <v>5.35</v>
      </c>
      <c r="G1929" s="190">
        <f>E1929*F1929</f>
        <v>17125.349999999999</v>
      </c>
    </row>
    <row r="1930" spans="1:7">
      <c r="B1930" s="317"/>
      <c r="C1930" s="135" t="s">
        <v>1049</v>
      </c>
      <c r="D1930" s="105" t="s">
        <v>3478</v>
      </c>
      <c r="E1930" s="190">
        <f>F1925*5</f>
        <v>72.75</v>
      </c>
      <c r="F1930" s="214">
        <f>'BASIC DATA'!$D$32/1000</f>
        <v>5.35</v>
      </c>
      <c r="G1930" s="190">
        <f t="shared" ref="G1930:G1937" si="48">E1930*F1930</f>
        <v>389.21249999999998</v>
      </c>
    </row>
    <row r="1931" spans="1:7">
      <c r="B1931" s="105">
        <v>2</v>
      </c>
      <c r="C1931" s="135" t="s">
        <v>6997</v>
      </c>
      <c r="D1931" s="105" t="s">
        <v>3477</v>
      </c>
      <c r="E1931" s="190">
        <f>0.98*F1925*0.35</f>
        <v>4.9906499999999996</v>
      </c>
      <c r="F1931" s="214">
        <f>'BASIC DATA'!$D$37</f>
        <v>650</v>
      </c>
      <c r="G1931" s="190">
        <f t="shared" si="48"/>
        <v>3243.9224999999997</v>
      </c>
    </row>
    <row r="1932" spans="1:7">
      <c r="B1932" s="317"/>
      <c r="C1932" s="135" t="s">
        <v>6996</v>
      </c>
      <c r="D1932" s="105" t="s">
        <v>3477</v>
      </c>
      <c r="E1932" s="190">
        <f>0.98*F1925*0.3</f>
        <v>4.2777000000000003</v>
      </c>
      <c r="F1932" s="214">
        <f>'BASIC DATA'!$D$36</f>
        <v>1175</v>
      </c>
      <c r="G1932" s="190">
        <f t="shared" si="48"/>
        <v>5026.2975000000006</v>
      </c>
    </row>
    <row r="1933" spans="1:7">
      <c r="B1933" s="317"/>
      <c r="C1933" s="135" t="s">
        <v>6995</v>
      </c>
      <c r="D1933" s="105" t="s">
        <v>3477</v>
      </c>
      <c r="E1933" s="190">
        <f>0.98*F1925*0.2</f>
        <v>2.8518000000000003</v>
      </c>
      <c r="F1933" s="214">
        <f>'BASIC DATA'!$D$35</f>
        <v>1225</v>
      </c>
      <c r="G1933" s="190">
        <f t="shared" si="48"/>
        <v>3493.4550000000004</v>
      </c>
    </row>
    <row r="1934" spans="1:7">
      <c r="B1934" s="317"/>
      <c r="C1934" s="135" t="s">
        <v>1050</v>
      </c>
      <c r="D1934" s="105" t="s">
        <v>3477</v>
      </c>
      <c r="E1934" s="190">
        <f>0.98*F1925*0.15</f>
        <v>2.1388500000000001</v>
      </c>
      <c r="F1934" s="214">
        <f>'BASIC DATA'!$D$34</f>
        <v>900</v>
      </c>
      <c r="G1934" s="190">
        <f t="shared" si="48"/>
        <v>1924.9650000000001</v>
      </c>
    </row>
    <row r="1935" spans="1:7">
      <c r="A1935" s="853"/>
      <c r="B1935" s="240">
        <v>3</v>
      </c>
      <c r="C1935" s="326" t="s">
        <v>7941</v>
      </c>
      <c r="D1935" s="240" t="s">
        <v>3477</v>
      </c>
      <c r="E1935" s="255">
        <f>0.35*F1925</f>
        <v>5.0925000000000002</v>
      </c>
      <c r="F1935" s="266">
        <f>'BASIC DATA'!$D$55</f>
        <v>95</v>
      </c>
      <c r="G1935" s="255">
        <f t="shared" si="48"/>
        <v>483.78750000000002</v>
      </c>
    </row>
    <row r="1936" spans="1:7">
      <c r="B1936" s="105">
        <v>4</v>
      </c>
      <c r="C1936" s="135" t="s">
        <v>523</v>
      </c>
      <c r="D1936" s="105" t="s">
        <v>3478</v>
      </c>
      <c r="E1936" s="190">
        <f>E1929*0.4%</f>
        <v>12.804</v>
      </c>
      <c r="F1936" s="214">
        <f>'BASIC DATA'!$D$99</f>
        <v>55</v>
      </c>
      <c r="G1936" s="190">
        <f t="shared" si="48"/>
        <v>704.22</v>
      </c>
    </row>
    <row r="1937" spans="2:7">
      <c r="B1937" s="105">
        <v>5</v>
      </c>
      <c r="C1937" s="135" t="s">
        <v>954</v>
      </c>
      <c r="D1937" s="105" t="s">
        <v>3479</v>
      </c>
      <c r="E1937" s="190">
        <f>2.75*F1925</f>
        <v>40.012500000000003</v>
      </c>
      <c r="F1937" s="214">
        <f>F1917</f>
        <v>235.79590324500003</v>
      </c>
      <c r="G1937" s="190">
        <f t="shared" si="48"/>
        <v>9434.7835785905645</v>
      </c>
    </row>
    <row r="1938" spans="2:7">
      <c r="B1938" s="114">
        <v>6</v>
      </c>
      <c r="C1938" s="139" t="s">
        <v>5408</v>
      </c>
      <c r="D1938" s="681">
        <v>0.3</v>
      </c>
      <c r="E1938" s="182"/>
      <c r="F1938" s="182"/>
      <c r="G1938" s="182">
        <f>G1937*D1938</f>
        <v>2830.4350735771691</v>
      </c>
    </row>
    <row r="1939" spans="2:7">
      <c r="B1939" s="92"/>
      <c r="C1939" s="193" t="s">
        <v>2376</v>
      </c>
      <c r="D1939" s="159"/>
      <c r="E1939" s="238"/>
      <c r="F1939" s="236" t="s">
        <v>1698</v>
      </c>
      <c r="G1939" s="318">
        <f>SUM(G1929:G1938)</f>
        <v>44656.428652167735</v>
      </c>
    </row>
    <row r="1940" spans="2:7">
      <c r="B1940" s="78"/>
      <c r="C1940" s="26"/>
    </row>
    <row r="1941" spans="2:7">
      <c r="B1941" s="79" t="s">
        <v>2377</v>
      </c>
      <c r="C1941" s="26"/>
    </row>
    <row r="1942" spans="2:7">
      <c r="B1942" s="95" t="s">
        <v>2369</v>
      </c>
      <c r="C1942" s="157" t="s">
        <v>2378</v>
      </c>
      <c r="D1942" s="95" t="s">
        <v>2370</v>
      </c>
      <c r="E1942" s="95" t="s">
        <v>1166</v>
      </c>
      <c r="F1942" s="95" t="s">
        <v>2371</v>
      </c>
      <c r="G1942" s="95" t="s">
        <v>2372</v>
      </c>
    </row>
    <row r="1943" spans="2:7">
      <c r="B1943" s="114"/>
      <c r="C1943" s="154"/>
      <c r="D1943" s="114"/>
      <c r="E1943" s="114"/>
      <c r="F1943" s="114" t="s">
        <v>3485</v>
      </c>
      <c r="G1943" s="114" t="s">
        <v>3485</v>
      </c>
    </row>
    <row r="1944" spans="2:7">
      <c r="B1944" s="95">
        <v>1</v>
      </c>
      <c r="C1944" s="153" t="s">
        <v>525</v>
      </c>
      <c r="D1944" s="175" t="s">
        <v>2374</v>
      </c>
      <c r="E1944" s="179">
        <v>8</v>
      </c>
      <c r="F1944" s="190">
        <f>'HIRE CHARGES'!$D$509</f>
        <v>92.7</v>
      </c>
      <c r="G1944" s="190">
        <f t="shared" ref="G1944:G1949" si="49">E1944*F1944</f>
        <v>741.6</v>
      </c>
    </row>
    <row r="1945" spans="2:7">
      <c r="B1945" s="317"/>
      <c r="C1945" s="152" t="s">
        <v>2379</v>
      </c>
      <c r="D1945" s="33" t="s">
        <v>2374</v>
      </c>
      <c r="E1945" s="190">
        <v>8</v>
      </c>
      <c r="F1945" s="190">
        <f>'HIRE CHARGES'!$E$509</f>
        <v>158.69999999999999</v>
      </c>
      <c r="G1945" s="190">
        <f t="shared" si="49"/>
        <v>1269.5999999999999</v>
      </c>
    </row>
    <row r="1946" spans="2:7">
      <c r="B1946" s="105">
        <v>2</v>
      </c>
      <c r="C1946" s="152" t="s">
        <v>189</v>
      </c>
      <c r="D1946" s="33" t="s">
        <v>2374</v>
      </c>
      <c r="E1946" s="190">
        <v>0.5</v>
      </c>
      <c r="F1946" s="190">
        <f>'HIRE CHARGES'!$D$517</f>
        <v>10.199999999999999</v>
      </c>
      <c r="G1946" s="190">
        <f t="shared" si="49"/>
        <v>5.0999999999999996</v>
      </c>
    </row>
    <row r="1947" spans="2:7">
      <c r="B1947" s="317"/>
      <c r="C1947" s="152" t="s">
        <v>2379</v>
      </c>
      <c r="D1947" s="33" t="s">
        <v>2374</v>
      </c>
      <c r="E1947" s="190">
        <v>0.5</v>
      </c>
      <c r="F1947" s="190">
        <f>'HIRE CHARGES'!$E$517</f>
        <v>79.3</v>
      </c>
      <c r="G1947" s="190">
        <f t="shared" si="49"/>
        <v>39.65</v>
      </c>
    </row>
    <row r="1948" spans="2:7">
      <c r="B1948" s="105">
        <v>3</v>
      </c>
      <c r="C1948" s="152" t="s">
        <v>703</v>
      </c>
      <c r="D1948" s="33" t="s">
        <v>2374</v>
      </c>
      <c r="E1948" s="190">
        <v>8</v>
      </c>
      <c r="F1948" s="190">
        <f>'HIRE CHARGES'!$D$533</f>
        <v>8.1999999999999993</v>
      </c>
      <c r="G1948" s="190">
        <f t="shared" si="49"/>
        <v>65.599999999999994</v>
      </c>
    </row>
    <row r="1949" spans="2:7">
      <c r="B1949" s="365"/>
      <c r="C1949" s="116" t="s">
        <v>2379</v>
      </c>
      <c r="D1949" s="33" t="s">
        <v>2374</v>
      </c>
      <c r="E1949" s="182">
        <v>8</v>
      </c>
      <c r="F1949" s="207">
        <f>'HIRE CHARGES'!$E$533</f>
        <v>28.2</v>
      </c>
      <c r="G1949" s="190">
        <f t="shared" si="49"/>
        <v>225.6</v>
      </c>
    </row>
    <row r="1950" spans="2:7">
      <c r="B1950" s="176"/>
      <c r="C1950" s="172" t="s">
        <v>2380</v>
      </c>
      <c r="D1950" s="174"/>
      <c r="E1950" s="192"/>
      <c r="F1950" s="236" t="s">
        <v>1698</v>
      </c>
      <c r="G1950" s="318">
        <f>SUM(G1944:G1949)</f>
        <v>2347.1499999999996</v>
      </c>
    </row>
    <row r="1951" spans="2:7">
      <c r="B1951" s="78"/>
      <c r="C1951" s="26"/>
    </row>
    <row r="1952" spans="2:7">
      <c r="B1952" s="79" t="s">
        <v>2381</v>
      </c>
      <c r="C1952" s="26"/>
    </row>
    <row r="1953" spans="2:7">
      <c r="B1953" s="95" t="s">
        <v>2369</v>
      </c>
      <c r="C1953" s="157" t="s">
        <v>2378</v>
      </c>
      <c r="D1953" s="95" t="s">
        <v>2370</v>
      </c>
      <c r="E1953" s="95" t="s">
        <v>1166</v>
      </c>
      <c r="F1953" s="95" t="s">
        <v>2371</v>
      </c>
      <c r="G1953" s="95" t="s">
        <v>2372</v>
      </c>
    </row>
    <row r="1954" spans="2:7">
      <c r="B1954" s="114"/>
      <c r="C1954" s="154"/>
      <c r="D1954" s="105"/>
      <c r="E1954" s="105"/>
      <c r="F1954" s="105" t="s">
        <v>3485</v>
      </c>
      <c r="G1954" s="114" t="s">
        <v>3485</v>
      </c>
    </row>
    <row r="1955" spans="2:7">
      <c r="B1955" s="105">
        <v>1</v>
      </c>
      <c r="C1955" s="76" t="s">
        <v>527</v>
      </c>
      <c r="D1955" s="95" t="s">
        <v>2374</v>
      </c>
      <c r="E1955" s="179">
        <v>8</v>
      </c>
      <c r="F1955" s="179">
        <f>'HIRE CHARGES'!$F$509</f>
        <v>219.7</v>
      </c>
      <c r="G1955" s="207">
        <f>E1955*F1955</f>
        <v>1757.6</v>
      </c>
    </row>
    <row r="1956" spans="2:7">
      <c r="B1956" s="105">
        <v>2</v>
      </c>
      <c r="C1956" s="76" t="s">
        <v>999</v>
      </c>
      <c r="D1956" s="105" t="s">
        <v>2374</v>
      </c>
      <c r="E1956" s="190">
        <v>0.5</v>
      </c>
      <c r="F1956" s="190">
        <f>'HIRE CHARGES'!$F$517</f>
        <v>111.1</v>
      </c>
      <c r="G1956" s="207">
        <f t="shared" ref="G1956:G1966" si="50">E1956*F1956</f>
        <v>55.55</v>
      </c>
    </row>
    <row r="1957" spans="2:7">
      <c r="B1957" s="105">
        <v>3</v>
      </c>
      <c r="C1957" s="76" t="s">
        <v>439</v>
      </c>
      <c r="D1957" s="105" t="s">
        <v>2374</v>
      </c>
      <c r="E1957" s="190">
        <v>8</v>
      </c>
      <c r="F1957" s="190">
        <f>'HIRE CHARGES'!$F$533</f>
        <v>158.19999999999999</v>
      </c>
      <c r="G1957" s="207">
        <f t="shared" si="50"/>
        <v>1265.5999999999999</v>
      </c>
    </row>
    <row r="1958" spans="2:7">
      <c r="B1958" s="105">
        <v>4</v>
      </c>
      <c r="C1958" s="76" t="s">
        <v>440</v>
      </c>
      <c r="D1958" s="105" t="s">
        <v>1172</v>
      </c>
      <c r="E1958" s="190">
        <v>1</v>
      </c>
      <c r="F1958" s="190">
        <f>'BASIC DATA'!$C$474</f>
        <v>445</v>
      </c>
      <c r="G1958" s="207">
        <f t="shared" si="50"/>
        <v>445</v>
      </c>
    </row>
    <row r="1959" spans="2:7">
      <c r="B1959" s="105">
        <v>5</v>
      </c>
      <c r="C1959" s="76" t="s">
        <v>4206</v>
      </c>
      <c r="D1959" s="105" t="s">
        <v>1172</v>
      </c>
      <c r="E1959" s="190">
        <v>1</v>
      </c>
      <c r="F1959" s="190">
        <f>'BASIC DATA'!$C$473</f>
        <v>450</v>
      </c>
      <c r="G1959" s="207">
        <f t="shared" si="50"/>
        <v>450</v>
      </c>
    </row>
    <row r="1960" spans="2:7">
      <c r="B1960" s="105">
        <v>6</v>
      </c>
      <c r="C1960" s="76" t="s">
        <v>2697</v>
      </c>
      <c r="D1960" s="105"/>
      <c r="E1960" s="190"/>
      <c r="F1960" s="190"/>
      <c r="G1960" s="207"/>
    </row>
    <row r="1961" spans="2:7">
      <c r="B1961" s="317"/>
      <c r="C1961" s="76" t="s">
        <v>441</v>
      </c>
      <c r="D1961" s="105" t="s">
        <v>1172</v>
      </c>
      <c r="E1961" s="190">
        <v>11</v>
      </c>
      <c r="F1961" s="190">
        <f>'BASIC DATA'!$C$552</f>
        <v>350</v>
      </c>
      <c r="G1961" s="207">
        <f t="shared" si="50"/>
        <v>3850</v>
      </c>
    </row>
    <row r="1962" spans="2:7">
      <c r="B1962" s="317"/>
      <c r="C1962" s="76" t="s">
        <v>442</v>
      </c>
      <c r="D1962" s="105" t="s">
        <v>1172</v>
      </c>
      <c r="E1962" s="190">
        <v>4</v>
      </c>
      <c r="F1962" s="190">
        <f>'BASIC DATA'!$C$552</f>
        <v>350</v>
      </c>
      <c r="G1962" s="207">
        <f t="shared" si="50"/>
        <v>1400</v>
      </c>
    </row>
    <row r="1963" spans="2:7">
      <c r="B1963" s="317"/>
      <c r="C1963" s="76" t="s">
        <v>5151</v>
      </c>
      <c r="D1963" s="105" t="s">
        <v>1172</v>
      </c>
      <c r="E1963" s="190">
        <v>6</v>
      </c>
      <c r="F1963" s="190">
        <f>'BASIC DATA'!$C$552</f>
        <v>350</v>
      </c>
      <c r="G1963" s="207">
        <f t="shared" si="50"/>
        <v>2100</v>
      </c>
    </row>
    <row r="1964" spans="2:7">
      <c r="B1964" s="317"/>
      <c r="C1964" s="76" t="s">
        <v>444</v>
      </c>
      <c r="D1964" s="105" t="s">
        <v>1172</v>
      </c>
      <c r="E1964" s="190">
        <f>F1925</f>
        <v>14.55</v>
      </c>
      <c r="F1964" s="190">
        <f>'BASIC DATA'!$C$552</f>
        <v>350</v>
      </c>
      <c r="G1964" s="207">
        <f t="shared" si="50"/>
        <v>5092.5</v>
      </c>
    </row>
    <row r="1965" spans="2:7">
      <c r="B1965" s="317"/>
      <c r="C1965" s="76" t="s">
        <v>445</v>
      </c>
      <c r="D1965" s="105" t="s">
        <v>1172</v>
      </c>
      <c r="E1965" s="190">
        <v>1</v>
      </c>
      <c r="F1965" s="190">
        <f>'BASIC DATA'!$C$552</f>
        <v>350</v>
      </c>
      <c r="G1965" s="207">
        <f t="shared" si="50"/>
        <v>350</v>
      </c>
    </row>
    <row r="1966" spans="2:7">
      <c r="B1966" s="105">
        <v>7</v>
      </c>
      <c r="C1966" s="76" t="s">
        <v>7215</v>
      </c>
      <c r="D1966" s="105" t="s">
        <v>3479</v>
      </c>
      <c r="E1966" s="190">
        <f>F1925*2.75</f>
        <v>40.012500000000003</v>
      </c>
      <c r="F1966" s="190">
        <f>F1919</f>
        <v>88.5</v>
      </c>
      <c r="G1966" s="207">
        <f t="shared" si="50"/>
        <v>3541.1062500000003</v>
      </c>
    </row>
    <row r="1967" spans="2:7">
      <c r="B1967" s="365"/>
      <c r="C1967" s="76" t="s">
        <v>6402</v>
      </c>
      <c r="D1967" s="681">
        <v>0.3</v>
      </c>
      <c r="E1967" s="182"/>
      <c r="F1967" s="182"/>
      <c r="G1967" s="207">
        <f>G1966*D1967</f>
        <v>1062.3318750000001</v>
      </c>
    </row>
    <row r="1968" spans="2:7">
      <c r="B1968" s="92"/>
      <c r="C1968" s="193" t="s">
        <v>1174</v>
      </c>
      <c r="D1968" s="159"/>
      <c r="E1968" s="238"/>
      <c r="F1968" s="236" t="s">
        <v>1698</v>
      </c>
      <c r="G1968" s="318">
        <f>SUM(G1955:G1967)</f>
        <v>21369.688125000001</v>
      </c>
    </row>
    <row r="1969" spans="1:7">
      <c r="B1969" s="60" t="s">
        <v>5948</v>
      </c>
      <c r="C1969" s="26"/>
      <c r="D1969" s="31"/>
      <c r="E1969" s="85">
        <f>ROUND(G1968/F1925,1)</f>
        <v>1468.7</v>
      </c>
    </row>
    <row r="1970" spans="1:7">
      <c r="B1970" s="60" t="s">
        <v>3163</v>
      </c>
      <c r="C1970" s="26"/>
      <c r="D1970" s="922">
        <f>'BASIC DATA'!$C$577</f>
        <v>0.13614999999999999</v>
      </c>
      <c r="E1970" s="85">
        <f>ROUND(E1969*D1970,1)</f>
        <v>200</v>
      </c>
    </row>
    <row r="1971" spans="1:7">
      <c r="B1971" s="60" t="s">
        <v>5949</v>
      </c>
      <c r="C1971" s="26"/>
      <c r="D1971" s="31"/>
      <c r="E1971" s="199">
        <f>ROUND(E1970+E1969,1)</f>
        <v>1668.7</v>
      </c>
      <c r="F1971" s="57"/>
    </row>
    <row r="1972" spans="1:7">
      <c r="B1972" s="26"/>
      <c r="C1972" s="26"/>
    </row>
    <row r="1973" spans="1:7">
      <c r="B1973" s="170" t="s">
        <v>1175</v>
      </c>
      <c r="C1973" s="26"/>
    </row>
    <row r="1974" spans="1:7">
      <c r="B1974" s="26" t="s">
        <v>1176</v>
      </c>
      <c r="C1974" s="26"/>
      <c r="F1974" s="171" t="s">
        <v>1698</v>
      </c>
      <c r="G1974" s="68">
        <f>G1939</f>
        <v>44656.428652167735</v>
      </c>
    </row>
    <row r="1975" spans="1:7">
      <c r="B1975" s="26" t="s">
        <v>1186</v>
      </c>
      <c r="C1975" s="26"/>
      <c r="F1975" s="171" t="s">
        <v>1698</v>
      </c>
      <c r="G1975" s="68">
        <f>G1950</f>
        <v>2347.1499999999996</v>
      </c>
    </row>
    <row r="1976" spans="1:7">
      <c r="B1976" s="26" t="s">
        <v>2660</v>
      </c>
      <c r="C1976" s="26"/>
      <c r="F1976" s="171" t="s">
        <v>1698</v>
      </c>
      <c r="G1976" s="75">
        <f>G1968</f>
        <v>21369.688125000001</v>
      </c>
    </row>
    <row r="1977" spans="1:7">
      <c r="B1977" s="78"/>
      <c r="C1977" s="26"/>
      <c r="E1977" s="171"/>
      <c r="F1977" s="171" t="s">
        <v>302</v>
      </c>
      <c r="G1977" s="205">
        <f>SUM(G1974:G1976)</f>
        <v>68373.266777167737</v>
      </c>
    </row>
    <row r="1978" spans="1:7">
      <c r="B1978" s="1206" t="s">
        <v>1379</v>
      </c>
      <c r="C1978" s="1206"/>
      <c r="E1978" s="922">
        <f>'BASIC DATA'!$C$577</f>
        <v>0.13614999999999999</v>
      </c>
      <c r="F1978" s="26" t="s">
        <v>1698</v>
      </c>
      <c r="G1978" s="26">
        <f>ROUND(G1977*E1978,2)</f>
        <v>9309.02</v>
      </c>
    </row>
    <row r="1979" spans="1:7">
      <c r="B1979" s="26" t="s">
        <v>1191</v>
      </c>
      <c r="C1979" s="26"/>
      <c r="D1979" s="68">
        <f>F1925</f>
        <v>14.55</v>
      </c>
      <c r="E1979" s="68" t="str">
        <f>G1925</f>
        <v>cum</v>
      </c>
      <c r="F1979" s="26" t="s">
        <v>1698</v>
      </c>
      <c r="G1979" s="211">
        <f>G1978+G1977</f>
        <v>77682.286777167741</v>
      </c>
    </row>
    <row r="1980" spans="1:7">
      <c r="B1980" s="170" t="s">
        <v>1584</v>
      </c>
      <c r="C1980" s="211" t="str">
        <f>E1979</f>
        <v>cum</v>
      </c>
      <c r="D1980" s="26" t="s">
        <v>7826</v>
      </c>
      <c r="F1980" s="26" t="s">
        <v>4108</v>
      </c>
      <c r="G1980" s="211">
        <f>ROUND(G1979/D1979,1)</f>
        <v>5339</v>
      </c>
    </row>
    <row r="1981" spans="1:7">
      <c r="B1981" s="78"/>
      <c r="C1981" s="26"/>
    </row>
    <row r="1982" spans="1:7">
      <c r="B1982" s="78"/>
      <c r="C1982" s="26"/>
    </row>
    <row r="1983" spans="1:7" ht="18.75">
      <c r="A1983" s="865" t="s">
        <v>7558</v>
      </c>
      <c r="B1983" s="26" t="s">
        <v>8774</v>
      </c>
      <c r="C1983" s="26"/>
    </row>
    <row r="1984" spans="1:7" ht="18.75">
      <c r="A1984" s="865"/>
      <c r="B1984" s="26" t="s">
        <v>8917</v>
      </c>
      <c r="C1984" s="26"/>
    </row>
    <row r="1985" spans="1:7">
      <c r="A1985" s="865"/>
      <c r="B1985" s="26" t="s">
        <v>8945</v>
      </c>
      <c r="C1985" s="26"/>
    </row>
    <row r="1986" spans="1:7">
      <c r="A1986" s="865"/>
      <c r="B1986" s="26" t="s">
        <v>355</v>
      </c>
      <c r="C1986" s="26"/>
    </row>
    <row r="1987" spans="1:7" ht="18.75">
      <c r="A1987" s="865"/>
      <c r="B1987" s="170" t="s">
        <v>8948</v>
      </c>
      <c r="C1987" s="26"/>
    </row>
    <row r="1988" spans="1:7">
      <c r="A1988" s="865" t="s">
        <v>1940</v>
      </c>
      <c r="B1988" s="170" t="s">
        <v>1351</v>
      </c>
      <c r="C1988" s="26"/>
    </row>
    <row r="1989" spans="1:7">
      <c r="A1989" s="865"/>
      <c r="B1989" s="170" t="s">
        <v>6563</v>
      </c>
      <c r="C1989" s="26"/>
    </row>
    <row r="1990" spans="1:7">
      <c r="A1990" s="855"/>
      <c r="B1990" s="248" t="s">
        <v>4521</v>
      </c>
      <c r="C1990" s="61"/>
      <c r="D1990" s="61"/>
      <c r="E1990" s="61"/>
      <c r="F1990" s="61"/>
      <c r="G1990" s="61"/>
    </row>
    <row r="1991" spans="1:7">
      <c r="A1991" s="865"/>
      <c r="B1991" s="26"/>
      <c r="C1991" s="26"/>
    </row>
    <row r="1992" spans="1:7" hidden="1">
      <c r="A1992" s="865" t="s">
        <v>3984</v>
      </c>
      <c r="B1992" s="26" t="s">
        <v>5780</v>
      </c>
      <c r="C1992" s="26"/>
    </row>
    <row r="1993" spans="1:7" hidden="1">
      <c r="A1993" s="865"/>
      <c r="B1993" s="26" t="s">
        <v>2624</v>
      </c>
      <c r="C1993" s="26"/>
    </row>
    <row r="1994" spans="1:7" hidden="1">
      <c r="A1994" s="865"/>
      <c r="B1994" s="26" t="s">
        <v>7674</v>
      </c>
      <c r="C1994" s="26"/>
    </row>
    <row r="1995" spans="1:7" hidden="1">
      <c r="A1995" s="865"/>
      <c r="B1995" s="26" t="s">
        <v>7675</v>
      </c>
      <c r="C1995" s="26"/>
      <c r="E1995" s="26">
        <f>ROUND(50*9*8/220,2)</f>
        <v>16.36</v>
      </c>
      <c r="F1995" s="26" t="s">
        <v>3760</v>
      </c>
    </row>
    <row r="1996" spans="1:7" hidden="1">
      <c r="A1996" s="865"/>
      <c r="B1996" s="26" t="s">
        <v>2843</v>
      </c>
      <c r="C1996" s="26"/>
    </row>
    <row r="1997" spans="1:7" hidden="1">
      <c r="A1997" s="865"/>
      <c r="B1997" s="26" t="s">
        <v>357</v>
      </c>
      <c r="C1997" s="26"/>
    </row>
    <row r="1998" spans="1:7" hidden="1">
      <c r="A1998" s="865"/>
      <c r="B1998" s="26" t="s">
        <v>1987</v>
      </c>
      <c r="C1998" s="26"/>
      <c r="F1998" s="68">
        <f>G667</f>
        <v>224.56752690000002</v>
      </c>
      <c r="G1998" s="26" t="s">
        <v>1168</v>
      </c>
    </row>
    <row r="1999" spans="1:7" hidden="1">
      <c r="A1999" s="865"/>
      <c r="B1999" s="26" t="s">
        <v>4690</v>
      </c>
      <c r="C1999" s="26"/>
      <c r="F1999" s="68">
        <f>F1998*5%</f>
        <v>11.228376345000001</v>
      </c>
      <c r="G1999" s="26" t="s">
        <v>1168</v>
      </c>
    </row>
    <row r="2000" spans="1:7" hidden="1">
      <c r="A2000" s="865"/>
      <c r="B2000" s="26" t="s">
        <v>3642</v>
      </c>
      <c r="C2000" s="26"/>
      <c r="F2000" s="68">
        <f>SUM(F1998:F1999)</f>
        <v>235.79590324500003</v>
      </c>
      <c r="G2000" s="26" t="s">
        <v>1168</v>
      </c>
    </row>
    <row r="2001" spans="1:7" hidden="1">
      <c r="A2001" s="865"/>
      <c r="B2001" s="26" t="s">
        <v>1522</v>
      </c>
      <c r="C2001" s="26"/>
    </row>
    <row r="2002" spans="1:7" hidden="1">
      <c r="A2002" s="865"/>
      <c r="B2002" s="26" t="s">
        <v>1988</v>
      </c>
      <c r="C2002" s="26"/>
      <c r="F2002" s="68">
        <f>G693</f>
        <v>88.5</v>
      </c>
      <c r="G2002" s="26" t="s">
        <v>1168</v>
      </c>
    </row>
    <row r="2003" spans="1:7" hidden="1">
      <c r="A2003" s="865"/>
      <c r="B2003" s="26" t="s">
        <v>3643</v>
      </c>
      <c r="C2003" s="26"/>
    </row>
    <row r="2004" spans="1:7" hidden="1">
      <c r="A2004" s="865"/>
      <c r="B2004" s="26" t="s">
        <v>451</v>
      </c>
      <c r="C2004" s="26"/>
    </row>
    <row r="2005" spans="1:7" hidden="1">
      <c r="A2005" s="855"/>
      <c r="B2005" s="61" t="s">
        <v>1989</v>
      </c>
      <c r="C2005" s="61"/>
      <c r="D2005" s="61"/>
      <c r="E2005" s="61"/>
      <c r="F2005" s="61"/>
      <c r="G2005" s="61"/>
    </row>
    <row r="2006" spans="1:7" hidden="1">
      <c r="A2006" s="855"/>
      <c r="B2006" s="61" t="s">
        <v>3079</v>
      </c>
      <c r="C2006" s="61"/>
      <c r="D2006" s="61"/>
      <c r="E2006" s="61"/>
      <c r="F2006" s="61"/>
      <c r="G2006" s="61"/>
    </row>
    <row r="2007" spans="1:7">
      <c r="B2007" s="78"/>
      <c r="C2007" s="26"/>
    </row>
    <row r="2008" spans="1:7">
      <c r="A2008" s="865" t="s">
        <v>3984</v>
      </c>
      <c r="B2008" s="78"/>
      <c r="C2008" s="203" t="s">
        <v>2367</v>
      </c>
      <c r="E2008" s="171" t="s">
        <v>297</v>
      </c>
      <c r="F2008" s="246">
        <f>E1995</f>
        <v>16.36</v>
      </c>
      <c r="G2008" s="26" t="s">
        <v>3477</v>
      </c>
    </row>
    <row r="2009" spans="1:7">
      <c r="B2009" s="79" t="s">
        <v>2368</v>
      </c>
      <c r="C2009" s="26"/>
    </row>
    <row r="2010" spans="1:7">
      <c r="B2010" s="95" t="s">
        <v>2369</v>
      </c>
      <c r="C2010" s="157" t="s">
        <v>4443</v>
      </c>
      <c r="D2010" s="95" t="s">
        <v>2370</v>
      </c>
      <c r="E2010" s="95" t="s">
        <v>1166</v>
      </c>
      <c r="F2010" s="95" t="s">
        <v>2371</v>
      </c>
      <c r="G2010" s="95" t="s">
        <v>2372</v>
      </c>
    </row>
    <row r="2011" spans="1:7">
      <c r="B2011" s="114"/>
      <c r="C2011" s="154"/>
      <c r="D2011" s="114"/>
      <c r="E2011" s="114"/>
      <c r="F2011" s="114" t="s">
        <v>3485</v>
      </c>
      <c r="G2011" s="114" t="s">
        <v>3485</v>
      </c>
    </row>
    <row r="2012" spans="1:7">
      <c r="B2012" s="95">
        <v>1</v>
      </c>
      <c r="C2012" s="135" t="s">
        <v>1048</v>
      </c>
      <c r="D2012" s="95" t="s">
        <v>3478</v>
      </c>
      <c r="E2012" s="190">
        <f>220*F2008</f>
        <v>3599.2</v>
      </c>
      <c r="F2012" s="214">
        <f>'BASIC DATA'!$D$32/1000</f>
        <v>5.35</v>
      </c>
      <c r="G2012" s="190">
        <f>E2012*F2012</f>
        <v>19255.719999999998</v>
      </c>
    </row>
    <row r="2013" spans="1:7">
      <c r="B2013" s="317"/>
      <c r="C2013" s="135" t="s">
        <v>1049</v>
      </c>
      <c r="D2013" s="105" t="s">
        <v>3478</v>
      </c>
      <c r="E2013" s="190">
        <f>F2008*5</f>
        <v>81.8</v>
      </c>
      <c r="F2013" s="214">
        <f>'BASIC DATA'!$D$32/1000</f>
        <v>5.35</v>
      </c>
      <c r="G2013" s="190">
        <f t="shared" ref="G2013:G2019" si="51">E2013*F2013</f>
        <v>437.62999999999994</v>
      </c>
    </row>
    <row r="2014" spans="1:7">
      <c r="B2014" s="105">
        <v>2</v>
      </c>
      <c r="C2014" s="135" t="s">
        <v>6996</v>
      </c>
      <c r="D2014" s="105" t="s">
        <v>3477</v>
      </c>
      <c r="E2014" s="190">
        <f>0.9*F2008*0.5</f>
        <v>7.3620000000000001</v>
      </c>
      <c r="F2014" s="214">
        <f>'BASIC DATA'!$D$36</f>
        <v>1175</v>
      </c>
      <c r="G2014" s="190">
        <f t="shared" si="51"/>
        <v>8650.35</v>
      </c>
    </row>
    <row r="2015" spans="1:7">
      <c r="B2015" s="317"/>
      <c r="C2015" s="135" t="s">
        <v>6995</v>
      </c>
      <c r="D2015" s="105" t="s">
        <v>3477</v>
      </c>
      <c r="E2015" s="190">
        <f>0.9*F2008*0.3</f>
        <v>4.4172000000000002</v>
      </c>
      <c r="F2015" s="214">
        <f>'BASIC DATA'!$D$35</f>
        <v>1225</v>
      </c>
      <c r="G2015" s="190">
        <f t="shared" si="51"/>
        <v>5411.0700000000006</v>
      </c>
    </row>
    <row r="2016" spans="1:7">
      <c r="B2016" s="317"/>
      <c r="C2016" s="135" t="s">
        <v>1050</v>
      </c>
      <c r="D2016" s="105" t="s">
        <v>3477</v>
      </c>
      <c r="E2016" s="190">
        <f>0.9*F2008*0.2</f>
        <v>2.9448000000000003</v>
      </c>
      <c r="F2016" s="214">
        <f>'BASIC DATA'!$D$34</f>
        <v>900</v>
      </c>
      <c r="G2016" s="190">
        <f t="shared" si="51"/>
        <v>2650.32</v>
      </c>
    </row>
    <row r="2017" spans="1:7">
      <c r="A2017" s="853"/>
      <c r="B2017" s="240">
        <v>3</v>
      </c>
      <c r="C2017" s="326" t="s">
        <v>7941</v>
      </c>
      <c r="D2017" s="240" t="s">
        <v>3477</v>
      </c>
      <c r="E2017" s="255">
        <f>0.4*F2008</f>
        <v>6.5440000000000005</v>
      </c>
      <c r="F2017" s="266">
        <f>'BASIC DATA'!$D$55</f>
        <v>95</v>
      </c>
      <c r="G2017" s="255">
        <f t="shared" si="51"/>
        <v>621.68000000000006</v>
      </c>
    </row>
    <row r="2018" spans="1:7">
      <c r="B2018" s="105">
        <v>4</v>
      </c>
      <c r="C2018" s="135" t="s">
        <v>523</v>
      </c>
      <c r="D2018" s="105" t="s">
        <v>3478</v>
      </c>
      <c r="E2018" s="190">
        <f>E2012*0.4%</f>
        <v>14.396799999999999</v>
      </c>
      <c r="F2018" s="214">
        <f>'BASIC DATA'!$D$99</f>
        <v>55</v>
      </c>
      <c r="G2018" s="190">
        <f t="shared" si="51"/>
        <v>791.82399999999996</v>
      </c>
    </row>
    <row r="2019" spans="1:7">
      <c r="B2019" s="105">
        <v>5</v>
      </c>
      <c r="C2019" s="135" t="s">
        <v>7213</v>
      </c>
      <c r="D2019" s="105" t="s">
        <v>3479</v>
      </c>
      <c r="E2019" s="190">
        <f>F2008*2.75</f>
        <v>44.989999999999995</v>
      </c>
      <c r="F2019" s="214">
        <f>F2000</f>
        <v>235.79590324500003</v>
      </c>
      <c r="G2019" s="190">
        <f t="shared" si="51"/>
        <v>10608.457686992549</v>
      </c>
    </row>
    <row r="2020" spans="1:7">
      <c r="B2020" s="114">
        <v>6</v>
      </c>
      <c r="C2020" s="139" t="s">
        <v>5408</v>
      </c>
      <c r="D2020" s="681">
        <v>0.3</v>
      </c>
      <c r="E2020" s="182"/>
      <c r="F2020" s="182"/>
      <c r="G2020" s="182">
        <f>G2019*D2020</f>
        <v>3182.5373060977649</v>
      </c>
    </row>
    <row r="2021" spans="1:7">
      <c r="B2021" s="92"/>
      <c r="C2021" s="193" t="s">
        <v>2376</v>
      </c>
      <c r="D2021" s="159"/>
      <c r="E2021" s="238"/>
      <c r="F2021" s="236" t="s">
        <v>1698</v>
      </c>
      <c r="G2021" s="318">
        <f>SUM(G2012:G2020)</f>
        <v>51609.588993090314</v>
      </c>
    </row>
    <row r="2022" spans="1:7">
      <c r="B2022" s="78"/>
      <c r="C2022" s="26"/>
    </row>
    <row r="2023" spans="1:7">
      <c r="B2023" s="79" t="s">
        <v>2377</v>
      </c>
      <c r="C2023" s="26"/>
    </row>
    <row r="2024" spans="1:7">
      <c r="B2024" s="95" t="s">
        <v>2369</v>
      </c>
      <c r="C2024" s="157" t="s">
        <v>2378</v>
      </c>
      <c r="D2024" s="95" t="s">
        <v>2370</v>
      </c>
      <c r="E2024" s="95" t="s">
        <v>1166</v>
      </c>
      <c r="F2024" s="95" t="s">
        <v>2371</v>
      </c>
      <c r="G2024" s="95" t="s">
        <v>2372</v>
      </c>
    </row>
    <row r="2025" spans="1:7">
      <c r="B2025" s="114"/>
      <c r="C2025" s="154"/>
      <c r="D2025" s="114"/>
      <c r="E2025" s="114"/>
      <c r="F2025" s="114" t="s">
        <v>3485</v>
      </c>
      <c r="G2025" s="114" t="s">
        <v>3485</v>
      </c>
    </row>
    <row r="2026" spans="1:7">
      <c r="B2026" s="95">
        <v>1</v>
      </c>
      <c r="C2026" s="153" t="s">
        <v>7214</v>
      </c>
      <c r="D2026" s="175" t="s">
        <v>2374</v>
      </c>
      <c r="E2026" s="179">
        <v>8</v>
      </c>
      <c r="F2026" s="190">
        <f>'HIRE CHARGES'!$D$507</f>
        <v>53.5</v>
      </c>
      <c r="G2026" s="190">
        <f t="shared" ref="G2026:G2031" si="52">E2026*F2026</f>
        <v>428</v>
      </c>
    </row>
    <row r="2027" spans="1:7">
      <c r="B2027" s="317"/>
      <c r="C2027" s="152" t="s">
        <v>2379</v>
      </c>
      <c r="D2027" s="33" t="s">
        <v>2374</v>
      </c>
      <c r="E2027" s="190">
        <v>8</v>
      </c>
      <c r="F2027" s="190">
        <f>'HIRE CHARGES'!$E$507</f>
        <v>79.3</v>
      </c>
      <c r="G2027" s="190">
        <f t="shared" si="52"/>
        <v>634.4</v>
      </c>
    </row>
    <row r="2028" spans="1:7">
      <c r="B2028" s="105">
        <v>2</v>
      </c>
      <c r="C2028" s="152" t="s">
        <v>189</v>
      </c>
      <c r="D2028" s="33" t="s">
        <v>2374</v>
      </c>
      <c r="E2028" s="190">
        <v>0.5</v>
      </c>
      <c r="F2028" s="190">
        <f>'HIRE CHARGES'!$D$517</f>
        <v>10.199999999999999</v>
      </c>
      <c r="G2028" s="190">
        <f t="shared" si="52"/>
        <v>5.0999999999999996</v>
      </c>
    </row>
    <row r="2029" spans="1:7">
      <c r="B2029" s="317"/>
      <c r="C2029" s="152" t="s">
        <v>2379</v>
      </c>
      <c r="D2029" s="33" t="s">
        <v>2374</v>
      </c>
      <c r="E2029" s="190">
        <v>0.5</v>
      </c>
      <c r="F2029" s="190">
        <f>'HIRE CHARGES'!$E$517</f>
        <v>79.3</v>
      </c>
      <c r="G2029" s="190">
        <f t="shared" si="52"/>
        <v>39.65</v>
      </c>
    </row>
    <row r="2030" spans="1:7">
      <c r="B2030" s="105">
        <v>3</v>
      </c>
      <c r="C2030" s="152" t="s">
        <v>526</v>
      </c>
      <c r="D2030" s="33" t="s">
        <v>2374</v>
      </c>
      <c r="E2030" s="190">
        <v>8</v>
      </c>
      <c r="F2030" s="190">
        <f>'HIRE CHARGES'!$D$531</f>
        <v>7.6</v>
      </c>
      <c r="G2030" s="190">
        <f t="shared" si="52"/>
        <v>60.8</v>
      </c>
    </row>
    <row r="2031" spans="1:7">
      <c r="B2031" s="365"/>
      <c r="C2031" s="116" t="s">
        <v>2379</v>
      </c>
      <c r="D2031" s="33" t="s">
        <v>2374</v>
      </c>
      <c r="E2031" s="182">
        <v>8</v>
      </c>
      <c r="F2031" s="207">
        <f>'HIRE CHARGES'!$E$531</f>
        <v>18.8</v>
      </c>
      <c r="G2031" s="190">
        <f t="shared" si="52"/>
        <v>150.4</v>
      </c>
    </row>
    <row r="2032" spans="1:7">
      <c r="B2032" s="176"/>
      <c r="C2032" s="172" t="s">
        <v>2380</v>
      </c>
      <c r="D2032" s="174"/>
      <c r="E2032" s="192"/>
      <c r="F2032" s="236" t="s">
        <v>1698</v>
      </c>
      <c r="G2032" s="318">
        <f>SUM(G2026:G2031)</f>
        <v>1318.3500000000001</v>
      </c>
    </row>
    <row r="2033" spans="2:7">
      <c r="B2033" s="78"/>
      <c r="C2033" s="26"/>
    </row>
    <row r="2034" spans="2:7">
      <c r="B2034" s="79" t="s">
        <v>2381</v>
      </c>
      <c r="C2034" s="26"/>
    </row>
    <row r="2035" spans="2:7">
      <c r="B2035" s="95" t="s">
        <v>2369</v>
      </c>
      <c r="C2035" s="157" t="s">
        <v>2378</v>
      </c>
      <c r="D2035" s="95" t="s">
        <v>2370</v>
      </c>
      <c r="E2035" s="95" t="s">
        <v>1166</v>
      </c>
      <c r="F2035" s="95" t="s">
        <v>2371</v>
      </c>
      <c r="G2035" s="95" t="s">
        <v>2372</v>
      </c>
    </row>
    <row r="2036" spans="2:7">
      <c r="B2036" s="114"/>
      <c r="C2036" s="154"/>
      <c r="D2036" s="105"/>
      <c r="E2036" s="105"/>
      <c r="F2036" s="105" t="s">
        <v>3485</v>
      </c>
      <c r="G2036" s="114" t="s">
        <v>3485</v>
      </c>
    </row>
    <row r="2037" spans="2:7">
      <c r="B2037" s="105">
        <v>1</v>
      </c>
      <c r="C2037" s="76" t="s">
        <v>527</v>
      </c>
      <c r="D2037" s="95" t="s">
        <v>2374</v>
      </c>
      <c r="E2037" s="179">
        <v>8</v>
      </c>
      <c r="F2037" s="179">
        <f>'HIRE CHARGES'!$F$507</f>
        <v>219.7</v>
      </c>
      <c r="G2037" s="207">
        <f>E2037*F2037</f>
        <v>1757.6</v>
      </c>
    </row>
    <row r="2038" spans="2:7">
      <c r="B2038" s="105">
        <v>2</v>
      </c>
      <c r="C2038" s="76" t="s">
        <v>999</v>
      </c>
      <c r="D2038" s="105" t="s">
        <v>2374</v>
      </c>
      <c r="E2038" s="190">
        <v>0.5</v>
      </c>
      <c r="F2038" s="190">
        <f>'HIRE CHARGES'!$F$517</f>
        <v>111.1</v>
      </c>
      <c r="G2038" s="207">
        <f t="shared" ref="G2038:G2048" si="53">E2038*F2038</f>
        <v>55.55</v>
      </c>
    </row>
    <row r="2039" spans="2:7">
      <c r="B2039" s="105">
        <v>3</v>
      </c>
      <c r="C2039" s="76" t="s">
        <v>439</v>
      </c>
      <c r="D2039" s="105" t="s">
        <v>2374</v>
      </c>
      <c r="E2039" s="190">
        <v>8</v>
      </c>
      <c r="F2039" s="190">
        <f>'HIRE CHARGES'!$F$531</f>
        <v>158.19999999999999</v>
      </c>
      <c r="G2039" s="207">
        <f t="shared" si="53"/>
        <v>1265.5999999999999</v>
      </c>
    </row>
    <row r="2040" spans="2:7">
      <c r="B2040" s="105">
        <v>4</v>
      </c>
      <c r="C2040" s="76" t="s">
        <v>440</v>
      </c>
      <c r="D2040" s="105" t="s">
        <v>1172</v>
      </c>
      <c r="E2040" s="190">
        <v>1</v>
      </c>
      <c r="F2040" s="190">
        <f>'BASIC DATA'!$C$474</f>
        <v>445</v>
      </c>
      <c r="G2040" s="207">
        <f t="shared" si="53"/>
        <v>445</v>
      </c>
    </row>
    <row r="2041" spans="2:7">
      <c r="B2041" s="105">
        <v>5</v>
      </c>
      <c r="C2041" s="76" t="s">
        <v>4206</v>
      </c>
      <c r="D2041" s="105" t="s">
        <v>1172</v>
      </c>
      <c r="E2041" s="190">
        <v>1</v>
      </c>
      <c r="F2041" s="190">
        <f>'BASIC DATA'!$C$473</f>
        <v>450</v>
      </c>
      <c r="G2041" s="207">
        <f t="shared" si="53"/>
        <v>450</v>
      </c>
    </row>
    <row r="2042" spans="2:7">
      <c r="B2042" s="105">
        <v>6</v>
      </c>
      <c r="C2042" s="76" t="s">
        <v>2697</v>
      </c>
      <c r="D2042" s="105"/>
      <c r="E2042" s="190"/>
      <c r="F2042" s="190"/>
      <c r="G2042" s="207"/>
    </row>
    <row r="2043" spans="2:7">
      <c r="B2043" s="317"/>
      <c r="C2043" s="76" t="s">
        <v>441</v>
      </c>
      <c r="D2043" s="105" t="s">
        <v>1172</v>
      </c>
      <c r="E2043" s="190">
        <v>11</v>
      </c>
      <c r="F2043" s="190">
        <f>'BASIC DATA'!$C$552</f>
        <v>350</v>
      </c>
      <c r="G2043" s="207">
        <f t="shared" si="53"/>
        <v>3850</v>
      </c>
    </row>
    <row r="2044" spans="2:7">
      <c r="B2044" s="317"/>
      <c r="C2044" s="76" t="s">
        <v>442</v>
      </c>
      <c r="D2044" s="105" t="s">
        <v>1172</v>
      </c>
      <c r="E2044" s="190">
        <v>4</v>
      </c>
      <c r="F2044" s="190">
        <f>'BASIC DATA'!$C$552</f>
        <v>350</v>
      </c>
      <c r="G2044" s="207">
        <f t="shared" si="53"/>
        <v>1400</v>
      </c>
    </row>
    <row r="2045" spans="2:7">
      <c r="B2045" s="317"/>
      <c r="C2045" s="76" t="s">
        <v>5151</v>
      </c>
      <c r="D2045" s="105" t="s">
        <v>1172</v>
      </c>
      <c r="E2045" s="190">
        <v>5</v>
      </c>
      <c r="F2045" s="190">
        <f>'BASIC DATA'!$C$552</f>
        <v>350</v>
      </c>
      <c r="G2045" s="207">
        <f t="shared" si="53"/>
        <v>1750</v>
      </c>
    </row>
    <row r="2046" spans="2:7">
      <c r="B2046" s="317"/>
      <c r="C2046" s="76" t="s">
        <v>444</v>
      </c>
      <c r="D2046" s="105" t="s">
        <v>1172</v>
      </c>
      <c r="E2046" s="190">
        <f>F2008</f>
        <v>16.36</v>
      </c>
      <c r="F2046" s="190">
        <f>'BASIC DATA'!$C$552</f>
        <v>350</v>
      </c>
      <c r="G2046" s="207">
        <f t="shared" si="53"/>
        <v>5726</v>
      </c>
    </row>
    <row r="2047" spans="2:7">
      <c r="B2047" s="317"/>
      <c r="C2047" s="76" t="s">
        <v>445</v>
      </c>
      <c r="D2047" s="105" t="s">
        <v>1172</v>
      </c>
      <c r="E2047" s="190">
        <v>1</v>
      </c>
      <c r="F2047" s="190">
        <f>'BASIC DATA'!$C$552</f>
        <v>350</v>
      </c>
      <c r="G2047" s="207">
        <f t="shared" si="53"/>
        <v>350</v>
      </c>
    </row>
    <row r="2048" spans="2:7">
      <c r="B2048" s="105">
        <v>7</v>
      </c>
      <c r="C2048" s="76" t="s">
        <v>7215</v>
      </c>
      <c r="D2048" s="105" t="s">
        <v>3479</v>
      </c>
      <c r="E2048" s="190">
        <f>F2008*2.75</f>
        <v>44.989999999999995</v>
      </c>
      <c r="F2048" s="190">
        <f>F2002</f>
        <v>88.5</v>
      </c>
      <c r="G2048" s="207">
        <f t="shared" si="53"/>
        <v>3981.6149999999993</v>
      </c>
    </row>
    <row r="2049" spans="2:7">
      <c r="B2049" s="365"/>
      <c r="C2049" s="76" t="s">
        <v>6402</v>
      </c>
      <c r="D2049" s="681">
        <v>0.3</v>
      </c>
      <c r="E2049" s="182"/>
      <c r="F2049" s="182"/>
      <c r="G2049" s="207">
        <f>G2048*D2049</f>
        <v>1194.4844999999998</v>
      </c>
    </row>
    <row r="2050" spans="2:7">
      <c r="B2050" s="92"/>
      <c r="C2050" s="193" t="s">
        <v>1174</v>
      </c>
      <c r="D2050" s="159"/>
      <c r="E2050" s="238"/>
      <c r="F2050" s="236" t="s">
        <v>1698</v>
      </c>
      <c r="G2050" s="318">
        <f>SUM(G2037:G2049)</f>
        <v>22225.849499999997</v>
      </c>
    </row>
    <row r="2051" spans="2:7">
      <c r="B2051" s="60" t="s">
        <v>5948</v>
      </c>
      <c r="C2051" s="31"/>
      <c r="D2051" s="31"/>
      <c r="E2051" s="85">
        <f>ROUND(G2050/F2008,1)</f>
        <v>1358.5</v>
      </c>
    </row>
    <row r="2052" spans="2:7">
      <c r="B2052" s="60" t="s">
        <v>3163</v>
      </c>
      <c r="C2052" s="31"/>
      <c r="D2052" s="922">
        <f>'BASIC DATA'!$C$577</f>
        <v>0.13614999999999999</v>
      </c>
      <c r="E2052" s="85">
        <f>ROUND(E2051*D2052,1)</f>
        <v>185</v>
      </c>
    </row>
    <row r="2053" spans="2:7">
      <c r="B2053" s="60" t="s">
        <v>5949</v>
      </c>
      <c r="C2053" s="31"/>
      <c r="D2053" s="31"/>
      <c r="E2053" s="199">
        <f>ROUND(E2052+E2051,1)</f>
        <v>1543.5</v>
      </c>
      <c r="F2053" s="57"/>
    </row>
    <row r="2054" spans="2:7">
      <c r="B2054" s="78"/>
      <c r="C2054" s="26"/>
    </row>
    <row r="2055" spans="2:7">
      <c r="B2055" s="170" t="s">
        <v>1175</v>
      </c>
      <c r="C2055" s="26"/>
    </row>
    <row r="2056" spans="2:7">
      <c r="B2056" s="26" t="s">
        <v>1176</v>
      </c>
      <c r="C2056" s="26"/>
      <c r="F2056" s="171" t="s">
        <v>1698</v>
      </c>
      <c r="G2056" s="68">
        <f>G2021</f>
        <v>51609.588993090314</v>
      </c>
    </row>
    <row r="2057" spans="2:7">
      <c r="B2057" s="26" t="s">
        <v>1186</v>
      </c>
      <c r="C2057" s="26"/>
      <c r="F2057" s="171" t="s">
        <v>1698</v>
      </c>
      <c r="G2057" s="68">
        <f>G2032</f>
        <v>1318.3500000000001</v>
      </c>
    </row>
    <row r="2058" spans="2:7">
      <c r="B2058" s="26" t="s">
        <v>2660</v>
      </c>
      <c r="C2058" s="26"/>
      <c r="F2058" s="171" t="s">
        <v>1698</v>
      </c>
      <c r="G2058" s="75">
        <f>G2050</f>
        <v>22225.849499999997</v>
      </c>
    </row>
    <row r="2059" spans="2:7">
      <c r="B2059" s="78"/>
      <c r="C2059" s="26"/>
      <c r="E2059" s="171"/>
      <c r="F2059" s="171" t="s">
        <v>302</v>
      </c>
      <c r="G2059" s="205">
        <f>SUM(G2056:G2058)</f>
        <v>75153.788493090309</v>
      </c>
    </row>
    <row r="2060" spans="2:7">
      <c r="B2060" s="1206" t="s">
        <v>1379</v>
      </c>
      <c r="C2060" s="1206"/>
      <c r="E2060" s="922">
        <f>'BASIC DATA'!$C$577</f>
        <v>0.13614999999999999</v>
      </c>
      <c r="F2060" s="26" t="s">
        <v>1698</v>
      </c>
      <c r="G2060" s="26">
        <f>ROUND(G2059*E2060,2)</f>
        <v>10232.19</v>
      </c>
    </row>
    <row r="2061" spans="2:7">
      <c r="B2061" s="26" t="s">
        <v>1191</v>
      </c>
      <c r="C2061" s="26"/>
      <c r="D2061" s="68">
        <f>F2008</f>
        <v>16.36</v>
      </c>
      <c r="E2061" s="68" t="str">
        <f>G2008</f>
        <v>cum</v>
      </c>
      <c r="F2061" s="26" t="s">
        <v>1698</v>
      </c>
      <c r="G2061" s="211">
        <f>G2060+G2059</f>
        <v>85385.978493090312</v>
      </c>
    </row>
    <row r="2062" spans="2:7">
      <c r="B2062" s="170" t="s">
        <v>1584</v>
      </c>
      <c r="C2062" s="211" t="str">
        <f>E2061</f>
        <v>cum</v>
      </c>
      <c r="D2062" s="26" t="s">
        <v>7676</v>
      </c>
      <c r="F2062" s="26" t="s">
        <v>4108</v>
      </c>
      <c r="G2062" s="211">
        <f>ROUND(G2061/D2061,1)</f>
        <v>5219.2</v>
      </c>
    </row>
    <row r="2063" spans="2:7">
      <c r="B2063" s="78"/>
      <c r="C2063" s="26"/>
    </row>
    <row r="2064" spans="2:7">
      <c r="B2064" s="78"/>
      <c r="C2064" s="26"/>
    </row>
    <row r="2065" spans="1:7" ht="18.75">
      <c r="A2065" s="865" t="s">
        <v>7559</v>
      </c>
      <c r="B2065" s="26" t="s">
        <v>8618</v>
      </c>
      <c r="C2065" s="26"/>
    </row>
    <row r="2066" spans="1:7" ht="18.75">
      <c r="A2066" s="865"/>
      <c r="B2066" s="26" t="s">
        <v>8921</v>
      </c>
      <c r="C2066" s="26"/>
    </row>
    <row r="2067" spans="1:7">
      <c r="A2067" s="865"/>
      <c r="B2067" s="26" t="s">
        <v>8949</v>
      </c>
      <c r="C2067" s="26"/>
    </row>
    <row r="2068" spans="1:7">
      <c r="A2068" s="865"/>
      <c r="B2068" s="26" t="s">
        <v>6528</v>
      </c>
      <c r="C2068" s="26"/>
    </row>
    <row r="2069" spans="1:7" ht="18.75">
      <c r="A2069" s="865"/>
      <c r="B2069" s="26" t="s">
        <v>8950</v>
      </c>
      <c r="C2069" s="26"/>
    </row>
    <row r="2070" spans="1:7">
      <c r="A2070" s="865"/>
      <c r="B2070" s="170" t="s">
        <v>7783</v>
      </c>
      <c r="C2070" s="26"/>
    </row>
    <row r="2071" spans="1:7">
      <c r="A2071" s="855"/>
      <c r="B2071" s="248" t="s">
        <v>4521</v>
      </c>
      <c r="C2071" s="61"/>
      <c r="D2071" s="61"/>
      <c r="E2071" s="61"/>
      <c r="F2071" s="61"/>
      <c r="G2071" s="61"/>
    </row>
    <row r="2072" spans="1:7">
      <c r="A2072" s="865"/>
      <c r="B2072" s="26"/>
      <c r="C2072" s="26"/>
    </row>
    <row r="2073" spans="1:7">
      <c r="A2073" s="865" t="s">
        <v>1940</v>
      </c>
      <c r="B2073" s="26" t="s">
        <v>1351</v>
      </c>
      <c r="C2073" s="26"/>
    </row>
    <row r="2074" spans="1:7">
      <c r="A2074" s="865"/>
      <c r="B2074" s="26"/>
      <c r="C2074" s="26"/>
    </row>
    <row r="2075" spans="1:7" hidden="1">
      <c r="A2075" s="865" t="s">
        <v>3984</v>
      </c>
      <c r="B2075" s="26" t="s">
        <v>5780</v>
      </c>
      <c r="C2075" s="26"/>
    </row>
    <row r="2076" spans="1:7" hidden="1">
      <c r="A2076" s="865"/>
      <c r="B2076" s="26" t="s">
        <v>4477</v>
      </c>
      <c r="C2076" s="26"/>
    </row>
    <row r="2077" spans="1:7" hidden="1">
      <c r="A2077" s="865"/>
      <c r="B2077" s="26" t="s">
        <v>7810</v>
      </c>
      <c r="C2077" s="26"/>
    </row>
    <row r="2078" spans="1:7" hidden="1">
      <c r="A2078" s="865"/>
      <c r="B2078" s="26" t="s">
        <v>7811</v>
      </c>
      <c r="C2078" s="26"/>
      <c r="D2078" s="26">
        <f>ROUND(50*13*8/320,2)</f>
        <v>16.25</v>
      </c>
      <c r="E2078" s="26" t="s">
        <v>3760</v>
      </c>
    </row>
    <row r="2079" spans="1:7" hidden="1">
      <c r="A2079" s="865"/>
      <c r="B2079" s="26" t="s">
        <v>2843</v>
      </c>
      <c r="C2079" s="26"/>
    </row>
    <row r="2080" spans="1:7" hidden="1">
      <c r="A2080" s="865"/>
      <c r="B2080" s="26" t="s">
        <v>4478</v>
      </c>
      <c r="C2080" s="26"/>
    </row>
    <row r="2081" spans="1:7" hidden="1">
      <c r="A2081" s="865"/>
      <c r="B2081" s="26" t="s">
        <v>1990</v>
      </c>
      <c r="C2081" s="26"/>
      <c r="F2081" s="68">
        <f>G667</f>
        <v>224.56752690000002</v>
      </c>
      <c r="G2081" s="26" t="s">
        <v>1168</v>
      </c>
    </row>
    <row r="2082" spans="1:7" hidden="1">
      <c r="A2082" s="865"/>
      <c r="B2082" s="26" t="s">
        <v>6133</v>
      </c>
      <c r="C2082" s="26"/>
    </row>
    <row r="2083" spans="1:7" hidden="1">
      <c r="A2083" s="865"/>
      <c r="B2083" s="26" t="s">
        <v>1991</v>
      </c>
      <c r="C2083" s="26"/>
      <c r="F2083" s="68">
        <f>G693</f>
        <v>88.5</v>
      </c>
      <c r="G2083" s="26" t="s">
        <v>1168</v>
      </c>
    </row>
    <row r="2084" spans="1:7" hidden="1">
      <c r="A2084" s="865"/>
      <c r="B2084" s="26" t="s">
        <v>2104</v>
      </c>
      <c r="C2084" s="26"/>
    </row>
    <row r="2085" spans="1:7" hidden="1">
      <c r="A2085" s="865"/>
      <c r="B2085" s="26" t="s">
        <v>451</v>
      </c>
      <c r="C2085" s="26"/>
    </row>
    <row r="2086" spans="1:7" hidden="1">
      <c r="A2086" s="855"/>
      <c r="B2086" s="61" t="s">
        <v>1989</v>
      </c>
      <c r="C2086" s="61"/>
      <c r="D2086" s="61"/>
      <c r="E2086" s="61"/>
      <c r="F2086" s="61"/>
      <c r="G2086" s="61"/>
    </row>
    <row r="2087" spans="1:7" hidden="1">
      <c r="A2087" s="855"/>
      <c r="B2087" s="61" t="s">
        <v>2105</v>
      </c>
      <c r="C2087" s="61"/>
      <c r="D2087" s="61"/>
      <c r="E2087" s="61"/>
      <c r="F2087" s="61"/>
      <c r="G2087" s="61"/>
    </row>
    <row r="2088" spans="1:7">
      <c r="B2088" s="78"/>
      <c r="C2088" s="26"/>
    </row>
    <row r="2089" spans="1:7">
      <c r="A2089" s="865" t="s">
        <v>3984</v>
      </c>
      <c r="B2089" s="78"/>
      <c r="C2089" s="203" t="s">
        <v>2367</v>
      </c>
      <c r="E2089" s="171" t="s">
        <v>297</v>
      </c>
      <c r="F2089" s="246">
        <f>D2078</f>
        <v>16.25</v>
      </c>
      <c r="G2089" s="26" t="s">
        <v>3477</v>
      </c>
    </row>
    <row r="2090" spans="1:7">
      <c r="B2090" s="79" t="s">
        <v>2368</v>
      </c>
      <c r="C2090" s="26"/>
    </row>
    <row r="2091" spans="1:7">
      <c r="B2091" s="95" t="s">
        <v>2369</v>
      </c>
      <c r="C2091" s="157" t="s">
        <v>4443</v>
      </c>
      <c r="D2091" s="95" t="s">
        <v>2370</v>
      </c>
      <c r="E2091" s="95" t="s">
        <v>1166</v>
      </c>
      <c r="F2091" s="95" t="s">
        <v>2371</v>
      </c>
      <c r="G2091" s="95" t="s">
        <v>2372</v>
      </c>
    </row>
    <row r="2092" spans="1:7">
      <c r="B2092" s="114"/>
      <c r="C2092" s="154"/>
      <c r="D2092" s="114"/>
      <c r="E2092" s="114"/>
      <c r="F2092" s="114" t="s">
        <v>3485</v>
      </c>
      <c r="G2092" s="114" t="s">
        <v>3485</v>
      </c>
    </row>
    <row r="2093" spans="1:7">
      <c r="B2093" s="95">
        <v>1</v>
      </c>
      <c r="C2093" s="135" t="s">
        <v>1048</v>
      </c>
      <c r="D2093" s="95" t="s">
        <v>3478</v>
      </c>
      <c r="E2093" s="190">
        <f>320*F2089</f>
        <v>5200</v>
      </c>
      <c r="F2093" s="214">
        <f>'BASIC DATA'!$D$32/1000</f>
        <v>5.35</v>
      </c>
      <c r="G2093" s="190">
        <f>E2093*F2093</f>
        <v>27819.999999999996</v>
      </c>
    </row>
    <row r="2094" spans="1:7">
      <c r="B2094" s="317"/>
      <c r="C2094" s="135" t="s">
        <v>1049</v>
      </c>
      <c r="D2094" s="105" t="s">
        <v>3478</v>
      </c>
      <c r="E2094" s="190">
        <f>F2089*5</f>
        <v>81.25</v>
      </c>
      <c r="F2094" s="214">
        <f>'BASIC DATA'!$D$32/1000</f>
        <v>5.35</v>
      </c>
      <c r="G2094" s="190">
        <f t="shared" ref="G2094:G2102" si="54">E2094*F2094</f>
        <v>434.68749999999994</v>
      </c>
    </row>
    <row r="2095" spans="1:7">
      <c r="B2095" s="105">
        <v>2</v>
      </c>
      <c r="C2095" s="135" t="s">
        <v>6996</v>
      </c>
      <c r="D2095" s="105" t="s">
        <v>3477</v>
      </c>
      <c r="E2095" s="190">
        <f>0.9*F2089*0.5</f>
        <v>7.3125</v>
      </c>
      <c r="F2095" s="214">
        <f>'BASIC DATA'!$D$36</f>
        <v>1175</v>
      </c>
      <c r="G2095" s="190">
        <f t="shared" si="54"/>
        <v>8592.1875</v>
      </c>
    </row>
    <row r="2096" spans="1:7">
      <c r="B2096" s="317"/>
      <c r="C2096" s="135" t="s">
        <v>6995</v>
      </c>
      <c r="D2096" s="105" t="s">
        <v>3477</v>
      </c>
      <c r="E2096" s="190">
        <f>0.9*F2089*0.3</f>
        <v>4.3875000000000002</v>
      </c>
      <c r="F2096" s="214">
        <f>'BASIC DATA'!$D$35</f>
        <v>1225</v>
      </c>
      <c r="G2096" s="190">
        <f t="shared" si="54"/>
        <v>5374.6875</v>
      </c>
    </row>
    <row r="2097" spans="1:7">
      <c r="B2097" s="317"/>
      <c r="C2097" s="135" t="s">
        <v>1050</v>
      </c>
      <c r="D2097" s="105" t="s">
        <v>3477</v>
      </c>
      <c r="E2097" s="190">
        <f>0.9*F2089*0.2</f>
        <v>2.9250000000000003</v>
      </c>
      <c r="F2097" s="214">
        <f>'BASIC DATA'!$D$34</f>
        <v>900</v>
      </c>
      <c r="G2097" s="190">
        <f t="shared" si="54"/>
        <v>2632.5000000000005</v>
      </c>
    </row>
    <row r="2098" spans="1:7">
      <c r="A2098" s="853"/>
      <c r="B2098" s="240">
        <v>3</v>
      </c>
      <c r="C2098" s="326" t="s">
        <v>7941</v>
      </c>
      <c r="D2098" s="240" t="s">
        <v>3477</v>
      </c>
      <c r="E2098" s="255">
        <f>0.4*F2089</f>
        <v>6.5</v>
      </c>
      <c r="F2098" s="266">
        <f>'BASIC DATA'!$D$55</f>
        <v>95</v>
      </c>
      <c r="G2098" s="255">
        <f t="shared" si="54"/>
        <v>617.5</v>
      </c>
    </row>
    <row r="2099" spans="1:7">
      <c r="B2099" s="105">
        <v>4</v>
      </c>
      <c r="C2099" s="135" t="s">
        <v>523</v>
      </c>
      <c r="D2099" s="105" t="s">
        <v>3478</v>
      </c>
      <c r="E2099" s="190">
        <f>E2093*0.4%</f>
        <v>20.8</v>
      </c>
      <c r="F2099" s="214">
        <f>'BASIC DATA'!$D$99</f>
        <v>55</v>
      </c>
      <c r="G2099" s="190">
        <f t="shared" si="54"/>
        <v>1144</v>
      </c>
    </row>
    <row r="2100" spans="1:7">
      <c r="B2100" s="105">
        <v>5</v>
      </c>
      <c r="C2100" s="135" t="s">
        <v>7213</v>
      </c>
      <c r="D2100" s="105" t="s">
        <v>3479</v>
      </c>
      <c r="E2100" s="190">
        <f>F2089*3.25</f>
        <v>52.8125</v>
      </c>
      <c r="F2100" s="214">
        <f>F2081</f>
        <v>224.56752690000002</v>
      </c>
      <c r="G2100" s="190">
        <f t="shared" si="54"/>
        <v>11859.97251440625</v>
      </c>
    </row>
    <row r="2101" spans="1:7">
      <c r="B2101" s="317"/>
      <c r="C2101" s="135" t="s">
        <v>5408</v>
      </c>
      <c r="D2101" s="224">
        <v>0.25</v>
      </c>
      <c r="E2101" s="190"/>
      <c r="F2101" s="214"/>
      <c r="G2101" s="190">
        <f>G2100*D2101</f>
        <v>2964.9931286015626</v>
      </c>
    </row>
    <row r="2102" spans="1:7">
      <c r="B2102" s="114">
        <v>6</v>
      </c>
      <c r="C2102" s="135" t="s">
        <v>2373</v>
      </c>
      <c r="D2102" s="105" t="s">
        <v>2173</v>
      </c>
      <c r="E2102" s="190">
        <v>0.5</v>
      </c>
      <c r="F2102" s="214">
        <f>'BASIC DATA'!$D$359</f>
        <v>30</v>
      </c>
      <c r="G2102" s="190">
        <f t="shared" si="54"/>
        <v>15</v>
      </c>
    </row>
    <row r="2103" spans="1:7">
      <c r="B2103" s="92"/>
      <c r="C2103" s="193" t="s">
        <v>2376</v>
      </c>
      <c r="D2103" s="159"/>
      <c r="E2103" s="238"/>
      <c r="F2103" s="236" t="s">
        <v>1698</v>
      </c>
      <c r="G2103" s="318">
        <f>SUM(G2093:G2102)</f>
        <v>61455.528143007818</v>
      </c>
    </row>
    <row r="2104" spans="1:7">
      <c r="B2104" s="78"/>
      <c r="C2104" s="26"/>
    </row>
    <row r="2105" spans="1:7">
      <c r="B2105" s="79" t="s">
        <v>2377</v>
      </c>
      <c r="C2105" s="26"/>
    </row>
    <row r="2106" spans="1:7">
      <c r="B2106" s="95" t="s">
        <v>2369</v>
      </c>
      <c r="C2106" s="157" t="s">
        <v>2378</v>
      </c>
      <c r="D2106" s="95" t="s">
        <v>2370</v>
      </c>
      <c r="E2106" s="95" t="s">
        <v>1166</v>
      </c>
      <c r="F2106" s="95" t="s">
        <v>2371</v>
      </c>
      <c r="G2106" s="95" t="s">
        <v>2372</v>
      </c>
    </row>
    <row r="2107" spans="1:7">
      <c r="B2107" s="114"/>
      <c r="C2107" s="154"/>
      <c r="D2107" s="114"/>
      <c r="E2107" s="114"/>
      <c r="F2107" s="114" t="s">
        <v>3485</v>
      </c>
      <c r="G2107" s="114" t="s">
        <v>3485</v>
      </c>
    </row>
    <row r="2108" spans="1:7">
      <c r="B2108" s="95">
        <v>1</v>
      </c>
      <c r="C2108" s="153" t="s">
        <v>7214</v>
      </c>
      <c r="D2108" s="175" t="s">
        <v>2374</v>
      </c>
      <c r="E2108" s="179">
        <v>8</v>
      </c>
      <c r="F2108" s="190">
        <f>'HIRE CHARGES'!$D$507</f>
        <v>53.5</v>
      </c>
      <c r="G2108" s="190">
        <f t="shared" ref="G2108:G2113" si="55">E2108*F2108</f>
        <v>428</v>
      </c>
    </row>
    <row r="2109" spans="1:7">
      <c r="B2109" s="317"/>
      <c r="C2109" s="152" t="s">
        <v>2379</v>
      </c>
      <c r="D2109" s="33" t="s">
        <v>2374</v>
      </c>
      <c r="E2109" s="190">
        <v>8</v>
      </c>
      <c r="F2109" s="190">
        <f>'HIRE CHARGES'!$E$507</f>
        <v>79.3</v>
      </c>
      <c r="G2109" s="190">
        <f t="shared" si="55"/>
        <v>634.4</v>
      </c>
    </row>
    <row r="2110" spans="1:7">
      <c r="B2110" s="105">
        <v>2</v>
      </c>
      <c r="C2110" s="152" t="s">
        <v>189</v>
      </c>
      <c r="D2110" s="33" t="s">
        <v>2374</v>
      </c>
      <c r="E2110" s="190">
        <v>0.5</v>
      </c>
      <c r="F2110" s="190">
        <f>'HIRE CHARGES'!$D$517</f>
        <v>10.199999999999999</v>
      </c>
      <c r="G2110" s="190">
        <f t="shared" si="55"/>
        <v>5.0999999999999996</v>
      </c>
    </row>
    <row r="2111" spans="1:7" ht="18.75" thickBot="1">
      <c r="B2111" s="317"/>
      <c r="C2111" s="152" t="s">
        <v>2379</v>
      </c>
      <c r="D2111" s="33" t="s">
        <v>2374</v>
      </c>
      <c r="E2111" s="190">
        <v>0.5</v>
      </c>
      <c r="F2111" s="190">
        <f>'HIRE CHARGES'!$E$517</f>
        <v>79.3</v>
      </c>
      <c r="G2111" s="190">
        <f t="shared" si="55"/>
        <v>39.65</v>
      </c>
    </row>
    <row r="2112" spans="1:7">
      <c r="B2112" s="105">
        <v>3</v>
      </c>
      <c r="C2112" s="135" t="s">
        <v>526</v>
      </c>
      <c r="D2112" s="679" t="s">
        <v>2374</v>
      </c>
      <c r="E2112" s="207">
        <v>8</v>
      </c>
      <c r="F2112" s="190">
        <f>'HIRE CHARGES'!$D$531</f>
        <v>7.6</v>
      </c>
      <c r="G2112" s="190">
        <f t="shared" si="55"/>
        <v>60.8</v>
      </c>
    </row>
    <row r="2113" spans="2:7" ht="18.75" thickBot="1">
      <c r="B2113" s="365"/>
      <c r="C2113" s="139" t="s">
        <v>2379</v>
      </c>
      <c r="D2113" s="680" t="s">
        <v>2374</v>
      </c>
      <c r="E2113" s="181">
        <v>8</v>
      </c>
      <c r="F2113" s="207">
        <f>'HIRE CHARGES'!$E$531</f>
        <v>18.8</v>
      </c>
      <c r="G2113" s="190">
        <f t="shared" si="55"/>
        <v>150.4</v>
      </c>
    </row>
    <row r="2114" spans="2:7">
      <c r="B2114" s="176"/>
      <c r="C2114" s="172" t="s">
        <v>2380</v>
      </c>
      <c r="D2114" s="174"/>
      <c r="E2114" s="192"/>
      <c r="F2114" s="236" t="s">
        <v>1698</v>
      </c>
      <c r="G2114" s="318">
        <f>SUM(G2108:G2113)</f>
        <v>1318.3500000000001</v>
      </c>
    </row>
    <row r="2115" spans="2:7">
      <c r="B2115" s="78"/>
      <c r="C2115" s="26"/>
    </row>
    <row r="2116" spans="2:7">
      <c r="B2116" s="79" t="s">
        <v>2381</v>
      </c>
      <c r="C2116" s="26"/>
    </row>
    <row r="2117" spans="2:7">
      <c r="B2117" s="95" t="s">
        <v>2369</v>
      </c>
      <c r="C2117" s="157" t="s">
        <v>2378</v>
      </c>
      <c r="D2117" s="95" t="s">
        <v>2370</v>
      </c>
      <c r="E2117" s="95" t="s">
        <v>1166</v>
      </c>
      <c r="F2117" s="95" t="s">
        <v>2371</v>
      </c>
      <c r="G2117" s="95" t="s">
        <v>2372</v>
      </c>
    </row>
    <row r="2118" spans="2:7">
      <c r="B2118" s="114"/>
      <c r="C2118" s="154"/>
      <c r="D2118" s="105"/>
      <c r="E2118" s="105"/>
      <c r="F2118" s="105" t="s">
        <v>3485</v>
      </c>
      <c r="G2118" s="114" t="s">
        <v>3485</v>
      </c>
    </row>
    <row r="2119" spans="2:7">
      <c r="B2119" s="95">
        <v>1</v>
      </c>
      <c r="C2119" s="76" t="s">
        <v>527</v>
      </c>
      <c r="D2119" s="95" t="s">
        <v>2374</v>
      </c>
      <c r="E2119" s="179">
        <v>8</v>
      </c>
      <c r="F2119" s="179">
        <f>'HIRE CHARGES'!$F$507</f>
        <v>219.7</v>
      </c>
      <c r="G2119" s="207">
        <f>E2119*F2119</f>
        <v>1757.6</v>
      </c>
    </row>
    <row r="2120" spans="2:7">
      <c r="B2120" s="105">
        <v>2</v>
      </c>
      <c r="C2120" s="76" t="s">
        <v>999</v>
      </c>
      <c r="D2120" s="105" t="s">
        <v>2374</v>
      </c>
      <c r="E2120" s="190">
        <v>0.5</v>
      </c>
      <c r="F2120" s="190">
        <f>'HIRE CHARGES'!$F$517</f>
        <v>111.1</v>
      </c>
      <c r="G2120" s="207">
        <f t="shared" ref="G2120:G2130" si="56">E2120*F2120</f>
        <v>55.55</v>
      </c>
    </row>
    <row r="2121" spans="2:7">
      <c r="B2121" s="105">
        <v>3</v>
      </c>
      <c r="C2121" s="76" t="s">
        <v>439</v>
      </c>
      <c r="D2121" s="105" t="s">
        <v>2374</v>
      </c>
      <c r="E2121" s="190">
        <v>8</v>
      </c>
      <c r="F2121" s="190">
        <f>'HIRE CHARGES'!$F$531</f>
        <v>158.19999999999999</v>
      </c>
      <c r="G2121" s="207">
        <f t="shared" si="56"/>
        <v>1265.5999999999999</v>
      </c>
    </row>
    <row r="2122" spans="2:7">
      <c r="B2122" s="105">
        <v>4</v>
      </c>
      <c r="C2122" s="76" t="s">
        <v>440</v>
      </c>
      <c r="D2122" s="105" t="s">
        <v>1172</v>
      </c>
      <c r="E2122" s="190">
        <v>1</v>
      </c>
      <c r="F2122" s="190">
        <f>'BASIC DATA'!$C$474</f>
        <v>445</v>
      </c>
      <c r="G2122" s="207">
        <f t="shared" si="56"/>
        <v>445</v>
      </c>
    </row>
    <row r="2123" spans="2:7">
      <c r="B2123" s="105">
        <v>5</v>
      </c>
      <c r="C2123" s="76" t="s">
        <v>4206</v>
      </c>
      <c r="D2123" s="105" t="s">
        <v>1172</v>
      </c>
      <c r="E2123" s="190">
        <v>1</v>
      </c>
      <c r="F2123" s="190">
        <f>'BASIC DATA'!$C$473</f>
        <v>450</v>
      </c>
      <c r="G2123" s="207">
        <f t="shared" si="56"/>
        <v>450</v>
      </c>
    </row>
    <row r="2124" spans="2:7">
      <c r="B2124" s="105">
        <v>6</v>
      </c>
      <c r="C2124" s="76" t="s">
        <v>2697</v>
      </c>
      <c r="D2124" s="105"/>
      <c r="E2124" s="190"/>
      <c r="F2124" s="190"/>
      <c r="G2124" s="207"/>
    </row>
    <row r="2125" spans="2:7">
      <c r="B2125" s="317"/>
      <c r="C2125" s="76" t="s">
        <v>441</v>
      </c>
      <c r="D2125" s="105" t="s">
        <v>1172</v>
      </c>
      <c r="E2125" s="190">
        <v>11</v>
      </c>
      <c r="F2125" s="190">
        <f>'BASIC DATA'!$C$552</f>
        <v>350</v>
      </c>
      <c r="G2125" s="207">
        <f t="shared" si="56"/>
        <v>3850</v>
      </c>
    </row>
    <row r="2126" spans="2:7">
      <c r="B2126" s="317"/>
      <c r="C2126" s="76" t="s">
        <v>442</v>
      </c>
      <c r="D2126" s="105" t="s">
        <v>1172</v>
      </c>
      <c r="E2126" s="190">
        <v>4</v>
      </c>
      <c r="F2126" s="190">
        <f>'BASIC DATA'!$C$552</f>
        <v>350</v>
      </c>
      <c r="G2126" s="207">
        <f t="shared" si="56"/>
        <v>1400</v>
      </c>
    </row>
    <row r="2127" spans="2:7">
      <c r="B2127" s="317"/>
      <c r="C2127" s="76" t="s">
        <v>5151</v>
      </c>
      <c r="D2127" s="105" t="s">
        <v>1172</v>
      </c>
      <c r="E2127" s="190">
        <v>5</v>
      </c>
      <c r="F2127" s="190">
        <f>'BASIC DATA'!$C$552</f>
        <v>350</v>
      </c>
      <c r="G2127" s="207">
        <f t="shared" si="56"/>
        <v>1750</v>
      </c>
    </row>
    <row r="2128" spans="2:7">
      <c r="B2128" s="317"/>
      <c r="C2128" s="76" t="s">
        <v>444</v>
      </c>
      <c r="D2128" s="105" t="s">
        <v>1172</v>
      </c>
      <c r="E2128" s="190">
        <f>F2089</f>
        <v>16.25</v>
      </c>
      <c r="F2128" s="190">
        <f>'BASIC DATA'!$C$552</f>
        <v>350</v>
      </c>
      <c r="G2128" s="207">
        <f t="shared" si="56"/>
        <v>5687.5</v>
      </c>
    </row>
    <row r="2129" spans="2:7">
      <c r="B2129" s="317"/>
      <c r="C2129" s="76" t="s">
        <v>445</v>
      </c>
      <c r="D2129" s="105" t="s">
        <v>1172</v>
      </c>
      <c r="E2129" s="190">
        <v>1</v>
      </c>
      <c r="F2129" s="190">
        <f>'BASIC DATA'!$C$552</f>
        <v>350</v>
      </c>
      <c r="G2129" s="207">
        <f t="shared" si="56"/>
        <v>350</v>
      </c>
    </row>
    <row r="2130" spans="2:7">
      <c r="B2130" s="105">
        <v>7</v>
      </c>
      <c r="C2130" s="76" t="s">
        <v>7215</v>
      </c>
      <c r="D2130" s="105" t="s">
        <v>3479</v>
      </c>
      <c r="E2130" s="190">
        <f>3.25*F2089</f>
        <v>52.8125</v>
      </c>
      <c r="F2130" s="190">
        <f>F2083</f>
        <v>88.5</v>
      </c>
      <c r="G2130" s="207">
        <f t="shared" si="56"/>
        <v>4673.90625</v>
      </c>
    </row>
    <row r="2131" spans="2:7">
      <c r="B2131" s="365"/>
      <c r="C2131" s="76" t="s">
        <v>6402</v>
      </c>
      <c r="D2131" s="681">
        <v>0.25</v>
      </c>
      <c r="E2131" s="182"/>
      <c r="F2131" s="182"/>
      <c r="G2131" s="207">
        <f>G2130*D2131</f>
        <v>1168.4765625</v>
      </c>
    </row>
    <row r="2132" spans="2:7">
      <c r="B2132" s="92"/>
      <c r="C2132" s="193" t="s">
        <v>1174</v>
      </c>
      <c r="D2132" s="159"/>
      <c r="E2132" s="238"/>
      <c r="F2132" s="236" t="s">
        <v>1698</v>
      </c>
      <c r="G2132" s="318">
        <f>SUM(G2119:G2131)</f>
        <v>22853.6328125</v>
      </c>
    </row>
    <row r="2133" spans="2:7">
      <c r="B2133" s="60" t="s">
        <v>5948</v>
      </c>
      <c r="C2133" s="26"/>
      <c r="D2133" s="31"/>
      <c r="E2133" s="85">
        <f>ROUND(G2132/F2089,1)</f>
        <v>1406.4</v>
      </c>
    </row>
    <row r="2134" spans="2:7">
      <c r="B2134" s="60" t="s">
        <v>3163</v>
      </c>
      <c r="C2134" s="26"/>
      <c r="D2134" s="922">
        <f>'BASIC DATA'!$C$577</f>
        <v>0.13614999999999999</v>
      </c>
      <c r="E2134" s="85">
        <f>ROUND(E2133*D2134,1)</f>
        <v>191.5</v>
      </c>
    </row>
    <row r="2135" spans="2:7">
      <c r="B2135" s="60" t="s">
        <v>5949</v>
      </c>
      <c r="C2135" s="26"/>
      <c r="D2135" s="31"/>
      <c r="E2135" s="199">
        <f>ROUND(E2134+E2133,1)</f>
        <v>1597.9</v>
      </c>
      <c r="F2135" s="57"/>
    </row>
    <row r="2136" spans="2:7">
      <c r="B2136" s="26"/>
      <c r="C2136" s="26"/>
    </row>
    <row r="2137" spans="2:7">
      <c r="B2137" s="170" t="s">
        <v>1175</v>
      </c>
      <c r="C2137" s="26"/>
    </row>
    <row r="2138" spans="2:7">
      <c r="B2138" s="26" t="s">
        <v>1176</v>
      </c>
      <c r="C2138" s="26"/>
      <c r="F2138" s="171" t="s">
        <v>1698</v>
      </c>
      <c r="G2138" s="68">
        <f>G2103</f>
        <v>61455.528143007818</v>
      </c>
    </row>
    <row r="2139" spans="2:7">
      <c r="B2139" s="26" t="s">
        <v>1186</v>
      </c>
      <c r="C2139" s="26"/>
      <c r="F2139" s="171" t="s">
        <v>1698</v>
      </c>
      <c r="G2139" s="68">
        <f>G2114</f>
        <v>1318.3500000000001</v>
      </c>
    </row>
    <row r="2140" spans="2:7">
      <c r="B2140" s="26" t="s">
        <v>2660</v>
      </c>
      <c r="C2140" s="26"/>
      <c r="F2140" s="171" t="s">
        <v>1698</v>
      </c>
      <c r="G2140" s="75">
        <f>G2132</f>
        <v>22853.6328125</v>
      </c>
    </row>
    <row r="2141" spans="2:7">
      <c r="B2141" s="78"/>
      <c r="C2141" s="26"/>
      <c r="E2141" s="171"/>
      <c r="F2141" s="171" t="s">
        <v>302</v>
      </c>
      <c r="G2141" s="205">
        <f>SUM(G2138:G2140)</f>
        <v>85627.510955507809</v>
      </c>
    </row>
    <row r="2142" spans="2:7">
      <c r="B2142" s="1206" t="s">
        <v>1379</v>
      </c>
      <c r="C2142" s="1206"/>
      <c r="E2142" s="922">
        <f>'BASIC DATA'!$C$577</f>
        <v>0.13614999999999999</v>
      </c>
      <c r="F2142" s="26" t="s">
        <v>1698</v>
      </c>
      <c r="G2142" s="26">
        <f>ROUND(G2141*E2142,2)</f>
        <v>11658.19</v>
      </c>
    </row>
    <row r="2143" spans="2:7">
      <c r="B2143" s="26" t="s">
        <v>1191</v>
      </c>
      <c r="C2143" s="26"/>
      <c r="D2143" s="68">
        <f>F2089</f>
        <v>16.25</v>
      </c>
      <c r="E2143" s="68" t="str">
        <f>G2089</f>
        <v>cum</v>
      </c>
      <c r="F2143" s="26" t="s">
        <v>1698</v>
      </c>
      <c r="G2143" s="211">
        <f>G2142+G2141</f>
        <v>97285.700955507811</v>
      </c>
    </row>
    <row r="2144" spans="2:7">
      <c r="B2144" s="170" t="s">
        <v>1584</v>
      </c>
      <c r="C2144" s="211" t="str">
        <f>E2143</f>
        <v>cum</v>
      </c>
      <c r="D2144" s="26" t="s">
        <v>7812</v>
      </c>
      <c r="F2144" s="26" t="s">
        <v>4108</v>
      </c>
      <c r="G2144" s="211">
        <f>ROUND(G2143/D2143,1)</f>
        <v>5986.8</v>
      </c>
    </row>
    <row r="2145" spans="1:7">
      <c r="B2145" s="78"/>
      <c r="C2145" s="26"/>
    </row>
    <row r="2146" spans="1:7">
      <c r="B2146" s="78"/>
      <c r="C2146" s="26"/>
    </row>
    <row r="2147" spans="1:7" ht="18.75">
      <c r="A2147" s="865" t="s">
        <v>7560</v>
      </c>
      <c r="B2147" s="26" t="s">
        <v>8793</v>
      </c>
      <c r="C2147" s="26"/>
    </row>
    <row r="2148" spans="1:7" ht="18.75">
      <c r="A2148" s="865"/>
      <c r="B2148" s="26" t="s">
        <v>8951</v>
      </c>
      <c r="C2148" s="26"/>
    </row>
    <row r="2149" spans="1:7" ht="18.75">
      <c r="A2149" s="865"/>
      <c r="B2149" s="26" t="s">
        <v>8952</v>
      </c>
      <c r="C2149" s="26"/>
    </row>
    <row r="2150" spans="1:7">
      <c r="A2150" s="865"/>
      <c r="B2150" s="26" t="s">
        <v>8953</v>
      </c>
      <c r="C2150" s="26"/>
    </row>
    <row r="2151" spans="1:7">
      <c r="A2151" s="865"/>
      <c r="B2151" s="26" t="s">
        <v>3541</v>
      </c>
      <c r="C2151" s="26"/>
    </row>
    <row r="2152" spans="1:7" ht="18.75">
      <c r="A2152" s="865"/>
      <c r="B2152" s="26" t="s">
        <v>8954</v>
      </c>
      <c r="C2152" s="26"/>
    </row>
    <row r="2153" spans="1:7">
      <c r="A2153" s="865" t="s">
        <v>1940</v>
      </c>
      <c r="B2153" s="170" t="s">
        <v>1351</v>
      </c>
      <c r="C2153" s="26"/>
    </row>
    <row r="2154" spans="1:7">
      <c r="A2154" s="865"/>
      <c r="B2154" s="170" t="s">
        <v>7798</v>
      </c>
      <c r="C2154" s="26"/>
    </row>
    <row r="2155" spans="1:7">
      <c r="A2155" s="855"/>
      <c r="B2155" s="248" t="s">
        <v>3579</v>
      </c>
      <c r="C2155" s="61"/>
      <c r="D2155" s="61"/>
      <c r="E2155" s="61"/>
      <c r="F2155" s="61"/>
      <c r="G2155" s="61"/>
    </row>
    <row r="2156" spans="1:7">
      <c r="A2156" s="865"/>
      <c r="B2156" s="170" t="s">
        <v>3399</v>
      </c>
      <c r="C2156" s="26"/>
    </row>
    <row r="2157" spans="1:7">
      <c r="A2157" s="865"/>
      <c r="B2157" s="26"/>
      <c r="C2157" s="26"/>
    </row>
    <row r="2158" spans="1:7" hidden="1">
      <c r="A2158" s="865" t="s">
        <v>3984</v>
      </c>
      <c r="B2158" s="26" t="s">
        <v>5780</v>
      </c>
      <c r="C2158" s="26"/>
    </row>
    <row r="2159" spans="1:7" hidden="1">
      <c r="A2159" s="865"/>
      <c r="B2159" s="26" t="s">
        <v>6321</v>
      </c>
      <c r="C2159" s="26"/>
    </row>
    <row r="2160" spans="1:7" hidden="1">
      <c r="A2160" s="865"/>
      <c r="B2160" s="26" t="s">
        <v>7813</v>
      </c>
      <c r="C2160" s="26"/>
    </row>
    <row r="2161" spans="1:7" hidden="1">
      <c r="A2161" s="865"/>
      <c r="B2161" s="26" t="s">
        <v>6322</v>
      </c>
      <c r="C2161" s="26"/>
    </row>
    <row r="2162" spans="1:7" hidden="1">
      <c r="A2162" s="865"/>
      <c r="B2162" s="26" t="s">
        <v>7814</v>
      </c>
      <c r="C2162" s="26"/>
      <c r="E2162" s="26">
        <f>ROUND(50*10*8/260,2)</f>
        <v>15.38</v>
      </c>
      <c r="G2162" s="26" t="s">
        <v>3760</v>
      </c>
    </row>
    <row r="2163" spans="1:7" hidden="1">
      <c r="A2163" s="865"/>
      <c r="B2163" s="26" t="s">
        <v>2843</v>
      </c>
      <c r="C2163" s="26"/>
    </row>
    <row r="2164" spans="1:7" hidden="1">
      <c r="A2164" s="865"/>
      <c r="B2164" s="26" t="s">
        <v>6323</v>
      </c>
      <c r="C2164" s="26"/>
    </row>
    <row r="2165" spans="1:7" hidden="1">
      <c r="A2165" s="865"/>
      <c r="B2165" s="26" t="s">
        <v>1992</v>
      </c>
      <c r="C2165" s="26"/>
      <c r="F2165" s="68">
        <f>G667</f>
        <v>224.56752690000002</v>
      </c>
      <c r="G2165" s="26" t="s">
        <v>1168</v>
      </c>
    </row>
    <row r="2166" spans="1:7" hidden="1">
      <c r="A2166" s="865"/>
      <c r="B2166" s="26" t="s">
        <v>1522</v>
      </c>
      <c r="C2166" s="26"/>
    </row>
    <row r="2167" spans="1:7" hidden="1">
      <c r="A2167" s="865"/>
      <c r="B2167" s="26" t="s">
        <v>1993</v>
      </c>
      <c r="C2167" s="26"/>
      <c r="F2167" s="68">
        <f>G693</f>
        <v>88.5</v>
      </c>
      <c r="G2167" s="26" t="s">
        <v>1168</v>
      </c>
    </row>
    <row r="2168" spans="1:7" hidden="1">
      <c r="A2168" s="865"/>
      <c r="B2168" s="26" t="s">
        <v>1523</v>
      </c>
      <c r="C2168" s="26"/>
    </row>
    <row r="2169" spans="1:7" hidden="1">
      <c r="A2169" s="865"/>
      <c r="B2169" s="26" t="s">
        <v>7815</v>
      </c>
      <c r="C2169" s="26"/>
      <c r="D2169" s="26">
        <f>ROUND(15.38/0.85,2)</f>
        <v>18.09</v>
      </c>
      <c r="E2169" s="26" t="s">
        <v>3760</v>
      </c>
    </row>
    <row r="2170" spans="1:7" hidden="1">
      <c r="A2170" s="865"/>
      <c r="B2170" s="26" t="s">
        <v>451</v>
      </c>
      <c r="C2170" s="26"/>
    </row>
    <row r="2171" spans="1:7" hidden="1">
      <c r="A2171" s="855"/>
      <c r="B2171" s="61" t="s">
        <v>1994</v>
      </c>
      <c r="C2171" s="61"/>
      <c r="D2171" s="61"/>
      <c r="E2171" s="61"/>
      <c r="F2171" s="61"/>
      <c r="G2171" s="61"/>
    </row>
    <row r="2172" spans="1:7" hidden="1">
      <c r="A2172" s="855"/>
      <c r="B2172" s="61" t="s">
        <v>7006</v>
      </c>
      <c r="C2172" s="61"/>
      <c r="D2172" s="61"/>
      <c r="E2172" s="61"/>
      <c r="F2172" s="61"/>
      <c r="G2172" s="61"/>
    </row>
    <row r="2173" spans="1:7">
      <c r="B2173" s="78"/>
      <c r="C2173" s="26"/>
    </row>
    <row r="2174" spans="1:7">
      <c r="A2174" s="865" t="s">
        <v>3984</v>
      </c>
      <c r="B2174" s="78"/>
      <c r="C2174" s="203" t="s">
        <v>2367</v>
      </c>
      <c r="E2174" s="171" t="s">
        <v>297</v>
      </c>
      <c r="F2174" s="246">
        <f>D2169</f>
        <v>18.09</v>
      </c>
      <c r="G2174" s="26" t="s">
        <v>3477</v>
      </c>
    </row>
    <row r="2175" spans="1:7">
      <c r="B2175" s="79" t="s">
        <v>2368</v>
      </c>
      <c r="C2175" s="26"/>
    </row>
    <row r="2176" spans="1:7">
      <c r="B2176" s="95" t="s">
        <v>2369</v>
      </c>
      <c r="C2176" s="157" t="s">
        <v>4443</v>
      </c>
      <c r="D2176" s="95" t="s">
        <v>2370</v>
      </c>
      <c r="E2176" s="95" t="s">
        <v>1166</v>
      </c>
      <c r="F2176" s="95" t="s">
        <v>2371</v>
      </c>
      <c r="G2176" s="95" t="s">
        <v>2372</v>
      </c>
    </row>
    <row r="2177" spans="1:7">
      <c r="B2177" s="114"/>
      <c r="C2177" s="154"/>
      <c r="D2177" s="114"/>
      <c r="E2177" s="114"/>
      <c r="F2177" s="114" t="s">
        <v>3485</v>
      </c>
      <c r="G2177" s="114" t="s">
        <v>3485</v>
      </c>
    </row>
    <row r="2178" spans="1:7">
      <c r="B2178" s="95">
        <v>1</v>
      </c>
      <c r="C2178" s="135" t="s">
        <v>1048</v>
      </c>
      <c r="D2178" s="95" t="s">
        <v>3478</v>
      </c>
      <c r="E2178" s="190">
        <f>260*F2174</f>
        <v>4703.3999999999996</v>
      </c>
      <c r="F2178" s="214">
        <f>'BASIC DATA'!$D$32/1000</f>
        <v>5.35</v>
      </c>
      <c r="G2178" s="190">
        <f>E2178*F2178</f>
        <v>25163.189999999995</v>
      </c>
    </row>
    <row r="2179" spans="1:7">
      <c r="B2179" s="317"/>
      <c r="C2179" s="135" t="s">
        <v>2122</v>
      </c>
      <c r="D2179" s="105" t="s">
        <v>3478</v>
      </c>
      <c r="E2179" s="190">
        <f>F2174*4</f>
        <v>72.36</v>
      </c>
      <c r="F2179" s="214">
        <f>'BASIC DATA'!$D$32/1000</f>
        <v>5.35</v>
      </c>
      <c r="G2179" s="190">
        <f t="shared" ref="G2179:G2186" si="57">E2179*F2179</f>
        <v>387.12599999999998</v>
      </c>
    </row>
    <row r="2180" spans="1:7">
      <c r="B2180" s="105">
        <v>2</v>
      </c>
      <c r="C2180" s="135" t="s">
        <v>6996</v>
      </c>
      <c r="D2180" s="105" t="s">
        <v>3477</v>
      </c>
      <c r="E2180" s="190">
        <f>0.765*F2174*0.5</f>
        <v>6.9194250000000004</v>
      </c>
      <c r="F2180" s="214">
        <f>'BASIC DATA'!$D$36</f>
        <v>1175</v>
      </c>
      <c r="G2180" s="190">
        <f t="shared" si="57"/>
        <v>8130.3243750000001</v>
      </c>
    </row>
    <row r="2181" spans="1:7">
      <c r="B2181" s="317"/>
      <c r="C2181" s="135" t="s">
        <v>6995</v>
      </c>
      <c r="D2181" s="105" t="s">
        <v>3477</v>
      </c>
      <c r="E2181" s="190">
        <f>0.765*F2174*0.3</f>
        <v>4.1516549999999999</v>
      </c>
      <c r="F2181" s="214">
        <f>'BASIC DATA'!$D$35</f>
        <v>1225</v>
      </c>
      <c r="G2181" s="190">
        <f t="shared" si="57"/>
        <v>5085.7773749999997</v>
      </c>
    </row>
    <row r="2182" spans="1:7">
      <c r="B2182" s="317"/>
      <c r="C2182" s="135" t="s">
        <v>1050</v>
      </c>
      <c r="D2182" s="105" t="s">
        <v>3477</v>
      </c>
      <c r="E2182" s="190">
        <f>0.765*F2174*0.2</f>
        <v>2.7677700000000005</v>
      </c>
      <c r="F2182" s="214">
        <f>'BASIC DATA'!$D$34</f>
        <v>900</v>
      </c>
      <c r="G2182" s="190">
        <f t="shared" si="57"/>
        <v>2490.9930000000004</v>
      </c>
    </row>
    <row r="2183" spans="1:7">
      <c r="B2183" s="105">
        <v>3</v>
      </c>
      <c r="C2183" s="135" t="s">
        <v>2123</v>
      </c>
      <c r="D2183" s="105" t="s">
        <v>3477</v>
      </c>
      <c r="E2183" s="190">
        <f>0.25*F2174</f>
        <v>4.5225</v>
      </c>
      <c r="F2183" s="214">
        <f>'BASIC DATA'!$D$96</f>
        <v>350</v>
      </c>
      <c r="G2183" s="190">
        <f t="shared" si="57"/>
        <v>1582.875</v>
      </c>
    </row>
    <row r="2184" spans="1:7">
      <c r="A2184" s="853"/>
      <c r="B2184" s="240">
        <v>4</v>
      </c>
      <c r="C2184" s="326" t="s">
        <v>7941</v>
      </c>
      <c r="D2184" s="240" t="s">
        <v>3477</v>
      </c>
      <c r="E2184" s="255">
        <f>0.34*F2174</f>
        <v>6.1506000000000007</v>
      </c>
      <c r="F2184" s="266">
        <f>'BASIC DATA'!$D$55</f>
        <v>95</v>
      </c>
      <c r="G2184" s="255">
        <f t="shared" si="57"/>
        <v>584.30700000000002</v>
      </c>
    </row>
    <row r="2185" spans="1:7">
      <c r="B2185" s="105">
        <v>5</v>
      </c>
      <c r="C2185" s="135" t="s">
        <v>523</v>
      </c>
      <c r="D2185" s="105" t="s">
        <v>3478</v>
      </c>
      <c r="E2185" s="190">
        <f>E2178*0.4%</f>
        <v>18.813599999999997</v>
      </c>
      <c r="F2185" s="214">
        <f>'BASIC DATA'!$D$99</f>
        <v>55</v>
      </c>
      <c r="G2185" s="190">
        <f t="shared" si="57"/>
        <v>1034.7479999999998</v>
      </c>
    </row>
    <row r="2186" spans="1:7">
      <c r="B2186" s="317"/>
      <c r="C2186" s="135" t="s">
        <v>7213</v>
      </c>
      <c r="D2186" s="105" t="s">
        <v>3479</v>
      </c>
      <c r="E2186" s="190">
        <f>2.75*F2174</f>
        <v>49.747500000000002</v>
      </c>
      <c r="F2186" s="214">
        <f>F2165</f>
        <v>224.56752690000002</v>
      </c>
      <c r="G2186" s="190">
        <f t="shared" si="57"/>
        <v>11171.673044457752</v>
      </c>
    </row>
    <row r="2187" spans="1:7">
      <c r="B2187" s="114">
        <v>6</v>
      </c>
      <c r="C2187" s="139" t="s">
        <v>5408</v>
      </c>
      <c r="D2187" s="681">
        <v>0.3</v>
      </c>
      <c r="E2187" s="182"/>
      <c r="F2187" s="215"/>
      <c r="G2187" s="182">
        <f>G2186*D2187</f>
        <v>3351.5019133373253</v>
      </c>
    </row>
    <row r="2188" spans="1:7">
      <c r="B2188" s="92"/>
      <c r="C2188" s="193" t="s">
        <v>2376</v>
      </c>
      <c r="D2188" s="159"/>
      <c r="E2188" s="238"/>
      <c r="F2188" s="236" t="s">
        <v>1698</v>
      </c>
      <c r="G2188" s="318">
        <f>SUM(G2178:G2187)</f>
        <v>58982.515707795072</v>
      </c>
    </row>
    <row r="2189" spans="1:7">
      <c r="B2189" s="78"/>
      <c r="C2189" s="26"/>
    </row>
    <row r="2190" spans="1:7">
      <c r="B2190" s="79" t="s">
        <v>2377</v>
      </c>
      <c r="C2190" s="26"/>
    </row>
    <row r="2191" spans="1:7">
      <c r="B2191" s="95" t="s">
        <v>2369</v>
      </c>
      <c r="C2191" s="157" t="s">
        <v>2378</v>
      </c>
      <c r="D2191" s="95" t="s">
        <v>2370</v>
      </c>
      <c r="E2191" s="95" t="s">
        <v>1166</v>
      </c>
      <c r="F2191" s="95" t="s">
        <v>2371</v>
      </c>
      <c r="G2191" s="95" t="s">
        <v>2372</v>
      </c>
    </row>
    <row r="2192" spans="1:7">
      <c r="B2192" s="114"/>
      <c r="C2192" s="154"/>
      <c r="D2192" s="114"/>
      <c r="E2192" s="114"/>
      <c r="F2192" s="114" t="s">
        <v>3485</v>
      </c>
      <c r="G2192" s="114" t="s">
        <v>3485</v>
      </c>
    </row>
    <row r="2193" spans="2:7">
      <c r="B2193" s="95">
        <v>1</v>
      </c>
      <c r="C2193" s="153" t="s">
        <v>7214</v>
      </c>
      <c r="D2193" s="175" t="s">
        <v>2374</v>
      </c>
      <c r="E2193" s="179">
        <v>8</v>
      </c>
      <c r="F2193" s="190">
        <f>'HIRE CHARGES'!$D$507</f>
        <v>53.5</v>
      </c>
      <c r="G2193" s="190">
        <f t="shared" ref="G2193:G2198" si="58">E2193*F2193</f>
        <v>428</v>
      </c>
    </row>
    <row r="2194" spans="2:7">
      <c r="B2194" s="317"/>
      <c r="C2194" s="152" t="s">
        <v>2379</v>
      </c>
      <c r="D2194" s="33" t="s">
        <v>2374</v>
      </c>
      <c r="E2194" s="190">
        <v>8</v>
      </c>
      <c r="F2194" s="190">
        <f>'HIRE CHARGES'!$E$507</f>
        <v>79.3</v>
      </c>
      <c r="G2194" s="190">
        <f t="shared" si="58"/>
        <v>634.4</v>
      </c>
    </row>
    <row r="2195" spans="2:7">
      <c r="B2195" s="105">
        <v>2</v>
      </c>
      <c r="C2195" s="152" t="s">
        <v>189</v>
      </c>
      <c r="D2195" s="33" t="s">
        <v>2374</v>
      </c>
      <c r="E2195" s="190">
        <v>0.5</v>
      </c>
      <c r="F2195" s="190">
        <f>'HIRE CHARGES'!$D$517</f>
        <v>10.199999999999999</v>
      </c>
      <c r="G2195" s="190">
        <f t="shared" si="58"/>
        <v>5.0999999999999996</v>
      </c>
    </row>
    <row r="2196" spans="2:7">
      <c r="B2196" s="317"/>
      <c r="C2196" s="152" t="s">
        <v>2379</v>
      </c>
      <c r="D2196" s="33" t="s">
        <v>2374</v>
      </c>
      <c r="E2196" s="190">
        <v>0.5</v>
      </c>
      <c r="F2196" s="190">
        <f>'HIRE CHARGES'!$E$517</f>
        <v>79.3</v>
      </c>
      <c r="G2196" s="190">
        <f t="shared" si="58"/>
        <v>39.65</v>
      </c>
    </row>
    <row r="2197" spans="2:7">
      <c r="B2197" s="105">
        <v>3</v>
      </c>
      <c r="C2197" s="152" t="s">
        <v>703</v>
      </c>
      <c r="D2197" s="33" t="s">
        <v>2374</v>
      </c>
      <c r="E2197" s="190">
        <v>8</v>
      </c>
      <c r="F2197" s="190">
        <f>'HIRE CHARGES'!$D$533</f>
        <v>8.1999999999999993</v>
      </c>
      <c r="G2197" s="190">
        <f t="shared" si="58"/>
        <v>65.599999999999994</v>
      </c>
    </row>
    <row r="2198" spans="2:7">
      <c r="B2198" s="365"/>
      <c r="C2198" s="116" t="s">
        <v>2379</v>
      </c>
      <c r="D2198" s="33" t="s">
        <v>2374</v>
      </c>
      <c r="E2198" s="182">
        <v>8</v>
      </c>
      <c r="F2198" s="207">
        <f>'HIRE CHARGES'!$E$533</f>
        <v>28.2</v>
      </c>
      <c r="G2198" s="190">
        <f t="shared" si="58"/>
        <v>225.6</v>
      </c>
    </row>
    <row r="2199" spans="2:7">
      <c r="B2199" s="176"/>
      <c r="C2199" s="172" t="s">
        <v>2380</v>
      </c>
      <c r="D2199" s="174"/>
      <c r="E2199" s="192"/>
      <c r="F2199" s="236" t="s">
        <v>1698</v>
      </c>
      <c r="G2199" s="318">
        <f>SUM(G2193:G2198)</f>
        <v>1398.35</v>
      </c>
    </row>
    <row r="2200" spans="2:7">
      <c r="B2200" s="78"/>
      <c r="C2200" s="26"/>
    </row>
    <row r="2201" spans="2:7">
      <c r="B2201" s="79" t="s">
        <v>2381</v>
      </c>
      <c r="C2201" s="26"/>
    </row>
    <row r="2202" spans="2:7">
      <c r="B2202" s="95" t="s">
        <v>2369</v>
      </c>
      <c r="C2202" s="157" t="s">
        <v>2378</v>
      </c>
      <c r="D2202" s="95" t="s">
        <v>2370</v>
      </c>
      <c r="E2202" s="95" t="s">
        <v>1166</v>
      </c>
      <c r="F2202" s="95" t="s">
        <v>2371</v>
      </c>
      <c r="G2202" s="95" t="s">
        <v>2372</v>
      </c>
    </row>
    <row r="2203" spans="2:7">
      <c r="B2203" s="114"/>
      <c r="C2203" s="154"/>
      <c r="D2203" s="105"/>
      <c r="E2203" s="105"/>
      <c r="F2203" s="105" t="s">
        <v>3485</v>
      </c>
      <c r="G2203" s="114" t="s">
        <v>3485</v>
      </c>
    </row>
    <row r="2204" spans="2:7">
      <c r="B2204" s="95">
        <v>1</v>
      </c>
      <c r="C2204" s="76" t="s">
        <v>527</v>
      </c>
      <c r="D2204" s="95" t="s">
        <v>2374</v>
      </c>
      <c r="E2204" s="179">
        <v>8</v>
      </c>
      <c r="F2204" s="179">
        <f>'HIRE CHARGES'!$F$507</f>
        <v>219.7</v>
      </c>
      <c r="G2204" s="207">
        <f>E2204*F2204</f>
        <v>1757.6</v>
      </c>
    </row>
    <row r="2205" spans="2:7">
      <c r="B2205" s="105">
        <v>2</v>
      </c>
      <c r="C2205" s="76" t="s">
        <v>999</v>
      </c>
      <c r="D2205" s="105" t="s">
        <v>2374</v>
      </c>
      <c r="E2205" s="190">
        <v>0.5</v>
      </c>
      <c r="F2205" s="190">
        <f>'HIRE CHARGES'!$F$517</f>
        <v>111.1</v>
      </c>
      <c r="G2205" s="207">
        <f t="shared" ref="G2205:G2217" si="59">E2205*F2205</f>
        <v>55.55</v>
      </c>
    </row>
    <row r="2206" spans="2:7">
      <c r="B2206" s="105">
        <v>3</v>
      </c>
      <c r="C2206" s="76" t="s">
        <v>439</v>
      </c>
      <c r="D2206" s="105" t="s">
        <v>2374</v>
      </c>
      <c r="E2206" s="190">
        <v>8</v>
      </c>
      <c r="F2206" s="190">
        <f>'HIRE CHARGES'!$F$533</f>
        <v>158.19999999999999</v>
      </c>
      <c r="G2206" s="207">
        <f t="shared" si="59"/>
        <v>1265.5999999999999</v>
      </c>
    </row>
    <row r="2207" spans="2:7">
      <c r="B2207" s="105">
        <v>4</v>
      </c>
      <c r="C2207" s="76" t="s">
        <v>440</v>
      </c>
      <c r="D2207" s="105" t="s">
        <v>1172</v>
      </c>
      <c r="E2207" s="190">
        <v>1</v>
      </c>
      <c r="F2207" s="190">
        <f>'BASIC DATA'!$C$474</f>
        <v>445</v>
      </c>
      <c r="G2207" s="207">
        <f t="shared" si="59"/>
        <v>445</v>
      </c>
    </row>
    <row r="2208" spans="2:7">
      <c r="B2208" s="105">
        <v>5</v>
      </c>
      <c r="C2208" s="76" t="s">
        <v>4206</v>
      </c>
      <c r="D2208" s="105" t="s">
        <v>1172</v>
      </c>
      <c r="E2208" s="190">
        <v>1</v>
      </c>
      <c r="F2208" s="190">
        <f>'BASIC DATA'!$C$473</f>
        <v>450</v>
      </c>
      <c r="G2208" s="207">
        <f t="shared" si="59"/>
        <v>450</v>
      </c>
    </row>
    <row r="2209" spans="2:7">
      <c r="B2209" s="105">
        <v>6</v>
      </c>
      <c r="C2209" s="76" t="s">
        <v>2697</v>
      </c>
      <c r="D2209" s="105"/>
      <c r="E2209" s="190"/>
      <c r="F2209" s="190"/>
      <c r="G2209" s="207"/>
    </row>
    <row r="2210" spans="2:7">
      <c r="B2210" s="317"/>
      <c r="C2210" s="76" t="s">
        <v>441</v>
      </c>
      <c r="D2210" s="105" t="s">
        <v>1172</v>
      </c>
      <c r="E2210" s="190">
        <v>11</v>
      </c>
      <c r="F2210" s="190">
        <f>'BASIC DATA'!$C$552</f>
        <v>350</v>
      </c>
      <c r="G2210" s="207">
        <f t="shared" si="59"/>
        <v>3850</v>
      </c>
    </row>
    <row r="2211" spans="2:7">
      <c r="B2211" s="317"/>
      <c r="C2211" s="76" t="s">
        <v>442</v>
      </c>
      <c r="D2211" s="105" t="s">
        <v>1172</v>
      </c>
      <c r="E2211" s="190">
        <v>4</v>
      </c>
      <c r="F2211" s="190">
        <f>'BASIC DATA'!$C$552</f>
        <v>350</v>
      </c>
      <c r="G2211" s="207">
        <f t="shared" si="59"/>
        <v>1400</v>
      </c>
    </row>
    <row r="2212" spans="2:7">
      <c r="B2212" s="317"/>
      <c r="C2212" s="76" t="s">
        <v>5151</v>
      </c>
      <c r="D2212" s="105" t="s">
        <v>1172</v>
      </c>
      <c r="E2212" s="190">
        <v>5</v>
      </c>
      <c r="F2212" s="190">
        <f>'BASIC DATA'!$C$552</f>
        <v>350</v>
      </c>
      <c r="G2212" s="207">
        <f t="shared" si="59"/>
        <v>1750</v>
      </c>
    </row>
    <row r="2213" spans="2:7">
      <c r="B2213" s="317"/>
      <c r="C2213" s="76" t="s">
        <v>2124</v>
      </c>
      <c r="D2213" s="105" t="s">
        <v>1172</v>
      </c>
      <c r="E2213" s="190">
        <v>2</v>
      </c>
      <c r="F2213" s="190">
        <f>'BASIC DATA'!$C$552</f>
        <v>350</v>
      </c>
      <c r="G2213" s="207">
        <f t="shared" si="59"/>
        <v>700</v>
      </c>
    </row>
    <row r="2214" spans="2:7">
      <c r="B2214" s="317"/>
      <c r="C2214" s="76" t="s">
        <v>444</v>
      </c>
      <c r="D2214" s="105" t="s">
        <v>1172</v>
      </c>
      <c r="E2214" s="190">
        <f>E2162</f>
        <v>15.38</v>
      </c>
      <c r="F2214" s="190">
        <f>'BASIC DATA'!$C$552</f>
        <v>350</v>
      </c>
      <c r="G2214" s="207">
        <f t="shared" si="59"/>
        <v>5383</v>
      </c>
    </row>
    <row r="2215" spans="2:7">
      <c r="B2215" s="317"/>
      <c r="C2215" s="76" t="s">
        <v>2125</v>
      </c>
      <c r="D2215" s="105" t="s">
        <v>1172</v>
      </c>
      <c r="E2215" s="190">
        <v>2</v>
      </c>
      <c r="F2215" s="190">
        <f>'BASIC DATA'!$C$552</f>
        <v>350</v>
      </c>
      <c r="G2215" s="207">
        <f t="shared" si="59"/>
        <v>700</v>
      </c>
    </row>
    <row r="2216" spans="2:7">
      <c r="B2216" s="317"/>
      <c r="C2216" s="76" t="s">
        <v>445</v>
      </c>
      <c r="D2216" s="105" t="s">
        <v>1172</v>
      </c>
      <c r="E2216" s="190">
        <v>1</v>
      </c>
      <c r="F2216" s="190">
        <f>'BASIC DATA'!$C$552</f>
        <v>350</v>
      </c>
      <c r="G2216" s="207">
        <f t="shared" si="59"/>
        <v>350</v>
      </c>
    </row>
    <row r="2217" spans="2:7">
      <c r="B2217" s="105">
        <v>7</v>
      </c>
      <c r="C2217" s="76" t="s">
        <v>2126</v>
      </c>
      <c r="D2217" s="105" t="s">
        <v>3479</v>
      </c>
      <c r="E2217" s="190">
        <f>2.75*F2174</f>
        <v>49.747500000000002</v>
      </c>
      <c r="F2217" s="190">
        <f>F2167</f>
        <v>88.5</v>
      </c>
      <c r="G2217" s="207">
        <f t="shared" si="59"/>
        <v>4402.6537500000004</v>
      </c>
    </row>
    <row r="2218" spans="2:7">
      <c r="B2218" s="365"/>
      <c r="C2218" s="76" t="s">
        <v>5940</v>
      </c>
      <c r="D2218" s="681">
        <v>0.3</v>
      </c>
      <c r="E2218" s="182"/>
      <c r="F2218" s="182"/>
      <c r="G2218" s="207">
        <f>G2217*D2218</f>
        <v>1320.7961250000001</v>
      </c>
    </row>
    <row r="2219" spans="2:7">
      <c r="B2219" s="92"/>
      <c r="C2219" s="193" t="s">
        <v>1174</v>
      </c>
      <c r="D2219" s="159"/>
      <c r="E2219" s="238"/>
      <c r="F2219" s="236" t="s">
        <v>1698</v>
      </c>
      <c r="G2219" s="318">
        <f>SUM(G2204:G2218)</f>
        <v>23830.199875000002</v>
      </c>
    </row>
    <row r="2220" spans="2:7">
      <c r="B2220" s="60" t="s">
        <v>5948</v>
      </c>
      <c r="C2220" s="31"/>
      <c r="D2220" s="31"/>
      <c r="E2220" s="85">
        <f>ROUND(G2219/F2174,1)</f>
        <v>1317.3</v>
      </c>
    </row>
    <row r="2221" spans="2:7">
      <c r="B2221" s="60" t="s">
        <v>3163</v>
      </c>
      <c r="C2221" s="31"/>
      <c r="D2221" s="922">
        <f>'BASIC DATA'!$C$577</f>
        <v>0.13614999999999999</v>
      </c>
      <c r="E2221" s="85">
        <f>ROUND(E2220*D2221,1)</f>
        <v>179.4</v>
      </c>
    </row>
    <row r="2222" spans="2:7">
      <c r="B2222" s="60" t="s">
        <v>5949</v>
      </c>
      <c r="C2222" s="31"/>
      <c r="D2222" s="31"/>
      <c r="E2222" s="199">
        <f>ROUND(E2221+E2220,1)</f>
        <v>1496.7</v>
      </c>
      <c r="F2222" s="57"/>
    </row>
    <row r="2223" spans="2:7">
      <c r="B2223" s="78"/>
      <c r="C2223" s="26"/>
    </row>
    <row r="2224" spans="2:7">
      <c r="B2224" s="170" t="s">
        <v>1175</v>
      </c>
      <c r="C2224" s="26"/>
    </row>
    <row r="2225" spans="1:7">
      <c r="B2225" s="26" t="s">
        <v>1176</v>
      </c>
      <c r="C2225" s="26"/>
      <c r="F2225" s="171" t="s">
        <v>1698</v>
      </c>
      <c r="G2225" s="68">
        <f>G2188</f>
        <v>58982.515707795072</v>
      </c>
    </row>
    <row r="2226" spans="1:7">
      <c r="B2226" s="26" t="s">
        <v>1186</v>
      </c>
      <c r="C2226" s="26"/>
      <c r="F2226" s="171" t="s">
        <v>1698</v>
      </c>
      <c r="G2226" s="68">
        <f>G2199</f>
        <v>1398.35</v>
      </c>
    </row>
    <row r="2227" spans="1:7">
      <c r="B2227" s="26" t="s">
        <v>2660</v>
      </c>
      <c r="C2227" s="26"/>
      <c r="F2227" s="171" t="s">
        <v>1698</v>
      </c>
      <c r="G2227" s="75">
        <f>G2219</f>
        <v>23830.199875000002</v>
      </c>
    </row>
    <row r="2228" spans="1:7">
      <c r="B2228" s="78"/>
      <c r="C2228" s="26"/>
      <c r="E2228" s="171"/>
      <c r="F2228" s="171" t="s">
        <v>302</v>
      </c>
      <c r="G2228" s="205">
        <f>SUM(G2225:G2227)</f>
        <v>84211.065582795069</v>
      </c>
    </row>
    <row r="2229" spans="1:7">
      <c r="B2229" s="1206" t="s">
        <v>1379</v>
      </c>
      <c r="C2229" s="1206"/>
      <c r="E2229" s="922">
        <f>'BASIC DATA'!$C$577</f>
        <v>0.13614999999999999</v>
      </c>
      <c r="F2229" s="26" t="s">
        <v>1698</v>
      </c>
      <c r="G2229" s="26">
        <f>ROUND(G2228*E2229,2)</f>
        <v>11465.34</v>
      </c>
    </row>
    <row r="2230" spans="1:7">
      <c r="B2230" s="26" t="s">
        <v>1191</v>
      </c>
      <c r="C2230" s="26"/>
      <c r="D2230" s="68">
        <f>F2174</f>
        <v>18.09</v>
      </c>
      <c r="E2230" s="68" t="str">
        <f>G2174</f>
        <v>cum</v>
      </c>
      <c r="F2230" s="26" t="s">
        <v>1698</v>
      </c>
      <c r="G2230" s="211">
        <f>G2229+G2228</f>
        <v>95676.405582795065</v>
      </c>
    </row>
    <row r="2231" spans="1:7">
      <c r="B2231" s="170" t="s">
        <v>1584</v>
      </c>
      <c r="C2231" s="211" t="str">
        <f>E2230</f>
        <v>cum</v>
      </c>
      <c r="D2231" s="26" t="s">
        <v>7817</v>
      </c>
      <c r="F2231" s="26" t="s">
        <v>4108</v>
      </c>
      <c r="G2231" s="211">
        <f>ROUND(G2230/D2230,1)</f>
        <v>5288.9</v>
      </c>
    </row>
    <row r="2232" spans="1:7">
      <c r="B2232" s="78"/>
      <c r="C2232" s="26"/>
    </row>
    <row r="2233" spans="1:7">
      <c r="B2233" s="78"/>
      <c r="C2233" s="26"/>
    </row>
    <row r="2234" spans="1:7" ht="18.75">
      <c r="A2234" s="865" t="s">
        <v>7561</v>
      </c>
      <c r="B2234" s="26" t="s">
        <v>8793</v>
      </c>
      <c r="C2234" s="26"/>
    </row>
    <row r="2235" spans="1:7" ht="18.75">
      <c r="A2235" s="865"/>
      <c r="B2235" s="26" t="s">
        <v>8955</v>
      </c>
      <c r="C2235" s="26"/>
    </row>
    <row r="2236" spans="1:7">
      <c r="A2236" s="865"/>
      <c r="B2236" s="26" t="s">
        <v>8956</v>
      </c>
      <c r="C2236" s="26"/>
    </row>
    <row r="2237" spans="1:7">
      <c r="A2237" s="865"/>
      <c r="B2237" s="26" t="s">
        <v>2565</v>
      </c>
      <c r="C2237" s="26"/>
    </row>
    <row r="2238" spans="1:7" ht="18.75">
      <c r="A2238" s="865"/>
      <c r="B2238" s="170" t="s">
        <v>8957</v>
      </c>
      <c r="C2238" s="26"/>
    </row>
    <row r="2239" spans="1:7">
      <c r="A2239" s="865" t="s">
        <v>1940</v>
      </c>
      <c r="B2239" s="170" t="s">
        <v>1351</v>
      </c>
      <c r="C2239" s="26"/>
    </row>
    <row r="2240" spans="1:7">
      <c r="A2240" s="865"/>
      <c r="B2240" s="170" t="s">
        <v>7798</v>
      </c>
      <c r="C2240" s="26"/>
    </row>
    <row r="2241" spans="1:7">
      <c r="A2241" s="855"/>
      <c r="B2241" s="248" t="s">
        <v>4521</v>
      </c>
      <c r="C2241" s="61"/>
      <c r="D2241" s="61"/>
      <c r="E2241" s="61"/>
      <c r="F2241" s="61"/>
      <c r="G2241" s="61"/>
    </row>
    <row r="2242" spans="1:7">
      <c r="A2242" s="865"/>
      <c r="B2242" s="26"/>
      <c r="C2242" s="26"/>
    </row>
    <row r="2243" spans="1:7" hidden="1">
      <c r="A2243" s="865" t="s">
        <v>3984</v>
      </c>
      <c r="B2243" s="26" t="s">
        <v>5780</v>
      </c>
      <c r="C2243" s="26"/>
    </row>
    <row r="2244" spans="1:7" hidden="1">
      <c r="A2244" s="865"/>
      <c r="B2244" s="26" t="s">
        <v>3990</v>
      </c>
      <c r="C2244" s="26"/>
    </row>
    <row r="2245" spans="1:7" hidden="1">
      <c r="A2245" s="865"/>
      <c r="B2245" s="26" t="s">
        <v>7818</v>
      </c>
      <c r="C2245" s="26"/>
    </row>
    <row r="2246" spans="1:7" hidden="1">
      <c r="A2246" s="865"/>
      <c r="B2246" s="26" t="s">
        <v>7819</v>
      </c>
      <c r="C2246" s="26"/>
      <c r="D2246" s="26">
        <f>ROUND(50*10*8/260,2)</f>
        <v>15.38</v>
      </c>
      <c r="E2246" s="26" t="s">
        <v>3760</v>
      </c>
    </row>
    <row r="2247" spans="1:7" hidden="1">
      <c r="A2247" s="865"/>
      <c r="B2247" s="26" t="s">
        <v>2843</v>
      </c>
      <c r="C2247" s="26"/>
    </row>
    <row r="2248" spans="1:7" hidden="1">
      <c r="A2248" s="865"/>
      <c r="B2248" s="26" t="s">
        <v>3982</v>
      </c>
      <c r="C2248" s="26"/>
    </row>
    <row r="2249" spans="1:7" hidden="1">
      <c r="A2249" s="865"/>
      <c r="B2249" s="26" t="s">
        <v>1995</v>
      </c>
      <c r="C2249" s="26"/>
      <c r="F2249" s="68">
        <f>G667</f>
        <v>224.56752690000002</v>
      </c>
      <c r="G2249" s="26" t="s">
        <v>1168</v>
      </c>
    </row>
    <row r="2250" spans="1:7" hidden="1">
      <c r="A2250" s="865"/>
      <c r="B2250" s="26" t="s">
        <v>8002</v>
      </c>
      <c r="C2250" s="26"/>
      <c r="F2250" s="68">
        <f>F2249*5%</f>
        <v>11.228376345000001</v>
      </c>
      <c r="G2250" s="26" t="s">
        <v>1168</v>
      </c>
    </row>
    <row r="2251" spans="1:7" hidden="1">
      <c r="A2251" s="865"/>
      <c r="B2251" s="26" t="s">
        <v>5728</v>
      </c>
      <c r="C2251" s="26"/>
      <c r="F2251" s="68">
        <f>SUM(F2249:F2250)</f>
        <v>235.79590324500003</v>
      </c>
      <c r="G2251" s="26" t="s">
        <v>1168</v>
      </c>
    </row>
    <row r="2252" spans="1:7" hidden="1">
      <c r="A2252" s="865"/>
      <c r="B2252" s="26" t="s">
        <v>3983</v>
      </c>
      <c r="C2252" s="26"/>
    </row>
    <row r="2253" spans="1:7" hidden="1">
      <c r="A2253" s="865"/>
      <c r="B2253" s="26" t="s">
        <v>1996</v>
      </c>
      <c r="C2253" s="26"/>
      <c r="F2253" s="68">
        <f>G693</f>
        <v>88.5</v>
      </c>
      <c r="G2253" s="26" t="s">
        <v>1168</v>
      </c>
    </row>
    <row r="2254" spans="1:7" hidden="1">
      <c r="A2254" s="865"/>
      <c r="B2254" s="26" t="s">
        <v>353</v>
      </c>
      <c r="C2254" s="26"/>
    </row>
    <row r="2255" spans="1:7" hidden="1">
      <c r="A2255" s="865"/>
      <c r="B2255" s="26" t="s">
        <v>451</v>
      </c>
      <c r="C2255" s="26"/>
    </row>
    <row r="2256" spans="1:7" hidden="1">
      <c r="A2256" s="855"/>
      <c r="B2256" s="61" t="s">
        <v>1997</v>
      </c>
      <c r="C2256" s="61"/>
      <c r="D2256" s="61"/>
      <c r="E2256" s="61"/>
      <c r="F2256" s="61"/>
      <c r="G2256" s="61"/>
    </row>
    <row r="2257" spans="1:7" hidden="1">
      <c r="B2257" s="78"/>
      <c r="C2257" s="26"/>
    </row>
    <row r="2258" spans="1:7">
      <c r="B2258" s="78"/>
      <c r="C2258" s="26"/>
    </row>
    <row r="2259" spans="1:7">
      <c r="A2259" s="865" t="s">
        <v>3984</v>
      </c>
      <c r="B2259" s="78"/>
      <c r="C2259" s="203" t="s">
        <v>2367</v>
      </c>
      <c r="E2259" s="171" t="s">
        <v>297</v>
      </c>
      <c r="F2259" s="246">
        <f>D2246</f>
        <v>15.38</v>
      </c>
      <c r="G2259" s="26" t="s">
        <v>3477</v>
      </c>
    </row>
    <row r="2260" spans="1:7">
      <c r="B2260" s="79" t="s">
        <v>2368</v>
      </c>
      <c r="C2260" s="26"/>
    </row>
    <row r="2261" spans="1:7">
      <c r="B2261" s="95" t="s">
        <v>2369</v>
      </c>
      <c r="C2261" s="157" t="s">
        <v>4443</v>
      </c>
      <c r="D2261" s="95" t="s">
        <v>2370</v>
      </c>
      <c r="E2261" s="95" t="s">
        <v>1166</v>
      </c>
      <c r="F2261" s="95" t="s">
        <v>2371</v>
      </c>
      <c r="G2261" s="95" t="s">
        <v>2372</v>
      </c>
    </row>
    <row r="2262" spans="1:7">
      <c r="B2262" s="114"/>
      <c r="C2262" s="154"/>
      <c r="D2262" s="114"/>
      <c r="E2262" s="114"/>
      <c r="F2262" s="114" t="s">
        <v>3485</v>
      </c>
      <c r="G2262" s="114" t="s">
        <v>3485</v>
      </c>
    </row>
    <row r="2263" spans="1:7">
      <c r="B2263" s="95">
        <v>1</v>
      </c>
      <c r="C2263" s="135" t="s">
        <v>1048</v>
      </c>
      <c r="D2263" s="95" t="s">
        <v>3478</v>
      </c>
      <c r="E2263" s="190">
        <f>260*F2259</f>
        <v>3998.8</v>
      </c>
      <c r="F2263" s="214">
        <f>'BASIC DATA'!$D$32/1000</f>
        <v>5.35</v>
      </c>
      <c r="G2263" s="190">
        <f>E2263*F2263</f>
        <v>21393.579999999998</v>
      </c>
    </row>
    <row r="2264" spans="1:7">
      <c r="B2264" s="317"/>
      <c r="C2264" s="135" t="s">
        <v>1049</v>
      </c>
      <c r="D2264" s="105" t="s">
        <v>3478</v>
      </c>
      <c r="E2264" s="190">
        <f>F2259*5</f>
        <v>76.900000000000006</v>
      </c>
      <c r="F2264" s="214">
        <f>'BASIC DATA'!$D$32/1000</f>
        <v>5.35</v>
      </c>
      <c r="G2264" s="190">
        <f t="shared" ref="G2264:G2272" si="60">E2264*F2264</f>
        <v>411.41500000000002</v>
      </c>
    </row>
    <row r="2265" spans="1:7">
      <c r="B2265" s="105">
        <v>2</v>
      </c>
      <c r="C2265" s="135" t="s">
        <v>6996</v>
      </c>
      <c r="D2265" s="105" t="s">
        <v>3477</v>
      </c>
      <c r="E2265" s="190">
        <f>0.9*F2259*0.5</f>
        <v>6.9210000000000003</v>
      </c>
      <c r="F2265" s="214">
        <f>'BASIC DATA'!$D$36</f>
        <v>1175</v>
      </c>
      <c r="G2265" s="190">
        <f t="shared" si="60"/>
        <v>8132.1750000000002</v>
      </c>
    </row>
    <row r="2266" spans="1:7">
      <c r="B2266" s="317"/>
      <c r="C2266" s="135" t="s">
        <v>6995</v>
      </c>
      <c r="D2266" s="105" t="s">
        <v>3477</v>
      </c>
      <c r="E2266" s="190">
        <f>0.9*F2259*0.3</f>
        <v>4.1525999999999996</v>
      </c>
      <c r="F2266" s="214">
        <f>'BASIC DATA'!$D$35</f>
        <v>1225</v>
      </c>
      <c r="G2266" s="190">
        <f t="shared" si="60"/>
        <v>5086.9349999999995</v>
      </c>
    </row>
    <row r="2267" spans="1:7">
      <c r="B2267" s="317"/>
      <c r="C2267" s="135" t="s">
        <v>1050</v>
      </c>
      <c r="D2267" s="105" t="s">
        <v>3477</v>
      </c>
      <c r="E2267" s="190">
        <f>0.9*F2259*0.2</f>
        <v>2.7684000000000002</v>
      </c>
      <c r="F2267" s="214">
        <f>'BASIC DATA'!$D$34</f>
        <v>900</v>
      </c>
      <c r="G2267" s="190">
        <f t="shared" si="60"/>
        <v>2491.5600000000004</v>
      </c>
    </row>
    <row r="2268" spans="1:7">
      <c r="A2268" s="853"/>
      <c r="B2268" s="240">
        <v>3</v>
      </c>
      <c r="C2268" s="326" t="s">
        <v>7941</v>
      </c>
      <c r="D2268" s="240" t="s">
        <v>3477</v>
      </c>
      <c r="E2268" s="255">
        <f>0.4*F2259</f>
        <v>6.152000000000001</v>
      </c>
      <c r="F2268" s="266">
        <f>'BASIC DATA'!$D$55</f>
        <v>95</v>
      </c>
      <c r="G2268" s="255">
        <f t="shared" si="60"/>
        <v>584.44000000000005</v>
      </c>
    </row>
    <row r="2269" spans="1:7">
      <c r="B2269" s="105">
        <v>4</v>
      </c>
      <c r="C2269" s="135" t="s">
        <v>523</v>
      </c>
      <c r="D2269" s="105" t="s">
        <v>3478</v>
      </c>
      <c r="E2269" s="190">
        <f>E2263*0.4%</f>
        <v>15.995200000000001</v>
      </c>
      <c r="F2269" s="214">
        <f>'BASIC DATA'!$D$99</f>
        <v>55</v>
      </c>
      <c r="G2269" s="190">
        <f t="shared" si="60"/>
        <v>879.73599999999999</v>
      </c>
    </row>
    <row r="2270" spans="1:7">
      <c r="B2270" s="105">
        <v>5</v>
      </c>
      <c r="C2270" s="135" t="s">
        <v>7213</v>
      </c>
      <c r="D2270" s="105" t="s">
        <v>3479</v>
      </c>
      <c r="E2270" s="190">
        <f>2*F2259</f>
        <v>30.76</v>
      </c>
      <c r="F2270" s="214">
        <f>F2251</f>
        <v>235.79590324500003</v>
      </c>
      <c r="G2270" s="190">
        <f t="shared" si="60"/>
        <v>7253.0819838162015</v>
      </c>
    </row>
    <row r="2271" spans="1:7">
      <c r="B2271" s="317"/>
      <c r="C2271" s="135" t="s">
        <v>5408</v>
      </c>
      <c r="D2271" s="224">
        <v>0.15</v>
      </c>
      <c r="E2271" s="190"/>
      <c r="F2271" s="214"/>
      <c r="G2271" s="190">
        <f>G2270*D2271</f>
        <v>1087.9622975724301</v>
      </c>
    </row>
    <row r="2272" spans="1:7">
      <c r="B2272" s="114">
        <v>6</v>
      </c>
      <c r="C2272" s="139" t="s">
        <v>2373</v>
      </c>
      <c r="D2272" s="114" t="s">
        <v>2173</v>
      </c>
      <c r="E2272" s="182">
        <v>0.5</v>
      </c>
      <c r="F2272" s="215">
        <f>'BASIC DATA'!$D$359</f>
        <v>30</v>
      </c>
      <c r="G2272" s="182">
        <f t="shared" si="60"/>
        <v>15</v>
      </c>
    </row>
    <row r="2273" spans="2:7">
      <c r="B2273" s="92"/>
      <c r="C2273" s="193" t="s">
        <v>2376</v>
      </c>
      <c r="D2273" s="159"/>
      <c r="E2273" s="238"/>
      <c r="F2273" s="236" t="s">
        <v>1698</v>
      </c>
      <c r="G2273" s="318">
        <f>SUM(G2263:G2272)</f>
        <v>47335.885281388619</v>
      </c>
    </row>
    <row r="2274" spans="2:7">
      <c r="B2274" s="78"/>
      <c r="C2274" s="26"/>
    </row>
    <row r="2275" spans="2:7">
      <c r="B2275" s="79" t="s">
        <v>2377</v>
      </c>
      <c r="C2275" s="26"/>
    </row>
    <row r="2276" spans="2:7">
      <c r="B2276" s="95" t="s">
        <v>2369</v>
      </c>
      <c r="C2276" s="157" t="s">
        <v>2378</v>
      </c>
      <c r="D2276" s="95" t="s">
        <v>2370</v>
      </c>
      <c r="E2276" s="95" t="s">
        <v>1166</v>
      </c>
      <c r="F2276" s="95" t="s">
        <v>2371</v>
      </c>
      <c r="G2276" s="95" t="s">
        <v>2372</v>
      </c>
    </row>
    <row r="2277" spans="2:7">
      <c r="B2277" s="114"/>
      <c r="C2277" s="154"/>
      <c r="D2277" s="114"/>
      <c r="E2277" s="114"/>
      <c r="F2277" s="114" t="s">
        <v>3485</v>
      </c>
      <c r="G2277" s="114" t="s">
        <v>3485</v>
      </c>
    </row>
    <row r="2278" spans="2:7">
      <c r="B2278" s="95">
        <v>1</v>
      </c>
      <c r="C2278" s="153" t="s">
        <v>7214</v>
      </c>
      <c r="D2278" s="175" t="s">
        <v>2374</v>
      </c>
      <c r="E2278" s="179">
        <v>8</v>
      </c>
      <c r="F2278" s="190">
        <f>'HIRE CHARGES'!$D$507</f>
        <v>53.5</v>
      </c>
      <c r="G2278" s="190">
        <f t="shared" ref="G2278:G2283" si="61">E2278*F2278</f>
        <v>428</v>
      </c>
    </row>
    <row r="2279" spans="2:7">
      <c r="B2279" s="317"/>
      <c r="C2279" s="152" t="s">
        <v>2379</v>
      </c>
      <c r="D2279" s="33" t="s">
        <v>2374</v>
      </c>
      <c r="E2279" s="190">
        <v>8</v>
      </c>
      <c r="F2279" s="190">
        <f>'HIRE CHARGES'!$E$507</f>
        <v>79.3</v>
      </c>
      <c r="G2279" s="190">
        <f t="shared" si="61"/>
        <v>634.4</v>
      </c>
    </row>
    <row r="2280" spans="2:7">
      <c r="B2280" s="105">
        <v>2</v>
      </c>
      <c r="C2280" s="152" t="s">
        <v>189</v>
      </c>
      <c r="D2280" s="33" t="s">
        <v>2374</v>
      </c>
      <c r="E2280" s="190">
        <v>0.5</v>
      </c>
      <c r="F2280" s="190">
        <f>'HIRE CHARGES'!$D$517</f>
        <v>10.199999999999999</v>
      </c>
      <c r="G2280" s="190">
        <f t="shared" si="61"/>
        <v>5.0999999999999996</v>
      </c>
    </row>
    <row r="2281" spans="2:7">
      <c r="B2281" s="317"/>
      <c r="C2281" s="152" t="s">
        <v>2379</v>
      </c>
      <c r="D2281" s="33" t="s">
        <v>2374</v>
      </c>
      <c r="E2281" s="190">
        <v>0.5</v>
      </c>
      <c r="F2281" s="190">
        <f>'HIRE CHARGES'!$E$517</f>
        <v>79.3</v>
      </c>
      <c r="G2281" s="190">
        <f t="shared" si="61"/>
        <v>39.65</v>
      </c>
    </row>
    <row r="2282" spans="2:7">
      <c r="B2282" s="105">
        <v>3</v>
      </c>
      <c r="C2282" s="152" t="s">
        <v>526</v>
      </c>
      <c r="D2282" s="33" t="s">
        <v>2374</v>
      </c>
      <c r="E2282" s="190">
        <v>8</v>
      </c>
      <c r="F2282" s="190">
        <f>'HIRE CHARGES'!$D$531</f>
        <v>7.6</v>
      </c>
      <c r="G2282" s="190">
        <f t="shared" si="61"/>
        <v>60.8</v>
      </c>
    </row>
    <row r="2283" spans="2:7">
      <c r="B2283" s="365"/>
      <c r="C2283" s="116" t="s">
        <v>2379</v>
      </c>
      <c r="D2283" s="33" t="s">
        <v>2374</v>
      </c>
      <c r="E2283" s="182">
        <v>8</v>
      </c>
      <c r="F2283" s="207">
        <f>'HIRE CHARGES'!$E$531</f>
        <v>18.8</v>
      </c>
      <c r="G2283" s="190">
        <f t="shared" si="61"/>
        <v>150.4</v>
      </c>
    </row>
    <row r="2284" spans="2:7">
      <c r="B2284" s="176"/>
      <c r="C2284" s="172" t="s">
        <v>2380</v>
      </c>
      <c r="D2284" s="174"/>
      <c r="E2284" s="192"/>
      <c r="F2284" s="236" t="s">
        <v>1698</v>
      </c>
      <c r="G2284" s="318">
        <f>SUM(G2278:G2283)</f>
        <v>1318.3500000000001</v>
      </c>
    </row>
    <row r="2285" spans="2:7">
      <c r="B2285" s="78"/>
      <c r="C2285" s="26"/>
    </row>
    <row r="2286" spans="2:7">
      <c r="B2286" s="79" t="s">
        <v>2381</v>
      </c>
      <c r="C2286" s="26"/>
    </row>
    <row r="2287" spans="2:7">
      <c r="B2287" s="95" t="s">
        <v>2369</v>
      </c>
      <c r="C2287" s="157" t="s">
        <v>2378</v>
      </c>
      <c r="D2287" s="95" t="s">
        <v>2370</v>
      </c>
      <c r="E2287" s="95" t="s">
        <v>1166</v>
      </c>
      <c r="F2287" s="95" t="s">
        <v>2371</v>
      </c>
      <c r="G2287" s="95" t="s">
        <v>2372</v>
      </c>
    </row>
    <row r="2288" spans="2:7">
      <c r="B2288" s="114"/>
      <c r="C2288" s="154"/>
      <c r="D2288" s="105"/>
      <c r="E2288" s="105"/>
      <c r="F2288" s="105" t="s">
        <v>3485</v>
      </c>
      <c r="G2288" s="114" t="s">
        <v>3485</v>
      </c>
    </row>
    <row r="2289" spans="2:7">
      <c r="B2289" s="95">
        <v>1</v>
      </c>
      <c r="C2289" s="76" t="s">
        <v>527</v>
      </c>
      <c r="D2289" s="95" t="s">
        <v>2374</v>
      </c>
      <c r="E2289" s="179">
        <v>8</v>
      </c>
      <c r="F2289" s="179">
        <f>'HIRE CHARGES'!$F$507</f>
        <v>219.7</v>
      </c>
      <c r="G2289" s="207">
        <f>E2289*F2289</f>
        <v>1757.6</v>
      </c>
    </row>
    <row r="2290" spans="2:7">
      <c r="B2290" s="105">
        <v>2</v>
      </c>
      <c r="C2290" s="76" t="s">
        <v>999</v>
      </c>
      <c r="D2290" s="105" t="s">
        <v>2374</v>
      </c>
      <c r="E2290" s="190">
        <v>0.5</v>
      </c>
      <c r="F2290" s="190">
        <f>'HIRE CHARGES'!$F$517</f>
        <v>111.1</v>
      </c>
      <c r="G2290" s="207">
        <f t="shared" ref="G2290:G2300" si="62">E2290*F2290</f>
        <v>55.55</v>
      </c>
    </row>
    <row r="2291" spans="2:7">
      <c r="B2291" s="105">
        <v>3</v>
      </c>
      <c r="C2291" s="76" t="s">
        <v>439</v>
      </c>
      <c r="D2291" s="105" t="s">
        <v>2374</v>
      </c>
      <c r="E2291" s="190">
        <v>8</v>
      </c>
      <c r="F2291" s="190">
        <f>'HIRE CHARGES'!$F$531</f>
        <v>158.19999999999999</v>
      </c>
      <c r="G2291" s="207">
        <f t="shared" si="62"/>
        <v>1265.5999999999999</v>
      </c>
    </row>
    <row r="2292" spans="2:7">
      <c r="B2292" s="105">
        <v>4</v>
      </c>
      <c r="C2292" s="76" t="s">
        <v>440</v>
      </c>
      <c r="D2292" s="105" t="s">
        <v>1172</v>
      </c>
      <c r="E2292" s="190">
        <v>1</v>
      </c>
      <c r="F2292" s="190">
        <f>'BASIC DATA'!$C$474</f>
        <v>445</v>
      </c>
      <c r="G2292" s="207">
        <f t="shared" si="62"/>
        <v>445</v>
      </c>
    </row>
    <row r="2293" spans="2:7">
      <c r="B2293" s="105">
        <v>5</v>
      </c>
      <c r="C2293" s="76" t="s">
        <v>4206</v>
      </c>
      <c r="D2293" s="105" t="s">
        <v>1172</v>
      </c>
      <c r="E2293" s="190">
        <v>1</v>
      </c>
      <c r="F2293" s="190">
        <f>'BASIC DATA'!$C$473</f>
        <v>450</v>
      </c>
      <c r="G2293" s="207">
        <f t="shared" si="62"/>
        <v>450</v>
      </c>
    </row>
    <row r="2294" spans="2:7">
      <c r="B2294" s="105">
        <v>6</v>
      </c>
      <c r="C2294" s="76" t="s">
        <v>2697</v>
      </c>
      <c r="D2294" s="105"/>
      <c r="E2294" s="190"/>
      <c r="F2294" s="190"/>
      <c r="G2294" s="207"/>
    </row>
    <row r="2295" spans="2:7">
      <c r="B2295" s="317"/>
      <c r="C2295" s="76" t="s">
        <v>441</v>
      </c>
      <c r="D2295" s="105" t="s">
        <v>1172</v>
      </c>
      <c r="E2295" s="190">
        <v>11</v>
      </c>
      <c r="F2295" s="190">
        <f>'BASIC DATA'!$C$552</f>
        <v>350</v>
      </c>
      <c r="G2295" s="207">
        <f t="shared" si="62"/>
        <v>3850</v>
      </c>
    </row>
    <row r="2296" spans="2:7">
      <c r="B2296" s="317"/>
      <c r="C2296" s="76" t="s">
        <v>442</v>
      </c>
      <c r="D2296" s="105" t="s">
        <v>1172</v>
      </c>
      <c r="E2296" s="190">
        <v>4</v>
      </c>
      <c r="F2296" s="190">
        <f>'BASIC DATA'!$C$552</f>
        <v>350</v>
      </c>
      <c r="G2296" s="207">
        <f t="shared" si="62"/>
        <v>1400</v>
      </c>
    </row>
    <row r="2297" spans="2:7">
      <c r="B2297" s="317"/>
      <c r="C2297" s="76" t="s">
        <v>5151</v>
      </c>
      <c r="D2297" s="105" t="s">
        <v>1172</v>
      </c>
      <c r="E2297" s="190">
        <v>3</v>
      </c>
      <c r="F2297" s="190">
        <f>'BASIC DATA'!$C$552</f>
        <v>350</v>
      </c>
      <c r="G2297" s="207">
        <f t="shared" si="62"/>
        <v>1050</v>
      </c>
    </row>
    <row r="2298" spans="2:7">
      <c r="B2298" s="317"/>
      <c r="C2298" s="76" t="s">
        <v>444</v>
      </c>
      <c r="D2298" s="105" t="s">
        <v>1172</v>
      </c>
      <c r="E2298" s="190">
        <f>F2259</f>
        <v>15.38</v>
      </c>
      <c r="F2298" s="190">
        <f>'BASIC DATA'!$C$552</f>
        <v>350</v>
      </c>
      <c r="G2298" s="207">
        <f t="shared" si="62"/>
        <v>5383</v>
      </c>
    </row>
    <row r="2299" spans="2:7">
      <c r="B2299" s="317"/>
      <c r="C2299" s="76" t="s">
        <v>445</v>
      </c>
      <c r="D2299" s="105" t="s">
        <v>1172</v>
      </c>
      <c r="E2299" s="190">
        <v>1</v>
      </c>
      <c r="F2299" s="190">
        <f>'BASIC DATA'!$C$552</f>
        <v>350</v>
      </c>
      <c r="G2299" s="207">
        <f t="shared" si="62"/>
        <v>350</v>
      </c>
    </row>
    <row r="2300" spans="2:7">
      <c r="B2300" s="105">
        <v>7</v>
      </c>
      <c r="C2300" s="76" t="s">
        <v>2126</v>
      </c>
      <c r="D2300" s="105" t="s">
        <v>3479</v>
      </c>
      <c r="E2300" s="190">
        <f>2*F2259</f>
        <v>30.76</v>
      </c>
      <c r="F2300" s="190">
        <f>F2253</f>
        <v>88.5</v>
      </c>
      <c r="G2300" s="207">
        <f t="shared" si="62"/>
        <v>2722.26</v>
      </c>
    </row>
    <row r="2301" spans="2:7">
      <c r="B2301" s="365"/>
      <c r="C2301" s="76" t="s">
        <v>5940</v>
      </c>
      <c r="D2301" s="681">
        <v>0.15</v>
      </c>
      <c r="E2301" s="182"/>
      <c r="F2301" s="182"/>
      <c r="G2301" s="207">
        <f>G2300*D2301</f>
        <v>408.339</v>
      </c>
    </row>
    <row r="2302" spans="2:7">
      <c r="B2302" s="92"/>
      <c r="C2302" s="193" t="s">
        <v>1174</v>
      </c>
      <c r="D2302" s="159"/>
      <c r="E2302" s="238"/>
      <c r="F2302" s="236" t="s">
        <v>1698</v>
      </c>
      <c r="G2302" s="318">
        <f>SUM(G2289:G2301)</f>
        <v>19137.349000000002</v>
      </c>
    </row>
    <row r="2303" spans="2:7">
      <c r="B2303" s="60" t="s">
        <v>5948</v>
      </c>
      <c r="C2303" s="31"/>
      <c r="D2303" s="31"/>
      <c r="E2303" s="85">
        <f>ROUND(G2302/F2259,1)</f>
        <v>1244.3</v>
      </c>
    </row>
    <row r="2304" spans="2:7">
      <c r="B2304" s="60" t="s">
        <v>3163</v>
      </c>
      <c r="C2304" s="31"/>
      <c r="D2304" s="922">
        <f>'BASIC DATA'!$C$577</f>
        <v>0.13614999999999999</v>
      </c>
      <c r="E2304" s="85">
        <f>ROUND(E2303*D2304,1)</f>
        <v>169.4</v>
      </c>
    </row>
    <row r="2305" spans="1:7">
      <c r="B2305" s="60" t="s">
        <v>5949</v>
      </c>
      <c r="C2305" s="31"/>
      <c r="D2305" s="31"/>
      <c r="E2305" s="199">
        <f>ROUND(E2304+E2303,1)</f>
        <v>1413.7</v>
      </c>
      <c r="F2305" s="57"/>
    </row>
    <row r="2306" spans="1:7">
      <c r="B2306" s="78"/>
      <c r="C2306" s="26"/>
    </row>
    <row r="2307" spans="1:7">
      <c r="B2307" s="170" t="s">
        <v>1175</v>
      </c>
      <c r="C2307" s="26"/>
    </row>
    <row r="2308" spans="1:7">
      <c r="B2308" s="26" t="s">
        <v>1176</v>
      </c>
      <c r="C2308" s="26"/>
      <c r="F2308" s="171" t="s">
        <v>1698</v>
      </c>
      <c r="G2308" s="68">
        <f>G2273</f>
        <v>47335.885281388619</v>
      </c>
    </row>
    <row r="2309" spans="1:7">
      <c r="B2309" s="26" t="s">
        <v>1186</v>
      </c>
      <c r="C2309" s="26"/>
      <c r="F2309" s="171" t="s">
        <v>1698</v>
      </c>
      <c r="G2309" s="68">
        <f>G2284</f>
        <v>1318.3500000000001</v>
      </c>
    </row>
    <row r="2310" spans="1:7">
      <c r="B2310" s="26" t="s">
        <v>2660</v>
      </c>
      <c r="C2310" s="26"/>
      <c r="F2310" s="171" t="s">
        <v>1698</v>
      </c>
      <c r="G2310" s="75">
        <f>G2302</f>
        <v>19137.349000000002</v>
      </c>
    </row>
    <row r="2311" spans="1:7">
      <c r="B2311" s="78"/>
      <c r="C2311" s="26"/>
      <c r="E2311" s="171"/>
      <c r="F2311" s="171" t="s">
        <v>302</v>
      </c>
      <c r="G2311" s="205">
        <f>SUM(G2308:G2310)</f>
        <v>67791.584281388612</v>
      </c>
    </row>
    <row r="2312" spans="1:7">
      <c r="B2312" s="1206" t="s">
        <v>1379</v>
      </c>
      <c r="C2312" s="1206"/>
      <c r="E2312" s="922">
        <f>'BASIC DATA'!$C$577</f>
        <v>0.13614999999999999</v>
      </c>
      <c r="F2312" s="26" t="s">
        <v>1698</v>
      </c>
      <c r="G2312" s="26">
        <f>ROUND(G2311*E2312,2)</f>
        <v>9229.82</v>
      </c>
    </row>
    <row r="2313" spans="1:7">
      <c r="B2313" s="26" t="s">
        <v>1191</v>
      </c>
      <c r="C2313" s="26"/>
      <c r="D2313" s="68">
        <f>F2259</f>
        <v>15.38</v>
      </c>
      <c r="E2313" s="68" t="str">
        <f>G2259</f>
        <v>cum</v>
      </c>
      <c r="F2313" s="26" t="s">
        <v>1698</v>
      </c>
      <c r="G2313" s="211">
        <f>G2312+G2311</f>
        <v>77021.404281388619</v>
      </c>
    </row>
    <row r="2314" spans="1:7">
      <c r="B2314" s="170" t="s">
        <v>1584</v>
      </c>
      <c r="C2314" s="211" t="str">
        <f>E2313</f>
        <v>cum</v>
      </c>
      <c r="D2314" s="26" t="s">
        <v>7801</v>
      </c>
      <c r="F2314" s="26" t="s">
        <v>4108</v>
      </c>
      <c r="G2314" s="211">
        <f>ROUND(G2313/D2313,1)</f>
        <v>5007.8999999999996</v>
      </c>
    </row>
    <row r="2315" spans="1:7">
      <c r="B2315" s="78"/>
      <c r="C2315" s="26"/>
    </row>
    <row r="2316" spans="1:7">
      <c r="B2316" s="78"/>
      <c r="C2316" s="26"/>
    </row>
    <row r="2317" spans="1:7" ht="18.75">
      <c r="A2317" s="865" t="s">
        <v>7562</v>
      </c>
      <c r="B2317" s="26" t="s">
        <v>8799</v>
      </c>
      <c r="C2317" s="26"/>
    </row>
    <row r="2318" spans="1:7" ht="18.75">
      <c r="A2318" s="865"/>
      <c r="B2318" s="26" t="s">
        <v>8916</v>
      </c>
      <c r="C2318" s="26"/>
    </row>
    <row r="2319" spans="1:7" ht="18.75">
      <c r="A2319" s="865"/>
      <c r="B2319" s="26" t="s">
        <v>8958</v>
      </c>
      <c r="C2319" s="26"/>
    </row>
    <row r="2320" spans="1:7">
      <c r="A2320" s="865"/>
      <c r="B2320" s="26" t="s">
        <v>6</v>
      </c>
      <c r="C2320" s="26"/>
    </row>
    <row r="2321" spans="1:7" ht="18.75">
      <c r="A2321" s="865"/>
      <c r="B2321" s="170" t="s">
        <v>8915</v>
      </c>
      <c r="C2321" s="26"/>
    </row>
    <row r="2322" spans="1:7">
      <c r="A2322" s="865" t="s">
        <v>1940</v>
      </c>
      <c r="B2322" s="170" t="s">
        <v>4662</v>
      </c>
      <c r="C2322" s="26"/>
    </row>
    <row r="2323" spans="1:7">
      <c r="A2323" s="865"/>
      <c r="B2323" s="170" t="s">
        <v>7820</v>
      </c>
      <c r="C2323" s="26"/>
    </row>
    <row r="2324" spans="1:7">
      <c r="A2324" s="855"/>
      <c r="B2324" s="248" t="s">
        <v>4220</v>
      </c>
      <c r="C2324" s="61"/>
      <c r="D2324" s="61"/>
      <c r="E2324" s="61"/>
      <c r="F2324" s="61"/>
      <c r="G2324" s="61"/>
    </row>
    <row r="2325" spans="1:7">
      <c r="A2325" s="865"/>
      <c r="B2325" s="26"/>
      <c r="C2325" s="26"/>
    </row>
    <row r="2326" spans="1:7" hidden="1">
      <c r="A2326" s="865" t="s">
        <v>3984</v>
      </c>
      <c r="B2326" s="26" t="s">
        <v>5780</v>
      </c>
      <c r="C2326" s="26"/>
    </row>
    <row r="2327" spans="1:7" hidden="1">
      <c r="A2327" s="865"/>
      <c r="B2327" s="26" t="s">
        <v>3222</v>
      </c>
      <c r="C2327" s="26"/>
    </row>
    <row r="2328" spans="1:7" hidden="1">
      <c r="A2328" s="865"/>
      <c r="B2328" s="26" t="s">
        <v>7831</v>
      </c>
      <c r="C2328" s="26"/>
    </row>
    <row r="2329" spans="1:7" hidden="1">
      <c r="A2329" s="865"/>
      <c r="B2329" s="26" t="s">
        <v>7828</v>
      </c>
      <c r="C2329" s="26"/>
      <c r="D2329" s="26">
        <f>ROUND(100*4.5*8/250,2)</f>
        <v>14.4</v>
      </c>
      <c r="E2329" s="26" t="s">
        <v>3760</v>
      </c>
    </row>
    <row r="2330" spans="1:7" hidden="1">
      <c r="A2330" s="865"/>
      <c r="B2330" s="26" t="s">
        <v>2843</v>
      </c>
      <c r="C2330" s="26"/>
    </row>
    <row r="2331" spans="1:7" hidden="1">
      <c r="A2331" s="865"/>
      <c r="B2331" s="26" t="s">
        <v>3982</v>
      </c>
      <c r="C2331" s="26"/>
    </row>
    <row r="2332" spans="1:7" hidden="1">
      <c r="A2332" s="865"/>
      <c r="B2332" s="26" t="s">
        <v>1998</v>
      </c>
      <c r="C2332" s="26"/>
      <c r="F2332" s="68">
        <f>G667</f>
        <v>224.56752690000002</v>
      </c>
      <c r="G2332" s="26" t="s">
        <v>1168</v>
      </c>
    </row>
    <row r="2333" spans="1:7" hidden="1">
      <c r="A2333" s="865"/>
      <c r="B2333" s="26" t="s">
        <v>6583</v>
      </c>
      <c r="C2333" s="26"/>
      <c r="F2333" s="68">
        <f>F2332*5%</f>
        <v>11.228376345000001</v>
      </c>
      <c r="G2333" s="26" t="s">
        <v>1168</v>
      </c>
    </row>
    <row r="2334" spans="1:7" hidden="1">
      <c r="A2334" s="865"/>
      <c r="B2334" s="26" t="s">
        <v>2924</v>
      </c>
      <c r="C2334" s="26"/>
      <c r="F2334" s="68">
        <f>SUM(F2332:F2333)</f>
        <v>235.79590324500003</v>
      </c>
      <c r="G2334" s="26" t="s">
        <v>1168</v>
      </c>
    </row>
    <row r="2335" spans="1:7" hidden="1">
      <c r="A2335" s="865"/>
      <c r="B2335" s="26" t="s">
        <v>726</v>
      </c>
      <c r="C2335" s="26"/>
    </row>
    <row r="2336" spans="1:7" hidden="1">
      <c r="A2336" s="865"/>
      <c r="B2336" s="26" t="s">
        <v>1999</v>
      </c>
      <c r="C2336" s="26"/>
      <c r="F2336" s="68">
        <f>G693</f>
        <v>88.5</v>
      </c>
      <c r="G2336" s="26" t="s">
        <v>1168</v>
      </c>
    </row>
    <row r="2337" spans="1:7" hidden="1">
      <c r="A2337" s="865"/>
      <c r="B2337" s="26" t="s">
        <v>353</v>
      </c>
      <c r="C2337" s="26"/>
    </row>
    <row r="2338" spans="1:7" hidden="1">
      <c r="A2338" s="865"/>
      <c r="B2338" s="26" t="s">
        <v>451</v>
      </c>
      <c r="C2338" s="26"/>
    </row>
    <row r="2339" spans="1:7" hidden="1">
      <c r="A2339" s="865"/>
      <c r="B2339" s="26" t="s">
        <v>2000</v>
      </c>
      <c r="C2339" s="26"/>
    </row>
    <row r="2340" spans="1:7">
      <c r="B2340" s="78"/>
      <c r="C2340" s="26"/>
    </row>
    <row r="2341" spans="1:7">
      <c r="A2341" s="865" t="s">
        <v>3984</v>
      </c>
      <c r="B2341" s="78"/>
      <c r="C2341" s="203" t="s">
        <v>2367</v>
      </c>
      <c r="E2341" s="171" t="s">
        <v>297</v>
      </c>
      <c r="F2341" s="246">
        <f>D2329</f>
        <v>14.4</v>
      </c>
      <c r="G2341" s="26" t="s">
        <v>3477</v>
      </c>
    </row>
    <row r="2342" spans="1:7">
      <c r="B2342" s="79" t="s">
        <v>2368</v>
      </c>
      <c r="C2342" s="26"/>
    </row>
    <row r="2343" spans="1:7">
      <c r="B2343" s="95" t="s">
        <v>2369</v>
      </c>
      <c r="C2343" s="157" t="s">
        <v>4443</v>
      </c>
      <c r="D2343" s="95" t="s">
        <v>2370</v>
      </c>
      <c r="E2343" s="95" t="s">
        <v>1166</v>
      </c>
      <c r="F2343" s="95" t="s">
        <v>2371</v>
      </c>
      <c r="G2343" s="95" t="s">
        <v>2372</v>
      </c>
    </row>
    <row r="2344" spans="1:7">
      <c r="B2344" s="114"/>
      <c r="C2344" s="154"/>
      <c r="D2344" s="114"/>
      <c r="E2344" s="114"/>
      <c r="F2344" s="114" t="s">
        <v>3485</v>
      </c>
      <c r="G2344" s="114" t="s">
        <v>3485</v>
      </c>
    </row>
    <row r="2345" spans="1:7">
      <c r="B2345" s="95">
        <v>1</v>
      </c>
      <c r="C2345" s="135" t="s">
        <v>1048</v>
      </c>
      <c r="D2345" s="95" t="s">
        <v>3478</v>
      </c>
      <c r="E2345" s="190">
        <f>250*F2341</f>
        <v>3600</v>
      </c>
      <c r="F2345" s="214">
        <f>'BASIC DATA'!$D$32/1000</f>
        <v>5.35</v>
      </c>
      <c r="G2345" s="190">
        <f>E2345*F2345</f>
        <v>19260</v>
      </c>
    </row>
    <row r="2346" spans="1:7">
      <c r="B2346" s="317"/>
      <c r="C2346" s="135" t="s">
        <v>1049</v>
      </c>
      <c r="D2346" s="105" t="s">
        <v>3478</v>
      </c>
      <c r="E2346" s="190">
        <f>F2341*5</f>
        <v>72</v>
      </c>
      <c r="F2346" s="214">
        <f>'BASIC DATA'!$D$32/1000</f>
        <v>5.35</v>
      </c>
      <c r="G2346" s="190">
        <f t="shared" ref="G2346:G2353" si="63">E2346*F2346</f>
        <v>385.2</v>
      </c>
    </row>
    <row r="2347" spans="1:7">
      <c r="B2347" s="105">
        <v>2</v>
      </c>
      <c r="C2347" s="135" t="s">
        <v>6997</v>
      </c>
      <c r="D2347" s="105" t="s">
        <v>3477</v>
      </c>
      <c r="E2347" s="190">
        <f>0.98*F2341*0.35</f>
        <v>4.9391999999999996</v>
      </c>
      <c r="F2347" s="214">
        <f>'BASIC DATA'!$D$37</f>
        <v>650</v>
      </c>
      <c r="G2347" s="190">
        <f t="shared" si="63"/>
        <v>3210.4799999999996</v>
      </c>
    </row>
    <row r="2348" spans="1:7">
      <c r="B2348" s="317"/>
      <c r="C2348" s="135" t="s">
        <v>6996</v>
      </c>
      <c r="D2348" s="105" t="s">
        <v>3477</v>
      </c>
      <c r="E2348" s="190">
        <f>0.98*F2341*0.3</f>
        <v>4.2336</v>
      </c>
      <c r="F2348" s="214">
        <f>'BASIC DATA'!$D$36</f>
        <v>1175</v>
      </c>
      <c r="G2348" s="190">
        <f t="shared" si="63"/>
        <v>4974.4800000000005</v>
      </c>
    </row>
    <row r="2349" spans="1:7">
      <c r="B2349" s="317"/>
      <c r="C2349" s="135" t="s">
        <v>6995</v>
      </c>
      <c r="D2349" s="105" t="s">
        <v>3477</v>
      </c>
      <c r="E2349" s="190">
        <f>0.98*F2341*0.2</f>
        <v>2.8224</v>
      </c>
      <c r="F2349" s="214">
        <f>'BASIC DATA'!$D$35</f>
        <v>1225</v>
      </c>
      <c r="G2349" s="190">
        <f t="shared" si="63"/>
        <v>3457.44</v>
      </c>
    </row>
    <row r="2350" spans="1:7">
      <c r="B2350" s="317"/>
      <c r="C2350" s="135" t="s">
        <v>1050</v>
      </c>
      <c r="D2350" s="105" t="s">
        <v>3477</v>
      </c>
      <c r="E2350" s="190">
        <f>0.98*F2341*0.15</f>
        <v>2.1168</v>
      </c>
      <c r="F2350" s="214">
        <f>'BASIC DATA'!$D$34</f>
        <v>900</v>
      </c>
      <c r="G2350" s="190">
        <f t="shared" si="63"/>
        <v>1905.1200000000001</v>
      </c>
    </row>
    <row r="2351" spans="1:7">
      <c r="A2351" s="853"/>
      <c r="B2351" s="240">
        <v>3</v>
      </c>
      <c r="C2351" s="326" t="s">
        <v>7941</v>
      </c>
      <c r="D2351" s="240" t="s">
        <v>3477</v>
      </c>
      <c r="E2351" s="255">
        <f>0.35*F2341</f>
        <v>5.04</v>
      </c>
      <c r="F2351" s="266">
        <f>'BASIC DATA'!$D$55</f>
        <v>95</v>
      </c>
      <c r="G2351" s="255">
        <f t="shared" si="63"/>
        <v>478.8</v>
      </c>
    </row>
    <row r="2352" spans="1:7">
      <c r="B2352" s="105">
        <v>4</v>
      </c>
      <c r="C2352" s="135" t="s">
        <v>523</v>
      </c>
      <c r="D2352" s="105" t="s">
        <v>3478</v>
      </c>
      <c r="E2352" s="190">
        <f>0.4%*E2345</f>
        <v>14.4</v>
      </c>
      <c r="F2352" s="214">
        <f>'BASIC DATA'!$D$99</f>
        <v>55</v>
      </c>
      <c r="G2352" s="190">
        <f t="shared" si="63"/>
        <v>792</v>
      </c>
    </row>
    <row r="2353" spans="2:7">
      <c r="B2353" s="105">
        <v>5</v>
      </c>
      <c r="C2353" s="135" t="s">
        <v>7213</v>
      </c>
      <c r="D2353" s="105" t="s">
        <v>3479</v>
      </c>
      <c r="E2353" s="190">
        <f>2*F2341</f>
        <v>28.8</v>
      </c>
      <c r="F2353" s="214">
        <f>F2334</f>
        <v>235.79590324500003</v>
      </c>
      <c r="G2353" s="190">
        <f t="shared" si="63"/>
        <v>6790.922013456001</v>
      </c>
    </row>
    <row r="2354" spans="2:7">
      <c r="B2354" s="114">
        <v>6</v>
      </c>
      <c r="C2354" s="139" t="s">
        <v>5408</v>
      </c>
      <c r="D2354" s="681">
        <v>0.15</v>
      </c>
      <c r="E2354" s="182"/>
      <c r="F2354" s="215"/>
      <c r="G2354" s="182">
        <f>G2353*D2354</f>
        <v>1018.6383020184001</v>
      </c>
    </row>
    <row r="2355" spans="2:7">
      <c r="B2355" s="92"/>
      <c r="C2355" s="193" t="s">
        <v>2376</v>
      </c>
      <c r="D2355" s="159"/>
      <c r="E2355" s="238"/>
      <c r="F2355" s="236" t="s">
        <v>1698</v>
      </c>
      <c r="G2355" s="318">
        <f>SUM(G2345:G2354)</f>
        <v>42273.080315474406</v>
      </c>
    </row>
    <row r="2356" spans="2:7">
      <c r="B2356" s="78"/>
      <c r="C2356" s="26"/>
    </row>
    <row r="2357" spans="2:7">
      <c r="B2357" s="79" t="s">
        <v>2377</v>
      </c>
      <c r="C2357" s="26"/>
    </row>
    <row r="2358" spans="2:7">
      <c r="B2358" s="95" t="s">
        <v>2369</v>
      </c>
      <c r="C2358" s="157" t="s">
        <v>2378</v>
      </c>
      <c r="D2358" s="95" t="s">
        <v>2370</v>
      </c>
      <c r="E2358" s="95" t="s">
        <v>1166</v>
      </c>
      <c r="F2358" s="95" t="s">
        <v>2371</v>
      </c>
      <c r="G2358" s="95" t="s">
        <v>2372</v>
      </c>
    </row>
    <row r="2359" spans="2:7">
      <c r="B2359" s="114"/>
      <c r="C2359" s="154"/>
      <c r="D2359" s="114"/>
      <c r="E2359" s="114"/>
      <c r="F2359" s="114" t="s">
        <v>3485</v>
      </c>
      <c r="G2359" s="114" t="s">
        <v>3485</v>
      </c>
    </row>
    <row r="2360" spans="2:7">
      <c r="B2360" s="95">
        <v>1</v>
      </c>
      <c r="C2360" s="153" t="s">
        <v>525</v>
      </c>
      <c r="D2360" s="175" t="s">
        <v>2374</v>
      </c>
      <c r="E2360" s="179">
        <v>8</v>
      </c>
      <c r="F2360" s="190">
        <f>'HIRE CHARGES'!$D$509</f>
        <v>92.7</v>
      </c>
      <c r="G2360" s="190">
        <f t="shared" ref="G2360:G2365" si="64">E2360*F2360</f>
        <v>741.6</v>
      </c>
    </row>
    <row r="2361" spans="2:7">
      <c r="B2361" s="317"/>
      <c r="C2361" s="152" t="s">
        <v>2379</v>
      </c>
      <c r="D2361" s="33" t="s">
        <v>2374</v>
      </c>
      <c r="E2361" s="190">
        <v>8</v>
      </c>
      <c r="F2361" s="190">
        <f>'HIRE CHARGES'!$E$509</f>
        <v>158.69999999999999</v>
      </c>
      <c r="G2361" s="190">
        <f t="shared" si="64"/>
        <v>1269.5999999999999</v>
      </c>
    </row>
    <row r="2362" spans="2:7">
      <c r="B2362" s="105">
        <v>2</v>
      </c>
      <c r="C2362" s="152" t="s">
        <v>189</v>
      </c>
      <c r="D2362" s="33" t="s">
        <v>2374</v>
      </c>
      <c r="E2362" s="190">
        <v>0.5</v>
      </c>
      <c r="F2362" s="190">
        <f>'HIRE CHARGES'!$D$517</f>
        <v>10.199999999999999</v>
      </c>
      <c r="G2362" s="190">
        <f t="shared" si="64"/>
        <v>5.0999999999999996</v>
      </c>
    </row>
    <row r="2363" spans="2:7">
      <c r="B2363" s="317"/>
      <c r="C2363" s="152" t="s">
        <v>2379</v>
      </c>
      <c r="D2363" s="33" t="s">
        <v>2374</v>
      </c>
      <c r="E2363" s="190">
        <v>0.5</v>
      </c>
      <c r="F2363" s="190">
        <f>'HIRE CHARGES'!$E$517</f>
        <v>79.3</v>
      </c>
      <c r="G2363" s="190">
        <f t="shared" si="64"/>
        <v>39.65</v>
      </c>
    </row>
    <row r="2364" spans="2:7">
      <c r="B2364" s="105">
        <v>3</v>
      </c>
      <c r="C2364" s="152" t="s">
        <v>703</v>
      </c>
      <c r="D2364" s="33" t="s">
        <v>2374</v>
      </c>
      <c r="E2364" s="190">
        <v>8</v>
      </c>
      <c r="F2364" s="190">
        <f>'HIRE CHARGES'!$D$533</f>
        <v>8.1999999999999993</v>
      </c>
      <c r="G2364" s="190">
        <f t="shared" si="64"/>
        <v>65.599999999999994</v>
      </c>
    </row>
    <row r="2365" spans="2:7">
      <c r="B2365" s="365"/>
      <c r="C2365" s="116" t="s">
        <v>2379</v>
      </c>
      <c r="D2365" s="33" t="s">
        <v>2374</v>
      </c>
      <c r="E2365" s="182">
        <v>8</v>
      </c>
      <c r="F2365" s="207">
        <f>'HIRE CHARGES'!$E$533</f>
        <v>28.2</v>
      </c>
      <c r="G2365" s="190">
        <f t="shared" si="64"/>
        <v>225.6</v>
      </c>
    </row>
    <row r="2366" spans="2:7">
      <c r="B2366" s="176"/>
      <c r="C2366" s="172" t="s">
        <v>2380</v>
      </c>
      <c r="D2366" s="174"/>
      <c r="E2366" s="192"/>
      <c r="F2366" s="236" t="s">
        <v>1698</v>
      </c>
      <c r="G2366" s="318">
        <f>SUM(G2360:G2365)</f>
        <v>2347.1499999999996</v>
      </c>
    </row>
    <row r="2367" spans="2:7">
      <c r="B2367" s="78"/>
      <c r="C2367" s="26"/>
    </row>
    <row r="2368" spans="2:7">
      <c r="B2368" s="79" t="s">
        <v>2381</v>
      </c>
      <c r="C2368" s="26"/>
    </row>
    <row r="2369" spans="2:7">
      <c r="B2369" s="95" t="s">
        <v>2369</v>
      </c>
      <c r="C2369" s="157" t="s">
        <v>2378</v>
      </c>
      <c r="D2369" s="95" t="s">
        <v>2370</v>
      </c>
      <c r="E2369" s="95" t="s">
        <v>1166</v>
      </c>
      <c r="F2369" s="95" t="s">
        <v>2371</v>
      </c>
      <c r="G2369" s="95" t="s">
        <v>2372</v>
      </c>
    </row>
    <row r="2370" spans="2:7">
      <c r="B2370" s="114"/>
      <c r="C2370" s="154"/>
      <c r="D2370" s="105"/>
      <c r="E2370" s="105"/>
      <c r="F2370" s="105" t="s">
        <v>3485</v>
      </c>
      <c r="G2370" s="114" t="s">
        <v>3485</v>
      </c>
    </row>
    <row r="2371" spans="2:7">
      <c r="B2371" s="95">
        <v>1</v>
      </c>
      <c r="C2371" s="76" t="s">
        <v>527</v>
      </c>
      <c r="D2371" s="95" t="s">
        <v>2374</v>
      </c>
      <c r="E2371" s="179">
        <v>8</v>
      </c>
      <c r="F2371" s="179">
        <f>'HIRE CHARGES'!$F$509</f>
        <v>219.7</v>
      </c>
      <c r="G2371" s="207">
        <f>E2371*F2371</f>
        <v>1757.6</v>
      </c>
    </row>
    <row r="2372" spans="2:7">
      <c r="B2372" s="105">
        <v>2</v>
      </c>
      <c r="C2372" s="76" t="s">
        <v>999</v>
      </c>
      <c r="D2372" s="105" t="s">
        <v>2374</v>
      </c>
      <c r="E2372" s="190">
        <v>0.5</v>
      </c>
      <c r="F2372" s="190">
        <f>'HIRE CHARGES'!$F$517</f>
        <v>111.1</v>
      </c>
      <c r="G2372" s="207">
        <f t="shared" ref="G2372:G2382" si="65">E2372*F2372</f>
        <v>55.55</v>
      </c>
    </row>
    <row r="2373" spans="2:7">
      <c r="B2373" s="105">
        <v>3</v>
      </c>
      <c r="C2373" s="76" t="s">
        <v>439</v>
      </c>
      <c r="D2373" s="105" t="s">
        <v>2374</v>
      </c>
      <c r="E2373" s="190">
        <v>8</v>
      </c>
      <c r="F2373" s="190">
        <f>'HIRE CHARGES'!$F$533</f>
        <v>158.19999999999999</v>
      </c>
      <c r="G2373" s="207">
        <f t="shared" si="65"/>
        <v>1265.5999999999999</v>
      </c>
    </row>
    <row r="2374" spans="2:7">
      <c r="B2374" s="105">
        <v>4</v>
      </c>
      <c r="C2374" s="76" t="s">
        <v>440</v>
      </c>
      <c r="D2374" s="105" t="s">
        <v>1172</v>
      </c>
      <c r="E2374" s="190">
        <v>1</v>
      </c>
      <c r="F2374" s="190">
        <f>'BASIC DATA'!$C$474</f>
        <v>445</v>
      </c>
      <c r="G2374" s="207">
        <f t="shared" si="65"/>
        <v>445</v>
      </c>
    </row>
    <row r="2375" spans="2:7">
      <c r="B2375" s="105">
        <v>5</v>
      </c>
      <c r="C2375" s="76" t="s">
        <v>4206</v>
      </c>
      <c r="D2375" s="105" t="s">
        <v>1172</v>
      </c>
      <c r="E2375" s="190">
        <v>1</v>
      </c>
      <c r="F2375" s="190">
        <f>'BASIC DATA'!$C$473</f>
        <v>450</v>
      </c>
      <c r="G2375" s="207">
        <f t="shared" si="65"/>
        <v>450</v>
      </c>
    </row>
    <row r="2376" spans="2:7">
      <c r="B2376" s="105">
        <v>6</v>
      </c>
      <c r="C2376" s="76" t="s">
        <v>2697</v>
      </c>
      <c r="D2376" s="105"/>
      <c r="E2376" s="190"/>
      <c r="F2376" s="190"/>
      <c r="G2376" s="207"/>
    </row>
    <row r="2377" spans="2:7">
      <c r="B2377" s="317"/>
      <c r="C2377" s="76" t="s">
        <v>441</v>
      </c>
      <c r="D2377" s="105" t="s">
        <v>1172</v>
      </c>
      <c r="E2377" s="190">
        <v>11</v>
      </c>
      <c r="F2377" s="190">
        <f>'BASIC DATA'!$C$552</f>
        <v>350</v>
      </c>
      <c r="G2377" s="207">
        <f t="shared" si="65"/>
        <v>3850</v>
      </c>
    </row>
    <row r="2378" spans="2:7">
      <c r="B2378" s="317"/>
      <c r="C2378" s="76" t="s">
        <v>442</v>
      </c>
      <c r="D2378" s="105" t="s">
        <v>1172</v>
      </c>
      <c r="E2378" s="190">
        <v>4</v>
      </c>
      <c r="F2378" s="190">
        <f>'BASIC DATA'!$C$552</f>
        <v>350</v>
      </c>
      <c r="G2378" s="207">
        <f t="shared" si="65"/>
        <v>1400</v>
      </c>
    </row>
    <row r="2379" spans="2:7">
      <c r="B2379" s="317"/>
      <c r="C2379" s="76" t="s">
        <v>5151</v>
      </c>
      <c r="D2379" s="105" t="s">
        <v>1172</v>
      </c>
      <c r="E2379" s="190">
        <v>3</v>
      </c>
      <c r="F2379" s="190">
        <f>'BASIC DATA'!$C$552</f>
        <v>350</v>
      </c>
      <c r="G2379" s="207">
        <f t="shared" si="65"/>
        <v>1050</v>
      </c>
    </row>
    <row r="2380" spans="2:7">
      <c r="B2380" s="317"/>
      <c r="C2380" s="76" t="s">
        <v>444</v>
      </c>
      <c r="D2380" s="105" t="s">
        <v>1172</v>
      </c>
      <c r="E2380" s="190">
        <f>F2341</f>
        <v>14.4</v>
      </c>
      <c r="F2380" s="190">
        <f>'BASIC DATA'!$C$552</f>
        <v>350</v>
      </c>
      <c r="G2380" s="207">
        <f t="shared" si="65"/>
        <v>5040</v>
      </c>
    </row>
    <row r="2381" spans="2:7">
      <c r="B2381" s="317"/>
      <c r="C2381" s="76" t="s">
        <v>445</v>
      </c>
      <c r="D2381" s="105" t="s">
        <v>1172</v>
      </c>
      <c r="E2381" s="190">
        <v>1</v>
      </c>
      <c r="F2381" s="190">
        <f>'BASIC DATA'!$C$552</f>
        <v>350</v>
      </c>
      <c r="G2381" s="207">
        <f t="shared" si="65"/>
        <v>350</v>
      </c>
    </row>
    <row r="2382" spans="2:7">
      <c r="B2382" s="105">
        <v>7</v>
      </c>
      <c r="C2382" s="76" t="s">
        <v>7215</v>
      </c>
      <c r="D2382" s="105" t="s">
        <v>3479</v>
      </c>
      <c r="E2382" s="190">
        <f>2*F2341</f>
        <v>28.8</v>
      </c>
      <c r="F2382" s="190">
        <f>F2336</f>
        <v>88.5</v>
      </c>
      <c r="G2382" s="207">
        <f t="shared" si="65"/>
        <v>2548.8000000000002</v>
      </c>
    </row>
    <row r="2383" spans="2:7">
      <c r="B2383" s="365"/>
      <c r="C2383" s="76" t="s">
        <v>6402</v>
      </c>
      <c r="D2383" s="681">
        <v>0.15</v>
      </c>
      <c r="E2383" s="182"/>
      <c r="F2383" s="182"/>
      <c r="G2383" s="207">
        <f>G2382*D2383</f>
        <v>382.32</v>
      </c>
    </row>
    <row r="2384" spans="2:7">
      <c r="B2384" s="92"/>
      <c r="C2384" s="193" t="s">
        <v>1174</v>
      </c>
      <c r="D2384" s="159"/>
      <c r="E2384" s="238"/>
      <c r="F2384" s="236" t="s">
        <v>1698</v>
      </c>
      <c r="G2384" s="318">
        <f>SUM(G2371:G2383)</f>
        <v>18594.87</v>
      </c>
    </row>
    <row r="2385" spans="1:7">
      <c r="B2385" s="60" t="s">
        <v>5948</v>
      </c>
      <c r="C2385" s="26"/>
      <c r="D2385" s="31"/>
      <c r="E2385" s="85">
        <f>ROUND(G2384/F2341,1)</f>
        <v>1291.3</v>
      </c>
    </row>
    <row r="2386" spans="1:7">
      <c r="B2386" s="60" t="s">
        <v>3163</v>
      </c>
      <c r="C2386" s="26"/>
      <c r="D2386" s="922">
        <f>'BASIC DATA'!$C$577</f>
        <v>0.13614999999999999</v>
      </c>
      <c r="E2386" s="85">
        <f>ROUND(E2385*D2386,1)</f>
        <v>175.8</v>
      </c>
    </row>
    <row r="2387" spans="1:7">
      <c r="B2387" s="60" t="s">
        <v>5949</v>
      </c>
      <c r="C2387" s="26"/>
      <c r="D2387" s="31"/>
      <c r="E2387" s="199">
        <f>ROUND(E2386+E2385,1)</f>
        <v>1467.1</v>
      </c>
      <c r="F2387" s="57"/>
    </row>
    <row r="2388" spans="1:7">
      <c r="B2388" s="26"/>
      <c r="C2388" s="26"/>
    </row>
    <row r="2389" spans="1:7">
      <c r="B2389" s="170" t="s">
        <v>1175</v>
      </c>
      <c r="C2389" s="26"/>
    </row>
    <row r="2390" spans="1:7">
      <c r="B2390" s="26" t="s">
        <v>1176</v>
      </c>
      <c r="C2390" s="26"/>
      <c r="F2390" s="171" t="s">
        <v>1698</v>
      </c>
      <c r="G2390" s="68">
        <f>G2355</f>
        <v>42273.080315474406</v>
      </c>
    </row>
    <row r="2391" spans="1:7">
      <c r="B2391" s="26" t="s">
        <v>1186</v>
      </c>
      <c r="C2391" s="26"/>
      <c r="F2391" s="171" t="s">
        <v>1698</v>
      </c>
      <c r="G2391" s="68">
        <f>G2366</f>
        <v>2347.1499999999996</v>
      </c>
    </row>
    <row r="2392" spans="1:7">
      <c r="B2392" s="26" t="s">
        <v>2660</v>
      </c>
      <c r="C2392" s="26"/>
      <c r="F2392" s="171" t="s">
        <v>1698</v>
      </c>
      <c r="G2392" s="75">
        <f>G2384</f>
        <v>18594.87</v>
      </c>
    </row>
    <row r="2393" spans="1:7">
      <c r="B2393" s="78"/>
      <c r="C2393" s="26"/>
      <c r="E2393" s="171"/>
      <c r="F2393" s="171" t="s">
        <v>302</v>
      </c>
      <c r="G2393" s="205">
        <f>SUM(G2390:G2392)</f>
        <v>63215.10031547441</v>
      </c>
    </row>
    <row r="2394" spans="1:7">
      <c r="B2394" s="1206" t="s">
        <v>1379</v>
      </c>
      <c r="C2394" s="1206"/>
      <c r="E2394" s="922">
        <f>'BASIC DATA'!$C$577</f>
        <v>0.13614999999999999</v>
      </c>
      <c r="F2394" s="26" t="s">
        <v>1698</v>
      </c>
      <c r="G2394" s="26">
        <f>ROUND(G2393*E2394,2)</f>
        <v>8606.74</v>
      </c>
    </row>
    <row r="2395" spans="1:7">
      <c r="B2395" s="26" t="s">
        <v>1191</v>
      </c>
      <c r="C2395" s="26"/>
      <c r="D2395" s="68">
        <f>F2341</f>
        <v>14.4</v>
      </c>
      <c r="E2395" s="68" t="str">
        <f>G2341</f>
        <v>cum</v>
      </c>
      <c r="F2395" s="26" t="s">
        <v>1698</v>
      </c>
      <c r="G2395" s="211">
        <f>G2394+G2393</f>
        <v>71821.840315474416</v>
      </c>
    </row>
    <row r="2396" spans="1:7">
      <c r="B2396" s="170" t="s">
        <v>1584</v>
      </c>
      <c r="C2396" s="211" t="str">
        <f>E2395</f>
        <v>cum</v>
      </c>
      <c r="D2396" s="26" t="s">
        <v>7823</v>
      </c>
      <c r="F2396" s="26" t="s">
        <v>4108</v>
      </c>
      <c r="G2396" s="211">
        <f>ROUND(G2395/D2395,1)</f>
        <v>4987.6000000000004</v>
      </c>
    </row>
    <row r="2397" spans="1:7">
      <c r="B2397" s="78"/>
      <c r="C2397" s="26"/>
    </row>
    <row r="2398" spans="1:7">
      <c r="B2398" s="78"/>
      <c r="C2398" s="26"/>
    </row>
    <row r="2399" spans="1:7" ht="18.75">
      <c r="A2399" s="865" t="s">
        <v>7563</v>
      </c>
      <c r="B2399" s="26" t="s">
        <v>8618</v>
      </c>
      <c r="C2399" s="26"/>
    </row>
    <row r="2400" spans="1:7" ht="18.75">
      <c r="A2400" s="865"/>
      <c r="B2400" s="26" t="s">
        <v>8925</v>
      </c>
      <c r="C2400" s="26"/>
    </row>
    <row r="2401" spans="1:7">
      <c r="A2401" s="865"/>
      <c r="B2401" s="26" t="s">
        <v>8959</v>
      </c>
      <c r="C2401" s="26"/>
    </row>
    <row r="2402" spans="1:7">
      <c r="A2402" s="865"/>
      <c r="B2402" s="26" t="s">
        <v>3535</v>
      </c>
      <c r="C2402" s="26"/>
    </row>
    <row r="2403" spans="1:7" ht="18.75">
      <c r="A2403" s="865"/>
      <c r="B2403" s="170" t="s">
        <v>8948</v>
      </c>
      <c r="C2403" s="26"/>
    </row>
    <row r="2404" spans="1:7">
      <c r="A2404" s="865" t="s">
        <v>1940</v>
      </c>
      <c r="B2404" s="170" t="s">
        <v>1351</v>
      </c>
      <c r="C2404" s="26"/>
    </row>
    <row r="2405" spans="1:7">
      <c r="A2405" s="865"/>
      <c r="B2405" s="170" t="s">
        <v>7775</v>
      </c>
      <c r="C2405" s="26"/>
    </row>
    <row r="2406" spans="1:7">
      <c r="A2406" s="855"/>
      <c r="B2406" s="248" t="s">
        <v>4522</v>
      </c>
      <c r="C2406" s="61"/>
      <c r="D2406" s="61"/>
      <c r="E2406" s="61"/>
      <c r="F2406" s="61"/>
      <c r="G2406" s="61"/>
    </row>
    <row r="2407" spans="1:7">
      <c r="A2407" s="865"/>
      <c r="B2407" s="26"/>
      <c r="C2407" s="26"/>
    </row>
    <row r="2408" spans="1:7" hidden="1">
      <c r="A2408" s="865" t="s">
        <v>3984</v>
      </c>
      <c r="B2408" s="26" t="s">
        <v>5780</v>
      </c>
      <c r="C2408" s="26"/>
    </row>
    <row r="2409" spans="1:7" hidden="1">
      <c r="A2409" s="865"/>
      <c r="B2409" s="26" t="s">
        <v>3833</v>
      </c>
      <c r="C2409" s="26"/>
    </row>
    <row r="2410" spans="1:7" hidden="1">
      <c r="A2410" s="865"/>
      <c r="B2410" s="26" t="s">
        <v>7790</v>
      </c>
      <c r="C2410" s="26"/>
    </row>
    <row r="2411" spans="1:7" hidden="1">
      <c r="A2411" s="865"/>
      <c r="B2411" s="26" t="s">
        <v>7791</v>
      </c>
      <c r="C2411" s="26"/>
      <c r="E2411" s="26">
        <f>ROUND(50*13*8/330,2)</f>
        <v>15.76</v>
      </c>
      <c r="G2411" s="26" t="s">
        <v>3760</v>
      </c>
    </row>
    <row r="2412" spans="1:7" hidden="1">
      <c r="A2412" s="865"/>
      <c r="B2412" s="26" t="s">
        <v>2843</v>
      </c>
      <c r="C2412" s="26"/>
    </row>
    <row r="2413" spans="1:7" hidden="1">
      <c r="A2413" s="865"/>
      <c r="B2413" s="26" t="s">
        <v>3668</v>
      </c>
      <c r="C2413" s="26"/>
    </row>
    <row r="2414" spans="1:7" hidden="1">
      <c r="A2414" s="865"/>
      <c r="B2414" s="26" t="s">
        <v>2001</v>
      </c>
      <c r="C2414" s="26"/>
      <c r="F2414" s="68">
        <f>G677</f>
        <v>271.42336920000002</v>
      </c>
      <c r="G2414" s="26" t="s">
        <v>1168</v>
      </c>
    </row>
    <row r="2415" spans="1:7" hidden="1">
      <c r="A2415" s="865"/>
      <c r="B2415" s="26" t="s">
        <v>3746</v>
      </c>
      <c r="C2415" s="26"/>
    </row>
    <row r="2416" spans="1:7" hidden="1">
      <c r="A2416" s="865"/>
      <c r="B2416" s="26" t="s">
        <v>2002</v>
      </c>
      <c r="C2416" s="26"/>
      <c r="F2416" s="68">
        <f>G693</f>
        <v>88.5</v>
      </c>
      <c r="G2416" s="26" t="s">
        <v>1168</v>
      </c>
    </row>
    <row r="2417" spans="1:7" hidden="1">
      <c r="A2417" s="865"/>
      <c r="B2417" s="26" t="s">
        <v>3747</v>
      </c>
      <c r="C2417" s="26"/>
    </row>
    <row r="2418" spans="1:7" hidden="1">
      <c r="A2418" s="865"/>
      <c r="B2418" s="26" t="s">
        <v>451</v>
      </c>
      <c r="C2418" s="26"/>
    </row>
    <row r="2419" spans="1:7" hidden="1">
      <c r="A2419" s="865"/>
      <c r="B2419" s="26" t="s">
        <v>2003</v>
      </c>
      <c r="C2419" s="26"/>
    </row>
    <row r="2420" spans="1:7">
      <c r="B2420" s="78"/>
      <c r="C2420" s="26"/>
    </row>
    <row r="2421" spans="1:7">
      <c r="A2421" s="865" t="s">
        <v>3984</v>
      </c>
      <c r="B2421" s="78"/>
      <c r="C2421" s="203" t="s">
        <v>2367</v>
      </c>
      <c r="E2421" s="171" t="s">
        <v>297</v>
      </c>
      <c r="F2421" s="246">
        <f>E2411</f>
        <v>15.76</v>
      </c>
      <c r="G2421" s="26" t="s">
        <v>3477</v>
      </c>
    </row>
    <row r="2422" spans="1:7">
      <c r="B2422" s="79" t="s">
        <v>2368</v>
      </c>
      <c r="C2422" s="26"/>
    </row>
    <row r="2423" spans="1:7">
      <c r="B2423" s="95" t="s">
        <v>2369</v>
      </c>
      <c r="C2423" s="157" t="s">
        <v>4443</v>
      </c>
      <c r="D2423" s="95" t="s">
        <v>2370</v>
      </c>
      <c r="E2423" s="95" t="s">
        <v>1166</v>
      </c>
      <c r="F2423" s="95" t="s">
        <v>2371</v>
      </c>
      <c r="G2423" s="95" t="s">
        <v>2372</v>
      </c>
    </row>
    <row r="2424" spans="1:7">
      <c r="B2424" s="114"/>
      <c r="C2424" s="154"/>
      <c r="D2424" s="114"/>
      <c r="E2424" s="114"/>
      <c r="F2424" s="114" t="s">
        <v>3485</v>
      </c>
      <c r="G2424" s="114" t="s">
        <v>3485</v>
      </c>
    </row>
    <row r="2425" spans="1:7">
      <c r="B2425" s="95">
        <v>1</v>
      </c>
      <c r="C2425" s="135" t="s">
        <v>1048</v>
      </c>
      <c r="D2425" s="95" t="s">
        <v>3478</v>
      </c>
      <c r="E2425" s="190">
        <f>330*F2421</f>
        <v>5200.8</v>
      </c>
      <c r="F2425" s="214">
        <f>'BASIC DATA'!$D$32/1000</f>
        <v>5.35</v>
      </c>
      <c r="G2425" s="190">
        <f>E2425*F2425</f>
        <v>27824.28</v>
      </c>
    </row>
    <row r="2426" spans="1:7">
      <c r="B2426" s="317"/>
      <c r="C2426" s="135" t="s">
        <v>1049</v>
      </c>
      <c r="D2426" s="105" t="s">
        <v>3478</v>
      </c>
      <c r="E2426" s="190">
        <f>F2421*5</f>
        <v>78.8</v>
      </c>
      <c r="F2426" s="214">
        <f>'BASIC DATA'!$D$32/1000</f>
        <v>5.35</v>
      </c>
      <c r="G2426" s="190">
        <f t="shared" ref="G2426:G2433" si="66">E2426*F2426</f>
        <v>421.58</v>
      </c>
    </row>
    <row r="2427" spans="1:7">
      <c r="B2427" s="105">
        <v>2</v>
      </c>
      <c r="C2427" s="135" t="s">
        <v>6995</v>
      </c>
      <c r="D2427" s="105" t="s">
        <v>3477</v>
      </c>
      <c r="E2427" s="190">
        <f>0.8*F2421*0.65</f>
        <v>8.1951999999999998</v>
      </c>
      <c r="F2427" s="214">
        <f>'BASIC DATA'!$D$35</f>
        <v>1225</v>
      </c>
      <c r="G2427" s="190">
        <f t="shared" si="66"/>
        <v>10039.119999999999</v>
      </c>
    </row>
    <row r="2428" spans="1:7">
      <c r="B2428" s="317"/>
      <c r="C2428" s="135" t="s">
        <v>1050</v>
      </c>
      <c r="D2428" s="105" t="s">
        <v>3477</v>
      </c>
      <c r="E2428" s="190">
        <f>0.8*F2421*0.35</f>
        <v>4.4127999999999998</v>
      </c>
      <c r="F2428" s="214">
        <f>'BASIC DATA'!$D$34</f>
        <v>900</v>
      </c>
      <c r="G2428" s="190">
        <f t="shared" si="66"/>
        <v>3971.52</v>
      </c>
    </row>
    <row r="2429" spans="1:7">
      <c r="A2429" s="853"/>
      <c r="B2429" s="240">
        <v>3</v>
      </c>
      <c r="C2429" s="326" t="s">
        <v>7941</v>
      </c>
      <c r="D2429" s="240" t="s">
        <v>3477</v>
      </c>
      <c r="E2429" s="255">
        <f>0.45*F2421</f>
        <v>7.0919999999999996</v>
      </c>
      <c r="F2429" s="266">
        <f>'BASIC DATA'!$D$55</f>
        <v>95</v>
      </c>
      <c r="G2429" s="255">
        <f t="shared" si="66"/>
        <v>673.74</v>
      </c>
    </row>
    <row r="2430" spans="1:7">
      <c r="B2430" s="105">
        <v>4</v>
      </c>
      <c r="C2430" s="135" t="s">
        <v>523</v>
      </c>
      <c r="D2430" s="105" t="s">
        <v>3478</v>
      </c>
      <c r="E2430" s="190">
        <f>E2425*0.4%</f>
        <v>20.8032</v>
      </c>
      <c r="F2430" s="214">
        <f>'BASIC DATA'!$D$99</f>
        <v>55</v>
      </c>
      <c r="G2430" s="190">
        <f t="shared" si="66"/>
        <v>1144.1759999999999</v>
      </c>
    </row>
    <row r="2431" spans="1:7">
      <c r="B2431" s="105">
        <v>5</v>
      </c>
      <c r="C2431" s="135" t="s">
        <v>3748</v>
      </c>
      <c r="D2431" s="105" t="s">
        <v>3479</v>
      </c>
      <c r="E2431" s="190">
        <f>2.5*F2421</f>
        <v>39.4</v>
      </c>
      <c r="F2431" s="214">
        <f>F2414</f>
        <v>271.42336920000002</v>
      </c>
      <c r="G2431" s="190">
        <f t="shared" si="66"/>
        <v>10694.08074648</v>
      </c>
    </row>
    <row r="2432" spans="1:7">
      <c r="B2432" s="317"/>
      <c r="C2432" s="135" t="s">
        <v>5408</v>
      </c>
      <c r="D2432" s="224">
        <v>2.5</v>
      </c>
      <c r="E2432" s="190"/>
      <c r="F2432" s="214"/>
      <c r="G2432" s="190">
        <f>G2431*D2432</f>
        <v>26735.201866200001</v>
      </c>
    </row>
    <row r="2433" spans="2:7">
      <c r="B2433" s="114">
        <v>6</v>
      </c>
      <c r="C2433" s="139" t="s">
        <v>2373</v>
      </c>
      <c r="D2433" s="114" t="s">
        <v>2173</v>
      </c>
      <c r="E2433" s="182">
        <v>1</v>
      </c>
      <c r="F2433" s="215">
        <f>'BASIC DATA'!$D$359</f>
        <v>30</v>
      </c>
      <c r="G2433" s="182">
        <f t="shared" si="66"/>
        <v>30</v>
      </c>
    </row>
    <row r="2434" spans="2:7">
      <c r="B2434" s="92"/>
      <c r="C2434" s="193" t="s">
        <v>2376</v>
      </c>
      <c r="D2434" s="159"/>
      <c r="E2434" s="238"/>
      <c r="F2434" s="236" t="s">
        <v>1698</v>
      </c>
      <c r="G2434" s="318">
        <f>SUM(G2425:G2433)</f>
        <v>81533.698612679989</v>
      </c>
    </row>
    <row r="2435" spans="2:7">
      <c r="B2435" s="78"/>
      <c r="C2435" s="26"/>
    </row>
    <row r="2436" spans="2:7">
      <c r="B2436" s="79" t="s">
        <v>2377</v>
      </c>
      <c r="C2436" s="26"/>
    </row>
    <row r="2437" spans="2:7">
      <c r="B2437" s="95" t="s">
        <v>2369</v>
      </c>
      <c r="C2437" s="157" t="s">
        <v>2378</v>
      </c>
      <c r="D2437" s="95" t="s">
        <v>2370</v>
      </c>
      <c r="E2437" s="95" t="s">
        <v>1166</v>
      </c>
      <c r="F2437" s="95" t="s">
        <v>2371</v>
      </c>
      <c r="G2437" s="95" t="s">
        <v>2372</v>
      </c>
    </row>
    <row r="2438" spans="2:7">
      <c r="B2438" s="114"/>
      <c r="C2438" s="154"/>
      <c r="D2438" s="114"/>
      <c r="E2438" s="114"/>
      <c r="F2438" s="114" t="s">
        <v>3485</v>
      </c>
      <c r="G2438" s="114" t="s">
        <v>3485</v>
      </c>
    </row>
    <row r="2439" spans="2:7">
      <c r="B2439" s="95">
        <v>1</v>
      </c>
      <c r="C2439" s="153" t="s">
        <v>7214</v>
      </c>
      <c r="D2439" s="175" t="s">
        <v>2374</v>
      </c>
      <c r="E2439" s="179">
        <v>8</v>
      </c>
      <c r="F2439" s="190">
        <f>'HIRE CHARGES'!$D$507</f>
        <v>53.5</v>
      </c>
      <c r="G2439" s="190">
        <f t="shared" ref="G2439:G2444" si="67">E2439*F2439</f>
        <v>428</v>
      </c>
    </row>
    <row r="2440" spans="2:7">
      <c r="B2440" s="317"/>
      <c r="C2440" s="152" t="s">
        <v>2379</v>
      </c>
      <c r="D2440" s="33" t="s">
        <v>2374</v>
      </c>
      <c r="E2440" s="190">
        <v>8</v>
      </c>
      <c r="F2440" s="190">
        <f>'HIRE CHARGES'!$E$507</f>
        <v>79.3</v>
      </c>
      <c r="G2440" s="190">
        <f t="shared" si="67"/>
        <v>634.4</v>
      </c>
    </row>
    <row r="2441" spans="2:7">
      <c r="B2441" s="105">
        <v>2</v>
      </c>
      <c r="C2441" s="152" t="s">
        <v>189</v>
      </c>
      <c r="D2441" s="33" t="s">
        <v>2374</v>
      </c>
      <c r="E2441" s="190">
        <v>0.5</v>
      </c>
      <c r="F2441" s="190">
        <f>'HIRE CHARGES'!$D$517</f>
        <v>10.199999999999999</v>
      </c>
      <c r="G2441" s="190">
        <f t="shared" si="67"/>
        <v>5.0999999999999996</v>
      </c>
    </row>
    <row r="2442" spans="2:7">
      <c r="B2442" s="317"/>
      <c r="C2442" s="152" t="s">
        <v>2379</v>
      </c>
      <c r="D2442" s="33" t="s">
        <v>2374</v>
      </c>
      <c r="E2442" s="190">
        <v>0.5</v>
      </c>
      <c r="F2442" s="190">
        <f>'HIRE CHARGES'!$E$517</f>
        <v>79.3</v>
      </c>
      <c r="G2442" s="190">
        <f t="shared" si="67"/>
        <v>39.65</v>
      </c>
    </row>
    <row r="2443" spans="2:7">
      <c r="B2443" s="105">
        <v>3</v>
      </c>
      <c r="C2443" s="152" t="s">
        <v>526</v>
      </c>
      <c r="D2443" s="33" t="s">
        <v>2374</v>
      </c>
      <c r="E2443" s="190">
        <v>8</v>
      </c>
      <c r="F2443" s="190">
        <f>'HIRE CHARGES'!$D$531</f>
        <v>7.6</v>
      </c>
      <c r="G2443" s="190">
        <f t="shared" si="67"/>
        <v>60.8</v>
      </c>
    </row>
    <row r="2444" spans="2:7">
      <c r="B2444" s="365"/>
      <c r="C2444" s="116" t="s">
        <v>2379</v>
      </c>
      <c r="D2444" s="33" t="s">
        <v>2374</v>
      </c>
      <c r="E2444" s="182">
        <v>8</v>
      </c>
      <c r="F2444" s="207">
        <f>'HIRE CHARGES'!$E$531</f>
        <v>18.8</v>
      </c>
      <c r="G2444" s="190">
        <f t="shared" si="67"/>
        <v>150.4</v>
      </c>
    </row>
    <row r="2445" spans="2:7">
      <c r="B2445" s="176"/>
      <c r="C2445" s="172" t="s">
        <v>2380</v>
      </c>
      <c r="D2445" s="174"/>
      <c r="E2445" s="192"/>
      <c r="F2445" s="236" t="s">
        <v>1698</v>
      </c>
      <c r="G2445" s="318">
        <f>SUM(G2439:G2444)</f>
        <v>1318.3500000000001</v>
      </c>
    </row>
    <row r="2446" spans="2:7">
      <c r="B2446" s="78"/>
      <c r="C2446" s="26"/>
    </row>
    <row r="2447" spans="2:7">
      <c r="B2447" s="79" t="s">
        <v>2381</v>
      </c>
      <c r="C2447" s="26"/>
    </row>
    <row r="2448" spans="2:7">
      <c r="B2448" s="95" t="s">
        <v>2369</v>
      </c>
      <c r="C2448" s="157" t="s">
        <v>2378</v>
      </c>
      <c r="D2448" s="95" t="s">
        <v>2370</v>
      </c>
      <c r="E2448" s="95" t="s">
        <v>1166</v>
      </c>
      <c r="F2448" s="95" t="s">
        <v>2371</v>
      </c>
      <c r="G2448" s="95" t="s">
        <v>2372</v>
      </c>
    </row>
    <row r="2449" spans="2:7">
      <c r="B2449" s="114"/>
      <c r="C2449" s="154"/>
      <c r="D2449" s="105"/>
      <c r="E2449" s="105"/>
      <c r="F2449" s="105" t="s">
        <v>3485</v>
      </c>
      <c r="G2449" s="114" t="s">
        <v>3485</v>
      </c>
    </row>
    <row r="2450" spans="2:7">
      <c r="B2450" s="95">
        <v>1</v>
      </c>
      <c r="C2450" s="76" t="s">
        <v>527</v>
      </c>
      <c r="D2450" s="95" t="s">
        <v>2374</v>
      </c>
      <c r="E2450" s="179">
        <v>8</v>
      </c>
      <c r="F2450" s="179">
        <f>'HIRE CHARGES'!$F$507</f>
        <v>219.7</v>
      </c>
      <c r="G2450" s="207">
        <f>E2450*F2450</f>
        <v>1757.6</v>
      </c>
    </row>
    <row r="2451" spans="2:7">
      <c r="B2451" s="105">
        <v>2</v>
      </c>
      <c r="C2451" s="76" t="s">
        <v>999</v>
      </c>
      <c r="D2451" s="105" t="s">
        <v>2374</v>
      </c>
      <c r="E2451" s="190">
        <v>0.5</v>
      </c>
      <c r="F2451" s="190">
        <f>'HIRE CHARGES'!$F$517</f>
        <v>111.1</v>
      </c>
      <c r="G2451" s="207">
        <f t="shared" ref="G2451:G2461" si="68">E2451*F2451</f>
        <v>55.55</v>
      </c>
    </row>
    <row r="2452" spans="2:7">
      <c r="B2452" s="105">
        <v>3</v>
      </c>
      <c r="C2452" s="76" t="s">
        <v>439</v>
      </c>
      <c r="D2452" s="105" t="s">
        <v>2374</v>
      </c>
      <c r="E2452" s="190">
        <v>8</v>
      </c>
      <c r="F2452" s="190">
        <f>'HIRE CHARGES'!$F$531</f>
        <v>158.19999999999999</v>
      </c>
      <c r="G2452" s="207">
        <f t="shared" si="68"/>
        <v>1265.5999999999999</v>
      </c>
    </row>
    <row r="2453" spans="2:7">
      <c r="B2453" s="105">
        <v>4</v>
      </c>
      <c r="C2453" s="76" t="s">
        <v>440</v>
      </c>
      <c r="D2453" s="105" t="s">
        <v>1172</v>
      </c>
      <c r="E2453" s="190">
        <v>2</v>
      </c>
      <c r="F2453" s="190">
        <f>'BASIC DATA'!$C$474</f>
        <v>445</v>
      </c>
      <c r="G2453" s="207">
        <f t="shared" si="68"/>
        <v>890</v>
      </c>
    </row>
    <row r="2454" spans="2:7">
      <c r="B2454" s="105">
        <v>5</v>
      </c>
      <c r="C2454" s="76" t="s">
        <v>4206</v>
      </c>
      <c r="D2454" s="105" t="s">
        <v>1172</v>
      </c>
      <c r="E2454" s="190">
        <v>1</v>
      </c>
      <c r="F2454" s="190">
        <f>'BASIC DATA'!$C$473</f>
        <v>450</v>
      </c>
      <c r="G2454" s="207">
        <f t="shared" si="68"/>
        <v>450</v>
      </c>
    </row>
    <row r="2455" spans="2:7">
      <c r="B2455" s="105">
        <v>6</v>
      </c>
      <c r="C2455" s="76" t="s">
        <v>2697</v>
      </c>
      <c r="D2455" s="105"/>
      <c r="E2455" s="190"/>
      <c r="F2455" s="190"/>
      <c r="G2455" s="207"/>
    </row>
    <row r="2456" spans="2:7">
      <c r="B2456" s="317"/>
      <c r="C2456" s="76" t="s">
        <v>441</v>
      </c>
      <c r="D2456" s="105" t="s">
        <v>1172</v>
      </c>
      <c r="E2456" s="190">
        <v>11</v>
      </c>
      <c r="F2456" s="190">
        <f>'BASIC DATA'!$C$552</f>
        <v>350</v>
      </c>
      <c r="G2456" s="207">
        <f t="shared" si="68"/>
        <v>3850</v>
      </c>
    </row>
    <row r="2457" spans="2:7">
      <c r="B2457" s="317"/>
      <c r="C2457" s="76" t="s">
        <v>442</v>
      </c>
      <c r="D2457" s="105" t="s">
        <v>1172</v>
      </c>
      <c r="E2457" s="190">
        <v>4</v>
      </c>
      <c r="F2457" s="190">
        <f>'BASIC DATA'!$C$552</f>
        <v>350</v>
      </c>
      <c r="G2457" s="207">
        <f t="shared" si="68"/>
        <v>1400</v>
      </c>
    </row>
    <row r="2458" spans="2:7">
      <c r="B2458" s="317"/>
      <c r="C2458" s="76" t="s">
        <v>5151</v>
      </c>
      <c r="D2458" s="105" t="s">
        <v>1172</v>
      </c>
      <c r="E2458" s="190">
        <v>4</v>
      </c>
      <c r="F2458" s="190">
        <f>'BASIC DATA'!$C$552</f>
        <v>350</v>
      </c>
      <c r="G2458" s="207">
        <f t="shared" si="68"/>
        <v>1400</v>
      </c>
    </row>
    <row r="2459" spans="2:7">
      <c r="B2459" s="317"/>
      <c r="C2459" s="76" t="s">
        <v>444</v>
      </c>
      <c r="D2459" s="105" t="s">
        <v>1172</v>
      </c>
      <c r="E2459" s="190">
        <f>F2421</f>
        <v>15.76</v>
      </c>
      <c r="F2459" s="190">
        <f>'BASIC DATA'!$C$552</f>
        <v>350</v>
      </c>
      <c r="G2459" s="207">
        <f t="shared" si="68"/>
        <v>5516</v>
      </c>
    </row>
    <row r="2460" spans="2:7">
      <c r="B2460" s="317"/>
      <c r="C2460" s="76" t="s">
        <v>445</v>
      </c>
      <c r="D2460" s="105" t="s">
        <v>1172</v>
      </c>
      <c r="E2460" s="190">
        <v>1</v>
      </c>
      <c r="F2460" s="190">
        <f>'BASIC DATA'!$C$552</f>
        <v>350</v>
      </c>
      <c r="G2460" s="207">
        <f t="shared" si="68"/>
        <v>350</v>
      </c>
    </row>
    <row r="2461" spans="2:7">
      <c r="B2461" s="105">
        <v>7</v>
      </c>
      <c r="C2461" s="76" t="s">
        <v>7215</v>
      </c>
      <c r="D2461" s="105" t="s">
        <v>3479</v>
      </c>
      <c r="E2461" s="190">
        <f>2.5*F2421</f>
        <v>39.4</v>
      </c>
      <c r="F2461" s="190">
        <f>F2416</f>
        <v>88.5</v>
      </c>
      <c r="G2461" s="207">
        <f t="shared" si="68"/>
        <v>3486.9</v>
      </c>
    </row>
    <row r="2462" spans="2:7">
      <c r="B2462" s="365"/>
      <c r="C2462" s="76" t="s">
        <v>6402</v>
      </c>
      <c r="D2462" s="681">
        <v>2.5</v>
      </c>
      <c r="E2462" s="182"/>
      <c r="F2462" s="182"/>
      <c r="G2462" s="207">
        <f>G2461*D2462</f>
        <v>8717.25</v>
      </c>
    </row>
    <row r="2463" spans="2:7">
      <c r="B2463" s="92"/>
      <c r="C2463" s="193" t="s">
        <v>1174</v>
      </c>
      <c r="D2463" s="159"/>
      <c r="E2463" s="238"/>
      <c r="F2463" s="236" t="s">
        <v>1698</v>
      </c>
      <c r="G2463" s="318">
        <f>SUM(G2450:G2462)</f>
        <v>29138.9</v>
      </c>
    </row>
    <row r="2464" spans="2:7">
      <c r="B2464" s="60" t="s">
        <v>5948</v>
      </c>
      <c r="C2464" s="31"/>
      <c r="D2464" s="31"/>
      <c r="E2464" s="85">
        <f>ROUND(G2463/F2421,1)</f>
        <v>1848.9</v>
      </c>
    </row>
    <row r="2465" spans="1:7">
      <c r="B2465" s="60" t="s">
        <v>3163</v>
      </c>
      <c r="C2465" s="31"/>
      <c r="D2465" s="922">
        <f>'BASIC DATA'!$C$577</f>
        <v>0.13614999999999999</v>
      </c>
      <c r="E2465" s="85">
        <f>ROUND(E2464*D2465,1)</f>
        <v>251.7</v>
      </c>
    </row>
    <row r="2466" spans="1:7">
      <c r="B2466" s="60" t="s">
        <v>5949</v>
      </c>
      <c r="C2466" s="31"/>
      <c r="D2466" s="31"/>
      <c r="E2466" s="199">
        <f>ROUND(E2465+E2464,1)</f>
        <v>2100.6</v>
      </c>
      <c r="F2466" s="57"/>
    </row>
    <row r="2467" spans="1:7">
      <c r="B2467" s="78"/>
      <c r="C2467" s="26"/>
    </row>
    <row r="2468" spans="1:7">
      <c r="B2468" s="170" t="s">
        <v>1175</v>
      </c>
      <c r="C2468" s="26"/>
    </row>
    <row r="2469" spans="1:7">
      <c r="B2469" s="26" t="s">
        <v>1176</v>
      </c>
      <c r="C2469" s="26"/>
      <c r="F2469" s="171" t="s">
        <v>1698</v>
      </c>
      <c r="G2469" s="68">
        <f>G2434</f>
        <v>81533.698612679989</v>
      </c>
    </row>
    <row r="2470" spans="1:7">
      <c r="B2470" s="26" t="s">
        <v>1186</v>
      </c>
      <c r="C2470" s="26"/>
      <c r="F2470" s="171" t="s">
        <v>1698</v>
      </c>
      <c r="G2470" s="68">
        <f>G2445</f>
        <v>1318.3500000000001</v>
      </c>
    </row>
    <row r="2471" spans="1:7">
      <c r="B2471" s="26" t="s">
        <v>2660</v>
      </c>
      <c r="C2471" s="26"/>
      <c r="F2471" s="171" t="s">
        <v>1698</v>
      </c>
      <c r="G2471" s="75">
        <f>G2463</f>
        <v>29138.9</v>
      </c>
    </row>
    <row r="2472" spans="1:7">
      <c r="B2472" s="78"/>
      <c r="C2472" s="26"/>
      <c r="E2472" s="171"/>
      <c r="F2472" s="171" t="s">
        <v>302</v>
      </c>
      <c r="G2472" s="205">
        <f>SUM(G2469:G2471)</f>
        <v>111990.94861267999</v>
      </c>
    </row>
    <row r="2473" spans="1:7">
      <c r="B2473" s="1206" t="s">
        <v>1379</v>
      </c>
      <c r="C2473" s="1206"/>
      <c r="E2473" s="922">
        <f>'BASIC DATA'!$C$577</f>
        <v>0.13614999999999999</v>
      </c>
      <c r="F2473" s="26" t="s">
        <v>1698</v>
      </c>
      <c r="G2473" s="26">
        <f>ROUND(G2472*E2473,2)</f>
        <v>15247.57</v>
      </c>
    </row>
    <row r="2474" spans="1:7">
      <c r="B2474" s="26" t="s">
        <v>1191</v>
      </c>
      <c r="C2474" s="26"/>
      <c r="D2474" s="68">
        <f>F2421</f>
        <v>15.76</v>
      </c>
      <c r="E2474" s="68" t="str">
        <f>G2421</f>
        <v>cum</v>
      </c>
      <c r="F2474" s="26" t="s">
        <v>1698</v>
      </c>
      <c r="G2474" s="211">
        <f>G2473+G2472</f>
        <v>127238.51861268</v>
      </c>
    </row>
    <row r="2475" spans="1:7">
      <c r="B2475" s="170" t="s">
        <v>1584</v>
      </c>
      <c r="C2475" s="211" t="str">
        <f>E2474</f>
        <v>cum</v>
      </c>
      <c r="D2475" s="26" t="s">
        <v>7778</v>
      </c>
      <c r="F2475" s="26" t="s">
        <v>4108</v>
      </c>
      <c r="G2475" s="211">
        <f>ROUND(G2474/D2474,1)</f>
        <v>8073.5</v>
      </c>
    </row>
    <row r="2476" spans="1:7">
      <c r="B2476" s="78"/>
      <c r="C2476" s="26"/>
    </row>
    <row r="2477" spans="1:7">
      <c r="B2477" s="78"/>
      <c r="C2477" s="26"/>
    </row>
    <row r="2478" spans="1:7" ht="18.75">
      <c r="A2478" s="865" t="s">
        <v>7564</v>
      </c>
      <c r="B2478" s="26" t="s">
        <v>8618</v>
      </c>
      <c r="C2478" s="26"/>
    </row>
    <row r="2479" spans="1:7" ht="18.75">
      <c r="A2479" s="865"/>
      <c r="B2479" s="26" t="s">
        <v>8960</v>
      </c>
      <c r="C2479" s="26"/>
    </row>
    <row r="2480" spans="1:7">
      <c r="A2480" s="865"/>
      <c r="B2480" s="26" t="s">
        <v>8961</v>
      </c>
      <c r="C2480" s="26"/>
    </row>
    <row r="2481" spans="1:7">
      <c r="A2481" s="865"/>
      <c r="B2481" s="26" t="s">
        <v>1586</v>
      </c>
      <c r="C2481" s="26"/>
    </row>
    <row r="2482" spans="1:7" ht="18.75">
      <c r="A2482" s="865"/>
      <c r="B2482" s="170" t="s">
        <v>8962</v>
      </c>
      <c r="C2482" s="26"/>
    </row>
    <row r="2483" spans="1:7">
      <c r="A2483" s="865"/>
      <c r="B2483" s="26"/>
      <c r="C2483" s="26"/>
    </row>
    <row r="2484" spans="1:7">
      <c r="A2484" s="865" t="s">
        <v>1940</v>
      </c>
      <c r="B2484" s="170" t="s">
        <v>4662</v>
      </c>
      <c r="C2484" s="26"/>
    </row>
    <row r="2485" spans="1:7">
      <c r="A2485" s="865"/>
      <c r="B2485" s="170" t="s">
        <v>7775</v>
      </c>
      <c r="C2485" s="26"/>
    </row>
    <row r="2486" spans="1:7">
      <c r="A2486" s="855"/>
      <c r="B2486" s="248" t="s">
        <v>4522</v>
      </c>
      <c r="C2486" s="61"/>
      <c r="D2486" s="61"/>
      <c r="E2486" s="61"/>
      <c r="F2486" s="61"/>
      <c r="G2486" s="61"/>
    </row>
    <row r="2487" spans="1:7">
      <c r="A2487" s="865"/>
      <c r="B2487" s="26"/>
      <c r="C2487" s="26"/>
    </row>
    <row r="2488" spans="1:7" hidden="1">
      <c r="A2488" s="865" t="s">
        <v>3984</v>
      </c>
      <c r="B2488" s="26" t="s">
        <v>5780</v>
      </c>
      <c r="C2488" s="26"/>
    </row>
    <row r="2489" spans="1:7" hidden="1">
      <c r="A2489" s="865"/>
      <c r="B2489" s="26" t="s">
        <v>2251</v>
      </c>
      <c r="C2489" s="26"/>
    </row>
    <row r="2490" spans="1:7" hidden="1">
      <c r="A2490" s="865"/>
      <c r="B2490" s="26" t="s">
        <v>7792</v>
      </c>
      <c r="C2490" s="26"/>
    </row>
    <row r="2491" spans="1:7" hidden="1">
      <c r="A2491" s="865"/>
      <c r="B2491" s="26" t="s">
        <v>7791</v>
      </c>
      <c r="C2491" s="26"/>
      <c r="E2491" s="26">
        <f>ROUND(50*13*8/330,2)</f>
        <v>15.76</v>
      </c>
      <c r="F2491" s="26" t="s">
        <v>1443</v>
      </c>
      <c r="G2491" s="26" t="s">
        <v>3760</v>
      </c>
    </row>
    <row r="2492" spans="1:7" hidden="1">
      <c r="A2492" s="865"/>
      <c r="B2492" s="26" t="s">
        <v>2843</v>
      </c>
      <c r="C2492" s="26"/>
    </row>
    <row r="2493" spans="1:7" hidden="1">
      <c r="A2493" s="865"/>
      <c r="B2493" s="26" t="s">
        <v>1361</v>
      </c>
      <c r="C2493" s="26"/>
    </row>
    <row r="2494" spans="1:7" hidden="1">
      <c r="A2494" s="865"/>
      <c r="B2494" s="26" t="s">
        <v>2004</v>
      </c>
      <c r="C2494" s="26"/>
      <c r="F2494" s="68">
        <f>G667</f>
        <v>224.56752690000002</v>
      </c>
      <c r="G2494" s="26" t="s">
        <v>1168</v>
      </c>
    </row>
    <row r="2495" spans="1:7" hidden="1">
      <c r="A2495" s="865"/>
      <c r="B2495" s="26" t="s">
        <v>4095</v>
      </c>
      <c r="C2495" s="26"/>
    </row>
    <row r="2496" spans="1:7" hidden="1">
      <c r="A2496" s="865"/>
      <c r="B2496" s="26" t="s">
        <v>2005</v>
      </c>
      <c r="C2496" s="26"/>
      <c r="F2496" s="68">
        <f>G693</f>
        <v>88.5</v>
      </c>
      <c r="G2496" s="26" t="s">
        <v>1168</v>
      </c>
    </row>
    <row r="2497" spans="1:7" hidden="1">
      <c r="A2497" s="865"/>
      <c r="B2497" s="26" t="s">
        <v>4692</v>
      </c>
      <c r="C2497" s="26"/>
    </row>
    <row r="2498" spans="1:7" hidden="1">
      <c r="A2498" s="865"/>
      <c r="B2498" s="26" t="s">
        <v>451</v>
      </c>
      <c r="C2498" s="26"/>
    </row>
    <row r="2499" spans="1:7" hidden="1">
      <c r="A2499" s="865"/>
      <c r="B2499" s="26" t="s">
        <v>2003</v>
      </c>
      <c r="C2499" s="26"/>
    </row>
    <row r="2500" spans="1:7">
      <c r="B2500" s="78"/>
      <c r="C2500" s="26"/>
    </row>
    <row r="2501" spans="1:7">
      <c r="A2501" s="865" t="s">
        <v>3984</v>
      </c>
      <c r="B2501" s="78"/>
      <c r="C2501" s="203" t="s">
        <v>2367</v>
      </c>
      <c r="E2501" s="171" t="s">
        <v>297</v>
      </c>
      <c r="F2501" s="246">
        <f>E2491</f>
        <v>15.76</v>
      </c>
      <c r="G2501" s="26" t="s">
        <v>3477</v>
      </c>
    </row>
    <row r="2502" spans="1:7">
      <c r="B2502" s="79" t="s">
        <v>2368</v>
      </c>
      <c r="C2502" s="26"/>
    </row>
    <row r="2503" spans="1:7">
      <c r="B2503" s="95" t="s">
        <v>2369</v>
      </c>
      <c r="C2503" s="157" t="s">
        <v>4443</v>
      </c>
      <c r="D2503" s="95" t="s">
        <v>2370</v>
      </c>
      <c r="E2503" s="95" t="s">
        <v>1166</v>
      </c>
      <c r="F2503" s="95" t="s">
        <v>2371</v>
      </c>
      <c r="G2503" s="95" t="s">
        <v>2372</v>
      </c>
    </row>
    <row r="2504" spans="1:7">
      <c r="B2504" s="114"/>
      <c r="C2504" s="154"/>
      <c r="D2504" s="114"/>
      <c r="E2504" s="114"/>
      <c r="F2504" s="114" t="s">
        <v>3485</v>
      </c>
      <c r="G2504" s="114" t="s">
        <v>3485</v>
      </c>
    </row>
    <row r="2505" spans="1:7">
      <c r="B2505" s="95">
        <v>1</v>
      </c>
      <c r="C2505" s="135" t="s">
        <v>1048</v>
      </c>
      <c r="D2505" s="95" t="s">
        <v>3478</v>
      </c>
      <c r="E2505" s="190">
        <f>330*F2501</f>
        <v>5200.8</v>
      </c>
      <c r="F2505" s="214">
        <f>'BASIC DATA'!$D$32/1000</f>
        <v>5.35</v>
      </c>
      <c r="G2505" s="190">
        <f>E2505*F2505</f>
        <v>27824.28</v>
      </c>
    </row>
    <row r="2506" spans="1:7">
      <c r="B2506" s="317"/>
      <c r="C2506" s="135" t="s">
        <v>1049</v>
      </c>
      <c r="D2506" s="105" t="s">
        <v>3478</v>
      </c>
      <c r="E2506" s="190">
        <f>F2501*5</f>
        <v>78.8</v>
      </c>
      <c r="F2506" s="214">
        <f>'BASIC DATA'!$D$32/1000</f>
        <v>5.35</v>
      </c>
      <c r="G2506" s="190">
        <f t="shared" ref="G2506:G2513" si="69">E2506*F2506</f>
        <v>421.58</v>
      </c>
    </row>
    <row r="2507" spans="1:7">
      <c r="B2507" s="105">
        <v>2</v>
      </c>
      <c r="C2507" s="135" t="s">
        <v>6995</v>
      </c>
      <c r="D2507" s="105" t="s">
        <v>3477</v>
      </c>
      <c r="E2507" s="190">
        <f>0.8*F2501*0.65</f>
        <v>8.1951999999999998</v>
      </c>
      <c r="F2507" s="214">
        <f>'BASIC DATA'!$D$35</f>
        <v>1225</v>
      </c>
      <c r="G2507" s="190">
        <f t="shared" si="69"/>
        <v>10039.119999999999</v>
      </c>
    </row>
    <row r="2508" spans="1:7">
      <c r="B2508" s="317"/>
      <c r="C2508" s="135" t="s">
        <v>1050</v>
      </c>
      <c r="D2508" s="105" t="s">
        <v>3477</v>
      </c>
      <c r="E2508" s="190">
        <f>0.8*F2501*0.35</f>
        <v>4.4127999999999998</v>
      </c>
      <c r="F2508" s="214">
        <f>'BASIC DATA'!$D$34</f>
        <v>900</v>
      </c>
      <c r="G2508" s="190">
        <f t="shared" si="69"/>
        <v>3971.52</v>
      </c>
    </row>
    <row r="2509" spans="1:7">
      <c r="A2509" s="853"/>
      <c r="B2509" s="240">
        <v>3</v>
      </c>
      <c r="C2509" s="326" t="s">
        <v>7941</v>
      </c>
      <c r="D2509" s="240" t="s">
        <v>3477</v>
      </c>
      <c r="E2509" s="255">
        <f>0.45*F2501</f>
        <v>7.0919999999999996</v>
      </c>
      <c r="F2509" s="266">
        <f>'BASIC DATA'!$D$55</f>
        <v>95</v>
      </c>
      <c r="G2509" s="255">
        <f t="shared" si="69"/>
        <v>673.74</v>
      </c>
    </row>
    <row r="2510" spans="1:7">
      <c r="B2510" s="105">
        <v>4</v>
      </c>
      <c r="C2510" s="135" t="s">
        <v>523</v>
      </c>
      <c r="D2510" s="105" t="s">
        <v>3478</v>
      </c>
      <c r="E2510" s="190">
        <f>E2505*0.4%</f>
        <v>20.8032</v>
      </c>
      <c r="F2510" s="214">
        <f>'BASIC DATA'!$D$99</f>
        <v>55</v>
      </c>
      <c r="G2510" s="190">
        <f t="shared" si="69"/>
        <v>1144.1759999999999</v>
      </c>
    </row>
    <row r="2511" spans="1:7">
      <c r="B2511" s="105">
        <v>5</v>
      </c>
      <c r="C2511" s="135" t="s">
        <v>5315</v>
      </c>
      <c r="D2511" s="105" t="s">
        <v>3479</v>
      </c>
      <c r="E2511" s="190">
        <f>5*F2501</f>
        <v>78.8</v>
      </c>
      <c r="F2511" s="214">
        <f>F2494</f>
        <v>224.56752690000002</v>
      </c>
      <c r="G2511" s="190">
        <f t="shared" si="69"/>
        <v>17695.921119720002</v>
      </c>
    </row>
    <row r="2512" spans="1:7">
      <c r="B2512" s="317"/>
      <c r="C2512" s="135" t="s">
        <v>5408</v>
      </c>
      <c r="D2512" s="224">
        <v>0.5</v>
      </c>
      <c r="E2512" s="190"/>
      <c r="F2512" s="214"/>
      <c r="G2512" s="190">
        <f>G2511*D2512</f>
        <v>8847.960559860001</v>
      </c>
    </row>
    <row r="2513" spans="2:7">
      <c r="B2513" s="114">
        <v>6</v>
      </c>
      <c r="C2513" s="139" t="s">
        <v>2373</v>
      </c>
      <c r="D2513" s="114" t="s">
        <v>2173</v>
      </c>
      <c r="E2513" s="182">
        <v>1</v>
      </c>
      <c r="F2513" s="215">
        <f>'BASIC DATA'!$D$359</f>
        <v>30</v>
      </c>
      <c r="G2513" s="182">
        <f t="shared" si="69"/>
        <v>30</v>
      </c>
    </row>
    <row r="2514" spans="2:7">
      <c r="B2514" s="92"/>
      <c r="C2514" s="193" t="s">
        <v>2376</v>
      </c>
      <c r="D2514" s="159"/>
      <c r="E2514" s="238"/>
      <c r="F2514" s="236" t="s">
        <v>1698</v>
      </c>
      <c r="G2514" s="318">
        <f>SUM(G2505:G2513)</f>
        <v>70648.297679579991</v>
      </c>
    </row>
    <row r="2515" spans="2:7">
      <c r="B2515" s="78"/>
      <c r="C2515" s="26"/>
    </row>
    <row r="2516" spans="2:7">
      <c r="B2516" s="79" t="s">
        <v>2377</v>
      </c>
      <c r="C2516" s="26"/>
    </row>
    <row r="2517" spans="2:7">
      <c r="B2517" s="95" t="s">
        <v>2369</v>
      </c>
      <c r="C2517" s="157" t="s">
        <v>2378</v>
      </c>
      <c r="D2517" s="95" t="s">
        <v>2370</v>
      </c>
      <c r="E2517" s="95" t="s">
        <v>1166</v>
      </c>
      <c r="F2517" s="95" t="s">
        <v>2371</v>
      </c>
      <c r="G2517" s="95" t="s">
        <v>2372</v>
      </c>
    </row>
    <row r="2518" spans="2:7">
      <c r="B2518" s="114"/>
      <c r="C2518" s="154"/>
      <c r="D2518" s="114"/>
      <c r="E2518" s="114"/>
      <c r="F2518" s="114" t="s">
        <v>3485</v>
      </c>
      <c r="G2518" s="114" t="s">
        <v>3485</v>
      </c>
    </row>
    <row r="2519" spans="2:7">
      <c r="B2519" s="95">
        <v>1</v>
      </c>
      <c r="C2519" s="153" t="s">
        <v>7214</v>
      </c>
      <c r="D2519" s="175" t="s">
        <v>2374</v>
      </c>
      <c r="E2519" s="179">
        <v>8</v>
      </c>
      <c r="F2519" s="190">
        <f>'HIRE CHARGES'!$D$507</f>
        <v>53.5</v>
      </c>
      <c r="G2519" s="190">
        <f t="shared" ref="G2519:G2524" si="70">E2519*F2519</f>
        <v>428</v>
      </c>
    </row>
    <row r="2520" spans="2:7">
      <c r="B2520" s="317"/>
      <c r="C2520" s="152" t="s">
        <v>2379</v>
      </c>
      <c r="D2520" s="33" t="s">
        <v>2374</v>
      </c>
      <c r="E2520" s="190">
        <v>8</v>
      </c>
      <c r="F2520" s="190">
        <f>'HIRE CHARGES'!$E$507</f>
        <v>79.3</v>
      </c>
      <c r="G2520" s="190">
        <f t="shared" si="70"/>
        <v>634.4</v>
      </c>
    </row>
    <row r="2521" spans="2:7">
      <c r="B2521" s="105">
        <v>2</v>
      </c>
      <c r="C2521" s="152" t="s">
        <v>189</v>
      </c>
      <c r="D2521" s="33" t="s">
        <v>2374</v>
      </c>
      <c r="E2521" s="190">
        <v>0.5</v>
      </c>
      <c r="F2521" s="190">
        <f>'HIRE CHARGES'!$D$517</f>
        <v>10.199999999999999</v>
      </c>
      <c r="G2521" s="190">
        <f t="shared" si="70"/>
        <v>5.0999999999999996</v>
      </c>
    </row>
    <row r="2522" spans="2:7">
      <c r="B2522" s="317"/>
      <c r="C2522" s="152" t="s">
        <v>2379</v>
      </c>
      <c r="D2522" s="33" t="s">
        <v>2374</v>
      </c>
      <c r="E2522" s="190">
        <v>0.5</v>
      </c>
      <c r="F2522" s="190">
        <f>'HIRE CHARGES'!$E$517</f>
        <v>79.3</v>
      </c>
      <c r="G2522" s="190">
        <f t="shared" si="70"/>
        <v>39.65</v>
      </c>
    </row>
    <row r="2523" spans="2:7">
      <c r="B2523" s="105">
        <v>3</v>
      </c>
      <c r="C2523" s="152" t="s">
        <v>526</v>
      </c>
      <c r="D2523" s="33" t="s">
        <v>2374</v>
      </c>
      <c r="E2523" s="190">
        <v>8</v>
      </c>
      <c r="F2523" s="190">
        <f>'HIRE CHARGES'!$D$531</f>
        <v>7.6</v>
      </c>
      <c r="G2523" s="190">
        <f t="shared" si="70"/>
        <v>60.8</v>
      </c>
    </row>
    <row r="2524" spans="2:7">
      <c r="B2524" s="365"/>
      <c r="C2524" s="116" t="s">
        <v>2379</v>
      </c>
      <c r="D2524" s="33" t="s">
        <v>2374</v>
      </c>
      <c r="E2524" s="182">
        <v>8</v>
      </c>
      <c r="F2524" s="207">
        <f>'HIRE CHARGES'!$E$531</f>
        <v>18.8</v>
      </c>
      <c r="G2524" s="190">
        <f t="shared" si="70"/>
        <v>150.4</v>
      </c>
    </row>
    <row r="2525" spans="2:7">
      <c r="B2525" s="176"/>
      <c r="C2525" s="172" t="s">
        <v>2380</v>
      </c>
      <c r="D2525" s="174"/>
      <c r="E2525" s="192"/>
      <c r="F2525" s="236" t="s">
        <v>1698</v>
      </c>
      <c r="G2525" s="318">
        <f>SUM(G2519:G2524)</f>
        <v>1318.3500000000001</v>
      </c>
    </row>
    <row r="2526" spans="2:7">
      <c r="B2526" s="78"/>
      <c r="C2526" s="26"/>
    </row>
    <row r="2527" spans="2:7">
      <c r="B2527" s="79" t="s">
        <v>2381</v>
      </c>
      <c r="C2527" s="26"/>
    </row>
    <row r="2528" spans="2:7">
      <c r="B2528" s="95" t="s">
        <v>2369</v>
      </c>
      <c r="C2528" s="157" t="s">
        <v>2378</v>
      </c>
      <c r="D2528" s="95" t="s">
        <v>2370</v>
      </c>
      <c r="E2528" s="95" t="s">
        <v>1166</v>
      </c>
      <c r="F2528" s="95" t="s">
        <v>2371</v>
      </c>
      <c r="G2528" s="95" t="s">
        <v>2372</v>
      </c>
    </row>
    <row r="2529" spans="2:7">
      <c r="B2529" s="114"/>
      <c r="C2529" s="154"/>
      <c r="D2529" s="105"/>
      <c r="E2529" s="105"/>
      <c r="F2529" s="105" t="s">
        <v>3485</v>
      </c>
      <c r="G2529" s="114" t="s">
        <v>3485</v>
      </c>
    </row>
    <row r="2530" spans="2:7">
      <c r="B2530" s="95">
        <v>1</v>
      </c>
      <c r="C2530" s="76" t="s">
        <v>527</v>
      </c>
      <c r="D2530" s="95" t="s">
        <v>2374</v>
      </c>
      <c r="E2530" s="179">
        <v>8</v>
      </c>
      <c r="F2530" s="179">
        <f>'HIRE CHARGES'!$F$507</f>
        <v>219.7</v>
      </c>
      <c r="G2530" s="207">
        <f>E2530*F2530</f>
        <v>1757.6</v>
      </c>
    </row>
    <row r="2531" spans="2:7">
      <c r="B2531" s="105">
        <v>2</v>
      </c>
      <c r="C2531" s="76" t="s">
        <v>999</v>
      </c>
      <c r="D2531" s="105" t="s">
        <v>2374</v>
      </c>
      <c r="E2531" s="190">
        <v>0.5</v>
      </c>
      <c r="F2531" s="190">
        <f>'HIRE CHARGES'!$F$517</f>
        <v>111.1</v>
      </c>
      <c r="G2531" s="207">
        <f t="shared" ref="G2531:G2541" si="71">E2531*F2531</f>
        <v>55.55</v>
      </c>
    </row>
    <row r="2532" spans="2:7">
      <c r="B2532" s="105">
        <v>3</v>
      </c>
      <c r="C2532" s="76" t="s">
        <v>439</v>
      </c>
      <c r="D2532" s="105" t="s">
        <v>2374</v>
      </c>
      <c r="E2532" s="190">
        <v>8</v>
      </c>
      <c r="F2532" s="190">
        <f>'HIRE CHARGES'!$F$531</f>
        <v>158.19999999999999</v>
      </c>
      <c r="G2532" s="207">
        <f t="shared" si="71"/>
        <v>1265.5999999999999</v>
      </c>
    </row>
    <row r="2533" spans="2:7">
      <c r="B2533" s="105">
        <v>4</v>
      </c>
      <c r="C2533" s="76" t="s">
        <v>440</v>
      </c>
      <c r="D2533" s="105" t="s">
        <v>1172</v>
      </c>
      <c r="E2533" s="190">
        <v>1</v>
      </c>
      <c r="F2533" s="190">
        <f>'BASIC DATA'!$C$474</f>
        <v>445</v>
      </c>
      <c r="G2533" s="207">
        <f t="shared" si="71"/>
        <v>445</v>
      </c>
    </row>
    <row r="2534" spans="2:7">
      <c r="B2534" s="105">
        <v>5</v>
      </c>
      <c r="C2534" s="76" t="s">
        <v>4206</v>
      </c>
      <c r="D2534" s="105" t="s">
        <v>1172</v>
      </c>
      <c r="E2534" s="190">
        <v>1</v>
      </c>
      <c r="F2534" s="190">
        <f>'BASIC DATA'!$C$473</f>
        <v>450</v>
      </c>
      <c r="G2534" s="207">
        <f t="shared" si="71"/>
        <v>450</v>
      </c>
    </row>
    <row r="2535" spans="2:7">
      <c r="B2535" s="105">
        <v>6</v>
      </c>
      <c r="C2535" s="76" t="s">
        <v>2697</v>
      </c>
      <c r="D2535" s="105"/>
      <c r="E2535" s="190"/>
      <c r="F2535" s="190"/>
      <c r="G2535" s="207"/>
    </row>
    <row r="2536" spans="2:7">
      <c r="B2536" s="317"/>
      <c r="C2536" s="76" t="s">
        <v>441</v>
      </c>
      <c r="D2536" s="105" t="s">
        <v>1172</v>
      </c>
      <c r="E2536" s="190">
        <v>11</v>
      </c>
      <c r="F2536" s="190">
        <f>'BASIC DATA'!$C$552</f>
        <v>350</v>
      </c>
      <c r="G2536" s="207">
        <f t="shared" si="71"/>
        <v>3850</v>
      </c>
    </row>
    <row r="2537" spans="2:7">
      <c r="B2537" s="317"/>
      <c r="C2537" s="76" t="s">
        <v>442</v>
      </c>
      <c r="D2537" s="105" t="s">
        <v>1172</v>
      </c>
      <c r="E2537" s="190">
        <v>4</v>
      </c>
      <c r="F2537" s="190">
        <f>'BASIC DATA'!$C$552</f>
        <v>350</v>
      </c>
      <c r="G2537" s="207">
        <f t="shared" si="71"/>
        <v>1400</v>
      </c>
    </row>
    <row r="2538" spans="2:7">
      <c r="B2538" s="317"/>
      <c r="C2538" s="76" t="s">
        <v>5151</v>
      </c>
      <c r="D2538" s="105" t="s">
        <v>1172</v>
      </c>
      <c r="E2538" s="190">
        <v>3</v>
      </c>
      <c r="F2538" s="190">
        <f>'BASIC DATA'!$C$552</f>
        <v>350</v>
      </c>
      <c r="G2538" s="207">
        <f t="shared" si="71"/>
        <v>1050</v>
      </c>
    </row>
    <row r="2539" spans="2:7">
      <c r="B2539" s="317"/>
      <c r="C2539" s="76" t="s">
        <v>444</v>
      </c>
      <c r="D2539" s="105" t="s">
        <v>1172</v>
      </c>
      <c r="E2539" s="190">
        <f>F2501</f>
        <v>15.76</v>
      </c>
      <c r="F2539" s="190">
        <f>'BASIC DATA'!$C$552</f>
        <v>350</v>
      </c>
      <c r="G2539" s="207">
        <f t="shared" si="71"/>
        <v>5516</v>
      </c>
    </row>
    <row r="2540" spans="2:7">
      <c r="B2540" s="317"/>
      <c r="C2540" s="76" t="s">
        <v>445</v>
      </c>
      <c r="D2540" s="105" t="s">
        <v>1172</v>
      </c>
      <c r="E2540" s="190">
        <v>1</v>
      </c>
      <c r="F2540" s="190">
        <f>'BASIC DATA'!$C$552</f>
        <v>350</v>
      </c>
      <c r="G2540" s="207">
        <f t="shared" si="71"/>
        <v>350</v>
      </c>
    </row>
    <row r="2541" spans="2:7">
      <c r="B2541" s="105">
        <v>7</v>
      </c>
      <c r="C2541" s="76" t="s">
        <v>7215</v>
      </c>
      <c r="D2541" s="105" t="s">
        <v>3479</v>
      </c>
      <c r="E2541" s="190">
        <f>5*F2501</f>
        <v>78.8</v>
      </c>
      <c r="F2541" s="190">
        <f>F2496</f>
        <v>88.5</v>
      </c>
      <c r="G2541" s="207">
        <f t="shared" si="71"/>
        <v>6973.8</v>
      </c>
    </row>
    <row r="2542" spans="2:7">
      <c r="B2542" s="365"/>
      <c r="C2542" s="76" t="s">
        <v>6402</v>
      </c>
      <c r="D2542" s="681">
        <v>0.5</v>
      </c>
      <c r="E2542" s="182"/>
      <c r="F2542" s="182"/>
      <c r="G2542" s="207">
        <f>G2541*D2542</f>
        <v>3486.9</v>
      </c>
    </row>
    <row r="2543" spans="2:7">
      <c r="B2543" s="92"/>
      <c r="C2543" s="193" t="s">
        <v>1174</v>
      </c>
      <c r="D2543" s="159"/>
      <c r="E2543" s="238"/>
      <c r="F2543" s="236" t="s">
        <v>1698</v>
      </c>
      <c r="G2543" s="318">
        <f>SUM(G2530:G2542)</f>
        <v>26600.45</v>
      </c>
    </row>
    <row r="2544" spans="2:7">
      <c r="B2544" s="60" t="s">
        <v>5948</v>
      </c>
      <c r="C2544" s="31"/>
      <c r="D2544" s="31"/>
      <c r="E2544" s="85">
        <f>ROUND(G2543/F2501,1)</f>
        <v>1687.8</v>
      </c>
    </row>
    <row r="2545" spans="1:7">
      <c r="B2545" s="60" t="s">
        <v>3163</v>
      </c>
      <c r="C2545" s="31"/>
      <c r="D2545" s="922">
        <f>'BASIC DATA'!$C$577</f>
        <v>0.13614999999999999</v>
      </c>
      <c r="E2545" s="85">
        <f>ROUND(E2544*D2545,1)</f>
        <v>229.8</v>
      </c>
    </row>
    <row r="2546" spans="1:7">
      <c r="B2546" s="60" t="s">
        <v>5949</v>
      </c>
      <c r="C2546" s="31"/>
      <c r="D2546" s="31"/>
      <c r="E2546" s="199">
        <f>ROUND(E2545+E2544,1)</f>
        <v>1917.6</v>
      </c>
      <c r="F2546" s="57"/>
    </row>
    <row r="2547" spans="1:7">
      <c r="B2547" s="78"/>
      <c r="C2547" s="26"/>
    </row>
    <row r="2548" spans="1:7">
      <c r="B2548" s="170" t="s">
        <v>1175</v>
      </c>
      <c r="C2548" s="26"/>
    </row>
    <row r="2549" spans="1:7">
      <c r="B2549" s="26" t="s">
        <v>1176</v>
      </c>
      <c r="C2549" s="26"/>
      <c r="F2549" s="171" t="s">
        <v>1698</v>
      </c>
      <c r="G2549" s="68">
        <f>G2514</f>
        <v>70648.297679579991</v>
      </c>
    </row>
    <row r="2550" spans="1:7">
      <c r="B2550" s="26" t="s">
        <v>1186</v>
      </c>
      <c r="C2550" s="26"/>
      <c r="F2550" s="171" t="s">
        <v>1698</v>
      </c>
      <c r="G2550" s="68">
        <f>G2525</f>
        <v>1318.3500000000001</v>
      </c>
    </row>
    <row r="2551" spans="1:7">
      <c r="B2551" s="26" t="s">
        <v>2660</v>
      </c>
      <c r="C2551" s="26"/>
      <c r="F2551" s="171" t="s">
        <v>1698</v>
      </c>
      <c r="G2551" s="75">
        <f>G2543</f>
        <v>26600.45</v>
      </c>
    </row>
    <row r="2552" spans="1:7">
      <c r="B2552" s="78"/>
      <c r="C2552" s="26"/>
      <c r="E2552" s="171"/>
      <c r="F2552" s="171" t="s">
        <v>302</v>
      </c>
      <c r="G2552" s="205">
        <f>SUM(G2549:G2551)</f>
        <v>98567.097679579994</v>
      </c>
    </row>
    <row r="2553" spans="1:7">
      <c r="B2553" s="1206" t="s">
        <v>1379</v>
      </c>
      <c r="C2553" s="1206"/>
      <c r="E2553" s="922">
        <f>'BASIC DATA'!$C$577</f>
        <v>0.13614999999999999</v>
      </c>
      <c r="F2553" s="26" t="s">
        <v>1698</v>
      </c>
      <c r="G2553" s="26">
        <f>ROUND(G2552*E2553,2)</f>
        <v>13419.91</v>
      </c>
    </row>
    <row r="2554" spans="1:7">
      <c r="B2554" s="26" t="s">
        <v>1191</v>
      </c>
      <c r="C2554" s="26"/>
      <c r="D2554" s="68">
        <f>F2501</f>
        <v>15.76</v>
      </c>
      <c r="E2554" s="68" t="str">
        <f>G2501</f>
        <v>cum</v>
      </c>
      <c r="F2554" s="26" t="s">
        <v>1698</v>
      </c>
      <c r="G2554" s="211">
        <f>G2553+G2552</f>
        <v>111987.00767958</v>
      </c>
    </row>
    <row r="2555" spans="1:7">
      <c r="B2555" s="170" t="s">
        <v>1584</v>
      </c>
      <c r="C2555" s="211" t="str">
        <f>E2554</f>
        <v>cum</v>
      </c>
      <c r="D2555" s="26" t="s">
        <v>7778</v>
      </c>
      <c r="F2555" s="26" t="s">
        <v>4108</v>
      </c>
      <c r="G2555" s="211">
        <f>ROUND(G2554/D2554,1)</f>
        <v>7105.8</v>
      </c>
    </row>
    <row r="2556" spans="1:7">
      <c r="B2556" s="78"/>
      <c r="C2556" s="26"/>
    </row>
    <row r="2557" spans="1:7">
      <c r="B2557" s="78"/>
      <c r="C2557" s="26"/>
    </row>
    <row r="2558" spans="1:7" ht="18.75">
      <c r="A2558" s="865" t="s">
        <v>7565</v>
      </c>
      <c r="B2558" s="26" t="s">
        <v>8963</v>
      </c>
      <c r="C2558" s="26"/>
    </row>
    <row r="2559" spans="1:7" ht="18.75">
      <c r="A2559" s="865"/>
      <c r="B2559" s="26" t="s">
        <v>8964</v>
      </c>
      <c r="C2559" s="26"/>
    </row>
    <row r="2560" spans="1:7">
      <c r="A2560" s="865"/>
      <c r="B2560" s="26" t="s">
        <v>8965</v>
      </c>
      <c r="C2560" s="26"/>
    </row>
    <row r="2561" spans="1:7">
      <c r="A2561" s="865"/>
      <c r="B2561" s="26" t="s">
        <v>3944</v>
      </c>
      <c r="C2561" s="26"/>
    </row>
    <row r="2562" spans="1:7" ht="18.75">
      <c r="A2562" s="865"/>
      <c r="B2562" s="26" t="s">
        <v>8966</v>
      </c>
      <c r="C2562" s="26"/>
    </row>
    <row r="2563" spans="1:7">
      <c r="A2563" s="865"/>
      <c r="B2563" s="170" t="s">
        <v>2873</v>
      </c>
      <c r="C2563" s="26"/>
    </row>
    <row r="2564" spans="1:7">
      <c r="A2564" s="865" t="s">
        <v>1940</v>
      </c>
      <c r="B2564" s="170" t="s">
        <v>55</v>
      </c>
      <c r="C2564" s="26"/>
    </row>
    <row r="2565" spans="1:7">
      <c r="A2565" s="865"/>
      <c r="B2565" s="170" t="s">
        <v>7775</v>
      </c>
      <c r="C2565" s="26"/>
    </row>
    <row r="2566" spans="1:7">
      <c r="A2566" s="855"/>
      <c r="B2566" s="248" t="s">
        <v>4522</v>
      </c>
      <c r="C2566" s="61"/>
      <c r="D2566" s="61"/>
      <c r="E2566" s="61"/>
      <c r="F2566" s="61"/>
      <c r="G2566" s="61"/>
    </row>
    <row r="2567" spans="1:7">
      <c r="A2567" s="865"/>
      <c r="B2567" s="26"/>
      <c r="C2567" s="26"/>
    </row>
    <row r="2568" spans="1:7" hidden="1">
      <c r="A2568" s="865" t="s">
        <v>3984</v>
      </c>
      <c r="B2568" s="26" t="s">
        <v>5780</v>
      </c>
      <c r="C2568" s="26"/>
    </row>
    <row r="2569" spans="1:7" hidden="1">
      <c r="A2569" s="865"/>
      <c r="B2569" s="26" t="s">
        <v>2251</v>
      </c>
      <c r="C2569" s="26"/>
    </row>
    <row r="2570" spans="1:7" hidden="1">
      <c r="A2570" s="865"/>
      <c r="B2570" s="26" t="s">
        <v>7793</v>
      </c>
      <c r="C2570" s="26"/>
    </row>
    <row r="2571" spans="1:7" hidden="1">
      <c r="A2571" s="865"/>
      <c r="B2571" s="26" t="s">
        <v>7791</v>
      </c>
      <c r="C2571" s="26"/>
      <c r="E2571" s="68">
        <f>ROUND(50*13*8/330,2)</f>
        <v>15.76</v>
      </c>
      <c r="F2571" s="26" t="s">
        <v>3760</v>
      </c>
    </row>
    <row r="2572" spans="1:7" hidden="1">
      <c r="A2572" s="865"/>
      <c r="B2572" s="26" t="s">
        <v>2843</v>
      </c>
      <c r="C2572" s="26"/>
    </row>
    <row r="2573" spans="1:7" hidden="1">
      <c r="A2573" s="865"/>
      <c r="B2573" s="26" t="s">
        <v>5192</v>
      </c>
      <c r="C2573" s="26"/>
    </row>
    <row r="2574" spans="1:7" hidden="1">
      <c r="A2574" s="865"/>
      <c r="B2574" s="26" t="s">
        <v>2006</v>
      </c>
      <c r="C2574" s="26"/>
      <c r="F2574" s="68">
        <f>G667</f>
        <v>224.56752690000002</v>
      </c>
      <c r="G2574" s="26" t="s">
        <v>1168</v>
      </c>
    </row>
    <row r="2575" spans="1:7" hidden="1">
      <c r="A2575" s="865"/>
      <c r="B2575" s="26" t="s">
        <v>2007</v>
      </c>
      <c r="C2575" s="26"/>
      <c r="F2575" s="68">
        <f>G693</f>
        <v>88.5</v>
      </c>
      <c r="G2575" s="26" t="s">
        <v>1168</v>
      </c>
    </row>
    <row r="2576" spans="1:7" hidden="1">
      <c r="A2576" s="865"/>
      <c r="B2576" s="26" t="s">
        <v>5193</v>
      </c>
      <c r="C2576" s="26"/>
    </row>
    <row r="2577" spans="1:7" hidden="1">
      <c r="A2577" s="865"/>
      <c r="B2577" s="26" t="s">
        <v>451</v>
      </c>
      <c r="C2577" s="26"/>
    </row>
    <row r="2578" spans="1:7" hidden="1">
      <c r="A2578" s="865"/>
      <c r="B2578" s="26" t="s">
        <v>2008</v>
      </c>
      <c r="C2578" s="26"/>
    </row>
    <row r="2579" spans="1:7" hidden="1">
      <c r="A2579" s="865"/>
      <c r="B2579" s="26" t="s">
        <v>5194</v>
      </c>
      <c r="C2579" s="26"/>
    </row>
    <row r="2580" spans="1:7">
      <c r="B2580" s="78"/>
      <c r="C2580" s="26"/>
    </row>
    <row r="2581" spans="1:7">
      <c r="A2581" s="865" t="s">
        <v>3984</v>
      </c>
      <c r="B2581" s="78"/>
      <c r="C2581" s="203" t="s">
        <v>2367</v>
      </c>
      <c r="E2581" s="171" t="s">
        <v>297</v>
      </c>
      <c r="F2581" s="246">
        <f>E2571</f>
        <v>15.76</v>
      </c>
      <c r="G2581" s="26" t="s">
        <v>3477</v>
      </c>
    </row>
    <row r="2582" spans="1:7">
      <c r="B2582" s="79" t="s">
        <v>2368</v>
      </c>
      <c r="C2582" s="26"/>
    </row>
    <row r="2583" spans="1:7">
      <c r="B2583" s="95" t="s">
        <v>2369</v>
      </c>
      <c r="C2583" s="157" t="s">
        <v>4443</v>
      </c>
      <c r="D2583" s="95" t="s">
        <v>2370</v>
      </c>
      <c r="E2583" s="95" t="s">
        <v>1166</v>
      </c>
      <c r="F2583" s="95" t="s">
        <v>2371</v>
      </c>
      <c r="G2583" s="95" t="s">
        <v>2372</v>
      </c>
    </row>
    <row r="2584" spans="1:7">
      <c r="B2584" s="114"/>
      <c r="C2584" s="154"/>
      <c r="D2584" s="114"/>
      <c r="E2584" s="114"/>
      <c r="F2584" s="114" t="s">
        <v>3485</v>
      </c>
      <c r="G2584" s="114" t="s">
        <v>3485</v>
      </c>
    </row>
    <row r="2585" spans="1:7">
      <c r="B2585" s="95">
        <v>1</v>
      </c>
      <c r="C2585" s="135" t="s">
        <v>1048</v>
      </c>
      <c r="D2585" s="95" t="s">
        <v>3478</v>
      </c>
      <c r="E2585" s="190">
        <f>330*F2581</f>
        <v>5200.8</v>
      </c>
      <c r="F2585" s="214">
        <f>'BASIC DATA'!$D$32/1000</f>
        <v>5.35</v>
      </c>
      <c r="G2585" s="190">
        <f>E2585*F2585</f>
        <v>27824.28</v>
      </c>
    </row>
    <row r="2586" spans="1:7">
      <c r="B2586" s="317"/>
      <c r="C2586" s="135" t="s">
        <v>1049</v>
      </c>
      <c r="D2586" s="105" t="s">
        <v>3478</v>
      </c>
      <c r="E2586" s="190">
        <f>F2581*5</f>
        <v>78.8</v>
      </c>
      <c r="F2586" s="214">
        <f>'BASIC DATA'!$D$32/1000</f>
        <v>5.35</v>
      </c>
      <c r="G2586" s="190">
        <f t="shared" ref="G2586:G2592" si="72">E2586*F2586</f>
        <v>421.58</v>
      </c>
    </row>
    <row r="2587" spans="1:7">
      <c r="B2587" s="105">
        <v>2</v>
      </c>
      <c r="C2587" s="135" t="s">
        <v>6995</v>
      </c>
      <c r="D2587" s="105" t="s">
        <v>3477</v>
      </c>
      <c r="E2587" s="190">
        <f>0.8*F2581*0.65</f>
        <v>8.1951999999999998</v>
      </c>
      <c r="F2587" s="214">
        <f>'BASIC DATA'!$D$35</f>
        <v>1225</v>
      </c>
      <c r="G2587" s="190">
        <f t="shared" si="72"/>
        <v>10039.119999999999</v>
      </c>
    </row>
    <row r="2588" spans="1:7">
      <c r="B2588" s="317"/>
      <c r="C2588" s="135" t="s">
        <v>1050</v>
      </c>
      <c r="D2588" s="105" t="s">
        <v>3477</v>
      </c>
      <c r="E2588" s="190">
        <f>0.8*F2581*0.35</f>
        <v>4.4127999999999998</v>
      </c>
      <c r="F2588" s="214">
        <f>'BASIC DATA'!$D$34</f>
        <v>900</v>
      </c>
      <c r="G2588" s="190">
        <f t="shared" si="72"/>
        <v>3971.52</v>
      </c>
    </row>
    <row r="2589" spans="1:7">
      <c r="A2589" s="853"/>
      <c r="B2589" s="240">
        <v>3</v>
      </c>
      <c r="C2589" s="326" t="s">
        <v>7941</v>
      </c>
      <c r="D2589" s="240" t="s">
        <v>3477</v>
      </c>
      <c r="E2589" s="255">
        <f>0.45*F2581</f>
        <v>7.0919999999999996</v>
      </c>
      <c r="F2589" s="266">
        <f>'BASIC DATA'!$D$55</f>
        <v>95</v>
      </c>
      <c r="G2589" s="255">
        <f t="shared" si="72"/>
        <v>673.74</v>
      </c>
    </row>
    <row r="2590" spans="1:7">
      <c r="B2590" s="105">
        <v>4</v>
      </c>
      <c r="C2590" s="135" t="s">
        <v>523</v>
      </c>
      <c r="D2590" s="105" t="s">
        <v>3478</v>
      </c>
      <c r="E2590" s="190">
        <f>E2585*0.4%</f>
        <v>20.8032</v>
      </c>
      <c r="F2590" s="214">
        <f>'BASIC DATA'!$D$99</f>
        <v>55</v>
      </c>
      <c r="G2590" s="190">
        <f t="shared" si="72"/>
        <v>1144.1759999999999</v>
      </c>
    </row>
    <row r="2591" spans="1:7">
      <c r="B2591" s="105">
        <v>5</v>
      </c>
      <c r="C2591" s="135" t="s">
        <v>5315</v>
      </c>
      <c r="D2591" s="105" t="s">
        <v>3479</v>
      </c>
      <c r="E2591" s="190">
        <f>F2581*0.5</f>
        <v>7.88</v>
      </c>
      <c r="F2591" s="214">
        <f>F2574</f>
        <v>224.56752690000002</v>
      </c>
      <c r="G2591" s="190">
        <f t="shared" si="72"/>
        <v>1769.5921119720001</v>
      </c>
    </row>
    <row r="2592" spans="1:7">
      <c r="B2592" s="114">
        <v>6</v>
      </c>
      <c r="C2592" s="139" t="s">
        <v>5195</v>
      </c>
      <c r="D2592" s="114" t="s">
        <v>2173</v>
      </c>
      <c r="E2592" s="182">
        <v>5</v>
      </c>
      <c r="F2592" s="215">
        <f>'BASIC DATA'!$D$359</f>
        <v>30</v>
      </c>
      <c r="G2592" s="182">
        <f t="shared" si="72"/>
        <v>150</v>
      </c>
    </row>
    <row r="2593" spans="2:7">
      <c r="B2593" s="92"/>
      <c r="C2593" s="193" t="s">
        <v>2376</v>
      </c>
      <c r="D2593" s="159"/>
      <c r="E2593" s="238"/>
      <c r="F2593" s="236" t="s">
        <v>1698</v>
      </c>
      <c r="G2593" s="318">
        <f>SUM(G2585:G2592)</f>
        <v>45994.008111971991</v>
      </c>
    </row>
    <row r="2594" spans="2:7">
      <c r="B2594" s="78"/>
      <c r="C2594" s="26"/>
    </row>
    <row r="2595" spans="2:7">
      <c r="B2595" s="79" t="s">
        <v>2377</v>
      </c>
      <c r="C2595" s="26"/>
    </row>
    <row r="2596" spans="2:7">
      <c r="B2596" s="95" t="s">
        <v>2369</v>
      </c>
      <c r="C2596" s="157" t="s">
        <v>2378</v>
      </c>
      <c r="D2596" s="95" t="s">
        <v>2370</v>
      </c>
      <c r="E2596" s="95" t="s">
        <v>1166</v>
      </c>
      <c r="F2596" s="95" t="s">
        <v>2371</v>
      </c>
      <c r="G2596" s="95" t="s">
        <v>2372</v>
      </c>
    </row>
    <row r="2597" spans="2:7">
      <c r="B2597" s="114"/>
      <c r="C2597" s="154"/>
      <c r="D2597" s="114"/>
      <c r="E2597" s="114"/>
      <c r="F2597" s="114" t="s">
        <v>3485</v>
      </c>
      <c r="G2597" s="114" t="s">
        <v>3485</v>
      </c>
    </row>
    <row r="2598" spans="2:7">
      <c r="B2598" s="95">
        <v>1</v>
      </c>
      <c r="C2598" s="153" t="s">
        <v>7214</v>
      </c>
      <c r="D2598" s="175" t="s">
        <v>2374</v>
      </c>
      <c r="E2598" s="179">
        <v>8</v>
      </c>
      <c r="F2598" s="190">
        <f>'HIRE CHARGES'!$D$507</f>
        <v>53.5</v>
      </c>
      <c r="G2598" s="190">
        <f t="shared" ref="G2598:G2603" si="73">E2598*F2598</f>
        <v>428</v>
      </c>
    </row>
    <row r="2599" spans="2:7">
      <c r="B2599" s="317"/>
      <c r="C2599" s="152" t="s">
        <v>2379</v>
      </c>
      <c r="D2599" s="33" t="s">
        <v>2374</v>
      </c>
      <c r="E2599" s="190">
        <v>8</v>
      </c>
      <c r="F2599" s="190">
        <f>'HIRE CHARGES'!$E$507</f>
        <v>79.3</v>
      </c>
      <c r="G2599" s="190">
        <f t="shared" si="73"/>
        <v>634.4</v>
      </c>
    </row>
    <row r="2600" spans="2:7">
      <c r="B2600" s="105">
        <v>2</v>
      </c>
      <c r="C2600" s="152" t="s">
        <v>189</v>
      </c>
      <c r="D2600" s="33" t="s">
        <v>2374</v>
      </c>
      <c r="E2600" s="190">
        <v>0.5</v>
      </c>
      <c r="F2600" s="190">
        <f>'HIRE CHARGES'!$D$517</f>
        <v>10.199999999999999</v>
      </c>
      <c r="G2600" s="190">
        <f t="shared" si="73"/>
        <v>5.0999999999999996</v>
      </c>
    </row>
    <row r="2601" spans="2:7">
      <c r="B2601" s="317"/>
      <c r="C2601" s="152" t="s">
        <v>2379</v>
      </c>
      <c r="D2601" s="33" t="s">
        <v>2374</v>
      </c>
      <c r="E2601" s="190">
        <v>0.5</v>
      </c>
      <c r="F2601" s="190">
        <f>'HIRE CHARGES'!$E$517</f>
        <v>79.3</v>
      </c>
      <c r="G2601" s="190">
        <f t="shared" si="73"/>
        <v>39.65</v>
      </c>
    </row>
    <row r="2602" spans="2:7">
      <c r="B2602" s="105">
        <v>3</v>
      </c>
      <c r="C2602" s="152" t="s">
        <v>526</v>
      </c>
      <c r="D2602" s="33" t="s">
        <v>2374</v>
      </c>
      <c r="E2602" s="190">
        <v>8</v>
      </c>
      <c r="F2602" s="190">
        <f>'HIRE CHARGES'!$D$531</f>
        <v>7.6</v>
      </c>
      <c r="G2602" s="190">
        <f t="shared" si="73"/>
        <v>60.8</v>
      </c>
    </row>
    <row r="2603" spans="2:7">
      <c r="B2603" s="365"/>
      <c r="C2603" s="116" t="s">
        <v>2379</v>
      </c>
      <c r="D2603" s="33" t="s">
        <v>2374</v>
      </c>
      <c r="E2603" s="182">
        <v>8</v>
      </c>
      <c r="F2603" s="207">
        <f>'HIRE CHARGES'!$E$531</f>
        <v>18.8</v>
      </c>
      <c r="G2603" s="190">
        <f t="shared" si="73"/>
        <v>150.4</v>
      </c>
    </row>
    <row r="2604" spans="2:7">
      <c r="B2604" s="176"/>
      <c r="C2604" s="172" t="s">
        <v>2380</v>
      </c>
      <c r="D2604" s="174"/>
      <c r="E2604" s="192"/>
      <c r="F2604" s="236" t="s">
        <v>1698</v>
      </c>
      <c r="G2604" s="318">
        <f>SUM(G2598:G2603)</f>
        <v>1318.3500000000001</v>
      </c>
    </row>
    <row r="2605" spans="2:7">
      <c r="B2605" s="78"/>
      <c r="C2605" s="26"/>
    </row>
    <row r="2606" spans="2:7">
      <c r="B2606" s="79" t="s">
        <v>2381</v>
      </c>
      <c r="C2606" s="26"/>
    </row>
    <row r="2607" spans="2:7">
      <c r="B2607" s="95" t="s">
        <v>2369</v>
      </c>
      <c r="C2607" s="157" t="s">
        <v>2378</v>
      </c>
      <c r="D2607" s="95" t="s">
        <v>2370</v>
      </c>
      <c r="E2607" s="95" t="s">
        <v>1166</v>
      </c>
      <c r="F2607" s="95" t="s">
        <v>2371</v>
      </c>
      <c r="G2607" s="95" t="s">
        <v>2372</v>
      </c>
    </row>
    <row r="2608" spans="2:7">
      <c r="B2608" s="114"/>
      <c r="C2608" s="154"/>
      <c r="D2608" s="105"/>
      <c r="E2608" s="105"/>
      <c r="F2608" s="105" t="s">
        <v>3485</v>
      </c>
      <c r="G2608" s="114" t="s">
        <v>3485</v>
      </c>
    </row>
    <row r="2609" spans="2:7">
      <c r="B2609" s="95">
        <v>1</v>
      </c>
      <c r="C2609" s="76" t="s">
        <v>527</v>
      </c>
      <c r="D2609" s="95" t="s">
        <v>2374</v>
      </c>
      <c r="E2609" s="179">
        <v>8</v>
      </c>
      <c r="F2609" s="179">
        <f>'HIRE CHARGES'!$F$507</f>
        <v>219.7</v>
      </c>
      <c r="G2609" s="207">
        <f>E2609*F2609</f>
        <v>1757.6</v>
      </c>
    </row>
    <row r="2610" spans="2:7">
      <c r="B2610" s="105">
        <v>2</v>
      </c>
      <c r="C2610" s="76" t="s">
        <v>999</v>
      </c>
      <c r="D2610" s="105" t="s">
        <v>2374</v>
      </c>
      <c r="E2610" s="190">
        <v>0.5</v>
      </c>
      <c r="F2610" s="190">
        <f>'HIRE CHARGES'!$F$517</f>
        <v>111.1</v>
      </c>
      <c r="G2610" s="207">
        <f>E2610*F2610</f>
        <v>55.55</v>
      </c>
    </row>
    <row r="2611" spans="2:7">
      <c r="B2611" s="105">
        <v>3</v>
      </c>
      <c r="C2611" s="76" t="s">
        <v>439</v>
      </c>
      <c r="D2611" s="105" t="s">
        <v>2374</v>
      </c>
      <c r="E2611" s="190">
        <v>8</v>
      </c>
      <c r="F2611" s="190">
        <f>'HIRE CHARGES'!$F$531</f>
        <v>158.19999999999999</v>
      </c>
      <c r="G2611" s="207">
        <f t="shared" ref="G2611:G2619" si="74">E2611*F2611</f>
        <v>1265.5999999999999</v>
      </c>
    </row>
    <row r="2612" spans="2:7">
      <c r="B2612" s="105">
        <v>4</v>
      </c>
      <c r="C2612" s="76" t="s">
        <v>440</v>
      </c>
      <c r="D2612" s="105" t="s">
        <v>1172</v>
      </c>
      <c r="E2612" s="190">
        <v>2</v>
      </c>
      <c r="F2612" s="190">
        <f>'BASIC DATA'!$C$474</f>
        <v>445</v>
      </c>
      <c r="G2612" s="207">
        <f t="shared" si="74"/>
        <v>890</v>
      </c>
    </row>
    <row r="2613" spans="2:7">
      <c r="B2613" s="105">
        <v>5</v>
      </c>
      <c r="C2613" s="76" t="s">
        <v>4206</v>
      </c>
      <c r="D2613" s="105" t="s">
        <v>1172</v>
      </c>
      <c r="E2613" s="190">
        <v>1</v>
      </c>
      <c r="F2613" s="190">
        <f>'BASIC DATA'!$C$473</f>
        <v>450</v>
      </c>
      <c r="G2613" s="207">
        <f t="shared" si="74"/>
        <v>450</v>
      </c>
    </row>
    <row r="2614" spans="2:7">
      <c r="B2614" s="105">
        <v>6</v>
      </c>
      <c r="C2614" s="76" t="s">
        <v>2697</v>
      </c>
      <c r="D2614" s="105"/>
      <c r="E2614" s="190"/>
      <c r="F2614" s="190"/>
      <c r="G2614" s="207"/>
    </row>
    <row r="2615" spans="2:7">
      <c r="B2615" s="317"/>
      <c r="C2615" s="76" t="s">
        <v>441</v>
      </c>
      <c r="D2615" s="105" t="s">
        <v>1172</v>
      </c>
      <c r="E2615" s="190">
        <v>11</v>
      </c>
      <c r="F2615" s="190">
        <f>'BASIC DATA'!$C$552</f>
        <v>350</v>
      </c>
      <c r="G2615" s="207">
        <f t="shared" si="74"/>
        <v>3850</v>
      </c>
    </row>
    <row r="2616" spans="2:7">
      <c r="B2616" s="317"/>
      <c r="C2616" s="76" t="s">
        <v>442</v>
      </c>
      <c r="D2616" s="105" t="s">
        <v>1172</v>
      </c>
      <c r="E2616" s="190">
        <v>4</v>
      </c>
      <c r="F2616" s="190">
        <f>'BASIC DATA'!$C$552</f>
        <v>350</v>
      </c>
      <c r="G2616" s="207">
        <f t="shared" si="74"/>
        <v>1400</v>
      </c>
    </row>
    <row r="2617" spans="2:7">
      <c r="B2617" s="317"/>
      <c r="C2617" s="76" t="s">
        <v>5151</v>
      </c>
      <c r="D2617" s="105" t="s">
        <v>1172</v>
      </c>
      <c r="E2617" s="190">
        <v>4</v>
      </c>
      <c r="F2617" s="190">
        <f>'BASIC DATA'!$C$552</f>
        <v>350</v>
      </c>
      <c r="G2617" s="207">
        <f t="shared" si="74"/>
        <v>1400</v>
      </c>
    </row>
    <row r="2618" spans="2:7">
      <c r="B2618" s="317"/>
      <c r="C2618" s="76" t="s">
        <v>444</v>
      </c>
      <c r="D2618" s="105" t="s">
        <v>1172</v>
      </c>
      <c r="E2618" s="190">
        <f>F2581</f>
        <v>15.76</v>
      </c>
      <c r="F2618" s="190">
        <f>'BASIC DATA'!$C$552</f>
        <v>350</v>
      </c>
      <c r="G2618" s="207">
        <f t="shared" si="74"/>
        <v>5516</v>
      </c>
    </row>
    <row r="2619" spans="2:7">
      <c r="B2619" s="317"/>
      <c r="C2619" s="76" t="s">
        <v>445</v>
      </c>
      <c r="D2619" s="105" t="s">
        <v>1172</v>
      </c>
      <c r="E2619" s="190">
        <v>2</v>
      </c>
      <c r="F2619" s="190">
        <f>'BASIC DATA'!$C$552</f>
        <v>350</v>
      </c>
      <c r="G2619" s="207">
        <f t="shared" si="74"/>
        <v>700</v>
      </c>
    </row>
    <row r="2620" spans="2:7">
      <c r="B2620" s="105">
        <v>7</v>
      </c>
      <c r="C2620" s="76" t="s">
        <v>7215</v>
      </c>
      <c r="D2620" s="105" t="s">
        <v>3479</v>
      </c>
      <c r="E2620" s="190">
        <f>0.5*F2581</f>
        <v>7.88</v>
      </c>
      <c r="F2620" s="190">
        <f>F2575</f>
        <v>88.5</v>
      </c>
      <c r="G2620" s="207">
        <f>E2620*F2620</f>
        <v>697.38</v>
      </c>
    </row>
    <row r="2621" spans="2:7">
      <c r="B2621" s="92"/>
      <c r="C2621" s="193" t="s">
        <v>1174</v>
      </c>
      <c r="D2621" s="159"/>
      <c r="E2621" s="238"/>
      <c r="F2621" s="236" t="s">
        <v>1698</v>
      </c>
      <c r="G2621" s="318">
        <f>SUM(G2609:G2620)</f>
        <v>17982.13</v>
      </c>
    </row>
    <row r="2622" spans="2:7">
      <c r="B2622" s="60" t="s">
        <v>5948</v>
      </c>
      <c r="C2622" s="26"/>
      <c r="D2622" s="31"/>
      <c r="E2622" s="85">
        <f>ROUND(G2621/F2581,1)</f>
        <v>1141</v>
      </c>
    </row>
    <row r="2623" spans="2:7">
      <c r="B2623" s="60" t="s">
        <v>3163</v>
      </c>
      <c r="C2623" s="26"/>
      <c r="D2623" s="922">
        <f>'BASIC DATA'!$C$577</f>
        <v>0.13614999999999999</v>
      </c>
      <c r="E2623" s="85">
        <f>ROUND(E2622*D2623,1)</f>
        <v>155.30000000000001</v>
      </c>
    </row>
    <row r="2624" spans="2:7">
      <c r="B2624" s="60" t="s">
        <v>5949</v>
      </c>
      <c r="C2624" s="26"/>
      <c r="D2624" s="31"/>
      <c r="E2624" s="199">
        <f>ROUND(E2623+E2622,1)</f>
        <v>1296.3</v>
      </c>
      <c r="F2624" s="57"/>
    </row>
    <row r="2625" spans="1:7">
      <c r="B2625" s="26"/>
      <c r="C2625" s="26"/>
    </row>
    <row r="2626" spans="1:7">
      <c r="B2626" s="170" t="s">
        <v>1175</v>
      </c>
      <c r="C2626" s="26"/>
    </row>
    <row r="2627" spans="1:7">
      <c r="B2627" s="26" t="s">
        <v>1176</v>
      </c>
      <c r="C2627" s="26"/>
      <c r="F2627" s="171" t="s">
        <v>1698</v>
      </c>
      <c r="G2627" s="68">
        <f>G2593</f>
        <v>45994.008111971991</v>
      </c>
    </row>
    <row r="2628" spans="1:7">
      <c r="B2628" s="26" t="s">
        <v>1186</v>
      </c>
      <c r="C2628" s="26"/>
      <c r="F2628" s="171" t="s">
        <v>1698</v>
      </c>
      <c r="G2628" s="68">
        <f>G2604</f>
        <v>1318.3500000000001</v>
      </c>
    </row>
    <row r="2629" spans="1:7">
      <c r="B2629" s="26" t="s">
        <v>2660</v>
      </c>
      <c r="C2629" s="26"/>
      <c r="F2629" s="171" t="s">
        <v>1698</v>
      </c>
      <c r="G2629" s="75">
        <f>G2621</f>
        <v>17982.13</v>
      </c>
    </row>
    <row r="2630" spans="1:7">
      <c r="B2630" s="78"/>
      <c r="C2630" s="26"/>
      <c r="E2630" s="171"/>
      <c r="F2630" s="171" t="s">
        <v>302</v>
      </c>
      <c r="G2630" s="205">
        <f>SUM(G2627:G2629)</f>
        <v>65294.488111971994</v>
      </c>
    </row>
    <row r="2631" spans="1:7">
      <c r="B2631" s="1206" t="s">
        <v>1379</v>
      </c>
      <c r="C2631" s="1206"/>
      <c r="E2631" s="922">
        <f>'BASIC DATA'!$C$577</f>
        <v>0.13614999999999999</v>
      </c>
      <c r="F2631" s="26" t="s">
        <v>1698</v>
      </c>
      <c r="G2631" s="26">
        <f>ROUND(G2630*E2631,2)</f>
        <v>8889.84</v>
      </c>
    </row>
    <row r="2632" spans="1:7">
      <c r="B2632" s="26" t="s">
        <v>1191</v>
      </c>
      <c r="C2632" s="26"/>
      <c r="D2632" s="68">
        <f>F2581</f>
        <v>15.76</v>
      </c>
      <c r="E2632" s="68" t="str">
        <f>G2581</f>
        <v>cum</v>
      </c>
      <c r="F2632" s="26" t="s">
        <v>1698</v>
      </c>
      <c r="G2632" s="211">
        <f>G2631+G2630</f>
        <v>74184.32811197199</v>
      </c>
    </row>
    <row r="2633" spans="1:7">
      <c r="B2633" s="170" t="s">
        <v>1584</v>
      </c>
      <c r="C2633" s="211" t="str">
        <f>E2632</f>
        <v>cum</v>
      </c>
      <c r="D2633" s="26" t="s">
        <v>7778</v>
      </c>
      <c r="F2633" s="26" t="s">
        <v>4108</v>
      </c>
      <c r="G2633" s="211">
        <f>ROUND(G2632/D2632,1)</f>
        <v>4707.1000000000004</v>
      </c>
    </row>
    <row r="2634" spans="1:7">
      <c r="B2634" s="78"/>
      <c r="C2634" s="26"/>
    </row>
    <row r="2635" spans="1:7">
      <c r="B2635" s="78"/>
      <c r="C2635" s="26"/>
    </row>
    <row r="2636" spans="1:7">
      <c r="A2636" s="865" t="s">
        <v>7566</v>
      </c>
      <c r="B2636" s="26" t="s">
        <v>8967</v>
      </c>
      <c r="C2636" s="26"/>
    </row>
    <row r="2637" spans="1:7" ht="18.75">
      <c r="A2637" s="865"/>
      <c r="B2637" s="26" t="s">
        <v>8943</v>
      </c>
      <c r="C2637" s="26"/>
    </row>
    <row r="2638" spans="1:7">
      <c r="A2638" s="865"/>
      <c r="B2638" s="26" t="s">
        <v>8968</v>
      </c>
      <c r="C2638" s="26"/>
    </row>
    <row r="2639" spans="1:7">
      <c r="A2639" s="865"/>
      <c r="B2639" s="26" t="s">
        <v>4144</v>
      </c>
      <c r="C2639" s="26"/>
    </row>
    <row r="2640" spans="1:7" ht="18.75">
      <c r="A2640" s="865"/>
      <c r="B2640" s="170" t="s">
        <v>8933</v>
      </c>
      <c r="C2640" s="26"/>
    </row>
    <row r="2641" spans="1:7">
      <c r="A2641" s="865" t="s">
        <v>1940</v>
      </c>
      <c r="B2641" s="170" t="s">
        <v>55</v>
      </c>
      <c r="C2641" s="26"/>
    </row>
    <row r="2642" spans="1:7">
      <c r="A2642" s="865"/>
      <c r="B2642" s="170" t="s">
        <v>7775</v>
      </c>
      <c r="C2642" s="26"/>
    </row>
    <row r="2643" spans="1:7">
      <c r="A2643" s="855"/>
      <c r="B2643" s="248" t="s">
        <v>4522</v>
      </c>
      <c r="C2643" s="61"/>
      <c r="D2643" s="61"/>
      <c r="E2643" s="61"/>
      <c r="F2643" s="61"/>
      <c r="G2643" s="61"/>
    </row>
    <row r="2644" spans="1:7">
      <c r="A2644" s="865"/>
      <c r="B2644" s="26"/>
      <c r="C2644" s="26"/>
    </row>
    <row r="2645" spans="1:7" hidden="1">
      <c r="A2645" s="865" t="s">
        <v>3984</v>
      </c>
      <c r="B2645" s="26" t="s">
        <v>5780</v>
      </c>
      <c r="C2645" s="26"/>
    </row>
    <row r="2646" spans="1:7" hidden="1">
      <c r="A2646" s="865"/>
      <c r="B2646" s="26" t="s">
        <v>2251</v>
      </c>
      <c r="C2646" s="26"/>
    </row>
    <row r="2647" spans="1:7" hidden="1">
      <c r="A2647" s="865"/>
      <c r="B2647" s="26" t="s">
        <v>7794</v>
      </c>
      <c r="C2647" s="26"/>
    </row>
    <row r="2648" spans="1:7" hidden="1">
      <c r="A2648" s="865"/>
      <c r="B2648" s="26" t="s">
        <v>7777</v>
      </c>
      <c r="C2648" s="26"/>
      <c r="E2648" s="26">
        <f>ROUND(50*13*8/330,2)</f>
        <v>15.76</v>
      </c>
      <c r="F2648" s="26" t="s">
        <v>3760</v>
      </c>
    </row>
    <row r="2649" spans="1:7" hidden="1">
      <c r="A2649" s="865"/>
      <c r="B2649" s="26" t="s">
        <v>2843</v>
      </c>
      <c r="C2649" s="26"/>
    </row>
    <row r="2650" spans="1:7" hidden="1">
      <c r="A2650" s="865"/>
      <c r="B2650" s="26" t="s">
        <v>4145</v>
      </c>
      <c r="C2650" s="26"/>
    </row>
    <row r="2651" spans="1:7" hidden="1">
      <c r="A2651" s="865"/>
      <c r="B2651" s="26" t="s">
        <v>2009</v>
      </c>
      <c r="C2651" s="26"/>
      <c r="F2651" s="68">
        <f>G667</f>
        <v>224.56752690000002</v>
      </c>
      <c r="G2651" s="26" t="s">
        <v>1168</v>
      </c>
    </row>
    <row r="2652" spans="1:7" hidden="1">
      <c r="A2652" s="865"/>
      <c r="B2652" s="26" t="s">
        <v>6133</v>
      </c>
      <c r="C2652" s="26"/>
    </row>
    <row r="2653" spans="1:7" hidden="1">
      <c r="A2653" s="865"/>
      <c r="B2653" s="26" t="s">
        <v>2010</v>
      </c>
      <c r="C2653" s="26"/>
      <c r="F2653" s="68">
        <f>G693</f>
        <v>88.5</v>
      </c>
      <c r="G2653" s="26" t="s">
        <v>1168</v>
      </c>
    </row>
    <row r="2654" spans="1:7" hidden="1">
      <c r="A2654" s="865"/>
      <c r="B2654" s="26" t="s">
        <v>5314</v>
      </c>
      <c r="C2654" s="26"/>
    </row>
    <row r="2655" spans="1:7" hidden="1">
      <c r="A2655" s="865"/>
      <c r="B2655" s="26" t="s">
        <v>451</v>
      </c>
      <c r="C2655" s="26"/>
    </row>
    <row r="2656" spans="1:7" hidden="1">
      <c r="A2656" s="865"/>
      <c r="B2656" s="26" t="s">
        <v>2011</v>
      </c>
      <c r="C2656" s="26"/>
    </row>
    <row r="2657" spans="1:7" hidden="1">
      <c r="A2657" s="865"/>
      <c r="B2657" s="26" t="s">
        <v>4146</v>
      </c>
      <c r="C2657" s="26"/>
    </row>
    <row r="2658" spans="1:7">
      <c r="B2658" s="78"/>
      <c r="C2658" s="26"/>
    </row>
    <row r="2659" spans="1:7">
      <c r="A2659" s="865" t="s">
        <v>3984</v>
      </c>
      <c r="B2659" s="78"/>
      <c r="C2659" s="203" t="s">
        <v>2367</v>
      </c>
      <c r="E2659" s="171" t="s">
        <v>297</v>
      </c>
      <c r="F2659" s="246">
        <f>E2648</f>
        <v>15.76</v>
      </c>
      <c r="G2659" s="26" t="s">
        <v>3477</v>
      </c>
    </row>
    <row r="2660" spans="1:7">
      <c r="B2660" s="79" t="s">
        <v>2368</v>
      </c>
      <c r="C2660" s="26"/>
    </row>
    <row r="2661" spans="1:7">
      <c r="B2661" s="95" t="s">
        <v>2369</v>
      </c>
      <c r="C2661" s="157" t="s">
        <v>4443</v>
      </c>
      <c r="D2661" s="95" t="s">
        <v>2370</v>
      </c>
      <c r="E2661" s="95" t="s">
        <v>1166</v>
      </c>
      <c r="F2661" s="95" t="s">
        <v>2371</v>
      </c>
      <c r="G2661" s="95" t="s">
        <v>2372</v>
      </c>
    </row>
    <row r="2662" spans="1:7">
      <c r="B2662" s="114"/>
      <c r="C2662" s="154"/>
      <c r="D2662" s="114"/>
      <c r="E2662" s="114"/>
      <c r="F2662" s="114" t="s">
        <v>3485</v>
      </c>
      <c r="G2662" s="114" t="s">
        <v>3485</v>
      </c>
    </row>
    <row r="2663" spans="1:7">
      <c r="B2663" s="95">
        <v>1</v>
      </c>
      <c r="C2663" s="135" t="s">
        <v>1048</v>
      </c>
      <c r="D2663" s="95" t="s">
        <v>3478</v>
      </c>
      <c r="E2663" s="190">
        <f>330*F2659</f>
        <v>5200.8</v>
      </c>
      <c r="F2663" s="214">
        <f>'BASIC DATA'!$D$32/1000</f>
        <v>5.35</v>
      </c>
      <c r="G2663" s="190">
        <f>E2663*F2663</f>
        <v>27824.28</v>
      </c>
    </row>
    <row r="2664" spans="1:7">
      <c r="B2664" s="317"/>
      <c r="C2664" s="135" t="s">
        <v>1049</v>
      </c>
      <c r="D2664" s="105" t="s">
        <v>3478</v>
      </c>
      <c r="E2664" s="190">
        <f>F2659*5</f>
        <v>78.8</v>
      </c>
      <c r="F2664" s="214">
        <f>'BASIC DATA'!$D$32/1000</f>
        <v>5.35</v>
      </c>
      <c r="G2664" s="190">
        <f t="shared" ref="G2664:G2671" si="75">E2664*F2664</f>
        <v>421.58</v>
      </c>
    </row>
    <row r="2665" spans="1:7">
      <c r="B2665" s="105">
        <v>2</v>
      </c>
      <c r="C2665" s="135" t="s">
        <v>6995</v>
      </c>
      <c r="D2665" s="105" t="s">
        <v>3477</v>
      </c>
      <c r="E2665" s="190">
        <f>0.8*F2659*0.65</f>
        <v>8.1951999999999998</v>
      </c>
      <c r="F2665" s="214">
        <f>'BASIC DATA'!$D$35</f>
        <v>1225</v>
      </c>
      <c r="G2665" s="190">
        <f t="shared" si="75"/>
        <v>10039.119999999999</v>
      </c>
    </row>
    <row r="2666" spans="1:7">
      <c r="B2666" s="317"/>
      <c r="C2666" s="135" t="s">
        <v>1050</v>
      </c>
      <c r="D2666" s="105" t="s">
        <v>3477</v>
      </c>
      <c r="E2666" s="190">
        <f>0.8*F2659*0.35</f>
        <v>4.4127999999999998</v>
      </c>
      <c r="F2666" s="214">
        <f>'BASIC DATA'!$D$34</f>
        <v>900</v>
      </c>
      <c r="G2666" s="190">
        <f t="shared" si="75"/>
        <v>3971.52</v>
      </c>
    </row>
    <row r="2667" spans="1:7">
      <c r="A2667" s="853"/>
      <c r="B2667" s="240">
        <v>3</v>
      </c>
      <c r="C2667" s="326" t="s">
        <v>7941</v>
      </c>
      <c r="D2667" s="240" t="s">
        <v>3477</v>
      </c>
      <c r="E2667" s="255">
        <f>0.45*F2659</f>
        <v>7.0919999999999996</v>
      </c>
      <c r="F2667" s="266">
        <f>'BASIC DATA'!$D$55</f>
        <v>95</v>
      </c>
      <c r="G2667" s="255">
        <f t="shared" si="75"/>
        <v>673.74</v>
      </c>
    </row>
    <row r="2668" spans="1:7">
      <c r="B2668" s="105">
        <v>4</v>
      </c>
      <c r="C2668" s="135" t="s">
        <v>523</v>
      </c>
      <c r="D2668" s="105" t="s">
        <v>3478</v>
      </c>
      <c r="E2668" s="190">
        <f>E2663*0.4%</f>
        <v>20.8032</v>
      </c>
      <c r="F2668" s="214">
        <f>'BASIC DATA'!$D$99</f>
        <v>55</v>
      </c>
      <c r="G2668" s="190">
        <f t="shared" si="75"/>
        <v>1144.1759999999999</v>
      </c>
    </row>
    <row r="2669" spans="1:7">
      <c r="B2669" s="105">
        <v>5</v>
      </c>
      <c r="C2669" s="135" t="s">
        <v>7213</v>
      </c>
      <c r="D2669" s="105" t="s">
        <v>3479</v>
      </c>
      <c r="E2669" s="190">
        <f>4.5*F2659</f>
        <v>70.92</v>
      </c>
      <c r="F2669" s="214">
        <f>F2651</f>
        <v>224.56752690000002</v>
      </c>
      <c r="G2669" s="190">
        <f t="shared" si="75"/>
        <v>15926.329007748001</v>
      </c>
    </row>
    <row r="2670" spans="1:7">
      <c r="B2670" s="317"/>
      <c r="C2670" s="135" t="s">
        <v>5408</v>
      </c>
      <c r="D2670" s="224">
        <v>0.25</v>
      </c>
      <c r="E2670" s="190"/>
      <c r="F2670" s="214"/>
      <c r="G2670" s="190">
        <f>G2669*D2670</f>
        <v>3981.5822519370004</v>
      </c>
    </row>
    <row r="2671" spans="1:7">
      <c r="B2671" s="114">
        <v>6</v>
      </c>
      <c r="C2671" s="139" t="s">
        <v>2373</v>
      </c>
      <c r="D2671" s="114" t="s">
        <v>2173</v>
      </c>
      <c r="E2671" s="182">
        <v>0.5</v>
      </c>
      <c r="F2671" s="215">
        <f>'BASIC DATA'!$D$359</f>
        <v>30</v>
      </c>
      <c r="G2671" s="182">
        <f t="shared" si="75"/>
        <v>15</v>
      </c>
    </row>
    <row r="2672" spans="1:7">
      <c r="B2672" s="92"/>
      <c r="C2672" s="193" t="s">
        <v>2376</v>
      </c>
      <c r="D2672" s="159"/>
      <c r="E2672" s="238"/>
      <c r="F2672" s="236" t="s">
        <v>1698</v>
      </c>
      <c r="G2672" s="318">
        <f>SUM(G2663:G2671)</f>
        <v>63997.327259684986</v>
      </c>
    </row>
    <row r="2673" spans="2:7">
      <c r="B2673" s="78"/>
      <c r="C2673" s="26"/>
    </row>
    <row r="2674" spans="2:7">
      <c r="B2674" s="79" t="s">
        <v>2377</v>
      </c>
      <c r="C2674" s="26"/>
    </row>
    <row r="2675" spans="2:7">
      <c r="B2675" s="95" t="s">
        <v>2369</v>
      </c>
      <c r="C2675" s="157" t="s">
        <v>2378</v>
      </c>
      <c r="D2675" s="95" t="s">
        <v>2370</v>
      </c>
      <c r="E2675" s="95" t="s">
        <v>1166</v>
      </c>
      <c r="F2675" s="95" t="s">
        <v>2371</v>
      </c>
      <c r="G2675" s="95" t="s">
        <v>2372</v>
      </c>
    </row>
    <row r="2676" spans="2:7">
      <c r="B2676" s="114"/>
      <c r="C2676" s="154"/>
      <c r="D2676" s="114"/>
      <c r="E2676" s="114"/>
      <c r="F2676" s="114" t="s">
        <v>3485</v>
      </c>
      <c r="G2676" s="114" t="s">
        <v>3485</v>
      </c>
    </row>
    <row r="2677" spans="2:7">
      <c r="B2677" s="95">
        <v>1</v>
      </c>
      <c r="C2677" s="153" t="s">
        <v>7214</v>
      </c>
      <c r="D2677" s="175" t="s">
        <v>2374</v>
      </c>
      <c r="E2677" s="179">
        <v>8</v>
      </c>
      <c r="F2677" s="190">
        <f>'HIRE CHARGES'!$D$507</f>
        <v>53.5</v>
      </c>
      <c r="G2677" s="190">
        <f t="shared" ref="G2677:G2682" si="76">E2677*F2677</f>
        <v>428</v>
      </c>
    </row>
    <row r="2678" spans="2:7">
      <c r="B2678" s="317"/>
      <c r="C2678" s="152" t="s">
        <v>2379</v>
      </c>
      <c r="D2678" s="33" t="s">
        <v>2374</v>
      </c>
      <c r="E2678" s="190">
        <v>8</v>
      </c>
      <c r="F2678" s="190">
        <f>'HIRE CHARGES'!$E$507</f>
        <v>79.3</v>
      </c>
      <c r="G2678" s="190">
        <f t="shared" si="76"/>
        <v>634.4</v>
      </c>
    </row>
    <row r="2679" spans="2:7">
      <c r="B2679" s="105">
        <v>2</v>
      </c>
      <c r="C2679" s="152" t="s">
        <v>189</v>
      </c>
      <c r="D2679" s="33" t="s">
        <v>2374</v>
      </c>
      <c r="E2679" s="190">
        <v>0.5</v>
      </c>
      <c r="F2679" s="190">
        <f>'HIRE CHARGES'!$D$517</f>
        <v>10.199999999999999</v>
      </c>
      <c r="G2679" s="190">
        <f t="shared" si="76"/>
        <v>5.0999999999999996</v>
      </c>
    </row>
    <row r="2680" spans="2:7">
      <c r="B2680" s="317"/>
      <c r="C2680" s="152" t="s">
        <v>2379</v>
      </c>
      <c r="D2680" s="33" t="s">
        <v>2374</v>
      </c>
      <c r="E2680" s="190">
        <v>0.5</v>
      </c>
      <c r="F2680" s="190">
        <f>'HIRE CHARGES'!$E$517</f>
        <v>79.3</v>
      </c>
      <c r="G2680" s="190">
        <f t="shared" si="76"/>
        <v>39.65</v>
      </c>
    </row>
    <row r="2681" spans="2:7">
      <c r="B2681" s="105">
        <v>3</v>
      </c>
      <c r="C2681" s="152" t="s">
        <v>4147</v>
      </c>
      <c r="D2681" s="33" t="s">
        <v>2374</v>
      </c>
      <c r="E2681" s="190">
        <v>8</v>
      </c>
      <c r="F2681" s="190">
        <f>'HIRE CHARGES'!$D$531</f>
        <v>7.6</v>
      </c>
      <c r="G2681" s="190">
        <f t="shared" si="76"/>
        <v>60.8</v>
      </c>
    </row>
    <row r="2682" spans="2:7">
      <c r="B2682" s="365"/>
      <c r="C2682" s="116" t="s">
        <v>2379</v>
      </c>
      <c r="D2682" s="33" t="s">
        <v>2374</v>
      </c>
      <c r="E2682" s="182">
        <v>8</v>
      </c>
      <c r="F2682" s="207">
        <f>'HIRE CHARGES'!$E$531</f>
        <v>18.8</v>
      </c>
      <c r="G2682" s="190">
        <f t="shared" si="76"/>
        <v>150.4</v>
      </c>
    </row>
    <row r="2683" spans="2:7">
      <c r="B2683" s="176"/>
      <c r="C2683" s="172" t="s">
        <v>2380</v>
      </c>
      <c r="D2683" s="174"/>
      <c r="E2683" s="192"/>
      <c r="F2683" s="236" t="s">
        <v>1698</v>
      </c>
      <c r="G2683" s="318">
        <f>SUM(G2677:G2682)</f>
        <v>1318.3500000000001</v>
      </c>
    </row>
    <row r="2684" spans="2:7">
      <c r="B2684" s="78"/>
      <c r="C2684" s="26"/>
    </row>
    <row r="2685" spans="2:7">
      <c r="B2685" s="79" t="s">
        <v>2381</v>
      </c>
      <c r="C2685" s="26"/>
    </row>
    <row r="2686" spans="2:7">
      <c r="B2686" s="95" t="s">
        <v>2369</v>
      </c>
      <c r="C2686" s="157" t="s">
        <v>2378</v>
      </c>
      <c r="D2686" s="95" t="s">
        <v>2370</v>
      </c>
      <c r="E2686" s="95" t="s">
        <v>1166</v>
      </c>
      <c r="F2686" s="95" t="s">
        <v>2371</v>
      </c>
      <c r="G2686" s="95" t="s">
        <v>2372</v>
      </c>
    </row>
    <row r="2687" spans="2:7">
      <c r="B2687" s="114"/>
      <c r="C2687" s="154"/>
      <c r="D2687" s="105"/>
      <c r="E2687" s="105"/>
      <c r="F2687" s="105" t="s">
        <v>3485</v>
      </c>
      <c r="G2687" s="114" t="s">
        <v>3485</v>
      </c>
    </row>
    <row r="2688" spans="2:7">
      <c r="B2688" s="95">
        <v>1</v>
      </c>
      <c r="C2688" s="76" t="s">
        <v>527</v>
      </c>
      <c r="D2688" s="95" t="s">
        <v>2374</v>
      </c>
      <c r="E2688" s="179">
        <v>8</v>
      </c>
      <c r="F2688" s="179">
        <f>'HIRE CHARGES'!$F$507</f>
        <v>219.7</v>
      </c>
      <c r="G2688" s="207">
        <f>E2688*F2688</f>
        <v>1757.6</v>
      </c>
    </row>
    <row r="2689" spans="2:7">
      <c r="B2689" s="105">
        <v>2</v>
      </c>
      <c r="C2689" s="76" t="s">
        <v>999</v>
      </c>
      <c r="D2689" s="105" t="s">
        <v>2374</v>
      </c>
      <c r="E2689" s="190">
        <v>0.5</v>
      </c>
      <c r="F2689" s="190">
        <f>'HIRE CHARGES'!$F$517</f>
        <v>111.1</v>
      </c>
      <c r="G2689" s="207">
        <f t="shared" ref="G2689:G2699" si="77">E2689*F2689</f>
        <v>55.55</v>
      </c>
    </row>
    <row r="2690" spans="2:7">
      <c r="B2690" s="105">
        <v>3</v>
      </c>
      <c r="C2690" s="76" t="s">
        <v>439</v>
      </c>
      <c r="D2690" s="105" t="s">
        <v>2374</v>
      </c>
      <c r="E2690" s="190">
        <v>8</v>
      </c>
      <c r="F2690" s="190">
        <f>'HIRE CHARGES'!$F$531</f>
        <v>158.19999999999999</v>
      </c>
      <c r="G2690" s="207">
        <f t="shared" si="77"/>
        <v>1265.5999999999999</v>
      </c>
    </row>
    <row r="2691" spans="2:7">
      <c r="B2691" s="105">
        <v>4</v>
      </c>
      <c r="C2691" s="76" t="s">
        <v>440</v>
      </c>
      <c r="D2691" s="105" t="s">
        <v>1172</v>
      </c>
      <c r="E2691" s="190">
        <v>1</v>
      </c>
      <c r="F2691" s="190">
        <f>'BASIC DATA'!$C$474</f>
        <v>445</v>
      </c>
      <c r="G2691" s="207">
        <f t="shared" si="77"/>
        <v>445</v>
      </c>
    </row>
    <row r="2692" spans="2:7">
      <c r="B2692" s="105">
        <v>5</v>
      </c>
      <c r="C2692" s="76" t="s">
        <v>4206</v>
      </c>
      <c r="D2692" s="105" t="s">
        <v>1172</v>
      </c>
      <c r="E2692" s="190">
        <v>1</v>
      </c>
      <c r="F2692" s="190">
        <f>'BASIC DATA'!$C$473</f>
        <v>450</v>
      </c>
      <c r="G2692" s="207">
        <f t="shared" si="77"/>
        <v>450</v>
      </c>
    </row>
    <row r="2693" spans="2:7">
      <c r="B2693" s="105">
        <v>6</v>
      </c>
      <c r="C2693" s="76" t="s">
        <v>2697</v>
      </c>
      <c r="D2693" s="105"/>
      <c r="E2693" s="190"/>
      <c r="F2693" s="190"/>
      <c r="G2693" s="207"/>
    </row>
    <row r="2694" spans="2:7">
      <c r="B2694" s="317"/>
      <c r="C2694" s="76" t="s">
        <v>441</v>
      </c>
      <c r="D2694" s="105" t="s">
        <v>1172</v>
      </c>
      <c r="E2694" s="190">
        <v>11</v>
      </c>
      <c r="F2694" s="190">
        <f>'BASIC DATA'!$C$552</f>
        <v>350</v>
      </c>
      <c r="G2694" s="207">
        <f t="shared" si="77"/>
        <v>3850</v>
      </c>
    </row>
    <row r="2695" spans="2:7">
      <c r="B2695" s="317"/>
      <c r="C2695" s="76" t="s">
        <v>442</v>
      </c>
      <c r="D2695" s="105" t="s">
        <v>1172</v>
      </c>
      <c r="E2695" s="190">
        <v>4</v>
      </c>
      <c r="F2695" s="190">
        <f>'BASIC DATA'!$C$552</f>
        <v>350</v>
      </c>
      <c r="G2695" s="207">
        <f t="shared" si="77"/>
        <v>1400</v>
      </c>
    </row>
    <row r="2696" spans="2:7">
      <c r="B2696" s="317"/>
      <c r="C2696" s="76" t="s">
        <v>5151</v>
      </c>
      <c r="D2696" s="105" t="s">
        <v>1172</v>
      </c>
      <c r="E2696" s="190">
        <v>5</v>
      </c>
      <c r="F2696" s="190">
        <f>'BASIC DATA'!$C$552</f>
        <v>350</v>
      </c>
      <c r="G2696" s="207">
        <f t="shared" si="77"/>
        <v>1750</v>
      </c>
    </row>
    <row r="2697" spans="2:7">
      <c r="B2697" s="317"/>
      <c r="C2697" s="76" t="s">
        <v>444</v>
      </c>
      <c r="D2697" s="105" t="s">
        <v>1172</v>
      </c>
      <c r="E2697" s="190">
        <f>F2659</f>
        <v>15.76</v>
      </c>
      <c r="F2697" s="190">
        <f>'BASIC DATA'!$C$552</f>
        <v>350</v>
      </c>
      <c r="G2697" s="207">
        <f t="shared" si="77"/>
        <v>5516</v>
      </c>
    </row>
    <row r="2698" spans="2:7">
      <c r="B2698" s="317"/>
      <c r="C2698" s="76" t="s">
        <v>445</v>
      </c>
      <c r="D2698" s="105" t="s">
        <v>1172</v>
      </c>
      <c r="E2698" s="190">
        <v>1</v>
      </c>
      <c r="F2698" s="190">
        <f>'BASIC DATA'!$C$552</f>
        <v>350</v>
      </c>
      <c r="G2698" s="207">
        <f t="shared" si="77"/>
        <v>350</v>
      </c>
    </row>
    <row r="2699" spans="2:7">
      <c r="B2699" s="105">
        <v>7</v>
      </c>
      <c r="C2699" s="76" t="s">
        <v>7215</v>
      </c>
      <c r="D2699" s="105" t="s">
        <v>3479</v>
      </c>
      <c r="E2699" s="190">
        <f>4.5*F2659</f>
        <v>70.92</v>
      </c>
      <c r="F2699" s="190">
        <f>F2653</f>
        <v>88.5</v>
      </c>
      <c r="G2699" s="207">
        <f t="shared" si="77"/>
        <v>6276.42</v>
      </c>
    </row>
    <row r="2700" spans="2:7">
      <c r="B2700" s="317"/>
      <c r="C2700" s="76" t="s">
        <v>6402</v>
      </c>
      <c r="D2700" s="224">
        <v>0.25</v>
      </c>
      <c r="E2700" s="190"/>
      <c r="F2700" s="190"/>
      <c r="G2700" s="207">
        <f>G2699*D2700</f>
        <v>1569.105</v>
      </c>
    </row>
    <row r="2701" spans="2:7">
      <c r="B2701" s="92"/>
      <c r="C2701" s="193" t="s">
        <v>1174</v>
      </c>
      <c r="D2701" s="159"/>
      <c r="E2701" s="238"/>
      <c r="F2701" s="236" t="s">
        <v>1698</v>
      </c>
      <c r="G2701" s="318">
        <f>SUM(G2688:G2700)</f>
        <v>24685.274999999998</v>
      </c>
    </row>
    <row r="2702" spans="2:7">
      <c r="B2702" s="60" t="s">
        <v>5948</v>
      </c>
      <c r="C2702" s="31"/>
      <c r="D2702" s="31"/>
      <c r="E2702" s="85">
        <f>ROUND(G2701/F2659,1)</f>
        <v>1566.3</v>
      </c>
    </row>
    <row r="2703" spans="2:7">
      <c r="B2703" s="60" t="s">
        <v>3163</v>
      </c>
      <c r="C2703" s="31"/>
      <c r="D2703" s="922">
        <f>'BASIC DATA'!$C$577</f>
        <v>0.13614999999999999</v>
      </c>
      <c r="E2703" s="85">
        <f>ROUND(E2702*D2703,1)</f>
        <v>213.3</v>
      </c>
    </row>
    <row r="2704" spans="2:7">
      <c r="B2704" s="60" t="s">
        <v>5949</v>
      </c>
      <c r="C2704" s="31"/>
      <c r="D2704" s="31"/>
      <c r="E2704" s="199">
        <f>ROUND(E2703+E2702,1)</f>
        <v>1779.6</v>
      </c>
      <c r="F2704" s="57"/>
    </row>
    <row r="2705" spans="1:7">
      <c r="B2705" s="78"/>
      <c r="C2705" s="26"/>
    </row>
    <row r="2706" spans="1:7">
      <c r="B2706" s="170" t="s">
        <v>1175</v>
      </c>
      <c r="C2706" s="26"/>
    </row>
    <row r="2707" spans="1:7">
      <c r="B2707" s="26" t="s">
        <v>1176</v>
      </c>
      <c r="C2707" s="26"/>
      <c r="F2707" s="171" t="s">
        <v>1698</v>
      </c>
      <c r="G2707" s="68">
        <f>G2672</f>
        <v>63997.327259684986</v>
      </c>
    </row>
    <row r="2708" spans="1:7">
      <c r="B2708" s="26" t="s">
        <v>1186</v>
      </c>
      <c r="C2708" s="26"/>
      <c r="F2708" s="171" t="s">
        <v>1698</v>
      </c>
      <c r="G2708" s="68">
        <f>G2683</f>
        <v>1318.3500000000001</v>
      </c>
    </row>
    <row r="2709" spans="1:7">
      <c r="B2709" s="26" t="s">
        <v>2660</v>
      </c>
      <c r="C2709" s="26"/>
      <c r="F2709" s="171" t="s">
        <v>1698</v>
      </c>
      <c r="G2709" s="75">
        <f>G2701</f>
        <v>24685.274999999998</v>
      </c>
    </row>
    <row r="2710" spans="1:7">
      <c r="B2710" s="78"/>
      <c r="C2710" s="26"/>
      <c r="E2710" s="171"/>
      <c r="F2710" s="171" t="s">
        <v>302</v>
      </c>
      <c r="G2710" s="205">
        <f>SUM(G2707:G2709)</f>
        <v>90000.952259684986</v>
      </c>
    </row>
    <row r="2711" spans="1:7">
      <c r="B2711" s="1206" t="s">
        <v>1379</v>
      </c>
      <c r="C2711" s="1206"/>
      <c r="E2711" s="922">
        <f>'BASIC DATA'!$C$577</f>
        <v>0.13614999999999999</v>
      </c>
      <c r="F2711" s="26" t="s">
        <v>1698</v>
      </c>
      <c r="G2711" s="26">
        <f>ROUND(G2710*E2711,2)</f>
        <v>12253.63</v>
      </c>
    </row>
    <row r="2712" spans="1:7">
      <c r="B2712" s="26" t="s">
        <v>1191</v>
      </c>
      <c r="C2712" s="26"/>
      <c r="D2712" s="68">
        <f>F2659</f>
        <v>15.76</v>
      </c>
      <c r="E2712" s="68" t="str">
        <f>G2659</f>
        <v>cum</v>
      </c>
      <c r="F2712" s="26" t="s">
        <v>1698</v>
      </c>
      <c r="G2712" s="211">
        <f>G2711+G2710</f>
        <v>102254.58225968499</v>
      </c>
    </row>
    <row r="2713" spans="1:7">
      <c r="B2713" s="170" t="s">
        <v>1584</v>
      </c>
      <c r="C2713" s="211" t="str">
        <f>E2712</f>
        <v>cum</v>
      </c>
      <c r="D2713" s="26" t="s">
        <v>7778</v>
      </c>
      <c r="F2713" s="26" t="s">
        <v>4108</v>
      </c>
      <c r="G2713" s="211">
        <f>ROUND(G2712/D2712,1)</f>
        <v>6488.2</v>
      </c>
    </row>
    <row r="2714" spans="1:7">
      <c r="B2714" s="78"/>
      <c r="C2714" s="26"/>
      <c r="F2714" s="171"/>
      <c r="G2714" s="68"/>
    </row>
    <row r="2715" spans="1:7">
      <c r="A2715" s="865" t="s">
        <v>7567</v>
      </c>
      <c r="B2715" s="248" t="s">
        <v>1472</v>
      </c>
      <c r="C2715" s="61"/>
      <c r="D2715" s="61"/>
      <c r="E2715" s="61"/>
      <c r="F2715" s="61"/>
      <c r="G2715" s="61"/>
    </row>
    <row r="2716" spans="1:7">
      <c r="A2716" s="853"/>
      <c r="B2716" s="62"/>
      <c r="C2716" s="61"/>
      <c r="D2716" s="61"/>
      <c r="E2716" s="61"/>
      <c r="F2716" s="61"/>
      <c r="G2716" s="61"/>
    </row>
    <row r="2717" spans="1:7">
      <c r="A2717" s="865" t="s">
        <v>7568</v>
      </c>
      <c r="B2717" s="1241" t="s">
        <v>8969</v>
      </c>
      <c r="C2717" s="1241"/>
      <c r="D2717" s="1241"/>
      <c r="E2717" s="1241"/>
      <c r="F2717" s="1241"/>
      <c r="G2717" s="62"/>
    </row>
    <row r="2718" spans="1:7">
      <c r="A2718" s="865" t="s">
        <v>3984</v>
      </c>
      <c r="B2718" s="61" t="s">
        <v>5063</v>
      </c>
      <c r="C2718" s="61"/>
      <c r="D2718" s="61"/>
      <c r="E2718" s="61"/>
      <c r="F2718" s="61"/>
      <c r="G2718" s="61"/>
    </row>
    <row r="2719" spans="1:7">
      <c r="A2719" s="853"/>
      <c r="B2719" s="61" t="s">
        <v>5064</v>
      </c>
      <c r="C2719" s="61"/>
      <c r="D2719" s="61"/>
      <c r="E2719" s="61"/>
      <c r="F2719" s="61"/>
      <c r="G2719" s="61"/>
    </row>
    <row r="2720" spans="1:7">
      <c r="A2720" s="853"/>
      <c r="B2720" s="61"/>
      <c r="C2720" s="61" t="s">
        <v>5065</v>
      </c>
      <c r="D2720" s="61"/>
      <c r="E2720" s="61"/>
      <c r="F2720" s="61"/>
      <c r="G2720" s="61"/>
    </row>
    <row r="2721" spans="1:7">
      <c r="A2721" s="853"/>
      <c r="B2721" s="682" t="s">
        <v>5066</v>
      </c>
      <c r="C2721" s="61" t="s">
        <v>6786</v>
      </c>
      <c r="D2721" s="61"/>
      <c r="E2721" s="61"/>
      <c r="F2721" s="61"/>
      <c r="G2721" s="61"/>
    </row>
    <row r="2722" spans="1:7">
      <c r="A2722" s="853"/>
      <c r="B2722" s="61"/>
      <c r="C2722" s="61" t="s">
        <v>6787</v>
      </c>
      <c r="D2722" s="61"/>
      <c r="E2722" s="61"/>
      <c r="F2722" s="61"/>
      <c r="G2722" s="61"/>
    </row>
    <row r="2723" spans="1:7">
      <c r="A2723" s="853"/>
      <c r="B2723" s="248" t="s">
        <v>6788</v>
      </c>
      <c r="C2723" s="61"/>
      <c r="D2723" s="61"/>
      <c r="E2723" s="61"/>
      <c r="F2723" s="61"/>
      <c r="G2723" s="61"/>
    </row>
    <row r="2724" spans="1:7">
      <c r="A2724" s="853"/>
      <c r="B2724" s="223">
        <v>0.12</v>
      </c>
      <c r="C2724" s="61" t="s">
        <v>1460</v>
      </c>
      <c r="D2724" s="223">
        <f>'BASIC DATA'!$C$541</f>
        <v>400</v>
      </c>
      <c r="E2724" s="223" t="s">
        <v>1581</v>
      </c>
      <c r="F2724" s="223">
        <f>D2724*B2724</f>
        <v>48</v>
      </c>
      <c r="G2724" s="61"/>
    </row>
    <row r="2725" spans="1:7">
      <c r="A2725" s="853"/>
      <c r="B2725" s="223">
        <v>1</v>
      </c>
      <c r="C2725" s="61" t="s">
        <v>6789</v>
      </c>
      <c r="D2725" s="223">
        <f>'BASIC DATA'!$C$474</f>
        <v>445</v>
      </c>
      <c r="E2725" s="223" t="s">
        <v>1581</v>
      </c>
      <c r="F2725" s="223">
        <f>D2725*B2725</f>
        <v>445</v>
      </c>
      <c r="G2725" s="61"/>
    </row>
    <row r="2726" spans="1:7">
      <c r="A2726" s="853"/>
      <c r="B2726" s="223">
        <v>2</v>
      </c>
      <c r="C2726" s="61" t="s">
        <v>6790</v>
      </c>
      <c r="D2726" s="223">
        <f>'BASIC DATA'!$C$552</f>
        <v>350</v>
      </c>
      <c r="E2726" s="223" t="s">
        <v>1581</v>
      </c>
      <c r="F2726" s="223">
        <f>D2726*B2726</f>
        <v>700</v>
      </c>
      <c r="G2726" s="61"/>
    </row>
    <row r="2727" spans="1:7">
      <c r="A2727" s="853"/>
      <c r="B2727" s="223"/>
      <c r="C2727" s="222" t="s">
        <v>6791</v>
      </c>
      <c r="D2727" s="223"/>
      <c r="E2727" s="223"/>
      <c r="F2727" s="223">
        <f>SUM(F2724:F2726)</f>
        <v>1193</v>
      </c>
      <c r="G2727" s="61"/>
    </row>
    <row r="2728" spans="1:7">
      <c r="A2728" s="853"/>
      <c r="B2728" s="248" t="s">
        <v>6966</v>
      </c>
      <c r="C2728" s="61"/>
      <c r="D2728" s="223"/>
      <c r="E2728" s="223"/>
      <c r="F2728" s="223"/>
      <c r="G2728" s="61"/>
    </row>
    <row r="2729" spans="1:7">
      <c r="A2729" s="853"/>
      <c r="B2729" s="223">
        <v>2</v>
      </c>
      <c r="C2729" s="61" t="s">
        <v>6967</v>
      </c>
      <c r="D2729" s="223">
        <f>'HIRE CHARGES'!$D$550</f>
        <v>519.69999999999993</v>
      </c>
      <c r="E2729" s="223" t="s">
        <v>1189</v>
      </c>
      <c r="F2729" s="223">
        <f>D2729*B2729</f>
        <v>1039.3999999999999</v>
      </c>
      <c r="G2729" s="61"/>
    </row>
    <row r="2730" spans="1:7">
      <c r="A2730" s="853"/>
      <c r="B2730" s="223"/>
      <c r="C2730" s="61" t="s">
        <v>6968</v>
      </c>
      <c r="D2730" s="223"/>
      <c r="E2730" s="223"/>
      <c r="F2730" s="223"/>
      <c r="G2730" s="61"/>
    </row>
    <row r="2731" spans="1:7">
      <c r="A2731" s="853"/>
      <c r="B2731" s="223"/>
      <c r="C2731" s="61" t="s">
        <v>1465</v>
      </c>
      <c r="D2731" s="223">
        <f>'HIRE CHARGES'!$E$550</f>
        <v>299.89999999999998</v>
      </c>
      <c r="E2731" s="223" t="s">
        <v>1189</v>
      </c>
      <c r="F2731" s="223">
        <f>D2731*B2729</f>
        <v>599.79999999999995</v>
      </c>
      <c r="G2731" s="61"/>
    </row>
    <row r="2732" spans="1:7">
      <c r="A2732" s="853"/>
      <c r="B2732" s="223"/>
      <c r="C2732" s="61" t="s">
        <v>1466</v>
      </c>
      <c r="D2732" s="223">
        <f>'HIRE CHARGES'!$F$549</f>
        <v>177.5</v>
      </c>
      <c r="E2732" s="223" t="s">
        <v>1189</v>
      </c>
      <c r="F2732" s="223">
        <f>D2732*B2729</f>
        <v>355</v>
      </c>
      <c r="G2732" s="61"/>
    </row>
    <row r="2733" spans="1:7">
      <c r="A2733" s="853"/>
      <c r="B2733" s="223"/>
      <c r="C2733" s="61" t="s">
        <v>7628</v>
      </c>
      <c r="D2733" s="223"/>
      <c r="E2733" s="223"/>
      <c r="F2733" s="223">
        <f>0.1*SUM(F2729:F2732)</f>
        <v>199.42</v>
      </c>
      <c r="G2733" s="61"/>
    </row>
    <row r="2734" spans="1:7">
      <c r="A2734" s="853"/>
      <c r="B2734" s="223"/>
      <c r="C2734" s="222" t="s">
        <v>5636</v>
      </c>
      <c r="D2734" s="223"/>
      <c r="E2734" s="223"/>
      <c r="F2734" s="223">
        <f>SUM(F2729:F2733)</f>
        <v>2193.62</v>
      </c>
      <c r="G2734" s="61"/>
    </row>
    <row r="2735" spans="1:7">
      <c r="A2735" s="853"/>
      <c r="B2735" s="223"/>
      <c r="C2735" s="222" t="s">
        <v>5637</v>
      </c>
      <c r="D2735" s="223"/>
      <c r="E2735" s="223"/>
      <c r="F2735" s="223">
        <f>F2734+F2727</f>
        <v>3386.62</v>
      </c>
      <c r="G2735" s="61"/>
    </row>
    <row r="2736" spans="1:7" ht="36">
      <c r="A2736" s="853"/>
      <c r="B2736" s="223"/>
      <c r="C2736" s="49" t="s">
        <v>4711</v>
      </c>
      <c r="D2736" s="922">
        <f>'BASIC DATA'!$C$577</f>
        <v>0.13614999999999999</v>
      </c>
      <c r="E2736" s="223"/>
      <c r="F2736" s="223">
        <f>D2736*F2735</f>
        <v>461.08831299999997</v>
      </c>
      <c r="G2736" s="61"/>
    </row>
    <row r="2737" spans="1:7">
      <c r="A2737" s="853"/>
      <c r="B2737" s="223"/>
      <c r="C2737" s="61"/>
      <c r="D2737" s="223"/>
      <c r="E2737" s="223"/>
      <c r="F2737" s="223"/>
      <c r="G2737" s="61"/>
    </row>
    <row r="2738" spans="1:7">
      <c r="A2738" s="853"/>
      <c r="B2738" s="223"/>
      <c r="C2738" s="248" t="s">
        <v>4712</v>
      </c>
      <c r="D2738" s="223"/>
      <c r="E2738" s="223"/>
      <c r="F2738" s="381">
        <f>F2736+F2734+F2727</f>
        <v>3847.7083130000001</v>
      </c>
      <c r="G2738" s="61"/>
    </row>
    <row r="2739" spans="1:7">
      <c r="A2739" s="853"/>
      <c r="B2739" s="223"/>
      <c r="C2739" s="61" t="s">
        <v>5638</v>
      </c>
      <c r="D2739" s="61"/>
      <c r="E2739" s="223"/>
      <c r="F2739" s="536">
        <f>ROUND(F2738,1)</f>
        <v>3847.7</v>
      </c>
      <c r="G2739" s="61"/>
    </row>
    <row r="2740" spans="1:7">
      <c r="A2740" s="853"/>
      <c r="B2740" s="223"/>
      <c r="C2740" s="61" t="s">
        <v>5948</v>
      </c>
      <c r="D2740" s="61"/>
      <c r="E2740" s="223">
        <f>ROUND(F2727+F2732/1,1)</f>
        <v>1548</v>
      </c>
      <c r="F2740" s="61"/>
      <c r="G2740" s="61"/>
    </row>
    <row r="2741" spans="1:7">
      <c r="A2741" s="853"/>
      <c r="B2741" s="223"/>
      <c r="C2741" s="61" t="s">
        <v>2576</v>
      </c>
      <c r="D2741" s="922">
        <f>'BASIC DATA'!$C$577</f>
        <v>0.13614999999999999</v>
      </c>
      <c r="E2741" s="223">
        <f>ROUND(E2740*D2741,1)</f>
        <v>210.8</v>
      </c>
      <c r="F2741" s="61"/>
      <c r="G2741" s="61"/>
    </row>
    <row r="2742" spans="1:7">
      <c r="A2742" s="853"/>
      <c r="B2742" s="223"/>
      <c r="C2742" s="61" t="s">
        <v>5950</v>
      </c>
      <c r="D2742" s="223"/>
      <c r="E2742" s="683">
        <f>ROUND(E2741+E2740,1)</f>
        <v>1758.8</v>
      </c>
      <c r="F2742" s="61"/>
      <c r="G2742" s="61"/>
    </row>
    <row r="2743" spans="1:7">
      <c r="A2743" s="853"/>
      <c r="B2743" s="223"/>
      <c r="C2743" s="61"/>
      <c r="D2743" s="223"/>
      <c r="E2743" s="223"/>
      <c r="F2743" s="223"/>
      <c r="G2743" s="61"/>
    </row>
    <row r="2744" spans="1:7">
      <c r="A2744" s="853"/>
      <c r="B2744" s="684" t="s">
        <v>5639</v>
      </c>
      <c r="C2744" s="61" t="s">
        <v>5640</v>
      </c>
      <c r="D2744" s="223"/>
      <c r="E2744" s="223"/>
      <c r="F2744" s="223"/>
      <c r="G2744" s="61"/>
    </row>
    <row r="2745" spans="1:7">
      <c r="A2745" s="853"/>
      <c r="B2745" s="223"/>
      <c r="C2745" s="61" t="s">
        <v>5641</v>
      </c>
      <c r="D2745" s="223"/>
      <c r="E2745" s="223"/>
      <c r="F2745" s="223"/>
      <c r="G2745" s="61"/>
    </row>
    <row r="2746" spans="1:7">
      <c r="A2746" s="853"/>
      <c r="B2746" s="248" t="s">
        <v>6788</v>
      </c>
      <c r="C2746" s="61"/>
      <c r="D2746" s="223"/>
      <c r="E2746" s="223"/>
      <c r="F2746" s="223"/>
      <c r="G2746" s="61"/>
    </row>
    <row r="2747" spans="1:7">
      <c r="A2747" s="853"/>
      <c r="B2747" s="223">
        <v>0.15</v>
      </c>
      <c r="C2747" s="61" t="s">
        <v>1460</v>
      </c>
      <c r="D2747" s="223">
        <f>'BASIC DATA'!$C$541</f>
        <v>400</v>
      </c>
      <c r="E2747" s="223" t="s">
        <v>1581</v>
      </c>
      <c r="F2747" s="223">
        <f>D2747*B2747</f>
        <v>60</v>
      </c>
      <c r="G2747" s="61"/>
    </row>
    <row r="2748" spans="1:7">
      <c r="A2748" s="853"/>
      <c r="B2748" s="223">
        <v>1.25</v>
      </c>
      <c r="C2748" s="61" t="s">
        <v>6789</v>
      </c>
      <c r="D2748" s="223">
        <f>'BASIC DATA'!$C$474</f>
        <v>445</v>
      </c>
      <c r="E2748" s="223" t="s">
        <v>1581</v>
      </c>
      <c r="F2748" s="223">
        <f>D2748*B2748</f>
        <v>556.25</v>
      </c>
      <c r="G2748" s="61"/>
    </row>
    <row r="2749" spans="1:7">
      <c r="A2749" s="853"/>
      <c r="B2749" s="223">
        <v>2.5</v>
      </c>
      <c r="C2749" s="61" t="s">
        <v>6790</v>
      </c>
      <c r="D2749" s="223">
        <f>'BASIC DATA'!$C$552</f>
        <v>350</v>
      </c>
      <c r="E2749" s="223" t="s">
        <v>1581</v>
      </c>
      <c r="F2749" s="223">
        <f>D2749*B2749</f>
        <v>875</v>
      </c>
      <c r="G2749" s="61"/>
    </row>
    <row r="2750" spans="1:7">
      <c r="A2750" s="853"/>
      <c r="B2750" s="223"/>
      <c r="C2750" s="222" t="s">
        <v>6791</v>
      </c>
      <c r="D2750" s="223"/>
      <c r="E2750" s="223"/>
      <c r="F2750" s="223">
        <f>SUM(F2747:F2749)</f>
        <v>1491.25</v>
      </c>
      <c r="G2750" s="61"/>
    </row>
    <row r="2751" spans="1:7">
      <c r="A2751" s="853"/>
      <c r="B2751" s="248" t="s">
        <v>6966</v>
      </c>
      <c r="C2751" s="61"/>
      <c r="D2751" s="223"/>
      <c r="E2751" s="223"/>
      <c r="F2751" s="223"/>
      <c r="G2751" s="61"/>
    </row>
    <row r="2752" spans="1:7">
      <c r="A2752" s="853"/>
      <c r="B2752" s="223">
        <v>3</v>
      </c>
      <c r="C2752" s="61" t="s">
        <v>6967</v>
      </c>
      <c r="D2752" s="223">
        <f>'HIRE CHARGES'!$D$550</f>
        <v>519.69999999999993</v>
      </c>
      <c r="E2752" s="223" t="s">
        <v>1189</v>
      </c>
      <c r="F2752" s="223">
        <f>D2752*B2752</f>
        <v>1559.1</v>
      </c>
      <c r="G2752" s="61"/>
    </row>
    <row r="2753" spans="1:7">
      <c r="A2753" s="853"/>
      <c r="B2753" s="223"/>
      <c r="C2753" s="61" t="s">
        <v>6968</v>
      </c>
      <c r="D2753" s="223"/>
      <c r="E2753" s="223"/>
      <c r="F2753" s="223"/>
      <c r="G2753" s="61"/>
    </row>
    <row r="2754" spans="1:7">
      <c r="A2754" s="853"/>
      <c r="B2754" s="223"/>
      <c r="C2754" s="61" t="s">
        <v>1465</v>
      </c>
      <c r="D2754" s="223">
        <f>'HIRE CHARGES'!$E$550</f>
        <v>299.89999999999998</v>
      </c>
      <c r="E2754" s="223" t="s">
        <v>1189</v>
      </c>
      <c r="F2754" s="223">
        <f>D2754*B2752</f>
        <v>899.69999999999993</v>
      </c>
      <c r="G2754" s="61"/>
    </row>
    <row r="2755" spans="1:7">
      <c r="A2755" s="853"/>
      <c r="B2755" s="223"/>
      <c r="C2755" s="61" t="s">
        <v>1466</v>
      </c>
      <c r="D2755" s="223">
        <f>'HIRE CHARGES'!$F$549</f>
        <v>177.5</v>
      </c>
      <c r="E2755" s="223" t="s">
        <v>1189</v>
      </c>
      <c r="F2755" s="223">
        <f>D2755*B2752</f>
        <v>532.5</v>
      </c>
      <c r="G2755" s="61"/>
    </row>
    <row r="2756" spans="1:7">
      <c r="A2756" s="853"/>
      <c r="B2756" s="223"/>
      <c r="C2756" s="61" t="s">
        <v>7628</v>
      </c>
      <c r="D2756" s="223"/>
      <c r="E2756" s="223"/>
      <c r="F2756" s="223">
        <f>0.1*SUM(F2752:F2755)</f>
        <v>299.13</v>
      </c>
      <c r="G2756" s="61"/>
    </row>
    <row r="2757" spans="1:7">
      <c r="A2757" s="853"/>
      <c r="B2757" s="223"/>
      <c r="C2757" s="222" t="s">
        <v>5636</v>
      </c>
      <c r="D2757" s="223"/>
      <c r="E2757" s="223"/>
      <c r="F2757" s="223">
        <f>SUM(F2752:F2756)</f>
        <v>3290.43</v>
      </c>
      <c r="G2757" s="61"/>
    </row>
    <row r="2758" spans="1:7">
      <c r="A2758" s="853"/>
      <c r="B2758" s="223"/>
      <c r="C2758" s="222" t="s">
        <v>5637</v>
      </c>
      <c r="D2758" s="223"/>
      <c r="E2758" s="223"/>
      <c r="F2758" s="223">
        <f>F2757+F2750</f>
        <v>4781.68</v>
      </c>
      <c r="G2758" s="61"/>
    </row>
    <row r="2759" spans="1:7" ht="36">
      <c r="A2759" s="853"/>
      <c r="B2759" s="223"/>
      <c r="C2759" s="49" t="s">
        <v>4711</v>
      </c>
      <c r="D2759" s="922">
        <f>'BASIC DATA'!$C$577</f>
        <v>0.13614999999999999</v>
      </c>
      <c r="E2759" s="223"/>
      <c r="F2759" s="223">
        <f>F2758*D2759</f>
        <v>651.02573200000006</v>
      </c>
      <c r="G2759" s="61"/>
    </row>
    <row r="2760" spans="1:7">
      <c r="A2760" s="853"/>
      <c r="B2760" s="223"/>
      <c r="C2760" s="61"/>
      <c r="D2760" s="223"/>
      <c r="E2760" s="223"/>
      <c r="F2760" s="223"/>
      <c r="G2760" s="61"/>
    </row>
    <row r="2761" spans="1:7">
      <c r="A2761" s="853"/>
      <c r="B2761" s="410" t="s">
        <v>3625</v>
      </c>
      <c r="C2761" s="61"/>
      <c r="D2761" s="223"/>
      <c r="E2761" s="223"/>
      <c r="F2761" s="381">
        <f>F2759+F2757++F2750</f>
        <v>5432.7057320000004</v>
      </c>
      <c r="G2761" s="61"/>
    </row>
    <row r="2762" spans="1:7">
      <c r="A2762" s="853"/>
      <c r="B2762" s="61"/>
      <c r="C2762" s="61" t="s">
        <v>2969</v>
      </c>
      <c r="D2762" s="223"/>
      <c r="E2762" s="536">
        <f>ROUND(F2761,1)</f>
        <v>5432.7</v>
      </c>
      <c r="F2762" s="61"/>
      <c r="G2762" s="61"/>
    </row>
    <row r="2763" spans="1:7">
      <c r="A2763" s="853"/>
      <c r="B2763" s="61"/>
      <c r="C2763" s="61"/>
      <c r="D2763" s="223"/>
      <c r="E2763" s="223"/>
      <c r="F2763" s="61"/>
      <c r="G2763" s="61"/>
    </row>
    <row r="2764" spans="1:7">
      <c r="A2764" s="853"/>
      <c r="B2764" s="223"/>
      <c r="C2764" s="61" t="s">
        <v>5948</v>
      </c>
      <c r="D2764" s="223"/>
      <c r="E2764" s="223">
        <f>ROUND(F2750+F2755/1,1)</f>
        <v>2023.8</v>
      </c>
      <c r="F2764" s="61"/>
      <c r="G2764" s="61"/>
    </row>
    <row r="2765" spans="1:7">
      <c r="A2765" s="853"/>
      <c r="B2765" s="223"/>
      <c r="C2765" s="61" t="s">
        <v>2576</v>
      </c>
      <c r="D2765" s="922">
        <f>'BASIC DATA'!$C$577</f>
        <v>0.13614999999999999</v>
      </c>
      <c r="E2765" s="223">
        <f>ROUND(E2764*D2765,1)</f>
        <v>275.5</v>
      </c>
      <c r="F2765" s="61"/>
      <c r="G2765" s="61"/>
    </row>
    <row r="2766" spans="1:7">
      <c r="A2766" s="853"/>
      <c r="B2766" s="223"/>
      <c r="C2766" s="61" t="s">
        <v>5950</v>
      </c>
      <c r="D2766" s="223"/>
      <c r="E2766" s="683">
        <f>ROUND(E2765+E2764,1)</f>
        <v>2299.3000000000002</v>
      </c>
      <c r="F2766" s="61"/>
      <c r="G2766" s="61"/>
    </row>
    <row r="2767" spans="1:7">
      <c r="B2767" s="78"/>
      <c r="C2767" s="26"/>
    </row>
    <row r="2768" spans="1:7">
      <c r="B2768" s="78"/>
      <c r="C2768" s="26"/>
    </row>
    <row r="2769" spans="1:7">
      <c r="A2769" s="865" t="s">
        <v>7569</v>
      </c>
      <c r="B2769" s="26" t="s">
        <v>8970</v>
      </c>
      <c r="C2769" s="26"/>
    </row>
    <row r="2770" spans="1:7">
      <c r="A2770" s="865"/>
      <c r="B2770" s="26" t="s">
        <v>5207</v>
      </c>
      <c r="C2770" s="26"/>
    </row>
    <row r="2771" spans="1:7" ht="18.75">
      <c r="A2771" s="865"/>
      <c r="B2771" s="170" t="s">
        <v>8957</v>
      </c>
      <c r="C2771" s="26"/>
    </row>
    <row r="2772" spans="1:7">
      <c r="A2772" s="865"/>
      <c r="B2772" s="26"/>
      <c r="C2772" s="26"/>
    </row>
    <row r="2773" spans="1:7" hidden="1">
      <c r="A2773" s="865" t="s">
        <v>3984</v>
      </c>
      <c r="B2773" s="26" t="s">
        <v>5208</v>
      </c>
      <c r="C2773" s="26"/>
    </row>
    <row r="2774" spans="1:7" hidden="1">
      <c r="A2774" s="865"/>
      <c r="B2774" s="26" t="s">
        <v>2714</v>
      </c>
      <c r="C2774" s="26"/>
      <c r="E2774" s="78" t="s">
        <v>1697</v>
      </c>
      <c r="F2774" s="68">
        <v>7.5</v>
      </c>
      <c r="G2774" s="26" t="s">
        <v>3477</v>
      </c>
    </row>
    <row r="2775" spans="1:7" hidden="1">
      <c r="A2775" s="865"/>
      <c r="B2775" s="26" t="s">
        <v>3720</v>
      </c>
      <c r="C2775" s="26"/>
    </row>
    <row r="2776" spans="1:7">
      <c r="B2776" s="78"/>
      <c r="C2776" s="26"/>
    </row>
    <row r="2777" spans="1:7">
      <c r="A2777" s="865" t="s">
        <v>3984</v>
      </c>
      <c r="B2777" s="78"/>
      <c r="C2777" s="203" t="s">
        <v>2367</v>
      </c>
      <c r="E2777" s="171" t="s">
        <v>297</v>
      </c>
      <c r="F2777" s="246">
        <v>15</v>
      </c>
      <c r="G2777" s="26" t="s">
        <v>3477</v>
      </c>
    </row>
    <row r="2778" spans="1:7">
      <c r="B2778" s="79" t="s">
        <v>2368</v>
      </c>
      <c r="C2778" s="26"/>
    </row>
    <row r="2779" spans="1:7">
      <c r="B2779" s="95" t="s">
        <v>2369</v>
      </c>
      <c r="C2779" s="157" t="s">
        <v>4443</v>
      </c>
      <c r="D2779" s="95" t="s">
        <v>2370</v>
      </c>
      <c r="E2779" s="95" t="s">
        <v>1166</v>
      </c>
      <c r="F2779" s="95" t="s">
        <v>2371</v>
      </c>
      <c r="G2779" s="95" t="s">
        <v>2372</v>
      </c>
    </row>
    <row r="2780" spans="1:7">
      <c r="B2780" s="114"/>
      <c r="C2780" s="154"/>
      <c r="D2780" s="114"/>
      <c r="E2780" s="114"/>
      <c r="F2780" s="114" t="s">
        <v>3485</v>
      </c>
      <c r="G2780" s="114" t="s">
        <v>3485</v>
      </c>
    </row>
    <row r="2781" spans="1:7">
      <c r="A2781" s="853"/>
      <c r="B2781" s="295">
        <v>1</v>
      </c>
      <c r="C2781" s="326" t="s">
        <v>7871</v>
      </c>
      <c r="D2781" s="295" t="s">
        <v>3477</v>
      </c>
      <c r="E2781" s="255">
        <v>15.75</v>
      </c>
      <c r="F2781" s="255">
        <f>'BASIC DATA'!$D$56</f>
        <v>95</v>
      </c>
      <c r="G2781" s="255">
        <f>E2781*F2781</f>
        <v>1496.25</v>
      </c>
    </row>
    <row r="2782" spans="1:7">
      <c r="B2782" s="365"/>
      <c r="C2782" s="139"/>
      <c r="D2782" s="114"/>
      <c r="E2782" s="182"/>
      <c r="F2782" s="182">
        <v>0</v>
      </c>
      <c r="G2782" s="182">
        <f>E2782*F2782</f>
        <v>0</v>
      </c>
    </row>
    <row r="2783" spans="1:7">
      <c r="B2783" s="92"/>
      <c r="C2783" s="193" t="s">
        <v>2376</v>
      </c>
      <c r="D2783" s="159"/>
      <c r="E2783" s="238"/>
      <c r="F2783" s="236" t="s">
        <v>1698</v>
      </c>
      <c r="G2783" s="318">
        <f>SUM(G2781:G2782)</f>
        <v>1496.25</v>
      </c>
    </row>
    <row r="2784" spans="1:7">
      <c r="B2784" s="78"/>
      <c r="C2784" s="26"/>
    </row>
    <row r="2785" spans="2:7">
      <c r="B2785" s="79" t="s">
        <v>2377</v>
      </c>
      <c r="C2785" s="26"/>
    </row>
    <row r="2786" spans="2:7">
      <c r="B2786" s="95" t="s">
        <v>2369</v>
      </c>
      <c r="C2786" s="157" t="s">
        <v>2378</v>
      </c>
      <c r="D2786" s="95" t="s">
        <v>2370</v>
      </c>
      <c r="E2786" s="95" t="s">
        <v>1166</v>
      </c>
      <c r="F2786" s="95" t="s">
        <v>2371</v>
      </c>
      <c r="G2786" s="95" t="s">
        <v>2372</v>
      </c>
    </row>
    <row r="2787" spans="2:7">
      <c r="B2787" s="114"/>
      <c r="C2787" s="154"/>
      <c r="D2787" s="114"/>
      <c r="E2787" s="114"/>
      <c r="F2787" s="114" t="s">
        <v>3485</v>
      </c>
      <c r="G2787" s="114" t="s">
        <v>3485</v>
      </c>
    </row>
    <row r="2788" spans="2:7">
      <c r="B2788" s="95">
        <v>1</v>
      </c>
      <c r="C2788" s="95" t="s">
        <v>1130</v>
      </c>
      <c r="D2788" s="175"/>
      <c r="E2788" s="179">
        <v>0</v>
      </c>
      <c r="F2788" s="190">
        <v>0</v>
      </c>
      <c r="G2788" s="190">
        <f>E2788*F2788</f>
        <v>0</v>
      </c>
    </row>
    <row r="2789" spans="2:7">
      <c r="B2789" s="365"/>
      <c r="C2789" s="116"/>
      <c r="D2789" s="188"/>
      <c r="E2789" s="182">
        <v>0</v>
      </c>
      <c r="F2789" s="182">
        <v>0</v>
      </c>
      <c r="G2789" s="182">
        <f>E2789*F2789</f>
        <v>0</v>
      </c>
    </row>
    <row r="2790" spans="2:7">
      <c r="B2790" s="176"/>
      <c r="C2790" s="172" t="s">
        <v>2380</v>
      </c>
      <c r="D2790" s="174"/>
      <c r="E2790" s="192"/>
      <c r="F2790" s="275" t="s">
        <v>1698</v>
      </c>
      <c r="G2790" s="434">
        <f>SUM(G2788:G2789)</f>
        <v>0</v>
      </c>
    </row>
    <row r="2791" spans="2:7">
      <c r="B2791" s="78"/>
      <c r="C2791" s="26"/>
    </row>
    <row r="2792" spans="2:7">
      <c r="B2792" s="79" t="s">
        <v>2381</v>
      </c>
      <c r="C2792" s="26"/>
    </row>
    <row r="2793" spans="2:7">
      <c r="B2793" s="95" t="s">
        <v>2369</v>
      </c>
      <c r="C2793" s="157" t="s">
        <v>2378</v>
      </c>
      <c r="D2793" s="95" t="s">
        <v>2370</v>
      </c>
      <c r="E2793" s="95" t="s">
        <v>1166</v>
      </c>
      <c r="F2793" s="95" t="s">
        <v>2371</v>
      </c>
      <c r="G2793" s="95" t="s">
        <v>2372</v>
      </c>
    </row>
    <row r="2794" spans="2:7">
      <c r="B2794" s="114"/>
      <c r="C2794" s="154"/>
      <c r="D2794" s="105"/>
      <c r="E2794" s="105"/>
      <c r="F2794" s="105" t="s">
        <v>3485</v>
      </c>
      <c r="G2794" s="114" t="s">
        <v>3485</v>
      </c>
    </row>
    <row r="2795" spans="2:7">
      <c r="B2795" s="95">
        <v>1</v>
      </c>
      <c r="C2795" s="76" t="s">
        <v>4206</v>
      </c>
      <c r="D2795" s="95" t="s">
        <v>1172</v>
      </c>
      <c r="E2795" s="179">
        <v>0.25</v>
      </c>
      <c r="F2795" s="190">
        <f>'BASIC DATA'!$C$473</f>
        <v>450</v>
      </c>
      <c r="G2795" s="207">
        <f>E2795*F2795</f>
        <v>112.5</v>
      </c>
    </row>
    <row r="2796" spans="2:7">
      <c r="B2796" s="105">
        <v>2</v>
      </c>
      <c r="C2796" s="76" t="s">
        <v>2697</v>
      </c>
      <c r="D2796" s="105" t="s">
        <v>1172</v>
      </c>
      <c r="E2796" s="190">
        <v>4</v>
      </c>
      <c r="F2796" s="190">
        <f>'BASIC DATA'!$C$552</f>
        <v>350</v>
      </c>
      <c r="G2796" s="207">
        <f>E2796*F2796</f>
        <v>1400</v>
      </c>
    </row>
    <row r="2797" spans="2:7">
      <c r="B2797" s="92"/>
      <c r="C2797" s="193" t="s">
        <v>1174</v>
      </c>
      <c r="D2797" s="159"/>
      <c r="E2797" s="238"/>
      <c r="F2797" s="236" t="s">
        <v>1698</v>
      </c>
      <c r="G2797" s="318">
        <f>SUM(G2795:G2796)</f>
        <v>1512.5</v>
      </c>
    </row>
    <row r="2798" spans="2:7">
      <c r="B2798" s="60" t="s">
        <v>5948</v>
      </c>
      <c r="C2798" s="31"/>
      <c r="D2798" s="31"/>
      <c r="E2798" s="85">
        <f>ROUND(G2797/F2777,1)</f>
        <v>100.8</v>
      </c>
    </row>
    <row r="2799" spans="2:7">
      <c r="B2799" s="60" t="s">
        <v>3163</v>
      </c>
      <c r="C2799" s="31"/>
      <c r="D2799" s="922">
        <f>'BASIC DATA'!$C$577</f>
        <v>0.13614999999999999</v>
      </c>
      <c r="E2799" s="85">
        <f>ROUND(E2798*D2799,1)</f>
        <v>13.7</v>
      </c>
    </row>
    <row r="2800" spans="2:7">
      <c r="B2800" s="60" t="s">
        <v>5949</v>
      </c>
      <c r="C2800" s="31"/>
      <c r="D2800" s="31"/>
      <c r="E2800" s="199">
        <f>ROUND(E2799+E2798,1)</f>
        <v>114.5</v>
      </c>
      <c r="F2800" s="56"/>
    </row>
    <row r="2801" spans="1:7">
      <c r="B2801" s="78"/>
      <c r="C2801" s="26"/>
    </row>
    <row r="2802" spans="1:7">
      <c r="B2802" s="170" t="s">
        <v>1175</v>
      </c>
      <c r="C2802" s="26"/>
    </row>
    <row r="2803" spans="1:7">
      <c r="B2803" s="26" t="s">
        <v>1176</v>
      </c>
      <c r="C2803" s="26"/>
      <c r="F2803" s="171" t="s">
        <v>1698</v>
      </c>
      <c r="G2803" s="68">
        <f>G2783</f>
        <v>1496.25</v>
      </c>
    </row>
    <row r="2804" spans="1:7">
      <c r="B2804" s="26" t="s">
        <v>1186</v>
      </c>
      <c r="C2804" s="26"/>
      <c r="F2804" s="171" t="s">
        <v>1698</v>
      </c>
      <c r="G2804" s="68">
        <f>G2790</f>
        <v>0</v>
      </c>
    </row>
    <row r="2805" spans="1:7">
      <c r="B2805" s="26" t="s">
        <v>2660</v>
      </c>
      <c r="C2805" s="26"/>
      <c r="F2805" s="171" t="s">
        <v>1698</v>
      </c>
      <c r="G2805" s="75">
        <f>G2797</f>
        <v>1512.5</v>
      </c>
    </row>
    <row r="2806" spans="1:7">
      <c r="B2806" s="78"/>
      <c r="C2806" s="26"/>
      <c r="E2806" s="171"/>
      <c r="F2806" s="171" t="s">
        <v>302</v>
      </c>
      <c r="G2806" s="205">
        <f>SUM(G2803:G2805)</f>
        <v>3008.75</v>
      </c>
    </row>
    <row r="2807" spans="1:7">
      <c r="B2807" s="1206" t="s">
        <v>1379</v>
      </c>
      <c r="C2807" s="1206"/>
      <c r="E2807" s="922">
        <f>'BASIC DATA'!$C$577</f>
        <v>0.13614999999999999</v>
      </c>
      <c r="F2807" s="26" t="s">
        <v>1698</v>
      </c>
      <c r="G2807" s="26">
        <f>ROUND(G2806*E2807,2)</f>
        <v>409.64</v>
      </c>
    </row>
    <row r="2808" spans="1:7">
      <c r="B2808" s="26" t="s">
        <v>1191</v>
      </c>
      <c r="C2808" s="26"/>
      <c r="D2808" s="68">
        <f>F2777</f>
        <v>15</v>
      </c>
      <c r="E2808" s="68" t="str">
        <f>G2777</f>
        <v>cum</v>
      </c>
      <c r="F2808" s="26" t="s">
        <v>1698</v>
      </c>
      <c r="G2808" s="170">
        <f>G2807+G2806</f>
        <v>3418.39</v>
      </c>
    </row>
    <row r="2809" spans="1:7">
      <c r="B2809" s="170" t="s">
        <v>1584</v>
      </c>
      <c r="C2809" s="211" t="str">
        <f>E2808</f>
        <v>cum</v>
      </c>
      <c r="D2809" s="26" t="s">
        <v>4709</v>
      </c>
      <c r="F2809" s="26" t="s">
        <v>4108</v>
      </c>
      <c r="G2809" s="211">
        <f>ROUND(G2808/D2808,1)</f>
        <v>227.9</v>
      </c>
    </row>
    <row r="2810" spans="1:7">
      <c r="B2810" s="78"/>
      <c r="C2810" s="26"/>
    </row>
    <row r="2811" spans="1:7">
      <c r="A2811" s="865" t="s">
        <v>7570</v>
      </c>
      <c r="B2811" s="170" t="s">
        <v>228</v>
      </c>
      <c r="C2811" s="26"/>
    </row>
    <row r="2812" spans="1:7">
      <c r="A2812" s="865"/>
      <c r="B2812" s="26"/>
      <c r="C2812" s="26"/>
    </row>
    <row r="2813" spans="1:7" ht="18.75">
      <c r="A2813" s="865" t="s">
        <v>7571</v>
      </c>
      <c r="B2813" s="26" t="s">
        <v>8971</v>
      </c>
      <c r="C2813" s="26"/>
    </row>
    <row r="2814" spans="1:7" ht="18.75">
      <c r="A2814" s="865"/>
      <c r="B2814" s="26" t="s">
        <v>8972</v>
      </c>
      <c r="C2814" s="26"/>
    </row>
    <row r="2815" spans="1:7">
      <c r="A2815" s="865"/>
      <c r="B2815" s="26" t="s">
        <v>4368</v>
      </c>
      <c r="C2815" s="26"/>
    </row>
    <row r="2816" spans="1:7" ht="18.75">
      <c r="A2816" s="865"/>
      <c r="B2816" s="26" t="s">
        <v>8973</v>
      </c>
      <c r="C2816" s="26"/>
    </row>
    <row r="2817" spans="1:7">
      <c r="A2817" s="865"/>
      <c r="B2817" s="170" t="s">
        <v>3581</v>
      </c>
      <c r="C2817" s="26"/>
    </row>
    <row r="2818" spans="1:7">
      <c r="A2818" s="855"/>
      <c r="B2818" s="248" t="s">
        <v>3580</v>
      </c>
      <c r="C2818" s="61"/>
      <c r="D2818" s="61"/>
      <c r="E2818" s="61"/>
      <c r="F2818" s="61"/>
      <c r="G2818" s="61"/>
    </row>
    <row r="2819" spans="1:7">
      <c r="A2819" s="865"/>
      <c r="B2819" s="26"/>
      <c r="C2819" s="26"/>
    </row>
    <row r="2820" spans="1:7" hidden="1">
      <c r="A2820" s="865" t="s">
        <v>3984</v>
      </c>
      <c r="B2820" s="26" t="s">
        <v>5011</v>
      </c>
      <c r="C2820" s="26"/>
    </row>
    <row r="2821" spans="1:7" hidden="1">
      <c r="A2821" s="855"/>
      <c r="B2821" s="61" t="s">
        <v>304</v>
      </c>
      <c r="C2821" s="61"/>
      <c r="D2821" s="61"/>
      <c r="E2821" s="62"/>
      <c r="F2821" s="61"/>
      <c r="G2821" s="61"/>
    </row>
    <row r="2822" spans="1:7" hidden="1">
      <c r="A2822" s="865"/>
      <c r="B2822" s="26" t="s">
        <v>3133</v>
      </c>
      <c r="C2822" s="26"/>
      <c r="E2822" s="78" t="s">
        <v>1697</v>
      </c>
      <c r="F2822" s="26" t="s">
        <v>3407</v>
      </c>
    </row>
    <row r="2823" spans="1:7" hidden="1">
      <c r="A2823" s="865"/>
      <c r="B2823" s="26" t="s">
        <v>3134</v>
      </c>
      <c r="C2823" s="26"/>
      <c r="E2823" s="78" t="s">
        <v>1697</v>
      </c>
      <c r="F2823" s="68">
        <v>5</v>
      </c>
      <c r="G2823" s="26" t="s">
        <v>3760</v>
      </c>
    </row>
    <row r="2824" spans="1:7">
      <c r="B2824" s="78"/>
      <c r="C2824" s="26"/>
    </row>
    <row r="2825" spans="1:7">
      <c r="A2825" s="865" t="s">
        <v>3984</v>
      </c>
      <c r="B2825" s="78"/>
      <c r="C2825" s="203" t="s">
        <v>2367</v>
      </c>
      <c r="E2825" s="171" t="s">
        <v>297</v>
      </c>
      <c r="F2825" s="246">
        <v>10</v>
      </c>
      <c r="G2825" s="26" t="s">
        <v>3477</v>
      </c>
    </row>
    <row r="2826" spans="1:7">
      <c r="B2826" s="79" t="s">
        <v>2368</v>
      </c>
      <c r="C2826" s="26"/>
    </row>
    <row r="2827" spans="1:7">
      <c r="B2827" s="95" t="s">
        <v>2369</v>
      </c>
      <c r="C2827" s="157" t="s">
        <v>4443</v>
      </c>
      <c r="D2827" s="95" t="s">
        <v>2370</v>
      </c>
      <c r="E2827" s="95" t="s">
        <v>1166</v>
      </c>
      <c r="F2827" s="95" t="s">
        <v>2371</v>
      </c>
      <c r="G2827" s="95" t="s">
        <v>2372</v>
      </c>
    </row>
    <row r="2828" spans="1:7">
      <c r="B2828" s="114"/>
      <c r="C2828" s="154"/>
      <c r="D2828" s="114"/>
      <c r="E2828" s="114"/>
      <c r="F2828" s="114" t="s">
        <v>3485</v>
      </c>
      <c r="G2828" s="114" t="s">
        <v>3485</v>
      </c>
    </row>
    <row r="2829" spans="1:7">
      <c r="B2829" s="95">
        <v>1</v>
      </c>
      <c r="C2829" s="135" t="s">
        <v>5853</v>
      </c>
      <c r="D2829" s="95" t="s">
        <v>3478</v>
      </c>
      <c r="E2829" s="190">
        <f>143*10</f>
        <v>1430</v>
      </c>
      <c r="F2829" s="214">
        <f>'BASIC DATA'!$D$32/1000</f>
        <v>5.35</v>
      </c>
      <c r="G2829" s="190">
        <f>E2829*F2829</f>
        <v>7650.4999999999991</v>
      </c>
    </row>
    <row r="2830" spans="1:7">
      <c r="B2830" s="105">
        <v>2</v>
      </c>
      <c r="C2830" s="135" t="s">
        <v>5012</v>
      </c>
      <c r="D2830" s="105" t="s">
        <v>3477</v>
      </c>
      <c r="E2830" s="190">
        <f>0.85*10</f>
        <v>8.5</v>
      </c>
      <c r="F2830" s="214">
        <f>'BASIC DATA'!$D$108</f>
        <v>318</v>
      </c>
      <c r="G2830" s="190">
        <f>E2830*F2830</f>
        <v>2703</v>
      </c>
    </row>
    <row r="2831" spans="1:7">
      <c r="B2831" s="105">
        <v>3</v>
      </c>
      <c r="C2831" s="135" t="s">
        <v>1358</v>
      </c>
      <c r="D2831" s="105" t="s">
        <v>3477</v>
      </c>
      <c r="E2831" s="190">
        <f>0.15*10</f>
        <v>1.5</v>
      </c>
      <c r="F2831" s="214">
        <f>'BASIC DATA'!$D$96</f>
        <v>350</v>
      </c>
      <c r="G2831" s="190">
        <f>E2831*F2831</f>
        <v>525</v>
      </c>
    </row>
    <row r="2832" spans="1:7">
      <c r="A2832" s="853"/>
      <c r="B2832" s="237">
        <v>4</v>
      </c>
      <c r="C2832" s="306" t="s">
        <v>6827</v>
      </c>
      <c r="D2832" s="237" t="s">
        <v>3477</v>
      </c>
      <c r="E2832" s="289">
        <f>0.4*10</f>
        <v>4</v>
      </c>
      <c r="F2832" s="284">
        <f>'BASIC DATA'!$D$57</f>
        <v>165</v>
      </c>
      <c r="G2832" s="289">
        <f>E2832*F2832</f>
        <v>660</v>
      </c>
    </row>
    <row r="2833" spans="2:7">
      <c r="B2833" s="92"/>
      <c r="C2833" s="193" t="s">
        <v>2376</v>
      </c>
      <c r="D2833" s="159"/>
      <c r="E2833" s="238"/>
      <c r="F2833" s="236" t="s">
        <v>1698</v>
      </c>
      <c r="G2833" s="318">
        <f>SUM(G2829:G2832)</f>
        <v>11538.5</v>
      </c>
    </row>
    <row r="2834" spans="2:7">
      <c r="B2834" s="78"/>
      <c r="C2834" s="26"/>
    </row>
    <row r="2835" spans="2:7">
      <c r="B2835" s="79" t="s">
        <v>2377</v>
      </c>
      <c r="C2835" s="26"/>
    </row>
    <row r="2836" spans="2:7">
      <c r="B2836" s="95" t="s">
        <v>2369</v>
      </c>
      <c r="C2836" s="157" t="s">
        <v>2378</v>
      </c>
      <c r="D2836" s="95" t="s">
        <v>2370</v>
      </c>
      <c r="E2836" s="95" t="s">
        <v>1166</v>
      </c>
      <c r="F2836" s="95" t="s">
        <v>2371</v>
      </c>
      <c r="G2836" s="95" t="s">
        <v>2372</v>
      </c>
    </row>
    <row r="2837" spans="2:7">
      <c r="B2837" s="114"/>
      <c r="C2837" s="154"/>
      <c r="D2837" s="114"/>
      <c r="E2837" s="114"/>
      <c r="F2837" s="114" t="s">
        <v>3485</v>
      </c>
      <c r="G2837" s="114" t="s">
        <v>3485</v>
      </c>
    </row>
    <row r="2838" spans="2:7">
      <c r="B2838" s="95">
        <v>1</v>
      </c>
      <c r="C2838" s="153" t="s">
        <v>6286</v>
      </c>
      <c r="D2838" s="175" t="s">
        <v>2374</v>
      </c>
      <c r="E2838" s="179">
        <v>1</v>
      </c>
      <c r="F2838" s="190">
        <f>'HIRE CHARGES'!$D$555</f>
        <v>402.5</v>
      </c>
      <c r="G2838" s="190">
        <f>E2838*F2838</f>
        <v>402.5</v>
      </c>
    </row>
    <row r="2839" spans="2:7">
      <c r="B2839" s="317"/>
      <c r="C2839" s="152" t="s">
        <v>2379</v>
      </c>
      <c r="D2839" s="33" t="s">
        <v>2374</v>
      </c>
      <c r="E2839" s="190">
        <v>1</v>
      </c>
      <c r="F2839" s="190">
        <f>'HIRE CHARGES'!$E$555</f>
        <v>299.89999999999998</v>
      </c>
      <c r="G2839" s="190">
        <f>E2839*F2839</f>
        <v>299.89999999999998</v>
      </c>
    </row>
    <row r="2840" spans="2:7">
      <c r="B2840" s="105">
        <v>2</v>
      </c>
      <c r="C2840" s="152" t="s">
        <v>189</v>
      </c>
      <c r="D2840" s="33" t="s">
        <v>2374</v>
      </c>
      <c r="E2840" s="190">
        <v>0.5</v>
      </c>
      <c r="F2840" s="190">
        <f>'HIRE CHARGES'!$D$517</f>
        <v>10.199999999999999</v>
      </c>
      <c r="G2840" s="190">
        <f>E2840*F2840</f>
        <v>5.0999999999999996</v>
      </c>
    </row>
    <row r="2841" spans="2:7">
      <c r="B2841" s="365"/>
      <c r="C2841" s="116" t="s">
        <v>2379</v>
      </c>
      <c r="D2841" s="188" t="s">
        <v>2374</v>
      </c>
      <c r="E2841" s="182">
        <v>0.5</v>
      </c>
      <c r="F2841" s="182">
        <f>'HIRE CHARGES'!$E$517</f>
        <v>79.3</v>
      </c>
      <c r="G2841" s="190">
        <f>E2841*F2841</f>
        <v>39.65</v>
      </c>
    </row>
    <row r="2842" spans="2:7">
      <c r="B2842" s="176"/>
      <c r="C2842" s="172" t="s">
        <v>2380</v>
      </c>
      <c r="D2842" s="174"/>
      <c r="E2842" s="192"/>
      <c r="F2842" s="275" t="s">
        <v>1698</v>
      </c>
      <c r="G2842" s="318">
        <f>SUM(G2838:G2841)</f>
        <v>747.15</v>
      </c>
    </row>
    <row r="2843" spans="2:7">
      <c r="B2843" s="78"/>
      <c r="C2843" s="26"/>
    </row>
    <row r="2844" spans="2:7">
      <c r="B2844" s="79" t="s">
        <v>2381</v>
      </c>
      <c r="C2844" s="26"/>
    </row>
    <row r="2845" spans="2:7">
      <c r="B2845" s="95" t="s">
        <v>2369</v>
      </c>
      <c r="C2845" s="157" t="s">
        <v>2378</v>
      </c>
      <c r="D2845" s="95" t="s">
        <v>2370</v>
      </c>
      <c r="E2845" s="95" t="s">
        <v>1166</v>
      </c>
      <c r="F2845" s="95" t="s">
        <v>2371</v>
      </c>
      <c r="G2845" s="95" t="s">
        <v>2372</v>
      </c>
    </row>
    <row r="2846" spans="2:7">
      <c r="B2846" s="114"/>
      <c r="C2846" s="154"/>
      <c r="D2846" s="105"/>
      <c r="E2846" s="105"/>
      <c r="F2846" s="105" t="s">
        <v>3485</v>
      </c>
      <c r="G2846" s="114" t="s">
        <v>3485</v>
      </c>
    </row>
    <row r="2847" spans="2:7">
      <c r="B2847" s="95">
        <v>1</v>
      </c>
      <c r="C2847" s="76" t="s">
        <v>1000</v>
      </c>
      <c r="D2847" s="95" t="s">
        <v>2374</v>
      </c>
      <c r="E2847" s="179">
        <v>1</v>
      </c>
      <c r="F2847" s="179">
        <f>'HIRE CHARGES'!$F$555</f>
        <v>177.5</v>
      </c>
      <c r="G2847" s="207">
        <f>E2847*F2847</f>
        <v>177.5</v>
      </c>
    </row>
    <row r="2848" spans="2:7">
      <c r="B2848" s="105">
        <v>2</v>
      </c>
      <c r="C2848" s="76" t="s">
        <v>999</v>
      </c>
      <c r="D2848" s="105" t="s">
        <v>2374</v>
      </c>
      <c r="E2848" s="190">
        <v>0.5</v>
      </c>
      <c r="F2848" s="190">
        <f>'HIRE CHARGES'!$F$517</f>
        <v>111.1</v>
      </c>
      <c r="G2848" s="207">
        <f>E2848*F2848</f>
        <v>55.55</v>
      </c>
    </row>
    <row r="2849" spans="2:7">
      <c r="B2849" s="105">
        <v>3</v>
      </c>
      <c r="C2849" s="76" t="s">
        <v>4206</v>
      </c>
      <c r="D2849" s="105" t="s">
        <v>1172</v>
      </c>
      <c r="E2849" s="190">
        <v>1</v>
      </c>
      <c r="F2849" s="190">
        <f>'BASIC DATA'!$C$473</f>
        <v>450</v>
      </c>
      <c r="G2849" s="207">
        <f>E2849*F2849</f>
        <v>450</v>
      </c>
    </row>
    <row r="2850" spans="2:7">
      <c r="B2850" s="105">
        <v>4</v>
      </c>
      <c r="C2850" s="76" t="s">
        <v>440</v>
      </c>
      <c r="D2850" s="105" t="s">
        <v>1172</v>
      </c>
      <c r="E2850" s="190">
        <v>1</v>
      </c>
      <c r="F2850" s="190">
        <f>'BASIC DATA'!$C$474</f>
        <v>445</v>
      </c>
      <c r="G2850" s="207">
        <f>E2850*F2850</f>
        <v>445</v>
      </c>
    </row>
    <row r="2851" spans="2:7">
      <c r="B2851" s="105">
        <v>5</v>
      </c>
      <c r="C2851" s="76" t="s">
        <v>1356</v>
      </c>
      <c r="D2851" s="105" t="s">
        <v>1172</v>
      </c>
      <c r="E2851" s="190">
        <v>2</v>
      </c>
      <c r="F2851" s="190">
        <f>'BASIC DATA'!$C$541</f>
        <v>400</v>
      </c>
      <c r="G2851" s="207">
        <f>E2851*F2851</f>
        <v>800</v>
      </c>
    </row>
    <row r="2852" spans="2:7">
      <c r="B2852" s="105">
        <v>6</v>
      </c>
      <c r="C2852" s="76" t="s">
        <v>2697</v>
      </c>
      <c r="D2852" s="105"/>
      <c r="E2852" s="190"/>
      <c r="F2852" s="190"/>
      <c r="G2852" s="207"/>
    </row>
    <row r="2853" spans="2:7">
      <c r="B2853" s="317"/>
      <c r="C2853" s="76" t="s">
        <v>1107</v>
      </c>
      <c r="D2853" s="105" t="s">
        <v>1172</v>
      </c>
      <c r="E2853" s="190">
        <v>4</v>
      </c>
      <c r="F2853" s="190">
        <f>'BASIC DATA'!$C$552</f>
        <v>350</v>
      </c>
      <c r="G2853" s="207">
        <f t="shared" ref="G2853:G2858" si="78">E2853*F2853</f>
        <v>1400</v>
      </c>
    </row>
    <row r="2854" spans="2:7">
      <c r="B2854" s="317"/>
      <c r="C2854" s="76" t="s">
        <v>1108</v>
      </c>
      <c r="D2854" s="105" t="s">
        <v>1172</v>
      </c>
      <c r="E2854" s="190">
        <v>2</v>
      </c>
      <c r="F2854" s="190">
        <f>'BASIC DATA'!$C$552</f>
        <v>350</v>
      </c>
      <c r="G2854" s="207">
        <f t="shared" si="78"/>
        <v>700</v>
      </c>
    </row>
    <row r="2855" spans="2:7">
      <c r="B2855" s="317"/>
      <c r="C2855" s="76" t="s">
        <v>442</v>
      </c>
      <c r="D2855" s="105" t="s">
        <v>1172</v>
      </c>
      <c r="E2855" s="190">
        <v>1</v>
      </c>
      <c r="F2855" s="190">
        <f>'BASIC DATA'!$C$552</f>
        <v>350</v>
      </c>
      <c r="G2855" s="207">
        <f t="shared" si="78"/>
        <v>350</v>
      </c>
    </row>
    <row r="2856" spans="2:7">
      <c r="B2856" s="317"/>
      <c r="C2856" s="76" t="s">
        <v>1109</v>
      </c>
      <c r="D2856" s="105" t="s">
        <v>1172</v>
      </c>
      <c r="E2856" s="190">
        <v>3</v>
      </c>
      <c r="F2856" s="190">
        <f>'BASIC DATA'!$C$552</f>
        <v>350</v>
      </c>
      <c r="G2856" s="207">
        <f t="shared" si="78"/>
        <v>1050</v>
      </c>
    </row>
    <row r="2857" spans="2:7">
      <c r="B2857" s="317"/>
      <c r="C2857" s="76" t="s">
        <v>1110</v>
      </c>
      <c r="D2857" s="105" t="s">
        <v>1172</v>
      </c>
      <c r="E2857" s="190">
        <v>1</v>
      </c>
      <c r="F2857" s="190">
        <f>'BASIC DATA'!$C$552</f>
        <v>350</v>
      </c>
      <c r="G2857" s="207">
        <f t="shared" si="78"/>
        <v>350</v>
      </c>
    </row>
    <row r="2858" spans="2:7">
      <c r="B2858" s="317"/>
      <c r="C2858" s="76" t="s">
        <v>6254</v>
      </c>
      <c r="D2858" s="105" t="s">
        <v>1172</v>
      </c>
      <c r="E2858" s="190">
        <v>4</v>
      </c>
      <c r="F2858" s="190">
        <f>'BASIC DATA'!$C$552</f>
        <v>350</v>
      </c>
      <c r="G2858" s="207">
        <f t="shared" si="78"/>
        <v>1400</v>
      </c>
    </row>
    <row r="2859" spans="2:7">
      <c r="B2859" s="92"/>
      <c r="C2859" s="193" t="s">
        <v>1174</v>
      </c>
      <c r="D2859" s="159"/>
      <c r="E2859" s="238"/>
      <c r="F2859" s="236" t="s">
        <v>1698</v>
      </c>
      <c r="G2859" s="318">
        <f>SUM(G2847:G2858)</f>
        <v>7178.05</v>
      </c>
    </row>
    <row r="2860" spans="2:7">
      <c r="B2860" s="60" t="s">
        <v>5948</v>
      </c>
      <c r="C2860" s="31"/>
      <c r="D2860" s="31"/>
      <c r="E2860" s="85">
        <f>ROUND(G2859/F2825,1)</f>
        <v>717.8</v>
      </c>
    </row>
    <row r="2861" spans="2:7">
      <c r="B2861" s="60" t="s">
        <v>3163</v>
      </c>
      <c r="C2861" s="31"/>
      <c r="D2861" s="922">
        <f>'BASIC DATA'!$C$577</f>
        <v>0.13614999999999999</v>
      </c>
      <c r="E2861" s="85">
        <f>ROUND(E2860*D2861,1)</f>
        <v>97.7</v>
      </c>
    </row>
    <row r="2862" spans="2:7">
      <c r="B2862" s="60" t="s">
        <v>5949</v>
      </c>
      <c r="C2862" s="31"/>
      <c r="D2862" s="31"/>
      <c r="E2862" s="199">
        <f>ROUND(E2861+E2860,1)</f>
        <v>815.5</v>
      </c>
      <c r="F2862" s="56"/>
    </row>
    <row r="2863" spans="2:7">
      <c r="B2863" s="78"/>
      <c r="C2863" s="26"/>
    </row>
    <row r="2864" spans="2:7">
      <c r="B2864" s="170" t="s">
        <v>1175</v>
      </c>
      <c r="C2864" s="26"/>
    </row>
    <row r="2865" spans="1:7">
      <c r="B2865" s="26" t="s">
        <v>1176</v>
      </c>
      <c r="C2865" s="26"/>
      <c r="F2865" s="171" t="s">
        <v>1698</v>
      </c>
      <c r="G2865" s="68">
        <f>G2833</f>
        <v>11538.5</v>
      </c>
    </row>
    <row r="2866" spans="1:7">
      <c r="B2866" s="26" t="s">
        <v>1186</v>
      </c>
      <c r="C2866" s="26"/>
      <c r="F2866" s="171" t="s">
        <v>1698</v>
      </c>
      <c r="G2866" s="68">
        <f>G2842</f>
        <v>747.15</v>
      </c>
    </row>
    <row r="2867" spans="1:7">
      <c r="B2867" s="26" t="s">
        <v>2660</v>
      </c>
      <c r="C2867" s="26"/>
      <c r="F2867" s="171" t="s">
        <v>1698</v>
      </c>
      <c r="G2867" s="75">
        <f>G2859</f>
        <v>7178.05</v>
      </c>
    </row>
    <row r="2868" spans="1:7">
      <c r="B2868" s="78"/>
      <c r="C2868" s="26"/>
      <c r="E2868" s="171"/>
      <c r="F2868" s="171" t="s">
        <v>302</v>
      </c>
      <c r="G2868" s="205">
        <f>SUM(G2865:G2867)</f>
        <v>19463.7</v>
      </c>
    </row>
    <row r="2869" spans="1:7">
      <c r="B2869" s="1206" t="s">
        <v>1379</v>
      </c>
      <c r="C2869" s="1206"/>
      <c r="E2869" s="922">
        <f>'BASIC DATA'!$C$577</f>
        <v>0.13614999999999999</v>
      </c>
      <c r="F2869" s="26" t="s">
        <v>1698</v>
      </c>
      <c r="G2869" s="26">
        <f>ROUND(G2868*E2869,2)</f>
        <v>2649.98</v>
      </c>
    </row>
    <row r="2870" spans="1:7">
      <c r="B2870" s="26" t="s">
        <v>1191</v>
      </c>
      <c r="C2870" s="26"/>
      <c r="D2870" s="68">
        <f>F2825</f>
        <v>10</v>
      </c>
      <c r="E2870" s="68" t="str">
        <f>G2825</f>
        <v>cum</v>
      </c>
      <c r="F2870" s="26" t="s">
        <v>1698</v>
      </c>
      <c r="G2870" s="170">
        <f>G2869+G2868</f>
        <v>22113.68</v>
      </c>
    </row>
    <row r="2871" spans="1:7">
      <c r="B2871" s="170" t="s">
        <v>1584</v>
      </c>
      <c r="C2871" s="211" t="str">
        <f>E2870</f>
        <v>cum</v>
      </c>
      <c r="D2871" s="26" t="s">
        <v>5891</v>
      </c>
      <c r="F2871" s="26" t="s">
        <v>4108</v>
      </c>
      <c r="G2871" s="211">
        <f>ROUND(G2870/D2870,1)</f>
        <v>2211.4</v>
      </c>
    </row>
    <row r="2872" spans="1:7">
      <c r="B2872" s="78"/>
      <c r="C2872" s="26"/>
    </row>
    <row r="2873" spans="1:7">
      <c r="B2873" s="78"/>
      <c r="C2873" s="26"/>
    </row>
    <row r="2874" spans="1:7" ht="18.75">
      <c r="A2874" s="865" t="s">
        <v>7572</v>
      </c>
      <c r="B2874" s="26" t="s">
        <v>8971</v>
      </c>
      <c r="C2874" s="26"/>
    </row>
    <row r="2875" spans="1:7" ht="18.75">
      <c r="A2875" s="865"/>
      <c r="B2875" s="26" t="s">
        <v>8974</v>
      </c>
      <c r="C2875" s="26"/>
    </row>
    <row r="2876" spans="1:7">
      <c r="A2876" s="865"/>
      <c r="B2876" s="26" t="s">
        <v>4368</v>
      </c>
      <c r="C2876" s="26"/>
    </row>
    <row r="2877" spans="1:7" ht="18.75">
      <c r="A2877" s="865"/>
      <c r="B2877" s="26" t="s">
        <v>8973</v>
      </c>
      <c r="C2877" s="26"/>
    </row>
    <row r="2878" spans="1:7">
      <c r="A2878" s="865"/>
      <c r="B2878" s="170" t="s">
        <v>3581</v>
      </c>
      <c r="C2878" s="26"/>
    </row>
    <row r="2879" spans="1:7">
      <c r="A2879" s="855"/>
      <c r="B2879" s="248" t="s">
        <v>3580</v>
      </c>
      <c r="C2879" s="61"/>
      <c r="D2879" s="61"/>
      <c r="E2879" s="61"/>
      <c r="F2879" s="61"/>
      <c r="G2879" s="61"/>
    </row>
    <row r="2880" spans="1:7">
      <c r="A2880" s="865"/>
      <c r="B2880" s="26"/>
      <c r="C2880" s="26"/>
    </row>
    <row r="2881" spans="1:7" hidden="1">
      <c r="A2881" s="865" t="s">
        <v>3984</v>
      </c>
      <c r="B2881" s="26" t="s">
        <v>3405</v>
      </c>
      <c r="C2881" s="26"/>
    </row>
    <row r="2882" spans="1:7" hidden="1">
      <c r="A2882" s="865"/>
      <c r="B2882" s="26" t="s">
        <v>305</v>
      </c>
      <c r="C2882" s="26"/>
    </row>
    <row r="2883" spans="1:7" hidden="1">
      <c r="A2883" s="865"/>
      <c r="B2883" s="26" t="s">
        <v>3406</v>
      </c>
      <c r="C2883" s="26"/>
      <c r="E2883" s="78" t="s">
        <v>1697</v>
      </c>
      <c r="F2883" s="26" t="s">
        <v>3407</v>
      </c>
    </row>
    <row r="2884" spans="1:7" hidden="1">
      <c r="A2884" s="865"/>
      <c r="B2884" s="26" t="s">
        <v>3408</v>
      </c>
      <c r="C2884" s="26"/>
      <c r="E2884" s="78" t="s">
        <v>1697</v>
      </c>
      <c r="F2884" s="68">
        <v>5</v>
      </c>
      <c r="G2884" s="26" t="s">
        <v>3760</v>
      </c>
    </row>
    <row r="2885" spans="1:7">
      <c r="B2885" s="78"/>
      <c r="C2885" s="26"/>
    </row>
    <row r="2886" spans="1:7">
      <c r="A2886" s="865" t="s">
        <v>3984</v>
      </c>
      <c r="B2886" s="78"/>
      <c r="C2886" s="203" t="s">
        <v>2367</v>
      </c>
      <c r="E2886" s="171" t="s">
        <v>297</v>
      </c>
      <c r="F2886" s="246">
        <v>10</v>
      </c>
      <c r="G2886" s="26" t="s">
        <v>3477</v>
      </c>
    </row>
    <row r="2887" spans="1:7">
      <c r="B2887" s="79" t="s">
        <v>2368</v>
      </c>
      <c r="C2887" s="26"/>
    </row>
    <row r="2888" spans="1:7">
      <c r="B2888" s="95" t="s">
        <v>2369</v>
      </c>
      <c r="C2888" s="157" t="s">
        <v>4443</v>
      </c>
      <c r="D2888" s="95" t="s">
        <v>2370</v>
      </c>
      <c r="E2888" s="95" t="s">
        <v>1166</v>
      </c>
      <c r="F2888" s="95" t="s">
        <v>2371</v>
      </c>
      <c r="G2888" s="95" t="s">
        <v>2372</v>
      </c>
    </row>
    <row r="2889" spans="1:7">
      <c r="B2889" s="114"/>
      <c r="C2889" s="154"/>
      <c r="D2889" s="114"/>
      <c r="E2889" s="114"/>
      <c r="F2889" s="114" t="s">
        <v>3485</v>
      </c>
      <c r="G2889" s="114" t="s">
        <v>3485</v>
      </c>
    </row>
    <row r="2890" spans="1:7">
      <c r="B2890" s="95">
        <v>1</v>
      </c>
      <c r="C2890" s="135" t="s">
        <v>5853</v>
      </c>
      <c r="D2890" s="95" t="s">
        <v>3478</v>
      </c>
      <c r="E2890" s="190">
        <v>1430</v>
      </c>
      <c r="F2890" s="214">
        <f>'BASIC DATA'!$D$32/1000</f>
        <v>5.35</v>
      </c>
      <c r="G2890" s="190">
        <f>E2890*F2890</f>
        <v>7650.4999999999991</v>
      </c>
    </row>
    <row r="2891" spans="1:7">
      <c r="B2891" s="105">
        <v>2</v>
      </c>
      <c r="C2891" s="135" t="s">
        <v>5012</v>
      </c>
      <c r="D2891" s="105" t="s">
        <v>3477</v>
      </c>
      <c r="E2891" s="190">
        <v>8.5</v>
      </c>
      <c r="F2891" s="214">
        <f>'BASIC DATA'!$D$108</f>
        <v>318</v>
      </c>
      <c r="G2891" s="190">
        <f>E2891*F2891</f>
        <v>2703</v>
      </c>
    </row>
    <row r="2892" spans="1:7">
      <c r="B2892" s="105">
        <v>3</v>
      </c>
      <c r="C2892" s="135" t="s">
        <v>1358</v>
      </c>
      <c r="D2892" s="105" t="s">
        <v>3477</v>
      </c>
      <c r="E2892" s="190">
        <v>1.5</v>
      </c>
      <c r="F2892" s="214">
        <f>'BASIC DATA'!$D$96</f>
        <v>350</v>
      </c>
      <c r="G2892" s="190">
        <f>E2892*F2892</f>
        <v>525</v>
      </c>
    </row>
    <row r="2893" spans="1:7">
      <c r="A2893" s="853"/>
      <c r="B2893" s="237">
        <v>4</v>
      </c>
      <c r="C2893" s="326" t="s">
        <v>6827</v>
      </c>
      <c r="D2893" s="240" t="s">
        <v>3477</v>
      </c>
      <c r="E2893" s="255">
        <v>4</v>
      </c>
      <c r="F2893" s="266">
        <f>'BASIC DATA'!$D$57</f>
        <v>165</v>
      </c>
      <c r="G2893" s="255">
        <f>E2893*F2893</f>
        <v>660</v>
      </c>
    </row>
    <row r="2894" spans="1:7">
      <c r="B2894" s="93"/>
      <c r="C2894" s="187"/>
      <c r="D2894" s="187"/>
      <c r="E2894" s="331" t="s">
        <v>2375</v>
      </c>
      <c r="F2894" s="344" t="s">
        <v>1698</v>
      </c>
      <c r="G2894" s="179">
        <f>SUM(G2890:G2893)</f>
        <v>11538.5</v>
      </c>
    </row>
    <row r="2895" spans="1:7">
      <c r="A2895" s="853"/>
      <c r="B2895" s="444"/>
      <c r="C2895" s="60" t="s">
        <v>3409</v>
      </c>
      <c r="D2895" s="60"/>
      <c r="E2895" s="685">
        <v>2.5000000000000001E-2</v>
      </c>
      <c r="F2895" s="523" t="s">
        <v>1698</v>
      </c>
      <c r="G2895" s="255">
        <f>E2895*$G$2894</f>
        <v>288.46250000000003</v>
      </c>
    </row>
    <row r="2896" spans="1:7">
      <c r="B2896" s="92"/>
      <c r="C2896" s="193" t="s">
        <v>2376</v>
      </c>
      <c r="D2896" s="159"/>
      <c r="E2896" s="238"/>
      <c r="F2896" s="236" t="s">
        <v>1698</v>
      </c>
      <c r="G2896" s="318">
        <f>SUM(G2894:G2895)</f>
        <v>11826.9625</v>
      </c>
    </row>
    <row r="2897" spans="2:7">
      <c r="B2897" s="78"/>
      <c r="C2897" s="26"/>
      <c r="G2897" s="68"/>
    </row>
    <row r="2898" spans="2:7">
      <c r="B2898" s="79" t="s">
        <v>2377</v>
      </c>
      <c r="C2898" s="26"/>
    </row>
    <row r="2899" spans="2:7">
      <c r="B2899" s="95" t="s">
        <v>2369</v>
      </c>
      <c r="C2899" s="157" t="s">
        <v>2378</v>
      </c>
      <c r="D2899" s="95" t="s">
        <v>2370</v>
      </c>
      <c r="E2899" s="95" t="s">
        <v>1166</v>
      </c>
      <c r="F2899" s="95" t="s">
        <v>2371</v>
      </c>
      <c r="G2899" s="95" t="s">
        <v>2372</v>
      </c>
    </row>
    <row r="2900" spans="2:7">
      <c r="B2900" s="114"/>
      <c r="C2900" s="154"/>
      <c r="D2900" s="114"/>
      <c r="E2900" s="114"/>
      <c r="F2900" s="114" t="s">
        <v>3485</v>
      </c>
      <c r="G2900" s="114" t="s">
        <v>3485</v>
      </c>
    </row>
    <row r="2901" spans="2:7">
      <c r="B2901" s="95">
        <v>1</v>
      </c>
      <c r="C2901" s="153" t="s">
        <v>6286</v>
      </c>
      <c r="D2901" s="175" t="s">
        <v>2374</v>
      </c>
      <c r="E2901" s="179">
        <v>1</v>
      </c>
      <c r="F2901" s="190">
        <f>'HIRE CHARGES'!$D$555</f>
        <v>402.5</v>
      </c>
      <c r="G2901" s="190">
        <f>E2901*F2901</f>
        <v>402.5</v>
      </c>
    </row>
    <row r="2902" spans="2:7">
      <c r="B2902" s="317"/>
      <c r="C2902" s="152" t="s">
        <v>2379</v>
      </c>
      <c r="D2902" s="33" t="s">
        <v>2374</v>
      </c>
      <c r="E2902" s="190">
        <v>1</v>
      </c>
      <c r="F2902" s="190">
        <f>'HIRE CHARGES'!$E$555</f>
        <v>299.89999999999998</v>
      </c>
      <c r="G2902" s="190">
        <f>E2902*F2902</f>
        <v>299.89999999999998</v>
      </c>
    </row>
    <row r="2903" spans="2:7">
      <c r="B2903" s="105">
        <v>2</v>
      </c>
      <c r="C2903" s="152" t="s">
        <v>189</v>
      </c>
      <c r="D2903" s="33" t="s">
        <v>2374</v>
      </c>
      <c r="E2903" s="190">
        <v>0.5</v>
      </c>
      <c r="F2903" s="190">
        <f>'HIRE CHARGES'!$D$517</f>
        <v>10.199999999999999</v>
      </c>
      <c r="G2903" s="190">
        <f>E2903*F2903</f>
        <v>5.0999999999999996</v>
      </c>
    </row>
    <row r="2904" spans="2:7">
      <c r="B2904" s="317"/>
      <c r="C2904" s="152" t="s">
        <v>2379</v>
      </c>
      <c r="D2904" s="33" t="s">
        <v>2374</v>
      </c>
      <c r="E2904" s="190">
        <v>0.5</v>
      </c>
      <c r="F2904" s="190">
        <f>'HIRE CHARGES'!$E$517</f>
        <v>79.3</v>
      </c>
      <c r="G2904" s="190">
        <f>E2904*F2904</f>
        <v>39.65</v>
      </c>
    </row>
    <row r="2905" spans="2:7">
      <c r="B2905" s="176"/>
      <c r="C2905" s="172" t="s">
        <v>2380</v>
      </c>
      <c r="D2905" s="174"/>
      <c r="E2905" s="192"/>
      <c r="F2905" s="236" t="s">
        <v>1698</v>
      </c>
      <c r="G2905" s="318">
        <f>SUM(G2901:G2904)</f>
        <v>747.15</v>
      </c>
    </row>
    <row r="2906" spans="2:7">
      <c r="B2906" s="78"/>
      <c r="C2906" s="26"/>
    </row>
    <row r="2907" spans="2:7">
      <c r="B2907" s="79" t="s">
        <v>2381</v>
      </c>
      <c r="C2907" s="26"/>
    </row>
    <row r="2908" spans="2:7">
      <c r="B2908" s="95" t="s">
        <v>2369</v>
      </c>
      <c r="C2908" s="157" t="s">
        <v>2378</v>
      </c>
      <c r="D2908" s="95" t="s">
        <v>2370</v>
      </c>
      <c r="E2908" s="95" t="s">
        <v>1166</v>
      </c>
      <c r="F2908" s="95" t="s">
        <v>2371</v>
      </c>
      <c r="G2908" s="95" t="s">
        <v>2372</v>
      </c>
    </row>
    <row r="2909" spans="2:7">
      <c r="B2909" s="114"/>
      <c r="C2909" s="154"/>
      <c r="D2909" s="105"/>
      <c r="E2909" s="105"/>
      <c r="F2909" s="105" t="s">
        <v>3485</v>
      </c>
      <c r="G2909" s="114" t="s">
        <v>3485</v>
      </c>
    </row>
    <row r="2910" spans="2:7">
      <c r="B2910" s="95">
        <v>1</v>
      </c>
      <c r="C2910" s="76" t="s">
        <v>1000</v>
      </c>
      <c r="D2910" s="95" t="s">
        <v>2374</v>
      </c>
      <c r="E2910" s="179">
        <v>1</v>
      </c>
      <c r="F2910" s="179">
        <f>'HIRE CHARGES'!$F$555</f>
        <v>177.5</v>
      </c>
      <c r="G2910" s="207">
        <f>E2910*F2910</f>
        <v>177.5</v>
      </c>
    </row>
    <row r="2911" spans="2:7">
      <c r="B2911" s="105">
        <v>2</v>
      </c>
      <c r="C2911" s="76" t="s">
        <v>999</v>
      </c>
      <c r="D2911" s="105" t="s">
        <v>2374</v>
      </c>
      <c r="E2911" s="190">
        <v>0.5</v>
      </c>
      <c r="F2911" s="190">
        <f>'HIRE CHARGES'!$F$517</f>
        <v>111.1</v>
      </c>
      <c r="G2911" s="207">
        <f>E2911*F2911</f>
        <v>55.55</v>
      </c>
    </row>
    <row r="2912" spans="2:7">
      <c r="B2912" s="105">
        <v>3</v>
      </c>
      <c r="C2912" s="76" t="s">
        <v>4206</v>
      </c>
      <c r="D2912" s="105" t="s">
        <v>1172</v>
      </c>
      <c r="E2912" s="190">
        <v>1</v>
      </c>
      <c r="F2912" s="190">
        <f>'BASIC DATA'!$C$473</f>
        <v>450</v>
      </c>
      <c r="G2912" s="207">
        <f>E2912*F2912</f>
        <v>450</v>
      </c>
    </row>
    <row r="2913" spans="1:7">
      <c r="B2913" s="105">
        <v>4</v>
      </c>
      <c r="C2913" s="76" t="s">
        <v>440</v>
      </c>
      <c r="D2913" s="105" t="s">
        <v>1172</v>
      </c>
      <c r="E2913" s="190">
        <v>1</v>
      </c>
      <c r="F2913" s="190">
        <f>'BASIC DATA'!$C$474</f>
        <v>445</v>
      </c>
      <c r="G2913" s="207">
        <f>E2913*F2913</f>
        <v>445</v>
      </c>
    </row>
    <row r="2914" spans="1:7">
      <c r="B2914" s="105">
        <v>5</v>
      </c>
      <c r="C2914" s="76" t="s">
        <v>1356</v>
      </c>
      <c r="D2914" s="105" t="s">
        <v>1172</v>
      </c>
      <c r="E2914" s="190">
        <v>2</v>
      </c>
      <c r="F2914" s="190">
        <f>'BASIC DATA'!$C$541</f>
        <v>400</v>
      </c>
      <c r="G2914" s="207">
        <f>E2914*F2914</f>
        <v>800</v>
      </c>
    </row>
    <row r="2915" spans="1:7">
      <c r="B2915" s="105">
        <v>6</v>
      </c>
      <c r="C2915" s="76" t="s">
        <v>2697</v>
      </c>
      <c r="D2915" s="105"/>
      <c r="E2915" s="190"/>
      <c r="F2915" s="190"/>
      <c r="G2915" s="207"/>
    </row>
    <row r="2916" spans="1:7">
      <c r="B2916" s="317"/>
      <c r="C2916" s="76" t="s">
        <v>1107</v>
      </c>
      <c r="D2916" s="105" t="s">
        <v>1172</v>
      </c>
      <c r="E2916" s="190">
        <v>4</v>
      </c>
      <c r="F2916" s="190">
        <f>'BASIC DATA'!$C$552</f>
        <v>350</v>
      </c>
      <c r="G2916" s="207">
        <f t="shared" ref="G2916:G2921" si="79">E2916*F2916</f>
        <v>1400</v>
      </c>
    </row>
    <row r="2917" spans="1:7">
      <c r="B2917" s="317"/>
      <c r="C2917" s="76" t="s">
        <v>1108</v>
      </c>
      <c r="D2917" s="105" t="s">
        <v>1172</v>
      </c>
      <c r="E2917" s="190">
        <v>2</v>
      </c>
      <c r="F2917" s="190">
        <f>'BASIC DATA'!$C$552</f>
        <v>350</v>
      </c>
      <c r="G2917" s="207">
        <f t="shared" si="79"/>
        <v>700</v>
      </c>
    </row>
    <row r="2918" spans="1:7">
      <c r="B2918" s="317"/>
      <c r="C2918" s="76" t="s">
        <v>442</v>
      </c>
      <c r="D2918" s="105" t="s">
        <v>1172</v>
      </c>
      <c r="E2918" s="190">
        <v>1</v>
      </c>
      <c r="F2918" s="190">
        <f>'BASIC DATA'!$C$552</f>
        <v>350</v>
      </c>
      <c r="G2918" s="207">
        <f t="shared" si="79"/>
        <v>350</v>
      </c>
    </row>
    <row r="2919" spans="1:7">
      <c r="B2919" s="317"/>
      <c r="C2919" s="76" t="s">
        <v>1109</v>
      </c>
      <c r="D2919" s="105" t="s">
        <v>1172</v>
      </c>
      <c r="E2919" s="190">
        <v>3</v>
      </c>
      <c r="F2919" s="190">
        <f>'BASIC DATA'!$C$552</f>
        <v>350</v>
      </c>
      <c r="G2919" s="207">
        <f t="shared" si="79"/>
        <v>1050</v>
      </c>
    </row>
    <row r="2920" spans="1:7">
      <c r="B2920" s="317"/>
      <c r="C2920" s="76" t="s">
        <v>1110</v>
      </c>
      <c r="D2920" s="105" t="s">
        <v>1172</v>
      </c>
      <c r="E2920" s="190">
        <v>1</v>
      </c>
      <c r="F2920" s="190">
        <f>'BASIC DATA'!$C$552</f>
        <v>350</v>
      </c>
      <c r="G2920" s="207">
        <f t="shared" si="79"/>
        <v>350</v>
      </c>
    </row>
    <row r="2921" spans="1:7">
      <c r="B2921" s="317"/>
      <c r="C2921" s="76" t="s">
        <v>6254</v>
      </c>
      <c r="D2921" s="105" t="s">
        <v>1172</v>
      </c>
      <c r="E2921" s="190">
        <v>4</v>
      </c>
      <c r="F2921" s="190">
        <f>'BASIC DATA'!$C$552</f>
        <v>350</v>
      </c>
      <c r="G2921" s="207">
        <f t="shared" si="79"/>
        <v>1400</v>
      </c>
    </row>
    <row r="2922" spans="1:7">
      <c r="B2922" s="157"/>
      <c r="C2922" s="187"/>
      <c r="D2922" s="187"/>
      <c r="E2922" s="334" t="s">
        <v>2375</v>
      </c>
      <c r="F2922" s="334" t="s">
        <v>1698</v>
      </c>
      <c r="G2922" s="179">
        <f>SUM(G2910:G2921)</f>
        <v>7178.05</v>
      </c>
    </row>
    <row r="2923" spans="1:7">
      <c r="A2923" s="853"/>
      <c r="B2923" s="263"/>
      <c r="C2923" s="241" t="s">
        <v>3410</v>
      </c>
      <c r="D2923" s="241"/>
      <c r="E2923" s="335">
        <v>2.5000000000000001E-2</v>
      </c>
      <c r="F2923" s="336" t="s">
        <v>1698</v>
      </c>
      <c r="G2923" s="255">
        <f>E2923*$G$2922</f>
        <v>179.45125000000002</v>
      </c>
    </row>
    <row r="2924" spans="1:7">
      <c r="B2924" s="176"/>
      <c r="C2924" s="172" t="s">
        <v>1174</v>
      </c>
      <c r="D2924" s="174"/>
      <c r="E2924" s="192"/>
      <c r="F2924" s="236" t="s">
        <v>1698</v>
      </c>
      <c r="G2924" s="318">
        <f>SUM(G2922:G2923)</f>
        <v>7357.5012500000003</v>
      </c>
    </row>
    <row r="2925" spans="1:7">
      <c r="B2925" s="60" t="s">
        <v>5948</v>
      </c>
      <c r="C2925" s="31"/>
      <c r="D2925" s="31"/>
      <c r="E2925" s="85">
        <f>ROUND(G2924/F2886,1)</f>
        <v>735.8</v>
      </c>
    </row>
    <row r="2926" spans="1:7">
      <c r="B2926" s="60" t="s">
        <v>3163</v>
      </c>
      <c r="C2926" s="31"/>
      <c r="D2926" s="922">
        <f>'BASIC DATA'!$C$577</f>
        <v>0.13614999999999999</v>
      </c>
      <c r="E2926" s="85">
        <f>ROUND(E2925*D2926,1)</f>
        <v>100.2</v>
      </c>
    </row>
    <row r="2927" spans="1:7">
      <c r="B2927" s="60" t="s">
        <v>5949</v>
      </c>
      <c r="C2927" s="31"/>
      <c r="D2927" s="31"/>
      <c r="E2927" s="199">
        <f>ROUND(E2926+E2925,1)</f>
        <v>836</v>
      </c>
      <c r="F2927" s="56"/>
    </row>
    <row r="2928" spans="1:7">
      <c r="B2928" s="78"/>
      <c r="C2928" s="26"/>
    </row>
    <row r="2929" spans="1:7">
      <c r="B2929" s="170" t="s">
        <v>1175</v>
      </c>
      <c r="C2929" s="26"/>
    </row>
    <row r="2930" spans="1:7">
      <c r="B2930" s="26" t="s">
        <v>1176</v>
      </c>
      <c r="C2930" s="26"/>
      <c r="F2930" s="171" t="s">
        <v>1698</v>
      </c>
      <c r="G2930" s="68">
        <f>G2896</f>
        <v>11826.9625</v>
      </c>
    </row>
    <row r="2931" spans="1:7">
      <c r="B2931" s="26" t="s">
        <v>1186</v>
      </c>
      <c r="C2931" s="26"/>
      <c r="F2931" s="171" t="s">
        <v>1698</v>
      </c>
      <c r="G2931" s="68">
        <f>G2905</f>
        <v>747.15</v>
      </c>
    </row>
    <row r="2932" spans="1:7">
      <c r="B2932" s="26" t="s">
        <v>2660</v>
      </c>
      <c r="C2932" s="26"/>
      <c r="F2932" s="171" t="s">
        <v>1698</v>
      </c>
      <c r="G2932" s="75">
        <f>G2924</f>
        <v>7357.5012500000003</v>
      </c>
    </row>
    <row r="2933" spans="1:7">
      <c r="B2933" s="78"/>
      <c r="C2933" s="26"/>
      <c r="E2933" s="171"/>
      <c r="F2933" s="171" t="s">
        <v>302</v>
      </c>
      <c r="G2933" s="205">
        <f>SUM(G2930:G2932)</f>
        <v>19931.61375</v>
      </c>
    </row>
    <row r="2934" spans="1:7">
      <c r="B2934" s="1206" t="s">
        <v>1379</v>
      </c>
      <c r="C2934" s="1206"/>
      <c r="E2934" s="922">
        <f>'BASIC DATA'!$C$577</f>
        <v>0.13614999999999999</v>
      </c>
      <c r="F2934" s="26" t="s">
        <v>1698</v>
      </c>
      <c r="G2934" s="26">
        <f>ROUND(G2933*E2934,2)</f>
        <v>2713.69</v>
      </c>
    </row>
    <row r="2935" spans="1:7">
      <c r="B2935" s="26" t="s">
        <v>1191</v>
      </c>
      <c r="C2935" s="26"/>
      <c r="D2935" s="68">
        <f>F2886</f>
        <v>10</v>
      </c>
      <c r="E2935" s="68" t="str">
        <f>G2886</f>
        <v>cum</v>
      </c>
      <c r="F2935" s="26" t="s">
        <v>1698</v>
      </c>
      <c r="G2935" s="211">
        <f>G2934+G2933</f>
        <v>22645.303749999999</v>
      </c>
    </row>
    <row r="2936" spans="1:7">
      <c r="B2936" s="170" t="s">
        <v>1584</v>
      </c>
      <c r="C2936" s="211" t="str">
        <f>E2935</f>
        <v>cum</v>
      </c>
      <c r="D2936" s="26" t="s">
        <v>5891</v>
      </c>
      <c r="F2936" s="26" t="s">
        <v>4108</v>
      </c>
      <c r="G2936" s="211">
        <f>ROUND(G2935/D2935,1)</f>
        <v>2264.5</v>
      </c>
    </row>
    <row r="2937" spans="1:7">
      <c r="B2937" s="78"/>
      <c r="C2937" s="26"/>
    </row>
    <row r="2938" spans="1:7">
      <c r="B2938" s="78"/>
      <c r="C2938" s="26"/>
    </row>
    <row r="2939" spans="1:7" ht="18.75">
      <c r="A2939" s="865" t="s">
        <v>7573</v>
      </c>
      <c r="B2939" s="26" t="s">
        <v>8975</v>
      </c>
      <c r="C2939" s="26"/>
    </row>
    <row r="2940" spans="1:7">
      <c r="A2940" s="865"/>
      <c r="B2940" s="26" t="s">
        <v>3069</v>
      </c>
      <c r="C2940" s="26"/>
    </row>
    <row r="2941" spans="1:7">
      <c r="A2941" s="865"/>
      <c r="B2941" s="26" t="s">
        <v>1565</v>
      </c>
      <c r="C2941" s="26"/>
    </row>
    <row r="2942" spans="1:7" ht="18.75">
      <c r="A2942" s="865"/>
      <c r="B2942" s="170" t="s">
        <v>8976</v>
      </c>
      <c r="C2942" s="26"/>
    </row>
    <row r="2943" spans="1:7">
      <c r="A2943" s="865"/>
      <c r="B2943" s="170" t="s">
        <v>3582</v>
      </c>
      <c r="C2943" s="26"/>
    </row>
    <row r="2944" spans="1:7">
      <c r="A2944" s="855"/>
      <c r="B2944" s="248" t="s">
        <v>6941</v>
      </c>
      <c r="C2944" s="61"/>
      <c r="D2944" s="61"/>
      <c r="E2944" s="61"/>
      <c r="F2944" s="61"/>
      <c r="G2944" s="61"/>
    </row>
    <row r="2945" spans="1:7">
      <c r="A2945" s="865"/>
      <c r="B2945" s="170" t="s">
        <v>7586</v>
      </c>
      <c r="C2945" s="26"/>
    </row>
    <row r="2946" spans="1:7" hidden="1">
      <c r="A2946" s="865" t="s">
        <v>3984</v>
      </c>
      <c r="B2946" s="26" t="s">
        <v>1566</v>
      </c>
      <c r="C2946" s="26"/>
      <c r="E2946" s="78" t="s">
        <v>1697</v>
      </c>
      <c r="F2946" s="26">
        <v>60</v>
      </c>
      <c r="G2946" s="26" t="s">
        <v>3135</v>
      </c>
    </row>
    <row r="2947" spans="1:7" hidden="1">
      <c r="A2947" s="865"/>
      <c r="B2947" s="26" t="s">
        <v>3136</v>
      </c>
      <c r="C2947" s="26"/>
      <c r="F2947" s="26">
        <v>0.15</v>
      </c>
      <c r="G2947" s="26" t="s">
        <v>3477</v>
      </c>
    </row>
    <row r="2948" spans="1:7" hidden="1">
      <c r="A2948" s="865"/>
      <c r="B2948" s="26" t="s">
        <v>3137</v>
      </c>
      <c r="C2948" s="26"/>
      <c r="F2948" s="26">
        <v>0.45</v>
      </c>
      <c r="G2948" s="26" t="s">
        <v>3477</v>
      </c>
    </row>
    <row r="2949" spans="1:7" hidden="1">
      <c r="A2949" s="865"/>
      <c r="B2949" s="26" t="s">
        <v>306</v>
      </c>
      <c r="C2949" s="26"/>
    </row>
    <row r="2950" spans="1:7" hidden="1">
      <c r="A2950" s="865"/>
      <c r="B2950" s="26" t="s">
        <v>3456</v>
      </c>
      <c r="C2950" s="26"/>
      <c r="E2950" s="78" t="s">
        <v>1697</v>
      </c>
      <c r="F2950" s="26" t="s">
        <v>3407</v>
      </c>
    </row>
    <row r="2951" spans="1:7" hidden="1">
      <c r="A2951" s="865"/>
      <c r="B2951" s="26" t="s">
        <v>3457</v>
      </c>
      <c r="C2951" s="26"/>
      <c r="E2951" s="78" t="s">
        <v>1697</v>
      </c>
      <c r="F2951" s="68">
        <v>5</v>
      </c>
      <c r="G2951" s="26" t="s">
        <v>3760</v>
      </c>
    </row>
    <row r="2952" spans="1:7">
      <c r="B2952" s="78"/>
      <c r="C2952" s="26"/>
    </row>
    <row r="2953" spans="1:7">
      <c r="A2953" s="865" t="s">
        <v>3984</v>
      </c>
      <c r="B2953" s="78"/>
      <c r="C2953" s="203" t="s">
        <v>2367</v>
      </c>
      <c r="E2953" s="171" t="s">
        <v>297</v>
      </c>
      <c r="F2953" s="246">
        <v>10</v>
      </c>
      <c r="G2953" s="26" t="s">
        <v>3477</v>
      </c>
    </row>
    <row r="2954" spans="1:7">
      <c r="B2954" s="79" t="s">
        <v>2368</v>
      </c>
      <c r="C2954" s="26"/>
    </row>
    <row r="2955" spans="1:7">
      <c r="B2955" s="95" t="s">
        <v>2369</v>
      </c>
      <c r="C2955" s="157" t="s">
        <v>4443</v>
      </c>
      <c r="D2955" s="95" t="s">
        <v>2370</v>
      </c>
      <c r="E2955" s="95" t="s">
        <v>1166</v>
      </c>
      <c r="F2955" s="95" t="s">
        <v>2371</v>
      </c>
      <c r="G2955" s="95" t="s">
        <v>2372</v>
      </c>
    </row>
    <row r="2956" spans="1:7">
      <c r="B2956" s="114"/>
      <c r="C2956" s="154"/>
      <c r="D2956" s="114"/>
      <c r="E2956" s="114"/>
      <c r="F2956" s="114" t="s">
        <v>3485</v>
      </c>
      <c r="G2956" s="114" t="s">
        <v>3485</v>
      </c>
    </row>
    <row r="2957" spans="1:7">
      <c r="B2957" s="95">
        <v>1</v>
      </c>
      <c r="C2957" s="135" t="s">
        <v>5853</v>
      </c>
      <c r="D2957" s="95" t="s">
        <v>3478</v>
      </c>
      <c r="E2957" s="190">
        <v>1330</v>
      </c>
      <c r="F2957" s="214">
        <f>'BASIC DATA'!$D$32/1000</f>
        <v>5.35</v>
      </c>
      <c r="G2957" s="190">
        <f t="shared" ref="G2957:G2962" si="80">E2957*F2957</f>
        <v>7115.4999999999991</v>
      </c>
    </row>
    <row r="2958" spans="1:7">
      <c r="B2958" s="105">
        <v>2</v>
      </c>
      <c r="C2958" s="135" t="s">
        <v>3458</v>
      </c>
      <c r="D2958" s="105" t="s">
        <v>2059</v>
      </c>
      <c r="E2958" s="190">
        <v>60</v>
      </c>
      <c r="F2958" s="214">
        <f>'BASIC DATA'!$D$105</f>
        <v>39</v>
      </c>
      <c r="G2958" s="190">
        <f t="shared" si="80"/>
        <v>2340</v>
      </c>
    </row>
    <row r="2959" spans="1:7">
      <c r="B2959" s="105">
        <v>3</v>
      </c>
      <c r="C2959" s="135" t="s">
        <v>6458</v>
      </c>
      <c r="D2959" s="105" t="s">
        <v>2059</v>
      </c>
      <c r="E2959" s="190">
        <v>180</v>
      </c>
      <c r="F2959" s="214">
        <f>'BASIC DATA'!$D$79</f>
        <v>17</v>
      </c>
      <c r="G2959" s="190">
        <f t="shared" si="80"/>
        <v>3060</v>
      </c>
    </row>
    <row r="2960" spans="1:7">
      <c r="B2960" s="105">
        <v>4</v>
      </c>
      <c r="C2960" s="135" t="s">
        <v>5012</v>
      </c>
      <c r="D2960" s="105" t="s">
        <v>3477</v>
      </c>
      <c r="E2960" s="190">
        <v>4.5</v>
      </c>
      <c r="F2960" s="214">
        <f>'BASIC DATA'!$D$108</f>
        <v>318</v>
      </c>
      <c r="G2960" s="190">
        <f t="shared" si="80"/>
        <v>1431</v>
      </c>
    </row>
    <row r="2961" spans="1:7">
      <c r="B2961" s="105">
        <v>5</v>
      </c>
      <c r="C2961" s="135" t="s">
        <v>1358</v>
      </c>
      <c r="D2961" s="105" t="s">
        <v>3477</v>
      </c>
      <c r="E2961" s="190">
        <v>1.5</v>
      </c>
      <c r="F2961" s="214">
        <f>'BASIC DATA'!$D$96</f>
        <v>350</v>
      </c>
      <c r="G2961" s="190">
        <f t="shared" si="80"/>
        <v>525</v>
      </c>
    </row>
    <row r="2962" spans="1:7">
      <c r="A2962" s="853"/>
      <c r="B2962" s="237">
        <v>6</v>
      </c>
      <c r="C2962" s="326" t="s">
        <v>6827</v>
      </c>
      <c r="D2962" s="240" t="s">
        <v>3477</v>
      </c>
      <c r="E2962" s="255">
        <v>3.5</v>
      </c>
      <c r="F2962" s="266">
        <f>'BASIC DATA'!$D$57</f>
        <v>165</v>
      </c>
      <c r="G2962" s="255">
        <f t="shared" si="80"/>
        <v>577.5</v>
      </c>
    </row>
    <row r="2963" spans="1:7">
      <c r="B2963" s="93"/>
      <c r="C2963" s="187"/>
      <c r="D2963" s="187"/>
      <c r="E2963" s="331" t="s">
        <v>2375</v>
      </c>
      <c r="F2963" s="344" t="s">
        <v>1698</v>
      </c>
      <c r="G2963" s="179">
        <f>SUM(G2957:G2962)</f>
        <v>15049</v>
      </c>
    </row>
    <row r="2964" spans="1:7">
      <c r="A2964" s="853"/>
      <c r="B2964" s="444"/>
      <c r="C2964" s="60" t="s">
        <v>6459</v>
      </c>
      <c r="D2964" s="60"/>
      <c r="E2964" s="685">
        <v>2.5000000000000001E-2</v>
      </c>
      <c r="F2964" s="523" t="s">
        <v>1698</v>
      </c>
      <c r="G2964" s="255">
        <f>E2964*$G$2963</f>
        <v>376.22500000000002</v>
      </c>
    </row>
    <row r="2965" spans="1:7">
      <c r="B2965" s="92"/>
      <c r="C2965" s="193" t="s">
        <v>2376</v>
      </c>
      <c r="D2965" s="159"/>
      <c r="E2965" s="238"/>
      <c r="F2965" s="236" t="s">
        <v>1698</v>
      </c>
      <c r="G2965" s="318">
        <f>SUM(G2963:G2964)</f>
        <v>15425.225</v>
      </c>
    </row>
    <row r="2966" spans="1:7">
      <c r="B2966" s="78"/>
      <c r="C2966" s="26"/>
      <c r="G2966" s="68"/>
    </row>
    <row r="2967" spans="1:7">
      <c r="B2967" s="79" t="s">
        <v>2377</v>
      </c>
      <c r="C2967" s="26"/>
    </row>
    <row r="2968" spans="1:7">
      <c r="B2968" s="95" t="s">
        <v>2369</v>
      </c>
      <c r="C2968" s="157" t="s">
        <v>2378</v>
      </c>
      <c r="D2968" s="95" t="s">
        <v>2370</v>
      </c>
      <c r="E2968" s="95" t="s">
        <v>1166</v>
      </c>
      <c r="F2968" s="95" t="s">
        <v>2371</v>
      </c>
      <c r="G2968" s="95" t="s">
        <v>2372</v>
      </c>
    </row>
    <row r="2969" spans="1:7">
      <c r="B2969" s="114"/>
      <c r="C2969" s="154"/>
      <c r="D2969" s="114"/>
      <c r="E2969" s="114"/>
      <c r="F2969" s="114" t="s">
        <v>3485</v>
      </c>
      <c r="G2969" s="114" t="s">
        <v>3485</v>
      </c>
    </row>
    <row r="2970" spans="1:7">
      <c r="B2970" s="95">
        <v>1</v>
      </c>
      <c r="C2970" s="153" t="s">
        <v>6286</v>
      </c>
      <c r="D2970" s="175" t="s">
        <v>2374</v>
      </c>
      <c r="E2970" s="179">
        <v>1</v>
      </c>
      <c r="F2970" s="190">
        <f>'HIRE CHARGES'!$D$555</f>
        <v>402.5</v>
      </c>
      <c r="G2970" s="190">
        <f>E2970*F2970</f>
        <v>402.5</v>
      </c>
    </row>
    <row r="2971" spans="1:7">
      <c r="B2971" s="317"/>
      <c r="C2971" s="152" t="s">
        <v>2379</v>
      </c>
      <c r="D2971" s="33" t="s">
        <v>2374</v>
      </c>
      <c r="E2971" s="190">
        <v>1</v>
      </c>
      <c r="F2971" s="190">
        <f>'HIRE CHARGES'!$E$555</f>
        <v>299.89999999999998</v>
      </c>
      <c r="G2971" s="190">
        <f>E2971*F2971</f>
        <v>299.89999999999998</v>
      </c>
    </row>
    <row r="2972" spans="1:7">
      <c r="B2972" s="105">
        <v>2</v>
      </c>
      <c r="C2972" s="152" t="s">
        <v>189</v>
      </c>
      <c r="D2972" s="33" t="s">
        <v>2374</v>
      </c>
      <c r="E2972" s="190">
        <v>0.5</v>
      </c>
      <c r="F2972" s="190">
        <f>'HIRE CHARGES'!$D$517</f>
        <v>10.199999999999999</v>
      </c>
      <c r="G2972" s="190">
        <f>E2972*F2972</f>
        <v>5.0999999999999996</v>
      </c>
    </row>
    <row r="2973" spans="1:7">
      <c r="B2973" s="317"/>
      <c r="C2973" s="152" t="s">
        <v>2379</v>
      </c>
      <c r="D2973" s="33" t="s">
        <v>2374</v>
      </c>
      <c r="E2973" s="190">
        <v>0.5</v>
      </c>
      <c r="F2973" s="190">
        <f>'HIRE CHARGES'!$E$517</f>
        <v>79.3</v>
      </c>
      <c r="G2973" s="190">
        <f>E2973*F2973</f>
        <v>39.65</v>
      </c>
    </row>
    <row r="2974" spans="1:7">
      <c r="B2974" s="176"/>
      <c r="C2974" s="172" t="s">
        <v>2380</v>
      </c>
      <c r="D2974" s="174"/>
      <c r="E2974" s="192"/>
      <c r="F2974" s="236" t="s">
        <v>1698</v>
      </c>
      <c r="G2974" s="318">
        <f>SUM(G2970:G2973)</f>
        <v>747.15</v>
      </c>
    </row>
    <row r="2975" spans="1:7">
      <c r="B2975" s="78"/>
      <c r="C2975" s="26"/>
    </row>
    <row r="2976" spans="1:7">
      <c r="B2976" s="79" t="s">
        <v>2381</v>
      </c>
      <c r="C2976" s="26"/>
    </row>
    <row r="2977" spans="2:7">
      <c r="B2977" s="95" t="s">
        <v>2369</v>
      </c>
      <c r="C2977" s="157" t="s">
        <v>2378</v>
      </c>
      <c r="D2977" s="95" t="s">
        <v>2370</v>
      </c>
      <c r="E2977" s="95" t="s">
        <v>1166</v>
      </c>
      <c r="F2977" s="95" t="s">
        <v>2371</v>
      </c>
      <c r="G2977" s="95" t="s">
        <v>2372</v>
      </c>
    </row>
    <row r="2978" spans="2:7">
      <c r="B2978" s="114"/>
      <c r="C2978" s="154"/>
      <c r="D2978" s="105"/>
      <c r="E2978" s="105"/>
      <c r="F2978" s="105" t="s">
        <v>3485</v>
      </c>
      <c r="G2978" s="114" t="s">
        <v>3485</v>
      </c>
    </row>
    <row r="2979" spans="2:7">
      <c r="B2979" s="95">
        <v>1</v>
      </c>
      <c r="C2979" s="76" t="s">
        <v>1000</v>
      </c>
      <c r="D2979" s="95" t="s">
        <v>2374</v>
      </c>
      <c r="E2979" s="179">
        <v>1</v>
      </c>
      <c r="F2979" s="179">
        <f>'HIRE CHARGES'!$F$555</f>
        <v>177.5</v>
      </c>
      <c r="G2979" s="207">
        <f t="shared" ref="G2979:G2984" si="81">E2979*F2979</f>
        <v>177.5</v>
      </c>
    </row>
    <row r="2980" spans="2:7">
      <c r="B2980" s="105">
        <v>2</v>
      </c>
      <c r="C2980" s="76" t="s">
        <v>999</v>
      </c>
      <c r="D2980" s="105" t="s">
        <v>2374</v>
      </c>
      <c r="E2980" s="190">
        <v>0.5</v>
      </c>
      <c r="F2980" s="190">
        <f>'HIRE CHARGES'!$F$517</f>
        <v>111.1</v>
      </c>
      <c r="G2980" s="207">
        <f t="shared" si="81"/>
        <v>55.55</v>
      </c>
    </row>
    <row r="2981" spans="2:7">
      <c r="B2981" s="105">
        <v>3</v>
      </c>
      <c r="C2981" s="76" t="s">
        <v>4206</v>
      </c>
      <c r="D2981" s="105" t="s">
        <v>1172</v>
      </c>
      <c r="E2981" s="190">
        <v>1</v>
      </c>
      <c r="F2981" s="190">
        <f>'BASIC DATA'!$C$473</f>
        <v>450</v>
      </c>
      <c r="G2981" s="207">
        <f t="shared" si="81"/>
        <v>450</v>
      </c>
    </row>
    <row r="2982" spans="2:7">
      <c r="B2982" s="105">
        <v>4</v>
      </c>
      <c r="C2982" s="76" t="s">
        <v>6460</v>
      </c>
      <c r="D2982" s="105" t="s">
        <v>1172</v>
      </c>
      <c r="E2982" s="190">
        <v>3</v>
      </c>
      <c r="F2982" s="190">
        <f>'BASIC DATA'!$C$545</f>
        <v>400</v>
      </c>
      <c r="G2982" s="207">
        <f t="shared" si="81"/>
        <v>1200</v>
      </c>
    </row>
    <row r="2983" spans="2:7">
      <c r="B2983" s="105">
        <v>5</v>
      </c>
      <c r="C2983" s="76" t="s">
        <v>440</v>
      </c>
      <c r="D2983" s="105" t="s">
        <v>1172</v>
      </c>
      <c r="E2983" s="190">
        <v>1</v>
      </c>
      <c r="F2983" s="190">
        <f>'BASIC DATA'!$C$474</f>
        <v>445</v>
      </c>
      <c r="G2983" s="207">
        <f t="shared" si="81"/>
        <v>445</v>
      </c>
    </row>
    <row r="2984" spans="2:7">
      <c r="B2984" s="105">
        <v>6</v>
      </c>
      <c r="C2984" s="76" t="s">
        <v>1356</v>
      </c>
      <c r="D2984" s="105" t="s">
        <v>1172</v>
      </c>
      <c r="E2984" s="190">
        <v>2</v>
      </c>
      <c r="F2984" s="190">
        <f>'BASIC DATA'!$C$541</f>
        <v>400</v>
      </c>
      <c r="G2984" s="207">
        <f t="shared" si="81"/>
        <v>800</v>
      </c>
    </row>
    <row r="2985" spans="2:7">
      <c r="B2985" s="105">
        <v>7</v>
      </c>
      <c r="C2985" s="76" t="s">
        <v>2697</v>
      </c>
      <c r="D2985" s="105"/>
      <c r="E2985" s="190"/>
      <c r="F2985" s="190"/>
      <c r="G2985" s="207"/>
    </row>
    <row r="2986" spans="2:7">
      <c r="B2986" s="317"/>
      <c r="C2986" s="76" t="s">
        <v>1729</v>
      </c>
      <c r="D2986" s="105" t="s">
        <v>1172</v>
      </c>
      <c r="E2986" s="190">
        <v>4</v>
      </c>
      <c r="F2986" s="190">
        <f>'BASIC DATA'!$C$552</f>
        <v>350</v>
      </c>
      <c r="G2986" s="207">
        <f t="shared" ref="G2986:G2991" si="82">E2986*F2986</f>
        <v>1400</v>
      </c>
    </row>
    <row r="2987" spans="2:7">
      <c r="B2987" s="317"/>
      <c r="C2987" s="76" t="s">
        <v>1730</v>
      </c>
      <c r="D2987" s="105" t="s">
        <v>1172</v>
      </c>
      <c r="E2987" s="190">
        <v>3</v>
      </c>
      <c r="F2987" s="190">
        <f>'BASIC DATA'!$C$552</f>
        <v>350</v>
      </c>
      <c r="G2987" s="207">
        <f t="shared" si="82"/>
        <v>1050</v>
      </c>
    </row>
    <row r="2988" spans="2:7">
      <c r="B2988" s="317"/>
      <c r="C2988" s="76" t="s">
        <v>442</v>
      </c>
      <c r="D2988" s="105" t="s">
        <v>1172</v>
      </c>
      <c r="E2988" s="190">
        <v>1</v>
      </c>
      <c r="F2988" s="190">
        <f>'BASIC DATA'!$C$552</f>
        <v>350</v>
      </c>
      <c r="G2988" s="207">
        <f t="shared" si="82"/>
        <v>350</v>
      </c>
    </row>
    <row r="2989" spans="2:7">
      <c r="B2989" s="317"/>
      <c r="C2989" s="76" t="s">
        <v>1109</v>
      </c>
      <c r="D2989" s="105" t="s">
        <v>1172</v>
      </c>
      <c r="E2989" s="190">
        <v>3</v>
      </c>
      <c r="F2989" s="190">
        <f>'BASIC DATA'!$C$552</f>
        <v>350</v>
      </c>
      <c r="G2989" s="207">
        <f t="shared" si="82"/>
        <v>1050</v>
      </c>
    </row>
    <row r="2990" spans="2:7">
      <c r="B2990" s="317"/>
      <c r="C2990" s="76" t="s">
        <v>1110</v>
      </c>
      <c r="D2990" s="105" t="s">
        <v>1172</v>
      </c>
      <c r="E2990" s="190">
        <v>1</v>
      </c>
      <c r="F2990" s="190">
        <f>'BASIC DATA'!$C$552</f>
        <v>350</v>
      </c>
      <c r="G2990" s="207">
        <f t="shared" si="82"/>
        <v>350</v>
      </c>
    </row>
    <row r="2991" spans="2:7">
      <c r="B2991" s="317"/>
      <c r="C2991" s="76" t="s">
        <v>6254</v>
      </c>
      <c r="D2991" s="105" t="s">
        <v>1172</v>
      </c>
      <c r="E2991" s="190">
        <v>2</v>
      </c>
      <c r="F2991" s="190">
        <f>'BASIC DATA'!$C$552</f>
        <v>350</v>
      </c>
      <c r="G2991" s="207">
        <f t="shared" si="82"/>
        <v>700</v>
      </c>
    </row>
    <row r="2992" spans="2:7">
      <c r="B2992" s="157"/>
      <c r="C2992" s="187"/>
      <c r="D2992" s="187"/>
      <c r="E2992" s="334" t="s">
        <v>2375</v>
      </c>
      <c r="F2992" s="334" t="s">
        <v>1698</v>
      </c>
      <c r="G2992" s="179">
        <f>SUM(G2979:G2991)</f>
        <v>8028.05</v>
      </c>
    </row>
    <row r="2993" spans="1:7">
      <c r="A2993" s="853"/>
      <c r="B2993" s="263"/>
      <c r="C2993" s="241" t="s">
        <v>3410</v>
      </c>
      <c r="D2993" s="241"/>
      <c r="E2993" s="335">
        <v>2.5000000000000001E-2</v>
      </c>
      <c r="F2993" s="336" t="s">
        <v>1698</v>
      </c>
      <c r="G2993" s="255">
        <f>E2993*$G$2992</f>
        <v>200.70125000000002</v>
      </c>
    </row>
    <row r="2994" spans="1:7">
      <c r="B2994" s="176"/>
      <c r="C2994" s="172" t="s">
        <v>1174</v>
      </c>
      <c r="D2994" s="174"/>
      <c r="E2994" s="192"/>
      <c r="F2994" s="236" t="s">
        <v>1698</v>
      </c>
      <c r="G2994" s="318">
        <f>SUM(G2992:G2993)</f>
        <v>8228.7512499999993</v>
      </c>
    </row>
    <row r="2995" spans="1:7">
      <c r="B2995" s="60" t="s">
        <v>5948</v>
      </c>
      <c r="C2995" s="31"/>
      <c r="D2995" s="31"/>
      <c r="E2995" s="85">
        <f>ROUND(G2994/F2953,1)</f>
        <v>822.9</v>
      </c>
    </row>
    <row r="2996" spans="1:7">
      <c r="B2996" s="60" t="s">
        <v>3163</v>
      </c>
      <c r="C2996" s="31"/>
      <c r="D2996" s="922">
        <f>'BASIC DATA'!$C$577</f>
        <v>0.13614999999999999</v>
      </c>
      <c r="E2996" s="85">
        <f>ROUND(E2995*D2996,1)</f>
        <v>112</v>
      </c>
    </row>
    <row r="2997" spans="1:7">
      <c r="B2997" s="60" t="s">
        <v>5949</v>
      </c>
      <c r="C2997" s="31"/>
      <c r="D2997" s="31"/>
      <c r="E2997" s="199">
        <f>ROUND(E2996+E2995,1)</f>
        <v>934.9</v>
      </c>
      <c r="F2997" s="56"/>
    </row>
    <row r="2998" spans="1:7">
      <c r="B2998" s="78"/>
      <c r="C2998" s="26"/>
    </row>
    <row r="2999" spans="1:7">
      <c r="B2999" s="170" t="s">
        <v>1175</v>
      </c>
      <c r="C2999" s="26"/>
    </row>
    <row r="3000" spans="1:7">
      <c r="B3000" s="26" t="s">
        <v>1176</v>
      </c>
      <c r="C3000" s="26"/>
      <c r="F3000" s="171" t="s">
        <v>1698</v>
      </c>
      <c r="G3000" s="68">
        <f>G2965</f>
        <v>15425.225</v>
      </c>
    </row>
    <row r="3001" spans="1:7">
      <c r="B3001" s="26" t="s">
        <v>1186</v>
      </c>
      <c r="C3001" s="26"/>
      <c r="F3001" s="171" t="s">
        <v>1698</v>
      </c>
      <c r="G3001" s="68">
        <f>G2974</f>
        <v>747.15</v>
      </c>
    </row>
    <row r="3002" spans="1:7">
      <c r="B3002" s="26" t="s">
        <v>2660</v>
      </c>
      <c r="C3002" s="26"/>
      <c r="F3002" s="171" t="s">
        <v>1698</v>
      </c>
      <c r="G3002" s="75">
        <f>G2994</f>
        <v>8228.7512499999993</v>
      </c>
    </row>
    <row r="3003" spans="1:7">
      <c r="B3003" s="78"/>
      <c r="C3003" s="26"/>
      <c r="E3003" s="171"/>
      <c r="F3003" s="171" t="s">
        <v>302</v>
      </c>
      <c r="G3003" s="205">
        <f>SUM(G3000:G3002)</f>
        <v>24401.126250000001</v>
      </c>
    </row>
    <row r="3004" spans="1:7">
      <c r="B3004" s="1206" t="s">
        <v>1379</v>
      </c>
      <c r="C3004" s="1206"/>
      <c r="E3004" s="922">
        <f>'BASIC DATA'!$C$577</f>
        <v>0.13614999999999999</v>
      </c>
      <c r="F3004" s="26" t="s">
        <v>1698</v>
      </c>
      <c r="G3004" s="26">
        <f>ROUND(G3003*E3004,2)</f>
        <v>3322.21</v>
      </c>
    </row>
    <row r="3005" spans="1:7">
      <c r="B3005" s="26" t="s">
        <v>1191</v>
      </c>
      <c r="C3005" s="26"/>
      <c r="D3005" s="68">
        <f>F2953</f>
        <v>10</v>
      </c>
      <c r="E3005" s="68" t="str">
        <f>G2953</f>
        <v>cum</v>
      </c>
      <c r="F3005" s="26" t="s">
        <v>1698</v>
      </c>
      <c r="G3005" s="211">
        <f>G3004+G3003</f>
        <v>27723.33625</v>
      </c>
    </row>
    <row r="3006" spans="1:7">
      <c r="B3006" s="170" t="s">
        <v>1584</v>
      </c>
      <c r="C3006" s="211" t="str">
        <f>E3005</f>
        <v>cum</v>
      </c>
      <c r="D3006" s="26" t="s">
        <v>5891</v>
      </c>
      <c r="F3006" s="26" t="s">
        <v>4108</v>
      </c>
      <c r="G3006" s="211">
        <f>ROUND(G3005/D3005,1)</f>
        <v>2772.3</v>
      </c>
    </row>
    <row r="3007" spans="1:7">
      <c r="B3007" s="78"/>
      <c r="C3007" s="26"/>
    </row>
    <row r="3008" spans="1:7">
      <c r="B3008" s="78"/>
      <c r="C3008" s="26"/>
    </row>
    <row r="3009" spans="1:7">
      <c r="A3009" s="865" t="s">
        <v>7574</v>
      </c>
      <c r="B3009" s="26" t="s">
        <v>8977</v>
      </c>
      <c r="C3009" s="26"/>
    </row>
    <row r="3010" spans="1:7">
      <c r="A3010" s="865"/>
      <c r="B3010" s="26" t="s">
        <v>3069</v>
      </c>
      <c r="C3010" s="26"/>
    </row>
    <row r="3011" spans="1:7">
      <c r="A3011" s="865"/>
      <c r="B3011" s="26" t="s">
        <v>1565</v>
      </c>
      <c r="C3011" s="26"/>
    </row>
    <row r="3012" spans="1:7">
      <c r="A3012" s="865"/>
      <c r="B3012" s="170" t="s">
        <v>1211</v>
      </c>
      <c r="C3012" s="26"/>
    </row>
    <row r="3013" spans="1:7">
      <c r="A3013" s="865"/>
      <c r="B3013" s="170" t="s">
        <v>3582</v>
      </c>
      <c r="C3013" s="26"/>
    </row>
    <row r="3014" spans="1:7">
      <c r="A3014" s="855"/>
      <c r="B3014" s="248" t="s">
        <v>6941</v>
      </c>
      <c r="C3014" s="61"/>
      <c r="D3014" s="61"/>
      <c r="E3014" s="61"/>
      <c r="F3014" s="61"/>
      <c r="G3014" s="61"/>
    </row>
    <row r="3015" spans="1:7">
      <c r="A3015" s="865"/>
      <c r="B3015" s="170" t="s">
        <v>7586</v>
      </c>
      <c r="C3015" s="26"/>
    </row>
    <row r="3016" spans="1:7" hidden="1">
      <c r="A3016" s="865" t="s">
        <v>3984</v>
      </c>
      <c r="B3016" s="26" t="s">
        <v>1566</v>
      </c>
      <c r="C3016" s="26"/>
      <c r="E3016" s="78" t="s">
        <v>3070</v>
      </c>
      <c r="F3016" s="26">
        <v>60</v>
      </c>
      <c r="G3016" s="26" t="s">
        <v>3135</v>
      </c>
    </row>
    <row r="3017" spans="1:7" hidden="1">
      <c r="A3017" s="865"/>
      <c r="B3017" s="26" t="s">
        <v>3138</v>
      </c>
      <c r="C3017" s="26"/>
      <c r="F3017" s="26">
        <v>0.15</v>
      </c>
      <c r="G3017" s="26" t="s">
        <v>3477</v>
      </c>
    </row>
    <row r="3018" spans="1:7" hidden="1">
      <c r="A3018" s="865"/>
      <c r="B3018" s="26" t="s">
        <v>3139</v>
      </c>
      <c r="C3018" s="26"/>
      <c r="F3018" s="26">
        <v>0.45</v>
      </c>
      <c r="G3018" s="26" t="s">
        <v>3477</v>
      </c>
    </row>
    <row r="3019" spans="1:7" hidden="1">
      <c r="A3019" s="865"/>
      <c r="B3019" s="26" t="s">
        <v>306</v>
      </c>
      <c r="C3019" s="26"/>
    </row>
    <row r="3020" spans="1:7" hidden="1">
      <c r="A3020" s="865"/>
      <c r="B3020" s="26" t="s">
        <v>3456</v>
      </c>
      <c r="C3020" s="26"/>
      <c r="D3020" s="78" t="s">
        <v>3070</v>
      </c>
      <c r="E3020" s="26" t="s">
        <v>3407</v>
      </c>
    </row>
    <row r="3021" spans="1:7" hidden="1">
      <c r="A3021" s="865"/>
      <c r="B3021" s="26" t="s">
        <v>3457</v>
      </c>
      <c r="C3021" s="26"/>
      <c r="D3021" s="78" t="s">
        <v>3070</v>
      </c>
      <c r="E3021" s="68">
        <v>5</v>
      </c>
      <c r="F3021" s="26" t="s">
        <v>3760</v>
      </c>
    </row>
    <row r="3022" spans="1:7">
      <c r="B3022" s="78"/>
      <c r="C3022" s="26"/>
      <c r="D3022" s="78"/>
    </row>
    <row r="3023" spans="1:7">
      <c r="A3023" s="865" t="s">
        <v>3984</v>
      </c>
      <c r="B3023" s="78"/>
      <c r="C3023" s="203" t="s">
        <v>2367</v>
      </c>
      <c r="E3023" s="171" t="s">
        <v>297</v>
      </c>
      <c r="F3023" s="246">
        <v>10</v>
      </c>
      <c r="G3023" s="26" t="s">
        <v>3477</v>
      </c>
    </row>
    <row r="3024" spans="1:7">
      <c r="B3024" s="79" t="s">
        <v>2368</v>
      </c>
      <c r="C3024" s="26"/>
    </row>
    <row r="3025" spans="1:7">
      <c r="B3025" s="95" t="s">
        <v>2369</v>
      </c>
      <c r="C3025" s="157" t="s">
        <v>4443</v>
      </c>
      <c r="D3025" s="95" t="s">
        <v>2370</v>
      </c>
      <c r="E3025" s="95" t="s">
        <v>1166</v>
      </c>
      <c r="F3025" s="95" t="s">
        <v>2371</v>
      </c>
      <c r="G3025" s="95" t="s">
        <v>2372</v>
      </c>
    </row>
    <row r="3026" spans="1:7">
      <c r="B3026" s="114"/>
      <c r="C3026" s="154"/>
      <c r="D3026" s="114"/>
      <c r="E3026" s="114"/>
      <c r="F3026" s="114" t="s">
        <v>3485</v>
      </c>
      <c r="G3026" s="114" t="s">
        <v>3485</v>
      </c>
    </row>
    <row r="3027" spans="1:7">
      <c r="B3027" s="95">
        <v>1</v>
      </c>
      <c r="C3027" s="135" t="s">
        <v>5853</v>
      </c>
      <c r="D3027" s="95" t="s">
        <v>3478</v>
      </c>
      <c r="E3027" s="190">
        <v>1330</v>
      </c>
      <c r="F3027" s="214">
        <f>'BASIC DATA'!$D$32/1000</f>
        <v>5.35</v>
      </c>
      <c r="G3027" s="190">
        <f t="shared" ref="G3027:G3032" si="83">E3027*F3027</f>
        <v>7115.4999999999991</v>
      </c>
    </row>
    <row r="3028" spans="1:7">
      <c r="B3028" s="105">
        <v>2</v>
      </c>
      <c r="C3028" s="135" t="s">
        <v>3458</v>
      </c>
      <c r="D3028" s="105" t="s">
        <v>2059</v>
      </c>
      <c r="E3028" s="190">
        <v>60</v>
      </c>
      <c r="F3028" s="214">
        <f>'BASIC DATA'!$D$105</f>
        <v>39</v>
      </c>
      <c r="G3028" s="190">
        <f t="shared" si="83"/>
        <v>2340</v>
      </c>
    </row>
    <row r="3029" spans="1:7">
      <c r="B3029" s="105">
        <v>3</v>
      </c>
      <c r="C3029" s="135" t="s">
        <v>6458</v>
      </c>
      <c r="D3029" s="105" t="s">
        <v>2059</v>
      </c>
      <c r="E3029" s="190">
        <v>180</v>
      </c>
      <c r="F3029" s="214">
        <f>'BASIC DATA'!$D$79</f>
        <v>17</v>
      </c>
      <c r="G3029" s="190">
        <f t="shared" si="83"/>
        <v>3060</v>
      </c>
    </row>
    <row r="3030" spans="1:7">
      <c r="B3030" s="105">
        <v>4</v>
      </c>
      <c r="C3030" s="135" t="s">
        <v>5012</v>
      </c>
      <c r="D3030" s="105" t="s">
        <v>3477</v>
      </c>
      <c r="E3030" s="190">
        <v>4.5</v>
      </c>
      <c r="F3030" s="214">
        <f>'BASIC DATA'!$D$108</f>
        <v>318</v>
      </c>
      <c r="G3030" s="190">
        <f t="shared" si="83"/>
        <v>1431</v>
      </c>
    </row>
    <row r="3031" spans="1:7">
      <c r="B3031" s="105">
        <v>5</v>
      </c>
      <c r="C3031" s="135" t="s">
        <v>1358</v>
      </c>
      <c r="D3031" s="105" t="s">
        <v>3477</v>
      </c>
      <c r="E3031" s="190">
        <v>1.5</v>
      </c>
      <c r="F3031" s="214">
        <f>'BASIC DATA'!$D$96</f>
        <v>350</v>
      </c>
      <c r="G3031" s="190">
        <f t="shared" si="83"/>
        <v>525</v>
      </c>
    </row>
    <row r="3032" spans="1:7">
      <c r="A3032" s="853"/>
      <c r="B3032" s="237">
        <v>6</v>
      </c>
      <c r="C3032" s="326" t="s">
        <v>6827</v>
      </c>
      <c r="D3032" s="240" t="s">
        <v>3477</v>
      </c>
      <c r="E3032" s="255">
        <v>3.5</v>
      </c>
      <c r="F3032" s="266">
        <f>'BASIC DATA'!$D$57</f>
        <v>165</v>
      </c>
      <c r="G3032" s="255">
        <f t="shared" si="83"/>
        <v>577.5</v>
      </c>
    </row>
    <row r="3033" spans="1:7">
      <c r="B3033" s="93"/>
      <c r="C3033" s="187"/>
      <c r="D3033" s="187"/>
      <c r="E3033" s="331" t="s">
        <v>2375</v>
      </c>
      <c r="F3033" s="344" t="s">
        <v>1698</v>
      </c>
      <c r="G3033" s="179">
        <f>SUM(G3027:G3032)</f>
        <v>15049</v>
      </c>
    </row>
    <row r="3034" spans="1:7">
      <c r="A3034" s="853"/>
      <c r="B3034" s="444"/>
      <c r="C3034" s="60" t="s">
        <v>6459</v>
      </c>
      <c r="D3034" s="60"/>
      <c r="E3034" s="685">
        <v>2.5000000000000001E-2</v>
      </c>
      <c r="F3034" s="523" t="s">
        <v>1698</v>
      </c>
      <c r="G3034" s="255">
        <f>E3034*$G$3033</f>
        <v>376.22500000000002</v>
      </c>
    </row>
    <row r="3035" spans="1:7">
      <c r="B3035" s="92"/>
      <c r="C3035" s="193" t="s">
        <v>2376</v>
      </c>
      <c r="D3035" s="159"/>
      <c r="E3035" s="238"/>
      <c r="F3035" s="236" t="s">
        <v>1698</v>
      </c>
      <c r="G3035" s="318">
        <f>SUM(G3033:G3034)</f>
        <v>15425.225</v>
      </c>
    </row>
    <row r="3036" spans="1:7">
      <c r="B3036" s="78"/>
      <c r="C3036" s="26"/>
      <c r="G3036" s="68"/>
    </row>
    <row r="3037" spans="1:7">
      <c r="B3037" s="79" t="s">
        <v>2377</v>
      </c>
      <c r="C3037" s="26"/>
    </row>
    <row r="3038" spans="1:7">
      <c r="B3038" s="95" t="s">
        <v>2369</v>
      </c>
      <c r="C3038" s="157" t="s">
        <v>2378</v>
      </c>
      <c r="D3038" s="95" t="s">
        <v>2370</v>
      </c>
      <c r="E3038" s="95" t="s">
        <v>1166</v>
      </c>
      <c r="F3038" s="95" t="s">
        <v>2371</v>
      </c>
      <c r="G3038" s="95" t="s">
        <v>2372</v>
      </c>
    </row>
    <row r="3039" spans="1:7">
      <c r="B3039" s="114"/>
      <c r="C3039" s="154"/>
      <c r="D3039" s="114"/>
      <c r="E3039" s="114"/>
      <c r="F3039" s="114" t="s">
        <v>3485</v>
      </c>
      <c r="G3039" s="114" t="s">
        <v>3485</v>
      </c>
    </row>
    <row r="3040" spans="1:7">
      <c r="B3040" s="95">
        <v>1</v>
      </c>
      <c r="C3040" s="153" t="s">
        <v>6286</v>
      </c>
      <c r="D3040" s="175" t="s">
        <v>2374</v>
      </c>
      <c r="E3040" s="179">
        <v>1</v>
      </c>
      <c r="F3040" s="190">
        <f>'HIRE CHARGES'!$D$555</f>
        <v>402.5</v>
      </c>
      <c r="G3040" s="190">
        <f>E3040*F3040</f>
        <v>402.5</v>
      </c>
    </row>
    <row r="3041" spans="2:7">
      <c r="B3041" s="317"/>
      <c r="C3041" s="152" t="s">
        <v>2379</v>
      </c>
      <c r="D3041" s="33" t="s">
        <v>2374</v>
      </c>
      <c r="E3041" s="190">
        <v>1</v>
      </c>
      <c r="F3041" s="190">
        <f>'HIRE CHARGES'!$E$555</f>
        <v>299.89999999999998</v>
      </c>
      <c r="G3041" s="190">
        <f>E3041*F3041</f>
        <v>299.89999999999998</v>
      </c>
    </row>
    <row r="3042" spans="2:7">
      <c r="B3042" s="105">
        <v>2</v>
      </c>
      <c r="C3042" s="152" t="s">
        <v>189</v>
      </c>
      <c r="D3042" s="33" t="s">
        <v>2374</v>
      </c>
      <c r="E3042" s="190">
        <v>0.5</v>
      </c>
      <c r="F3042" s="190">
        <f>'HIRE CHARGES'!$D$517</f>
        <v>10.199999999999999</v>
      </c>
      <c r="G3042" s="190">
        <f>E3042*F3042</f>
        <v>5.0999999999999996</v>
      </c>
    </row>
    <row r="3043" spans="2:7">
      <c r="B3043" s="317"/>
      <c r="C3043" s="152" t="s">
        <v>2379</v>
      </c>
      <c r="D3043" s="33" t="s">
        <v>2374</v>
      </c>
      <c r="E3043" s="190">
        <v>0.5</v>
      </c>
      <c r="F3043" s="190">
        <f>'HIRE CHARGES'!$E$517</f>
        <v>79.3</v>
      </c>
      <c r="G3043" s="190">
        <f>E3043*F3043</f>
        <v>39.65</v>
      </c>
    </row>
    <row r="3044" spans="2:7">
      <c r="B3044" s="176"/>
      <c r="C3044" s="172" t="s">
        <v>2380</v>
      </c>
      <c r="D3044" s="174"/>
      <c r="E3044" s="192"/>
      <c r="F3044" s="236" t="s">
        <v>1698</v>
      </c>
      <c r="G3044" s="318">
        <f>SUM(G3040:G3043)</f>
        <v>747.15</v>
      </c>
    </row>
    <row r="3045" spans="2:7">
      <c r="B3045" s="78"/>
      <c r="C3045" s="26"/>
    </row>
    <row r="3046" spans="2:7">
      <c r="B3046" s="79" t="s">
        <v>2381</v>
      </c>
      <c r="C3046" s="26"/>
    </row>
    <row r="3047" spans="2:7">
      <c r="B3047" s="95" t="s">
        <v>2369</v>
      </c>
      <c r="C3047" s="157" t="s">
        <v>2378</v>
      </c>
      <c r="D3047" s="95" t="s">
        <v>2370</v>
      </c>
      <c r="E3047" s="95" t="s">
        <v>1166</v>
      </c>
      <c r="F3047" s="95" t="s">
        <v>2371</v>
      </c>
      <c r="G3047" s="95" t="s">
        <v>2372</v>
      </c>
    </row>
    <row r="3048" spans="2:7">
      <c r="B3048" s="114"/>
      <c r="C3048" s="154"/>
      <c r="D3048" s="105"/>
      <c r="E3048" s="105"/>
      <c r="F3048" s="105" t="s">
        <v>3485</v>
      </c>
      <c r="G3048" s="114" t="s">
        <v>3485</v>
      </c>
    </row>
    <row r="3049" spans="2:7">
      <c r="B3049" s="95">
        <v>1</v>
      </c>
      <c r="C3049" s="76" t="s">
        <v>1000</v>
      </c>
      <c r="D3049" s="95" t="s">
        <v>2374</v>
      </c>
      <c r="E3049" s="179">
        <v>1</v>
      </c>
      <c r="F3049" s="179">
        <f>'HIRE CHARGES'!$F$555</f>
        <v>177.5</v>
      </c>
      <c r="G3049" s="207">
        <f t="shared" ref="G3049:G3054" si="84">E3049*F3049</f>
        <v>177.5</v>
      </c>
    </row>
    <row r="3050" spans="2:7">
      <c r="B3050" s="105">
        <v>2</v>
      </c>
      <c r="C3050" s="76" t="s">
        <v>999</v>
      </c>
      <c r="D3050" s="105" t="s">
        <v>2374</v>
      </c>
      <c r="E3050" s="190">
        <v>0.5</v>
      </c>
      <c r="F3050" s="190">
        <f>'HIRE CHARGES'!$F$517</f>
        <v>111.1</v>
      </c>
      <c r="G3050" s="207">
        <f t="shared" si="84"/>
        <v>55.55</v>
      </c>
    </row>
    <row r="3051" spans="2:7">
      <c r="B3051" s="105">
        <v>3</v>
      </c>
      <c r="C3051" s="76" t="s">
        <v>4206</v>
      </c>
      <c r="D3051" s="105" t="s">
        <v>1172</v>
      </c>
      <c r="E3051" s="190">
        <v>1</v>
      </c>
      <c r="F3051" s="190">
        <f>'BASIC DATA'!$C$473</f>
        <v>450</v>
      </c>
      <c r="G3051" s="207">
        <f t="shared" si="84"/>
        <v>450</v>
      </c>
    </row>
    <row r="3052" spans="2:7">
      <c r="B3052" s="105">
        <v>4</v>
      </c>
      <c r="C3052" s="76" t="s">
        <v>6460</v>
      </c>
      <c r="D3052" s="105" t="s">
        <v>1172</v>
      </c>
      <c r="E3052" s="190">
        <v>6</v>
      </c>
      <c r="F3052" s="190">
        <f>'BASIC DATA'!$C$545</f>
        <v>400</v>
      </c>
      <c r="G3052" s="207">
        <f t="shared" si="84"/>
        <v>2400</v>
      </c>
    </row>
    <row r="3053" spans="2:7">
      <c r="B3053" s="105">
        <v>5</v>
      </c>
      <c r="C3053" s="76" t="s">
        <v>440</v>
      </c>
      <c r="D3053" s="105" t="s">
        <v>1172</v>
      </c>
      <c r="E3053" s="190">
        <v>1</v>
      </c>
      <c r="F3053" s="190">
        <f>'BASIC DATA'!$C$474</f>
        <v>445</v>
      </c>
      <c r="G3053" s="207">
        <f t="shared" si="84"/>
        <v>445</v>
      </c>
    </row>
    <row r="3054" spans="2:7">
      <c r="B3054" s="105">
        <v>6</v>
      </c>
      <c r="C3054" s="76" t="s">
        <v>1356</v>
      </c>
      <c r="D3054" s="105" t="s">
        <v>1172</v>
      </c>
      <c r="E3054" s="190">
        <v>2</v>
      </c>
      <c r="F3054" s="190">
        <f>'BASIC DATA'!$C$541</f>
        <v>400</v>
      </c>
      <c r="G3054" s="207">
        <f t="shared" si="84"/>
        <v>800</v>
      </c>
    </row>
    <row r="3055" spans="2:7">
      <c r="B3055" s="105">
        <v>7</v>
      </c>
      <c r="C3055" s="76" t="s">
        <v>2697</v>
      </c>
      <c r="D3055" s="105"/>
      <c r="E3055" s="190"/>
      <c r="F3055" s="190"/>
      <c r="G3055" s="207"/>
    </row>
    <row r="3056" spans="2:7">
      <c r="B3056" s="105">
        <v>8</v>
      </c>
      <c r="C3056" s="76" t="s">
        <v>3071</v>
      </c>
      <c r="D3056" s="105" t="s">
        <v>1172</v>
      </c>
      <c r="E3056" s="190">
        <v>4</v>
      </c>
      <c r="F3056" s="190">
        <f>'BASIC DATA'!$C$552</f>
        <v>350</v>
      </c>
      <c r="G3056" s="207">
        <f t="shared" ref="G3056:G3061" si="85">E3056*F3056</f>
        <v>1400</v>
      </c>
    </row>
    <row r="3057" spans="1:7">
      <c r="B3057" s="317"/>
      <c r="C3057" s="76" t="s">
        <v>1730</v>
      </c>
      <c r="D3057" s="105" t="s">
        <v>1172</v>
      </c>
      <c r="E3057" s="190">
        <v>3</v>
      </c>
      <c r="F3057" s="190">
        <f>'BASIC DATA'!$C$552</f>
        <v>350</v>
      </c>
      <c r="G3057" s="207">
        <f t="shared" si="85"/>
        <v>1050</v>
      </c>
    </row>
    <row r="3058" spans="1:7">
      <c r="B3058" s="317"/>
      <c r="C3058" s="76" t="s">
        <v>442</v>
      </c>
      <c r="D3058" s="105" t="s">
        <v>1172</v>
      </c>
      <c r="E3058" s="190">
        <v>1</v>
      </c>
      <c r="F3058" s="190">
        <f>'BASIC DATA'!$C$552</f>
        <v>350</v>
      </c>
      <c r="G3058" s="207">
        <f t="shared" si="85"/>
        <v>350</v>
      </c>
    </row>
    <row r="3059" spans="1:7">
      <c r="B3059" s="317"/>
      <c r="C3059" s="76" t="s">
        <v>1109</v>
      </c>
      <c r="D3059" s="105" t="s">
        <v>1172</v>
      </c>
      <c r="E3059" s="190">
        <v>3</v>
      </c>
      <c r="F3059" s="190">
        <f>'BASIC DATA'!$C$552</f>
        <v>350</v>
      </c>
      <c r="G3059" s="207">
        <f t="shared" si="85"/>
        <v>1050</v>
      </c>
    </row>
    <row r="3060" spans="1:7">
      <c r="B3060" s="317"/>
      <c r="C3060" s="76" t="s">
        <v>1110</v>
      </c>
      <c r="D3060" s="105" t="s">
        <v>1172</v>
      </c>
      <c r="E3060" s="190">
        <v>1</v>
      </c>
      <c r="F3060" s="190">
        <f>'BASIC DATA'!$C$552</f>
        <v>350</v>
      </c>
      <c r="G3060" s="207">
        <f t="shared" si="85"/>
        <v>350</v>
      </c>
    </row>
    <row r="3061" spans="1:7">
      <c r="B3061" s="317"/>
      <c r="C3061" s="76" t="s">
        <v>6254</v>
      </c>
      <c r="D3061" s="105" t="s">
        <v>1172</v>
      </c>
      <c r="E3061" s="190">
        <v>2</v>
      </c>
      <c r="F3061" s="190">
        <f>'BASIC DATA'!$C$552</f>
        <v>350</v>
      </c>
      <c r="G3061" s="207">
        <f t="shared" si="85"/>
        <v>700</v>
      </c>
    </row>
    <row r="3062" spans="1:7">
      <c r="B3062" s="157"/>
      <c r="C3062" s="187"/>
      <c r="D3062" s="187"/>
      <c r="E3062" s="334" t="s">
        <v>2375</v>
      </c>
      <c r="F3062" s="334" t="s">
        <v>1698</v>
      </c>
      <c r="G3062" s="179">
        <f>SUM(G3049:G3061)</f>
        <v>9228.0499999999993</v>
      </c>
    </row>
    <row r="3063" spans="1:7">
      <c r="A3063" s="853"/>
      <c r="B3063" s="263"/>
      <c r="C3063" s="241" t="s">
        <v>3410</v>
      </c>
      <c r="D3063" s="241"/>
      <c r="E3063" s="335">
        <v>2.5000000000000001E-2</v>
      </c>
      <c r="F3063" s="336" t="s">
        <v>1698</v>
      </c>
      <c r="G3063" s="255">
        <f>E3063*$G$3062</f>
        <v>230.70124999999999</v>
      </c>
    </row>
    <row r="3064" spans="1:7">
      <c r="B3064" s="176"/>
      <c r="C3064" s="172" t="s">
        <v>1174</v>
      </c>
      <c r="D3064" s="174"/>
      <c r="E3064" s="192"/>
      <c r="F3064" s="236" t="s">
        <v>1698</v>
      </c>
      <c r="G3064" s="318">
        <f>SUM(G3062:G3063)</f>
        <v>9458.7512499999993</v>
      </c>
    </row>
    <row r="3065" spans="1:7">
      <c r="B3065" s="60" t="s">
        <v>5948</v>
      </c>
      <c r="C3065" s="31"/>
      <c r="D3065" s="31"/>
      <c r="E3065" s="85">
        <f>ROUND(G3064/F3023,1)</f>
        <v>945.9</v>
      </c>
    </row>
    <row r="3066" spans="1:7">
      <c r="B3066" s="60" t="s">
        <v>3163</v>
      </c>
      <c r="C3066" s="31"/>
      <c r="D3066" s="922">
        <f>'BASIC DATA'!$C$577</f>
        <v>0.13614999999999999</v>
      </c>
      <c r="E3066" s="85">
        <f>ROUND(E3065*D3066,1)</f>
        <v>128.80000000000001</v>
      </c>
    </row>
    <row r="3067" spans="1:7">
      <c r="B3067" s="60" t="s">
        <v>5949</v>
      </c>
      <c r="C3067" s="31"/>
      <c r="D3067" s="31"/>
      <c r="E3067" s="199">
        <f>ROUND(E3066+E3065,1)</f>
        <v>1074.7</v>
      </c>
      <c r="F3067" s="56"/>
    </row>
    <row r="3068" spans="1:7">
      <c r="B3068" s="78"/>
      <c r="C3068" s="26"/>
    </row>
    <row r="3069" spans="1:7">
      <c r="B3069" s="170" t="s">
        <v>1175</v>
      </c>
      <c r="C3069" s="26"/>
    </row>
    <row r="3070" spans="1:7">
      <c r="B3070" s="26" t="s">
        <v>1176</v>
      </c>
      <c r="C3070" s="26"/>
      <c r="F3070" s="171" t="s">
        <v>1698</v>
      </c>
      <c r="G3070" s="68">
        <f>G3035</f>
        <v>15425.225</v>
      </c>
    </row>
    <row r="3071" spans="1:7">
      <c r="B3071" s="26" t="s">
        <v>1186</v>
      </c>
      <c r="C3071" s="26"/>
      <c r="F3071" s="171" t="s">
        <v>1698</v>
      </c>
      <c r="G3071" s="68">
        <f>G3044</f>
        <v>747.15</v>
      </c>
    </row>
    <row r="3072" spans="1:7">
      <c r="B3072" s="26" t="s">
        <v>2660</v>
      </c>
      <c r="C3072" s="26"/>
      <c r="F3072" s="171" t="s">
        <v>1698</v>
      </c>
      <c r="G3072" s="75">
        <f>G3064</f>
        <v>9458.7512499999993</v>
      </c>
    </row>
    <row r="3073" spans="1:7">
      <c r="B3073" s="78"/>
      <c r="C3073" s="26"/>
      <c r="E3073" s="171"/>
      <c r="F3073" s="171" t="s">
        <v>302</v>
      </c>
      <c r="G3073" s="205">
        <f>SUM(G3070:G3072)</f>
        <v>25631.126250000001</v>
      </c>
    </row>
    <row r="3074" spans="1:7">
      <c r="B3074" s="1206" t="s">
        <v>1379</v>
      </c>
      <c r="C3074" s="1206"/>
      <c r="E3074" s="922">
        <f>'BASIC DATA'!$C$577</f>
        <v>0.13614999999999999</v>
      </c>
      <c r="F3074" s="26" t="s">
        <v>1698</v>
      </c>
      <c r="G3074" s="26">
        <f>ROUND(G3073*E3074,2)</f>
        <v>3489.68</v>
      </c>
    </row>
    <row r="3075" spans="1:7">
      <c r="B3075" s="26" t="s">
        <v>1191</v>
      </c>
      <c r="C3075" s="26"/>
      <c r="D3075" s="68">
        <f>F3023</f>
        <v>10</v>
      </c>
      <c r="E3075" s="68" t="str">
        <f>G3023</f>
        <v>cum</v>
      </c>
      <c r="F3075" s="26" t="s">
        <v>1698</v>
      </c>
      <c r="G3075" s="211">
        <f>G3074+G3073</f>
        <v>29120.806250000001</v>
      </c>
    </row>
    <row r="3076" spans="1:7">
      <c r="B3076" s="170" t="s">
        <v>1584</v>
      </c>
      <c r="C3076" s="211" t="str">
        <f>E3075</f>
        <v>cum</v>
      </c>
      <c r="D3076" s="26" t="s">
        <v>5891</v>
      </c>
      <c r="F3076" s="26" t="s">
        <v>4108</v>
      </c>
      <c r="G3076" s="211">
        <f>ROUND(G3075/D3075,1)</f>
        <v>2912.1</v>
      </c>
    </row>
    <row r="3077" spans="1:7">
      <c r="B3077" s="78"/>
      <c r="C3077" s="26"/>
    </row>
    <row r="3078" spans="1:7">
      <c r="B3078" s="78"/>
      <c r="C3078" s="26"/>
    </row>
    <row r="3079" spans="1:7" ht="18.75">
      <c r="A3079" s="865" t="s">
        <v>7575</v>
      </c>
      <c r="B3079" s="170" t="s">
        <v>8978</v>
      </c>
      <c r="C3079" s="26"/>
    </row>
    <row r="3080" spans="1:7">
      <c r="A3080" s="865"/>
      <c r="B3080" s="26" t="s">
        <v>6297</v>
      </c>
      <c r="C3080" s="26"/>
    </row>
    <row r="3081" spans="1:7">
      <c r="A3081" s="865"/>
      <c r="B3081" s="26" t="s">
        <v>5013</v>
      </c>
      <c r="C3081" s="26"/>
    </row>
    <row r="3082" spans="1:7" ht="18.75">
      <c r="A3082" s="865"/>
      <c r="B3082" s="170" t="s">
        <v>8957</v>
      </c>
      <c r="C3082" s="26"/>
    </row>
    <row r="3083" spans="1:7">
      <c r="A3083" s="865"/>
      <c r="B3083" s="26"/>
      <c r="C3083" s="26"/>
    </row>
    <row r="3084" spans="1:7" hidden="1">
      <c r="A3084" s="865" t="s">
        <v>3984</v>
      </c>
      <c r="B3084" s="26" t="s">
        <v>5014</v>
      </c>
      <c r="C3084" s="26"/>
      <c r="E3084" s="78"/>
    </row>
    <row r="3085" spans="1:7" hidden="1">
      <c r="A3085" s="865"/>
      <c r="B3085" s="26" t="s">
        <v>5015</v>
      </c>
      <c r="C3085" s="26"/>
    </row>
    <row r="3086" spans="1:7" hidden="1">
      <c r="A3086" s="865"/>
      <c r="B3086" s="26" t="s">
        <v>5016</v>
      </c>
      <c r="C3086" s="26"/>
    </row>
    <row r="3087" spans="1:7" hidden="1">
      <c r="A3087" s="865"/>
      <c r="B3087" s="26" t="s">
        <v>3140</v>
      </c>
      <c r="C3087" s="26"/>
      <c r="D3087" s="26">
        <v>0.75</v>
      </c>
      <c r="E3087" s="26" t="s">
        <v>3477</v>
      </c>
    </row>
    <row r="3088" spans="1:7" hidden="1">
      <c r="A3088" s="865"/>
      <c r="B3088" s="26" t="s">
        <v>307</v>
      </c>
      <c r="C3088" s="26"/>
      <c r="F3088" s="26">
        <v>0.75</v>
      </c>
      <c r="G3088" s="26" t="s">
        <v>3477</v>
      </c>
    </row>
    <row r="3089" spans="1:7">
      <c r="B3089" s="78"/>
      <c r="C3089" s="26"/>
    </row>
    <row r="3090" spans="1:7">
      <c r="A3090" s="865" t="s">
        <v>3984</v>
      </c>
      <c r="B3090" s="78"/>
      <c r="C3090" s="203" t="s">
        <v>2367</v>
      </c>
      <c r="E3090" s="171" t="s">
        <v>297</v>
      </c>
      <c r="F3090" s="246">
        <v>100</v>
      </c>
      <c r="G3090" s="26" t="s">
        <v>3479</v>
      </c>
    </row>
    <row r="3091" spans="1:7">
      <c r="B3091" s="79" t="s">
        <v>2368</v>
      </c>
      <c r="C3091" s="26"/>
    </row>
    <row r="3092" spans="1:7">
      <c r="B3092" s="95" t="s">
        <v>2369</v>
      </c>
      <c r="C3092" s="157" t="s">
        <v>4443</v>
      </c>
      <c r="D3092" s="95" t="s">
        <v>2370</v>
      </c>
      <c r="E3092" s="95" t="s">
        <v>1166</v>
      </c>
      <c r="F3092" s="95" t="s">
        <v>2371</v>
      </c>
      <c r="G3092" s="95" t="s">
        <v>2372</v>
      </c>
    </row>
    <row r="3093" spans="1:7">
      <c r="B3093" s="114"/>
      <c r="C3093" s="154"/>
      <c r="D3093" s="114"/>
      <c r="E3093" s="114"/>
      <c r="F3093" s="114" t="s">
        <v>3485</v>
      </c>
      <c r="G3093" s="114" t="s">
        <v>3485</v>
      </c>
    </row>
    <row r="3094" spans="1:7">
      <c r="B3094" s="95">
        <v>1</v>
      </c>
      <c r="C3094" s="135" t="s">
        <v>5853</v>
      </c>
      <c r="D3094" s="95" t="s">
        <v>3478</v>
      </c>
      <c r="E3094" s="190">
        <v>456</v>
      </c>
      <c r="F3094" s="214">
        <f>'BASIC DATA'!$D$32/1000</f>
        <v>5.35</v>
      </c>
      <c r="G3094" s="190">
        <f>E3094*F3094</f>
        <v>2439.6</v>
      </c>
    </row>
    <row r="3095" spans="1:7">
      <c r="A3095" s="853"/>
      <c r="B3095" s="237">
        <v>2</v>
      </c>
      <c r="C3095" s="326" t="s">
        <v>6827</v>
      </c>
      <c r="D3095" s="240" t="s">
        <v>3477</v>
      </c>
      <c r="E3095" s="255">
        <v>0.75</v>
      </c>
      <c r="F3095" s="266">
        <f>'BASIC DATA'!$D$57</f>
        <v>165</v>
      </c>
      <c r="G3095" s="255">
        <f>E3095*F3095</f>
        <v>123.75</v>
      </c>
    </row>
    <row r="3096" spans="1:7">
      <c r="B3096" s="93"/>
      <c r="C3096" s="187"/>
      <c r="D3096" s="187"/>
      <c r="E3096" s="331" t="s">
        <v>2375</v>
      </c>
      <c r="F3096" s="344" t="s">
        <v>1698</v>
      </c>
      <c r="G3096" s="179">
        <f>SUM(G3094:G3095)</f>
        <v>2563.35</v>
      </c>
    </row>
    <row r="3097" spans="1:7">
      <c r="A3097" s="853"/>
      <c r="B3097" s="444"/>
      <c r="C3097" s="60" t="s">
        <v>5017</v>
      </c>
      <c r="D3097" s="60"/>
      <c r="E3097" s="685">
        <v>2.5000000000000001E-2</v>
      </c>
      <c r="F3097" s="523" t="s">
        <v>1698</v>
      </c>
      <c r="G3097" s="255">
        <f>E3097*$G$3096</f>
        <v>64.083749999999995</v>
      </c>
    </row>
    <row r="3098" spans="1:7">
      <c r="B3098" s="92"/>
      <c r="C3098" s="193" t="s">
        <v>2376</v>
      </c>
      <c r="D3098" s="159"/>
      <c r="E3098" s="238"/>
      <c r="F3098" s="236" t="s">
        <v>1698</v>
      </c>
      <c r="G3098" s="318">
        <f>SUM(G3096:G3097)</f>
        <v>2627.4337499999997</v>
      </c>
    </row>
    <row r="3099" spans="1:7">
      <c r="B3099" s="78"/>
      <c r="C3099" s="26"/>
      <c r="G3099" s="68"/>
    </row>
    <row r="3100" spans="1:7">
      <c r="B3100" s="79" t="s">
        <v>2377</v>
      </c>
      <c r="C3100" s="26"/>
    </row>
    <row r="3101" spans="1:7">
      <c r="B3101" s="95" t="s">
        <v>2369</v>
      </c>
      <c r="C3101" s="157" t="s">
        <v>2378</v>
      </c>
      <c r="D3101" s="95" t="s">
        <v>2370</v>
      </c>
      <c r="E3101" s="95" t="s">
        <v>1166</v>
      </c>
      <c r="F3101" s="95" t="s">
        <v>2371</v>
      </c>
      <c r="G3101" s="95" t="s">
        <v>2372</v>
      </c>
    </row>
    <row r="3102" spans="1:7">
      <c r="B3102" s="114"/>
      <c r="C3102" s="154"/>
      <c r="D3102" s="114"/>
      <c r="E3102" s="114"/>
      <c r="F3102" s="114" t="s">
        <v>3485</v>
      </c>
      <c r="G3102" s="114" t="s">
        <v>3485</v>
      </c>
    </row>
    <row r="3103" spans="1:7">
      <c r="B3103" s="95">
        <v>1</v>
      </c>
      <c r="C3103" s="95" t="s">
        <v>4168</v>
      </c>
      <c r="D3103" s="175"/>
      <c r="E3103" s="179">
        <v>0</v>
      </c>
      <c r="F3103" s="190">
        <v>0</v>
      </c>
      <c r="G3103" s="190">
        <f>E3103*F3103</f>
        <v>0</v>
      </c>
    </row>
    <row r="3104" spans="1:7">
      <c r="B3104" s="317"/>
      <c r="C3104" s="105" t="s">
        <v>5018</v>
      </c>
      <c r="D3104" s="33"/>
      <c r="E3104" s="190">
        <v>0</v>
      </c>
      <c r="F3104" s="190">
        <v>0</v>
      </c>
      <c r="G3104" s="190">
        <f>E3104*F3104</f>
        <v>0</v>
      </c>
    </row>
    <row r="3105" spans="2:7">
      <c r="B3105" s="176"/>
      <c r="C3105" s="172" t="s">
        <v>2380</v>
      </c>
      <c r="D3105" s="174"/>
      <c r="E3105" s="192"/>
      <c r="F3105" s="236" t="s">
        <v>1698</v>
      </c>
      <c r="G3105" s="318">
        <f>SUM(G3103:G3104)</f>
        <v>0</v>
      </c>
    </row>
    <row r="3106" spans="2:7">
      <c r="B3106" s="78"/>
      <c r="C3106" s="26"/>
    </row>
    <row r="3107" spans="2:7">
      <c r="B3107" s="79" t="s">
        <v>2381</v>
      </c>
      <c r="C3107" s="26"/>
    </row>
    <row r="3108" spans="2:7">
      <c r="B3108" s="95" t="s">
        <v>2369</v>
      </c>
      <c r="C3108" s="157" t="s">
        <v>2378</v>
      </c>
      <c r="D3108" s="95" t="s">
        <v>2370</v>
      </c>
      <c r="E3108" s="95" t="s">
        <v>1166</v>
      </c>
      <c r="F3108" s="95" t="s">
        <v>2371</v>
      </c>
      <c r="G3108" s="95" t="s">
        <v>2372</v>
      </c>
    </row>
    <row r="3109" spans="2:7">
      <c r="B3109" s="114"/>
      <c r="C3109" s="154"/>
      <c r="D3109" s="105"/>
      <c r="E3109" s="105"/>
      <c r="F3109" s="105" t="s">
        <v>3485</v>
      </c>
      <c r="G3109" s="114" t="s">
        <v>3485</v>
      </c>
    </row>
    <row r="3110" spans="2:7">
      <c r="B3110" s="95">
        <v>1</v>
      </c>
      <c r="C3110" s="76" t="s">
        <v>5019</v>
      </c>
      <c r="D3110" s="95" t="s">
        <v>1172</v>
      </c>
      <c r="E3110" s="179">
        <v>10</v>
      </c>
      <c r="F3110" s="179">
        <f>'BASIC DATA'!$C$474</f>
        <v>445</v>
      </c>
      <c r="G3110" s="207">
        <f>E3110*F3110</f>
        <v>4450</v>
      </c>
    </row>
    <row r="3111" spans="2:7">
      <c r="B3111" s="105">
        <v>2</v>
      </c>
      <c r="C3111" s="76" t="s">
        <v>4206</v>
      </c>
      <c r="D3111" s="105" t="s">
        <v>1172</v>
      </c>
      <c r="E3111" s="190">
        <v>1</v>
      </c>
      <c r="F3111" s="190">
        <f>'BASIC DATA'!$C$473</f>
        <v>450</v>
      </c>
      <c r="G3111" s="207">
        <f>E3111*F3111</f>
        <v>450</v>
      </c>
    </row>
    <row r="3112" spans="2:7">
      <c r="B3112" s="105">
        <v>3</v>
      </c>
      <c r="C3112" s="76" t="s">
        <v>2697</v>
      </c>
      <c r="D3112" s="105" t="s">
        <v>1172</v>
      </c>
      <c r="E3112" s="190">
        <v>10</v>
      </c>
      <c r="F3112" s="190">
        <f>'BASIC DATA'!$C$552</f>
        <v>350</v>
      </c>
      <c r="G3112" s="207">
        <f>E3112*F3112</f>
        <v>3500</v>
      </c>
    </row>
    <row r="3113" spans="2:7">
      <c r="B3113" s="176"/>
      <c r="C3113" s="172" t="s">
        <v>1174</v>
      </c>
      <c r="D3113" s="174"/>
      <c r="E3113" s="192"/>
      <c r="F3113" s="236" t="s">
        <v>1698</v>
      </c>
      <c r="G3113" s="318">
        <f>SUM(G3110:G3112)</f>
        <v>8400</v>
      </c>
    </row>
    <row r="3114" spans="2:7">
      <c r="B3114" s="60" t="s">
        <v>5948</v>
      </c>
      <c r="C3114" s="31"/>
      <c r="D3114" s="31"/>
      <c r="E3114" s="85">
        <f>ROUND(G3113/F3090,1)</f>
        <v>84</v>
      </c>
    </row>
    <row r="3115" spans="2:7">
      <c r="B3115" s="60" t="s">
        <v>3163</v>
      </c>
      <c r="C3115" s="31"/>
      <c r="D3115" s="922">
        <f>'BASIC DATA'!$C$577</f>
        <v>0.13614999999999999</v>
      </c>
      <c r="E3115" s="85">
        <f>ROUND(E3114*D3115,1)</f>
        <v>11.4</v>
      </c>
    </row>
    <row r="3116" spans="2:7">
      <c r="B3116" s="60" t="s">
        <v>5949</v>
      </c>
      <c r="C3116" s="31"/>
      <c r="D3116" s="31"/>
      <c r="E3116" s="199">
        <f>ROUND(E3115+E3114,1)</f>
        <v>95.4</v>
      </c>
      <c r="F3116" s="56"/>
    </row>
    <row r="3117" spans="2:7">
      <c r="B3117" s="78"/>
      <c r="C3117" s="26"/>
    </row>
    <row r="3118" spans="2:7">
      <c r="B3118" s="170" t="s">
        <v>1175</v>
      </c>
      <c r="C3118" s="26"/>
    </row>
    <row r="3119" spans="2:7">
      <c r="B3119" s="26" t="s">
        <v>1176</v>
      </c>
      <c r="C3119" s="26"/>
      <c r="F3119" s="171" t="s">
        <v>1698</v>
      </c>
      <c r="G3119" s="68">
        <f>G3098</f>
        <v>2627.4337499999997</v>
      </c>
    </row>
    <row r="3120" spans="2:7">
      <c r="B3120" s="26" t="s">
        <v>1186</v>
      </c>
      <c r="C3120" s="26"/>
      <c r="F3120" s="171" t="s">
        <v>1698</v>
      </c>
      <c r="G3120" s="68">
        <f>G3105</f>
        <v>0</v>
      </c>
    </row>
    <row r="3121" spans="1:7">
      <c r="B3121" s="26" t="s">
        <v>2660</v>
      </c>
      <c r="C3121" s="26"/>
      <c r="F3121" s="171" t="s">
        <v>1698</v>
      </c>
      <c r="G3121" s="75">
        <f>G3113</f>
        <v>8400</v>
      </c>
    </row>
    <row r="3122" spans="1:7">
      <c r="B3122" s="78"/>
      <c r="C3122" s="26"/>
      <c r="E3122" s="171"/>
      <c r="F3122" s="171" t="s">
        <v>302</v>
      </c>
      <c r="G3122" s="205">
        <f>SUM(G3119:G3121)</f>
        <v>11027.43375</v>
      </c>
    </row>
    <row r="3123" spans="1:7">
      <c r="B3123" s="1206" t="s">
        <v>1379</v>
      </c>
      <c r="C3123" s="1206"/>
      <c r="E3123" s="922">
        <f>'BASIC DATA'!$C$577</f>
        <v>0.13614999999999999</v>
      </c>
      <c r="F3123" s="26" t="s">
        <v>1698</v>
      </c>
      <c r="G3123" s="26">
        <f>ROUND(G3122*E3123,2)</f>
        <v>1501.39</v>
      </c>
    </row>
    <row r="3124" spans="1:7">
      <c r="B3124" s="26" t="s">
        <v>1191</v>
      </c>
      <c r="C3124" s="26"/>
      <c r="D3124" s="68">
        <f>F3090</f>
        <v>100</v>
      </c>
      <c r="E3124" s="68" t="str">
        <f>G3090</f>
        <v>sqm</v>
      </c>
      <c r="F3124" s="26" t="s">
        <v>1698</v>
      </c>
      <c r="G3124" s="211">
        <f>G3123+G3122</f>
        <v>12528.82375</v>
      </c>
    </row>
    <row r="3125" spans="1:7">
      <c r="B3125" s="170" t="s">
        <v>1584</v>
      </c>
      <c r="C3125" s="211" t="str">
        <f>E3124</f>
        <v>sqm</v>
      </c>
      <c r="D3125" s="26" t="s">
        <v>5882</v>
      </c>
      <c r="F3125" s="26" t="s">
        <v>4108</v>
      </c>
      <c r="G3125" s="211">
        <f>ROUND(G3124/D3124,1)</f>
        <v>125.3</v>
      </c>
    </row>
    <row r="3126" spans="1:7">
      <c r="B3126" s="78"/>
      <c r="C3126" s="26"/>
    </row>
    <row r="3127" spans="1:7">
      <c r="B3127" s="78"/>
      <c r="C3127" s="26"/>
    </row>
    <row r="3128" spans="1:7" ht="18.75">
      <c r="A3128" s="865" t="s">
        <v>7576</v>
      </c>
      <c r="B3128" s="170" t="s">
        <v>8979</v>
      </c>
      <c r="C3128" s="26"/>
    </row>
    <row r="3129" spans="1:7">
      <c r="A3129" s="865"/>
      <c r="B3129" s="26" t="s">
        <v>6297</v>
      </c>
      <c r="C3129" s="26"/>
    </row>
    <row r="3130" spans="1:7">
      <c r="A3130" s="865"/>
      <c r="B3130" s="26" t="s">
        <v>5013</v>
      </c>
      <c r="C3130" s="26"/>
    </row>
    <row r="3131" spans="1:7" ht="18.75">
      <c r="A3131" s="865"/>
      <c r="B3131" s="170" t="s">
        <v>8957</v>
      </c>
      <c r="C3131" s="26"/>
    </row>
    <row r="3132" spans="1:7">
      <c r="A3132" s="865"/>
      <c r="B3132" s="26"/>
      <c r="C3132" s="26"/>
    </row>
    <row r="3133" spans="1:7" hidden="1">
      <c r="A3133" s="865" t="s">
        <v>3984</v>
      </c>
      <c r="B3133" s="26" t="s">
        <v>5014</v>
      </c>
      <c r="C3133" s="26"/>
      <c r="E3133" s="78"/>
    </row>
    <row r="3134" spans="1:7" hidden="1">
      <c r="A3134" s="865"/>
      <c r="B3134" s="26" t="s">
        <v>5015</v>
      </c>
      <c r="C3134" s="26"/>
    </row>
    <row r="3135" spans="1:7" hidden="1">
      <c r="A3135" s="865"/>
      <c r="B3135" s="26" t="s">
        <v>5016</v>
      </c>
      <c r="C3135" s="26"/>
    </row>
    <row r="3136" spans="1:7" hidden="1">
      <c r="A3136" s="865"/>
      <c r="B3136" s="26" t="s">
        <v>4362</v>
      </c>
      <c r="C3136" s="26"/>
      <c r="D3136" s="26">
        <v>0.75</v>
      </c>
      <c r="E3136" s="26" t="s">
        <v>3477</v>
      </c>
    </row>
    <row r="3137" spans="1:7" hidden="1">
      <c r="A3137" s="865"/>
      <c r="B3137" s="26" t="s">
        <v>2402</v>
      </c>
      <c r="C3137" s="26"/>
      <c r="F3137" s="26">
        <v>0.75</v>
      </c>
      <c r="G3137" s="26" t="s">
        <v>3477</v>
      </c>
    </row>
    <row r="3138" spans="1:7">
      <c r="B3138" s="78"/>
      <c r="C3138" s="26"/>
    </row>
    <row r="3139" spans="1:7">
      <c r="A3139" s="865" t="s">
        <v>3984</v>
      </c>
      <c r="B3139" s="78"/>
      <c r="C3139" s="203" t="s">
        <v>2367</v>
      </c>
      <c r="E3139" s="171" t="s">
        <v>297</v>
      </c>
      <c r="F3139" s="246">
        <v>100</v>
      </c>
      <c r="G3139" s="26" t="s">
        <v>3479</v>
      </c>
    </row>
    <row r="3140" spans="1:7">
      <c r="B3140" s="79" t="s">
        <v>2368</v>
      </c>
      <c r="C3140" s="26"/>
    </row>
    <row r="3141" spans="1:7">
      <c r="B3141" s="95" t="s">
        <v>2369</v>
      </c>
      <c r="C3141" s="157" t="s">
        <v>4443</v>
      </c>
      <c r="D3141" s="95" t="s">
        <v>2370</v>
      </c>
      <c r="E3141" s="95" t="s">
        <v>1166</v>
      </c>
      <c r="F3141" s="95" t="s">
        <v>2371</v>
      </c>
      <c r="G3141" s="95" t="s">
        <v>2372</v>
      </c>
    </row>
    <row r="3142" spans="1:7">
      <c r="B3142" s="114"/>
      <c r="C3142" s="154"/>
      <c r="D3142" s="114"/>
      <c r="E3142" s="114"/>
      <c r="F3142" s="114" t="s">
        <v>3485</v>
      </c>
      <c r="G3142" s="114" t="s">
        <v>3485</v>
      </c>
    </row>
    <row r="3143" spans="1:7">
      <c r="B3143" s="95">
        <v>1</v>
      </c>
      <c r="C3143" s="135" t="s">
        <v>5853</v>
      </c>
      <c r="D3143" s="95" t="s">
        <v>3478</v>
      </c>
      <c r="E3143" s="190">
        <v>322</v>
      </c>
      <c r="F3143" s="214">
        <f>'BASIC DATA'!$D$32/1000</f>
        <v>5.35</v>
      </c>
      <c r="G3143" s="190">
        <f>E3143*F3143</f>
        <v>1722.6999999999998</v>
      </c>
    </row>
    <row r="3144" spans="1:7">
      <c r="A3144" s="853"/>
      <c r="B3144" s="237">
        <v>2</v>
      </c>
      <c r="C3144" s="326" t="s">
        <v>6827</v>
      </c>
      <c r="D3144" s="240" t="s">
        <v>3477</v>
      </c>
      <c r="E3144" s="255">
        <v>0.75</v>
      </c>
      <c r="F3144" s="266">
        <f>'BASIC DATA'!$D$57</f>
        <v>165</v>
      </c>
      <c r="G3144" s="255">
        <f>E3144*F3144</f>
        <v>123.75</v>
      </c>
    </row>
    <row r="3145" spans="1:7">
      <c r="B3145" s="93"/>
      <c r="C3145" s="187"/>
      <c r="D3145" s="187"/>
      <c r="E3145" s="331" t="s">
        <v>2375</v>
      </c>
      <c r="F3145" s="344" t="s">
        <v>1698</v>
      </c>
      <c r="G3145" s="179">
        <f>SUM(G3143:G3144)</f>
        <v>1846.4499999999998</v>
      </c>
    </row>
    <row r="3146" spans="1:7">
      <c r="A3146" s="853"/>
      <c r="B3146" s="444"/>
      <c r="C3146" s="60" t="s">
        <v>5017</v>
      </c>
      <c r="D3146" s="60"/>
      <c r="E3146" s="685">
        <v>2.5000000000000001E-2</v>
      </c>
      <c r="F3146" s="523" t="s">
        <v>1698</v>
      </c>
      <c r="G3146" s="255">
        <f>E3146*$G$3145</f>
        <v>46.161249999999995</v>
      </c>
    </row>
    <row r="3147" spans="1:7">
      <c r="B3147" s="92"/>
      <c r="C3147" s="193" t="s">
        <v>2376</v>
      </c>
      <c r="D3147" s="159"/>
      <c r="E3147" s="238"/>
      <c r="F3147" s="236" t="s">
        <v>1698</v>
      </c>
      <c r="G3147" s="318">
        <f>SUM(G3145:G3146)</f>
        <v>1892.6112499999999</v>
      </c>
    </row>
    <row r="3148" spans="1:7">
      <c r="B3148" s="78"/>
      <c r="C3148" s="26"/>
      <c r="G3148" s="68"/>
    </row>
    <row r="3149" spans="1:7">
      <c r="B3149" s="79" t="s">
        <v>2377</v>
      </c>
      <c r="C3149" s="26"/>
    </row>
    <row r="3150" spans="1:7">
      <c r="B3150" s="95" t="s">
        <v>2369</v>
      </c>
      <c r="C3150" s="157" t="s">
        <v>2378</v>
      </c>
      <c r="D3150" s="95" t="s">
        <v>2370</v>
      </c>
      <c r="E3150" s="95" t="s">
        <v>1166</v>
      </c>
      <c r="F3150" s="95" t="s">
        <v>2371</v>
      </c>
      <c r="G3150" s="95" t="s">
        <v>2372</v>
      </c>
    </row>
    <row r="3151" spans="1:7">
      <c r="B3151" s="114"/>
      <c r="C3151" s="154"/>
      <c r="D3151" s="114"/>
      <c r="E3151" s="114"/>
      <c r="F3151" s="114" t="s">
        <v>3485</v>
      </c>
      <c r="G3151" s="114" t="s">
        <v>3485</v>
      </c>
    </row>
    <row r="3152" spans="1:7">
      <c r="B3152" s="95">
        <v>1</v>
      </c>
      <c r="C3152" s="95" t="s">
        <v>4168</v>
      </c>
      <c r="D3152" s="175"/>
      <c r="E3152" s="179">
        <v>0</v>
      </c>
      <c r="F3152" s="190">
        <v>0</v>
      </c>
      <c r="G3152" s="190">
        <f>E3152*F3152</f>
        <v>0</v>
      </c>
    </row>
    <row r="3153" spans="2:7">
      <c r="B3153" s="317"/>
      <c r="C3153" s="105" t="s">
        <v>5018</v>
      </c>
      <c r="D3153" s="33"/>
      <c r="E3153" s="190">
        <v>0</v>
      </c>
      <c r="F3153" s="190">
        <v>0</v>
      </c>
      <c r="G3153" s="190">
        <f>E3153*F3153</f>
        <v>0</v>
      </c>
    </row>
    <row r="3154" spans="2:7">
      <c r="B3154" s="176"/>
      <c r="C3154" s="172" t="s">
        <v>2380</v>
      </c>
      <c r="D3154" s="174"/>
      <c r="E3154" s="192"/>
      <c r="F3154" s="236" t="s">
        <v>1698</v>
      </c>
      <c r="G3154" s="318">
        <f>SUM(G3152:G3153)</f>
        <v>0</v>
      </c>
    </row>
    <row r="3155" spans="2:7">
      <c r="B3155" s="78"/>
      <c r="C3155" s="26"/>
    </row>
    <row r="3156" spans="2:7">
      <c r="B3156" s="79" t="s">
        <v>2381</v>
      </c>
      <c r="C3156" s="26"/>
    </row>
    <row r="3157" spans="2:7">
      <c r="B3157" s="95" t="s">
        <v>2369</v>
      </c>
      <c r="C3157" s="157" t="s">
        <v>2378</v>
      </c>
      <c r="D3157" s="95" t="s">
        <v>2370</v>
      </c>
      <c r="E3157" s="95" t="s">
        <v>1166</v>
      </c>
      <c r="F3157" s="95" t="s">
        <v>2371</v>
      </c>
      <c r="G3157" s="95" t="s">
        <v>2372</v>
      </c>
    </row>
    <row r="3158" spans="2:7">
      <c r="B3158" s="114"/>
      <c r="C3158" s="154"/>
      <c r="D3158" s="105"/>
      <c r="E3158" s="105"/>
      <c r="F3158" s="105" t="s">
        <v>3485</v>
      </c>
      <c r="G3158" s="114" t="s">
        <v>3485</v>
      </c>
    </row>
    <row r="3159" spans="2:7">
      <c r="B3159" s="95">
        <v>1</v>
      </c>
      <c r="C3159" s="76" t="s">
        <v>5019</v>
      </c>
      <c r="D3159" s="95" t="s">
        <v>1172</v>
      </c>
      <c r="E3159" s="179">
        <v>10</v>
      </c>
      <c r="F3159" s="179">
        <f>'BASIC DATA'!$C$474</f>
        <v>445</v>
      </c>
      <c r="G3159" s="207">
        <f>E3159*F3159</f>
        <v>4450</v>
      </c>
    </row>
    <row r="3160" spans="2:7">
      <c r="B3160" s="105">
        <v>2</v>
      </c>
      <c r="C3160" s="76" t="s">
        <v>4206</v>
      </c>
      <c r="D3160" s="105" t="s">
        <v>1172</v>
      </c>
      <c r="E3160" s="190">
        <v>1</v>
      </c>
      <c r="F3160" s="190">
        <f>'BASIC DATA'!$C$473</f>
        <v>450</v>
      </c>
      <c r="G3160" s="207">
        <f>E3160*F3160</f>
        <v>450</v>
      </c>
    </row>
    <row r="3161" spans="2:7">
      <c r="B3161" s="105">
        <v>3</v>
      </c>
      <c r="C3161" s="76" t="s">
        <v>2697</v>
      </c>
      <c r="D3161" s="105" t="s">
        <v>1172</v>
      </c>
      <c r="E3161" s="190">
        <v>10</v>
      </c>
      <c r="F3161" s="190">
        <f>'BASIC DATA'!$C$552</f>
        <v>350</v>
      </c>
      <c r="G3161" s="207">
        <f>E3161*F3161</f>
        <v>3500</v>
      </c>
    </row>
    <row r="3162" spans="2:7">
      <c r="B3162" s="176"/>
      <c r="C3162" s="172" t="s">
        <v>1174</v>
      </c>
      <c r="D3162" s="174"/>
      <c r="E3162" s="192"/>
      <c r="F3162" s="236" t="s">
        <v>1698</v>
      </c>
      <c r="G3162" s="318">
        <f>SUM(G3159:G3161)</f>
        <v>8400</v>
      </c>
    </row>
    <row r="3163" spans="2:7">
      <c r="B3163" s="60" t="s">
        <v>5948</v>
      </c>
      <c r="C3163" s="31"/>
      <c r="D3163" s="31"/>
      <c r="E3163" s="85">
        <f>ROUND(G3162/F3139,1)</f>
        <v>84</v>
      </c>
    </row>
    <row r="3164" spans="2:7">
      <c r="B3164" s="60" t="s">
        <v>3163</v>
      </c>
      <c r="C3164" s="31"/>
      <c r="D3164" s="922">
        <f>'BASIC DATA'!$C$577</f>
        <v>0.13614999999999999</v>
      </c>
      <c r="E3164" s="85">
        <f>ROUND(E3163*D3164,1)</f>
        <v>11.4</v>
      </c>
    </row>
    <row r="3165" spans="2:7">
      <c r="B3165" s="60" t="s">
        <v>5949</v>
      </c>
      <c r="C3165" s="31"/>
      <c r="D3165" s="31"/>
      <c r="E3165" s="199">
        <f>ROUND(E3164+E3163,1)</f>
        <v>95.4</v>
      </c>
      <c r="F3165" s="56"/>
    </row>
    <row r="3166" spans="2:7">
      <c r="B3166" s="78"/>
      <c r="C3166" s="26"/>
    </row>
    <row r="3167" spans="2:7">
      <c r="B3167" s="170" t="s">
        <v>1175</v>
      </c>
      <c r="C3167" s="26"/>
    </row>
    <row r="3168" spans="2:7">
      <c r="B3168" s="26" t="s">
        <v>1176</v>
      </c>
      <c r="C3168" s="26"/>
      <c r="F3168" s="171" t="s">
        <v>1698</v>
      </c>
      <c r="G3168" s="68">
        <f>G3147</f>
        <v>1892.6112499999999</v>
      </c>
    </row>
    <row r="3169" spans="1:7">
      <c r="B3169" s="26" t="s">
        <v>1186</v>
      </c>
      <c r="C3169" s="26"/>
      <c r="F3169" s="171" t="s">
        <v>1698</v>
      </c>
      <c r="G3169" s="68">
        <f>G3154</f>
        <v>0</v>
      </c>
    </row>
    <row r="3170" spans="1:7">
      <c r="B3170" s="26" t="s">
        <v>2660</v>
      </c>
      <c r="C3170" s="26"/>
      <c r="F3170" s="171" t="s">
        <v>1698</v>
      </c>
      <c r="G3170" s="75">
        <f>G3162</f>
        <v>8400</v>
      </c>
    </row>
    <row r="3171" spans="1:7">
      <c r="B3171" s="78"/>
      <c r="C3171" s="26"/>
      <c r="E3171" s="171"/>
      <c r="F3171" s="171" t="s">
        <v>302</v>
      </c>
      <c r="G3171" s="205">
        <f>SUM(G3168:G3170)</f>
        <v>10292.61125</v>
      </c>
    </row>
    <row r="3172" spans="1:7">
      <c r="B3172" s="1206" t="s">
        <v>1379</v>
      </c>
      <c r="C3172" s="1206"/>
      <c r="E3172" s="922">
        <f>'BASIC DATA'!$C$577</f>
        <v>0.13614999999999999</v>
      </c>
      <c r="F3172" s="26" t="s">
        <v>1698</v>
      </c>
      <c r="G3172" s="26">
        <f>ROUND(G3171*E3172,2)</f>
        <v>1401.34</v>
      </c>
    </row>
    <row r="3173" spans="1:7">
      <c r="B3173" s="26" t="s">
        <v>1191</v>
      </c>
      <c r="C3173" s="26"/>
      <c r="D3173" s="68">
        <f>F3139</f>
        <v>100</v>
      </c>
      <c r="E3173" s="68" t="str">
        <f>G3139</f>
        <v>sqm</v>
      </c>
      <c r="F3173" s="26" t="s">
        <v>1698</v>
      </c>
      <c r="G3173" s="211">
        <f>G3172+G3171</f>
        <v>11693.95125</v>
      </c>
    </row>
    <row r="3174" spans="1:7">
      <c r="B3174" s="170" t="s">
        <v>1584</v>
      </c>
      <c r="C3174" s="211" t="str">
        <f>E3173</f>
        <v>sqm</v>
      </c>
      <c r="D3174" s="26" t="s">
        <v>5882</v>
      </c>
      <c r="F3174" s="26" t="s">
        <v>4108</v>
      </c>
      <c r="G3174" s="211">
        <f>ROUND(G3173/D3173,1)</f>
        <v>116.9</v>
      </c>
    </row>
    <row r="3175" spans="1:7">
      <c r="B3175" s="78"/>
      <c r="C3175" s="26"/>
    </row>
    <row r="3176" spans="1:7">
      <c r="B3176" s="78"/>
      <c r="C3176" s="26"/>
    </row>
    <row r="3177" spans="1:7" ht="18.75">
      <c r="A3177" s="865" t="s">
        <v>7577</v>
      </c>
      <c r="B3177" s="26" t="s">
        <v>8980</v>
      </c>
      <c r="C3177" s="26"/>
    </row>
    <row r="3178" spans="1:7">
      <c r="A3178" s="865"/>
      <c r="B3178" s="26" t="s">
        <v>6509</v>
      </c>
      <c r="C3178" s="26"/>
    </row>
    <row r="3179" spans="1:7" ht="18.75">
      <c r="A3179" s="865"/>
      <c r="B3179" s="170" t="s">
        <v>8715</v>
      </c>
      <c r="C3179" s="26"/>
    </row>
    <row r="3180" spans="1:7">
      <c r="A3180" s="865"/>
      <c r="B3180" s="26"/>
      <c r="C3180" s="26"/>
    </row>
    <row r="3181" spans="1:7" hidden="1">
      <c r="A3181" s="865" t="s">
        <v>3984</v>
      </c>
      <c r="B3181" s="26" t="s">
        <v>5014</v>
      </c>
      <c r="C3181" s="26"/>
      <c r="E3181" s="78"/>
    </row>
    <row r="3182" spans="1:7" hidden="1">
      <c r="A3182" s="865"/>
      <c r="B3182" s="26" t="s">
        <v>4362</v>
      </c>
      <c r="C3182" s="26"/>
      <c r="D3182" s="26">
        <v>1.32</v>
      </c>
      <c r="E3182" s="26" t="s">
        <v>3477</v>
      </c>
    </row>
    <row r="3183" spans="1:7" hidden="1">
      <c r="A3183" s="865"/>
      <c r="B3183" s="26" t="s">
        <v>2403</v>
      </c>
      <c r="C3183" s="26"/>
      <c r="E3183" s="26">
        <v>1.32</v>
      </c>
      <c r="F3183" s="26" t="s">
        <v>3477</v>
      </c>
    </row>
    <row r="3184" spans="1:7">
      <c r="B3184" s="78"/>
      <c r="C3184" s="26"/>
    </row>
    <row r="3185" spans="1:7">
      <c r="A3185" s="865" t="s">
        <v>3984</v>
      </c>
      <c r="B3185" s="78"/>
      <c r="C3185" s="203" t="s">
        <v>2367</v>
      </c>
      <c r="E3185" s="171" t="s">
        <v>297</v>
      </c>
      <c r="F3185" s="246">
        <v>100</v>
      </c>
      <c r="G3185" s="26" t="s">
        <v>3479</v>
      </c>
    </row>
    <row r="3186" spans="1:7">
      <c r="B3186" s="79" t="s">
        <v>2368</v>
      </c>
      <c r="C3186" s="26"/>
    </row>
    <row r="3187" spans="1:7">
      <c r="B3187" s="95" t="s">
        <v>2369</v>
      </c>
      <c r="C3187" s="157" t="s">
        <v>4443</v>
      </c>
      <c r="D3187" s="95" t="s">
        <v>2370</v>
      </c>
      <c r="E3187" s="95" t="s">
        <v>1166</v>
      </c>
      <c r="F3187" s="95" t="s">
        <v>2371</v>
      </c>
      <c r="G3187" s="95" t="s">
        <v>2372</v>
      </c>
    </row>
    <row r="3188" spans="1:7">
      <c r="B3188" s="114"/>
      <c r="C3188" s="154"/>
      <c r="D3188" s="114"/>
      <c r="E3188" s="114"/>
      <c r="F3188" s="114" t="s">
        <v>3485</v>
      </c>
      <c r="G3188" s="114" t="s">
        <v>3485</v>
      </c>
    </row>
    <row r="3189" spans="1:7">
      <c r="B3189" s="95">
        <v>1</v>
      </c>
      <c r="C3189" s="135" t="s">
        <v>5853</v>
      </c>
      <c r="D3189" s="95" t="s">
        <v>3478</v>
      </c>
      <c r="E3189" s="190">
        <v>629</v>
      </c>
      <c r="F3189" s="214">
        <f>'BASIC DATA'!$D$32/1000</f>
        <v>5.35</v>
      </c>
      <c r="G3189" s="190">
        <f>E3189*F3189</f>
        <v>3365.1499999999996</v>
      </c>
    </row>
    <row r="3190" spans="1:7">
      <c r="A3190" s="853"/>
      <c r="B3190" s="237">
        <v>2</v>
      </c>
      <c r="C3190" s="326" t="s">
        <v>6827</v>
      </c>
      <c r="D3190" s="240" t="s">
        <v>3477</v>
      </c>
      <c r="E3190" s="255">
        <v>1.32</v>
      </c>
      <c r="F3190" s="266">
        <f>'BASIC DATA'!$D$57</f>
        <v>165</v>
      </c>
      <c r="G3190" s="255">
        <f>E3190*F3190</f>
        <v>217.8</v>
      </c>
    </row>
    <row r="3191" spans="1:7">
      <c r="B3191" s="93"/>
      <c r="C3191" s="187"/>
      <c r="D3191" s="187"/>
      <c r="E3191" s="331" t="s">
        <v>2375</v>
      </c>
      <c r="F3191" s="344" t="s">
        <v>1698</v>
      </c>
      <c r="G3191" s="179">
        <f>SUM(G3189:G3190)</f>
        <v>3582.95</v>
      </c>
    </row>
    <row r="3192" spans="1:7">
      <c r="A3192" s="853"/>
      <c r="B3192" s="444"/>
      <c r="C3192" s="60" t="s">
        <v>5017</v>
      </c>
      <c r="D3192" s="60"/>
      <c r="E3192" s="685">
        <v>2.5000000000000001E-2</v>
      </c>
      <c r="F3192" s="523" t="s">
        <v>1698</v>
      </c>
      <c r="G3192" s="255">
        <f>E3192*$G$3191</f>
        <v>89.573750000000004</v>
      </c>
    </row>
    <row r="3193" spans="1:7">
      <c r="B3193" s="92"/>
      <c r="C3193" s="193" t="s">
        <v>2376</v>
      </c>
      <c r="D3193" s="159"/>
      <c r="E3193" s="238"/>
      <c r="F3193" s="236" t="s">
        <v>1698</v>
      </c>
      <c r="G3193" s="318">
        <f>SUM(G3191:G3192)</f>
        <v>3672.5237499999998</v>
      </c>
    </row>
    <row r="3194" spans="1:7">
      <c r="B3194" s="78"/>
      <c r="C3194" s="26"/>
      <c r="G3194" s="68"/>
    </row>
    <row r="3195" spans="1:7">
      <c r="B3195" s="79" t="s">
        <v>2377</v>
      </c>
      <c r="C3195" s="26"/>
    </row>
    <row r="3196" spans="1:7">
      <c r="B3196" s="95" t="s">
        <v>2369</v>
      </c>
      <c r="C3196" s="157" t="s">
        <v>2378</v>
      </c>
      <c r="D3196" s="95" t="s">
        <v>2370</v>
      </c>
      <c r="E3196" s="95" t="s">
        <v>1166</v>
      </c>
      <c r="F3196" s="95" t="s">
        <v>2371</v>
      </c>
      <c r="G3196" s="95" t="s">
        <v>2372</v>
      </c>
    </row>
    <row r="3197" spans="1:7">
      <c r="B3197" s="114"/>
      <c r="C3197" s="154"/>
      <c r="D3197" s="114"/>
      <c r="E3197" s="114"/>
      <c r="F3197" s="114" t="s">
        <v>3485</v>
      </c>
      <c r="G3197" s="114" t="s">
        <v>3485</v>
      </c>
    </row>
    <row r="3198" spans="1:7">
      <c r="B3198" s="95">
        <v>1</v>
      </c>
      <c r="C3198" s="95" t="s">
        <v>4168</v>
      </c>
      <c r="D3198" s="175"/>
      <c r="E3198" s="179">
        <v>0</v>
      </c>
      <c r="F3198" s="190">
        <v>0</v>
      </c>
      <c r="G3198" s="190">
        <f>E3198*F3198</f>
        <v>0</v>
      </c>
    </row>
    <row r="3199" spans="1:7">
      <c r="B3199" s="365"/>
      <c r="C3199" s="114" t="s">
        <v>5018</v>
      </c>
      <c r="D3199" s="188"/>
      <c r="E3199" s="182">
        <v>0</v>
      </c>
      <c r="F3199" s="182">
        <v>0</v>
      </c>
      <c r="G3199" s="182">
        <f>E3199*F3199</f>
        <v>0</v>
      </c>
    </row>
    <row r="3200" spans="1:7">
      <c r="B3200" s="176"/>
      <c r="C3200" s="172" t="s">
        <v>2380</v>
      </c>
      <c r="D3200" s="174"/>
      <c r="E3200" s="192"/>
      <c r="F3200" s="275" t="s">
        <v>1698</v>
      </c>
      <c r="G3200" s="434">
        <f>SUM(G3198:G3199)</f>
        <v>0</v>
      </c>
    </row>
    <row r="3201" spans="2:7">
      <c r="B3201" s="78"/>
      <c r="C3201" s="26"/>
    </row>
    <row r="3202" spans="2:7">
      <c r="B3202" s="79" t="s">
        <v>2381</v>
      </c>
      <c r="C3202" s="26"/>
    </row>
    <row r="3203" spans="2:7">
      <c r="B3203" s="95" t="s">
        <v>2369</v>
      </c>
      <c r="C3203" s="157" t="s">
        <v>2378</v>
      </c>
      <c r="D3203" s="95" t="s">
        <v>2370</v>
      </c>
      <c r="E3203" s="95" t="s">
        <v>1166</v>
      </c>
      <c r="F3203" s="95" t="s">
        <v>2371</v>
      </c>
      <c r="G3203" s="95" t="s">
        <v>2372</v>
      </c>
    </row>
    <row r="3204" spans="2:7">
      <c r="B3204" s="114"/>
      <c r="C3204" s="154"/>
      <c r="D3204" s="105"/>
      <c r="E3204" s="105"/>
      <c r="F3204" s="105" t="s">
        <v>3485</v>
      </c>
      <c r="G3204" s="114" t="s">
        <v>3485</v>
      </c>
    </row>
    <row r="3205" spans="2:7">
      <c r="B3205" s="95">
        <v>1</v>
      </c>
      <c r="C3205" s="76" t="s">
        <v>5019</v>
      </c>
      <c r="D3205" s="95" t="s">
        <v>1172</v>
      </c>
      <c r="E3205" s="179">
        <v>10</v>
      </c>
      <c r="F3205" s="179">
        <f>'BASIC DATA'!$C$474</f>
        <v>445</v>
      </c>
      <c r="G3205" s="207">
        <f>E3205*F3205</f>
        <v>4450</v>
      </c>
    </row>
    <row r="3206" spans="2:7">
      <c r="B3206" s="105">
        <v>2</v>
      </c>
      <c r="C3206" s="76" t="s">
        <v>4206</v>
      </c>
      <c r="D3206" s="105" t="s">
        <v>1172</v>
      </c>
      <c r="E3206" s="190">
        <v>1</v>
      </c>
      <c r="F3206" s="190">
        <f>'BASIC DATA'!$C$473</f>
        <v>450</v>
      </c>
      <c r="G3206" s="207">
        <f>E3206*F3206</f>
        <v>450</v>
      </c>
    </row>
    <row r="3207" spans="2:7">
      <c r="B3207" s="114">
        <v>3</v>
      </c>
      <c r="C3207" s="89" t="s">
        <v>2697</v>
      </c>
      <c r="D3207" s="114" t="s">
        <v>1172</v>
      </c>
      <c r="E3207" s="182">
        <v>20</v>
      </c>
      <c r="F3207" s="190">
        <f>'BASIC DATA'!$C$552</f>
        <v>350</v>
      </c>
      <c r="G3207" s="207">
        <f>E3207*F3207</f>
        <v>7000</v>
      </c>
    </row>
    <row r="3208" spans="2:7">
      <c r="B3208" s="176"/>
      <c r="C3208" s="172" t="s">
        <v>1174</v>
      </c>
      <c r="D3208" s="174"/>
      <c r="E3208" s="192"/>
      <c r="F3208" s="236" t="s">
        <v>1698</v>
      </c>
      <c r="G3208" s="318">
        <f>SUM(G3205:G3207)</f>
        <v>11900</v>
      </c>
    </row>
    <row r="3209" spans="2:7">
      <c r="B3209" s="60" t="s">
        <v>5948</v>
      </c>
      <c r="C3209" s="31"/>
      <c r="D3209" s="31"/>
      <c r="E3209" s="85">
        <f>ROUND(G3208/F3185,1)</f>
        <v>119</v>
      </c>
    </row>
    <row r="3210" spans="2:7">
      <c r="B3210" s="60" t="s">
        <v>3163</v>
      </c>
      <c r="C3210" s="31"/>
      <c r="D3210" s="922">
        <f>'BASIC DATA'!$C$577</f>
        <v>0.13614999999999999</v>
      </c>
      <c r="E3210" s="85">
        <f>ROUND(E3209*D3210,1)</f>
        <v>16.2</v>
      </c>
    </row>
    <row r="3211" spans="2:7">
      <c r="B3211" s="60" t="s">
        <v>5949</v>
      </c>
      <c r="C3211" s="31"/>
      <c r="D3211" s="31"/>
      <c r="E3211" s="199">
        <f>ROUND(E3210+E3209,1)</f>
        <v>135.19999999999999</v>
      </c>
      <c r="F3211" s="56"/>
    </row>
    <row r="3212" spans="2:7">
      <c r="B3212" s="78"/>
      <c r="C3212" s="26"/>
    </row>
    <row r="3213" spans="2:7">
      <c r="B3213" s="170" t="s">
        <v>1175</v>
      </c>
      <c r="C3213" s="26"/>
    </row>
    <row r="3214" spans="2:7">
      <c r="B3214" s="26" t="s">
        <v>1176</v>
      </c>
      <c r="C3214" s="26"/>
      <c r="F3214" s="171" t="s">
        <v>1698</v>
      </c>
      <c r="G3214" s="68">
        <f>G3193</f>
        <v>3672.5237499999998</v>
      </c>
    </row>
    <row r="3215" spans="2:7">
      <c r="B3215" s="26" t="s">
        <v>1186</v>
      </c>
      <c r="C3215" s="26"/>
      <c r="F3215" s="171" t="s">
        <v>1698</v>
      </c>
      <c r="G3215" s="68">
        <f>G3200</f>
        <v>0</v>
      </c>
    </row>
    <row r="3216" spans="2:7">
      <c r="B3216" s="26" t="s">
        <v>2660</v>
      </c>
      <c r="C3216" s="26"/>
      <c r="F3216" s="171" t="s">
        <v>1698</v>
      </c>
      <c r="G3216" s="75">
        <f>G3208</f>
        <v>11900</v>
      </c>
    </row>
    <row r="3217" spans="1:7">
      <c r="B3217" s="78"/>
      <c r="C3217" s="26"/>
      <c r="E3217" s="171"/>
      <c r="F3217" s="171" t="s">
        <v>302</v>
      </c>
      <c r="G3217" s="205">
        <f>SUM(G3214:G3216)</f>
        <v>15572.52375</v>
      </c>
    </row>
    <row r="3218" spans="1:7">
      <c r="B3218" s="1206" t="s">
        <v>1379</v>
      </c>
      <c r="C3218" s="1206"/>
      <c r="E3218" s="922">
        <f>'BASIC DATA'!$C$577</f>
        <v>0.13614999999999999</v>
      </c>
      <c r="F3218" s="26" t="s">
        <v>1698</v>
      </c>
      <c r="G3218" s="26">
        <f>ROUND(G3217*E3218,2)</f>
        <v>2120.1999999999998</v>
      </c>
    </row>
    <row r="3219" spans="1:7">
      <c r="B3219" s="26" t="s">
        <v>1191</v>
      </c>
      <c r="C3219" s="26"/>
      <c r="D3219" s="68">
        <f>F3185</f>
        <v>100</v>
      </c>
      <c r="E3219" s="68" t="str">
        <f>G3185</f>
        <v>sqm</v>
      </c>
      <c r="F3219" s="26" t="s">
        <v>1698</v>
      </c>
      <c r="G3219" s="211">
        <f>G3218+G3217</f>
        <v>17692.723750000001</v>
      </c>
    </row>
    <row r="3220" spans="1:7">
      <c r="B3220" s="170" t="s">
        <v>1584</v>
      </c>
      <c r="C3220" s="211" t="str">
        <f>E3219</f>
        <v>sqm</v>
      </c>
      <c r="D3220" s="26" t="s">
        <v>5882</v>
      </c>
      <c r="F3220" s="26" t="s">
        <v>4108</v>
      </c>
      <c r="G3220" s="211">
        <f>ROUND(G3219/D3219,1)</f>
        <v>176.9</v>
      </c>
    </row>
    <row r="3221" spans="1:7">
      <c r="B3221" s="78"/>
      <c r="C3221" s="26"/>
    </row>
    <row r="3222" spans="1:7">
      <c r="B3222" s="78"/>
      <c r="C3222" s="26"/>
    </row>
    <row r="3223" spans="1:7" ht="18.75">
      <c r="A3223" s="865" t="s">
        <v>7578</v>
      </c>
      <c r="B3223" s="26" t="s">
        <v>8981</v>
      </c>
      <c r="C3223" s="26"/>
    </row>
    <row r="3224" spans="1:7">
      <c r="A3224" s="865"/>
      <c r="B3224" s="26" t="s">
        <v>6509</v>
      </c>
      <c r="C3224" s="26"/>
    </row>
    <row r="3225" spans="1:7" ht="18.75">
      <c r="A3225" s="865"/>
      <c r="B3225" s="170" t="s">
        <v>8715</v>
      </c>
      <c r="C3225" s="26"/>
    </row>
    <row r="3226" spans="1:7">
      <c r="A3226" s="865"/>
      <c r="B3226" s="26"/>
      <c r="C3226" s="26"/>
    </row>
    <row r="3227" spans="1:7" hidden="1">
      <c r="A3227" s="865" t="s">
        <v>3984</v>
      </c>
      <c r="B3227" s="26" t="s">
        <v>5014</v>
      </c>
      <c r="C3227" s="26"/>
      <c r="E3227" s="78"/>
    </row>
    <row r="3228" spans="1:7" hidden="1">
      <c r="A3228" s="865"/>
      <c r="B3228" s="26" t="s">
        <v>3140</v>
      </c>
      <c r="C3228" s="26"/>
      <c r="D3228" s="26">
        <v>1.32</v>
      </c>
      <c r="E3228" s="26" t="s">
        <v>3477</v>
      </c>
    </row>
    <row r="3229" spans="1:7" hidden="1">
      <c r="A3229" s="865"/>
      <c r="B3229" s="26" t="s">
        <v>2404</v>
      </c>
      <c r="C3229" s="26"/>
      <c r="F3229" s="26">
        <v>1.32</v>
      </c>
      <c r="G3229" s="26" t="s">
        <v>3477</v>
      </c>
    </row>
    <row r="3230" spans="1:7">
      <c r="B3230" s="78"/>
      <c r="C3230" s="26"/>
    </row>
    <row r="3231" spans="1:7">
      <c r="A3231" s="865" t="s">
        <v>3984</v>
      </c>
      <c r="B3231" s="78"/>
      <c r="C3231" s="203" t="s">
        <v>2367</v>
      </c>
      <c r="E3231" s="171" t="s">
        <v>297</v>
      </c>
      <c r="F3231" s="246">
        <v>100</v>
      </c>
      <c r="G3231" s="26" t="s">
        <v>3479</v>
      </c>
    </row>
    <row r="3232" spans="1:7">
      <c r="B3232" s="79" t="s">
        <v>2368</v>
      </c>
      <c r="C3232" s="26"/>
    </row>
    <row r="3233" spans="1:7">
      <c r="B3233" s="95" t="s">
        <v>2369</v>
      </c>
      <c r="C3233" s="157" t="s">
        <v>4443</v>
      </c>
      <c r="D3233" s="95" t="s">
        <v>2370</v>
      </c>
      <c r="E3233" s="95" t="s">
        <v>1166</v>
      </c>
      <c r="F3233" s="95" t="s">
        <v>2371</v>
      </c>
      <c r="G3233" s="95" t="s">
        <v>2372</v>
      </c>
    </row>
    <row r="3234" spans="1:7">
      <c r="B3234" s="114"/>
      <c r="C3234" s="154"/>
      <c r="D3234" s="114"/>
      <c r="E3234" s="114"/>
      <c r="F3234" s="114" t="s">
        <v>3485</v>
      </c>
      <c r="G3234" s="114" t="s">
        <v>3485</v>
      </c>
    </row>
    <row r="3235" spans="1:7">
      <c r="B3235" s="95">
        <v>1</v>
      </c>
      <c r="C3235" s="135" t="s">
        <v>5853</v>
      </c>
      <c r="D3235" s="95" t="s">
        <v>3478</v>
      </c>
      <c r="E3235" s="190">
        <v>472</v>
      </c>
      <c r="F3235" s="214">
        <f>'BASIC DATA'!$D$32/1000</f>
        <v>5.35</v>
      </c>
      <c r="G3235" s="190">
        <f>E3235*F3235</f>
        <v>2525.1999999999998</v>
      </c>
    </row>
    <row r="3236" spans="1:7">
      <c r="A3236" s="853"/>
      <c r="B3236" s="237">
        <v>2</v>
      </c>
      <c r="C3236" s="326" t="s">
        <v>6827</v>
      </c>
      <c r="D3236" s="240" t="s">
        <v>3477</v>
      </c>
      <c r="E3236" s="255">
        <v>1.32</v>
      </c>
      <c r="F3236" s="266">
        <f>'BASIC DATA'!$D$57</f>
        <v>165</v>
      </c>
      <c r="G3236" s="255">
        <f>E3236*F3236</f>
        <v>217.8</v>
      </c>
    </row>
    <row r="3237" spans="1:7">
      <c r="B3237" s="93"/>
      <c r="C3237" s="187"/>
      <c r="D3237" s="187"/>
      <c r="E3237" s="331" t="s">
        <v>2375</v>
      </c>
      <c r="F3237" s="344" t="s">
        <v>1698</v>
      </c>
      <c r="G3237" s="179">
        <f>SUM(G3235:G3236)</f>
        <v>2743</v>
      </c>
    </row>
    <row r="3238" spans="1:7">
      <c r="B3238" s="93"/>
      <c r="C3238" s="31" t="s">
        <v>5017</v>
      </c>
      <c r="D3238" s="31"/>
      <c r="E3238" s="333">
        <v>2.5000000000000001E-2</v>
      </c>
      <c r="F3238" s="280" t="s">
        <v>1698</v>
      </c>
      <c r="G3238" s="190">
        <f>E3238*$G$3237</f>
        <v>68.575000000000003</v>
      </c>
    </row>
    <row r="3239" spans="1:7">
      <c r="B3239" s="92"/>
      <c r="C3239" s="193" t="s">
        <v>2376</v>
      </c>
      <c r="D3239" s="159"/>
      <c r="E3239" s="238"/>
      <c r="F3239" s="236" t="s">
        <v>1698</v>
      </c>
      <c r="G3239" s="318">
        <f>SUM(G3237:G3238)</f>
        <v>2811.5749999999998</v>
      </c>
    </row>
    <row r="3240" spans="1:7">
      <c r="B3240" s="78"/>
      <c r="C3240" s="26"/>
      <c r="G3240" s="68"/>
    </row>
    <row r="3241" spans="1:7">
      <c r="B3241" s="79" t="s">
        <v>2377</v>
      </c>
      <c r="C3241" s="26"/>
    </row>
    <row r="3242" spans="1:7">
      <c r="B3242" s="95" t="s">
        <v>2369</v>
      </c>
      <c r="C3242" s="157" t="s">
        <v>2378</v>
      </c>
      <c r="D3242" s="95" t="s">
        <v>2370</v>
      </c>
      <c r="E3242" s="95" t="s">
        <v>1166</v>
      </c>
      <c r="F3242" s="95" t="s">
        <v>2371</v>
      </c>
      <c r="G3242" s="95" t="s">
        <v>2372</v>
      </c>
    </row>
    <row r="3243" spans="1:7">
      <c r="B3243" s="114"/>
      <c r="C3243" s="154"/>
      <c r="D3243" s="114"/>
      <c r="E3243" s="114"/>
      <c r="F3243" s="114" t="s">
        <v>3485</v>
      </c>
      <c r="G3243" s="114" t="s">
        <v>3485</v>
      </c>
    </row>
    <row r="3244" spans="1:7">
      <c r="B3244" s="95">
        <v>1</v>
      </c>
      <c r="C3244" s="95" t="s">
        <v>4168</v>
      </c>
      <c r="D3244" s="175"/>
      <c r="E3244" s="179">
        <v>0</v>
      </c>
      <c r="F3244" s="190">
        <v>0</v>
      </c>
      <c r="G3244" s="190">
        <f>E3244*F3244</f>
        <v>0</v>
      </c>
    </row>
    <row r="3245" spans="1:7">
      <c r="B3245" s="365"/>
      <c r="C3245" s="114" t="s">
        <v>5018</v>
      </c>
      <c r="D3245" s="188"/>
      <c r="E3245" s="182">
        <v>0</v>
      </c>
      <c r="F3245" s="190">
        <v>0</v>
      </c>
      <c r="G3245" s="190">
        <f>E3245*F3245</f>
        <v>0</v>
      </c>
    </row>
    <row r="3246" spans="1:7">
      <c r="B3246" s="176"/>
      <c r="C3246" s="172" t="s">
        <v>2380</v>
      </c>
      <c r="D3246" s="174"/>
      <c r="E3246" s="192"/>
      <c r="F3246" s="236" t="s">
        <v>1698</v>
      </c>
      <c r="G3246" s="318">
        <f>SUM(G3244:G3245)</f>
        <v>0</v>
      </c>
    </row>
    <row r="3247" spans="1:7">
      <c r="B3247" s="78"/>
      <c r="C3247" s="26"/>
    </row>
    <row r="3248" spans="1:7">
      <c r="B3248" s="79" t="s">
        <v>2381</v>
      </c>
      <c r="C3248" s="26"/>
    </row>
    <row r="3249" spans="2:7">
      <c r="B3249" s="95" t="s">
        <v>2369</v>
      </c>
      <c r="C3249" s="157" t="s">
        <v>2378</v>
      </c>
      <c r="D3249" s="95" t="s">
        <v>2370</v>
      </c>
      <c r="E3249" s="95" t="s">
        <v>1166</v>
      </c>
      <c r="F3249" s="95" t="s">
        <v>2371</v>
      </c>
      <c r="G3249" s="95" t="s">
        <v>2372</v>
      </c>
    </row>
    <row r="3250" spans="2:7">
      <c r="B3250" s="114"/>
      <c r="C3250" s="154"/>
      <c r="D3250" s="105"/>
      <c r="E3250" s="105"/>
      <c r="F3250" s="105" t="s">
        <v>3485</v>
      </c>
      <c r="G3250" s="114" t="s">
        <v>3485</v>
      </c>
    </row>
    <row r="3251" spans="2:7">
      <c r="B3251" s="95">
        <v>1</v>
      </c>
      <c r="C3251" s="76" t="s">
        <v>5019</v>
      </c>
      <c r="D3251" s="95" t="s">
        <v>1172</v>
      </c>
      <c r="E3251" s="179">
        <v>10</v>
      </c>
      <c r="F3251" s="179">
        <f>'BASIC DATA'!$C$474</f>
        <v>445</v>
      </c>
      <c r="G3251" s="207">
        <f>E3251*F3251</f>
        <v>4450</v>
      </c>
    </row>
    <row r="3252" spans="2:7">
      <c r="B3252" s="105">
        <v>2</v>
      </c>
      <c r="C3252" s="76" t="s">
        <v>4206</v>
      </c>
      <c r="D3252" s="105" t="s">
        <v>1172</v>
      </c>
      <c r="E3252" s="190">
        <v>1</v>
      </c>
      <c r="F3252" s="190">
        <f>'BASIC DATA'!$C$473</f>
        <v>450</v>
      </c>
      <c r="G3252" s="207">
        <f>E3252*F3252</f>
        <v>450</v>
      </c>
    </row>
    <row r="3253" spans="2:7">
      <c r="B3253" s="114">
        <v>3</v>
      </c>
      <c r="C3253" s="89" t="s">
        <v>2697</v>
      </c>
      <c r="D3253" s="114" t="s">
        <v>1172</v>
      </c>
      <c r="E3253" s="182">
        <v>20</v>
      </c>
      <c r="F3253" s="182">
        <f>'BASIC DATA'!$C$552</f>
        <v>350</v>
      </c>
      <c r="G3253" s="207">
        <f>E3253*F3253</f>
        <v>7000</v>
      </c>
    </row>
    <row r="3254" spans="2:7">
      <c r="B3254" s="176"/>
      <c r="C3254" s="172" t="s">
        <v>1174</v>
      </c>
      <c r="D3254" s="174"/>
      <c r="E3254" s="192"/>
      <c r="F3254" s="275" t="s">
        <v>1698</v>
      </c>
      <c r="G3254" s="318">
        <f>SUM(G3251:G3253)</f>
        <v>11900</v>
      </c>
    </row>
    <row r="3255" spans="2:7">
      <c r="B3255" s="60" t="s">
        <v>5948</v>
      </c>
      <c r="C3255" s="31"/>
      <c r="D3255" s="31"/>
      <c r="E3255" s="85">
        <f>ROUND(G3254/F3231,1)</f>
        <v>119</v>
      </c>
    </row>
    <row r="3256" spans="2:7">
      <c r="B3256" s="60" t="s">
        <v>3163</v>
      </c>
      <c r="C3256" s="31"/>
      <c r="D3256" s="922">
        <f>'BASIC DATA'!$C$577</f>
        <v>0.13614999999999999</v>
      </c>
      <c r="E3256" s="85">
        <f>ROUND(E3255*D3256,1)</f>
        <v>16.2</v>
      </c>
    </row>
    <row r="3257" spans="2:7">
      <c r="B3257" s="60" t="s">
        <v>5949</v>
      </c>
      <c r="C3257" s="31"/>
      <c r="D3257" s="31"/>
      <c r="E3257" s="199">
        <f>ROUND(E3256+E3255,1)</f>
        <v>135.19999999999999</v>
      </c>
      <c r="F3257" s="56"/>
    </row>
    <row r="3258" spans="2:7">
      <c r="B3258" s="78"/>
      <c r="C3258" s="26"/>
    </row>
    <row r="3259" spans="2:7">
      <c r="B3259" s="170" t="s">
        <v>1175</v>
      </c>
      <c r="C3259" s="26"/>
    </row>
    <row r="3260" spans="2:7">
      <c r="B3260" s="26" t="s">
        <v>1176</v>
      </c>
      <c r="C3260" s="26"/>
      <c r="F3260" s="171" t="s">
        <v>1698</v>
      </c>
      <c r="G3260" s="68">
        <f>G3239</f>
        <v>2811.5749999999998</v>
      </c>
    </row>
    <row r="3261" spans="2:7">
      <c r="B3261" s="26" t="s">
        <v>1186</v>
      </c>
      <c r="C3261" s="26"/>
      <c r="F3261" s="171" t="s">
        <v>1698</v>
      </c>
      <c r="G3261" s="68">
        <f>G3246</f>
        <v>0</v>
      </c>
    </row>
    <row r="3262" spans="2:7">
      <c r="B3262" s="26" t="s">
        <v>2660</v>
      </c>
      <c r="C3262" s="26"/>
      <c r="F3262" s="171" t="s">
        <v>1698</v>
      </c>
      <c r="G3262" s="75">
        <f>G3254</f>
        <v>11900</v>
      </c>
    </row>
    <row r="3263" spans="2:7">
      <c r="B3263" s="78"/>
      <c r="C3263" s="26"/>
      <c r="E3263" s="171"/>
      <c r="F3263" s="171" t="s">
        <v>302</v>
      </c>
      <c r="G3263" s="205">
        <f>SUM(G3260:G3262)</f>
        <v>14711.575000000001</v>
      </c>
    </row>
    <row r="3264" spans="2:7">
      <c r="B3264" s="1206" t="s">
        <v>1379</v>
      </c>
      <c r="C3264" s="1206"/>
      <c r="E3264" s="922">
        <f>'BASIC DATA'!$C$577</f>
        <v>0.13614999999999999</v>
      </c>
      <c r="F3264" s="26" t="s">
        <v>1698</v>
      </c>
      <c r="G3264" s="26">
        <f>ROUND(G3263*E3264,2)</f>
        <v>2002.98</v>
      </c>
    </row>
    <row r="3265" spans="1:7">
      <c r="B3265" s="26" t="s">
        <v>1191</v>
      </c>
      <c r="C3265" s="26"/>
      <c r="D3265" s="68">
        <f>F3231</f>
        <v>100</v>
      </c>
      <c r="E3265" s="68" t="str">
        <f>G3231</f>
        <v>sqm</v>
      </c>
      <c r="F3265" s="26" t="s">
        <v>1698</v>
      </c>
      <c r="G3265" s="170">
        <f>G3264+G3263</f>
        <v>16714.555</v>
      </c>
    </row>
    <row r="3266" spans="1:7">
      <c r="B3266" s="170" t="s">
        <v>1584</v>
      </c>
      <c r="C3266" s="211" t="str">
        <f>E3265</f>
        <v>sqm</v>
      </c>
      <c r="D3266" s="26" t="s">
        <v>5882</v>
      </c>
      <c r="F3266" s="26" t="s">
        <v>4108</v>
      </c>
      <c r="G3266" s="211">
        <f>ROUND(G3265/D3265,1)</f>
        <v>167.1</v>
      </c>
    </row>
    <row r="3267" spans="1:7">
      <c r="B3267" s="78"/>
      <c r="C3267" s="26"/>
    </row>
    <row r="3268" spans="1:7">
      <c r="B3268" s="78"/>
      <c r="C3268" s="26"/>
    </row>
    <row r="3269" spans="1:7" ht="18.75">
      <c r="A3269" s="865" t="s">
        <v>7579</v>
      </c>
      <c r="B3269" s="26" t="s">
        <v>8982</v>
      </c>
      <c r="C3269" s="26"/>
    </row>
    <row r="3270" spans="1:7">
      <c r="A3270" s="865"/>
      <c r="B3270" s="26" t="s">
        <v>6509</v>
      </c>
      <c r="C3270" s="26"/>
    </row>
    <row r="3271" spans="1:7" ht="18.75">
      <c r="A3271" s="865"/>
      <c r="B3271" s="170" t="s">
        <v>8715</v>
      </c>
      <c r="C3271" s="26"/>
    </row>
    <row r="3272" spans="1:7">
      <c r="A3272" s="865"/>
      <c r="B3272" s="26"/>
      <c r="C3272" s="26"/>
    </row>
    <row r="3273" spans="1:7" hidden="1">
      <c r="A3273" s="865" t="s">
        <v>3984</v>
      </c>
      <c r="B3273" s="26" t="s">
        <v>5014</v>
      </c>
      <c r="C3273" s="26"/>
      <c r="E3273" s="78"/>
    </row>
    <row r="3274" spans="1:7" hidden="1">
      <c r="A3274" s="865"/>
      <c r="B3274" s="26" t="s">
        <v>1589</v>
      </c>
      <c r="C3274" s="26"/>
      <c r="D3274" s="68">
        <v>2.2000000000000002</v>
      </c>
      <c r="E3274" s="26" t="s">
        <v>3477</v>
      </c>
    </row>
    <row r="3275" spans="1:7" hidden="1">
      <c r="A3275" s="865"/>
      <c r="B3275" s="26" t="s">
        <v>2405</v>
      </c>
      <c r="C3275" s="26"/>
      <c r="E3275" s="26">
        <v>2.2000000000000002</v>
      </c>
      <c r="F3275" s="26" t="s">
        <v>3477</v>
      </c>
    </row>
    <row r="3276" spans="1:7" hidden="1">
      <c r="A3276" s="865"/>
      <c r="B3276" s="26" t="s">
        <v>6538</v>
      </c>
      <c r="C3276" s="26"/>
    </row>
    <row r="3277" spans="1:7" hidden="1">
      <c r="A3277" s="865"/>
      <c r="B3277" s="26" t="s">
        <v>6539</v>
      </c>
      <c r="C3277" s="26"/>
      <c r="E3277" s="78" t="s">
        <v>1697</v>
      </c>
      <c r="F3277" s="26">
        <v>20</v>
      </c>
      <c r="G3277" s="26" t="s">
        <v>1590</v>
      </c>
    </row>
    <row r="3278" spans="1:7" hidden="1">
      <c r="A3278" s="865"/>
      <c r="B3278" s="26" t="s">
        <v>5393</v>
      </c>
      <c r="C3278" s="26"/>
      <c r="E3278" s="78" t="s">
        <v>1697</v>
      </c>
      <c r="F3278" s="26">
        <v>10</v>
      </c>
      <c r="G3278" s="26" t="s">
        <v>1590</v>
      </c>
    </row>
    <row r="3279" spans="1:7" hidden="1">
      <c r="B3279" s="78"/>
      <c r="C3279" s="26"/>
    </row>
    <row r="3280" spans="1:7">
      <c r="B3280" s="78"/>
      <c r="C3280" s="26"/>
    </row>
    <row r="3281" spans="1:7">
      <c r="A3281" s="865" t="s">
        <v>3984</v>
      </c>
      <c r="B3281" s="78"/>
      <c r="C3281" s="203" t="s">
        <v>2367</v>
      </c>
      <c r="E3281" s="171" t="s">
        <v>297</v>
      </c>
      <c r="F3281" s="246">
        <v>100</v>
      </c>
      <c r="G3281" s="26" t="s">
        <v>3479</v>
      </c>
    </row>
    <row r="3282" spans="1:7">
      <c r="B3282" s="79" t="s">
        <v>2368</v>
      </c>
      <c r="C3282" s="26"/>
    </row>
    <row r="3283" spans="1:7">
      <c r="B3283" s="95" t="s">
        <v>2369</v>
      </c>
      <c r="C3283" s="157" t="s">
        <v>4443</v>
      </c>
      <c r="D3283" s="95" t="s">
        <v>2370</v>
      </c>
      <c r="E3283" s="95" t="s">
        <v>1166</v>
      </c>
      <c r="F3283" s="95" t="s">
        <v>2371</v>
      </c>
      <c r="G3283" s="95" t="s">
        <v>2372</v>
      </c>
    </row>
    <row r="3284" spans="1:7">
      <c r="B3284" s="114"/>
      <c r="C3284" s="154"/>
      <c r="D3284" s="114"/>
      <c r="E3284" s="114"/>
      <c r="F3284" s="114" t="s">
        <v>3485</v>
      </c>
      <c r="G3284" s="114" t="s">
        <v>3485</v>
      </c>
    </row>
    <row r="3285" spans="1:7">
      <c r="B3285" s="95">
        <v>1</v>
      </c>
      <c r="C3285" s="135" t="s">
        <v>5853</v>
      </c>
      <c r="D3285" s="95" t="s">
        <v>3478</v>
      </c>
      <c r="E3285" s="190">
        <v>1050</v>
      </c>
      <c r="F3285" s="214">
        <f>'BASIC DATA'!$D$32/1000</f>
        <v>5.35</v>
      </c>
      <c r="G3285" s="190">
        <f>E3285*F3285</f>
        <v>5617.5</v>
      </c>
    </row>
    <row r="3286" spans="1:7">
      <c r="A3286" s="853"/>
      <c r="B3286" s="237">
        <v>2</v>
      </c>
      <c r="C3286" s="326" t="s">
        <v>6827</v>
      </c>
      <c r="D3286" s="240" t="s">
        <v>3477</v>
      </c>
      <c r="E3286" s="255">
        <v>2.2000000000000002</v>
      </c>
      <c r="F3286" s="266">
        <f>'BASIC DATA'!$D$57</f>
        <v>165</v>
      </c>
      <c r="G3286" s="255">
        <f>E3286*F3286</f>
        <v>363.00000000000006</v>
      </c>
    </row>
    <row r="3287" spans="1:7">
      <c r="B3287" s="93"/>
      <c r="C3287" s="187"/>
      <c r="D3287" s="187"/>
      <c r="E3287" s="331" t="s">
        <v>2375</v>
      </c>
      <c r="F3287" s="344" t="s">
        <v>1698</v>
      </c>
      <c r="G3287" s="179">
        <f>SUM(G3285:G3286)</f>
        <v>5980.5</v>
      </c>
    </row>
    <row r="3288" spans="1:7">
      <c r="B3288" s="93"/>
      <c r="C3288" s="31" t="s">
        <v>5017</v>
      </c>
      <c r="D3288" s="31"/>
      <c r="E3288" s="333">
        <v>2.5000000000000001E-2</v>
      </c>
      <c r="F3288" s="280" t="s">
        <v>1698</v>
      </c>
      <c r="G3288" s="190">
        <f>E3288*$G$3287</f>
        <v>149.51250000000002</v>
      </c>
    </row>
    <row r="3289" spans="1:7">
      <c r="B3289" s="92"/>
      <c r="C3289" s="193" t="s">
        <v>2376</v>
      </c>
      <c r="D3289" s="159"/>
      <c r="E3289" s="238"/>
      <c r="F3289" s="236" t="s">
        <v>1698</v>
      </c>
      <c r="G3289" s="318">
        <f>SUM(G3287:G3288)</f>
        <v>6130.0124999999998</v>
      </c>
    </row>
    <row r="3290" spans="1:7">
      <c r="B3290" s="78"/>
      <c r="C3290" s="26"/>
      <c r="G3290" s="68"/>
    </row>
    <row r="3291" spans="1:7">
      <c r="B3291" s="79" t="s">
        <v>2377</v>
      </c>
      <c r="C3291" s="26"/>
    </row>
    <row r="3292" spans="1:7">
      <c r="B3292" s="95" t="s">
        <v>2369</v>
      </c>
      <c r="C3292" s="157" t="s">
        <v>2378</v>
      </c>
      <c r="D3292" s="95" t="s">
        <v>2370</v>
      </c>
      <c r="E3292" s="95" t="s">
        <v>1166</v>
      </c>
      <c r="F3292" s="95" t="s">
        <v>2371</v>
      </c>
      <c r="G3292" s="95" t="s">
        <v>2372</v>
      </c>
    </row>
    <row r="3293" spans="1:7">
      <c r="B3293" s="114"/>
      <c r="C3293" s="154"/>
      <c r="D3293" s="114"/>
      <c r="E3293" s="114"/>
      <c r="F3293" s="114" t="s">
        <v>3485</v>
      </c>
      <c r="G3293" s="114" t="s">
        <v>3485</v>
      </c>
    </row>
    <row r="3294" spans="1:7">
      <c r="B3294" s="95">
        <v>1</v>
      </c>
      <c r="C3294" s="95" t="s">
        <v>4168</v>
      </c>
      <c r="D3294" s="175"/>
      <c r="E3294" s="179">
        <v>0</v>
      </c>
      <c r="F3294" s="190">
        <v>0</v>
      </c>
      <c r="G3294" s="190">
        <f>E3294*F3294</f>
        <v>0</v>
      </c>
    </row>
    <row r="3295" spans="1:7">
      <c r="B3295" s="365"/>
      <c r="C3295" s="114" t="s">
        <v>5018</v>
      </c>
      <c r="D3295" s="188"/>
      <c r="E3295" s="182">
        <v>0</v>
      </c>
      <c r="F3295" s="182">
        <v>0</v>
      </c>
      <c r="G3295" s="190">
        <f>E3295*F3295</f>
        <v>0</v>
      </c>
    </row>
    <row r="3296" spans="1:7">
      <c r="B3296" s="176"/>
      <c r="C3296" s="172" t="s">
        <v>2380</v>
      </c>
      <c r="D3296" s="174"/>
      <c r="E3296" s="192"/>
      <c r="F3296" s="275" t="s">
        <v>1698</v>
      </c>
      <c r="G3296" s="318">
        <f>SUM(G3294:G3295)</f>
        <v>0</v>
      </c>
    </row>
    <row r="3297" spans="2:7">
      <c r="B3297" s="78"/>
      <c r="C3297" s="26"/>
    </row>
    <row r="3298" spans="2:7">
      <c r="B3298" s="79" t="s">
        <v>2381</v>
      </c>
      <c r="C3298" s="26"/>
    </row>
    <row r="3299" spans="2:7">
      <c r="B3299" s="95" t="s">
        <v>2369</v>
      </c>
      <c r="C3299" s="157" t="s">
        <v>2378</v>
      </c>
      <c r="D3299" s="95" t="s">
        <v>2370</v>
      </c>
      <c r="E3299" s="95" t="s">
        <v>1166</v>
      </c>
      <c r="F3299" s="95" t="s">
        <v>2371</v>
      </c>
      <c r="G3299" s="95" t="s">
        <v>2372</v>
      </c>
    </row>
    <row r="3300" spans="2:7">
      <c r="B3300" s="114"/>
      <c r="C3300" s="154"/>
      <c r="D3300" s="105"/>
      <c r="E3300" s="105"/>
      <c r="F3300" s="105" t="s">
        <v>3485</v>
      </c>
      <c r="G3300" s="114" t="s">
        <v>3485</v>
      </c>
    </row>
    <row r="3301" spans="2:7">
      <c r="B3301" s="95">
        <v>1</v>
      </c>
      <c r="C3301" s="76" t="s">
        <v>5019</v>
      </c>
      <c r="D3301" s="95" t="s">
        <v>1172</v>
      </c>
      <c r="E3301" s="179">
        <v>15</v>
      </c>
      <c r="F3301" s="179">
        <f>'BASIC DATA'!$C$474</f>
        <v>445</v>
      </c>
      <c r="G3301" s="207">
        <f>E3301*F3301</f>
        <v>6675</v>
      </c>
    </row>
    <row r="3302" spans="2:7">
      <c r="B3302" s="105">
        <v>2</v>
      </c>
      <c r="C3302" s="76" t="s">
        <v>4206</v>
      </c>
      <c r="D3302" s="105" t="s">
        <v>1172</v>
      </c>
      <c r="E3302" s="190">
        <v>1</v>
      </c>
      <c r="F3302" s="190">
        <f>'BASIC DATA'!$C$473</f>
        <v>450</v>
      </c>
      <c r="G3302" s="207">
        <f>E3302*F3302</f>
        <v>450</v>
      </c>
    </row>
    <row r="3303" spans="2:7">
      <c r="B3303" s="114">
        <v>3</v>
      </c>
      <c r="C3303" s="89" t="s">
        <v>2697</v>
      </c>
      <c r="D3303" s="114" t="s">
        <v>1172</v>
      </c>
      <c r="E3303" s="182">
        <v>25</v>
      </c>
      <c r="F3303" s="190">
        <f>'BASIC DATA'!$C$552</f>
        <v>350</v>
      </c>
      <c r="G3303" s="207">
        <f>E3303*F3303</f>
        <v>8750</v>
      </c>
    </row>
    <row r="3304" spans="2:7">
      <c r="B3304" s="176"/>
      <c r="C3304" s="172" t="s">
        <v>1174</v>
      </c>
      <c r="D3304" s="174"/>
      <c r="E3304" s="192"/>
      <c r="F3304" s="236" t="s">
        <v>1698</v>
      </c>
      <c r="G3304" s="318">
        <f>SUM(G3301:G3303)</f>
        <v>15875</v>
      </c>
    </row>
    <row r="3305" spans="2:7">
      <c r="B3305" s="60" t="s">
        <v>5948</v>
      </c>
      <c r="C3305" s="31"/>
      <c r="D3305" s="31"/>
      <c r="E3305" s="85">
        <f>ROUND(G3304/F3281,1)</f>
        <v>158.80000000000001</v>
      </c>
    </row>
    <row r="3306" spans="2:7">
      <c r="B3306" s="60" t="s">
        <v>3163</v>
      </c>
      <c r="C3306" s="31"/>
      <c r="D3306" s="922">
        <f>'BASIC DATA'!$C$577</f>
        <v>0.13614999999999999</v>
      </c>
      <c r="E3306" s="85">
        <f>ROUND(E3305*D3306,1)</f>
        <v>21.6</v>
      </c>
    </row>
    <row r="3307" spans="2:7">
      <c r="B3307" s="60" t="s">
        <v>5949</v>
      </c>
      <c r="C3307" s="31"/>
      <c r="D3307" s="31"/>
      <c r="E3307" s="199">
        <f>ROUND(E3306+E3305,1)</f>
        <v>180.4</v>
      </c>
      <c r="F3307" s="56"/>
    </row>
    <row r="3308" spans="2:7">
      <c r="B3308" s="78"/>
      <c r="C3308" s="26"/>
    </row>
    <row r="3309" spans="2:7">
      <c r="B3309" s="170" t="s">
        <v>1175</v>
      </c>
      <c r="C3309" s="26"/>
    </row>
    <row r="3310" spans="2:7">
      <c r="B3310" s="26" t="s">
        <v>1176</v>
      </c>
      <c r="C3310" s="26"/>
      <c r="F3310" s="171" t="s">
        <v>1698</v>
      </c>
      <c r="G3310" s="68">
        <f>G3289</f>
        <v>6130.0124999999998</v>
      </c>
    </row>
    <row r="3311" spans="2:7">
      <c r="B3311" s="26" t="s">
        <v>1186</v>
      </c>
      <c r="C3311" s="26"/>
      <c r="F3311" s="171" t="s">
        <v>1698</v>
      </c>
      <c r="G3311" s="68">
        <f>G3296</f>
        <v>0</v>
      </c>
    </row>
    <row r="3312" spans="2:7">
      <c r="B3312" s="26" t="s">
        <v>2660</v>
      </c>
      <c r="C3312" s="26"/>
      <c r="F3312" s="171" t="s">
        <v>1698</v>
      </c>
      <c r="G3312" s="75">
        <f>G3304</f>
        <v>15875</v>
      </c>
    </row>
    <row r="3313" spans="1:7">
      <c r="B3313" s="78"/>
      <c r="C3313" s="26"/>
      <c r="E3313" s="171"/>
      <c r="F3313" s="171" t="s">
        <v>302</v>
      </c>
      <c r="G3313" s="205">
        <f>SUM(G3310:G3312)</f>
        <v>22005.012500000001</v>
      </c>
    </row>
    <row r="3314" spans="1:7">
      <c r="B3314" s="1206" t="s">
        <v>1379</v>
      </c>
      <c r="C3314" s="1206"/>
      <c r="E3314" s="922">
        <f>'BASIC DATA'!$C$577</f>
        <v>0.13614999999999999</v>
      </c>
      <c r="F3314" s="26" t="s">
        <v>1698</v>
      </c>
      <c r="G3314" s="26">
        <f>ROUND(G3313*E3314,2)</f>
        <v>2995.98</v>
      </c>
    </row>
    <row r="3315" spans="1:7">
      <c r="B3315" s="26" t="s">
        <v>1191</v>
      </c>
      <c r="C3315" s="26"/>
      <c r="D3315" s="68">
        <f>F3281</f>
        <v>100</v>
      </c>
      <c r="E3315" s="68" t="str">
        <f>G3281</f>
        <v>sqm</v>
      </c>
      <c r="F3315" s="26" t="s">
        <v>1698</v>
      </c>
      <c r="G3315" s="211">
        <f>G3314+G3313</f>
        <v>25000.9925</v>
      </c>
    </row>
    <row r="3316" spans="1:7">
      <c r="B3316" s="170" t="s">
        <v>1584</v>
      </c>
      <c r="C3316" s="211" t="str">
        <f>E3315</f>
        <v>sqm</v>
      </c>
      <c r="D3316" s="26" t="s">
        <v>5882</v>
      </c>
      <c r="F3316" s="26" t="s">
        <v>4108</v>
      </c>
      <c r="G3316" s="211">
        <f>ROUND(G3315/D3315,1)</f>
        <v>250</v>
      </c>
    </row>
    <row r="3317" spans="1:7">
      <c r="B3317" s="78"/>
      <c r="C3317" s="26"/>
    </row>
    <row r="3318" spans="1:7">
      <c r="B3318" s="78"/>
      <c r="C3318" s="26"/>
    </row>
    <row r="3319" spans="1:7" ht="18.75">
      <c r="A3319" s="865" t="s">
        <v>7580</v>
      </c>
      <c r="B3319" s="26" t="s">
        <v>8983</v>
      </c>
      <c r="C3319" s="26"/>
    </row>
    <row r="3320" spans="1:7">
      <c r="A3320" s="865"/>
      <c r="B3320" s="26" t="s">
        <v>6509</v>
      </c>
      <c r="C3320" s="26"/>
    </row>
    <row r="3321" spans="1:7" ht="18.75">
      <c r="A3321" s="865"/>
      <c r="B3321" s="170" t="s">
        <v>8715</v>
      </c>
      <c r="C3321" s="26"/>
    </row>
    <row r="3322" spans="1:7">
      <c r="A3322" s="865"/>
      <c r="B3322" s="26"/>
      <c r="C3322" s="26"/>
    </row>
    <row r="3323" spans="1:7" hidden="1">
      <c r="A3323" s="865" t="s">
        <v>3984</v>
      </c>
      <c r="B3323" s="26" t="s">
        <v>5014</v>
      </c>
      <c r="C3323" s="26"/>
      <c r="E3323" s="78"/>
    </row>
    <row r="3324" spans="1:7" hidden="1">
      <c r="A3324" s="865"/>
      <c r="B3324" s="26" t="s">
        <v>1591</v>
      </c>
      <c r="C3324" s="26"/>
      <c r="D3324" s="68">
        <v>2.2000000000000002</v>
      </c>
      <c r="E3324" s="26" t="s">
        <v>3477</v>
      </c>
    </row>
    <row r="3325" spans="1:7" hidden="1">
      <c r="A3325" s="865"/>
      <c r="B3325" s="26" t="s">
        <v>3494</v>
      </c>
      <c r="C3325" s="26"/>
      <c r="F3325" s="26">
        <v>2.2000000000000002</v>
      </c>
      <c r="G3325" s="26" t="s">
        <v>3477</v>
      </c>
    </row>
    <row r="3326" spans="1:7" hidden="1">
      <c r="A3326" s="865"/>
      <c r="B3326" s="26" t="s">
        <v>6538</v>
      </c>
      <c r="C3326" s="26"/>
    </row>
    <row r="3327" spans="1:7" hidden="1">
      <c r="A3327" s="865"/>
      <c r="B3327" s="26" t="s">
        <v>6539</v>
      </c>
      <c r="C3327" s="26"/>
      <c r="D3327" s="78" t="s">
        <v>1697</v>
      </c>
      <c r="E3327" s="26">
        <v>20</v>
      </c>
      <c r="F3327" s="26" t="s">
        <v>1590</v>
      </c>
    </row>
    <row r="3328" spans="1:7" hidden="1">
      <c r="A3328" s="865"/>
      <c r="B3328" s="26" t="s">
        <v>5394</v>
      </c>
      <c r="C3328" s="26"/>
      <c r="D3328" s="78" t="s">
        <v>1697</v>
      </c>
      <c r="E3328" s="26">
        <v>10</v>
      </c>
      <c r="F3328" s="26" t="s">
        <v>1590</v>
      </c>
    </row>
    <row r="3329" spans="1:7" hidden="1">
      <c r="B3329" s="78"/>
      <c r="C3329" s="26"/>
    </row>
    <row r="3330" spans="1:7">
      <c r="B3330" s="78"/>
      <c r="C3330" s="26"/>
    </row>
    <row r="3331" spans="1:7">
      <c r="A3331" s="865" t="s">
        <v>3984</v>
      </c>
      <c r="B3331" s="78"/>
      <c r="C3331" s="203" t="s">
        <v>2367</v>
      </c>
      <c r="E3331" s="171" t="s">
        <v>297</v>
      </c>
      <c r="F3331" s="246">
        <v>100</v>
      </c>
      <c r="G3331" s="26" t="s">
        <v>3479</v>
      </c>
    </row>
    <row r="3332" spans="1:7">
      <c r="B3332" s="79" t="s">
        <v>2368</v>
      </c>
      <c r="C3332" s="26"/>
    </row>
    <row r="3333" spans="1:7">
      <c r="B3333" s="95" t="s">
        <v>2369</v>
      </c>
      <c r="C3333" s="157" t="s">
        <v>4443</v>
      </c>
      <c r="D3333" s="95" t="s">
        <v>2370</v>
      </c>
      <c r="E3333" s="95" t="s">
        <v>1166</v>
      </c>
      <c r="F3333" s="95" t="s">
        <v>2371</v>
      </c>
      <c r="G3333" s="95" t="s">
        <v>2372</v>
      </c>
    </row>
    <row r="3334" spans="1:7">
      <c r="B3334" s="114"/>
      <c r="C3334" s="154"/>
      <c r="D3334" s="114"/>
      <c r="E3334" s="114"/>
      <c r="F3334" s="114" t="s">
        <v>3485</v>
      </c>
      <c r="G3334" s="114" t="s">
        <v>3485</v>
      </c>
    </row>
    <row r="3335" spans="1:7">
      <c r="B3335" s="95">
        <v>1</v>
      </c>
      <c r="C3335" s="135" t="s">
        <v>5853</v>
      </c>
      <c r="D3335" s="95" t="s">
        <v>3478</v>
      </c>
      <c r="E3335" s="190">
        <v>788</v>
      </c>
      <c r="F3335" s="214">
        <f>'BASIC DATA'!$D$32/1000</f>
        <v>5.35</v>
      </c>
      <c r="G3335" s="190">
        <f>E3335*F3335</f>
        <v>4215.7999999999993</v>
      </c>
    </row>
    <row r="3336" spans="1:7">
      <c r="A3336" s="853"/>
      <c r="B3336" s="237">
        <v>2</v>
      </c>
      <c r="C3336" s="326" t="s">
        <v>6827</v>
      </c>
      <c r="D3336" s="240" t="s">
        <v>3477</v>
      </c>
      <c r="E3336" s="255">
        <v>2.2000000000000002</v>
      </c>
      <c r="F3336" s="266">
        <f>'BASIC DATA'!$D$57</f>
        <v>165</v>
      </c>
      <c r="G3336" s="255">
        <f>E3336*F3336</f>
        <v>363.00000000000006</v>
      </c>
    </row>
    <row r="3337" spans="1:7">
      <c r="B3337" s="93"/>
      <c r="C3337" s="187"/>
      <c r="D3337" s="187"/>
      <c r="E3337" s="331" t="s">
        <v>2375</v>
      </c>
      <c r="F3337" s="344" t="s">
        <v>1698</v>
      </c>
      <c r="G3337" s="179">
        <f>SUM(G3335:G3336)</f>
        <v>4578.7999999999993</v>
      </c>
    </row>
    <row r="3338" spans="1:7">
      <c r="B3338" s="93"/>
      <c r="C3338" s="31" t="s">
        <v>5017</v>
      </c>
      <c r="D3338" s="31"/>
      <c r="E3338" s="333">
        <v>2.5000000000000001E-2</v>
      </c>
      <c r="F3338" s="280" t="s">
        <v>1698</v>
      </c>
      <c r="G3338" s="190">
        <f>E3338*$G$3337</f>
        <v>114.46999999999998</v>
      </c>
    </row>
    <row r="3339" spans="1:7">
      <c r="B3339" s="92"/>
      <c r="C3339" s="193" t="s">
        <v>2376</v>
      </c>
      <c r="D3339" s="159"/>
      <c r="E3339" s="238"/>
      <c r="F3339" s="236" t="s">
        <v>1698</v>
      </c>
      <c r="G3339" s="318">
        <f>SUM(G3337:G3338)</f>
        <v>4693.2699999999995</v>
      </c>
    </row>
    <row r="3340" spans="1:7">
      <c r="B3340" s="78"/>
      <c r="C3340" s="26"/>
      <c r="G3340" s="68"/>
    </row>
    <row r="3341" spans="1:7">
      <c r="B3341" s="79" t="s">
        <v>2377</v>
      </c>
      <c r="C3341" s="26"/>
    </row>
    <row r="3342" spans="1:7">
      <c r="B3342" s="95" t="s">
        <v>2369</v>
      </c>
      <c r="C3342" s="157" t="s">
        <v>2378</v>
      </c>
      <c r="D3342" s="95" t="s">
        <v>2370</v>
      </c>
      <c r="E3342" s="95" t="s">
        <v>1166</v>
      </c>
      <c r="F3342" s="95" t="s">
        <v>2371</v>
      </c>
      <c r="G3342" s="95" t="s">
        <v>2372</v>
      </c>
    </row>
    <row r="3343" spans="1:7">
      <c r="B3343" s="114"/>
      <c r="C3343" s="154"/>
      <c r="D3343" s="114"/>
      <c r="E3343" s="114"/>
      <c r="F3343" s="114" t="s">
        <v>3485</v>
      </c>
      <c r="G3343" s="114" t="s">
        <v>3485</v>
      </c>
    </row>
    <row r="3344" spans="1:7">
      <c r="B3344" s="95">
        <v>1</v>
      </c>
      <c r="C3344" s="95" t="s">
        <v>4168</v>
      </c>
      <c r="D3344" s="175"/>
      <c r="E3344" s="179">
        <v>0</v>
      </c>
      <c r="F3344" s="190">
        <v>0</v>
      </c>
      <c r="G3344" s="190">
        <f>E3344*F3344</f>
        <v>0</v>
      </c>
    </row>
    <row r="3345" spans="2:7">
      <c r="B3345" s="365"/>
      <c r="C3345" s="114" t="s">
        <v>5018</v>
      </c>
      <c r="D3345" s="188"/>
      <c r="E3345" s="182">
        <v>0</v>
      </c>
      <c r="F3345" s="182">
        <v>0</v>
      </c>
      <c r="G3345" s="190">
        <f>E3345*F3345</f>
        <v>0</v>
      </c>
    </row>
    <row r="3346" spans="2:7">
      <c r="B3346" s="176"/>
      <c r="C3346" s="172" t="s">
        <v>2380</v>
      </c>
      <c r="D3346" s="174"/>
      <c r="E3346" s="192"/>
      <c r="F3346" s="275" t="s">
        <v>1698</v>
      </c>
      <c r="G3346" s="318">
        <f>SUM(G3344:G3345)</f>
        <v>0</v>
      </c>
    </row>
    <row r="3347" spans="2:7">
      <c r="B3347" s="78"/>
      <c r="C3347" s="26"/>
    </row>
    <row r="3348" spans="2:7">
      <c r="B3348" s="79" t="s">
        <v>2381</v>
      </c>
      <c r="C3348" s="26"/>
    </row>
    <row r="3349" spans="2:7">
      <c r="B3349" s="95" t="s">
        <v>2369</v>
      </c>
      <c r="C3349" s="157" t="s">
        <v>2378</v>
      </c>
      <c r="D3349" s="95" t="s">
        <v>2370</v>
      </c>
      <c r="E3349" s="95" t="s">
        <v>1166</v>
      </c>
      <c r="F3349" s="95" t="s">
        <v>2371</v>
      </c>
      <c r="G3349" s="95" t="s">
        <v>2372</v>
      </c>
    </row>
    <row r="3350" spans="2:7">
      <c r="B3350" s="114"/>
      <c r="C3350" s="154"/>
      <c r="D3350" s="105"/>
      <c r="E3350" s="105"/>
      <c r="F3350" s="105" t="s">
        <v>3485</v>
      </c>
      <c r="G3350" s="114" t="s">
        <v>3485</v>
      </c>
    </row>
    <row r="3351" spans="2:7">
      <c r="B3351" s="95">
        <v>1</v>
      </c>
      <c r="C3351" s="76" t="s">
        <v>5019</v>
      </c>
      <c r="D3351" s="95" t="s">
        <v>1172</v>
      </c>
      <c r="E3351" s="179">
        <v>15</v>
      </c>
      <c r="F3351" s="179">
        <f>'BASIC DATA'!$C$474</f>
        <v>445</v>
      </c>
      <c r="G3351" s="207">
        <f>E3351*F3351</f>
        <v>6675</v>
      </c>
    </row>
    <row r="3352" spans="2:7">
      <c r="B3352" s="105">
        <v>2</v>
      </c>
      <c r="C3352" s="76" t="s">
        <v>4206</v>
      </c>
      <c r="D3352" s="105" t="s">
        <v>1172</v>
      </c>
      <c r="E3352" s="190">
        <v>1</v>
      </c>
      <c r="F3352" s="190">
        <f>'BASIC DATA'!$C$473</f>
        <v>450</v>
      </c>
      <c r="G3352" s="207">
        <f>E3352*F3352</f>
        <v>450</v>
      </c>
    </row>
    <row r="3353" spans="2:7">
      <c r="B3353" s="114">
        <v>3</v>
      </c>
      <c r="C3353" s="89" t="s">
        <v>2697</v>
      </c>
      <c r="D3353" s="114" t="s">
        <v>1172</v>
      </c>
      <c r="E3353" s="182">
        <v>25</v>
      </c>
      <c r="F3353" s="182">
        <f>'BASIC DATA'!$C$552</f>
        <v>350</v>
      </c>
      <c r="G3353" s="207">
        <f>E3353*F3353</f>
        <v>8750</v>
      </c>
    </row>
    <row r="3354" spans="2:7">
      <c r="B3354" s="176"/>
      <c r="C3354" s="172" t="s">
        <v>1174</v>
      </c>
      <c r="D3354" s="174"/>
      <c r="E3354" s="192"/>
      <c r="F3354" s="275" t="s">
        <v>1698</v>
      </c>
      <c r="G3354" s="318">
        <f>SUM(G3351:G3353)</f>
        <v>15875</v>
      </c>
    </row>
    <row r="3355" spans="2:7">
      <c r="B3355" s="60" t="s">
        <v>5948</v>
      </c>
      <c r="C3355" s="31"/>
      <c r="D3355" s="31"/>
      <c r="E3355" s="85">
        <f>ROUND(G3354/F3331,1)</f>
        <v>158.80000000000001</v>
      </c>
    </row>
    <row r="3356" spans="2:7">
      <c r="B3356" s="60" t="s">
        <v>3163</v>
      </c>
      <c r="C3356" s="31"/>
      <c r="D3356" s="922">
        <f>'BASIC DATA'!$C$577</f>
        <v>0.13614999999999999</v>
      </c>
      <c r="E3356" s="85">
        <f>ROUND(E3355*D3356,1)</f>
        <v>21.6</v>
      </c>
    </row>
    <row r="3357" spans="2:7">
      <c r="B3357" s="60" t="s">
        <v>5949</v>
      </c>
      <c r="C3357" s="31"/>
      <c r="D3357" s="31"/>
      <c r="E3357" s="199">
        <f>ROUND(E3356+E3355,1)</f>
        <v>180.4</v>
      </c>
      <c r="F3357" s="56"/>
    </row>
    <row r="3358" spans="2:7">
      <c r="B3358" s="78"/>
      <c r="C3358" s="26"/>
    </row>
    <row r="3359" spans="2:7">
      <c r="B3359" s="170" t="s">
        <v>1175</v>
      </c>
      <c r="C3359" s="26"/>
    </row>
    <row r="3360" spans="2:7">
      <c r="B3360" s="26" t="s">
        <v>1176</v>
      </c>
      <c r="C3360" s="26"/>
      <c r="F3360" s="171" t="s">
        <v>1698</v>
      </c>
      <c r="G3360" s="68">
        <f>G3339</f>
        <v>4693.2699999999995</v>
      </c>
    </row>
    <row r="3361" spans="1:7">
      <c r="B3361" s="26" t="s">
        <v>1186</v>
      </c>
      <c r="C3361" s="26"/>
      <c r="F3361" s="171" t="s">
        <v>1698</v>
      </c>
      <c r="G3361" s="68">
        <f>G3346</f>
        <v>0</v>
      </c>
    </row>
    <row r="3362" spans="1:7">
      <c r="B3362" s="26" t="s">
        <v>2660</v>
      </c>
      <c r="C3362" s="26"/>
      <c r="F3362" s="171" t="s">
        <v>1698</v>
      </c>
      <c r="G3362" s="75">
        <f>G3354</f>
        <v>15875</v>
      </c>
    </row>
    <row r="3363" spans="1:7">
      <c r="B3363" s="78"/>
      <c r="C3363" s="26"/>
      <c r="E3363" s="171"/>
      <c r="F3363" s="171" t="s">
        <v>302</v>
      </c>
      <c r="G3363" s="205">
        <f>SUM(G3360:G3362)</f>
        <v>20568.27</v>
      </c>
    </row>
    <row r="3364" spans="1:7">
      <c r="B3364" s="1206" t="s">
        <v>1379</v>
      </c>
      <c r="C3364" s="1206"/>
      <c r="E3364" s="922">
        <f>'BASIC DATA'!$C$577</f>
        <v>0.13614999999999999</v>
      </c>
      <c r="F3364" s="26" t="s">
        <v>1698</v>
      </c>
      <c r="G3364" s="26">
        <f>ROUND(G3363*E3364,2)</f>
        <v>2800.37</v>
      </c>
    </row>
    <row r="3365" spans="1:7">
      <c r="B3365" s="26" t="s">
        <v>1191</v>
      </c>
      <c r="C3365" s="26"/>
      <c r="D3365" s="68">
        <f>F3331</f>
        <v>100</v>
      </c>
      <c r="E3365" s="68" t="str">
        <f>G3331</f>
        <v>sqm</v>
      </c>
      <c r="F3365" s="26" t="s">
        <v>1698</v>
      </c>
      <c r="G3365" s="170">
        <f>G3364+G3363</f>
        <v>23368.639999999999</v>
      </c>
    </row>
    <row r="3366" spans="1:7">
      <c r="B3366" s="170" t="s">
        <v>1584</v>
      </c>
      <c r="C3366" s="211" t="str">
        <f>E3365</f>
        <v>sqm</v>
      </c>
      <c r="D3366" s="26" t="s">
        <v>5882</v>
      </c>
      <c r="F3366" s="26" t="s">
        <v>4108</v>
      </c>
      <c r="G3366" s="211">
        <f>ROUND(G3365/D3365,1)</f>
        <v>233.7</v>
      </c>
    </row>
    <row r="3367" spans="1:7">
      <c r="B3367" s="78"/>
      <c r="C3367" s="26"/>
    </row>
    <row r="3368" spans="1:7">
      <c r="A3368" s="865" t="s">
        <v>7581</v>
      </c>
      <c r="B3368" s="170" t="s">
        <v>1413</v>
      </c>
      <c r="C3368" s="26"/>
    </row>
    <row r="3369" spans="1:7">
      <c r="A3369" s="865"/>
      <c r="B3369" s="26"/>
      <c r="C3369" s="26"/>
    </row>
    <row r="3370" spans="1:7" ht="18.75">
      <c r="A3370" s="865" t="s">
        <v>7582</v>
      </c>
      <c r="B3370" s="26" t="s">
        <v>8984</v>
      </c>
      <c r="C3370" s="26"/>
    </row>
    <row r="3371" spans="1:7">
      <c r="A3371" s="865"/>
      <c r="B3371" s="26" t="s">
        <v>8985</v>
      </c>
      <c r="C3371" s="26"/>
    </row>
    <row r="3372" spans="1:7" ht="18.75">
      <c r="A3372" s="865"/>
      <c r="B3372" s="26" t="s">
        <v>8986</v>
      </c>
      <c r="C3372" s="26"/>
    </row>
    <row r="3373" spans="1:7">
      <c r="A3373" s="865"/>
      <c r="B3373" s="170" t="s">
        <v>2735</v>
      </c>
      <c r="C3373" s="26"/>
    </row>
    <row r="3374" spans="1:7">
      <c r="A3374" s="865"/>
      <c r="B3374" s="170" t="s">
        <v>8050</v>
      </c>
      <c r="C3374" s="26"/>
    </row>
    <row r="3375" spans="1:7">
      <c r="A3375" s="865"/>
      <c r="B3375" s="170" t="s">
        <v>8051</v>
      </c>
      <c r="C3375" s="26"/>
    </row>
    <row r="3376" spans="1:7" hidden="1">
      <c r="A3376" s="865" t="s">
        <v>3984</v>
      </c>
      <c r="B3376" s="26" t="s">
        <v>3675</v>
      </c>
      <c r="C3376" s="26"/>
      <c r="E3376" s="78"/>
    </row>
    <row r="3377" spans="1:7" hidden="1">
      <c r="A3377" s="865"/>
      <c r="B3377" s="26" t="s">
        <v>7332</v>
      </c>
      <c r="C3377" s="26"/>
      <c r="E3377" s="68">
        <v>0.3</v>
      </c>
      <c r="F3377" s="26" t="s">
        <v>3477</v>
      </c>
    </row>
    <row r="3378" spans="1:7" hidden="1">
      <c r="A3378" s="855"/>
      <c r="B3378" s="61" t="s">
        <v>1592</v>
      </c>
      <c r="C3378" s="61"/>
      <c r="D3378" s="223">
        <v>10.5</v>
      </c>
      <c r="E3378" s="61" t="s">
        <v>3479</v>
      </c>
      <c r="F3378" s="61"/>
      <c r="G3378" s="61"/>
    </row>
    <row r="3379" spans="1:7">
      <c r="B3379" s="78"/>
      <c r="C3379" s="26"/>
    </row>
    <row r="3380" spans="1:7">
      <c r="A3380" s="865" t="s">
        <v>3984</v>
      </c>
      <c r="B3380" s="78"/>
      <c r="C3380" s="203" t="s">
        <v>2367</v>
      </c>
      <c r="E3380" s="171" t="s">
        <v>297</v>
      </c>
      <c r="F3380" s="246">
        <v>10</v>
      </c>
      <c r="G3380" s="26" t="s">
        <v>3479</v>
      </c>
    </row>
    <row r="3381" spans="1:7">
      <c r="B3381" s="79" t="s">
        <v>2368</v>
      </c>
      <c r="C3381" s="26"/>
    </row>
    <row r="3382" spans="1:7">
      <c r="B3382" s="95" t="s">
        <v>2369</v>
      </c>
      <c r="C3382" s="157" t="s">
        <v>4443</v>
      </c>
      <c r="D3382" s="95" t="s">
        <v>2370</v>
      </c>
      <c r="E3382" s="95" t="s">
        <v>1166</v>
      </c>
      <c r="F3382" s="95" t="s">
        <v>2371</v>
      </c>
      <c r="G3382" s="95" t="s">
        <v>2372</v>
      </c>
    </row>
    <row r="3383" spans="1:7">
      <c r="B3383" s="114"/>
      <c r="C3383" s="154"/>
      <c r="D3383" s="114"/>
      <c r="E3383" s="114"/>
      <c r="F3383" s="114" t="s">
        <v>3485</v>
      </c>
      <c r="G3383" s="114" t="s">
        <v>3485</v>
      </c>
    </row>
    <row r="3384" spans="1:7">
      <c r="B3384" s="95">
        <v>1</v>
      </c>
      <c r="C3384" s="135" t="s">
        <v>5853</v>
      </c>
      <c r="D3384" s="95" t="s">
        <v>3478</v>
      </c>
      <c r="E3384" s="190">
        <v>75</v>
      </c>
      <c r="F3384" s="214">
        <f>'BASIC DATA'!$D$32/1000</f>
        <v>5.35</v>
      </c>
      <c r="G3384" s="190">
        <f>E3384*F3384</f>
        <v>401.25</v>
      </c>
    </row>
    <row r="3385" spans="1:7">
      <c r="A3385" s="853"/>
      <c r="B3385" s="240">
        <v>2</v>
      </c>
      <c r="C3385" s="326" t="s">
        <v>6827</v>
      </c>
      <c r="D3385" s="240" t="s">
        <v>3477</v>
      </c>
      <c r="E3385" s="255">
        <v>0.3</v>
      </c>
      <c r="F3385" s="266">
        <f>'BASIC DATA'!$D$57</f>
        <v>165</v>
      </c>
      <c r="G3385" s="255">
        <f>E3385*F3385</f>
        <v>49.5</v>
      </c>
    </row>
    <row r="3386" spans="1:7">
      <c r="B3386" s="114">
        <v>3</v>
      </c>
      <c r="C3386" s="139" t="s">
        <v>5731</v>
      </c>
      <c r="D3386" s="114" t="s">
        <v>3479</v>
      </c>
      <c r="E3386" s="182">
        <v>10.5</v>
      </c>
      <c r="F3386" s="215">
        <f>'BASIC DATA'!$D$31</f>
        <v>320</v>
      </c>
      <c r="G3386" s="182">
        <f>E3386*F3386</f>
        <v>3360</v>
      </c>
    </row>
    <row r="3387" spans="1:7">
      <c r="B3387" s="92"/>
      <c r="C3387" s="193" t="s">
        <v>2376</v>
      </c>
      <c r="D3387" s="159"/>
      <c r="E3387" s="238"/>
      <c r="F3387" s="236" t="s">
        <v>1698</v>
      </c>
      <c r="G3387" s="318">
        <f>SUM(G3384:G3386)</f>
        <v>3810.75</v>
      </c>
    </row>
    <row r="3388" spans="1:7">
      <c r="B3388" s="78"/>
      <c r="C3388" s="26"/>
      <c r="G3388" s="68"/>
    </row>
    <row r="3389" spans="1:7">
      <c r="B3389" s="79" t="s">
        <v>2377</v>
      </c>
      <c r="C3389" s="26"/>
    </row>
    <row r="3390" spans="1:7">
      <c r="B3390" s="95" t="s">
        <v>2369</v>
      </c>
      <c r="C3390" s="157" t="s">
        <v>2378</v>
      </c>
      <c r="D3390" s="95" t="s">
        <v>2370</v>
      </c>
      <c r="E3390" s="95" t="s">
        <v>1166</v>
      </c>
      <c r="F3390" s="95" t="s">
        <v>2371</v>
      </c>
      <c r="G3390" s="95" t="s">
        <v>2372</v>
      </c>
    </row>
    <row r="3391" spans="1:7">
      <c r="B3391" s="114"/>
      <c r="C3391" s="154"/>
      <c r="D3391" s="114"/>
      <c r="E3391" s="114"/>
      <c r="F3391" s="114" t="s">
        <v>3485</v>
      </c>
      <c r="G3391" s="114" t="s">
        <v>3485</v>
      </c>
    </row>
    <row r="3392" spans="1:7">
      <c r="B3392" s="95">
        <v>1</v>
      </c>
      <c r="C3392" s="95" t="s">
        <v>4168</v>
      </c>
      <c r="D3392" s="175"/>
      <c r="E3392" s="179">
        <v>0</v>
      </c>
      <c r="F3392" s="190">
        <v>0</v>
      </c>
      <c r="G3392" s="190">
        <f>E3392*F3392</f>
        <v>0</v>
      </c>
    </row>
    <row r="3393" spans="2:7">
      <c r="B3393" s="365"/>
      <c r="C3393" s="114" t="s">
        <v>5018</v>
      </c>
      <c r="D3393" s="188"/>
      <c r="E3393" s="182">
        <v>0</v>
      </c>
      <c r="F3393" s="182">
        <v>0</v>
      </c>
      <c r="G3393" s="190">
        <f>E3393*F3393</f>
        <v>0</v>
      </c>
    </row>
    <row r="3394" spans="2:7">
      <c r="B3394" s="176"/>
      <c r="C3394" s="172" t="s">
        <v>2380</v>
      </c>
      <c r="D3394" s="174"/>
      <c r="E3394" s="192"/>
      <c r="F3394" s="275" t="s">
        <v>1698</v>
      </c>
      <c r="G3394" s="318">
        <f>SUM(G3392:G3393)</f>
        <v>0</v>
      </c>
    </row>
    <row r="3395" spans="2:7">
      <c r="B3395" s="78"/>
      <c r="C3395" s="26"/>
    </row>
    <row r="3396" spans="2:7">
      <c r="B3396" s="79" t="s">
        <v>2381</v>
      </c>
      <c r="C3396" s="26"/>
    </row>
    <row r="3397" spans="2:7">
      <c r="B3397" s="95" t="s">
        <v>2369</v>
      </c>
      <c r="C3397" s="157" t="s">
        <v>2378</v>
      </c>
      <c r="D3397" s="95" t="s">
        <v>2370</v>
      </c>
      <c r="E3397" s="95" t="s">
        <v>1166</v>
      </c>
      <c r="F3397" s="95" t="s">
        <v>2371</v>
      </c>
      <c r="G3397" s="95" t="s">
        <v>2372</v>
      </c>
    </row>
    <row r="3398" spans="2:7">
      <c r="B3398" s="114"/>
      <c r="C3398" s="154"/>
      <c r="D3398" s="105"/>
      <c r="E3398" s="105"/>
      <c r="F3398" s="105" t="s">
        <v>3485</v>
      </c>
      <c r="G3398" s="114" t="s">
        <v>3485</v>
      </c>
    </row>
    <row r="3399" spans="2:7">
      <c r="B3399" s="95">
        <v>1</v>
      </c>
      <c r="C3399" s="76" t="s">
        <v>4203</v>
      </c>
      <c r="D3399" s="95" t="s">
        <v>1172</v>
      </c>
      <c r="E3399" s="179">
        <v>1</v>
      </c>
      <c r="F3399" s="179">
        <f>'BASIC DATA'!$C$541</f>
        <v>400</v>
      </c>
      <c r="G3399" s="207">
        <f>E3399*F3399</f>
        <v>400</v>
      </c>
    </row>
    <row r="3400" spans="2:7">
      <c r="B3400" s="105">
        <v>2</v>
      </c>
      <c r="C3400" s="76" t="s">
        <v>5610</v>
      </c>
      <c r="D3400" s="105" t="s">
        <v>1172</v>
      </c>
      <c r="E3400" s="190">
        <v>1</v>
      </c>
      <c r="F3400" s="190">
        <f>'BASIC DATA'!$C$545</f>
        <v>400</v>
      </c>
      <c r="G3400" s="207">
        <f>E3400*F3400</f>
        <v>400</v>
      </c>
    </row>
    <row r="3401" spans="2:7">
      <c r="B3401" s="105">
        <v>3</v>
      </c>
      <c r="C3401" s="76" t="s">
        <v>4206</v>
      </c>
      <c r="D3401" s="105" t="s">
        <v>1172</v>
      </c>
      <c r="E3401" s="190">
        <v>0.5</v>
      </c>
      <c r="F3401" s="190">
        <f>'BASIC DATA'!$C$473</f>
        <v>450</v>
      </c>
      <c r="G3401" s="207">
        <f>E3401*F3401</f>
        <v>225</v>
      </c>
    </row>
    <row r="3402" spans="2:7">
      <c r="B3402" s="105">
        <v>4</v>
      </c>
      <c r="C3402" s="76" t="s">
        <v>2697</v>
      </c>
      <c r="D3402" s="105" t="s">
        <v>1172</v>
      </c>
      <c r="E3402" s="190">
        <v>2</v>
      </c>
      <c r="F3402" s="190">
        <f>'BASIC DATA'!$C$552</f>
        <v>350</v>
      </c>
      <c r="G3402" s="207">
        <f>E3402*F3402</f>
        <v>700</v>
      </c>
    </row>
    <row r="3403" spans="2:7">
      <c r="B3403" s="176"/>
      <c r="C3403" s="172" t="s">
        <v>1174</v>
      </c>
      <c r="D3403" s="174"/>
      <c r="E3403" s="192"/>
      <c r="F3403" s="236" t="s">
        <v>1698</v>
      </c>
      <c r="G3403" s="318">
        <f>SUM(G3399:G3402)</f>
        <v>1725</v>
      </c>
    </row>
    <row r="3404" spans="2:7">
      <c r="B3404" s="60" t="s">
        <v>5948</v>
      </c>
      <c r="C3404" s="31"/>
      <c r="D3404" s="31"/>
      <c r="E3404" s="85">
        <f>ROUND(G3403/F3380,1)</f>
        <v>172.5</v>
      </c>
    </row>
    <row r="3405" spans="2:7">
      <c r="B3405" s="60" t="s">
        <v>3163</v>
      </c>
      <c r="C3405" s="31"/>
      <c r="D3405" s="922">
        <f>'BASIC DATA'!$C$577</f>
        <v>0.13614999999999999</v>
      </c>
      <c r="E3405" s="85">
        <f>ROUND(E3404*D3405,1)</f>
        <v>23.5</v>
      </c>
    </row>
    <row r="3406" spans="2:7">
      <c r="B3406" s="60" t="s">
        <v>5949</v>
      </c>
      <c r="C3406" s="31"/>
      <c r="D3406" s="31"/>
      <c r="E3406" s="199">
        <f>ROUND(E3405+E3404,1)</f>
        <v>196</v>
      </c>
      <c r="F3406" s="56"/>
    </row>
    <row r="3407" spans="2:7">
      <c r="B3407" s="78"/>
      <c r="C3407" s="26"/>
    </row>
    <row r="3408" spans="2:7">
      <c r="B3408" s="170" t="s">
        <v>1175</v>
      </c>
      <c r="C3408" s="26"/>
    </row>
    <row r="3409" spans="1:7">
      <c r="B3409" s="26" t="s">
        <v>1176</v>
      </c>
      <c r="C3409" s="26"/>
      <c r="F3409" s="171" t="s">
        <v>1698</v>
      </c>
      <c r="G3409" s="68">
        <f>G3387</f>
        <v>3810.75</v>
      </c>
    </row>
    <row r="3410" spans="1:7">
      <c r="B3410" s="26" t="s">
        <v>1186</v>
      </c>
      <c r="C3410" s="26"/>
      <c r="F3410" s="171" t="s">
        <v>1698</v>
      </c>
      <c r="G3410" s="68">
        <f>G3394</f>
        <v>0</v>
      </c>
    </row>
    <row r="3411" spans="1:7">
      <c r="B3411" s="26" t="s">
        <v>2660</v>
      </c>
      <c r="C3411" s="26"/>
      <c r="F3411" s="171" t="s">
        <v>1698</v>
      </c>
      <c r="G3411" s="75">
        <f>G3403</f>
        <v>1725</v>
      </c>
    </row>
    <row r="3412" spans="1:7">
      <c r="B3412" s="78"/>
      <c r="C3412" s="26"/>
      <c r="E3412" s="171"/>
      <c r="F3412" s="171" t="s">
        <v>302</v>
      </c>
      <c r="G3412" s="205">
        <f>SUM(G3409:G3411)</f>
        <v>5535.75</v>
      </c>
    </row>
    <row r="3413" spans="1:7">
      <c r="B3413" s="1206" t="s">
        <v>1379</v>
      </c>
      <c r="C3413" s="1206"/>
      <c r="E3413" s="922">
        <f>'BASIC DATA'!$C$577</f>
        <v>0.13614999999999999</v>
      </c>
      <c r="F3413" s="26" t="s">
        <v>1698</v>
      </c>
      <c r="G3413" s="26">
        <f>ROUND(G3412*E3413,2)</f>
        <v>753.69</v>
      </c>
    </row>
    <row r="3414" spans="1:7">
      <c r="B3414" s="26" t="s">
        <v>1191</v>
      </c>
      <c r="C3414" s="26"/>
      <c r="D3414" s="68">
        <f>F3380</f>
        <v>10</v>
      </c>
      <c r="E3414" s="68" t="str">
        <f>G3380</f>
        <v>sqm</v>
      </c>
      <c r="F3414" s="26" t="s">
        <v>1698</v>
      </c>
      <c r="G3414" s="170">
        <f>G3413+G3412</f>
        <v>6289.4400000000005</v>
      </c>
    </row>
    <row r="3415" spans="1:7">
      <c r="B3415" s="170" t="s">
        <v>1584</v>
      </c>
      <c r="C3415" s="211" t="str">
        <f>E3414</f>
        <v>sqm</v>
      </c>
      <c r="D3415" s="26" t="s">
        <v>5891</v>
      </c>
      <c r="F3415" s="26" t="s">
        <v>4108</v>
      </c>
      <c r="G3415" s="211">
        <f>ROUND(G3414/D3414,1)</f>
        <v>628.9</v>
      </c>
    </row>
    <row r="3416" spans="1:7">
      <c r="B3416" s="78"/>
      <c r="C3416" s="26"/>
    </row>
    <row r="3417" spans="1:7">
      <c r="B3417" s="78"/>
      <c r="C3417" s="26"/>
    </row>
    <row r="3418" spans="1:7" ht="18.75">
      <c r="A3418" s="865" t="s">
        <v>7583</v>
      </c>
      <c r="B3418" s="26" t="s">
        <v>8987</v>
      </c>
      <c r="C3418" s="26"/>
    </row>
    <row r="3419" spans="1:7">
      <c r="A3419" s="865"/>
      <c r="B3419" s="26" t="s">
        <v>8985</v>
      </c>
      <c r="C3419" s="26"/>
    </row>
    <row r="3420" spans="1:7" ht="18.75">
      <c r="A3420" s="865"/>
      <c r="B3420" s="26" t="s">
        <v>8986</v>
      </c>
      <c r="C3420" s="26"/>
    </row>
    <row r="3421" spans="1:7">
      <c r="A3421" s="865"/>
      <c r="B3421" s="170" t="s">
        <v>2735</v>
      </c>
      <c r="C3421" s="26"/>
    </row>
    <row r="3422" spans="1:7">
      <c r="A3422" s="865"/>
      <c r="B3422" s="170" t="s">
        <v>5946</v>
      </c>
      <c r="C3422" s="26"/>
    </row>
    <row r="3423" spans="1:7">
      <c r="A3423" s="865"/>
      <c r="B3423" s="170" t="s">
        <v>5947</v>
      </c>
      <c r="C3423" s="26"/>
    </row>
    <row r="3424" spans="1:7" hidden="1">
      <c r="A3424" s="865" t="s">
        <v>3984</v>
      </c>
      <c r="B3424" s="26" t="s">
        <v>3675</v>
      </c>
      <c r="C3424" s="26"/>
      <c r="E3424" s="78"/>
    </row>
    <row r="3425" spans="1:7" hidden="1">
      <c r="A3425" s="865"/>
      <c r="B3425" s="26" t="s">
        <v>7333</v>
      </c>
      <c r="C3425" s="26"/>
    </row>
    <row r="3426" spans="1:7" hidden="1">
      <c r="A3426" s="865"/>
      <c r="B3426" s="26" t="s">
        <v>3676</v>
      </c>
      <c r="C3426" s="26"/>
    </row>
    <row r="3427" spans="1:7">
      <c r="B3427" s="78"/>
      <c r="C3427" s="26"/>
    </row>
    <row r="3428" spans="1:7">
      <c r="A3428" s="865" t="s">
        <v>3984</v>
      </c>
      <c r="B3428" s="78"/>
      <c r="C3428" s="203" t="s">
        <v>2367</v>
      </c>
      <c r="E3428" s="171" t="s">
        <v>297</v>
      </c>
      <c r="F3428" s="246">
        <v>10</v>
      </c>
      <c r="G3428" s="26" t="s">
        <v>3479</v>
      </c>
    </row>
    <row r="3429" spans="1:7">
      <c r="B3429" s="79" t="s">
        <v>2368</v>
      </c>
      <c r="C3429" s="26"/>
    </row>
    <row r="3430" spans="1:7">
      <c r="B3430" s="95" t="s">
        <v>2369</v>
      </c>
      <c r="C3430" s="157" t="s">
        <v>4443</v>
      </c>
      <c r="D3430" s="95" t="s">
        <v>2370</v>
      </c>
      <c r="E3430" s="95" t="s">
        <v>1166</v>
      </c>
      <c r="F3430" s="95" t="s">
        <v>2371</v>
      </c>
      <c r="G3430" s="95" t="s">
        <v>2372</v>
      </c>
    </row>
    <row r="3431" spans="1:7">
      <c r="B3431" s="114"/>
      <c r="C3431" s="154"/>
      <c r="D3431" s="114"/>
      <c r="E3431" s="114"/>
      <c r="F3431" s="114" t="s">
        <v>3485</v>
      </c>
      <c r="G3431" s="114" t="s">
        <v>3485</v>
      </c>
    </row>
    <row r="3432" spans="1:7">
      <c r="B3432" s="95">
        <v>1</v>
      </c>
      <c r="C3432" s="135" t="s">
        <v>5853</v>
      </c>
      <c r="D3432" s="95" t="s">
        <v>3478</v>
      </c>
      <c r="E3432" s="190">
        <v>75</v>
      </c>
      <c r="F3432" s="214">
        <f>'BASIC DATA'!$D$32/1000</f>
        <v>5.35</v>
      </c>
      <c r="G3432" s="190">
        <f>E3432*F3432</f>
        <v>401.25</v>
      </c>
    </row>
    <row r="3433" spans="1:7">
      <c r="A3433" s="853"/>
      <c r="B3433" s="240">
        <v>2</v>
      </c>
      <c r="C3433" s="326" t="s">
        <v>6827</v>
      </c>
      <c r="D3433" s="240" t="s">
        <v>3477</v>
      </c>
      <c r="E3433" s="255">
        <v>0.3</v>
      </c>
      <c r="F3433" s="266">
        <f>'BASIC DATA'!$D$57</f>
        <v>165</v>
      </c>
      <c r="G3433" s="255">
        <f>E3433*F3433</f>
        <v>49.5</v>
      </c>
    </row>
    <row r="3434" spans="1:7">
      <c r="B3434" s="114">
        <v>3</v>
      </c>
      <c r="C3434" s="139" t="s">
        <v>5731</v>
      </c>
      <c r="D3434" s="114" t="s">
        <v>3479</v>
      </c>
      <c r="E3434" s="182">
        <v>10.5</v>
      </c>
      <c r="F3434" s="215">
        <f>'BASIC DATA'!$D$31</f>
        <v>320</v>
      </c>
      <c r="G3434" s="182">
        <f>E3434*F3434</f>
        <v>3360</v>
      </c>
    </row>
    <row r="3435" spans="1:7">
      <c r="B3435" s="92"/>
      <c r="C3435" s="193" t="s">
        <v>2376</v>
      </c>
      <c r="D3435" s="159"/>
      <c r="E3435" s="238"/>
      <c r="F3435" s="236" t="s">
        <v>1698</v>
      </c>
      <c r="G3435" s="318">
        <f>SUM(G3432:G3434)</f>
        <v>3810.75</v>
      </c>
    </row>
    <row r="3436" spans="1:7">
      <c r="B3436" s="78"/>
      <c r="C3436" s="26"/>
      <c r="G3436" s="68"/>
    </row>
    <row r="3437" spans="1:7">
      <c r="B3437" s="79" t="s">
        <v>2377</v>
      </c>
      <c r="C3437" s="26"/>
    </row>
    <row r="3438" spans="1:7">
      <c r="B3438" s="95" t="s">
        <v>2369</v>
      </c>
      <c r="C3438" s="157" t="s">
        <v>2378</v>
      </c>
      <c r="D3438" s="95" t="s">
        <v>2370</v>
      </c>
      <c r="E3438" s="95" t="s">
        <v>1166</v>
      </c>
      <c r="F3438" s="95" t="s">
        <v>2371</v>
      </c>
      <c r="G3438" s="95" t="s">
        <v>2372</v>
      </c>
    </row>
    <row r="3439" spans="1:7">
      <c r="B3439" s="114"/>
      <c r="C3439" s="154"/>
      <c r="D3439" s="114"/>
      <c r="E3439" s="114"/>
      <c r="F3439" s="114" t="s">
        <v>3485</v>
      </c>
      <c r="G3439" s="114" t="s">
        <v>3485</v>
      </c>
    </row>
    <row r="3440" spans="1:7">
      <c r="B3440" s="95">
        <v>1</v>
      </c>
      <c r="C3440" s="95" t="s">
        <v>4168</v>
      </c>
      <c r="D3440" s="175"/>
      <c r="E3440" s="179">
        <v>0</v>
      </c>
      <c r="F3440" s="190">
        <v>0</v>
      </c>
      <c r="G3440" s="190">
        <f>E3440*F3440</f>
        <v>0</v>
      </c>
    </row>
    <row r="3441" spans="2:7">
      <c r="B3441" s="365"/>
      <c r="C3441" s="114" t="s">
        <v>5018</v>
      </c>
      <c r="D3441" s="188"/>
      <c r="E3441" s="182">
        <v>0</v>
      </c>
      <c r="F3441" s="182">
        <v>0</v>
      </c>
      <c r="G3441" s="182">
        <f>E3441*F3441</f>
        <v>0</v>
      </c>
    </row>
    <row r="3442" spans="2:7">
      <c r="B3442" s="176"/>
      <c r="C3442" s="172" t="s">
        <v>2380</v>
      </c>
      <c r="D3442" s="174"/>
      <c r="E3442" s="192"/>
      <c r="F3442" s="275" t="s">
        <v>1698</v>
      </c>
      <c r="G3442" s="434">
        <f>SUM(G3440:G3441)</f>
        <v>0</v>
      </c>
    </row>
    <row r="3443" spans="2:7">
      <c r="B3443" s="78"/>
      <c r="C3443" s="26"/>
    </row>
    <row r="3444" spans="2:7">
      <c r="B3444" s="79" t="s">
        <v>2381</v>
      </c>
      <c r="C3444" s="26"/>
    </row>
    <row r="3445" spans="2:7">
      <c r="B3445" s="95" t="s">
        <v>2369</v>
      </c>
      <c r="C3445" s="157" t="s">
        <v>2378</v>
      </c>
      <c r="D3445" s="95" t="s">
        <v>2370</v>
      </c>
      <c r="E3445" s="95" t="s">
        <v>1166</v>
      </c>
      <c r="F3445" s="95" t="s">
        <v>2371</v>
      </c>
      <c r="G3445" s="95" t="s">
        <v>2372</v>
      </c>
    </row>
    <row r="3446" spans="2:7">
      <c r="B3446" s="114"/>
      <c r="C3446" s="154"/>
      <c r="D3446" s="105"/>
      <c r="E3446" s="105"/>
      <c r="F3446" s="105" t="s">
        <v>3485</v>
      </c>
      <c r="G3446" s="114" t="s">
        <v>3485</v>
      </c>
    </row>
    <row r="3447" spans="2:7">
      <c r="B3447" s="95">
        <v>1</v>
      </c>
      <c r="C3447" s="76" t="s">
        <v>4203</v>
      </c>
      <c r="D3447" s="95" t="s">
        <v>1172</v>
      </c>
      <c r="E3447" s="179">
        <v>1</v>
      </c>
      <c r="F3447" s="179">
        <f>'BASIC DATA'!$C$541</f>
        <v>400</v>
      </c>
      <c r="G3447" s="207">
        <f>E3447*F3447</f>
        <v>400</v>
      </c>
    </row>
    <row r="3448" spans="2:7">
      <c r="B3448" s="105">
        <v>2</v>
      </c>
      <c r="C3448" s="76" t="s">
        <v>5609</v>
      </c>
      <c r="D3448" s="105" t="s">
        <v>1172</v>
      </c>
      <c r="E3448" s="190">
        <v>4</v>
      </c>
      <c r="F3448" s="190">
        <f>'BASIC DATA'!$C$502</f>
        <v>445</v>
      </c>
      <c r="G3448" s="207">
        <f>E3448*F3448</f>
        <v>1780</v>
      </c>
    </row>
    <row r="3449" spans="2:7">
      <c r="B3449" s="105">
        <v>3</v>
      </c>
      <c r="C3449" s="76" t="s">
        <v>4206</v>
      </c>
      <c r="D3449" s="105" t="s">
        <v>1172</v>
      </c>
      <c r="E3449" s="190">
        <v>0.5</v>
      </c>
      <c r="F3449" s="190">
        <f>'BASIC DATA'!$C$473</f>
        <v>450</v>
      </c>
      <c r="G3449" s="207">
        <f>E3449*F3449</f>
        <v>225</v>
      </c>
    </row>
    <row r="3450" spans="2:7">
      <c r="B3450" s="114">
        <v>4</v>
      </c>
      <c r="C3450" s="89" t="s">
        <v>2697</v>
      </c>
      <c r="D3450" s="114" t="s">
        <v>1172</v>
      </c>
      <c r="E3450" s="182">
        <v>2</v>
      </c>
      <c r="F3450" s="182">
        <f>'BASIC DATA'!$C$552</f>
        <v>350</v>
      </c>
      <c r="G3450" s="207">
        <f>E3450*F3450</f>
        <v>700</v>
      </c>
    </row>
    <row r="3451" spans="2:7">
      <c r="B3451" s="176"/>
      <c r="C3451" s="172" t="s">
        <v>1174</v>
      </c>
      <c r="D3451" s="174"/>
      <c r="E3451" s="192"/>
      <c r="F3451" s="275" t="s">
        <v>1698</v>
      </c>
      <c r="G3451" s="318">
        <f>SUM(G3447:G3450)</f>
        <v>3105</v>
      </c>
    </row>
    <row r="3452" spans="2:7">
      <c r="B3452" s="60" t="s">
        <v>5948</v>
      </c>
      <c r="C3452" s="31"/>
      <c r="D3452" s="31"/>
      <c r="E3452" s="85">
        <f>ROUND(G3451/F3428,1)</f>
        <v>310.5</v>
      </c>
    </row>
    <row r="3453" spans="2:7">
      <c r="B3453" s="60" t="s">
        <v>3163</v>
      </c>
      <c r="C3453" s="31"/>
      <c r="D3453" s="922">
        <f>'BASIC DATA'!$C$577</f>
        <v>0.13614999999999999</v>
      </c>
      <c r="E3453" s="85">
        <f>ROUND(E3452*D3453,1)</f>
        <v>42.3</v>
      </c>
    </row>
    <row r="3454" spans="2:7">
      <c r="B3454" s="60" t="s">
        <v>5949</v>
      </c>
      <c r="C3454" s="31"/>
      <c r="D3454" s="31"/>
      <c r="E3454" s="199">
        <f>ROUND(E3453+E3452,1)</f>
        <v>352.8</v>
      </c>
      <c r="F3454" s="56"/>
    </row>
    <row r="3455" spans="2:7">
      <c r="B3455" s="78"/>
      <c r="C3455" s="26"/>
    </row>
    <row r="3456" spans="2:7">
      <c r="B3456" s="170" t="s">
        <v>1175</v>
      </c>
      <c r="C3456" s="26"/>
    </row>
    <row r="3457" spans="1:7">
      <c r="B3457" s="26" t="s">
        <v>1176</v>
      </c>
      <c r="C3457" s="26"/>
      <c r="F3457" s="171" t="s">
        <v>1698</v>
      </c>
      <c r="G3457" s="68">
        <f>G3435</f>
        <v>3810.75</v>
      </c>
    </row>
    <row r="3458" spans="1:7">
      <c r="B3458" s="26" t="s">
        <v>1186</v>
      </c>
      <c r="C3458" s="26"/>
      <c r="F3458" s="171" t="s">
        <v>1698</v>
      </c>
      <c r="G3458" s="68">
        <f>G3442</f>
        <v>0</v>
      </c>
    </row>
    <row r="3459" spans="1:7">
      <c r="B3459" s="26" t="s">
        <v>2660</v>
      </c>
      <c r="C3459" s="26"/>
      <c r="F3459" s="171" t="s">
        <v>1698</v>
      </c>
      <c r="G3459" s="75">
        <f>G3451</f>
        <v>3105</v>
      </c>
    </row>
    <row r="3460" spans="1:7">
      <c r="B3460" s="78"/>
      <c r="C3460" s="26"/>
      <c r="E3460" s="171"/>
      <c r="F3460" s="171" t="s">
        <v>302</v>
      </c>
      <c r="G3460" s="205">
        <f>SUM(G3457:G3459)</f>
        <v>6915.75</v>
      </c>
    </row>
    <row r="3461" spans="1:7">
      <c r="B3461" s="1206" t="s">
        <v>1379</v>
      </c>
      <c r="C3461" s="1206"/>
      <c r="E3461" s="922">
        <f>'BASIC DATA'!$C$577</f>
        <v>0.13614999999999999</v>
      </c>
      <c r="F3461" s="26" t="s">
        <v>1698</v>
      </c>
      <c r="G3461" s="26">
        <f>ROUND(G3460*E3461,2)</f>
        <v>941.58</v>
      </c>
    </row>
    <row r="3462" spans="1:7">
      <c r="B3462" s="26" t="s">
        <v>1191</v>
      </c>
      <c r="C3462" s="26"/>
      <c r="D3462" s="68">
        <f>F3428</f>
        <v>10</v>
      </c>
      <c r="E3462" s="68" t="str">
        <f>G3428</f>
        <v>sqm</v>
      </c>
      <c r="F3462" s="26" t="s">
        <v>1698</v>
      </c>
      <c r="G3462" s="170">
        <f>G3461+G3460</f>
        <v>7857.33</v>
      </c>
    </row>
    <row r="3463" spans="1:7">
      <c r="B3463" s="170" t="s">
        <v>1584</v>
      </c>
      <c r="C3463" s="211" t="str">
        <f>E3462</f>
        <v>sqm</v>
      </c>
      <c r="D3463" s="26" t="s">
        <v>5891</v>
      </c>
      <c r="F3463" s="26" t="s">
        <v>4108</v>
      </c>
      <c r="G3463" s="211">
        <f>ROUND(G3462/D3462,1)</f>
        <v>785.7</v>
      </c>
    </row>
    <row r="3464" spans="1:7">
      <c r="B3464" s="78"/>
      <c r="C3464" s="26"/>
    </row>
    <row r="3465" spans="1:7">
      <c r="B3465" s="78"/>
      <c r="C3465" s="26"/>
    </row>
    <row r="3466" spans="1:7" ht="18.75">
      <c r="A3466" s="865" t="s">
        <v>7584</v>
      </c>
      <c r="B3466" s="26" t="s">
        <v>8988</v>
      </c>
      <c r="C3466" s="26"/>
    </row>
    <row r="3467" spans="1:7">
      <c r="A3467" s="865"/>
      <c r="B3467" s="26" t="s">
        <v>8985</v>
      </c>
      <c r="C3467" s="26"/>
    </row>
    <row r="3468" spans="1:7" ht="18.75">
      <c r="A3468" s="865"/>
      <c r="B3468" s="26" t="s">
        <v>8986</v>
      </c>
      <c r="C3468" s="26"/>
    </row>
    <row r="3469" spans="1:7">
      <c r="A3469" s="865"/>
      <c r="B3469" s="170" t="s">
        <v>2735</v>
      </c>
      <c r="C3469" s="26"/>
    </row>
    <row r="3470" spans="1:7">
      <c r="A3470" s="865"/>
      <c r="B3470" s="170" t="s">
        <v>5946</v>
      </c>
      <c r="C3470" s="26"/>
    </row>
    <row r="3471" spans="1:7">
      <c r="A3471" s="865"/>
      <c r="B3471" s="170" t="s">
        <v>5947</v>
      </c>
      <c r="C3471" s="26"/>
    </row>
    <row r="3472" spans="1:7" hidden="1">
      <c r="A3472" s="865" t="s">
        <v>3984</v>
      </c>
      <c r="B3472" s="26" t="s">
        <v>3675</v>
      </c>
      <c r="C3472" s="26"/>
      <c r="E3472" s="78"/>
    </row>
    <row r="3473" spans="1:7" hidden="1">
      <c r="A3473" s="865"/>
      <c r="B3473" s="26" t="s">
        <v>7334</v>
      </c>
      <c r="C3473" s="26"/>
      <c r="E3473" s="68">
        <v>0.3</v>
      </c>
      <c r="F3473" s="26" t="s">
        <v>3477</v>
      </c>
    </row>
    <row r="3474" spans="1:7" hidden="1">
      <c r="A3474" s="865"/>
      <c r="B3474" s="26" t="s">
        <v>1592</v>
      </c>
      <c r="C3474" s="26"/>
      <c r="D3474" s="68">
        <v>10.5</v>
      </c>
      <c r="E3474" s="26" t="s">
        <v>3479</v>
      </c>
    </row>
    <row r="3475" spans="1:7">
      <c r="B3475" s="78"/>
      <c r="C3475" s="26"/>
    </row>
    <row r="3476" spans="1:7">
      <c r="A3476" s="865" t="s">
        <v>3984</v>
      </c>
      <c r="B3476" s="78"/>
      <c r="C3476" s="203" t="s">
        <v>2367</v>
      </c>
      <c r="E3476" s="171" t="s">
        <v>297</v>
      </c>
      <c r="F3476" s="246">
        <v>10</v>
      </c>
      <c r="G3476" s="26" t="s">
        <v>3479</v>
      </c>
    </row>
    <row r="3477" spans="1:7">
      <c r="B3477" s="79" t="s">
        <v>2368</v>
      </c>
      <c r="C3477" s="26"/>
    </row>
    <row r="3478" spans="1:7">
      <c r="B3478" s="95" t="s">
        <v>2369</v>
      </c>
      <c r="C3478" s="157" t="s">
        <v>4443</v>
      </c>
      <c r="D3478" s="95" t="s">
        <v>2370</v>
      </c>
      <c r="E3478" s="95" t="s">
        <v>1166</v>
      </c>
      <c r="F3478" s="95" t="s">
        <v>2371</v>
      </c>
      <c r="G3478" s="95" t="s">
        <v>2372</v>
      </c>
    </row>
    <row r="3479" spans="1:7">
      <c r="B3479" s="114"/>
      <c r="C3479" s="154"/>
      <c r="D3479" s="114"/>
      <c r="E3479" s="114"/>
      <c r="F3479" s="114" t="s">
        <v>3485</v>
      </c>
      <c r="G3479" s="114" t="s">
        <v>3485</v>
      </c>
    </row>
    <row r="3480" spans="1:7">
      <c r="B3480" s="95">
        <v>1</v>
      </c>
      <c r="C3480" s="135" t="s">
        <v>5853</v>
      </c>
      <c r="D3480" s="95" t="s">
        <v>3478</v>
      </c>
      <c r="E3480" s="190">
        <v>75</v>
      </c>
      <c r="F3480" s="214">
        <f>'BASIC DATA'!$D$32/1000</f>
        <v>5.35</v>
      </c>
      <c r="G3480" s="190">
        <f>E3480*F3480</f>
        <v>401.25</v>
      </c>
    </row>
    <row r="3481" spans="1:7">
      <c r="A3481" s="853"/>
      <c r="B3481" s="240">
        <v>2</v>
      </c>
      <c r="C3481" s="326" t="s">
        <v>6827</v>
      </c>
      <c r="D3481" s="240" t="s">
        <v>3477</v>
      </c>
      <c r="E3481" s="255">
        <v>0.3</v>
      </c>
      <c r="F3481" s="266">
        <f>'BASIC DATA'!$D$57</f>
        <v>165</v>
      </c>
      <c r="G3481" s="255">
        <f>E3481*F3481</f>
        <v>49.5</v>
      </c>
    </row>
    <row r="3482" spans="1:7">
      <c r="B3482" s="114">
        <v>3</v>
      </c>
      <c r="C3482" s="139" t="s">
        <v>5731</v>
      </c>
      <c r="D3482" s="114" t="s">
        <v>3479</v>
      </c>
      <c r="E3482" s="182">
        <v>10.5</v>
      </c>
      <c r="F3482" s="215">
        <f>'BASIC DATA'!$D$31</f>
        <v>320</v>
      </c>
      <c r="G3482" s="182">
        <f>E3482*F3482</f>
        <v>3360</v>
      </c>
    </row>
    <row r="3483" spans="1:7">
      <c r="B3483" s="92"/>
      <c r="C3483" s="193" t="s">
        <v>2376</v>
      </c>
      <c r="D3483" s="159"/>
      <c r="E3483" s="238"/>
      <c r="F3483" s="236" t="s">
        <v>1698</v>
      </c>
      <c r="G3483" s="318">
        <f>SUM(G3480:G3482)</f>
        <v>3810.75</v>
      </c>
    </row>
    <row r="3484" spans="1:7">
      <c r="B3484" s="78"/>
      <c r="C3484" s="26"/>
      <c r="G3484" s="68"/>
    </row>
    <row r="3485" spans="1:7">
      <c r="B3485" s="79" t="s">
        <v>2377</v>
      </c>
      <c r="C3485" s="26"/>
    </row>
    <row r="3486" spans="1:7">
      <c r="B3486" s="95" t="s">
        <v>2369</v>
      </c>
      <c r="C3486" s="157" t="s">
        <v>2378</v>
      </c>
      <c r="D3486" s="95" t="s">
        <v>2370</v>
      </c>
      <c r="E3486" s="95" t="s">
        <v>1166</v>
      </c>
      <c r="F3486" s="95" t="s">
        <v>2371</v>
      </c>
      <c r="G3486" s="95" t="s">
        <v>2372</v>
      </c>
    </row>
    <row r="3487" spans="1:7">
      <c r="B3487" s="114"/>
      <c r="C3487" s="154"/>
      <c r="D3487" s="114"/>
      <c r="E3487" s="114"/>
      <c r="F3487" s="114" t="s">
        <v>3485</v>
      </c>
      <c r="G3487" s="114" t="s">
        <v>3485</v>
      </c>
    </row>
    <row r="3488" spans="1:7">
      <c r="B3488" s="95">
        <v>1</v>
      </c>
      <c r="C3488" s="95" t="s">
        <v>4168</v>
      </c>
      <c r="D3488" s="175"/>
      <c r="E3488" s="179">
        <v>0</v>
      </c>
      <c r="F3488" s="190">
        <v>0</v>
      </c>
      <c r="G3488" s="190">
        <f>E3488*F3488</f>
        <v>0</v>
      </c>
    </row>
    <row r="3489" spans="2:7">
      <c r="B3489" s="365"/>
      <c r="C3489" s="114" t="s">
        <v>5018</v>
      </c>
      <c r="D3489" s="188"/>
      <c r="E3489" s="182">
        <v>0</v>
      </c>
      <c r="F3489" s="182">
        <v>0</v>
      </c>
      <c r="G3489" s="190">
        <f>E3489*F3489</f>
        <v>0</v>
      </c>
    </row>
    <row r="3490" spans="2:7">
      <c r="B3490" s="176"/>
      <c r="C3490" s="172" t="s">
        <v>2380</v>
      </c>
      <c r="D3490" s="174"/>
      <c r="E3490" s="192"/>
      <c r="F3490" s="275" t="s">
        <v>1698</v>
      </c>
      <c r="G3490" s="318">
        <f>SUM(G3488:G3489)</f>
        <v>0</v>
      </c>
    </row>
    <row r="3491" spans="2:7">
      <c r="B3491" s="78"/>
      <c r="C3491" s="26"/>
    </row>
    <row r="3492" spans="2:7">
      <c r="B3492" s="79" t="s">
        <v>2381</v>
      </c>
      <c r="C3492" s="26"/>
    </row>
    <row r="3493" spans="2:7">
      <c r="B3493" s="95" t="s">
        <v>2369</v>
      </c>
      <c r="C3493" s="157" t="s">
        <v>2378</v>
      </c>
      <c r="D3493" s="95" t="s">
        <v>2370</v>
      </c>
      <c r="E3493" s="95" t="s">
        <v>1166</v>
      </c>
      <c r="F3493" s="95" t="s">
        <v>2371</v>
      </c>
      <c r="G3493" s="95" t="s">
        <v>2372</v>
      </c>
    </row>
    <row r="3494" spans="2:7">
      <c r="B3494" s="114"/>
      <c r="C3494" s="154"/>
      <c r="D3494" s="105"/>
      <c r="E3494" s="105"/>
      <c r="F3494" s="105" t="s">
        <v>3485</v>
      </c>
      <c r="G3494" s="114" t="s">
        <v>3485</v>
      </c>
    </row>
    <row r="3495" spans="2:7">
      <c r="B3495" s="95">
        <v>1</v>
      </c>
      <c r="C3495" s="76" t="s">
        <v>4203</v>
      </c>
      <c r="D3495" s="95" t="s">
        <v>1172</v>
      </c>
      <c r="E3495" s="179">
        <v>1</v>
      </c>
      <c r="F3495" s="179">
        <f>'BASIC DATA'!$C$541</f>
        <v>400</v>
      </c>
      <c r="G3495" s="207">
        <f>E3495*F3495</f>
        <v>400</v>
      </c>
    </row>
    <row r="3496" spans="2:7">
      <c r="B3496" s="105">
        <v>2</v>
      </c>
      <c r="C3496" s="76" t="s">
        <v>4426</v>
      </c>
      <c r="D3496" s="105" t="s">
        <v>1172</v>
      </c>
      <c r="E3496" s="190">
        <v>8</v>
      </c>
      <c r="F3496" s="190">
        <f>'BASIC DATA'!$C$502</f>
        <v>445</v>
      </c>
      <c r="G3496" s="207">
        <f>E3496*F3496</f>
        <v>3560</v>
      </c>
    </row>
    <row r="3497" spans="2:7">
      <c r="B3497" s="105">
        <v>3</v>
      </c>
      <c r="C3497" s="76" t="s">
        <v>4206</v>
      </c>
      <c r="D3497" s="105" t="s">
        <v>1172</v>
      </c>
      <c r="E3497" s="190">
        <v>0.5</v>
      </c>
      <c r="F3497" s="190">
        <f>'BASIC DATA'!$C$473</f>
        <v>450</v>
      </c>
      <c r="G3497" s="207">
        <f>E3497*F3497</f>
        <v>225</v>
      </c>
    </row>
    <row r="3498" spans="2:7">
      <c r="B3498" s="114">
        <v>4</v>
      </c>
      <c r="C3498" s="89" t="s">
        <v>2697</v>
      </c>
      <c r="D3498" s="114" t="s">
        <v>1172</v>
      </c>
      <c r="E3498" s="182">
        <v>2</v>
      </c>
      <c r="F3498" s="182">
        <f>'BASIC DATA'!$C$552</f>
        <v>350</v>
      </c>
      <c r="G3498" s="181">
        <f>E3498*F3498</f>
        <v>700</v>
      </c>
    </row>
    <row r="3499" spans="2:7">
      <c r="B3499" s="176"/>
      <c r="C3499" s="172" t="s">
        <v>1174</v>
      </c>
      <c r="D3499" s="174"/>
      <c r="E3499" s="192"/>
      <c r="F3499" s="275" t="s">
        <v>1698</v>
      </c>
      <c r="G3499" s="434">
        <f>SUM(G3495:G3498)</f>
        <v>4885</v>
      </c>
    </row>
    <row r="3500" spans="2:7">
      <c r="B3500" s="60" t="s">
        <v>5948</v>
      </c>
      <c r="C3500" s="31"/>
      <c r="D3500" s="31"/>
      <c r="E3500" s="85">
        <f>ROUND(G3499/F3476,1)</f>
        <v>488.5</v>
      </c>
    </row>
    <row r="3501" spans="2:7">
      <c r="B3501" s="60" t="s">
        <v>3163</v>
      </c>
      <c r="C3501" s="31"/>
      <c r="D3501" s="922">
        <f>'BASIC DATA'!$C$577</f>
        <v>0.13614999999999999</v>
      </c>
      <c r="E3501" s="85">
        <f>ROUND(E3500*D3501,1)</f>
        <v>66.5</v>
      </c>
    </row>
    <row r="3502" spans="2:7">
      <c r="B3502" s="60" t="s">
        <v>5949</v>
      </c>
      <c r="C3502" s="31"/>
      <c r="D3502" s="31"/>
      <c r="E3502" s="199">
        <f>ROUND(E3501+E3500,1)</f>
        <v>555</v>
      </c>
      <c r="F3502" s="56"/>
    </row>
    <row r="3503" spans="2:7">
      <c r="B3503" s="78"/>
      <c r="C3503" s="26"/>
    </row>
    <row r="3504" spans="2:7">
      <c r="B3504" s="170" t="s">
        <v>1175</v>
      </c>
      <c r="C3504" s="26"/>
    </row>
    <row r="3505" spans="1:7">
      <c r="B3505" s="26" t="s">
        <v>1176</v>
      </c>
      <c r="C3505" s="26"/>
      <c r="F3505" s="171" t="s">
        <v>1698</v>
      </c>
      <c r="G3505" s="68">
        <f>G3483</f>
        <v>3810.75</v>
      </c>
    </row>
    <row r="3506" spans="1:7">
      <c r="B3506" s="26" t="s">
        <v>1186</v>
      </c>
      <c r="C3506" s="26"/>
      <c r="F3506" s="171" t="s">
        <v>1698</v>
      </c>
      <c r="G3506" s="68">
        <f>G3490</f>
        <v>0</v>
      </c>
    </row>
    <row r="3507" spans="1:7">
      <c r="B3507" s="26" t="s">
        <v>2660</v>
      </c>
      <c r="C3507" s="26"/>
      <c r="F3507" s="171" t="s">
        <v>1698</v>
      </c>
      <c r="G3507" s="75">
        <f>G3499</f>
        <v>4885</v>
      </c>
    </row>
    <row r="3508" spans="1:7">
      <c r="B3508" s="78"/>
      <c r="C3508" s="26"/>
      <c r="E3508" s="171"/>
      <c r="F3508" s="171" t="s">
        <v>302</v>
      </c>
      <c r="G3508" s="205">
        <f>SUM(G3505:G3507)</f>
        <v>8695.75</v>
      </c>
    </row>
    <row r="3509" spans="1:7">
      <c r="B3509" s="1206" t="s">
        <v>1379</v>
      </c>
      <c r="C3509" s="1206"/>
      <c r="E3509" s="922">
        <f>'BASIC DATA'!$C$577</f>
        <v>0.13614999999999999</v>
      </c>
      <c r="F3509" s="26" t="s">
        <v>1698</v>
      </c>
      <c r="G3509" s="26">
        <f>ROUND(G3508*E3509,2)</f>
        <v>1183.93</v>
      </c>
    </row>
    <row r="3510" spans="1:7">
      <c r="B3510" s="26" t="s">
        <v>1191</v>
      </c>
      <c r="C3510" s="26"/>
      <c r="D3510" s="68">
        <f>F3476</f>
        <v>10</v>
      </c>
      <c r="E3510" s="68" t="str">
        <f>G3476</f>
        <v>sqm</v>
      </c>
      <c r="F3510" s="26" t="s">
        <v>1698</v>
      </c>
      <c r="G3510" s="170">
        <f>G3509+G3508</f>
        <v>9879.68</v>
      </c>
    </row>
    <row r="3511" spans="1:7">
      <c r="B3511" s="170" t="s">
        <v>1584</v>
      </c>
      <c r="C3511" s="211" t="str">
        <f>E3510</f>
        <v>sqm</v>
      </c>
      <c r="D3511" s="26" t="s">
        <v>5891</v>
      </c>
      <c r="F3511" s="26" t="s">
        <v>4108</v>
      </c>
      <c r="G3511" s="211">
        <f>ROUND(G3510/D3510,1)</f>
        <v>988</v>
      </c>
    </row>
    <row r="3512" spans="1:7">
      <c r="B3512" s="78"/>
      <c r="C3512" s="26"/>
    </row>
    <row r="3513" spans="1:7">
      <c r="B3513" s="78"/>
      <c r="C3513" s="26"/>
    </row>
    <row r="3514" spans="1:7" ht="18.75">
      <c r="A3514" s="865" t="s">
        <v>7585</v>
      </c>
      <c r="B3514" s="26" t="s">
        <v>8989</v>
      </c>
      <c r="C3514" s="26"/>
    </row>
    <row r="3515" spans="1:7" ht="18.75">
      <c r="A3515" s="865"/>
      <c r="B3515" s="26" t="s">
        <v>8990</v>
      </c>
      <c r="C3515" s="26"/>
    </row>
    <row r="3516" spans="1:7">
      <c r="A3516" s="865"/>
      <c r="B3516" s="26" t="s">
        <v>8003</v>
      </c>
      <c r="C3516" s="26"/>
    </row>
    <row r="3517" spans="1:7">
      <c r="A3517" s="865"/>
      <c r="B3517" s="26" t="s">
        <v>4101</v>
      </c>
      <c r="C3517" s="26"/>
    </row>
    <row r="3518" spans="1:7" ht="18.75">
      <c r="A3518" s="865"/>
      <c r="B3518" s="170" t="s">
        <v>8991</v>
      </c>
      <c r="C3518" s="26"/>
    </row>
    <row r="3519" spans="1:7">
      <c r="A3519" s="865"/>
      <c r="B3519" s="170" t="s">
        <v>6564</v>
      </c>
      <c r="C3519" s="26"/>
    </row>
    <row r="3520" spans="1:7">
      <c r="A3520" s="855"/>
      <c r="B3520" s="248" t="s">
        <v>4522</v>
      </c>
      <c r="C3520" s="61"/>
      <c r="D3520" s="61"/>
      <c r="E3520" s="61"/>
      <c r="F3520" s="61"/>
      <c r="G3520" s="61"/>
    </row>
    <row r="3521" spans="1:7">
      <c r="A3521" s="865"/>
      <c r="B3521" s="26"/>
      <c r="C3521" s="26"/>
    </row>
    <row r="3522" spans="1:7" hidden="1">
      <c r="A3522" s="865" t="s">
        <v>3984</v>
      </c>
      <c r="B3522" s="26" t="s">
        <v>5780</v>
      </c>
      <c r="C3522" s="26"/>
    </row>
    <row r="3523" spans="1:7" hidden="1">
      <c r="A3523" s="865"/>
      <c r="B3523" s="26" t="s">
        <v>6090</v>
      </c>
      <c r="C3523" s="26"/>
    </row>
    <row r="3524" spans="1:7" hidden="1">
      <c r="A3524" s="865"/>
      <c r="B3524" s="26" t="s">
        <v>7795</v>
      </c>
      <c r="C3524" s="26"/>
    </row>
    <row r="3525" spans="1:7" hidden="1">
      <c r="A3525" s="865"/>
      <c r="B3525" s="26" t="s">
        <v>7796</v>
      </c>
      <c r="C3525" s="26"/>
      <c r="D3525" s="26">
        <f>ROUND(50*11*8/300,2)</f>
        <v>14.67</v>
      </c>
      <c r="E3525" s="26" t="s">
        <v>3760</v>
      </c>
    </row>
    <row r="3526" spans="1:7" hidden="1">
      <c r="A3526" s="865"/>
      <c r="B3526" s="26" t="s">
        <v>6091</v>
      </c>
      <c r="C3526" s="26"/>
    </row>
    <row r="3527" spans="1:7" hidden="1">
      <c r="A3527" s="865"/>
      <c r="B3527" s="26" t="s">
        <v>7004</v>
      </c>
      <c r="C3527" s="26"/>
    </row>
    <row r="3528" spans="1:7" hidden="1">
      <c r="A3528" s="865"/>
      <c r="B3528" s="26" t="s">
        <v>2012</v>
      </c>
      <c r="C3528" s="26"/>
      <c r="E3528" s="68">
        <f>G667</f>
        <v>224.56752690000002</v>
      </c>
      <c r="F3528" s="26" t="s">
        <v>1168</v>
      </c>
    </row>
    <row r="3529" spans="1:7" hidden="1">
      <c r="A3529" s="865"/>
      <c r="B3529" s="26" t="s">
        <v>2013</v>
      </c>
      <c r="C3529" s="26"/>
      <c r="E3529" s="68">
        <f>G693</f>
        <v>88.5</v>
      </c>
      <c r="F3529" s="26" t="s">
        <v>1168</v>
      </c>
    </row>
    <row r="3530" spans="1:7" hidden="1">
      <c r="A3530" s="865"/>
      <c r="B3530" s="26" t="s">
        <v>451</v>
      </c>
      <c r="C3530" s="26"/>
    </row>
    <row r="3531" spans="1:7" hidden="1">
      <c r="A3531" s="865"/>
      <c r="B3531" s="26" t="s">
        <v>2014</v>
      </c>
      <c r="C3531" s="26"/>
    </row>
    <row r="3532" spans="1:7">
      <c r="B3532" s="78"/>
      <c r="C3532" s="26"/>
    </row>
    <row r="3533" spans="1:7">
      <c r="A3533" s="865" t="s">
        <v>3984</v>
      </c>
      <c r="B3533" s="78"/>
      <c r="C3533" s="203" t="s">
        <v>2367</v>
      </c>
      <c r="E3533" s="171" t="s">
        <v>297</v>
      </c>
      <c r="F3533" s="246">
        <f>D3525</f>
        <v>14.67</v>
      </c>
      <c r="G3533" s="26" t="s">
        <v>3477</v>
      </c>
    </row>
    <row r="3534" spans="1:7">
      <c r="B3534" s="79" t="s">
        <v>2368</v>
      </c>
      <c r="C3534" s="26"/>
    </row>
    <row r="3535" spans="1:7">
      <c r="B3535" s="95" t="s">
        <v>2369</v>
      </c>
      <c r="C3535" s="157" t="s">
        <v>4443</v>
      </c>
      <c r="D3535" s="95" t="s">
        <v>2370</v>
      </c>
      <c r="E3535" s="95" t="s">
        <v>1166</v>
      </c>
      <c r="F3535" s="95" t="s">
        <v>2371</v>
      </c>
      <c r="G3535" s="95" t="s">
        <v>2372</v>
      </c>
    </row>
    <row r="3536" spans="1:7">
      <c r="B3536" s="114"/>
      <c r="C3536" s="154"/>
      <c r="D3536" s="114"/>
      <c r="E3536" s="114"/>
      <c r="F3536" s="114" t="s">
        <v>3485</v>
      </c>
      <c r="G3536" s="114" t="s">
        <v>3485</v>
      </c>
    </row>
    <row r="3537" spans="1:7">
      <c r="B3537" s="95">
        <v>1</v>
      </c>
      <c r="C3537" s="135" t="s">
        <v>1048</v>
      </c>
      <c r="D3537" s="95" t="s">
        <v>3478</v>
      </c>
      <c r="E3537" s="190">
        <f>300*F3533</f>
        <v>4401</v>
      </c>
      <c r="F3537" s="214">
        <f>'BASIC DATA'!$D$32/1000</f>
        <v>5.35</v>
      </c>
      <c r="G3537" s="190">
        <f t="shared" ref="G3537:G3544" si="86">E3537*F3537</f>
        <v>23545.35</v>
      </c>
    </row>
    <row r="3538" spans="1:7">
      <c r="B3538" s="317"/>
      <c r="C3538" s="135" t="s">
        <v>1049</v>
      </c>
      <c r="D3538" s="105" t="s">
        <v>3478</v>
      </c>
      <c r="E3538" s="190">
        <f>5*F3533</f>
        <v>73.349999999999994</v>
      </c>
      <c r="F3538" s="214">
        <f>'BASIC DATA'!$D$32/1000</f>
        <v>5.35</v>
      </c>
      <c r="G3538" s="190">
        <f t="shared" si="86"/>
        <v>392.42249999999996</v>
      </c>
    </row>
    <row r="3539" spans="1:7">
      <c r="B3539" s="105">
        <v>2</v>
      </c>
      <c r="C3539" s="135" t="s">
        <v>6995</v>
      </c>
      <c r="D3539" s="105" t="s">
        <v>3477</v>
      </c>
      <c r="E3539" s="190">
        <f>0.8*F3533*0.65</f>
        <v>7.628400000000001</v>
      </c>
      <c r="F3539" s="214">
        <f>'BASIC DATA'!$D$35</f>
        <v>1225</v>
      </c>
      <c r="G3539" s="190">
        <f t="shared" si="86"/>
        <v>9344.7900000000009</v>
      </c>
    </row>
    <row r="3540" spans="1:7">
      <c r="B3540" s="317"/>
      <c r="C3540" s="135" t="s">
        <v>1050</v>
      </c>
      <c r="D3540" s="105" t="s">
        <v>3477</v>
      </c>
      <c r="E3540" s="190">
        <f>0.8*F3533*0.35</f>
        <v>4.1075999999999997</v>
      </c>
      <c r="F3540" s="214">
        <f>'BASIC DATA'!$D$34</f>
        <v>900</v>
      </c>
      <c r="G3540" s="190">
        <f t="shared" si="86"/>
        <v>3696.8399999999997</v>
      </c>
    </row>
    <row r="3541" spans="1:7">
      <c r="A3541" s="853"/>
      <c r="B3541" s="240">
        <v>3</v>
      </c>
      <c r="C3541" s="326" t="s">
        <v>7941</v>
      </c>
      <c r="D3541" s="240" t="s">
        <v>3477</v>
      </c>
      <c r="E3541" s="255">
        <f>0.45*F3533</f>
        <v>6.6014999999999997</v>
      </c>
      <c r="F3541" s="266">
        <f>'BASIC DATA'!$D$55</f>
        <v>95</v>
      </c>
      <c r="G3541" s="255">
        <f t="shared" si="86"/>
        <v>627.14249999999993</v>
      </c>
    </row>
    <row r="3542" spans="1:7">
      <c r="B3542" s="105">
        <v>4</v>
      </c>
      <c r="C3542" s="135" t="s">
        <v>523</v>
      </c>
      <c r="D3542" s="105" t="s">
        <v>3478</v>
      </c>
      <c r="E3542" s="190">
        <f>0.4%*E3537</f>
        <v>17.603999999999999</v>
      </c>
      <c r="F3542" s="214">
        <f>'BASIC DATA'!$D$99</f>
        <v>55</v>
      </c>
      <c r="G3542" s="190">
        <f t="shared" si="86"/>
        <v>968.21999999999991</v>
      </c>
    </row>
    <row r="3543" spans="1:7">
      <c r="B3543" s="105">
        <v>5</v>
      </c>
      <c r="C3543" s="135" t="s">
        <v>5315</v>
      </c>
      <c r="D3543" s="105" t="s">
        <v>3479</v>
      </c>
      <c r="E3543" s="190">
        <f>5.5*F3533</f>
        <v>80.685000000000002</v>
      </c>
      <c r="F3543" s="214">
        <f>E3528</f>
        <v>224.56752690000002</v>
      </c>
      <c r="G3543" s="190">
        <f t="shared" si="86"/>
        <v>18119.230907926503</v>
      </c>
    </row>
    <row r="3544" spans="1:7">
      <c r="B3544" s="114">
        <v>6</v>
      </c>
      <c r="C3544" s="139" t="s">
        <v>2373</v>
      </c>
      <c r="D3544" s="114" t="s">
        <v>3479</v>
      </c>
      <c r="E3544" s="182">
        <v>1</v>
      </c>
      <c r="F3544" s="215">
        <f>'BASIC DATA'!$D$359</f>
        <v>30</v>
      </c>
      <c r="G3544" s="182">
        <f t="shared" si="86"/>
        <v>30</v>
      </c>
    </row>
    <row r="3545" spans="1:7">
      <c r="B3545" s="92"/>
      <c r="C3545" s="193" t="s">
        <v>2376</v>
      </c>
      <c r="D3545" s="159"/>
      <c r="E3545" s="238"/>
      <c r="F3545" s="236" t="s">
        <v>1698</v>
      </c>
      <c r="G3545" s="318">
        <f>SUM(G3537:G3544)</f>
        <v>56723.995907926503</v>
      </c>
    </row>
    <row r="3546" spans="1:7">
      <c r="B3546" s="78"/>
      <c r="C3546" s="26"/>
      <c r="G3546" s="68"/>
    </row>
    <row r="3547" spans="1:7">
      <c r="B3547" s="79" t="s">
        <v>2377</v>
      </c>
      <c r="C3547" s="26"/>
    </row>
    <row r="3548" spans="1:7">
      <c r="B3548" s="95" t="s">
        <v>2369</v>
      </c>
      <c r="C3548" s="157" t="s">
        <v>2378</v>
      </c>
      <c r="D3548" s="95" t="s">
        <v>2370</v>
      </c>
      <c r="E3548" s="95" t="s">
        <v>1166</v>
      </c>
      <c r="F3548" s="95" t="s">
        <v>2371</v>
      </c>
      <c r="G3548" s="95" t="s">
        <v>2372</v>
      </c>
    </row>
    <row r="3549" spans="1:7">
      <c r="B3549" s="114"/>
      <c r="C3549" s="154"/>
      <c r="D3549" s="114"/>
      <c r="E3549" s="114"/>
      <c r="F3549" s="114" t="s">
        <v>3485</v>
      </c>
      <c r="G3549" s="114" t="s">
        <v>3485</v>
      </c>
    </row>
    <row r="3550" spans="1:7">
      <c r="B3550" s="95">
        <v>1</v>
      </c>
      <c r="C3550" s="153" t="s">
        <v>7214</v>
      </c>
      <c r="D3550" s="175" t="s">
        <v>2374</v>
      </c>
      <c r="E3550" s="179">
        <v>8</v>
      </c>
      <c r="F3550" s="190">
        <f>'HIRE CHARGES'!$D$507</f>
        <v>53.5</v>
      </c>
      <c r="G3550" s="190">
        <f t="shared" ref="G3550:G3555" si="87">E3550*F3550</f>
        <v>428</v>
      </c>
    </row>
    <row r="3551" spans="1:7">
      <c r="B3551" s="317"/>
      <c r="C3551" s="152" t="s">
        <v>2379</v>
      </c>
      <c r="D3551" s="33" t="s">
        <v>2374</v>
      </c>
      <c r="E3551" s="190">
        <v>8</v>
      </c>
      <c r="F3551" s="190">
        <f>'HIRE CHARGES'!$E$507</f>
        <v>79.3</v>
      </c>
      <c r="G3551" s="190">
        <f t="shared" si="87"/>
        <v>634.4</v>
      </c>
    </row>
    <row r="3552" spans="1:7">
      <c r="B3552" s="105">
        <v>2</v>
      </c>
      <c r="C3552" s="152" t="s">
        <v>189</v>
      </c>
      <c r="D3552" s="33" t="s">
        <v>2374</v>
      </c>
      <c r="E3552" s="190">
        <v>0.5</v>
      </c>
      <c r="F3552" s="190">
        <f>'HIRE CHARGES'!$D$517</f>
        <v>10.199999999999999</v>
      </c>
      <c r="G3552" s="190">
        <f t="shared" si="87"/>
        <v>5.0999999999999996</v>
      </c>
    </row>
    <row r="3553" spans="2:7">
      <c r="B3553" s="317"/>
      <c r="C3553" s="152" t="s">
        <v>2379</v>
      </c>
      <c r="D3553" s="33" t="s">
        <v>2374</v>
      </c>
      <c r="E3553" s="190">
        <v>0.5</v>
      </c>
      <c r="F3553" s="190">
        <f>'HIRE CHARGES'!$E$517</f>
        <v>79.3</v>
      </c>
      <c r="G3553" s="190">
        <f t="shared" si="87"/>
        <v>39.65</v>
      </c>
    </row>
    <row r="3554" spans="2:7">
      <c r="B3554" s="105">
        <v>3</v>
      </c>
      <c r="C3554" s="152" t="s">
        <v>6286</v>
      </c>
      <c r="D3554" s="33" t="s">
        <v>2374</v>
      </c>
      <c r="E3554" s="190">
        <v>1</v>
      </c>
      <c r="F3554" s="190">
        <f>'HIRE CHARGES'!$D$555</f>
        <v>402.5</v>
      </c>
      <c r="G3554" s="190">
        <f t="shared" si="87"/>
        <v>402.5</v>
      </c>
    </row>
    <row r="3555" spans="2:7">
      <c r="B3555" s="365"/>
      <c r="C3555" s="116" t="s">
        <v>2379</v>
      </c>
      <c r="D3555" s="188" t="s">
        <v>2374</v>
      </c>
      <c r="E3555" s="182">
        <v>1</v>
      </c>
      <c r="F3555" s="182">
        <f>'HIRE CHARGES'!$E$555</f>
        <v>299.89999999999998</v>
      </c>
      <c r="G3555" s="190">
        <f t="shared" si="87"/>
        <v>299.89999999999998</v>
      </c>
    </row>
    <row r="3556" spans="2:7">
      <c r="B3556" s="176"/>
      <c r="C3556" s="172" t="s">
        <v>2380</v>
      </c>
      <c r="D3556" s="174"/>
      <c r="E3556" s="192"/>
      <c r="F3556" s="275" t="s">
        <v>1698</v>
      </c>
      <c r="G3556" s="318">
        <f>SUM(G3550:G3555)</f>
        <v>1809.5500000000002</v>
      </c>
    </row>
    <row r="3557" spans="2:7">
      <c r="B3557" s="78"/>
      <c r="C3557" s="26"/>
    </row>
    <row r="3558" spans="2:7">
      <c r="B3558" s="79" t="s">
        <v>2381</v>
      </c>
      <c r="C3558" s="26"/>
    </row>
    <row r="3559" spans="2:7">
      <c r="B3559" s="95" t="s">
        <v>2369</v>
      </c>
      <c r="C3559" s="157" t="s">
        <v>2378</v>
      </c>
      <c r="D3559" s="95" t="s">
        <v>2370</v>
      </c>
      <c r="E3559" s="95" t="s">
        <v>1166</v>
      </c>
      <c r="F3559" s="95" t="s">
        <v>2371</v>
      </c>
      <c r="G3559" s="95" t="s">
        <v>2372</v>
      </c>
    </row>
    <row r="3560" spans="2:7">
      <c r="B3560" s="114"/>
      <c r="C3560" s="154"/>
      <c r="D3560" s="105"/>
      <c r="E3560" s="105"/>
      <c r="F3560" s="105" t="s">
        <v>3485</v>
      </c>
      <c r="G3560" s="114" t="s">
        <v>3485</v>
      </c>
    </row>
    <row r="3561" spans="2:7">
      <c r="B3561" s="95">
        <v>1</v>
      </c>
      <c r="C3561" s="76" t="s">
        <v>527</v>
      </c>
      <c r="D3561" s="95" t="s">
        <v>2374</v>
      </c>
      <c r="E3561" s="179">
        <v>8</v>
      </c>
      <c r="F3561" s="179">
        <f>'HIRE CHARGES'!$F$507</f>
        <v>219.7</v>
      </c>
      <c r="G3561" s="207">
        <f>E3561*F3561</f>
        <v>1757.6</v>
      </c>
    </row>
    <row r="3562" spans="2:7">
      <c r="B3562" s="105">
        <v>2</v>
      </c>
      <c r="C3562" s="76" t="s">
        <v>999</v>
      </c>
      <c r="D3562" s="105" t="s">
        <v>2374</v>
      </c>
      <c r="E3562" s="190">
        <v>0.5</v>
      </c>
      <c r="F3562" s="190">
        <f>'HIRE CHARGES'!$F$517</f>
        <v>111.1</v>
      </c>
      <c r="G3562" s="207">
        <f>E3562*F3562</f>
        <v>55.55</v>
      </c>
    </row>
    <row r="3563" spans="2:7">
      <c r="B3563" s="105">
        <v>3</v>
      </c>
      <c r="C3563" s="76" t="s">
        <v>1000</v>
      </c>
      <c r="D3563" s="105" t="s">
        <v>2374</v>
      </c>
      <c r="E3563" s="190">
        <v>1</v>
      </c>
      <c r="F3563" s="190">
        <f>'HIRE CHARGES'!$F$555</f>
        <v>177.5</v>
      </c>
      <c r="G3563" s="207">
        <f>E3563*F3563</f>
        <v>177.5</v>
      </c>
    </row>
    <row r="3564" spans="2:7">
      <c r="B3564" s="105">
        <v>4</v>
      </c>
      <c r="C3564" s="76" t="s">
        <v>440</v>
      </c>
      <c r="D3564" s="105" t="s">
        <v>1172</v>
      </c>
      <c r="E3564" s="190">
        <v>1</v>
      </c>
      <c r="F3564" s="190">
        <f>'BASIC DATA'!$C$474</f>
        <v>445</v>
      </c>
      <c r="G3564" s="207">
        <f>E3564*F3564</f>
        <v>445</v>
      </c>
    </row>
    <row r="3565" spans="2:7">
      <c r="B3565" s="105">
        <v>5</v>
      </c>
      <c r="C3565" s="76" t="s">
        <v>4206</v>
      </c>
      <c r="D3565" s="105" t="s">
        <v>1172</v>
      </c>
      <c r="E3565" s="190">
        <v>1</v>
      </c>
      <c r="F3565" s="190">
        <f>'BASIC DATA'!$C$473</f>
        <v>450</v>
      </c>
      <c r="G3565" s="207">
        <f>E3565*F3565</f>
        <v>450</v>
      </c>
    </row>
    <row r="3566" spans="2:7">
      <c r="B3566" s="105">
        <v>6</v>
      </c>
      <c r="C3566" s="76" t="s">
        <v>2697</v>
      </c>
      <c r="D3566" s="105"/>
      <c r="E3566" s="190"/>
      <c r="F3566" s="190"/>
      <c r="G3566" s="207"/>
    </row>
    <row r="3567" spans="2:7">
      <c r="B3567" s="317"/>
      <c r="C3567" s="76" t="s">
        <v>441</v>
      </c>
      <c r="D3567" s="105" t="s">
        <v>1172</v>
      </c>
      <c r="E3567" s="190">
        <v>11</v>
      </c>
      <c r="F3567" s="190">
        <f>'BASIC DATA'!$C$552</f>
        <v>350</v>
      </c>
      <c r="G3567" s="207">
        <f t="shared" ref="G3567:G3572" si="88">E3567*F3567</f>
        <v>3850</v>
      </c>
    </row>
    <row r="3568" spans="2:7">
      <c r="B3568" s="317"/>
      <c r="C3568" s="76" t="s">
        <v>442</v>
      </c>
      <c r="D3568" s="105" t="s">
        <v>1172</v>
      </c>
      <c r="E3568" s="190">
        <v>4</v>
      </c>
      <c r="F3568" s="190">
        <f>'BASIC DATA'!$C$552</f>
        <v>350</v>
      </c>
      <c r="G3568" s="207">
        <f t="shared" si="88"/>
        <v>1400</v>
      </c>
    </row>
    <row r="3569" spans="2:7">
      <c r="B3569" s="317"/>
      <c r="C3569" s="76" t="s">
        <v>7005</v>
      </c>
      <c r="D3569" s="105" t="s">
        <v>1172</v>
      </c>
      <c r="E3569" s="190">
        <v>3</v>
      </c>
      <c r="F3569" s="190">
        <f>'BASIC DATA'!$C$552</f>
        <v>350</v>
      </c>
      <c r="G3569" s="207">
        <f t="shared" si="88"/>
        <v>1050</v>
      </c>
    </row>
    <row r="3570" spans="2:7">
      <c r="B3570" s="317"/>
      <c r="C3570" s="76" t="s">
        <v>444</v>
      </c>
      <c r="D3570" s="105" t="s">
        <v>1172</v>
      </c>
      <c r="E3570" s="190">
        <f>F3533</f>
        <v>14.67</v>
      </c>
      <c r="F3570" s="190">
        <f>'BASIC DATA'!$C$552</f>
        <v>350</v>
      </c>
      <c r="G3570" s="207">
        <f t="shared" si="88"/>
        <v>5134.5</v>
      </c>
    </row>
    <row r="3571" spans="2:7">
      <c r="B3571" s="317"/>
      <c r="C3571" s="76" t="s">
        <v>445</v>
      </c>
      <c r="D3571" s="105" t="s">
        <v>1172</v>
      </c>
      <c r="E3571" s="190">
        <v>1</v>
      </c>
      <c r="F3571" s="190">
        <f>'BASIC DATA'!$C$552</f>
        <v>350</v>
      </c>
      <c r="G3571" s="207">
        <f t="shared" si="88"/>
        <v>350</v>
      </c>
    </row>
    <row r="3572" spans="2:7">
      <c r="B3572" s="114">
        <v>7</v>
      </c>
      <c r="C3572" s="89" t="s">
        <v>1856</v>
      </c>
      <c r="D3572" s="114" t="s">
        <v>3479</v>
      </c>
      <c r="E3572" s="182">
        <f>5.5*F3533</f>
        <v>80.685000000000002</v>
      </c>
      <c r="F3572" s="182">
        <f>E3529</f>
        <v>88.5</v>
      </c>
      <c r="G3572" s="207">
        <f t="shared" si="88"/>
        <v>7140.6225000000004</v>
      </c>
    </row>
    <row r="3573" spans="2:7">
      <c r="B3573" s="176"/>
      <c r="C3573" s="172" t="s">
        <v>1174</v>
      </c>
      <c r="D3573" s="174"/>
      <c r="E3573" s="192"/>
      <c r="F3573" s="275" t="s">
        <v>1698</v>
      </c>
      <c r="G3573" s="318">
        <f>SUM(G3561:G3572)</f>
        <v>21810.772499999999</v>
      </c>
    </row>
    <row r="3574" spans="2:7">
      <c r="B3574" s="60" t="s">
        <v>5948</v>
      </c>
      <c r="C3574" s="31"/>
      <c r="D3574" s="31"/>
      <c r="E3574" s="85">
        <f>ROUND(G3573/F3533,1)</f>
        <v>1486.8</v>
      </c>
    </row>
    <row r="3575" spans="2:7">
      <c r="B3575" s="60" t="s">
        <v>3163</v>
      </c>
      <c r="C3575" s="31"/>
      <c r="D3575" s="922">
        <f>'BASIC DATA'!$C$577</f>
        <v>0.13614999999999999</v>
      </c>
      <c r="E3575" s="85">
        <f>ROUND(E3574*D3575,1)</f>
        <v>202.4</v>
      </c>
    </row>
    <row r="3576" spans="2:7">
      <c r="B3576" s="60" t="s">
        <v>5949</v>
      </c>
      <c r="C3576" s="31"/>
      <c r="D3576" s="31"/>
      <c r="E3576" s="199">
        <f>ROUND(E3575+E3574,1)</f>
        <v>1689.2</v>
      </c>
      <c r="F3576" s="56"/>
    </row>
    <row r="3577" spans="2:7">
      <c r="B3577" s="78"/>
      <c r="C3577" s="26"/>
    </row>
    <row r="3578" spans="2:7">
      <c r="B3578" s="170" t="s">
        <v>1175</v>
      </c>
      <c r="C3578" s="26"/>
    </row>
    <row r="3579" spans="2:7">
      <c r="B3579" s="26" t="s">
        <v>1176</v>
      </c>
      <c r="C3579" s="26"/>
      <c r="F3579" s="171" t="s">
        <v>1698</v>
      </c>
      <c r="G3579" s="68">
        <f>G3545</f>
        <v>56723.995907926503</v>
      </c>
    </row>
    <row r="3580" spans="2:7">
      <c r="B3580" s="26" t="s">
        <v>1186</v>
      </c>
      <c r="C3580" s="26"/>
      <c r="F3580" s="171" t="s">
        <v>1698</v>
      </c>
      <c r="G3580" s="68">
        <f>G3556</f>
        <v>1809.5500000000002</v>
      </c>
    </row>
    <row r="3581" spans="2:7">
      <c r="B3581" s="26" t="s">
        <v>2660</v>
      </c>
      <c r="C3581" s="26"/>
      <c r="F3581" s="171" t="s">
        <v>1698</v>
      </c>
      <c r="G3581" s="75">
        <f>G3573</f>
        <v>21810.772499999999</v>
      </c>
    </row>
    <row r="3582" spans="2:7">
      <c r="B3582" s="78"/>
      <c r="C3582" s="26"/>
      <c r="E3582" s="171"/>
      <c r="F3582" s="171" t="s">
        <v>302</v>
      </c>
      <c r="G3582" s="205">
        <f>SUM(G3579:G3581)</f>
        <v>80344.318407926505</v>
      </c>
    </row>
    <row r="3583" spans="2:7">
      <c r="B3583" s="1206" t="s">
        <v>1379</v>
      </c>
      <c r="C3583" s="1206"/>
      <c r="E3583" s="922">
        <f>'BASIC DATA'!$C$577</f>
        <v>0.13614999999999999</v>
      </c>
      <c r="F3583" s="26" t="s">
        <v>1698</v>
      </c>
      <c r="G3583" s="26">
        <f>ROUND(G3582*E3583,2)</f>
        <v>10938.88</v>
      </c>
    </row>
    <row r="3584" spans="2:7">
      <c r="B3584" s="26" t="s">
        <v>1191</v>
      </c>
      <c r="C3584" s="26"/>
      <c r="D3584" s="68">
        <f>F3533</f>
        <v>14.67</v>
      </c>
      <c r="E3584" s="68" t="str">
        <f>G3533</f>
        <v>cum</v>
      </c>
      <c r="F3584" s="26" t="s">
        <v>1698</v>
      </c>
      <c r="G3584" s="211">
        <f>G3583+G3582</f>
        <v>91283.198407926509</v>
      </c>
    </row>
    <row r="3585" spans="1:7">
      <c r="B3585" s="170" t="s">
        <v>1584</v>
      </c>
      <c r="C3585" s="211" t="str">
        <f>E3584</f>
        <v>cum</v>
      </c>
      <c r="D3585" s="26" t="s">
        <v>7797</v>
      </c>
      <c r="F3585" s="26" t="s">
        <v>4108</v>
      </c>
      <c r="G3585" s="211">
        <f>ROUND(G3584/D3584,1)</f>
        <v>6222.4</v>
      </c>
    </row>
    <row r="3586" spans="1:7">
      <c r="B3586" s="78"/>
      <c r="C3586" s="26"/>
    </row>
    <row r="3587" spans="1:7">
      <c r="B3587" s="78"/>
      <c r="C3587" s="26"/>
    </row>
    <row r="3588" spans="1:7">
      <c r="A3588" s="865" t="s">
        <v>7142</v>
      </c>
      <c r="B3588" s="26" t="s">
        <v>8992</v>
      </c>
      <c r="C3588" s="26"/>
    </row>
    <row r="3589" spans="1:7" ht="18.75">
      <c r="A3589" s="865"/>
      <c r="B3589" s="26" t="s">
        <v>8993</v>
      </c>
      <c r="C3589" s="26"/>
    </row>
    <row r="3590" spans="1:7">
      <c r="A3590" s="865"/>
      <c r="B3590" s="26" t="s">
        <v>8994</v>
      </c>
      <c r="C3590" s="26"/>
    </row>
    <row r="3591" spans="1:7">
      <c r="A3591" s="865"/>
      <c r="B3591" s="26" t="s">
        <v>6279</v>
      </c>
      <c r="C3591" s="26"/>
    </row>
    <row r="3592" spans="1:7">
      <c r="A3592" s="865"/>
      <c r="B3592" s="26" t="s">
        <v>6046</v>
      </c>
      <c r="C3592" s="26"/>
    </row>
    <row r="3593" spans="1:7">
      <c r="A3593" s="865"/>
      <c r="B3593" s="26" t="s">
        <v>2108</v>
      </c>
      <c r="C3593" s="26"/>
      <c r="E3593" s="78"/>
    </row>
    <row r="3594" spans="1:7">
      <c r="A3594" s="865"/>
      <c r="B3594" s="26" t="s">
        <v>8995</v>
      </c>
      <c r="C3594" s="26"/>
    </row>
    <row r="3595" spans="1:7">
      <c r="A3595" s="865"/>
      <c r="B3595" s="26"/>
      <c r="C3595" s="26"/>
    </row>
    <row r="3596" spans="1:7" hidden="1">
      <c r="A3596" s="865" t="s">
        <v>3984</v>
      </c>
      <c r="B3596" s="26" t="s">
        <v>713</v>
      </c>
      <c r="C3596" s="26"/>
    </row>
    <row r="3597" spans="1:7" hidden="1">
      <c r="A3597" s="865"/>
      <c r="B3597" s="26" t="s">
        <v>714</v>
      </c>
      <c r="C3597" s="26"/>
      <c r="E3597" s="78" t="s">
        <v>1697</v>
      </c>
      <c r="F3597" s="26">
        <v>6</v>
      </c>
      <c r="G3597" s="26" t="s">
        <v>4041</v>
      </c>
    </row>
    <row r="3598" spans="1:7" hidden="1">
      <c r="A3598" s="865"/>
      <c r="B3598" s="26" t="s">
        <v>1486</v>
      </c>
      <c r="C3598" s="26"/>
      <c r="E3598" s="78" t="s">
        <v>1697</v>
      </c>
      <c r="F3598" s="26">
        <v>7.0000000000000007E-2</v>
      </c>
      <c r="G3598" s="26" t="s">
        <v>3477</v>
      </c>
    </row>
    <row r="3599" spans="1:7" hidden="1">
      <c r="A3599" s="865"/>
      <c r="B3599" s="26" t="s">
        <v>1</v>
      </c>
      <c r="C3599" s="26"/>
      <c r="E3599" s="78" t="s">
        <v>1697</v>
      </c>
      <c r="F3599" s="26">
        <v>11.23</v>
      </c>
      <c r="G3599" s="26" t="s">
        <v>3478</v>
      </c>
    </row>
    <row r="3600" spans="1:7" hidden="1">
      <c r="A3600" s="865"/>
      <c r="B3600" s="26" t="s">
        <v>702</v>
      </c>
      <c r="C3600" s="26"/>
      <c r="E3600" s="78" t="s">
        <v>1697</v>
      </c>
      <c r="F3600" s="26">
        <v>3.96</v>
      </c>
      <c r="G3600" s="26" t="s">
        <v>3478</v>
      </c>
    </row>
    <row r="3601" spans="1:7" hidden="1">
      <c r="A3601" s="865"/>
      <c r="B3601" s="26" t="s">
        <v>7335</v>
      </c>
      <c r="C3601" s="26"/>
      <c r="D3601" s="26" t="s">
        <v>1564</v>
      </c>
      <c r="E3601" s="78" t="s">
        <v>1697</v>
      </c>
      <c r="F3601" s="68">
        <f>16/1.025*1.05</f>
        <v>16.390243902439028</v>
      </c>
      <c r="G3601" s="26" t="s">
        <v>3478</v>
      </c>
    </row>
    <row r="3602" spans="1:7" hidden="1">
      <c r="A3602" s="865"/>
      <c r="B3602" s="26" t="s">
        <v>6092</v>
      </c>
      <c r="C3602" s="26"/>
      <c r="D3602" s="26" t="s">
        <v>1564</v>
      </c>
      <c r="E3602" s="78" t="s">
        <v>1697</v>
      </c>
      <c r="F3602" s="26">
        <v>30</v>
      </c>
      <c r="G3602" s="26" t="s">
        <v>3478</v>
      </c>
    </row>
    <row r="3603" spans="1:7" hidden="1">
      <c r="A3603" s="865"/>
      <c r="B3603" s="26" t="s">
        <v>3788</v>
      </c>
      <c r="C3603" s="26"/>
      <c r="D3603" s="26" t="s">
        <v>1137</v>
      </c>
      <c r="E3603" s="78" t="s">
        <v>1697</v>
      </c>
      <c r="F3603" s="26">
        <v>0.02</v>
      </c>
      <c r="G3603" s="26" t="s">
        <v>3477</v>
      </c>
    </row>
    <row r="3604" spans="1:7" hidden="1">
      <c r="A3604" s="865"/>
      <c r="B3604" s="26" t="s">
        <v>1138</v>
      </c>
      <c r="C3604" s="26"/>
      <c r="E3604" s="78" t="s">
        <v>1697</v>
      </c>
      <c r="F3604" s="26">
        <v>0.04</v>
      </c>
      <c r="G3604" s="26" t="s">
        <v>3477</v>
      </c>
    </row>
    <row r="3605" spans="1:7" hidden="1">
      <c r="A3605" s="865"/>
      <c r="B3605" s="26" t="s">
        <v>6298</v>
      </c>
      <c r="C3605" s="26"/>
      <c r="E3605" s="78" t="s">
        <v>1697</v>
      </c>
      <c r="F3605" s="68">
        <v>3</v>
      </c>
      <c r="G3605" s="26" t="s">
        <v>3479</v>
      </c>
    </row>
    <row r="3606" spans="1:7" hidden="1">
      <c r="A3606" s="865"/>
      <c r="B3606" s="26" t="s">
        <v>2015</v>
      </c>
      <c r="C3606" s="26"/>
      <c r="E3606" s="26" t="s">
        <v>1698</v>
      </c>
      <c r="F3606" s="68">
        <f>G667</f>
        <v>224.56752690000002</v>
      </c>
      <c r="G3606" s="26" t="s">
        <v>1168</v>
      </c>
    </row>
    <row r="3607" spans="1:7">
      <c r="B3607" s="78"/>
      <c r="C3607" s="26"/>
    </row>
    <row r="3608" spans="1:7">
      <c r="A3608" s="865" t="s">
        <v>3984</v>
      </c>
      <c r="B3608" s="78"/>
      <c r="C3608" s="203" t="s">
        <v>2367</v>
      </c>
      <c r="E3608" s="171" t="s">
        <v>297</v>
      </c>
      <c r="F3608" s="246">
        <v>10</v>
      </c>
      <c r="G3608" s="26" t="s">
        <v>3483</v>
      </c>
    </row>
    <row r="3609" spans="1:7">
      <c r="B3609" s="79" t="s">
        <v>2368</v>
      </c>
      <c r="C3609" s="26"/>
    </row>
    <row r="3610" spans="1:7">
      <c r="B3610" s="95" t="s">
        <v>2369</v>
      </c>
      <c r="C3610" s="157" t="s">
        <v>4443</v>
      </c>
      <c r="D3610" s="95" t="s">
        <v>2370</v>
      </c>
      <c r="E3610" s="95" t="s">
        <v>1166</v>
      </c>
      <c r="F3610" s="95" t="s">
        <v>2371</v>
      </c>
      <c r="G3610" s="95" t="s">
        <v>2372</v>
      </c>
    </row>
    <row r="3611" spans="1:7">
      <c r="B3611" s="114"/>
      <c r="C3611" s="154"/>
      <c r="D3611" s="114"/>
      <c r="E3611" s="114"/>
      <c r="F3611" s="114" t="s">
        <v>3485</v>
      </c>
      <c r="G3611" s="114" t="s">
        <v>3485</v>
      </c>
    </row>
    <row r="3612" spans="1:7">
      <c r="B3612" s="95">
        <v>1</v>
      </c>
      <c r="C3612" s="135" t="s">
        <v>5853</v>
      </c>
      <c r="D3612" s="95" t="s">
        <v>3478</v>
      </c>
      <c r="E3612" s="190">
        <v>30</v>
      </c>
      <c r="F3612" s="214">
        <f>'BASIC DATA'!$D$32/1000</f>
        <v>5.35</v>
      </c>
      <c r="G3612" s="190">
        <f t="shared" ref="G3612:G3619" si="89">E3612*F3612</f>
        <v>160.5</v>
      </c>
    </row>
    <row r="3613" spans="1:7">
      <c r="B3613" s="105">
        <v>2</v>
      </c>
      <c r="C3613" s="135" t="s">
        <v>6299</v>
      </c>
      <c r="D3613" s="105" t="s">
        <v>3477</v>
      </c>
      <c r="E3613" s="190">
        <v>0.04</v>
      </c>
      <c r="F3613" s="214">
        <f>'BASIC DATA'!$D$35</f>
        <v>1225</v>
      </c>
      <c r="G3613" s="190">
        <f t="shared" si="89"/>
        <v>49</v>
      </c>
    </row>
    <row r="3614" spans="1:7">
      <c r="B3614" s="105">
        <v>3</v>
      </c>
      <c r="C3614" s="135" t="s">
        <v>2072</v>
      </c>
      <c r="D3614" s="105" t="s">
        <v>3477</v>
      </c>
      <c r="E3614" s="190">
        <v>0.02</v>
      </c>
      <c r="F3614" s="214">
        <f>'BASIC DATA'!$D$34</f>
        <v>900</v>
      </c>
      <c r="G3614" s="190">
        <f t="shared" si="89"/>
        <v>18</v>
      </c>
    </row>
    <row r="3615" spans="1:7">
      <c r="A3615" s="853"/>
      <c r="B3615" s="240">
        <v>4</v>
      </c>
      <c r="C3615" s="326" t="s">
        <v>7941</v>
      </c>
      <c r="D3615" s="240" t="s">
        <v>3477</v>
      </c>
      <c r="E3615" s="255">
        <v>0.04</v>
      </c>
      <c r="F3615" s="266">
        <f>'BASIC DATA'!$D$55</f>
        <v>95</v>
      </c>
      <c r="G3615" s="255">
        <f t="shared" si="89"/>
        <v>3.8000000000000003</v>
      </c>
    </row>
    <row r="3616" spans="1:7">
      <c r="B3616" s="105">
        <v>5</v>
      </c>
      <c r="C3616" s="135" t="s">
        <v>961</v>
      </c>
      <c r="D3616" s="105" t="s">
        <v>3478</v>
      </c>
      <c r="E3616" s="190">
        <v>16.39</v>
      </c>
      <c r="F3616" s="214">
        <f>'BASIC DATA'!$D$91/1000</f>
        <v>34</v>
      </c>
      <c r="G3616" s="190">
        <f t="shared" si="89"/>
        <v>557.26</v>
      </c>
    </row>
    <row r="3617" spans="2:7">
      <c r="B3617" s="105">
        <v>6</v>
      </c>
      <c r="C3617" s="135" t="s">
        <v>2073</v>
      </c>
      <c r="D3617" s="105" t="s">
        <v>3483</v>
      </c>
      <c r="E3617" s="190">
        <v>30</v>
      </c>
      <c r="F3617" s="214">
        <f>'BASIC DATA'!$D$64</f>
        <v>270</v>
      </c>
      <c r="G3617" s="190">
        <f t="shared" si="89"/>
        <v>8100</v>
      </c>
    </row>
    <row r="3618" spans="2:7">
      <c r="B3618" s="105">
        <v>7</v>
      </c>
      <c r="C3618" s="135" t="s">
        <v>5315</v>
      </c>
      <c r="D3618" s="105" t="s">
        <v>3479</v>
      </c>
      <c r="E3618" s="190">
        <v>3</v>
      </c>
      <c r="F3618" s="214">
        <f>F3606</f>
        <v>224.56752690000002</v>
      </c>
      <c r="G3618" s="190">
        <f t="shared" si="89"/>
        <v>673.7025807</v>
      </c>
    </row>
    <row r="3619" spans="2:7">
      <c r="B3619" s="114">
        <v>8</v>
      </c>
      <c r="C3619" s="139" t="s">
        <v>4909</v>
      </c>
      <c r="D3619" s="114" t="s">
        <v>2173</v>
      </c>
      <c r="E3619" s="182">
        <v>4</v>
      </c>
      <c r="F3619" s="215">
        <f>'BASIC DATA'!$D$359</f>
        <v>30</v>
      </c>
      <c r="G3619" s="182">
        <f t="shared" si="89"/>
        <v>120</v>
      </c>
    </row>
    <row r="3620" spans="2:7">
      <c r="B3620" s="92"/>
      <c r="C3620" s="193" t="s">
        <v>2376</v>
      </c>
      <c r="D3620" s="159"/>
      <c r="E3620" s="238"/>
      <c r="F3620" s="236" t="s">
        <v>1698</v>
      </c>
      <c r="G3620" s="318">
        <f>SUM(G3612:G3619)</f>
        <v>9682.2625807000004</v>
      </c>
    </row>
    <row r="3621" spans="2:7">
      <c r="B3621" s="78"/>
      <c r="C3621" s="26"/>
      <c r="G3621" s="68"/>
    </row>
    <row r="3622" spans="2:7">
      <c r="B3622" s="79" t="s">
        <v>2377</v>
      </c>
      <c r="C3622" s="26"/>
    </row>
    <row r="3623" spans="2:7">
      <c r="B3623" s="95" t="s">
        <v>2369</v>
      </c>
      <c r="C3623" s="157" t="s">
        <v>2378</v>
      </c>
      <c r="D3623" s="95" t="s">
        <v>2370</v>
      </c>
      <c r="E3623" s="95" t="s">
        <v>1166</v>
      </c>
      <c r="F3623" s="95" t="s">
        <v>2371</v>
      </c>
      <c r="G3623" s="95" t="s">
        <v>2372</v>
      </c>
    </row>
    <row r="3624" spans="2:7">
      <c r="B3624" s="114"/>
      <c r="C3624" s="154"/>
      <c r="D3624" s="114"/>
      <c r="E3624" s="114"/>
      <c r="F3624" s="114" t="s">
        <v>3485</v>
      </c>
      <c r="G3624" s="114" t="s">
        <v>3485</v>
      </c>
    </row>
    <row r="3625" spans="2:7">
      <c r="B3625" s="95">
        <v>1</v>
      </c>
      <c r="C3625" s="95" t="s">
        <v>1130</v>
      </c>
      <c r="D3625" s="175"/>
      <c r="E3625" s="179">
        <v>0</v>
      </c>
      <c r="F3625" s="190">
        <v>0</v>
      </c>
      <c r="G3625" s="190">
        <f>E3625*F3625</f>
        <v>0</v>
      </c>
    </row>
    <row r="3626" spans="2:7">
      <c r="B3626" s="365"/>
      <c r="C3626" s="116"/>
      <c r="D3626" s="188"/>
      <c r="E3626" s="182">
        <v>0</v>
      </c>
      <c r="F3626" s="182">
        <v>0</v>
      </c>
      <c r="G3626" s="190">
        <f>E3626*F3626</f>
        <v>0</v>
      </c>
    </row>
    <row r="3627" spans="2:7">
      <c r="B3627" s="176"/>
      <c r="C3627" s="172" t="s">
        <v>2380</v>
      </c>
      <c r="D3627" s="174"/>
      <c r="E3627" s="192"/>
      <c r="F3627" s="275" t="s">
        <v>1698</v>
      </c>
      <c r="G3627" s="318">
        <f>SUM(G3625:G3626)</f>
        <v>0</v>
      </c>
    </row>
    <row r="3628" spans="2:7">
      <c r="B3628" s="78"/>
      <c r="C3628" s="26"/>
    </row>
    <row r="3629" spans="2:7">
      <c r="B3629" s="79" t="s">
        <v>2381</v>
      </c>
      <c r="C3629" s="26"/>
    </row>
    <row r="3630" spans="2:7">
      <c r="B3630" s="95" t="s">
        <v>2369</v>
      </c>
      <c r="C3630" s="157" t="s">
        <v>2378</v>
      </c>
      <c r="D3630" s="95" t="s">
        <v>2370</v>
      </c>
      <c r="E3630" s="95" t="s">
        <v>1166</v>
      </c>
      <c r="F3630" s="95" t="s">
        <v>2371</v>
      </c>
      <c r="G3630" s="95" t="s">
        <v>2372</v>
      </c>
    </row>
    <row r="3631" spans="2:7">
      <c r="B3631" s="114"/>
      <c r="C3631" s="154"/>
      <c r="D3631" s="105"/>
      <c r="E3631" s="105"/>
      <c r="F3631" s="105" t="s">
        <v>3485</v>
      </c>
      <c r="G3631" s="114" t="s">
        <v>3485</v>
      </c>
    </row>
    <row r="3632" spans="2:7">
      <c r="B3632" s="95">
        <v>1</v>
      </c>
      <c r="C3632" s="76" t="s">
        <v>5606</v>
      </c>
      <c r="D3632" s="95" t="s">
        <v>1172</v>
      </c>
      <c r="E3632" s="179">
        <v>0.5</v>
      </c>
      <c r="F3632" s="179">
        <f>'BASIC DATA'!$C$474</f>
        <v>445</v>
      </c>
      <c r="G3632" s="207">
        <f t="shared" ref="G3632:G3637" si="90">E3632*F3632</f>
        <v>222.5</v>
      </c>
    </row>
    <row r="3633" spans="2:7">
      <c r="B3633" s="105">
        <v>2</v>
      </c>
      <c r="C3633" s="76" t="s">
        <v>3836</v>
      </c>
      <c r="D3633" s="105" t="s">
        <v>1172</v>
      </c>
      <c r="E3633" s="190">
        <v>0.5</v>
      </c>
      <c r="F3633" s="190">
        <f>'BASIC DATA'!$C$464</f>
        <v>555</v>
      </c>
      <c r="G3633" s="207">
        <f t="shared" si="90"/>
        <v>277.5</v>
      </c>
    </row>
    <row r="3634" spans="2:7">
      <c r="B3634" s="105">
        <v>3</v>
      </c>
      <c r="C3634" s="76" t="s">
        <v>4206</v>
      </c>
      <c r="D3634" s="105" t="s">
        <v>1172</v>
      </c>
      <c r="E3634" s="190">
        <v>0.5</v>
      </c>
      <c r="F3634" s="190">
        <f>'BASIC DATA'!$C$473</f>
        <v>450</v>
      </c>
      <c r="G3634" s="207">
        <f t="shared" si="90"/>
        <v>225</v>
      </c>
    </row>
    <row r="3635" spans="2:7">
      <c r="B3635" s="105">
        <v>4</v>
      </c>
      <c r="C3635" s="76" t="s">
        <v>2697</v>
      </c>
      <c r="D3635" s="105" t="s">
        <v>1172</v>
      </c>
      <c r="E3635" s="190">
        <v>1.5</v>
      </c>
      <c r="F3635" s="190">
        <f>'BASIC DATA'!$C$552</f>
        <v>350</v>
      </c>
      <c r="G3635" s="207">
        <f t="shared" si="90"/>
        <v>525</v>
      </c>
    </row>
    <row r="3636" spans="2:7">
      <c r="B3636" s="105">
        <v>5</v>
      </c>
      <c r="C3636" s="76" t="s">
        <v>1367</v>
      </c>
      <c r="D3636" s="105" t="s">
        <v>1172</v>
      </c>
      <c r="E3636" s="190">
        <v>0.5</v>
      </c>
      <c r="F3636" s="190">
        <f>'BASIC DATA'!$C$543</f>
        <v>400</v>
      </c>
      <c r="G3636" s="207">
        <f t="shared" si="90"/>
        <v>200</v>
      </c>
    </row>
    <row r="3637" spans="2:7">
      <c r="B3637" s="114">
        <v>6</v>
      </c>
      <c r="C3637" s="89" t="s">
        <v>5733</v>
      </c>
      <c r="D3637" s="114" t="s">
        <v>1172</v>
      </c>
      <c r="E3637" s="182">
        <v>0.5</v>
      </c>
      <c r="F3637" s="182">
        <f>'BASIC DATA'!$C$515</f>
        <v>400</v>
      </c>
      <c r="G3637" s="207">
        <f t="shared" si="90"/>
        <v>200</v>
      </c>
    </row>
    <row r="3638" spans="2:7">
      <c r="B3638" s="176"/>
      <c r="C3638" s="172" t="s">
        <v>1174</v>
      </c>
      <c r="D3638" s="174"/>
      <c r="E3638" s="192"/>
      <c r="F3638" s="275" t="s">
        <v>1698</v>
      </c>
      <c r="G3638" s="318">
        <f>SUM(G3632:G3637)</f>
        <v>1650</v>
      </c>
    </row>
    <row r="3639" spans="2:7">
      <c r="B3639" s="60" t="s">
        <v>5948</v>
      </c>
      <c r="C3639" s="31"/>
      <c r="D3639" s="31"/>
      <c r="E3639" s="85">
        <f>ROUND(G3638/F3608,1)</f>
        <v>165</v>
      </c>
    </row>
    <row r="3640" spans="2:7">
      <c r="B3640" s="60" t="s">
        <v>3163</v>
      </c>
      <c r="C3640" s="31"/>
      <c r="D3640" s="922">
        <f>'BASIC DATA'!$C$577</f>
        <v>0.13614999999999999</v>
      </c>
      <c r="E3640" s="85">
        <f>ROUND(E3639*D3640,1)</f>
        <v>22.5</v>
      </c>
    </row>
    <row r="3641" spans="2:7">
      <c r="B3641" s="60" t="s">
        <v>5949</v>
      </c>
      <c r="C3641" s="31"/>
      <c r="D3641" s="31"/>
      <c r="E3641" s="199">
        <f>ROUND(E3640+E3639,1)</f>
        <v>187.5</v>
      </c>
      <c r="F3641" s="56"/>
    </row>
    <row r="3642" spans="2:7">
      <c r="B3642" s="78"/>
      <c r="C3642" s="26"/>
    </row>
    <row r="3643" spans="2:7">
      <c r="B3643" s="170" t="s">
        <v>1175</v>
      </c>
      <c r="C3643" s="26"/>
    </row>
    <row r="3644" spans="2:7">
      <c r="B3644" s="26" t="s">
        <v>1176</v>
      </c>
      <c r="C3644" s="26"/>
      <c r="F3644" s="171" t="s">
        <v>1698</v>
      </c>
      <c r="G3644" s="68">
        <f>G3620</f>
        <v>9682.2625807000004</v>
      </c>
    </row>
    <row r="3645" spans="2:7">
      <c r="B3645" s="26" t="s">
        <v>1186</v>
      </c>
      <c r="C3645" s="26"/>
      <c r="F3645" s="171" t="s">
        <v>1698</v>
      </c>
      <c r="G3645" s="68">
        <f>G3627</f>
        <v>0</v>
      </c>
    </row>
    <row r="3646" spans="2:7">
      <c r="B3646" s="26" t="s">
        <v>2660</v>
      </c>
      <c r="C3646" s="26"/>
      <c r="F3646" s="171" t="s">
        <v>1698</v>
      </c>
      <c r="G3646" s="75">
        <f>G3638</f>
        <v>1650</v>
      </c>
    </row>
    <row r="3647" spans="2:7">
      <c r="B3647" s="78"/>
      <c r="C3647" s="26"/>
      <c r="E3647" s="171"/>
      <c r="F3647" s="171" t="s">
        <v>302</v>
      </c>
      <c r="G3647" s="205">
        <f>SUM(G3644:G3646)</f>
        <v>11332.2625807</v>
      </c>
    </row>
    <row r="3648" spans="2:7">
      <c r="B3648" s="1206" t="s">
        <v>1379</v>
      </c>
      <c r="C3648" s="1206"/>
      <c r="E3648" s="922">
        <f>'BASIC DATA'!$C$577</f>
        <v>0.13614999999999999</v>
      </c>
      <c r="F3648" s="26" t="s">
        <v>1698</v>
      </c>
      <c r="G3648" s="26">
        <f>ROUND(G3647*E3648,2)</f>
        <v>1542.89</v>
      </c>
    </row>
    <row r="3649" spans="1:7">
      <c r="B3649" s="26" t="s">
        <v>1191</v>
      </c>
      <c r="C3649" s="26"/>
      <c r="D3649" s="68">
        <f>F3608</f>
        <v>10</v>
      </c>
      <c r="E3649" s="68" t="str">
        <f>G3608</f>
        <v>Rm</v>
      </c>
      <c r="F3649" s="26" t="s">
        <v>1698</v>
      </c>
      <c r="G3649" s="211">
        <f>G3648+G3647</f>
        <v>12875.1525807</v>
      </c>
    </row>
    <row r="3650" spans="1:7">
      <c r="B3650" s="170" t="s">
        <v>1584</v>
      </c>
      <c r="C3650" s="211" t="str">
        <f>E3649</f>
        <v>Rm</v>
      </c>
      <c r="D3650" s="26" t="s">
        <v>5891</v>
      </c>
      <c r="F3650" s="26" t="s">
        <v>4108</v>
      </c>
      <c r="G3650" s="211">
        <f>ROUND(G3649/D3649,1)</f>
        <v>1287.5</v>
      </c>
    </row>
    <row r="3651" spans="1:7">
      <c r="B3651" s="78"/>
      <c r="C3651" s="26"/>
    </row>
    <row r="3652" spans="1:7">
      <c r="A3652" s="865" t="s">
        <v>7143</v>
      </c>
      <c r="B3652" s="170" t="s">
        <v>2227</v>
      </c>
      <c r="C3652" s="26"/>
    </row>
    <row r="3653" spans="1:7">
      <c r="A3653" s="865"/>
      <c r="B3653" s="26"/>
      <c r="C3653" s="26"/>
    </row>
    <row r="3654" spans="1:7" ht="18.75">
      <c r="A3654" s="865" t="s">
        <v>7144</v>
      </c>
      <c r="B3654" s="26" t="s">
        <v>8996</v>
      </c>
      <c r="C3654" s="26"/>
    </row>
    <row r="3655" spans="1:7">
      <c r="A3655" s="865"/>
      <c r="B3655" s="26" t="s">
        <v>4250</v>
      </c>
      <c r="C3655" s="26"/>
    </row>
    <row r="3656" spans="1:7" ht="18.75">
      <c r="A3656" s="865"/>
      <c r="B3656" s="26" t="s">
        <v>8997</v>
      </c>
      <c r="C3656" s="26"/>
    </row>
    <row r="3657" spans="1:7">
      <c r="A3657" s="865"/>
      <c r="B3657" s="170" t="s">
        <v>2735</v>
      </c>
      <c r="C3657" s="26"/>
    </row>
    <row r="3658" spans="1:7">
      <c r="A3658" s="865"/>
      <c r="B3658" s="170" t="s">
        <v>3583</v>
      </c>
      <c r="C3658" s="26"/>
    </row>
    <row r="3659" spans="1:7">
      <c r="A3659" s="855"/>
      <c r="B3659" s="61"/>
      <c r="C3659" s="61"/>
      <c r="D3659" s="61"/>
      <c r="E3659" s="61"/>
      <c r="F3659" s="61"/>
      <c r="G3659" s="61"/>
    </row>
    <row r="3660" spans="1:7">
      <c r="A3660" s="865"/>
      <c r="B3660" s="26"/>
      <c r="C3660" s="26"/>
    </row>
    <row r="3661" spans="1:7" hidden="1">
      <c r="A3661" s="865" t="s">
        <v>3984</v>
      </c>
      <c r="B3661" s="26" t="s">
        <v>4251</v>
      </c>
      <c r="C3661" s="26"/>
    </row>
    <row r="3662" spans="1:7" hidden="1">
      <c r="A3662" s="855"/>
      <c r="B3662" s="61" t="s">
        <v>7336</v>
      </c>
      <c r="C3662" s="61"/>
      <c r="D3662" s="61"/>
      <c r="E3662" s="61"/>
      <c r="F3662" s="223">
        <v>0.1</v>
      </c>
      <c r="G3662" s="61" t="s">
        <v>3477</v>
      </c>
    </row>
    <row r="3663" spans="1:7" hidden="1">
      <c r="A3663" s="865"/>
      <c r="B3663" s="26" t="s">
        <v>1579</v>
      </c>
      <c r="C3663" s="26"/>
      <c r="D3663" s="26">
        <v>0.91</v>
      </c>
      <c r="E3663" s="26" t="s">
        <v>3478</v>
      </c>
    </row>
    <row r="3664" spans="1:7" hidden="1">
      <c r="A3664" s="865"/>
      <c r="B3664" s="26" t="s">
        <v>3721</v>
      </c>
      <c r="C3664" s="26"/>
    </row>
    <row r="3665" spans="1:7" hidden="1">
      <c r="A3665" s="865"/>
      <c r="B3665" s="26" t="s">
        <v>6554</v>
      </c>
      <c r="C3665" s="26"/>
    </row>
    <row r="3666" spans="1:7">
      <c r="B3666" s="78"/>
      <c r="C3666" s="26"/>
    </row>
    <row r="3667" spans="1:7">
      <c r="A3667" s="865" t="s">
        <v>3984</v>
      </c>
      <c r="B3667" s="78"/>
      <c r="C3667" s="203" t="s">
        <v>2367</v>
      </c>
      <c r="E3667" s="171" t="s">
        <v>297</v>
      </c>
      <c r="F3667" s="246">
        <v>10</v>
      </c>
      <c r="G3667" s="26" t="s">
        <v>4713</v>
      </c>
    </row>
    <row r="3668" spans="1:7">
      <c r="B3668" s="79" t="s">
        <v>2368</v>
      </c>
      <c r="C3668" s="26"/>
    </row>
    <row r="3669" spans="1:7">
      <c r="B3669" s="95" t="s">
        <v>2369</v>
      </c>
      <c r="C3669" s="157" t="s">
        <v>4443</v>
      </c>
      <c r="D3669" s="95" t="s">
        <v>2370</v>
      </c>
      <c r="E3669" s="95" t="s">
        <v>1166</v>
      </c>
      <c r="F3669" s="95" t="s">
        <v>2371</v>
      </c>
      <c r="G3669" s="95" t="s">
        <v>2372</v>
      </c>
    </row>
    <row r="3670" spans="1:7">
      <c r="B3670" s="114"/>
      <c r="C3670" s="154"/>
      <c r="D3670" s="114"/>
      <c r="E3670" s="114"/>
      <c r="F3670" s="114" t="s">
        <v>3485</v>
      </c>
      <c r="G3670" s="114" t="s">
        <v>3485</v>
      </c>
    </row>
    <row r="3671" spans="1:7">
      <c r="B3671" s="95">
        <v>1</v>
      </c>
      <c r="C3671" s="135" t="s">
        <v>5853</v>
      </c>
      <c r="D3671" s="95" t="s">
        <v>3478</v>
      </c>
      <c r="E3671" s="190">
        <v>99</v>
      </c>
      <c r="F3671" s="214">
        <f>'BASIC DATA'!$D$32/1000</f>
        <v>5.35</v>
      </c>
      <c r="G3671" s="190">
        <f>E3671*F3671</f>
        <v>529.65</v>
      </c>
    </row>
    <row r="3672" spans="1:7">
      <c r="A3672" s="853"/>
      <c r="B3672" s="240">
        <v>2</v>
      </c>
      <c r="C3672" s="326" t="s">
        <v>6827</v>
      </c>
      <c r="D3672" s="240" t="s">
        <v>3477</v>
      </c>
      <c r="E3672" s="255">
        <v>0.1</v>
      </c>
      <c r="F3672" s="266">
        <f>'BASIC DATA'!$D$57</f>
        <v>165</v>
      </c>
      <c r="G3672" s="255">
        <f>E3672*F3672</f>
        <v>16.5</v>
      </c>
    </row>
    <row r="3673" spans="1:7">
      <c r="B3673" s="114">
        <v>3</v>
      </c>
      <c r="C3673" s="139" t="s">
        <v>6761</v>
      </c>
      <c r="D3673" s="114" t="s">
        <v>3478</v>
      </c>
      <c r="E3673" s="182">
        <v>0.91</v>
      </c>
      <c r="F3673" s="215">
        <f>'BASIC DATA'!$D$71</f>
        <v>72</v>
      </c>
      <c r="G3673" s="182">
        <f>E3673*F3673</f>
        <v>65.52</v>
      </c>
    </row>
    <row r="3674" spans="1:7">
      <c r="B3674" s="92"/>
      <c r="C3674" s="193" t="s">
        <v>2376</v>
      </c>
      <c r="D3674" s="159"/>
      <c r="E3674" s="238"/>
      <c r="F3674" s="236" t="s">
        <v>1698</v>
      </c>
      <c r="G3674" s="318">
        <f>SUM(G3671:G3673)</f>
        <v>611.66999999999996</v>
      </c>
    </row>
    <row r="3675" spans="1:7">
      <c r="B3675" s="78"/>
      <c r="C3675" s="26"/>
      <c r="G3675" s="68"/>
    </row>
    <row r="3676" spans="1:7">
      <c r="B3676" s="79" t="s">
        <v>2377</v>
      </c>
      <c r="C3676" s="26"/>
    </row>
    <row r="3677" spans="1:7">
      <c r="B3677" s="95" t="s">
        <v>2369</v>
      </c>
      <c r="C3677" s="157" t="s">
        <v>2378</v>
      </c>
      <c r="D3677" s="95" t="s">
        <v>2370</v>
      </c>
      <c r="E3677" s="95" t="s">
        <v>1166</v>
      </c>
      <c r="F3677" s="95" t="s">
        <v>2371</v>
      </c>
      <c r="G3677" s="95" t="s">
        <v>2372</v>
      </c>
    </row>
    <row r="3678" spans="1:7">
      <c r="B3678" s="114"/>
      <c r="C3678" s="154"/>
      <c r="D3678" s="114"/>
      <c r="E3678" s="114"/>
      <c r="F3678" s="114" t="s">
        <v>3485</v>
      </c>
      <c r="G3678" s="114" t="s">
        <v>3485</v>
      </c>
    </row>
    <row r="3679" spans="1:7">
      <c r="B3679" s="95">
        <v>1</v>
      </c>
      <c r="C3679" s="95" t="s">
        <v>1130</v>
      </c>
      <c r="D3679" s="175"/>
      <c r="E3679" s="179">
        <v>0</v>
      </c>
      <c r="F3679" s="190">
        <v>0</v>
      </c>
      <c r="G3679" s="190">
        <f>E3679*F3679</f>
        <v>0</v>
      </c>
    </row>
    <row r="3680" spans="1:7">
      <c r="B3680" s="365"/>
      <c r="C3680" s="114" t="s">
        <v>4425</v>
      </c>
      <c r="D3680" s="188"/>
      <c r="E3680" s="182">
        <v>0</v>
      </c>
      <c r="F3680" s="182">
        <v>0</v>
      </c>
      <c r="G3680" s="190">
        <f>E3680*F3680</f>
        <v>0</v>
      </c>
    </row>
    <row r="3681" spans="2:7">
      <c r="B3681" s="176"/>
      <c r="C3681" s="172" t="s">
        <v>2380</v>
      </c>
      <c r="D3681" s="174"/>
      <c r="E3681" s="192"/>
      <c r="F3681" s="275" t="s">
        <v>1698</v>
      </c>
      <c r="G3681" s="318">
        <f>SUM(G3679:G3680)</f>
        <v>0</v>
      </c>
    </row>
    <row r="3682" spans="2:7">
      <c r="B3682" s="78"/>
      <c r="C3682" s="26"/>
    </row>
    <row r="3683" spans="2:7">
      <c r="B3683" s="79" t="s">
        <v>2381</v>
      </c>
      <c r="C3683" s="26"/>
    </row>
    <row r="3684" spans="2:7">
      <c r="B3684" s="95" t="s">
        <v>2369</v>
      </c>
      <c r="C3684" s="157" t="s">
        <v>2378</v>
      </c>
      <c r="D3684" s="95" t="s">
        <v>2370</v>
      </c>
      <c r="E3684" s="95" t="s">
        <v>1166</v>
      </c>
      <c r="F3684" s="95" t="s">
        <v>2371</v>
      </c>
      <c r="G3684" s="95" t="s">
        <v>2372</v>
      </c>
    </row>
    <row r="3685" spans="2:7">
      <c r="B3685" s="114"/>
      <c r="C3685" s="154"/>
      <c r="D3685" s="105"/>
      <c r="E3685" s="105"/>
      <c r="F3685" s="105" t="s">
        <v>3485</v>
      </c>
      <c r="G3685" s="114" t="s">
        <v>3485</v>
      </c>
    </row>
    <row r="3686" spans="2:7">
      <c r="B3686" s="95">
        <v>1</v>
      </c>
      <c r="C3686" s="76" t="s">
        <v>4203</v>
      </c>
      <c r="D3686" s="95" t="s">
        <v>1172</v>
      </c>
      <c r="E3686" s="179">
        <v>2</v>
      </c>
      <c r="F3686" s="179">
        <f>'BASIC DATA'!$C$541</f>
        <v>400</v>
      </c>
      <c r="G3686" s="207">
        <f>E3686*F3686</f>
        <v>800</v>
      </c>
    </row>
    <row r="3687" spans="2:7">
      <c r="B3687" s="105">
        <v>2</v>
      </c>
      <c r="C3687" s="76" t="s">
        <v>4206</v>
      </c>
      <c r="D3687" s="105" t="s">
        <v>1172</v>
      </c>
      <c r="E3687" s="190">
        <v>1</v>
      </c>
      <c r="F3687" s="190">
        <f>'BASIC DATA'!$C$473</f>
        <v>450</v>
      </c>
      <c r="G3687" s="207">
        <f>E3687*F3687</f>
        <v>450</v>
      </c>
    </row>
    <row r="3688" spans="2:7">
      <c r="B3688" s="114">
        <v>3</v>
      </c>
      <c r="C3688" s="89" t="s">
        <v>2697</v>
      </c>
      <c r="D3688" s="114" t="s">
        <v>1172</v>
      </c>
      <c r="E3688" s="182">
        <v>3</v>
      </c>
      <c r="F3688" s="182">
        <f>'BASIC DATA'!$C$552</f>
        <v>350</v>
      </c>
      <c r="G3688" s="181">
        <f>E3688*F3688</f>
        <v>1050</v>
      </c>
    </row>
    <row r="3689" spans="2:7">
      <c r="B3689" s="176"/>
      <c r="C3689" s="172" t="s">
        <v>1174</v>
      </c>
      <c r="D3689" s="174"/>
      <c r="E3689" s="192"/>
      <c r="F3689" s="275" t="s">
        <v>1698</v>
      </c>
      <c r="G3689" s="434">
        <f>SUM(G3686:G3688)</f>
        <v>2300</v>
      </c>
    </row>
    <row r="3690" spans="2:7">
      <c r="B3690" s="60" t="s">
        <v>5948</v>
      </c>
      <c r="C3690" s="26"/>
      <c r="D3690" s="31"/>
      <c r="E3690" s="85">
        <f>ROUND(G3689/F3667,1)</f>
        <v>230</v>
      </c>
    </row>
    <row r="3691" spans="2:7">
      <c r="B3691" s="60" t="s">
        <v>3163</v>
      </c>
      <c r="C3691" s="26"/>
      <c r="D3691" s="922">
        <f>'BASIC DATA'!$C$577</f>
        <v>0.13614999999999999</v>
      </c>
      <c r="E3691" s="85">
        <f>ROUND(E3690*D3691,1)</f>
        <v>31.3</v>
      </c>
    </row>
    <row r="3692" spans="2:7">
      <c r="B3692" s="60" t="s">
        <v>5949</v>
      </c>
      <c r="C3692" s="26"/>
      <c r="D3692" s="31"/>
      <c r="E3692" s="199">
        <f>ROUND(E3691+E3690,1)</f>
        <v>261.3</v>
      </c>
      <c r="F3692" s="56"/>
    </row>
    <row r="3693" spans="2:7">
      <c r="B3693" s="26"/>
      <c r="C3693" s="26"/>
    </row>
    <row r="3694" spans="2:7">
      <c r="B3694" s="170" t="s">
        <v>1175</v>
      </c>
      <c r="C3694" s="26"/>
    </row>
    <row r="3695" spans="2:7">
      <c r="B3695" s="26" t="s">
        <v>1176</v>
      </c>
      <c r="C3695" s="26"/>
      <c r="F3695" s="171" t="s">
        <v>1698</v>
      </c>
      <c r="G3695" s="68">
        <f>G3674</f>
        <v>611.66999999999996</v>
      </c>
    </row>
    <row r="3696" spans="2:7">
      <c r="B3696" s="26" t="s">
        <v>1186</v>
      </c>
      <c r="C3696" s="26"/>
      <c r="F3696" s="171" t="s">
        <v>1698</v>
      </c>
      <c r="G3696" s="68">
        <f>G3681</f>
        <v>0</v>
      </c>
    </row>
    <row r="3697" spans="1:7">
      <c r="B3697" s="26" t="s">
        <v>2660</v>
      </c>
      <c r="C3697" s="26"/>
      <c r="F3697" s="171" t="s">
        <v>1698</v>
      </c>
      <c r="G3697" s="75">
        <f>G3689</f>
        <v>2300</v>
      </c>
    </row>
    <row r="3698" spans="1:7">
      <c r="B3698" s="78"/>
      <c r="C3698" s="26"/>
      <c r="E3698" s="171"/>
      <c r="F3698" s="171" t="s">
        <v>302</v>
      </c>
      <c r="G3698" s="205">
        <f>SUM(G3695:G3697)</f>
        <v>2911.67</v>
      </c>
    </row>
    <row r="3699" spans="1:7">
      <c r="B3699" s="1206" t="s">
        <v>1379</v>
      </c>
      <c r="C3699" s="1206"/>
      <c r="E3699" s="922">
        <f>'BASIC DATA'!$C$577</f>
        <v>0.13614999999999999</v>
      </c>
      <c r="F3699" s="26" t="s">
        <v>1698</v>
      </c>
      <c r="G3699" s="26">
        <f>ROUND(G3698*E3699,2)</f>
        <v>396.42</v>
      </c>
    </row>
    <row r="3700" spans="1:7">
      <c r="B3700" s="26" t="s">
        <v>1191</v>
      </c>
      <c r="C3700" s="26"/>
      <c r="D3700" s="68">
        <f>F3667</f>
        <v>10</v>
      </c>
      <c r="E3700" s="68" t="str">
        <f>G3667</f>
        <v>Joints</v>
      </c>
      <c r="F3700" s="26" t="s">
        <v>1698</v>
      </c>
      <c r="G3700" s="170">
        <f>G3699+G3698</f>
        <v>3308.09</v>
      </c>
    </row>
    <row r="3701" spans="1:7">
      <c r="B3701" s="170" t="s">
        <v>1584</v>
      </c>
      <c r="C3701" s="211" t="s">
        <v>4714</v>
      </c>
      <c r="D3701" s="26" t="s">
        <v>5891</v>
      </c>
      <c r="F3701" s="26" t="s">
        <v>4108</v>
      </c>
      <c r="G3701" s="211">
        <f>ROUND(G3700/D3700,1)</f>
        <v>330.8</v>
      </c>
    </row>
    <row r="3702" spans="1:7">
      <c r="B3702" s="78"/>
      <c r="C3702" s="26"/>
    </row>
    <row r="3703" spans="1:7" ht="18.75">
      <c r="A3703" s="822" t="s">
        <v>478</v>
      </c>
      <c r="B3703" s="27" t="s">
        <v>8998</v>
      </c>
      <c r="C3703" s="26"/>
    </row>
    <row r="3704" spans="1:7" ht="18.75">
      <c r="B3704" s="27" t="s">
        <v>8999</v>
      </c>
      <c r="C3704" s="26"/>
    </row>
    <row r="3705" spans="1:7">
      <c r="B3705" s="78"/>
      <c r="C3705" s="26"/>
    </row>
    <row r="3706" spans="1:7" ht="18.75">
      <c r="A3706" s="865" t="s">
        <v>7145</v>
      </c>
      <c r="B3706" s="26" t="s">
        <v>9000</v>
      </c>
      <c r="C3706" s="26"/>
    </row>
    <row r="3707" spans="1:7">
      <c r="A3707" s="865"/>
      <c r="B3707" s="26" t="s">
        <v>4250</v>
      </c>
      <c r="C3707" s="26"/>
    </row>
    <row r="3708" spans="1:7" ht="18.75">
      <c r="A3708" s="865"/>
      <c r="B3708" s="26" t="s">
        <v>8997</v>
      </c>
      <c r="C3708" s="26"/>
    </row>
    <row r="3709" spans="1:7">
      <c r="A3709" s="865"/>
      <c r="B3709" s="170" t="s">
        <v>2735</v>
      </c>
      <c r="C3709" s="26"/>
    </row>
    <row r="3710" spans="1:7">
      <c r="A3710" s="865"/>
      <c r="B3710" s="170" t="s">
        <v>653</v>
      </c>
      <c r="C3710" s="26"/>
    </row>
    <row r="3711" spans="1:7">
      <c r="A3711" s="865"/>
      <c r="B3711" s="26"/>
      <c r="C3711" s="26"/>
    </row>
    <row r="3712" spans="1:7" hidden="1">
      <c r="A3712" s="865" t="s">
        <v>3984</v>
      </c>
      <c r="B3712" s="26" t="s">
        <v>4251</v>
      </c>
      <c r="C3712" s="26"/>
    </row>
    <row r="3713" spans="1:7" hidden="1">
      <c r="A3713" s="865"/>
      <c r="B3713" s="26" t="s">
        <v>7337</v>
      </c>
      <c r="C3713" s="26"/>
      <c r="F3713" s="26">
        <v>0.22</v>
      </c>
      <c r="G3713" s="26" t="s">
        <v>3477</v>
      </c>
    </row>
    <row r="3714" spans="1:7" hidden="1">
      <c r="A3714" s="865"/>
      <c r="B3714" s="26" t="s">
        <v>1580</v>
      </c>
      <c r="C3714" s="26"/>
      <c r="D3714" s="26">
        <v>1.27</v>
      </c>
      <c r="E3714" s="26" t="s">
        <v>3478</v>
      </c>
    </row>
    <row r="3715" spans="1:7" hidden="1">
      <c r="A3715" s="865"/>
      <c r="B3715" s="26" t="s">
        <v>3721</v>
      </c>
      <c r="C3715" s="26"/>
    </row>
    <row r="3716" spans="1:7" hidden="1">
      <c r="A3716" s="865"/>
      <c r="B3716" s="26" t="s">
        <v>6554</v>
      </c>
      <c r="C3716" s="26"/>
    </row>
    <row r="3717" spans="1:7">
      <c r="B3717" s="78"/>
      <c r="C3717" s="26"/>
    </row>
    <row r="3718" spans="1:7">
      <c r="A3718" s="865" t="s">
        <v>3984</v>
      </c>
      <c r="B3718" s="78"/>
      <c r="C3718" s="203" t="s">
        <v>2367</v>
      </c>
      <c r="E3718" s="171" t="s">
        <v>297</v>
      </c>
      <c r="F3718" s="246">
        <v>10</v>
      </c>
      <c r="G3718" s="26" t="s">
        <v>4713</v>
      </c>
    </row>
    <row r="3719" spans="1:7">
      <c r="B3719" s="79" t="s">
        <v>2368</v>
      </c>
      <c r="C3719" s="26"/>
    </row>
    <row r="3720" spans="1:7">
      <c r="B3720" s="95" t="s">
        <v>2369</v>
      </c>
      <c r="C3720" s="157" t="s">
        <v>4443</v>
      </c>
      <c r="D3720" s="95" t="s">
        <v>2370</v>
      </c>
      <c r="E3720" s="95" t="s">
        <v>1166</v>
      </c>
      <c r="F3720" s="95" t="s">
        <v>2371</v>
      </c>
      <c r="G3720" s="95" t="s">
        <v>2372</v>
      </c>
    </row>
    <row r="3721" spans="1:7">
      <c r="B3721" s="114"/>
      <c r="C3721" s="154"/>
      <c r="D3721" s="114"/>
      <c r="E3721" s="114"/>
      <c r="F3721" s="114" t="s">
        <v>3485</v>
      </c>
      <c r="G3721" s="114" t="s">
        <v>3485</v>
      </c>
    </row>
    <row r="3722" spans="1:7">
      <c r="B3722" s="95">
        <v>1</v>
      </c>
      <c r="C3722" s="135" t="s">
        <v>5853</v>
      </c>
      <c r="D3722" s="95" t="s">
        <v>3478</v>
      </c>
      <c r="E3722" s="190">
        <v>174</v>
      </c>
      <c r="F3722" s="214">
        <f>'BASIC DATA'!$D$32/1000</f>
        <v>5.35</v>
      </c>
      <c r="G3722" s="190">
        <f>E3722*F3722</f>
        <v>930.9</v>
      </c>
    </row>
    <row r="3723" spans="1:7">
      <c r="A3723" s="853"/>
      <c r="B3723" s="240">
        <v>2</v>
      </c>
      <c r="C3723" s="326" t="s">
        <v>6827</v>
      </c>
      <c r="D3723" s="240" t="s">
        <v>3477</v>
      </c>
      <c r="E3723" s="255">
        <v>0.22</v>
      </c>
      <c r="F3723" s="266">
        <f>'BASIC DATA'!$D$57</f>
        <v>165</v>
      </c>
      <c r="G3723" s="255">
        <f>E3723*F3723</f>
        <v>36.299999999999997</v>
      </c>
    </row>
    <row r="3724" spans="1:7">
      <c r="B3724" s="114">
        <v>3</v>
      </c>
      <c r="C3724" s="139" t="s">
        <v>6761</v>
      </c>
      <c r="D3724" s="114" t="s">
        <v>3478</v>
      </c>
      <c r="E3724" s="182">
        <v>1.27</v>
      </c>
      <c r="F3724" s="215">
        <f>'BASIC DATA'!$D$71</f>
        <v>72</v>
      </c>
      <c r="G3724" s="182">
        <f>E3724*F3724</f>
        <v>91.44</v>
      </c>
    </row>
    <row r="3725" spans="1:7">
      <c r="B3725" s="92"/>
      <c r="C3725" s="193" t="s">
        <v>2376</v>
      </c>
      <c r="D3725" s="159"/>
      <c r="E3725" s="238"/>
      <c r="F3725" s="236" t="s">
        <v>1698</v>
      </c>
      <c r="G3725" s="318">
        <f>SUM(G3722:G3724)</f>
        <v>1058.6399999999999</v>
      </c>
    </row>
    <row r="3726" spans="1:7">
      <c r="B3726" s="78"/>
      <c r="C3726" s="26"/>
      <c r="G3726" s="68"/>
    </row>
    <row r="3727" spans="1:7">
      <c r="B3727" s="79" t="s">
        <v>2377</v>
      </c>
      <c r="C3727" s="26"/>
    </row>
    <row r="3728" spans="1:7">
      <c r="B3728" s="95" t="s">
        <v>2369</v>
      </c>
      <c r="C3728" s="157" t="s">
        <v>2378</v>
      </c>
      <c r="D3728" s="95" t="s">
        <v>2370</v>
      </c>
      <c r="E3728" s="95" t="s">
        <v>1166</v>
      </c>
      <c r="F3728" s="95" t="s">
        <v>2371</v>
      </c>
      <c r="G3728" s="95" t="s">
        <v>2372</v>
      </c>
    </row>
    <row r="3729" spans="2:7">
      <c r="B3729" s="114"/>
      <c r="C3729" s="154"/>
      <c r="D3729" s="114"/>
      <c r="E3729" s="114"/>
      <c r="F3729" s="114" t="s">
        <v>3485</v>
      </c>
      <c r="G3729" s="114" t="s">
        <v>3485</v>
      </c>
    </row>
    <row r="3730" spans="2:7">
      <c r="B3730" s="95">
        <v>1</v>
      </c>
      <c r="C3730" s="95" t="s">
        <v>1130</v>
      </c>
      <c r="D3730" s="175"/>
      <c r="E3730" s="179">
        <v>0</v>
      </c>
      <c r="F3730" s="190">
        <v>0</v>
      </c>
      <c r="G3730" s="190">
        <f>E3730*F3730</f>
        <v>0</v>
      </c>
    </row>
    <row r="3731" spans="2:7">
      <c r="B3731" s="365"/>
      <c r="C3731" s="114" t="s">
        <v>4425</v>
      </c>
      <c r="D3731" s="188"/>
      <c r="E3731" s="182">
        <v>0</v>
      </c>
      <c r="F3731" s="182">
        <v>0</v>
      </c>
      <c r="G3731" s="190">
        <f>E3731*F3731</f>
        <v>0</v>
      </c>
    </row>
    <row r="3732" spans="2:7">
      <c r="B3732" s="176"/>
      <c r="C3732" s="172" t="s">
        <v>2380</v>
      </c>
      <c r="D3732" s="174"/>
      <c r="E3732" s="192"/>
      <c r="F3732" s="275" t="s">
        <v>1698</v>
      </c>
      <c r="G3732" s="318">
        <f>SUM(G3730:G3731)</f>
        <v>0</v>
      </c>
    </row>
    <row r="3733" spans="2:7">
      <c r="B3733" s="78"/>
      <c r="C3733" s="26"/>
    </row>
    <row r="3734" spans="2:7">
      <c r="B3734" s="79" t="s">
        <v>2381</v>
      </c>
      <c r="C3734" s="26"/>
    </row>
    <row r="3735" spans="2:7">
      <c r="B3735" s="95" t="s">
        <v>2369</v>
      </c>
      <c r="C3735" s="157" t="s">
        <v>2378</v>
      </c>
      <c r="D3735" s="95" t="s">
        <v>2370</v>
      </c>
      <c r="E3735" s="95" t="s">
        <v>1166</v>
      </c>
      <c r="F3735" s="95" t="s">
        <v>2371</v>
      </c>
      <c r="G3735" s="95" t="s">
        <v>2372</v>
      </c>
    </row>
    <row r="3736" spans="2:7">
      <c r="B3736" s="114"/>
      <c r="C3736" s="154"/>
      <c r="D3736" s="105"/>
      <c r="E3736" s="105"/>
      <c r="F3736" s="105" t="s">
        <v>3485</v>
      </c>
      <c r="G3736" s="114" t="s">
        <v>3485</v>
      </c>
    </row>
    <row r="3737" spans="2:7">
      <c r="B3737" s="95">
        <v>1</v>
      </c>
      <c r="C3737" s="76" t="s">
        <v>4203</v>
      </c>
      <c r="D3737" s="95" t="s">
        <v>1172</v>
      </c>
      <c r="E3737" s="179">
        <v>2</v>
      </c>
      <c r="F3737" s="179">
        <f>'BASIC DATA'!$C$541</f>
        <v>400</v>
      </c>
      <c r="G3737" s="207">
        <f>E3737*F3737</f>
        <v>800</v>
      </c>
    </row>
    <row r="3738" spans="2:7">
      <c r="B3738" s="105">
        <v>2</v>
      </c>
      <c r="C3738" s="76" t="s">
        <v>4206</v>
      </c>
      <c r="D3738" s="105" t="s">
        <v>1172</v>
      </c>
      <c r="E3738" s="190">
        <v>1</v>
      </c>
      <c r="F3738" s="190">
        <f>'BASIC DATA'!$C$473</f>
        <v>450</v>
      </c>
      <c r="G3738" s="207">
        <f>E3738*F3738</f>
        <v>450</v>
      </c>
    </row>
    <row r="3739" spans="2:7">
      <c r="B3739" s="114">
        <v>3</v>
      </c>
      <c r="C3739" s="89" t="s">
        <v>2697</v>
      </c>
      <c r="D3739" s="114" t="s">
        <v>1172</v>
      </c>
      <c r="E3739" s="182">
        <v>3</v>
      </c>
      <c r="F3739" s="190">
        <f>'BASIC DATA'!$C$552</f>
        <v>350</v>
      </c>
      <c r="G3739" s="207">
        <f>E3739*F3739</f>
        <v>1050</v>
      </c>
    </row>
    <row r="3740" spans="2:7">
      <c r="B3740" s="176"/>
      <c r="C3740" s="172" t="s">
        <v>1174</v>
      </c>
      <c r="D3740" s="174"/>
      <c r="E3740" s="192"/>
      <c r="F3740" s="236" t="s">
        <v>1698</v>
      </c>
      <c r="G3740" s="318">
        <f>SUM(G3737:G3739)</f>
        <v>2300</v>
      </c>
    </row>
    <row r="3741" spans="2:7">
      <c r="B3741" s="60" t="s">
        <v>5948</v>
      </c>
      <c r="C3741" s="31"/>
      <c r="D3741" s="31"/>
      <c r="E3741" s="85">
        <f>ROUND(G3740/F3718,1)</f>
        <v>230</v>
      </c>
    </row>
    <row r="3742" spans="2:7">
      <c r="B3742" s="60" t="s">
        <v>3163</v>
      </c>
      <c r="C3742" s="31"/>
      <c r="D3742" s="922">
        <f>'BASIC DATA'!$C$577</f>
        <v>0.13614999999999999</v>
      </c>
      <c r="E3742" s="85">
        <f>ROUND(E3741*D3742,1)</f>
        <v>31.3</v>
      </c>
    </row>
    <row r="3743" spans="2:7">
      <c r="B3743" s="60" t="s">
        <v>5949</v>
      </c>
      <c r="C3743" s="31"/>
      <c r="D3743" s="31"/>
      <c r="E3743" s="199">
        <f>ROUND(E3742+E3741,1)</f>
        <v>261.3</v>
      </c>
      <c r="F3743" s="56"/>
    </row>
    <row r="3744" spans="2:7">
      <c r="B3744" s="78"/>
      <c r="C3744" s="26"/>
    </row>
    <row r="3745" spans="1:7">
      <c r="B3745" s="170" t="s">
        <v>1175</v>
      </c>
      <c r="C3745" s="26"/>
    </row>
    <row r="3746" spans="1:7">
      <c r="B3746" s="26" t="s">
        <v>1176</v>
      </c>
      <c r="C3746" s="26"/>
      <c r="F3746" s="171" t="s">
        <v>1698</v>
      </c>
      <c r="G3746" s="68">
        <f>G3725</f>
        <v>1058.6399999999999</v>
      </c>
    </row>
    <row r="3747" spans="1:7">
      <c r="B3747" s="26" t="s">
        <v>1186</v>
      </c>
      <c r="C3747" s="26"/>
      <c r="F3747" s="171" t="s">
        <v>1698</v>
      </c>
      <c r="G3747" s="68">
        <f>G3732</f>
        <v>0</v>
      </c>
    </row>
    <row r="3748" spans="1:7">
      <c r="B3748" s="26" t="s">
        <v>2660</v>
      </c>
      <c r="C3748" s="26"/>
      <c r="F3748" s="171" t="s">
        <v>1698</v>
      </c>
      <c r="G3748" s="75">
        <f>G3740</f>
        <v>2300</v>
      </c>
    </row>
    <row r="3749" spans="1:7">
      <c r="B3749" s="78"/>
      <c r="C3749" s="26"/>
      <c r="E3749" s="171"/>
      <c r="F3749" s="171" t="s">
        <v>302</v>
      </c>
      <c r="G3749" s="205">
        <f>SUM(G3746:G3748)</f>
        <v>3358.64</v>
      </c>
    </row>
    <row r="3750" spans="1:7">
      <c r="B3750" s="1206" t="s">
        <v>1379</v>
      </c>
      <c r="C3750" s="1206"/>
      <c r="E3750" s="922">
        <f>'BASIC DATA'!$C$577</f>
        <v>0.13614999999999999</v>
      </c>
      <c r="F3750" s="26" t="s">
        <v>1698</v>
      </c>
      <c r="G3750" s="26">
        <f>ROUND(G3749*E3750,2)</f>
        <v>457.28</v>
      </c>
    </row>
    <row r="3751" spans="1:7">
      <c r="B3751" s="26" t="s">
        <v>1191</v>
      </c>
      <c r="C3751" s="26"/>
      <c r="D3751" s="68">
        <f>F3718</f>
        <v>10</v>
      </c>
      <c r="E3751" s="68" t="str">
        <f>G3718</f>
        <v>Joints</v>
      </c>
      <c r="F3751" s="26" t="s">
        <v>1698</v>
      </c>
      <c r="G3751" s="170">
        <f>G3750+G3749</f>
        <v>3815.92</v>
      </c>
    </row>
    <row r="3752" spans="1:7">
      <c r="B3752" s="170" t="s">
        <v>1584</v>
      </c>
      <c r="C3752" s="211" t="s">
        <v>4714</v>
      </c>
      <c r="D3752" s="26" t="s">
        <v>5891</v>
      </c>
      <c r="F3752" s="26" t="s">
        <v>4108</v>
      </c>
      <c r="G3752" s="211">
        <f>ROUND(G3751/D3751,1)</f>
        <v>381.6</v>
      </c>
    </row>
    <row r="3753" spans="1:7">
      <c r="B3753" s="78"/>
      <c r="C3753" s="26"/>
    </row>
    <row r="3754" spans="1:7" ht="18.75">
      <c r="A3754" s="822" t="s">
        <v>478</v>
      </c>
      <c r="B3754" s="27" t="s">
        <v>8998</v>
      </c>
      <c r="C3754" s="26"/>
    </row>
    <row r="3755" spans="1:7" ht="18.75">
      <c r="B3755" s="27" t="s">
        <v>8999</v>
      </c>
      <c r="C3755" s="26"/>
    </row>
    <row r="3756" spans="1:7">
      <c r="B3756" s="78"/>
      <c r="C3756" s="26"/>
    </row>
    <row r="3757" spans="1:7" ht="18.75">
      <c r="A3757" s="865" t="s">
        <v>7146</v>
      </c>
      <c r="B3757" s="26" t="s">
        <v>9001</v>
      </c>
      <c r="C3757" s="26"/>
    </row>
    <row r="3758" spans="1:7">
      <c r="A3758" s="865"/>
      <c r="B3758" s="26" t="s">
        <v>4250</v>
      </c>
      <c r="C3758" s="26"/>
    </row>
    <row r="3759" spans="1:7" ht="18.75">
      <c r="A3759" s="865"/>
      <c r="B3759" s="26" t="s">
        <v>9002</v>
      </c>
      <c r="C3759" s="26"/>
    </row>
    <row r="3760" spans="1:7">
      <c r="A3760" s="865"/>
      <c r="B3760" s="170" t="s">
        <v>2735</v>
      </c>
      <c r="C3760" s="26"/>
    </row>
    <row r="3761" spans="1:7">
      <c r="A3761" s="865"/>
      <c r="B3761" s="170" t="s">
        <v>654</v>
      </c>
      <c r="C3761" s="26"/>
    </row>
    <row r="3762" spans="1:7">
      <c r="A3762" s="865"/>
      <c r="B3762" s="26"/>
      <c r="C3762" s="26"/>
    </row>
    <row r="3763" spans="1:7" hidden="1">
      <c r="A3763" s="865" t="s">
        <v>3984</v>
      </c>
      <c r="B3763" s="26" t="s">
        <v>4251</v>
      </c>
      <c r="C3763" s="26"/>
    </row>
    <row r="3764" spans="1:7" hidden="1">
      <c r="A3764" s="865"/>
      <c r="B3764" s="26" t="s">
        <v>7338</v>
      </c>
      <c r="C3764" s="26"/>
      <c r="F3764" s="26">
        <v>0.25</v>
      </c>
      <c r="G3764" s="26" t="s">
        <v>3477</v>
      </c>
    </row>
    <row r="3765" spans="1:7" hidden="1">
      <c r="A3765" s="865"/>
      <c r="B3765" s="26" t="s">
        <v>1579</v>
      </c>
      <c r="C3765" s="26"/>
      <c r="D3765" s="68">
        <v>2.2000000000000002</v>
      </c>
      <c r="E3765" s="26" t="s">
        <v>3478</v>
      </c>
    </row>
    <row r="3766" spans="1:7" hidden="1">
      <c r="A3766" s="865"/>
      <c r="B3766" s="26" t="s">
        <v>3722</v>
      </c>
      <c r="C3766" s="26"/>
    </row>
    <row r="3767" spans="1:7" hidden="1">
      <c r="A3767" s="865"/>
      <c r="B3767" s="26" t="s">
        <v>6555</v>
      </c>
      <c r="C3767" s="26"/>
    </row>
    <row r="3768" spans="1:7">
      <c r="B3768" s="78"/>
      <c r="C3768" s="26"/>
    </row>
    <row r="3769" spans="1:7">
      <c r="A3769" s="865" t="s">
        <v>3984</v>
      </c>
      <c r="B3769" s="78"/>
      <c r="C3769" s="203" t="s">
        <v>2367</v>
      </c>
      <c r="E3769" s="171" t="s">
        <v>297</v>
      </c>
      <c r="F3769" s="246">
        <v>10</v>
      </c>
      <c r="G3769" s="26" t="s">
        <v>4713</v>
      </c>
    </row>
    <row r="3770" spans="1:7">
      <c r="B3770" s="79" t="s">
        <v>2368</v>
      </c>
      <c r="C3770" s="26"/>
    </row>
    <row r="3771" spans="1:7">
      <c r="B3771" s="95" t="s">
        <v>2369</v>
      </c>
      <c r="C3771" s="157" t="s">
        <v>4443</v>
      </c>
      <c r="D3771" s="95" t="s">
        <v>2370</v>
      </c>
      <c r="E3771" s="95" t="s">
        <v>1166</v>
      </c>
      <c r="F3771" s="95" t="s">
        <v>2371</v>
      </c>
      <c r="G3771" s="95" t="s">
        <v>2372</v>
      </c>
    </row>
    <row r="3772" spans="1:7">
      <c r="B3772" s="114"/>
      <c r="C3772" s="154"/>
      <c r="D3772" s="114"/>
      <c r="E3772" s="114"/>
      <c r="F3772" s="114" t="s">
        <v>3485</v>
      </c>
      <c r="G3772" s="114" t="s">
        <v>3485</v>
      </c>
    </row>
    <row r="3773" spans="1:7">
      <c r="B3773" s="95">
        <v>1</v>
      </c>
      <c r="C3773" s="135" t="s">
        <v>5853</v>
      </c>
      <c r="D3773" s="95" t="s">
        <v>3478</v>
      </c>
      <c r="E3773" s="190">
        <v>248</v>
      </c>
      <c r="F3773" s="214">
        <f>'BASIC DATA'!$D$32/1000</f>
        <v>5.35</v>
      </c>
      <c r="G3773" s="190">
        <f>E3773*F3773</f>
        <v>1326.8</v>
      </c>
    </row>
    <row r="3774" spans="1:7">
      <c r="A3774" s="853"/>
      <c r="B3774" s="240">
        <v>2</v>
      </c>
      <c r="C3774" s="326" t="s">
        <v>6827</v>
      </c>
      <c r="D3774" s="240" t="s">
        <v>3477</v>
      </c>
      <c r="E3774" s="255">
        <v>0.25</v>
      </c>
      <c r="F3774" s="266">
        <f>'BASIC DATA'!$D$57</f>
        <v>165</v>
      </c>
      <c r="G3774" s="255">
        <f>E3774*F3774</f>
        <v>41.25</v>
      </c>
    </row>
    <row r="3775" spans="1:7">
      <c r="B3775" s="114">
        <v>3</v>
      </c>
      <c r="C3775" s="139" t="s">
        <v>6761</v>
      </c>
      <c r="D3775" s="114" t="s">
        <v>3478</v>
      </c>
      <c r="E3775" s="182">
        <v>2.2000000000000002</v>
      </c>
      <c r="F3775" s="215">
        <f>'BASIC DATA'!$D$71</f>
        <v>72</v>
      </c>
      <c r="G3775" s="182">
        <f>E3775*F3775</f>
        <v>158.4</v>
      </c>
    </row>
    <row r="3776" spans="1:7">
      <c r="B3776" s="92"/>
      <c r="C3776" s="193" t="s">
        <v>2376</v>
      </c>
      <c r="D3776" s="159"/>
      <c r="E3776" s="238"/>
      <c r="F3776" s="236" t="s">
        <v>1698</v>
      </c>
      <c r="G3776" s="318">
        <f>SUM(G3773:G3775)</f>
        <v>1526.45</v>
      </c>
    </row>
    <row r="3777" spans="2:7">
      <c r="B3777" s="78"/>
      <c r="C3777" s="26"/>
      <c r="G3777" s="68"/>
    </row>
    <row r="3778" spans="2:7">
      <c r="B3778" s="79" t="s">
        <v>2377</v>
      </c>
      <c r="C3778" s="26"/>
    </row>
    <row r="3779" spans="2:7">
      <c r="B3779" s="95" t="s">
        <v>2369</v>
      </c>
      <c r="C3779" s="157" t="s">
        <v>2378</v>
      </c>
      <c r="D3779" s="95" t="s">
        <v>2370</v>
      </c>
      <c r="E3779" s="95" t="s">
        <v>1166</v>
      </c>
      <c r="F3779" s="95" t="s">
        <v>2371</v>
      </c>
      <c r="G3779" s="95" t="s">
        <v>2372</v>
      </c>
    </row>
    <row r="3780" spans="2:7">
      <c r="B3780" s="114"/>
      <c r="C3780" s="154"/>
      <c r="D3780" s="114"/>
      <c r="E3780" s="114"/>
      <c r="F3780" s="114" t="s">
        <v>3485</v>
      </c>
      <c r="G3780" s="114" t="s">
        <v>3485</v>
      </c>
    </row>
    <row r="3781" spans="2:7">
      <c r="B3781" s="95">
        <v>1</v>
      </c>
      <c r="C3781" s="95" t="s">
        <v>1130</v>
      </c>
      <c r="D3781" s="175"/>
      <c r="E3781" s="179">
        <v>0</v>
      </c>
      <c r="F3781" s="190">
        <v>0</v>
      </c>
      <c r="G3781" s="190">
        <f>E3781*F3781</f>
        <v>0</v>
      </c>
    </row>
    <row r="3782" spans="2:7">
      <c r="B3782" s="365"/>
      <c r="C3782" s="114" t="s">
        <v>4425</v>
      </c>
      <c r="D3782" s="188"/>
      <c r="E3782" s="182">
        <v>0</v>
      </c>
      <c r="F3782" s="182">
        <v>0</v>
      </c>
      <c r="G3782" s="182">
        <f>E3782*F3782</f>
        <v>0</v>
      </c>
    </row>
    <row r="3783" spans="2:7">
      <c r="B3783" s="176"/>
      <c r="C3783" s="172" t="s">
        <v>2380</v>
      </c>
      <c r="D3783" s="174"/>
      <c r="E3783" s="192"/>
      <c r="F3783" s="275" t="s">
        <v>1698</v>
      </c>
      <c r="G3783" s="434">
        <f>SUM(G3781:G3782)</f>
        <v>0</v>
      </c>
    </row>
    <row r="3784" spans="2:7">
      <c r="B3784" s="78"/>
      <c r="C3784" s="26"/>
    </row>
    <row r="3785" spans="2:7">
      <c r="B3785" s="79" t="s">
        <v>2381</v>
      </c>
      <c r="C3785" s="26"/>
    </row>
    <row r="3786" spans="2:7">
      <c r="B3786" s="95" t="s">
        <v>2369</v>
      </c>
      <c r="C3786" s="157" t="s">
        <v>2378</v>
      </c>
      <c r="D3786" s="95" t="s">
        <v>2370</v>
      </c>
      <c r="E3786" s="95" t="s">
        <v>1166</v>
      </c>
      <c r="F3786" s="95" t="s">
        <v>2371</v>
      </c>
      <c r="G3786" s="95" t="s">
        <v>2372</v>
      </c>
    </row>
    <row r="3787" spans="2:7">
      <c r="B3787" s="114"/>
      <c r="C3787" s="154"/>
      <c r="D3787" s="105"/>
      <c r="E3787" s="105"/>
      <c r="F3787" s="105" t="s">
        <v>3485</v>
      </c>
      <c r="G3787" s="114" t="s">
        <v>3485</v>
      </c>
    </row>
    <row r="3788" spans="2:7">
      <c r="B3788" s="95">
        <v>1</v>
      </c>
      <c r="C3788" s="76" t="s">
        <v>4203</v>
      </c>
      <c r="D3788" s="95" t="s">
        <v>1172</v>
      </c>
      <c r="E3788" s="179">
        <v>2.5</v>
      </c>
      <c r="F3788" s="179">
        <f>'BASIC DATA'!$C$541</f>
        <v>400</v>
      </c>
      <c r="G3788" s="207">
        <f>E3788*F3788</f>
        <v>1000</v>
      </c>
    </row>
    <row r="3789" spans="2:7">
      <c r="B3789" s="105">
        <v>2</v>
      </c>
      <c r="C3789" s="76" t="s">
        <v>4206</v>
      </c>
      <c r="D3789" s="105" t="s">
        <v>1172</v>
      </c>
      <c r="E3789" s="190">
        <v>1</v>
      </c>
      <c r="F3789" s="190">
        <f>'BASIC DATA'!$C$473</f>
        <v>450</v>
      </c>
      <c r="G3789" s="207">
        <f>E3789*F3789</f>
        <v>450</v>
      </c>
    </row>
    <row r="3790" spans="2:7">
      <c r="B3790" s="114">
        <v>3</v>
      </c>
      <c r="C3790" s="89" t="s">
        <v>2697</v>
      </c>
      <c r="D3790" s="114" t="s">
        <v>1172</v>
      </c>
      <c r="E3790" s="182">
        <v>4</v>
      </c>
      <c r="F3790" s="182">
        <f>'BASIC DATA'!$C$552</f>
        <v>350</v>
      </c>
      <c r="G3790" s="207">
        <f>E3790*F3790</f>
        <v>1400</v>
      </c>
    </row>
    <row r="3791" spans="2:7">
      <c r="B3791" s="176"/>
      <c r="C3791" s="172" t="s">
        <v>1174</v>
      </c>
      <c r="D3791" s="174"/>
      <c r="E3791" s="192"/>
      <c r="F3791" s="275" t="s">
        <v>1698</v>
      </c>
      <c r="G3791" s="318">
        <f>SUM(G3788:G3790)</f>
        <v>2850</v>
      </c>
    </row>
    <row r="3792" spans="2:7">
      <c r="B3792" s="60" t="s">
        <v>5948</v>
      </c>
      <c r="C3792" s="31"/>
      <c r="D3792" s="31"/>
      <c r="E3792" s="85">
        <f>ROUND(G3791/F3769,1)</f>
        <v>285</v>
      </c>
    </row>
    <row r="3793" spans="1:7">
      <c r="B3793" s="60" t="s">
        <v>3163</v>
      </c>
      <c r="C3793" s="31"/>
      <c r="D3793" s="922">
        <f>'BASIC DATA'!$C$577</f>
        <v>0.13614999999999999</v>
      </c>
      <c r="E3793" s="85">
        <f>ROUND(E3792*D3793,1)</f>
        <v>38.799999999999997</v>
      </c>
    </row>
    <row r="3794" spans="1:7">
      <c r="B3794" s="60" t="s">
        <v>5949</v>
      </c>
      <c r="C3794" s="31"/>
      <c r="D3794" s="31"/>
      <c r="E3794" s="199">
        <f>ROUND(E3793+E3792,1)</f>
        <v>323.8</v>
      </c>
      <c r="F3794" s="56"/>
    </row>
    <row r="3795" spans="1:7">
      <c r="B3795" s="26"/>
      <c r="C3795" s="26"/>
    </row>
    <row r="3796" spans="1:7">
      <c r="B3796" s="170" t="s">
        <v>1175</v>
      </c>
      <c r="C3796" s="26"/>
    </row>
    <row r="3797" spans="1:7">
      <c r="B3797" s="26" t="s">
        <v>1176</v>
      </c>
      <c r="C3797" s="26"/>
      <c r="F3797" s="171" t="s">
        <v>1698</v>
      </c>
      <c r="G3797" s="68">
        <f>G3776</f>
        <v>1526.45</v>
      </c>
    </row>
    <row r="3798" spans="1:7">
      <c r="B3798" s="26" t="s">
        <v>1186</v>
      </c>
      <c r="C3798" s="26"/>
      <c r="F3798" s="171" t="s">
        <v>1698</v>
      </c>
      <c r="G3798" s="68">
        <f>G3783</f>
        <v>0</v>
      </c>
    </row>
    <row r="3799" spans="1:7">
      <c r="B3799" s="26" t="s">
        <v>2660</v>
      </c>
      <c r="C3799" s="26"/>
      <c r="F3799" s="171" t="s">
        <v>1698</v>
      </c>
      <c r="G3799" s="75">
        <f>G3791</f>
        <v>2850</v>
      </c>
    </row>
    <row r="3800" spans="1:7">
      <c r="B3800" s="78"/>
      <c r="C3800" s="26"/>
      <c r="E3800" s="171"/>
      <c r="F3800" s="171" t="s">
        <v>302</v>
      </c>
      <c r="G3800" s="205">
        <f>SUM(G3797:G3799)</f>
        <v>4376.45</v>
      </c>
    </row>
    <row r="3801" spans="1:7">
      <c r="B3801" s="1206" t="s">
        <v>1379</v>
      </c>
      <c r="C3801" s="1206"/>
      <c r="E3801" s="922">
        <f>'BASIC DATA'!$C$577</f>
        <v>0.13614999999999999</v>
      </c>
      <c r="F3801" s="26" t="s">
        <v>1698</v>
      </c>
      <c r="G3801" s="26">
        <f>ROUND(G3800*E3801,2)</f>
        <v>595.85</v>
      </c>
    </row>
    <row r="3802" spans="1:7">
      <c r="B3802" s="26" t="s">
        <v>1191</v>
      </c>
      <c r="C3802" s="26"/>
      <c r="D3802" s="68">
        <f>F3769</f>
        <v>10</v>
      </c>
      <c r="E3802" s="68" t="str">
        <f>G3769</f>
        <v>Joints</v>
      </c>
      <c r="F3802" s="26" t="s">
        <v>1698</v>
      </c>
      <c r="G3802" s="170">
        <f>G3801+G3800</f>
        <v>4972.3</v>
      </c>
    </row>
    <row r="3803" spans="1:7">
      <c r="B3803" s="170" t="s">
        <v>1584</v>
      </c>
      <c r="C3803" s="211" t="s">
        <v>4714</v>
      </c>
      <c r="D3803" s="26" t="s">
        <v>5891</v>
      </c>
      <c r="F3803" s="26" t="s">
        <v>4108</v>
      </c>
      <c r="G3803" s="211">
        <f>ROUND(G3802/D3802,1)</f>
        <v>497.2</v>
      </c>
    </row>
    <row r="3804" spans="1:7">
      <c r="B3804" s="78"/>
      <c r="C3804" s="26"/>
    </row>
    <row r="3805" spans="1:7" ht="18.75">
      <c r="A3805" s="869" t="s">
        <v>478</v>
      </c>
      <c r="B3805" s="27" t="s">
        <v>8998</v>
      </c>
      <c r="C3805" s="26"/>
    </row>
    <row r="3806" spans="1:7" ht="18.75">
      <c r="B3806" s="27" t="s">
        <v>8999</v>
      </c>
      <c r="C3806" s="26"/>
    </row>
    <row r="3807" spans="1:7">
      <c r="C3807" s="26"/>
    </row>
    <row r="3808" spans="1:7" ht="18.75">
      <c r="A3808" s="865" t="s">
        <v>7147</v>
      </c>
      <c r="B3808" s="26" t="s">
        <v>9003</v>
      </c>
      <c r="C3808" s="26"/>
    </row>
    <row r="3809" spans="1:7">
      <c r="A3809" s="865"/>
      <c r="B3809" s="26" t="s">
        <v>4250</v>
      </c>
      <c r="C3809" s="26"/>
    </row>
    <row r="3810" spans="1:7" ht="18.75">
      <c r="A3810" s="865"/>
      <c r="B3810" s="26" t="s">
        <v>8997</v>
      </c>
      <c r="C3810" s="26"/>
    </row>
    <row r="3811" spans="1:7">
      <c r="A3811" s="865"/>
      <c r="B3811" s="170" t="s">
        <v>2735</v>
      </c>
      <c r="C3811" s="26"/>
    </row>
    <row r="3812" spans="1:7">
      <c r="A3812" s="865"/>
      <c r="B3812" s="170" t="s">
        <v>3063</v>
      </c>
      <c r="C3812" s="26"/>
    </row>
    <row r="3813" spans="1:7">
      <c r="A3813" s="865"/>
      <c r="B3813" s="26"/>
      <c r="C3813" s="26"/>
    </row>
    <row r="3814" spans="1:7" hidden="1">
      <c r="A3814" s="865" t="s">
        <v>3984</v>
      </c>
      <c r="B3814" s="26" t="s">
        <v>4251</v>
      </c>
      <c r="C3814" s="26"/>
    </row>
    <row r="3815" spans="1:7" hidden="1">
      <c r="A3815" s="865"/>
      <c r="B3815" s="26" t="s">
        <v>7001</v>
      </c>
      <c r="C3815" s="26"/>
      <c r="F3815" s="26">
        <v>0.31</v>
      </c>
      <c r="G3815" s="26" t="s">
        <v>3477</v>
      </c>
    </row>
    <row r="3816" spans="1:7" hidden="1">
      <c r="A3816" s="865"/>
      <c r="B3816" s="26" t="s">
        <v>1580</v>
      </c>
      <c r="C3816" s="26"/>
      <c r="D3816" s="68">
        <v>2.5</v>
      </c>
      <c r="E3816" s="26" t="s">
        <v>3478</v>
      </c>
    </row>
    <row r="3817" spans="1:7" hidden="1">
      <c r="A3817" s="865"/>
      <c r="B3817" s="26" t="s">
        <v>3722</v>
      </c>
      <c r="C3817" s="26"/>
    </row>
    <row r="3818" spans="1:7" hidden="1">
      <c r="A3818" s="865"/>
      <c r="B3818" s="26" t="s">
        <v>6555</v>
      </c>
      <c r="C3818" s="26"/>
    </row>
    <row r="3819" spans="1:7">
      <c r="B3819" s="78"/>
      <c r="C3819" s="26"/>
    </row>
    <row r="3820" spans="1:7">
      <c r="A3820" s="865" t="s">
        <v>3984</v>
      </c>
      <c r="B3820" s="78"/>
      <c r="C3820" s="203" t="s">
        <v>2367</v>
      </c>
      <c r="E3820" s="171" t="s">
        <v>297</v>
      </c>
      <c r="F3820" s="246">
        <v>10</v>
      </c>
      <c r="G3820" s="26" t="s">
        <v>4713</v>
      </c>
    </row>
    <row r="3821" spans="1:7">
      <c r="B3821" s="79" t="s">
        <v>2368</v>
      </c>
      <c r="C3821" s="26"/>
    </row>
    <row r="3822" spans="1:7">
      <c r="B3822" s="95" t="s">
        <v>2369</v>
      </c>
      <c r="C3822" s="157" t="s">
        <v>4443</v>
      </c>
      <c r="D3822" s="95" t="s">
        <v>2370</v>
      </c>
      <c r="E3822" s="95" t="s">
        <v>1166</v>
      </c>
      <c r="F3822" s="95" t="s">
        <v>2371</v>
      </c>
      <c r="G3822" s="95" t="s">
        <v>2372</v>
      </c>
    </row>
    <row r="3823" spans="1:7">
      <c r="B3823" s="114"/>
      <c r="C3823" s="154"/>
      <c r="D3823" s="114"/>
      <c r="E3823" s="114"/>
      <c r="F3823" s="114" t="s">
        <v>3485</v>
      </c>
      <c r="G3823" s="114" t="s">
        <v>3485</v>
      </c>
    </row>
    <row r="3824" spans="1:7">
      <c r="B3824" s="95">
        <v>1</v>
      </c>
      <c r="C3824" s="135" t="s">
        <v>5853</v>
      </c>
      <c r="D3824" s="95" t="s">
        <v>3478</v>
      </c>
      <c r="E3824" s="190">
        <v>321</v>
      </c>
      <c r="F3824" s="214">
        <f>'BASIC DATA'!$D$32/1000</f>
        <v>5.35</v>
      </c>
      <c r="G3824" s="190">
        <f>E3824*F3824</f>
        <v>1717.35</v>
      </c>
    </row>
    <row r="3825" spans="1:7">
      <c r="A3825" s="853"/>
      <c r="B3825" s="240">
        <v>2</v>
      </c>
      <c r="C3825" s="326" t="s">
        <v>6827</v>
      </c>
      <c r="D3825" s="240" t="s">
        <v>3477</v>
      </c>
      <c r="E3825" s="255">
        <v>0.31</v>
      </c>
      <c r="F3825" s="266">
        <f>'BASIC DATA'!$D$57</f>
        <v>165</v>
      </c>
      <c r="G3825" s="255">
        <f>E3825*F3825</f>
        <v>51.15</v>
      </c>
    </row>
    <row r="3826" spans="1:7">
      <c r="B3826" s="114">
        <v>3</v>
      </c>
      <c r="C3826" s="139" t="s">
        <v>6761</v>
      </c>
      <c r="D3826" s="114" t="s">
        <v>3478</v>
      </c>
      <c r="E3826" s="182">
        <v>2.5</v>
      </c>
      <c r="F3826" s="215">
        <f>'BASIC DATA'!$D$71</f>
        <v>72</v>
      </c>
      <c r="G3826" s="182">
        <f>E3826*F3826</f>
        <v>180</v>
      </c>
    </row>
    <row r="3827" spans="1:7">
      <c r="B3827" s="92"/>
      <c r="C3827" s="193" t="s">
        <v>2376</v>
      </c>
      <c r="D3827" s="159"/>
      <c r="E3827" s="238"/>
      <c r="F3827" s="236" t="s">
        <v>1698</v>
      </c>
      <c r="G3827" s="318">
        <f>SUM(G3824:G3826)</f>
        <v>1948.5</v>
      </c>
    </row>
    <row r="3828" spans="1:7">
      <c r="B3828" s="78"/>
      <c r="C3828" s="26"/>
      <c r="G3828" s="68"/>
    </row>
    <row r="3829" spans="1:7">
      <c r="B3829" s="79" t="s">
        <v>2377</v>
      </c>
      <c r="C3829" s="26"/>
    </row>
    <row r="3830" spans="1:7">
      <c r="B3830" s="95" t="s">
        <v>2369</v>
      </c>
      <c r="C3830" s="157" t="s">
        <v>2378</v>
      </c>
      <c r="D3830" s="95" t="s">
        <v>2370</v>
      </c>
      <c r="E3830" s="95" t="s">
        <v>1166</v>
      </c>
      <c r="F3830" s="95" t="s">
        <v>2371</v>
      </c>
      <c r="G3830" s="95" t="s">
        <v>2372</v>
      </c>
    </row>
    <row r="3831" spans="1:7">
      <c r="B3831" s="114"/>
      <c r="C3831" s="154"/>
      <c r="D3831" s="114"/>
      <c r="E3831" s="114"/>
      <c r="F3831" s="114" t="s">
        <v>3485</v>
      </c>
      <c r="G3831" s="114" t="s">
        <v>3485</v>
      </c>
    </row>
    <row r="3832" spans="1:7">
      <c r="B3832" s="95">
        <v>1</v>
      </c>
      <c r="C3832" s="95" t="s">
        <v>1130</v>
      </c>
      <c r="D3832" s="175"/>
      <c r="E3832" s="179">
        <v>0</v>
      </c>
      <c r="F3832" s="190">
        <v>0</v>
      </c>
      <c r="G3832" s="190">
        <f>E3832*F3832</f>
        <v>0</v>
      </c>
    </row>
    <row r="3833" spans="1:7">
      <c r="B3833" s="365"/>
      <c r="C3833" s="114" t="s">
        <v>4425</v>
      </c>
      <c r="D3833" s="188"/>
      <c r="E3833" s="182">
        <v>0</v>
      </c>
      <c r="F3833" s="182">
        <v>0</v>
      </c>
      <c r="G3833" s="190">
        <f>E3833*F3833</f>
        <v>0</v>
      </c>
    </row>
    <row r="3834" spans="1:7">
      <c r="B3834" s="176"/>
      <c r="C3834" s="172" t="s">
        <v>2380</v>
      </c>
      <c r="D3834" s="174"/>
      <c r="E3834" s="192"/>
      <c r="F3834" s="275" t="s">
        <v>1698</v>
      </c>
      <c r="G3834" s="318">
        <f>SUM(G3832:G3833)</f>
        <v>0</v>
      </c>
    </row>
    <row r="3835" spans="1:7">
      <c r="B3835" s="78"/>
      <c r="C3835" s="26"/>
    </row>
    <row r="3836" spans="1:7">
      <c r="B3836" s="79" t="s">
        <v>2381</v>
      </c>
      <c r="C3836" s="26"/>
    </row>
    <row r="3837" spans="1:7">
      <c r="B3837" s="95" t="s">
        <v>2369</v>
      </c>
      <c r="C3837" s="157" t="s">
        <v>2378</v>
      </c>
      <c r="D3837" s="95" t="s">
        <v>2370</v>
      </c>
      <c r="E3837" s="95" t="s">
        <v>1166</v>
      </c>
      <c r="F3837" s="95" t="s">
        <v>2371</v>
      </c>
      <c r="G3837" s="95" t="s">
        <v>2372</v>
      </c>
    </row>
    <row r="3838" spans="1:7">
      <c r="B3838" s="114"/>
      <c r="C3838" s="154"/>
      <c r="D3838" s="105"/>
      <c r="E3838" s="105"/>
      <c r="F3838" s="105" t="s">
        <v>3485</v>
      </c>
      <c r="G3838" s="114" t="s">
        <v>3485</v>
      </c>
    </row>
    <row r="3839" spans="1:7">
      <c r="B3839" s="95">
        <v>1</v>
      </c>
      <c r="C3839" s="76" t="s">
        <v>4203</v>
      </c>
      <c r="D3839" s="95" t="s">
        <v>1172</v>
      </c>
      <c r="E3839" s="179">
        <v>2.5</v>
      </c>
      <c r="F3839" s="179">
        <f>'BASIC DATA'!$C$541</f>
        <v>400</v>
      </c>
      <c r="G3839" s="207">
        <f>E3839*F3839</f>
        <v>1000</v>
      </c>
    </row>
    <row r="3840" spans="1:7">
      <c r="B3840" s="105">
        <v>2</v>
      </c>
      <c r="C3840" s="76" t="s">
        <v>4206</v>
      </c>
      <c r="D3840" s="105" t="s">
        <v>1172</v>
      </c>
      <c r="E3840" s="190">
        <v>1</v>
      </c>
      <c r="F3840" s="190">
        <f>'BASIC DATA'!$C$473</f>
        <v>450</v>
      </c>
      <c r="G3840" s="207">
        <f>E3840*F3840</f>
        <v>450</v>
      </c>
    </row>
    <row r="3841" spans="1:7">
      <c r="B3841" s="114">
        <v>3</v>
      </c>
      <c r="C3841" s="89" t="s">
        <v>2697</v>
      </c>
      <c r="D3841" s="114" t="s">
        <v>1172</v>
      </c>
      <c r="E3841" s="182">
        <v>4</v>
      </c>
      <c r="F3841" s="182">
        <f>'BASIC DATA'!$C$552</f>
        <v>350</v>
      </c>
      <c r="G3841" s="207">
        <f>E3841*F3841</f>
        <v>1400</v>
      </c>
    </row>
    <row r="3842" spans="1:7">
      <c r="B3842" s="176"/>
      <c r="C3842" s="172" t="s">
        <v>1174</v>
      </c>
      <c r="D3842" s="174"/>
      <c r="E3842" s="192"/>
      <c r="F3842" s="275" t="s">
        <v>1698</v>
      </c>
      <c r="G3842" s="318">
        <f>SUM(G3839:G3841)</f>
        <v>2850</v>
      </c>
    </row>
    <row r="3843" spans="1:7">
      <c r="B3843" s="60" t="s">
        <v>5948</v>
      </c>
      <c r="C3843" s="31"/>
      <c r="D3843" s="31"/>
      <c r="E3843" s="85">
        <f>ROUND(G3842/F3820,1)</f>
        <v>285</v>
      </c>
    </row>
    <row r="3844" spans="1:7">
      <c r="B3844" s="60" t="s">
        <v>3163</v>
      </c>
      <c r="C3844" s="31"/>
      <c r="D3844" s="922">
        <f>'BASIC DATA'!$C$577</f>
        <v>0.13614999999999999</v>
      </c>
      <c r="E3844" s="85">
        <f>ROUND(E3843*D3844,1)</f>
        <v>38.799999999999997</v>
      </c>
    </row>
    <row r="3845" spans="1:7">
      <c r="B3845" s="60" t="s">
        <v>5949</v>
      </c>
      <c r="C3845" s="31"/>
      <c r="D3845" s="31"/>
      <c r="E3845" s="199">
        <f>ROUND(E3844+E3843,1)</f>
        <v>323.8</v>
      </c>
      <c r="F3845" s="56"/>
    </row>
    <row r="3846" spans="1:7">
      <c r="B3846" s="78"/>
      <c r="C3846" s="26"/>
    </row>
    <row r="3847" spans="1:7">
      <c r="B3847" s="170" t="s">
        <v>1175</v>
      </c>
      <c r="C3847" s="26"/>
    </row>
    <row r="3848" spans="1:7">
      <c r="B3848" s="26" t="s">
        <v>1176</v>
      </c>
      <c r="C3848" s="26"/>
      <c r="F3848" s="171" t="s">
        <v>1698</v>
      </c>
      <c r="G3848" s="68">
        <f>G3827</f>
        <v>1948.5</v>
      </c>
    </row>
    <row r="3849" spans="1:7">
      <c r="B3849" s="26" t="s">
        <v>1186</v>
      </c>
      <c r="C3849" s="26"/>
      <c r="F3849" s="171" t="s">
        <v>1698</v>
      </c>
      <c r="G3849" s="68">
        <f>G3834</f>
        <v>0</v>
      </c>
    </row>
    <row r="3850" spans="1:7">
      <c r="B3850" s="26" t="s">
        <v>2660</v>
      </c>
      <c r="C3850" s="26"/>
      <c r="F3850" s="171" t="s">
        <v>1698</v>
      </c>
      <c r="G3850" s="75">
        <f>G3842</f>
        <v>2850</v>
      </c>
    </row>
    <row r="3851" spans="1:7">
      <c r="B3851" s="78"/>
      <c r="C3851" s="26"/>
      <c r="E3851" s="171"/>
      <c r="F3851" s="171" t="s">
        <v>302</v>
      </c>
      <c r="G3851" s="205">
        <f>SUM(G3848:G3850)</f>
        <v>4798.5</v>
      </c>
    </row>
    <row r="3852" spans="1:7">
      <c r="B3852" s="1206" t="s">
        <v>1379</v>
      </c>
      <c r="C3852" s="1206"/>
      <c r="E3852" s="922">
        <f>'BASIC DATA'!$C$577</f>
        <v>0.13614999999999999</v>
      </c>
      <c r="F3852" s="26" t="s">
        <v>1698</v>
      </c>
      <c r="G3852" s="26">
        <f>ROUND(G3851*E3852,2)</f>
        <v>653.32000000000005</v>
      </c>
    </row>
    <row r="3853" spans="1:7">
      <c r="B3853" s="26" t="s">
        <v>1191</v>
      </c>
      <c r="C3853" s="26"/>
      <c r="D3853" s="68">
        <f>F3820</f>
        <v>10</v>
      </c>
      <c r="E3853" s="68" t="str">
        <f>G3820</f>
        <v>Joints</v>
      </c>
      <c r="F3853" s="26" t="s">
        <v>1698</v>
      </c>
      <c r="G3853" s="170">
        <f>G3852+G3851</f>
        <v>5451.82</v>
      </c>
    </row>
    <row r="3854" spans="1:7">
      <c r="B3854" s="170" t="s">
        <v>1584</v>
      </c>
      <c r="C3854" s="211" t="s">
        <v>4714</v>
      </c>
      <c r="D3854" s="26" t="s">
        <v>5891</v>
      </c>
      <c r="F3854" s="26" t="s">
        <v>4108</v>
      </c>
      <c r="G3854" s="211">
        <f>ROUND(G3853/D3853,1)</f>
        <v>545.20000000000005</v>
      </c>
    </row>
    <row r="3855" spans="1:7">
      <c r="B3855" s="78"/>
      <c r="C3855" s="26"/>
    </row>
    <row r="3856" spans="1:7" ht="18.75">
      <c r="A3856" s="822" t="s">
        <v>478</v>
      </c>
      <c r="B3856" s="27" t="s">
        <v>8998</v>
      </c>
      <c r="C3856" s="26"/>
    </row>
    <row r="3857" spans="1:7" ht="18.75">
      <c r="B3857" s="27" t="s">
        <v>8999</v>
      </c>
      <c r="C3857" s="26"/>
    </row>
    <row r="3858" spans="1:7">
      <c r="B3858" s="78"/>
      <c r="C3858" s="26"/>
    </row>
    <row r="3859" spans="1:7" ht="18.75">
      <c r="A3859" s="865" t="s">
        <v>7148</v>
      </c>
      <c r="B3859" s="26" t="s">
        <v>9004</v>
      </c>
      <c r="C3859" s="26"/>
    </row>
    <row r="3860" spans="1:7">
      <c r="A3860" s="865"/>
      <c r="B3860" s="26" t="s">
        <v>4250</v>
      </c>
      <c r="C3860" s="26"/>
    </row>
    <row r="3861" spans="1:7" ht="18.75">
      <c r="A3861" s="865"/>
      <c r="B3861" s="26" t="s">
        <v>8997</v>
      </c>
      <c r="C3861" s="26"/>
    </row>
    <row r="3862" spans="1:7">
      <c r="A3862" s="865"/>
      <c r="B3862" s="170" t="s">
        <v>2735</v>
      </c>
      <c r="C3862" s="26"/>
    </row>
    <row r="3863" spans="1:7">
      <c r="A3863" s="865"/>
      <c r="B3863" s="170" t="s">
        <v>3064</v>
      </c>
      <c r="C3863" s="26"/>
    </row>
    <row r="3864" spans="1:7">
      <c r="A3864" s="865"/>
      <c r="B3864" s="26"/>
      <c r="C3864" s="26"/>
    </row>
    <row r="3865" spans="1:7" hidden="1">
      <c r="A3865" s="865" t="s">
        <v>3984</v>
      </c>
      <c r="B3865" s="26" t="s">
        <v>4251</v>
      </c>
      <c r="C3865" s="26"/>
    </row>
    <row r="3866" spans="1:7" hidden="1">
      <c r="A3866" s="865"/>
      <c r="B3866" s="26" t="s">
        <v>7002</v>
      </c>
      <c r="C3866" s="26"/>
      <c r="F3866" s="68">
        <v>0.39</v>
      </c>
      <c r="G3866" s="26" t="s">
        <v>3477</v>
      </c>
    </row>
    <row r="3867" spans="1:7" hidden="1">
      <c r="A3867" s="865"/>
      <c r="B3867" s="26" t="s">
        <v>1580</v>
      </c>
      <c r="C3867" s="26"/>
      <c r="D3867" s="68">
        <v>3.1</v>
      </c>
      <c r="E3867" s="26" t="s">
        <v>3478</v>
      </c>
    </row>
    <row r="3868" spans="1:7" hidden="1">
      <c r="A3868" s="865"/>
      <c r="B3868" s="26" t="s">
        <v>3723</v>
      </c>
      <c r="C3868" s="26"/>
    </row>
    <row r="3869" spans="1:7" hidden="1">
      <c r="A3869" s="865"/>
      <c r="B3869" s="26" t="s">
        <v>6555</v>
      </c>
      <c r="C3869" s="26"/>
    </row>
    <row r="3870" spans="1:7">
      <c r="B3870" s="78"/>
      <c r="C3870" s="26"/>
    </row>
    <row r="3871" spans="1:7">
      <c r="A3871" s="865" t="s">
        <v>3984</v>
      </c>
      <c r="B3871" s="78"/>
      <c r="C3871" s="203" t="s">
        <v>2367</v>
      </c>
      <c r="E3871" s="171" t="s">
        <v>297</v>
      </c>
      <c r="F3871" s="246">
        <v>10</v>
      </c>
      <c r="G3871" s="26" t="s">
        <v>4713</v>
      </c>
    </row>
    <row r="3872" spans="1:7">
      <c r="B3872" s="79" t="s">
        <v>2368</v>
      </c>
      <c r="C3872" s="26"/>
    </row>
    <row r="3873" spans="1:7">
      <c r="B3873" s="95" t="s">
        <v>2369</v>
      </c>
      <c r="C3873" s="157" t="s">
        <v>4443</v>
      </c>
      <c r="D3873" s="95" t="s">
        <v>2370</v>
      </c>
      <c r="E3873" s="95" t="s">
        <v>1166</v>
      </c>
      <c r="F3873" s="95" t="s">
        <v>2371</v>
      </c>
      <c r="G3873" s="95" t="s">
        <v>2372</v>
      </c>
    </row>
    <row r="3874" spans="1:7">
      <c r="B3874" s="114"/>
      <c r="C3874" s="154"/>
      <c r="D3874" s="114"/>
      <c r="E3874" s="114"/>
      <c r="F3874" s="114" t="s">
        <v>3485</v>
      </c>
      <c r="G3874" s="114" t="s">
        <v>3485</v>
      </c>
    </row>
    <row r="3875" spans="1:7">
      <c r="B3875" s="95">
        <v>1</v>
      </c>
      <c r="C3875" s="135" t="s">
        <v>5853</v>
      </c>
      <c r="D3875" s="95" t="s">
        <v>3478</v>
      </c>
      <c r="E3875" s="190">
        <v>396</v>
      </c>
      <c r="F3875" s="214">
        <f>'BASIC DATA'!$D$32/1000</f>
        <v>5.35</v>
      </c>
      <c r="G3875" s="190">
        <f>E3875*F3875</f>
        <v>2118.6</v>
      </c>
    </row>
    <row r="3876" spans="1:7">
      <c r="A3876" s="853"/>
      <c r="B3876" s="240">
        <v>2</v>
      </c>
      <c r="C3876" s="326" t="s">
        <v>6827</v>
      </c>
      <c r="D3876" s="240" t="s">
        <v>3477</v>
      </c>
      <c r="E3876" s="255">
        <v>0.39</v>
      </c>
      <c r="F3876" s="266">
        <f>'BASIC DATA'!$D$57</f>
        <v>165</v>
      </c>
      <c r="G3876" s="255">
        <f>E3876*F3876</f>
        <v>64.350000000000009</v>
      </c>
    </row>
    <row r="3877" spans="1:7">
      <c r="B3877" s="114">
        <v>3</v>
      </c>
      <c r="C3877" s="139" t="s">
        <v>6761</v>
      </c>
      <c r="D3877" s="114" t="s">
        <v>3478</v>
      </c>
      <c r="E3877" s="182">
        <v>3.1</v>
      </c>
      <c r="F3877" s="215">
        <f>'BASIC DATA'!$D$71</f>
        <v>72</v>
      </c>
      <c r="G3877" s="182">
        <f>E3877*F3877</f>
        <v>223.20000000000002</v>
      </c>
    </row>
    <row r="3878" spans="1:7">
      <c r="B3878" s="92"/>
      <c r="C3878" s="193" t="s">
        <v>2376</v>
      </c>
      <c r="D3878" s="159"/>
      <c r="E3878" s="238"/>
      <c r="F3878" s="236" t="s">
        <v>1698</v>
      </c>
      <c r="G3878" s="318">
        <f>SUM(G3875:G3877)</f>
        <v>2406.1499999999996</v>
      </c>
    </row>
    <row r="3879" spans="1:7">
      <c r="B3879" s="78"/>
      <c r="C3879" s="26"/>
      <c r="G3879" s="68"/>
    </row>
    <row r="3880" spans="1:7">
      <c r="B3880" s="79" t="s">
        <v>2377</v>
      </c>
      <c r="C3880" s="26"/>
    </row>
    <row r="3881" spans="1:7">
      <c r="B3881" s="95" t="s">
        <v>2369</v>
      </c>
      <c r="C3881" s="157" t="s">
        <v>2378</v>
      </c>
      <c r="D3881" s="95" t="s">
        <v>2370</v>
      </c>
      <c r="E3881" s="95" t="s">
        <v>1166</v>
      </c>
      <c r="F3881" s="95" t="s">
        <v>2371</v>
      </c>
      <c r="G3881" s="95" t="s">
        <v>2372</v>
      </c>
    </row>
    <row r="3882" spans="1:7">
      <c r="B3882" s="114"/>
      <c r="C3882" s="154"/>
      <c r="D3882" s="114"/>
      <c r="E3882" s="114"/>
      <c r="F3882" s="114" t="s">
        <v>3485</v>
      </c>
      <c r="G3882" s="114" t="s">
        <v>3485</v>
      </c>
    </row>
    <row r="3883" spans="1:7">
      <c r="B3883" s="95">
        <v>1</v>
      </c>
      <c r="C3883" s="95" t="s">
        <v>1130</v>
      </c>
      <c r="D3883" s="175"/>
      <c r="E3883" s="179">
        <v>0</v>
      </c>
      <c r="F3883" s="190">
        <v>0</v>
      </c>
      <c r="G3883" s="190">
        <f>E3883*F3883</f>
        <v>0</v>
      </c>
    </row>
    <row r="3884" spans="1:7">
      <c r="B3884" s="365"/>
      <c r="C3884" s="114" t="s">
        <v>4425</v>
      </c>
      <c r="D3884" s="188"/>
      <c r="E3884" s="182">
        <v>0</v>
      </c>
      <c r="F3884" s="190">
        <v>0</v>
      </c>
      <c r="G3884" s="190">
        <f>E3884*F3884</f>
        <v>0</v>
      </c>
    </row>
    <row r="3885" spans="1:7">
      <c r="B3885" s="176"/>
      <c r="C3885" s="172" t="s">
        <v>2380</v>
      </c>
      <c r="D3885" s="174"/>
      <c r="E3885" s="192"/>
      <c r="F3885" s="236" t="s">
        <v>1698</v>
      </c>
      <c r="G3885" s="318">
        <f>SUM(G3883:G3884)</f>
        <v>0</v>
      </c>
    </row>
    <row r="3886" spans="1:7">
      <c r="B3886" s="78"/>
      <c r="C3886" s="26"/>
    </row>
    <row r="3887" spans="1:7">
      <c r="B3887" s="79" t="s">
        <v>2381</v>
      </c>
      <c r="C3887" s="26"/>
    </row>
    <row r="3888" spans="1:7">
      <c r="B3888" s="95" t="s">
        <v>2369</v>
      </c>
      <c r="C3888" s="157" t="s">
        <v>2378</v>
      </c>
      <c r="D3888" s="95" t="s">
        <v>2370</v>
      </c>
      <c r="E3888" s="95" t="s">
        <v>1166</v>
      </c>
      <c r="F3888" s="95" t="s">
        <v>2371</v>
      </c>
      <c r="G3888" s="95" t="s">
        <v>2372</v>
      </c>
    </row>
    <row r="3889" spans="2:7">
      <c r="B3889" s="114"/>
      <c r="C3889" s="154"/>
      <c r="D3889" s="105"/>
      <c r="E3889" s="105"/>
      <c r="F3889" s="105" t="s">
        <v>3485</v>
      </c>
      <c r="G3889" s="114" t="s">
        <v>3485</v>
      </c>
    </row>
    <row r="3890" spans="2:7">
      <c r="B3890" s="95">
        <v>1</v>
      </c>
      <c r="C3890" s="76" t="s">
        <v>4203</v>
      </c>
      <c r="D3890" s="95" t="s">
        <v>1172</v>
      </c>
      <c r="E3890" s="179">
        <v>3</v>
      </c>
      <c r="F3890" s="179">
        <f>'BASIC DATA'!$C$541</f>
        <v>400</v>
      </c>
      <c r="G3890" s="207">
        <f>E3890*F3890</f>
        <v>1200</v>
      </c>
    </row>
    <row r="3891" spans="2:7">
      <c r="B3891" s="105">
        <v>2</v>
      </c>
      <c r="C3891" s="76" t="s">
        <v>4206</v>
      </c>
      <c r="D3891" s="105" t="s">
        <v>1172</v>
      </c>
      <c r="E3891" s="190">
        <v>1</v>
      </c>
      <c r="F3891" s="190">
        <f>'BASIC DATA'!$C$473</f>
        <v>450</v>
      </c>
      <c r="G3891" s="207">
        <f>E3891*F3891</f>
        <v>450</v>
      </c>
    </row>
    <row r="3892" spans="2:7">
      <c r="B3892" s="114">
        <v>3</v>
      </c>
      <c r="C3892" s="89" t="s">
        <v>2697</v>
      </c>
      <c r="D3892" s="114" t="s">
        <v>1172</v>
      </c>
      <c r="E3892" s="182">
        <v>5</v>
      </c>
      <c r="F3892" s="182">
        <f>'BASIC DATA'!$C$552</f>
        <v>350</v>
      </c>
      <c r="G3892" s="207">
        <f>E3892*F3892</f>
        <v>1750</v>
      </c>
    </row>
    <row r="3893" spans="2:7">
      <c r="B3893" s="176"/>
      <c r="C3893" s="172" t="s">
        <v>1174</v>
      </c>
      <c r="D3893" s="174"/>
      <c r="E3893" s="192"/>
      <c r="F3893" s="275" t="s">
        <v>1698</v>
      </c>
      <c r="G3893" s="318">
        <f>SUM(G3890:G3892)</f>
        <v>3400</v>
      </c>
    </row>
    <row r="3894" spans="2:7">
      <c r="B3894" s="60" t="s">
        <v>5948</v>
      </c>
      <c r="C3894" s="31"/>
      <c r="D3894" s="31"/>
      <c r="E3894" s="85">
        <f>ROUND(G3893/F3871,1)</f>
        <v>340</v>
      </c>
    </row>
    <row r="3895" spans="2:7">
      <c r="B3895" s="60" t="s">
        <v>3163</v>
      </c>
      <c r="C3895" s="31"/>
      <c r="D3895" s="922">
        <f>'BASIC DATA'!$C$577</f>
        <v>0.13614999999999999</v>
      </c>
      <c r="E3895" s="85">
        <f>ROUND(E3894*D3895,1)</f>
        <v>46.3</v>
      </c>
    </row>
    <row r="3896" spans="2:7">
      <c r="B3896" s="60" t="s">
        <v>5949</v>
      </c>
      <c r="C3896" s="31"/>
      <c r="D3896" s="31"/>
      <c r="E3896" s="199">
        <f>ROUND(E3895+E3894,1)</f>
        <v>386.3</v>
      </c>
      <c r="F3896" s="56"/>
    </row>
    <row r="3897" spans="2:7">
      <c r="B3897" s="78"/>
      <c r="C3897" s="26"/>
    </row>
    <row r="3898" spans="2:7">
      <c r="B3898" s="170" t="s">
        <v>1175</v>
      </c>
      <c r="C3898" s="26"/>
    </row>
    <row r="3899" spans="2:7">
      <c r="B3899" s="26" t="s">
        <v>1176</v>
      </c>
      <c r="C3899" s="26"/>
      <c r="F3899" s="171" t="s">
        <v>1698</v>
      </c>
      <c r="G3899" s="68">
        <f>G3878</f>
        <v>2406.1499999999996</v>
      </c>
    </row>
    <row r="3900" spans="2:7">
      <c r="B3900" s="26" t="s">
        <v>1186</v>
      </c>
      <c r="C3900" s="26"/>
      <c r="F3900" s="171" t="s">
        <v>1698</v>
      </c>
      <c r="G3900" s="68">
        <f>G3885</f>
        <v>0</v>
      </c>
    </row>
    <row r="3901" spans="2:7">
      <c r="B3901" s="26" t="s">
        <v>2660</v>
      </c>
      <c r="C3901" s="26"/>
      <c r="F3901" s="171" t="s">
        <v>1698</v>
      </c>
      <c r="G3901" s="75">
        <f>G3893</f>
        <v>3400</v>
      </c>
    </row>
    <row r="3902" spans="2:7">
      <c r="B3902" s="78"/>
      <c r="C3902" s="26"/>
      <c r="E3902" s="171"/>
      <c r="F3902" s="171" t="s">
        <v>302</v>
      </c>
      <c r="G3902" s="205">
        <f>SUM(G3899:G3901)</f>
        <v>5806.15</v>
      </c>
    </row>
    <row r="3903" spans="2:7">
      <c r="B3903" s="1206" t="s">
        <v>1379</v>
      </c>
      <c r="C3903" s="1206"/>
      <c r="E3903" s="922">
        <f>'BASIC DATA'!$C$577</f>
        <v>0.13614999999999999</v>
      </c>
      <c r="F3903" s="26" t="s">
        <v>1698</v>
      </c>
      <c r="G3903" s="26">
        <f>ROUND(G3902*E3903,2)</f>
        <v>790.51</v>
      </c>
    </row>
    <row r="3904" spans="2:7">
      <c r="B3904" s="26" t="s">
        <v>1191</v>
      </c>
      <c r="C3904" s="26"/>
      <c r="D3904" s="68">
        <f>F3871</f>
        <v>10</v>
      </c>
      <c r="E3904" s="68" t="str">
        <f>G3871</f>
        <v>Joints</v>
      </c>
      <c r="F3904" s="26" t="s">
        <v>1698</v>
      </c>
      <c r="G3904" s="170">
        <f>G3903+G3902</f>
        <v>6596.66</v>
      </c>
    </row>
    <row r="3905" spans="1:7">
      <c r="B3905" s="170" t="s">
        <v>1584</v>
      </c>
      <c r="C3905" s="211" t="s">
        <v>4714</v>
      </c>
      <c r="D3905" s="26" t="s">
        <v>5891</v>
      </c>
      <c r="F3905" s="26" t="s">
        <v>4108</v>
      </c>
      <c r="G3905" s="211">
        <f>ROUND(G3904/D3904,1)</f>
        <v>659.7</v>
      </c>
    </row>
    <row r="3906" spans="1:7">
      <c r="B3906" s="78"/>
      <c r="C3906" s="26"/>
    </row>
    <row r="3907" spans="1:7" ht="18.75">
      <c r="A3907" s="822" t="s">
        <v>478</v>
      </c>
      <c r="B3907" s="27" t="s">
        <v>8998</v>
      </c>
      <c r="C3907" s="26"/>
    </row>
    <row r="3908" spans="1:7" ht="18.75">
      <c r="B3908" s="27" t="s">
        <v>8999</v>
      </c>
      <c r="C3908" s="26"/>
    </row>
    <row r="3909" spans="1:7">
      <c r="B3909" s="78"/>
      <c r="C3909" s="26"/>
    </row>
    <row r="3910" spans="1:7" ht="18.75">
      <c r="A3910" s="865" t="s">
        <v>7149</v>
      </c>
      <c r="B3910" s="26" t="s">
        <v>9005</v>
      </c>
      <c r="C3910" s="26"/>
    </row>
    <row r="3911" spans="1:7">
      <c r="A3911" s="865"/>
      <c r="B3911" s="26" t="s">
        <v>4250</v>
      </c>
      <c r="C3911" s="26"/>
    </row>
    <row r="3912" spans="1:7" ht="18.75">
      <c r="A3912" s="865"/>
      <c r="B3912" s="26" t="s">
        <v>9006</v>
      </c>
      <c r="C3912" s="26"/>
    </row>
    <row r="3913" spans="1:7">
      <c r="A3913" s="865"/>
      <c r="B3913" s="170" t="s">
        <v>2735</v>
      </c>
      <c r="C3913" s="26"/>
    </row>
    <row r="3914" spans="1:7">
      <c r="A3914" s="865"/>
      <c r="B3914" s="170" t="s">
        <v>3065</v>
      </c>
      <c r="C3914" s="26"/>
    </row>
    <row r="3915" spans="1:7">
      <c r="A3915" s="865"/>
      <c r="B3915" s="26"/>
      <c r="C3915" s="26"/>
    </row>
    <row r="3916" spans="1:7" hidden="1">
      <c r="A3916" s="865" t="s">
        <v>3984</v>
      </c>
      <c r="B3916" s="26" t="s">
        <v>4251</v>
      </c>
      <c r="C3916" s="26"/>
    </row>
    <row r="3917" spans="1:7" hidden="1">
      <c r="A3917" s="865"/>
      <c r="B3917" s="26" t="s">
        <v>658</v>
      </c>
      <c r="C3917" s="26"/>
      <c r="F3917" s="26">
        <v>0.45</v>
      </c>
      <c r="G3917" s="26" t="s">
        <v>3477</v>
      </c>
    </row>
    <row r="3918" spans="1:7" hidden="1">
      <c r="A3918" s="865"/>
      <c r="B3918" s="26" t="s">
        <v>1580</v>
      </c>
      <c r="C3918" s="26"/>
      <c r="D3918" s="68">
        <v>3.4</v>
      </c>
      <c r="E3918" s="26" t="s">
        <v>3478</v>
      </c>
    </row>
    <row r="3919" spans="1:7" hidden="1">
      <c r="A3919" s="865"/>
      <c r="B3919" s="26" t="s">
        <v>3723</v>
      </c>
      <c r="C3919" s="26"/>
    </row>
    <row r="3920" spans="1:7" hidden="1">
      <c r="A3920" s="865"/>
      <c r="B3920" s="26" t="s">
        <v>6555</v>
      </c>
      <c r="C3920" s="26"/>
    </row>
    <row r="3921" spans="1:7">
      <c r="B3921" s="78"/>
      <c r="C3921" s="26"/>
    </row>
    <row r="3922" spans="1:7">
      <c r="A3922" s="865" t="s">
        <v>3984</v>
      </c>
      <c r="B3922" s="78"/>
      <c r="C3922" s="203" t="s">
        <v>2367</v>
      </c>
      <c r="E3922" s="171" t="s">
        <v>297</v>
      </c>
      <c r="F3922" s="246">
        <v>10</v>
      </c>
      <c r="G3922" s="26" t="s">
        <v>4713</v>
      </c>
    </row>
    <row r="3923" spans="1:7">
      <c r="B3923" s="79" t="s">
        <v>2368</v>
      </c>
      <c r="C3923" s="26"/>
    </row>
    <row r="3924" spans="1:7">
      <c r="B3924" s="95" t="s">
        <v>2369</v>
      </c>
      <c r="C3924" s="157" t="s">
        <v>4443</v>
      </c>
      <c r="D3924" s="95" t="s">
        <v>2370</v>
      </c>
      <c r="E3924" s="95" t="s">
        <v>1166</v>
      </c>
      <c r="F3924" s="95" t="s">
        <v>2371</v>
      </c>
      <c r="G3924" s="95" t="s">
        <v>2372</v>
      </c>
    </row>
    <row r="3925" spans="1:7">
      <c r="B3925" s="114"/>
      <c r="C3925" s="154"/>
      <c r="D3925" s="114"/>
      <c r="E3925" s="114"/>
      <c r="F3925" s="114" t="s">
        <v>3485</v>
      </c>
      <c r="G3925" s="114" t="s">
        <v>3485</v>
      </c>
    </row>
    <row r="3926" spans="1:7">
      <c r="B3926" s="95">
        <v>1</v>
      </c>
      <c r="C3926" s="135" t="s">
        <v>5853</v>
      </c>
      <c r="D3926" s="95" t="s">
        <v>3478</v>
      </c>
      <c r="E3926" s="190">
        <v>446</v>
      </c>
      <c r="F3926" s="214">
        <f>'BASIC DATA'!$D$32/1000</f>
        <v>5.35</v>
      </c>
      <c r="G3926" s="190">
        <f>E3926*F3926</f>
        <v>2386.1</v>
      </c>
    </row>
    <row r="3927" spans="1:7">
      <c r="A3927" s="853"/>
      <c r="B3927" s="240">
        <v>2</v>
      </c>
      <c r="C3927" s="326" t="s">
        <v>6827</v>
      </c>
      <c r="D3927" s="240" t="s">
        <v>3477</v>
      </c>
      <c r="E3927" s="255">
        <v>0.45</v>
      </c>
      <c r="F3927" s="266">
        <f>'BASIC DATA'!$D$57</f>
        <v>165</v>
      </c>
      <c r="G3927" s="255">
        <f>E3927*F3927</f>
        <v>74.25</v>
      </c>
    </row>
    <row r="3928" spans="1:7">
      <c r="B3928" s="114">
        <v>3</v>
      </c>
      <c r="C3928" s="139" t="s">
        <v>6761</v>
      </c>
      <c r="D3928" s="114" t="s">
        <v>3478</v>
      </c>
      <c r="E3928" s="182">
        <v>3.4</v>
      </c>
      <c r="F3928" s="215">
        <f>'BASIC DATA'!$D$71</f>
        <v>72</v>
      </c>
      <c r="G3928" s="182">
        <f>E3928*F3928</f>
        <v>244.79999999999998</v>
      </c>
    </row>
    <row r="3929" spans="1:7">
      <c r="B3929" s="92"/>
      <c r="C3929" s="193" t="s">
        <v>2376</v>
      </c>
      <c r="D3929" s="159"/>
      <c r="E3929" s="238"/>
      <c r="F3929" s="236" t="s">
        <v>1698</v>
      </c>
      <c r="G3929" s="318">
        <f>SUM(G3926:G3928)</f>
        <v>2705.15</v>
      </c>
    </row>
    <row r="3930" spans="1:7">
      <c r="B3930" s="78"/>
      <c r="C3930" s="26"/>
      <c r="G3930" s="68"/>
    </row>
    <row r="3931" spans="1:7">
      <c r="B3931" s="79" t="s">
        <v>2377</v>
      </c>
      <c r="C3931" s="26"/>
    </row>
    <row r="3932" spans="1:7">
      <c r="B3932" s="95" t="s">
        <v>2369</v>
      </c>
      <c r="C3932" s="157" t="s">
        <v>2378</v>
      </c>
      <c r="D3932" s="95" t="s">
        <v>2370</v>
      </c>
      <c r="E3932" s="95" t="s">
        <v>1166</v>
      </c>
      <c r="F3932" s="95" t="s">
        <v>2371</v>
      </c>
      <c r="G3932" s="95" t="s">
        <v>2372</v>
      </c>
    </row>
    <row r="3933" spans="1:7">
      <c r="B3933" s="114"/>
      <c r="C3933" s="154"/>
      <c r="D3933" s="114"/>
      <c r="E3933" s="114"/>
      <c r="F3933" s="114" t="s">
        <v>3485</v>
      </c>
      <c r="G3933" s="114" t="s">
        <v>3485</v>
      </c>
    </row>
    <row r="3934" spans="1:7">
      <c r="B3934" s="95">
        <v>1</v>
      </c>
      <c r="C3934" s="95" t="s">
        <v>1130</v>
      </c>
      <c r="D3934" s="175"/>
      <c r="E3934" s="179">
        <v>0</v>
      </c>
      <c r="F3934" s="190">
        <v>0</v>
      </c>
      <c r="G3934" s="190">
        <f>E3934*F3934</f>
        <v>0</v>
      </c>
    </row>
    <row r="3935" spans="1:7">
      <c r="B3935" s="365"/>
      <c r="C3935" s="114" t="s">
        <v>4425</v>
      </c>
      <c r="D3935" s="188"/>
      <c r="E3935" s="182">
        <v>0</v>
      </c>
      <c r="F3935" s="182">
        <v>0</v>
      </c>
      <c r="G3935" s="190">
        <f>E3935*F3935</f>
        <v>0</v>
      </c>
    </row>
    <row r="3936" spans="1:7">
      <c r="B3936" s="176"/>
      <c r="C3936" s="172" t="s">
        <v>2380</v>
      </c>
      <c r="D3936" s="174"/>
      <c r="E3936" s="192"/>
      <c r="F3936" s="275" t="s">
        <v>1698</v>
      </c>
      <c r="G3936" s="318">
        <f>SUM(G3934:G3935)</f>
        <v>0</v>
      </c>
    </row>
    <row r="3937" spans="2:7">
      <c r="B3937" s="78"/>
      <c r="C3937" s="26"/>
    </row>
    <row r="3938" spans="2:7">
      <c r="B3938" s="79" t="s">
        <v>2381</v>
      </c>
      <c r="C3938" s="26"/>
    </row>
    <row r="3939" spans="2:7">
      <c r="B3939" s="95" t="s">
        <v>2369</v>
      </c>
      <c r="C3939" s="157" t="s">
        <v>2378</v>
      </c>
      <c r="D3939" s="95" t="s">
        <v>2370</v>
      </c>
      <c r="E3939" s="95" t="s">
        <v>1166</v>
      </c>
      <c r="F3939" s="95" t="s">
        <v>2371</v>
      </c>
      <c r="G3939" s="95" t="s">
        <v>2372</v>
      </c>
    </row>
    <row r="3940" spans="2:7">
      <c r="B3940" s="114"/>
      <c r="C3940" s="154"/>
      <c r="D3940" s="105"/>
      <c r="E3940" s="105"/>
      <c r="F3940" s="105" t="s">
        <v>3485</v>
      </c>
      <c r="G3940" s="114" t="s">
        <v>3485</v>
      </c>
    </row>
    <row r="3941" spans="2:7">
      <c r="B3941" s="95">
        <v>1</v>
      </c>
      <c r="C3941" s="76" t="s">
        <v>4203</v>
      </c>
      <c r="D3941" s="95" t="s">
        <v>1172</v>
      </c>
      <c r="E3941" s="179">
        <v>3</v>
      </c>
      <c r="F3941" s="179">
        <f>'BASIC DATA'!$C$541</f>
        <v>400</v>
      </c>
      <c r="G3941" s="207">
        <f>E3941*F3941</f>
        <v>1200</v>
      </c>
    </row>
    <row r="3942" spans="2:7">
      <c r="B3942" s="105">
        <v>2</v>
      </c>
      <c r="C3942" s="76" t="s">
        <v>4206</v>
      </c>
      <c r="D3942" s="105" t="s">
        <v>1172</v>
      </c>
      <c r="E3942" s="190">
        <v>1</v>
      </c>
      <c r="F3942" s="190">
        <f>'BASIC DATA'!$C$473</f>
        <v>450</v>
      </c>
      <c r="G3942" s="207">
        <f>E3942*F3942</f>
        <v>450</v>
      </c>
    </row>
    <row r="3943" spans="2:7">
      <c r="B3943" s="114">
        <v>3</v>
      </c>
      <c r="C3943" s="89" t="s">
        <v>2697</v>
      </c>
      <c r="D3943" s="114" t="s">
        <v>1172</v>
      </c>
      <c r="E3943" s="182">
        <v>5</v>
      </c>
      <c r="F3943" s="182">
        <f>'BASIC DATA'!$C$552</f>
        <v>350</v>
      </c>
      <c r="G3943" s="207">
        <f>E3943*F3943</f>
        <v>1750</v>
      </c>
    </row>
    <row r="3944" spans="2:7">
      <c r="B3944" s="176"/>
      <c r="C3944" s="172" t="s">
        <v>1174</v>
      </c>
      <c r="D3944" s="174"/>
      <c r="E3944" s="192"/>
      <c r="F3944" s="275" t="s">
        <v>1698</v>
      </c>
      <c r="G3944" s="318">
        <f>SUM(G3941:G3943)</f>
        <v>3400</v>
      </c>
    </row>
    <row r="3945" spans="2:7">
      <c r="B3945" s="60" t="s">
        <v>5948</v>
      </c>
      <c r="C3945" s="31"/>
      <c r="D3945" s="31"/>
      <c r="E3945" s="85">
        <f>ROUND(G3944/F3922,1)</f>
        <v>340</v>
      </c>
    </row>
    <row r="3946" spans="2:7">
      <c r="B3946" s="60" t="s">
        <v>3163</v>
      </c>
      <c r="C3946" s="31"/>
      <c r="D3946" s="922">
        <f>'BASIC DATA'!$C$577</f>
        <v>0.13614999999999999</v>
      </c>
      <c r="E3946" s="85">
        <f>ROUND(E3945*D3946,1)</f>
        <v>46.3</v>
      </c>
    </row>
    <row r="3947" spans="2:7">
      <c r="B3947" s="60" t="s">
        <v>5949</v>
      </c>
      <c r="C3947" s="31"/>
      <c r="D3947" s="31"/>
      <c r="E3947" s="199">
        <f>ROUND(E3946+E3945,1)</f>
        <v>386.3</v>
      </c>
      <c r="F3947" s="56"/>
    </row>
    <row r="3948" spans="2:7">
      <c r="B3948" s="78"/>
      <c r="C3948" s="26"/>
    </row>
    <row r="3949" spans="2:7">
      <c r="B3949" s="170" t="s">
        <v>1175</v>
      </c>
      <c r="C3949" s="26"/>
    </row>
    <row r="3950" spans="2:7">
      <c r="B3950" s="26" t="s">
        <v>1176</v>
      </c>
      <c r="C3950" s="26"/>
      <c r="F3950" s="171" t="s">
        <v>1698</v>
      </c>
      <c r="G3950" s="68">
        <f>G3929</f>
        <v>2705.15</v>
      </c>
    </row>
    <row r="3951" spans="2:7">
      <c r="B3951" s="26" t="s">
        <v>1186</v>
      </c>
      <c r="C3951" s="26"/>
      <c r="F3951" s="171" t="s">
        <v>1698</v>
      </c>
      <c r="G3951" s="68">
        <f>G3936</f>
        <v>0</v>
      </c>
    </row>
    <row r="3952" spans="2:7">
      <c r="B3952" s="26" t="s">
        <v>2660</v>
      </c>
      <c r="C3952" s="26"/>
      <c r="F3952" s="171" t="s">
        <v>1698</v>
      </c>
      <c r="G3952" s="75">
        <f>G3944</f>
        <v>3400</v>
      </c>
    </row>
    <row r="3953" spans="1:7">
      <c r="B3953" s="78"/>
      <c r="C3953" s="26"/>
      <c r="E3953" s="171"/>
      <c r="F3953" s="171" t="s">
        <v>302</v>
      </c>
      <c r="G3953" s="205">
        <f>SUM(G3950:G3952)</f>
        <v>6105.15</v>
      </c>
    </row>
    <row r="3954" spans="1:7">
      <c r="B3954" s="1206" t="s">
        <v>1379</v>
      </c>
      <c r="C3954" s="1206"/>
      <c r="E3954" s="922">
        <f>'BASIC DATA'!$C$577</f>
        <v>0.13614999999999999</v>
      </c>
      <c r="F3954" s="26" t="s">
        <v>1698</v>
      </c>
      <c r="G3954" s="26">
        <f>ROUND(G3953*E3954,2)</f>
        <v>831.22</v>
      </c>
    </row>
    <row r="3955" spans="1:7">
      <c r="B3955" s="26" t="s">
        <v>1191</v>
      </c>
      <c r="C3955" s="26"/>
      <c r="D3955" s="68">
        <f>F3922</f>
        <v>10</v>
      </c>
      <c r="E3955" s="68" t="str">
        <f>G3922</f>
        <v>Joints</v>
      </c>
      <c r="F3955" s="26" t="s">
        <v>1698</v>
      </c>
      <c r="G3955" s="170">
        <f>G3954+G3953</f>
        <v>6936.37</v>
      </c>
    </row>
    <row r="3956" spans="1:7">
      <c r="B3956" s="170" t="s">
        <v>1584</v>
      </c>
      <c r="C3956" s="211" t="s">
        <v>4714</v>
      </c>
      <c r="D3956" s="26" t="s">
        <v>5891</v>
      </c>
      <c r="F3956" s="26" t="s">
        <v>4108</v>
      </c>
      <c r="G3956" s="211">
        <f>ROUND(G3955/D3955,1)</f>
        <v>693.6</v>
      </c>
    </row>
    <row r="3957" spans="1:7">
      <c r="B3957" s="78"/>
      <c r="C3957" s="26"/>
    </row>
    <row r="3958" spans="1:7" ht="18.75">
      <c r="A3958" s="822" t="s">
        <v>478</v>
      </c>
      <c r="B3958" s="27" t="s">
        <v>8998</v>
      </c>
      <c r="C3958" s="26"/>
    </row>
    <row r="3959" spans="1:7" ht="18.75">
      <c r="B3959" s="27" t="s">
        <v>8999</v>
      </c>
      <c r="C3959" s="26"/>
    </row>
    <row r="3960" spans="1:7">
      <c r="B3960" s="78"/>
      <c r="C3960" s="26"/>
    </row>
    <row r="3961" spans="1:7" ht="18.75">
      <c r="A3961" s="865" t="s">
        <v>7150</v>
      </c>
      <c r="B3961" s="26" t="s">
        <v>9007</v>
      </c>
      <c r="C3961" s="26"/>
    </row>
    <row r="3962" spans="1:7">
      <c r="A3962" s="865"/>
      <c r="B3962" s="26" t="s">
        <v>4250</v>
      </c>
      <c r="C3962" s="26"/>
    </row>
    <row r="3963" spans="1:7" ht="18.75">
      <c r="A3963" s="865"/>
      <c r="B3963" s="26" t="s">
        <v>8997</v>
      </c>
      <c r="C3963" s="26"/>
    </row>
    <row r="3964" spans="1:7">
      <c r="A3964" s="865"/>
      <c r="B3964" s="170" t="s">
        <v>2735</v>
      </c>
      <c r="C3964" s="26"/>
    </row>
    <row r="3965" spans="1:7">
      <c r="A3965" s="865"/>
      <c r="B3965" s="170" t="s">
        <v>3066</v>
      </c>
      <c r="C3965" s="26"/>
    </row>
    <row r="3966" spans="1:7">
      <c r="A3966" s="865"/>
      <c r="B3966" s="26"/>
      <c r="C3966" s="26"/>
    </row>
    <row r="3967" spans="1:7" hidden="1">
      <c r="A3967" s="865" t="s">
        <v>3984</v>
      </c>
      <c r="B3967" s="26" t="s">
        <v>4251</v>
      </c>
      <c r="C3967" s="26"/>
    </row>
    <row r="3968" spans="1:7" hidden="1">
      <c r="A3968" s="865"/>
      <c r="B3968" s="26" t="s">
        <v>659</v>
      </c>
      <c r="C3968" s="26"/>
      <c r="F3968" s="26">
        <v>0.5</v>
      </c>
      <c r="G3968" s="26" t="s">
        <v>3477</v>
      </c>
    </row>
    <row r="3969" spans="1:7" hidden="1">
      <c r="A3969" s="865"/>
      <c r="B3969" s="26" t="s">
        <v>1580</v>
      </c>
      <c r="C3969" s="26"/>
      <c r="D3969" s="26">
        <v>3.77</v>
      </c>
      <c r="E3969" s="26" t="s">
        <v>3478</v>
      </c>
    </row>
    <row r="3970" spans="1:7" hidden="1">
      <c r="A3970" s="865"/>
      <c r="B3970" s="26" t="s">
        <v>3724</v>
      </c>
      <c r="C3970" s="26"/>
    </row>
    <row r="3971" spans="1:7" hidden="1">
      <c r="A3971" s="865"/>
      <c r="B3971" s="26" t="s">
        <v>6555</v>
      </c>
      <c r="C3971" s="26"/>
    </row>
    <row r="3972" spans="1:7" hidden="1">
      <c r="B3972" s="78"/>
      <c r="C3972" s="26"/>
    </row>
    <row r="3973" spans="1:7">
      <c r="B3973" s="78"/>
      <c r="C3973" s="26"/>
    </row>
    <row r="3974" spans="1:7">
      <c r="A3974" s="865" t="s">
        <v>3984</v>
      </c>
      <c r="B3974" s="78"/>
      <c r="C3974" s="203" t="s">
        <v>2367</v>
      </c>
      <c r="E3974" s="171" t="s">
        <v>297</v>
      </c>
      <c r="F3974" s="246">
        <v>10</v>
      </c>
      <c r="G3974" s="26" t="s">
        <v>4713</v>
      </c>
    </row>
    <row r="3975" spans="1:7">
      <c r="B3975" s="79" t="s">
        <v>2368</v>
      </c>
      <c r="C3975" s="26"/>
    </row>
    <row r="3976" spans="1:7">
      <c r="B3976" s="95" t="s">
        <v>2369</v>
      </c>
      <c r="C3976" s="157" t="s">
        <v>4443</v>
      </c>
      <c r="D3976" s="95" t="s">
        <v>2370</v>
      </c>
      <c r="E3976" s="95" t="s">
        <v>1166</v>
      </c>
      <c r="F3976" s="95" t="s">
        <v>2371</v>
      </c>
      <c r="G3976" s="95" t="s">
        <v>2372</v>
      </c>
    </row>
    <row r="3977" spans="1:7">
      <c r="B3977" s="114"/>
      <c r="C3977" s="154"/>
      <c r="D3977" s="114"/>
      <c r="E3977" s="114"/>
      <c r="F3977" s="114" t="s">
        <v>3485</v>
      </c>
      <c r="G3977" s="114" t="s">
        <v>3485</v>
      </c>
    </row>
    <row r="3978" spans="1:7">
      <c r="B3978" s="95">
        <v>1</v>
      </c>
      <c r="C3978" s="135" t="s">
        <v>5853</v>
      </c>
      <c r="D3978" s="95" t="s">
        <v>3478</v>
      </c>
      <c r="E3978" s="190">
        <v>495</v>
      </c>
      <c r="F3978" s="214">
        <f>'BASIC DATA'!$D$32/1000</f>
        <v>5.35</v>
      </c>
      <c r="G3978" s="190">
        <f>E3978*F3978</f>
        <v>2648.25</v>
      </c>
    </row>
    <row r="3979" spans="1:7">
      <c r="A3979" s="853"/>
      <c r="B3979" s="240">
        <v>2</v>
      </c>
      <c r="C3979" s="326" t="s">
        <v>6827</v>
      </c>
      <c r="D3979" s="240" t="s">
        <v>3477</v>
      </c>
      <c r="E3979" s="255">
        <v>0.5</v>
      </c>
      <c r="F3979" s="266">
        <f>'BASIC DATA'!$D$57</f>
        <v>165</v>
      </c>
      <c r="G3979" s="255">
        <f>E3979*F3979</f>
        <v>82.5</v>
      </c>
    </row>
    <row r="3980" spans="1:7">
      <c r="B3980" s="114">
        <v>3</v>
      </c>
      <c r="C3980" s="139" t="s">
        <v>6761</v>
      </c>
      <c r="D3980" s="114" t="s">
        <v>3478</v>
      </c>
      <c r="E3980" s="182">
        <v>3.77</v>
      </c>
      <c r="F3980" s="215">
        <f>'BASIC DATA'!$D$71</f>
        <v>72</v>
      </c>
      <c r="G3980" s="182">
        <f>E3980*F3980</f>
        <v>271.44</v>
      </c>
    </row>
    <row r="3981" spans="1:7">
      <c r="B3981" s="92"/>
      <c r="C3981" s="193" t="s">
        <v>2376</v>
      </c>
      <c r="D3981" s="159"/>
      <c r="E3981" s="238"/>
      <c r="F3981" s="236" t="s">
        <v>1698</v>
      </c>
      <c r="G3981" s="318">
        <f>SUM(G3978:G3980)</f>
        <v>3002.19</v>
      </c>
    </row>
    <row r="3982" spans="1:7">
      <c r="B3982" s="78"/>
      <c r="C3982" s="26"/>
      <c r="G3982" s="68"/>
    </row>
    <row r="3983" spans="1:7">
      <c r="B3983" s="79" t="s">
        <v>2377</v>
      </c>
      <c r="C3983" s="26"/>
    </row>
    <row r="3984" spans="1:7">
      <c r="B3984" s="95" t="s">
        <v>2369</v>
      </c>
      <c r="C3984" s="157" t="s">
        <v>2378</v>
      </c>
      <c r="D3984" s="95" t="s">
        <v>2370</v>
      </c>
      <c r="E3984" s="95" t="s">
        <v>1166</v>
      </c>
      <c r="F3984" s="95" t="s">
        <v>2371</v>
      </c>
      <c r="G3984" s="95" t="s">
        <v>2372</v>
      </c>
    </row>
    <row r="3985" spans="2:7">
      <c r="B3985" s="114"/>
      <c r="C3985" s="154"/>
      <c r="D3985" s="114"/>
      <c r="E3985" s="114"/>
      <c r="F3985" s="114" t="s">
        <v>3485</v>
      </c>
      <c r="G3985" s="114" t="s">
        <v>3485</v>
      </c>
    </row>
    <row r="3986" spans="2:7">
      <c r="B3986" s="95">
        <v>1</v>
      </c>
      <c r="C3986" s="95" t="s">
        <v>1130</v>
      </c>
      <c r="D3986" s="175"/>
      <c r="E3986" s="179">
        <v>0</v>
      </c>
      <c r="F3986" s="190">
        <v>0</v>
      </c>
      <c r="G3986" s="190">
        <f>E3986*F3986</f>
        <v>0</v>
      </c>
    </row>
    <row r="3987" spans="2:7">
      <c r="B3987" s="365"/>
      <c r="C3987" s="114" t="s">
        <v>4425</v>
      </c>
      <c r="D3987" s="188"/>
      <c r="E3987" s="182">
        <v>0</v>
      </c>
      <c r="F3987" s="182">
        <v>0</v>
      </c>
      <c r="G3987" s="190">
        <f>E3987*F3987</f>
        <v>0</v>
      </c>
    </row>
    <row r="3988" spans="2:7">
      <c r="B3988" s="176"/>
      <c r="C3988" s="172" t="s">
        <v>2380</v>
      </c>
      <c r="D3988" s="174"/>
      <c r="E3988" s="192"/>
      <c r="F3988" s="275" t="s">
        <v>1698</v>
      </c>
      <c r="G3988" s="318">
        <f>SUM(G3986:G3987)</f>
        <v>0</v>
      </c>
    </row>
    <row r="3989" spans="2:7">
      <c r="B3989" s="78"/>
      <c r="C3989" s="26"/>
    </row>
    <row r="3990" spans="2:7">
      <c r="B3990" s="79" t="s">
        <v>2381</v>
      </c>
      <c r="C3990" s="26"/>
    </row>
    <row r="3991" spans="2:7">
      <c r="B3991" s="95" t="s">
        <v>2369</v>
      </c>
      <c r="C3991" s="157" t="s">
        <v>2378</v>
      </c>
      <c r="D3991" s="95" t="s">
        <v>2370</v>
      </c>
      <c r="E3991" s="95" t="s">
        <v>1166</v>
      </c>
      <c r="F3991" s="95" t="s">
        <v>2371</v>
      </c>
      <c r="G3991" s="95" t="s">
        <v>2372</v>
      </c>
    </row>
    <row r="3992" spans="2:7">
      <c r="B3992" s="114"/>
      <c r="C3992" s="154"/>
      <c r="D3992" s="105"/>
      <c r="E3992" s="105"/>
      <c r="F3992" s="105" t="s">
        <v>3485</v>
      </c>
      <c r="G3992" s="114" t="s">
        <v>3485</v>
      </c>
    </row>
    <row r="3993" spans="2:7">
      <c r="B3993" s="95">
        <v>1</v>
      </c>
      <c r="C3993" s="76" t="s">
        <v>4203</v>
      </c>
      <c r="D3993" s="95" t="s">
        <v>1172</v>
      </c>
      <c r="E3993" s="179">
        <v>3</v>
      </c>
      <c r="F3993" s="179">
        <f>'BASIC DATA'!$C$541</f>
        <v>400</v>
      </c>
      <c r="G3993" s="207">
        <f>E3993*F3993</f>
        <v>1200</v>
      </c>
    </row>
    <row r="3994" spans="2:7">
      <c r="B3994" s="105">
        <v>2</v>
      </c>
      <c r="C3994" s="76" t="s">
        <v>4206</v>
      </c>
      <c r="D3994" s="105" t="s">
        <v>1172</v>
      </c>
      <c r="E3994" s="190">
        <v>1</v>
      </c>
      <c r="F3994" s="190">
        <f>'BASIC DATA'!$C$473</f>
        <v>450</v>
      </c>
      <c r="G3994" s="207">
        <f>E3994*F3994</f>
        <v>450</v>
      </c>
    </row>
    <row r="3995" spans="2:7">
      <c r="B3995" s="114">
        <v>3</v>
      </c>
      <c r="C3995" s="89" t="s">
        <v>2697</v>
      </c>
      <c r="D3995" s="114" t="s">
        <v>1172</v>
      </c>
      <c r="E3995" s="182">
        <v>6</v>
      </c>
      <c r="F3995" s="182">
        <f>'BASIC DATA'!$C$552</f>
        <v>350</v>
      </c>
      <c r="G3995" s="207">
        <f>E3995*F3995</f>
        <v>2100</v>
      </c>
    </row>
    <row r="3996" spans="2:7">
      <c r="B3996" s="176"/>
      <c r="C3996" s="172" t="s">
        <v>1174</v>
      </c>
      <c r="D3996" s="174"/>
      <c r="E3996" s="192"/>
      <c r="F3996" s="275" t="s">
        <v>1698</v>
      </c>
      <c r="G3996" s="318">
        <f>SUM(G3993:G3995)</f>
        <v>3750</v>
      </c>
    </row>
    <row r="3997" spans="2:7">
      <c r="B3997" s="60" t="s">
        <v>5948</v>
      </c>
      <c r="C3997" s="31"/>
      <c r="D3997" s="31"/>
      <c r="E3997" s="85">
        <f>ROUND(G3996/F3974,1)</f>
        <v>375</v>
      </c>
    </row>
    <row r="3998" spans="2:7">
      <c r="B3998" s="60" t="s">
        <v>3163</v>
      </c>
      <c r="C3998" s="31"/>
      <c r="D3998" s="922">
        <f>'BASIC DATA'!$C$577</f>
        <v>0.13614999999999999</v>
      </c>
      <c r="E3998" s="85">
        <f>ROUND(E3997*D3998,1)</f>
        <v>51.1</v>
      </c>
    </row>
    <row r="3999" spans="2:7">
      <c r="B3999" s="60" t="s">
        <v>5949</v>
      </c>
      <c r="C3999" s="31"/>
      <c r="D3999" s="31"/>
      <c r="E3999" s="199">
        <f>ROUND(E3998+E3997,1)</f>
        <v>426.1</v>
      </c>
      <c r="F3999" s="56"/>
    </row>
    <row r="4000" spans="2:7">
      <c r="B4000" s="78"/>
      <c r="C4000" s="26"/>
    </row>
    <row r="4001" spans="1:7">
      <c r="B4001" s="170" t="s">
        <v>1175</v>
      </c>
      <c r="C4001" s="26"/>
    </row>
    <row r="4002" spans="1:7">
      <c r="B4002" s="26" t="s">
        <v>1176</v>
      </c>
      <c r="C4002" s="26"/>
      <c r="F4002" s="171" t="s">
        <v>1698</v>
      </c>
      <c r="G4002" s="68">
        <f>G3981</f>
        <v>3002.19</v>
      </c>
    </row>
    <row r="4003" spans="1:7">
      <c r="B4003" s="26" t="s">
        <v>1186</v>
      </c>
      <c r="C4003" s="26"/>
      <c r="F4003" s="171" t="s">
        <v>1698</v>
      </c>
      <c r="G4003" s="68">
        <f>G3988</f>
        <v>0</v>
      </c>
    </row>
    <row r="4004" spans="1:7">
      <c r="B4004" s="26" t="s">
        <v>2660</v>
      </c>
      <c r="C4004" s="26"/>
      <c r="F4004" s="171" t="s">
        <v>1698</v>
      </c>
      <c r="G4004" s="75">
        <f>G3996</f>
        <v>3750</v>
      </c>
    </row>
    <row r="4005" spans="1:7">
      <c r="B4005" s="78"/>
      <c r="C4005" s="26"/>
      <c r="E4005" s="171"/>
      <c r="F4005" s="171" t="s">
        <v>302</v>
      </c>
      <c r="G4005" s="205">
        <f>SUM(G4002:G4004)</f>
        <v>6752.1900000000005</v>
      </c>
    </row>
    <row r="4006" spans="1:7">
      <c r="B4006" s="1206" t="s">
        <v>1379</v>
      </c>
      <c r="C4006" s="1206"/>
      <c r="E4006" s="922">
        <f>'BASIC DATA'!$C$577</f>
        <v>0.13614999999999999</v>
      </c>
      <c r="F4006" s="26" t="s">
        <v>1698</v>
      </c>
      <c r="G4006" s="26">
        <f>ROUND(G4005*E4006,2)</f>
        <v>919.31</v>
      </c>
    </row>
    <row r="4007" spans="1:7">
      <c r="B4007" s="26" t="s">
        <v>1191</v>
      </c>
      <c r="C4007" s="26"/>
      <c r="D4007" s="68">
        <f>F3974</f>
        <v>10</v>
      </c>
      <c r="E4007" s="68" t="str">
        <f>G3974</f>
        <v>Joints</v>
      </c>
      <c r="F4007" s="26" t="s">
        <v>1698</v>
      </c>
      <c r="G4007" s="170">
        <f>G4006+G4005</f>
        <v>7671.5</v>
      </c>
    </row>
    <row r="4008" spans="1:7">
      <c r="B4008" s="170" t="s">
        <v>1584</v>
      </c>
      <c r="C4008" s="211" t="s">
        <v>4714</v>
      </c>
      <c r="D4008" s="26" t="s">
        <v>5891</v>
      </c>
      <c r="F4008" s="26" t="s">
        <v>4108</v>
      </c>
      <c r="G4008" s="211">
        <f>ROUND(G4007/D4007,1)</f>
        <v>767.2</v>
      </c>
    </row>
    <row r="4009" spans="1:7">
      <c r="B4009" s="78"/>
      <c r="C4009" s="26"/>
    </row>
    <row r="4010" spans="1:7" ht="18.75">
      <c r="A4010" s="822" t="s">
        <v>478</v>
      </c>
      <c r="B4010" s="27" t="s">
        <v>8998</v>
      </c>
      <c r="C4010" s="26"/>
    </row>
    <row r="4011" spans="1:7" ht="18.75">
      <c r="B4011" s="27" t="s">
        <v>8999</v>
      </c>
      <c r="C4011" s="26"/>
    </row>
    <row r="4012" spans="1:7">
      <c r="B4012" s="78"/>
      <c r="C4012" s="26"/>
    </row>
    <row r="4013" spans="1:7" ht="18.75">
      <c r="A4013" s="865" t="s">
        <v>7151</v>
      </c>
      <c r="B4013" s="26" t="s">
        <v>9008</v>
      </c>
      <c r="C4013" s="26"/>
    </row>
    <row r="4014" spans="1:7">
      <c r="A4014" s="865"/>
      <c r="B4014" s="26" t="s">
        <v>4250</v>
      </c>
      <c r="C4014" s="26"/>
    </row>
    <row r="4015" spans="1:7">
      <c r="A4015" s="865"/>
      <c r="B4015" s="26" t="s">
        <v>4844</v>
      </c>
      <c r="C4015" s="26"/>
    </row>
    <row r="4016" spans="1:7">
      <c r="A4016" s="865"/>
      <c r="B4016" s="170" t="s">
        <v>2735</v>
      </c>
      <c r="C4016" s="26"/>
    </row>
    <row r="4017" spans="1:7">
      <c r="A4017" s="865"/>
      <c r="B4017" s="170" t="s">
        <v>3067</v>
      </c>
      <c r="C4017" s="26"/>
    </row>
    <row r="4018" spans="1:7">
      <c r="A4018" s="865"/>
      <c r="B4018" s="26"/>
      <c r="C4018" s="26"/>
    </row>
    <row r="4019" spans="1:7" hidden="1">
      <c r="A4019" s="865" t="s">
        <v>3984</v>
      </c>
      <c r="B4019" s="26" t="s">
        <v>4251</v>
      </c>
      <c r="C4019" s="26"/>
    </row>
    <row r="4020" spans="1:7" hidden="1">
      <c r="A4020" s="865"/>
      <c r="B4020" s="26" t="s">
        <v>1733</v>
      </c>
      <c r="C4020" s="26"/>
      <c r="F4020" s="26">
        <v>0.57999999999999996</v>
      </c>
      <c r="G4020" s="26" t="s">
        <v>3477</v>
      </c>
    </row>
    <row r="4021" spans="1:7" hidden="1">
      <c r="A4021" s="865"/>
      <c r="B4021" s="26" t="s">
        <v>1580</v>
      </c>
      <c r="C4021" s="26"/>
      <c r="D4021" s="26">
        <v>4.1500000000000004</v>
      </c>
      <c r="E4021" s="26" t="s">
        <v>3478</v>
      </c>
    </row>
    <row r="4022" spans="1:7" hidden="1">
      <c r="A4022" s="865"/>
      <c r="B4022" s="26" t="s">
        <v>3724</v>
      </c>
      <c r="C4022" s="26"/>
    </row>
    <row r="4023" spans="1:7" hidden="1">
      <c r="A4023" s="865"/>
      <c r="B4023" s="26" t="s">
        <v>6555</v>
      </c>
      <c r="C4023" s="26"/>
    </row>
    <row r="4024" spans="1:7">
      <c r="B4024" s="78"/>
      <c r="C4024" s="26"/>
    </row>
    <row r="4025" spans="1:7">
      <c r="A4025" s="865" t="s">
        <v>3984</v>
      </c>
      <c r="B4025" s="78"/>
      <c r="C4025" s="203" t="s">
        <v>2367</v>
      </c>
      <c r="E4025" s="171" t="s">
        <v>297</v>
      </c>
      <c r="F4025" s="246">
        <v>10</v>
      </c>
      <c r="G4025" s="26" t="s">
        <v>4713</v>
      </c>
    </row>
    <row r="4026" spans="1:7">
      <c r="B4026" s="79" t="s">
        <v>2368</v>
      </c>
      <c r="C4026" s="26"/>
    </row>
    <row r="4027" spans="1:7">
      <c r="B4027" s="95" t="s">
        <v>2369</v>
      </c>
      <c r="C4027" s="157" t="s">
        <v>4443</v>
      </c>
      <c r="D4027" s="95" t="s">
        <v>2370</v>
      </c>
      <c r="E4027" s="95" t="s">
        <v>1166</v>
      </c>
      <c r="F4027" s="95" t="s">
        <v>2371</v>
      </c>
      <c r="G4027" s="95" t="s">
        <v>2372</v>
      </c>
    </row>
    <row r="4028" spans="1:7">
      <c r="B4028" s="114"/>
      <c r="C4028" s="154"/>
      <c r="D4028" s="114"/>
      <c r="E4028" s="114"/>
      <c r="F4028" s="114" t="s">
        <v>3485</v>
      </c>
      <c r="G4028" s="114" t="s">
        <v>3485</v>
      </c>
    </row>
    <row r="4029" spans="1:7">
      <c r="B4029" s="95">
        <v>1</v>
      </c>
      <c r="C4029" s="135" t="s">
        <v>5853</v>
      </c>
      <c r="D4029" s="95" t="s">
        <v>3478</v>
      </c>
      <c r="E4029" s="190">
        <v>569</v>
      </c>
      <c r="F4029" s="214">
        <f>'BASIC DATA'!$D$32/1000</f>
        <v>5.35</v>
      </c>
      <c r="G4029" s="190">
        <f>E4029*F4029</f>
        <v>3044.1499999999996</v>
      </c>
    </row>
    <row r="4030" spans="1:7">
      <c r="A4030" s="853"/>
      <c r="B4030" s="240">
        <v>2</v>
      </c>
      <c r="C4030" s="326" t="s">
        <v>6827</v>
      </c>
      <c r="D4030" s="240" t="s">
        <v>3477</v>
      </c>
      <c r="E4030" s="255">
        <v>0.57999999999999996</v>
      </c>
      <c r="F4030" s="266">
        <f>'BASIC DATA'!$D$57</f>
        <v>165</v>
      </c>
      <c r="G4030" s="255">
        <f>E4030*F4030</f>
        <v>95.699999999999989</v>
      </c>
    </row>
    <row r="4031" spans="1:7">
      <c r="B4031" s="114">
        <v>3</v>
      </c>
      <c r="C4031" s="139" t="s">
        <v>6761</v>
      </c>
      <c r="D4031" s="114" t="s">
        <v>3478</v>
      </c>
      <c r="E4031" s="182">
        <v>4.1500000000000004</v>
      </c>
      <c r="F4031" s="215">
        <f>'BASIC DATA'!$D$71</f>
        <v>72</v>
      </c>
      <c r="G4031" s="182">
        <f>E4031*F4031</f>
        <v>298.8</v>
      </c>
    </row>
    <row r="4032" spans="1:7">
      <c r="B4032" s="92"/>
      <c r="C4032" s="193" t="s">
        <v>2376</v>
      </c>
      <c r="D4032" s="159"/>
      <c r="E4032" s="238"/>
      <c r="F4032" s="236" t="s">
        <v>1698</v>
      </c>
      <c r="G4032" s="318">
        <f>SUM(G4029:G4031)</f>
        <v>3438.6499999999996</v>
      </c>
    </row>
    <row r="4033" spans="2:7">
      <c r="B4033" s="78"/>
      <c r="C4033" s="26"/>
      <c r="G4033" s="68"/>
    </row>
    <row r="4034" spans="2:7">
      <c r="B4034" s="79" t="s">
        <v>2377</v>
      </c>
      <c r="C4034" s="26"/>
    </row>
    <row r="4035" spans="2:7">
      <c r="B4035" s="95" t="s">
        <v>2369</v>
      </c>
      <c r="C4035" s="157" t="s">
        <v>2378</v>
      </c>
      <c r="D4035" s="95" t="s">
        <v>2370</v>
      </c>
      <c r="E4035" s="95" t="s">
        <v>1166</v>
      </c>
      <c r="F4035" s="95" t="s">
        <v>2371</v>
      </c>
      <c r="G4035" s="95" t="s">
        <v>2372</v>
      </c>
    </row>
    <row r="4036" spans="2:7">
      <c r="B4036" s="114"/>
      <c r="C4036" s="154"/>
      <c r="D4036" s="114"/>
      <c r="E4036" s="114"/>
      <c r="F4036" s="114" t="s">
        <v>3485</v>
      </c>
      <c r="G4036" s="114" t="s">
        <v>3485</v>
      </c>
    </row>
    <row r="4037" spans="2:7">
      <c r="B4037" s="95">
        <v>1</v>
      </c>
      <c r="C4037" s="95" t="s">
        <v>1130</v>
      </c>
      <c r="D4037" s="175"/>
      <c r="E4037" s="179">
        <v>0</v>
      </c>
      <c r="F4037" s="190">
        <v>0</v>
      </c>
      <c r="G4037" s="190">
        <f>E4037*F4037</f>
        <v>0</v>
      </c>
    </row>
    <row r="4038" spans="2:7">
      <c r="B4038" s="365"/>
      <c r="C4038" s="114" t="s">
        <v>4425</v>
      </c>
      <c r="D4038" s="188"/>
      <c r="E4038" s="182">
        <v>0</v>
      </c>
      <c r="F4038" s="182">
        <v>0</v>
      </c>
      <c r="G4038" s="182">
        <f>E4038*F4038</f>
        <v>0</v>
      </c>
    </row>
    <row r="4039" spans="2:7">
      <c r="B4039" s="176"/>
      <c r="C4039" s="172" t="s">
        <v>2380</v>
      </c>
      <c r="D4039" s="174"/>
      <c r="E4039" s="192"/>
      <c r="F4039" s="275" t="s">
        <v>1698</v>
      </c>
      <c r="G4039" s="434">
        <f>SUM(G4037:G4038)</f>
        <v>0</v>
      </c>
    </row>
    <row r="4040" spans="2:7">
      <c r="B4040" s="78"/>
      <c r="C4040" s="26"/>
    </row>
    <row r="4041" spans="2:7">
      <c r="B4041" s="79" t="s">
        <v>2381</v>
      </c>
      <c r="C4041" s="26"/>
    </row>
    <row r="4042" spans="2:7">
      <c r="B4042" s="95" t="s">
        <v>2369</v>
      </c>
      <c r="C4042" s="157" t="s">
        <v>2378</v>
      </c>
      <c r="D4042" s="95" t="s">
        <v>2370</v>
      </c>
      <c r="E4042" s="95" t="s">
        <v>1166</v>
      </c>
      <c r="F4042" s="95" t="s">
        <v>2371</v>
      </c>
      <c r="G4042" s="95" t="s">
        <v>2372</v>
      </c>
    </row>
    <row r="4043" spans="2:7">
      <c r="B4043" s="114"/>
      <c r="C4043" s="154"/>
      <c r="D4043" s="105"/>
      <c r="E4043" s="105"/>
      <c r="F4043" s="105" t="s">
        <v>3485</v>
      </c>
      <c r="G4043" s="114" t="s">
        <v>3485</v>
      </c>
    </row>
    <row r="4044" spans="2:7">
      <c r="B4044" s="95">
        <v>1</v>
      </c>
      <c r="C4044" s="76" t="s">
        <v>4203</v>
      </c>
      <c r="D4044" s="95" t="s">
        <v>1172</v>
      </c>
      <c r="E4044" s="179">
        <v>3</v>
      </c>
      <c r="F4044" s="179">
        <f>'BASIC DATA'!$C$541</f>
        <v>400</v>
      </c>
      <c r="G4044" s="207">
        <f>E4044*F4044</f>
        <v>1200</v>
      </c>
    </row>
    <row r="4045" spans="2:7">
      <c r="B4045" s="105">
        <v>2</v>
      </c>
      <c r="C4045" s="76" t="s">
        <v>4206</v>
      </c>
      <c r="D4045" s="105" t="s">
        <v>1172</v>
      </c>
      <c r="E4045" s="190">
        <v>1</v>
      </c>
      <c r="F4045" s="190">
        <f>'BASIC DATA'!$C$473</f>
        <v>450</v>
      </c>
      <c r="G4045" s="207">
        <f>E4045*F4045</f>
        <v>450</v>
      </c>
    </row>
    <row r="4046" spans="2:7">
      <c r="B4046" s="114">
        <v>3</v>
      </c>
      <c r="C4046" s="89" t="s">
        <v>2697</v>
      </c>
      <c r="D4046" s="114" t="s">
        <v>1172</v>
      </c>
      <c r="E4046" s="182">
        <v>6</v>
      </c>
      <c r="F4046" s="182">
        <f>'BASIC DATA'!$C$552</f>
        <v>350</v>
      </c>
      <c r="G4046" s="207">
        <f>E4046*F4046</f>
        <v>2100</v>
      </c>
    </row>
    <row r="4047" spans="2:7">
      <c r="B4047" s="176"/>
      <c r="C4047" s="172" t="s">
        <v>1174</v>
      </c>
      <c r="D4047" s="174"/>
      <c r="E4047" s="192"/>
      <c r="F4047" s="275" t="s">
        <v>1698</v>
      </c>
      <c r="G4047" s="318">
        <f>SUM(G4044:G4046)</f>
        <v>3750</v>
      </c>
    </row>
    <row r="4048" spans="2:7">
      <c r="B4048" s="60" t="s">
        <v>5948</v>
      </c>
      <c r="C4048" s="31"/>
      <c r="D4048" s="31"/>
      <c r="E4048" s="85">
        <f>ROUND(G4047/F4025,1)</f>
        <v>375</v>
      </c>
    </row>
    <row r="4049" spans="1:7">
      <c r="B4049" s="60" t="s">
        <v>3163</v>
      </c>
      <c r="C4049" s="31"/>
      <c r="D4049" s="922">
        <f>'BASIC DATA'!$C$577</f>
        <v>0.13614999999999999</v>
      </c>
      <c r="E4049" s="85">
        <f>ROUND(E4048*D4049,1)</f>
        <v>51.1</v>
      </c>
    </row>
    <row r="4050" spans="1:7">
      <c r="B4050" s="60" t="s">
        <v>5949</v>
      </c>
      <c r="C4050" s="31"/>
      <c r="D4050" s="31"/>
      <c r="E4050" s="199">
        <f>ROUND(E4049+E4048,1)</f>
        <v>426.1</v>
      </c>
      <c r="F4050" s="56"/>
    </row>
    <row r="4051" spans="1:7">
      <c r="B4051" s="78"/>
      <c r="C4051" s="26"/>
    </row>
    <row r="4052" spans="1:7">
      <c r="B4052" s="170" t="s">
        <v>1175</v>
      </c>
      <c r="C4052" s="26"/>
    </row>
    <row r="4053" spans="1:7">
      <c r="B4053" s="26" t="s">
        <v>1176</v>
      </c>
      <c r="C4053" s="26"/>
      <c r="F4053" s="171" t="s">
        <v>1698</v>
      </c>
      <c r="G4053" s="68">
        <f>G4032</f>
        <v>3438.6499999999996</v>
      </c>
    </row>
    <row r="4054" spans="1:7">
      <c r="B4054" s="26" t="s">
        <v>1186</v>
      </c>
      <c r="C4054" s="26"/>
      <c r="F4054" s="171" t="s">
        <v>1698</v>
      </c>
      <c r="G4054" s="68">
        <f>G4039</f>
        <v>0</v>
      </c>
    </row>
    <row r="4055" spans="1:7">
      <c r="B4055" s="26" t="s">
        <v>2660</v>
      </c>
      <c r="C4055" s="26"/>
      <c r="F4055" s="171" t="s">
        <v>1698</v>
      </c>
      <c r="G4055" s="75">
        <f>G4047</f>
        <v>3750</v>
      </c>
    </row>
    <row r="4056" spans="1:7">
      <c r="B4056" s="78"/>
      <c r="C4056" s="26"/>
      <c r="E4056" s="171"/>
      <c r="F4056" s="171" t="s">
        <v>302</v>
      </c>
      <c r="G4056" s="205">
        <f>SUM(G4053:G4055)</f>
        <v>7188.65</v>
      </c>
    </row>
    <row r="4057" spans="1:7">
      <c r="B4057" s="1206" t="s">
        <v>1379</v>
      </c>
      <c r="C4057" s="1206"/>
      <c r="E4057" s="922">
        <f>'BASIC DATA'!$C$577</f>
        <v>0.13614999999999999</v>
      </c>
      <c r="F4057" s="26" t="s">
        <v>1698</v>
      </c>
      <c r="G4057" s="26">
        <f>ROUND(G4056*E4057,2)</f>
        <v>978.73</v>
      </c>
    </row>
    <row r="4058" spans="1:7">
      <c r="B4058" s="26" t="s">
        <v>1191</v>
      </c>
      <c r="C4058" s="26"/>
      <c r="D4058" s="68">
        <f>F4025</f>
        <v>10</v>
      </c>
      <c r="E4058" s="68" t="str">
        <f>G4025</f>
        <v>Joints</v>
      </c>
      <c r="F4058" s="26" t="s">
        <v>1698</v>
      </c>
      <c r="G4058" s="170">
        <f>G4057+G4056</f>
        <v>8167.3799999999992</v>
      </c>
    </row>
    <row r="4059" spans="1:7">
      <c r="B4059" s="170" t="s">
        <v>1584</v>
      </c>
      <c r="C4059" s="211" t="s">
        <v>4714</v>
      </c>
      <c r="D4059" s="26" t="s">
        <v>5891</v>
      </c>
      <c r="F4059" s="26" t="s">
        <v>4108</v>
      </c>
      <c r="G4059" s="211">
        <f>ROUND(G4058/D4058,1)</f>
        <v>816.7</v>
      </c>
    </row>
    <row r="4060" spans="1:7">
      <c r="B4060" s="78"/>
      <c r="C4060" s="26"/>
    </row>
    <row r="4061" spans="1:7" ht="18.75">
      <c r="A4061" s="822" t="s">
        <v>478</v>
      </c>
      <c r="B4061" s="27" t="s">
        <v>8998</v>
      </c>
      <c r="C4061" s="26"/>
    </row>
    <row r="4062" spans="1:7" ht="18.75">
      <c r="B4062" s="27" t="s">
        <v>8999</v>
      </c>
      <c r="C4062" s="26"/>
    </row>
    <row r="4063" spans="1:7">
      <c r="B4063" s="78"/>
      <c r="C4063" s="26"/>
    </row>
    <row r="4064" spans="1:7" ht="18.75">
      <c r="A4064" s="865" t="s">
        <v>7152</v>
      </c>
      <c r="B4064" s="26" t="s">
        <v>9009</v>
      </c>
      <c r="C4064" s="26"/>
    </row>
    <row r="4065" spans="1:7">
      <c r="A4065" s="865"/>
      <c r="B4065" s="26" t="s">
        <v>4250</v>
      </c>
      <c r="C4065" s="26"/>
    </row>
    <row r="4066" spans="1:7" ht="18.75">
      <c r="A4066" s="865"/>
      <c r="B4066" s="26" t="s">
        <v>8997</v>
      </c>
      <c r="C4066" s="26"/>
    </row>
    <row r="4067" spans="1:7">
      <c r="A4067" s="865"/>
      <c r="B4067" s="170" t="s">
        <v>2735</v>
      </c>
      <c r="C4067" s="26"/>
    </row>
    <row r="4068" spans="1:7">
      <c r="A4068" s="865"/>
      <c r="B4068" s="170" t="s">
        <v>3068</v>
      </c>
      <c r="C4068" s="26"/>
    </row>
    <row r="4069" spans="1:7">
      <c r="A4069" s="865"/>
      <c r="B4069" s="26"/>
      <c r="C4069" s="26"/>
    </row>
    <row r="4070" spans="1:7" hidden="1">
      <c r="A4070" s="865" t="s">
        <v>3984</v>
      </c>
      <c r="B4070" s="26" t="s">
        <v>4251</v>
      </c>
      <c r="C4070" s="26"/>
    </row>
    <row r="4071" spans="1:7" hidden="1">
      <c r="A4071" s="865"/>
      <c r="B4071" s="26" t="s">
        <v>1734</v>
      </c>
      <c r="C4071" s="26"/>
      <c r="F4071" s="68">
        <v>0.69</v>
      </c>
      <c r="G4071" s="26" t="s">
        <v>3477</v>
      </c>
    </row>
    <row r="4072" spans="1:7" hidden="1">
      <c r="A4072" s="865"/>
      <c r="B4072" s="26" t="s">
        <v>1580</v>
      </c>
      <c r="C4072" s="26"/>
      <c r="D4072" s="26">
        <v>4.53</v>
      </c>
      <c r="E4072" s="26" t="s">
        <v>3478</v>
      </c>
    </row>
    <row r="4073" spans="1:7" hidden="1">
      <c r="A4073" s="865"/>
      <c r="B4073" s="26" t="s">
        <v>3725</v>
      </c>
      <c r="C4073" s="26"/>
    </row>
    <row r="4074" spans="1:7" hidden="1">
      <c r="A4074" s="865"/>
      <c r="B4074" s="26" t="s">
        <v>6555</v>
      </c>
      <c r="C4074" s="26"/>
    </row>
    <row r="4075" spans="1:7">
      <c r="B4075" s="78"/>
      <c r="C4075" s="26"/>
    </row>
    <row r="4076" spans="1:7">
      <c r="A4076" s="865" t="s">
        <v>3984</v>
      </c>
      <c r="B4076" s="78"/>
      <c r="C4076" s="203" t="s">
        <v>2367</v>
      </c>
      <c r="E4076" s="171" t="s">
        <v>297</v>
      </c>
      <c r="F4076" s="246">
        <v>10</v>
      </c>
      <c r="G4076" s="26" t="s">
        <v>4713</v>
      </c>
    </row>
    <row r="4077" spans="1:7">
      <c r="B4077" s="79" t="s">
        <v>2368</v>
      </c>
      <c r="C4077" s="26"/>
    </row>
    <row r="4078" spans="1:7">
      <c r="B4078" s="95" t="s">
        <v>2369</v>
      </c>
      <c r="C4078" s="157" t="s">
        <v>4443</v>
      </c>
      <c r="D4078" s="95" t="s">
        <v>2370</v>
      </c>
      <c r="E4078" s="95" t="s">
        <v>1166</v>
      </c>
      <c r="F4078" s="95" t="s">
        <v>2371</v>
      </c>
      <c r="G4078" s="95" t="s">
        <v>2372</v>
      </c>
    </row>
    <row r="4079" spans="1:7">
      <c r="B4079" s="114"/>
      <c r="C4079" s="154"/>
      <c r="D4079" s="114"/>
      <c r="E4079" s="114"/>
      <c r="F4079" s="114" t="s">
        <v>3485</v>
      </c>
      <c r="G4079" s="114" t="s">
        <v>3485</v>
      </c>
    </row>
    <row r="4080" spans="1:7">
      <c r="B4080" s="95">
        <v>1</v>
      </c>
      <c r="C4080" s="135" t="s">
        <v>5853</v>
      </c>
      <c r="D4080" s="95" t="s">
        <v>3478</v>
      </c>
      <c r="E4080" s="190">
        <v>668</v>
      </c>
      <c r="F4080" s="214">
        <f>'BASIC DATA'!$D$32/1000</f>
        <v>5.35</v>
      </c>
      <c r="G4080" s="190">
        <f>E4080*F4080</f>
        <v>3573.7999999999997</v>
      </c>
    </row>
    <row r="4081" spans="1:7">
      <c r="A4081" s="853"/>
      <c r="B4081" s="240">
        <v>2</v>
      </c>
      <c r="C4081" s="326" t="s">
        <v>6827</v>
      </c>
      <c r="D4081" s="240" t="s">
        <v>3477</v>
      </c>
      <c r="E4081" s="255">
        <v>0.69</v>
      </c>
      <c r="F4081" s="266">
        <f>'BASIC DATA'!$D$57</f>
        <v>165</v>
      </c>
      <c r="G4081" s="255">
        <f>E4081*F4081</f>
        <v>113.85</v>
      </c>
    </row>
    <row r="4082" spans="1:7">
      <c r="B4082" s="114">
        <v>3</v>
      </c>
      <c r="C4082" s="139" t="s">
        <v>6761</v>
      </c>
      <c r="D4082" s="114" t="s">
        <v>3478</v>
      </c>
      <c r="E4082" s="182">
        <v>4.53</v>
      </c>
      <c r="F4082" s="215">
        <f>'BASIC DATA'!$D$71</f>
        <v>72</v>
      </c>
      <c r="G4082" s="182">
        <f>E4082*F4082</f>
        <v>326.16000000000003</v>
      </c>
    </row>
    <row r="4083" spans="1:7">
      <c r="B4083" s="92"/>
      <c r="C4083" s="193" t="s">
        <v>2376</v>
      </c>
      <c r="D4083" s="159"/>
      <c r="E4083" s="238"/>
      <c r="F4083" s="236" t="s">
        <v>1698</v>
      </c>
      <c r="G4083" s="318">
        <f>SUM(G4080:G4082)</f>
        <v>4013.8099999999995</v>
      </c>
    </row>
    <row r="4084" spans="1:7">
      <c r="B4084" s="78"/>
      <c r="C4084" s="26"/>
      <c r="G4084" s="68"/>
    </row>
    <row r="4085" spans="1:7">
      <c r="B4085" s="79" t="s">
        <v>2377</v>
      </c>
      <c r="C4085" s="26"/>
    </row>
    <row r="4086" spans="1:7">
      <c r="B4086" s="95" t="s">
        <v>2369</v>
      </c>
      <c r="C4086" s="157" t="s">
        <v>2378</v>
      </c>
      <c r="D4086" s="95" t="s">
        <v>2370</v>
      </c>
      <c r="E4086" s="95" t="s">
        <v>1166</v>
      </c>
      <c r="F4086" s="95" t="s">
        <v>2371</v>
      </c>
      <c r="G4086" s="95" t="s">
        <v>2372</v>
      </c>
    </row>
    <row r="4087" spans="1:7">
      <c r="B4087" s="114"/>
      <c r="C4087" s="154"/>
      <c r="D4087" s="114"/>
      <c r="E4087" s="114"/>
      <c r="F4087" s="114" t="s">
        <v>3485</v>
      </c>
      <c r="G4087" s="114" t="s">
        <v>3485</v>
      </c>
    </row>
    <row r="4088" spans="1:7">
      <c r="B4088" s="95">
        <v>1</v>
      </c>
      <c r="C4088" s="95" t="s">
        <v>1130</v>
      </c>
      <c r="D4088" s="175"/>
      <c r="E4088" s="179">
        <v>0</v>
      </c>
      <c r="F4088" s="190">
        <v>0</v>
      </c>
      <c r="G4088" s="190">
        <f>E4088*F4088</f>
        <v>0</v>
      </c>
    </row>
    <row r="4089" spans="1:7">
      <c r="B4089" s="365"/>
      <c r="C4089" s="114" t="s">
        <v>4425</v>
      </c>
      <c r="D4089" s="188"/>
      <c r="E4089" s="182">
        <v>0</v>
      </c>
      <c r="F4089" s="182">
        <v>0</v>
      </c>
      <c r="G4089" s="190">
        <f>E4089*F4089</f>
        <v>0</v>
      </c>
    </row>
    <row r="4090" spans="1:7">
      <c r="B4090" s="176"/>
      <c r="C4090" s="172" t="s">
        <v>2380</v>
      </c>
      <c r="D4090" s="174"/>
      <c r="E4090" s="192"/>
      <c r="F4090" s="275" t="s">
        <v>1698</v>
      </c>
      <c r="G4090" s="318">
        <f>SUM(G4088:G4089)</f>
        <v>0</v>
      </c>
    </row>
    <row r="4091" spans="1:7">
      <c r="B4091" s="78"/>
      <c r="C4091" s="26"/>
    </row>
    <row r="4092" spans="1:7">
      <c r="B4092" s="79" t="s">
        <v>2381</v>
      </c>
      <c r="C4092" s="26"/>
    </row>
    <row r="4093" spans="1:7">
      <c r="B4093" s="95" t="s">
        <v>2369</v>
      </c>
      <c r="C4093" s="157" t="s">
        <v>2378</v>
      </c>
      <c r="D4093" s="95" t="s">
        <v>2370</v>
      </c>
      <c r="E4093" s="95" t="s">
        <v>1166</v>
      </c>
      <c r="F4093" s="95" t="s">
        <v>2371</v>
      </c>
      <c r="G4093" s="95" t="s">
        <v>2372</v>
      </c>
    </row>
    <row r="4094" spans="1:7">
      <c r="B4094" s="114"/>
      <c r="C4094" s="154"/>
      <c r="D4094" s="105"/>
      <c r="E4094" s="105"/>
      <c r="F4094" s="105" t="s">
        <v>3485</v>
      </c>
      <c r="G4094" s="114" t="s">
        <v>3485</v>
      </c>
    </row>
    <row r="4095" spans="1:7">
      <c r="B4095" s="95">
        <v>1</v>
      </c>
      <c r="C4095" s="76" t="s">
        <v>4203</v>
      </c>
      <c r="D4095" s="95" t="s">
        <v>1172</v>
      </c>
      <c r="E4095" s="179">
        <v>4</v>
      </c>
      <c r="F4095" s="179">
        <f>'BASIC DATA'!$C$541</f>
        <v>400</v>
      </c>
      <c r="G4095" s="207">
        <f>E4095*F4095</f>
        <v>1600</v>
      </c>
    </row>
    <row r="4096" spans="1:7">
      <c r="B4096" s="105">
        <v>2</v>
      </c>
      <c r="C4096" s="76" t="s">
        <v>4206</v>
      </c>
      <c r="D4096" s="105" t="s">
        <v>1172</v>
      </c>
      <c r="E4096" s="190">
        <v>1</v>
      </c>
      <c r="F4096" s="190">
        <f>'BASIC DATA'!$C$473</f>
        <v>450</v>
      </c>
      <c r="G4096" s="207">
        <f>E4096*F4096</f>
        <v>450</v>
      </c>
    </row>
    <row r="4097" spans="1:7">
      <c r="B4097" s="114">
        <v>3</v>
      </c>
      <c r="C4097" s="89" t="s">
        <v>2697</v>
      </c>
      <c r="D4097" s="114" t="s">
        <v>1172</v>
      </c>
      <c r="E4097" s="182">
        <v>7</v>
      </c>
      <c r="F4097" s="182">
        <f>'BASIC DATA'!$C$552</f>
        <v>350</v>
      </c>
      <c r="G4097" s="207">
        <f>E4097*F4097</f>
        <v>2450</v>
      </c>
    </row>
    <row r="4098" spans="1:7">
      <c r="B4098" s="176"/>
      <c r="C4098" s="172" t="s">
        <v>1174</v>
      </c>
      <c r="D4098" s="174"/>
      <c r="E4098" s="192"/>
      <c r="F4098" s="275" t="s">
        <v>1698</v>
      </c>
      <c r="G4098" s="318">
        <f>SUM(G4095:G4097)</f>
        <v>4500</v>
      </c>
    </row>
    <row r="4099" spans="1:7">
      <c r="B4099" s="60" t="s">
        <v>5948</v>
      </c>
      <c r="C4099" s="31"/>
      <c r="D4099" s="31"/>
      <c r="E4099" s="85">
        <f>ROUND(G4098/F4076,1)</f>
        <v>450</v>
      </c>
    </row>
    <row r="4100" spans="1:7">
      <c r="B4100" s="60" t="s">
        <v>3163</v>
      </c>
      <c r="C4100" s="31"/>
      <c r="D4100" s="922">
        <f>'BASIC DATA'!$C$577</f>
        <v>0.13614999999999999</v>
      </c>
      <c r="E4100" s="85">
        <f>ROUND(E4099*D4100,1)</f>
        <v>61.3</v>
      </c>
    </row>
    <row r="4101" spans="1:7">
      <c r="B4101" s="60" t="s">
        <v>5949</v>
      </c>
      <c r="C4101" s="31"/>
      <c r="D4101" s="31"/>
      <c r="E4101" s="199">
        <f>ROUND(E4100+E4099,1)</f>
        <v>511.3</v>
      </c>
      <c r="F4101" s="56"/>
    </row>
    <row r="4102" spans="1:7">
      <c r="B4102" s="78"/>
      <c r="C4102" s="26"/>
    </row>
    <row r="4103" spans="1:7">
      <c r="B4103" s="170" t="s">
        <v>1175</v>
      </c>
      <c r="C4103" s="26"/>
    </row>
    <row r="4104" spans="1:7">
      <c r="B4104" s="26" t="s">
        <v>1176</v>
      </c>
      <c r="C4104" s="26"/>
      <c r="F4104" s="171" t="s">
        <v>1698</v>
      </c>
      <c r="G4104" s="68">
        <f>G4083</f>
        <v>4013.8099999999995</v>
      </c>
    </row>
    <row r="4105" spans="1:7">
      <c r="B4105" s="26" t="s">
        <v>1186</v>
      </c>
      <c r="C4105" s="26"/>
      <c r="F4105" s="171" t="s">
        <v>1698</v>
      </c>
      <c r="G4105" s="68">
        <f>G4090</f>
        <v>0</v>
      </c>
    </row>
    <row r="4106" spans="1:7">
      <c r="B4106" s="26" t="s">
        <v>2660</v>
      </c>
      <c r="C4106" s="26"/>
      <c r="F4106" s="171" t="s">
        <v>1698</v>
      </c>
      <c r="G4106" s="75">
        <f>G4098</f>
        <v>4500</v>
      </c>
    </row>
    <row r="4107" spans="1:7">
      <c r="B4107" s="78"/>
      <c r="C4107" s="26"/>
      <c r="E4107" s="171"/>
      <c r="F4107" s="171" t="s">
        <v>302</v>
      </c>
      <c r="G4107" s="205">
        <f>SUM(G4104:G4106)</f>
        <v>8513.81</v>
      </c>
    </row>
    <row r="4108" spans="1:7">
      <c r="B4108" s="1206" t="s">
        <v>1379</v>
      </c>
      <c r="C4108" s="1206"/>
      <c r="E4108" s="922">
        <f>'BASIC DATA'!$C$577</f>
        <v>0.13614999999999999</v>
      </c>
      <c r="F4108" s="26" t="s">
        <v>1698</v>
      </c>
      <c r="G4108" s="26">
        <f>ROUND(G4107*E4108,2)</f>
        <v>1159.1600000000001</v>
      </c>
    </row>
    <row r="4109" spans="1:7">
      <c r="B4109" s="26" t="s">
        <v>1191</v>
      </c>
      <c r="C4109" s="26"/>
      <c r="D4109" s="68">
        <f>F4076</f>
        <v>10</v>
      </c>
      <c r="E4109" s="68" t="str">
        <f>G4076</f>
        <v>Joints</v>
      </c>
      <c r="F4109" s="26" t="s">
        <v>1698</v>
      </c>
      <c r="G4109" s="170">
        <f>G4108+G4107</f>
        <v>9672.9699999999993</v>
      </c>
    </row>
    <row r="4110" spans="1:7">
      <c r="B4110" s="170" t="s">
        <v>1584</v>
      </c>
      <c r="C4110" s="211" t="s">
        <v>4714</v>
      </c>
      <c r="D4110" s="26" t="s">
        <v>5891</v>
      </c>
      <c r="F4110" s="26" t="s">
        <v>4108</v>
      </c>
      <c r="G4110" s="211">
        <f>ROUND(G4109/D4109,1)</f>
        <v>967.3</v>
      </c>
    </row>
    <row r="4111" spans="1:7">
      <c r="B4111" s="26"/>
      <c r="C4111" s="68"/>
      <c r="G4111" s="68"/>
    </row>
    <row r="4112" spans="1:7" ht="18.75">
      <c r="A4112" s="822" t="s">
        <v>478</v>
      </c>
      <c r="B4112" s="27" t="s">
        <v>8998</v>
      </c>
      <c r="C4112" s="26"/>
    </row>
    <row r="4113" spans="1:7" ht="18.75">
      <c r="B4113" s="27" t="s">
        <v>8999</v>
      </c>
      <c r="C4113" s="26"/>
    </row>
    <row r="4114" spans="1:7">
      <c r="B4114" s="78"/>
      <c r="C4114" s="26"/>
    </row>
    <row r="4115" spans="1:7">
      <c r="A4115" s="865" t="s">
        <v>7153</v>
      </c>
      <c r="B4115" s="170" t="s">
        <v>548</v>
      </c>
      <c r="C4115" s="26"/>
    </row>
    <row r="4116" spans="1:7">
      <c r="A4116" s="865"/>
      <c r="B4116" s="26"/>
      <c r="C4116" s="26"/>
    </row>
    <row r="4117" spans="1:7">
      <c r="A4117" s="865" t="s">
        <v>7154</v>
      </c>
      <c r="B4117" s="26" t="s">
        <v>9010</v>
      </c>
      <c r="C4117" s="26"/>
    </row>
    <row r="4118" spans="1:7">
      <c r="A4118" s="865"/>
      <c r="B4118" s="26" t="s">
        <v>5832</v>
      </c>
      <c r="C4118" s="26"/>
    </row>
    <row r="4119" spans="1:7">
      <c r="A4119" s="865"/>
      <c r="B4119" s="170" t="s">
        <v>1212</v>
      </c>
      <c r="C4119" s="26"/>
    </row>
    <row r="4120" spans="1:7">
      <c r="A4120" s="865"/>
      <c r="B4120" s="26"/>
      <c r="C4120" s="26"/>
    </row>
    <row r="4121" spans="1:7" hidden="1">
      <c r="A4121" s="865" t="s">
        <v>3984</v>
      </c>
      <c r="B4121" s="26" t="s">
        <v>5833</v>
      </c>
      <c r="C4121" s="26"/>
    </row>
    <row r="4122" spans="1:7" hidden="1">
      <c r="A4122" s="865"/>
      <c r="B4122" s="26" t="s">
        <v>5834</v>
      </c>
      <c r="C4122" s="26"/>
      <c r="E4122" s="78" t="s">
        <v>1697</v>
      </c>
      <c r="F4122" s="68">
        <v>10</v>
      </c>
      <c r="G4122" s="26" t="s">
        <v>3477</v>
      </c>
    </row>
    <row r="4123" spans="1:7" hidden="1">
      <c r="A4123" s="865"/>
      <c r="B4123" s="26" t="s">
        <v>5835</v>
      </c>
      <c r="C4123" s="26"/>
      <c r="E4123" s="78" t="s">
        <v>1697</v>
      </c>
      <c r="F4123" s="68">
        <v>4</v>
      </c>
      <c r="G4123" s="26" t="s">
        <v>3477</v>
      </c>
    </row>
    <row r="4124" spans="1:7" hidden="1">
      <c r="A4124" s="865"/>
      <c r="B4124" s="26" t="s">
        <v>6071</v>
      </c>
      <c r="C4124" s="26"/>
    </row>
    <row r="4125" spans="1:7">
      <c r="B4125" s="78"/>
      <c r="C4125" s="26"/>
    </row>
    <row r="4126" spans="1:7">
      <c r="A4126" s="865" t="s">
        <v>3984</v>
      </c>
      <c r="B4126" s="78"/>
      <c r="C4126" s="203" t="s">
        <v>2367</v>
      </c>
      <c r="E4126" s="171" t="s">
        <v>297</v>
      </c>
      <c r="F4126" s="246">
        <v>10</v>
      </c>
      <c r="G4126" s="26" t="s">
        <v>3477</v>
      </c>
    </row>
    <row r="4127" spans="1:7">
      <c r="B4127" s="79" t="s">
        <v>2368</v>
      </c>
      <c r="C4127" s="26"/>
    </row>
    <row r="4128" spans="1:7">
      <c r="B4128" s="95" t="s">
        <v>2369</v>
      </c>
      <c r="C4128" s="157" t="s">
        <v>4443</v>
      </c>
      <c r="D4128" s="95" t="s">
        <v>2370</v>
      </c>
      <c r="E4128" s="95" t="s">
        <v>1166</v>
      </c>
      <c r="F4128" s="95" t="s">
        <v>2371</v>
      </c>
      <c r="G4128" s="95" t="s">
        <v>2372</v>
      </c>
    </row>
    <row r="4129" spans="1:7">
      <c r="B4129" s="114"/>
      <c r="C4129" s="154"/>
      <c r="D4129" s="114"/>
      <c r="E4129" s="114"/>
      <c r="F4129" s="114" t="s">
        <v>3485</v>
      </c>
      <c r="G4129" s="114" t="s">
        <v>3485</v>
      </c>
    </row>
    <row r="4130" spans="1:7">
      <c r="B4130" s="95">
        <v>1</v>
      </c>
      <c r="C4130" s="135" t="s">
        <v>5836</v>
      </c>
      <c r="D4130" s="95" t="s">
        <v>3477</v>
      </c>
      <c r="E4130" s="190">
        <v>10</v>
      </c>
      <c r="F4130" s="214">
        <f>'BASIC DATA'!$D$108</f>
        <v>318</v>
      </c>
      <c r="G4130" s="190">
        <f>E4130*F4130</f>
        <v>3180</v>
      </c>
    </row>
    <row r="4131" spans="1:7">
      <c r="A4131" s="853"/>
      <c r="B4131" s="237">
        <v>2</v>
      </c>
      <c r="C4131" s="306" t="s">
        <v>7871</v>
      </c>
      <c r="D4131" s="237" t="s">
        <v>3477</v>
      </c>
      <c r="E4131" s="289">
        <v>4</v>
      </c>
      <c r="F4131" s="284">
        <f>'BASIC DATA'!$D$56</f>
        <v>95</v>
      </c>
      <c r="G4131" s="289">
        <f>E4131*F4131</f>
        <v>380</v>
      </c>
    </row>
    <row r="4132" spans="1:7">
      <c r="B4132" s="92"/>
      <c r="C4132" s="193" t="s">
        <v>2376</v>
      </c>
      <c r="D4132" s="159"/>
      <c r="E4132" s="238"/>
      <c r="F4132" s="236" t="s">
        <v>1698</v>
      </c>
      <c r="G4132" s="318">
        <f>SUM(G4130:G4131)</f>
        <v>3560</v>
      </c>
    </row>
    <row r="4133" spans="1:7">
      <c r="B4133" s="78"/>
      <c r="C4133" s="26"/>
      <c r="G4133" s="68"/>
    </row>
    <row r="4134" spans="1:7">
      <c r="B4134" s="79" t="s">
        <v>2377</v>
      </c>
      <c r="C4134" s="26"/>
    </row>
    <row r="4135" spans="1:7">
      <c r="B4135" s="95" t="s">
        <v>2369</v>
      </c>
      <c r="C4135" s="157" t="s">
        <v>2378</v>
      </c>
      <c r="D4135" s="95" t="s">
        <v>2370</v>
      </c>
      <c r="E4135" s="95" t="s">
        <v>1166</v>
      </c>
      <c r="F4135" s="95" t="s">
        <v>2371</v>
      </c>
      <c r="G4135" s="95" t="s">
        <v>2372</v>
      </c>
    </row>
    <row r="4136" spans="1:7">
      <c r="B4136" s="114"/>
      <c r="C4136" s="154"/>
      <c r="D4136" s="114"/>
      <c r="E4136" s="114"/>
      <c r="F4136" s="114" t="s">
        <v>3485</v>
      </c>
      <c r="G4136" s="114" t="s">
        <v>3485</v>
      </c>
    </row>
    <row r="4137" spans="1:7">
      <c r="B4137" s="95">
        <v>1</v>
      </c>
      <c r="C4137" s="95" t="s">
        <v>1130</v>
      </c>
      <c r="D4137" s="175"/>
      <c r="E4137" s="179">
        <v>0</v>
      </c>
      <c r="F4137" s="190">
        <v>0</v>
      </c>
      <c r="G4137" s="190">
        <f>E4137*F4137</f>
        <v>0</v>
      </c>
    </row>
    <row r="4138" spans="1:7">
      <c r="B4138" s="365"/>
      <c r="C4138" s="114" t="s">
        <v>4425</v>
      </c>
      <c r="D4138" s="188"/>
      <c r="E4138" s="182">
        <v>0</v>
      </c>
      <c r="F4138" s="182">
        <v>0</v>
      </c>
      <c r="G4138" s="190">
        <f>E4138*F4138</f>
        <v>0</v>
      </c>
    </row>
    <row r="4139" spans="1:7">
      <c r="B4139" s="176"/>
      <c r="C4139" s="172" t="s">
        <v>2380</v>
      </c>
      <c r="D4139" s="174"/>
      <c r="E4139" s="192"/>
      <c r="F4139" s="275" t="s">
        <v>1698</v>
      </c>
      <c r="G4139" s="318">
        <f>SUM(G4137:G4138)</f>
        <v>0</v>
      </c>
    </row>
    <row r="4140" spans="1:7">
      <c r="B4140" s="78"/>
      <c r="C4140" s="26"/>
    </row>
    <row r="4141" spans="1:7">
      <c r="B4141" s="79" t="s">
        <v>2381</v>
      </c>
      <c r="C4141" s="26"/>
    </row>
    <row r="4142" spans="1:7">
      <c r="B4142" s="95" t="s">
        <v>2369</v>
      </c>
      <c r="C4142" s="157" t="s">
        <v>2378</v>
      </c>
      <c r="D4142" s="95" t="s">
        <v>2370</v>
      </c>
      <c r="E4142" s="95" t="s">
        <v>1166</v>
      </c>
      <c r="F4142" s="95" t="s">
        <v>2371</v>
      </c>
      <c r="G4142" s="95" t="s">
        <v>2372</v>
      </c>
    </row>
    <row r="4143" spans="1:7">
      <c r="B4143" s="114"/>
      <c r="C4143" s="154"/>
      <c r="D4143" s="105"/>
      <c r="E4143" s="105"/>
      <c r="F4143" s="105" t="s">
        <v>3485</v>
      </c>
      <c r="G4143" s="114" t="s">
        <v>3485</v>
      </c>
    </row>
    <row r="4144" spans="1:7">
      <c r="B4144" s="95">
        <v>1</v>
      </c>
      <c r="C4144" s="76" t="s">
        <v>4206</v>
      </c>
      <c r="D4144" s="95" t="s">
        <v>1172</v>
      </c>
      <c r="E4144" s="179">
        <v>0.5</v>
      </c>
      <c r="F4144" s="190">
        <f>'BASIC DATA'!$C$473</f>
        <v>450</v>
      </c>
      <c r="G4144" s="207">
        <f>E4144*F4144</f>
        <v>225</v>
      </c>
    </row>
    <row r="4145" spans="2:7">
      <c r="B4145" s="105">
        <v>2</v>
      </c>
      <c r="C4145" s="76" t="s">
        <v>3014</v>
      </c>
      <c r="D4145" s="105" t="s">
        <v>1172</v>
      </c>
      <c r="E4145" s="190">
        <v>1</v>
      </c>
      <c r="F4145" s="190">
        <f>'BASIC DATA'!$C$541</f>
        <v>400</v>
      </c>
      <c r="G4145" s="207">
        <f>E4145*F4145</f>
        <v>400</v>
      </c>
    </row>
    <row r="4146" spans="2:7">
      <c r="B4146" s="114">
        <v>3</v>
      </c>
      <c r="C4146" s="89" t="s">
        <v>2697</v>
      </c>
      <c r="D4146" s="114" t="s">
        <v>1172</v>
      </c>
      <c r="E4146" s="182">
        <v>4</v>
      </c>
      <c r="F4146" s="182">
        <f>'BASIC DATA'!$C$552</f>
        <v>350</v>
      </c>
      <c r="G4146" s="181">
        <f>E4146*F4146</f>
        <v>1400</v>
      </c>
    </row>
    <row r="4147" spans="2:7">
      <c r="B4147" s="176"/>
      <c r="C4147" s="172" t="s">
        <v>1174</v>
      </c>
      <c r="D4147" s="174"/>
      <c r="E4147" s="192"/>
      <c r="F4147" s="275" t="s">
        <v>1698</v>
      </c>
      <c r="G4147" s="434">
        <f>SUM(G4144:G4146)</f>
        <v>2025</v>
      </c>
    </row>
    <row r="4148" spans="2:7">
      <c r="B4148" s="60" t="s">
        <v>5948</v>
      </c>
      <c r="C4148" s="31"/>
      <c r="D4148" s="31"/>
      <c r="E4148" s="85">
        <f>ROUND(G4147/F4126,1)</f>
        <v>202.5</v>
      </c>
    </row>
    <row r="4149" spans="2:7">
      <c r="B4149" s="60" t="s">
        <v>3163</v>
      </c>
      <c r="C4149" s="31"/>
      <c r="D4149" s="922">
        <f>'BASIC DATA'!$C$577</f>
        <v>0.13614999999999999</v>
      </c>
      <c r="E4149" s="85">
        <f>ROUND(E4148*D4149,1)</f>
        <v>27.6</v>
      </c>
    </row>
    <row r="4150" spans="2:7">
      <c r="B4150" s="60" t="s">
        <v>5949</v>
      </c>
      <c r="C4150" s="31"/>
      <c r="D4150" s="31"/>
      <c r="E4150" s="199">
        <f>ROUND(E4149+E4148,1)</f>
        <v>230.1</v>
      </c>
      <c r="F4150" s="56"/>
    </row>
    <row r="4151" spans="2:7">
      <c r="B4151" s="78"/>
      <c r="C4151" s="26"/>
    </row>
    <row r="4152" spans="2:7">
      <c r="B4152" s="170" t="s">
        <v>1175</v>
      </c>
      <c r="C4152" s="26"/>
    </row>
    <row r="4153" spans="2:7">
      <c r="B4153" s="26" t="s">
        <v>1176</v>
      </c>
      <c r="C4153" s="26"/>
      <c r="F4153" s="171" t="s">
        <v>1698</v>
      </c>
      <c r="G4153" s="68">
        <f>G4132</f>
        <v>3560</v>
      </c>
    </row>
    <row r="4154" spans="2:7">
      <c r="B4154" s="26" t="s">
        <v>1186</v>
      </c>
      <c r="C4154" s="26"/>
      <c r="F4154" s="171" t="s">
        <v>1698</v>
      </c>
      <c r="G4154" s="68">
        <f>G4139</f>
        <v>0</v>
      </c>
    </row>
    <row r="4155" spans="2:7">
      <c r="B4155" s="26" t="s">
        <v>2660</v>
      </c>
      <c r="C4155" s="26"/>
      <c r="F4155" s="171" t="s">
        <v>1698</v>
      </c>
      <c r="G4155" s="75">
        <f>G4147</f>
        <v>2025</v>
      </c>
    </row>
    <row r="4156" spans="2:7">
      <c r="B4156" s="78"/>
      <c r="C4156" s="26"/>
      <c r="E4156" s="171"/>
      <c r="F4156" s="171" t="s">
        <v>302</v>
      </c>
      <c r="G4156" s="205">
        <f>SUM(G4153:G4155)</f>
        <v>5585</v>
      </c>
    </row>
    <row r="4157" spans="2:7">
      <c r="B4157" s="1206" t="s">
        <v>1379</v>
      </c>
      <c r="C4157" s="1206"/>
      <c r="E4157" s="922">
        <f>'BASIC DATA'!$C$577</f>
        <v>0.13614999999999999</v>
      </c>
      <c r="F4157" s="26" t="s">
        <v>1698</v>
      </c>
      <c r="G4157" s="26">
        <f>ROUND(G4156*E4157,2)</f>
        <v>760.4</v>
      </c>
    </row>
    <row r="4158" spans="2:7">
      <c r="B4158" s="26" t="s">
        <v>1191</v>
      </c>
      <c r="C4158" s="26"/>
      <c r="D4158" s="68">
        <f>F4126</f>
        <v>10</v>
      </c>
      <c r="E4158" s="68" t="str">
        <f>G4126</f>
        <v>cum</v>
      </c>
      <c r="F4158" s="26" t="s">
        <v>1698</v>
      </c>
      <c r="G4158" s="170">
        <f>G4157+G4156</f>
        <v>6345.4</v>
      </c>
    </row>
    <row r="4159" spans="2:7">
      <c r="B4159" s="170" t="s">
        <v>1584</v>
      </c>
      <c r="C4159" s="211" t="str">
        <f>E4158</f>
        <v>cum</v>
      </c>
      <c r="D4159" s="26" t="s">
        <v>5891</v>
      </c>
      <c r="F4159" s="26" t="s">
        <v>4108</v>
      </c>
      <c r="G4159" s="211">
        <f>ROUND(G4158/D4158,1)</f>
        <v>634.5</v>
      </c>
    </row>
    <row r="4160" spans="2:7">
      <c r="B4160" s="78"/>
      <c r="C4160" s="26"/>
    </row>
    <row r="4161" spans="1:7">
      <c r="B4161" s="78"/>
      <c r="C4161" s="26"/>
    </row>
    <row r="4162" spans="1:7" ht="18.75">
      <c r="A4162" s="865" t="s">
        <v>7155</v>
      </c>
      <c r="B4162" s="26" t="s">
        <v>9011</v>
      </c>
      <c r="C4162" s="26"/>
    </row>
    <row r="4163" spans="1:7">
      <c r="A4163" s="865"/>
      <c r="B4163" s="26" t="s">
        <v>9012</v>
      </c>
      <c r="C4163" s="26"/>
    </row>
    <row r="4164" spans="1:7" ht="18.75">
      <c r="A4164" s="865"/>
      <c r="B4164" s="26" t="s">
        <v>9013</v>
      </c>
      <c r="C4164" s="26"/>
    </row>
    <row r="4165" spans="1:7">
      <c r="A4165" s="865"/>
      <c r="B4165" s="170" t="s">
        <v>4735</v>
      </c>
      <c r="C4165" s="26"/>
    </row>
    <row r="4166" spans="1:7">
      <c r="A4166" s="865"/>
      <c r="B4166" s="26"/>
      <c r="C4166" s="26"/>
    </row>
    <row r="4167" spans="1:7" hidden="1">
      <c r="A4167" s="865" t="s">
        <v>3984</v>
      </c>
      <c r="B4167" s="26" t="s">
        <v>7236</v>
      </c>
      <c r="C4167" s="26"/>
    </row>
    <row r="4168" spans="1:7" hidden="1">
      <c r="A4168" s="865"/>
      <c r="B4168" s="26" t="s">
        <v>6072</v>
      </c>
      <c r="C4168" s="26"/>
      <c r="E4168" s="78" t="s">
        <v>1697</v>
      </c>
      <c r="F4168" s="68">
        <v>6</v>
      </c>
      <c r="G4168" s="26" t="s">
        <v>3477</v>
      </c>
    </row>
    <row r="4169" spans="1:7" hidden="1">
      <c r="A4169" s="865"/>
      <c r="B4169" s="26" t="s">
        <v>3726</v>
      </c>
      <c r="C4169" s="26"/>
      <c r="E4169" s="78" t="s">
        <v>1697</v>
      </c>
      <c r="F4169" s="68">
        <v>12</v>
      </c>
      <c r="G4169" s="26" t="s">
        <v>3477</v>
      </c>
    </row>
    <row r="4170" spans="1:7" hidden="1">
      <c r="A4170" s="865"/>
      <c r="B4170" s="26" t="s">
        <v>7237</v>
      </c>
      <c r="C4170" s="26"/>
      <c r="E4170" s="78" t="s">
        <v>1697</v>
      </c>
      <c r="F4170" s="26">
        <v>0.5</v>
      </c>
      <c r="G4170" s="26" t="s">
        <v>1581</v>
      </c>
    </row>
    <row r="4171" spans="1:7" hidden="1">
      <c r="A4171" s="865"/>
      <c r="B4171" s="26" t="s">
        <v>6073</v>
      </c>
      <c r="C4171" s="26"/>
    </row>
    <row r="4172" spans="1:7">
      <c r="B4172" s="78"/>
      <c r="C4172" s="26"/>
    </row>
    <row r="4173" spans="1:7">
      <c r="A4173" s="865" t="s">
        <v>3984</v>
      </c>
      <c r="B4173" s="78"/>
      <c r="C4173" s="203" t="s">
        <v>2367</v>
      </c>
      <c r="E4173" s="171" t="s">
        <v>297</v>
      </c>
      <c r="F4173" s="246">
        <v>10</v>
      </c>
      <c r="G4173" s="26" t="s">
        <v>3477</v>
      </c>
    </row>
    <row r="4174" spans="1:7">
      <c r="B4174" s="79" t="s">
        <v>2368</v>
      </c>
      <c r="C4174" s="26"/>
    </row>
    <row r="4175" spans="1:7">
      <c r="B4175" s="95" t="s">
        <v>2369</v>
      </c>
      <c r="C4175" s="157" t="s">
        <v>4443</v>
      </c>
      <c r="D4175" s="95" t="s">
        <v>2370</v>
      </c>
      <c r="E4175" s="95" t="s">
        <v>1166</v>
      </c>
      <c r="F4175" s="95" t="s">
        <v>2371</v>
      </c>
      <c r="G4175" s="95" t="s">
        <v>2372</v>
      </c>
    </row>
    <row r="4176" spans="1:7">
      <c r="B4176" s="114"/>
      <c r="C4176" s="154"/>
      <c r="D4176" s="114"/>
      <c r="E4176" s="114"/>
      <c r="F4176" s="114" t="s">
        <v>3485</v>
      </c>
      <c r="G4176" s="114" t="s">
        <v>3485</v>
      </c>
    </row>
    <row r="4177" spans="2:7">
      <c r="B4177" s="95">
        <v>1</v>
      </c>
      <c r="C4177" s="135" t="s">
        <v>956</v>
      </c>
      <c r="D4177" s="95" t="s">
        <v>3477</v>
      </c>
      <c r="E4177" s="190">
        <v>12</v>
      </c>
      <c r="F4177" s="214">
        <f>'BASIC DATA'!$D$85</f>
        <v>165</v>
      </c>
      <c r="G4177" s="190">
        <f>E4177*F4177</f>
        <v>1980</v>
      </c>
    </row>
    <row r="4178" spans="2:7">
      <c r="B4178" s="365"/>
      <c r="C4178" s="139"/>
      <c r="D4178" s="114"/>
      <c r="E4178" s="182">
        <v>0</v>
      </c>
      <c r="F4178" s="215">
        <v>0</v>
      </c>
      <c r="G4178" s="182">
        <f>E4178*F4178</f>
        <v>0</v>
      </c>
    </row>
    <row r="4179" spans="2:7">
      <c r="B4179" s="92"/>
      <c r="C4179" s="193" t="s">
        <v>2376</v>
      </c>
      <c r="D4179" s="159"/>
      <c r="E4179" s="238"/>
      <c r="F4179" s="236" t="s">
        <v>1698</v>
      </c>
      <c r="G4179" s="318">
        <f>SUM(G4177:G4178)</f>
        <v>1980</v>
      </c>
    </row>
    <row r="4180" spans="2:7">
      <c r="B4180" s="78"/>
      <c r="C4180" s="26"/>
      <c r="G4180" s="68"/>
    </row>
    <row r="4181" spans="2:7">
      <c r="B4181" s="79" t="s">
        <v>2377</v>
      </c>
      <c r="C4181" s="26"/>
    </row>
    <row r="4182" spans="2:7">
      <c r="B4182" s="95" t="s">
        <v>2369</v>
      </c>
      <c r="C4182" s="157" t="s">
        <v>2378</v>
      </c>
      <c r="D4182" s="95" t="s">
        <v>2370</v>
      </c>
      <c r="E4182" s="95" t="s">
        <v>1166</v>
      </c>
      <c r="F4182" s="95" t="s">
        <v>2371</v>
      </c>
      <c r="G4182" s="95" t="s">
        <v>2372</v>
      </c>
    </row>
    <row r="4183" spans="2:7">
      <c r="B4183" s="114"/>
      <c r="C4183" s="154"/>
      <c r="D4183" s="114"/>
      <c r="E4183" s="114"/>
      <c r="F4183" s="114" t="s">
        <v>3485</v>
      </c>
      <c r="G4183" s="114" t="s">
        <v>3485</v>
      </c>
    </row>
    <row r="4184" spans="2:7">
      <c r="B4184" s="95">
        <v>1</v>
      </c>
      <c r="C4184" s="95" t="s">
        <v>1130</v>
      </c>
      <c r="D4184" s="175"/>
      <c r="E4184" s="179">
        <v>0</v>
      </c>
      <c r="F4184" s="190">
        <v>0</v>
      </c>
      <c r="G4184" s="190">
        <f>E4184*F4184</f>
        <v>0</v>
      </c>
    </row>
    <row r="4185" spans="2:7">
      <c r="B4185" s="365"/>
      <c r="C4185" s="114"/>
      <c r="D4185" s="188"/>
      <c r="E4185" s="182">
        <v>0</v>
      </c>
      <c r="F4185" s="182">
        <v>0</v>
      </c>
      <c r="G4185" s="190">
        <f>E4185*F4185</f>
        <v>0</v>
      </c>
    </row>
    <row r="4186" spans="2:7">
      <c r="B4186" s="176"/>
      <c r="C4186" s="172" t="s">
        <v>2380</v>
      </c>
      <c r="D4186" s="174"/>
      <c r="E4186" s="192"/>
      <c r="F4186" s="275" t="s">
        <v>1698</v>
      </c>
      <c r="G4186" s="318">
        <f>SUM(G4184:G4185)</f>
        <v>0</v>
      </c>
    </row>
    <row r="4187" spans="2:7">
      <c r="B4187" s="78"/>
      <c r="C4187" s="26"/>
    </row>
    <row r="4188" spans="2:7">
      <c r="B4188" s="79" t="s">
        <v>2381</v>
      </c>
      <c r="C4188" s="26"/>
    </row>
    <row r="4189" spans="2:7">
      <c r="B4189" s="95" t="s">
        <v>2369</v>
      </c>
      <c r="C4189" s="157" t="s">
        <v>2378</v>
      </c>
      <c r="D4189" s="95" t="s">
        <v>2370</v>
      </c>
      <c r="E4189" s="95" t="s">
        <v>1166</v>
      </c>
      <c r="F4189" s="95" t="s">
        <v>2371</v>
      </c>
      <c r="G4189" s="95" t="s">
        <v>2372</v>
      </c>
    </row>
    <row r="4190" spans="2:7">
      <c r="B4190" s="114"/>
      <c r="C4190" s="154"/>
      <c r="D4190" s="105"/>
      <c r="E4190" s="105"/>
      <c r="F4190" s="105" t="s">
        <v>3485</v>
      </c>
      <c r="G4190" s="114" t="s">
        <v>3485</v>
      </c>
    </row>
    <row r="4191" spans="2:7">
      <c r="B4191" s="95">
        <v>1</v>
      </c>
      <c r="C4191" s="76" t="s">
        <v>684</v>
      </c>
      <c r="D4191" s="95" t="s">
        <v>1172</v>
      </c>
      <c r="E4191" s="179">
        <v>0.5</v>
      </c>
      <c r="F4191" s="179">
        <f>'BASIC DATA'!$C$511</f>
        <v>465</v>
      </c>
      <c r="G4191" s="207">
        <f>E4191*F4191</f>
        <v>232.5</v>
      </c>
    </row>
    <row r="4192" spans="2:7">
      <c r="B4192" s="105">
        <v>2</v>
      </c>
      <c r="C4192" s="76" t="s">
        <v>4206</v>
      </c>
      <c r="D4192" s="105" t="s">
        <v>1172</v>
      </c>
      <c r="E4192" s="190">
        <v>0.5</v>
      </c>
      <c r="F4192" s="190">
        <f>'BASIC DATA'!$C$473</f>
        <v>450</v>
      </c>
      <c r="G4192" s="207">
        <f>E4192*F4192</f>
        <v>225</v>
      </c>
    </row>
    <row r="4193" spans="2:7">
      <c r="B4193" s="114">
        <v>3</v>
      </c>
      <c r="C4193" s="89" t="s">
        <v>2697</v>
      </c>
      <c r="D4193" s="114" t="s">
        <v>1172</v>
      </c>
      <c r="E4193" s="182">
        <v>6</v>
      </c>
      <c r="F4193" s="182">
        <f>'BASIC DATA'!$C$552</f>
        <v>350</v>
      </c>
      <c r="G4193" s="207">
        <f>E4193*F4193</f>
        <v>2100</v>
      </c>
    </row>
    <row r="4194" spans="2:7">
      <c r="B4194" s="176"/>
      <c r="C4194" s="172" t="s">
        <v>1174</v>
      </c>
      <c r="D4194" s="174"/>
      <c r="E4194" s="192"/>
      <c r="F4194" s="275" t="s">
        <v>1698</v>
      </c>
      <c r="G4194" s="318">
        <f>SUM(G4191:G4193)</f>
        <v>2557.5</v>
      </c>
    </row>
    <row r="4195" spans="2:7">
      <c r="B4195" s="60" t="s">
        <v>5948</v>
      </c>
      <c r="C4195" s="31"/>
      <c r="D4195" s="31"/>
      <c r="E4195" s="85">
        <f>ROUND(G4194/F4173,1)</f>
        <v>255.8</v>
      </c>
    </row>
    <row r="4196" spans="2:7">
      <c r="B4196" s="60" t="s">
        <v>3163</v>
      </c>
      <c r="C4196" s="31"/>
      <c r="D4196" s="922">
        <f>'BASIC DATA'!$C$577</f>
        <v>0.13614999999999999</v>
      </c>
      <c r="E4196" s="85">
        <f>ROUND(E4195*D4196,1)</f>
        <v>34.799999999999997</v>
      </c>
    </row>
    <row r="4197" spans="2:7">
      <c r="B4197" s="60" t="s">
        <v>5949</v>
      </c>
      <c r="C4197" s="31"/>
      <c r="D4197" s="31"/>
      <c r="E4197" s="199">
        <f>ROUND(E4196+E4195,1)</f>
        <v>290.60000000000002</v>
      </c>
      <c r="F4197" s="56"/>
    </row>
    <row r="4198" spans="2:7">
      <c r="B4198" s="78"/>
      <c r="C4198" s="26"/>
    </row>
    <row r="4199" spans="2:7">
      <c r="B4199" s="170" t="s">
        <v>1175</v>
      </c>
      <c r="C4199" s="26"/>
    </row>
    <row r="4200" spans="2:7">
      <c r="B4200" s="26" t="s">
        <v>1176</v>
      </c>
      <c r="C4200" s="26"/>
      <c r="F4200" s="171" t="s">
        <v>1698</v>
      </c>
      <c r="G4200" s="68">
        <f>G4179</f>
        <v>1980</v>
      </c>
    </row>
    <row r="4201" spans="2:7">
      <c r="B4201" s="26" t="s">
        <v>1186</v>
      </c>
      <c r="C4201" s="26"/>
      <c r="F4201" s="171" t="s">
        <v>1698</v>
      </c>
      <c r="G4201" s="68">
        <f>G4186</f>
        <v>0</v>
      </c>
    </row>
    <row r="4202" spans="2:7">
      <c r="B4202" s="26" t="s">
        <v>2660</v>
      </c>
      <c r="C4202" s="26"/>
      <c r="F4202" s="171" t="s">
        <v>1698</v>
      </c>
      <c r="G4202" s="75">
        <f>G4194</f>
        <v>2557.5</v>
      </c>
    </row>
    <row r="4203" spans="2:7">
      <c r="B4203" s="78"/>
      <c r="C4203" s="26"/>
      <c r="E4203" s="171"/>
      <c r="F4203" s="171" t="s">
        <v>302</v>
      </c>
      <c r="G4203" s="205">
        <f>SUM(G4200:G4202)</f>
        <v>4537.5</v>
      </c>
    </row>
    <row r="4204" spans="2:7">
      <c r="B4204" s="1206" t="s">
        <v>1379</v>
      </c>
      <c r="C4204" s="1206"/>
      <c r="E4204" s="922">
        <f>'BASIC DATA'!$C$577</f>
        <v>0.13614999999999999</v>
      </c>
      <c r="F4204" s="26" t="s">
        <v>1698</v>
      </c>
      <c r="G4204" s="26">
        <f>ROUND(G4203*E4204,2)</f>
        <v>617.78</v>
      </c>
    </row>
    <row r="4205" spans="2:7">
      <c r="B4205" s="26" t="s">
        <v>1191</v>
      </c>
      <c r="C4205" s="26"/>
      <c r="D4205" s="68">
        <f>F4173</f>
        <v>10</v>
      </c>
      <c r="E4205" s="68" t="str">
        <f>G4173</f>
        <v>cum</v>
      </c>
      <c r="F4205" s="26" t="s">
        <v>1698</v>
      </c>
      <c r="G4205" s="170">
        <f>G4204+G4203</f>
        <v>5155.28</v>
      </c>
    </row>
    <row r="4206" spans="2:7">
      <c r="B4206" s="170" t="s">
        <v>1584</v>
      </c>
      <c r="C4206" s="211" t="str">
        <f>E4205</f>
        <v>cum</v>
      </c>
      <c r="D4206" s="26" t="s">
        <v>5891</v>
      </c>
      <c r="F4206" s="26" t="s">
        <v>4108</v>
      </c>
      <c r="G4206" s="211">
        <f>ROUND(G4205/D4205,1)</f>
        <v>515.5</v>
      </c>
    </row>
    <row r="4207" spans="2:7">
      <c r="B4207" s="78"/>
      <c r="C4207" s="26"/>
    </row>
    <row r="4208" spans="2:7">
      <c r="B4208" s="78"/>
      <c r="C4208" s="26"/>
    </row>
    <row r="4209" spans="1:7" ht="18.75">
      <c r="A4209" s="865" t="s">
        <v>7156</v>
      </c>
      <c r="B4209" s="26" t="s">
        <v>9014</v>
      </c>
      <c r="C4209" s="26"/>
    </row>
    <row r="4210" spans="1:7">
      <c r="A4210" s="865"/>
      <c r="B4210" s="26" t="s">
        <v>9015</v>
      </c>
      <c r="C4210" s="26"/>
    </row>
    <row r="4211" spans="1:7" ht="18.75">
      <c r="A4211" s="865"/>
      <c r="B4211" s="26" t="s">
        <v>9016</v>
      </c>
      <c r="C4211" s="26"/>
    </row>
    <row r="4212" spans="1:7">
      <c r="A4212" s="865"/>
      <c r="B4212" s="170" t="s">
        <v>2735</v>
      </c>
      <c r="C4212" s="26"/>
    </row>
    <row r="4213" spans="1:7">
      <c r="A4213" s="865"/>
      <c r="B4213" s="26"/>
      <c r="C4213" s="26"/>
    </row>
    <row r="4214" spans="1:7" hidden="1">
      <c r="A4214" s="865" t="s">
        <v>3984</v>
      </c>
      <c r="B4214" s="26" t="s">
        <v>4133</v>
      </c>
      <c r="C4214" s="26"/>
    </row>
    <row r="4215" spans="1:7" hidden="1">
      <c r="A4215" s="865"/>
      <c r="B4215" s="26" t="s">
        <v>6314</v>
      </c>
      <c r="C4215" s="26"/>
      <c r="E4215" s="78" t="s">
        <v>1697</v>
      </c>
      <c r="F4215" s="68">
        <v>12</v>
      </c>
      <c r="G4215" s="26" t="s">
        <v>3477</v>
      </c>
    </row>
    <row r="4216" spans="1:7" hidden="1">
      <c r="A4216" s="865"/>
      <c r="B4216" s="26" t="s">
        <v>4134</v>
      </c>
      <c r="C4216" s="26"/>
      <c r="E4216" s="78" t="s">
        <v>1697</v>
      </c>
      <c r="F4216" s="26">
        <v>58.6</v>
      </c>
      <c r="G4216" s="26" t="s">
        <v>4535</v>
      </c>
    </row>
    <row r="4217" spans="1:7" hidden="1">
      <c r="A4217" s="865"/>
      <c r="B4217" s="26" t="s">
        <v>7237</v>
      </c>
      <c r="C4217" s="26"/>
      <c r="E4217" s="78" t="s">
        <v>1697</v>
      </c>
      <c r="F4217" s="26">
        <v>0.5</v>
      </c>
      <c r="G4217" s="26" t="s">
        <v>1581</v>
      </c>
    </row>
    <row r="4218" spans="1:7" hidden="1">
      <c r="A4218" s="865"/>
      <c r="B4218" s="26" t="s">
        <v>6074</v>
      </c>
      <c r="C4218" s="26"/>
    </row>
    <row r="4219" spans="1:7">
      <c r="B4219" s="78"/>
      <c r="C4219" s="26"/>
    </row>
    <row r="4220" spans="1:7">
      <c r="A4220" s="865" t="s">
        <v>3984</v>
      </c>
      <c r="B4220" s="78"/>
      <c r="C4220" s="203" t="s">
        <v>2367</v>
      </c>
      <c r="E4220" s="171" t="s">
        <v>297</v>
      </c>
      <c r="F4220" s="246">
        <v>10</v>
      </c>
      <c r="G4220" s="26" t="s">
        <v>3477</v>
      </c>
    </row>
    <row r="4221" spans="1:7">
      <c r="B4221" s="79" t="s">
        <v>2368</v>
      </c>
      <c r="C4221" s="26"/>
    </row>
    <row r="4222" spans="1:7">
      <c r="B4222" s="95" t="s">
        <v>2369</v>
      </c>
      <c r="C4222" s="157" t="s">
        <v>4443</v>
      </c>
      <c r="D4222" s="95" t="s">
        <v>2370</v>
      </c>
      <c r="E4222" s="95" t="s">
        <v>1166</v>
      </c>
      <c r="F4222" s="95" t="s">
        <v>2371</v>
      </c>
      <c r="G4222" s="95" t="s">
        <v>2372</v>
      </c>
    </row>
    <row r="4223" spans="1:7">
      <c r="B4223" s="114"/>
      <c r="C4223" s="154"/>
      <c r="D4223" s="114"/>
      <c r="E4223" s="114"/>
      <c r="F4223" s="114" t="s">
        <v>3485</v>
      </c>
      <c r="G4223" s="114" t="s">
        <v>3485</v>
      </c>
    </row>
    <row r="4224" spans="1:7">
      <c r="B4224" s="95">
        <v>1</v>
      </c>
      <c r="C4224" s="135" t="s">
        <v>956</v>
      </c>
      <c r="D4224" s="95" t="s">
        <v>3477</v>
      </c>
      <c r="E4224" s="190">
        <v>12</v>
      </c>
      <c r="F4224" s="214">
        <f>'BASIC DATA'!$D$85</f>
        <v>165</v>
      </c>
      <c r="G4224" s="190">
        <f>E4224*F4224</f>
        <v>1980</v>
      </c>
    </row>
    <row r="4225" spans="2:7">
      <c r="B4225" s="365"/>
      <c r="C4225" s="139"/>
      <c r="D4225" s="114"/>
      <c r="E4225" s="182">
        <v>0</v>
      </c>
      <c r="F4225" s="182">
        <v>0</v>
      </c>
      <c r="G4225" s="182">
        <f>E4225*F4225</f>
        <v>0</v>
      </c>
    </row>
    <row r="4226" spans="2:7">
      <c r="B4226" s="92"/>
      <c r="C4226" s="193" t="s">
        <v>2376</v>
      </c>
      <c r="D4226" s="159"/>
      <c r="E4226" s="238"/>
      <c r="F4226" s="236" t="s">
        <v>1698</v>
      </c>
      <c r="G4226" s="318">
        <f>SUM(G4224:G4225)</f>
        <v>1980</v>
      </c>
    </row>
    <row r="4227" spans="2:7">
      <c r="B4227" s="78"/>
      <c r="C4227" s="26"/>
      <c r="G4227" s="68"/>
    </row>
    <row r="4228" spans="2:7">
      <c r="B4228" s="79" t="s">
        <v>2377</v>
      </c>
      <c r="C4228" s="26"/>
    </row>
    <row r="4229" spans="2:7">
      <c r="B4229" s="95" t="s">
        <v>2369</v>
      </c>
      <c r="C4229" s="157" t="s">
        <v>2378</v>
      </c>
      <c r="D4229" s="95" t="s">
        <v>2370</v>
      </c>
      <c r="E4229" s="95" t="s">
        <v>1166</v>
      </c>
      <c r="F4229" s="95" t="s">
        <v>2371</v>
      </c>
      <c r="G4229" s="95" t="s">
        <v>2372</v>
      </c>
    </row>
    <row r="4230" spans="2:7">
      <c r="B4230" s="114"/>
      <c r="C4230" s="154"/>
      <c r="D4230" s="114"/>
      <c r="E4230" s="114"/>
      <c r="F4230" s="114" t="s">
        <v>3485</v>
      </c>
      <c r="G4230" s="114" t="s">
        <v>3485</v>
      </c>
    </row>
    <row r="4231" spans="2:7">
      <c r="B4231" s="95">
        <v>1</v>
      </c>
      <c r="C4231" s="153" t="s">
        <v>1543</v>
      </c>
      <c r="D4231" s="175" t="s">
        <v>2374</v>
      </c>
      <c r="E4231" s="179">
        <f>F4220/F4216</f>
        <v>0.17064846416382251</v>
      </c>
      <c r="F4231" s="190">
        <f>'HIRE CHARGES'!$D$541</f>
        <v>197.2</v>
      </c>
      <c r="G4231" s="190">
        <f>E4231*F4231</f>
        <v>33.651877133105799</v>
      </c>
    </row>
    <row r="4232" spans="2:7">
      <c r="B4232" s="365"/>
      <c r="C4232" s="116" t="s">
        <v>2379</v>
      </c>
      <c r="D4232" s="188" t="s">
        <v>2374</v>
      </c>
      <c r="E4232" s="182">
        <f>F4220/F4216</f>
        <v>0.17064846416382251</v>
      </c>
      <c r="F4232" s="182">
        <f>'HIRE CHARGES'!$E$541</f>
        <v>714</v>
      </c>
      <c r="G4232" s="182">
        <f>E4232*F4232</f>
        <v>121.84300341296927</v>
      </c>
    </row>
    <row r="4233" spans="2:7">
      <c r="B4233" s="176"/>
      <c r="C4233" s="172" t="s">
        <v>2380</v>
      </c>
      <c r="D4233" s="174"/>
      <c r="E4233" s="192"/>
      <c r="F4233" s="275" t="s">
        <v>1698</v>
      </c>
      <c r="G4233" s="434">
        <f>SUM(G4231:G4232)</f>
        <v>155.49488054607508</v>
      </c>
    </row>
    <row r="4234" spans="2:7">
      <c r="B4234" s="78"/>
      <c r="C4234" s="26"/>
    </row>
    <row r="4235" spans="2:7">
      <c r="B4235" s="79" t="s">
        <v>2381</v>
      </c>
      <c r="C4235" s="26"/>
    </row>
    <row r="4236" spans="2:7">
      <c r="B4236" s="95" t="s">
        <v>2369</v>
      </c>
      <c r="C4236" s="157" t="s">
        <v>2378</v>
      </c>
      <c r="D4236" s="95" t="s">
        <v>2370</v>
      </c>
      <c r="E4236" s="95" t="s">
        <v>1166</v>
      </c>
      <c r="F4236" s="95" t="s">
        <v>2371</v>
      </c>
      <c r="G4236" s="95" t="s">
        <v>2372</v>
      </c>
    </row>
    <row r="4237" spans="2:7">
      <c r="B4237" s="114"/>
      <c r="C4237" s="154"/>
      <c r="D4237" s="105"/>
      <c r="E4237" s="105"/>
      <c r="F4237" s="105" t="s">
        <v>3485</v>
      </c>
      <c r="G4237" s="114" t="s">
        <v>3485</v>
      </c>
    </row>
    <row r="4238" spans="2:7">
      <c r="B4238" s="95">
        <v>1</v>
      </c>
      <c r="C4238" s="76" t="s">
        <v>4135</v>
      </c>
      <c r="D4238" s="95" t="s">
        <v>2374</v>
      </c>
      <c r="E4238" s="179">
        <f>F4220/F4216</f>
        <v>0.17064846416382251</v>
      </c>
      <c r="F4238" s="179">
        <f>'HIRE CHARGES'!$F$541</f>
        <v>210.9</v>
      </c>
      <c r="G4238" s="207">
        <f>E4238*F4238</f>
        <v>35.989761092150168</v>
      </c>
    </row>
    <row r="4239" spans="2:7">
      <c r="B4239" s="105">
        <v>2</v>
      </c>
      <c r="C4239" s="76" t="s">
        <v>684</v>
      </c>
      <c r="D4239" s="105" t="s">
        <v>1172</v>
      </c>
      <c r="E4239" s="190">
        <v>0.5</v>
      </c>
      <c r="F4239" s="190">
        <f>'BASIC DATA'!$C$511</f>
        <v>465</v>
      </c>
      <c r="G4239" s="207">
        <f>E4239*F4239</f>
        <v>232.5</v>
      </c>
    </row>
    <row r="4240" spans="2:7">
      <c r="B4240" s="105">
        <v>3</v>
      </c>
      <c r="C4240" s="76" t="s">
        <v>4206</v>
      </c>
      <c r="D4240" s="105" t="s">
        <v>1172</v>
      </c>
      <c r="E4240" s="190">
        <v>0.5</v>
      </c>
      <c r="F4240" s="190">
        <f>'BASIC DATA'!$C$473</f>
        <v>450</v>
      </c>
      <c r="G4240" s="207">
        <f>E4240*F4240</f>
        <v>225</v>
      </c>
    </row>
    <row r="4241" spans="2:7">
      <c r="B4241" s="114">
        <v>4</v>
      </c>
      <c r="C4241" s="89" t="s">
        <v>2697</v>
      </c>
      <c r="D4241" s="114" t="s">
        <v>1172</v>
      </c>
      <c r="E4241" s="182">
        <v>1.5</v>
      </c>
      <c r="F4241" s="182">
        <f>'BASIC DATA'!$C$552</f>
        <v>350</v>
      </c>
      <c r="G4241" s="207">
        <f>E4241*F4241</f>
        <v>525</v>
      </c>
    </row>
    <row r="4242" spans="2:7">
      <c r="B4242" s="176"/>
      <c r="C4242" s="172" t="s">
        <v>1174</v>
      </c>
      <c r="D4242" s="174"/>
      <c r="E4242" s="192"/>
      <c r="F4242" s="275" t="s">
        <v>1698</v>
      </c>
      <c r="G4242" s="318">
        <f>SUM(G4238:G4241)</f>
        <v>1018.4897610921502</v>
      </c>
    </row>
    <row r="4243" spans="2:7">
      <c r="B4243" s="60" t="s">
        <v>5948</v>
      </c>
      <c r="C4243" s="31"/>
      <c r="D4243" s="31"/>
      <c r="E4243" s="85">
        <f>ROUND(G4242/F4220,1)</f>
        <v>101.8</v>
      </c>
    </row>
    <row r="4244" spans="2:7">
      <c r="B4244" s="60" t="s">
        <v>3163</v>
      </c>
      <c r="C4244" s="31"/>
      <c r="D4244" s="922">
        <f>'BASIC DATA'!$C$577</f>
        <v>0.13614999999999999</v>
      </c>
      <c r="E4244" s="85">
        <f>ROUND(E4243*D4244,1)</f>
        <v>13.9</v>
      </c>
    </row>
    <row r="4245" spans="2:7">
      <c r="B4245" s="60" t="s">
        <v>5949</v>
      </c>
      <c r="C4245" s="31"/>
      <c r="D4245" s="31"/>
      <c r="E4245" s="199">
        <f>ROUND(E4244+E4243,1)</f>
        <v>115.7</v>
      </c>
      <c r="F4245" s="56"/>
    </row>
    <row r="4246" spans="2:7">
      <c r="B4246" s="78"/>
      <c r="C4246" s="26"/>
    </row>
    <row r="4247" spans="2:7">
      <c r="B4247" s="170" t="s">
        <v>1175</v>
      </c>
      <c r="C4247" s="26"/>
    </row>
    <row r="4248" spans="2:7">
      <c r="B4248" s="26" t="s">
        <v>1176</v>
      </c>
      <c r="C4248" s="26"/>
      <c r="F4248" s="171" t="s">
        <v>1698</v>
      </c>
      <c r="G4248" s="68">
        <f>G4226</f>
        <v>1980</v>
      </c>
    </row>
    <row r="4249" spans="2:7">
      <c r="B4249" s="26" t="s">
        <v>1186</v>
      </c>
      <c r="C4249" s="26"/>
      <c r="F4249" s="171" t="s">
        <v>1698</v>
      </c>
      <c r="G4249" s="68">
        <f>G4233</f>
        <v>155.49488054607508</v>
      </c>
    </row>
    <row r="4250" spans="2:7">
      <c r="B4250" s="26" t="s">
        <v>2660</v>
      </c>
      <c r="C4250" s="26"/>
      <c r="F4250" s="171" t="s">
        <v>1698</v>
      </c>
      <c r="G4250" s="75">
        <f>G4242</f>
        <v>1018.4897610921502</v>
      </c>
    </row>
    <row r="4251" spans="2:7">
      <c r="B4251" s="78"/>
      <c r="C4251" s="26"/>
      <c r="E4251" s="171"/>
      <c r="F4251" s="171" t="s">
        <v>302</v>
      </c>
      <c r="G4251" s="205">
        <f>SUM(G4248:G4250)</f>
        <v>3153.9846416382252</v>
      </c>
    </row>
    <row r="4252" spans="2:7">
      <c r="B4252" s="1206" t="s">
        <v>1379</v>
      </c>
      <c r="C4252" s="1206"/>
      <c r="E4252" s="922">
        <f>'BASIC DATA'!$C$577</f>
        <v>0.13614999999999999</v>
      </c>
      <c r="F4252" s="26" t="s">
        <v>1698</v>
      </c>
      <c r="G4252" s="26">
        <f>ROUND(G4251*E4252,2)</f>
        <v>429.42</v>
      </c>
    </row>
    <row r="4253" spans="2:7">
      <c r="B4253" s="26" t="s">
        <v>1191</v>
      </c>
      <c r="C4253" s="26"/>
      <c r="D4253" s="68">
        <f>F4220</f>
        <v>10</v>
      </c>
      <c r="E4253" s="68" t="str">
        <f>G4220</f>
        <v>cum</v>
      </c>
      <c r="F4253" s="26" t="s">
        <v>1698</v>
      </c>
      <c r="G4253" s="211">
        <f>G4252+G4251</f>
        <v>3583.4046416382253</v>
      </c>
    </row>
    <row r="4254" spans="2:7">
      <c r="B4254" s="170" t="s">
        <v>1584</v>
      </c>
      <c r="C4254" s="211" t="str">
        <f>E4253</f>
        <v>cum</v>
      </c>
      <c r="D4254" s="26" t="s">
        <v>5891</v>
      </c>
      <c r="F4254" s="26" t="s">
        <v>4108</v>
      </c>
      <c r="G4254" s="211">
        <f>ROUND(G4253/D4253,1)</f>
        <v>358.3</v>
      </c>
    </row>
    <row r="4255" spans="2:7">
      <c r="B4255" s="78"/>
      <c r="C4255" s="26"/>
    </row>
    <row r="4256" spans="2:7">
      <c r="B4256" s="78"/>
      <c r="C4256" s="26"/>
    </row>
    <row r="4257" spans="1:7" ht="18.75">
      <c r="A4257" s="865" t="s">
        <v>7157</v>
      </c>
      <c r="B4257" s="26" t="s">
        <v>9017</v>
      </c>
      <c r="C4257" s="26"/>
    </row>
    <row r="4258" spans="1:7" ht="18.75">
      <c r="A4258" s="865"/>
      <c r="B4258" s="26" t="s">
        <v>9018</v>
      </c>
      <c r="C4258" s="26"/>
    </row>
    <row r="4259" spans="1:7">
      <c r="A4259" s="865"/>
      <c r="B4259" s="26" t="s">
        <v>4136</v>
      </c>
      <c r="C4259" s="26"/>
    </row>
    <row r="4260" spans="1:7">
      <c r="A4260" s="865"/>
      <c r="B4260" s="26" t="s">
        <v>4137</v>
      </c>
      <c r="C4260" s="26"/>
    </row>
    <row r="4261" spans="1:7" ht="18.75">
      <c r="A4261" s="865"/>
      <c r="B4261" s="26" t="s">
        <v>9019</v>
      </c>
      <c r="C4261" s="26"/>
    </row>
    <row r="4262" spans="1:7">
      <c r="A4262" s="865"/>
      <c r="B4262" s="26"/>
      <c r="C4262" s="26"/>
    </row>
    <row r="4263" spans="1:7" hidden="1">
      <c r="A4263" s="865" t="s">
        <v>3984</v>
      </c>
      <c r="B4263" s="26" t="s">
        <v>3190</v>
      </c>
      <c r="C4263" s="26"/>
    </row>
    <row r="4264" spans="1:7" hidden="1">
      <c r="A4264" s="865"/>
      <c r="B4264" s="26" t="s">
        <v>1242</v>
      </c>
      <c r="C4264" s="26"/>
      <c r="E4264" s="78" t="s">
        <v>1697</v>
      </c>
      <c r="F4264" s="26">
        <v>0.13</v>
      </c>
      <c r="G4264" s="26" t="s">
        <v>3477</v>
      </c>
    </row>
    <row r="4265" spans="1:7" hidden="1">
      <c r="A4265" s="865"/>
      <c r="B4265" s="26" t="s">
        <v>1243</v>
      </c>
      <c r="C4265" s="26"/>
      <c r="E4265" s="78" t="s">
        <v>1697</v>
      </c>
      <c r="F4265" s="68">
        <v>0.1</v>
      </c>
      <c r="G4265" s="26" t="s">
        <v>3477</v>
      </c>
    </row>
    <row r="4266" spans="1:7" hidden="1">
      <c r="A4266" s="865"/>
      <c r="B4266" s="26" t="s">
        <v>1244</v>
      </c>
      <c r="C4266" s="26"/>
      <c r="E4266" s="78" t="s">
        <v>1697</v>
      </c>
      <c r="F4266" s="68">
        <v>2</v>
      </c>
      <c r="G4266" s="26" t="s">
        <v>3479</v>
      </c>
    </row>
    <row r="4267" spans="1:7">
      <c r="B4267" s="78"/>
      <c r="C4267" s="26"/>
    </row>
    <row r="4268" spans="1:7">
      <c r="A4268" s="865" t="s">
        <v>3984</v>
      </c>
      <c r="B4268" s="78"/>
      <c r="C4268" s="203" t="s">
        <v>2367</v>
      </c>
      <c r="E4268" s="171" t="s">
        <v>297</v>
      </c>
      <c r="F4268" s="409">
        <v>4</v>
      </c>
      <c r="G4268" s="26" t="s">
        <v>4041</v>
      </c>
    </row>
    <row r="4269" spans="1:7">
      <c r="B4269" s="79" t="s">
        <v>2368</v>
      </c>
      <c r="C4269" s="26"/>
    </row>
    <row r="4270" spans="1:7">
      <c r="B4270" s="95" t="s">
        <v>2369</v>
      </c>
      <c r="C4270" s="157" t="s">
        <v>4443</v>
      </c>
      <c r="D4270" s="95" t="s">
        <v>2370</v>
      </c>
      <c r="E4270" s="95" t="s">
        <v>1166</v>
      </c>
      <c r="F4270" s="95" t="s">
        <v>2371</v>
      </c>
      <c r="G4270" s="95" t="s">
        <v>2372</v>
      </c>
    </row>
    <row r="4271" spans="1:7">
      <c r="B4271" s="114"/>
      <c r="C4271" s="154"/>
      <c r="D4271" s="114"/>
      <c r="E4271" s="114"/>
      <c r="F4271" s="114" t="s">
        <v>3485</v>
      </c>
      <c r="G4271" s="114" t="s">
        <v>3485</v>
      </c>
    </row>
    <row r="4272" spans="1:7">
      <c r="B4272" s="95">
        <v>1</v>
      </c>
      <c r="C4272" s="135" t="s">
        <v>1245</v>
      </c>
      <c r="D4272" s="95" t="s">
        <v>4089</v>
      </c>
      <c r="E4272" s="190">
        <v>4</v>
      </c>
      <c r="F4272" s="214">
        <f>'BASIC DATA'!$D$80</f>
        <v>480</v>
      </c>
      <c r="G4272" s="190">
        <f t="shared" ref="G4272:G4279" si="91">E4272*F4272</f>
        <v>1920</v>
      </c>
    </row>
    <row r="4273" spans="1:7">
      <c r="B4273" s="105">
        <v>2</v>
      </c>
      <c r="C4273" s="135" t="s">
        <v>1246</v>
      </c>
      <c r="D4273" s="105" t="s">
        <v>3477</v>
      </c>
      <c r="E4273" s="190">
        <v>0.2</v>
      </c>
      <c r="F4273" s="214">
        <f>'BASIC DATA'!$D$36</f>
        <v>1175</v>
      </c>
      <c r="G4273" s="190">
        <f t="shared" si="91"/>
        <v>235</v>
      </c>
    </row>
    <row r="4274" spans="1:7">
      <c r="B4274" s="105">
        <v>3</v>
      </c>
      <c r="C4274" s="135" t="s">
        <v>6299</v>
      </c>
      <c r="D4274" s="105" t="s">
        <v>3477</v>
      </c>
      <c r="E4274" s="190">
        <v>0.15</v>
      </c>
      <c r="F4274" s="214">
        <f>'BASIC DATA'!$D$35</f>
        <v>1225</v>
      </c>
      <c r="G4274" s="190">
        <f t="shared" si="91"/>
        <v>183.75</v>
      </c>
    </row>
    <row r="4275" spans="1:7">
      <c r="B4275" s="105">
        <v>4</v>
      </c>
      <c r="C4275" s="135" t="s">
        <v>2072</v>
      </c>
      <c r="D4275" s="105" t="s">
        <v>3477</v>
      </c>
      <c r="E4275" s="190">
        <v>0.1</v>
      </c>
      <c r="F4275" s="214">
        <f>'BASIC DATA'!$D$34</f>
        <v>900</v>
      </c>
      <c r="G4275" s="190">
        <f t="shared" si="91"/>
        <v>90</v>
      </c>
    </row>
    <row r="4276" spans="1:7">
      <c r="A4276" s="853"/>
      <c r="B4276" s="240">
        <v>5</v>
      </c>
      <c r="C4276" s="326" t="s">
        <v>7938</v>
      </c>
      <c r="D4276" s="240" t="s">
        <v>3477</v>
      </c>
      <c r="E4276" s="255">
        <v>0.2</v>
      </c>
      <c r="F4276" s="266">
        <f>'BASIC DATA'!$D$55</f>
        <v>95</v>
      </c>
      <c r="G4276" s="255">
        <f t="shared" si="91"/>
        <v>19</v>
      </c>
    </row>
    <row r="4277" spans="1:7">
      <c r="B4277" s="105">
        <v>6</v>
      </c>
      <c r="C4277" s="135" t="s">
        <v>5853</v>
      </c>
      <c r="D4277" s="105" t="s">
        <v>3478</v>
      </c>
      <c r="E4277" s="190">
        <v>100</v>
      </c>
      <c r="F4277" s="214">
        <f>'BASIC DATA'!$D$32/1000</f>
        <v>5.35</v>
      </c>
      <c r="G4277" s="190">
        <f t="shared" si="91"/>
        <v>535</v>
      </c>
    </row>
    <row r="4278" spans="1:7">
      <c r="B4278" s="105">
        <v>7</v>
      </c>
      <c r="C4278" s="135" t="s">
        <v>1247</v>
      </c>
      <c r="D4278" s="105" t="s">
        <v>3482</v>
      </c>
      <c r="E4278" s="190">
        <v>1</v>
      </c>
      <c r="F4278" s="214">
        <f>'BASIC DATA'!$D$100</f>
        <v>260</v>
      </c>
      <c r="G4278" s="190">
        <f t="shared" si="91"/>
        <v>260</v>
      </c>
    </row>
    <row r="4279" spans="1:7">
      <c r="B4279" s="114">
        <v>8</v>
      </c>
      <c r="C4279" s="139" t="s">
        <v>1248</v>
      </c>
      <c r="D4279" s="114" t="s">
        <v>2173</v>
      </c>
      <c r="E4279" s="182">
        <v>4</v>
      </c>
      <c r="F4279" s="215">
        <f>'BASIC DATA'!$D$359</f>
        <v>30</v>
      </c>
      <c r="G4279" s="182">
        <f t="shared" si="91"/>
        <v>120</v>
      </c>
    </row>
    <row r="4280" spans="1:7">
      <c r="B4280" s="92"/>
      <c r="C4280" s="193" t="s">
        <v>2376</v>
      </c>
      <c r="D4280" s="159"/>
      <c r="E4280" s="238"/>
      <c r="F4280" s="236" t="s">
        <v>1698</v>
      </c>
      <c r="G4280" s="318">
        <f>SUM(G4272:G4279)</f>
        <v>3362.75</v>
      </c>
    </row>
    <row r="4281" spans="1:7">
      <c r="B4281" s="78"/>
      <c r="C4281" s="26"/>
      <c r="G4281" s="68"/>
    </row>
    <row r="4282" spans="1:7">
      <c r="B4282" s="79" t="s">
        <v>2377</v>
      </c>
      <c r="C4282" s="26"/>
    </row>
    <row r="4283" spans="1:7">
      <c r="B4283" s="95" t="s">
        <v>2369</v>
      </c>
      <c r="C4283" s="157" t="s">
        <v>2378</v>
      </c>
      <c r="D4283" s="95" t="s">
        <v>2370</v>
      </c>
      <c r="E4283" s="95" t="s">
        <v>1166</v>
      </c>
      <c r="F4283" s="95" t="s">
        <v>2371</v>
      </c>
      <c r="G4283" s="95" t="s">
        <v>2372</v>
      </c>
    </row>
    <row r="4284" spans="1:7">
      <c r="B4284" s="114"/>
      <c r="C4284" s="154"/>
      <c r="D4284" s="114"/>
      <c r="E4284" s="114"/>
      <c r="F4284" s="114" t="s">
        <v>3485</v>
      </c>
      <c r="G4284" s="114" t="s">
        <v>3485</v>
      </c>
    </row>
    <row r="4285" spans="1:7">
      <c r="B4285" s="95">
        <v>1</v>
      </c>
      <c r="C4285" s="95" t="s">
        <v>6976</v>
      </c>
      <c r="D4285" s="175"/>
      <c r="E4285" s="179">
        <v>0</v>
      </c>
      <c r="F4285" s="190">
        <v>0</v>
      </c>
      <c r="G4285" s="190">
        <f>E4285*F4285</f>
        <v>0</v>
      </c>
    </row>
    <row r="4286" spans="1:7">
      <c r="B4286" s="365"/>
      <c r="C4286" s="114" t="s">
        <v>4425</v>
      </c>
      <c r="D4286" s="188"/>
      <c r="E4286" s="182">
        <v>0</v>
      </c>
      <c r="F4286" s="190">
        <v>0</v>
      </c>
      <c r="G4286" s="190">
        <f>E4286*F4286</f>
        <v>0</v>
      </c>
    </row>
    <row r="4287" spans="1:7">
      <c r="B4287" s="176"/>
      <c r="C4287" s="172" t="s">
        <v>2380</v>
      </c>
      <c r="D4287" s="174"/>
      <c r="E4287" s="192"/>
      <c r="F4287" s="236" t="s">
        <v>1698</v>
      </c>
      <c r="G4287" s="318">
        <f>SUM(G4285:G4286)</f>
        <v>0</v>
      </c>
    </row>
    <row r="4288" spans="1:7">
      <c r="B4288" s="79" t="s">
        <v>2381</v>
      </c>
      <c r="C4288" s="26"/>
    </row>
    <row r="4289" spans="2:7">
      <c r="B4289" s="95" t="s">
        <v>2369</v>
      </c>
      <c r="C4289" s="157" t="s">
        <v>2378</v>
      </c>
      <c r="D4289" s="95" t="s">
        <v>2370</v>
      </c>
      <c r="E4289" s="95" t="s">
        <v>1166</v>
      </c>
      <c r="F4289" s="95" t="s">
        <v>2371</v>
      </c>
      <c r="G4289" s="95" t="s">
        <v>2372</v>
      </c>
    </row>
    <row r="4290" spans="2:7">
      <c r="B4290" s="114"/>
      <c r="C4290" s="154"/>
      <c r="D4290" s="105"/>
      <c r="E4290" s="105"/>
      <c r="F4290" s="105" t="s">
        <v>3485</v>
      </c>
      <c r="G4290" s="114" t="s">
        <v>3485</v>
      </c>
    </row>
    <row r="4291" spans="2:7">
      <c r="B4291" s="95">
        <v>1</v>
      </c>
      <c r="C4291" s="76" t="s">
        <v>4203</v>
      </c>
      <c r="D4291" s="95" t="s">
        <v>1172</v>
      </c>
      <c r="E4291" s="179">
        <v>1</v>
      </c>
      <c r="F4291" s="179">
        <f>'BASIC DATA'!$C$541</f>
        <v>400</v>
      </c>
      <c r="G4291" s="207">
        <f>E4291*F4291</f>
        <v>400</v>
      </c>
    </row>
    <row r="4292" spans="2:7">
      <c r="B4292" s="105">
        <v>2</v>
      </c>
      <c r="C4292" s="76" t="s">
        <v>4206</v>
      </c>
      <c r="D4292" s="105" t="s">
        <v>1172</v>
      </c>
      <c r="E4292" s="190">
        <v>1</v>
      </c>
      <c r="F4292" s="190">
        <f>'BASIC DATA'!$C$473</f>
        <v>450</v>
      </c>
      <c r="G4292" s="207">
        <f>E4292*F4292</f>
        <v>450</v>
      </c>
    </row>
    <row r="4293" spans="2:7">
      <c r="B4293" s="105">
        <v>3</v>
      </c>
      <c r="C4293" s="76" t="s">
        <v>2697</v>
      </c>
      <c r="D4293" s="105" t="s">
        <v>1172</v>
      </c>
      <c r="E4293" s="190">
        <v>1</v>
      </c>
      <c r="F4293" s="190">
        <f>'BASIC DATA'!$C$552</f>
        <v>350</v>
      </c>
      <c r="G4293" s="207">
        <f>E4293*F4293</f>
        <v>350</v>
      </c>
    </row>
    <row r="4294" spans="2:7">
      <c r="B4294" s="114">
        <v>4</v>
      </c>
      <c r="C4294" s="89" t="s">
        <v>3823</v>
      </c>
      <c r="D4294" s="114" t="s">
        <v>1172</v>
      </c>
      <c r="E4294" s="182">
        <v>1</v>
      </c>
      <c r="F4294" s="190">
        <f>'BASIC DATA'!$C$498</f>
        <v>510</v>
      </c>
      <c r="G4294" s="207">
        <f>E4294*F4294</f>
        <v>510</v>
      </c>
    </row>
    <row r="4295" spans="2:7">
      <c r="B4295" s="176"/>
      <c r="C4295" s="172" t="s">
        <v>1174</v>
      </c>
      <c r="D4295" s="174"/>
      <c r="E4295" s="192"/>
      <c r="F4295" s="236" t="s">
        <v>1698</v>
      </c>
      <c r="G4295" s="318">
        <f>SUM(G4291:G4294)</f>
        <v>1710</v>
      </c>
    </row>
    <row r="4296" spans="2:7">
      <c r="B4296" s="60" t="s">
        <v>5948</v>
      </c>
      <c r="C4296" s="26"/>
      <c r="D4296" s="31"/>
      <c r="E4296" s="85">
        <f>ROUND(G4295/F4268,1)</f>
        <v>427.5</v>
      </c>
    </row>
    <row r="4297" spans="2:7">
      <c r="B4297" s="60" t="s">
        <v>3163</v>
      </c>
      <c r="C4297" s="26"/>
      <c r="D4297" s="922">
        <f>'BASIC DATA'!$C$577</f>
        <v>0.13614999999999999</v>
      </c>
      <c r="E4297" s="85">
        <f>ROUND(E4296*D4297,1)</f>
        <v>58.2</v>
      </c>
    </row>
    <row r="4298" spans="2:7">
      <c r="B4298" s="60" t="s">
        <v>5949</v>
      </c>
      <c r="C4298" s="26"/>
      <c r="D4298" s="31"/>
      <c r="E4298" s="199">
        <f>ROUND(E4297+E4296,1)</f>
        <v>485.7</v>
      </c>
      <c r="F4298" s="56"/>
    </row>
    <row r="4299" spans="2:7">
      <c r="B4299" s="26"/>
      <c r="C4299" s="26"/>
    </row>
    <row r="4300" spans="2:7">
      <c r="B4300" s="170" t="s">
        <v>1175</v>
      </c>
      <c r="C4300" s="26"/>
    </row>
    <row r="4301" spans="2:7">
      <c r="B4301" s="26" t="s">
        <v>1176</v>
      </c>
      <c r="C4301" s="26"/>
      <c r="F4301" s="171" t="s">
        <v>1698</v>
      </c>
      <c r="G4301" s="68">
        <f>G4280</f>
        <v>3362.75</v>
      </c>
    </row>
    <row r="4302" spans="2:7">
      <c r="B4302" s="26" t="s">
        <v>1186</v>
      </c>
      <c r="C4302" s="26"/>
      <c r="F4302" s="171" t="s">
        <v>1698</v>
      </c>
      <c r="G4302" s="68">
        <f>G4287</f>
        <v>0</v>
      </c>
    </row>
    <row r="4303" spans="2:7">
      <c r="B4303" s="26" t="s">
        <v>2660</v>
      </c>
      <c r="C4303" s="26"/>
      <c r="F4303" s="171" t="s">
        <v>1698</v>
      </c>
      <c r="G4303" s="75">
        <f>G4295</f>
        <v>1710</v>
      </c>
    </row>
    <row r="4304" spans="2:7">
      <c r="B4304" s="78"/>
      <c r="C4304" s="26"/>
      <c r="E4304" s="171"/>
      <c r="F4304" s="171" t="s">
        <v>302</v>
      </c>
      <c r="G4304" s="205">
        <f>SUM(G4301:G4303)</f>
        <v>5072.75</v>
      </c>
    </row>
    <row r="4305" spans="1:7">
      <c r="B4305" s="1206" t="s">
        <v>1379</v>
      </c>
      <c r="C4305" s="1206"/>
      <c r="E4305" s="922">
        <f>'BASIC DATA'!$C$577</f>
        <v>0.13614999999999999</v>
      </c>
      <c r="F4305" s="26" t="s">
        <v>1698</v>
      </c>
      <c r="G4305" s="26">
        <f>ROUND(G4304*E4305,2)</f>
        <v>690.65</v>
      </c>
    </row>
    <row r="4306" spans="1:7">
      <c r="B4306" s="26" t="s">
        <v>1191</v>
      </c>
      <c r="C4306" s="26"/>
      <c r="D4306" s="68">
        <f>F4268</f>
        <v>4</v>
      </c>
      <c r="E4306" s="68" t="str">
        <f>G4268</f>
        <v>Nos.</v>
      </c>
      <c r="F4306" s="26" t="s">
        <v>1698</v>
      </c>
      <c r="G4306" s="170">
        <f>G4305+G4304</f>
        <v>5763.4</v>
      </c>
    </row>
    <row r="4307" spans="1:7">
      <c r="B4307" s="170" t="s">
        <v>1584</v>
      </c>
      <c r="C4307" s="211" t="s">
        <v>4089</v>
      </c>
      <c r="D4307" s="26" t="s">
        <v>4715</v>
      </c>
      <c r="F4307" s="26" t="s">
        <v>4108</v>
      </c>
      <c r="G4307" s="211">
        <f>ROUND(G4306/D4306,1)</f>
        <v>1440.9</v>
      </c>
    </row>
    <row r="4308" spans="1:7">
      <c r="B4308" s="170"/>
      <c r="C4308" s="211"/>
      <c r="G4308" s="211"/>
    </row>
    <row r="4309" spans="1:7" ht="18.75">
      <c r="A4309" s="865" t="s">
        <v>7158</v>
      </c>
      <c r="B4309" s="26" t="s">
        <v>9020</v>
      </c>
      <c r="C4309" s="26"/>
    </row>
    <row r="4310" spans="1:7" ht="18.75">
      <c r="A4310" s="865"/>
      <c r="B4310" s="26" t="s">
        <v>9018</v>
      </c>
      <c r="C4310" s="26"/>
    </row>
    <row r="4311" spans="1:7">
      <c r="A4311" s="865"/>
      <c r="B4311" s="26" t="s">
        <v>6338</v>
      </c>
      <c r="C4311" s="26"/>
    </row>
    <row r="4312" spans="1:7">
      <c r="A4312" s="865"/>
      <c r="B4312" s="26" t="s">
        <v>4137</v>
      </c>
      <c r="C4312" s="26"/>
    </row>
    <row r="4313" spans="1:7" ht="18.75">
      <c r="A4313" s="865"/>
      <c r="B4313" s="26" t="s">
        <v>9021</v>
      </c>
      <c r="C4313" s="26"/>
    </row>
    <row r="4314" spans="1:7">
      <c r="A4314" s="865"/>
      <c r="B4314" s="26"/>
      <c r="C4314" s="26"/>
    </row>
    <row r="4315" spans="1:7" hidden="1">
      <c r="A4315" s="865" t="s">
        <v>3984</v>
      </c>
      <c r="B4315" s="26" t="s">
        <v>6048</v>
      </c>
      <c r="C4315" s="26"/>
    </row>
    <row r="4316" spans="1:7" hidden="1">
      <c r="A4316" s="865"/>
      <c r="B4316" s="26" t="s">
        <v>6049</v>
      </c>
      <c r="C4316" s="26"/>
      <c r="E4316" s="78" t="s">
        <v>1697</v>
      </c>
      <c r="F4316" s="68">
        <v>0.1</v>
      </c>
      <c r="G4316" s="26" t="s">
        <v>3477</v>
      </c>
    </row>
    <row r="4317" spans="1:7" hidden="1">
      <c r="A4317" s="865"/>
      <c r="B4317" s="26" t="s">
        <v>6050</v>
      </c>
      <c r="C4317" s="26"/>
      <c r="E4317" s="78" t="s">
        <v>1123</v>
      </c>
      <c r="F4317" s="68">
        <v>0.1</v>
      </c>
      <c r="G4317" s="26" t="s">
        <v>3477</v>
      </c>
    </row>
    <row r="4318" spans="1:7" hidden="1">
      <c r="A4318" s="865"/>
      <c r="B4318" s="26" t="s">
        <v>1244</v>
      </c>
      <c r="C4318" s="26"/>
      <c r="E4318" s="78" t="s">
        <v>1697</v>
      </c>
      <c r="F4318" s="68">
        <v>0.4</v>
      </c>
      <c r="G4318" s="26" t="s">
        <v>3479</v>
      </c>
    </row>
    <row r="4319" spans="1:7">
      <c r="B4319" s="78"/>
      <c r="C4319" s="26"/>
    </row>
    <row r="4320" spans="1:7">
      <c r="A4320" s="865" t="s">
        <v>3984</v>
      </c>
      <c r="B4320" s="78"/>
      <c r="C4320" s="203" t="s">
        <v>2367</v>
      </c>
      <c r="E4320" s="171" t="s">
        <v>297</v>
      </c>
      <c r="F4320" s="409">
        <v>4</v>
      </c>
      <c r="G4320" s="26" t="s">
        <v>4041</v>
      </c>
    </row>
    <row r="4321" spans="1:7">
      <c r="B4321" s="79" t="s">
        <v>2368</v>
      </c>
      <c r="C4321" s="26"/>
    </row>
    <row r="4322" spans="1:7">
      <c r="B4322" s="95" t="s">
        <v>2369</v>
      </c>
      <c r="C4322" s="157" t="s">
        <v>4443</v>
      </c>
      <c r="D4322" s="95" t="s">
        <v>2370</v>
      </c>
      <c r="E4322" s="95" t="s">
        <v>1166</v>
      </c>
      <c r="F4322" s="95" t="s">
        <v>2371</v>
      </c>
      <c r="G4322" s="95" t="s">
        <v>2372</v>
      </c>
    </row>
    <row r="4323" spans="1:7">
      <c r="B4323" s="114"/>
      <c r="C4323" s="154"/>
      <c r="D4323" s="114"/>
      <c r="E4323" s="114"/>
      <c r="F4323" s="114" t="s">
        <v>3485</v>
      </c>
      <c r="G4323" s="114" t="s">
        <v>3485</v>
      </c>
    </row>
    <row r="4324" spans="1:7">
      <c r="B4324" s="95">
        <v>1</v>
      </c>
      <c r="C4324" s="135" t="s">
        <v>6051</v>
      </c>
      <c r="D4324" s="95" t="s">
        <v>4089</v>
      </c>
      <c r="E4324" s="190">
        <v>4</v>
      </c>
      <c r="F4324" s="214">
        <f>'BASIC DATA'!$D$70</f>
        <v>260</v>
      </c>
      <c r="G4324" s="190">
        <f t="shared" ref="G4324:G4331" si="92">E4324*F4324</f>
        <v>1040</v>
      </c>
    </row>
    <row r="4325" spans="1:7">
      <c r="B4325" s="105">
        <v>2</v>
      </c>
      <c r="C4325" s="135" t="s">
        <v>1246</v>
      </c>
      <c r="D4325" s="105" t="s">
        <v>3477</v>
      </c>
      <c r="E4325" s="190">
        <v>0.2</v>
      </c>
      <c r="F4325" s="214">
        <f>'BASIC DATA'!$D$36</f>
        <v>1175</v>
      </c>
      <c r="G4325" s="190">
        <f t="shared" si="92"/>
        <v>235</v>
      </c>
    </row>
    <row r="4326" spans="1:7">
      <c r="B4326" s="105">
        <v>3</v>
      </c>
      <c r="C4326" s="135" t="s">
        <v>6299</v>
      </c>
      <c r="D4326" s="105" t="s">
        <v>3477</v>
      </c>
      <c r="E4326" s="190">
        <v>0.15</v>
      </c>
      <c r="F4326" s="214">
        <f>'BASIC DATA'!$D$35</f>
        <v>1225</v>
      </c>
      <c r="G4326" s="190">
        <f t="shared" si="92"/>
        <v>183.75</v>
      </c>
    </row>
    <row r="4327" spans="1:7">
      <c r="B4327" s="105">
        <v>4</v>
      </c>
      <c r="C4327" s="135" t="s">
        <v>2072</v>
      </c>
      <c r="D4327" s="105" t="s">
        <v>3477</v>
      </c>
      <c r="E4327" s="190">
        <v>0.1</v>
      </c>
      <c r="F4327" s="214">
        <f>'BASIC DATA'!$D$34</f>
        <v>900</v>
      </c>
      <c r="G4327" s="190">
        <f t="shared" si="92"/>
        <v>90</v>
      </c>
    </row>
    <row r="4328" spans="1:7">
      <c r="A4328" s="853"/>
      <c r="B4328" s="240">
        <v>5</v>
      </c>
      <c r="C4328" s="326" t="s">
        <v>7938</v>
      </c>
      <c r="D4328" s="240" t="s">
        <v>3477</v>
      </c>
      <c r="E4328" s="255">
        <v>0.2</v>
      </c>
      <c r="F4328" s="266">
        <f>'BASIC DATA'!$D$55</f>
        <v>95</v>
      </c>
      <c r="G4328" s="255">
        <f t="shared" si="92"/>
        <v>19</v>
      </c>
    </row>
    <row r="4329" spans="1:7">
      <c r="B4329" s="105">
        <v>6</v>
      </c>
      <c r="C4329" s="135" t="s">
        <v>5853</v>
      </c>
      <c r="D4329" s="105" t="s">
        <v>3478</v>
      </c>
      <c r="E4329" s="190">
        <v>100</v>
      </c>
      <c r="F4329" s="214">
        <f>'BASIC DATA'!$D$32/1000</f>
        <v>5.35</v>
      </c>
      <c r="G4329" s="190">
        <f t="shared" si="92"/>
        <v>535</v>
      </c>
    </row>
    <row r="4330" spans="1:7">
      <c r="B4330" s="105">
        <v>7</v>
      </c>
      <c r="C4330" s="135" t="s">
        <v>1247</v>
      </c>
      <c r="D4330" s="105" t="s">
        <v>3482</v>
      </c>
      <c r="E4330" s="190">
        <v>0.4</v>
      </c>
      <c r="F4330" s="214">
        <f>'BASIC DATA'!$D$100</f>
        <v>260</v>
      </c>
      <c r="G4330" s="190">
        <f t="shared" si="92"/>
        <v>104</v>
      </c>
    </row>
    <row r="4331" spans="1:7">
      <c r="B4331" s="114">
        <v>8</v>
      </c>
      <c r="C4331" s="139" t="s">
        <v>1248</v>
      </c>
      <c r="D4331" s="114" t="s">
        <v>2173</v>
      </c>
      <c r="E4331" s="182">
        <v>1</v>
      </c>
      <c r="F4331" s="215">
        <f>'BASIC DATA'!$D$359</f>
        <v>30</v>
      </c>
      <c r="G4331" s="182">
        <f t="shared" si="92"/>
        <v>30</v>
      </c>
    </row>
    <row r="4332" spans="1:7">
      <c r="B4332" s="92"/>
      <c r="C4332" s="193" t="s">
        <v>2376</v>
      </c>
      <c r="D4332" s="159"/>
      <c r="E4332" s="238"/>
      <c r="F4332" s="236" t="s">
        <v>1698</v>
      </c>
      <c r="G4332" s="318">
        <f>SUM(G4324:G4331)</f>
        <v>2236.75</v>
      </c>
    </row>
    <row r="4333" spans="1:7">
      <c r="B4333" s="79" t="s">
        <v>2377</v>
      </c>
      <c r="C4333" s="26"/>
    </row>
    <row r="4334" spans="1:7">
      <c r="B4334" s="95" t="s">
        <v>2369</v>
      </c>
      <c r="C4334" s="157" t="s">
        <v>2378</v>
      </c>
      <c r="D4334" s="95" t="s">
        <v>2370</v>
      </c>
      <c r="E4334" s="95" t="s">
        <v>1166</v>
      </c>
      <c r="F4334" s="95" t="s">
        <v>2371</v>
      </c>
      <c r="G4334" s="95" t="s">
        <v>2372</v>
      </c>
    </row>
    <row r="4335" spans="1:7">
      <c r="B4335" s="114"/>
      <c r="C4335" s="154"/>
      <c r="D4335" s="114"/>
      <c r="E4335" s="114"/>
      <c r="F4335" s="114" t="s">
        <v>3485</v>
      </c>
      <c r="G4335" s="114" t="s">
        <v>3485</v>
      </c>
    </row>
    <row r="4336" spans="1:7">
      <c r="B4336" s="95">
        <v>1</v>
      </c>
      <c r="C4336" s="95" t="s">
        <v>6976</v>
      </c>
      <c r="D4336" s="175"/>
      <c r="E4336" s="179">
        <v>0</v>
      </c>
      <c r="F4336" s="190">
        <v>0</v>
      </c>
      <c r="G4336" s="190">
        <f>E4336*F4336</f>
        <v>0</v>
      </c>
    </row>
    <row r="4337" spans="2:7">
      <c r="B4337" s="365"/>
      <c r="C4337" s="114" t="s">
        <v>4425</v>
      </c>
      <c r="D4337" s="188"/>
      <c r="E4337" s="182">
        <v>0</v>
      </c>
      <c r="F4337" s="182">
        <v>0</v>
      </c>
      <c r="G4337" s="190">
        <f>E4337*F4337</f>
        <v>0</v>
      </c>
    </row>
    <row r="4338" spans="2:7">
      <c r="B4338" s="176"/>
      <c r="C4338" s="172" t="s">
        <v>2380</v>
      </c>
      <c r="D4338" s="174"/>
      <c r="E4338" s="192"/>
      <c r="F4338" s="275" t="s">
        <v>1698</v>
      </c>
      <c r="G4338" s="318">
        <f>SUM(G4336:G4337)</f>
        <v>0</v>
      </c>
    </row>
    <row r="4339" spans="2:7">
      <c r="B4339" s="79" t="s">
        <v>2381</v>
      </c>
      <c r="C4339" s="26"/>
    </row>
    <row r="4340" spans="2:7">
      <c r="B4340" s="95" t="s">
        <v>2369</v>
      </c>
      <c r="C4340" s="157" t="s">
        <v>2378</v>
      </c>
      <c r="D4340" s="95" t="s">
        <v>2370</v>
      </c>
      <c r="E4340" s="95" t="s">
        <v>1166</v>
      </c>
      <c r="F4340" s="95" t="s">
        <v>2371</v>
      </c>
      <c r="G4340" s="95" t="s">
        <v>2372</v>
      </c>
    </row>
    <row r="4341" spans="2:7">
      <c r="B4341" s="114"/>
      <c r="C4341" s="154"/>
      <c r="D4341" s="105"/>
      <c r="E4341" s="105"/>
      <c r="F4341" s="105" t="s">
        <v>3485</v>
      </c>
      <c r="G4341" s="114" t="s">
        <v>3485</v>
      </c>
    </row>
    <row r="4342" spans="2:7">
      <c r="B4342" s="95">
        <v>1</v>
      </c>
      <c r="C4342" s="148" t="s">
        <v>4203</v>
      </c>
      <c r="D4342" s="95" t="s">
        <v>1172</v>
      </c>
      <c r="E4342" s="179">
        <v>1</v>
      </c>
      <c r="F4342" s="179">
        <f>'BASIC DATA'!$C$541</f>
        <v>400</v>
      </c>
      <c r="G4342" s="207">
        <f>E4342*F4342</f>
        <v>400</v>
      </c>
    </row>
    <row r="4343" spans="2:7">
      <c r="B4343" s="105">
        <v>2</v>
      </c>
      <c r="C4343" s="76" t="s">
        <v>4206</v>
      </c>
      <c r="D4343" s="105" t="s">
        <v>1172</v>
      </c>
      <c r="E4343" s="190">
        <v>1</v>
      </c>
      <c r="F4343" s="190">
        <f>'BASIC DATA'!$C$473</f>
        <v>450</v>
      </c>
      <c r="G4343" s="207">
        <f>E4343*F4343</f>
        <v>450</v>
      </c>
    </row>
    <row r="4344" spans="2:7">
      <c r="B4344" s="105">
        <v>3</v>
      </c>
      <c r="C4344" s="76" t="s">
        <v>2697</v>
      </c>
      <c r="D4344" s="105" t="s">
        <v>1172</v>
      </c>
      <c r="E4344" s="190">
        <v>1</v>
      </c>
      <c r="F4344" s="190">
        <f>'BASIC DATA'!$C$552</f>
        <v>350</v>
      </c>
      <c r="G4344" s="207">
        <f>E4344*F4344</f>
        <v>350</v>
      </c>
    </row>
    <row r="4345" spans="2:7">
      <c r="B4345" s="114">
        <v>4</v>
      </c>
      <c r="C4345" s="89" t="s">
        <v>3823</v>
      </c>
      <c r="D4345" s="114" t="s">
        <v>1172</v>
      </c>
      <c r="E4345" s="182">
        <v>0.5</v>
      </c>
      <c r="F4345" s="182">
        <f>'BASIC DATA'!$C$498</f>
        <v>510</v>
      </c>
      <c r="G4345" s="207">
        <f>E4345*F4345</f>
        <v>255</v>
      </c>
    </row>
    <row r="4346" spans="2:7">
      <c r="B4346" s="176"/>
      <c r="C4346" s="172" t="s">
        <v>1174</v>
      </c>
      <c r="D4346" s="174"/>
      <c r="E4346" s="192"/>
      <c r="F4346" s="275" t="s">
        <v>1698</v>
      </c>
      <c r="G4346" s="318">
        <f>SUM(G4342:G4345)</f>
        <v>1455</v>
      </c>
    </row>
    <row r="4347" spans="2:7">
      <c r="B4347" s="60" t="s">
        <v>5948</v>
      </c>
      <c r="C4347" s="31"/>
      <c r="D4347" s="31"/>
      <c r="E4347" s="85">
        <f>ROUND(G4346/F4320,1)</f>
        <v>363.8</v>
      </c>
      <c r="F4347" s="85"/>
    </row>
    <row r="4348" spans="2:7">
      <c r="B4348" s="60" t="s">
        <v>3163</v>
      </c>
      <c r="C4348" s="31"/>
      <c r="D4348" s="922">
        <f>'BASIC DATA'!$C$577</f>
        <v>0.13614999999999999</v>
      </c>
      <c r="E4348" s="85">
        <f>ROUND(E4347*D4348,1)</f>
        <v>49.5</v>
      </c>
      <c r="F4348" s="85"/>
    </row>
    <row r="4349" spans="2:7">
      <c r="B4349" s="60" t="s">
        <v>5949</v>
      </c>
      <c r="C4349" s="31"/>
      <c r="D4349" s="31"/>
      <c r="E4349" s="199">
        <f>ROUND(E4348+E4347,1)</f>
        <v>413.3</v>
      </c>
      <c r="F4349" s="687"/>
    </row>
    <row r="4350" spans="2:7">
      <c r="B4350" s="170" t="s">
        <v>1175</v>
      </c>
      <c r="C4350" s="26"/>
    </row>
    <row r="4351" spans="2:7">
      <c r="B4351" s="26" t="s">
        <v>1176</v>
      </c>
      <c r="C4351" s="26"/>
      <c r="F4351" s="171" t="s">
        <v>1698</v>
      </c>
      <c r="G4351" s="68">
        <f>G4332</f>
        <v>2236.75</v>
      </c>
    </row>
    <row r="4352" spans="2:7">
      <c r="B4352" s="26" t="s">
        <v>1186</v>
      </c>
      <c r="C4352" s="26"/>
      <c r="F4352" s="171" t="s">
        <v>1698</v>
      </c>
      <c r="G4352" s="68">
        <f>G4338</f>
        <v>0</v>
      </c>
    </row>
    <row r="4353" spans="2:7">
      <c r="B4353" s="26" t="s">
        <v>2660</v>
      </c>
      <c r="C4353" s="26"/>
      <c r="F4353" s="171" t="s">
        <v>1698</v>
      </c>
      <c r="G4353" s="75">
        <f>G4346</f>
        <v>1455</v>
      </c>
    </row>
    <row r="4354" spans="2:7">
      <c r="B4354" s="78"/>
      <c r="C4354" s="26"/>
      <c r="E4354" s="171"/>
      <c r="F4354" s="171" t="s">
        <v>302</v>
      </c>
      <c r="G4354" s="205">
        <f>SUM(G4351:G4353)</f>
        <v>3691.75</v>
      </c>
    </row>
    <row r="4355" spans="2:7">
      <c r="B4355" s="1206" t="s">
        <v>1379</v>
      </c>
      <c r="C4355" s="1206"/>
      <c r="E4355" s="922">
        <f>'BASIC DATA'!$C$577</f>
        <v>0.13614999999999999</v>
      </c>
      <c r="F4355" s="26" t="s">
        <v>1698</v>
      </c>
      <c r="G4355" s="26">
        <f>ROUND(G4354*E4355,2)</f>
        <v>502.63</v>
      </c>
    </row>
    <row r="4356" spans="2:7">
      <c r="B4356" s="26" t="s">
        <v>1191</v>
      </c>
      <c r="C4356" s="26"/>
      <c r="D4356" s="68">
        <f>F4320</f>
        <v>4</v>
      </c>
      <c r="E4356" s="68" t="str">
        <f>G4320</f>
        <v>Nos.</v>
      </c>
      <c r="F4356" s="26" t="s">
        <v>1698</v>
      </c>
      <c r="G4356" s="170">
        <f>G4355+G4354</f>
        <v>4194.38</v>
      </c>
    </row>
    <row r="4357" spans="2:7">
      <c r="B4357" s="170" t="s">
        <v>1584</v>
      </c>
      <c r="C4357" s="211" t="s">
        <v>4089</v>
      </c>
      <c r="D4357" s="26" t="s">
        <v>4715</v>
      </c>
      <c r="F4357" s="26" t="s">
        <v>4108</v>
      </c>
      <c r="G4357" s="211">
        <f>ROUND(G4356/D4356,1)</f>
        <v>1048.5999999999999</v>
      </c>
    </row>
    <row r="4358" spans="2:7" hidden="1"/>
    <row r="4359" spans="2:7" hidden="1"/>
    <row r="4360" spans="2:7" hidden="1"/>
    <row r="4361" spans="2:7" hidden="1"/>
    <row r="4362" spans="2:7" hidden="1"/>
    <row r="4363" spans="2:7" hidden="1"/>
    <row r="4364" spans="2:7" hidden="1"/>
    <row r="4365" spans="2:7" hidden="1"/>
    <row r="4366" spans="2:7" hidden="1"/>
    <row r="4367" spans="2:7" hidden="1"/>
    <row r="4368" spans="2:7"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sheetData>
  <mergeCells count="73">
    <mergeCell ref="B3364:C3364"/>
    <mergeCell ref="B3413:C3413"/>
    <mergeCell ref="B3461:C3461"/>
    <mergeCell ref="B4305:C4305"/>
    <mergeCell ref="B4355:C4355"/>
    <mergeCell ref="B3750:C3750"/>
    <mergeCell ref="B3801:C3801"/>
    <mergeCell ref="B3852:C3852"/>
    <mergeCell ref="B3903:C3903"/>
    <mergeCell ref="B3954:C3954"/>
    <mergeCell ref="B4057:C4057"/>
    <mergeCell ref="B4157:C4157"/>
    <mergeCell ref="B4204:C4204"/>
    <mergeCell ref="B4252:C4252"/>
    <mergeCell ref="B4108:C4108"/>
    <mergeCell ref="B2631:C2631"/>
    <mergeCell ref="B2711:C2711"/>
    <mergeCell ref="B2717:F2717"/>
    <mergeCell ref="B3509:C3509"/>
    <mergeCell ref="B3699:C3699"/>
    <mergeCell ref="B2807:C2807"/>
    <mergeCell ref="B2869:C2869"/>
    <mergeCell ref="B2934:C2934"/>
    <mergeCell ref="B3004:C3004"/>
    <mergeCell ref="B3074:C3074"/>
    <mergeCell ref="B3648:C3648"/>
    <mergeCell ref="B3172:C3172"/>
    <mergeCell ref="B3218:C3218"/>
    <mergeCell ref="B3264:C3264"/>
    <mergeCell ref="B3314:C3314"/>
    <mergeCell ref="B3583:C3583"/>
    <mergeCell ref="B776:C776"/>
    <mergeCell ref="B860:C860"/>
    <mergeCell ref="B941:C941"/>
    <mergeCell ref="B1024:C1024"/>
    <mergeCell ref="B4006:C4006"/>
    <mergeCell ref="B1271:C1271"/>
    <mergeCell ref="B1353:C1353"/>
    <mergeCell ref="B1895:C1895"/>
    <mergeCell ref="B1978:C1978"/>
    <mergeCell ref="B2142:C2142"/>
    <mergeCell ref="B2229:C2229"/>
    <mergeCell ref="B2312:C2312"/>
    <mergeCell ref="B3123:C3123"/>
    <mergeCell ref="B2394:C2394"/>
    <mergeCell ref="B2473:C2473"/>
    <mergeCell ref="B2553:C2553"/>
    <mergeCell ref="B224:C224"/>
    <mergeCell ref="B403:C403"/>
    <mergeCell ref="B1734:C1734"/>
    <mergeCell ref="B1811:C1811"/>
    <mergeCell ref="B2060:C2060"/>
    <mergeCell ref="B405:C405"/>
    <mergeCell ref="B432:C432"/>
    <mergeCell ref="B434:C434"/>
    <mergeCell ref="B553:C553"/>
    <mergeCell ref="B1106:C1106"/>
    <mergeCell ref="B1189:C1189"/>
    <mergeCell ref="B1435:C1435"/>
    <mergeCell ref="B1513:C1513"/>
    <mergeCell ref="B1592:C1592"/>
    <mergeCell ref="B1663:C1663"/>
    <mergeCell ref="B625:C625"/>
    <mergeCell ref="B147:F147"/>
    <mergeCell ref="B194:C194"/>
    <mergeCell ref="B196:C196"/>
    <mergeCell ref="B222:C222"/>
    <mergeCell ref="B223:C223"/>
    <mergeCell ref="C3:F3"/>
    <mergeCell ref="C10:E10"/>
    <mergeCell ref="B106:C106"/>
    <mergeCell ref="B112:C112"/>
    <mergeCell ref="B146:G146"/>
  </mergeCells>
  <printOptions horizontalCentered="1"/>
  <pageMargins left="0.70866141732283505" right="0.70866141732283505" top="0.74803149606299202" bottom="0.74803149606299202" header="0.31496062992126" footer="0.31496062992126"/>
  <pageSetup scale="56" firstPageNumber="219" orientation="portrait" useFirstPageNumber="1" r:id="rId1"/>
  <headerFooter>
    <oddHeader>&amp;RCanal Cross Drainage Works -  Item Unit Rates 2016-17</oddHeader>
    <oddFooter>&amp;R&amp;18&amp;P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18</vt:i4>
      </vt:variant>
    </vt:vector>
  </HeadingPairs>
  <TitlesOfParts>
    <vt:vector size="38" baseType="lpstr">
      <vt:lpstr>abs_leadcharges (2)</vt:lpstr>
      <vt:lpstr>screening charges</vt:lpstr>
      <vt:lpstr>BASIC DATA</vt:lpstr>
      <vt:lpstr>abstact_of_items</vt:lpstr>
      <vt:lpstr>abs_leadcharges</vt:lpstr>
      <vt:lpstr>dam and allied works</vt:lpstr>
      <vt:lpstr>tunnel and allied works</vt:lpstr>
      <vt:lpstr>canal and allied works</vt:lpstr>
      <vt:lpstr>canal cross drainage works</vt:lpstr>
      <vt:lpstr>gate hoist and allied works</vt:lpstr>
      <vt:lpstr>preliminary and maintanance</vt:lpstr>
      <vt:lpstr>com</vt:lpstr>
      <vt:lpstr>leadcharges</vt:lpstr>
      <vt:lpstr>Machinery Hire Charges</vt:lpstr>
      <vt:lpstr>HIRE CHARGES</vt:lpstr>
      <vt:lpstr>canal cross works_old_21082012_</vt:lpstr>
      <vt:lpstr>GAW_valid upto 2012-13 </vt:lpstr>
      <vt:lpstr>PAW valid upto 2012-13</vt:lpstr>
      <vt:lpstr>Sheet3</vt:lpstr>
      <vt:lpstr>Sheet1</vt:lpstr>
      <vt:lpstr>'abs_leadcharges (2)'!Print_Area</vt:lpstr>
      <vt:lpstr>abstact_of_items!Print_Area</vt:lpstr>
      <vt:lpstr>'BASIC DATA'!Print_Area</vt:lpstr>
      <vt:lpstr>'canal and allied works'!Print_Area</vt:lpstr>
      <vt:lpstr>'canal cross drainage works'!Print_Area</vt:lpstr>
      <vt:lpstr>'canal cross works_old_21082012_'!Print_Area</vt:lpstr>
      <vt:lpstr>com!Print_Area</vt:lpstr>
      <vt:lpstr>'dam and allied works'!Print_Area</vt:lpstr>
      <vt:lpstr>'gate hoist and allied works'!Print_Area</vt:lpstr>
      <vt:lpstr>'GAW_valid upto 2012-13 '!Print_Area</vt:lpstr>
      <vt:lpstr>'HIRE CHARGES'!Print_Area</vt:lpstr>
      <vt:lpstr>leadcharges!Print_Area</vt:lpstr>
      <vt:lpstr>'Machinery Hire Charges'!Print_Area</vt:lpstr>
      <vt:lpstr>'PAW valid upto 2012-13'!Print_Area</vt:lpstr>
      <vt:lpstr>'preliminary and maintanance'!Print_Area</vt:lpstr>
      <vt:lpstr>'tunnel and allied works'!Print_Area</vt:lpstr>
      <vt:lpstr>abstact_of_items!Print_Titles</vt:lpstr>
      <vt:lpstr>'Machinery Hire Charges'!Print_Titles</vt:lpstr>
    </vt:vector>
  </TitlesOfParts>
  <Company>cgg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cgg</dc:creator>
  <cp:lastModifiedBy>Dinesh</cp:lastModifiedBy>
  <cp:lastPrinted>2016-08-17T05:56:32Z</cp:lastPrinted>
  <dcterms:created xsi:type="dcterms:W3CDTF">2004-07-07T09:09:42Z</dcterms:created>
  <dcterms:modified xsi:type="dcterms:W3CDTF">2026-04-03T07:46:30Z</dcterms:modified>
</cp:coreProperties>
</file>